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84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72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92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87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18.xml"/>
  <Override ContentType="application/vnd.openxmlformats-officedocument.spreadsheetml.worksheet+xml" PartName="/xl/worksheets/sheet70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81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82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74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7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72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6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77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New report" sheetId="1" r:id="rId4"/>
    <sheet state="hidden" name="DECEMBER 21" sheetId="2" r:id="rId5"/>
    <sheet state="hidden" name="MARCH 23" sheetId="3" r:id="rId6"/>
    <sheet state="hidden" name="APRIL 23" sheetId="4" r:id="rId7"/>
    <sheet state="hidden" name="JUNE 23" sheetId="5" r:id="rId8"/>
    <sheet state="hidden" name="AUGUST 23" sheetId="6" r:id="rId9"/>
    <sheet state="hidden" name="SEPTEMBER 23" sheetId="7" r:id="rId10"/>
    <sheet state="hidden" name="OCTOBER 23" sheetId="8" r:id="rId11"/>
    <sheet state="hidden" name="NOVEMBER 23" sheetId="9" r:id="rId12"/>
    <sheet state="hidden" name="DECEMBER 2023" sheetId="10" r:id="rId13"/>
    <sheet state="hidden" name="MAY 2024" sheetId="11" r:id="rId14"/>
    <sheet state="hidden" name="JUNE 2024" sheetId="12" r:id="rId15"/>
    <sheet state="hidden" name="JULY 2024" sheetId="13" r:id="rId16"/>
    <sheet state="hidden" name="AUGUST 2024" sheetId="14" r:id="rId17"/>
    <sheet state="hidden" name="SEPTEMBER 2024" sheetId="15" r:id="rId18"/>
    <sheet state="hidden" name="October 2024" sheetId="16" r:id="rId19"/>
    <sheet state="hidden" name="NOVEMBER 2024" sheetId="17" r:id="rId20"/>
    <sheet state="hidden" name="DECEMBER 2024" sheetId="18" r:id="rId21"/>
    <sheet state="hidden" name="JANUARY 2025" sheetId="19" r:id="rId22"/>
    <sheet state="hidden" name="FEBUARY 2025" sheetId="20" r:id="rId23"/>
    <sheet state="hidden" name="MARCH 2025" sheetId="21" r:id="rId24"/>
    <sheet state="hidden" name="APRIL 2025" sheetId="22" r:id="rId25"/>
    <sheet state="hidden" name="MAY 2025" sheetId="23" r:id="rId26"/>
    <sheet state="hidden" name="Sheet68" sheetId="24" r:id="rId27"/>
    <sheet state="hidden" name="JULY 2025" sheetId="25" r:id="rId28"/>
    <sheet state="hidden" name="AUG 2025" sheetId="26" r:id="rId29"/>
    <sheet state="hidden" name="JUNE 2025" sheetId="27" r:id="rId30"/>
    <sheet state="hidden" name="SEPTEMBER 2025" sheetId="28" r:id="rId31"/>
    <sheet state="hidden" name="OCTOBER 2025" sheetId="29" r:id="rId32"/>
    <sheet state="hidden" name="DECEMBER 2025" sheetId="30" r:id="rId33"/>
    <sheet state="hidden" name="NOVEMBER 2025" sheetId="31" r:id="rId34"/>
    <sheet state="hidden" name="JANUARY 26" sheetId="32" r:id="rId35"/>
    <sheet state="hidden" name="FEBRUARY 26" sheetId="33" r:id="rId36"/>
    <sheet state="hidden" name="MARCH 26" sheetId="34" r:id="rId37"/>
    <sheet state="visible" name="APRIL 26" sheetId="35" r:id="rId38"/>
    <sheet state="hidden" name="New Crew data" sheetId="36" r:id="rId39"/>
    <sheet state="hidden" name="APRIL 2024" sheetId="37" r:id="rId40"/>
    <sheet state="hidden" name="MARCH 2024" sheetId="38" r:id="rId41"/>
    <sheet state="hidden" name="FEBRUARY 2024" sheetId="39" r:id="rId42"/>
    <sheet state="hidden" name="JANUARY 2024" sheetId="40" r:id="rId43"/>
    <sheet state="hidden" name="JULY 23" sheetId="41" r:id="rId44"/>
    <sheet state="hidden" name="MAY 23" sheetId="42" r:id="rId45"/>
    <sheet state="hidden" name="FEBRUARY 2023" sheetId="43" r:id="rId46"/>
    <sheet state="hidden" name="JANUARY 2023" sheetId="44" r:id="rId47"/>
    <sheet state="hidden" name="DECEMBER 22" sheetId="45" r:id="rId48"/>
    <sheet state="hidden" name="NOVEMBER 22" sheetId="46" r:id="rId49"/>
    <sheet state="hidden" name="OCTOBER 22" sheetId="47" r:id="rId50"/>
    <sheet state="hidden" name="SEPTEMBER 22" sheetId="48" r:id="rId51"/>
    <sheet state="hidden" name="AUGUST 22" sheetId="49" r:id="rId52"/>
    <sheet state="hidden" name="JULY 22" sheetId="50" r:id="rId53"/>
    <sheet state="hidden" name="JUNE 22" sheetId="51" r:id="rId54"/>
    <sheet state="hidden" name="MAY 22" sheetId="52" r:id="rId55"/>
    <sheet state="hidden" name="APRIL 22" sheetId="53" r:id="rId56"/>
    <sheet state="hidden" name="MARCH 22" sheetId="54" r:id="rId57"/>
    <sheet state="hidden" name="FEBRUARY 22" sheetId="55" r:id="rId58"/>
    <sheet state="hidden" name="JANUARY 22" sheetId="56" r:id="rId59"/>
    <sheet state="hidden" name="NOVEMBER 21" sheetId="57" r:id="rId60"/>
    <sheet state="hidden" name="OCTOBER 21" sheetId="58" r:id="rId61"/>
    <sheet state="hidden" name="SEPTEMBER 21" sheetId="59" r:id="rId62"/>
    <sheet state="hidden" name="AUGUST 21" sheetId="60" r:id="rId63"/>
    <sheet state="hidden" name="JULY 21" sheetId="61" r:id="rId64"/>
    <sheet state="hidden" name="JUNE 21" sheetId="62" r:id="rId65"/>
    <sheet state="hidden" name="MAY 21" sheetId="63" r:id="rId66"/>
    <sheet state="hidden" name="APRIL 21" sheetId="64" r:id="rId67"/>
    <sheet state="hidden" name="MARCH 21" sheetId="65" r:id="rId68"/>
    <sheet state="hidden" name="FEBRUARY 21" sheetId="66" r:id="rId69"/>
    <sheet state="hidden" name="JANUARY 21" sheetId="67" r:id="rId70"/>
    <sheet state="hidden" name="DECEMBER 20" sheetId="68" r:id="rId71"/>
    <sheet state="hidden" name="NOVEMBER 20" sheetId="69" r:id="rId72"/>
    <sheet state="hidden" name="OCTOBER 20" sheetId="70" r:id="rId73"/>
    <sheet state="hidden" name="SEPTEMBER 20" sheetId="71" r:id="rId74"/>
    <sheet state="hidden" name="AUGUST 20" sheetId="72" r:id="rId75"/>
    <sheet state="hidden" name="JULY 20" sheetId="73" r:id="rId76"/>
    <sheet state="hidden" name="JUNE 20" sheetId="74" r:id="rId77"/>
    <sheet state="hidden" name="MAY 20" sheetId="75" r:id="rId78"/>
    <sheet state="hidden" name="APR 20" sheetId="76" r:id="rId79"/>
    <sheet state="hidden" name="MAR 20" sheetId="77" r:id="rId80"/>
    <sheet state="hidden" name="FEB 20" sheetId="78" r:id="rId81"/>
    <sheet state="hidden" name="JAN 20" sheetId="79" r:id="rId82"/>
    <sheet state="hidden" name="DEC 19" sheetId="80" r:id="rId83"/>
    <sheet state="hidden" name="NOV 19" sheetId="81" r:id="rId84"/>
    <sheet state="hidden" name="OCT 19" sheetId="82" r:id="rId85"/>
    <sheet state="hidden" name="SEP 19" sheetId="83" r:id="rId86"/>
    <sheet state="hidden" name="Crew Data" sheetId="84" r:id="rId87"/>
    <sheet state="hidden" name="AUG 19" sheetId="85" r:id="rId88"/>
    <sheet state="hidden" name="JUL 19" sheetId="86" r:id="rId89"/>
    <sheet state="hidden" name="JUN 19" sheetId="87" r:id="rId90"/>
    <sheet state="hidden" name="MAY 19" sheetId="88" r:id="rId91"/>
    <sheet state="hidden" name="APR 19" sheetId="89" r:id="rId92"/>
    <sheet state="hidden" name="MAR 19" sheetId="90" r:id="rId93"/>
    <sheet state="hidden" name="FEB 19" sheetId="91" r:id="rId94"/>
    <sheet state="hidden" name="Crew data for number" sheetId="92" r:id="rId95"/>
    <sheet state="hidden" name="Sheet5" sheetId="93" r:id="rId96"/>
  </sheets>
  <definedNames>
    <definedName hidden="1" localSheetId="3" name="_xlnm._FilterDatabase">'APRIL 23'!$A$3:$Z$84</definedName>
    <definedName hidden="1" localSheetId="4" name="_xlnm._FilterDatabase">'JUNE 23'!$A$3:$G$100</definedName>
    <definedName hidden="1" localSheetId="5" name="_xlnm._FilterDatabase">'AUGUST 23'!$A$3:$G$91</definedName>
    <definedName hidden="1" localSheetId="6" name="_xlnm._FilterDatabase">'SEPTEMBER 23'!$A$3:$G$88</definedName>
    <definedName hidden="1" localSheetId="7" name="_xlnm._FilterDatabase">'OCTOBER 23'!$A$3:$G$72</definedName>
    <definedName hidden="1" localSheetId="8" name="_xlnm._FilterDatabase">'NOVEMBER 23'!$A$3:$G$10</definedName>
    <definedName hidden="1" localSheetId="16" name="_xlnm._FilterDatabase">'NOVEMBER 2024'!$A$3:$Z$33</definedName>
    <definedName hidden="1" localSheetId="29" name="_xlnm._FilterDatabase">'DECEMBER 2025'!$A$2:$AA$103</definedName>
    <definedName hidden="1" localSheetId="40" name="_xlnm._FilterDatabase">'JULY 23'!$A$3:$G$102</definedName>
    <definedName hidden="1" localSheetId="41" name="_xlnm._FilterDatabase">'MAY 23'!$A$3:$G$99</definedName>
  </definedNames>
  <calcPr/>
</workbook>
</file>

<file path=xl/sharedStrings.xml><?xml version="1.0" encoding="utf-8"?>
<sst xmlns="http://schemas.openxmlformats.org/spreadsheetml/2006/main" count="14504" uniqueCount="7030">
  <si>
    <t xml:space="preserve"> Perdiem Report in March 2020</t>
  </si>
  <si>
    <t>Item</t>
  </si>
  <si>
    <t>AllStar ID</t>
  </si>
  <si>
    <t>Name - Surname</t>
  </si>
  <si>
    <t>Count Day</t>
  </si>
  <si>
    <t>Total Perdiem (THB)</t>
  </si>
  <si>
    <t xml:space="preserve">Cross Checked by Supervisor </t>
  </si>
  <si>
    <t>REMARK</t>
  </si>
  <si>
    <t>Dupplicate Check</t>
  </si>
  <si>
    <t xml:space="preserve"> Perdiem Report in December 2021</t>
  </si>
  <si>
    <t>Last updated : 1 January 2022 Time: 12.00  (Status : CLOSE)</t>
  </si>
  <si>
    <t>New ID No.</t>
  </si>
  <si>
    <t>Employee name</t>
  </si>
  <si>
    <t>Period</t>
  </si>
  <si>
    <t>Description</t>
  </si>
  <si>
    <t>Days</t>
  </si>
  <si>
    <t>ไม่มีการทำจ่ายเงินค่า Posting</t>
  </si>
  <si>
    <t xml:space="preserve"> Perdiem Report in MARCH 2023</t>
  </si>
  <si>
    <t>Last updated : 03 April 2023 Time: 12.00  (Status : CLOSE)</t>
  </si>
  <si>
    <t>25-27 March 2023</t>
  </si>
  <si>
    <t>CHECKED (OK)</t>
  </si>
  <si>
    <t>26-28 March 2023</t>
  </si>
  <si>
    <t>27-29 March 2023</t>
  </si>
  <si>
    <t>28-30 March 2023</t>
  </si>
  <si>
    <t>29-31 March 2023</t>
  </si>
  <si>
    <t>30-31 March / 1 April 2023</t>
  </si>
  <si>
    <t>END OF REPORT 4 APRIL 2023</t>
  </si>
  <si>
    <t xml:space="preserve"> Perdiem Report in APRIL 2023</t>
  </si>
  <si>
    <t>Last updated : 02 May 2023 Time: 17.00  (Status : CLOSE)</t>
  </si>
  <si>
    <t>3-4 April 2023</t>
  </si>
  <si>
    <t>8-9 April 2023</t>
  </si>
  <si>
    <t>7-8 April 2023</t>
  </si>
  <si>
    <t>9-10 April 2023</t>
  </si>
  <si>
    <t>2-3 April 2023</t>
  </si>
  <si>
    <t>3-4, 10-11 April 2023</t>
  </si>
  <si>
    <t>11-12 April 2023</t>
  </si>
  <si>
    <t>6-7 April 2023</t>
  </si>
  <si>
    <t>14-15 April 2023</t>
  </si>
  <si>
    <t>4-5 April 2023</t>
  </si>
  <si>
    <t>15-16 April 2023</t>
  </si>
  <si>
    <t>13-14, 26-27 April 2023</t>
  </si>
  <si>
    <t>28-30 March / 16-17 April 2023</t>
  </si>
  <si>
    <t>7-8, 12-13 April 2023</t>
  </si>
  <si>
    <t>17-18 April 2023</t>
  </si>
  <si>
    <t>16-17 April 2023</t>
  </si>
  <si>
    <t>16-17, 20-21 April 2023</t>
  </si>
  <si>
    <t>19-20 April 2023</t>
  </si>
  <si>
    <t>18-19 April 2023</t>
  </si>
  <si>
    <t>20-21 April 2023</t>
  </si>
  <si>
    <t>22-23 April 2023</t>
  </si>
  <si>
    <t>13-14 April 2023</t>
  </si>
  <si>
    <t>23-24 April 2023</t>
  </si>
  <si>
    <t>1-2 April 2023</t>
  </si>
  <si>
    <t xml:space="preserve">2-3 April 2023 </t>
  </si>
  <si>
    <t xml:space="preserve">5-6 April 2023 </t>
  </si>
  <si>
    <t xml:space="preserve">25-26 April 2023 </t>
  </si>
  <si>
    <t>5-6 April 2023</t>
  </si>
  <si>
    <t>21-22 April 2023</t>
  </si>
  <si>
    <t>25-6 April 2023</t>
  </si>
  <si>
    <t>9-10, 14-15, 21-22 April 2023</t>
  </si>
  <si>
    <t>5-6, 10-11 April 2023</t>
  </si>
  <si>
    <t>26-27 April 2023</t>
  </si>
  <si>
    <t>3-4, 15-16, 18-19 April 2023</t>
  </si>
  <si>
    <t>28-29 April 2023</t>
  </si>
  <si>
    <t>27-28 April 2023</t>
  </si>
  <si>
    <t>25-26 April 2023</t>
  </si>
  <si>
    <t>21-22, 28-29 April 2023</t>
  </si>
  <si>
    <t>24-25, 29-30 April 2023</t>
  </si>
  <si>
    <t>4-5, 26-27 April 2023</t>
  </si>
  <si>
    <t>12-13, 17-18, 29-30 April 2023</t>
  </si>
  <si>
    <t>29-30 April 2023</t>
  </si>
  <si>
    <t>30 April / 1 May 2023</t>
  </si>
  <si>
    <t>8-9, 18-19, 30 April / 1 May 2023</t>
  </si>
  <si>
    <t xml:space="preserve"> Perdiem Report in JUNE 2023</t>
  </si>
  <si>
    <t>Last updated : 03 JULY 2023 Time: 12.00  (Status : CLOSE)</t>
  </si>
  <si>
    <t>14-15 May 2023</t>
  </si>
  <si>
    <t>9-10 June 2023</t>
  </si>
  <si>
    <t>5-6 June 2023</t>
  </si>
  <si>
    <t>6-7 June 2023</t>
  </si>
  <si>
    <t>1-2 June 2023</t>
  </si>
  <si>
    <t>2-3 June 2023</t>
  </si>
  <si>
    <t>4-5 June 2023</t>
  </si>
  <si>
    <t>3-4 June 2023</t>
  </si>
  <si>
    <t>8-9 June 2023</t>
  </si>
  <si>
    <t>10-11 June 2023</t>
  </si>
  <si>
    <t>7-8 June 2023</t>
  </si>
  <si>
    <t>12-13 June 2023</t>
  </si>
  <si>
    <t>16-17 June 2023</t>
  </si>
  <si>
    <t>18-19 June 2023</t>
  </si>
  <si>
    <t>17-18 June 2023</t>
  </si>
  <si>
    <t>15-16 June 2023</t>
  </si>
  <si>
    <t>19-20 June 2023</t>
  </si>
  <si>
    <t>15-16, 20-21 June 2023</t>
  </si>
  <si>
    <t>14-15 June 2023</t>
  </si>
  <si>
    <t>21-22 June 2023</t>
  </si>
  <si>
    <t>22-23 June 2023</t>
  </si>
  <si>
    <t>24-25 June 2023</t>
  </si>
  <si>
    <t>23-24 June 2023</t>
  </si>
  <si>
    <t>20-21 June 2023</t>
  </si>
  <si>
    <t>14-15, 25-26 June 2023</t>
  </si>
  <si>
    <t>17-18 May 2023</t>
  </si>
  <si>
    <t>7-8, 12-13 May 2023</t>
  </si>
  <si>
    <t>1-2, 25-26 May 2023</t>
  </si>
  <si>
    <t>26-27 June 2023</t>
  </si>
  <si>
    <t>13-14 June 2023</t>
  </si>
  <si>
    <t>4-5, 8-9 June 2023</t>
  </si>
  <si>
    <t>28-29 June 2023</t>
  </si>
  <si>
    <t>27-28 June 2023</t>
  </si>
  <si>
    <t>11-12 June 2023</t>
  </si>
  <si>
    <t>25-26 May 2023</t>
  </si>
  <si>
    <t>14-15, 20-21 June 2023</t>
  </si>
  <si>
    <t>29-30 June 2023</t>
  </si>
  <si>
    <t>3-4, 29-30 June 2023</t>
  </si>
  <si>
    <t>28-29 May 2023</t>
  </si>
  <si>
    <t xml:space="preserve"> Perdiem Report in AUGUST 2023</t>
  </si>
  <si>
    <t>Last updated : 04 SEPTEMBER 2023 Time: 12.00  (Status : CLOSE)</t>
  </si>
  <si>
    <t>26-27 July 2023</t>
  </si>
  <si>
    <t>1-2 August 2023</t>
  </si>
  <si>
    <t>5-6 July 2023</t>
  </si>
  <si>
    <t>2-3 August 2023</t>
  </si>
  <si>
    <t>3-4 August 2023</t>
  </si>
  <si>
    <t>5-6 August 2023</t>
  </si>
  <si>
    <t>8-9 August 2023</t>
  </si>
  <si>
    <t>25-26 July / 10-11 August 2023</t>
  </si>
  <si>
    <t>10-11 August 2023</t>
  </si>
  <si>
    <t>9-10 August 2023</t>
  </si>
  <si>
    <t>13-14 August 2023</t>
  </si>
  <si>
    <t>31 July / 01 August 2023</t>
  </si>
  <si>
    <t>8-9, 15-16 August 2023</t>
  </si>
  <si>
    <t>14-15 August 2023</t>
  </si>
  <si>
    <t>7-8 August 2023</t>
  </si>
  <si>
    <t>15-16 August 2023</t>
  </si>
  <si>
    <t>4-5 August 2023</t>
  </si>
  <si>
    <t>18-19 August 2023</t>
  </si>
  <si>
    <t>6-7, 18-19 August 2023</t>
  </si>
  <si>
    <t>2-3, 15-16, 21-22 August 2023</t>
  </si>
  <si>
    <t>16-17 August 2023</t>
  </si>
  <si>
    <t>11-12, 16-17 August 2023</t>
  </si>
  <si>
    <t>6-7 August 2023</t>
  </si>
  <si>
    <t>17-18 August 2023</t>
  </si>
  <si>
    <t>20-21 July / 20-21 August 2023</t>
  </si>
  <si>
    <t>20-21 August 2023</t>
  </si>
  <si>
    <t>17-18, 27-28 August 2023</t>
  </si>
  <si>
    <t>19-20 August 2023</t>
  </si>
  <si>
    <t>5-6, 14-15 August 2023</t>
  </si>
  <si>
    <t>22-23 July 2023</t>
  </si>
  <si>
    <t>30-31 July 2023</t>
  </si>
  <si>
    <t>21-22 August 2023</t>
  </si>
  <si>
    <t>23-24 August 2023</t>
  </si>
  <si>
    <t>7-8, 18-19, 24-25 August 2023</t>
  </si>
  <si>
    <t>22-23 August 2023</t>
  </si>
  <si>
    <t>24-25 August 2023</t>
  </si>
  <si>
    <t>25-26 August 2023</t>
  </si>
  <si>
    <t>31 July / 01, 26-27 August 2023</t>
  </si>
  <si>
    <t>11-12 August 2023</t>
  </si>
  <si>
    <t>7-8, 19-20 August 2023</t>
  </si>
  <si>
    <t>14-15, 27-28 August 2023</t>
  </si>
  <si>
    <t>29-30 August 2023</t>
  </si>
  <si>
    <t>1-2, 12-13, 23-24 August 2023</t>
  </si>
  <si>
    <t>28-29 August 2023</t>
  </si>
  <si>
    <t>2-3, 29-30 August 2023</t>
  </si>
  <si>
    <t>15-16, 31 August 2023</t>
  </si>
  <si>
    <t>16-17 July 2023</t>
  </si>
  <si>
    <t>30-31 August 2023</t>
  </si>
  <si>
    <t>26-27 August 2023</t>
  </si>
  <si>
    <t>21-22 May 2023</t>
  </si>
  <si>
    <t xml:space="preserve"> Perdiem Report in SEPTEMBER 2023</t>
  </si>
  <si>
    <t>Last updated : 03 OCTOBER 2023 Time: 12.00  (Status : CLOSE)</t>
  </si>
  <si>
    <t>3-4, 11-12, 17-18, 22-23, 25-26 August / 1-2, 6-7, 18-19 September 2023</t>
  </si>
  <si>
    <t>2-3 September 2023</t>
  </si>
  <si>
    <t>6-7 September 2023</t>
  </si>
  <si>
    <t>5-6 September 2023</t>
  </si>
  <si>
    <t>7-8 September 2023</t>
  </si>
  <si>
    <t>31 August / 01 September 2023</t>
  </si>
  <si>
    <t>11-12 September 2023</t>
  </si>
  <si>
    <t>4-5 September 2023</t>
  </si>
  <si>
    <t>12-13 September 2023</t>
  </si>
  <si>
    <t>14-15 September 2023</t>
  </si>
  <si>
    <t>13-14 September 2023</t>
  </si>
  <si>
    <t>17-18 September 2023</t>
  </si>
  <si>
    <t>19-20 September 2023</t>
  </si>
  <si>
    <t>18-19 September 2023</t>
  </si>
  <si>
    <t>20-21 September 2023</t>
  </si>
  <si>
    <t>21-22 September 2023</t>
  </si>
  <si>
    <t>16-17 September 2023</t>
  </si>
  <si>
    <t>15-16 September 2023</t>
  </si>
  <si>
    <t>23-24 September 2023</t>
  </si>
  <si>
    <t>22-23 September 2023</t>
  </si>
  <si>
    <t>9-10 September 2023</t>
  </si>
  <si>
    <t>7-8, 24-25 September 2023</t>
  </si>
  <si>
    <t>26-27 September 2023</t>
  </si>
  <si>
    <t>1, 3-4, 12-13, 24-25, 27-28 September 2023</t>
  </si>
  <si>
    <t>10-11 September 2023</t>
  </si>
  <si>
    <t>1-2, 4-5 September 2023</t>
  </si>
  <si>
    <t>1-2 September 2023</t>
  </si>
  <si>
    <t>27-28 September 2023</t>
  </si>
  <si>
    <t>8-9, 25-26 September 2023</t>
  </si>
  <si>
    <t>16-17, 28-29 September 2023</t>
  </si>
  <si>
    <t>28-29 September 2023</t>
  </si>
  <si>
    <t>4-5, 28-29 September 2023</t>
  </si>
  <si>
    <t>24-25 September 2023</t>
  </si>
  <si>
    <t>20-21, 29-30 September 2023</t>
  </si>
  <si>
    <t>29-30 September 2023</t>
  </si>
  <si>
    <t>11-12, 22-23, 29-30 September 2023</t>
  </si>
  <si>
    <t>8-9 September 2023</t>
  </si>
  <si>
    <t>3-4 September 2023</t>
  </si>
  <si>
    <t xml:space="preserve"> Perdiem Report in OCTOBER 2023</t>
  </si>
  <si>
    <t>Last updated : 01 NOVEMBER 2023 Time: 12.00  (Status : CLOSE)</t>
  </si>
  <si>
    <t>30 September / 1, 12-13 October 2023</t>
  </si>
  <si>
    <t>30 September / 1 October 2023</t>
  </si>
  <si>
    <t>3-4 October 2023</t>
  </si>
  <si>
    <t>1-2 October 2023</t>
  </si>
  <si>
    <t>5-6 October 2023</t>
  </si>
  <si>
    <t>10-11 September / 5-6 October 2023</t>
  </si>
  <si>
    <t>2-3 October 2023</t>
  </si>
  <si>
    <t>7-8 October 2023</t>
  </si>
  <si>
    <t>11-12 October 2023</t>
  </si>
  <si>
    <t>13-14 October 2023</t>
  </si>
  <si>
    <t>6-7 October 2023</t>
  </si>
  <si>
    <t>14-15 October 2023</t>
  </si>
  <si>
    <t>16-17 October 2023</t>
  </si>
  <si>
    <t>12-13, 16-17 October 2023</t>
  </si>
  <si>
    <t>9-10 October 2023</t>
  </si>
  <si>
    <t>17-18 October 2023</t>
  </si>
  <si>
    <t>12-13 October 2023</t>
  </si>
  <si>
    <t>2-3, 15-16, 20-21 October 2023</t>
  </si>
  <si>
    <t>18-19 October 2023</t>
  </si>
  <si>
    <t>8-9 October 2023</t>
  </si>
  <si>
    <t>19-20 October 2023</t>
  </si>
  <si>
    <t>21-22 October 2023</t>
  </si>
  <si>
    <t>10-11 October 2023</t>
  </si>
  <si>
    <t>23-24 October 2023</t>
  </si>
  <si>
    <t>24-25 October 2023</t>
  </si>
  <si>
    <t>22-23 October 2023</t>
  </si>
  <si>
    <t>9-10, 20-21 October 2023</t>
  </si>
  <si>
    <t>20-21 October 2023</t>
  </si>
  <si>
    <t>15-16 October 2023</t>
  </si>
  <si>
    <t>27-28 October 2023</t>
  </si>
  <si>
    <t>1-2, 25-26 September 2023</t>
  </si>
  <si>
    <t>5-6, 17-18, 25-26 October 2023</t>
  </si>
  <si>
    <t>10-11, 22-23 October 2023</t>
  </si>
  <si>
    <t xml:space="preserve"> Perdiem Report in NOVEMBER 2023</t>
  </si>
  <si>
    <t>Last updated : 2 DECEMBER 2023 Time: 12.00  (Status : CLOSE)</t>
  </si>
  <si>
    <t>9-10, 17-18 October 2023</t>
  </si>
  <si>
    <t>25-26 October 2023</t>
  </si>
  <si>
    <t>4-5 October 2023</t>
  </si>
  <si>
    <t xml:space="preserve"> Perdiem Report in DECEMBER 2023</t>
  </si>
  <si>
    <t>Last updated : 03 January 2024 Time: 12.00  (Status : CLOSE)</t>
  </si>
  <si>
    <t xml:space="preserve"> Perdiem Report in MAY 2024</t>
  </si>
  <si>
    <t>Last updated : 04 JUN 2024 Time: 12.00  (Status : CLOSE)</t>
  </si>
  <si>
    <t xml:space="preserve"> Perdiem Report in JUNE 2024</t>
  </si>
  <si>
    <t>Last updated : 01 JUL 2024 Time: 12.00  (Status : CLOSE)</t>
  </si>
  <si>
    <t xml:space="preserve"> Perdiem Report in JULY 2024</t>
  </si>
  <si>
    <t>Last updated : 01 AUG 2024 Time: 12.00  (Status : CLOSE)</t>
  </si>
  <si>
    <t xml:space="preserve"> Perdiem Report in AUGUST 2024</t>
  </si>
  <si>
    <t>Last updated : 01 SEP 2024 Time: 12.00  (Status : CLOSE)</t>
  </si>
  <si>
    <t xml:space="preserve"> Perdiem Report in SEPTEMBER 2024</t>
  </si>
  <si>
    <t>Last updated : 02 OCT 2024 Time: 12.00  (Status : CLOSE)</t>
  </si>
  <si>
    <t xml:space="preserve"> Perdiem Report in OCTOBER 2024</t>
  </si>
  <si>
    <t>Last updated : 01 NOV 2024 Time: 12.00  (Status : CLOSE)</t>
  </si>
  <si>
    <t>28 OCTOBER 2024 - 31 OCTOBER 2024</t>
  </si>
  <si>
    <t>29 OCTOBER 2024 - 30 OCTOBER 2024</t>
  </si>
  <si>
    <t xml:space="preserve"> Perdiem Report in NOVEMBER 2024</t>
  </si>
  <si>
    <t>Last updated : 02 NOV 2024 Time: 12.00  (Status : OPEN)</t>
  </si>
  <si>
    <t>29 October 2024 - 31 October 2024
1 November 2024 - 30 November 2024</t>
  </si>
  <si>
    <t>2 November 2024 - 3 November 2024</t>
  </si>
  <si>
    <t>5 November 2024 - 6 November 2024</t>
  </si>
  <si>
    <t>9 November 2024 - 10 November 2024</t>
  </si>
  <si>
    <t>1 November 2024</t>
  </si>
  <si>
    <t>16 November 2024 - 17 November 2024</t>
  </si>
  <si>
    <t>21 November 2024 - 22 November 2024</t>
  </si>
  <si>
    <t>19 November 2024 - 20 November 2024</t>
  </si>
  <si>
    <t>26 November 2024 - 27 November 2024</t>
  </si>
  <si>
    <t>23 November 2024 - 24 November 2024</t>
  </si>
  <si>
    <t>28 November 2024 - 29 November 2024</t>
  </si>
  <si>
    <t>1 November 2024 - 15 November 2024 , 
17 November 2024 - 22 November 2024 , 
26 November 2024 - 30 November 2024</t>
  </si>
  <si>
    <t>1 November 2024 - 3 November 2024 , 
9 November 2024 - 30 November 2024</t>
  </si>
  <si>
    <t>1 November 2024 - 5 November 2024 , 
9 November 2024 - 30 November 2024</t>
  </si>
  <si>
    <t>2 November 2024 - 13 November 2024 , 
17 November 2024 - 27 November 2024 , 
28 November 2024 - 30 November 2024</t>
  </si>
  <si>
    <t>1 November 2024 - 30 November 2024</t>
  </si>
  <si>
    <t>1 November 2024 - 28 November 2024</t>
  </si>
  <si>
    <t>30 November 2024</t>
  </si>
  <si>
    <t>14 November 2024 - 15 November 2024</t>
  </si>
  <si>
    <t>29 October 2024 - 31 October 2024</t>
  </si>
  <si>
    <t xml:space="preserve"> Perdiem Report in DECEMBER 2024</t>
  </si>
  <si>
    <t>Last updated : 02 JAN 2024 Time: 12.00  (Status : CLOSE)</t>
  </si>
  <si>
    <t>26 November 2024 - 27 November 2024 / 10 December 2024 - 11 December 2024</t>
  </si>
  <si>
    <t>12 November 2024 - 13 November 2024</t>
  </si>
  <si>
    <t>3 November 2024 - 4 November 2024</t>
  </si>
  <si>
    <t>3 December 2024 - 4 December 2024</t>
  </si>
  <si>
    <t>10 December 2024 - 11 December 2024</t>
  </si>
  <si>
    <t>21 December 2024 - 22 December 2024</t>
  </si>
  <si>
    <t>7 December 2024 - 8 December 2024</t>
  </si>
  <si>
    <t>24 December 2024 - 25 December 2024</t>
  </si>
  <si>
    <t>17 December 2024 - 18 December 2024</t>
  </si>
  <si>
    <t>5 December 2024 - 6 December 2024</t>
  </si>
  <si>
    <t>12 December 2024 - 13 December 2024</t>
  </si>
  <si>
    <t>14 December 2024 - 15 December 2024    21 December 2024 - 22 December 2024</t>
  </si>
  <si>
    <t>1 December 2024 - 15 December 2024       17 December 2024 - 29 December 2024    31 December 2024</t>
  </si>
  <si>
    <t>1 December 2024 - 31 December 2024</t>
  </si>
  <si>
    <t>6 December 2024 - 31 December 2024</t>
  </si>
  <si>
    <t>1 December 2024 - 8 December 2024        10 December 2024 - 31 December 2024</t>
  </si>
  <si>
    <t>1 December 2024                                              5 December 2024 - 31 December 2024</t>
  </si>
  <si>
    <t>28 December 2024 - 29 December 2024</t>
  </si>
  <si>
    <t xml:space="preserve"> Perdiem Report in JANUARY 2025</t>
  </si>
  <si>
    <t>Last updated : 03 FEB 2025 Time: 12.00  (Status : OPEN)</t>
  </si>
  <si>
    <t>2 January 2025 - 3 January 2025</t>
  </si>
  <si>
    <t>4 January 2025 - 5 January 2025</t>
  </si>
  <si>
    <t>7 January 2025 - 8 January 2025</t>
  </si>
  <si>
    <t>9 January 2025 - 10 January 2025</t>
  </si>
  <si>
    <t>11 January 2025 - 12 January 2025</t>
  </si>
  <si>
    <t>14 January 2025 - 15 January 2025</t>
  </si>
  <si>
    <t>16 January 2025 - 17 January 2025</t>
  </si>
  <si>
    <t>21 January 2025 - 22 January 2025</t>
  </si>
  <si>
    <t>18 January 2025 - 19 January 2025</t>
  </si>
  <si>
    <t>25 January 2025 - 26 January 2025</t>
  </si>
  <si>
    <t>14 January 2025 - 15 January 2025 /              21 January 2025 - 22 January 2025</t>
  </si>
  <si>
    <t>28 January 2025 - 29 January 2025</t>
  </si>
  <si>
    <t>11 January 2025 - 12 January 2025 /              25 January 2025 - 26 January 2025</t>
  </si>
  <si>
    <t>18 January 2025 - 19 January 2025 /              30 January 2025 - 31 January 2025</t>
  </si>
  <si>
    <t>1 January 2025 - 23 January 2025 /              26 January 2025 - 31 January 2025</t>
  </si>
  <si>
    <t>1 January 2025 - 4 January 2025 /                7 January 2025 - 31 January 2025</t>
  </si>
  <si>
    <t>1 January 2025 - 31 January 2025</t>
  </si>
  <si>
    <t>1 January 2025 - 10 January 2025 /              12 January 2025 - 31 January 2025</t>
  </si>
  <si>
    <t>30 January 2025 - 31 January 2025</t>
  </si>
  <si>
    <t>1 January 2025 - 25 January 2025 /              29 January 2025 - 31 January 2025</t>
  </si>
  <si>
    <t>14 December 2024 - 15 December 2024</t>
  </si>
  <si>
    <t>19 December 2024 - 20 December 2024</t>
  </si>
  <si>
    <t xml:space="preserve"> Perdiem Report in FEBUARY 2025</t>
  </si>
  <si>
    <t>Last updated : 3 MAR 2025 Time: 12.00  (Status : CLOSED)</t>
  </si>
  <si>
    <t>ตกเบิกเดือนมกราคม 68</t>
  </si>
  <si>
    <t>1 Febuary 2025 - 2 Febuary 2025</t>
  </si>
  <si>
    <t>4 Febuary 2025 - 5 Febuary 2025</t>
  </si>
  <si>
    <t>6 Febuary 2025 - 7 Febuary 2025</t>
  </si>
  <si>
    <t>11 Febuary 2025 - 12 Febuary 2025</t>
  </si>
  <si>
    <t>13 Febuary 2025 - 14 Febuary 2025</t>
  </si>
  <si>
    <t>15 Febuary 2025 - 16 Febuary 2025</t>
  </si>
  <si>
    <t>18 Febuary 2025 - 19 Febuary 2025</t>
  </si>
  <si>
    <t>20 Febuary 2025 - 21 Febuary 2025</t>
  </si>
  <si>
    <t>22 Febuary 2025 - 23 Febuary 2025</t>
  </si>
  <si>
    <t>11 Febuary 2025 - 12 Febuary 2025
22 Febuary 2025 - 23 Febuary 2025</t>
  </si>
  <si>
    <t>25 Febuary 2025 - 26 Febuary 2025</t>
  </si>
  <si>
    <t>27 Febuary 2025 - 28 Febuary 2025</t>
  </si>
  <si>
    <t>1 Febuary 2025 - 28 Febuary 2025</t>
  </si>
  <si>
    <t>1 Febuary 2025 - 26 Febuary 2025</t>
  </si>
  <si>
    <t xml:space="preserve"> Febuary 2025 - 22 Febuary 2025
25 Febuary 2025 - 28 Febuary 2025</t>
  </si>
  <si>
    <t xml:space="preserve"> Perdiem Report in MARCH 2025</t>
  </si>
  <si>
    <t>Last updated : 2 APR 2025 Time: 10.00  (Status : CLOSE)</t>
  </si>
  <si>
    <t>13 FEB 2025 - 14 FEB 2025</t>
  </si>
  <si>
    <t>ตกเบิกเดือนกุมภาพันธ์</t>
  </si>
  <si>
    <t>1 March 2025 - 2 March 2025</t>
  </si>
  <si>
    <t>4 March 2025 - 5 March 2025</t>
  </si>
  <si>
    <t>8 March 2025 - 9 March 2025</t>
  </si>
  <si>
    <t>13 March 2025 - 14 March 2025</t>
  </si>
  <si>
    <t>18 March 2025 - 19 March 2025</t>
  </si>
  <si>
    <t>20 March 2025 - 21 March 2025</t>
  </si>
  <si>
    <t>11 March 2025 - 12 March 2025</t>
  </si>
  <si>
    <t>25 March 2025 - 26 March 2025</t>
  </si>
  <si>
    <t>28 March 2025 - 29 March 2025</t>
  </si>
  <si>
    <t>6 March 2025 - 7 March 2025</t>
  </si>
  <si>
    <t>1 March 2025 - 27 March 2025</t>
  </si>
  <si>
    <t>18 March 2025 - 19 March 2025
25 March 2025 - 26 March 2025</t>
  </si>
  <si>
    <t>29 March 2025 - 30 March 2025</t>
  </si>
  <si>
    <t>2 March 2025 - 31 March 2025</t>
  </si>
  <si>
    <t xml:space="preserve">1 March 2025 - 21 March 2025
24 March 2025 - 25 March 2025
26 March 2025 - 28 March 2025
</t>
  </si>
  <si>
    <t>1 March 2025 - 11 March 2025
13 March 2025 - 31 March 2025</t>
  </si>
  <si>
    <t>1 March 2025 - 31 March 2025</t>
  </si>
  <si>
    <t xml:space="preserve"> Perdiem Report in April 2025</t>
  </si>
  <si>
    <t>Last updated : 3 MAY 2025 Time: 10.00  (Status : CLOSE)</t>
  </si>
  <si>
    <t>15 March 2025 - 16 March 2025</t>
  </si>
  <si>
    <t>ตกเบิกเดือนมีนาคม</t>
  </si>
  <si>
    <t>1 March 2025 - 7 March 2025
15 MARCH 2025 - 31 MARCH 2025</t>
  </si>
  <si>
    <t>22 March 2025 - 23 March 2025</t>
  </si>
  <si>
    <t>8 Feb 2025 - 9 Feb 2025
20 March 2025 - 21 March 2025
23 April 2025 - 24 April  2025</t>
  </si>
  <si>
    <t>3 April 2025 - 4 April  2025</t>
  </si>
  <si>
    <t>5 April 2025 - 6 April  2025</t>
  </si>
  <si>
    <t>10 April 2025 - 11 April  2025</t>
  </si>
  <si>
    <t>12 April 2025 - 13 April  2025</t>
  </si>
  <si>
    <t>11 April 2025 - 12 April  2025</t>
  </si>
  <si>
    <t>1 April 2025 - 2 April  2025</t>
  </si>
  <si>
    <t>13 April 2025 - 14 April  2025</t>
  </si>
  <si>
    <t>19 April 2025 - 20 April  2025</t>
  </si>
  <si>
    <t>22 April 2025 - 23 April  2025</t>
  </si>
  <si>
    <t>15 April 2025 - 16 April  2025</t>
  </si>
  <si>
    <t>24 April 2025 - 25 April  2025</t>
  </si>
  <si>
    <t>13 April 2025 - 14 April  2025
17 April 2025 - 18 April  2025</t>
  </si>
  <si>
    <t>18 April 2025 - 19 April  2025</t>
  </si>
  <si>
    <t>25 April 2025 - 26 April  2025</t>
  </si>
  <si>
    <t>18 April 2025 - 19 April  2025
24 April 2025 - 25 April  2025</t>
  </si>
  <si>
    <t>23 April 2025 - 24 April  2025</t>
  </si>
  <si>
    <t>26 April 2025 - 27 April  2025</t>
  </si>
  <si>
    <t>8 April 2025 - 9 April  2025
29 April 2025 - 30 April  2025</t>
  </si>
  <si>
    <t>20 April 2025 - 21 April  2025</t>
  </si>
  <si>
    <t>27 April 2025 - 28 April  2025</t>
  </si>
  <si>
    <t>11 April 2025 - 12 April  2025
27 April 2025 - 28 April  2025</t>
  </si>
  <si>
    <t>1 April 2025 - 30 April  2025</t>
  </si>
  <si>
    <t>29 April 2025 - 30 April  2025</t>
  </si>
  <si>
    <t>1 April 2025 - 13 April  2025
15 April 2025 - 25 April  2025</t>
  </si>
  <si>
    <t>1 April 2025 - 5 April 2025 , 
7 April 2025 - 19 April 2025 ,
21 April 2025 - 26 April 2025
28 April 2025 - 30 April 2025</t>
  </si>
  <si>
    <t>1 April 2025 - 3 April 2025 , 
7 April 2025 - 12 April 2025 ,
15 April 2025 - 30 April 2025</t>
  </si>
  <si>
    <t>8 April 2025 - 9 April  2025</t>
  </si>
  <si>
    <t>16 April 2025 - 17 April  2025</t>
  </si>
  <si>
    <t>Total</t>
  </si>
  <si>
    <t xml:space="preserve"> Perdiem Report in May 2025</t>
  </si>
  <si>
    <t>Last updated : 4 JUN 2025 Time: 10.00  (Status : CLOSE)</t>
  </si>
  <si>
    <t>10 April 2025 - 11 April  2025
28 May 2025 - 29 May 2025</t>
  </si>
  <si>
    <t>ตกเบิกเดือนเมษายน</t>
  </si>
  <si>
    <t>1 April 2025 - 26 April 2025
28 April 2025</t>
  </si>
  <si>
    <t>17 April 2025 - 18 April  2025</t>
  </si>
  <si>
    <t>4 February 2025 - 5 February  2025
16 April 2025 - 17 April  2025</t>
  </si>
  <si>
    <t>2 May 2025 - 3 May 2025</t>
  </si>
  <si>
    <t>1 May 2025 - 2 May 2025</t>
  </si>
  <si>
    <t>4 May 2025 - 5 May 2025</t>
  </si>
  <si>
    <t>7 May 2025 - 8 May 2025</t>
  </si>
  <si>
    <t>8 May 2025 - 9 May 2025</t>
  </si>
  <si>
    <t>4 May 2025 - 8 May 2025</t>
  </si>
  <si>
    <t>1 May 2025 - 7 May 2025</t>
  </si>
  <si>
    <t>9 May 2025 - 10 May 2025</t>
  </si>
  <si>
    <t>3 May 2025 - 4 May 2025</t>
  </si>
  <si>
    <t>11 May 2025 - 12 May 2025</t>
  </si>
  <si>
    <t>10 May 2025 - 11 May 2025</t>
  </si>
  <si>
    <t>15 May 2025 - 16 May 2025</t>
  </si>
  <si>
    <t>17 May 2025 - 18 May 2025</t>
  </si>
  <si>
    <t>1 May 2025 - 2 May 2025
15 May 2025 - 16 May 2025</t>
  </si>
  <si>
    <t>20 May 2025 - 21 May 2025</t>
  </si>
  <si>
    <t>10 May 2025 - 11 May 2025
22 May 2025 - 23 May 2025</t>
  </si>
  <si>
    <t>24 May 2025 - 25 May 2025</t>
  </si>
  <si>
    <t>23 May 2025 - 24 May 2025</t>
  </si>
  <si>
    <t>25 May 2025 - 26 May 2025</t>
  </si>
  <si>
    <t>14 May 2025 - 15 May 2025</t>
  </si>
  <si>
    <t>21 May 2025 - 22 May 2025</t>
  </si>
  <si>
    <t>22 May 2025 - 23 May 2025</t>
  </si>
  <si>
    <t>13 May 2025 - 14 May 2025</t>
  </si>
  <si>
    <t>11 May 2025 - 12 May 2025
31 May 2025</t>
  </si>
  <si>
    <t>16 May 2025 - 17 May 2025</t>
  </si>
  <si>
    <t>29 May 2025 - 30 May 2025</t>
  </si>
  <si>
    <t>28 May 2025 - 29 May 2025</t>
  </si>
  <si>
    <t>30 May 2025 - 31 May 2025</t>
  </si>
  <si>
    <t>1 May 2025 - 31 May 2025</t>
  </si>
  <si>
    <t>1 May 2025 - 27 May 2025</t>
  </si>
  <si>
    <t>1 May 2025 - 10 May 2025
14 May 2025 - 31 May 2025</t>
  </si>
  <si>
    <t>4 May 2025 - 5 May 2025
13 May 2025 - 14 May 2025</t>
  </si>
  <si>
    <t>1 May 2025 - 5 May 2025
7 May 2025 - 21 May 2025
24 May 2025 - 31 May 2025</t>
  </si>
  <si>
    <t>14 May 2025 - 15 May 2025
31 May 2025</t>
  </si>
  <si>
    <t>1 May 2025 - 2 May 2025
27 May 2025 - 28 May 2025</t>
  </si>
  <si>
    <t>18 May 2025 - 19 May 2025</t>
  </si>
  <si>
    <t>6 May 2025 - 7 May 2025
22 May 2025 - 23 May 2025</t>
  </si>
  <si>
    <t>27 May 2025 - 28 May 2025</t>
  </si>
  <si>
    <t xml:space="preserve"> Perdiem Report in July 2025</t>
  </si>
  <si>
    <t>Last updated : 4 AUGUST 2025 Time: 10.00  (Status : CLOSE)</t>
  </si>
  <si>
    <t>1 June 2025 -  6 June 2025
8 June 2025 -  9 June 2025
11 June 2025 -  30 June 2025</t>
  </si>
  <si>
    <t>ตกเบิกเดือนมิถุนายน</t>
  </si>
  <si>
    <t>21 June 2025
24 June 2025 -  28 June 2025
2 July 2025 , 18 July 2025 , 22 July 2025</t>
  </si>
  <si>
    <t>4 June 2025 - 5 June 2025</t>
  </si>
  <si>
    <t>19 June 2025
22 June 2025 - 26 June 2025
30 June 2025</t>
  </si>
  <si>
    <t>22 June 2025,26 June 2025
27 June 2025 - 29 June 2025
3 July 2025 , 9 July 2025
13 July 2025</t>
  </si>
  <si>
    <t>16 June 2025 - 17 June 2025
19 June 2025 - 20 June 2025
23 June 2025 - 24 June 2025
26 June 2025 - 30 June 2025</t>
  </si>
  <si>
    <t xml:space="preserve">27 June 2025
1 July 2025
10 July 2025 , 14 July 2025
24 JULY 2025 ,  28 JULY 2025
31 JULY 2025 </t>
  </si>
  <si>
    <t>2 July 2025 - 3 July 2025</t>
  </si>
  <si>
    <t>6 July 2025 - 7 July 2025</t>
  </si>
  <si>
    <t>8 July 2025 - 9 July 2025</t>
  </si>
  <si>
    <t>9 July 2025 - 10 July 2025</t>
  </si>
  <si>
    <t>11 July 2025 - 12 July 2025</t>
  </si>
  <si>
    <t>3 July 2025 - 4 July 2025</t>
  </si>
  <si>
    <t>9 July 2025 - 12 July 2025</t>
  </si>
  <si>
    <t>1July 2025
11 July 2025 - 12 July 2025</t>
  </si>
  <si>
    <t>15 July 2025 - 16 July 2025</t>
  </si>
  <si>
    <t>16 July 2025 - 17 July 2025
29 July 2025 - 30 July 2025</t>
  </si>
  <si>
    <t>16 July 2025 - 17 July 2025</t>
  </si>
  <si>
    <t>10 July 2025 - 11 July 2025</t>
  </si>
  <si>
    <t>12 July 2025 - 13 July 2025</t>
  </si>
  <si>
    <t>17 July 2025 - 18 July 2025</t>
  </si>
  <si>
    <t>13 July 2025 - 14 July 2025</t>
  </si>
  <si>
    <t>20 July 2025 - 21 July 2025</t>
  </si>
  <si>
    <t>18 July 2025 - 19 July 2025</t>
  </si>
  <si>
    <t>6 July 2025 - 7 July 2025
19 July 2025 - 20 July 2025</t>
  </si>
  <si>
    <t>3 July 2025 - 9 July 2025
11 July 2025 - 15 July 2025</t>
  </si>
  <si>
    <t>13 July 2025 / 17 July 2025
21 July 2025  / 25 July 2025</t>
  </si>
  <si>
    <t>24 July 2025 - 25 July 2025</t>
  </si>
  <si>
    <t>19 July 2025 - 20 July 2025</t>
  </si>
  <si>
    <t>25 July 2025 - 26 July 2025</t>
  </si>
  <si>
    <t>11 July 2025 / 15 July 2025
22 July 2025  / 26 July 2025</t>
  </si>
  <si>
    <t>26 July 2025 - 27 July 2025</t>
  </si>
  <si>
    <t>2 July 2025 / 6 July 2025
23 July 2025  / 27 July 2025</t>
  </si>
  <si>
    <t>3 July 2025 / 7 July 2025
16 July 2025  / 20 July 2025</t>
  </si>
  <si>
    <t>5 July 2025 - 6 July 2025</t>
  </si>
  <si>
    <t>29 July 2025 - 30 July 2025</t>
  </si>
  <si>
    <t>1 July 2025 - 2 July 2025</t>
  </si>
  <si>
    <t>12 July 2025 - 13 July 2025
29 July 2025 - 30 July 2025</t>
  </si>
  <si>
    <t>4 July 2025 - 5 July 2025</t>
  </si>
  <si>
    <t>22 July 2025 - 23 July 2025</t>
  </si>
  <si>
    <t>3 July 2025 - 4 July 2025
23 July 2025 - 24 July 2025</t>
  </si>
  <si>
    <t>30 July 2025 - 31 July 2025</t>
  </si>
  <si>
    <t>27 July 2025 - 28 July 2025</t>
  </si>
  <si>
    <t>23 July 2025 - 24 July 2025</t>
  </si>
  <si>
    <t>7 JULY 2025 , 11 JULY 2025
15 JULY 2025 ,  19 JULY 2025</t>
  </si>
  <si>
    <t xml:space="preserve"> Perdiem Report in August 2025</t>
  </si>
  <si>
    <t>Last updated : 2 SEPTEMBER 2025 Time: 10.00  (Status : CLOSE)</t>
  </si>
  <si>
    <t>ตกเบิกเดือนพฤษภาคม</t>
  </si>
  <si>
    <t>8 June 2025 - 9 June 2025</t>
  </si>
  <si>
    <t>26 June 2025 - 27 June 2025
23 August 2025 - 24 August 2025</t>
  </si>
  <si>
    <t>ตกเบิกเดือนกรกฎาคม</t>
  </si>
  <si>
    <t>6 July 2025 , 10 July 2025
19 July 2025 , 23 July 2025
20 August 2025 / 24 August 2025</t>
  </si>
  <si>
    <t>12 July 2025 , 16 July 2025
30 July 2025</t>
  </si>
  <si>
    <t>14 July 2025 , 18 July 2025
4 August 2025 / 8 August 2025
18 August 2025 / 22 August 2025</t>
  </si>
  <si>
    <t>20 July 2025 , 24 July 2025</t>
  </si>
  <si>
    <t>17 July 2025 , 21 July 2025
25 July 2025 , 29 July 2025</t>
  </si>
  <si>
    <t>1 July 2025 , 5 July 2025
26 July 2025 , 30 July 2025
24 August 2025 / 28 August 2025</t>
  </si>
  <si>
    <t>5 July 2025 / 9 July 2025</t>
  </si>
  <si>
    <t>23 July 2025 - 24 July 2025
27 August 2025 - 28 August 2025</t>
  </si>
  <si>
    <t xml:space="preserve">8 July 2025 / 12 July 2025 / 29 July 2025
1 August 2025 / 5 August 2025
8 August 2025 / 17 August 2025
20 August 2025 </t>
  </si>
  <si>
    <t>30 July 2025 , 31 July 2025</t>
  </si>
  <si>
    <t>29 May 2025 - 30 May 2025
19 July 2025 - 20 July 2025</t>
  </si>
  <si>
    <t>ตกเบิกเดือนพฤษภาคม / กรกฎาคม</t>
  </si>
  <si>
    <t>4 July 2025 / 8 July 2025 / 28 July 2025
1 August 2025 / 9 August 2025
13 August 2025 / 27 August 2025
31 August 2025</t>
  </si>
  <si>
    <t>25 July 2025 - 26 July 2025
29 July 2025 - 30 July 2025
10 August 2025 - 11 August 2025
19 August 2025 - 20 August 2025</t>
  </si>
  <si>
    <t>2 August 2025 - 3 August 2025</t>
  </si>
  <si>
    <t>5 August 2025 - 6 August 2025</t>
  </si>
  <si>
    <t>6 August 2025 - 7 August 2025</t>
  </si>
  <si>
    <t>7 August 2025 - 8 August 2025</t>
  </si>
  <si>
    <t>9 August 2025 - 10 August 2025</t>
  </si>
  <si>
    <t>8 August 2025 - 9 August 2025</t>
  </si>
  <si>
    <t>10 August 2025 - 11 August 2025</t>
  </si>
  <si>
    <t>12 August 2025 - 13 August 2025</t>
  </si>
  <si>
    <t>13 August 2025 - 14 August 2025</t>
  </si>
  <si>
    <t>15 August 2025 - 16 August 2025</t>
  </si>
  <si>
    <t>13 August 2025 / 17 August 2025</t>
  </si>
  <si>
    <t>3 August 2025 / 7 August 2025
16 August 2025 / 20 August 2025</t>
  </si>
  <si>
    <t>14 August 2025 - 15 August 2025
20 August 2025 - 21 August 2025</t>
  </si>
  <si>
    <t>1 August 2025 - 2 August 2025
16 August 2025 - 17 August 2025
19 August 2025 - 20 August 2025</t>
  </si>
  <si>
    <t>1 August 2025 / 5 August 2025
14 August 2025 / 18 August 2025</t>
  </si>
  <si>
    <t>19 August 2025 - 20 August 2025</t>
  </si>
  <si>
    <t>20 August 2025 - 21 August 2025</t>
  </si>
  <si>
    <t>21 August 2025 - 22 August 2025</t>
  </si>
  <si>
    <t>22 August 2025 - 23 August 2025</t>
  </si>
  <si>
    <t>23 August 2025 - 24 August 2025</t>
  </si>
  <si>
    <t>16 August 2025 - 17 August 2025
24 August 2025 - 25 August 2025</t>
  </si>
  <si>
    <t>3 August 2025 - 4 August 2025</t>
  </si>
  <si>
    <t>2 August 2025 / 6 August 2025
15 August 2025 / 19 August 2025</t>
  </si>
  <si>
    <t>17 August 2025 - 18 August 2025</t>
  </si>
  <si>
    <t>14 August 2025 - 15 August 2025</t>
  </si>
  <si>
    <t>16 August 2025 - 17 August 2025
21 August 2025 - 22 August 2025</t>
  </si>
  <si>
    <t>14 August 2025 - 15 August 2025
25 August 2025 - 26 August 2025</t>
  </si>
  <si>
    <t>4 August 2025 / 7 August 2025
11 August 2025 / 21 August 2025
25 August 2025</t>
  </si>
  <si>
    <t>26 August 2025 - 27 August 2025</t>
  </si>
  <si>
    <t>27 August 2025 - 28 August 2025</t>
  </si>
  <si>
    <t>1 August 2025 - 2 August 2025</t>
  </si>
  <si>
    <t>28 August 2025 - 29 August 2025</t>
  </si>
  <si>
    <t>29 August 2025 - 30 August 2025</t>
  </si>
  <si>
    <t>9 August 2025 - 10 August 2025
26 August 2025 - 27 August 2025</t>
  </si>
  <si>
    <t>5 August 2025 - 6 August 2025
16 August 2025 - 17 August 2025
24 August 2025 - 25 August 2025</t>
  </si>
  <si>
    <t>3 August 2025 - 4 August 2025
24 August 2025 - 25 August 2025</t>
  </si>
  <si>
    <t>22 August 2025 - 23 August 2025
30 August 2025 - 31 August 2025</t>
  </si>
  <si>
    <t>30 August 2025 - 31 August 2025</t>
  </si>
  <si>
    <t>21 August 2025 - 22 August 2025
28 August 2025 - 29 August 2025</t>
  </si>
  <si>
    <t>11 August 2025 / 15 August 2025
26 August 2025 / 30 August 2025</t>
  </si>
  <si>
    <t>24 August 2025 - 25 August 2025
31 August 2025</t>
  </si>
  <si>
    <t xml:space="preserve"> Perdiem Report in June 2025</t>
  </si>
  <si>
    <t>Last updated : 2 JULY 2025 Time: 10.00  (Status : CLOSE)</t>
  </si>
  <si>
    <t>13 May 2025 - 14 May 2025
22 May 2025 - 23 May 2025
29 June 2025 - 30 June 2025</t>
  </si>
  <si>
    <t>30 May 2025 - 31 May 2025
25 June 2025 - 26 June 2025</t>
  </si>
  <si>
    <t>1 June 2025 - 2 June 2025</t>
  </si>
  <si>
    <t>6 June 2025 - 7 June 2025</t>
  </si>
  <si>
    <t>3 June 2025 - 4 June 2025</t>
  </si>
  <si>
    <t>7 June 2025 - 8 June 2025</t>
  </si>
  <si>
    <t>11 June 2025 - 12 June 2025</t>
  </si>
  <si>
    <t>12 June 2025 - 13 June 2025</t>
  </si>
  <si>
    <t>14 June 2025 - 15 June 2025</t>
  </si>
  <si>
    <t>15 June 2025 - 16 June 2025</t>
  </si>
  <si>
    <t>13 June 2025 - 14 June 2025</t>
  </si>
  <si>
    <t>5 June 2025 - 6 June 2025</t>
  </si>
  <si>
    <t>18 June 2025 - 19 June 2025</t>
  </si>
  <si>
    <t>20 June 2025 - 21 June 2025</t>
  </si>
  <si>
    <t>21 June 2025 - 22 June 2025</t>
  </si>
  <si>
    <t>22 June 2025 - 23 June 2025</t>
  </si>
  <si>
    <t>7 June 2025 - 8 June 2025
26 June 2025 - 27 June 2025</t>
  </si>
  <si>
    <t>15 June 2025
19 June 2025 - 23 June 2025
27 June 2025</t>
  </si>
  <si>
    <t>6 June 2025 - 7 June 2025
14 June 2025 - 15 June 2025
17 June 2025 - 18 June 2025
26 June 2025 - 27 June 2025</t>
  </si>
  <si>
    <t>17 June 2025 - 18 June 2025</t>
  </si>
  <si>
    <t>22 June 2025 - 23 June 2025
25 June 2025 - 26 June 2025</t>
  </si>
  <si>
    <t>18 June 2025 / 22 June 2025</t>
  </si>
  <si>
    <t>17 June 2025 / 21 June 2025</t>
  </si>
  <si>
    <t>14 June 2025
18 June 2025 - 25 June 2025
29 June 2025</t>
  </si>
  <si>
    <t>26 June 2025 - 27 June 2025</t>
  </si>
  <si>
    <t>10 June 2025 - 11 June 2025</t>
  </si>
  <si>
    <t>1 June 2025
4 June 2025 - 30 June 2025</t>
  </si>
  <si>
    <t>3 June 2025 - 4 June 2025
25 June 2025 - 26 June 2025</t>
  </si>
  <si>
    <t>1 June 2025 - 30 June 2025</t>
  </si>
  <si>
    <t>29 June 2025 - 30 June 2025</t>
  </si>
  <si>
    <t>1 June 2025 - 27 June 2025
30 June 2025</t>
  </si>
  <si>
    <t>28 June 2025 - 29  June 2025</t>
  </si>
  <si>
    <t>11 June 2025 - 12 June 2025
29 June 2025 - 30 June 2025</t>
  </si>
  <si>
    <t>8 June 2025 - 9 June 2025
29 June 2025 - 30 June 2025</t>
  </si>
  <si>
    <t>4 June 2025 - 30 June 2025</t>
  </si>
  <si>
    <t>28 June 2025 - 29 June 2025</t>
  </si>
  <si>
    <t>1 June 2025 - 5 June 2025
12 June 2025 - 30 June 2025</t>
  </si>
  <si>
    <t>15 June 2025 - 16 June 2025
19 June 2025 - 24 June 2025
27 June 2025 - 28 June 2025</t>
  </si>
  <si>
    <t>8 June 2025 - 9 June 202524
24 June 2025 - 25 June 2025</t>
  </si>
  <si>
    <t>27 June 2025 - 28 June 2025</t>
  </si>
  <si>
    <t>1 June 2025 - 10 June 2025
12 June 2025 - 19 June 2025
23 June 2025 - 30 June 2025</t>
  </si>
  <si>
    <t xml:space="preserve"> Perdiem Report in September 2025</t>
  </si>
  <si>
    <t>Last updated : 2 OCTOBER 2025 Time: 10.00  (Status : CLOSED)</t>
  </si>
  <si>
    <t>email</t>
  </si>
  <si>
    <t>19 August 2025 / 23 August 2025
30 August 2025/ 3 September2025 
7 September2025 / 11 September2025
20 September2025 / 24 September2025</t>
  </si>
  <si>
    <t>ตกเบิกเดือนสิงหาคม</t>
  </si>
  <si>
    <t xml:space="preserve">
10 June 2025 - 11 June 2025</t>
  </si>
  <si>
    <t>31 August 2025
15 September2025 / 18 September2025</t>
  </si>
  <si>
    <t>8 August 2025 / 12 August 2025
23 August 2025 / 27 August 2025</t>
  </si>
  <si>
    <t>31 July 2025 / 1 August 2025</t>
  </si>
  <si>
    <t>ตกเบิกเดือนกรกฎาคม / ตกเบิกเดือนสิงหาคม</t>
  </si>
  <si>
    <t>2 September2025 - 3 September2025</t>
  </si>
  <si>
    <t>3 September2025 - 4 September2025</t>
  </si>
  <si>
    <t>4 September2025 - 5 September2025</t>
  </si>
  <si>
    <t>5 September2025 - 6 September2025</t>
  </si>
  <si>
    <t>9 September2025 - 10 September2025</t>
  </si>
  <si>
    <t>6 September2025 - 7 September2025</t>
  </si>
  <si>
    <t>10 September2025 - 11 September2025</t>
  </si>
  <si>
    <t>11 September2025 - 12 September2025</t>
  </si>
  <si>
    <t>7 September2025 - 8 September2025</t>
  </si>
  <si>
    <t>13 September2025 - 14 September2025</t>
  </si>
  <si>
    <t>14 September2025 - 15 September2025</t>
  </si>
  <si>
    <t>17 September2025 - 18 September2025</t>
  </si>
  <si>
    <t>18 September2025 - 19 September2025</t>
  </si>
  <si>
    <t>16 September2025 - 17 September2025</t>
  </si>
  <si>
    <t>12 September2025 - 13 September2025</t>
  </si>
  <si>
    <t>19 September2025 - 20 September2025</t>
  </si>
  <si>
    <t>20 September2025 - 21 September2025</t>
  </si>
  <si>
    <t xml:space="preserve">2 September2025
13 September2025 / 1 September2025
</t>
  </si>
  <si>
    <t>21 September2025 - 22 September2025</t>
  </si>
  <si>
    <t>24 September2025 - 25 September2025</t>
  </si>
  <si>
    <t>25 September2025 - 26 September2025</t>
  </si>
  <si>
    <t>23 September2025 - 24 September2025</t>
  </si>
  <si>
    <t>1 September2025 / 3 September2025
22 September2025 / 26 September2025</t>
  </si>
  <si>
    <t>27 September2025 - 28 September2025</t>
  </si>
  <si>
    <t>9 September2025 / 13 September2025
23 September2025 / 27 September2025</t>
  </si>
  <si>
    <t>26 September2025 - 27 September2025</t>
  </si>
  <si>
    <t>2 September2025 
6 September2025 / 10 September2025
19 September2025 / 23 September2025</t>
  </si>
  <si>
    <t>28 September2025 - 29 September2025</t>
  </si>
  <si>
    <t>18 September2025 / 22 September2025
30 September2025</t>
  </si>
  <si>
    <t>12 September2025 / 16 September2025
25 September2025</t>
  </si>
  <si>
    <t>14 September2025 / 18 September2025
26 September2025 / 30 September2025</t>
  </si>
  <si>
    <t>14 September2025 - 15 September2025
28 September2025 - 29 September2025</t>
  </si>
  <si>
    <t>8 September2025 / 24 September2025</t>
  </si>
  <si>
    <t>11 September2025 - 15 September2025
21 September2025 - 25 September2025</t>
  </si>
  <si>
    <t xml:space="preserve"> Perdiem Report in October 2025</t>
  </si>
  <si>
    <t>Last updated : 5 NOVEMBER 2025 Time: 10.00  (Status : CLOSED)</t>
  </si>
  <si>
    <t>Email Address</t>
  </si>
  <si>
    <t>4 September2025 / 8 September2025
16 September2025 / 20 September2025
20 October 2025</t>
  </si>
  <si>
    <t>ตกเบิกเดือนกันยายน</t>
  </si>
  <si>
    <t>27 July 2025 / 31 July 2025
10 August 2025 / 14 August 2025
22 August 2025 / 26 August 2025
18 October 2025</t>
  </si>
  <si>
    <t>ตกเบิกเดือนกรกฎาคม / สิงหาคม</t>
  </si>
  <si>
    <t>1 September2025 / 5 September2025
17 September2025 / 21 September2025
28 September2025
2 October 2025 / 14 October 2025
31 October 2025</t>
  </si>
  <si>
    <t>1 October 2025 - 2 October 2025</t>
  </si>
  <si>
    <t>2 October 2025 - 3 October 2025</t>
  </si>
  <si>
    <t>4 October 2025 - 5 October 2025</t>
  </si>
  <si>
    <t>8 October 2025 - 9 October 2025</t>
  </si>
  <si>
    <t>2 October 2025 - 7 October 2025</t>
  </si>
  <si>
    <t>9 October 2025 - 10 October 2025</t>
  </si>
  <si>
    <t>11 October 2025 - 12 October 2025</t>
  </si>
  <si>
    <t>10 October 2025 - 11 October 2025</t>
  </si>
  <si>
    <t>5 October 2025 - 6 October 2025</t>
  </si>
  <si>
    <t>7 October 2025 - 8 October 2025</t>
  </si>
  <si>
    <t>17 October 2025 - 18 October 2025</t>
  </si>
  <si>
    <t>16 October 2025 - 17 October 2025</t>
  </si>
  <si>
    <t>19 October 2025 - 20 October 2025</t>
  </si>
  <si>
    <t>18 October 2025 - 19 October 2025</t>
  </si>
  <si>
    <t>10 October 2025 - 11 October 2025
30 October 2025 - 31 October 2025</t>
  </si>
  <si>
    <t>21 October 2025 - 22 October 2025</t>
  </si>
  <si>
    <t>3 October 2025 - 9 October 2025</t>
  </si>
  <si>
    <t>22 October 2025 - 23 October 2025</t>
  </si>
  <si>
    <t>23 October 2025 - 24 October 2025</t>
  </si>
  <si>
    <t>2 October 2025 - 11 October 2025</t>
  </si>
  <si>
    <t>25 October 2025 - 26 October 2025</t>
  </si>
  <si>
    <t>1 October 2025 - 12 October 2025</t>
  </si>
  <si>
    <t>4 October 2025 - 5 October 2025
24 October 2025 - 25 October 2025</t>
  </si>
  <si>
    <t>26 October 2025 - 27 October 2025</t>
  </si>
  <si>
    <t>3 October 2025 - 4 October 2025</t>
  </si>
  <si>
    <t>5 October 2025 - 6 October 2025
12 October 2025 - 13 October 2025</t>
  </si>
  <si>
    <t>13 October 2025 - 14 October 2025
27 October 2025 - 28 October 2025</t>
  </si>
  <si>
    <t>29 October 2025 - 30 October 2025</t>
  </si>
  <si>
    <t>27 October 2025 - 28 October 2025</t>
  </si>
  <si>
    <t>28 October 2025 - 31 October 2025</t>
  </si>
  <si>
    <t>nutnichapitsuwan@airasia.com</t>
  </si>
  <si>
    <t>28 October 2025 - 29 October 2025</t>
  </si>
  <si>
    <t>5 October 2025 - 6 October 2025
29 October 2025 - 30 October 2025</t>
  </si>
  <si>
    <t>6 October 2025 - 12 October 2025</t>
  </si>
  <si>
    <t>4 October 2025 - 9 October 2025</t>
  </si>
  <si>
    <t>12 October 2025 - 13 October 2025</t>
  </si>
  <si>
    <t>27 October 2025 - 31 October 2025</t>
  </si>
  <si>
    <t>30 October 2025 - 31 October 2025</t>
  </si>
  <si>
    <t>24 October 2025 - 25 October 2025</t>
  </si>
  <si>
    <t>24 October 2025 - 29 October 2025</t>
  </si>
  <si>
    <t>15 October 2025 - 16 October 2025</t>
  </si>
  <si>
    <t xml:space="preserve"> Perdiem Report in December 2025</t>
  </si>
  <si>
    <t>Last updated : 2 JANUARY 2026 Time: 10.00  (Status : OPEN)</t>
  </si>
  <si>
    <t>25 October 2025 - 26 October 2025
25 November 2025 - 26 November  2025
18 December 2025 - 19 December 2025</t>
  </si>
  <si>
    <t>ตกเบิกเดือนตุลาคม // ตกเบิกเดือนพฤศจิกายน</t>
  </si>
  <si>
    <t>21 October 2025 / 4 November 2025</t>
  </si>
  <si>
    <t>18 November 2025 - 19 November  2025</t>
  </si>
  <si>
    <t>ตกเบิกเดือนพฤศจิกายน</t>
  </si>
  <si>
    <t>16 November 2025 - 17 November  2025
1 December 2025 - 2 December 2025
13 December 2025 - 14 December 2025
26 December 2025 - 27 December 2025
29 December 2025 - 30 December 2025</t>
  </si>
  <si>
    <t>22 October 2025 - 23 October 2025
29 November 2025 - 30 November  2025
1 December 2025 - 4 December 2025</t>
  </si>
  <si>
    <t>ตกเบิกเดือนตุลาคม
ตกเบิกเดือนพฤศจิกายน</t>
  </si>
  <si>
    <t>29 November 2025 - 30 November  2025</t>
  </si>
  <si>
    <t>16 November 2025 - 17 November  2025
26 November 2025 - 27 November  2025</t>
  </si>
  <si>
    <t>14 November 2025 - 15 November  2025</t>
  </si>
  <si>
    <t>3 December 2025 - 4 December 2025</t>
  </si>
  <si>
    <t>6 December 2025 - 7 December 2025</t>
  </si>
  <si>
    <t>7 December 2025 - 8 December 2025</t>
  </si>
  <si>
    <t>8 December 2025 - 9 December 2025</t>
  </si>
  <si>
    <t>4 December 2025 - 5 December 2025</t>
  </si>
  <si>
    <t>9 December 2025 - 10 December 2025</t>
  </si>
  <si>
    <t>12 December 2025 - 13 December 2025</t>
  </si>
  <si>
    <t>5 December 2025 - 6 December 2025</t>
  </si>
  <si>
    <t>2 December 2025 - 3 December 2025</t>
  </si>
  <si>
    <t>2 December 2025 - 8 December 2025</t>
  </si>
  <si>
    <t>8 December 2025 - 14 December 2025</t>
  </si>
  <si>
    <t>15 December 2025 - 16 December 2025</t>
  </si>
  <si>
    <t>1 December 2025 - 6 December 2025</t>
  </si>
  <si>
    <t>17 December 2025 - 18 December 2025</t>
  </si>
  <si>
    <t>13 December 2025 - 18 December 2025</t>
  </si>
  <si>
    <t>1 December 2025
16 December 2025 - 17 December 2025</t>
  </si>
  <si>
    <t>18 December 2025 - 19 December 2025</t>
  </si>
  <si>
    <t>19 December 2025 - 20 December 2025</t>
  </si>
  <si>
    <t>2 December 2025 - 3 December 2025
12 December 2025 - 17 December 2025</t>
  </si>
  <si>
    <t>17 December 2025 - 22 December 2025</t>
  </si>
  <si>
    <t>14 December 2025 - 15 December 2025</t>
  </si>
  <si>
    <t>10 December 2025 - 11 December 2025</t>
  </si>
  <si>
    <t>22 December 2025 - 23 December 2025</t>
  </si>
  <si>
    <t>1 December 2025 - 2 December 2025</t>
  </si>
  <si>
    <t>13 December 2025 - 14 December 2025</t>
  </si>
  <si>
    <t>20 December 2025 - 21 December 2025</t>
  </si>
  <si>
    <t>23 December 2025 - 24 December 2025</t>
  </si>
  <si>
    <t>23 December 2025 - 24 December 2025
25 December 2025 - 26 December 2025</t>
  </si>
  <si>
    <t>9 December 2025 - 14 December 2025</t>
  </si>
  <si>
    <t>22 December 2025 - 23 December 2025
26 December 2025 - 27 December 2025</t>
  </si>
  <si>
    <t>6 December 2025 - 11 December 2025</t>
  </si>
  <si>
    <t>26 December 2025 - 27 December 2025</t>
  </si>
  <si>
    <t>27 December 2025 - 28 December 2025</t>
  </si>
  <si>
    <t>13 December 2025 - 14 December 2025
27 December 2025 - 28 December 2025</t>
  </si>
  <si>
    <t>24 December 2025 - 25 December 2025</t>
  </si>
  <si>
    <t>28 December 2025 - 29 December 2025</t>
  </si>
  <si>
    <t>21 December 2025 - 26 December 2025</t>
  </si>
  <si>
    <t>29 December 2025 - 30 December 2025</t>
  </si>
  <si>
    <t>21 December 2025 - 22 December 2025
25 December 2025 - 31 December 2025</t>
  </si>
  <si>
    <t>30 December 2025 - 31 December 2025</t>
  </si>
  <si>
    <t>26 December 2025 - 31 December 2025</t>
  </si>
  <si>
    <t>11 December 2025 - 12 December 2025</t>
  </si>
  <si>
    <t>19 December 2025 - 25 December 2025</t>
  </si>
  <si>
    <t>kantaphajasuwan@airasia.com</t>
  </si>
  <si>
    <t>25 December 2025 - 26 December 2025</t>
  </si>
  <si>
    <t xml:space="preserve"> Perdiem Report in November 2025</t>
  </si>
  <si>
    <t>Last updated : 1 DECEMBER 2025 Time: 10.00  (Status : OPEN)</t>
  </si>
  <si>
    <t>ตกเบิกเดือนตุลาคม</t>
  </si>
  <si>
    <t>1 November 2025 - 2 November r 2025</t>
  </si>
  <si>
    <t>5 October 2025 - 11 October 2025</t>
  </si>
  <si>
    <t>26 October 2025 - 31 October 2025
1 November 2025</t>
  </si>
  <si>
    <t>10 October 2025 / 10 November 2025</t>
  </si>
  <si>
    <t>31 October 2025 / 1 November 2025</t>
  </si>
  <si>
    <t>7 October 2025 - 8 October 2025
14 October 2025 - 15 October 2025
22 October 2025 - 23 October 2025</t>
  </si>
  <si>
    <t>4 November 2025 - 5 November  2025</t>
  </si>
  <si>
    <t>1 November 2025 - 3 November  2025</t>
  </si>
  <si>
    <t>2 November 2025 - 3 November  2025</t>
  </si>
  <si>
    <t>3 November 2025 - 4 November  2025</t>
  </si>
  <si>
    <t>7 November 2025 - 8 November  2025</t>
  </si>
  <si>
    <t>8 November 2025 - 9 November  2025</t>
  </si>
  <si>
    <t>7 November 2025 - 8 November  2025
27 November 2025 - 28 November  2025</t>
  </si>
  <si>
    <t>6 November 2025 / 10 November  2025</t>
  </si>
  <si>
    <t>5 November 2025 - 10 November  2025
13 November 2025 - 14 November  2025</t>
  </si>
  <si>
    <t>9 November 2025 - 10 November  2025</t>
  </si>
  <si>
    <t>5 November 2025 - 6 November  2025</t>
  </si>
  <si>
    <t>10 November 2025 - 11 November  2025</t>
  </si>
  <si>
    <t>6 November 2025 - 7 November  2025
13 November 2025 - 14 November  2025</t>
  </si>
  <si>
    <t>13 November 2025 - 14 November  2025</t>
  </si>
  <si>
    <t>6 November 2025 - 7 November  2025</t>
  </si>
  <si>
    <t>10 November 2025 - 15 November  2025</t>
  </si>
  <si>
    <t>15 November 2025 - 16 November  2025</t>
  </si>
  <si>
    <t>11 November 2025 - 12 November  2025</t>
  </si>
  <si>
    <t>16 November 2025 - 17 November  2025</t>
  </si>
  <si>
    <t>12 November 2025 - 13 November  2025</t>
  </si>
  <si>
    <t>20 November 2025 - 21 November  2025</t>
  </si>
  <si>
    <t>22 November 2025 - 23 November  2025</t>
  </si>
  <si>
    <t>3 November 2025 - 4 November  2025
5 November 2025 - 6 November  2025
11 November 2025 - 12 November  2025
23 November 2025 - 24 November  2025</t>
  </si>
  <si>
    <t>27 November 2025- 20 November  2025
24 November 2025 - 25 November  2025</t>
  </si>
  <si>
    <t>24 November 2025 - 25 November  2025</t>
  </si>
  <si>
    <t>4 November 2025 - 5 November  2025
23 November 2025 - 24 November  2025
25 November 2025 - 26 November  2025</t>
  </si>
  <si>
    <t>27 November 2025 - 28 November  2025
29 November 2025 - 30 November  2025</t>
  </si>
  <si>
    <t>1 November 2025 - 2 November  2025</t>
  </si>
  <si>
    <t>25 November 2025 - 26 November  2025</t>
  </si>
  <si>
    <t>23 November 2025 - 28 November  2025</t>
  </si>
  <si>
    <t>1 November 2025 - 2 November  2025
19 November 2025 - 20 November  2025</t>
  </si>
  <si>
    <t>27 November 2025 - 28 November  2025</t>
  </si>
  <si>
    <t>1 November 2025 - 29 November  2025</t>
  </si>
  <si>
    <t>1 November 2025 - 3 November  2025
25 November 2025 - 30 November  2025</t>
  </si>
  <si>
    <t>20 November 2025 - 26 November  2025</t>
  </si>
  <si>
    <t>3 November 2025 - 30 November  2025</t>
  </si>
  <si>
    <t>24 November 2025 - 25 November  2025
27 November 2025 - 30 November  2025</t>
  </si>
  <si>
    <t>15 November 2025 - 21 November  2025</t>
  </si>
  <si>
    <t>28 November 2025 - 29 November  2025</t>
  </si>
  <si>
    <t>26 November 2025 - 27 November  2025</t>
  </si>
  <si>
    <t>21 November 2025 - 22 November  2025</t>
  </si>
  <si>
    <t>19 November 2025 - 20 November  2025</t>
  </si>
  <si>
    <t>12 November 2025 - 17 November  2025</t>
  </si>
  <si>
    <t>14 November 2025 - 21 November  2025</t>
  </si>
  <si>
    <t>11 November 2025 - 12 November  2025
20 November 2025 - 21 November  2025</t>
  </si>
  <si>
    <t>1 November 2025 , 29 November  2025</t>
  </si>
  <si>
    <t xml:space="preserve"> Perdiem Report in January 2025</t>
  </si>
  <si>
    <t>Last updated : 3 FEBRUARY 2026 Time: 10.00  (Status : CLOSED)</t>
  </si>
  <si>
    <t>Days (Fomula)</t>
  </si>
  <si>
    <t>ตกเบิกเดือนธันวาคม</t>
  </si>
  <si>
    <t>31 December 2025 - 1 January 2026</t>
  </si>
  <si>
    <t>31 December 2025 - 1 January 2026
15 January 2026 -16 January 2026</t>
  </si>
  <si>
    <t>25 December 2025 - 26 December 2025
19 January 2026 -24 January 2026
26 January 2026 -27 January 2026</t>
  </si>
  <si>
    <t>26 December 2025 - 31 December 2025
26 January 2026 -31 January 2026</t>
  </si>
  <si>
    <t>10 December 2025 - 15 December 2025
24 January 2026 -29 January 2026</t>
  </si>
  <si>
    <t>27 December 2025 - 28 December 2025
12 January 2026 -13 January 2026</t>
  </si>
  <si>
    <t>4 December 2025 - 5 December 2025
28 January 2026 -29 January 2026</t>
  </si>
  <si>
    <t>3 January 2026 - 4 January 2026</t>
  </si>
  <si>
    <t>6 January 2026 - 7 January 2026</t>
  </si>
  <si>
    <t>5 January 2026 - 6 January 2026</t>
  </si>
  <si>
    <t>8 January 2026 - 9 January 2026</t>
  </si>
  <si>
    <t>10 January 2026 -11 January 2026</t>
  </si>
  <si>
    <t>4 January 2026 - 5 January 2026</t>
  </si>
  <si>
    <t>11 January 2026 -12 January 2026</t>
  </si>
  <si>
    <t>7 January 2026 - 8 January 2026</t>
  </si>
  <si>
    <t>14 January 2026 -15 January 2026</t>
  </si>
  <si>
    <t>9 January 2026 -10 January 2026</t>
  </si>
  <si>
    <t>15 January 2026 -16 January 2026</t>
  </si>
  <si>
    <t>13 January 2026 -14 January 2026</t>
  </si>
  <si>
    <t>16 January 2026 -17 January 2026</t>
  </si>
  <si>
    <t>17 January 2026 -18 January 2026
21 January 2026 -22 January 2026</t>
  </si>
  <si>
    <t>5 January 2026 - 6 January 2026
18 January 2026 -19 January 2026</t>
  </si>
  <si>
    <t>18 January 2026 -19 January 2026</t>
  </si>
  <si>
    <t>12 January 2026 -13 January 2026</t>
  </si>
  <si>
    <t>1 January 2026 -2 January 2026
20 January 2026 -21 January 2026</t>
  </si>
  <si>
    <t>20 January 2026 -21 January 2026</t>
  </si>
  <si>
    <t>21 January 2026 -22 January 2026</t>
  </si>
  <si>
    <t>2 January 2026 -3 January 2026</t>
  </si>
  <si>
    <t>22 January 2026 -23 January 2026</t>
  </si>
  <si>
    <t>17 January 2026 -18 January 2026</t>
  </si>
  <si>
    <t>11 January 2026 -14 January 2026
25 January 2026 -26 January 2026</t>
  </si>
  <si>
    <t>11 January 2026 -16 January 2026</t>
  </si>
  <si>
    <t>4 January 2026 - 5 January 2026
10 January 2026 -11 January 2026
17 January 2026 -18 January 2026
22 January 2026 -23 January 2026</t>
  </si>
  <si>
    <t>18 January 2026 -23 January 2026</t>
  </si>
  <si>
    <t>16 January 2026 -21 January 2026</t>
  </si>
  <si>
    <t>9 January 2026 - 14 January 2026</t>
  </si>
  <si>
    <t>23 January 2026 -24 January 2026</t>
  </si>
  <si>
    <t>1 January 2026 -2 January 2026
22 January 2026 -23 January 2026
25 January 2026 -26 January 2026</t>
  </si>
  <si>
    <t>4 January 2026 - 5 January 2026
22 January 2026 -23 January 2026
25 January 2026 -26 January 2026</t>
  </si>
  <si>
    <t>22 January 2026 -27 January 2026</t>
  </si>
  <si>
    <t>24 January 2026 -25 January 2026</t>
  </si>
  <si>
    <t>12 January 2026 -13 January 2026
26 January 2026 -27 January 2026</t>
  </si>
  <si>
    <t>1 January 2026 -2 January 2026</t>
  </si>
  <si>
    <t>28 January 2026 -29 January 2026</t>
  </si>
  <si>
    <t>19 January 2026 -20 January 2026</t>
  </si>
  <si>
    <t>26 January 2026 -27 January 2026</t>
  </si>
  <si>
    <t>27 January 2026 -28 January 2026</t>
  </si>
  <si>
    <t>29 January 2026 -30 January 2026</t>
  </si>
  <si>
    <t>17 January 2026 -20 January 2026</t>
  </si>
  <si>
    <t>6 January 2026 -11 January 2026</t>
  </si>
  <si>
    <t>25 January 2026 -26 January 2026</t>
  </si>
  <si>
    <t>4 January 2026 - 9 January 2026
15 January 2026 -20 January 2026</t>
  </si>
  <si>
    <t>7 January 2026 - 8 January 2026
26 January 2026 -27 January 2026</t>
  </si>
  <si>
    <t>30 January 2026 -31 January 2026</t>
  </si>
  <si>
    <t>11 January 2026 -12 January 2026
30 January 2026 -31 January 2026
18 January 2026 -19 January 2026</t>
  </si>
  <si>
    <t>23 January 2026 -26 January 2026</t>
  </si>
  <si>
    <t>31 December 2025 - 1 January 2026
19 January 2026 -20 January 2026</t>
  </si>
  <si>
    <t>14 January 2026 -17 January 2026</t>
  </si>
  <si>
    <t>TEST</t>
  </si>
  <si>
    <t xml:space="preserve"> Perdiem Report in FEBRUARY 2026</t>
  </si>
  <si>
    <t>Last updated : 2 MARCH 2026 Time: 10.00  (Status : CLOSED)</t>
  </si>
  <si>
    <t>31 January 2026 - 1 February 2026</t>
  </si>
  <si>
    <t>ตกเบิกเดือนมกราคม</t>
  </si>
  <si>
    <t>26 January 2026 - 31 January 2026
10 February 2026 - 11 February 2026
17 February 2026 - 21 February 2026</t>
  </si>
  <si>
    <t>27 January 2026 - 28 January 2026</t>
  </si>
  <si>
    <t>15 November 2025 - 16 November 2025</t>
  </si>
  <si>
    <t>2 January 2026 - 3 January 2026</t>
  </si>
  <si>
    <t>23 January 2026 - 24 January 2026</t>
  </si>
  <si>
    <t>3 February 2026 - 4 February 2026</t>
  </si>
  <si>
    <t>4 February 2026 - 5 February 2026</t>
  </si>
  <si>
    <t>6 February 2026 - 7 February 2026</t>
  </si>
  <si>
    <t>9 February 2026 - 10 February 2026</t>
  </si>
  <si>
    <t>2 February 2026 - 3 February 2026</t>
  </si>
  <si>
    <t>7 February 2026 - 11 February 2026</t>
  </si>
  <si>
    <t>8 February 2026 - 9 February 2026</t>
  </si>
  <si>
    <t>12 February 2026 - 13 February 2026</t>
  </si>
  <si>
    <t>14 February 2026 - 15 February 2026</t>
  </si>
  <si>
    <t>11 February 2026 - 12 February 2026</t>
  </si>
  <si>
    <t>2 February 2026 - 7 February 2026</t>
  </si>
  <si>
    <t>7 February 2026 - 8 February 2026</t>
  </si>
  <si>
    <t>16 February 2026 - 17 February 2026</t>
  </si>
  <si>
    <t>7 February 2026 - 12 February 2026</t>
  </si>
  <si>
    <t>15 February 2026 - 16 February 2026</t>
  </si>
  <si>
    <t>18 February 2026 - 19 February 2026</t>
  </si>
  <si>
    <t>19 February 2026 - 20 February 2026</t>
  </si>
  <si>
    <t>15 February 2026 - 17 February 2026
24 February 2026 - 25 February 2026</t>
  </si>
  <si>
    <t>17 February 2026 - 18 February 2026
21 February 2026 - 22 February 2026</t>
  </si>
  <si>
    <t>2 February 2026 - 3 February 2026
20 February 2026 - 21 February 2026
26 February 2026 - 27 February 2026</t>
  </si>
  <si>
    <t>14 February 2026 - 19 February 2026</t>
  </si>
  <si>
    <t>22 February 2026 - 23 February 2026</t>
  </si>
  <si>
    <t>2 February 2026 - 3 February 2026
15 February 2026 - 16 February 2026</t>
  </si>
  <si>
    <t>23 February 2026 - 24 February 2026</t>
  </si>
  <si>
    <t>1 February 2026 - 2 February 2026</t>
  </si>
  <si>
    <t>20 February 2026 - 21 February 2026</t>
  </si>
  <si>
    <t>10 February 2026 - 11 February 2026</t>
  </si>
  <si>
    <t>24 February 2026 - 25 February 2026</t>
  </si>
  <si>
    <t>5 February 2026 - 6 February 2026</t>
  </si>
  <si>
    <t>25 February 2026 - 26 February 2026</t>
  </si>
  <si>
    <t>9 February 2026 - 14 February 2026</t>
  </si>
  <si>
    <t>1 February 2026 - 4 February 2026</t>
  </si>
  <si>
    <t>2 February 2026 - 3 February 2026
10 February 2026 - 15 February 2026</t>
  </si>
  <si>
    <t>13 February 2026 - 14 February 2026</t>
  </si>
  <si>
    <t>3 February 2026 - 8 February 2026
16 February 2026 - 17 February 2026</t>
  </si>
  <si>
    <t>21 February 2026 - 22 February 2026</t>
  </si>
  <si>
    <t>7 February 2026 - 8 February 2026
13 February 2026 - 14 February 2026
27 February 2026 - 28 February 2026</t>
  </si>
  <si>
    <t>27 February 2026 - 28 February 2026</t>
  </si>
  <si>
    <t xml:space="preserve">31 January 2026 - 7 February 2026
9 February 2026 - 28 February 2026
</t>
  </si>
  <si>
    <t>16 February 2026 - 20 February 2026</t>
  </si>
  <si>
    <t>20 February 2026 - 25 February 2026</t>
  </si>
  <si>
    <t>23 February 2026 - 27 February 2026</t>
  </si>
  <si>
    <t>12 February 2026 - 23 February 2026</t>
  </si>
  <si>
    <t xml:space="preserve"> Perdiem Report in March 2026</t>
  </si>
  <si>
    <t>Last updated : 2 April 2026 Time: 10.00  (Status : OPEN)</t>
  </si>
  <si>
    <t>28 January 2026 - 29 January 2026
14 March 2026 - 15 March 2026</t>
  </si>
  <si>
    <t>1 March 2026 - 2 March 2026</t>
  </si>
  <si>
    <t>2 March 2026 - 3 March 2026</t>
  </si>
  <si>
    <t>26 February 2026 - 27 February 2026</t>
  </si>
  <si>
    <t>25 February 2026 - 26 February 2026
13 March 2026 - 14 March 2026</t>
  </si>
  <si>
    <t>19 November 2025 - 20 November  2025
19 January 2026 -20 January 2026
11 March 2026 - 12 March 2026
14 March 2026 - 15 March 2026</t>
  </si>
  <si>
    <t>ตกเบิกเดือนพฤศจิกายน 25 / มกราคม 26</t>
  </si>
  <si>
    <t>3 March 2026 - 4 March 2026</t>
  </si>
  <si>
    <t>4 March 2026 - 5 March 2026</t>
  </si>
  <si>
    <t>6 March 2026 - 7 March 2026</t>
  </si>
  <si>
    <t>7 March 2026 - 8 March 2026</t>
  </si>
  <si>
    <t>8 March 2026 - 9 March 2026</t>
  </si>
  <si>
    <t>5 March 2026 - 6 March 2026</t>
  </si>
  <si>
    <t>9 March 2026 - 10 March 2026</t>
  </si>
  <si>
    <t>5 March 2026 - 10 March 2026</t>
  </si>
  <si>
    <t>7 March 2026 - 12 March 2026</t>
  </si>
  <si>
    <t>11 March 2026 - 12 March 2026</t>
  </si>
  <si>
    <t>3 March 2026 - 8 March 2026</t>
  </si>
  <si>
    <t>10 March 2026 - 15 March 2026
26 March 2026 - 30 March 2026</t>
  </si>
  <si>
    <t>15 March 2026 - 16 March 2026</t>
  </si>
  <si>
    <t>17 March 2026 - 18 March 2026</t>
  </si>
  <si>
    <t>18 March 2026 - 19 March 2026</t>
  </si>
  <si>
    <t>4 March 2026 - 5 March 2026
12 March 2026 - 14 March 2026</t>
  </si>
  <si>
    <t>10 March 2026 - 13 March 2026</t>
  </si>
  <si>
    <t>19 March 2026 - 20 March 2026</t>
  </si>
  <si>
    <t>20 March 2026 - 21 March 2026</t>
  </si>
  <si>
    <t>13 March 2026 - 14 March 2026</t>
  </si>
  <si>
    <t>13 March 2026 - 18 March 2026</t>
  </si>
  <si>
    <t>12 March 2026 - 13 March 2026</t>
  </si>
  <si>
    <t>14 March 2026 - 15 March 2026</t>
  </si>
  <si>
    <t>18 March 2026 - 23 March 2026</t>
  </si>
  <si>
    <t>23 March 2026 - 24 March 2026</t>
  </si>
  <si>
    <t>9 March 2026 - 10 March 2026
18 March 2026 - 19 March 2026
21 March 2026 - 22 March 2026</t>
  </si>
  <si>
    <t>16 March 2026 - 17 March 2026
21 March 2026 - 22 March 2026</t>
  </si>
  <si>
    <t>25 March 2026 - 26 March 2026</t>
  </si>
  <si>
    <t>20 March 2026 - 24 March 2026</t>
  </si>
  <si>
    <t>2 March 2026 - 7 March 2026
21 March 2026 - 26 March 2026</t>
  </si>
  <si>
    <t>21 March 2026 - 26 March 2026</t>
  </si>
  <si>
    <t>24 March 2026 - 25 March 2026</t>
  </si>
  <si>
    <t>26 March 2026 - 27 March 2026</t>
  </si>
  <si>
    <t>5 March 2026 - 6 March 2026
27 March 2026 - 28 March 2026</t>
  </si>
  <si>
    <t>19 March 2026 - 23 March 2026</t>
  </si>
  <si>
    <t>16 March 2026 - 19 March 2026</t>
  </si>
  <si>
    <t>11 March 2026 - 12 March 2026
26 March 2026 - 29 March 2026</t>
  </si>
  <si>
    <t>28 March 2026 - 29 March 2026</t>
  </si>
  <si>
    <t>6 March 2026 - 12 March 2026</t>
  </si>
  <si>
    <t>22 March 2026 - 23 March 2026</t>
  </si>
  <si>
    <t>10 March 2026 - 12 March 2026
17 March 2026 - 18 March 2026
24 March 2026 - 25 March 2026</t>
  </si>
  <si>
    <t>17 February 2026 - 18 February 2026</t>
  </si>
  <si>
    <t>11 March 2026 - 12 March 2026
21 March 2026 - 22 March 2026</t>
  </si>
  <si>
    <t>11 March 2026 - 12 March 2026
16 March 2026 - 17 March 2026</t>
  </si>
  <si>
    <t>25 March 2026 - 30 March 2026</t>
  </si>
  <si>
    <t>26 February 2026 - 27 February 2026
11 March 2026 - 12 March 2026</t>
  </si>
  <si>
    <t>27 March 2026 - 28 March 2026</t>
  </si>
  <si>
    <t>11 March 2026 - 16 March 2026</t>
  </si>
  <si>
    <t>12 March 2026 - 14 March 2026</t>
  </si>
  <si>
    <t xml:space="preserve"> Perdiem Report in April 2026</t>
  </si>
  <si>
    <t>Last updated : 2 May 2026 Time: 10.00  (Status : OPEN)</t>
  </si>
  <si>
    <t>28 March 2026 - 31 March 2026</t>
  </si>
  <si>
    <t>6 March 2026 - 7 March 2026
20 March 2026 - 24 March 2026</t>
  </si>
  <si>
    <t>5 February 2026 - 9 February 2026
27 March 2026 - 31 March 2026</t>
  </si>
  <si>
    <t>ตกเบิกเดือนกุมภาพันธ์ / ตกเบิกเดือนมีนาคม</t>
  </si>
  <si>
    <t>22 March 2026 - 28 March 2026</t>
  </si>
  <si>
    <t>1 April 2026 - 10 April 2026</t>
  </si>
  <si>
    <t>3 April 2026 - 8 April 2026</t>
  </si>
  <si>
    <t>15 April 2026 - 19 April 2026</t>
  </si>
  <si>
    <t>11 April 2026 - 15 April 2026</t>
  </si>
  <si>
    <t>2 February 2026 - 13 February 2026
16 February 2026 - 26 February 2026
28 February 2026 - 28 February 2026</t>
  </si>
  <si>
    <t xml:space="preserve"> Perdiem Report in APRIL 2024</t>
  </si>
  <si>
    <t>Last updated : 02 MAY 2024 Time: 12.00  (Status : CLOSE)</t>
  </si>
  <si>
    <t xml:space="preserve"> Perdiem Report in MARCH 2024</t>
  </si>
  <si>
    <t>Last updated : 01 APRIL 2024 Time: 12.00  (Status : CLOSE)</t>
  </si>
  <si>
    <t xml:space="preserve"> Perdiem Report in FEBRUARY 2024</t>
  </si>
  <si>
    <t>Last updated : 01 MARCH 2024 Time: 12.00  (Status : CLOSE)</t>
  </si>
  <si>
    <t xml:space="preserve"> Perdiem Report in JANUARY 2024</t>
  </si>
  <si>
    <t>Last updated : 02 February 2024 Time: 12.00  (Status : CLOSE)</t>
  </si>
  <si>
    <t>Perdiem Report in JULY 2023</t>
  </si>
  <si>
    <t>Last updated : 03 AUGUST 2023 Time: 12.00  (Status : CLOSE)</t>
  </si>
  <si>
    <t>3-4 May / 25-26 June 2023</t>
  </si>
  <si>
    <t>2-3 July 2023</t>
  </si>
  <si>
    <t>4-5 July 2023</t>
  </si>
  <si>
    <t>1-2 July 2023</t>
  </si>
  <si>
    <t>6-7 July 2023</t>
  </si>
  <si>
    <t>3-4 July 2023</t>
  </si>
  <si>
    <t>10-11 July 2023</t>
  </si>
  <si>
    <t>9-10 July 2023</t>
  </si>
  <si>
    <t>8-9 July 2023</t>
  </si>
  <si>
    <t>30 June / 1, 12-13 July 2023</t>
  </si>
  <si>
    <t>22-23 June / 2-3 July 2023</t>
  </si>
  <si>
    <t>15-16 July 2023</t>
  </si>
  <si>
    <t>17-18 July 2023</t>
  </si>
  <si>
    <t>14-15 July 2023</t>
  </si>
  <si>
    <t>10-11, 13-14 July 2023</t>
  </si>
  <si>
    <t>18-19 July 2023</t>
  </si>
  <si>
    <t>20-21 July 2023</t>
  </si>
  <si>
    <t>19-20 July 2023</t>
  </si>
  <si>
    <t>11-12 July 2023</t>
  </si>
  <si>
    <t>21-22 July 2023</t>
  </si>
  <si>
    <t>12-13, 25-26 June / 19-20 July 2023</t>
  </si>
  <si>
    <t>23-24 July 2023</t>
  </si>
  <si>
    <t>10-11, 23-24 July 2023</t>
  </si>
  <si>
    <t>7-8 June / 13-14 July 2023</t>
  </si>
  <si>
    <t>25-26 June 2023</t>
  </si>
  <si>
    <t>25-26 July 2023</t>
  </si>
  <si>
    <t>28-29 July 2023</t>
  </si>
  <si>
    <t>7-8, 27-28 July 2023</t>
  </si>
  <si>
    <t>2-3, 14-15 July 2023</t>
  </si>
  <si>
    <t>12-13 July 2023</t>
  </si>
  <si>
    <t>29-30 July 2023</t>
  </si>
  <si>
    <t>24-25 July 2023</t>
  </si>
  <si>
    <t>7-8 July 2023</t>
  </si>
  <si>
    <t>13-14 July 2023</t>
  </si>
  <si>
    <t>27-28 July 2023</t>
  </si>
  <si>
    <t xml:space="preserve"> Perdiem Report in MAY 2023</t>
  </si>
  <si>
    <t>Last updated : 02 JUNE 2023 Time: 12.00  (Status : CLOSE)</t>
  </si>
  <si>
    <t>24-25 April 2023</t>
  </si>
  <si>
    <t>22-23 April / 16-17, 24-25 May 2023</t>
  </si>
  <si>
    <t>1-2 May 2023</t>
  </si>
  <si>
    <t>2-3 May 2023</t>
  </si>
  <si>
    <t>12-13 April 2023</t>
  </si>
  <si>
    <t>7-8, 10-11, 18-19, 24-25 April 2023</t>
  </si>
  <si>
    <t>6-7 May 2023</t>
  </si>
  <si>
    <t>4-5 May 2023</t>
  </si>
  <si>
    <t>27-28 April / 4-5 May 2023</t>
  </si>
  <si>
    <t>6-7, 20-21 May 2023</t>
  </si>
  <si>
    <t>11-12 May 2023</t>
  </si>
  <si>
    <t>5-6 May 2023</t>
  </si>
  <si>
    <t>7-8 May 2023</t>
  </si>
  <si>
    <t>16-17 May 2023</t>
  </si>
  <si>
    <t>10-11 May 2023</t>
  </si>
  <si>
    <t>13-14 May 2023</t>
  </si>
  <si>
    <t>18-19 May 2023</t>
  </si>
  <si>
    <t>19-20 May 2023</t>
  </si>
  <si>
    <t>Thunyaporn Klinthong</t>
  </si>
  <si>
    <t>11-12, 30 April / 1, 5-6 May 2023</t>
  </si>
  <si>
    <t>20-21 May 2023</t>
  </si>
  <si>
    <t>9-10, 15-16 May 2023</t>
  </si>
  <si>
    <t>12-13 May 2023</t>
  </si>
  <si>
    <t>3-4 May 2023</t>
  </si>
  <si>
    <t>22-23 May 2023</t>
  </si>
  <si>
    <t>9-10, 22-23 May 2023</t>
  </si>
  <si>
    <t>23-24 May 2023</t>
  </si>
  <si>
    <t>3-4, 13-14 May 2023</t>
  </si>
  <si>
    <t>9-10 May 2023</t>
  </si>
  <si>
    <t>15-16 May 2023</t>
  </si>
  <si>
    <t>26-27 May 2023</t>
  </si>
  <si>
    <t>27-28 May 2023</t>
  </si>
  <si>
    <t>8-9, 26-27 May 2023</t>
  </si>
  <si>
    <t>22-23, 26-27 May 2023</t>
  </si>
  <si>
    <t>19-20, 28-29 May 2023</t>
  </si>
  <si>
    <t>30 April / 1, 29-30 May 2023</t>
  </si>
  <si>
    <t>7-8, 29-30 May 2023</t>
  </si>
  <si>
    <t>21-22, 29-30 May 2023</t>
  </si>
  <si>
    <t>29-30 May 2023</t>
  </si>
  <si>
    <t>30-31 May 2023</t>
  </si>
  <si>
    <t>31 May / 01 June 2023</t>
  </si>
  <si>
    <t>8-9, 30-31 May 2023</t>
  </si>
  <si>
    <t>16-17, 21-22, 31 May / 01 June 2023</t>
  </si>
  <si>
    <t>24-25 May 2023</t>
  </si>
  <si>
    <t xml:space="preserve"> Perdiem Report in FEBRUARY 2023</t>
  </si>
  <si>
    <t>Last updated : 01 March 2023 Time: 12.00  (Status : CLOSE)</t>
  </si>
  <si>
    <t xml:space="preserve"> Perdiem Report in JANUARY 2023</t>
  </si>
  <si>
    <t>Last updated : 01 February 2023 Time: 12.00  (Status : CLOSE)</t>
  </si>
  <si>
    <t xml:space="preserve"> Perdiem Report in DECEMBER 2022</t>
  </si>
  <si>
    <t>Last updated : 01 January 2023 Time: 12.00  (Status : CLOSE)</t>
  </si>
  <si>
    <t xml:space="preserve"> Perdiem Report in NOVEMBER 2022</t>
  </si>
  <si>
    <t>Last updated : 1 December 2022 Time: 12.00  (Status : CLOSE)</t>
  </si>
  <si>
    <t xml:space="preserve"> Perdiem Report in OCTOBER 2022</t>
  </si>
  <si>
    <t>Last updated : 1 November 2022 Time: 12.00  (Status : CLOSE)</t>
  </si>
  <si>
    <t xml:space="preserve"> Perdiem Report in SEPTEMBER 2022</t>
  </si>
  <si>
    <t>Last updated : 1 October 2022 Time: 12.00  (Status : CLOSE)</t>
  </si>
  <si>
    <t xml:space="preserve"> Perdiem Report in AUGUST 2022</t>
  </si>
  <si>
    <t>Last updated : 1 September 2022 Time: 12.00  (Status : CLOSE)</t>
  </si>
  <si>
    <t xml:space="preserve"> Perdiem Report in JULY 2022</t>
  </si>
  <si>
    <t>Last updated : 1 August 2022 Time: 12.00  (Status : CLOSE)</t>
  </si>
  <si>
    <t xml:space="preserve"> Perdiem Report in JUNE 2022</t>
  </si>
  <si>
    <t>Last updated : 1 July 2022 Time: 12.00  (Status : CLOSE)</t>
  </si>
  <si>
    <t xml:space="preserve"> Perdiem Report in MAY 2022</t>
  </si>
  <si>
    <t>Last updated : 1 June 2022 Time: 12.00  (Status : CLOSE)</t>
  </si>
  <si>
    <t xml:space="preserve"> Perdiem Report in APRIL 2022</t>
  </si>
  <si>
    <t>Last updated : 2 May 2022 Time: 12.00  (Status : CLOSE)</t>
  </si>
  <si>
    <t xml:space="preserve"> Perdiem Report in MARCH 2022</t>
  </si>
  <si>
    <t>Last updated : 1 April 2022 Time: 12.00  (Status : CLOSE)</t>
  </si>
  <si>
    <t xml:space="preserve"> Perdiem Report in FEBRUARY 2022</t>
  </si>
  <si>
    <t>Last updated : 1 March 2022 Time: 12.00  (Status : CLOSE)</t>
  </si>
  <si>
    <t xml:space="preserve"> Perdiem Report in JANUARY 2022</t>
  </si>
  <si>
    <t>Last updated : 1 February 2022 Time: 12.00  (Status : CLOSE)</t>
  </si>
  <si>
    <t xml:space="preserve"> Perdiem Report in November 2021</t>
  </si>
  <si>
    <t>Last updated : 1 December 2021 Time: 12.00  (Status : CLOSE)</t>
  </si>
  <si>
    <t xml:space="preserve"> Perdiem Report in October 2021</t>
  </si>
  <si>
    <t>Last updated : 1 November 2021 Time: 12.00  (Status : CLOSE)</t>
  </si>
  <si>
    <t xml:space="preserve"> Perdiem Report in September 2021</t>
  </si>
  <si>
    <t>Last updated : 1 October 2021 Time: 12.00  (Status : CLOSE)</t>
  </si>
  <si>
    <t xml:space="preserve"> Perdiem Report in August 2021</t>
  </si>
  <si>
    <t>Last updated : 1 September 2021 Time: 12.00  (Status : CLOSE)</t>
  </si>
  <si>
    <t xml:space="preserve"> Perdiem Report in July 2021</t>
  </si>
  <si>
    <t>Last updated : 2 August 2021 Time: 12.00  (Status : CLOSE)</t>
  </si>
  <si>
    <t xml:space="preserve"> Perdiem Report in June 2021</t>
  </si>
  <si>
    <t>Last updated : 2 July 2021 Time: 12.00  (Status : CLOSE)</t>
  </si>
  <si>
    <t xml:space="preserve"> Perdiem Report in May 2021</t>
  </si>
  <si>
    <t>Last updated : 1 June 2021 Time: 12.00  (Status : CLOSE)</t>
  </si>
  <si>
    <t xml:space="preserve"> Perdiem Report in April 2021</t>
  </si>
  <si>
    <t>Last updated : 5 May 2021 Time: 12.00  (Status : CLOSE)</t>
  </si>
  <si>
    <t xml:space="preserve"> Perdiem Report in March 2021</t>
  </si>
  <si>
    <t>Last updated : 1 April 2021 Time: 12.00  (Status : CLOSE)</t>
  </si>
  <si>
    <t xml:space="preserve"> Perdiem Report in February 2021</t>
  </si>
  <si>
    <t>Last updated : 2 March 2021 Time: 12.00  (Status : CLOSE)</t>
  </si>
  <si>
    <t xml:space="preserve"> Perdiem Report in January 2021</t>
  </si>
  <si>
    <t>Last updated : 3 February 2021 Time: 12.00  (Status : CLOSE)</t>
  </si>
  <si>
    <t xml:space="preserve"> Perdiem Report in December 2020</t>
  </si>
  <si>
    <t>Last updated : 4 January 2021 Time: 12.00  (Status : CLOSE)</t>
  </si>
  <si>
    <t xml:space="preserve"> Perdiem Report in November 2020</t>
  </si>
  <si>
    <t>Last updated : 1 December 2020 Time: 12.00  (Status : CLOSE)</t>
  </si>
  <si>
    <t xml:space="preserve"> Perdiem Report in October 2020</t>
  </si>
  <si>
    <t>Last updated : 2 November 2020 Time: 12.00  (Status : CLOSE)</t>
  </si>
  <si>
    <t xml:space="preserve"> Perdiem Report in September 2020</t>
  </si>
  <si>
    <t>Last updated : 1 October 2020 Time: 12.00  (Status : CLOSE)</t>
  </si>
  <si>
    <t xml:space="preserve"> Perdiem Report in August 2020</t>
  </si>
  <si>
    <t>Last updated : 1 September 2020 Time: 12.00  (Status : CLOSE)</t>
  </si>
  <si>
    <t xml:space="preserve"> Perdiem Report in July 2020</t>
  </si>
  <si>
    <t>Last updated : 3 AUGUST 2020 Time: 12.00  (Status : OPEN)</t>
  </si>
  <si>
    <t xml:space="preserve"> Perdiem Report in June 2020</t>
  </si>
  <si>
    <t>Last updated : 1 JULY 2020 Time: 12.00  (Status : OPEN)</t>
  </si>
  <si>
    <t xml:space="preserve"> Perdiem Report in May 2020</t>
  </si>
  <si>
    <t>Last updated : 8 MAY 2020 Time: 12.00  (Status : OPEN)</t>
  </si>
  <si>
    <t xml:space="preserve"> Perdiem Report in April 2020</t>
  </si>
  <si>
    <t>Last updated : 30 APR 2020 Time: 14.00  (Status : CLOSE)</t>
  </si>
  <si>
    <t>3-4 March 2020</t>
  </si>
  <si>
    <t>Adjustment</t>
  </si>
  <si>
    <t>Final Verifed by Supervisor on 8 May 2020</t>
  </si>
  <si>
    <t>Check List</t>
  </si>
  <si>
    <t>Y/N</t>
  </si>
  <si>
    <t>Remarks</t>
  </si>
  <si>
    <t>Matching ID&amp;crew</t>
  </si>
  <si>
    <t>Y</t>
  </si>
  <si>
    <t>-</t>
  </si>
  <si>
    <t>Matching Count period</t>
  </si>
  <si>
    <t>Fumula check</t>
  </si>
  <si>
    <t>Closed the report on 1 May 2020</t>
  </si>
  <si>
    <t>Last updated : 1 APR 2020 Time: 00.00  (Status : CLOSED)</t>
  </si>
  <si>
    <t>29 February / 1 March 2020</t>
  </si>
  <si>
    <t>2-29 February / 1 March 2020</t>
  </si>
  <si>
    <t>1-29 February / 1 March 2020</t>
  </si>
  <si>
    <t>1, 11-12 February 2020</t>
  </si>
  <si>
    <t>30-31 December 2019 / 29-30 January / 25-28 February 2020</t>
  </si>
  <si>
    <t>1-23, 26-29 February / 1 March 2020</t>
  </si>
  <si>
    <t>1-2 March 2020</t>
  </si>
  <si>
    <t>1-2, 17-18 January 2020</t>
  </si>
  <si>
    <t>25-26 February 2020</t>
  </si>
  <si>
    <t>24-25 January 2020</t>
  </si>
  <si>
    <t>12-13 January 2020</t>
  </si>
  <si>
    <t>6-7 January / 20-23 February 2020</t>
  </si>
  <si>
    <t>28-29 February 2020</t>
  </si>
  <si>
    <t>1-6, 11-16, 21-26 March 2020</t>
  </si>
  <si>
    <t>1-3 February 2020</t>
  </si>
  <si>
    <t>30 November / 1 December 2019</t>
  </si>
  <si>
    <t>27-29 February / 1 March 2020</t>
  </si>
  <si>
    <t>1, 6, 9-11, 16-21, 26-31 March 2020</t>
  </si>
  <si>
    <t>1-7, 11-16, 21-26, 31 March 2020</t>
  </si>
  <si>
    <t>12-15 February 2020</t>
  </si>
  <si>
    <t>Final Verifed by Supervisor</t>
  </si>
  <si>
    <t>Closed the report on 3 Apr 20</t>
  </si>
  <si>
    <t xml:space="preserve"> Perdiem Report in February 2020</t>
  </si>
  <si>
    <t>Last updated : 03 March 2020 Time: 18.00  (Status : CLOSE)</t>
  </si>
  <si>
    <t>31 January / 18-21 February 2020</t>
  </si>
  <si>
    <t>2-26, 28-31 January 2020</t>
  </si>
  <si>
    <t>1-5, 10-11, 13-14, 16-21, 24-25 January / 12-13, 18-19 February 2020</t>
  </si>
  <si>
    <t>27-28 January 2020</t>
  </si>
  <si>
    <t>1-31 January / 1-29 February 2020</t>
  </si>
  <si>
    <t>1-27, 29-31 December 2019</t>
  </si>
  <si>
    <t>28-29 January 2020</t>
  </si>
  <si>
    <t>2-3 February 2020</t>
  </si>
  <si>
    <t>7-8 February 2020</t>
  </si>
  <si>
    <t>8-11 February 2020</t>
  </si>
  <si>
    <t>6-9 February 2020</t>
  </si>
  <si>
    <t>10-11 February 2020</t>
  </si>
  <si>
    <t>8-9 February 2020</t>
  </si>
  <si>
    <t>5-6 February 2020</t>
  </si>
  <si>
    <t>11-12 February 2020</t>
  </si>
  <si>
    <t>13-14 February 2020</t>
  </si>
  <si>
    <t>12-13 February 2020</t>
  </si>
  <si>
    <t>11-14 February 2020</t>
  </si>
  <si>
    <t>13-16 February 2020</t>
  </si>
  <si>
    <t>3-4 February 2020</t>
  </si>
  <si>
    <t>9-10 February 2020</t>
  </si>
  <si>
    <t>1-2 February 2020</t>
  </si>
  <si>
    <t>1-4 February 2020</t>
  </si>
  <si>
    <t>1-13 February 2020</t>
  </si>
  <si>
    <t>19-20 February 2020</t>
  </si>
  <si>
    <t>30 November / 1, 16-17 December 2019 / 4-7 February 2020</t>
  </si>
  <si>
    <t>15-16 February 2020</t>
  </si>
  <si>
    <t>18-21 February 2020</t>
  </si>
  <si>
    <t>15-31 January / 1-3 February 2020</t>
  </si>
  <si>
    <t>21-22 February 2020</t>
  </si>
  <si>
    <t>4-7, 19-20 February 2020</t>
  </si>
  <si>
    <t>22-23 December 2019 / 2-5 February 2020</t>
  </si>
  <si>
    <t>23-24 February 2020</t>
  </si>
  <si>
    <t>24-25 February 2020</t>
  </si>
  <si>
    <t>14-22, 25-31 January / 1-24 February 2020</t>
  </si>
  <si>
    <t>22-23 February 2020</t>
  </si>
  <si>
    <t>20-23 February 2020</t>
  </si>
  <si>
    <t>2-12, 23-24 February 2020</t>
  </si>
  <si>
    <t>2-3, 13-16, 22-23 February 2020</t>
  </si>
  <si>
    <t>1-16 February 2020</t>
  </si>
  <si>
    <t>24-26 February 2020</t>
  </si>
  <si>
    <t>1, 16-17 February 2020</t>
  </si>
  <si>
    <t>14-15 February 2020</t>
  </si>
  <si>
    <t>18-21 January 2020</t>
  </si>
  <si>
    <t>29-30 January 2020</t>
  </si>
  <si>
    <t>23-24 January 2020</t>
  </si>
  <si>
    <t>17-18 February 2020</t>
  </si>
  <si>
    <t>1-26 February 2020</t>
  </si>
  <si>
    <t>1-3 January 2020</t>
  </si>
  <si>
    <t>11-16, 20-23, 25-28 February 2020</t>
  </si>
  <si>
    <t>1-14, 16-17 February 2020</t>
  </si>
  <si>
    <t>18-29 February 2020</t>
  </si>
  <si>
    <t>22-23 January / 1, 16-17 February 2020</t>
  </si>
  <si>
    <t>1-2, 5-29 February 2020</t>
  </si>
  <si>
    <t>6-9, 23-24 Febbruary 2020</t>
  </si>
  <si>
    <t>14-15, 20-23 Feruary 2020</t>
  </si>
  <si>
    <t>25-28 February 2020</t>
  </si>
  <si>
    <t>26-27 February 2020</t>
  </si>
  <si>
    <t>1-12, 14-29 February 2020</t>
  </si>
  <si>
    <t>2-5 February 2020</t>
  </si>
  <si>
    <t>12-13, 18-19, 21-22, 25-28 February 2020</t>
  </si>
  <si>
    <t>4-7 February 2020</t>
  </si>
  <si>
    <t>13-14 December 2019 / 20-21 January / 16-17 February 2020</t>
  </si>
  <si>
    <t>1, 17-29 February 2020</t>
  </si>
  <si>
    <t>1-29 February 2020</t>
  </si>
  <si>
    <t>2-6, 8-29 February 2020</t>
  </si>
  <si>
    <t>26-29 January / 26-27 February 2020</t>
  </si>
  <si>
    <t>12-13 January / 2-3 February 2020</t>
  </si>
  <si>
    <t>4-5, 17-18, 26-27 February 2020</t>
  </si>
  <si>
    <t>22-24 February 2020</t>
  </si>
  <si>
    <t>1-25, 27-29 February 2020</t>
  </si>
  <si>
    <t>27-28 February 2020</t>
  </si>
  <si>
    <t>22-23 January 2020</t>
  </si>
  <si>
    <t>15-18 December 2019 / 23-26 January 2020</t>
  </si>
  <si>
    <t>1-4, 23-24, 26-27 February 2020</t>
  </si>
  <si>
    <t>1-9, 11-16 February 2020</t>
  </si>
  <si>
    <t>Closed the report on 5th March 2020</t>
  </si>
  <si>
    <t xml:space="preserve"> Perdiem Report in January 2020</t>
  </si>
  <si>
    <t>Last updated : 01 February 2020 Time: 18.00  (Status : CLOSED)</t>
  </si>
  <si>
    <t>30-31 December 2019</t>
  </si>
  <si>
    <t>31 December 2019 / 1-3 January 2020</t>
  </si>
  <si>
    <t>6-7 January 2020</t>
  </si>
  <si>
    <t>4-7 January 2020</t>
  </si>
  <si>
    <t>5-8, 12-15 January 2020</t>
  </si>
  <si>
    <t>1-2 January 2020</t>
  </si>
  <si>
    <t>9-12 January 2020</t>
  </si>
  <si>
    <t>7-10, 30-31 January 2020</t>
  </si>
  <si>
    <t>14-17 January 2020</t>
  </si>
  <si>
    <t>10-11, 14-17 January 2020</t>
  </si>
  <si>
    <t>1-31 December 2019 / 1 January 2020</t>
  </si>
  <si>
    <t>19-20 January 2020</t>
  </si>
  <si>
    <t>15-16 January 2020</t>
  </si>
  <si>
    <t>15-18 December 2019</t>
  </si>
  <si>
    <t>7-10 January 2020</t>
  </si>
  <si>
    <t>11-14 January 2020</t>
  </si>
  <si>
    <t>16-19 January 2020</t>
  </si>
  <si>
    <t>13-14 January 2020</t>
  </si>
  <si>
    <t>29-31 December 2019 / 1 January 2020</t>
  </si>
  <si>
    <t>8-9 January 2020</t>
  </si>
  <si>
    <t>21-22 January 2020</t>
  </si>
  <si>
    <t>15-18 January 2020</t>
  </si>
  <si>
    <t>17-18 January 2020</t>
  </si>
  <si>
    <t>5-8 January 2020</t>
  </si>
  <si>
    <t>23-26 January 2020</t>
  </si>
  <si>
    <t>26-27 January 2020</t>
  </si>
  <si>
    <t>11-14, 16-31 January 2020</t>
  </si>
  <si>
    <t>21-24 January 2020</t>
  </si>
  <si>
    <t>2-5 January 2020</t>
  </si>
  <si>
    <t>31 December / 1-3 January 2020</t>
  </si>
  <si>
    <t>3-4 January 2020</t>
  </si>
  <si>
    <t>20-21, 25-28 January 2020</t>
  </si>
  <si>
    <t>11-14, 26-27 January 2020</t>
  </si>
  <si>
    <t>25-28 January 2020</t>
  </si>
  <si>
    <t>5-6 January 2020</t>
  </si>
  <si>
    <t>10-11 January 2020</t>
  </si>
  <si>
    <t>26-29 January 2020</t>
  </si>
  <si>
    <t>19-22 January 2020</t>
  </si>
  <si>
    <t>9-10 November 2019</t>
  </si>
  <si>
    <t>29-30 October 2019</t>
  </si>
  <si>
    <t>26-29 December 2019 / 2-26 January 2020</t>
  </si>
  <si>
    <t>8-9 December 2019</t>
  </si>
  <si>
    <t>1, 23-24 December 2019</t>
  </si>
  <si>
    <t>28-31 December 2019</t>
  </si>
  <si>
    <t>23-24 December 2019</t>
  </si>
  <si>
    <t>7-30 November / 1-31 December 2019</t>
  </si>
  <si>
    <t>25-26 December 2019</t>
  </si>
  <si>
    <t>1-11, 13-18, 20-31 December 2019</t>
  </si>
  <si>
    <t>1-31 December 2019</t>
  </si>
  <si>
    <t>1-3 December 2019</t>
  </si>
  <si>
    <t>12-15 December 2019 / 15-31 January 2020</t>
  </si>
  <si>
    <t>5-8, 19-22 January 2020</t>
  </si>
  <si>
    <t>9-10 January 2020</t>
  </si>
  <si>
    <t>8-10 January 2020</t>
  </si>
  <si>
    <t>14-17, 28-31 January 2020</t>
  </si>
  <si>
    <t>16-19, 22-23 January 2020</t>
  </si>
  <si>
    <t>14-22, 25-31 January 2020</t>
  </si>
  <si>
    <t>12-15 January 2020</t>
  </si>
  <si>
    <t>17-31 January 2020</t>
  </si>
  <si>
    <t>18-19 January 2020</t>
  </si>
  <si>
    <t>16-31 January 2020</t>
  </si>
  <si>
    <t>4-31 January 2020</t>
  </si>
  <si>
    <t>8-9, 28-31 January 2020</t>
  </si>
  <si>
    <t>28-31 January 2020</t>
  </si>
  <si>
    <t>1-31 January 2020</t>
  </si>
  <si>
    <t>1-26, 28-31 January 2020</t>
  </si>
  <si>
    <t>1, 4-7, 9-12, 17-22 January 2020</t>
  </si>
  <si>
    <t>2-17, 19-20, 22-31 January 2020</t>
  </si>
  <si>
    <t>21-24, 28-31 January 2020</t>
  </si>
  <si>
    <t>1, 18-21 January 2020</t>
  </si>
  <si>
    <t>14-31 January 2020</t>
  </si>
  <si>
    <t>1-10, 12-31 January 2020</t>
  </si>
  <si>
    <t>15-31 January 2020</t>
  </si>
  <si>
    <t>5-6, 15-31 January 2020</t>
  </si>
  <si>
    <t>1-3, 5-8, 20-31 January 2020</t>
  </si>
  <si>
    <t>11-14, 17-31 January 2020</t>
  </si>
  <si>
    <t>20-31 January 2020</t>
  </si>
  <si>
    <t>1-9, 15-31 January 2020</t>
  </si>
  <si>
    <t>30-31 January 2020</t>
  </si>
  <si>
    <t>1-10, 13-31 January 2020</t>
  </si>
  <si>
    <t>27-31 January 2020</t>
  </si>
  <si>
    <t>12-15, 31 January 2020</t>
  </si>
  <si>
    <t>2-5, 12-15, 25-28 January 2020</t>
  </si>
  <si>
    <t>5-6 Jauary 2020</t>
  </si>
  <si>
    <t>2-31 December 2019</t>
  </si>
  <si>
    <t>Closed the report on 5th February 2020</t>
  </si>
  <si>
    <t xml:space="preserve"> Perdiem Report in December 2019</t>
  </si>
  <si>
    <t>Last updated : 06 January 2020 Time: 12.00  (Status : CLOSE)</t>
  </si>
  <si>
    <t>2-3 December 2019</t>
  </si>
  <si>
    <t>1-15, 18-22, 25-30 November / 1 December 2019</t>
  </si>
  <si>
    <t>1-2 December 2019</t>
  </si>
  <si>
    <t>3-6 December 2019</t>
  </si>
  <si>
    <t>1-4 December 2019</t>
  </si>
  <si>
    <t>6-7 December 2019</t>
  </si>
  <si>
    <t>7-8 October 2019</t>
  </si>
  <si>
    <t>9-10 December 2019</t>
  </si>
  <si>
    <t>10-13 December 2019</t>
  </si>
  <si>
    <t>14-17 December 2019</t>
  </si>
  <si>
    <t>15-16 December 2019</t>
  </si>
  <si>
    <t>4-5 December 2019</t>
  </si>
  <si>
    <t>6-7, 14-15 December 2019</t>
  </si>
  <si>
    <t>7-10 December 2019</t>
  </si>
  <si>
    <t>19-22 December 2019</t>
  </si>
  <si>
    <t>20-21 December 2019</t>
  </si>
  <si>
    <t>19-20 October / 12-15 December 2019</t>
  </si>
  <si>
    <t>16-20 December 2019</t>
  </si>
  <si>
    <t>1, 3-6, 7-10, 22-23 December 2019</t>
  </si>
  <si>
    <t>1-6 December 2019</t>
  </si>
  <si>
    <t>21-22 December 2019</t>
  </si>
  <si>
    <t>17-20 December 2019</t>
  </si>
  <si>
    <t>2-8, 12-30 November / 1 December 2019</t>
  </si>
  <si>
    <t>21-24 December 2019</t>
  </si>
  <si>
    <t>4-5, 22-25 December 2019</t>
  </si>
  <si>
    <t>30 November / 1-3 December 2019</t>
  </si>
  <si>
    <t>11-12 December 2019</t>
  </si>
  <si>
    <t>18-19 December 2019</t>
  </si>
  <si>
    <t>5-8 December 2019</t>
  </si>
  <si>
    <t>8-11 December 2019</t>
  </si>
  <si>
    <t>22-25 December 2019</t>
  </si>
  <si>
    <t>22-23 December 2019</t>
  </si>
  <si>
    <t>25-26 November 2019</t>
  </si>
  <si>
    <t>19-20 November 2019</t>
  </si>
  <si>
    <t>16-17 November 2019</t>
  </si>
  <si>
    <t>6-11 November 2019</t>
  </si>
  <si>
    <t>21-22 November 2019</t>
  </si>
  <si>
    <t>2-4 November 2019</t>
  </si>
  <si>
    <t>1-14, 19-30 November / 1-8, 10-29, 31 December 2019</t>
  </si>
  <si>
    <t>2-17, 20-30 November 2019</t>
  </si>
  <si>
    <t>1-30 November / 1-31 December 2019</t>
  </si>
  <si>
    <t>7-8 November 2019</t>
  </si>
  <si>
    <t>7-8 November / 1-4, 21-24 December 2019</t>
  </si>
  <si>
    <t>24-27 December 2019</t>
  </si>
  <si>
    <t>12-15 December 2019</t>
  </si>
  <si>
    <t>22-25, 27-28 December 2019</t>
  </si>
  <si>
    <t>3-4 November / 15-18 December 2019</t>
  </si>
  <si>
    <t>26-29 December 2019</t>
  </si>
  <si>
    <t>29-30 December 2019</t>
  </si>
  <si>
    <t>27-28 December 2019</t>
  </si>
  <si>
    <t>5-8, 13-14 December 2019</t>
  </si>
  <si>
    <t>29-31 December 2019</t>
  </si>
  <si>
    <t>5-8, 10-13, 17-20, 28-31 December 2019</t>
  </si>
  <si>
    <t>20-21, 26-29 December 2019</t>
  </si>
  <si>
    <t>16-17 December 2019</t>
  </si>
  <si>
    <t>25-28 December 2019</t>
  </si>
  <si>
    <t>1-21, 23-31 December 2019</t>
  </si>
  <si>
    <t>4-6, 9-31 December 2019</t>
  </si>
  <si>
    <t>1-22, 25-26, 28-31 December 2019</t>
  </si>
  <si>
    <t>2-13, 15-24, 29-31 December 2019</t>
  </si>
  <si>
    <t>16-29 December 2019</t>
  </si>
  <si>
    <t>1-26, 30-31 December 2019</t>
  </si>
  <si>
    <t>Closed the report on 10th January 2020</t>
  </si>
  <si>
    <t xml:space="preserve"> Perdiem Report in November 2019</t>
  </si>
  <si>
    <t>Last updated : 02 December 2019 Time: 18.00  (Status : CLOSED)</t>
  </si>
  <si>
    <t>1-27 October 2019</t>
  </si>
  <si>
    <t>1-5, 7-12, 14, 16-26, 28-31 October 2019</t>
  </si>
  <si>
    <t>2-7, 10-15, 17-27, 29-30 September / 1-12, 15-26 October 2019</t>
  </si>
  <si>
    <t>5-6 November 2019</t>
  </si>
  <si>
    <t>21-26 October / 22-26 November 2019</t>
  </si>
  <si>
    <t>31 October / 1 November 2019</t>
  </si>
  <si>
    <t>1-31 October / 1-3 November 2019</t>
  </si>
  <si>
    <t>28-29 October 2019</t>
  </si>
  <si>
    <t>5-6, 19-20 November 2019</t>
  </si>
  <si>
    <t>19-20, 23-24 November 2019</t>
  </si>
  <si>
    <t>9-11 November 2019</t>
  </si>
  <si>
    <t>14-15 November 2019</t>
  </si>
  <si>
    <t>23-24 November 2019</t>
  </si>
  <si>
    <t>1, 23-24 November 2019</t>
  </si>
  <si>
    <t>24-25 November 2019</t>
  </si>
  <si>
    <t>18-19 November 2019</t>
  </si>
  <si>
    <t>5-14 November 2019</t>
  </si>
  <si>
    <t>26-27 November 2019</t>
  </si>
  <si>
    <t>2-3 November 2019</t>
  </si>
  <si>
    <t>21-22, 28-29 November 2019</t>
  </si>
  <si>
    <t>28-29 November 2019</t>
  </si>
  <si>
    <t>2-3, 9-10 November 2019</t>
  </si>
  <si>
    <t>1-28 November 2019</t>
  </si>
  <si>
    <t>1-30 November 2019</t>
  </si>
  <si>
    <t>7-30 November 2019</t>
  </si>
  <si>
    <t>14-17 November 2019</t>
  </si>
  <si>
    <t>21-24, 30 November 2019</t>
  </si>
  <si>
    <t>1-12, 15-30 November 2019</t>
  </si>
  <si>
    <t>3-4, 20-21, 29-30 November 2019</t>
  </si>
  <si>
    <t>4-30 November 2019</t>
  </si>
  <si>
    <t>Closed the report on 4th December 2019</t>
  </si>
  <si>
    <t xml:space="preserve"> Perdiem Report in October 2019</t>
  </si>
  <si>
    <t>Last updated : 01 November 2019 Time: 18.00  (Status : CLOSE)</t>
  </si>
  <si>
    <t>TAA No.</t>
  </si>
  <si>
    <t>1-3 September 2019</t>
  </si>
  <si>
    <t>Retro for Sep 19</t>
  </si>
  <si>
    <t>1-2 October 2019</t>
  </si>
  <si>
    <t>1-6, 9-13, 15-30 September / 1-2 October 2019</t>
  </si>
  <si>
    <t>24-27 May / 1 Oct 2019</t>
  </si>
  <si>
    <t>Retro for May 19</t>
  </si>
  <si>
    <t>2-6, 19-20 October 2019</t>
  </si>
  <si>
    <t>2-7 October 2019</t>
  </si>
  <si>
    <t>1-2, 6-9 October 2019</t>
  </si>
  <si>
    <t>1-4 October 2019</t>
  </si>
  <si>
    <t>4-8 October 2019</t>
  </si>
  <si>
    <t>5-8 October 2019</t>
  </si>
  <si>
    <t>11-12 October 2019</t>
  </si>
  <si>
    <t>1 October 2019</t>
  </si>
  <si>
    <t>17-18 October 2019</t>
  </si>
  <si>
    <t>1-17 October 2019</t>
  </si>
  <si>
    <t>21-22 October 2019</t>
  </si>
  <si>
    <t>14-17 October 2019</t>
  </si>
  <si>
    <t>18-19 October 2019</t>
  </si>
  <si>
    <t>1-5 October 2019</t>
  </si>
  <si>
    <t>1-8, 14-16, 19-27 October 2019</t>
  </si>
  <si>
    <t>7-9 October 2019</t>
  </si>
  <si>
    <t>25-26 October 2019</t>
  </si>
  <si>
    <t>1-30 September / 1 October 2019</t>
  </si>
  <si>
    <t>1-3 September / 1-31 October 2019</t>
  </si>
  <si>
    <t>1-5, 8-21, 23-26, 28-30 September / 1 October 2019</t>
  </si>
  <si>
    <t>1, 30 September / 1-26, 29 October 2019</t>
  </si>
  <si>
    <t>1-13, 15, 17-30 September / 1-14, 18-30 October 2019</t>
  </si>
  <si>
    <t>2-14, 17-30 September / 1-14, 18-31 October 2019</t>
  </si>
  <si>
    <t>1-30 September / 1-3 October 2019</t>
  </si>
  <si>
    <t>30 September / 1-13, 15-22, 24-31 October 2019</t>
  </si>
  <si>
    <t>1-30 September 2019</t>
  </si>
  <si>
    <t>8-9 August 2019</t>
  </si>
  <si>
    <t>1-27 September / 4 October 2019</t>
  </si>
  <si>
    <t>1, 29-30 October 2019</t>
  </si>
  <si>
    <t>2-3 Ocotober 2019</t>
  </si>
  <si>
    <t>2-24, 27 October 2019</t>
  </si>
  <si>
    <t>1-6 October 2019</t>
  </si>
  <si>
    <t>2-4 October 2019</t>
  </si>
  <si>
    <t>1-5, 9-31 October 2019</t>
  </si>
  <si>
    <t>1-6, 8-10, 14-27 October 2019</t>
  </si>
  <si>
    <t>1-9, 11-16, 18-28, 30 October 2019</t>
  </si>
  <si>
    <t>1, 30 September / 1-31 October 2019</t>
  </si>
  <si>
    <t>1, 25-26 October 2019</t>
  </si>
  <si>
    <t>Closed the report on 5th November 2019</t>
  </si>
  <si>
    <t xml:space="preserve"> Perdiem Report in September 2019</t>
  </si>
  <si>
    <t>Last updated : 02 October 2019 Time: 17.00  (Status : CLOSE)</t>
  </si>
  <si>
    <t>17-18 August 2019</t>
  </si>
  <si>
    <t>1-13, 17-31 August / 1-3 September 2019</t>
  </si>
  <si>
    <t>1-18, 21-31 August / 1-5, 7, 9-20, 22-30 Sep 2019</t>
  </si>
  <si>
    <t>30 April / 1-3 May 2019</t>
  </si>
  <si>
    <t>1-15, 17-31 August / 1-30 September 2019</t>
  </si>
  <si>
    <t>1-8, 10-15, 18-31 August / 1-17, 21-27, 29-30 Sep 2019</t>
  </si>
  <si>
    <t>6-7 September 2019</t>
  </si>
  <si>
    <t>16-18 August 2019</t>
  </si>
  <si>
    <t>1 August 2019</t>
  </si>
  <si>
    <t>1-2 September 2019</t>
  </si>
  <si>
    <t>1-26, 28 September 2019</t>
  </si>
  <si>
    <t>1-4 September 2019</t>
  </si>
  <si>
    <t>1-26, 29-30 September 2019</t>
  </si>
  <si>
    <t>1-6, 9-30 September 2019</t>
  </si>
  <si>
    <t>1-31 August / 1-2, 6-25, 30 September 2019</t>
  </si>
  <si>
    <t>1, 4, 9-30 September 2019</t>
  </si>
  <si>
    <t>1-7, 14-30 September 2019</t>
  </si>
  <si>
    <t>1-2, 4-27, 29-30 September 2019</t>
  </si>
  <si>
    <t>1-13, 16-30 September 2019</t>
  </si>
  <si>
    <t>3, 6-15, 17-30 September 2019</t>
  </si>
  <si>
    <t>2-27 September 2019</t>
  </si>
  <si>
    <t>22-23 September 2019</t>
  </si>
  <si>
    <t>1, 4-19, 22-30 September 2019</t>
  </si>
  <si>
    <t>14-15 September 2019</t>
  </si>
  <si>
    <t>29-30 September 2019</t>
  </si>
  <si>
    <t>1-16, 18-30 September 2019</t>
  </si>
  <si>
    <t>2-7, 15-30 September 2019</t>
  </si>
  <si>
    <t>1-7, 11-30 September 2019</t>
  </si>
  <si>
    <t>1, 3-15, 18-30 September 2019</t>
  </si>
  <si>
    <t>1-24, 28-30 September 2019</t>
  </si>
  <si>
    <t>1, 7-14, 16-30 September 2019</t>
  </si>
  <si>
    <t>1-25 September 2019</t>
  </si>
  <si>
    <t>1-2, 4-14, 16-27 September 2019</t>
  </si>
  <si>
    <t>1-27 September 2019</t>
  </si>
  <si>
    <t>2-30 September 2019</t>
  </si>
  <si>
    <t>1-29 September 2019</t>
  </si>
  <si>
    <t>2-10, 12-31 August 2019</t>
  </si>
  <si>
    <t>1-11, 13-23, 26-31 August 2019</t>
  </si>
  <si>
    <t>28-30 September 2019</t>
  </si>
  <si>
    <t>1-7, 10-30 September 2019</t>
  </si>
  <si>
    <t>1-6, 8-30 September 2019</t>
  </si>
  <si>
    <t>1-11, 13-26, 30 August / 1-14, 16, 18-30 Sep 2019</t>
  </si>
  <si>
    <t>Closed the report on 7th October 2019</t>
  </si>
  <si>
    <t xml:space="preserve"> Perdiem Report in August 2019</t>
  </si>
  <si>
    <t>Last updated : 01 September 2019 Time: 12.00  (Status : CLOSED)</t>
  </si>
  <si>
    <t>23-24 July 2019</t>
  </si>
  <si>
    <t>2-31 July 2019</t>
  </si>
  <si>
    <t>1-11, 15-31 July / 1-8, 13-31 August 2019</t>
  </si>
  <si>
    <t xml:space="preserve">1-7, 9-22, 24-31 July / 1-18, 20-31 August 2019 </t>
  </si>
  <si>
    <t>2-15, 18-31 July 2019</t>
  </si>
  <si>
    <t>1-31 July / 1-3, 6-9, 12-31 August  2019</t>
  </si>
  <si>
    <t>2-5, 8-20, 22-31 July / 1-2 August 2019</t>
  </si>
  <si>
    <t>10-11 August 2019</t>
  </si>
  <si>
    <t>10-12 August 2019</t>
  </si>
  <si>
    <t>12-15 June 2019</t>
  </si>
  <si>
    <t>1-10, 14, 16, 19-31 July / 1-8, 12-31 August 2019</t>
  </si>
  <si>
    <t>1-31 July / 1-2, 5-31 August 2019</t>
  </si>
  <si>
    <t>1-12, 15-31 July / 1-2 August 2019</t>
  </si>
  <si>
    <t>1-2 July 2019</t>
  </si>
  <si>
    <t>4-27, 31 July / 1-4, 6-31 August 2019</t>
  </si>
  <si>
    <t>23-24 June / 1-31 July / 1-3 August 2019</t>
  </si>
  <si>
    <t>1-31 July / 1 August 2019</t>
  </si>
  <si>
    <t>2, 5-31 July / 1, 4-10, 13-31 August 2019</t>
  </si>
  <si>
    <t>1-18, 22-31 July 2019</t>
  </si>
  <si>
    <t>1-2 August 2019</t>
  </si>
  <si>
    <t>16-23 July 2019</t>
  </si>
  <si>
    <t>11-12 August 2019</t>
  </si>
  <si>
    <t>23-25 August 2019</t>
  </si>
  <si>
    <t>8-12 August 2019</t>
  </si>
  <si>
    <t>1-2, 5-29 August 2019</t>
  </si>
  <si>
    <t>2-10, 12-13 August 2019</t>
  </si>
  <si>
    <t>1-15, 18-28, 30-31 August 2019</t>
  </si>
  <si>
    <t>2-24, 26-31 August 2019</t>
  </si>
  <si>
    <t>1-18, 20-21, 23-31 August 2019</t>
  </si>
  <si>
    <t>1-31 August 2019</t>
  </si>
  <si>
    <t>1-10, 13-31 August 2019</t>
  </si>
  <si>
    <t>2-16, 19-31 August 2019</t>
  </si>
  <si>
    <t>1, 4-8, 10-31 August 2019</t>
  </si>
  <si>
    <t>1, 4-9, 12-31 August 2019</t>
  </si>
  <si>
    <t>1-12, 14-31 August 2019</t>
  </si>
  <si>
    <t>2-9, 12-31 August 2019</t>
  </si>
  <si>
    <t>2-3, 10-13, 21-31 August 2019</t>
  </si>
  <si>
    <t>1-10, 12-31 August 2019</t>
  </si>
  <si>
    <t>1-9, 13-31 August 2019</t>
  </si>
  <si>
    <t>14-18 August 2019</t>
  </si>
  <si>
    <t>1, 4-10, 13-31 August 2019</t>
  </si>
  <si>
    <t>1-30 August 2019</t>
  </si>
  <si>
    <t>1-28, 31 August 2019</t>
  </si>
  <si>
    <t>1-18, 22-31 August 2019</t>
  </si>
  <si>
    <t>6-31 August 2019</t>
  </si>
  <si>
    <t>5-29, 31 August 2019</t>
  </si>
  <si>
    <t>5-31 August 2019</t>
  </si>
  <si>
    <t>1-3 August 2019</t>
  </si>
  <si>
    <t>2-30 August 2019</t>
  </si>
  <si>
    <t>2-27 August 2019</t>
  </si>
  <si>
    <t>1-17, 19-30 August 2019</t>
  </si>
  <si>
    <t>1-8, 13-31 August 2019</t>
  </si>
  <si>
    <t>1-6, 9, 11, 13-31 August 2019</t>
  </si>
  <si>
    <t>2-31 August 2019</t>
  </si>
  <si>
    <t>1-11, 16-31 August 2019</t>
  </si>
  <si>
    <t>1-8, 14-31 August 2019</t>
  </si>
  <si>
    <t>1-9, 12-31 August 2019</t>
  </si>
  <si>
    <t>1-12, 14, 16-31 August 2019</t>
  </si>
  <si>
    <t>1-10, 13-30 August 2019</t>
  </si>
  <si>
    <t>1-11, 13-31 August 2019</t>
  </si>
  <si>
    <t>1-4, 6-31 August 2019</t>
  </si>
  <si>
    <t>23-30 August 2019</t>
  </si>
  <si>
    <t>Closed the report on 9th September  2019</t>
  </si>
  <si>
    <t xml:space="preserve"> Perdiem Report in July 2019</t>
  </si>
  <si>
    <t>Last updated : 02 August 2019 Time: 12.00  (Status : CLOSED)</t>
  </si>
  <si>
    <t>28-30 June 2019</t>
  </si>
  <si>
    <t>1-30 June / 1 July 2019</t>
  </si>
  <si>
    <t>1-8, 10-18, 20-26, 30 June / 1-24, 26-31 July 2019</t>
  </si>
  <si>
    <t>1-6, 8-25 June 2019</t>
  </si>
  <si>
    <t>1-15, 17-30 June / 1-31 July 2019</t>
  </si>
  <si>
    <t>1-3 July 2019</t>
  </si>
  <si>
    <t>1-6, 11-14 June 2019</t>
  </si>
  <si>
    <t>1-4 June 2019</t>
  </si>
  <si>
    <t>1-16, 20-30 June / 1-5 July 2019</t>
  </si>
  <si>
    <t>1-7 July 2019</t>
  </si>
  <si>
    <t>6-7 July 2019</t>
  </si>
  <si>
    <t>1-7, 9-21, 23 June 2019</t>
  </si>
  <si>
    <t>1-4, 7-14, 16-30 June 2019</t>
  </si>
  <si>
    <t>1-30 June / 1-5 July 2019</t>
  </si>
  <si>
    <t>1-4 July 2019</t>
  </si>
  <si>
    <t>7-9 June 2019</t>
  </si>
  <si>
    <t>23-26 May / 26-27 June 2019</t>
  </si>
  <si>
    <t>13-16 May / 10-13 June 2019</t>
  </si>
  <si>
    <t>1-11, 15-30 June / 1-31 July 2019</t>
  </si>
  <si>
    <t>12-13 July 2019</t>
  </si>
  <si>
    <t>1-4, 6-31 July 2019</t>
  </si>
  <si>
    <t>2-17, 20, 22-31 July 2019</t>
  </si>
  <si>
    <t>1-31 July 2019</t>
  </si>
  <si>
    <t>1-2, 4-31 July 2019</t>
  </si>
  <si>
    <t>1-6, 8-25, 28-31 July 2019</t>
  </si>
  <si>
    <t>1-5, 7-31 July 2019</t>
  </si>
  <si>
    <t>3-31 July 2019</t>
  </si>
  <si>
    <t>1-19, 23-31 July 2019</t>
  </si>
  <si>
    <t>2-17, 20-31 July 2019</t>
  </si>
  <si>
    <t>1-7, 9-20, 27-31 July 2019</t>
  </si>
  <si>
    <t>1, 4, 6-31 July 2019</t>
  </si>
  <si>
    <t>1-5, 9-28, 30-31 July 2019</t>
  </si>
  <si>
    <t>1, 3-21, 24-31 July 2019</t>
  </si>
  <si>
    <t>4-7, 9-22, 24-31 July 2019</t>
  </si>
  <si>
    <t>6-9, 13-31 July 2019</t>
  </si>
  <si>
    <t>1-6, 13-18, 20, 22-31 July 2019</t>
  </si>
  <si>
    <t>13-31 July 2019</t>
  </si>
  <si>
    <t>1, 3-31 July 2019</t>
  </si>
  <si>
    <t>1-5, 8, 10-12, 14-31 July 2019</t>
  </si>
  <si>
    <t>2-6, 8-31 July 2019</t>
  </si>
  <si>
    <t>1-6, 8-12, 14-31 July 2019</t>
  </si>
  <si>
    <t>2-13, 15-19, 21-31 July 2019</t>
  </si>
  <si>
    <t>2, 5-7, 10-30 July 2019</t>
  </si>
  <si>
    <t>1-13, 17-31 July 2019</t>
  </si>
  <si>
    <t>1-5 July 2019</t>
  </si>
  <si>
    <t>4-31 July 2019</t>
  </si>
  <si>
    <t>1-6, 8-13, 15-18, 22-27, 29-31 July 2019</t>
  </si>
  <si>
    <t>1-12, 16-19, 21-30 July 2019</t>
  </si>
  <si>
    <t>16-31 July 2019</t>
  </si>
  <si>
    <t>1-4, 8-31 July 2019</t>
  </si>
  <si>
    <t>1-2, 5-18, 20-31 July 2019</t>
  </si>
  <si>
    <t>1-29 July 2019</t>
  </si>
  <si>
    <t>1-14, 16-31 July 2019</t>
  </si>
  <si>
    <t>29-30 June 2019</t>
  </si>
  <si>
    <t>Closed the report on 5th August 2019</t>
  </si>
  <si>
    <t xml:space="preserve"> Perdiem Report in June 2019</t>
  </si>
  <si>
    <t>Last updated : 01 July 2019 Time: 18.00  (Status : CLOSED)</t>
  </si>
  <si>
    <t>1-31 May 2019</t>
  </si>
  <si>
    <t>1-25, 27-30 May 2019</t>
  </si>
  <si>
    <t>19-22 May 2019</t>
  </si>
  <si>
    <t>17-29, 31 May 2019</t>
  </si>
  <si>
    <t>23-28 May 2019</t>
  </si>
  <si>
    <t>1-15, 22-31 May / 1-2, 4-30 June 2019</t>
  </si>
  <si>
    <t>2-31 May / 1, 13-15 June 2019</t>
  </si>
  <si>
    <t>1-3 June 2019</t>
  </si>
  <si>
    <t>27-30 May / 2-5 June 2019</t>
  </si>
  <si>
    <t>2-5 June 2019</t>
  </si>
  <si>
    <t>29-31 May / 1 June 2019</t>
  </si>
  <si>
    <t>1-14, 17-30 June 2019</t>
  </si>
  <si>
    <t>1-4, 6-31 May 2019</t>
  </si>
  <si>
    <t>1-3, 8-11 June 2019</t>
  </si>
  <si>
    <t>1-2 June 2019</t>
  </si>
  <si>
    <t>8-11 June 2019</t>
  </si>
  <si>
    <t>1, 8-11, 13-15 June 2019</t>
  </si>
  <si>
    <t>14-16 June 2019</t>
  </si>
  <si>
    <t>11-14 June 2019</t>
  </si>
  <si>
    <t>1-2, 14-16 June 2019</t>
  </si>
  <si>
    <t>4-7, 10-13 June 2019</t>
  </si>
  <si>
    <t>9-12, 29-30 June 2019</t>
  </si>
  <si>
    <t>4-7 June 2019</t>
  </si>
  <si>
    <t>9-10, 14-15 June 2019</t>
  </si>
  <si>
    <t>1-16, 18-31 May / 1-3 June 2019</t>
  </si>
  <si>
    <t>2-6 June 2019</t>
  </si>
  <si>
    <t>10-13 June 2019</t>
  </si>
  <si>
    <t>9-12 June 2019</t>
  </si>
  <si>
    <t>2-3, 13-17 February 2019</t>
  </si>
  <si>
    <t>2-5 May 2019</t>
  </si>
  <si>
    <t>2, 6, 8-31 May 2019</t>
  </si>
  <si>
    <t>2, 8-31 May 2019</t>
  </si>
  <si>
    <t>1-6, 9-30 May / 2 June 2019</t>
  </si>
  <si>
    <t>1 April / 12-15 May 2019</t>
  </si>
  <si>
    <t>1, 5-8 June 2019</t>
  </si>
  <si>
    <t>1, 7-9 June 2019</t>
  </si>
  <si>
    <t>1, 3 June 2019</t>
  </si>
  <si>
    <t>6-9, 12-15 June 2019</t>
  </si>
  <si>
    <t>19-21 June 2019</t>
  </si>
  <si>
    <t>1-2, 6-9 June 2019</t>
  </si>
  <si>
    <t>17-19 June 2019</t>
  </si>
  <si>
    <t>9-10 June 2019</t>
  </si>
  <si>
    <t>1-31 May / 1 June 2019</t>
  </si>
  <si>
    <t>22-24 May / 2-14, 18-30 June 2019</t>
  </si>
  <si>
    <t>1-31 May / 1-2 June 2019</t>
  </si>
  <si>
    <t>6-9 June 2019</t>
  </si>
  <si>
    <t>1-5 June 2019</t>
  </si>
  <si>
    <t>1-3, 8-9, 20-21, 26-28 June 2019</t>
  </si>
  <si>
    <t>1-3, 9-12 June 2019</t>
  </si>
  <si>
    <t>24-26 June 2019</t>
  </si>
  <si>
    <t>1-21, 24-28 June 2019</t>
  </si>
  <si>
    <t>24-25 June 2019</t>
  </si>
  <si>
    <t>1-28 June 2019</t>
  </si>
  <si>
    <t>2, 4, 6-15, 17-30 June 2019</t>
  </si>
  <si>
    <t>2-30 June 2019</t>
  </si>
  <si>
    <t>1-11, 13-30 June 2019</t>
  </si>
  <si>
    <t>1-4, 6-25, 27-30 June 2019</t>
  </si>
  <si>
    <t>1-18 June 2019</t>
  </si>
  <si>
    <t>3-6, 21-23 June 2019</t>
  </si>
  <si>
    <t>2-29 June 2019</t>
  </si>
  <si>
    <t>2-28, 30 June 2019</t>
  </si>
  <si>
    <t>1-6, 8-30 June 2019</t>
  </si>
  <si>
    <t>1-15, 17-30 June 2019</t>
  </si>
  <si>
    <t>1-8, 10-31 June 2019</t>
  </si>
  <si>
    <t>1-7, 10-30 June 2019</t>
  </si>
  <si>
    <t>1-30 June 2019</t>
  </si>
  <si>
    <t>1-18, 22-30 June 2019</t>
  </si>
  <si>
    <t>2-12, 14-30 June 2019</t>
  </si>
  <si>
    <t>1-6, 8-16, 21-30 June 2019</t>
  </si>
  <si>
    <t>1-14, 16-30 June 2019</t>
  </si>
  <si>
    <t>1-4, 6-11, 13-18, 20-30 June 2019</t>
  </si>
  <si>
    <t>1-8, 11-30 June 2019</t>
  </si>
  <si>
    <t>2-11, 14-30 June 2019</t>
  </si>
  <si>
    <t>1-2, 4-19, 21-30 June 2019</t>
  </si>
  <si>
    <t>1-23, 29-30 June 2019</t>
  </si>
  <si>
    <t>1-6, 12-30 June 2019</t>
  </si>
  <si>
    <t>3-8, 10-15, 17-30 June 2019</t>
  </si>
  <si>
    <t>3-8, 10-30 June 2019</t>
  </si>
  <si>
    <t>1-4, 7-18, 20-25, 27-30 June 2019</t>
  </si>
  <si>
    <t>2-10, 12-30 June 2019</t>
  </si>
  <si>
    <t>1, 3-22, 24-30 June 2019</t>
  </si>
  <si>
    <t>3-23, 27-30 June 2019</t>
  </si>
  <si>
    <t>28-31 May 2019</t>
  </si>
  <si>
    <t>31 March / 1-12, 15-18, 22-30 April / 1-5 June 2019</t>
  </si>
  <si>
    <t>28-31 May / 1-30 June 2019</t>
  </si>
  <si>
    <t>2-3, 10-30 June 2019</t>
  </si>
  <si>
    <t>1-2, 4-13, 15-19, 21-30 June 2019</t>
  </si>
  <si>
    <t>1-30 April / 1-3 May / 4-30 June 2019</t>
  </si>
  <si>
    <t>2-5, 7-30 June 2019</t>
  </si>
  <si>
    <t>2, 4-20, 22-23 June 2019</t>
  </si>
  <si>
    <t>1-3, 21-23 May 2019</t>
  </si>
  <si>
    <t>5-8, 10-13 June 2019</t>
  </si>
  <si>
    <t>5-8 June 2019</t>
  </si>
  <si>
    <t>Closed the report on 5th July 2019</t>
  </si>
  <si>
    <t>Perdiem Report in May 2019</t>
  </si>
  <si>
    <t>Last updated :1 April 2019 Time: 12.00  (Status : CLOSE)</t>
  </si>
  <si>
    <t>ON TIME(ALL CHECKED)</t>
  </si>
  <si>
    <t>1, 17-18, 26-29 May</t>
  </si>
  <si>
    <t>1, 11 - 14 May 2019</t>
  </si>
  <si>
    <t>1 - 2 May 2019</t>
  </si>
  <si>
    <t>1 - 30 April 2019</t>
  </si>
  <si>
    <t>LATE SUBMIT (RETRO)</t>
  </si>
  <si>
    <t>1-30 April / 1 May 2019</t>
  </si>
  <si>
    <t>2 MONTHS(ALL CHECKED)</t>
  </si>
  <si>
    <t>30 April/ 1 - 2 May 2019</t>
  </si>
  <si>
    <t>1 - 30 April / 1 May 2019</t>
  </si>
  <si>
    <t>30 April/ 1 May 2019</t>
  </si>
  <si>
    <t>3-30 April / 2 , 5- 8 May 2019</t>
  </si>
  <si>
    <t>6 - 9 May 2019</t>
  </si>
  <si>
    <t>7 - 10 May 2019</t>
  </si>
  <si>
    <t>9 - 12, 31  May 2019</t>
  </si>
  <si>
    <t>9 - 12 May 2019</t>
  </si>
  <si>
    <t>10 - 13 May 2019</t>
  </si>
  <si>
    <t>3 - 6 May 2019</t>
  </si>
  <si>
    <t>1 - 12, 17 - 30 April 2019</t>
  </si>
  <si>
    <t>9 - 10 May 2019</t>
  </si>
  <si>
    <t>12 - 15 May 2019</t>
  </si>
  <si>
    <t>11 - 14 May 2019</t>
  </si>
  <si>
    <t>6 - 9, 14 - 17 May 2019</t>
  </si>
  <si>
    <t>11 - 17 May 2019</t>
  </si>
  <si>
    <t>1 - 4 May 2019</t>
  </si>
  <si>
    <t>10 - 14 May 2019</t>
  </si>
  <si>
    <t>16 - 19 May 2019</t>
  </si>
  <si>
    <t>7 - 12 May 2019</t>
  </si>
  <si>
    <t>1, 14-17 May 2019</t>
  </si>
  <si>
    <t>17-20 May 2019</t>
  </si>
  <si>
    <t>10-13 / 15-18 May 2019</t>
  </si>
  <si>
    <t>8-11 May 2019</t>
  </si>
  <si>
    <t>1-11, 14-28 April 2019</t>
  </si>
  <si>
    <t>11-15 April 2019</t>
  </si>
  <si>
    <t>1-12, 15-30 April / 1 May 2019</t>
  </si>
  <si>
    <t>19-22 April 2019</t>
  </si>
  <si>
    <t>1-12, 14-30 April 2019</t>
  </si>
  <si>
    <t>18-21 May 2019</t>
  </si>
  <si>
    <t>7-10 May 2019</t>
  </si>
  <si>
    <t>1-2 May 2019</t>
  </si>
  <si>
    <t>1-31 March / 7-10 May 2019</t>
  </si>
  <si>
    <t>5-8 May 2019</t>
  </si>
  <si>
    <t>13-16 May 2019</t>
  </si>
  <si>
    <t>2-8, 10-11 May 2019</t>
  </si>
  <si>
    <t>1-3, 17-20 May 2019</t>
  </si>
  <si>
    <t>21-24 May 2019</t>
  </si>
  <si>
    <t>15-18 May 2019</t>
  </si>
  <si>
    <t>1-3 May 2019</t>
  </si>
  <si>
    <t>11-14 May 2019</t>
  </si>
  <si>
    <t>3-6, 15-19 May 2019</t>
  </si>
  <si>
    <t>20-23 May 2019</t>
  </si>
  <si>
    <t xml:space="preserve">8-11 May 2019 </t>
  </si>
  <si>
    <t>16-20 May 2019</t>
  </si>
  <si>
    <t>23-26 May 2019</t>
  </si>
  <si>
    <t>30 April / 1-5 May 2019</t>
  </si>
  <si>
    <t>1-4, 8-30 April / 1, 6-13, 15-22, 26-31 May 2019</t>
  </si>
  <si>
    <t>26-29 April 2019</t>
  </si>
  <si>
    <t>1-15, 19, 22-31 March 2019</t>
  </si>
  <si>
    <t>1-30 April 2019</t>
  </si>
  <si>
    <t>1-19, 23-27, 29-30 April  / 1-31 May 2019</t>
  </si>
  <si>
    <t>1-4, 7-10, 12-31 March 2019</t>
  </si>
  <si>
    <t>6-9 May 2019</t>
  </si>
  <si>
    <t>1-4, 14-17 May 2019</t>
  </si>
  <si>
    <t>25-28 May 2019</t>
  </si>
  <si>
    <t>1-13, 15-20, 22-30 April / 1-3 May 2019</t>
  </si>
  <si>
    <t>20-24 April 2019</t>
  </si>
  <si>
    <t>1, 4-11, 14-17, 19-22, 26-29 May 2019</t>
  </si>
  <si>
    <t>26-29 May 2019</t>
  </si>
  <si>
    <t>2-9 May 2019</t>
  </si>
  <si>
    <t>12-15, 28-31 May 2019</t>
  </si>
  <si>
    <t>23-26, 31 May 2019</t>
  </si>
  <si>
    <t>1-4, 7-23, 25-31 May 2019</t>
  </si>
  <si>
    <t>2-31 May 2019</t>
  </si>
  <si>
    <t>1-24, 26-31 May 2019</t>
  </si>
  <si>
    <t>3-6 May 2019</t>
  </si>
  <si>
    <t>1-17,21-31 May 2019</t>
  </si>
  <si>
    <t>2-3, 5-7, 10-17, 21-31 May 2019</t>
  </si>
  <si>
    <t>2, 4-8, 10-31 May 2019</t>
  </si>
  <si>
    <t>1-9, 11-31 May 2019</t>
  </si>
  <si>
    <t>1-3, 6-21, 23-31 May 2019</t>
  </si>
  <si>
    <t>2-15, 17-31 May 2019</t>
  </si>
  <si>
    <t>12-15, 22-25 May 2019</t>
  </si>
  <si>
    <t>10-13 May 2019</t>
  </si>
  <si>
    <t>1-8, 12-31 May 2019</t>
  </si>
  <si>
    <t>27-30 May 2019</t>
  </si>
  <si>
    <t>1-17, 20-31 May 2019</t>
  </si>
  <si>
    <t>1-22, 26-31 May 2019</t>
  </si>
  <si>
    <t>1-21, 23-31 May 2019</t>
  </si>
  <si>
    <t>22-25 May 2019</t>
  </si>
  <si>
    <t>9-12 May 2019</t>
  </si>
  <si>
    <t>1-5, 8-31 May 2019</t>
  </si>
  <si>
    <t>1-4, 9-25, 28-31 May 2019</t>
  </si>
  <si>
    <t>1-4, 8-11, 13-31 May 2019</t>
  </si>
  <si>
    <t>30-31 May 2019</t>
  </si>
  <si>
    <t>1-3, 30-31 May 2019</t>
  </si>
  <si>
    <t>2-5, 7-31 May 2019</t>
  </si>
  <si>
    <t>1-3, 11-14, 30-31 May 2019</t>
  </si>
  <si>
    <t>4-7 May 2019</t>
  </si>
  <si>
    <t>4-6 May 2019</t>
  </si>
  <si>
    <t>1, 3-11, 15-31 May 2019</t>
  </si>
  <si>
    <t>1-9, 13-31 May 2019</t>
  </si>
  <si>
    <t>6-31 May 2019</t>
  </si>
  <si>
    <t>2-4, 6-18, 21-31 May 2019</t>
  </si>
  <si>
    <t>29-31 May 2019</t>
  </si>
  <si>
    <t>8-31 May 2019</t>
  </si>
  <si>
    <t>1-3, 5-10, 12-25, 27-31 May 2019</t>
  </si>
  <si>
    <t>1, 3-13, 15-31 May 2019</t>
  </si>
  <si>
    <t>2-24, 26-31 May 2019</t>
  </si>
  <si>
    <t>4-7, 21-24 May 2019</t>
  </si>
  <si>
    <t>Wrong typing on list no.170</t>
  </si>
  <si>
    <t>Already  changed</t>
  </si>
  <si>
    <t>Closed the report on 7th June 2019</t>
  </si>
  <si>
    <t xml:space="preserve"> Perdiem Report in April 2019</t>
  </si>
  <si>
    <t>Last updated :1 May 2019 Time: 12.00  (Status : CLOSE)</t>
  </si>
  <si>
    <t>1 - 3, 5 - 31 March 2019</t>
  </si>
  <si>
    <t>1 - 7, 12 - 31 March / 1 - 9, 11 - 30 April 2019</t>
  </si>
  <si>
    <t>RETRO MARCH 19</t>
  </si>
  <si>
    <t>1 - 22, 25 - 31 March/ 1 - 2 April 2019</t>
  </si>
  <si>
    <t>1, 3 - 16, 18 - 23, 25 - 30 March 2019</t>
  </si>
  <si>
    <t>4 - 31 March / 1 April 2019</t>
  </si>
  <si>
    <t>9 - 12 March 2019</t>
  </si>
  <si>
    <t>1 - 31 March 2019</t>
  </si>
  <si>
    <t>1 - 23, 25 - 31 March/ 1 April 2019</t>
  </si>
  <si>
    <t>2 - 9, 12 - 31 March /1 - 5, 8 - 30 April 2019</t>
  </si>
  <si>
    <t>2 - 3 April 2019</t>
  </si>
  <si>
    <t>17 - 18 April 2019</t>
  </si>
  <si>
    <t>6 - 9 April 2019</t>
  </si>
  <si>
    <t>1, 4 - 17 April 2019</t>
  </si>
  <si>
    <t>1 - 2 April 2019</t>
  </si>
  <si>
    <t>1 - 10, 12 - 20 April 2019</t>
  </si>
  <si>
    <t>1, 5 - 6, 8 - 14, 16 - 31 March/ 1 - 12,16 - 30 April 2019</t>
  </si>
  <si>
    <t>1 - 9, 13 - 31 March 2019</t>
  </si>
  <si>
    <t>1 - 9, 11 - 31 March 2019</t>
  </si>
  <si>
    <t>1 - 29 March 2019</t>
  </si>
  <si>
    <t>1 - 13, 16 - 31 March/ 1 - 30 April 2019</t>
  </si>
  <si>
    <t>10 - 13 April 2019</t>
  </si>
  <si>
    <t>1 - 12, 14 - 31 March 2019</t>
  </si>
  <si>
    <t>1 - 28 April 2019</t>
  </si>
  <si>
    <t>24 - 27, 29 - 30 April 2019</t>
  </si>
  <si>
    <t>4 - 26, 30 - 31 March 2019</t>
  </si>
  <si>
    <t>9 - 11 February 2019</t>
  </si>
  <si>
    <t>12 - 15 April 2019</t>
  </si>
  <si>
    <t>1, 5 - 30 April 2019</t>
  </si>
  <si>
    <t>3 - 31 March /1 - 2, 9 - 30 April 2019</t>
  </si>
  <si>
    <t>1 - 5, 8 - 30 April 2019</t>
  </si>
  <si>
    <t>1 - 8, 11 - 15,22 - 31 March/ 1 - 11, 15 - 30 April  2019</t>
  </si>
  <si>
    <t>11 - 13 April 2019</t>
  </si>
  <si>
    <t>1 - 23, 16 - 30 April 2019</t>
  </si>
  <si>
    <t>30 - 31 March/1 - 3 April 2019</t>
  </si>
  <si>
    <t>RETRO MMARCH 19</t>
  </si>
  <si>
    <t>1 - 7, 10 - 30 April 2019</t>
  </si>
  <si>
    <t>1, 4 - 30 April 2019</t>
  </si>
  <si>
    <t>1 - 2, 4 - 12, 14 - 30 April 2019</t>
  </si>
  <si>
    <t>1 - 13, 16 - 26, 28 - 30 April 2019</t>
  </si>
  <si>
    <t>13 - 23 March 2019</t>
  </si>
  <si>
    <t>3 - 30 April 2019</t>
  </si>
  <si>
    <t>1 - 19, 22 - 30 April 2019</t>
  </si>
  <si>
    <t>1 - 27, 30 April 2019</t>
  </si>
  <si>
    <t>1 - 15, 21 - 27, 30 April 2019</t>
  </si>
  <si>
    <t>1 - 25,29 - 30 April 2019</t>
  </si>
  <si>
    <t>1 - 15, 19 - 30 April 2019</t>
  </si>
  <si>
    <t>29 - 30 April 2019</t>
  </si>
  <si>
    <t>1 - 5,8 - 12, 15 - 30 April 2019</t>
  </si>
  <si>
    <t>1 - 13, 16 - 30 April 2019</t>
  </si>
  <si>
    <t>1, 5 - 8,30 April 2019</t>
  </si>
  <si>
    <t>1 - 2, 6 - 13, 15 - 30 April 2019</t>
  </si>
  <si>
    <t>2 - 11, 17 - 30 April 2019</t>
  </si>
  <si>
    <t>1, 3 - 30 April 2019</t>
  </si>
  <si>
    <t>1 - 13, 16 - 21 April 2019</t>
  </si>
  <si>
    <t>1 - 12, 14 - 30 April 2019</t>
  </si>
  <si>
    <t>1 - 12, 16 - 30 April 2019</t>
  </si>
  <si>
    <t>2 - 30 April 2019</t>
  </si>
  <si>
    <t>6 - 30 April 2019</t>
  </si>
  <si>
    <t>15 - 18 April 2019</t>
  </si>
  <si>
    <t>18 - 22 April 2019</t>
  </si>
  <si>
    <t>RETRO FEB 19</t>
  </si>
  <si>
    <t>Non error</t>
  </si>
  <si>
    <t>Closed the report on 8th May 2019</t>
  </si>
  <si>
    <t>Verified by : Uthumporn Thongbud</t>
  </si>
  <si>
    <t xml:space="preserve"> Perdiem Report in March 2019</t>
  </si>
  <si>
    <t>1 - 20, 25 - 28 February 2019</t>
  </si>
  <si>
    <t>24 - 25 February 2019</t>
  </si>
  <si>
    <t>23 - 28 February / 1 - 2 March 2019</t>
  </si>
  <si>
    <t>1 - 2 March 2019</t>
  </si>
  <si>
    <t>11 February / 3, 5 - 30 March 2019</t>
  </si>
  <si>
    <t>RETRO FOR FEB 19</t>
  </si>
  <si>
    <t>2 - 5 March 2019</t>
  </si>
  <si>
    <t>1 - 3 March 2019</t>
  </si>
  <si>
    <t>1 - 4 March 2019</t>
  </si>
  <si>
    <t>1 - 14, 18 - 28 February 2019</t>
  </si>
  <si>
    <t>27 - 31 January /2 - 5 March 2019</t>
  </si>
  <si>
    <t>RETRO FOR JAN 19</t>
  </si>
  <si>
    <t>2 - 14,16 - 17, 19 - 28 February 2019</t>
  </si>
  <si>
    <t>10 - 12 February 2019</t>
  </si>
  <si>
    <t>10 - 15 March 2019</t>
  </si>
  <si>
    <t>1 - 5,9 - 12 March 2019</t>
  </si>
  <si>
    <t>1 - 3, 16 - 20 March 2019</t>
  </si>
  <si>
    <t>1 - 4 , 16 - 19 March 2019</t>
  </si>
  <si>
    <t>16 - 20 March 2019</t>
  </si>
  <si>
    <t>16 - 19 March 2019</t>
  </si>
  <si>
    <t>1 - 8 March 2019</t>
  </si>
  <si>
    <t>4 - 11 March 2019</t>
  </si>
  <si>
    <t>10 - 11 February 2019</t>
  </si>
  <si>
    <t>9 - 16, 30 - 31March 2019</t>
  </si>
  <si>
    <t>2 - 5, 9 - 28 February 2019</t>
  </si>
  <si>
    <t>23 - 26 March 2019</t>
  </si>
  <si>
    <t>1, 3 March 2019</t>
  </si>
  <si>
    <t>1 - 5,14 - 18 February /16 - 19 March 2019</t>
  </si>
  <si>
    <t>1 , 11 - 12,30 March 2019</t>
  </si>
  <si>
    <t>23 - 24 March 2019</t>
  </si>
  <si>
    <t>1 - 3, 23 - 26 March 2019</t>
  </si>
  <si>
    <t>11 - 12 March 2019</t>
  </si>
  <si>
    <t>22 - 26 March 2019</t>
  </si>
  <si>
    <t>16 - 17 March 2019</t>
  </si>
  <si>
    <t>1 - 6, 10 - 20, 24 - 29 March 2019</t>
  </si>
  <si>
    <t>22 - 29 March 2019</t>
  </si>
  <si>
    <t>21 - 30 March 2019</t>
  </si>
  <si>
    <t>1 - 10, 16 - 17, 21 - 31 March 2019</t>
  </si>
  <si>
    <t>1 - 2, 6 - 31 March 2019</t>
  </si>
  <si>
    <t>1 - 13, 16 - 31 March 2019</t>
  </si>
  <si>
    <t>2 - 31 March 2019</t>
  </si>
  <si>
    <t>12 - 16,25 - 29 March 2019</t>
  </si>
  <si>
    <t>1 - 6, 11 - 31 March 2019</t>
  </si>
  <si>
    <t>1 - 25, 29 - 31 March 2019</t>
  </si>
  <si>
    <t>29 - 30 March 2019</t>
  </si>
  <si>
    <t>2 - 15, 17 - 22, 24 - 31 March 2019</t>
  </si>
  <si>
    <t>4 - 9, 11 - 31 March 2019</t>
  </si>
  <si>
    <t>1 - 9, 12 - 31 March 2019</t>
  </si>
  <si>
    <t>1 - 8, 12, 16 - 17 , 22 - 30 March 2019</t>
  </si>
  <si>
    <t>1 - 22, 25 - 31 March 2019</t>
  </si>
  <si>
    <t xml:space="preserve">1 - 2, 5 - 26, 29 - 31 March 2019 </t>
  </si>
  <si>
    <t>1 - 6, 10 - 27, 31 March 2019</t>
  </si>
  <si>
    <t>1, 23 - 24, 29 - 30 March 2019</t>
  </si>
  <si>
    <t>1 - 17, 21 - 31 March 2019</t>
  </si>
  <si>
    <t>1 - 21, 24 - 31 March 2019</t>
  </si>
  <si>
    <t>1 - 30 March 2019</t>
  </si>
  <si>
    <t>1 - 3, 7 - 26, 30 - 31 March 2019</t>
  </si>
  <si>
    <t>1 - 9, 11 - 13, 17 - 31 March 2019</t>
  </si>
  <si>
    <t>1 - 20, 24 - 25, 29 - 31 March 2019</t>
  </si>
  <si>
    <t>2 - 5, 9 - 10, 12 - 31 March 2019</t>
  </si>
  <si>
    <t>2 - 19, 21 - 31 March 2019</t>
  </si>
  <si>
    <t>1 - 18, 20 - 31 March 2019</t>
  </si>
  <si>
    <t>1 - 19, 22 - 31 March 2019</t>
  </si>
  <si>
    <t>1 - 14, 18 - 28, 30 - 31 March 2019</t>
  </si>
  <si>
    <t>1 - 2, 9 - 31 March 2019</t>
  </si>
  <si>
    <t>2 - 8, 12 - 16, 18 - 28 February/1 - 23, 25 - 31 March 2019</t>
  </si>
  <si>
    <t>1 - 3, 5 - 10, 12 - 15, 19 - 27, 30 - 31 March 2019</t>
  </si>
  <si>
    <t>1 - 28 March 2019</t>
  </si>
  <si>
    <t>2 - 21, 25 - 31 March 2019</t>
  </si>
  <si>
    <t>1 - 9, 13 - 15, 19 - 24, 30 - 31 March 2019</t>
  </si>
  <si>
    <t>2 - 23, 26 - 31 March 2019</t>
  </si>
  <si>
    <t>1 - 15, 19 - 31 March 2019</t>
  </si>
  <si>
    <t>1 - 2, 6 - 20, 24 - 31 March 2019</t>
  </si>
  <si>
    <t>1 - 25, 29 , 31 March 2019</t>
  </si>
  <si>
    <t>31 January /1 - 3 March 2019</t>
  </si>
  <si>
    <t>1, 3 - 8, 10 - 31 March 2019</t>
  </si>
  <si>
    <t>1, 4 - 12, 16 - 22, 26 - 31 March 2019</t>
  </si>
  <si>
    <t>1 - 10, 14 - 31 March 2019</t>
  </si>
  <si>
    <t>24 - 29 March 2019</t>
  </si>
  <si>
    <t>2 - 9 March 2019</t>
  </si>
  <si>
    <t>Closed the report on 9th April 2019</t>
  </si>
  <si>
    <t xml:space="preserve"> Perdiem Report in February 2019</t>
  </si>
  <si>
    <t>Last updated :28 February 2019 Time: 12.00  (Status : Close)</t>
  </si>
  <si>
    <t>1, 19 - 22 February 2019</t>
  </si>
  <si>
    <t>1 - 31 January/ 1 - 7,9 - 28 February 2019</t>
  </si>
  <si>
    <t>4 - 31 January / 1 February 2019</t>
  </si>
  <si>
    <t>1 - 2, 6 - 10, 14 - 19, 23 - 25,29 - 31 January/1 - 8, 12 - 17, 19 - 28 February  2019</t>
  </si>
  <si>
    <t>3 - 4 February 2019</t>
  </si>
  <si>
    <t>1 - 6 February 2019</t>
  </si>
  <si>
    <t>1 - 29 January 2019</t>
  </si>
  <si>
    <t>2 February 2019</t>
  </si>
  <si>
    <t>3 - 4 Febraury 2019</t>
  </si>
  <si>
    <t>29 - 31 January / 1 - 2 February 2019</t>
  </si>
  <si>
    <t>5 - 8,10 - 12 February 2019</t>
  </si>
  <si>
    <t>6 - 12 February 2019</t>
  </si>
  <si>
    <t>13 - 15 February 2019</t>
  </si>
  <si>
    <t>10 - 12 , 17 - 18 February 2019</t>
  </si>
  <si>
    <t>12 - 14 February 2019</t>
  </si>
  <si>
    <t>6 - 11 February 2019</t>
  </si>
  <si>
    <t>13 - 19 February 2019</t>
  </si>
  <si>
    <t>17 - 18 February 2019</t>
  </si>
  <si>
    <t>cnx-pek-cnx จ่ายเป็นค่า overmight แทน</t>
  </si>
  <si>
    <t>9 - 12 February 2019</t>
  </si>
  <si>
    <t>1 - 2, 4, February 2019</t>
  </si>
  <si>
    <t>1 - 2 February 2019</t>
  </si>
  <si>
    <t>16 - 20 February 2019</t>
  </si>
  <si>
    <t>2 - 8 February 2019</t>
  </si>
  <si>
    <t>1, 15 - 17, 28 February 2019</t>
  </si>
  <si>
    <t>Pakorn Pongsuwichessak</t>
  </si>
  <si>
    <t>16 - 17 February 2019</t>
  </si>
  <si>
    <t>2 - 3 February 2019</t>
  </si>
  <si>
    <t>11 - 13 February 2019</t>
  </si>
  <si>
    <t>12 - 15 February 2019</t>
  </si>
  <si>
    <t>21 - 22 February 2019</t>
  </si>
  <si>
    <t>3 - 4 , 14 - 16 February 2019</t>
  </si>
  <si>
    <t>19 - 23 February 2019</t>
  </si>
  <si>
    <t>10 - 13 February 2019</t>
  </si>
  <si>
    <t>1 - 5, 9 - 11, 13 - 16 February 2019</t>
  </si>
  <si>
    <t>8 - 10 February 2019</t>
  </si>
  <si>
    <t>12 - 16, 23 - 24 February 2019</t>
  </si>
  <si>
    <t>23 - 24 February 2019</t>
  </si>
  <si>
    <t>1 - 15, 17 - 31 January 2019</t>
  </si>
  <si>
    <t>RETRO (ALL CHECKED)</t>
  </si>
  <si>
    <t>2 -  31 January 2019</t>
  </si>
  <si>
    <t>1, 11 - 13,15 - 18,24 - 27 February 2019</t>
  </si>
  <si>
    <t>17 - 18, 23 - 24 February 2019</t>
  </si>
  <si>
    <t>17 - 21 February 2019</t>
  </si>
  <si>
    <t>16 - 21 February 2019</t>
  </si>
  <si>
    <t>13 - 15,21 - 24 February 2019</t>
  </si>
  <si>
    <t>8 - 10, 24 -26 February 2019</t>
  </si>
  <si>
    <t>25 - 28 February 2019</t>
  </si>
  <si>
    <t>1 - 28 February 2019</t>
  </si>
  <si>
    <t>1 - 4, 7 - 23, 25 - 26 February 2019</t>
  </si>
  <si>
    <t>11 - 16 January/16 - 20 February 2019</t>
  </si>
  <si>
    <t>20 January /3 - 28 February 2019</t>
  </si>
  <si>
    <t>2 - 21, 24 - 28 February 2019</t>
  </si>
  <si>
    <t>1 - 13, 16 - 28 February 2019</t>
  </si>
  <si>
    <t>2 - 28 February 2019</t>
  </si>
  <si>
    <t>16 - 31 January 2019 /1 - 11, 13 - 28 February 2019</t>
  </si>
  <si>
    <t>30 - 31 January/1 - 20, 22 - 23, 28 February 2019</t>
  </si>
  <si>
    <t>1 - 8, 10 - 28 February 2019</t>
  </si>
  <si>
    <t>29 - 31 January 2019/1 - 28 February 2019</t>
  </si>
  <si>
    <t>1 - 31 January/ 1 - 2 February 2019</t>
  </si>
  <si>
    <t>20 - 25 January / 2 - 9, 13 - 23, 25 - 28 February 2019</t>
  </si>
  <si>
    <t>2 - 15,18 - 31 January/ 1 - 7,11 - 28 February 2019</t>
  </si>
  <si>
    <t>18 - 25 January / 2 - 8, 22 - 28 February 2019</t>
  </si>
  <si>
    <t>1, 5 - 7, 11 - 19, 23 - 26, 30 - 31 January 2019</t>
  </si>
  <si>
    <t>30 - 31 January 2019</t>
  </si>
  <si>
    <t>1 - 5, 7 - 12, 16 - 28 February 2019</t>
  </si>
  <si>
    <t>1 - 24, 28 February 2019</t>
  </si>
  <si>
    <t>2 - 15, 19 - 21, 27 - 28 February 2019</t>
  </si>
  <si>
    <t>31 January /1 - 13,15, 23 - 28 February 2019</t>
  </si>
  <si>
    <t>28 - 29 January/8 - 10, 22 - 23 February 2019</t>
  </si>
  <si>
    <t>2 - 15, 19 - 28 February 2019</t>
  </si>
  <si>
    <t>1 - 4, 6 - 28 February 2019</t>
  </si>
  <si>
    <t>22 - 26 February 2019</t>
  </si>
  <si>
    <t>9 - 10, 14 - 16 February 2019</t>
  </si>
  <si>
    <t>9 - 10, 23 - 24 February 2019</t>
  </si>
  <si>
    <t>2 - 10, 14 - 28 February 2019</t>
  </si>
  <si>
    <t>1 - 8,12 - 28 February 2019</t>
  </si>
  <si>
    <t>1 - 8, 11 - 16, 18 - 28 February 2019</t>
  </si>
  <si>
    <t>1 - 7, 11 - 28 February 2019</t>
  </si>
  <si>
    <t>1 - 30  November 2018/1 - 2 - 12, 15 - 28 February 2019</t>
  </si>
  <si>
    <t>16 - 22 February 2019</t>
  </si>
  <si>
    <t>1 - 2, 4, 8 - 14, 18 - 28 February 2019</t>
  </si>
  <si>
    <t>2 - 15, 19 - 23, 27 - 28 February 2019</t>
  </si>
  <si>
    <t>1, 5 - 14, 19 - 28 February 2019</t>
  </si>
  <si>
    <t>1 - 8, 11 - 28 February 2019</t>
  </si>
  <si>
    <t>1, 3 - 9, 11 - 14, 18 - 28 February 2019</t>
  </si>
  <si>
    <t>2 - 11, 13 - 28 January , 4 February 2019</t>
  </si>
  <si>
    <t>1 - 3, 9 - 28 February 2019</t>
  </si>
  <si>
    <t>1 - 14, 17 - 28 February 2019</t>
  </si>
  <si>
    <t>14 - 16 February 2019</t>
  </si>
  <si>
    <t>1 - 5 February 2019</t>
  </si>
  <si>
    <t>1 - 5, 9 - 10, 14 - 18, 25 - 28 February 2019</t>
  </si>
  <si>
    <t>22 - 25 February 2019</t>
  </si>
  <si>
    <t>30 - 31 January /1 - 28 February 2019</t>
  </si>
  <si>
    <t>Closed the report on 6TH MARCH 2019</t>
  </si>
  <si>
    <t>อายุงานของพนักงาน ณ ปัจจุบันรายงานวันที่</t>
  </si>
  <si>
    <t>Batch</t>
  </si>
  <si>
    <t>NEW ID</t>
  </si>
  <si>
    <t>EmpCode</t>
  </si>
  <si>
    <t>PersonPrefixEng</t>
  </si>
  <si>
    <t>PersonFNameEng</t>
  </si>
  <si>
    <t>PersonLNameEng</t>
  </si>
  <si>
    <t>TAA0025</t>
  </si>
  <si>
    <t>Ms.</t>
  </si>
  <si>
    <t>Angkhana</t>
  </si>
  <si>
    <t>Juraiphong</t>
  </si>
  <si>
    <t>Angkhana Juraiphong</t>
  </si>
  <si>
    <t>TAA0034</t>
  </si>
  <si>
    <t>Mr.</t>
  </si>
  <si>
    <t>Chaichana</t>
  </si>
  <si>
    <t>Tommawong</t>
  </si>
  <si>
    <t>Chaichana Tommawong</t>
  </si>
  <si>
    <t>TAA0042</t>
  </si>
  <si>
    <t>Kunyarpast (Thalatchanan)</t>
  </si>
  <si>
    <t>Toyingsirikul</t>
  </si>
  <si>
    <t>Kunyarpast Toyingsirikul</t>
  </si>
  <si>
    <t>TAA0055</t>
  </si>
  <si>
    <t>Rawiga</t>
  </si>
  <si>
    <t>Kuawong</t>
  </si>
  <si>
    <t>Rawiga Kuawong</t>
  </si>
  <si>
    <t>TAA0076</t>
  </si>
  <si>
    <t>Thanisorn</t>
  </si>
  <si>
    <t>Lenavat</t>
  </si>
  <si>
    <t>Thanisorn Lenavat</t>
  </si>
  <si>
    <t>TAA0263</t>
  </si>
  <si>
    <t>Bussayarangsri</t>
  </si>
  <si>
    <t>Saringkaphaiboon</t>
  </si>
  <si>
    <t>Bussayarangsri Saringkaphaiboon</t>
  </si>
  <si>
    <t>TAA0266</t>
  </si>
  <si>
    <t>Onwijit</t>
  </si>
  <si>
    <t>Rinthaphol</t>
  </si>
  <si>
    <t>Onwijit Rinthaphol</t>
  </si>
  <si>
    <t>TAA0366</t>
  </si>
  <si>
    <t>Thatchada</t>
  </si>
  <si>
    <t>Sakulthep</t>
  </si>
  <si>
    <t>Thatchada Sakulthep</t>
  </si>
  <si>
    <t>TAA0501</t>
  </si>
  <si>
    <t>Kulsatree</t>
  </si>
  <si>
    <t>Siripongpreeda</t>
  </si>
  <si>
    <t>Kulsatree Siripongpreeda</t>
  </si>
  <si>
    <t>TAA0506</t>
  </si>
  <si>
    <t>Nuttakarn</t>
  </si>
  <si>
    <t>Sirasarun</t>
  </si>
  <si>
    <t>Nuttakarn Sirasarun</t>
  </si>
  <si>
    <t>TAA0617</t>
  </si>
  <si>
    <t>Phitsita</t>
  </si>
  <si>
    <t>Tungasvasti</t>
  </si>
  <si>
    <t>Phitsita Tungasvasti</t>
  </si>
  <si>
    <t>TAA0680</t>
  </si>
  <si>
    <t>Sasitorn</t>
  </si>
  <si>
    <t>Bedei</t>
  </si>
  <si>
    <t>Sasitorn Bedei</t>
  </si>
  <si>
    <t>TAA0681</t>
  </si>
  <si>
    <t>Sivaporn</t>
  </si>
  <si>
    <t>Limkanokrat</t>
  </si>
  <si>
    <t>Sivaporn Limkanokrat</t>
  </si>
  <si>
    <t>TAA0689</t>
  </si>
  <si>
    <t>Theppakorn</t>
  </si>
  <si>
    <t>Theppakorn Chaichana</t>
  </si>
  <si>
    <t>TAA0719</t>
  </si>
  <si>
    <t>Avisada</t>
  </si>
  <si>
    <t>Jirunyakul</t>
  </si>
  <si>
    <t>Avisada Jirunyakul</t>
  </si>
  <si>
    <t>TAA0720</t>
  </si>
  <si>
    <t>Lucksnara (Anchalee)</t>
  </si>
  <si>
    <t>Sothiratviroj (Wongdama)</t>
  </si>
  <si>
    <t>Lucksnara Sothiratviroj</t>
  </si>
  <si>
    <t>TAA0722</t>
  </si>
  <si>
    <t>Panatda</t>
  </si>
  <si>
    <t>Nawakitwiboon</t>
  </si>
  <si>
    <t>Panatda Nawakitwiboon</t>
  </si>
  <si>
    <t>TAA0724</t>
  </si>
  <si>
    <t>Mrs.</t>
  </si>
  <si>
    <t>Preeyaorn</t>
  </si>
  <si>
    <t>Robrou (Ingavanija)</t>
  </si>
  <si>
    <t>Preeyaorn Robrou</t>
  </si>
  <si>
    <t>TAA0754</t>
  </si>
  <si>
    <t>Darunee</t>
  </si>
  <si>
    <t>Duangdara</t>
  </si>
  <si>
    <t>Darunee Duangdara</t>
  </si>
  <si>
    <t>TAA0758</t>
  </si>
  <si>
    <t>Pathomporn</t>
  </si>
  <si>
    <t>Sukanthong</t>
  </si>
  <si>
    <t>Pathomporn Sukanthong</t>
  </si>
  <si>
    <t>TAA0760</t>
  </si>
  <si>
    <t>Ekkachai</t>
  </si>
  <si>
    <t>Moolla</t>
  </si>
  <si>
    <t>Ekkachai Moolla</t>
  </si>
  <si>
    <t>TAA0761</t>
  </si>
  <si>
    <t>Sompoach</t>
  </si>
  <si>
    <t>Tahsu</t>
  </si>
  <si>
    <t>Sompoach Tahsu</t>
  </si>
  <si>
    <t>TAA0930</t>
  </si>
  <si>
    <t>Peemonya (Saraipun)</t>
  </si>
  <si>
    <t>Sarunhirunya</t>
  </si>
  <si>
    <t>Peemonya Sarunhirunya</t>
  </si>
  <si>
    <t>TAA1093</t>
  </si>
  <si>
    <t>Janpen</t>
  </si>
  <si>
    <t>Vorawanitcha</t>
  </si>
  <si>
    <t>Janpen Vorawanitcha</t>
  </si>
  <si>
    <t>TAA1098</t>
  </si>
  <si>
    <t>Pobsaran</t>
  </si>
  <si>
    <t>Chantaratim</t>
  </si>
  <si>
    <t>Pobsaran Chantaratim</t>
  </si>
  <si>
    <t>TAA1099</t>
  </si>
  <si>
    <t>Korakot</t>
  </si>
  <si>
    <t>Ratanayama</t>
  </si>
  <si>
    <t>Korakot Ratanayama</t>
  </si>
  <si>
    <t>TAA1102</t>
  </si>
  <si>
    <t>Pongsupa</t>
  </si>
  <si>
    <t>Pongsamart</t>
  </si>
  <si>
    <t>Pongsupa Pongsamart</t>
  </si>
  <si>
    <t>TAA1104</t>
  </si>
  <si>
    <t>Sowapan</t>
  </si>
  <si>
    <t>Chartwuthanon</t>
  </si>
  <si>
    <t>Sowapan Chartwuthanon</t>
  </si>
  <si>
    <t>TAA1137</t>
  </si>
  <si>
    <t>Worapanit</t>
  </si>
  <si>
    <t>Puangwong</t>
  </si>
  <si>
    <t>Worapanit Puangwong</t>
  </si>
  <si>
    <t>TAA1139</t>
  </si>
  <si>
    <t>Supanya</t>
  </si>
  <si>
    <t>Kareepet</t>
  </si>
  <si>
    <t>Supanya Kareepet</t>
  </si>
  <si>
    <t>TAA1142</t>
  </si>
  <si>
    <t>Wanwanat</t>
  </si>
  <si>
    <t>Raksaphon</t>
  </si>
  <si>
    <t>Wanwanat Raksaphon</t>
  </si>
  <si>
    <t>TAA1229</t>
  </si>
  <si>
    <t>Thanyaporn</t>
  </si>
  <si>
    <t>Kemsatidanan</t>
  </si>
  <si>
    <t>Thanyaporn Kemsatidanan</t>
  </si>
  <si>
    <t>TAA1237</t>
  </si>
  <si>
    <t>Pornchanun</t>
  </si>
  <si>
    <t>Sangmanee</t>
  </si>
  <si>
    <t>Pornchanun Sangmanee</t>
  </si>
  <si>
    <t>TAA1238</t>
  </si>
  <si>
    <t>Suchada</t>
  </si>
  <si>
    <t>Samakee</t>
  </si>
  <si>
    <t>Suchada Samakee</t>
  </si>
  <si>
    <t>TAA1239</t>
  </si>
  <si>
    <t>Panithi</t>
  </si>
  <si>
    <t>Singlertsakul</t>
  </si>
  <si>
    <t>Panithi Singlertsakul</t>
  </si>
  <si>
    <t>TAA1241</t>
  </si>
  <si>
    <t>Sirirat</t>
  </si>
  <si>
    <t>Sanguanwong</t>
  </si>
  <si>
    <t>Sirirat Sanguanwong</t>
  </si>
  <si>
    <t>TAA1243</t>
  </si>
  <si>
    <t>Thitiya</t>
  </si>
  <si>
    <t>Atsawarangsi</t>
  </si>
  <si>
    <t>Thitiya Atsawarangsi</t>
  </si>
  <si>
    <t>TAA1244</t>
  </si>
  <si>
    <t>Dara</t>
  </si>
  <si>
    <t>Nomanee</t>
  </si>
  <si>
    <t>Dara Nomanee</t>
  </si>
  <si>
    <t>TAA1248</t>
  </si>
  <si>
    <t>Pattamavadee</t>
  </si>
  <si>
    <t>Niyomvanich</t>
  </si>
  <si>
    <t>Pattamavadee Niyomvanich</t>
  </si>
  <si>
    <t>TAA1305</t>
  </si>
  <si>
    <t>Tanit</t>
  </si>
  <si>
    <t>Soobhawan</t>
  </si>
  <si>
    <t>Tanit Soobhawan</t>
  </si>
  <si>
    <t>TAA1307</t>
  </si>
  <si>
    <t>Chindarat</t>
  </si>
  <si>
    <t>Chintanasathien</t>
  </si>
  <si>
    <t>Chindarat Chintanasathien</t>
  </si>
  <si>
    <t>TAA1289</t>
  </si>
  <si>
    <t>Rattanapat</t>
  </si>
  <si>
    <t>Rattanaviroj</t>
  </si>
  <si>
    <t>Rattanapat Rattanaviroj</t>
  </si>
  <si>
    <t>TAA1297</t>
  </si>
  <si>
    <t>Umaporn</t>
  </si>
  <si>
    <t>Laosriwijit</t>
  </si>
  <si>
    <t>Umaporn Laosriwijit</t>
  </si>
  <si>
    <t>TAA1293</t>
  </si>
  <si>
    <t>Jarucha</t>
  </si>
  <si>
    <t>Settanan</t>
  </si>
  <si>
    <t>Jarucha Settanan</t>
  </si>
  <si>
    <t>TAA1310</t>
  </si>
  <si>
    <t>Burin</t>
  </si>
  <si>
    <t>Buarapha</t>
  </si>
  <si>
    <t>Burin Buarapha</t>
  </si>
  <si>
    <t>TAA1302</t>
  </si>
  <si>
    <t>Chitpol</t>
  </si>
  <si>
    <t>Watcharapan</t>
  </si>
  <si>
    <t>Chitpol Watcharapan</t>
  </si>
  <si>
    <t>TAA1303</t>
  </si>
  <si>
    <t>Wipat</t>
  </si>
  <si>
    <t>Lurkasemsuk</t>
  </si>
  <si>
    <t>Wipat Lurkasemsuk</t>
  </si>
  <si>
    <t>TAA1309</t>
  </si>
  <si>
    <t>Kittisak</t>
  </si>
  <si>
    <t>Issaro</t>
  </si>
  <si>
    <t>Kittisak Issaro</t>
  </si>
  <si>
    <t>TAA1346</t>
  </si>
  <si>
    <t>Sukanya</t>
  </si>
  <si>
    <t>Sukanya Kareepet</t>
  </si>
  <si>
    <t>TAA1348</t>
  </si>
  <si>
    <t>Fontip</t>
  </si>
  <si>
    <t>Siriudomseth</t>
  </si>
  <si>
    <t>Fontip Siriudomseth</t>
  </si>
  <si>
    <t>TAA1349</t>
  </si>
  <si>
    <t>Noppawan</t>
  </si>
  <si>
    <t>Sangpiroon</t>
  </si>
  <si>
    <t>Noppawan Sangpiroon</t>
  </si>
  <si>
    <t>TAA1354</t>
  </si>
  <si>
    <t>Phadsawan</t>
  </si>
  <si>
    <t>Inthaphun</t>
  </si>
  <si>
    <t>Phadsawan Inthaphun</t>
  </si>
  <si>
    <t>TAA1355</t>
  </si>
  <si>
    <t>Hataitip</t>
  </si>
  <si>
    <t>Hataitip Chaichana</t>
  </si>
  <si>
    <t>TAA1357</t>
  </si>
  <si>
    <t>Natthima</t>
  </si>
  <si>
    <t>Dolchalermkiat</t>
  </si>
  <si>
    <t>Natthima Dolchalermkiat</t>
  </si>
  <si>
    <t>TAA1434</t>
  </si>
  <si>
    <t>Supaporn</t>
  </si>
  <si>
    <t>Pringploed</t>
  </si>
  <si>
    <t>Supaporn Pringploed</t>
  </si>
  <si>
    <t>TAA1450</t>
  </si>
  <si>
    <t>Waraluck</t>
  </si>
  <si>
    <t>Meksikarin</t>
  </si>
  <si>
    <t>Waraluck Meksikarin</t>
  </si>
  <si>
    <t>TAA1446</t>
  </si>
  <si>
    <t>Sansanee</t>
  </si>
  <si>
    <t>Chittiboonruan</t>
  </si>
  <si>
    <t>Sansanee Chittiboonruan</t>
  </si>
  <si>
    <t>TAA1449</t>
  </si>
  <si>
    <t>Thanthita</t>
  </si>
  <si>
    <t>Jatuparksumpant (Rattana-Amornpirom)</t>
  </si>
  <si>
    <t>Thanthita Jatuparksumpant</t>
  </si>
  <si>
    <t>TAA1444</t>
  </si>
  <si>
    <t>Sanlaya</t>
  </si>
  <si>
    <t>Kanrarat</t>
  </si>
  <si>
    <t>Sanlaya Kanrarat</t>
  </si>
  <si>
    <t>TAA1448</t>
  </si>
  <si>
    <t>Kanya</t>
  </si>
  <si>
    <t>Vivattanatipa</t>
  </si>
  <si>
    <t>Kanya Vivattanatipa</t>
  </si>
  <si>
    <t>TAA1439</t>
  </si>
  <si>
    <t>Nattaporl</t>
  </si>
  <si>
    <t>Suktalordcheep</t>
  </si>
  <si>
    <t>Nattaporl Suktalordcheep</t>
  </si>
  <si>
    <t>TAA1440</t>
  </si>
  <si>
    <t>Varinlada (Nattaya)</t>
  </si>
  <si>
    <t>Suraveeyanon (Singkhanan)</t>
  </si>
  <si>
    <t>Varinlada Suraveeyanon</t>
  </si>
  <si>
    <t>TAA1433</t>
  </si>
  <si>
    <t>Suthida</t>
  </si>
  <si>
    <t>Tanakarn</t>
  </si>
  <si>
    <t>Suthida Tanakarn</t>
  </si>
  <si>
    <t>TAA1435</t>
  </si>
  <si>
    <t>Patchararada</t>
  </si>
  <si>
    <t>Daechavimolnut</t>
  </si>
  <si>
    <t>Patchararada Daechavimolnut</t>
  </si>
  <si>
    <t>TAA1525</t>
  </si>
  <si>
    <t>Waree</t>
  </si>
  <si>
    <t>Nitikasetpan</t>
  </si>
  <si>
    <t>Waree Nitikasetpan</t>
  </si>
  <si>
    <t>TAA1526</t>
  </si>
  <si>
    <t>Smita</t>
  </si>
  <si>
    <t>Kittisastra</t>
  </si>
  <si>
    <t>Smita Kittisastra</t>
  </si>
  <si>
    <t>TAA1530</t>
  </si>
  <si>
    <t>Ornvena</t>
  </si>
  <si>
    <t>Pongpanpuasuk</t>
  </si>
  <si>
    <t>Ornvena Pongpanpuasuk</t>
  </si>
  <si>
    <t>TAA1534</t>
  </si>
  <si>
    <t>Duanghatai</t>
  </si>
  <si>
    <t>Srisujjikul</t>
  </si>
  <si>
    <t>Duanghatai Srisujjikul</t>
  </si>
  <si>
    <t>TAA1638</t>
  </si>
  <si>
    <t>Rungtip</t>
  </si>
  <si>
    <t>Thongsari (Masvanish)</t>
  </si>
  <si>
    <t>Rungtip Thongsari</t>
  </si>
  <si>
    <t>TAA1639</t>
  </si>
  <si>
    <t>Nattakarn</t>
  </si>
  <si>
    <t>Junlaprom</t>
  </si>
  <si>
    <t>Nattakarn Junlaprom</t>
  </si>
  <si>
    <t>TAA1644</t>
  </si>
  <si>
    <t>Wilasinee</t>
  </si>
  <si>
    <t>Ruaenghutthakarn (Natenopparat)</t>
  </si>
  <si>
    <t>Wilasinee Ruaenghutthakarn</t>
  </si>
  <si>
    <t>TAA1717</t>
  </si>
  <si>
    <t>Preeyanuch</t>
  </si>
  <si>
    <t>Yuwayongdee</t>
  </si>
  <si>
    <t>Preeyanuch Yuwayongdee</t>
  </si>
  <si>
    <t>TAA1718</t>
  </si>
  <si>
    <t>Sirisinee</t>
  </si>
  <si>
    <t>Chaisuwankiree</t>
  </si>
  <si>
    <t>Sirisinee Chaisuwankiree</t>
  </si>
  <si>
    <t>TAA1722</t>
  </si>
  <si>
    <t>Sirinya</t>
  </si>
  <si>
    <t>Wichaiya</t>
  </si>
  <si>
    <t>Sirinya Wichaiya</t>
  </si>
  <si>
    <t>TAA1726</t>
  </si>
  <si>
    <t>Sudarat</t>
  </si>
  <si>
    <t>Wannakit</t>
  </si>
  <si>
    <t>Sudarat Wannakit</t>
  </si>
  <si>
    <t>TAA1731</t>
  </si>
  <si>
    <t>Arthitaya</t>
  </si>
  <si>
    <t>Srisopon</t>
  </si>
  <si>
    <t>Arthitaya Srisopon</t>
  </si>
  <si>
    <t>TAA1732</t>
  </si>
  <si>
    <t>Vimvipa</t>
  </si>
  <si>
    <t>Poonsawat</t>
  </si>
  <si>
    <t>Vimvipa Poonsawat</t>
  </si>
  <si>
    <t>TAA1734</t>
  </si>
  <si>
    <t>Lakkana</t>
  </si>
  <si>
    <t>Phongtong</t>
  </si>
  <si>
    <t>Lakkana Phongtong</t>
  </si>
  <si>
    <t>TAA1735</t>
  </si>
  <si>
    <t>Mint</t>
  </si>
  <si>
    <t>Jencheawcharn</t>
  </si>
  <si>
    <t>Mint Jencheawcharn</t>
  </si>
  <si>
    <t>TAA1252</t>
  </si>
  <si>
    <t>Sirikwan</t>
  </si>
  <si>
    <t>Boonwan (Larmungkun)</t>
  </si>
  <si>
    <t>Sirikwan Boonwan</t>
  </si>
  <si>
    <t>TAA1548</t>
  </si>
  <si>
    <t>Tainvichit</t>
  </si>
  <si>
    <t>Noppawan Tainvichit</t>
  </si>
  <si>
    <t>TAA1838</t>
  </si>
  <si>
    <t>Pattaramon</t>
  </si>
  <si>
    <t>Phunsook</t>
  </si>
  <si>
    <t>Pattaramon Phunsook</t>
  </si>
  <si>
    <t>TAA1864</t>
  </si>
  <si>
    <t>Panjapat</t>
  </si>
  <si>
    <t>Intaraprasert</t>
  </si>
  <si>
    <t>Panjapat Intaraprasert</t>
  </si>
  <si>
    <t>TAA1866</t>
  </si>
  <si>
    <t>Romrawee</t>
  </si>
  <si>
    <t>Choeikeewong</t>
  </si>
  <si>
    <t>Romrawee Choeikeewong</t>
  </si>
  <si>
    <t>TAA1868</t>
  </si>
  <si>
    <t>Supajee</t>
  </si>
  <si>
    <t>Wattanarom</t>
  </si>
  <si>
    <t>Supajee Wattanarom</t>
  </si>
  <si>
    <t>TAA1923</t>
  </si>
  <si>
    <t>Chokaew</t>
  </si>
  <si>
    <t>Champangoen</t>
  </si>
  <si>
    <t>Chokaew Champangoen</t>
  </si>
  <si>
    <t>TAA1924</t>
  </si>
  <si>
    <t>Waranuch</t>
  </si>
  <si>
    <t>Sutthikawilakul</t>
  </si>
  <si>
    <t>Waranuch Sutthikawilakul</t>
  </si>
  <si>
    <t>TAA1928</t>
  </si>
  <si>
    <t>Anooradee</t>
  </si>
  <si>
    <t>Wilairot (Puengklan)</t>
  </si>
  <si>
    <t>Anooradee Wilairot</t>
  </si>
  <si>
    <t>TAA1930</t>
  </si>
  <si>
    <t>Phaphasorn</t>
  </si>
  <si>
    <t>Pawapootanont (Chaturatphatson)</t>
  </si>
  <si>
    <t>Phaphasorn Pawapootanont</t>
  </si>
  <si>
    <t>TAA1934</t>
  </si>
  <si>
    <t>Sirion</t>
  </si>
  <si>
    <t>Kwanchai</t>
  </si>
  <si>
    <t>Sirion Kwanchai</t>
  </si>
  <si>
    <t>TAA1936</t>
  </si>
  <si>
    <t>Doungporn</t>
  </si>
  <si>
    <t>Satitkune</t>
  </si>
  <si>
    <t>Doungporn Satitkune</t>
  </si>
  <si>
    <t>TAA1937</t>
  </si>
  <si>
    <t>Khemaporn</t>
  </si>
  <si>
    <t>Chotepradit</t>
  </si>
  <si>
    <t>Khemaporn Chotepradit</t>
  </si>
  <si>
    <t>f</t>
  </si>
  <si>
    <t>TAA1255</t>
  </si>
  <si>
    <t>Chadchaya</t>
  </si>
  <si>
    <t>Sinloy</t>
  </si>
  <si>
    <t>Chadchaya Sinloy</t>
  </si>
  <si>
    <t>TAA1960</t>
  </si>
  <si>
    <t>Krongjai</t>
  </si>
  <si>
    <t>Jaturapattarakij</t>
  </si>
  <si>
    <t>Krongjai Jaturapattarakij</t>
  </si>
  <si>
    <t>TAA1962</t>
  </si>
  <si>
    <t>Boondarika</t>
  </si>
  <si>
    <t>Chaikarn</t>
  </si>
  <si>
    <t>Boondarika Chaikarn</t>
  </si>
  <si>
    <t>TAA1963</t>
  </si>
  <si>
    <t>Napaphat</t>
  </si>
  <si>
    <t>Yuktanan</t>
  </si>
  <si>
    <t>Napaphat Yuktanan</t>
  </si>
  <si>
    <t>TAA1964</t>
  </si>
  <si>
    <t>Sirilak</t>
  </si>
  <si>
    <t>Sutanant</t>
  </si>
  <si>
    <t>Sirilak Sutanant</t>
  </si>
  <si>
    <t>TAA1969</t>
  </si>
  <si>
    <t>Nattee</t>
  </si>
  <si>
    <t>Kittivorachate</t>
  </si>
  <si>
    <t>Nattee Kittivorachate</t>
  </si>
  <si>
    <t>TAA1073</t>
  </si>
  <si>
    <t>Oranit</t>
  </si>
  <si>
    <t>Khankame</t>
  </si>
  <si>
    <t>Oranit Khankame</t>
  </si>
  <si>
    <t>TAA1686</t>
  </si>
  <si>
    <t>Kullachart</t>
  </si>
  <si>
    <t>Kosiwakan</t>
  </si>
  <si>
    <t>Kullachart Kosiwakan</t>
  </si>
  <si>
    <t>TAA2228</t>
  </si>
  <si>
    <t>Pornwadee</t>
  </si>
  <si>
    <t>Arkkapin</t>
  </si>
  <si>
    <t>Pornwadee Arkkapin</t>
  </si>
  <si>
    <t>TAA2236</t>
  </si>
  <si>
    <t>Patsita</t>
  </si>
  <si>
    <t>Patchararujirathchot</t>
  </si>
  <si>
    <t>Patsita Patchararujirathchot</t>
  </si>
  <si>
    <t>TAA2237</t>
  </si>
  <si>
    <t>Kamolwan</t>
  </si>
  <si>
    <t>Poon</t>
  </si>
  <si>
    <t>Kamolwan Poon</t>
  </si>
  <si>
    <t>TAA2231</t>
  </si>
  <si>
    <t>Panodpol</t>
  </si>
  <si>
    <t>Yensuong</t>
  </si>
  <si>
    <t>Panodpol Yensuong</t>
  </si>
  <si>
    <t>TAA2233</t>
  </si>
  <si>
    <t>Nanthanat</t>
  </si>
  <si>
    <t>Yingyong</t>
  </si>
  <si>
    <t>Nanthanat Yingyong</t>
  </si>
  <si>
    <t>TAA0866</t>
  </si>
  <si>
    <t>Thanaphanich (Ventanu)</t>
  </si>
  <si>
    <t>Sirilak Thanaphanich</t>
  </si>
  <si>
    <t>TAA1567</t>
  </si>
  <si>
    <t>Tananchakorn (Wassamon)</t>
  </si>
  <si>
    <t>Nonthapak</t>
  </si>
  <si>
    <t>Tananchakorn Nonthapak</t>
  </si>
  <si>
    <t>TAA1564</t>
  </si>
  <si>
    <t>Thanawat</t>
  </si>
  <si>
    <t>Srisurasub</t>
  </si>
  <si>
    <t>Thanawat Srisurasub</t>
  </si>
  <si>
    <t>TAA2253</t>
  </si>
  <si>
    <t>Janejira</t>
  </si>
  <si>
    <t>Young</t>
  </si>
  <si>
    <t>Janejira Young</t>
  </si>
  <si>
    <t>TAA2256</t>
  </si>
  <si>
    <t>Praepailin</t>
  </si>
  <si>
    <t>Luckanatin</t>
  </si>
  <si>
    <t>Praepailin Luckanatin</t>
  </si>
  <si>
    <t>TAA2258</t>
  </si>
  <si>
    <t>Boontharig</t>
  </si>
  <si>
    <t>Krairiksh</t>
  </si>
  <si>
    <t>Boontharig Krairiksh</t>
  </si>
  <si>
    <t>TAA2262</t>
  </si>
  <si>
    <t>Sirikhwan</t>
  </si>
  <si>
    <t>Siringoen</t>
  </si>
  <si>
    <t>Sirikhwan Siringoen</t>
  </si>
  <si>
    <t>TAA2263</t>
  </si>
  <si>
    <t>Thanet</t>
  </si>
  <si>
    <t>Ardhan</t>
  </si>
  <si>
    <t>Thanet Ardhan</t>
  </si>
  <si>
    <t>TAA2286</t>
  </si>
  <si>
    <t>Lalnapat (Saranthorn)</t>
  </si>
  <si>
    <t>Ratanakornchuwong (Hongkrachok)</t>
  </si>
  <si>
    <t>Lalnapat Ratanakornchuwong</t>
  </si>
  <si>
    <t>TAA2288</t>
  </si>
  <si>
    <t>Oraphin</t>
  </si>
  <si>
    <t>Suwongjit</t>
  </si>
  <si>
    <t>Oraphin Suwongjit</t>
  </si>
  <si>
    <t>TAA2289</t>
  </si>
  <si>
    <t>Mananpat (Alisa)</t>
  </si>
  <si>
    <t>Dechanoppawit</t>
  </si>
  <si>
    <t>Mananpat Dechanoppawit</t>
  </si>
  <si>
    <t>TAA2291</t>
  </si>
  <si>
    <t>Natchasorn (Phunsuwadee)</t>
  </si>
  <si>
    <t>Phumpatwarakun (Satbangluang)</t>
  </si>
  <si>
    <t>Natchasorn Phumpatwarakun</t>
  </si>
  <si>
    <t>TAA2296</t>
  </si>
  <si>
    <t>Pachara</t>
  </si>
  <si>
    <t>Pachara Nonthapak</t>
  </si>
  <si>
    <t>TAA2340</t>
  </si>
  <si>
    <t>Ploy</t>
  </si>
  <si>
    <t>Tassanatarn</t>
  </si>
  <si>
    <t>Ploy Tassanatarn</t>
  </si>
  <si>
    <t>TAA2341</t>
  </si>
  <si>
    <t>Thanut</t>
  </si>
  <si>
    <t>Laohasereekul</t>
  </si>
  <si>
    <t>Thanut Laohasereekul</t>
  </si>
  <si>
    <t>TAA2342</t>
  </si>
  <si>
    <t>Anucha</t>
  </si>
  <si>
    <t>Sansawat</t>
  </si>
  <si>
    <t>Anucha Sansawat</t>
  </si>
  <si>
    <t>TAA2344</t>
  </si>
  <si>
    <t>Pathita</t>
  </si>
  <si>
    <t>Leepeeravitit</t>
  </si>
  <si>
    <t>Pathita Leepeeravitit</t>
  </si>
  <si>
    <t>TAA2347</t>
  </si>
  <si>
    <t>Nongnapat</t>
  </si>
  <si>
    <t>Patcharatanasan</t>
  </si>
  <si>
    <t>Nongnapat Patcharatanasan</t>
  </si>
  <si>
    <t>TAA2350</t>
  </si>
  <si>
    <t>Torpad</t>
  </si>
  <si>
    <t>Jansirigul</t>
  </si>
  <si>
    <t>Torpad Jansirigul</t>
  </si>
  <si>
    <t>TAA0231</t>
  </si>
  <si>
    <t>Nawatthaphorn(Tananant) (Kamonchanok)</t>
  </si>
  <si>
    <t>Meechai(Juntarachota)</t>
  </si>
  <si>
    <t>Nawatthaphorn Meechai</t>
  </si>
  <si>
    <t>TAA1949</t>
  </si>
  <si>
    <t>Komet</t>
  </si>
  <si>
    <t>Prasankan</t>
  </si>
  <si>
    <t>Komet Prasankan</t>
  </si>
  <si>
    <t>TAA1780</t>
  </si>
  <si>
    <t>Wipa</t>
  </si>
  <si>
    <t>Totsaporn</t>
  </si>
  <si>
    <t>Wipa Totsaporn</t>
  </si>
  <si>
    <t>TAA1993</t>
  </si>
  <si>
    <t>Sasimon</t>
  </si>
  <si>
    <t>Jearapan</t>
  </si>
  <si>
    <t>Sasimon Jearapan</t>
  </si>
  <si>
    <t>TAA2014</t>
  </si>
  <si>
    <t>Phoonkuan</t>
  </si>
  <si>
    <t>Kumkeaw</t>
  </si>
  <si>
    <t>Phoonkuan Kumkeaw</t>
  </si>
  <si>
    <t>TAA2061</t>
  </si>
  <si>
    <t>Kanokkan</t>
  </si>
  <si>
    <t>Nopparat</t>
  </si>
  <si>
    <t>Kanokkan Nopparat</t>
  </si>
  <si>
    <t>TAA2393</t>
  </si>
  <si>
    <t>Siwakorn</t>
  </si>
  <si>
    <t>Champasri</t>
  </si>
  <si>
    <t>Siwakorn Champasri</t>
  </si>
  <si>
    <t>TAA2394</t>
  </si>
  <si>
    <t>Napatchol</t>
  </si>
  <si>
    <t>Wongwuttito</t>
  </si>
  <si>
    <t>Napatchol Wongwuttito</t>
  </si>
  <si>
    <t>TAA2403</t>
  </si>
  <si>
    <t>Praewvarisa (Kannaporn)</t>
  </si>
  <si>
    <t>Lerdthanapaijit (Naiphongsri)</t>
  </si>
  <si>
    <t>Praewvarisa Lerdthanapaijit</t>
  </si>
  <si>
    <t>TAA2388</t>
  </si>
  <si>
    <t>Varanthaya</t>
  </si>
  <si>
    <t>Namarsa</t>
  </si>
  <si>
    <t>Varanthaya Namarsa</t>
  </si>
  <si>
    <t>TAA2399</t>
  </si>
  <si>
    <t>Rhodavalentine</t>
  </si>
  <si>
    <t>Tipayasoceniza</t>
  </si>
  <si>
    <t>Rhodavalentine Tipayasoceniza</t>
  </si>
  <si>
    <t>TAA2422</t>
  </si>
  <si>
    <t>Amphika</t>
  </si>
  <si>
    <t>Aunphayak (Sirawanadorn)</t>
  </si>
  <si>
    <t>Amphika Sirawanadorn</t>
  </si>
  <si>
    <t>TAA2423</t>
  </si>
  <si>
    <t>Pattaranit</t>
  </si>
  <si>
    <t>Trejareonwiwat</t>
  </si>
  <si>
    <t>Pattaranit Trejareonwiwat</t>
  </si>
  <si>
    <t>TAA2424</t>
  </si>
  <si>
    <t>Miraphat (Supannee)</t>
  </si>
  <si>
    <t>Saeqe</t>
  </si>
  <si>
    <t>Miraphat Saeqe</t>
  </si>
  <si>
    <t>TAA2425</t>
  </si>
  <si>
    <t>Vallika</t>
  </si>
  <si>
    <t>Nichajaruspong</t>
  </si>
  <si>
    <t>Vallika Nichajaruspong</t>
  </si>
  <si>
    <t>TAA2426</t>
  </si>
  <si>
    <t>Jaruma</t>
  </si>
  <si>
    <t>Jantarapap</t>
  </si>
  <si>
    <t>Jaruma Jantarapap</t>
  </si>
  <si>
    <t>TAA2427</t>
  </si>
  <si>
    <t>Punnaphas (Amornret)</t>
  </si>
  <si>
    <t>Tawornpanmanee</t>
  </si>
  <si>
    <t>Punnaphas Tawornpanmanee</t>
  </si>
  <si>
    <t>TAA2428</t>
  </si>
  <si>
    <t>Chatchaya (Pimmpatthra)</t>
  </si>
  <si>
    <t>Bhoocharyarth(Rattanarangsri)</t>
  </si>
  <si>
    <t>Chatchaya Bhoocharyarth</t>
  </si>
  <si>
    <t>TAA0411</t>
  </si>
  <si>
    <t>Chutima</t>
  </si>
  <si>
    <t>Yuksen</t>
  </si>
  <si>
    <t>Chutima Yuksen</t>
  </si>
  <si>
    <t>TAA0716</t>
  </si>
  <si>
    <t>Wipawadee</t>
  </si>
  <si>
    <t>Kunchol</t>
  </si>
  <si>
    <t>Wipawadee Kunchol</t>
  </si>
  <si>
    <t>TAA2208</t>
  </si>
  <si>
    <t>Khathawut</t>
  </si>
  <si>
    <t>Benjachinsuwan</t>
  </si>
  <si>
    <t>Khathawut Benjachinsuwan</t>
  </si>
  <si>
    <t>TAA1905</t>
  </si>
  <si>
    <t>Luemon</t>
  </si>
  <si>
    <t>Sirirat Luemon</t>
  </si>
  <si>
    <t>TAA1705</t>
  </si>
  <si>
    <t>Chanokwan</t>
  </si>
  <si>
    <t>Leangprasert</t>
  </si>
  <si>
    <t>Chanokwan Leangprasert</t>
  </si>
  <si>
    <t>TAA1959</t>
  </si>
  <si>
    <t>Sutthapat</t>
  </si>
  <si>
    <t>Phutwandee</t>
  </si>
  <si>
    <t>Sutthapat Phutwandee</t>
  </si>
  <si>
    <t>TAA2561</t>
  </si>
  <si>
    <t>Phornchanit (Surangsri)</t>
  </si>
  <si>
    <t>Rangsikul</t>
  </si>
  <si>
    <t>Phornchanit Rangsikul</t>
  </si>
  <si>
    <t>TAA2564</t>
  </si>
  <si>
    <t>Wanlika</t>
  </si>
  <si>
    <t>Siritananukhup</t>
  </si>
  <si>
    <t>Wanlika Siritananukhup</t>
  </si>
  <si>
    <t>TAA2566</t>
  </si>
  <si>
    <t>Monthon</t>
  </si>
  <si>
    <t>Siribunnakul</t>
  </si>
  <si>
    <t>Monthon Siribunnakul</t>
  </si>
  <si>
    <t>TAA2563</t>
  </si>
  <si>
    <t>Piracha</t>
  </si>
  <si>
    <t>Hongsakul</t>
  </si>
  <si>
    <t>Piracha Hongsakul</t>
  </si>
  <si>
    <t>TAA2560</t>
  </si>
  <si>
    <t>Kulpornpat</t>
  </si>
  <si>
    <t>Srikulchaipat</t>
  </si>
  <si>
    <t>Kulpornpat Srikulchaipat</t>
  </si>
  <si>
    <t>TAA2562</t>
  </si>
  <si>
    <t>Waraphorn</t>
  </si>
  <si>
    <t>Khunthong</t>
  </si>
  <si>
    <t>Waraphorn Khunthong</t>
  </si>
  <si>
    <t>TAA2557</t>
  </si>
  <si>
    <t>Ketsara</t>
  </si>
  <si>
    <t>Ketsakul</t>
  </si>
  <si>
    <t>Ketsara Ketsakul</t>
  </si>
  <si>
    <t>TAA2555</t>
  </si>
  <si>
    <t>Kessarin</t>
  </si>
  <si>
    <t>Pongpanuts</t>
  </si>
  <si>
    <t>Kessarin Pongpanuts</t>
  </si>
  <si>
    <t>TAA2551</t>
  </si>
  <si>
    <t>Sirima</t>
  </si>
  <si>
    <t>Yupongpitak (Imardoon)</t>
  </si>
  <si>
    <t>Sirima Yupongpitak</t>
  </si>
  <si>
    <t>TAA2568</t>
  </si>
  <si>
    <t>Ploychompoo</t>
  </si>
  <si>
    <t>Phitchayapanusit</t>
  </si>
  <si>
    <t>Ploychompoo Phitchayapanusit</t>
  </si>
  <si>
    <t>TAA2584</t>
  </si>
  <si>
    <t>Samida</t>
  </si>
  <si>
    <t>Punyaratabandhu</t>
  </si>
  <si>
    <t>Samida Punyaratabandhu</t>
  </si>
  <si>
    <t>TAA0291</t>
  </si>
  <si>
    <t>Phu-rit</t>
  </si>
  <si>
    <t>Punpeng</t>
  </si>
  <si>
    <t>Phu-rit Punpeng</t>
  </si>
  <si>
    <t>TAA0308</t>
  </si>
  <si>
    <t>Janwat</t>
  </si>
  <si>
    <t>Jiumjaroen</t>
  </si>
  <si>
    <t>Janwat Jiumjaroen</t>
  </si>
  <si>
    <t>TAA1278</t>
  </si>
  <si>
    <t>Sirinart</t>
  </si>
  <si>
    <t>Auypornbusyakom</t>
  </si>
  <si>
    <t>Sirinart Auypornbusyakom</t>
  </si>
  <si>
    <t>TAA1562</t>
  </si>
  <si>
    <t>Sasithorn</t>
  </si>
  <si>
    <t>Wonglee</t>
  </si>
  <si>
    <t>Sasithorn Wonglee</t>
  </si>
  <si>
    <t>TAA1823</t>
  </si>
  <si>
    <t>Nannaphat</t>
  </si>
  <si>
    <t>Poolklai</t>
  </si>
  <si>
    <t>Nannaphat Poolklai</t>
  </si>
  <si>
    <t>TAA2651</t>
  </si>
  <si>
    <t>Ekarad</t>
  </si>
  <si>
    <t>Pakpin</t>
  </si>
  <si>
    <t>Ekarad Pakpin</t>
  </si>
  <si>
    <t>TAA2655</t>
  </si>
  <si>
    <t>Thawinun</t>
  </si>
  <si>
    <t>Arunnuntapanich</t>
  </si>
  <si>
    <t>Thawinun Arunnuntapanich</t>
  </si>
  <si>
    <t>TAA2324</t>
  </si>
  <si>
    <t>Chaiyapol</t>
  </si>
  <si>
    <t>Kongsathien</t>
  </si>
  <si>
    <t>Chaiyapol Kongsathien</t>
  </si>
  <si>
    <t>TAA2671</t>
  </si>
  <si>
    <t>Thanyawit</t>
  </si>
  <si>
    <t>Srichan</t>
  </si>
  <si>
    <t>Thanyawit Srichan</t>
  </si>
  <si>
    <t>TAA2674</t>
  </si>
  <si>
    <t>Worapada</t>
  </si>
  <si>
    <t>Suetrongmunkong</t>
  </si>
  <si>
    <t>Worapada Suetrongmunkong</t>
  </si>
  <si>
    <t>TAA2675</t>
  </si>
  <si>
    <t>Pavaran</t>
  </si>
  <si>
    <t>Khonwai</t>
  </si>
  <si>
    <t>Pavaran Khonwai</t>
  </si>
  <si>
    <t>TAA2677</t>
  </si>
  <si>
    <t>Pimvaree</t>
  </si>
  <si>
    <t>Ko</t>
  </si>
  <si>
    <t>Pimvaree Ko</t>
  </si>
  <si>
    <t>TAA2678</t>
  </si>
  <si>
    <t>Varisa</t>
  </si>
  <si>
    <t>Varisa Poonsawat</t>
  </si>
  <si>
    <t>TAA2679</t>
  </si>
  <si>
    <t>Kanyarat</t>
  </si>
  <si>
    <t>Boonthanawat</t>
  </si>
  <si>
    <t>Kanyarat Boonthanawat</t>
  </si>
  <si>
    <t>TAA2680</t>
  </si>
  <si>
    <t>Lakkhana</t>
  </si>
  <si>
    <t>Jearpaitoon</t>
  </si>
  <si>
    <t>Lakkhana Jearpaitoon</t>
  </si>
  <si>
    <t>TAA2681</t>
  </si>
  <si>
    <t>Napasorn</t>
  </si>
  <si>
    <t>Narkkaew</t>
  </si>
  <si>
    <t>Napasorn Narkkaew</t>
  </si>
  <si>
    <t>TAA2682</t>
  </si>
  <si>
    <t>Anyarat</t>
  </si>
  <si>
    <t>Kiatkongklai</t>
  </si>
  <si>
    <t>Anyarat Kiatkongklai</t>
  </si>
  <si>
    <t>TAA2683</t>
  </si>
  <si>
    <t>Phasita</t>
  </si>
  <si>
    <t>Khomdech</t>
  </si>
  <si>
    <t>Phasita Khomdech</t>
  </si>
  <si>
    <t>TAA2684</t>
  </si>
  <si>
    <t>Patsachol</t>
  </si>
  <si>
    <t>Intra</t>
  </si>
  <si>
    <t>Patsachol Intra</t>
  </si>
  <si>
    <t>TAA2685</t>
  </si>
  <si>
    <t>Kultharin</t>
  </si>
  <si>
    <t>Kijbamrunglab</t>
  </si>
  <si>
    <t>Kultharin Kijbamrunglab</t>
  </si>
  <si>
    <t>TAA2687</t>
  </si>
  <si>
    <t>Piyawan</t>
  </si>
  <si>
    <t>Sootiphon</t>
  </si>
  <si>
    <t>Piyawan Sootiphon</t>
  </si>
  <si>
    <t>TAA2688</t>
  </si>
  <si>
    <t>Leelawan</t>
  </si>
  <si>
    <t>Subarnabheshaja</t>
  </si>
  <si>
    <t>Leelawan Subarnabheshaja</t>
  </si>
  <si>
    <t>TAA2690</t>
  </si>
  <si>
    <t>Sirin</t>
  </si>
  <si>
    <t>Chuart</t>
  </si>
  <si>
    <t>Sirin Chuart</t>
  </si>
  <si>
    <t>TAA2691</t>
  </si>
  <si>
    <t>Pareena</t>
  </si>
  <si>
    <t>Chanitwat</t>
  </si>
  <si>
    <t>Pareena Chanitwat</t>
  </si>
  <si>
    <t>TAA2692</t>
  </si>
  <si>
    <t>Pitikan</t>
  </si>
  <si>
    <t>Siwapathomchai</t>
  </si>
  <si>
    <t>Pitikan Siwapathomchai</t>
  </si>
  <si>
    <t>TAA0479</t>
  </si>
  <si>
    <t>Kriangkrai</t>
  </si>
  <si>
    <t>Khomenerdlome</t>
  </si>
  <si>
    <t>Kriangkrai Khomenerdlome</t>
  </si>
  <si>
    <t>TAA0736</t>
  </si>
  <si>
    <t>Gaeniga</t>
  </si>
  <si>
    <t>Panompa</t>
  </si>
  <si>
    <t>Gaeniga Panompa</t>
  </si>
  <si>
    <t>TAA1698</t>
  </si>
  <si>
    <t>Waleerat</t>
  </si>
  <si>
    <t>Klayjam</t>
  </si>
  <si>
    <t>Waleerat Klayjam</t>
  </si>
  <si>
    <t>TAA2081</t>
  </si>
  <si>
    <t>Suthinee</t>
  </si>
  <si>
    <t>Jeerawattanawong</t>
  </si>
  <si>
    <t>Suthinee Jeerawattanawong</t>
  </si>
  <si>
    <t>TAA2576</t>
  </si>
  <si>
    <t>Panwad</t>
  </si>
  <si>
    <t>Pittayarak</t>
  </si>
  <si>
    <t>Panwad Pittayarak</t>
  </si>
  <si>
    <t>TAA2798</t>
  </si>
  <si>
    <t>Suthathip</t>
  </si>
  <si>
    <t>Choosen</t>
  </si>
  <si>
    <t>Suthathip Choosen</t>
  </si>
  <si>
    <t>TAA2799</t>
  </si>
  <si>
    <t>Phanwalux</t>
  </si>
  <si>
    <t>Sunthornwiphat</t>
  </si>
  <si>
    <t>Phanwalux Sunthornwiphat</t>
  </si>
  <si>
    <t>TAA2803</t>
  </si>
  <si>
    <t>Torsang</t>
  </si>
  <si>
    <t>Supachaiyakit</t>
  </si>
  <si>
    <t>Torsang Supachaiyakit</t>
  </si>
  <si>
    <t>TAA2804</t>
  </si>
  <si>
    <t>Arisara</t>
  </si>
  <si>
    <t>Nenchatee</t>
  </si>
  <si>
    <t>Arisara Nenchatee</t>
  </si>
  <si>
    <t>TAA2080</t>
  </si>
  <si>
    <t>Phakaon</t>
  </si>
  <si>
    <t>Chaiwong</t>
  </si>
  <si>
    <t>Phakaon Chaiwong</t>
  </si>
  <si>
    <t>TAA2587</t>
  </si>
  <si>
    <t>Patcharamai(Tanatorn)</t>
  </si>
  <si>
    <t>Udomphol</t>
  </si>
  <si>
    <t>Patcharamai Udomphol</t>
  </si>
  <si>
    <t>TAA2466</t>
  </si>
  <si>
    <t>Nonglak</t>
  </si>
  <si>
    <t>Srimuang</t>
  </si>
  <si>
    <t>Nonglak Srimuang</t>
  </si>
  <si>
    <t>TAA2659</t>
  </si>
  <si>
    <t>Padiporn</t>
  </si>
  <si>
    <t>Phopeng</t>
  </si>
  <si>
    <t>Padiporn Phopeng</t>
  </si>
  <si>
    <t>TAA2818</t>
  </si>
  <si>
    <t>Phimsinee</t>
  </si>
  <si>
    <t>Kitichaiwan</t>
  </si>
  <si>
    <t>Phimsinee Kitichaiwan</t>
  </si>
  <si>
    <t>TAA2819</t>
  </si>
  <si>
    <t>Nichakan</t>
  </si>
  <si>
    <t>Preeprem</t>
  </si>
  <si>
    <t>Nichakan Preeprem</t>
  </si>
  <si>
    <t>TAA2820</t>
  </si>
  <si>
    <t>Nattakan</t>
  </si>
  <si>
    <t>Meesat</t>
  </si>
  <si>
    <t>Nattakan Meesat</t>
  </si>
  <si>
    <t>TAA2821</t>
  </si>
  <si>
    <t>Nadlada</t>
  </si>
  <si>
    <t>Sutham</t>
  </si>
  <si>
    <t>Nadlada Sutham</t>
  </si>
  <si>
    <t>TAA2823</t>
  </si>
  <si>
    <t>Sasima</t>
  </si>
  <si>
    <t>Chitkesornphong</t>
  </si>
  <si>
    <t>Sasima Chitkesornphong</t>
  </si>
  <si>
    <t>TAA2826</t>
  </si>
  <si>
    <t>Varaporn</t>
  </si>
  <si>
    <t>Rattanamahasalchai</t>
  </si>
  <si>
    <t>Varaporn Rattanamahasalchai</t>
  </si>
  <si>
    <t>TAA2827</t>
  </si>
  <si>
    <t>Omjai</t>
  </si>
  <si>
    <t>Sangkaew</t>
  </si>
  <si>
    <t>Omjai Sangkaew</t>
  </si>
  <si>
    <t>TAA2828</t>
  </si>
  <si>
    <t>Sukit</t>
  </si>
  <si>
    <t>Runghiranyathep</t>
  </si>
  <si>
    <t>Sukit Runghiranyathep</t>
  </si>
  <si>
    <t>TAA2829</t>
  </si>
  <si>
    <t>Nidhinad</t>
  </si>
  <si>
    <t>Naksooksri (Dedkhad)</t>
  </si>
  <si>
    <t>Nidhinad Naksooksri</t>
  </si>
  <si>
    <t>TAA2830</t>
  </si>
  <si>
    <t>Thitipa</t>
  </si>
  <si>
    <t>Pinthusaksit</t>
  </si>
  <si>
    <t>Thitipa Pinthusaksit</t>
  </si>
  <si>
    <t>TAA2832</t>
  </si>
  <si>
    <t>Rathawit (Chanin)</t>
  </si>
  <si>
    <t>Vachirasittapong(Intrachot)</t>
  </si>
  <si>
    <t>Rathawit Vachirasittapong</t>
  </si>
  <si>
    <t>TAA2833</t>
  </si>
  <si>
    <t>Sasipa</t>
  </si>
  <si>
    <t>Priwun</t>
  </si>
  <si>
    <t>Sasipa Priwun</t>
  </si>
  <si>
    <t>TAA1824</t>
  </si>
  <si>
    <t>Sunattha</t>
  </si>
  <si>
    <t>Khehajindawat</t>
  </si>
  <si>
    <t>Sunattha Khehajindawat</t>
  </si>
  <si>
    <t>TAA2479</t>
  </si>
  <si>
    <t>Jirawan</t>
  </si>
  <si>
    <t>Kiatkittikorn</t>
  </si>
  <si>
    <t>Jirawan Kiatkittikorn</t>
  </si>
  <si>
    <t>TAA2472</t>
  </si>
  <si>
    <t>Natthanit</t>
  </si>
  <si>
    <t>Kaewchoochuen</t>
  </si>
  <si>
    <t>Natthanit Kaewchoochuen</t>
  </si>
  <si>
    <t>TAA2590</t>
  </si>
  <si>
    <t>Sureemas</t>
  </si>
  <si>
    <t>Krishnalome (Jaisamer)</t>
  </si>
  <si>
    <t>Sureemas Krishnalome</t>
  </si>
  <si>
    <t>TAA2860</t>
  </si>
  <si>
    <t>Suphanun</t>
  </si>
  <si>
    <t>Yotpunya</t>
  </si>
  <si>
    <t>Suphanun Yotpunya</t>
  </si>
  <si>
    <t>TAA2861</t>
  </si>
  <si>
    <t>Worawan</t>
  </si>
  <si>
    <t>Uacharuporn</t>
  </si>
  <si>
    <t>Worawan Uacharuporn</t>
  </si>
  <si>
    <t>TAA2868</t>
  </si>
  <si>
    <t>Khantidilokvongsa</t>
  </si>
  <si>
    <t>Kamolwan Khantidilokvongsa</t>
  </si>
  <si>
    <t>TAA2879</t>
  </si>
  <si>
    <t>Sanisara</t>
  </si>
  <si>
    <t>Wongwejsawat</t>
  </si>
  <si>
    <t>Sanisara Wongwejsawat</t>
  </si>
  <si>
    <t>TAA2881</t>
  </si>
  <si>
    <t>Chutikul</t>
  </si>
  <si>
    <t>Khruakham</t>
  </si>
  <si>
    <t>Chutikul Khruakham</t>
  </si>
  <si>
    <t>TAA2963</t>
  </si>
  <si>
    <t>Nichapha</t>
  </si>
  <si>
    <t>Ariyakulnimit</t>
  </si>
  <si>
    <t>Nichapha Ariyakulnimit</t>
  </si>
  <si>
    <t>TAA2964</t>
  </si>
  <si>
    <t>Manichaya</t>
  </si>
  <si>
    <t>Samai</t>
  </si>
  <si>
    <t>Manichaya Samai</t>
  </si>
  <si>
    <t>TAA2965</t>
  </si>
  <si>
    <t>Wakulnatt (Awatsara)</t>
  </si>
  <si>
    <t>Santipiyakul</t>
  </si>
  <si>
    <t>Wakulnatt Santipiyakul</t>
  </si>
  <si>
    <t>TAA2966</t>
  </si>
  <si>
    <t>Wijittra</t>
  </si>
  <si>
    <t>Tapon</t>
  </si>
  <si>
    <t>Wijittra Tapon</t>
  </si>
  <si>
    <t>TAA2967</t>
  </si>
  <si>
    <t>Pimwaree</t>
  </si>
  <si>
    <t>Makmee</t>
  </si>
  <si>
    <t>Pimwaree Makmee</t>
  </si>
  <si>
    <t>TAA2968</t>
  </si>
  <si>
    <t>Wasinee</t>
  </si>
  <si>
    <t>Leeopas</t>
  </si>
  <si>
    <t>Wasinee Leeopas</t>
  </si>
  <si>
    <t>TAA2969</t>
  </si>
  <si>
    <t>Yada</t>
  </si>
  <si>
    <t>Minchainunt (Na Ranong)</t>
  </si>
  <si>
    <t>Yada Minchainunt</t>
  </si>
  <si>
    <t>TAA2970</t>
  </si>
  <si>
    <t>Angsumalin</t>
  </si>
  <si>
    <t>Arayachutinan</t>
  </si>
  <si>
    <t>Angsumalin Arayachutinan</t>
  </si>
  <si>
    <t>TAA2971</t>
  </si>
  <si>
    <t>Thiprutai</t>
  </si>
  <si>
    <t>Dechpakdee</t>
  </si>
  <si>
    <t>Thiprutai Dechpakdee</t>
  </si>
  <si>
    <t>TAA2972</t>
  </si>
  <si>
    <t>Amornrat</t>
  </si>
  <si>
    <t>Wattanawongkajon</t>
  </si>
  <si>
    <t>Amornrat Wattanawongkajon</t>
  </si>
  <si>
    <t>TAA2973</t>
  </si>
  <si>
    <t>Jariya</t>
  </si>
  <si>
    <t>Songtis</t>
  </si>
  <si>
    <t>Jariya Songtis</t>
  </si>
  <si>
    <t>TAA2974</t>
  </si>
  <si>
    <t>Chirapha</t>
  </si>
  <si>
    <t>Khlaikhlueng</t>
  </si>
  <si>
    <t>Chirapha Khlaikhlueng</t>
  </si>
  <si>
    <t>TAA2976</t>
  </si>
  <si>
    <t>Nantida</t>
  </si>
  <si>
    <t>Sae-Tan</t>
  </si>
  <si>
    <t>Nantida Sae-Tan</t>
  </si>
  <si>
    <t>TAA2999</t>
  </si>
  <si>
    <t>Seenzipunk (Sasipim)</t>
  </si>
  <si>
    <t>Boonnin</t>
  </si>
  <si>
    <t>Seenzipunk Boonnin</t>
  </si>
  <si>
    <t>TAA3002</t>
  </si>
  <si>
    <t>Nantawan</t>
  </si>
  <si>
    <t>Siripanich</t>
  </si>
  <si>
    <t>Nantawan Siripanich</t>
  </si>
  <si>
    <t>TAA3005</t>
  </si>
  <si>
    <t>Naphat</t>
  </si>
  <si>
    <t>Sathianbuth</t>
  </si>
  <si>
    <t>Naphat Sathianbuth</t>
  </si>
  <si>
    <t>TAA3006</t>
  </si>
  <si>
    <t>Phornchai</t>
  </si>
  <si>
    <t>Thirawadee</t>
  </si>
  <si>
    <t>Phornchai Thirawadee</t>
  </si>
  <si>
    <t>TAA3008</t>
  </si>
  <si>
    <t>Jutarat</t>
  </si>
  <si>
    <t>Permpornsri</t>
  </si>
  <si>
    <t>Jutarat Permpornsri</t>
  </si>
  <si>
    <t>TAA3010</t>
  </si>
  <si>
    <t>Sirikul</t>
  </si>
  <si>
    <t>Sirirat Sirikul</t>
  </si>
  <si>
    <t>TAA3011</t>
  </si>
  <si>
    <t>Rattanasuda</t>
  </si>
  <si>
    <t>Kongsawadi</t>
  </si>
  <si>
    <t>Rattanasuda Kongsawadi</t>
  </si>
  <si>
    <t>TAA3019</t>
  </si>
  <si>
    <t>Sarinthip</t>
  </si>
  <si>
    <t>Kawinreekun</t>
  </si>
  <si>
    <t>Sarinthip Kawinreekun</t>
  </si>
  <si>
    <t>TAA3020</t>
  </si>
  <si>
    <t>Ruetairat</t>
  </si>
  <si>
    <t>Sirisomboon</t>
  </si>
  <si>
    <t>Ruetairat Sirisomboon</t>
  </si>
  <si>
    <t>TAA0461</t>
  </si>
  <si>
    <t>Ratthinan</t>
  </si>
  <si>
    <t>Wasupornwiboon</t>
  </si>
  <si>
    <t>Ratthinan Wasupornwiboon</t>
  </si>
  <si>
    <t>TAA2610</t>
  </si>
  <si>
    <t>Dararat</t>
  </si>
  <si>
    <t>Kataecha</t>
  </si>
  <si>
    <t>Dararat Kataecha</t>
  </si>
  <si>
    <t>TAA2793</t>
  </si>
  <si>
    <t>Sunisa</t>
  </si>
  <si>
    <t>Panhirun</t>
  </si>
  <si>
    <t>Sunisa Panhirun</t>
  </si>
  <si>
    <t>TAA3173</t>
  </si>
  <si>
    <t>Patcharee</t>
  </si>
  <si>
    <t>Yutitham</t>
  </si>
  <si>
    <t>Patcharee Yutitham</t>
  </si>
  <si>
    <t>TAA3175</t>
  </si>
  <si>
    <t>Varoonyupa</t>
  </si>
  <si>
    <t>Choovet</t>
  </si>
  <si>
    <t>Varoonyupa Choovet</t>
  </si>
  <si>
    <t>TAA3176</t>
  </si>
  <si>
    <t>Napaporn</t>
  </si>
  <si>
    <t>Termthanaporn</t>
  </si>
  <si>
    <t>Napaporn Termthanaporn</t>
  </si>
  <si>
    <t>TAA3178</t>
  </si>
  <si>
    <t>Dhayata (Nattaporn)</t>
  </si>
  <si>
    <t>Saengnamthai</t>
  </si>
  <si>
    <t>Dhayata Saengnamthai</t>
  </si>
  <si>
    <t>TAA3179</t>
  </si>
  <si>
    <t>Sasipintu</t>
  </si>
  <si>
    <t>Sripanvong</t>
  </si>
  <si>
    <t>Sasipintu Sripanvong</t>
  </si>
  <si>
    <t>TAA3180</t>
  </si>
  <si>
    <t>Thanawan</t>
  </si>
  <si>
    <t>Seemakul</t>
  </si>
  <si>
    <t>Thanawan Seemakul</t>
  </si>
  <si>
    <t>TAA3181</t>
  </si>
  <si>
    <t>Taratan</t>
  </si>
  <si>
    <t>Wongarree</t>
  </si>
  <si>
    <t>Taratan Wongarree</t>
  </si>
  <si>
    <t>TAA3183</t>
  </si>
  <si>
    <t>Saranya</t>
  </si>
  <si>
    <t>Pinyopornpanich</t>
  </si>
  <si>
    <t>Saranya Pinyopornpanich</t>
  </si>
  <si>
    <t>TAA3189</t>
  </si>
  <si>
    <t>Benjama</t>
  </si>
  <si>
    <t>Keyata</t>
  </si>
  <si>
    <t>Benjama Keyata</t>
  </si>
  <si>
    <t>TAA3190</t>
  </si>
  <si>
    <t>Thidarat</t>
  </si>
  <si>
    <t>Potarin</t>
  </si>
  <si>
    <t>Thidarat Potarin</t>
  </si>
  <si>
    <t>TAA1595</t>
  </si>
  <si>
    <t>Preechaya</t>
  </si>
  <si>
    <t>Rattanaporn</t>
  </si>
  <si>
    <t>Preechaya Rattanaporn</t>
  </si>
  <si>
    <t>TAA1667</t>
  </si>
  <si>
    <t>Porntippa</t>
  </si>
  <si>
    <t>Markpoon</t>
  </si>
  <si>
    <t>Porntippa Markpoon</t>
  </si>
  <si>
    <t>TAA2170</t>
  </si>
  <si>
    <t>Raywat</t>
  </si>
  <si>
    <t>Sakulsom</t>
  </si>
  <si>
    <t>Raywat Sakulsom</t>
  </si>
  <si>
    <t>TAA3194</t>
  </si>
  <si>
    <t>Thanattha</t>
  </si>
  <si>
    <t>Machai</t>
  </si>
  <si>
    <t>Thanattha Machai</t>
  </si>
  <si>
    <t>TAA3195</t>
  </si>
  <si>
    <t>Pongpon</t>
  </si>
  <si>
    <t>Buasalee</t>
  </si>
  <si>
    <t>Pongpon Buasalee</t>
  </si>
  <si>
    <t>TAA3196</t>
  </si>
  <si>
    <t>Pinyada</t>
  </si>
  <si>
    <t>Wachiradetsathain</t>
  </si>
  <si>
    <t>Pinyada Wachiradetsathain</t>
  </si>
  <si>
    <t>TAA3197</t>
  </si>
  <si>
    <t>Kornsankanok</t>
  </si>
  <si>
    <t>Worapun</t>
  </si>
  <si>
    <t>Kornsankanok Worapun</t>
  </si>
  <si>
    <t>TAA3199</t>
  </si>
  <si>
    <t>Chanatda</t>
  </si>
  <si>
    <t>Chalermchaichan</t>
  </si>
  <si>
    <t>Chanatda Chalermchaichan</t>
  </si>
  <si>
    <t>TAA3200</t>
  </si>
  <si>
    <t>Piyathida</t>
  </si>
  <si>
    <t>Jaikla</t>
  </si>
  <si>
    <t>Piyathida Jaikla</t>
  </si>
  <si>
    <t>TAA3203</t>
  </si>
  <si>
    <t>Chalatpon</t>
  </si>
  <si>
    <t>Tangkanjanapas</t>
  </si>
  <si>
    <t>Chalatpon Tangkanjanapas</t>
  </si>
  <si>
    <t>TAA3205</t>
  </si>
  <si>
    <t>Kunapond</t>
  </si>
  <si>
    <t>Wutayatornsakul</t>
  </si>
  <si>
    <t>Kunapond Wutayatornsakul</t>
  </si>
  <si>
    <t>TAA3206</t>
  </si>
  <si>
    <t>Pimpaporn</t>
  </si>
  <si>
    <t>Sittitanggoon</t>
  </si>
  <si>
    <t>Pimpaporn Sittitanggoon</t>
  </si>
  <si>
    <t>TAA3207</t>
  </si>
  <si>
    <t>Nannalin</t>
  </si>
  <si>
    <t>Deetesna</t>
  </si>
  <si>
    <t>Nannalin Deetesna</t>
  </si>
  <si>
    <t>TAA3209</t>
  </si>
  <si>
    <t>Yamonpat</t>
  </si>
  <si>
    <t>Kerk</t>
  </si>
  <si>
    <t>Yamonpat Kerk</t>
  </si>
  <si>
    <t>TAA3211</t>
  </si>
  <si>
    <t>Kaewduangkhae</t>
  </si>
  <si>
    <t>Sirirat Kaewduangkhae</t>
  </si>
  <si>
    <t>TAA0747</t>
  </si>
  <si>
    <t>Inthra</t>
  </si>
  <si>
    <t>Mathiang</t>
  </si>
  <si>
    <t>Inthra Mathiang</t>
  </si>
  <si>
    <t>TAA1251</t>
  </si>
  <si>
    <t>Waraporn</t>
  </si>
  <si>
    <t>Siripaiwan</t>
  </si>
  <si>
    <t>Waraporn Siripaiwan</t>
  </si>
  <si>
    <t>TAA1601</t>
  </si>
  <si>
    <t>Lalada (Darawan)</t>
  </si>
  <si>
    <t>Thiengthip</t>
  </si>
  <si>
    <t>Lalada Thiengthip</t>
  </si>
  <si>
    <t>TAA1953</t>
  </si>
  <si>
    <t>Saowanee</t>
  </si>
  <si>
    <t>Jareemuk</t>
  </si>
  <si>
    <t>Saowanee Jareemuk</t>
  </si>
  <si>
    <t>TAA2005</t>
  </si>
  <si>
    <t>Natthakritta</t>
  </si>
  <si>
    <t>Klaewklad</t>
  </si>
  <si>
    <t>Natthakritta Klaewklad</t>
  </si>
  <si>
    <t>TAA2051</t>
  </si>
  <si>
    <t>Kamonwan</t>
  </si>
  <si>
    <t>Kalsook</t>
  </si>
  <si>
    <t>Kamonwan Kalsook</t>
  </si>
  <si>
    <t>TAA2773</t>
  </si>
  <si>
    <t>Phanlapha</t>
  </si>
  <si>
    <t>Uaiphorn</t>
  </si>
  <si>
    <t>Phanlapha Uaiphorn</t>
  </si>
  <si>
    <t>TAA3249</t>
  </si>
  <si>
    <t>Jarintip</t>
  </si>
  <si>
    <t>Chomsuwan</t>
  </si>
  <si>
    <t>Jarintip Chomsuwan</t>
  </si>
  <si>
    <t>TAA3250</t>
  </si>
  <si>
    <t>Rassarin</t>
  </si>
  <si>
    <t>Weerathammavit</t>
  </si>
  <si>
    <t>Rassarin Weerathammavit</t>
  </si>
  <si>
    <t>TAA3253</t>
  </si>
  <si>
    <t>Parinda</t>
  </si>
  <si>
    <t>Vidhecharoengul</t>
  </si>
  <si>
    <t>Parinda Vidhecharoengul</t>
  </si>
  <si>
    <t>TAA3254</t>
  </si>
  <si>
    <t>Kittiluk</t>
  </si>
  <si>
    <t>Assawateerasathien</t>
  </si>
  <si>
    <t>Kittiluk Assawateerasathien</t>
  </si>
  <si>
    <t>TAA3256</t>
  </si>
  <si>
    <t>Suthipong</t>
  </si>
  <si>
    <t>Srivichai</t>
  </si>
  <si>
    <t>Suthipong Srivichai</t>
  </si>
  <si>
    <t>TAA3258</t>
  </si>
  <si>
    <t>Ektanin</t>
  </si>
  <si>
    <t>Chuangaroon</t>
  </si>
  <si>
    <t>Ektanin Chuangaroon</t>
  </si>
  <si>
    <t>TAA3259</t>
  </si>
  <si>
    <t>Tunthita (Oranuch)</t>
  </si>
  <si>
    <t>Phaisalpirom</t>
  </si>
  <si>
    <t>Tunthita Phaisalnphirom</t>
  </si>
  <si>
    <t>TAA3260</t>
  </si>
  <si>
    <t>Bhodcharabhon (Sukhon)</t>
  </si>
  <si>
    <t>Nontreenok</t>
  </si>
  <si>
    <t>Bhodcharabhon Nontreenok</t>
  </si>
  <si>
    <t>TAA3261</t>
  </si>
  <si>
    <t>Atthaya</t>
  </si>
  <si>
    <t>Pongkhao</t>
  </si>
  <si>
    <t>Atthaya Pongkhao</t>
  </si>
  <si>
    <t>TAA3262</t>
  </si>
  <si>
    <t>Pipassa</t>
  </si>
  <si>
    <t>Laopiyasakul</t>
  </si>
  <si>
    <t>Pipassa Laopiyasakul</t>
  </si>
  <si>
    <t>TAA3387</t>
  </si>
  <si>
    <t>Photchara</t>
  </si>
  <si>
    <t>Srisuk</t>
  </si>
  <si>
    <t>Photchara Srisuk</t>
  </si>
  <si>
    <t>TAA3388</t>
  </si>
  <si>
    <t>Wipoj</t>
  </si>
  <si>
    <t>Sinsomboon</t>
  </si>
  <si>
    <t>Wipoj Sinsomboon</t>
  </si>
  <si>
    <t>TAA3392</t>
  </si>
  <si>
    <t>Rapeepan</t>
  </si>
  <si>
    <t>Ariyakul</t>
  </si>
  <si>
    <t>Rapeepan Ariyakul</t>
  </si>
  <si>
    <t>TAA3393</t>
  </si>
  <si>
    <t>Setthi-orn</t>
  </si>
  <si>
    <t>Ruenroeng</t>
  </si>
  <si>
    <t>Setthi-orn Ruenroeng</t>
  </si>
  <si>
    <t>TAA3394</t>
  </si>
  <si>
    <t>Phakamat</t>
  </si>
  <si>
    <t>Likhitphummara (Chumkaew)</t>
  </si>
  <si>
    <t>Phakamat Likhitphummara</t>
  </si>
  <si>
    <t>TAA3396</t>
  </si>
  <si>
    <t>Pranpriya</t>
  </si>
  <si>
    <t>Rujirakamolvit</t>
  </si>
  <si>
    <t>Pranpriya Rujirakamolvit</t>
  </si>
  <si>
    <t>TAA3397</t>
  </si>
  <si>
    <t>Saleera</t>
  </si>
  <si>
    <t>Wangphoka</t>
  </si>
  <si>
    <t>Saleera Wangphoka</t>
  </si>
  <si>
    <t>TAA3398</t>
  </si>
  <si>
    <t>Gam</t>
  </si>
  <si>
    <t>Keultachavanich</t>
  </si>
  <si>
    <t>Gam Keultachavanich</t>
  </si>
  <si>
    <t>TAA3399</t>
  </si>
  <si>
    <t>Chanyawat</t>
  </si>
  <si>
    <t>Ruchiratheekhakul</t>
  </si>
  <si>
    <t>Chanyawat Ruchiratheekhakul</t>
  </si>
  <si>
    <t>TAA3401</t>
  </si>
  <si>
    <t>Mintra</t>
  </si>
  <si>
    <t>Thamadee</t>
  </si>
  <si>
    <t>Mintra Thamadee</t>
  </si>
  <si>
    <t>TAA3403</t>
  </si>
  <si>
    <t>Thanicha</t>
  </si>
  <si>
    <t>Noodee</t>
  </si>
  <si>
    <t>Thanicha Noodee</t>
  </si>
  <si>
    <t>TAA3404</t>
  </si>
  <si>
    <t>Nilubon</t>
  </si>
  <si>
    <t>Samlee</t>
  </si>
  <si>
    <t>Nilubon Samlee</t>
  </si>
  <si>
    <t>TAA3405</t>
  </si>
  <si>
    <t>Kamolchanok</t>
  </si>
  <si>
    <t>Kamolchanok Khantidilokvongsa</t>
  </si>
  <si>
    <t>TAA3390</t>
  </si>
  <si>
    <t>Worawit</t>
  </si>
  <si>
    <t>Soparkdithapong</t>
  </si>
  <si>
    <t>Worawit Soparkdithapong</t>
  </si>
  <si>
    <t>TAA3391</t>
  </si>
  <si>
    <t>Patthara</t>
  </si>
  <si>
    <t>Pimsarn</t>
  </si>
  <si>
    <t>Patthara Pimsarn</t>
  </si>
  <si>
    <t>TAA3400</t>
  </si>
  <si>
    <t>Kunaporn</t>
  </si>
  <si>
    <t>Rittichart</t>
  </si>
  <si>
    <t>Kunaporn Rittichart</t>
  </si>
  <si>
    <t>TAA3402</t>
  </si>
  <si>
    <t>Ratchaneewan</t>
  </si>
  <si>
    <t>Tipyod</t>
  </si>
  <si>
    <t>Ratchaneewan Tipyod</t>
  </si>
  <si>
    <t>TAA3406</t>
  </si>
  <si>
    <t>Nerisa</t>
  </si>
  <si>
    <t>Chakornpaibool (Muensong)</t>
  </si>
  <si>
    <t>Nerisa Chakornpaibool</t>
  </si>
  <si>
    <t>TAA3408</t>
  </si>
  <si>
    <t>Pongtip</t>
  </si>
  <si>
    <t>Boonsri</t>
  </si>
  <si>
    <t>Pongtip Boonsri</t>
  </si>
  <si>
    <t>TAA3409</t>
  </si>
  <si>
    <t>Pornnipa</t>
  </si>
  <si>
    <t>Wonglakorn</t>
  </si>
  <si>
    <t>Pornnipa Wonglakorn</t>
  </si>
  <si>
    <t>TAA3440</t>
  </si>
  <si>
    <t>Narada</t>
  </si>
  <si>
    <t>Phongniwat</t>
  </si>
  <si>
    <t>Narada Phongniwat</t>
  </si>
  <si>
    <t>TAA3441</t>
  </si>
  <si>
    <t>Kornkanok</t>
  </si>
  <si>
    <t>Kollasut</t>
  </si>
  <si>
    <t>Kornkanok Kollasut</t>
  </si>
  <si>
    <t>TAA3442</t>
  </si>
  <si>
    <t>Jaruwan</t>
  </si>
  <si>
    <t>Jarungpirawong</t>
  </si>
  <si>
    <t>Jaruwan Jarungpirawong</t>
  </si>
  <si>
    <t>TAA3443</t>
  </si>
  <si>
    <t>Nattaporn</t>
  </si>
  <si>
    <t>Kamnil</t>
  </si>
  <si>
    <t>Nattaporn Kamnil</t>
  </si>
  <si>
    <t>TAA3444</t>
  </si>
  <si>
    <t>Tikapat</t>
  </si>
  <si>
    <t>Fungladda</t>
  </si>
  <si>
    <t>Tikapat Fungladda</t>
  </si>
  <si>
    <t>TAA3445</t>
  </si>
  <si>
    <t>Panitanthum</t>
  </si>
  <si>
    <t>Piyawan Panitanthum</t>
  </si>
  <si>
    <t>TAA3494</t>
  </si>
  <si>
    <t>Kwanchanok</t>
  </si>
  <si>
    <t>Praditsuk (Prommanee)</t>
  </si>
  <si>
    <t>Kwanchanok Praditsuk</t>
  </si>
  <si>
    <t>TAA3495</t>
  </si>
  <si>
    <t>Sawitri</t>
  </si>
  <si>
    <t>Siribunrueangwong</t>
  </si>
  <si>
    <t>Sawitri Siribunrueangwong</t>
  </si>
  <si>
    <t>TAA3497</t>
  </si>
  <si>
    <t>Wuttipon</t>
  </si>
  <si>
    <t>Onpuns</t>
  </si>
  <si>
    <t>Wuttipon Onpuns</t>
  </si>
  <si>
    <t>TAA3498</t>
  </si>
  <si>
    <t>Pipat</t>
  </si>
  <si>
    <t>Penpaiboon</t>
  </si>
  <si>
    <t>Pipat Penpaiboon</t>
  </si>
  <si>
    <t>TAA3500</t>
  </si>
  <si>
    <t>Pawinee</t>
  </si>
  <si>
    <t>Srisungnoen</t>
  </si>
  <si>
    <t>Pawinee Srisungnoen</t>
  </si>
  <si>
    <t>TAA3501</t>
  </si>
  <si>
    <t>Thunrawee</t>
  </si>
  <si>
    <t>Apinuthirunchot</t>
  </si>
  <si>
    <t>Thunrawee Apinuthirunchot</t>
  </si>
  <si>
    <t>TAA3502</t>
  </si>
  <si>
    <t>Praewpailin</t>
  </si>
  <si>
    <t>Kiatpipattanakul (Dista)</t>
  </si>
  <si>
    <t>Praewpailin Kiatpipattanakul</t>
  </si>
  <si>
    <t>TAA3503</t>
  </si>
  <si>
    <t>Laphatrada</t>
  </si>
  <si>
    <t>Saisuk</t>
  </si>
  <si>
    <t>Laphatrada Saisuk</t>
  </si>
  <si>
    <t>TAA3505</t>
  </si>
  <si>
    <t>Pinchapitch (Patharida)</t>
  </si>
  <si>
    <t>Pinchachartanant (Ittharat)</t>
  </si>
  <si>
    <t>Pinchapitch Pinchachartanant</t>
  </si>
  <si>
    <t>TAA3507</t>
  </si>
  <si>
    <t>Thakrit</t>
  </si>
  <si>
    <t>Phubunjongkij</t>
  </si>
  <si>
    <t>Thakrit Phubunjongkij</t>
  </si>
  <si>
    <t>TAA3508</t>
  </si>
  <si>
    <t>Pumipat</t>
  </si>
  <si>
    <t>Khorkongprasert</t>
  </si>
  <si>
    <t>Pumipat Khorkongprasert</t>
  </si>
  <si>
    <t>TAA3610</t>
  </si>
  <si>
    <t>Naruechon</t>
  </si>
  <si>
    <t>Rodkaew</t>
  </si>
  <si>
    <t>Naruechon Rodkaew</t>
  </si>
  <si>
    <t>TAA3611</t>
  </si>
  <si>
    <t>Ploypachara</t>
  </si>
  <si>
    <t>Charoensup</t>
  </si>
  <si>
    <t>Ploypachara Charoensup</t>
  </si>
  <si>
    <t>TAA3612</t>
  </si>
  <si>
    <t>Sunan</t>
  </si>
  <si>
    <t>Homcharoenpanith</t>
  </si>
  <si>
    <t>Sunan Homcharoenpanith</t>
  </si>
  <si>
    <t>TAA3613</t>
  </si>
  <si>
    <t>Wannapa</t>
  </si>
  <si>
    <t>Charuphan</t>
  </si>
  <si>
    <t>Wannapa Charuphan</t>
  </si>
  <si>
    <t>TAA3614</t>
  </si>
  <si>
    <t>Yanisa</t>
  </si>
  <si>
    <t>Patcharadanai</t>
  </si>
  <si>
    <t>Yanisa Patcharadanai</t>
  </si>
  <si>
    <t>TAA3616</t>
  </si>
  <si>
    <t>Saravut</t>
  </si>
  <si>
    <t>Pongkachan</t>
  </si>
  <si>
    <t>Saravut Pongkachan</t>
  </si>
  <si>
    <t>TAA3618</t>
  </si>
  <si>
    <t>Ananya</t>
  </si>
  <si>
    <t>Sindhusen</t>
  </si>
  <si>
    <t>Ananya Sindhusen</t>
  </si>
  <si>
    <t>TAA3620</t>
  </si>
  <si>
    <t>Tanaporn</t>
  </si>
  <si>
    <t>Wongviboonkul</t>
  </si>
  <si>
    <t>Tanaporn Wongviboonkul</t>
  </si>
  <si>
    <t>TAA3622</t>
  </si>
  <si>
    <t>Achawaputthi</t>
  </si>
  <si>
    <t>Nattaporn Achawaputthi</t>
  </si>
  <si>
    <t>TAA3670</t>
  </si>
  <si>
    <t>Chinprahasta</t>
  </si>
  <si>
    <t>Thanisorn Chinprahasta</t>
  </si>
  <si>
    <t>TAA3672</t>
  </si>
  <si>
    <t>Nisara</t>
  </si>
  <si>
    <t>Raviyan</t>
  </si>
  <si>
    <t>Nisara Raviyan</t>
  </si>
  <si>
    <t>TAA3673</t>
  </si>
  <si>
    <t>Kanyanatch</t>
  </si>
  <si>
    <t>A-kakun</t>
  </si>
  <si>
    <t>Kanyanatch A-kakun</t>
  </si>
  <si>
    <t>TAA3674</t>
  </si>
  <si>
    <t>Sarunya</t>
  </si>
  <si>
    <t>Mongkolnavin</t>
  </si>
  <si>
    <t>Sarunya Mongkolnavin</t>
  </si>
  <si>
    <t>TAA3675</t>
  </si>
  <si>
    <t>Renuka</t>
  </si>
  <si>
    <t>Kaewthit</t>
  </si>
  <si>
    <t>Renuka Kaewthit</t>
  </si>
  <si>
    <t>TAA3677</t>
  </si>
  <si>
    <t>Sirinthip</t>
  </si>
  <si>
    <t>Singhadecha</t>
  </si>
  <si>
    <t>Sirinthip Singhadecha</t>
  </si>
  <si>
    <t>TAA3678</t>
  </si>
  <si>
    <t>Palasak</t>
  </si>
  <si>
    <t>Kanyarat Palasak</t>
  </si>
  <si>
    <t>TAA3679</t>
  </si>
  <si>
    <t>Rungnapa</t>
  </si>
  <si>
    <t>Sawaruk</t>
  </si>
  <si>
    <t>Rungnapa Sawaruk</t>
  </si>
  <si>
    <t>TAA3681</t>
  </si>
  <si>
    <t>Kantanat(Piyakwan )</t>
  </si>
  <si>
    <t>Fuengfuchevakul(Ketmongkol)</t>
  </si>
  <si>
    <t>Kantanat Fuengfuchevakul</t>
  </si>
  <si>
    <t>TAA3682</t>
  </si>
  <si>
    <t>Atchara</t>
  </si>
  <si>
    <t>Mettaraksa</t>
  </si>
  <si>
    <t>Atchara Mettaraksa</t>
  </si>
  <si>
    <t>TAA3684</t>
  </si>
  <si>
    <t>Vannaporn</t>
  </si>
  <si>
    <t>Chaiwatsittikul</t>
  </si>
  <si>
    <t>Vannaporn Chaiwatsittikul</t>
  </si>
  <si>
    <t>TAA3685</t>
  </si>
  <si>
    <t>Mhaneepicha</t>
  </si>
  <si>
    <t>Ruangtragul</t>
  </si>
  <si>
    <t>Mhaneepicha Ruangtragul</t>
  </si>
  <si>
    <t>TAA3687</t>
  </si>
  <si>
    <t>Matanalai</t>
  </si>
  <si>
    <t>Davahustin</t>
  </si>
  <si>
    <t>Matanalai Davahustin</t>
  </si>
  <si>
    <t>TAA3688</t>
  </si>
  <si>
    <t>Peerada</t>
  </si>
  <si>
    <t>Musigsukont (Ganjanaverapol)</t>
  </si>
  <si>
    <t>Peerada Musigsukont</t>
  </si>
  <si>
    <t>TAA3816</t>
  </si>
  <si>
    <t>Supada</t>
  </si>
  <si>
    <t>Wanichapat</t>
  </si>
  <si>
    <t>Supada Wanichapat</t>
  </si>
  <si>
    <t>TAA3817</t>
  </si>
  <si>
    <t>Porntida</t>
  </si>
  <si>
    <t>Suriyachot</t>
  </si>
  <si>
    <t>Porntida Suriyachot</t>
  </si>
  <si>
    <t>TAA3818</t>
  </si>
  <si>
    <t>Phichayanat (Noppawan)</t>
  </si>
  <si>
    <t>Duangprasanchai</t>
  </si>
  <si>
    <t>Phichayanat Duangprasanchai</t>
  </si>
  <si>
    <t>TAA3819</t>
  </si>
  <si>
    <t>Phanphayia</t>
  </si>
  <si>
    <t>Phunphianchat</t>
  </si>
  <si>
    <t>Phanphayia Phunphianchat</t>
  </si>
  <si>
    <t>TAA3820</t>
  </si>
  <si>
    <t>Peerapop</t>
  </si>
  <si>
    <t>Sompranon</t>
  </si>
  <si>
    <t>Peerapop Sompranon</t>
  </si>
  <si>
    <t>TAA3821</t>
  </si>
  <si>
    <t>Korakoch</t>
  </si>
  <si>
    <t>Charoenying</t>
  </si>
  <si>
    <t>Korakoch Charoenying</t>
  </si>
  <si>
    <t>TAA3822</t>
  </si>
  <si>
    <t>Methawadee</t>
  </si>
  <si>
    <t>Nuanganant</t>
  </si>
  <si>
    <t>Methawadee Nuanganant</t>
  </si>
  <si>
    <t>TAA3823</t>
  </si>
  <si>
    <t>Juthamard</t>
  </si>
  <si>
    <t>Pienwikraisophon</t>
  </si>
  <si>
    <t>Juthamard Pienwikraisophon</t>
  </si>
  <si>
    <t>TAA3824</t>
  </si>
  <si>
    <t>Supawadee</t>
  </si>
  <si>
    <t>Panachompoo</t>
  </si>
  <si>
    <t>Supawadee Panachompoo</t>
  </si>
  <si>
    <t>TAA3825</t>
  </si>
  <si>
    <t>Kanyanee</t>
  </si>
  <si>
    <t>Sakunsim</t>
  </si>
  <si>
    <t>Kanyanee Sakunsim</t>
  </si>
  <si>
    <t>TAA3826</t>
  </si>
  <si>
    <t>Tilada</t>
  </si>
  <si>
    <t>Srichaichana</t>
  </si>
  <si>
    <t>Tilada Srichaichana</t>
  </si>
  <si>
    <t>TAA3827</t>
  </si>
  <si>
    <t>Ratchaporn</t>
  </si>
  <si>
    <t>Wongbandit</t>
  </si>
  <si>
    <t>Ratchaporn Wongbandit</t>
  </si>
  <si>
    <t>TAA3830</t>
  </si>
  <si>
    <t>Tanyada</t>
  </si>
  <si>
    <t>Charoenpong</t>
  </si>
  <si>
    <t>Tanyada Charoenpong</t>
  </si>
  <si>
    <t>TAA3831</t>
  </si>
  <si>
    <t>Thiptida</t>
  </si>
  <si>
    <t>Keereemasthong</t>
  </si>
  <si>
    <t>Thiptida Keereemasthong</t>
  </si>
  <si>
    <t>TAA3833</t>
  </si>
  <si>
    <t>Onvadee</t>
  </si>
  <si>
    <t>Siripadungtham</t>
  </si>
  <si>
    <t>Onvadee Siripadungtham</t>
  </si>
  <si>
    <t>TAA3834</t>
  </si>
  <si>
    <t>Wasinanon</t>
  </si>
  <si>
    <t>Jariya Wasinanon</t>
  </si>
  <si>
    <t>TAA3869</t>
  </si>
  <si>
    <t>Siriluk</t>
  </si>
  <si>
    <t>Supkongyu</t>
  </si>
  <si>
    <t>Siriluk Supkongyu</t>
  </si>
  <si>
    <t>TAA3871</t>
  </si>
  <si>
    <t>Taspon</t>
  </si>
  <si>
    <t>Jantaduang</t>
  </si>
  <si>
    <t>Taspon Jantaduang</t>
  </si>
  <si>
    <t>TAA3872</t>
  </si>
  <si>
    <t>Nutthawich</t>
  </si>
  <si>
    <t>Suwanmanee</t>
  </si>
  <si>
    <t>Nutthawich Suwanmanee</t>
  </si>
  <si>
    <t>TAA3873</t>
  </si>
  <si>
    <t>Wachiraphong (Sitthiphong)</t>
  </si>
  <si>
    <t>Wangphisit</t>
  </si>
  <si>
    <t>Wachiraphong Wangphisit</t>
  </si>
  <si>
    <t>TAA3874</t>
  </si>
  <si>
    <t>Rada</t>
  </si>
  <si>
    <t>Nilyam</t>
  </si>
  <si>
    <t>Rada Nilyam</t>
  </si>
  <si>
    <t>TAA3875</t>
  </si>
  <si>
    <t>Sakuna</t>
  </si>
  <si>
    <t>Puangpipat</t>
  </si>
  <si>
    <t>Sakuna Puangpipat</t>
  </si>
  <si>
    <t>TAA3877</t>
  </si>
  <si>
    <t>Ketsaraporn</t>
  </si>
  <si>
    <t>Borvornmongkolsak</t>
  </si>
  <si>
    <t>Ketsaraporn Borvornmongkolsak</t>
  </si>
  <si>
    <t>TAA3878</t>
  </si>
  <si>
    <t>Pichaya</t>
  </si>
  <si>
    <t>Veerakiatikit</t>
  </si>
  <si>
    <t>Pichaya Veerakiatikit</t>
  </si>
  <si>
    <t>TAA3880</t>
  </si>
  <si>
    <t>Panita (Sirilak)</t>
  </si>
  <si>
    <t>Chakchaichan</t>
  </si>
  <si>
    <t>Panita Chakchaichan</t>
  </si>
  <si>
    <t>TAA3881</t>
  </si>
  <si>
    <t>Jirachaya</t>
  </si>
  <si>
    <t>Limpadtanachai</t>
  </si>
  <si>
    <t>Jirachaya Limpadtanachai</t>
  </si>
  <si>
    <t>TAA3882</t>
  </si>
  <si>
    <t>Kotchaporn (Chengping)</t>
  </si>
  <si>
    <t>Komutanont (Saetang)</t>
  </si>
  <si>
    <t>Kotchaporn Komutanont</t>
  </si>
  <si>
    <t>TAA3883</t>
  </si>
  <si>
    <t>Wattana</t>
  </si>
  <si>
    <t>Thonkojarn</t>
  </si>
  <si>
    <t>Wattana Thonkojarn</t>
  </si>
  <si>
    <t>TAA3884</t>
  </si>
  <si>
    <t>U-kit</t>
  </si>
  <si>
    <t>Kulketyingyai</t>
  </si>
  <si>
    <t>U-kit Kulketyingyai</t>
  </si>
  <si>
    <t>TAA3885</t>
  </si>
  <si>
    <t>Thanachai</t>
  </si>
  <si>
    <t>Wilai-ngam</t>
  </si>
  <si>
    <t>Thanachai Wilai-ngam</t>
  </si>
  <si>
    <t>TAA3887</t>
  </si>
  <si>
    <t>Theeraphon</t>
  </si>
  <si>
    <t>Porisutkun</t>
  </si>
  <si>
    <t>Theeraphon Porisutkun</t>
  </si>
  <si>
    <t>TAA3889</t>
  </si>
  <si>
    <t>Yuttana</t>
  </si>
  <si>
    <t>Chintanapatumporn</t>
  </si>
  <si>
    <t>Yuttana Chintanapatumporn</t>
  </si>
  <si>
    <t>TAA3890</t>
  </si>
  <si>
    <t>Ratha</t>
  </si>
  <si>
    <t>Aphiworaphakin</t>
  </si>
  <si>
    <t>Ratha Aphiworaphakin</t>
  </si>
  <si>
    <t>TAA3892</t>
  </si>
  <si>
    <t>Duangporn</t>
  </si>
  <si>
    <t>Denkesineelam</t>
  </si>
  <si>
    <t>Duangporn Denkesineelam</t>
  </si>
  <si>
    <t>TAA3893</t>
  </si>
  <si>
    <t>Padejkarn</t>
  </si>
  <si>
    <t>Hanta</t>
  </si>
  <si>
    <t>Padejkarn Hanta</t>
  </si>
  <si>
    <t>TAA3895</t>
  </si>
  <si>
    <t>Thanyaluck</t>
  </si>
  <si>
    <t>Wongkittivech</t>
  </si>
  <si>
    <t>Thanyaluck Wongkittivech</t>
  </si>
  <si>
    <t>TAA3896</t>
  </si>
  <si>
    <t>Natrueja</t>
  </si>
  <si>
    <t>Pornpitaktepakit</t>
  </si>
  <si>
    <t>Natrueja Pornpitaktepakit</t>
  </si>
  <si>
    <t>TAA3897</t>
  </si>
  <si>
    <t>Phakchira</t>
  </si>
  <si>
    <t>Charoensuk</t>
  </si>
  <si>
    <t>Phakchira Charoensuk</t>
  </si>
  <si>
    <t>TAA3898</t>
  </si>
  <si>
    <t>Krittrin</t>
  </si>
  <si>
    <t>Harnphanphong</t>
  </si>
  <si>
    <t>Krittrin Harnphanphong</t>
  </si>
  <si>
    <t>TAA3930</t>
  </si>
  <si>
    <t>Wipaporn</t>
  </si>
  <si>
    <t>Prasertsom</t>
  </si>
  <si>
    <t>Wipaporn Prasertsom</t>
  </si>
  <si>
    <t>TAA3931</t>
  </si>
  <si>
    <t>Akira</t>
  </si>
  <si>
    <t>Amornwong</t>
  </si>
  <si>
    <t>Akira Amornwong</t>
  </si>
  <si>
    <t>TAA3933</t>
  </si>
  <si>
    <t>Ravipa</t>
  </si>
  <si>
    <t>Praropkul</t>
  </si>
  <si>
    <t>Ravipa Praropkul</t>
  </si>
  <si>
    <t>TAA3934</t>
  </si>
  <si>
    <t>Ailada</t>
  </si>
  <si>
    <t>Yindeepop</t>
  </si>
  <si>
    <t>Ailada Yindeepop</t>
  </si>
  <si>
    <t>TAA3936</t>
  </si>
  <si>
    <t>Natchanakarn</t>
  </si>
  <si>
    <t>Wattanaboribhonkun</t>
  </si>
  <si>
    <t>Natchanakarn Wattanaboribhonkun</t>
  </si>
  <si>
    <t>TAA3937</t>
  </si>
  <si>
    <t>Wanwisa</t>
  </si>
  <si>
    <t>Tongkon</t>
  </si>
  <si>
    <t>Wanwisa Tongkon</t>
  </si>
  <si>
    <t>TAA3938</t>
  </si>
  <si>
    <t>Benjamaporn</t>
  </si>
  <si>
    <t>Unn-A-Nant</t>
  </si>
  <si>
    <t>Benjamaporn Unn-A-Nant</t>
  </si>
  <si>
    <t>TAA3939</t>
  </si>
  <si>
    <t>Kornrumpha</t>
  </si>
  <si>
    <t>Wongsing</t>
  </si>
  <si>
    <t>Kornrumpha Wongsing</t>
  </si>
  <si>
    <t>TAA3941</t>
  </si>
  <si>
    <t>Phakrapee</t>
  </si>
  <si>
    <t>Fuengprang</t>
  </si>
  <si>
    <t>Phakrapee Fuengprang</t>
  </si>
  <si>
    <t>TAA3942</t>
  </si>
  <si>
    <t>Nannapat</t>
  </si>
  <si>
    <t>Malairat</t>
  </si>
  <si>
    <t>Nannapat Malairat</t>
  </si>
  <si>
    <t>TAA3944</t>
  </si>
  <si>
    <t>Chattamanuch</t>
  </si>
  <si>
    <t>Thiamhong</t>
  </si>
  <si>
    <t>Chattamanuch Thiamhong</t>
  </si>
  <si>
    <t>TAA3946</t>
  </si>
  <si>
    <t>Jutaporn</t>
  </si>
  <si>
    <t>Kanjanakhajit</t>
  </si>
  <si>
    <t>Jutaporn Kanjanakhajit</t>
  </si>
  <si>
    <t>TAA3947</t>
  </si>
  <si>
    <t>Srisuwan</t>
  </si>
  <si>
    <t>Thanawat Srisuwan</t>
  </si>
  <si>
    <t>TAA3948</t>
  </si>
  <si>
    <t>Pralongpol</t>
  </si>
  <si>
    <t>Sittijinda</t>
  </si>
  <si>
    <t>Pralongpol Sittijinda</t>
  </si>
  <si>
    <t>TAA3949</t>
  </si>
  <si>
    <t>Danupon</t>
  </si>
  <si>
    <t>Chuenmongkol</t>
  </si>
  <si>
    <t>Danupon Chuenmongkol</t>
  </si>
  <si>
    <t>TAA3950</t>
  </si>
  <si>
    <t>Panaiporn</t>
  </si>
  <si>
    <t>Hwungwichien</t>
  </si>
  <si>
    <t>Panaiporn Hwungwichien</t>
  </si>
  <si>
    <t>TAA3953</t>
  </si>
  <si>
    <t>Jadesadaporn</t>
  </si>
  <si>
    <t>Rungcharoen</t>
  </si>
  <si>
    <t>Jadesadaporn Rungcharoen</t>
  </si>
  <si>
    <t>TAA3955</t>
  </si>
  <si>
    <t>Teerapong</t>
  </si>
  <si>
    <t>Prempreedee</t>
  </si>
  <si>
    <t>Teerapong Prempreedee</t>
  </si>
  <si>
    <t>TAA3956</t>
  </si>
  <si>
    <t>Sathita</t>
  </si>
  <si>
    <t>Pongsomran</t>
  </si>
  <si>
    <t>Sathita Pongsomran</t>
  </si>
  <si>
    <t>TAA3957</t>
  </si>
  <si>
    <t>Nualpran</t>
  </si>
  <si>
    <t>Waitayachaiwat</t>
  </si>
  <si>
    <t>Nualpran Waitayachaiwat</t>
  </si>
  <si>
    <t>TAA3958</t>
  </si>
  <si>
    <t>Thararat</t>
  </si>
  <si>
    <t>Hengphucharoen</t>
  </si>
  <si>
    <t>Thararat Hengphucharoen</t>
  </si>
  <si>
    <t>TAA3959</t>
  </si>
  <si>
    <t>Waroot</t>
  </si>
  <si>
    <t>Chanpueak</t>
  </si>
  <si>
    <t>Waroot Chanpueak</t>
  </si>
  <si>
    <t>TAA3962</t>
  </si>
  <si>
    <t>Jeeraprapa</t>
  </si>
  <si>
    <t>Tuptimdang</t>
  </si>
  <si>
    <t>Jeeraprapa Tuptimdang</t>
  </si>
  <si>
    <t>TAA3966</t>
  </si>
  <si>
    <t>Piyanut</t>
  </si>
  <si>
    <t>Nainet</t>
  </si>
  <si>
    <t>Piyanut Nainet</t>
  </si>
  <si>
    <t>TAA3967</t>
  </si>
  <si>
    <t>Thamonwan</t>
  </si>
  <si>
    <t>Chinnarukbumrung</t>
  </si>
  <si>
    <t>Thamonwan Chinnarukbumrung</t>
  </si>
  <si>
    <t>TAA3968</t>
  </si>
  <si>
    <t>Aram</t>
  </si>
  <si>
    <t>Nukulpakdee</t>
  </si>
  <si>
    <t>Aram Nukulpakdee</t>
  </si>
  <si>
    <t>TAA3969</t>
  </si>
  <si>
    <t>Thacha</t>
  </si>
  <si>
    <t>Harnsomboon</t>
  </si>
  <si>
    <t>Thacha Harnsomboon</t>
  </si>
  <si>
    <t>TAA3970</t>
  </si>
  <si>
    <t>Busayarat</t>
  </si>
  <si>
    <t>Pongratanakul</t>
  </si>
  <si>
    <t>Busayarat Pongratanakul</t>
  </si>
  <si>
    <t>TAA3972</t>
  </si>
  <si>
    <t>Pattamaporn</t>
  </si>
  <si>
    <t>Thamasathitporn</t>
  </si>
  <si>
    <t>Pattamaporn Thamasathitporn</t>
  </si>
  <si>
    <t>TAA3974</t>
  </si>
  <si>
    <t>Ramida</t>
  </si>
  <si>
    <t>Boonpromma</t>
  </si>
  <si>
    <t>Ramida Boonpromma</t>
  </si>
  <si>
    <t>TAA3975</t>
  </si>
  <si>
    <t>Aroonrat</t>
  </si>
  <si>
    <t>Limpawattanasuk</t>
  </si>
  <si>
    <t>Aroonrat Limpawattanasuk</t>
  </si>
  <si>
    <t>TAA3977</t>
  </si>
  <si>
    <t>Raveekankate</t>
  </si>
  <si>
    <t>Sukasemthongdi</t>
  </si>
  <si>
    <t>Raveekankate Sukasemthongdi</t>
  </si>
  <si>
    <t>TAA3980</t>
  </si>
  <si>
    <t>Pitchaya (Jinnipha)</t>
  </si>
  <si>
    <t>Dalai (Viskul)</t>
  </si>
  <si>
    <t>Pitchaya Dalai</t>
  </si>
  <si>
    <t>TAA3981</t>
  </si>
  <si>
    <t>Sitthikorn</t>
  </si>
  <si>
    <t>Janchalaem</t>
  </si>
  <si>
    <t>Sitthikorn Janchalaem</t>
  </si>
  <si>
    <t>TAA3982</t>
  </si>
  <si>
    <t>Jirayutt</t>
  </si>
  <si>
    <t>Tungmunkij</t>
  </si>
  <si>
    <t>Jirayutt Tungmunkij</t>
  </si>
  <si>
    <t>TAA3984</t>
  </si>
  <si>
    <t>Naphaphat</t>
  </si>
  <si>
    <t>Narapirapong</t>
  </si>
  <si>
    <t>Naphaphat Narapirapong</t>
  </si>
  <si>
    <t>TAA3987</t>
  </si>
  <si>
    <t>Kwanrapee</t>
  </si>
  <si>
    <t>Satayayookt</t>
  </si>
  <si>
    <t>Kwanrapee Satayayookt</t>
  </si>
  <si>
    <t>TAA3988</t>
  </si>
  <si>
    <t>Poramate</t>
  </si>
  <si>
    <t>Rattanaseksun</t>
  </si>
  <si>
    <t>Poramate Rattanaseksun</t>
  </si>
  <si>
    <t>TAA3989</t>
  </si>
  <si>
    <t>Darin</t>
  </si>
  <si>
    <t>Yamalee</t>
  </si>
  <si>
    <t>Darin Yamalee</t>
  </si>
  <si>
    <t>TAA3992</t>
  </si>
  <si>
    <t>Nichkamon</t>
  </si>
  <si>
    <t>Kedphan</t>
  </si>
  <si>
    <t>Nichkamon Kedphan</t>
  </si>
  <si>
    <t>TAA3993</t>
  </si>
  <si>
    <t>Pornpanna</t>
  </si>
  <si>
    <t>Tanasukhsombun</t>
  </si>
  <si>
    <t>Pornpanna Tanasukhsombun</t>
  </si>
  <si>
    <t>TAA3995</t>
  </si>
  <si>
    <t>Thanapong</t>
  </si>
  <si>
    <t>Lowauthai</t>
  </si>
  <si>
    <t>Thanapong Lowauthai</t>
  </si>
  <si>
    <t>TAA3997</t>
  </si>
  <si>
    <t>Praew</t>
  </si>
  <si>
    <t>Kijsuwan</t>
  </si>
  <si>
    <t>Praew Kijsuwan</t>
  </si>
  <si>
    <t>TAA3998</t>
  </si>
  <si>
    <t>Apinan</t>
  </si>
  <si>
    <t>Sookpinij</t>
  </si>
  <si>
    <t>Apinan Sookpinij</t>
  </si>
  <si>
    <t>TAA3999</t>
  </si>
  <si>
    <t>Nolnapat</t>
  </si>
  <si>
    <t>Nitmanee</t>
  </si>
  <si>
    <t>Nolnapat Nitmanee</t>
  </si>
  <si>
    <t>TAA4000</t>
  </si>
  <si>
    <t>Pichanun</t>
  </si>
  <si>
    <t>Seneetantikul</t>
  </si>
  <si>
    <t>Pichanun Seneetantikul</t>
  </si>
  <si>
    <t>TAA4002</t>
  </si>
  <si>
    <t>Chalita</t>
  </si>
  <si>
    <t>Saengsri</t>
  </si>
  <si>
    <t>Chalita Saengsri</t>
  </si>
  <si>
    <t>TAA4003</t>
  </si>
  <si>
    <t>Worragun</t>
  </si>
  <si>
    <t>Banyen</t>
  </si>
  <si>
    <t>Worragun Banyen</t>
  </si>
  <si>
    <t>TAA4004</t>
  </si>
  <si>
    <t>Pakamas</t>
  </si>
  <si>
    <t>Monchaisawad</t>
  </si>
  <si>
    <t>Pakamas Monchaisawad</t>
  </si>
  <si>
    <t>TAA4005</t>
  </si>
  <si>
    <t>Pannathat</t>
  </si>
  <si>
    <t>Chuchuaisuwan</t>
  </si>
  <si>
    <t>Pannathat Chuchuaisuwan</t>
  </si>
  <si>
    <t>TAA4006</t>
  </si>
  <si>
    <t>Natcharee</t>
  </si>
  <si>
    <t>Chaweewong</t>
  </si>
  <si>
    <t>Natcharee Chaweewong</t>
  </si>
  <si>
    <t>TAA4007</t>
  </si>
  <si>
    <t>Paweenwich</t>
  </si>
  <si>
    <t>Saowanee Paweenwich</t>
  </si>
  <si>
    <t>TAA4008</t>
  </si>
  <si>
    <t>Patthama</t>
  </si>
  <si>
    <t>Pathumthong</t>
  </si>
  <si>
    <t>Patthama Pathumthong</t>
  </si>
  <si>
    <t>TAA4009</t>
  </si>
  <si>
    <t>Muanprae</t>
  </si>
  <si>
    <t>Fukiatisuthi</t>
  </si>
  <si>
    <t>Muanprae Fukiatisuthi</t>
  </si>
  <si>
    <t>TAA4010</t>
  </si>
  <si>
    <t>Pornthip</t>
  </si>
  <si>
    <t>Klankroowatna</t>
  </si>
  <si>
    <t>Pornthip Klankroowatna</t>
  </si>
  <si>
    <t>TAA4012</t>
  </si>
  <si>
    <t>Thattakarn</t>
  </si>
  <si>
    <t>Koonkaew</t>
  </si>
  <si>
    <t>Thattakarn Koonkaew</t>
  </si>
  <si>
    <t>TAA4013</t>
  </si>
  <si>
    <t>Nantakarn</t>
  </si>
  <si>
    <t>Sangwarn</t>
  </si>
  <si>
    <t>Nantakarn Sangwarn</t>
  </si>
  <si>
    <t>TAA4014</t>
  </si>
  <si>
    <t>Rungroch</t>
  </si>
  <si>
    <t>Supaporn Rungroch</t>
  </si>
  <si>
    <t>TAA4015</t>
  </si>
  <si>
    <t>Ingkrid (Surachada)</t>
  </si>
  <si>
    <t>Toyingcharoen (Chokdeeanantakul)</t>
  </si>
  <si>
    <t>Ingkrid Toyingcharoen</t>
  </si>
  <si>
    <t>TAA4016</t>
  </si>
  <si>
    <t>Thanrada</t>
  </si>
  <si>
    <t>Phetloet</t>
  </si>
  <si>
    <t>Thanrada Phetloet</t>
  </si>
  <si>
    <t>TAA4017</t>
  </si>
  <si>
    <t>Prangnaree</t>
  </si>
  <si>
    <t>Sahawatcharin</t>
  </si>
  <si>
    <t>Prangnaree Sahawatcharin</t>
  </si>
  <si>
    <t>TAA4023</t>
  </si>
  <si>
    <t>Pannee</t>
  </si>
  <si>
    <t>Soitanasirikul</t>
  </si>
  <si>
    <t>Pannee Soitanasirikul</t>
  </si>
  <si>
    <t>TAA4024</t>
  </si>
  <si>
    <t>Piyawadee</t>
  </si>
  <si>
    <t>Sitdhilaw</t>
  </si>
  <si>
    <t>Piyawadee Sitdhilaw</t>
  </si>
  <si>
    <t>TAA4027</t>
  </si>
  <si>
    <t>Danny Richmond</t>
  </si>
  <si>
    <t>Beaver</t>
  </si>
  <si>
    <t>Danny Richmond Beaver</t>
  </si>
  <si>
    <t>TAA4028</t>
  </si>
  <si>
    <t>Neeranuch</t>
  </si>
  <si>
    <t>Chaveevorn</t>
  </si>
  <si>
    <t>Neeranuch Chaveevorn</t>
  </si>
  <si>
    <t>TAA4030</t>
  </si>
  <si>
    <t>Wongsakorn</t>
  </si>
  <si>
    <t>Chalerm</t>
  </si>
  <si>
    <t>Wongsakorn Chalerm</t>
  </si>
  <si>
    <t>TAA4031</t>
  </si>
  <si>
    <t>Chanyakorn</t>
  </si>
  <si>
    <t>Amornkitvikai</t>
  </si>
  <si>
    <t>Chanyakorn Amornkitvikai</t>
  </si>
  <si>
    <t>TAA4032</t>
  </si>
  <si>
    <t>Varangkana</t>
  </si>
  <si>
    <t>Nokkaew</t>
  </si>
  <si>
    <t>Varangkana Nokkaew</t>
  </si>
  <si>
    <t>TAA4033</t>
  </si>
  <si>
    <t>Kritsada</t>
  </si>
  <si>
    <t>Prachanuchit</t>
  </si>
  <si>
    <t>Kritsada Prachanuchit</t>
  </si>
  <si>
    <t>TAA4035</t>
  </si>
  <si>
    <t>Nattawut</t>
  </si>
  <si>
    <t>Chawinkul</t>
  </si>
  <si>
    <t>Nattawut Chawinkul</t>
  </si>
  <si>
    <t>TAA4037</t>
  </si>
  <si>
    <t>Patcharida</t>
  </si>
  <si>
    <t>Thanasarndechachai</t>
  </si>
  <si>
    <t>Patcharida Thanasarndechachai</t>
  </si>
  <si>
    <t>TAA4038</t>
  </si>
  <si>
    <t>Juthaporn</t>
  </si>
  <si>
    <t>Ratanavaraporn</t>
  </si>
  <si>
    <t>Juthaporn Ratanavaraporn</t>
  </si>
  <si>
    <t>TAA4041</t>
  </si>
  <si>
    <t>Tamonwan</t>
  </si>
  <si>
    <t>Deesrisak</t>
  </si>
  <si>
    <t>Tamonwan Deesrisak</t>
  </si>
  <si>
    <t>TAA4042</t>
  </si>
  <si>
    <t>Arparatt</t>
  </si>
  <si>
    <t>Pengya</t>
  </si>
  <si>
    <t>Arparatt Pengya</t>
  </si>
  <si>
    <t>TAA4044</t>
  </si>
  <si>
    <t>Sasiwan</t>
  </si>
  <si>
    <t>Nakate</t>
  </si>
  <si>
    <t>Sasiwan Nakate</t>
  </si>
  <si>
    <t>TAA1679</t>
  </si>
  <si>
    <t>Chidchanok</t>
  </si>
  <si>
    <t>Seesorn</t>
  </si>
  <si>
    <t>Chidchanok Seesorn</t>
  </si>
  <si>
    <t>TAA2415</t>
  </si>
  <si>
    <t>Parinyawat</t>
  </si>
  <si>
    <t>Nengdaeng</t>
  </si>
  <si>
    <t>Parinyawat Nengdaeng</t>
  </si>
  <si>
    <t>TAA2430</t>
  </si>
  <si>
    <t>Chiravitch</t>
  </si>
  <si>
    <t>Kittiphongsathaporn</t>
  </si>
  <si>
    <t>Chiravitch Kittiphongsathaporn</t>
  </si>
  <si>
    <t>TAA2433</t>
  </si>
  <si>
    <t>Kewalin</t>
  </si>
  <si>
    <t>Chobthum</t>
  </si>
  <si>
    <t>Kewalin Chobthum</t>
  </si>
  <si>
    <t>TAA2455</t>
  </si>
  <si>
    <t>Kantina</t>
  </si>
  <si>
    <t>Dittapan (O-Kela)</t>
  </si>
  <si>
    <t>Kantina Dittapan</t>
  </si>
  <si>
    <t>TAA2778</t>
  </si>
  <si>
    <t>Arpakorn</t>
  </si>
  <si>
    <t>Suksaeng</t>
  </si>
  <si>
    <t>Arpakorn Suksaeng</t>
  </si>
  <si>
    <t>TAA2858</t>
  </si>
  <si>
    <t>Siraprapa</t>
  </si>
  <si>
    <t>Worawibul</t>
  </si>
  <si>
    <t>Siraprapa Worawibul</t>
  </si>
  <si>
    <t>TAA2986</t>
  </si>
  <si>
    <t>Anumat</t>
  </si>
  <si>
    <t>Darunee Anumat</t>
  </si>
  <si>
    <t>TAA4056</t>
  </si>
  <si>
    <t>Chanawut</t>
  </si>
  <si>
    <t>Nutakom</t>
  </si>
  <si>
    <t>Chanawut Nutakom</t>
  </si>
  <si>
    <t>TAA4057</t>
  </si>
  <si>
    <t>Suranat</t>
  </si>
  <si>
    <t>Chonsakuntavon</t>
  </si>
  <si>
    <t>Suranat Chonsakuntavon</t>
  </si>
  <si>
    <t>TAA4058</t>
  </si>
  <si>
    <t>Vajirawich</t>
  </si>
  <si>
    <t>Wongpuvarak</t>
  </si>
  <si>
    <t>Vajirawich Wongpuvarak</t>
  </si>
  <si>
    <t>TAA4059</t>
  </si>
  <si>
    <t>Supitchaya</t>
  </si>
  <si>
    <t>Pornpitaktepkit</t>
  </si>
  <si>
    <t>Supitchaya Pornpitaktepkit</t>
  </si>
  <si>
    <t>TAA4060</t>
  </si>
  <si>
    <t>Auntika</t>
  </si>
  <si>
    <t>Rithkla</t>
  </si>
  <si>
    <t>Auntika Rithkla</t>
  </si>
  <si>
    <t>TAA4061</t>
  </si>
  <si>
    <t>Natwajee</t>
  </si>
  <si>
    <t>Sawacaphan</t>
  </si>
  <si>
    <t>Natwajee Sawacaphan</t>
  </si>
  <si>
    <t>TAA4062</t>
  </si>
  <si>
    <t>Chanicha</t>
  </si>
  <si>
    <t>Songkrit</t>
  </si>
  <si>
    <t>Chanicha Songkrit</t>
  </si>
  <si>
    <t>TAA4063</t>
  </si>
  <si>
    <t>Phatrada</t>
  </si>
  <si>
    <t>Pumam</t>
  </si>
  <si>
    <t>Phatrada Pumam</t>
  </si>
  <si>
    <t>TAA4066</t>
  </si>
  <si>
    <t>Hathairat</t>
  </si>
  <si>
    <t>Turongtanakul</t>
  </si>
  <si>
    <t>Hathairat Turongtanakul</t>
  </si>
  <si>
    <t>TAA4067</t>
  </si>
  <si>
    <t>Metus</t>
  </si>
  <si>
    <t>Leearporn</t>
  </si>
  <si>
    <t>Metus Leearporn</t>
  </si>
  <si>
    <t>TAA4068</t>
  </si>
  <si>
    <t>Chanapon</t>
  </si>
  <si>
    <t>Phorungruang</t>
  </si>
  <si>
    <t>Chanapon Phorungruang</t>
  </si>
  <si>
    <t>TAA4069</t>
  </si>
  <si>
    <t>Watcharaporn</t>
  </si>
  <si>
    <t>Chancharoen</t>
  </si>
  <si>
    <t>Watcharaporn Chancharoen</t>
  </si>
  <si>
    <t>TAA4070</t>
  </si>
  <si>
    <t>Nattaphat</t>
  </si>
  <si>
    <t>Boonprasit</t>
  </si>
  <si>
    <t>Nattaphat Boonprasit</t>
  </si>
  <si>
    <t>TAA4071</t>
  </si>
  <si>
    <t>Warasit</t>
  </si>
  <si>
    <t>Rittiruechaikul</t>
  </si>
  <si>
    <t>Warasit Rittiruechaikul</t>
  </si>
  <si>
    <t>TAA4072</t>
  </si>
  <si>
    <t>Dusit</t>
  </si>
  <si>
    <t>Khositanon</t>
  </si>
  <si>
    <t>Dusit Khositanon</t>
  </si>
  <si>
    <t>TAA4074</t>
  </si>
  <si>
    <t>Sayompooh</t>
  </si>
  <si>
    <t>Jindarat</t>
  </si>
  <si>
    <t>Sayompooh Jindarat</t>
  </si>
  <si>
    <t>TAA4075</t>
  </si>
  <si>
    <t>Sutee</t>
  </si>
  <si>
    <t>Bowornchai</t>
  </si>
  <si>
    <t>Sutee Bowornchai</t>
  </si>
  <si>
    <t>TAA4076</t>
  </si>
  <si>
    <t>Prapripoo</t>
  </si>
  <si>
    <t>Phattanaphumthai</t>
  </si>
  <si>
    <t>Prapripoo Phattanaphumthai</t>
  </si>
  <si>
    <t>TAA4077</t>
  </si>
  <si>
    <t>Onwara</t>
  </si>
  <si>
    <t>Chongwijitkul</t>
  </si>
  <si>
    <t>Onwara Chongwijitkul</t>
  </si>
  <si>
    <t>TAA4078</t>
  </si>
  <si>
    <t>Parissara</t>
  </si>
  <si>
    <t>Visessmit</t>
  </si>
  <si>
    <t>Parissara Visessmit</t>
  </si>
  <si>
    <t>TAA4079</t>
  </si>
  <si>
    <t>Jutarattanakul</t>
  </si>
  <si>
    <t>Jutaporn Jutarattanakul</t>
  </si>
  <si>
    <t>TAA4080</t>
  </si>
  <si>
    <t>Prassanee</t>
  </si>
  <si>
    <t>Choochuen</t>
  </si>
  <si>
    <t>Prassanee Choochuen</t>
  </si>
  <si>
    <t>TAA4081</t>
  </si>
  <si>
    <t>Arunya</t>
  </si>
  <si>
    <t>Charoengangwanid</t>
  </si>
  <si>
    <t>Arunya Charoengangwanid</t>
  </si>
  <si>
    <t>TAA4082</t>
  </si>
  <si>
    <t>Satawat</t>
  </si>
  <si>
    <t>Satawat Laohasereekul</t>
  </si>
  <si>
    <t>TAA4083</t>
  </si>
  <si>
    <t>Tullaya</t>
  </si>
  <si>
    <t>Bunnag</t>
  </si>
  <si>
    <t>Tullaya Bunnag</t>
  </si>
  <si>
    <t>TAA4084</t>
  </si>
  <si>
    <t>Jarinya</t>
  </si>
  <si>
    <t>Muangdee</t>
  </si>
  <si>
    <t>Jarinya Muangdee</t>
  </si>
  <si>
    <t>TAA4089</t>
  </si>
  <si>
    <t>Sarinya</t>
  </si>
  <si>
    <t>Phontong</t>
  </si>
  <si>
    <t>Sarinya Phontong</t>
  </si>
  <si>
    <t>TAA4090</t>
  </si>
  <si>
    <t>Jenjira</t>
  </si>
  <si>
    <t>Swangsook</t>
  </si>
  <si>
    <t>Jenjira Swangsook</t>
  </si>
  <si>
    <t>TAA4091</t>
  </si>
  <si>
    <t>Sirapa</t>
  </si>
  <si>
    <t>Luesut</t>
  </si>
  <si>
    <t>Sirapa Luesut</t>
  </si>
  <si>
    <t>TAA4092</t>
  </si>
  <si>
    <t>Pattarapoom</t>
  </si>
  <si>
    <t>Settaprasert</t>
  </si>
  <si>
    <t>Pattarapoom Settaprasert</t>
  </si>
  <si>
    <t>TAA4093</t>
  </si>
  <si>
    <t>Natamon</t>
  </si>
  <si>
    <t>Buaurai</t>
  </si>
  <si>
    <t>Natamon Buaurai</t>
  </si>
  <si>
    <t>TAA4094</t>
  </si>
  <si>
    <t>Theerapat</t>
  </si>
  <si>
    <t>Sudsawas</t>
  </si>
  <si>
    <t>Theerapat Sudsawas</t>
  </si>
  <si>
    <t>TAA4096</t>
  </si>
  <si>
    <t>Navarat</t>
  </si>
  <si>
    <t>Chokbamrungcharoenkul</t>
  </si>
  <si>
    <t>Navarat Chokbamrungcharoenkul</t>
  </si>
  <si>
    <t>TAA4098</t>
  </si>
  <si>
    <t>Nattayanee</t>
  </si>
  <si>
    <t>Junnont</t>
  </si>
  <si>
    <t>Nattayanee Junnont</t>
  </si>
  <si>
    <t>TAA4099</t>
  </si>
  <si>
    <t>Teerayut</t>
  </si>
  <si>
    <t>Worawejwisarn</t>
  </si>
  <si>
    <t>Teerayut Worawejwisarn</t>
  </si>
  <si>
    <t>TAA4100</t>
  </si>
  <si>
    <t>Tulaya</t>
  </si>
  <si>
    <t>Arayapisutigoon</t>
  </si>
  <si>
    <t>Tulaya Arayapisutigoon</t>
  </si>
  <si>
    <t>TAA4101</t>
  </si>
  <si>
    <t>Teeraporn</t>
  </si>
  <si>
    <t>Sutthumvilai</t>
  </si>
  <si>
    <t>Teeraporn Sutthumvilai</t>
  </si>
  <si>
    <t>TAA4103</t>
  </si>
  <si>
    <t>Radarom</t>
  </si>
  <si>
    <t>Sunakorn</t>
  </si>
  <si>
    <t>Radarom Sunakorn</t>
  </si>
  <si>
    <t>TAA4104</t>
  </si>
  <si>
    <t>Ruchdaporn</t>
  </si>
  <si>
    <t>Niratch</t>
  </si>
  <si>
    <t>Ruchdaporn Niratch</t>
  </si>
  <si>
    <t>TAA4105</t>
  </si>
  <si>
    <t>Warittha</t>
  </si>
  <si>
    <t>Pinthong</t>
  </si>
  <si>
    <t>Warittha Pinthong</t>
  </si>
  <si>
    <t>TAA4106</t>
  </si>
  <si>
    <t>Nujira</t>
  </si>
  <si>
    <t>Suwanasang</t>
  </si>
  <si>
    <t>Nujira Suwanasang</t>
  </si>
  <si>
    <t>TAA4107</t>
  </si>
  <si>
    <t>Nalin</t>
  </si>
  <si>
    <t>Kaeokumchai</t>
  </si>
  <si>
    <t>Nalin Kaeokumchai</t>
  </si>
  <si>
    <t>TAA4109</t>
  </si>
  <si>
    <t>Poomgate</t>
  </si>
  <si>
    <t>Nattaporn Poomgate</t>
  </si>
  <si>
    <t>TAA4110</t>
  </si>
  <si>
    <t>Warodom</t>
  </si>
  <si>
    <t>Wongswasdi</t>
  </si>
  <si>
    <t>Warodom Wongswasdi</t>
  </si>
  <si>
    <t>TAA4111</t>
  </si>
  <si>
    <t>Sadchakarn</t>
  </si>
  <si>
    <t>Choochomchuen</t>
  </si>
  <si>
    <t>Sadchakarn Choochomchuen</t>
  </si>
  <si>
    <t>TAA4112</t>
  </si>
  <si>
    <t>Lukkanawong</t>
  </si>
  <si>
    <t>Nattaporn Lukkanawong</t>
  </si>
  <si>
    <t>TAA4192</t>
  </si>
  <si>
    <t>Lunchakorn</t>
  </si>
  <si>
    <t>Saengsiri</t>
  </si>
  <si>
    <t>Lunchakorn Saengsiri</t>
  </si>
  <si>
    <t>TAA2095</t>
  </si>
  <si>
    <t>Warisa</t>
  </si>
  <si>
    <t>Ployruengrussamee</t>
  </si>
  <si>
    <t>Warisa Ployruengrussamee</t>
  </si>
  <si>
    <t>TAA2205</t>
  </si>
  <si>
    <t>Arthit</t>
  </si>
  <si>
    <t>Rinkham</t>
  </si>
  <si>
    <t>Arthit Rinkham</t>
  </si>
  <si>
    <t>TAA2544</t>
  </si>
  <si>
    <t>Sarawut</t>
  </si>
  <si>
    <t>Rakdee</t>
  </si>
  <si>
    <t>Sarawut Rakdee</t>
  </si>
  <si>
    <t>TAA2578</t>
  </si>
  <si>
    <t>Ploychomphoo</t>
  </si>
  <si>
    <t>Punnyarattanawiroj</t>
  </si>
  <si>
    <t>Ploychomphoo Punnyarattanawiroj</t>
  </si>
  <si>
    <t>TAA2580</t>
  </si>
  <si>
    <t>Aphichat</t>
  </si>
  <si>
    <t>Thapnoo</t>
  </si>
  <si>
    <t>Aphichat Thapnoo</t>
  </si>
  <si>
    <t>TAA2618</t>
  </si>
  <si>
    <t>Ake</t>
  </si>
  <si>
    <t>Choetsobhon</t>
  </si>
  <si>
    <t>Ake Choetsobhon</t>
  </si>
  <si>
    <t>TAA2769</t>
  </si>
  <si>
    <t>Wilawan</t>
  </si>
  <si>
    <t>Auttamaphan</t>
  </si>
  <si>
    <t>Wilawan Auttamaphan</t>
  </si>
  <si>
    <t>TAA2772</t>
  </si>
  <si>
    <t>Wipada</t>
  </si>
  <si>
    <t>Promrat</t>
  </si>
  <si>
    <t>Wipada Promrat</t>
  </si>
  <si>
    <t>TAA2835</t>
  </si>
  <si>
    <t>Pimnicha</t>
  </si>
  <si>
    <t>Boriromyawong</t>
  </si>
  <si>
    <t>Pimnicha Boriromyawong</t>
  </si>
  <si>
    <t>TAA2937</t>
  </si>
  <si>
    <t>Kawinwat</t>
  </si>
  <si>
    <t>Pringplert</t>
  </si>
  <si>
    <t>Kawinwat Pringplert</t>
  </si>
  <si>
    <t>TAA2938</t>
  </si>
  <si>
    <t>Palil</t>
  </si>
  <si>
    <t>Borisutsuwan</t>
  </si>
  <si>
    <t>Palil Borisutsuwan</t>
  </si>
  <si>
    <t>TAA2942</t>
  </si>
  <si>
    <t>Teerapat</t>
  </si>
  <si>
    <t>Kasemphongsakorn</t>
  </si>
  <si>
    <t>Teerapat Kasemphongsakorn</t>
  </si>
  <si>
    <t>TAA2949</t>
  </si>
  <si>
    <t>Supattra</t>
  </si>
  <si>
    <t>Narattaraksa</t>
  </si>
  <si>
    <t>Supattra Narattaraksa</t>
  </si>
  <si>
    <t>TAA2950</t>
  </si>
  <si>
    <t>Narit</t>
  </si>
  <si>
    <t>Islam</t>
  </si>
  <si>
    <t>Narit Islam</t>
  </si>
  <si>
    <t>TAA2953</t>
  </si>
  <si>
    <t>Nattapong</t>
  </si>
  <si>
    <t>Kao-Ngampanich</t>
  </si>
  <si>
    <t>Nattapong Kao-Ngampanich</t>
  </si>
  <si>
    <t>TAA2987</t>
  </si>
  <si>
    <t>Nawaporn</t>
  </si>
  <si>
    <t>Ratianan</t>
  </si>
  <si>
    <t>Nawaporn Ratianan</t>
  </si>
  <si>
    <t>TAA2992</t>
  </si>
  <si>
    <t>Kamalas</t>
  </si>
  <si>
    <t>Wittayametakul</t>
  </si>
  <si>
    <t>Kamalas Wittayametakul</t>
  </si>
  <si>
    <t>TAA3084</t>
  </si>
  <si>
    <t>Kristisiri</t>
  </si>
  <si>
    <t>Pichaya Kristisiri</t>
  </si>
  <si>
    <t>TAA3085</t>
  </si>
  <si>
    <t>Sukrungruang</t>
  </si>
  <si>
    <t>Sunisa Sukrungruang</t>
  </si>
  <si>
    <t>TAA4602</t>
  </si>
  <si>
    <t>Siravit</t>
  </si>
  <si>
    <t>Makaew</t>
  </si>
  <si>
    <t>Siravit Makaew</t>
  </si>
  <si>
    <t>TAA4905</t>
  </si>
  <si>
    <t>Peamkate</t>
  </si>
  <si>
    <t>Kullasit</t>
  </si>
  <si>
    <t>Peamkate Kullasit</t>
  </si>
  <si>
    <t>TAA4751</t>
  </si>
  <si>
    <t>Pimlapas</t>
  </si>
  <si>
    <t>Tanapatpongsapas</t>
  </si>
  <si>
    <t>Pimlapas Tanapatpongsapas</t>
  </si>
  <si>
    <t>TAA3378</t>
  </si>
  <si>
    <t>Supharee</t>
  </si>
  <si>
    <t>Mutthaputthipong</t>
  </si>
  <si>
    <t>Supharee Mutthaputthipong</t>
  </si>
  <si>
    <t>TAA4730</t>
  </si>
  <si>
    <t>Weerayos</t>
  </si>
  <si>
    <t>Rungudomsinsakul</t>
  </si>
  <si>
    <t>Weerayos Rungudomsinsakul</t>
  </si>
  <si>
    <t>TAA4732</t>
  </si>
  <si>
    <t>Duangkamon</t>
  </si>
  <si>
    <t>Thongfuang</t>
  </si>
  <si>
    <t>Duangkamon Thongfuang</t>
  </si>
  <si>
    <t>TAA4734</t>
  </si>
  <si>
    <t>Nichanan</t>
  </si>
  <si>
    <t>Soonthornpanyawut</t>
  </si>
  <si>
    <t>Nichanan Soonthornpanyawut</t>
  </si>
  <si>
    <t>TAA4735</t>
  </si>
  <si>
    <t>Punnapa</t>
  </si>
  <si>
    <t>Thunthaditsgorn</t>
  </si>
  <si>
    <t>Punnapa Thunthaditsgorn</t>
  </si>
  <si>
    <t>TAA4736</t>
  </si>
  <si>
    <t>Premkamon</t>
  </si>
  <si>
    <t>Changsuwan</t>
  </si>
  <si>
    <t>Premkamon Changsuwan</t>
  </si>
  <si>
    <t>TAA4739</t>
  </si>
  <si>
    <t>Suphachok</t>
  </si>
  <si>
    <t>Pannakitchakul</t>
  </si>
  <si>
    <t>Suphachok Pannakitchakul</t>
  </si>
  <si>
    <t>TAA4740</t>
  </si>
  <si>
    <t>Sitsutporn</t>
  </si>
  <si>
    <t>Amornthatri</t>
  </si>
  <si>
    <t>Sitsutporn Amornthatri</t>
  </si>
  <si>
    <t>TAA4741</t>
  </si>
  <si>
    <t>Hansajaroonroj</t>
  </si>
  <si>
    <t>Jirawan Hansajaroonroj</t>
  </si>
  <si>
    <t>TAA4744</t>
  </si>
  <si>
    <t>Pundharee</t>
  </si>
  <si>
    <t>Manosirinukul</t>
  </si>
  <si>
    <t>Pundharee Manosirinukul</t>
  </si>
  <si>
    <t>TAA4745</t>
  </si>
  <si>
    <t>Chatdanai</t>
  </si>
  <si>
    <t>Insawang</t>
  </si>
  <si>
    <t>Chatdanai Insawang</t>
  </si>
  <si>
    <t>TAA4746</t>
  </si>
  <si>
    <t>Orapan</t>
  </si>
  <si>
    <t>Bangprapakorn</t>
  </si>
  <si>
    <t>Orapan Bangprapakorn</t>
  </si>
  <si>
    <t>TAA4747</t>
  </si>
  <si>
    <t>Lalita</t>
  </si>
  <si>
    <t>Chaichanapoonpol</t>
  </si>
  <si>
    <t>Lalita Chaichanapoonpol</t>
  </si>
  <si>
    <t>TAA4748</t>
  </si>
  <si>
    <t>Phasin</t>
  </si>
  <si>
    <t>Jirapattanatad</t>
  </si>
  <si>
    <t>Phasin Jirapattanatad</t>
  </si>
  <si>
    <t>TAA4749</t>
  </si>
  <si>
    <t>Pornpimon</t>
  </si>
  <si>
    <t>Boonranawattanakul</t>
  </si>
  <si>
    <t>Pornpimon Boonranawattanakul</t>
  </si>
  <si>
    <t>TAA4750</t>
  </si>
  <si>
    <t>Sirikarn</t>
  </si>
  <si>
    <t>Thipakarnkul</t>
  </si>
  <si>
    <t>Sirikarn Thipakarnkul</t>
  </si>
  <si>
    <t>TAA4826</t>
  </si>
  <si>
    <t>Krittaya</t>
  </si>
  <si>
    <t>Panyalee</t>
  </si>
  <si>
    <t>Krittaya Panyalee</t>
  </si>
  <si>
    <t>TAA4827</t>
  </si>
  <si>
    <t>Marisa</t>
  </si>
  <si>
    <t>Jeakkajorn</t>
  </si>
  <si>
    <t>Marisa Jeakkajorn</t>
  </si>
  <si>
    <t>TAA4829</t>
  </si>
  <si>
    <t>Nalaphan</t>
  </si>
  <si>
    <t>Suppaboriwat (Suwannasit)</t>
  </si>
  <si>
    <t>Nalaphan Suppaboriwat</t>
  </si>
  <si>
    <t>TAA4830</t>
  </si>
  <si>
    <t>Supannikar</t>
  </si>
  <si>
    <t>Bootrat</t>
  </si>
  <si>
    <t>Supannikar Bootrat</t>
  </si>
  <si>
    <t>TAA4831</t>
  </si>
  <si>
    <t>Pimpisa</t>
  </si>
  <si>
    <t>Wangtanaleard</t>
  </si>
  <si>
    <t>Pimpisa Wangtanaleard</t>
  </si>
  <si>
    <t>TAA4828</t>
  </si>
  <si>
    <t>Pangphet</t>
  </si>
  <si>
    <t>Nannar (Ruankampa)</t>
  </si>
  <si>
    <t>Pangphet Nannar</t>
  </si>
  <si>
    <t>TAA5158</t>
  </si>
  <si>
    <t>Rattanasumrit</t>
  </si>
  <si>
    <t>Sasima Rattanasumrit</t>
  </si>
  <si>
    <t>TAA5121</t>
  </si>
  <si>
    <t>Boonin</t>
  </si>
  <si>
    <t>Rattanaporn Boonin</t>
  </si>
  <si>
    <t>TAA5123</t>
  </si>
  <si>
    <t>Sumitra</t>
  </si>
  <si>
    <t>Nipanutiyan</t>
  </si>
  <si>
    <t>Sumitra Nipanutiyan</t>
  </si>
  <si>
    <t>TAA5125</t>
  </si>
  <si>
    <t>Amika</t>
  </si>
  <si>
    <t>Katchapanan</t>
  </si>
  <si>
    <t>Amika Katchapanan</t>
  </si>
  <si>
    <t>TAA5127</t>
  </si>
  <si>
    <t>Pattrawan</t>
  </si>
  <si>
    <t>Wongchirawat</t>
  </si>
  <si>
    <t>Pattrawan Wongchirawat</t>
  </si>
  <si>
    <t>TAA5128</t>
  </si>
  <si>
    <t>Panisara</t>
  </si>
  <si>
    <t>Purintraphiban</t>
  </si>
  <si>
    <t>Panisara Purintraphiban</t>
  </si>
  <si>
    <t>TAA5129</t>
  </si>
  <si>
    <t>Onparin</t>
  </si>
  <si>
    <t>Chairatnikorn</t>
  </si>
  <si>
    <t>Onparin Chairatnikorn</t>
  </si>
  <si>
    <t>TAA5133</t>
  </si>
  <si>
    <t>Wuttiphat</t>
  </si>
  <si>
    <t>Akenoot</t>
  </si>
  <si>
    <t>Wuttiphat Akenoot</t>
  </si>
  <si>
    <t>TAA5135</t>
  </si>
  <si>
    <t>Thidech</t>
  </si>
  <si>
    <t>Eakmongkollert</t>
  </si>
  <si>
    <t>Thidech Eakmongkollert</t>
  </si>
  <si>
    <t>TAA5136</t>
  </si>
  <si>
    <t>Sittichai</t>
  </si>
  <si>
    <t>Kaewsuriyan</t>
  </si>
  <si>
    <t>Sittichai Kaewsuriyan</t>
  </si>
  <si>
    <t>TAA5131</t>
  </si>
  <si>
    <t>Kittirat</t>
  </si>
  <si>
    <t>Aujsri</t>
  </si>
  <si>
    <t>Kittirat Aujsri</t>
  </si>
  <si>
    <t>TAA5137</t>
  </si>
  <si>
    <t>Pichsinee</t>
  </si>
  <si>
    <t>Hunsuwan</t>
  </si>
  <si>
    <t>Pichsinee Hunsuwan</t>
  </si>
  <si>
    <t>TAA5138</t>
  </si>
  <si>
    <t>Manida</t>
  </si>
  <si>
    <t>Cheangmark</t>
  </si>
  <si>
    <t>Manida Cheangmark</t>
  </si>
  <si>
    <t>TAA5139</t>
  </si>
  <si>
    <t>Wanassana</t>
  </si>
  <si>
    <t>Wiriyachaikit</t>
  </si>
  <si>
    <t>Wanassana Wiriyachaikit</t>
  </si>
  <si>
    <t>TAA5140</t>
  </si>
  <si>
    <t>Natchanan</t>
  </si>
  <si>
    <t xml:space="preserve">Pena Viegas </t>
  </si>
  <si>
    <t>Natchanan Pena Viegas</t>
  </si>
  <si>
    <t>TAA5142</t>
  </si>
  <si>
    <t>Tiwatorn</t>
  </si>
  <si>
    <t>Chitanuwat</t>
  </si>
  <si>
    <t>Tiwatorn Chitanuwat</t>
  </si>
  <si>
    <t>TAA5145</t>
  </si>
  <si>
    <t>Toonkeawo</t>
  </si>
  <si>
    <t>Shimada</t>
  </si>
  <si>
    <t>Toonkeawo Shimada</t>
  </si>
  <si>
    <t>TAA5146</t>
  </si>
  <si>
    <t>Patteya</t>
  </si>
  <si>
    <t>Nukong</t>
  </si>
  <si>
    <t>Patteya Nukong</t>
  </si>
  <si>
    <t>TAA5147</t>
  </si>
  <si>
    <t>Pimnara</t>
  </si>
  <si>
    <t>Worawutrangsan</t>
  </si>
  <si>
    <t>Pimnara Worawutrangsan</t>
  </si>
  <si>
    <t>TAA5148</t>
  </si>
  <si>
    <t>Ploypapat</t>
  </si>
  <si>
    <t>Sukathap</t>
  </si>
  <si>
    <t>Ploypapat Sukathap</t>
  </si>
  <si>
    <t>TAA5149</t>
  </si>
  <si>
    <t>Kanchanid</t>
  </si>
  <si>
    <t>Kampracha</t>
  </si>
  <si>
    <t>Kanchanid Kampracha</t>
  </si>
  <si>
    <t>TAA5153</t>
  </si>
  <si>
    <t>Tanawat</t>
  </si>
  <si>
    <t>Kotawaeng</t>
  </si>
  <si>
    <t>Tanawat Kotawaeng</t>
  </si>
  <si>
    <t>TAA5154</t>
  </si>
  <si>
    <t>Yantaragorn</t>
  </si>
  <si>
    <t>Naphat Yantaragorn</t>
  </si>
  <si>
    <t>TAA5288</t>
  </si>
  <si>
    <t>Thapachcha</t>
  </si>
  <si>
    <t>Khanpimool</t>
  </si>
  <si>
    <t>Thapachcha Khanpimool</t>
  </si>
  <si>
    <t>TAA5548</t>
  </si>
  <si>
    <t>Samatikan</t>
  </si>
  <si>
    <t>Boonket</t>
  </si>
  <si>
    <t>Samatikan Boonket</t>
  </si>
  <si>
    <t>TAA5549</t>
  </si>
  <si>
    <t>Krisada</t>
  </si>
  <si>
    <t>Sirisingha</t>
  </si>
  <si>
    <t>Krisada Sirisingha</t>
  </si>
  <si>
    <t>TAA5546</t>
  </si>
  <si>
    <t>Buntika</t>
  </si>
  <si>
    <t>Wongkham</t>
  </si>
  <si>
    <t>Buntika Wongkham</t>
  </si>
  <si>
    <t>TAA5504</t>
  </si>
  <si>
    <t>Klaophira</t>
  </si>
  <si>
    <t>Na Chiangmai</t>
  </si>
  <si>
    <t>Klaophira Na Chiangmai</t>
  </si>
  <si>
    <t>TAA5505</t>
  </si>
  <si>
    <t>Thitipan</t>
  </si>
  <si>
    <t>Limpasritrakul</t>
  </si>
  <si>
    <t>Thitipan Limpasritrakul</t>
  </si>
  <si>
    <t>TAA5506</t>
  </si>
  <si>
    <t>Gridsapol</t>
  </si>
  <si>
    <t>Kittipakorn</t>
  </si>
  <si>
    <t>Gridsapol Kittipakorn</t>
  </si>
  <si>
    <t>TAA5507</t>
  </si>
  <si>
    <t>Sawanya</t>
  </si>
  <si>
    <t>Likitpittayakorn</t>
  </si>
  <si>
    <t>Sawanya Likitpittayakorn</t>
  </si>
  <si>
    <t>TAA5508</t>
  </si>
  <si>
    <t>Yuwarat</t>
  </si>
  <si>
    <t>Meesap</t>
  </si>
  <si>
    <t>Yuwarat Meesap</t>
  </si>
  <si>
    <t>TAA5509</t>
  </si>
  <si>
    <t>Phadoongkiat</t>
  </si>
  <si>
    <t>Phanwilai</t>
  </si>
  <si>
    <t>Phadoongkiat Phanwilai</t>
  </si>
  <si>
    <t>TAA5510</t>
  </si>
  <si>
    <t>Sivakorn</t>
  </si>
  <si>
    <t>Sangsukiam</t>
  </si>
  <si>
    <t>Sivakorn Sangsukiam</t>
  </si>
  <si>
    <t>TAA5547</t>
  </si>
  <si>
    <t>Werawat</t>
  </si>
  <si>
    <t>Sittipachaikul</t>
  </si>
  <si>
    <t>Werawat Sittipachaikul</t>
  </si>
  <si>
    <t>TAA5511</t>
  </si>
  <si>
    <t>Wanunyapat</t>
  </si>
  <si>
    <t>Wongvichien</t>
  </si>
  <si>
    <t>Wanunyapat Wongvichien</t>
  </si>
  <si>
    <t>TAA5512</t>
  </si>
  <si>
    <t>Keetawan</t>
  </si>
  <si>
    <t>Pansomboon</t>
  </si>
  <si>
    <t>Keetawan Pansomboon</t>
  </si>
  <si>
    <t>TAA5513</t>
  </si>
  <si>
    <t>Thanarat</t>
  </si>
  <si>
    <t>Juangpanich</t>
  </si>
  <si>
    <t>Thanarat Juangpanich</t>
  </si>
  <si>
    <t>TAA5514</t>
  </si>
  <si>
    <t>Thanida</t>
  </si>
  <si>
    <t>Sripunyaphikhup (Lueangpigultong)</t>
  </si>
  <si>
    <t>Thanida Sripunyaphikhup</t>
  </si>
  <si>
    <t>TAA5515</t>
  </si>
  <si>
    <t>Benyada</t>
  </si>
  <si>
    <t>Pissapa</t>
  </si>
  <si>
    <t>Benyada Pissapa</t>
  </si>
  <si>
    <t>TAA5516</t>
  </si>
  <si>
    <t>Sirirut</t>
  </si>
  <si>
    <t>Ruasomboon</t>
  </si>
  <si>
    <t>Sirirut Ruasomboon</t>
  </si>
  <si>
    <t>TAA5517</t>
  </si>
  <si>
    <t>Sutthiphan</t>
  </si>
  <si>
    <t>Phelachuen</t>
  </si>
  <si>
    <t>Sutthiphan Phelachuen</t>
  </si>
  <si>
    <t>TAA5518</t>
  </si>
  <si>
    <t>Puniga</t>
  </si>
  <si>
    <t>Chanyasanthad</t>
  </si>
  <si>
    <t>Puniga Chanyasanthad</t>
  </si>
  <si>
    <t>TAA5519</t>
  </si>
  <si>
    <t>Umphimon (Saowaluk)</t>
  </si>
  <si>
    <t>Umphimon Supkongyu</t>
  </si>
  <si>
    <t>TAA5520</t>
  </si>
  <si>
    <t>Thitisantikhun</t>
  </si>
  <si>
    <t>Chutima Thitisantikhun</t>
  </si>
  <si>
    <t>TAA5521</t>
  </si>
  <si>
    <t>Suntorn</t>
  </si>
  <si>
    <t>Srimasongserm</t>
  </si>
  <si>
    <t>Suntorn Srimasongserm</t>
  </si>
  <si>
    <t>TAA5522</t>
  </si>
  <si>
    <t>Thanatdanai</t>
  </si>
  <si>
    <t>Kaewchusen</t>
  </si>
  <si>
    <t>Thanatdanai Kaewchusen</t>
  </si>
  <si>
    <t>TAA5524</t>
  </si>
  <si>
    <t>Wisespun</t>
  </si>
  <si>
    <t>Natcharee Wisespun</t>
  </si>
  <si>
    <t>TAA5525</t>
  </si>
  <si>
    <t>Phiraya</t>
  </si>
  <si>
    <t>Panthongkum</t>
  </si>
  <si>
    <t>Phiraya Panthongkum</t>
  </si>
  <si>
    <t>TAA5526</t>
  </si>
  <si>
    <t>Khanawang</t>
  </si>
  <si>
    <t>Kittisak Khanawang</t>
  </si>
  <si>
    <t>TAA5527</t>
  </si>
  <si>
    <t>Bhasana</t>
  </si>
  <si>
    <t>Chindalat</t>
  </si>
  <si>
    <t>Bhasana Chindalat</t>
  </si>
  <si>
    <t>TAA5528</t>
  </si>
  <si>
    <t>Thanchanoth</t>
  </si>
  <si>
    <t>Chiwnarupai</t>
  </si>
  <si>
    <t>Thanchanoth Chiwnarupai</t>
  </si>
  <si>
    <t>TAA5529</t>
  </si>
  <si>
    <t>Taks</t>
  </si>
  <si>
    <t>Boonpradit</t>
  </si>
  <si>
    <t>Taks Boonpradit</t>
  </si>
  <si>
    <t>TAA5530</t>
  </si>
  <si>
    <t>Anchana</t>
  </si>
  <si>
    <t>Sriboonruang</t>
  </si>
  <si>
    <t>Anchana Sriboonruang</t>
  </si>
  <si>
    <t>TAA5531</t>
  </si>
  <si>
    <t>Kwankhao</t>
  </si>
  <si>
    <t>Srisawat</t>
  </si>
  <si>
    <t>Kwankhao Srisawat</t>
  </si>
  <si>
    <t>TAA5532</t>
  </si>
  <si>
    <t>Pirathat</t>
  </si>
  <si>
    <t>Tima</t>
  </si>
  <si>
    <t>Pirathat Tima</t>
  </si>
  <si>
    <t>TAA5533</t>
  </si>
  <si>
    <t>Nitinai</t>
  </si>
  <si>
    <t>Kumnuan</t>
  </si>
  <si>
    <t>Nitinai Kumnuan</t>
  </si>
  <si>
    <t>TAA2670</t>
  </si>
  <si>
    <t>Suphat</t>
  </si>
  <si>
    <t>Pua-ariya</t>
  </si>
  <si>
    <t>Suphat Pua-ariya</t>
  </si>
  <si>
    <t>TAA5569</t>
  </si>
  <si>
    <t>Tasaneewan</t>
  </si>
  <si>
    <t>Buri</t>
  </si>
  <si>
    <t>Tasaneewan Buri</t>
  </si>
  <si>
    <t>TAA5570</t>
  </si>
  <si>
    <t>Rudeemas</t>
  </si>
  <si>
    <t>Thiangthat</t>
  </si>
  <si>
    <t>Rudeemas Thiangthat</t>
  </si>
  <si>
    <t>TAA5571</t>
  </si>
  <si>
    <t>Yommana</t>
  </si>
  <si>
    <t>Arunrat</t>
  </si>
  <si>
    <t>Yommana Arunrat</t>
  </si>
  <si>
    <t>TAA5572</t>
  </si>
  <si>
    <t>Puckkatorn</t>
  </si>
  <si>
    <t>Lertlerrittipong</t>
  </si>
  <si>
    <t>Puckkatorn Lertlerrittipong</t>
  </si>
  <si>
    <t>TAA5573</t>
  </si>
  <si>
    <t>Narisa</t>
  </si>
  <si>
    <t>Jotikasathira</t>
  </si>
  <si>
    <t>Narisa Jotikasathira</t>
  </si>
  <si>
    <t>TAA5574</t>
  </si>
  <si>
    <t>Sakaow</t>
  </si>
  <si>
    <t>Ruaksasarn</t>
  </si>
  <si>
    <t>Sakaow Ruaksasarn</t>
  </si>
  <si>
    <t>TAA5576</t>
  </si>
  <si>
    <t>Sudhat</t>
  </si>
  <si>
    <t>Sudhat Bunnag</t>
  </si>
  <si>
    <t>TAA5577</t>
  </si>
  <si>
    <t>Nuchchana</t>
  </si>
  <si>
    <t>Nithipunyaphirom</t>
  </si>
  <si>
    <t>Nuchchana Nithipunyaphirom</t>
  </si>
  <si>
    <t>TAA5578</t>
  </si>
  <si>
    <t>Munnanicha</t>
  </si>
  <si>
    <t>Sarakong</t>
  </si>
  <si>
    <t>Munnanicha Sarakong</t>
  </si>
  <si>
    <t>TAA5579</t>
  </si>
  <si>
    <t>Nath (Natawoot)</t>
  </si>
  <si>
    <t>Phruksa</t>
  </si>
  <si>
    <t>Nath Phruksa</t>
  </si>
  <si>
    <t>TAA5580</t>
  </si>
  <si>
    <t>Pranapan</t>
  </si>
  <si>
    <t>Songsuk (Kongprasert)</t>
  </si>
  <si>
    <t>Pranapan Songsuk</t>
  </si>
  <si>
    <t>TAA5582</t>
  </si>
  <si>
    <t>Chantanom</t>
  </si>
  <si>
    <t>Budnien</t>
  </si>
  <si>
    <t>Chantanom Budnien</t>
  </si>
  <si>
    <t>TAA5583</t>
  </si>
  <si>
    <t>Pichayapich</t>
  </si>
  <si>
    <t>Nimphya</t>
  </si>
  <si>
    <t>Pichayapich Nimphya</t>
  </si>
  <si>
    <t>TAA5584</t>
  </si>
  <si>
    <t>Awassada</t>
  </si>
  <si>
    <t>Somprasertsri</t>
  </si>
  <si>
    <t>Awassada Somprasertsri</t>
  </si>
  <si>
    <t>TAA5585</t>
  </si>
  <si>
    <t>Kanthanuch</t>
  </si>
  <si>
    <t>Boonlor</t>
  </si>
  <si>
    <t>Kanthanuch Boonlor</t>
  </si>
  <si>
    <t>TAA5586</t>
  </si>
  <si>
    <t>Nicha</t>
  </si>
  <si>
    <t>Manapradit</t>
  </si>
  <si>
    <t>Nicha Manapradit</t>
  </si>
  <si>
    <t>TAA5587</t>
  </si>
  <si>
    <t>Thanaporn</t>
  </si>
  <si>
    <t>Thong-In</t>
  </si>
  <si>
    <t>Thanaporn Thong-In</t>
  </si>
  <si>
    <t>TAA5588</t>
  </si>
  <si>
    <t>Jirapattaporn</t>
  </si>
  <si>
    <t>Cherdchooumpai</t>
  </si>
  <si>
    <t>Jirapattaporn Cherdchooumpai</t>
  </si>
  <si>
    <t>TAA5589</t>
  </si>
  <si>
    <t>Patchara</t>
  </si>
  <si>
    <t>Penpaijit</t>
  </si>
  <si>
    <t>Patchara Penpaijit</t>
  </si>
  <si>
    <t>TAA5590</t>
  </si>
  <si>
    <t>Phuttha</t>
  </si>
  <si>
    <t>Bhaeddee</t>
  </si>
  <si>
    <t>Phuttha Bhaeddee</t>
  </si>
  <si>
    <t>TAA5733</t>
  </si>
  <si>
    <t>Natcha</t>
  </si>
  <si>
    <t>Supakhong</t>
  </si>
  <si>
    <t>Natcha Supakhong</t>
  </si>
  <si>
    <t>TAA5734</t>
  </si>
  <si>
    <t>Isarapha</t>
  </si>
  <si>
    <t>Srimontrivegin</t>
  </si>
  <si>
    <t>Isarapha Srimontrivegin</t>
  </si>
  <si>
    <t>TAA5735</t>
  </si>
  <si>
    <t>Rawitnat</t>
  </si>
  <si>
    <t>Marayat</t>
  </si>
  <si>
    <t>Rawitnat Marayat</t>
  </si>
  <si>
    <t>TAA5736</t>
  </si>
  <si>
    <t>Naokaew</t>
  </si>
  <si>
    <t>Wongsakorn Naokaew</t>
  </si>
  <si>
    <t>TAA5738</t>
  </si>
  <si>
    <t>Sopark</t>
  </si>
  <si>
    <t>Phosiri</t>
  </si>
  <si>
    <t>Sopark Phosiri</t>
  </si>
  <si>
    <t>TAA5739</t>
  </si>
  <si>
    <t>Thunyaporn</t>
  </si>
  <si>
    <t>Klinthong</t>
  </si>
  <si>
    <t>TAA5740</t>
  </si>
  <si>
    <t>Panatchanun</t>
  </si>
  <si>
    <t>Yangnarathikul</t>
  </si>
  <si>
    <t>Panatchanun Yangnarathikul</t>
  </si>
  <si>
    <t>TAA5741</t>
  </si>
  <si>
    <t>Thitipol</t>
  </si>
  <si>
    <t>Soontorn-Anantakul</t>
  </si>
  <si>
    <t>Thitipol Soontorn-Anantakul</t>
  </si>
  <si>
    <t>TAA5742</t>
  </si>
  <si>
    <t>Pakorn</t>
  </si>
  <si>
    <t>Pongsuwichessak</t>
  </si>
  <si>
    <t>TAA5743</t>
  </si>
  <si>
    <t>Chalongtrakul</t>
  </si>
  <si>
    <t>Nitinai Chalongtrakul</t>
  </si>
  <si>
    <t>TAA5744</t>
  </si>
  <si>
    <t>Phapada (Siriporn)</t>
  </si>
  <si>
    <t>Chukavirote</t>
  </si>
  <si>
    <t>Phapada Chukavirote</t>
  </si>
  <si>
    <t>TAA3082</t>
  </si>
  <si>
    <t>Karita</t>
  </si>
  <si>
    <t xml:space="preserve">Champaphan </t>
  </si>
  <si>
    <t>Karita Champaphan</t>
  </si>
  <si>
    <t>TAA3123</t>
  </si>
  <si>
    <t>Prok</t>
  </si>
  <si>
    <t>Lartham</t>
  </si>
  <si>
    <t>Prok Lartham</t>
  </si>
  <si>
    <t>TAA3226</t>
  </si>
  <si>
    <t>Numpong</t>
  </si>
  <si>
    <t>Intharathut</t>
  </si>
  <si>
    <t>Numpong Intharathut</t>
  </si>
  <si>
    <t>TAA5822</t>
  </si>
  <si>
    <t>Praditchaya</t>
  </si>
  <si>
    <t>La-ongpraw</t>
  </si>
  <si>
    <t>Praditchaya La-ongpraw</t>
  </si>
  <si>
    <t>TAA3229</t>
  </si>
  <si>
    <t>Phummarin</t>
  </si>
  <si>
    <t>Sirirat Phummarin</t>
  </si>
  <si>
    <t>TAA3479</t>
  </si>
  <si>
    <t>Pakornpoj</t>
  </si>
  <si>
    <t>Lertsmitivant</t>
  </si>
  <si>
    <t>Pakornpoj Lertsmitivant</t>
  </si>
  <si>
    <t>TAA5809</t>
  </si>
  <si>
    <t>Suphannikar</t>
  </si>
  <si>
    <t>Thaya-urai</t>
  </si>
  <si>
    <t>Suphannikar Thaya-urai</t>
  </si>
  <si>
    <t>TAA5810</t>
  </si>
  <si>
    <t>Chiraporn</t>
  </si>
  <si>
    <t>Suriwan</t>
  </si>
  <si>
    <t>Chiraporn Suriwan</t>
  </si>
  <si>
    <t>TAA5811</t>
  </si>
  <si>
    <t>Wiphawee</t>
  </si>
  <si>
    <t>Tiratrakulseree</t>
  </si>
  <si>
    <t>Wiphawee Tiratrakulseree</t>
  </si>
  <si>
    <t>TAA5812</t>
  </si>
  <si>
    <t>Chomsorn</t>
  </si>
  <si>
    <t>Kongwiroj</t>
  </si>
  <si>
    <t>Chomsorn Kongwiroj</t>
  </si>
  <si>
    <t>TAA5814</t>
  </si>
  <si>
    <t>Keitiyot</t>
  </si>
  <si>
    <t>Chaisurisri</t>
  </si>
  <si>
    <t>Keitiyot Chaisurisri</t>
  </si>
  <si>
    <t>TAA5815</t>
  </si>
  <si>
    <t>Suphitukkul</t>
  </si>
  <si>
    <t>Thanawat Suphitukkul</t>
  </si>
  <si>
    <t>TAA5816</t>
  </si>
  <si>
    <t>Niyawan</t>
  </si>
  <si>
    <t>Aussanon (Kitvorawuth)</t>
  </si>
  <si>
    <t>Niyawan Aussanon (Kitvorawuth)</t>
  </si>
  <si>
    <t>TAA5818</t>
  </si>
  <si>
    <t>Arjarree</t>
  </si>
  <si>
    <t>Intharapaijit</t>
  </si>
  <si>
    <t>Arjarree Intharapaijit</t>
  </si>
  <si>
    <t>TAA5820</t>
  </si>
  <si>
    <t>Tritotsaporn</t>
  </si>
  <si>
    <t>Ketudat</t>
  </si>
  <si>
    <t>Tritotsaporn Ketudat</t>
  </si>
  <si>
    <t>TAA5821</t>
  </si>
  <si>
    <t>Suwannee</t>
  </si>
  <si>
    <t>Phrueksachiwa</t>
  </si>
  <si>
    <t>Suwannee Phrueksachiwa</t>
  </si>
  <si>
    <t>TAA5978</t>
  </si>
  <si>
    <t>Monthira</t>
  </si>
  <si>
    <t>Modesanga</t>
  </si>
  <si>
    <t>Monthira Modesanga</t>
  </si>
  <si>
    <t>TAA5980</t>
  </si>
  <si>
    <t>Warangkana</t>
  </si>
  <si>
    <t>Mattaweewong</t>
  </si>
  <si>
    <t>Warangkana Mattaweewong</t>
  </si>
  <si>
    <t>TAA5981</t>
  </si>
  <si>
    <t>Tulaporn</t>
  </si>
  <si>
    <t>Treetasent</t>
  </si>
  <si>
    <t>Tulaporn Treetasent</t>
  </si>
  <si>
    <t>TAA5982</t>
  </si>
  <si>
    <t>Natchanapatch</t>
  </si>
  <si>
    <t>Phalapruek</t>
  </si>
  <si>
    <t>Natchanapatch Phalapruek</t>
  </si>
  <si>
    <t>TAA5983</t>
  </si>
  <si>
    <t>Tatree</t>
  </si>
  <si>
    <t>Phakaew</t>
  </si>
  <si>
    <t>Tatree Phakaew</t>
  </si>
  <si>
    <t>TAA5984</t>
  </si>
  <si>
    <t>Soikamol</t>
  </si>
  <si>
    <t>Phonakhon</t>
  </si>
  <si>
    <t>Soikamol Phonakhon</t>
  </si>
  <si>
    <t>TAA3901</t>
  </si>
  <si>
    <t>Panchita</t>
  </si>
  <si>
    <t>Swangarom</t>
  </si>
  <si>
    <t>Panchita Swangarom</t>
  </si>
  <si>
    <t>TAA3924</t>
  </si>
  <si>
    <t>Supatra</t>
  </si>
  <si>
    <t>Pokkhabut</t>
  </si>
  <si>
    <t>Supatra Pokkhabut</t>
  </si>
  <si>
    <t>TAA3836</t>
  </si>
  <si>
    <t>Piyawat</t>
  </si>
  <si>
    <t>Intasaro</t>
  </si>
  <si>
    <t>Piyawat Intasaro</t>
  </si>
  <si>
    <t>TAA5985</t>
  </si>
  <si>
    <t>Parnnachai</t>
  </si>
  <si>
    <t>Srirat</t>
  </si>
  <si>
    <t>Parnnachai Srirat</t>
  </si>
  <si>
    <t>TAA5986</t>
  </si>
  <si>
    <t>Itthipong</t>
  </si>
  <si>
    <t>Khanthonglor</t>
  </si>
  <si>
    <t>Itthipong Khanthonglor</t>
  </si>
  <si>
    <t>TAA5988</t>
  </si>
  <si>
    <t>Duangsuree</t>
  </si>
  <si>
    <t>Krairatanalerk</t>
  </si>
  <si>
    <t>Duangsuree Krairatanalerk</t>
  </si>
  <si>
    <t>TAA3452</t>
  </si>
  <si>
    <t>Tanirat</t>
  </si>
  <si>
    <t>Nattawut Tanirat</t>
  </si>
  <si>
    <t>TAA5591</t>
  </si>
  <si>
    <t>Keeratikarn</t>
  </si>
  <si>
    <t>Singthong</t>
  </si>
  <si>
    <t>Keeratikarn Singthong</t>
  </si>
  <si>
    <t>TAA5989</t>
  </si>
  <si>
    <t>Panisa</t>
  </si>
  <si>
    <t>Pataratimawong</t>
  </si>
  <si>
    <t>Panisa Pataratimawong</t>
  </si>
  <si>
    <t>TAA6172</t>
  </si>
  <si>
    <t>Warut</t>
  </si>
  <si>
    <t>Sritham</t>
  </si>
  <si>
    <t>Warut Sritham</t>
  </si>
  <si>
    <t>TAA6173</t>
  </si>
  <si>
    <t>Phongthai</t>
  </si>
  <si>
    <t>Ekachaiwiwatkul</t>
  </si>
  <si>
    <t>Phongthai Ekachaiwiwatkul</t>
  </si>
  <si>
    <t>TAA5581</t>
  </si>
  <si>
    <t>Hunsa</t>
  </si>
  <si>
    <t>Dechthanaphaisan</t>
  </si>
  <si>
    <t>Hunsa Dechthanaphaisan</t>
  </si>
  <si>
    <t>TAA5659</t>
  </si>
  <si>
    <t>Natthida</t>
  </si>
  <si>
    <t>Thipka</t>
  </si>
  <si>
    <t>Natthida Thipka</t>
  </si>
  <si>
    <t>TAA5660</t>
  </si>
  <si>
    <t>Thanyawadee</t>
  </si>
  <si>
    <t>Banlangsuk</t>
  </si>
  <si>
    <t>Thanyawadee Banlangsuk</t>
  </si>
  <si>
    <t>TAA5661</t>
  </si>
  <si>
    <t>Jatuporn</t>
  </si>
  <si>
    <t>Samanchunt</t>
  </si>
  <si>
    <t>Jatuporn Samanchunt</t>
  </si>
  <si>
    <t>TAA5662</t>
  </si>
  <si>
    <t>Wanliya</t>
  </si>
  <si>
    <t>Choosiri</t>
  </si>
  <si>
    <t>Wanliya Choosiri</t>
  </si>
  <si>
    <t>TAA5663</t>
  </si>
  <si>
    <t>Jutapong</t>
  </si>
  <si>
    <t>Un-On</t>
  </si>
  <si>
    <t>Jutapong Un-On</t>
  </si>
  <si>
    <t>TAA5664</t>
  </si>
  <si>
    <t>Paopan</t>
  </si>
  <si>
    <t>Jariya Paopan</t>
  </si>
  <si>
    <t>TAA5665</t>
  </si>
  <si>
    <t>Sasisomapa</t>
  </si>
  <si>
    <t>Vatchareewong Na Ayudthaya</t>
  </si>
  <si>
    <t>Sasisomapa Vatchareewong Na Ayudthaya</t>
  </si>
  <si>
    <t>TAA5666</t>
  </si>
  <si>
    <t>krittapak</t>
  </si>
  <si>
    <t>krittapak chuchuaisuwan</t>
  </si>
  <si>
    <t>TAA5667</t>
  </si>
  <si>
    <t>Sukrarassami</t>
  </si>
  <si>
    <t>Pakorn Sukrarassami</t>
  </si>
  <si>
    <t>TAA5668</t>
  </si>
  <si>
    <t>Kavetreerawat</t>
  </si>
  <si>
    <t>Janejira Kavetreerawat</t>
  </si>
  <si>
    <t>TAA5669</t>
  </si>
  <si>
    <t>Tida</t>
  </si>
  <si>
    <t>Pheechapand</t>
  </si>
  <si>
    <t>Tida Pheechapand</t>
  </si>
  <si>
    <t>TAA5670</t>
  </si>
  <si>
    <t>Napatsarun</t>
  </si>
  <si>
    <t>Napatsarun Waree</t>
  </si>
  <si>
    <t>TAA5671</t>
  </si>
  <si>
    <t>Athit</t>
  </si>
  <si>
    <t>Sornsiriwong</t>
  </si>
  <si>
    <t>Athit Sornsiriwong</t>
  </si>
  <si>
    <t>TAA5672</t>
  </si>
  <si>
    <t>Warich</t>
  </si>
  <si>
    <t>Nathtigoon</t>
  </si>
  <si>
    <t>Warich Nathtigoon</t>
  </si>
  <si>
    <t>TAA5673</t>
  </si>
  <si>
    <t>Sittikorn</t>
  </si>
  <si>
    <t>Yaowaroj</t>
  </si>
  <si>
    <t>Sittikorn Yaowaroj</t>
  </si>
  <si>
    <t>TAA5674</t>
  </si>
  <si>
    <t>Puttinee</t>
  </si>
  <si>
    <t>Satjapanpong (Kichpechr)</t>
  </si>
  <si>
    <t xml:space="preserve">Puttinee Satjapanpong </t>
  </si>
  <si>
    <t>TAA5876</t>
  </si>
  <si>
    <t>Unyamanee</t>
  </si>
  <si>
    <t>Tammawirat</t>
  </si>
  <si>
    <t>Unyamanee Tammawirat</t>
  </si>
  <si>
    <t>TAA5877</t>
  </si>
  <si>
    <t>Chonlada</t>
  </si>
  <si>
    <t>Vongjun</t>
  </si>
  <si>
    <t>Chonlada Vongjun</t>
  </si>
  <si>
    <t>TAA5878</t>
  </si>
  <si>
    <t>Punyanuch (Panthira)</t>
  </si>
  <si>
    <t>Skulnukulkit( Nukulkit)</t>
  </si>
  <si>
    <t>Punyanuch Skulnukulkit</t>
  </si>
  <si>
    <t>TAA5879</t>
  </si>
  <si>
    <t>Jinbulla</t>
  </si>
  <si>
    <t>Pranom</t>
  </si>
  <si>
    <t>Jinbulla Pranom</t>
  </si>
  <si>
    <t>TAA5880</t>
  </si>
  <si>
    <t>Apitsada</t>
  </si>
  <si>
    <t>Wetchakit</t>
  </si>
  <si>
    <t>Apitsada Wetchakit</t>
  </si>
  <si>
    <t>TAA5881</t>
  </si>
  <si>
    <t>Krissana</t>
  </si>
  <si>
    <t>Kathinthong</t>
  </si>
  <si>
    <t>Krissana Kathinthong</t>
  </si>
  <si>
    <t>TAA5882</t>
  </si>
  <si>
    <t>Nutthanard</t>
  </si>
  <si>
    <t>Koedkhumsap</t>
  </si>
  <si>
    <t>Nutthanard Koedkhumsap</t>
  </si>
  <si>
    <t>TAA6090</t>
  </si>
  <si>
    <t>Somsak</t>
  </si>
  <si>
    <t>Earkul</t>
  </si>
  <si>
    <t>Somsak Earkul</t>
  </si>
  <si>
    <t>TAA6091</t>
  </si>
  <si>
    <t>Chalada</t>
  </si>
  <si>
    <t>Boonsriroj</t>
  </si>
  <si>
    <t>Chalada Boonsriroj</t>
  </si>
  <si>
    <t>TAA6092</t>
  </si>
  <si>
    <t>Sirapong (Natthanon)</t>
  </si>
  <si>
    <t>Charoenwutbhawonrat</t>
  </si>
  <si>
    <t>Sirapong Charoenwutbhawonrat</t>
  </si>
  <si>
    <t>TAA6093</t>
  </si>
  <si>
    <t>Primlisa</t>
  </si>
  <si>
    <t>Tatha</t>
  </si>
  <si>
    <t>Primlisa Tatha</t>
  </si>
  <si>
    <t>TAA6094</t>
  </si>
  <si>
    <t>Vaivattana</t>
  </si>
  <si>
    <t>Thanyaporn Vaivattana</t>
  </si>
  <si>
    <t>TAA6096</t>
  </si>
  <si>
    <t>Michelle</t>
  </si>
  <si>
    <t>Potaya</t>
  </si>
  <si>
    <t>Michelle Potaya</t>
  </si>
  <si>
    <t>TAA6097</t>
  </si>
  <si>
    <t>Nitithorn</t>
  </si>
  <si>
    <t>Chiangpradit</t>
  </si>
  <si>
    <t>Nitithorn Chiangpradit</t>
  </si>
  <si>
    <t>TAA6098</t>
  </si>
  <si>
    <t>Waleeporn</t>
  </si>
  <si>
    <t>Jongkaewwattana</t>
  </si>
  <si>
    <t>Waleeporn Jongkaewwattana</t>
  </si>
  <si>
    <t>TAA6100</t>
  </si>
  <si>
    <t>Chulalak</t>
  </si>
  <si>
    <t>Raksafoongchon</t>
  </si>
  <si>
    <t>Chulalak Raksafoongchon</t>
  </si>
  <si>
    <t>TAA6102</t>
  </si>
  <si>
    <t>Arisa</t>
  </si>
  <si>
    <t>Witthawaskul</t>
  </si>
  <si>
    <t>Arisa Witthawaskul</t>
  </si>
  <si>
    <t>TAA6104</t>
  </si>
  <si>
    <t>Supichaya</t>
  </si>
  <si>
    <t>Tongthip</t>
  </si>
  <si>
    <t>Supichaya Tongthip</t>
  </si>
  <si>
    <t>TAA6105</t>
  </si>
  <si>
    <t>Dalanta</t>
  </si>
  <si>
    <t>Anakitbumrung</t>
  </si>
  <si>
    <t>Dalanta Anakitbumrung</t>
  </si>
  <si>
    <t>TAA6106</t>
  </si>
  <si>
    <t>Pimnipa</t>
  </si>
  <si>
    <t>Limpatawonpong</t>
  </si>
  <si>
    <t>Pimnipa Limpatawonpong</t>
  </si>
  <si>
    <t>TAA6107</t>
  </si>
  <si>
    <t>Kornkanit</t>
  </si>
  <si>
    <t>Sukjumnong</t>
  </si>
  <si>
    <t>Kornkanit Sukjumnong</t>
  </si>
  <si>
    <t>TAA6108</t>
  </si>
  <si>
    <t>Rathaphon</t>
  </si>
  <si>
    <t>Pratheappornsak</t>
  </si>
  <si>
    <t>Rathaphon Pratheappornsak</t>
  </si>
  <si>
    <t>TAA6109</t>
  </si>
  <si>
    <t>Praiyar</t>
  </si>
  <si>
    <t>Thalangkij</t>
  </si>
  <si>
    <t>Praiyar Thalangkij</t>
  </si>
  <si>
    <t>TAA6111</t>
  </si>
  <si>
    <t>Teetawat</t>
  </si>
  <si>
    <t>Vanaphuti</t>
  </si>
  <si>
    <t>Teetawat Vanaphuti</t>
  </si>
  <si>
    <t>TAA6112</t>
  </si>
  <si>
    <t>Jinnapitch</t>
  </si>
  <si>
    <t>Napisitsopa (Watanabe)</t>
  </si>
  <si>
    <t>Jinnapitch Napisitsopa</t>
  </si>
  <si>
    <t>TAA6113</t>
  </si>
  <si>
    <t>Wiput</t>
  </si>
  <si>
    <t>Janvanichstaporn</t>
  </si>
  <si>
    <t>Wiput Janvanichstaporn</t>
  </si>
  <si>
    <t>TAA6114</t>
  </si>
  <si>
    <t>Thitima</t>
  </si>
  <si>
    <t>Yoosaeng</t>
  </si>
  <si>
    <t>Thitima Yoosaeng</t>
  </si>
  <si>
    <t>TAA6115</t>
  </si>
  <si>
    <t>Patamaporn</t>
  </si>
  <si>
    <t>Vejamanasa</t>
  </si>
  <si>
    <t>Patamaporn Vejamanasa</t>
  </si>
  <si>
    <t>TAA6116</t>
  </si>
  <si>
    <t>Pinu</t>
  </si>
  <si>
    <t>Saiseenopakun</t>
  </si>
  <si>
    <t>Pinu Saiseenopakun</t>
  </si>
  <si>
    <t>TAA6117</t>
  </si>
  <si>
    <t>Jirapha</t>
  </si>
  <si>
    <t>Pithakijwattana</t>
  </si>
  <si>
    <t>Jirapha Pithakijwattana</t>
  </si>
  <si>
    <t>TAA6118</t>
  </si>
  <si>
    <t>Kathaleeya</t>
  </si>
  <si>
    <t>Jaroensuk</t>
  </si>
  <si>
    <t>Kathaleeya Jaroensuk</t>
  </si>
  <si>
    <t>TAA6119</t>
  </si>
  <si>
    <t>Chonthicha</t>
  </si>
  <si>
    <t>Chanpanitkitchot</t>
  </si>
  <si>
    <t>Chonthicha Chanpanitkitchot</t>
  </si>
  <si>
    <t>TAA6121</t>
  </si>
  <si>
    <t>Savitree</t>
  </si>
  <si>
    <t>Sukprakob</t>
  </si>
  <si>
    <t>Savitree Sukprakob</t>
  </si>
  <si>
    <t>TAA6122</t>
  </si>
  <si>
    <t>Chattiwa</t>
  </si>
  <si>
    <t>Thonglongya</t>
  </si>
  <si>
    <t>Chattiwa Thonglongya</t>
  </si>
  <si>
    <t>TAA6123</t>
  </si>
  <si>
    <t>Kotchakon</t>
  </si>
  <si>
    <t>Kanchanamethakul</t>
  </si>
  <si>
    <t>Kotchakon Kanchanamethakul</t>
  </si>
  <si>
    <t>TAA6124</t>
  </si>
  <si>
    <t>Toranin</t>
  </si>
  <si>
    <t>Kasempiti</t>
  </si>
  <si>
    <t>Toranin Kasempiti</t>
  </si>
  <si>
    <t>TAA6125</t>
  </si>
  <si>
    <t>Tunta-A-Riya</t>
  </si>
  <si>
    <t>Mintra Tunta-A-Riya</t>
  </si>
  <si>
    <t>TAA6126</t>
  </si>
  <si>
    <t>Benjapol</t>
  </si>
  <si>
    <t>Boriruklert</t>
  </si>
  <si>
    <t>Benjapol Boriruklert</t>
  </si>
  <si>
    <t>TAA6127</t>
  </si>
  <si>
    <t>Ronnachai</t>
  </si>
  <si>
    <t>Wannarat</t>
  </si>
  <si>
    <t>Ronnachai Wannarat</t>
  </si>
  <si>
    <t>TAA6128</t>
  </si>
  <si>
    <t>Rossukon</t>
  </si>
  <si>
    <t>Pipattanakit</t>
  </si>
  <si>
    <t>Rossukon Pipattanakit</t>
  </si>
  <si>
    <t>TAA6129</t>
  </si>
  <si>
    <t>Pimporn</t>
  </si>
  <si>
    <t>Subpakijbumrung</t>
  </si>
  <si>
    <t>Pimporn Subpakijbumrung</t>
  </si>
  <si>
    <t>TAA6130</t>
  </si>
  <si>
    <t>Sarun</t>
  </si>
  <si>
    <t>Kosentor</t>
  </si>
  <si>
    <t>Sarun Kosentor</t>
  </si>
  <si>
    <t>TAA6131</t>
  </si>
  <si>
    <t>Patcharagorn</t>
  </si>
  <si>
    <t>Chankhong</t>
  </si>
  <si>
    <t>Patcharagorn Chankhong</t>
  </si>
  <si>
    <t>TAA6132</t>
  </si>
  <si>
    <t>Piyanan</t>
  </si>
  <si>
    <t>Termjai</t>
  </si>
  <si>
    <t>Piyanan Termjai</t>
  </si>
  <si>
    <t>TAA6133</t>
  </si>
  <si>
    <t>Tunyakarn</t>
  </si>
  <si>
    <t>Boonchuay</t>
  </si>
  <si>
    <t>Tunyakarn Boonchuay</t>
  </si>
  <si>
    <t>TAA6135</t>
  </si>
  <si>
    <t>Ekkaphon</t>
  </si>
  <si>
    <t>Mengchuai</t>
  </si>
  <si>
    <t>Ekkaphon Mengchuai</t>
  </si>
  <si>
    <t>TAA6136</t>
  </si>
  <si>
    <t>Poopong</t>
  </si>
  <si>
    <t>Natcha Poopong</t>
  </si>
  <si>
    <t>TAA6137</t>
  </si>
  <si>
    <t>Ployphan</t>
  </si>
  <si>
    <t>Boonprasertwattana</t>
  </si>
  <si>
    <t>Ployphan Boonprasertwattana</t>
  </si>
  <si>
    <t>TAA6138</t>
  </si>
  <si>
    <t>Vinida</t>
  </si>
  <si>
    <t>Ma</t>
  </si>
  <si>
    <t>Vinida Ma</t>
  </si>
  <si>
    <t>TAA6140</t>
  </si>
  <si>
    <t>Kohchamon</t>
  </si>
  <si>
    <t>Pithayapitpat</t>
  </si>
  <si>
    <t>Kohchamon Pithayapitpat</t>
  </si>
  <si>
    <t>TAA6493</t>
  </si>
  <si>
    <t>Thampipat</t>
  </si>
  <si>
    <t>Sirirat Thampipat</t>
  </si>
  <si>
    <t>TAA6494</t>
  </si>
  <si>
    <t>Chinakrit</t>
  </si>
  <si>
    <t>Boonyapiwat</t>
  </si>
  <si>
    <t>Chinakrit Boonyapiwat</t>
  </si>
  <si>
    <t>TAA6496</t>
  </si>
  <si>
    <t>Amornwech</t>
  </si>
  <si>
    <t>Jullanate</t>
  </si>
  <si>
    <t>Amornwech Jullanate</t>
  </si>
  <si>
    <t>TAA6497</t>
  </si>
  <si>
    <t>Chalintara</t>
  </si>
  <si>
    <t>Chinaratana</t>
  </si>
  <si>
    <t>Chalintara Chinaratana</t>
  </si>
  <si>
    <t>TAA6498</t>
  </si>
  <si>
    <t>Issaree</t>
  </si>
  <si>
    <t>Opasvimud</t>
  </si>
  <si>
    <t>Issaree Opasvimud</t>
  </si>
  <si>
    <t>TAA6499</t>
  </si>
  <si>
    <t>Pinyapat</t>
  </si>
  <si>
    <t>Methawatthanasin</t>
  </si>
  <si>
    <t>Pinyapat Methawatthanasin</t>
  </si>
  <si>
    <t>TAA6500</t>
  </si>
  <si>
    <t>Boonthanakorn</t>
  </si>
  <si>
    <t>Sasima Boonthanakorn</t>
  </si>
  <si>
    <t>TAA6501</t>
  </si>
  <si>
    <t>Matsarin</t>
  </si>
  <si>
    <t>Kaprasob</t>
  </si>
  <si>
    <t>Matsarin Kaprasob</t>
  </si>
  <si>
    <t>TAA6502</t>
  </si>
  <si>
    <t>Kitibodee</t>
  </si>
  <si>
    <t>Harnkunthamart</t>
  </si>
  <si>
    <t>Kitibodee Harnkunthamart</t>
  </si>
  <si>
    <t>TAA6503</t>
  </si>
  <si>
    <t>Natjaphan</t>
  </si>
  <si>
    <t>Thananmahasupab</t>
  </si>
  <si>
    <t>Natjaphan Thananmahasupab</t>
  </si>
  <si>
    <t>TAA6505</t>
  </si>
  <si>
    <t>Jeerawas</t>
  </si>
  <si>
    <t>Yantadilok</t>
  </si>
  <si>
    <t>Jeerawas Yantadilok</t>
  </si>
  <si>
    <t>TAA6506</t>
  </si>
  <si>
    <t>Thanchanok</t>
  </si>
  <si>
    <t>Srisawang</t>
  </si>
  <si>
    <t>Thanchanok Srisawang</t>
  </si>
  <si>
    <t>TAA6507</t>
  </si>
  <si>
    <t>Warinya</t>
  </si>
  <si>
    <t>Warinya Hunsuwan</t>
  </si>
  <si>
    <t>TAA6508</t>
  </si>
  <si>
    <t>Pirawan</t>
  </si>
  <si>
    <t>Sarobol</t>
  </si>
  <si>
    <t>Pirawan Sarobol</t>
  </si>
  <si>
    <t>TAA6509</t>
  </si>
  <si>
    <t>Sitthiphan</t>
  </si>
  <si>
    <t>Chansawang</t>
  </si>
  <si>
    <t>Sitthiphan Chansawang</t>
  </si>
  <si>
    <t>TAA6510</t>
  </si>
  <si>
    <t>Premaporn</t>
  </si>
  <si>
    <t>Preechanonda</t>
  </si>
  <si>
    <t>Premaporn Preechanonda</t>
  </si>
  <si>
    <t>TAA6511</t>
  </si>
  <si>
    <t>Parujee</t>
  </si>
  <si>
    <t>Charoensook</t>
  </si>
  <si>
    <t>Parujee Charoensook</t>
  </si>
  <si>
    <t>TAA6512</t>
  </si>
  <si>
    <t>Marut</t>
  </si>
  <si>
    <t>Kittithorn</t>
  </si>
  <si>
    <t>Marut Kittithorn</t>
  </si>
  <si>
    <t>TAA6513</t>
  </si>
  <si>
    <t>Panuwat</t>
  </si>
  <si>
    <t>Warunyaporn</t>
  </si>
  <si>
    <t>Panuwat Warunyaporn</t>
  </si>
  <si>
    <t>TAA6359</t>
  </si>
  <si>
    <t>Areeya</t>
  </si>
  <si>
    <t>Payap</t>
  </si>
  <si>
    <t>Areeya Payap</t>
  </si>
  <si>
    <t>TAA6360</t>
  </si>
  <si>
    <t>Jatsadayanmetha</t>
  </si>
  <si>
    <t>Supattra Jatsadayanmetha</t>
  </si>
  <si>
    <t>TAA6361</t>
  </si>
  <si>
    <t>Saowarat</t>
  </si>
  <si>
    <t>Sowa</t>
  </si>
  <si>
    <t>Saowarat Sowa</t>
  </si>
  <si>
    <t>TAA6362</t>
  </si>
  <si>
    <t>Issarawadee</t>
  </si>
  <si>
    <t>Chaihan</t>
  </si>
  <si>
    <t>Issarawadee Chaihan</t>
  </si>
  <si>
    <t>TAA6363</t>
  </si>
  <si>
    <t>Nutchanon</t>
  </si>
  <si>
    <t>Wattanalee</t>
  </si>
  <si>
    <t>Nutchanon Wattanalee</t>
  </si>
  <si>
    <t>TAA6364</t>
  </si>
  <si>
    <t>Paranyu</t>
  </si>
  <si>
    <t>Sukthanakij</t>
  </si>
  <si>
    <t>Paranyu Sukthanakij</t>
  </si>
  <si>
    <t>TAA6365</t>
  </si>
  <si>
    <t>Adisorn</t>
  </si>
  <si>
    <t>Sangklomklieng</t>
  </si>
  <si>
    <t>Adisorn Sangklomklieng</t>
  </si>
  <si>
    <t>TAA6366</t>
  </si>
  <si>
    <t>Nuttawut</t>
  </si>
  <si>
    <t>Choonam</t>
  </si>
  <si>
    <t>Nuttawut Choonam</t>
  </si>
  <si>
    <t>TAA6367</t>
  </si>
  <si>
    <t>Sandao</t>
  </si>
  <si>
    <t>Siriwarunrak</t>
  </si>
  <si>
    <t>Sandao Siriwarunrak</t>
  </si>
  <si>
    <t>TAA6368</t>
  </si>
  <si>
    <t>Worakamol</t>
  </si>
  <si>
    <t>Tiamboonprasert</t>
  </si>
  <si>
    <t>Worakamol Tiamboonprasert</t>
  </si>
  <si>
    <t>TAA6369</t>
  </si>
  <si>
    <t>Sonthigorn</t>
  </si>
  <si>
    <t>Pichaya Sonthigorn</t>
  </si>
  <si>
    <t>TAA6371</t>
  </si>
  <si>
    <t>Apinya</t>
  </si>
  <si>
    <t>Phiphatwatanarkul</t>
  </si>
  <si>
    <t>Apinya Phiphatwatanarkul</t>
  </si>
  <si>
    <t>TAA6374</t>
  </si>
  <si>
    <t>Thiranuch</t>
  </si>
  <si>
    <t>Chantavarin</t>
  </si>
  <si>
    <t>Thiranuch Chantavarin</t>
  </si>
  <si>
    <t>TAA6376</t>
  </si>
  <si>
    <t>Thanametth</t>
  </si>
  <si>
    <t>Wachiradatsathien</t>
  </si>
  <si>
    <t>Thanametth Wachiradatsathien</t>
  </si>
  <si>
    <t>TAA6377</t>
  </si>
  <si>
    <t>Taratikal</t>
  </si>
  <si>
    <t>Saiwan</t>
  </si>
  <si>
    <t>Taratikal Saiwan</t>
  </si>
  <si>
    <t>TAA6378</t>
  </si>
  <si>
    <t>Suteerapong</t>
  </si>
  <si>
    <t>Sawangwong</t>
  </si>
  <si>
    <t>Suteerapong Sawangwong</t>
  </si>
  <si>
    <t>TAA6379</t>
  </si>
  <si>
    <t>Ratchadaporn</t>
  </si>
  <si>
    <t>Nongkarn</t>
  </si>
  <si>
    <t>Ratchadaporn Nongkarn</t>
  </si>
  <si>
    <t>TAA6380</t>
  </si>
  <si>
    <t>Supakrit</t>
  </si>
  <si>
    <t>Khongvittaya</t>
  </si>
  <si>
    <t>Supakrit Khongvittaya</t>
  </si>
  <si>
    <t>TAA6381</t>
  </si>
  <si>
    <t>Chokumpornpan</t>
  </si>
  <si>
    <t>Thamonwan Chokumpornpan</t>
  </si>
  <si>
    <t>TAA6382</t>
  </si>
  <si>
    <t>Thiptanya</t>
  </si>
  <si>
    <t>Phosri</t>
  </si>
  <si>
    <t>Thiptanya Phosri</t>
  </si>
  <si>
    <t>TAA6383</t>
  </si>
  <si>
    <t>Thanakorn</t>
  </si>
  <si>
    <t>Sermsiriwiwat</t>
  </si>
  <si>
    <t>Thanakorn Sermsiriwiwat</t>
  </si>
  <si>
    <t>TAA6384</t>
  </si>
  <si>
    <t>Pinnarat</t>
  </si>
  <si>
    <t>Mawinthon</t>
  </si>
  <si>
    <t>Pinnarat Mawinthon</t>
  </si>
  <si>
    <t>TAA6385</t>
  </si>
  <si>
    <t>Graiwong</t>
  </si>
  <si>
    <t>Sunisa Graiwong</t>
  </si>
  <si>
    <t>TAA6386</t>
  </si>
  <si>
    <t>Natchaya</t>
  </si>
  <si>
    <t>Kamonrattanayotin</t>
  </si>
  <si>
    <t>Natchaya Kamonrattanayotin</t>
  </si>
  <si>
    <t>TAA7112</t>
  </si>
  <si>
    <t>Thunchanok</t>
  </si>
  <si>
    <t>Phasukcharoen</t>
  </si>
  <si>
    <t>Thunchanok Phasukcharoen</t>
  </si>
  <si>
    <t>TAA6387</t>
  </si>
  <si>
    <t>Chaiwisut</t>
  </si>
  <si>
    <t>Sirilak Chaiwisut</t>
  </si>
  <si>
    <t>TAA6388</t>
  </si>
  <si>
    <t>Juthatip</t>
  </si>
  <si>
    <t>Narin</t>
  </si>
  <si>
    <t>Juthatip Narin</t>
  </si>
  <si>
    <t>TAA6389</t>
  </si>
  <si>
    <t>Touch</t>
  </si>
  <si>
    <t>Meechamnan</t>
  </si>
  <si>
    <t>Touch Meechamnan</t>
  </si>
  <si>
    <t>TAA6390</t>
  </si>
  <si>
    <t>Nuttinee</t>
  </si>
  <si>
    <t>Kwanduan</t>
  </si>
  <si>
    <t>Nuttinee Kwanduan</t>
  </si>
  <si>
    <t>TAA6391</t>
  </si>
  <si>
    <t>Pattorn</t>
  </si>
  <si>
    <t>Kitthathamrong</t>
  </si>
  <si>
    <t>Pattorn Kitthathamrong</t>
  </si>
  <si>
    <t>TAA6392</t>
  </si>
  <si>
    <t>Pornthiwa</t>
  </si>
  <si>
    <t>Promthong</t>
  </si>
  <si>
    <t>Pornthiwa Promthong</t>
  </si>
  <si>
    <t>TAA6393</t>
  </si>
  <si>
    <t>Niharoon</t>
  </si>
  <si>
    <t>Sulaiman</t>
  </si>
  <si>
    <t>Niharoon Sulaiman</t>
  </si>
  <si>
    <t>TAA6394</t>
  </si>
  <si>
    <t>Adam</t>
  </si>
  <si>
    <t>Miller</t>
  </si>
  <si>
    <t>Adam Miller</t>
  </si>
  <si>
    <t>TAA6395</t>
  </si>
  <si>
    <t>Anun</t>
  </si>
  <si>
    <t>Sumethanonthasak</t>
  </si>
  <si>
    <t>Anun Sumethanonthasak</t>
  </si>
  <si>
    <t>TAA6396</t>
  </si>
  <si>
    <t>Patyada</t>
  </si>
  <si>
    <t>Assawinarrak</t>
  </si>
  <si>
    <t>Patyada Assawinarrak</t>
  </si>
  <si>
    <t>TAA6397</t>
  </si>
  <si>
    <t>Pongsak</t>
  </si>
  <si>
    <t>Sangdee</t>
  </si>
  <si>
    <t>Pongsak Sangdee</t>
  </si>
  <si>
    <t>TAA6398</t>
  </si>
  <si>
    <t>Nunapat</t>
  </si>
  <si>
    <t>Towakul</t>
  </si>
  <si>
    <t>Nunapat Towakul</t>
  </si>
  <si>
    <t>TAA6399</t>
  </si>
  <si>
    <t>Warintra</t>
  </si>
  <si>
    <t>Charoenrit</t>
  </si>
  <si>
    <t>WARINTRA CHAROENRIT</t>
  </si>
  <si>
    <t>TAA6400</t>
  </si>
  <si>
    <t>Kanthida</t>
  </si>
  <si>
    <t>Srisupawadee</t>
  </si>
  <si>
    <t>Kanthida Srisupawadee</t>
  </si>
  <si>
    <t>TAA6708</t>
  </si>
  <si>
    <t>Sirawit</t>
  </si>
  <si>
    <t>Kamrapit</t>
  </si>
  <si>
    <t>Sirawit Kamrapit</t>
  </si>
  <si>
    <t>TAA6711</t>
  </si>
  <si>
    <t>Tanpong</t>
  </si>
  <si>
    <t>Songpanich</t>
  </si>
  <si>
    <t>Tanpong Songpanich</t>
  </si>
  <si>
    <t>TAA6712</t>
  </si>
  <si>
    <t>Ornphicha</t>
  </si>
  <si>
    <t>Phisanbanjerdkul</t>
  </si>
  <si>
    <t>Ornphicha Phisanbanjerdkul</t>
  </si>
  <si>
    <t>TAA6713</t>
  </si>
  <si>
    <t>Pimarthorn</t>
  </si>
  <si>
    <t>Charuwana</t>
  </si>
  <si>
    <t>Pimarthorn Charuwana</t>
  </si>
  <si>
    <t>TAA6715</t>
  </si>
  <si>
    <t>Kedvarang</t>
  </si>
  <si>
    <t>Pikoonted</t>
  </si>
  <si>
    <t>Kedvarang Pikoonted</t>
  </si>
  <si>
    <t>TAA6716</t>
  </si>
  <si>
    <t>Kasidit</t>
  </si>
  <si>
    <t>Sitthidumrong</t>
  </si>
  <si>
    <t>Kasidit Sitthidumrong</t>
  </si>
  <si>
    <t>TAA6717</t>
  </si>
  <si>
    <t>Arnon</t>
  </si>
  <si>
    <t>Pattanaanunsuk</t>
  </si>
  <si>
    <t>Arnon Pattanaanunsuk</t>
  </si>
  <si>
    <t>TAA6718</t>
  </si>
  <si>
    <t>Budfa</t>
  </si>
  <si>
    <t>Morasuk</t>
  </si>
  <si>
    <t>Budfa Morasuk</t>
  </si>
  <si>
    <t>TAA6719</t>
  </si>
  <si>
    <t>Kuttiya</t>
  </si>
  <si>
    <t>Nipatpokai</t>
  </si>
  <si>
    <t>Kuttiya Nipatpokai</t>
  </si>
  <si>
    <t>TAA6720</t>
  </si>
  <si>
    <t>Supatchaya</t>
  </si>
  <si>
    <t>Buaprasertying</t>
  </si>
  <si>
    <t>Supatchaya Buaprasertying</t>
  </si>
  <si>
    <t>TAA6721</t>
  </si>
  <si>
    <t>Jaraspak</t>
  </si>
  <si>
    <t>Plengkhum</t>
  </si>
  <si>
    <t>Jaraspak Plengkhum</t>
  </si>
  <si>
    <t>TAA6722</t>
  </si>
  <si>
    <t>Pharada</t>
  </si>
  <si>
    <t>Trakoolsopit</t>
  </si>
  <si>
    <t>Pharada Trakoolsopit</t>
  </si>
  <si>
    <t>TAA6723</t>
  </si>
  <si>
    <t>Varatorn</t>
  </si>
  <si>
    <t>Sitisarn</t>
  </si>
  <si>
    <t>Varatorn Sitisarn</t>
  </si>
  <si>
    <t>TAA6724</t>
  </si>
  <si>
    <t>Patcharin</t>
  </si>
  <si>
    <t>Yenkaew</t>
  </si>
  <si>
    <t>Patcharin Yenkaew</t>
  </si>
  <si>
    <t>TAA6726</t>
  </si>
  <si>
    <t>Phalinsu</t>
  </si>
  <si>
    <t>Angsunakul</t>
  </si>
  <si>
    <t>Phalinsu Angsunakul</t>
  </si>
  <si>
    <t>TAA6727</t>
  </si>
  <si>
    <t>Shutimon</t>
  </si>
  <si>
    <t>Srisanguansakul</t>
  </si>
  <si>
    <t>Shutimon Srisanguansakul</t>
  </si>
  <si>
    <t>TAA6728</t>
  </si>
  <si>
    <t>Chayanin</t>
  </si>
  <si>
    <t>Ratchusanti</t>
  </si>
  <si>
    <t>Chayanin Ratchusanti</t>
  </si>
  <si>
    <t>TAA6858</t>
  </si>
  <si>
    <t>Eakapol</t>
  </si>
  <si>
    <t>Tuncharoen</t>
  </si>
  <si>
    <t>Eakapol Tuncharoen</t>
  </si>
  <si>
    <t>TAA6859</t>
  </si>
  <si>
    <t>Tanednit</t>
  </si>
  <si>
    <t>Thitipichakul</t>
  </si>
  <si>
    <t>Tanednit Thitipichakul</t>
  </si>
  <si>
    <t>TAA6860</t>
  </si>
  <si>
    <t>Narongchai</t>
  </si>
  <si>
    <t>Mongkolchartthai</t>
  </si>
  <si>
    <t>Narongchai Mongkolchartthai</t>
  </si>
  <si>
    <t>TAA6861</t>
  </si>
  <si>
    <t>Naphatpawi</t>
  </si>
  <si>
    <t>Rotchanakittirat</t>
  </si>
  <si>
    <t>Naphatpawi Rotchanakittirat</t>
  </si>
  <si>
    <t>TAA6862</t>
  </si>
  <si>
    <t>Pornnapat</t>
  </si>
  <si>
    <t>Kittimontreechai</t>
  </si>
  <si>
    <t>Pornnapat Kittimontreechai</t>
  </si>
  <si>
    <t>TAA6863</t>
  </si>
  <si>
    <t>Rattiporn</t>
  </si>
  <si>
    <t>Thongarch</t>
  </si>
  <si>
    <t>Rattiporn Thongarch</t>
  </si>
  <si>
    <t>TAA6864</t>
  </si>
  <si>
    <t>Chatchon</t>
  </si>
  <si>
    <t>Kawinkul</t>
  </si>
  <si>
    <t>Chatchon Kawinkul</t>
  </si>
  <si>
    <t>TAA6865</t>
  </si>
  <si>
    <t>Ratrapee</t>
  </si>
  <si>
    <t>Lu</t>
  </si>
  <si>
    <t>Ratrapee Lu</t>
  </si>
  <si>
    <t>TAA6866</t>
  </si>
  <si>
    <t>Jirapong</t>
  </si>
  <si>
    <t>Paisarnsupakit</t>
  </si>
  <si>
    <t>Jirapong Paisarnsupakit</t>
  </si>
  <si>
    <t>TAA6867</t>
  </si>
  <si>
    <t>Chadaporn</t>
  </si>
  <si>
    <t>Pliankham</t>
  </si>
  <si>
    <t>Chadaporn Pliankham</t>
  </si>
  <si>
    <t>TAA6869</t>
  </si>
  <si>
    <t>Thuekoh</t>
  </si>
  <si>
    <t>Thitima Thuekoh</t>
  </si>
  <si>
    <t>TAA6870</t>
  </si>
  <si>
    <t>Kanicha</t>
  </si>
  <si>
    <t>Sae-toen</t>
  </si>
  <si>
    <t>Kanicha Sae-toen</t>
  </si>
  <si>
    <t>TAA6871</t>
  </si>
  <si>
    <t>Asama</t>
  </si>
  <si>
    <t>Thunyavacharakul</t>
  </si>
  <si>
    <t>Asama Thunyavacharakul</t>
  </si>
  <si>
    <t>TAA3074</t>
  </si>
  <si>
    <t>Naruedee</t>
  </si>
  <si>
    <t>Kornsawan</t>
  </si>
  <si>
    <t>Naruedee Kornsawan</t>
  </si>
  <si>
    <t>TAA3602</t>
  </si>
  <si>
    <t>Kesinee</t>
  </si>
  <si>
    <t>Kaewbut</t>
  </si>
  <si>
    <t>Kesinee Kaewbut</t>
  </si>
  <si>
    <t>TAA4429</t>
  </si>
  <si>
    <t>Natnicha</t>
  </si>
  <si>
    <t>Chumnuan</t>
  </si>
  <si>
    <t>Natnicha Chumnuan</t>
  </si>
  <si>
    <t>TAA4659</t>
  </si>
  <si>
    <t>Warisara</t>
  </si>
  <si>
    <t>Sutta</t>
  </si>
  <si>
    <t>Warisara Sutta</t>
  </si>
  <si>
    <t>TAA7000</t>
  </si>
  <si>
    <t>Sampan</t>
  </si>
  <si>
    <t>Simpalipan</t>
  </si>
  <si>
    <t>Sampan Simpalipan</t>
  </si>
  <si>
    <t>TAA7002</t>
  </si>
  <si>
    <t>Sroisangwan</t>
  </si>
  <si>
    <t>Thanakorn Sroisangwan</t>
  </si>
  <si>
    <t>TAA7003</t>
  </si>
  <si>
    <t>Kunyanutt</t>
  </si>
  <si>
    <t>Pongthong</t>
  </si>
  <si>
    <t>Kunyanutt Pongthong</t>
  </si>
  <si>
    <t>TAA7004</t>
  </si>
  <si>
    <t>Krissita</t>
  </si>
  <si>
    <t>Rattanawong</t>
  </si>
  <si>
    <t>Krissita Rattanawong</t>
  </si>
  <si>
    <t>TAA7007</t>
  </si>
  <si>
    <t>Nisanat</t>
  </si>
  <si>
    <t>Boonchanavipart</t>
  </si>
  <si>
    <t>Nisanat Boonchanavipart</t>
  </si>
  <si>
    <t>TAA7008</t>
  </si>
  <si>
    <t>Janjumrus</t>
  </si>
  <si>
    <t>Thanachai Janjumrus</t>
  </si>
  <si>
    <t>TAA7009</t>
  </si>
  <si>
    <t>Nattapach</t>
  </si>
  <si>
    <t>Kositsomboon</t>
  </si>
  <si>
    <t>Nattapach Kositsomboon</t>
  </si>
  <si>
    <t>TAA7011</t>
  </si>
  <si>
    <t>Phavinee</t>
  </si>
  <si>
    <t>Sripablhom</t>
  </si>
  <si>
    <t>Phavinee Sripablhom</t>
  </si>
  <si>
    <t>TAA7012</t>
  </si>
  <si>
    <t>Apichaya</t>
  </si>
  <si>
    <t>Silagul</t>
  </si>
  <si>
    <t>Apichaya Silagul</t>
  </si>
  <si>
    <t>TAA7013</t>
  </si>
  <si>
    <t>Walaithip</t>
  </si>
  <si>
    <t>Songsermsawad</t>
  </si>
  <si>
    <t>Walaithip Songsermsawad</t>
  </si>
  <si>
    <t>TAA7014</t>
  </si>
  <si>
    <t>Wisallaya</t>
  </si>
  <si>
    <t>Mekhanurat</t>
  </si>
  <si>
    <t>Wisallaya Mekhanurat</t>
  </si>
  <si>
    <t>TAA7015</t>
  </si>
  <si>
    <t>Kittimasakul</t>
  </si>
  <si>
    <t>Natchaya Kittimasakul</t>
  </si>
  <si>
    <t>TAA7016</t>
  </si>
  <si>
    <t>Nutpattra</t>
  </si>
  <si>
    <t>Kokanutaporn (Thongkaimuk)</t>
  </si>
  <si>
    <t xml:space="preserve">Nutpattra Kokanutaporn </t>
  </si>
  <si>
    <t>TAA7018</t>
  </si>
  <si>
    <t>Narumon</t>
  </si>
  <si>
    <t>Paungtam</t>
  </si>
  <si>
    <t>Narumon Paungtam</t>
  </si>
  <si>
    <t>TAA7019</t>
  </si>
  <si>
    <t>Thiranart</t>
  </si>
  <si>
    <t>Ponglongkhum</t>
  </si>
  <si>
    <t>Thiranart Ponglongkhum</t>
  </si>
  <si>
    <t>TAA4168</t>
  </si>
  <si>
    <t>Tangpriyarak</t>
  </si>
  <si>
    <t>Kritsada Tangpriyarak</t>
  </si>
  <si>
    <t>TAA7051</t>
  </si>
  <si>
    <t>Siriporn</t>
  </si>
  <si>
    <t>Sirisubjanan</t>
  </si>
  <si>
    <t>Siriporn Sirisubjanan</t>
  </si>
  <si>
    <t>TAA7052</t>
  </si>
  <si>
    <t>Natthatida</t>
  </si>
  <si>
    <t>Veangchan</t>
  </si>
  <si>
    <t>Natthatida Veangchan</t>
  </si>
  <si>
    <t>TAA7054</t>
  </si>
  <si>
    <t>Wangsapan</t>
  </si>
  <si>
    <t>Nattapong Wangsapan</t>
  </si>
  <si>
    <t>TAA7055</t>
  </si>
  <si>
    <t>Kawin</t>
  </si>
  <si>
    <t>Panpipat</t>
  </si>
  <si>
    <t>Kawin Panpipat</t>
  </si>
  <si>
    <t>TAA7056</t>
  </si>
  <si>
    <t>Sitthiphath</t>
  </si>
  <si>
    <t>Ratanaborvornsethi</t>
  </si>
  <si>
    <t>Sitthiphath Ratanaborvornsethi</t>
  </si>
  <si>
    <t>TAA7057</t>
  </si>
  <si>
    <t>Pornpimol</t>
  </si>
  <si>
    <t>Chorruengsak</t>
  </si>
  <si>
    <t>Pornpimol Chorruengsak</t>
  </si>
  <si>
    <t>TAA7058</t>
  </si>
  <si>
    <t>Nutchanart</t>
  </si>
  <si>
    <t>Wanmasae</t>
  </si>
  <si>
    <t>Nutchanart Wanmasae</t>
  </si>
  <si>
    <t>TAA7059</t>
  </si>
  <si>
    <t>KITTICHAI</t>
  </si>
  <si>
    <t>NINRAT</t>
  </si>
  <si>
    <t>KITTICHAI NINRAT</t>
  </si>
  <si>
    <t>TAA7060</t>
  </si>
  <si>
    <t>Sirinan</t>
  </si>
  <si>
    <t>Jabju</t>
  </si>
  <si>
    <t>Sirinan Jabju</t>
  </si>
  <si>
    <t>TAA7062</t>
  </si>
  <si>
    <t>RATTANAN</t>
  </si>
  <si>
    <t>SIRIKETT</t>
  </si>
  <si>
    <t>RATTANAN SIRIKETT</t>
  </si>
  <si>
    <t>TAA7064</t>
  </si>
  <si>
    <t>Perati</t>
  </si>
  <si>
    <t>Ardwong</t>
  </si>
  <si>
    <t>Perati Ardwong</t>
  </si>
  <si>
    <t>TAA7065</t>
  </si>
  <si>
    <t>CHINTAPA</t>
  </si>
  <si>
    <t>SUKHARN</t>
  </si>
  <si>
    <t>CHINTAPA SUKHARN</t>
  </si>
  <si>
    <t>TAA7066</t>
  </si>
  <si>
    <t>Apicha</t>
  </si>
  <si>
    <t>Pechjirasakul</t>
  </si>
  <si>
    <t>Apicha Pechjirasakul</t>
  </si>
  <si>
    <t>TAA7067</t>
  </si>
  <si>
    <t>Sudatip</t>
  </si>
  <si>
    <t>Wongchalitawattana</t>
  </si>
  <si>
    <t>Sudatip Wongchalitawattana</t>
  </si>
  <si>
    <t>TAA7069</t>
  </si>
  <si>
    <t>Wisitpong</t>
  </si>
  <si>
    <t>Jandee</t>
  </si>
  <si>
    <t>Wisitpong Jandee</t>
  </si>
  <si>
    <t>TAA7070</t>
  </si>
  <si>
    <t>Nuttapon</t>
  </si>
  <si>
    <t>Pungjun</t>
  </si>
  <si>
    <t>Nuttapon Pungjun</t>
  </si>
  <si>
    <t>TAA7071</t>
  </si>
  <si>
    <t>TARADOL</t>
  </si>
  <si>
    <t>POOMSAWANG</t>
  </si>
  <si>
    <t>TARADOL POOMSAWANG</t>
  </si>
  <si>
    <t>TAA7072</t>
  </si>
  <si>
    <t>Pimpisa (Nitnicha)</t>
  </si>
  <si>
    <t>Imprasittichai (Suwannikkha)</t>
  </si>
  <si>
    <t>Pimpisa Imprasittichai</t>
  </si>
  <si>
    <t>TAA7073</t>
  </si>
  <si>
    <t>Varalak</t>
  </si>
  <si>
    <t>Pattaveedanan</t>
  </si>
  <si>
    <t>Varalak Pattaveedanan</t>
  </si>
  <si>
    <t>TAA7074</t>
  </si>
  <si>
    <t>Chonticha</t>
  </si>
  <si>
    <t>Hoontrakul (Salee)</t>
  </si>
  <si>
    <t>Chonticha Hoontrakul</t>
  </si>
  <si>
    <t>TAA7075</t>
  </si>
  <si>
    <t>KARUEHATH</t>
  </si>
  <si>
    <t>THAMMAKUL</t>
  </si>
  <si>
    <t>KARUEHATH THAMMAKUL</t>
  </si>
  <si>
    <t>TAA7076</t>
  </si>
  <si>
    <t>Vanprae</t>
  </si>
  <si>
    <t>Thipmanee</t>
  </si>
  <si>
    <t>Vanprae Thipmanee</t>
  </si>
  <si>
    <t>TAA7077</t>
  </si>
  <si>
    <t>SARANYA</t>
  </si>
  <si>
    <t>AMLEE</t>
  </si>
  <si>
    <t>SARANYA AMLEE</t>
  </si>
  <si>
    <t>TAA7078</t>
  </si>
  <si>
    <t>Kanatsanan</t>
  </si>
  <si>
    <t>Wichitthararak</t>
  </si>
  <si>
    <t>Kanatsanan Wichitthararak</t>
  </si>
  <si>
    <t>TAA7079</t>
  </si>
  <si>
    <t>supapong</t>
  </si>
  <si>
    <t>kwanon</t>
  </si>
  <si>
    <t>supapong kwanon</t>
  </si>
  <si>
    <t>TAA7080</t>
  </si>
  <si>
    <t>Trin</t>
  </si>
  <si>
    <t>Supredanuwat</t>
  </si>
  <si>
    <t>Trin Supredanuwat</t>
  </si>
  <si>
    <t>TAA7081</t>
  </si>
  <si>
    <t>Pim</t>
  </si>
  <si>
    <t>Thitichaitawat</t>
  </si>
  <si>
    <t>Pim Thitichaitawat</t>
  </si>
  <si>
    <t>TAA7082</t>
  </si>
  <si>
    <t>Chonnikarn</t>
  </si>
  <si>
    <t>Nguanprasert</t>
  </si>
  <si>
    <t>Chonnikarn Nguanprasert</t>
  </si>
  <si>
    <t>TAA7083</t>
  </si>
  <si>
    <t>Parinya</t>
  </si>
  <si>
    <t>Khumruk</t>
  </si>
  <si>
    <t>Parinya Khumruk</t>
  </si>
  <si>
    <t>TAA7084</t>
  </si>
  <si>
    <t>Wongjareanyong</t>
  </si>
  <si>
    <t>Duangkamon Wongjareanyong</t>
  </si>
  <si>
    <t>TAA7086</t>
  </si>
  <si>
    <t>Napapat (Chalupat)</t>
  </si>
  <si>
    <t>Suwannawong</t>
  </si>
  <si>
    <t>Napapat Suwannawong</t>
  </si>
  <si>
    <t>TAA7087</t>
  </si>
  <si>
    <t>Nattawalai</t>
  </si>
  <si>
    <t>Buranaphatthana</t>
  </si>
  <si>
    <t>Nattawalai Buranaphatthana</t>
  </si>
  <si>
    <t>TAA7088</t>
  </si>
  <si>
    <t>Witpapon</t>
  </si>
  <si>
    <t>Thaingamsilp</t>
  </si>
  <si>
    <t>Witpapon Thaingamsilp</t>
  </si>
  <si>
    <t>TAA7089</t>
  </si>
  <si>
    <t>Chanisa</t>
  </si>
  <si>
    <t>Kongthaisereekul</t>
  </si>
  <si>
    <t>Chanisa Kongthaisereekul</t>
  </si>
  <si>
    <t>TAA7091</t>
  </si>
  <si>
    <t>Thakorn</t>
  </si>
  <si>
    <t>Angkananuchat</t>
  </si>
  <si>
    <t>Thakorn Angkananuchat</t>
  </si>
  <si>
    <t>TAA7092</t>
  </si>
  <si>
    <t>sowikorn</t>
  </si>
  <si>
    <t>chomchuen</t>
  </si>
  <si>
    <t>sowikorn chomchuen</t>
  </si>
  <si>
    <t>TAA7093</t>
  </si>
  <si>
    <t>Grittaya</t>
  </si>
  <si>
    <t>Yotharos</t>
  </si>
  <si>
    <t>Grittaya Yotharos</t>
  </si>
  <si>
    <t>TAA7094</t>
  </si>
  <si>
    <t>Varissara</t>
  </si>
  <si>
    <t>Rattana</t>
  </si>
  <si>
    <t>Varissara Rattana</t>
  </si>
  <si>
    <t>TAA7095</t>
  </si>
  <si>
    <t>Kodchaporn</t>
  </si>
  <si>
    <t>Thanpaisan</t>
  </si>
  <si>
    <t>Kodchaporn Thanpaisan</t>
  </si>
  <si>
    <t>TAA7096</t>
  </si>
  <si>
    <t>Sutaros</t>
  </si>
  <si>
    <t>Lompoonsuk</t>
  </si>
  <si>
    <t>Sutaros Lompoonsuk</t>
  </si>
  <si>
    <t>TAA7098</t>
  </si>
  <si>
    <t>Charoenratanapirom</t>
  </si>
  <si>
    <t>Jaruwan Charoenratanapirom</t>
  </si>
  <si>
    <t>TAA7099</t>
  </si>
  <si>
    <t>Tanakhan</t>
  </si>
  <si>
    <t>Uam-im</t>
  </si>
  <si>
    <t>Tanakhan Uam-im</t>
  </si>
  <si>
    <t>TAA7100</t>
  </si>
  <si>
    <t>Suraiya</t>
  </si>
  <si>
    <t>Wanprarat</t>
  </si>
  <si>
    <t>Suraiya Wanprarat</t>
  </si>
  <si>
    <t>TAA7101</t>
  </si>
  <si>
    <t>Auaaree</t>
  </si>
  <si>
    <t>Kokporka</t>
  </si>
  <si>
    <t>Auaaree Kokporka</t>
  </si>
  <si>
    <t>TAA3162</t>
  </si>
  <si>
    <t>Chamnansarn</t>
  </si>
  <si>
    <t>Sasimon Chamnansarn</t>
  </si>
  <si>
    <t>TAA3696</t>
  </si>
  <si>
    <t>Anutapong</t>
  </si>
  <si>
    <t>Saengchot</t>
  </si>
  <si>
    <t>Anutapong Saengchot</t>
  </si>
  <si>
    <t>TAA3779</t>
  </si>
  <si>
    <t>Konkamon</t>
  </si>
  <si>
    <t>Saengwanloi</t>
  </si>
  <si>
    <t>Konkamon Saengwanloi</t>
  </si>
  <si>
    <t>TAA4448</t>
  </si>
  <si>
    <t>Sasikarn</t>
  </si>
  <si>
    <t>Khampan</t>
  </si>
  <si>
    <t>Sasikarn Khampan</t>
  </si>
  <si>
    <t>TAA4655</t>
  </si>
  <si>
    <t>Pichai</t>
  </si>
  <si>
    <t>Jareerattanachart</t>
  </si>
  <si>
    <t>Pichai Jareerattanachart</t>
  </si>
  <si>
    <t>TAA4785</t>
  </si>
  <si>
    <t>Sakolcholchawalit</t>
  </si>
  <si>
    <t>Lalita Sakolcholchawalit</t>
  </si>
  <si>
    <t>TAA4787</t>
  </si>
  <si>
    <t>Chontisa</t>
  </si>
  <si>
    <t>Supasri</t>
  </si>
  <si>
    <t>Chontisa Supasri</t>
  </si>
  <si>
    <t>TAA4892</t>
  </si>
  <si>
    <t>Jessada</t>
  </si>
  <si>
    <t>Kwanmuang</t>
  </si>
  <si>
    <t>Jessada Kwanmuang</t>
  </si>
  <si>
    <t>TAA7282</t>
  </si>
  <si>
    <t>Aimwong</t>
  </si>
  <si>
    <t>Nisara Aimwong</t>
  </si>
  <si>
    <t>TAA7283</t>
  </si>
  <si>
    <t>Thanyachatchanok</t>
  </si>
  <si>
    <t>Bamrungsapsakul</t>
  </si>
  <si>
    <t>Thanyachatchanok Bamrungsapsakul</t>
  </si>
  <si>
    <t>TAA7284</t>
  </si>
  <si>
    <t>Kornchanok</t>
  </si>
  <si>
    <t>Ruamsanit</t>
  </si>
  <si>
    <t>Kornchanok Ruamsanit</t>
  </si>
  <si>
    <t>TAA7286</t>
  </si>
  <si>
    <t>Keerati</t>
  </si>
  <si>
    <t>Sooksai</t>
  </si>
  <si>
    <t>Keerati Sooksai</t>
  </si>
  <si>
    <t>TAA7288</t>
  </si>
  <si>
    <t>Passakorn</t>
  </si>
  <si>
    <t>Porncharoon</t>
  </si>
  <si>
    <t>Passakorn Porncharoon</t>
  </si>
  <si>
    <t>TAA7289</t>
  </si>
  <si>
    <t>Sutharat</t>
  </si>
  <si>
    <t>Chimdid</t>
  </si>
  <si>
    <t>Sutharat Chimdid</t>
  </si>
  <si>
    <t>TAA7290</t>
  </si>
  <si>
    <t>Sutriluk</t>
  </si>
  <si>
    <t>Yinglukchai</t>
  </si>
  <si>
    <t>Sutriluk Yinglukchai</t>
  </si>
  <si>
    <t>TAA7291</t>
  </si>
  <si>
    <t>Boontarika</t>
  </si>
  <si>
    <t>Boontarika Charoenpong</t>
  </si>
  <si>
    <t>TAA2062</t>
  </si>
  <si>
    <t>Wongsatitsathein</t>
  </si>
  <si>
    <t>Arisara Wongsatitsathein</t>
  </si>
  <si>
    <t>TAA2199</t>
  </si>
  <si>
    <t>San</t>
  </si>
  <si>
    <t>Pratanyos</t>
  </si>
  <si>
    <t>San Pratanyos</t>
  </si>
  <si>
    <t>TAA2789</t>
  </si>
  <si>
    <t>Benjawan</t>
  </si>
  <si>
    <t>Kongrod</t>
  </si>
  <si>
    <t>Benjawan Kongrod</t>
  </si>
  <si>
    <t>TAA3292</t>
  </si>
  <si>
    <t>Ati</t>
  </si>
  <si>
    <t>Sa-ngiamjit</t>
  </si>
  <si>
    <t>Ati Sa-ngiamjit</t>
  </si>
  <si>
    <t>TAA3312</t>
  </si>
  <si>
    <t>Upatcha</t>
  </si>
  <si>
    <t>Chaikaew</t>
  </si>
  <si>
    <t>Upatcha Chaikaew</t>
  </si>
  <si>
    <t>TAA3485</t>
  </si>
  <si>
    <t>Nattida</t>
  </si>
  <si>
    <t>Nakkaree</t>
  </si>
  <si>
    <t>Nattida Nakkaree</t>
  </si>
  <si>
    <t>TAA3601</t>
  </si>
  <si>
    <t>Sudthida</t>
  </si>
  <si>
    <t>Kongpramool</t>
  </si>
  <si>
    <t>Sudthida Kongpramool</t>
  </si>
  <si>
    <t>TAA4279</t>
  </si>
  <si>
    <t>Bhataranan</t>
  </si>
  <si>
    <t>Tanaree</t>
  </si>
  <si>
    <t>Bhataranan Tanaree</t>
  </si>
  <si>
    <t>TAA4446</t>
  </si>
  <si>
    <t>Tanapat</t>
  </si>
  <si>
    <t>Tanapat Srimuang</t>
  </si>
  <si>
    <t>TAA4645</t>
  </si>
  <si>
    <t>Setthachart</t>
  </si>
  <si>
    <t>Kittithanakorn</t>
  </si>
  <si>
    <t>Setthachart Kittithanakorn</t>
  </si>
  <si>
    <t>TAA4649</t>
  </si>
  <si>
    <t>Benyathip</t>
  </si>
  <si>
    <t>Eiamchai</t>
  </si>
  <si>
    <t>Benyathip Eiamchai</t>
  </si>
  <si>
    <t>TAA4717</t>
  </si>
  <si>
    <t>Ruecha</t>
  </si>
  <si>
    <t>Charoensuth</t>
  </si>
  <si>
    <t>Ruecha Charoensuth</t>
  </si>
  <si>
    <t>TAA4757</t>
  </si>
  <si>
    <t>Mueangniwet</t>
  </si>
  <si>
    <t>Sittichai Mueangniwet</t>
  </si>
  <si>
    <t>TAA4783</t>
  </si>
  <si>
    <t>Suthasinee</t>
  </si>
  <si>
    <t>Thaeothaisong</t>
  </si>
  <si>
    <t>Suthasinee Thaeothaisong</t>
  </si>
  <si>
    <t>TAA5042</t>
  </si>
  <si>
    <t>Preeyakorn</t>
  </si>
  <si>
    <t>Rojanadumrong</t>
  </si>
  <si>
    <t>Preeyakorn Rojanadumrong</t>
  </si>
  <si>
    <t>TAA5273</t>
  </si>
  <si>
    <t>Maydan</t>
  </si>
  <si>
    <t>Sirinya Maydan</t>
  </si>
  <si>
    <t>TAA5274</t>
  </si>
  <si>
    <t>Peerapol</t>
  </si>
  <si>
    <t>Umpawan</t>
  </si>
  <si>
    <t>Peerapol Umpawan</t>
  </si>
  <si>
    <t>TAA5464</t>
  </si>
  <si>
    <t>Yoosamran</t>
  </si>
  <si>
    <t>Noppawan Yoosamran</t>
  </si>
  <si>
    <t>TAA5468</t>
  </si>
  <si>
    <t>Apisit</t>
  </si>
  <si>
    <t>Chaiwongsa</t>
  </si>
  <si>
    <t>Apisit Chaiwongsa</t>
  </si>
  <si>
    <t>TAA5604</t>
  </si>
  <si>
    <t>Nattira</t>
  </si>
  <si>
    <t>Modthong</t>
  </si>
  <si>
    <t>Nattira Modthong</t>
  </si>
  <si>
    <t>TAA5808</t>
  </si>
  <si>
    <t>Tunchanok</t>
  </si>
  <si>
    <t>Pingmuang</t>
  </si>
  <si>
    <t>Tunchanok Pingmuang</t>
  </si>
  <si>
    <t>TAA7674</t>
  </si>
  <si>
    <t>Sirikorn</t>
  </si>
  <si>
    <t>Saengnak</t>
  </si>
  <si>
    <t>Sirikorn Saengnak</t>
  </si>
  <si>
    <t>TAA7508</t>
  </si>
  <si>
    <t>Pratoomchat</t>
  </si>
  <si>
    <t>Panisara Pratoomchat</t>
  </si>
  <si>
    <t>TAA7509</t>
  </si>
  <si>
    <t>Usana</t>
  </si>
  <si>
    <t>Saepua</t>
  </si>
  <si>
    <t>Usana Saepua</t>
  </si>
  <si>
    <t>TAA7510</t>
  </si>
  <si>
    <t>Wanthip</t>
  </si>
  <si>
    <t>Srisaeng</t>
  </si>
  <si>
    <t>Wanthip Srisaeng</t>
  </si>
  <si>
    <t>TAA7511</t>
  </si>
  <si>
    <t>Sathida</t>
  </si>
  <si>
    <t>Raithai</t>
  </si>
  <si>
    <t>Sathida Raithai</t>
  </si>
  <si>
    <t>TAA7512</t>
  </si>
  <si>
    <t>Vatchararass</t>
  </si>
  <si>
    <t>Sirisarapakdee</t>
  </si>
  <si>
    <t>Vatchararass Sirisarapakdee</t>
  </si>
  <si>
    <t>TAA7513</t>
  </si>
  <si>
    <t>NAPHAT</t>
  </si>
  <si>
    <t>CHANTRANIPH</t>
  </si>
  <si>
    <t>NAPHAT CHANTRANIPH</t>
  </si>
  <si>
    <t>TAA7514</t>
  </si>
  <si>
    <t>DHANUPOL</t>
  </si>
  <si>
    <t>SAGULSUKHMONGKOL</t>
  </si>
  <si>
    <t>DHANUPOL SAGULSUKHMONGKOL</t>
  </si>
  <si>
    <t>TAA7515</t>
  </si>
  <si>
    <t>Natthaphon</t>
  </si>
  <si>
    <t>Kattachan</t>
  </si>
  <si>
    <t>Natthaphon Kattachan</t>
  </si>
  <si>
    <t>TAA7516</t>
  </si>
  <si>
    <t>Nattida Palasak</t>
  </si>
  <si>
    <t>TAA7517</t>
  </si>
  <si>
    <t>Sangkas</t>
  </si>
  <si>
    <t>Phetchai</t>
  </si>
  <si>
    <t>Sangkas Phetchai</t>
  </si>
  <si>
    <t>TAA7518</t>
  </si>
  <si>
    <t>YANAKORN</t>
  </si>
  <si>
    <t>CHARNFUN</t>
  </si>
  <si>
    <t>YANAKORN CHARNFUN</t>
  </si>
  <si>
    <t>TAA7519</t>
  </si>
  <si>
    <t>Jartupat</t>
  </si>
  <si>
    <t>Suviwatpatanakorn</t>
  </si>
  <si>
    <t>Jartupat Suviwatpatanakorn</t>
  </si>
  <si>
    <t>TAA7520</t>
  </si>
  <si>
    <t>Chaniknan</t>
  </si>
  <si>
    <t>Uthat</t>
  </si>
  <si>
    <t>Chaniknan Uthat</t>
  </si>
  <si>
    <t>TAA7521</t>
  </si>
  <si>
    <t>Wachiraphon</t>
  </si>
  <si>
    <t>Lakbun</t>
  </si>
  <si>
    <t>Wachiraphon Lakbun</t>
  </si>
  <si>
    <t>TAA7522</t>
  </si>
  <si>
    <t>Waris</t>
  </si>
  <si>
    <t>Suaprasert</t>
  </si>
  <si>
    <t>Waris Suaprasert</t>
  </si>
  <si>
    <t>TAA7523</t>
  </si>
  <si>
    <t>Poramatmonthana</t>
  </si>
  <si>
    <t>Janejira Poramatmonthana</t>
  </si>
  <si>
    <t>TAA7524</t>
  </si>
  <si>
    <t>Papopvit</t>
  </si>
  <si>
    <t>Pungposop</t>
  </si>
  <si>
    <t>Papopvit Pungposop</t>
  </si>
  <si>
    <t>TAA7525</t>
  </si>
  <si>
    <t>Wasin</t>
  </si>
  <si>
    <t>Wanasinchai</t>
  </si>
  <si>
    <t>Wasin Wanasinchai</t>
  </si>
  <si>
    <t>TAA7526</t>
  </si>
  <si>
    <t>Seeyuyang</t>
  </si>
  <si>
    <t>Nattapong Seeyuyang</t>
  </si>
  <si>
    <t>TAA7529</t>
  </si>
  <si>
    <t>Suchawalee</t>
  </si>
  <si>
    <t>Choopreeda</t>
  </si>
  <si>
    <t>Suchawalee Choopreeda</t>
  </si>
  <si>
    <t>TAA7530</t>
  </si>
  <si>
    <t>Supitcha</t>
  </si>
  <si>
    <t>Chansiri</t>
  </si>
  <si>
    <t>Supitcha Chansiri</t>
  </si>
  <si>
    <t>TAA7531</t>
  </si>
  <si>
    <t>Asanlaya</t>
  </si>
  <si>
    <t>Choomit</t>
  </si>
  <si>
    <t>Asanlaya Choomit</t>
  </si>
  <si>
    <t>TAA7532</t>
  </si>
  <si>
    <t>Natlada</t>
  </si>
  <si>
    <t>Jamnuch</t>
  </si>
  <si>
    <t>Natlada Jamnuch</t>
  </si>
  <si>
    <t>TAA7533</t>
  </si>
  <si>
    <t>Sorapon</t>
  </si>
  <si>
    <t>Imprapai</t>
  </si>
  <si>
    <t>Sorapon Imprapai</t>
  </si>
  <si>
    <t>TAA7534</t>
  </si>
  <si>
    <t>Piyavate</t>
  </si>
  <si>
    <t>Chiwpakdee</t>
  </si>
  <si>
    <t>Piyavate Chiwpakdee</t>
  </si>
  <si>
    <t>TAA7535</t>
  </si>
  <si>
    <t>Noppamanee</t>
  </si>
  <si>
    <t>Samranrat</t>
  </si>
  <si>
    <t>Noppamanee Samranrat</t>
  </si>
  <si>
    <t>TAA7536</t>
  </si>
  <si>
    <t>Chantakan</t>
  </si>
  <si>
    <t>Choktapra</t>
  </si>
  <si>
    <t>Chantakan Choktapra</t>
  </si>
  <si>
    <t>TAA7537</t>
  </si>
  <si>
    <t>Chalisa</t>
  </si>
  <si>
    <t>Chantasoon</t>
  </si>
  <si>
    <t>Chalisa Chantasoon</t>
  </si>
  <si>
    <t>TAA7538</t>
  </si>
  <si>
    <t>Papada</t>
  </si>
  <si>
    <t>Ratchatakultumrong</t>
  </si>
  <si>
    <t>Papada Ratchatakultumrong</t>
  </si>
  <si>
    <t>TAA7542</t>
  </si>
  <si>
    <t>Ornusa</t>
  </si>
  <si>
    <t>Ongsuwan</t>
  </si>
  <si>
    <t>Ornusa Ongsuwan</t>
  </si>
  <si>
    <t>TAA7545</t>
  </si>
  <si>
    <t>Tadakittisarn</t>
  </si>
  <si>
    <t>Sirapa Tadakittisarn</t>
  </si>
  <si>
    <t>TAA7546</t>
  </si>
  <si>
    <t>Parit</t>
  </si>
  <si>
    <t>Siwasilchai</t>
  </si>
  <si>
    <t>Parit Siwasilchai</t>
  </si>
  <si>
    <t>TAA7547</t>
  </si>
  <si>
    <t>Ploynisa</t>
  </si>
  <si>
    <t>Siriobmalee</t>
  </si>
  <si>
    <t>Ploynisa Siriobmalee</t>
  </si>
  <si>
    <t>TAA7527</t>
  </si>
  <si>
    <t>Pongsavang</t>
  </si>
  <si>
    <t>HATHAIRAT PONGSAVANG</t>
  </si>
  <si>
    <t>TAA7528</t>
  </si>
  <si>
    <t>Natthakorn</t>
  </si>
  <si>
    <t>Pralardnet</t>
  </si>
  <si>
    <t>Natthakorn Pralardnet</t>
  </si>
  <si>
    <t>TAA4720</t>
  </si>
  <si>
    <t>Naruncha</t>
  </si>
  <si>
    <t>Wangweaw</t>
  </si>
  <si>
    <t>Naruncha Wangweaw</t>
  </si>
  <si>
    <t>TAA7539</t>
  </si>
  <si>
    <t>Suwisa</t>
  </si>
  <si>
    <t>Panyanual</t>
  </si>
  <si>
    <t>Suwisa Panyanual</t>
  </si>
  <si>
    <t>TAA7540</t>
  </si>
  <si>
    <t>Tansaya</t>
  </si>
  <si>
    <t>Chaitanong</t>
  </si>
  <si>
    <t>Tansaya Chaitanong</t>
  </si>
  <si>
    <t>TAA7541</t>
  </si>
  <si>
    <t>Prasansuk</t>
  </si>
  <si>
    <t>Tanawat Prasansuk</t>
  </si>
  <si>
    <t>TAA5805</t>
  </si>
  <si>
    <t>Kitti</t>
  </si>
  <si>
    <t>Mangkalad</t>
  </si>
  <si>
    <t>Kitti Mangkalad</t>
  </si>
  <si>
    <t>TAA5405</t>
  </si>
  <si>
    <t>Pongsathorn</t>
  </si>
  <si>
    <t>Khampangsri</t>
  </si>
  <si>
    <t>Pongsathorn Khampangsri</t>
  </si>
  <si>
    <t>TAA7749</t>
  </si>
  <si>
    <t>Supakun</t>
  </si>
  <si>
    <t>Jaroenngam</t>
  </si>
  <si>
    <t>Supakun Jaroenngam</t>
  </si>
  <si>
    <t>TAA7750</t>
  </si>
  <si>
    <t>Chaniporn</t>
  </si>
  <si>
    <t>Thanaworrapak</t>
  </si>
  <si>
    <t>Chaniporn Thanaworrapak</t>
  </si>
  <si>
    <t>TAA7751</t>
  </si>
  <si>
    <t>Preeyanan</t>
  </si>
  <si>
    <t>Suntornpakornkij</t>
  </si>
  <si>
    <t>Preeyanan Suntornpakornkij</t>
  </si>
  <si>
    <t>TAA7752</t>
  </si>
  <si>
    <t>Chawit</t>
  </si>
  <si>
    <t>Donsawee</t>
  </si>
  <si>
    <t>Chawit Donsawee</t>
  </si>
  <si>
    <t>TAA7753</t>
  </si>
  <si>
    <t>Kantachet</t>
  </si>
  <si>
    <t>Boonserm</t>
  </si>
  <si>
    <t>Kantachet Boonserm</t>
  </si>
  <si>
    <t>TAA7757</t>
  </si>
  <si>
    <t>Sontaya</t>
  </si>
  <si>
    <t>Phakdiwatsakul</t>
  </si>
  <si>
    <t>Sontaya Phakdiwatsakul</t>
  </si>
  <si>
    <t>TAA7764</t>
  </si>
  <si>
    <t>Taddao</t>
  </si>
  <si>
    <t>Rawdhetubhai</t>
  </si>
  <si>
    <t>Taddao Rawdhetubhai</t>
  </si>
  <si>
    <t>TAA7766</t>
  </si>
  <si>
    <t>Sriwikan</t>
  </si>
  <si>
    <t>Tanseng</t>
  </si>
  <si>
    <t>Sriwikan Tanseng</t>
  </si>
  <si>
    <t>TAA7767</t>
  </si>
  <si>
    <t>Nawapu</t>
  </si>
  <si>
    <t>Dontaolek</t>
  </si>
  <si>
    <t>Nawapu Dontaolek</t>
  </si>
  <si>
    <t>TAA7768</t>
  </si>
  <si>
    <t>Prakobchai</t>
  </si>
  <si>
    <t>Kwansri</t>
  </si>
  <si>
    <t>Prakobchai Kwansri</t>
  </si>
  <si>
    <t>TAA7769</t>
  </si>
  <si>
    <t>Bureesri</t>
  </si>
  <si>
    <t>Apichaya Bureesri</t>
  </si>
  <si>
    <t>TAA7771</t>
  </si>
  <si>
    <t>Naphop</t>
  </si>
  <si>
    <t>Khoonphonsiri</t>
  </si>
  <si>
    <t>Naphop Khoonphonsiri</t>
  </si>
  <si>
    <t>TAA7773</t>
  </si>
  <si>
    <t>Kunjira</t>
  </si>
  <si>
    <t>Jirawarodom</t>
  </si>
  <si>
    <t>Kunjira Jirawarodom</t>
  </si>
  <si>
    <t>TAA7754</t>
  </si>
  <si>
    <t>Takwa</t>
  </si>
  <si>
    <t>Binlateh</t>
  </si>
  <si>
    <t>Takwa Binlateh</t>
  </si>
  <si>
    <t>TAA7755</t>
  </si>
  <si>
    <t>Junjitjingjai</t>
  </si>
  <si>
    <t>Jaruwan Junjitjingjai</t>
  </si>
  <si>
    <t>TAA7756</t>
  </si>
  <si>
    <t>Natthanun</t>
  </si>
  <si>
    <t>Phaisaltuntiwong</t>
  </si>
  <si>
    <t>Natthanun Phaisaltuntiwong</t>
  </si>
  <si>
    <t>TAA7758</t>
  </si>
  <si>
    <t>Kotchakron</t>
  </si>
  <si>
    <t>Chimnoi</t>
  </si>
  <si>
    <t>Kotchakron Chimnoi</t>
  </si>
  <si>
    <t>TAA7759</t>
  </si>
  <si>
    <t>Lekkhum</t>
  </si>
  <si>
    <t>Nattapong Lekkhum</t>
  </si>
  <si>
    <t>TAA7760</t>
  </si>
  <si>
    <t>Nut</t>
  </si>
  <si>
    <t>Lohityotin</t>
  </si>
  <si>
    <t>Nut Lohityotin</t>
  </si>
  <si>
    <t>TAA7761</t>
  </si>
  <si>
    <t>Papassarin(Korrachat)</t>
  </si>
  <si>
    <t>Lertbussarasit(Koytaranon)</t>
  </si>
  <si>
    <t>Papassarin Lertbussarasit</t>
  </si>
  <si>
    <t>TAA7762</t>
  </si>
  <si>
    <t>Julalak</t>
  </si>
  <si>
    <t>Tansakul</t>
  </si>
  <si>
    <t>Julalak Tansakul</t>
  </si>
  <si>
    <t>TAA7763</t>
  </si>
  <si>
    <t>Apirak</t>
  </si>
  <si>
    <t>Thongpiyaphoom</t>
  </si>
  <si>
    <t>Apirak Thongpiyaphoom</t>
  </si>
  <si>
    <t>TAA7772</t>
  </si>
  <si>
    <t>Prapassorn</t>
  </si>
  <si>
    <t>Soonsorn</t>
  </si>
  <si>
    <t>Prapassorn Soonsorn</t>
  </si>
  <si>
    <t>TAA7827</t>
  </si>
  <si>
    <t>Penrat</t>
  </si>
  <si>
    <t>Srinawakul</t>
  </si>
  <si>
    <t>Penrat Srinawakul</t>
  </si>
  <si>
    <t>TAA7828</t>
  </si>
  <si>
    <t>Kitdanai</t>
  </si>
  <si>
    <t>Tiantanawit</t>
  </si>
  <si>
    <t>Kitdanai Tiantanawit</t>
  </si>
  <si>
    <t>TAA7829</t>
  </si>
  <si>
    <t>Witittorn</t>
  </si>
  <si>
    <t>Onkhaw</t>
  </si>
  <si>
    <t>Witittorn Onkhaw</t>
  </si>
  <si>
    <t>TAA7831</t>
  </si>
  <si>
    <t>Noppadol</t>
  </si>
  <si>
    <t>Utthiya</t>
  </si>
  <si>
    <t>Noppadol Utthiya</t>
  </si>
  <si>
    <t>TAA7833</t>
  </si>
  <si>
    <t>Poosomchit</t>
  </si>
  <si>
    <t>Natthaphon Poosomchit</t>
  </si>
  <si>
    <t>TAA7835</t>
  </si>
  <si>
    <t>Ploypailin</t>
  </si>
  <si>
    <t>Chuntawong</t>
  </si>
  <si>
    <t>Ploypailin Chuntawong</t>
  </si>
  <si>
    <t>TAA7836</t>
  </si>
  <si>
    <t>Nakkamon</t>
  </si>
  <si>
    <t>Savigamin</t>
  </si>
  <si>
    <t>Nakkamon Savigamin</t>
  </si>
  <si>
    <t>TAA7837</t>
  </si>
  <si>
    <t>Chaiwut</t>
  </si>
  <si>
    <t>Jatunan</t>
  </si>
  <si>
    <t>Chaiwut Jatunan</t>
  </si>
  <si>
    <t>TAA7838</t>
  </si>
  <si>
    <t>Suphakrit</t>
  </si>
  <si>
    <t>Jitrarat</t>
  </si>
  <si>
    <t>Suphakrit Jitrarat</t>
  </si>
  <si>
    <t>TAA7840</t>
  </si>
  <si>
    <t>Chinapan</t>
  </si>
  <si>
    <t>Unyamanee Chinapan</t>
  </si>
  <si>
    <t>TAA7841</t>
  </si>
  <si>
    <t>Kantatorn</t>
  </si>
  <si>
    <t>Jantawong</t>
  </si>
  <si>
    <t>Kantatorn Jantawong</t>
  </si>
  <si>
    <t>TAA7842</t>
  </si>
  <si>
    <t>Kittiroj</t>
  </si>
  <si>
    <t>Wijitrakul</t>
  </si>
  <si>
    <t>Kittiroj Wijitrakul</t>
  </si>
  <si>
    <t>TAA7843</t>
  </si>
  <si>
    <t>Thossaphol</t>
  </si>
  <si>
    <t>Sattabanmongkol</t>
  </si>
  <si>
    <t>Thossaphol Sattabanmongkol</t>
  </si>
  <si>
    <t>TAA7844</t>
  </si>
  <si>
    <t>Sakun</t>
  </si>
  <si>
    <t>Sakdavuth</t>
  </si>
  <si>
    <t>Sakun Sakdavuth</t>
  </si>
  <si>
    <t>TAA7845</t>
  </si>
  <si>
    <t>Matika</t>
  </si>
  <si>
    <t>Sunksrijun</t>
  </si>
  <si>
    <t>Matika Sunksrijun</t>
  </si>
  <si>
    <t>TAA7846</t>
  </si>
  <si>
    <t>Nakharin</t>
  </si>
  <si>
    <t>Preediyanon</t>
  </si>
  <si>
    <t>Nakharin Preediyanon</t>
  </si>
  <si>
    <t>TAA7847</t>
  </si>
  <si>
    <t>Kanitanong</t>
  </si>
  <si>
    <t>Arquero</t>
  </si>
  <si>
    <t>Kanitanong Arquero</t>
  </si>
  <si>
    <t>TAA7848</t>
  </si>
  <si>
    <t>Ghoummeddin</t>
  </si>
  <si>
    <t>Marut Ghoummeddin</t>
  </si>
  <si>
    <t>TAA7849</t>
  </si>
  <si>
    <t>Phumat</t>
  </si>
  <si>
    <t>Pattarachaipongsa</t>
  </si>
  <si>
    <t>Phumat Pattarachaipongsa</t>
  </si>
  <si>
    <t>TAA7882</t>
  </si>
  <si>
    <t>Primcharlin</t>
  </si>
  <si>
    <t>Kiattipoompun</t>
  </si>
  <si>
    <t>Primcharlin Kiattipoompun</t>
  </si>
  <si>
    <t>TAA7883</t>
  </si>
  <si>
    <t>Pattarasiriwong</t>
  </si>
  <si>
    <t>Nattaporn Pattarasiriwong</t>
  </si>
  <si>
    <t>TAA7884</t>
  </si>
  <si>
    <t>Pawika</t>
  </si>
  <si>
    <t>Boonrak</t>
  </si>
  <si>
    <t>Pawika Boonrak</t>
  </si>
  <si>
    <t>TAA7885</t>
  </si>
  <si>
    <t>Thun</t>
  </si>
  <si>
    <t>Anunchanin</t>
  </si>
  <si>
    <t>Thun Anunchanin</t>
  </si>
  <si>
    <t>TAA7886</t>
  </si>
  <si>
    <t>Alisa</t>
  </si>
  <si>
    <t>Drenic</t>
  </si>
  <si>
    <t>Alisa Drenic</t>
  </si>
  <si>
    <t>TAA7887</t>
  </si>
  <si>
    <t>Pattamawan</t>
  </si>
  <si>
    <t>Saingthong</t>
  </si>
  <si>
    <t>Pattamawan Saingthong</t>
  </si>
  <si>
    <t>TAA7888</t>
  </si>
  <si>
    <t>Nathamonphan</t>
  </si>
  <si>
    <t>Boonyakiat</t>
  </si>
  <si>
    <t>Nathamonphan Boonyakiat</t>
  </si>
  <si>
    <t>TAA7889</t>
  </si>
  <si>
    <t>Pakin</t>
  </si>
  <si>
    <t>Pithakthawikun</t>
  </si>
  <si>
    <t>Pakin Pithakthawikun</t>
  </si>
  <si>
    <t>TAA7890</t>
  </si>
  <si>
    <t>Wijai</t>
  </si>
  <si>
    <t>Kodech</t>
  </si>
  <si>
    <t>Wijai Kodech</t>
  </si>
  <si>
    <t>TAA7892</t>
  </si>
  <si>
    <t>Nonthanan</t>
  </si>
  <si>
    <t>Jaengjai</t>
  </si>
  <si>
    <t>Nonthanan Jaengjai</t>
  </si>
  <si>
    <t>TAA7893</t>
  </si>
  <si>
    <t>Thepgul</t>
  </si>
  <si>
    <t>Supitcha Thepgul</t>
  </si>
  <si>
    <t>TAA7894</t>
  </si>
  <si>
    <t>Phakamas</t>
  </si>
  <si>
    <t>Rachakrom</t>
  </si>
  <si>
    <t>Phakamas Rachakrom</t>
  </si>
  <si>
    <t>TAA7895</t>
  </si>
  <si>
    <t>Suwapit</t>
  </si>
  <si>
    <t>Rapipong</t>
  </si>
  <si>
    <t>Suwapit Rapipong</t>
  </si>
  <si>
    <t>TAA7896</t>
  </si>
  <si>
    <t>Nutpawee</t>
  </si>
  <si>
    <t>Thawanthalerngrit</t>
  </si>
  <si>
    <t>Nutpawee Thawanthalerngrit</t>
  </si>
  <si>
    <t>TAA7897</t>
  </si>
  <si>
    <t>Nattharicha</t>
  </si>
  <si>
    <t>Chantraram</t>
  </si>
  <si>
    <t>Nattharicha Chantraram</t>
  </si>
  <si>
    <t>TAA7898</t>
  </si>
  <si>
    <t>Puttida</t>
  </si>
  <si>
    <t>Hirunyatrakul</t>
  </si>
  <si>
    <t>Puttida Hirunyatrakul</t>
  </si>
  <si>
    <t>TAA7899</t>
  </si>
  <si>
    <t>Ployputchara</t>
  </si>
  <si>
    <t>Sridara</t>
  </si>
  <si>
    <t>Ployputchara Sridara</t>
  </si>
  <si>
    <t>TAA7900</t>
  </si>
  <si>
    <t>Wichuda</t>
  </si>
  <si>
    <t>Maneenatthakit</t>
  </si>
  <si>
    <t>Wichuda Maneenatthakit</t>
  </si>
  <si>
    <t>TAA7901</t>
  </si>
  <si>
    <t>Sutatta</t>
  </si>
  <si>
    <t>Jongsirisathaporn</t>
  </si>
  <si>
    <t>Sutatta Jongsirisathaporn</t>
  </si>
  <si>
    <t>TAA7902</t>
  </si>
  <si>
    <t>Pornpaloach</t>
  </si>
  <si>
    <t>Toklom</t>
  </si>
  <si>
    <t>Pornpaloach Toklom</t>
  </si>
  <si>
    <t>TAA7903</t>
  </si>
  <si>
    <t>Tanyatorn</t>
  </si>
  <si>
    <t>Leenawong</t>
  </si>
  <si>
    <t>Tanyatorn Leenawong</t>
  </si>
  <si>
    <t>TAA7904</t>
  </si>
  <si>
    <t>Methawee</t>
  </si>
  <si>
    <t>Yos-in</t>
  </si>
  <si>
    <t>Methawee Yos-in</t>
  </si>
  <si>
    <t>TAA7905</t>
  </si>
  <si>
    <t>Phattaraporn</t>
  </si>
  <si>
    <t>Jindapol</t>
  </si>
  <si>
    <t>Phattaraporn Jindapol</t>
  </si>
  <si>
    <t>TAA7907</t>
  </si>
  <si>
    <t>Penpidcha</t>
  </si>
  <si>
    <t>Sophondirakrat</t>
  </si>
  <si>
    <t>Penpidcha Sophondirakrat</t>
  </si>
  <si>
    <t>TAA7908</t>
  </si>
  <si>
    <t>Norramon</t>
  </si>
  <si>
    <t>Nakkara</t>
  </si>
  <si>
    <t>Norramon Nakkara</t>
  </si>
  <si>
    <t>TAA7909</t>
  </si>
  <si>
    <t>Thanyathorn</t>
  </si>
  <si>
    <t>Prueksasilp</t>
  </si>
  <si>
    <t>Thanyathorn Prueksasilp</t>
  </si>
  <si>
    <t>TAA7910</t>
  </si>
  <si>
    <t>Yunsita</t>
  </si>
  <si>
    <t>Puangthong</t>
  </si>
  <si>
    <t>Yunsita Puangthong</t>
  </si>
  <si>
    <t>TAA7911</t>
  </si>
  <si>
    <t>Siripak</t>
  </si>
  <si>
    <t>Areeprasertkit</t>
  </si>
  <si>
    <t>Siripak Areeprasertkit</t>
  </si>
  <si>
    <t>TAA7912</t>
  </si>
  <si>
    <t>Krisanayanyong</t>
  </si>
  <si>
    <t>Thanyathorn Krisanayanyong</t>
  </si>
  <si>
    <t>TAA7913</t>
  </si>
  <si>
    <t>Piyaporn</t>
  </si>
  <si>
    <t>Mogchai</t>
  </si>
  <si>
    <t>Piyaporn Mogchai</t>
  </si>
  <si>
    <t>TAA7914</t>
  </si>
  <si>
    <t>Napapat</t>
  </si>
  <si>
    <t>Wattanakamonwut</t>
  </si>
  <si>
    <t>Napapat Wattanakamonwut</t>
  </si>
  <si>
    <t>TAA7915</t>
  </si>
  <si>
    <t>Ittiphol</t>
  </si>
  <si>
    <t>Boontan</t>
  </si>
  <si>
    <t>Ittiphol Boontan</t>
  </si>
  <si>
    <t>TAA7916</t>
  </si>
  <si>
    <t>Atsawaphonsakun</t>
  </si>
  <si>
    <t>Kritsada Atsawaphonsakun</t>
  </si>
  <si>
    <t>TAA7917</t>
  </si>
  <si>
    <t>Sutthirak</t>
  </si>
  <si>
    <t>Tangsutthichai</t>
  </si>
  <si>
    <t>Sutthirak Tangsutthichai</t>
  </si>
  <si>
    <t>TAA7918</t>
  </si>
  <si>
    <t>Talant</t>
  </si>
  <si>
    <t>Chanprated</t>
  </si>
  <si>
    <t>Talant Chanprated</t>
  </si>
  <si>
    <t>TAA7919</t>
  </si>
  <si>
    <t>Pongsakorn</t>
  </si>
  <si>
    <t>Anawatchakul</t>
  </si>
  <si>
    <t>Pongsakorn Anawatchakul</t>
  </si>
  <si>
    <t>TAA7920</t>
  </si>
  <si>
    <t>Vincent Pakpoom</t>
  </si>
  <si>
    <t>Prache</t>
  </si>
  <si>
    <t>Vincent Pakpoom Prache</t>
  </si>
  <si>
    <t>TAA7921</t>
  </si>
  <si>
    <t>Thuntree</t>
  </si>
  <si>
    <t>Longprasert</t>
  </si>
  <si>
    <t>Thuntree Longprasert</t>
  </si>
  <si>
    <t>TAA7922</t>
  </si>
  <si>
    <t>Kamying</t>
  </si>
  <si>
    <t>Jutaporn Kamying</t>
  </si>
  <si>
    <t>TAA7923</t>
  </si>
  <si>
    <t>Kamonjun</t>
  </si>
  <si>
    <t>Phookphun</t>
  </si>
  <si>
    <t>Kamonjun Phookphun</t>
  </si>
  <si>
    <t>TAA7924</t>
  </si>
  <si>
    <t>Werapat</t>
  </si>
  <si>
    <t>Thitirojnopparat</t>
  </si>
  <si>
    <t>Werapat Thitirojnopparat</t>
  </si>
  <si>
    <t>TAA7925</t>
  </si>
  <si>
    <t>Kunlachat</t>
  </si>
  <si>
    <t>Cheythong</t>
  </si>
  <si>
    <t>Kunlachat Cheythong</t>
  </si>
  <si>
    <t>TAA7926</t>
  </si>
  <si>
    <t>Chitipat (Tanawat)</t>
  </si>
  <si>
    <t>Thananitdullayaphak (Lommahadthai)</t>
  </si>
  <si>
    <t>Chitipat Thananitdullayaphak</t>
  </si>
  <si>
    <t>TAA7927</t>
  </si>
  <si>
    <t>Natthanan</t>
  </si>
  <si>
    <t>Jumsilp</t>
  </si>
  <si>
    <t>Natthanan Jumsilp</t>
  </si>
  <si>
    <t>TAA7928</t>
  </si>
  <si>
    <t>Methawat</t>
  </si>
  <si>
    <t>Thitinawasup</t>
  </si>
  <si>
    <t>Methawat Thitinawasup</t>
  </si>
  <si>
    <t>TAA7929</t>
  </si>
  <si>
    <t>Chawanin</t>
  </si>
  <si>
    <t>Thanachairujjanun</t>
  </si>
  <si>
    <t>Chawanin Thanachairujjanun</t>
  </si>
  <si>
    <t>TAA7930</t>
  </si>
  <si>
    <t>Nithi</t>
  </si>
  <si>
    <t>Nithi Chalongtrakul</t>
  </si>
  <si>
    <t>TAA7931</t>
  </si>
  <si>
    <t>Kritsana</t>
  </si>
  <si>
    <t>Rittikrai</t>
  </si>
  <si>
    <t>Kritsana Rittikrai</t>
  </si>
  <si>
    <t>TAA7932</t>
  </si>
  <si>
    <t>Saowapak</t>
  </si>
  <si>
    <t>Siri-athikhom</t>
  </si>
  <si>
    <t>Saowapak Siri-athikhom</t>
  </si>
  <si>
    <t>TAA7933</t>
  </si>
  <si>
    <t>Dalika</t>
  </si>
  <si>
    <t>Sayanprasert</t>
  </si>
  <si>
    <t>Dalika Sayanprasert</t>
  </si>
  <si>
    <t>TAA7934</t>
  </si>
  <si>
    <t>Purichaya</t>
  </si>
  <si>
    <t>Pongpeerachork</t>
  </si>
  <si>
    <t>Purichaya Pongpeerachork</t>
  </si>
  <si>
    <t>TAA7935</t>
  </si>
  <si>
    <t>Kantida</t>
  </si>
  <si>
    <t>Prapathorn</t>
  </si>
  <si>
    <t>Kantida Prapathorn</t>
  </si>
  <si>
    <t>TAA7936</t>
  </si>
  <si>
    <t>Thachaporn</t>
  </si>
  <si>
    <t>Lertwichitsilp</t>
  </si>
  <si>
    <t>Thachaporn Lertwichitsilp</t>
  </si>
  <si>
    <t>TAA7937</t>
  </si>
  <si>
    <t>Ninlaya</t>
  </si>
  <si>
    <t>Tangmongkhongkon</t>
  </si>
  <si>
    <t>Ninlaya Tangmongkhongkon</t>
  </si>
  <si>
    <t>TAA7938</t>
  </si>
  <si>
    <t>Sarocha</t>
  </si>
  <si>
    <t>Sukkathong</t>
  </si>
  <si>
    <t>Sarocha Sukkathong</t>
  </si>
  <si>
    <t>TAA7939</t>
  </si>
  <si>
    <t>Waratthamol</t>
  </si>
  <si>
    <t>Sirinthamart</t>
  </si>
  <si>
    <t>Waratthamol Sirinthamart</t>
  </si>
  <si>
    <t>TAA7989</t>
  </si>
  <si>
    <t>Songkiert</t>
  </si>
  <si>
    <t>Surintrspanont</t>
  </si>
  <si>
    <t>Songkiert Surintrspanont</t>
  </si>
  <si>
    <t>TAA7990</t>
  </si>
  <si>
    <t>Primwipa</t>
  </si>
  <si>
    <t>Klinkachorn</t>
  </si>
  <si>
    <t>Primwipa Klinkachorn</t>
  </si>
  <si>
    <t>TAA7991</t>
  </si>
  <si>
    <t>Thansaya</t>
  </si>
  <si>
    <t>Gerdnavy</t>
  </si>
  <si>
    <t>Thansaya Gerdnavy</t>
  </si>
  <si>
    <t>TAA7992</t>
  </si>
  <si>
    <t>Walita</t>
  </si>
  <si>
    <t>Wiboonlertwatthana</t>
  </si>
  <si>
    <t>Walita Wiboonlertwatthana</t>
  </si>
  <si>
    <t>TAA7993</t>
  </si>
  <si>
    <t>Panida</t>
  </si>
  <si>
    <t>Wannaying</t>
  </si>
  <si>
    <t>Panida Wannaying</t>
  </si>
  <si>
    <t>TAA7994</t>
  </si>
  <si>
    <t>Kittaporn</t>
  </si>
  <si>
    <t>Pootana</t>
  </si>
  <si>
    <t>Kittaporn Pootana</t>
  </si>
  <si>
    <t>TAA7995</t>
  </si>
  <si>
    <t>Punyavee</t>
  </si>
  <si>
    <t>Leongnarktongdee</t>
  </si>
  <si>
    <t>Punyavee Leongnarktongdee</t>
  </si>
  <si>
    <t>TAA7996</t>
  </si>
  <si>
    <t>Sorawich</t>
  </si>
  <si>
    <t>Kaosumang</t>
  </si>
  <si>
    <t>Sorawich Kaosumang</t>
  </si>
  <si>
    <t>TAA7997</t>
  </si>
  <si>
    <t>Nontapat</t>
  </si>
  <si>
    <t>Karasu</t>
  </si>
  <si>
    <t>Nontapat Karasu</t>
  </si>
  <si>
    <t>TAA7998</t>
  </si>
  <si>
    <t>Krangklang</t>
  </si>
  <si>
    <t>Teerapong Krangklang</t>
  </si>
  <si>
    <t>TAA7999</t>
  </si>
  <si>
    <t>Yossavarid</t>
  </si>
  <si>
    <t>Tien</t>
  </si>
  <si>
    <t>Yossavarid Tien</t>
  </si>
  <si>
    <t>TAA8000</t>
  </si>
  <si>
    <t>Thanyatorn</t>
  </si>
  <si>
    <t>Panyanonwat</t>
  </si>
  <si>
    <t>Thanyatorn Panyanonwat</t>
  </si>
  <si>
    <t>TAA8001</t>
  </si>
  <si>
    <t>Warintorn</t>
  </si>
  <si>
    <t>Rachanikorn</t>
  </si>
  <si>
    <t>Warintorn Rachanikorn</t>
  </si>
  <si>
    <t>TAA8002</t>
  </si>
  <si>
    <t>Naratip</t>
  </si>
  <si>
    <t>Dumrongthai</t>
  </si>
  <si>
    <t>Naratip Dumrongthai</t>
  </si>
  <si>
    <t>TAA8003</t>
  </si>
  <si>
    <t>Nithikarn</t>
  </si>
  <si>
    <t>Saiyukhet</t>
  </si>
  <si>
    <t>Nithikarn Saiyukhet</t>
  </si>
  <si>
    <t>TAA8004</t>
  </si>
  <si>
    <t>Siravich</t>
  </si>
  <si>
    <t>Prathompatama</t>
  </si>
  <si>
    <t>Siravich Prathompatama</t>
  </si>
  <si>
    <t>TAA8005</t>
  </si>
  <si>
    <t>Nattanan</t>
  </si>
  <si>
    <t>Sriwilaithon</t>
  </si>
  <si>
    <t>Nattanan Sriwilaithon</t>
  </si>
  <si>
    <t>TAA8006</t>
  </si>
  <si>
    <t>Tanyathorn</t>
  </si>
  <si>
    <t>Wilaisaranan</t>
  </si>
  <si>
    <t>Tanyathorn Wilaisaranan</t>
  </si>
  <si>
    <t>TAA4395</t>
  </si>
  <si>
    <t>Phonpimon</t>
  </si>
  <si>
    <t>Nakhiranwiriya</t>
  </si>
  <si>
    <t>Phonpimon Nakhiranwiriya</t>
  </si>
  <si>
    <t>TAA5035</t>
  </si>
  <si>
    <t>Parawee</t>
  </si>
  <si>
    <t>Parawee Sutthiphan</t>
  </si>
  <si>
    <t>Patcharamon</t>
  </si>
  <si>
    <t>Vipatanawin</t>
  </si>
  <si>
    <t>Patcharamon Vipatanawin</t>
  </si>
  <si>
    <t>Siripassorn</t>
  </si>
  <si>
    <t>Liangpanit</t>
  </si>
  <si>
    <t>Siripassorn Liangpanit</t>
  </si>
  <si>
    <t>Yuttimi</t>
  </si>
  <si>
    <t>Porntida Yuttimi</t>
  </si>
  <si>
    <t>Pimchai</t>
  </si>
  <si>
    <t>Supachaiyakij</t>
  </si>
  <si>
    <t>Pimchai Supachaiyakij</t>
  </si>
  <si>
    <t>Natcharn</t>
  </si>
  <si>
    <t>Sritipakorn</t>
  </si>
  <si>
    <t>Natcharn Sritipakorn</t>
  </si>
  <si>
    <t>Sirithorn</t>
  </si>
  <si>
    <t>Chonnikarn Sirithorn</t>
  </si>
  <si>
    <t>Wit</t>
  </si>
  <si>
    <t>Umbua</t>
  </si>
  <si>
    <t>Wit Umbua</t>
  </si>
  <si>
    <t>Itsara</t>
  </si>
  <si>
    <t>Indrasuta</t>
  </si>
  <si>
    <t>Itsara Indrasuta</t>
  </si>
  <si>
    <t>Kiattisak</t>
  </si>
  <si>
    <t>Inprasert</t>
  </si>
  <si>
    <t>Kiattisak Inprasert</t>
  </si>
  <si>
    <t>Songboon</t>
  </si>
  <si>
    <t>Kiatchaweepan</t>
  </si>
  <si>
    <t>Songboon Kiatchaweepan</t>
  </si>
  <si>
    <t>Nantapak</t>
  </si>
  <si>
    <t>Benjasiriporn</t>
  </si>
  <si>
    <t>Nantapak Benjasiriporn</t>
  </si>
  <si>
    <t>Panumong</t>
  </si>
  <si>
    <t>Sirikwan Panumong</t>
  </si>
  <si>
    <t>Janrawee</t>
  </si>
  <si>
    <t>Peerapand</t>
  </si>
  <si>
    <t>Janrawee Peerapand</t>
  </si>
  <si>
    <t>TAA5068</t>
  </si>
  <si>
    <t>Saranphon</t>
  </si>
  <si>
    <t>Seepattana</t>
  </si>
  <si>
    <t>Saranphon Seepattana</t>
  </si>
  <si>
    <t>TAA3783</t>
  </si>
  <si>
    <t>Natdanai</t>
  </si>
  <si>
    <t>Kingsawat</t>
  </si>
  <si>
    <t>Natdanai Kingsawat</t>
  </si>
  <si>
    <t>TAA5552</t>
  </si>
  <si>
    <t>Papitchaya</t>
  </si>
  <si>
    <t>Saytasuhat</t>
  </si>
  <si>
    <t>Papitchaya Saytasuhat</t>
  </si>
  <si>
    <t>TAA6146</t>
  </si>
  <si>
    <t>Satchaporn</t>
  </si>
  <si>
    <t>Sriroy</t>
  </si>
  <si>
    <t>Satchaporn Sriroy</t>
  </si>
  <si>
    <t>Phruksaraj</t>
  </si>
  <si>
    <t>Nawaporn Phruksaraj</t>
  </si>
  <si>
    <t>Puripak</t>
  </si>
  <si>
    <t>Pensawat</t>
  </si>
  <si>
    <t>Puripak Pensawat</t>
  </si>
  <si>
    <t>Ratchakran</t>
  </si>
  <si>
    <t>Pintong</t>
  </si>
  <si>
    <t>Ratchakran Pintong</t>
  </si>
  <si>
    <t>Ketjiya</t>
  </si>
  <si>
    <t>Sriamonsak</t>
  </si>
  <si>
    <t>Ketjiya Sriamonsak</t>
  </si>
  <si>
    <t>Chaisaeng</t>
  </si>
  <si>
    <t>Apinya Chaisaeng</t>
  </si>
  <si>
    <t>Patchanee</t>
  </si>
  <si>
    <t>Patchaneebon</t>
  </si>
  <si>
    <t>Patchanee Patchaneebon</t>
  </si>
  <si>
    <t>Rujisaya</t>
  </si>
  <si>
    <t>Tinnarat</t>
  </si>
  <si>
    <t>Rujisaya Tinnarat</t>
  </si>
  <si>
    <t>Parunya</t>
  </si>
  <si>
    <t>Poonsuk</t>
  </si>
  <si>
    <t>Parunya Poonsuk</t>
  </si>
  <si>
    <t>Press</t>
  </si>
  <si>
    <t>Sukthavorn</t>
  </si>
  <si>
    <t>Press Sukthavorn</t>
  </si>
  <si>
    <t>Hariphat</t>
  </si>
  <si>
    <t>Suphangcharus</t>
  </si>
  <si>
    <t>Hariphat Suphangcharus</t>
  </si>
  <si>
    <t>Suchanart</t>
  </si>
  <si>
    <t>Thongsongsom</t>
  </si>
  <si>
    <t>Suchanart Thongsongsom</t>
  </si>
  <si>
    <t>Wachiraporn</t>
  </si>
  <si>
    <t>Songkram</t>
  </si>
  <si>
    <t>Wachiraporn Songkram</t>
  </si>
  <si>
    <t>Natasa</t>
  </si>
  <si>
    <t>Tharasak</t>
  </si>
  <si>
    <t>Natasa Tharasak</t>
  </si>
  <si>
    <t>Thipwadee</t>
  </si>
  <si>
    <t>Ing-Anannat</t>
  </si>
  <si>
    <t>Thipwadee Ing-Anannat</t>
  </si>
  <si>
    <t>Maruched</t>
  </si>
  <si>
    <t>Thummanond</t>
  </si>
  <si>
    <t>Maruched Thummanond</t>
  </si>
  <si>
    <t>TAA5466</t>
  </si>
  <si>
    <t>Wongdithai</t>
  </si>
  <si>
    <t>Burin Wongdithai</t>
  </si>
  <si>
    <t>TAA4872</t>
  </si>
  <si>
    <t>Acharee</t>
  </si>
  <si>
    <t>Titatanon</t>
  </si>
  <si>
    <t>Acharee Titatanon</t>
  </si>
  <si>
    <t>TAA4758</t>
  </si>
  <si>
    <t>Matharapoj</t>
  </si>
  <si>
    <t>Daungkull</t>
  </si>
  <si>
    <t>Matharapoj Daungkull</t>
  </si>
  <si>
    <t>TAA5262</t>
  </si>
  <si>
    <t>Sornnuan</t>
  </si>
  <si>
    <t>Patcharee Sornnuan</t>
  </si>
  <si>
    <t>TAA5052</t>
  </si>
  <si>
    <t>Warachanok</t>
  </si>
  <si>
    <t>Govindasamy</t>
  </si>
  <si>
    <t>Warachanok Govindasamy</t>
  </si>
  <si>
    <t>Chatchaya</t>
  </si>
  <si>
    <t>Laohasurayotin</t>
  </si>
  <si>
    <t>Chatchaya Laohasurayotin</t>
  </si>
  <si>
    <t>Vichaya</t>
  </si>
  <si>
    <t>Tunpichart</t>
  </si>
  <si>
    <t>Vichaya Tunpichart</t>
  </si>
  <si>
    <t>Patcharabud</t>
  </si>
  <si>
    <t>Laorodphan</t>
  </si>
  <si>
    <t>Patcharabud Laorodphan</t>
  </si>
  <si>
    <t>Danita</t>
  </si>
  <si>
    <t>Prakrittipong</t>
  </si>
  <si>
    <t>Danita Prakrittipong</t>
  </si>
  <si>
    <t>Pawina</t>
  </si>
  <si>
    <t>Jiradilokporn</t>
  </si>
  <si>
    <t>Pawina Jiradilokporn</t>
  </si>
  <si>
    <t>Wijitr</t>
  </si>
  <si>
    <t>Apichaya Wijitr</t>
  </si>
  <si>
    <t>Pitsinee</t>
  </si>
  <si>
    <t>Diowvilai</t>
  </si>
  <si>
    <t>Pitsinee Diowvilai</t>
  </si>
  <si>
    <t>Natchapapha</t>
  </si>
  <si>
    <t>Surakhunthod</t>
  </si>
  <si>
    <t>Natchapapha Surakhunthod</t>
  </si>
  <si>
    <t>Boonyawee</t>
  </si>
  <si>
    <t>Soodprasert</t>
  </si>
  <si>
    <t>Boonyawee Soodprasert</t>
  </si>
  <si>
    <t>Methakarn</t>
  </si>
  <si>
    <t>Ratanamalaya</t>
  </si>
  <si>
    <t>Methakarn Ratanamalaya</t>
  </si>
  <si>
    <t>Minthita</t>
  </si>
  <si>
    <t>Kanchanapinpong</t>
  </si>
  <si>
    <t>Minthita Kanchanapinpong</t>
  </si>
  <si>
    <t>Phattharasiri</t>
  </si>
  <si>
    <t>Kamkhow</t>
  </si>
  <si>
    <t>Phattharasiri Kamkhow</t>
  </si>
  <si>
    <t>Tattiya</t>
  </si>
  <si>
    <t>Supannabut</t>
  </si>
  <si>
    <t>Tattiya Supannabut</t>
  </si>
  <si>
    <t>Peeranat</t>
  </si>
  <si>
    <t>Chavitranurak</t>
  </si>
  <si>
    <t>Peeranat Chavitranurak</t>
  </si>
  <si>
    <t>Surapong</t>
  </si>
  <si>
    <t>Thongchinnawat</t>
  </si>
  <si>
    <t>Surapong Thongchinnawat</t>
  </si>
  <si>
    <t>Erawat</t>
  </si>
  <si>
    <t>Lorrattanachon</t>
  </si>
  <si>
    <t>Erawat Lorrattanachon</t>
  </si>
  <si>
    <t>TAA5046</t>
  </si>
  <si>
    <t>Chongthep</t>
  </si>
  <si>
    <t>Varaporn Chongthep</t>
  </si>
  <si>
    <t>TAA5047</t>
  </si>
  <si>
    <t>Jinnanat</t>
  </si>
  <si>
    <t>Buree</t>
  </si>
  <si>
    <t>Jinnanat Buree</t>
  </si>
  <si>
    <t>TAA5335</t>
  </si>
  <si>
    <t>Piyaphong</t>
  </si>
  <si>
    <t>Hongsiri</t>
  </si>
  <si>
    <t>Piyaphong Hongsiri</t>
  </si>
  <si>
    <t>Janyarak</t>
  </si>
  <si>
    <t>Khundilokbovorn</t>
  </si>
  <si>
    <t>Janyarak Khundilokbovorn</t>
  </si>
  <si>
    <t>Palita</t>
  </si>
  <si>
    <t>Trichanphen</t>
  </si>
  <si>
    <t>Palita Trichanphen</t>
  </si>
  <si>
    <t>Ariyakamolrat</t>
  </si>
  <si>
    <t>Ploypapat Ariyakamolrat</t>
  </si>
  <si>
    <t>Chayanun</t>
  </si>
  <si>
    <t>Kittiwarapol</t>
  </si>
  <si>
    <t>Chayanun Kittiwarapol</t>
  </si>
  <si>
    <t>Pawin</t>
  </si>
  <si>
    <t>Tiajae</t>
  </si>
  <si>
    <t>Pawin Tiajae</t>
  </si>
  <si>
    <t>Phanphipat</t>
  </si>
  <si>
    <t>Sirilak Phanphipat</t>
  </si>
  <si>
    <t>Siwaporn</t>
  </si>
  <si>
    <t>Lertthaharn</t>
  </si>
  <si>
    <t>Siwaporn Lertthaharn</t>
  </si>
  <si>
    <t>Kannika</t>
  </si>
  <si>
    <t>Boonnak</t>
  </si>
  <si>
    <t>Kannika Boonnak</t>
  </si>
  <si>
    <t>Nuttakamol</t>
  </si>
  <si>
    <t>Chaitavatpong</t>
  </si>
  <si>
    <t>Nuttakamol Chaitavatpong</t>
  </si>
  <si>
    <t>Pattaranan</t>
  </si>
  <si>
    <t>Thamsuchit</t>
  </si>
  <si>
    <t>Pattaranan Thamsuchit</t>
  </si>
  <si>
    <t>Aileen</t>
  </si>
  <si>
    <t>Sowprasertsuk</t>
  </si>
  <si>
    <t>Aileen Sowprasertsuk</t>
  </si>
  <si>
    <t>Nutpimon</t>
  </si>
  <si>
    <t>Taain</t>
  </si>
  <si>
    <t>Nutpimon Taain</t>
  </si>
  <si>
    <t>TAA4447</t>
  </si>
  <si>
    <t>Aphichaya</t>
  </si>
  <si>
    <t>Tungchitmate</t>
  </si>
  <si>
    <t>Aphichaya Tungchitmate</t>
  </si>
  <si>
    <t>TAA6150</t>
  </si>
  <si>
    <t>Nattika</t>
  </si>
  <si>
    <t>Naephimai</t>
  </si>
  <si>
    <t>Nattika Naephimai</t>
  </si>
  <si>
    <t>TAA3239</t>
  </si>
  <si>
    <t>Tharathip</t>
  </si>
  <si>
    <t>Phakdeemeechai</t>
  </si>
  <si>
    <t>Tharathip Phakdeemeechai</t>
  </si>
  <si>
    <t>TAA3484</t>
  </si>
  <si>
    <t>Porawee</t>
  </si>
  <si>
    <t>Kokanot</t>
  </si>
  <si>
    <t>Porawee Kokanot</t>
  </si>
  <si>
    <t>Pattanee</t>
  </si>
  <si>
    <t>Pattanee Nopparat</t>
  </si>
  <si>
    <t>Move from B.97</t>
  </si>
  <si>
    <t>Kitiya</t>
  </si>
  <si>
    <t>Tosamlee</t>
  </si>
  <si>
    <t>Kitiya Tosamlee</t>
  </si>
  <si>
    <t>Supatsorn</t>
  </si>
  <si>
    <t>Awtansakun</t>
  </si>
  <si>
    <t>Supatsorn Awtansakun</t>
  </si>
  <si>
    <t>Pavitra</t>
  </si>
  <si>
    <t>Chaosrithong</t>
  </si>
  <si>
    <t>Pavitra Chaosrithong</t>
  </si>
  <si>
    <t>Teerada</t>
  </si>
  <si>
    <t>Sripochsomboon</t>
  </si>
  <si>
    <t>Teerada Sripochsomboon</t>
  </si>
  <si>
    <t>Rawiwan</t>
  </si>
  <si>
    <t>Chailerst</t>
  </si>
  <si>
    <t>Rawiwan Chailerst</t>
  </si>
  <si>
    <t>Intaraudom</t>
  </si>
  <si>
    <t>Apichaya Intaraudom</t>
  </si>
  <si>
    <t>Pimpimol</t>
  </si>
  <si>
    <t>Maneekarn</t>
  </si>
  <si>
    <t>Pimpimol Maneekarn</t>
  </si>
  <si>
    <t>Panatorn</t>
  </si>
  <si>
    <t>Tedprateep</t>
  </si>
  <si>
    <t>Panatorn Tedprateep</t>
  </si>
  <si>
    <t>Waranya</t>
  </si>
  <si>
    <t>Thongkiat</t>
  </si>
  <si>
    <t>Waranya Thongkiat</t>
  </si>
  <si>
    <t>Nutcha</t>
  </si>
  <si>
    <t>Vasuvantaka</t>
  </si>
  <si>
    <t>Nutcha Vasuvantaka</t>
  </si>
  <si>
    <t>Jittanan</t>
  </si>
  <si>
    <t>Piromsri</t>
  </si>
  <si>
    <t>Jittanan Piromsri</t>
  </si>
  <si>
    <t>Kanokpan</t>
  </si>
  <si>
    <t>Tongnu</t>
  </si>
  <si>
    <t>Kanokpan Tongnu</t>
  </si>
  <si>
    <t>Kanes</t>
  </si>
  <si>
    <t>Boonyapanachoti</t>
  </si>
  <si>
    <t>Kanes Boonyapanachoti</t>
  </si>
  <si>
    <t>Somchoke</t>
  </si>
  <si>
    <t>Direksathaphorn</t>
  </si>
  <si>
    <t>Somchoke Direksathaphorn</t>
  </si>
  <si>
    <t>Nawaphat</t>
  </si>
  <si>
    <t>Kingkaew</t>
  </si>
  <si>
    <t>Nawaphat Kingkaew</t>
  </si>
  <si>
    <t>Chaiwat</t>
  </si>
  <si>
    <t>Kamma</t>
  </si>
  <si>
    <t>Chaiwat Kamma</t>
  </si>
  <si>
    <t>Saengnapa</t>
  </si>
  <si>
    <t>Buanak</t>
  </si>
  <si>
    <t>Saengnapa Buanak</t>
  </si>
  <si>
    <t>Pitchaon</t>
  </si>
  <si>
    <t>Suksirisamphan</t>
  </si>
  <si>
    <t>Pitchaon Suksirisamphan</t>
  </si>
  <si>
    <t>Chayanee</t>
  </si>
  <si>
    <t>Sittisak</t>
  </si>
  <si>
    <t>Chayanee Sittisak</t>
  </si>
  <si>
    <t>Jintana</t>
  </si>
  <si>
    <t>Cheng</t>
  </si>
  <si>
    <t>Jintana Cheng</t>
  </si>
  <si>
    <t>Nitinan</t>
  </si>
  <si>
    <t>Sakunchokjaroen</t>
  </si>
  <si>
    <t>Nitinan Sakunchokjaroen</t>
  </si>
  <si>
    <t>Rawitsada</t>
  </si>
  <si>
    <t>Kroeksakunkrit</t>
  </si>
  <si>
    <t>Rawitsada Kroeksakunkrit</t>
  </si>
  <si>
    <t>Revadee</t>
  </si>
  <si>
    <t>Seveewanlop</t>
  </si>
  <si>
    <t>Revadee Seveewanlop</t>
  </si>
  <si>
    <t>Soravis</t>
  </si>
  <si>
    <t>Kissanaviparkporn</t>
  </si>
  <si>
    <t>Soravis Kissanaviparkporn</t>
  </si>
  <si>
    <t>Jetsada</t>
  </si>
  <si>
    <t>Sutthiniam</t>
  </si>
  <si>
    <t>Jetsada Sutthiniam</t>
  </si>
  <si>
    <t>Nonthapat</t>
  </si>
  <si>
    <t>Mansamak</t>
  </si>
  <si>
    <t>Nonthapat Mansamak</t>
  </si>
  <si>
    <t>Fai</t>
  </si>
  <si>
    <t>Kullanthomthong</t>
  </si>
  <si>
    <t>Fai Kullanthomthong</t>
  </si>
  <si>
    <t>Ratchadawan</t>
  </si>
  <si>
    <t>Apilertsopon</t>
  </si>
  <si>
    <t>Ratchadawan Apilertsopon</t>
  </si>
  <si>
    <t>Kanyaphat</t>
  </si>
  <si>
    <t>Chaisrikit</t>
  </si>
  <si>
    <t>Kanyaphat Chaisrikit</t>
  </si>
  <si>
    <t>Nuthapat</t>
  </si>
  <si>
    <t>Thisa</t>
  </si>
  <si>
    <t>Nuthapat Thisa</t>
  </si>
  <si>
    <t>Sasiphak</t>
  </si>
  <si>
    <t>Bupphapho</t>
  </si>
  <si>
    <t>Sasiphak Bupphapho</t>
  </si>
  <si>
    <t>Kerdsuwan</t>
  </si>
  <si>
    <t>Krisada Kerdsuwan</t>
  </si>
  <si>
    <t>Phongsakron</t>
  </si>
  <si>
    <t>Saepan</t>
  </si>
  <si>
    <t>Phongsakron Saepan</t>
  </si>
  <si>
    <t>Matawee</t>
  </si>
  <si>
    <t>Jongjarrulak</t>
  </si>
  <si>
    <t>Matawee Jongjarrulak</t>
  </si>
  <si>
    <t>Tianyot</t>
  </si>
  <si>
    <t>Kongkaew</t>
  </si>
  <si>
    <t>Tianyot Kongkaew</t>
  </si>
  <si>
    <t>Nathathai</t>
  </si>
  <si>
    <t>Sornthawee</t>
  </si>
  <si>
    <t>Nathathai Sornthawee</t>
  </si>
  <si>
    <t>Krisana</t>
  </si>
  <si>
    <t>Sae-yang</t>
  </si>
  <si>
    <t>Krisana Sae-yang</t>
  </si>
  <si>
    <t>Pooripunyakoon</t>
  </si>
  <si>
    <t>Yanisa Pooripunyakoon</t>
  </si>
  <si>
    <t>Tangmahamek</t>
  </si>
  <si>
    <t>Jariya Tangmahamek</t>
  </si>
  <si>
    <t>Napasakorn</t>
  </si>
  <si>
    <t>Phaspipatkul</t>
  </si>
  <si>
    <t>Napasakorn Phaspipatkul</t>
  </si>
  <si>
    <t>Irin</t>
  </si>
  <si>
    <t>Pinsanoh</t>
  </si>
  <si>
    <t>Irin Pinsanoh</t>
  </si>
  <si>
    <t>Jirapun</t>
  </si>
  <si>
    <t>Suntipattanakul</t>
  </si>
  <si>
    <t>Jirapun Suntipattanakul</t>
  </si>
  <si>
    <t>Sunun</t>
  </si>
  <si>
    <t>Susereedumrong</t>
  </si>
  <si>
    <t>Sunun Susereedumrong</t>
  </si>
  <si>
    <t>Achiraya</t>
  </si>
  <si>
    <t>Phutthachanyawong</t>
  </si>
  <si>
    <t>Achiraya Phutthachanyawong</t>
  </si>
  <si>
    <t>Sirapat</t>
  </si>
  <si>
    <t>Subpiboonphon</t>
  </si>
  <si>
    <t>Sirapat Subpiboonphon</t>
  </si>
  <si>
    <t>Sukkhum</t>
  </si>
  <si>
    <t>Panatda Sukkhum</t>
  </si>
  <si>
    <t>Emmy</t>
  </si>
  <si>
    <t>Thounghirunchote</t>
  </si>
  <si>
    <t>Emmy Thounghirunchote</t>
  </si>
  <si>
    <t>Burong</t>
  </si>
  <si>
    <t>Jirawan Burong</t>
  </si>
  <si>
    <t>Patsara</t>
  </si>
  <si>
    <t>Panlers</t>
  </si>
  <si>
    <t>Patsara Panlers</t>
  </si>
  <si>
    <t>Photjanart</t>
  </si>
  <si>
    <t>Atthaphotphong</t>
  </si>
  <si>
    <t>Photjanart Atthaphotphong</t>
  </si>
  <si>
    <t>Wikanda</t>
  </si>
  <si>
    <t>Kamthong</t>
  </si>
  <si>
    <t>Wikanda Kamthong</t>
  </si>
  <si>
    <t>Anyarach</t>
  </si>
  <si>
    <t>Chanaum</t>
  </si>
  <si>
    <t>Anyarach Chanaum</t>
  </si>
  <si>
    <t>Donlaya</t>
  </si>
  <si>
    <t>Promthep</t>
  </si>
  <si>
    <t>Donlaya Promthep</t>
  </si>
  <si>
    <t>Vipusit</t>
  </si>
  <si>
    <t>Tunsakul</t>
  </si>
  <si>
    <t>Vipusit Tunsakul</t>
  </si>
  <si>
    <t>Piyapong</t>
  </si>
  <si>
    <t>Kammeesawang</t>
  </si>
  <si>
    <t>Piyapong Kammeesawang</t>
  </si>
  <si>
    <t>Planc</t>
  </si>
  <si>
    <t>Phosiriwannapong</t>
  </si>
  <si>
    <t>Planc Phosiriwannapong</t>
  </si>
  <si>
    <t>Wichanya</t>
  </si>
  <si>
    <t>Loontu</t>
  </si>
  <si>
    <t>Wichanya Loontu</t>
  </si>
  <si>
    <t>Poonsab</t>
  </si>
  <si>
    <t>Jityen</t>
  </si>
  <si>
    <t>Poonsab Jityen</t>
  </si>
  <si>
    <t>Metharat</t>
  </si>
  <si>
    <t>Plengplang</t>
  </si>
  <si>
    <t>Metharat Plengplang</t>
  </si>
  <si>
    <t>Katemolee</t>
  </si>
  <si>
    <t>Rodjanapradit</t>
  </si>
  <si>
    <t>Katemolee Rodjanapradit</t>
  </si>
  <si>
    <t>Nichanun</t>
  </si>
  <si>
    <t>Tangchayodom</t>
  </si>
  <si>
    <t>Nichanun Tangchayodom</t>
  </si>
  <si>
    <t>Sureerat</t>
  </si>
  <si>
    <t>Supsomran</t>
  </si>
  <si>
    <t>Sureerat Supsomran</t>
  </si>
  <si>
    <t>Chaithi</t>
  </si>
  <si>
    <t>Arnon Chaithi</t>
  </si>
  <si>
    <t>Supakorn</t>
  </si>
  <si>
    <t>Ekataksin</t>
  </si>
  <si>
    <t>Supakorn Ekataksin</t>
  </si>
  <si>
    <t>Saktawin</t>
  </si>
  <si>
    <t>Sudarat Saktawin</t>
  </si>
  <si>
    <t>Kullanit</t>
  </si>
  <si>
    <t>Adireglarpwong</t>
  </si>
  <si>
    <t>Kullanit Adireglarpwong</t>
  </si>
  <si>
    <t>Tisla</t>
  </si>
  <si>
    <t>Sarun Tisla</t>
  </si>
  <si>
    <t>Silaloed</t>
  </si>
  <si>
    <t>Sitthiphan Silaloed</t>
  </si>
  <si>
    <t>Nutchanok</t>
  </si>
  <si>
    <t>Paijitjinda</t>
  </si>
  <si>
    <t>Nutchanok Paijitjinda</t>
  </si>
  <si>
    <t>Silasak</t>
  </si>
  <si>
    <t>Parinya Silasak</t>
  </si>
  <si>
    <t>Sarasid</t>
  </si>
  <si>
    <t>Pawina Sarasid</t>
  </si>
  <si>
    <t>Saorong</t>
  </si>
  <si>
    <t>Nannapat Saorong</t>
  </si>
  <si>
    <t>Ruedeemat</t>
  </si>
  <si>
    <t>Chotimatsaya</t>
  </si>
  <si>
    <t>Ruedeemat Chotimatsaya</t>
  </si>
  <si>
    <t>Waswilai</t>
  </si>
  <si>
    <t>Supattra Waswilai</t>
  </si>
  <si>
    <t>Titipa</t>
  </si>
  <si>
    <t>Cheewinchalermchot</t>
  </si>
  <si>
    <t>Titipa Cheewinchalermchot</t>
  </si>
  <si>
    <t>Atiluk</t>
  </si>
  <si>
    <t>Apiwong</t>
  </si>
  <si>
    <t>Atiluk Apiwong</t>
  </si>
  <si>
    <t>Pirachat</t>
  </si>
  <si>
    <t>Benjanukorn</t>
  </si>
  <si>
    <t>Pirachat Benjanukorn</t>
  </si>
  <si>
    <t>Pimpika</t>
  </si>
  <si>
    <t>Chuenchoopol</t>
  </si>
  <si>
    <t>Pimpika Chuenchoopol</t>
  </si>
  <si>
    <t>Sawarin</t>
  </si>
  <si>
    <t>Charoenpak</t>
  </si>
  <si>
    <t>Sawarin Charoenpak</t>
  </si>
  <si>
    <t>Thitikan</t>
  </si>
  <si>
    <t>Bubphachuen</t>
  </si>
  <si>
    <t>Thitikan Bubphachuen</t>
  </si>
  <si>
    <t>Sopan</t>
  </si>
  <si>
    <t>Srikaew</t>
  </si>
  <si>
    <t>Sopan Srikaew</t>
  </si>
  <si>
    <t>Kanokkorn</t>
  </si>
  <si>
    <t>Pradit</t>
  </si>
  <si>
    <t>Kanokkorn Pradit</t>
  </si>
  <si>
    <t>Phoemsakun</t>
  </si>
  <si>
    <t>Phongpradist</t>
  </si>
  <si>
    <t>Phoemsakun Phongpradist</t>
  </si>
  <si>
    <t>Thaweechai</t>
  </si>
  <si>
    <t>Pruthisart</t>
  </si>
  <si>
    <t>Thaweechai Pruthisart</t>
  </si>
  <si>
    <t>Pakawadee</t>
  </si>
  <si>
    <t>Jaroenpanya</t>
  </si>
  <si>
    <t>Pakawadee Jaroenpanya</t>
  </si>
  <si>
    <t>Thanit</t>
  </si>
  <si>
    <t>Atsawakiatkhachon</t>
  </si>
  <si>
    <t>Thanit Atsawakiatkhachon</t>
  </si>
  <si>
    <t>Nitchakarn</t>
  </si>
  <si>
    <t>Akkaraleekul</t>
  </si>
  <si>
    <t>Nitchakarn Akkaraleekul</t>
  </si>
  <si>
    <t>Phacharamon</t>
  </si>
  <si>
    <t>Polrat</t>
  </si>
  <si>
    <t>Phacharamon Polrat</t>
  </si>
  <si>
    <t>Phacharaphan</t>
  </si>
  <si>
    <t>Daowadueng</t>
  </si>
  <si>
    <t>Phacharaphan Daowadueng</t>
  </si>
  <si>
    <t>Chawika</t>
  </si>
  <si>
    <t>Suvachittanont</t>
  </si>
  <si>
    <t>Chawika Suvachittanont</t>
  </si>
  <si>
    <t>Prapathon</t>
  </si>
  <si>
    <t>Juksuwatchara</t>
  </si>
  <si>
    <t>Prapathon Juksuwatchara</t>
  </si>
  <si>
    <t>Namphon</t>
  </si>
  <si>
    <t>Namphon Sirikul</t>
  </si>
  <si>
    <t>Rungsaeng</t>
  </si>
  <si>
    <t>Thanawan Rungsaeng</t>
  </si>
  <si>
    <t>Thunyalak</t>
  </si>
  <si>
    <t>Kaewchiangwang</t>
  </si>
  <si>
    <t>Thunyalak Kaewchiangwang</t>
  </si>
  <si>
    <t>Dusitta</t>
  </si>
  <si>
    <t>Porananon</t>
  </si>
  <si>
    <t>Dusitta Porananon</t>
  </si>
  <si>
    <t>Sirada</t>
  </si>
  <si>
    <t>Taveekitrat</t>
  </si>
  <si>
    <t>Sirada Taveekitrat</t>
  </si>
  <si>
    <t>Aimmika</t>
  </si>
  <si>
    <t>Norsakulkom</t>
  </si>
  <si>
    <t>Aimmika Norsakulkom</t>
  </si>
  <si>
    <t>Wut</t>
  </si>
  <si>
    <t>Wattanakul</t>
  </si>
  <si>
    <t>Wut Wattanakul</t>
  </si>
  <si>
    <t>Touchton</t>
  </si>
  <si>
    <t>Jansamakoaw</t>
  </si>
  <si>
    <t>Touchton Jansamakoaw</t>
  </si>
  <si>
    <t>Narisara</t>
  </si>
  <si>
    <t>Phumsawarng</t>
  </si>
  <si>
    <t>Narisara Phumsawarng</t>
  </si>
  <si>
    <t>Chayapon</t>
  </si>
  <si>
    <t>Singkiporn</t>
  </si>
  <si>
    <t>Chayapon Singkiporn</t>
  </si>
  <si>
    <t>Wittawat</t>
  </si>
  <si>
    <t>Indraram</t>
  </si>
  <si>
    <t>Wittawat Indraram</t>
  </si>
  <si>
    <t>Chumniwatesa</t>
  </si>
  <si>
    <t>Wongsakorn Chumniwatesa</t>
  </si>
  <si>
    <t>Wintachai</t>
  </si>
  <si>
    <t>Thanarat Wintachai</t>
  </si>
  <si>
    <t>Naritsara</t>
  </si>
  <si>
    <t>Pumkaew</t>
  </si>
  <si>
    <t>Naritsara Pumkaew</t>
  </si>
  <si>
    <t>Onuma</t>
  </si>
  <si>
    <t>Noomnoon</t>
  </si>
  <si>
    <t>Onuma Noomnoon</t>
  </si>
  <si>
    <t>Rakkha</t>
  </si>
  <si>
    <t>Suchada Rakkha</t>
  </si>
  <si>
    <t>Jiratip</t>
  </si>
  <si>
    <t>Pimpa</t>
  </si>
  <si>
    <t>Jiratip Pimpa</t>
  </si>
  <si>
    <t>Jakkree</t>
  </si>
  <si>
    <t>Thongkhundam</t>
  </si>
  <si>
    <t>Jakkree Thongkhundam</t>
  </si>
  <si>
    <t>Teerawut</t>
  </si>
  <si>
    <t>Prueksavanich</t>
  </si>
  <si>
    <t>Teerawut Prueksavanich</t>
  </si>
  <si>
    <t>Intuch</t>
  </si>
  <si>
    <t>Khan-you</t>
  </si>
  <si>
    <t>Intuch Khan-you</t>
  </si>
  <si>
    <t>Sakonlawat</t>
  </si>
  <si>
    <t>Sundam</t>
  </si>
  <si>
    <t>Sakonlawat Sundam</t>
  </si>
  <si>
    <t>Chaiyawat</t>
  </si>
  <si>
    <t>Sripornsawan</t>
  </si>
  <si>
    <t>Chaiyawat Sripornsawan</t>
  </si>
  <si>
    <t>Natara</t>
  </si>
  <si>
    <t>Wachira-anun</t>
  </si>
  <si>
    <t>Natara Wachira-anun</t>
  </si>
  <si>
    <t>Kanin</t>
  </si>
  <si>
    <t>Wongsaengkham</t>
  </si>
  <si>
    <t>Kanin Wongsaengkham</t>
  </si>
  <si>
    <t>Saesiw</t>
  </si>
  <si>
    <t>Nicha Saesiw</t>
  </si>
  <si>
    <t>Pastatorn</t>
  </si>
  <si>
    <t>Juengpanich</t>
  </si>
  <si>
    <t>Pastatorn Juengpanich</t>
  </si>
  <si>
    <t>Waritsanan</t>
  </si>
  <si>
    <t>laopichaiwong</t>
  </si>
  <si>
    <t>Waritsanan laopichaiwong</t>
  </si>
  <si>
    <t>Mathinee</t>
  </si>
  <si>
    <t>Saripant</t>
  </si>
  <si>
    <t>Mathinee Saripant</t>
  </si>
  <si>
    <t>Parichat</t>
  </si>
  <si>
    <t>Tengrattanaphaiboon</t>
  </si>
  <si>
    <t>Parichat Tengrattanaphaiboon</t>
  </si>
  <si>
    <t>Pornkamol</t>
  </si>
  <si>
    <t>Tonsakulwong</t>
  </si>
  <si>
    <t>Pornkamol Tonsakulwong</t>
  </si>
  <si>
    <t>Cheewarat</t>
  </si>
  <si>
    <t>Somjit</t>
  </si>
  <si>
    <t>Cheewarat Somjit</t>
  </si>
  <si>
    <t>Nutarika</t>
  </si>
  <si>
    <t>Muangpho</t>
  </si>
  <si>
    <t>Nutarika Muangpho</t>
  </si>
  <si>
    <t>Wisuttida</t>
  </si>
  <si>
    <t>Hengsuwan</t>
  </si>
  <si>
    <t>Wisuttida Hengsuwan</t>
  </si>
  <si>
    <t>Pattanakarnvijit</t>
  </si>
  <si>
    <t>Sirima Pattanakarnvijit</t>
  </si>
  <si>
    <t>Raviphan</t>
  </si>
  <si>
    <t>Medej</t>
  </si>
  <si>
    <t>Raviphan Medej</t>
  </si>
  <si>
    <t>Kanyaporn</t>
  </si>
  <si>
    <t>Klinprean</t>
  </si>
  <si>
    <t>Kanyaporn Klinprean</t>
  </si>
  <si>
    <t>Sutida</t>
  </si>
  <si>
    <t>Dutiyabodhi</t>
  </si>
  <si>
    <t>Sutida Dutiyabodhi</t>
  </si>
  <si>
    <t>Niratcha</t>
  </si>
  <si>
    <t>Tantivorrasakulvej</t>
  </si>
  <si>
    <t>Niratcha Tantivorrasakulvej</t>
  </si>
  <si>
    <t>Pakcamon</t>
  </si>
  <si>
    <t>Gridhirunthavi</t>
  </si>
  <si>
    <t>Pakcamon Gridhirunthavi</t>
  </si>
  <si>
    <t>Pawarisar</t>
  </si>
  <si>
    <t>Samanthong</t>
  </si>
  <si>
    <t>Pawarisar Samanthong</t>
  </si>
  <si>
    <t>Kritlada</t>
  </si>
  <si>
    <t>Thapanapark</t>
  </si>
  <si>
    <t>Kritlada Thapanapark</t>
  </si>
  <si>
    <t>Wisanee</t>
  </si>
  <si>
    <t>Nateeviriyaworakul</t>
  </si>
  <si>
    <t>Wisanee Nateeviriyaworakul</t>
  </si>
  <si>
    <t>Kramsiri</t>
  </si>
  <si>
    <t>Suthasinee Kramsiri</t>
  </si>
  <si>
    <t>Khunta</t>
  </si>
  <si>
    <t>Alisa Khunta</t>
  </si>
  <si>
    <t>Josiah</t>
  </si>
  <si>
    <t>Taylor</t>
  </si>
  <si>
    <t>Josiah Taylor</t>
  </si>
  <si>
    <t>Sarawarin</t>
  </si>
  <si>
    <t>Singhara Na Ayudhya</t>
  </si>
  <si>
    <t>Sarawarin Singhara Na Ayudhya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</si>
</sst>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1">
    <numFmt numFmtId="164" formatCode="mmmm yyyy"/>
    <numFmt numFmtId="165" formatCode="d mmmm yyyy"/>
    <numFmt numFmtId="166" formatCode="dmmmyyyy"/>
    <numFmt numFmtId="167" formatCode="000-000-0000"/>
    <numFmt numFmtId="168" formatCode="0-0000-00000-00-0"/>
    <numFmt numFmtId="169" formatCode="dd&quot;-&quot;mmm&quot;-&quot;yy"/>
    <numFmt numFmtId="170" formatCode="d&quot;-&quot;mmm&quot;-&quot;yy"/>
    <numFmt numFmtId="171" formatCode="d&quot; &quot;mmm&quot; &quot;yyyy"/>
    <numFmt numFmtId="172" formatCode="dmmmyy"/>
    <numFmt numFmtId="173" formatCode="dd-mmm-yy"/>
    <numFmt numFmtId="174" formatCode="d-mmm-yy"/>
    <numFmt numFmtId="175" formatCode="d mmm yy"/>
    <numFmt numFmtId="176" formatCode="d-mmm-yyyy"/>
    <numFmt numFmtId="177" formatCode="d/mmm/yyyy"/>
    <numFmt numFmtId="178" formatCode="dd-mmmm-yyyy"/>
    <numFmt numFmtId="179" formatCode="d&quot; &quot;mmmm&quot; &quot;yyyy"/>
    <numFmt numFmtId="180" formatCode="dd&quot; &quot;mmm&quot; &quot;yyyy"/>
    <numFmt numFmtId="181" formatCode="d mmm yyyy"/>
    <numFmt numFmtId="182" formatCode="dmmmm yyyy"/>
    <numFmt numFmtId="183" formatCode="d-mmmm-yyyy"/>
    <numFmt numFmtId="184" formatCode="d mmmmyyyy"/>
  </numFmts>
  <fonts count="47">
    <font>
      <sz val="10.0"/>
      <color rgb="FF000000"/>
      <name val="Arial"/>
    </font>
    <font>
      <b/>
      <sz val="24.0"/>
    </font>
    <font/>
    <font>
      <b/>
    </font>
    <font>
      <sz val="12.0"/>
      <name val="Calibri"/>
    </font>
    <font>
      <sz val="11.0"/>
      <color rgb="FF000000"/>
      <name val="Calibri"/>
    </font>
    <font>
      <b/>
      <sz val="24.0"/>
      <color rgb="FF000000"/>
      <name val="Calibri"/>
    </font>
    <font>
      <name val="Calibri"/>
    </font>
    <font>
      <sz val="12.0"/>
      <color rgb="FF000000"/>
      <name val="Calibri"/>
    </font>
    <font>
      <b/>
      <sz val="12.0"/>
      <color rgb="FF000000"/>
      <name val="Calibri"/>
    </font>
    <font>
      <sz val="12.0"/>
      <color rgb="FF0000FF"/>
      <name val="Calibri"/>
    </font>
    <font>
      <sz val="25.0"/>
      <color rgb="FFFF0000"/>
    </font>
    <font>
      <b/>
      <name val="Calibri"/>
    </font>
    <font>
      <b/>
      <sz val="11.0"/>
      <color rgb="FF000000"/>
      <name val="Calibri"/>
    </font>
    <font>
      <sz val="11.0"/>
      <name val="Calibri"/>
    </font>
    <font>
      <sz val="11.0"/>
      <color rgb="FF0000FF"/>
      <name val="Calibri"/>
    </font>
    <font>
      <sz val="11.0"/>
    </font>
    <font>
      <color rgb="FF0000FF"/>
    </font>
    <font>
      <color rgb="FF0000FF"/>
      <name val="Calibri"/>
    </font>
    <font>
      <b/>
      <sz val="11.0"/>
      <color rgb="FF0000FF"/>
      <name val="Calibri"/>
    </font>
    <font>
      <b/>
      <sz val="10.0"/>
      <color rgb="FF000000"/>
      <name val="Calibri"/>
    </font>
    <font>
      <sz val="10.0"/>
      <color rgb="FF0000FF"/>
      <name val="Calibri"/>
    </font>
    <font>
      <color rgb="FF0000FF"/>
      <name val="Arial"/>
    </font>
    <font>
      <b/>
      <sz val="13.0"/>
      <color rgb="FF000000"/>
      <name val="Calibri"/>
    </font>
    <font>
      <color rgb="FF0000FF"/>
      <name val="Roboto"/>
    </font>
    <font>
      <sz val="10.0"/>
      <color rgb="FF0000FF"/>
    </font>
    <font>
      <sz val="10.0"/>
      <color rgb="FF0000FF"/>
      <name val="Roboto"/>
    </font>
    <font>
      <b/>
      <sz val="15.0"/>
      <color rgb="FF000000"/>
      <name val="Calibri"/>
    </font>
    <font>
      <strike/>
      <sz val="11.0"/>
      <color rgb="FF0000FF"/>
      <name val="Calibri"/>
    </font>
    <font>
      <sz val="10.0"/>
      <color rgb="FF0000FF"/>
      <name val="Arial"/>
    </font>
    <font>
      <b/>
      <sz val="10.0"/>
      <color rgb="FF000000"/>
      <name val="Sarabun"/>
    </font>
    <font>
      <sz val="10.0"/>
      <name val="Sarabun"/>
    </font>
    <font>
      <sz val="10.0"/>
      <color rgb="FF000000"/>
      <name val="Sarabun"/>
    </font>
    <font>
      <sz val="10.0"/>
      <color rgb="FF0000FF"/>
      <name val="Sarabun"/>
    </font>
    <font>
      <b/>
      <sz val="11.0"/>
      <color rgb="FF000000"/>
      <name val="Sarabun"/>
    </font>
    <font>
      <sz val="11.0"/>
      <name val="Sarabun"/>
    </font>
    <font>
      <sz val="11.0"/>
      <color rgb="FF000000"/>
      <name val="Sarabun"/>
    </font>
    <font>
      <sz val="11.0"/>
      <color rgb="FF0000FF"/>
      <name val="Sarabun"/>
    </font>
    <font>
      <b/>
      <color rgb="FF0000FF"/>
      <name val="Calibri"/>
    </font>
    <font>
      <b/>
      <sz val="9.0"/>
      <color rgb="FF0000FF"/>
      <name val="Calibri"/>
    </font>
    <font>
      <b/>
      <sz val="12.0"/>
      <color rgb="FF0000FF"/>
      <name val="Calibri"/>
    </font>
    <font>
      <sz val="12.0"/>
      <color rgb="FFFF0000"/>
      <name val="Calibri"/>
    </font>
    <font>
      <color rgb="FF000000"/>
    </font>
    <font>
      <color rgb="FF000000"/>
      <name val="Calibri"/>
    </font>
    <font>
      <name val="Arial"/>
    </font>
    <font>
      <b/>
      <color rgb="FF0000FF"/>
      <name val="Arial"/>
    </font>
    <font>
      <b/>
      <sz val="9.0"/>
      <color rgb="FF0000FF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CCA677"/>
        <bgColor rgb="FFCCA677"/>
      </patternFill>
    </fill>
    <fill>
      <patternFill patternType="solid">
        <fgColor rgb="FFFFFFFF"/>
        <bgColor rgb="FFFFFFFF"/>
      </patternFill>
    </fill>
    <fill>
      <patternFill patternType="solid">
        <fgColor rgb="FFF8F2EB"/>
        <bgColor rgb="FFF8F2EB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F8F9FA"/>
        <bgColor rgb="FFF8F9FA"/>
      </patternFill>
    </fill>
    <fill>
      <patternFill patternType="solid">
        <fgColor rgb="FFD5A6BD"/>
        <bgColor rgb="FFD5A6BD"/>
      </patternFill>
    </fill>
    <fill>
      <patternFill patternType="solid">
        <fgColor rgb="FF0000FF"/>
        <bgColor rgb="FF0000FF"/>
      </patternFill>
    </fill>
    <fill>
      <patternFill patternType="solid">
        <fgColor rgb="FF000000"/>
        <bgColor rgb="FF000000"/>
      </patternFill>
    </fill>
    <fill>
      <patternFill patternType="solid">
        <fgColor rgb="FFB6D7A8"/>
        <bgColor rgb="FFB6D7A8"/>
      </patternFill>
    </fill>
    <fill>
      <patternFill patternType="solid">
        <fgColor rgb="FF434343"/>
        <bgColor rgb="FF434343"/>
      </patternFill>
    </fill>
  </fills>
  <borders count="12">
    <border/>
    <border>
      <right/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2" fontId="2" numFmtId="0" xfId="0" applyAlignment="1" applyFill="1" applyFont="1">
      <alignment horizontal="center" readingOrder="0" vertical="center"/>
    </xf>
    <xf borderId="0" fillId="2" fontId="2" numFmtId="0" xfId="0" applyAlignment="1" applyFont="1">
      <alignment horizontal="left" readingOrder="0" vertical="center"/>
    </xf>
    <xf borderId="0" fillId="2" fontId="3" numFmtId="164" xfId="0" applyAlignment="1" applyFont="1" applyNumberFormat="1">
      <alignment horizontal="center" readingOrder="0" vertical="center"/>
    </xf>
    <xf borderId="0" fillId="2" fontId="2" numFmtId="0" xfId="0" applyAlignment="1" applyFont="1">
      <alignment horizontal="right" readingOrder="0" vertical="center"/>
    </xf>
    <xf borderId="0" fillId="2" fontId="2" numFmtId="0" xfId="0" applyAlignment="1" applyFont="1">
      <alignment horizontal="right" readingOrder="0" shrinkToFit="0" vertical="center" wrapText="1"/>
    </xf>
    <xf borderId="0" fillId="2" fontId="2" numFmtId="0" xfId="0" applyAlignment="1" applyFont="1">
      <alignment horizontal="center" vertical="center"/>
    </xf>
    <xf borderId="0" fillId="2" fontId="4" numFmtId="0" xfId="0" applyAlignment="1" applyFont="1">
      <alignment horizontal="center" readingOrder="0" shrinkToFit="0" vertical="center" wrapText="1"/>
    </xf>
    <xf borderId="0" fillId="2" fontId="4" numFmtId="0" xfId="0" applyAlignment="1" applyFont="1">
      <alignment readingOrder="0" vertical="center"/>
    </xf>
    <xf borderId="0" fillId="3" fontId="2" numFmtId="0" xfId="0" applyAlignment="1" applyFill="1" applyFont="1">
      <alignment horizontal="center" readingOrder="0" vertical="center"/>
    </xf>
    <xf borderId="0" fillId="3" fontId="2" numFmtId="0" xfId="0" applyAlignment="1" applyFont="1">
      <alignment horizontal="center" readingOrder="0" shrinkToFit="0" vertical="center" wrapText="1"/>
    </xf>
    <xf borderId="0" fillId="4" fontId="2" numFmtId="0" xfId="0" applyAlignment="1" applyFill="1" applyFont="1">
      <alignment horizontal="center" readingOrder="0" vertical="center"/>
    </xf>
    <xf borderId="0" fillId="4" fontId="2" numFmtId="0" xfId="0" applyAlignment="1" applyFont="1">
      <alignment horizontal="left" vertical="center"/>
    </xf>
    <xf borderId="0" fillId="4" fontId="2" numFmtId="0" xfId="0" applyAlignment="1" applyFont="1">
      <alignment horizontal="right" readingOrder="0" vertical="center"/>
    </xf>
    <xf borderId="0" fillId="4" fontId="2" numFmtId="0" xfId="0" applyAlignment="1" applyFont="1">
      <alignment horizontal="right" vertical="center"/>
    </xf>
    <xf borderId="0" fillId="4" fontId="5" numFmtId="0" xfId="0" applyAlignment="1" applyFont="1">
      <alignment horizontal="center" vertical="center"/>
    </xf>
    <xf borderId="0" fillId="4" fontId="4" numFmtId="0" xfId="0" applyAlignment="1" applyFont="1">
      <alignment readingOrder="0" vertical="center"/>
    </xf>
    <xf borderId="0" fillId="4" fontId="2" numFmtId="0" xfId="0" applyAlignment="1" applyFont="1">
      <alignment vertical="center"/>
    </xf>
    <xf borderId="0" fillId="3" fontId="2" numFmtId="0" xfId="0" applyAlignment="1" applyFont="1">
      <alignment horizontal="left" vertical="center"/>
    </xf>
    <xf borderId="0" fillId="3" fontId="2" numFmtId="0" xfId="0" applyAlignment="1" applyFont="1">
      <alignment horizontal="right" readingOrder="0" vertical="center"/>
    </xf>
    <xf borderId="0" fillId="3" fontId="2" numFmtId="0" xfId="0" applyAlignment="1" applyFont="1">
      <alignment horizontal="right" vertical="center"/>
    </xf>
    <xf borderId="0" fillId="3" fontId="5" numFmtId="0" xfId="0" applyAlignment="1" applyFont="1">
      <alignment horizontal="center" vertical="center"/>
    </xf>
    <xf borderId="0" fillId="3" fontId="4" numFmtId="0" xfId="0" applyAlignment="1" applyFont="1">
      <alignment readingOrder="0" vertical="center"/>
    </xf>
    <xf borderId="0" fillId="3" fontId="2" numFmtId="0" xfId="0" applyAlignment="1" applyFont="1">
      <alignment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right" vertical="center"/>
    </xf>
    <xf borderId="0" fillId="5" fontId="6" numFmtId="0" xfId="0" applyAlignment="1" applyFill="1" applyFont="1">
      <alignment horizontal="center" readingOrder="0" vertical="center"/>
    </xf>
    <xf borderId="0" fillId="0" fontId="7" numFmtId="0" xfId="0" applyAlignment="1" applyFont="1">
      <alignment vertical="center"/>
    </xf>
    <xf borderId="1" fillId="3" fontId="8" numFmtId="0" xfId="0" applyAlignment="1" applyBorder="1" applyFont="1">
      <alignment horizontal="left" readingOrder="0" shrinkToFit="0" vertical="center" wrapText="0"/>
    </xf>
    <xf borderId="1" fillId="0" fontId="4" numFmtId="0" xfId="0" applyAlignment="1" applyBorder="1" applyFont="1">
      <alignment vertical="center"/>
    </xf>
    <xf borderId="2" fillId="5" fontId="9" numFmtId="0" xfId="0" applyAlignment="1" applyBorder="1" applyFont="1">
      <alignment horizontal="center" vertical="center"/>
    </xf>
    <xf borderId="3" fillId="5" fontId="9" numFmtId="0" xfId="0" applyAlignment="1" applyBorder="1" applyFont="1">
      <alignment horizontal="center" vertical="center"/>
    </xf>
    <xf borderId="3" fillId="5" fontId="9" numFmtId="0" xfId="0" applyAlignment="1" applyBorder="1" applyFont="1">
      <alignment horizontal="center" shrinkToFit="0" vertical="center" wrapText="1"/>
    </xf>
    <xf borderId="4" fillId="5" fontId="9" numFmtId="0" xfId="0" applyAlignment="1" applyBorder="1" applyFont="1">
      <alignment horizontal="center" vertical="center"/>
    </xf>
    <xf borderId="5" fillId="0" fontId="2" numFmtId="0" xfId="0" applyBorder="1" applyFont="1"/>
    <xf borderId="0" fillId="0" fontId="7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6" fillId="0" fontId="2" numFmtId="0" xfId="0" applyBorder="1" applyFont="1"/>
    <xf borderId="5" fillId="5" fontId="9" numFmtId="0" xfId="0" applyAlignment="1" applyBorder="1" applyFont="1">
      <alignment horizontal="center" vertical="center"/>
    </xf>
    <xf borderId="5" fillId="5" fontId="9" numFmtId="0" xfId="0" applyAlignment="1" applyBorder="1" applyFont="1">
      <alignment horizontal="right" shrinkToFit="0" vertical="center" wrapText="1"/>
    </xf>
    <xf borderId="0" fillId="6" fontId="4" numFmtId="0" xfId="0" applyAlignment="1" applyFill="1" applyFont="1">
      <alignment horizontal="center" readingOrder="0" shrinkToFit="0" vertical="center" wrapText="1"/>
    </xf>
    <xf borderId="0" fillId="6" fontId="4" numFmtId="0" xfId="0" applyAlignment="1" applyFont="1">
      <alignment readingOrder="0" vertical="center"/>
    </xf>
    <xf borderId="6" fillId="0" fontId="10" numFmtId="0" xfId="0" applyAlignment="1" applyBorder="1" applyFont="1">
      <alignment horizontal="center" vertical="center"/>
    </xf>
    <xf borderId="5" fillId="0" fontId="10" numFmtId="0" xfId="0" applyAlignment="1" applyBorder="1" applyFont="1">
      <alignment horizontal="center" readingOrder="0" vertical="center"/>
    </xf>
    <xf borderId="5" fillId="0" fontId="10" numFmtId="0" xfId="0" applyAlignment="1" applyBorder="1" applyFont="1">
      <alignment vertical="center"/>
    </xf>
    <xf borderId="5" fillId="0" fontId="10" numFmtId="0" xfId="0" applyAlignment="1" applyBorder="1" applyFont="1">
      <alignment horizontal="left" readingOrder="0" shrinkToFit="0" vertical="center" wrapText="1"/>
    </xf>
    <xf borderId="5" fillId="3" fontId="8" numFmtId="0" xfId="0" applyAlignment="1" applyBorder="1" applyFont="1">
      <alignment horizontal="right" vertical="center"/>
    </xf>
    <xf borderId="0" fillId="0" fontId="4" numFmtId="0" xfId="0" applyAlignment="1" applyFont="1">
      <alignment readingOrder="0" vertical="center"/>
    </xf>
    <xf borderId="0" fillId="0" fontId="2" numFmtId="0" xfId="0" applyAlignment="1" applyFont="1">
      <alignment shrinkToFit="0" wrapText="1"/>
    </xf>
    <xf borderId="0" fillId="7" fontId="11" numFmtId="0" xfId="0" applyAlignment="1" applyFill="1" applyFont="1">
      <alignment horizontal="center" readingOrder="0" vertical="center"/>
    </xf>
    <xf borderId="6" fillId="0" fontId="10" numFmtId="0" xfId="0" applyAlignment="1" applyBorder="1" applyFont="1">
      <alignment horizontal="center" readingOrder="0" vertical="center"/>
    </xf>
    <xf borderId="7" fillId="0" fontId="10" numFmtId="0" xfId="0" applyAlignment="1" applyBorder="1" applyFont="1">
      <alignment horizontal="center" readingOrder="0" vertical="center"/>
    </xf>
    <xf borderId="7" fillId="0" fontId="10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horizontal="center" readingOrder="0" vertical="center"/>
    </xf>
    <xf borderId="6" fillId="5" fontId="9" numFmtId="0" xfId="0" applyAlignment="1" applyBorder="1" applyFont="1">
      <alignment horizontal="center" vertical="center"/>
    </xf>
    <xf borderId="5" fillId="5" fontId="9" numFmtId="0" xfId="0" applyAlignment="1" applyBorder="1" applyFont="1">
      <alignment horizontal="center" vertical="center"/>
    </xf>
    <xf borderId="5" fillId="5" fontId="9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vertical="center"/>
    </xf>
    <xf borderId="7" fillId="0" fontId="10" numFmtId="165" xfId="0" applyAlignment="1" applyBorder="1" applyFont="1" applyNumberFormat="1">
      <alignment horizontal="left" readingOrder="0" shrinkToFit="0" vertical="center" wrapText="1"/>
    </xf>
    <xf borderId="5" fillId="0" fontId="10" numFmtId="166" xfId="0" applyAlignment="1" applyBorder="1" applyFont="1" applyNumberFormat="1">
      <alignment horizontal="left" readingOrder="0" shrinkToFit="0" vertical="center" wrapText="1"/>
    </xf>
    <xf borderId="0" fillId="5" fontId="13" numFmtId="0" xfId="0" applyAlignment="1" applyFont="1">
      <alignment horizontal="center" readingOrder="0" vertical="top"/>
    </xf>
    <xf borderId="0" fillId="0" fontId="14" numFmtId="0" xfId="0" applyAlignment="1" applyFont="1">
      <alignment vertical="top"/>
    </xf>
    <xf borderId="1" fillId="3" fontId="5" numFmtId="0" xfId="0" applyAlignment="1" applyBorder="1" applyFont="1">
      <alignment horizontal="left" readingOrder="0" shrinkToFit="0" vertical="top" wrapText="0"/>
    </xf>
    <xf borderId="1" fillId="0" fontId="14" numFmtId="0" xfId="0" applyAlignment="1" applyBorder="1" applyFont="1">
      <alignment vertical="top"/>
    </xf>
    <xf borderId="2" fillId="5" fontId="13" numFmtId="0" xfId="0" applyAlignment="1" applyBorder="1" applyFont="1">
      <alignment horizontal="center" vertical="top"/>
    </xf>
    <xf borderId="3" fillId="5" fontId="13" numFmtId="0" xfId="0" applyAlignment="1" applyBorder="1" applyFont="1">
      <alignment horizontal="center" vertical="top"/>
    </xf>
    <xf borderId="3" fillId="5" fontId="13" numFmtId="0" xfId="0" applyAlignment="1" applyBorder="1" applyFont="1">
      <alignment horizontal="center" shrinkToFit="0" vertical="top" wrapText="1"/>
    </xf>
    <xf borderId="4" fillId="5" fontId="13" numFmtId="0" xfId="0" applyAlignment="1" applyBorder="1" applyFont="1">
      <alignment horizontal="center" vertical="top"/>
    </xf>
    <xf borderId="0" fillId="0" fontId="14" numFmtId="0" xfId="0" applyAlignment="1" applyFont="1">
      <alignment horizontal="center" vertical="top"/>
    </xf>
    <xf borderId="6" fillId="5" fontId="13" numFmtId="0" xfId="0" applyAlignment="1" applyBorder="1" applyFont="1">
      <alignment horizontal="center" vertical="top"/>
    </xf>
    <xf borderId="5" fillId="5" fontId="13" numFmtId="0" xfId="0" applyAlignment="1" applyBorder="1" applyFont="1">
      <alignment horizontal="center" vertical="top"/>
    </xf>
    <xf borderId="5" fillId="5" fontId="13" numFmtId="0" xfId="0" applyAlignment="1" applyBorder="1" applyFont="1">
      <alignment horizontal="center" shrinkToFit="0" vertical="top" wrapText="1"/>
    </xf>
    <xf borderId="5" fillId="5" fontId="13" numFmtId="0" xfId="0" applyAlignment="1" applyBorder="1" applyFont="1">
      <alignment horizontal="center" vertical="top"/>
    </xf>
    <xf borderId="5" fillId="5" fontId="13" numFmtId="0" xfId="0" applyAlignment="1" applyBorder="1" applyFont="1">
      <alignment horizontal="right" shrinkToFit="0" vertical="top" wrapText="1"/>
    </xf>
    <xf borderId="0" fillId="6" fontId="14" numFmtId="0" xfId="0" applyAlignment="1" applyFont="1">
      <alignment horizontal="center" readingOrder="0" shrinkToFit="0" vertical="top" wrapText="1"/>
    </xf>
    <xf borderId="0" fillId="6" fontId="14" numFmtId="0" xfId="0" applyAlignment="1" applyFont="1">
      <alignment horizontal="center" readingOrder="0" vertical="top"/>
    </xf>
    <xf borderId="6" fillId="0" fontId="15" numFmtId="0" xfId="0" applyAlignment="1" applyBorder="1" applyFont="1">
      <alignment horizontal="center" readingOrder="0" vertical="top"/>
    </xf>
    <xf borderId="5" fillId="0" fontId="15" numFmtId="0" xfId="0" applyAlignment="1" applyBorder="1" applyFont="1">
      <alignment horizontal="center" readingOrder="0" vertical="top"/>
    </xf>
    <xf borderId="5" fillId="0" fontId="15" numFmtId="0" xfId="0" applyAlignment="1" applyBorder="1" applyFont="1">
      <alignment vertical="top"/>
    </xf>
    <xf borderId="5" fillId="0" fontId="15" numFmtId="0" xfId="0" applyAlignment="1" applyBorder="1" applyFont="1">
      <alignment horizontal="left" readingOrder="0" shrinkToFit="0" vertical="top" wrapText="1"/>
    </xf>
    <xf borderId="5" fillId="3" fontId="5" numFmtId="0" xfId="0" applyAlignment="1" applyBorder="1" applyFont="1">
      <alignment horizontal="right" vertical="top"/>
    </xf>
    <xf borderId="0" fillId="3" fontId="5" numFmtId="0" xfId="0" applyAlignment="1" applyFont="1">
      <alignment horizontal="center" vertical="top"/>
    </xf>
    <xf borderId="0" fillId="0" fontId="14" numFmtId="0" xfId="0" applyAlignment="1" applyFont="1">
      <alignment readingOrder="0" vertical="top"/>
    </xf>
    <xf borderId="0" fillId="0" fontId="16" numFmtId="0" xfId="0" applyAlignment="1" applyFont="1">
      <alignment vertical="top"/>
    </xf>
    <xf borderId="7" fillId="0" fontId="15" numFmtId="0" xfId="0" applyAlignment="1" applyBorder="1" applyFont="1">
      <alignment horizontal="center" readingOrder="0" vertical="top"/>
    </xf>
    <xf borderId="7" fillId="0" fontId="15" numFmtId="0" xfId="0" applyAlignment="1" applyBorder="1" applyFont="1">
      <alignment vertical="top"/>
    </xf>
    <xf borderId="7" fillId="0" fontId="15" numFmtId="0" xfId="0" applyAlignment="1" applyBorder="1" applyFont="1">
      <alignment horizontal="left" readingOrder="0" shrinkToFit="0" vertical="top" wrapText="1"/>
    </xf>
    <xf borderId="7" fillId="3" fontId="5" numFmtId="0" xfId="0" applyAlignment="1" applyBorder="1" applyFont="1">
      <alignment horizontal="right" vertical="top"/>
    </xf>
    <xf borderId="7" fillId="3" fontId="15" numFmtId="0" xfId="0" applyAlignment="1" applyBorder="1" applyFont="1">
      <alignment readingOrder="0"/>
    </xf>
    <xf borderId="0" fillId="5" fontId="13" numFmtId="0" xfId="0" applyAlignment="1" applyFont="1">
      <alignment horizontal="center" vertical="top"/>
    </xf>
    <xf borderId="0" fillId="5" fontId="13" numFmtId="0" xfId="0" applyAlignment="1" applyFont="1">
      <alignment horizontal="center" shrinkToFit="0" vertical="top" wrapText="1"/>
    </xf>
    <xf borderId="0" fillId="5" fontId="13" numFmtId="0" xfId="0" applyAlignment="1" applyFont="1">
      <alignment horizontal="center" vertical="top"/>
    </xf>
    <xf borderId="0" fillId="5" fontId="13" numFmtId="0" xfId="0" applyAlignment="1" applyFont="1">
      <alignment horizontal="right" shrinkToFit="0" vertical="top" wrapText="1"/>
    </xf>
    <xf borderId="0" fillId="0" fontId="15" numFmtId="0" xfId="0" applyAlignment="1" applyFont="1">
      <alignment horizontal="center" readingOrder="0" vertical="top"/>
    </xf>
    <xf borderId="0" fillId="0" fontId="15" numFmtId="0" xfId="0" applyAlignment="1" applyFont="1">
      <alignment vertical="top"/>
    </xf>
    <xf borderId="0" fillId="0" fontId="15" numFmtId="0" xfId="0" applyAlignment="1" applyFont="1">
      <alignment horizontal="left" readingOrder="0" shrinkToFit="0" vertical="top" wrapText="1"/>
    </xf>
    <xf borderId="0" fillId="3" fontId="5" numFmtId="0" xfId="0" applyAlignment="1" applyFont="1">
      <alignment horizontal="right" vertical="top"/>
    </xf>
    <xf borderId="0" fillId="3" fontId="17" numFmtId="0" xfId="0" applyAlignment="1" applyFont="1">
      <alignment horizontal="center" readingOrder="0"/>
    </xf>
    <xf borderId="0" fillId="0" fontId="17" numFmtId="0" xfId="0" applyAlignment="1" applyFont="1">
      <alignment horizontal="center" readingOrder="0"/>
    </xf>
    <xf borderId="0" fillId="0" fontId="15" numFmtId="165" xfId="0" applyAlignment="1" applyFont="1" applyNumberFormat="1">
      <alignment horizontal="left" readingOrder="0" shrinkToFit="0" vertical="top" wrapText="1"/>
    </xf>
    <xf borderId="0" fillId="8" fontId="17" numFmtId="0" xfId="0" applyAlignment="1" applyFill="1" applyFont="1">
      <alignment horizontal="center" readingOrder="0"/>
    </xf>
    <xf borderId="0" fillId="5" fontId="13" numFmtId="0" xfId="0" applyAlignment="1" applyFont="1">
      <alignment horizontal="center" readingOrder="0" vertical="center"/>
    </xf>
    <xf borderId="0" fillId="5" fontId="13" numFmtId="0" xfId="0" applyAlignment="1" applyFont="1">
      <alignment horizontal="center" vertical="center"/>
    </xf>
    <xf borderId="0" fillId="0" fontId="15" numFmtId="0" xfId="0" applyAlignment="1" applyFont="1">
      <alignment horizontal="center" readingOrder="0" vertical="center"/>
    </xf>
    <xf borderId="0" fillId="0" fontId="17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3" fontId="17" numFmtId="0" xfId="0" applyAlignment="1" applyFont="1">
      <alignment horizontal="center" readingOrder="0" vertical="center"/>
    </xf>
    <xf borderId="0" fillId="0" fontId="14" numFmtId="0" xfId="0" applyAlignment="1" applyFont="1">
      <alignment vertical="center"/>
    </xf>
    <xf borderId="1" fillId="3" fontId="5" numFmtId="0" xfId="0" applyAlignment="1" applyBorder="1" applyFont="1">
      <alignment horizontal="left" readingOrder="0" shrinkToFit="0" vertical="center" wrapText="0"/>
    </xf>
    <xf borderId="1" fillId="0" fontId="14" numFmtId="0" xfId="0" applyAlignment="1" applyBorder="1" applyFont="1">
      <alignment vertical="center"/>
    </xf>
    <xf borderId="0" fillId="5" fontId="13" numFmtId="0" xfId="0" applyAlignment="1" applyFont="1">
      <alignment horizontal="center" shrinkToFit="0" vertical="center" wrapText="1"/>
    </xf>
    <xf borderId="0" fillId="5" fontId="13" numFmtId="0" xfId="0" applyAlignment="1" applyFont="1">
      <alignment horizontal="center" vertical="center"/>
    </xf>
    <xf borderId="0" fillId="0" fontId="14" numFmtId="0" xfId="0" applyAlignment="1" applyFont="1">
      <alignment horizontal="center" vertical="center"/>
    </xf>
    <xf borderId="0" fillId="5" fontId="13" numFmtId="0" xfId="0" applyAlignment="1" applyFont="1">
      <alignment horizontal="right" shrinkToFit="0" vertical="center" wrapText="1"/>
    </xf>
    <xf borderId="0" fillId="6" fontId="14" numFmtId="0" xfId="0" applyAlignment="1" applyFont="1">
      <alignment horizontal="center" readingOrder="0" shrinkToFit="0" vertical="center" wrapText="1"/>
    </xf>
    <xf borderId="0" fillId="6" fontId="14" numFmtId="0" xfId="0" applyAlignment="1" applyFont="1">
      <alignment horizontal="center" readingOrder="0" vertical="center"/>
    </xf>
    <xf borderId="0" fillId="0" fontId="15" numFmtId="0" xfId="0" applyAlignment="1" applyFont="1">
      <alignment vertical="center"/>
    </xf>
    <xf borderId="0" fillId="0" fontId="15" numFmtId="0" xfId="0" applyAlignment="1" applyFont="1">
      <alignment horizontal="left" readingOrder="0" shrinkToFit="0" vertical="center" wrapText="1"/>
    </xf>
    <xf borderId="0" fillId="3" fontId="5" numFmtId="0" xfId="0" applyAlignment="1" applyFont="1">
      <alignment horizontal="right" vertical="center"/>
    </xf>
    <xf borderId="0" fillId="0" fontId="14" numFmtId="0" xfId="0" applyAlignment="1" applyFont="1">
      <alignment readingOrder="0" vertical="center"/>
    </xf>
    <xf borderId="0" fillId="0" fontId="16" numFmtId="0" xfId="0" applyAlignment="1" applyFont="1">
      <alignment readingOrder="0" vertical="center"/>
    </xf>
    <xf borderId="0" fillId="0" fontId="15" numFmtId="165" xfId="0" applyAlignment="1" applyFont="1" applyNumberFormat="1">
      <alignment horizontal="left" readingOrder="0" shrinkToFit="0" vertical="center" wrapText="1"/>
    </xf>
    <xf borderId="0" fillId="0" fontId="16" numFmtId="0" xfId="0" applyAlignment="1" applyFont="1">
      <alignment vertical="center"/>
    </xf>
    <xf borderId="0" fillId="0" fontId="7" numFmtId="0" xfId="0" applyAlignment="1" applyFont="1">
      <alignment readingOrder="0" vertical="center"/>
    </xf>
    <xf borderId="0" fillId="0" fontId="7" numFmtId="49" xfId="0" applyAlignment="1" applyFont="1" applyNumberFormat="1">
      <alignment vertical="center"/>
    </xf>
    <xf borderId="0" fillId="0" fontId="18" numFmtId="0" xfId="0" applyAlignment="1" applyFont="1">
      <alignment horizontal="center" readingOrder="0"/>
    </xf>
    <xf borderId="0" fillId="0" fontId="2" numFmtId="49" xfId="0" applyAlignment="1" applyFont="1" applyNumberFormat="1">
      <alignment vertical="center"/>
    </xf>
    <xf borderId="0" fillId="0" fontId="18" numFmtId="0" xfId="0" applyAlignment="1" applyFont="1">
      <alignment horizontal="center" readingOrder="0" vertical="center"/>
    </xf>
    <xf borderId="0" fillId="0" fontId="2" numFmtId="49" xfId="0" applyAlignment="1" applyFont="1" applyNumberFormat="1">
      <alignment readingOrder="0" vertical="center"/>
    </xf>
    <xf borderId="0" fillId="3" fontId="18" numFmtId="0" xfId="0" applyAlignment="1" applyFont="1">
      <alignment horizontal="center" readingOrder="0"/>
    </xf>
    <xf borderId="0" fillId="3" fontId="18" numFmtId="0" xfId="0" applyAlignment="1" applyFont="1">
      <alignment horizontal="center" readingOrder="0" vertical="center"/>
    </xf>
    <xf borderId="0" fillId="0" fontId="19" numFmtId="0" xfId="0" applyAlignment="1" applyFont="1">
      <alignment horizontal="center" readingOrder="0" vertical="center"/>
    </xf>
    <xf borderId="0" fillId="3" fontId="19" numFmtId="0" xfId="0" applyAlignment="1" applyFont="1">
      <alignment horizontal="right" vertical="center"/>
    </xf>
    <xf borderId="0" fillId="5" fontId="20" numFmtId="0" xfId="0" applyAlignment="1" applyFont="1">
      <alignment horizontal="center" vertical="center"/>
    </xf>
    <xf borderId="0" fillId="0" fontId="21" numFmtId="0" xfId="0" applyAlignment="1" applyFont="1">
      <alignment horizontal="center" readingOrder="0" vertical="center"/>
    </xf>
    <xf borderId="0" fillId="0" fontId="21" numFmtId="0" xfId="0" applyAlignment="1" applyFont="1">
      <alignment horizontal="center" readingOrder="0"/>
    </xf>
    <xf borderId="0" fillId="3" fontId="21" numFmtId="0" xfId="0" applyAlignment="1" applyFont="1">
      <alignment horizontal="center" readingOrder="0"/>
    </xf>
    <xf borderId="0" fillId="3" fontId="21" numFmtId="0" xfId="0" applyAlignment="1" applyFont="1">
      <alignment horizontal="center" readingOrder="0" vertical="center"/>
    </xf>
    <xf borderId="0" fillId="0" fontId="2" numFmtId="1" xfId="0" applyFont="1" applyNumberFormat="1"/>
    <xf borderId="0" fillId="0" fontId="2" numFmtId="165" xfId="0" applyFont="1" applyNumberFormat="1"/>
    <xf borderId="0" fillId="0" fontId="2" numFmtId="14" xfId="0" applyFont="1" applyNumberFormat="1"/>
    <xf borderId="0" fillId="0" fontId="2" numFmtId="49" xfId="0" applyFont="1" applyNumberFormat="1"/>
    <xf borderId="0" fillId="0" fontId="2" numFmtId="167" xfId="0" applyFont="1" applyNumberFormat="1"/>
    <xf borderId="0" fillId="0" fontId="2" numFmtId="168" xfId="0" applyFont="1" applyNumberFormat="1"/>
    <xf borderId="0" fillId="0" fontId="2" numFmtId="169" xfId="0" applyFont="1" applyNumberFormat="1"/>
    <xf borderId="0" fillId="0" fontId="2" numFmtId="170" xfId="0" applyFont="1" applyNumberFormat="1"/>
    <xf borderId="0" fillId="0" fontId="2" numFmtId="166" xfId="0" applyFont="1" applyNumberFormat="1"/>
    <xf borderId="0" fillId="0" fontId="2" numFmtId="171" xfId="0" applyFont="1" applyNumberFormat="1"/>
    <xf borderId="0" fillId="0" fontId="2" numFmtId="172" xfId="0" applyFont="1" applyNumberFormat="1"/>
    <xf borderId="0" fillId="0" fontId="2" numFmtId="173" xfId="0" applyFont="1" applyNumberFormat="1"/>
    <xf borderId="0" fillId="0" fontId="2" numFmtId="174" xfId="0" applyFont="1" applyNumberFormat="1"/>
    <xf borderId="0" fillId="0" fontId="2" numFmtId="175" xfId="0" applyFont="1" applyNumberFormat="1"/>
    <xf borderId="0" fillId="0" fontId="2" numFmtId="176" xfId="0" applyFont="1" applyNumberFormat="1"/>
    <xf borderId="0" fillId="0" fontId="2" numFmtId="177" xfId="0" applyFont="1" applyNumberFormat="1"/>
    <xf borderId="0" fillId="0" fontId="2" numFmtId="178" xfId="0" applyFont="1" applyNumberFormat="1"/>
    <xf borderId="0" fillId="0" fontId="2" numFmtId="179" xfId="0" applyFont="1" applyNumberFormat="1"/>
    <xf borderId="0" fillId="0" fontId="2" numFmtId="164" xfId="0" applyFont="1" applyNumberFormat="1"/>
    <xf borderId="0" fillId="0" fontId="2" numFmtId="1" xfId="0" applyFont="1" applyNumberFormat="1"/>
    <xf borderId="0" fillId="0" fontId="2" numFmtId="180" xfId="0" applyFont="1" applyNumberFormat="1"/>
    <xf borderId="0" fillId="0" fontId="2" numFmtId="181" xfId="0" applyFont="1" applyNumberFormat="1"/>
    <xf borderId="0" fillId="0" fontId="2" numFmtId="182" xfId="0" applyFont="1" applyNumberFormat="1"/>
    <xf borderId="0" fillId="0" fontId="2" numFmtId="183" xfId="0" applyFont="1" applyNumberFormat="1"/>
    <xf borderId="0" fillId="0" fontId="7" numFmtId="0" xfId="0" applyFont="1"/>
    <xf borderId="0" fillId="5" fontId="13" numFmtId="0" xfId="0" applyAlignment="1" applyFont="1">
      <alignment horizontal="left" vertical="center"/>
    </xf>
    <xf borderId="0" fillId="0" fontId="15" numFmtId="0" xfId="0" applyAlignment="1" applyFont="1">
      <alignment horizontal="left" vertical="center"/>
    </xf>
    <xf borderId="0" fillId="0" fontId="22" numFmtId="0" xfId="0" applyAlignment="1" applyFont="1">
      <alignment horizontal="center" readingOrder="0"/>
    </xf>
    <xf borderId="0" fillId="0" fontId="15" numFmtId="0" xfId="0" applyAlignment="1" applyFont="1">
      <alignment horizontal="left"/>
    </xf>
    <xf borderId="0" fillId="3" fontId="5" numFmtId="0" xfId="0" applyAlignment="1" applyFont="1">
      <alignment horizontal="right"/>
    </xf>
    <xf borderId="0" fillId="3" fontId="5" numFmtId="0" xfId="0" applyAlignment="1" applyFont="1">
      <alignment horizontal="center"/>
    </xf>
    <xf borderId="0" fillId="0" fontId="14" numFmtId="0" xfId="0" applyFont="1"/>
    <xf borderId="0" fillId="0" fontId="17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5" numFmtId="184" xfId="0" applyAlignment="1" applyFont="1" applyNumberFormat="1">
      <alignment horizontal="left" readingOrder="0" shrinkToFit="0" vertical="center" wrapText="1"/>
    </xf>
    <xf borderId="0" fillId="0" fontId="22" numFmtId="0" xfId="0" applyAlignment="1" applyFont="1">
      <alignment horizontal="center" readingOrder="0"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readingOrder="0" vertical="center"/>
    </xf>
    <xf borderId="0" fillId="0" fontId="14" numFmtId="0" xfId="0" applyAlignment="1" applyFont="1">
      <alignment vertical="center"/>
    </xf>
    <xf borderId="0" fillId="0" fontId="18" numFmtId="165" xfId="0" applyAlignment="1" applyFont="1" applyNumberFormat="1">
      <alignment horizontal="left" readingOrder="0" vertical="center"/>
    </xf>
    <xf borderId="0" fillId="5" fontId="23" numFmtId="0" xfId="0" applyAlignment="1" applyFont="1">
      <alignment horizontal="center" readingOrder="0" vertical="center"/>
    </xf>
    <xf borderId="0" fillId="5" fontId="13" numFmtId="0" xfId="0" applyAlignment="1" applyFont="1">
      <alignment horizontal="center" shrinkToFit="0" vertical="center" wrapText="1"/>
    </xf>
    <xf borderId="0" fillId="9" fontId="24" numFmtId="0" xfId="0" applyAlignment="1" applyFill="1" applyFont="1">
      <alignment horizontal="center" readingOrder="0" shrinkToFit="0" vertical="center" wrapText="0"/>
    </xf>
    <xf borderId="0" fillId="3" fontId="24" numFmtId="0" xfId="0" applyAlignment="1" applyFont="1">
      <alignment horizontal="center" readingOrder="0" shrinkToFit="0" vertical="center" wrapText="0"/>
    </xf>
    <xf borderId="0" fillId="0" fontId="25" numFmtId="0" xfId="0" applyAlignment="1" applyFont="1">
      <alignment horizontal="center" readingOrder="0" vertical="center"/>
    </xf>
    <xf borderId="0" fillId="3" fontId="15" numFmtId="165" xfId="0" applyAlignment="1" applyFont="1" applyNumberFormat="1">
      <alignment horizontal="left" readingOrder="0" shrinkToFit="0" vertical="center" wrapText="1"/>
    </xf>
    <xf borderId="0" fillId="3" fontId="26" numFmtId="0" xfId="0" applyAlignment="1" applyFont="1">
      <alignment horizontal="center" shrinkToFit="0" vertical="center" wrapText="0"/>
    </xf>
    <xf borderId="0" fillId="9" fontId="26" numFmtId="0" xfId="0" applyAlignment="1" applyFont="1">
      <alignment horizontal="center" shrinkToFit="0" vertical="center" wrapText="0"/>
    </xf>
    <xf borderId="0" fillId="9" fontId="26" numFmtId="0" xfId="0" applyAlignment="1" applyFont="1">
      <alignment horizontal="center" readingOrder="0" shrinkToFit="0" vertical="center" wrapText="0"/>
    </xf>
    <xf borderId="0" fillId="3" fontId="26" numFmtId="0" xfId="0" applyAlignment="1" applyFont="1">
      <alignment horizontal="center" readingOrder="0" shrinkToFit="0" vertical="center" wrapText="0"/>
    </xf>
    <xf borderId="0" fillId="9" fontId="25" numFmtId="0" xfId="0" applyAlignment="1" applyFont="1">
      <alignment horizontal="center" readingOrder="0" vertical="center"/>
    </xf>
    <xf borderId="0" fillId="9" fontId="21" numFmtId="0" xfId="0" applyAlignment="1" applyFont="1">
      <alignment horizontal="center" readingOrder="0" vertical="center"/>
    </xf>
    <xf borderId="0" fillId="3" fontId="15" numFmtId="0" xfId="0" applyAlignment="1" applyFont="1">
      <alignment horizontal="left" readingOrder="0" shrinkToFit="0" vertical="center" wrapText="1"/>
    </xf>
    <xf borderId="0" fillId="0" fontId="18" numFmtId="165" xfId="0" applyAlignment="1" applyFont="1" applyNumberFormat="1">
      <alignment horizontal="left" readingOrder="0"/>
    </xf>
    <xf borderId="0" fillId="5" fontId="27" numFmtId="0" xfId="0" applyAlignment="1" applyFont="1">
      <alignment horizontal="center" readingOrder="0" vertical="center"/>
    </xf>
    <xf borderId="0" fillId="0" fontId="14" numFmtId="0" xfId="0" applyFont="1"/>
    <xf borderId="0" fillId="0" fontId="15" numFmtId="0" xfId="0" applyAlignment="1" applyFont="1">
      <alignment horizontal="center" readingOrder="0" shrinkToFit="0" vertical="center" wrapText="1"/>
    </xf>
    <xf borderId="0" fillId="0" fontId="15" numFmtId="0" xfId="0" applyAlignment="1" applyFont="1">
      <alignment horizontal="center" readingOrder="0" vertical="center"/>
    </xf>
    <xf borderId="0" fillId="3" fontId="15" numFmtId="0" xfId="0" applyAlignment="1" applyFont="1">
      <alignment horizontal="center" readingOrder="0" vertical="center"/>
    </xf>
    <xf borderId="0" fillId="0" fontId="28" numFmtId="0" xfId="0" applyAlignment="1" applyFont="1">
      <alignment horizontal="center" readingOrder="0" vertical="center"/>
    </xf>
    <xf borderId="0" fillId="0" fontId="15" numFmtId="0" xfId="0" applyAlignment="1" applyFont="1">
      <alignment horizontal="left" readingOrder="0" vertical="center"/>
    </xf>
    <xf borderId="0" fillId="0" fontId="14" numFmtId="0" xfId="0" applyAlignment="1" applyFont="1">
      <alignment readingOrder="0"/>
    </xf>
    <xf borderId="0" fillId="0" fontId="21" numFmtId="0" xfId="0" applyAlignment="1" applyFont="1">
      <alignment horizontal="center" readingOrder="0" vertical="center"/>
    </xf>
    <xf borderId="0" fillId="0" fontId="18" numFmtId="165" xfId="0" applyAlignment="1" applyFont="1" applyNumberFormat="1">
      <alignment horizontal="center" readingOrder="0"/>
    </xf>
    <xf borderId="0" fillId="3" fontId="29" numFmtId="0" xfId="0" applyAlignment="1" applyFont="1">
      <alignment horizontal="center" readingOrder="0" vertical="center"/>
    </xf>
    <xf borderId="0" fillId="5" fontId="30" numFmtId="0" xfId="0" applyAlignment="1" applyFont="1">
      <alignment horizontal="center" readingOrder="0" vertical="center"/>
    </xf>
    <xf borderId="0" fillId="0" fontId="31" numFmtId="0" xfId="0" applyAlignment="1" applyFont="1">
      <alignment vertical="center"/>
    </xf>
    <xf borderId="0" fillId="0" fontId="31" numFmtId="0" xfId="0" applyFont="1"/>
    <xf borderId="1" fillId="3" fontId="32" numFmtId="0" xfId="0" applyAlignment="1" applyBorder="1" applyFont="1">
      <alignment horizontal="left" readingOrder="0" shrinkToFit="0" vertical="center" wrapText="0"/>
    </xf>
    <xf borderId="0" fillId="5" fontId="30" numFmtId="0" xfId="0" applyAlignment="1" applyFont="1">
      <alignment horizontal="center" vertical="center"/>
    </xf>
    <xf borderId="0" fillId="5" fontId="30" numFmtId="0" xfId="0" applyAlignment="1" applyFont="1">
      <alignment horizontal="center" shrinkToFit="0" vertical="center" wrapText="1"/>
    </xf>
    <xf borderId="0" fillId="5" fontId="30" numFmtId="0" xfId="0" applyAlignment="1" applyFont="1">
      <alignment horizontal="center" vertical="center"/>
    </xf>
    <xf borderId="0" fillId="5" fontId="30" numFmtId="0" xfId="0" applyAlignment="1" applyFont="1">
      <alignment horizontal="center" shrinkToFit="0" vertical="center" wrapText="1"/>
    </xf>
    <xf borderId="0" fillId="0" fontId="31" numFmtId="0" xfId="0" applyAlignment="1" applyFont="1">
      <alignment horizontal="center" vertical="center"/>
    </xf>
    <xf borderId="0" fillId="6" fontId="31" numFmtId="0" xfId="0" applyAlignment="1" applyFont="1">
      <alignment horizontal="center" readingOrder="0" shrinkToFit="0" vertical="center" wrapText="1"/>
    </xf>
    <xf borderId="0" fillId="6" fontId="31" numFmtId="0" xfId="0" applyAlignment="1" applyFont="1">
      <alignment horizontal="center" readingOrder="0" vertical="center"/>
    </xf>
    <xf borderId="0" fillId="0" fontId="33" numFmtId="0" xfId="0" applyAlignment="1" applyFont="1">
      <alignment horizontal="center" readingOrder="0" vertical="center"/>
    </xf>
    <xf borderId="0" fillId="3" fontId="33" numFmtId="0" xfId="0" applyAlignment="1" applyFont="1">
      <alignment horizontal="center" readingOrder="0" vertical="center"/>
    </xf>
    <xf borderId="0" fillId="0" fontId="33" numFmtId="0" xfId="0" applyAlignment="1" applyFont="1">
      <alignment horizontal="left" vertical="center"/>
    </xf>
    <xf borderId="0" fillId="0" fontId="33" numFmtId="0" xfId="0" applyAlignment="1" applyFont="1">
      <alignment horizontal="left" readingOrder="0" shrinkToFit="0" vertical="center" wrapText="1"/>
    </xf>
    <xf borderId="0" fillId="0" fontId="33" numFmtId="0" xfId="0" applyAlignment="1" applyFont="1">
      <alignment horizontal="center" readingOrder="0" shrinkToFit="0" vertical="center" wrapText="1"/>
    </xf>
    <xf borderId="0" fillId="3" fontId="32" numFmtId="0" xfId="0" applyAlignment="1" applyFont="1">
      <alignment horizontal="center" vertical="center"/>
    </xf>
    <xf borderId="0" fillId="0" fontId="31" numFmtId="0" xfId="0" applyAlignment="1" applyFont="1">
      <alignment readingOrder="0" vertical="center"/>
    </xf>
    <xf borderId="0" fillId="0" fontId="33" numFmtId="165" xfId="0" applyAlignment="1" applyFont="1" applyNumberFormat="1">
      <alignment horizontal="left" readingOrder="0" shrinkToFit="0" vertical="center" wrapText="1"/>
    </xf>
    <xf borderId="0" fillId="3" fontId="33" numFmtId="0" xfId="0" applyAlignment="1" applyFont="1">
      <alignment horizontal="center" shrinkToFit="0" vertical="center" wrapText="0"/>
    </xf>
    <xf borderId="0" fillId="0" fontId="31" numFmtId="0" xfId="0" applyFont="1"/>
    <xf borderId="0" fillId="0" fontId="31" numFmtId="0" xfId="0" applyAlignment="1" applyFont="1">
      <alignment readingOrder="0"/>
    </xf>
    <xf borderId="0" fillId="5" fontId="34" numFmtId="0" xfId="0" applyAlignment="1" applyFont="1">
      <alignment horizontal="center" readingOrder="0" vertical="center"/>
    </xf>
    <xf borderId="0" fillId="0" fontId="35" numFmtId="0" xfId="0" applyAlignment="1" applyFont="1">
      <alignment vertical="center"/>
    </xf>
    <xf borderId="0" fillId="0" fontId="35" numFmtId="0" xfId="0" applyFont="1"/>
    <xf borderId="1" fillId="3" fontId="36" numFmtId="0" xfId="0" applyAlignment="1" applyBorder="1" applyFont="1">
      <alignment horizontal="left" readingOrder="0" shrinkToFit="0" vertical="center" wrapText="0"/>
    </xf>
    <xf borderId="0" fillId="5" fontId="34" numFmtId="0" xfId="0" applyAlignment="1" applyFont="1">
      <alignment horizontal="center" vertical="center"/>
    </xf>
    <xf borderId="0" fillId="5" fontId="34" numFmtId="0" xfId="0" applyAlignment="1" applyFont="1">
      <alignment horizontal="center" shrinkToFit="0" vertical="center" wrapText="1"/>
    </xf>
    <xf borderId="0" fillId="5" fontId="34" numFmtId="0" xfId="0" applyAlignment="1" applyFont="1">
      <alignment horizontal="center" vertical="center"/>
    </xf>
    <xf borderId="0" fillId="5" fontId="34" numFmtId="0" xfId="0" applyAlignment="1" applyFont="1">
      <alignment horizontal="center" shrinkToFit="0" vertical="center" wrapText="1"/>
    </xf>
    <xf borderId="0" fillId="0" fontId="35" numFmtId="0" xfId="0" applyAlignment="1" applyFont="1">
      <alignment horizontal="center" vertical="center"/>
    </xf>
    <xf borderId="0" fillId="6" fontId="35" numFmtId="0" xfId="0" applyAlignment="1" applyFont="1">
      <alignment horizontal="center" readingOrder="0" shrinkToFit="0" vertical="center" wrapText="1"/>
    </xf>
    <xf borderId="0" fillId="6" fontId="35" numFmtId="0" xfId="0" applyAlignment="1" applyFont="1">
      <alignment horizontal="center" readingOrder="0" vertical="center"/>
    </xf>
    <xf borderId="0" fillId="0" fontId="37" numFmtId="0" xfId="0" applyAlignment="1" applyFont="1">
      <alignment horizontal="center" readingOrder="0" vertical="center"/>
    </xf>
    <xf borderId="0" fillId="0" fontId="37" numFmtId="0" xfId="0" applyAlignment="1" applyFont="1">
      <alignment horizontal="center" readingOrder="0"/>
    </xf>
    <xf borderId="0" fillId="0" fontId="37" numFmtId="0" xfId="0" applyAlignment="1" applyFont="1">
      <alignment horizontal="left" vertical="center"/>
    </xf>
    <xf borderId="0" fillId="0" fontId="37" numFmtId="49" xfId="0" applyAlignment="1" applyFont="1" applyNumberFormat="1">
      <alignment horizontal="left" readingOrder="0" shrinkToFit="0" vertical="center" wrapText="1"/>
    </xf>
    <xf borderId="0" fillId="0" fontId="37" numFmtId="0" xfId="0" applyAlignment="1" applyFont="1">
      <alignment horizontal="center" readingOrder="0" shrinkToFit="0" vertical="center" wrapText="1"/>
    </xf>
    <xf borderId="0" fillId="0" fontId="36" numFmtId="0" xfId="0" applyAlignment="1" applyFont="1">
      <alignment horizontal="center" vertical="center"/>
    </xf>
    <xf borderId="0" fillId="0" fontId="35" numFmtId="0" xfId="0" applyAlignment="1" applyFont="1">
      <alignment readingOrder="0" vertical="center"/>
    </xf>
    <xf borderId="0" fillId="0" fontId="37" numFmtId="0" xfId="0" applyAlignment="1" applyFont="1">
      <alignment horizontal="center" readingOrder="0"/>
    </xf>
    <xf borderId="0" fillId="0" fontId="37" numFmtId="0" xfId="0" applyAlignment="1" applyFont="1">
      <alignment horizontal="center" readingOrder="0" vertical="center"/>
    </xf>
    <xf borderId="5" fillId="0" fontId="10" numFmtId="0" xfId="0" applyAlignment="1" applyBorder="1" applyFont="1">
      <alignment readingOrder="0" vertical="center"/>
    </xf>
    <xf borderId="0" fillId="0" fontId="2" numFmtId="0" xfId="0" applyAlignment="1" applyFont="1">
      <alignment shrinkToFit="0" vertical="center" wrapText="1"/>
    </xf>
    <xf borderId="4" fillId="7" fontId="38" numFmtId="0" xfId="0" applyAlignment="1" applyBorder="1" applyFont="1">
      <alignment readingOrder="0" shrinkToFit="0" vertical="center" wrapText="0"/>
    </xf>
    <xf borderId="4" fillId="0" fontId="2" numFmtId="0" xfId="0" applyBorder="1" applyFont="1"/>
    <xf borderId="8" fillId="0" fontId="2" numFmtId="0" xfId="0" applyBorder="1" applyFont="1"/>
    <xf borderId="6" fillId="10" fontId="38" numFmtId="0" xfId="0" applyAlignment="1" applyBorder="1" applyFill="1" applyFont="1">
      <alignment vertical="center"/>
    </xf>
    <xf borderId="5" fillId="10" fontId="38" numFmtId="0" xfId="0" applyAlignment="1" applyBorder="1" applyFont="1">
      <alignment horizontal="center" vertical="center"/>
    </xf>
    <xf borderId="5" fillId="10" fontId="39" numFmtId="0" xfId="0" applyAlignment="1" applyBorder="1" applyFont="1">
      <alignment horizontal="center" vertical="center"/>
    </xf>
    <xf borderId="6" fillId="0" fontId="18" numFmtId="0" xfId="0" applyAlignment="1" applyBorder="1" applyFont="1">
      <alignment vertical="center"/>
    </xf>
    <xf borderId="5" fillId="0" fontId="38" numFmtId="0" xfId="0" applyAlignment="1" applyBorder="1" applyFont="1">
      <alignment horizontal="center" readingOrder="0" vertical="center"/>
    </xf>
    <xf borderId="5" fillId="0" fontId="7" numFmtId="0" xfId="0" applyAlignment="1" applyBorder="1" applyFont="1">
      <alignment horizontal="center" readingOrder="0" vertical="center"/>
    </xf>
    <xf borderId="5" fillId="0" fontId="38" numFmtId="0" xfId="0" applyAlignment="1" applyBorder="1" applyFont="1">
      <alignment horizontal="center" readingOrder="0" shrinkToFit="0" vertical="center" wrapText="1"/>
    </xf>
    <xf borderId="1" fillId="0" fontId="18" numFmtId="0" xfId="0" applyAlignment="1" applyBorder="1" applyFont="1">
      <alignment readingOrder="0" shrinkToFit="0" vertical="center" wrapText="0"/>
    </xf>
    <xf borderId="1" fillId="0" fontId="7" numFmtId="0" xfId="0" applyAlignment="1" applyBorder="1" applyFont="1">
      <alignment vertical="center"/>
    </xf>
    <xf borderId="5" fillId="0" fontId="10" numFmtId="165" xfId="0" applyAlignment="1" applyBorder="1" applyFont="1" applyNumberFormat="1">
      <alignment horizontal="left" readingOrder="0" shrinkToFit="0" vertical="center" wrapText="1"/>
    </xf>
    <xf borderId="5" fillId="0" fontId="10" numFmtId="49" xfId="0" applyAlignment="1" applyBorder="1" applyFont="1" applyNumberFormat="1">
      <alignment horizontal="left" readingOrder="0" shrinkToFit="0" vertical="center" wrapText="1"/>
    </xf>
    <xf borderId="4" fillId="7" fontId="38" numFmtId="0" xfId="0" applyAlignment="1" applyBorder="1" applyFont="1">
      <alignment shrinkToFit="0" vertical="center" wrapText="0"/>
    </xf>
    <xf borderId="3" fillId="5" fontId="9" numFmtId="0" xfId="0" applyAlignment="1" applyBorder="1" applyFont="1">
      <alignment horizontal="center" vertical="center"/>
    </xf>
    <xf borderId="5" fillId="0" fontId="10" numFmtId="0" xfId="0" applyAlignment="1" applyBorder="1" applyFont="1">
      <alignment horizontal="left" readingOrder="0" vertical="center"/>
    </xf>
    <xf borderId="5" fillId="0" fontId="10" numFmtId="165" xfId="0" applyAlignment="1" applyBorder="1" applyFont="1" applyNumberFormat="1">
      <alignment horizontal="left" readingOrder="0" vertical="center"/>
    </xf>
    <xf borderId="5" fillId="0" fontId="10" numFmtId="49" xfId="0" applyAlignment="1" applyBorder="1" applyFont="1" applyNumberFormat="1">
      <alignment horizontal="left" readingOrder="0" vertical="center"/>
    </xf>
    <xf borderId="7" fillId="0" fontId="10" numFmtId="0" xfId="0" applyAlignment="1" applyBorder="1" applyFont="1">
      <alignment horizontal="left" readingOrder="0" vertical="center"/>
    </xf>
    <xf borderId="7" fillId="0" fontId="10" numFmtId="165" xfId="0" applyAlignment="1" applyBorder="1" applyFont="1" applyNumberFormat="1">
      <alignment horizontal="left" readingOrder="0" vertical="center"/>
    </xf>
    <xf borderId="0" fillId="0" fontId="2" numFmtId="0" xfId="0" applyFont="1"/>
    <xf borderId="0" fillId="0" fontId="10" numFmtId="0" xfId="0" applyAlignment="1" applyFont="1">
      <alignment horizontal="center" vertical="center"/>
    </xf>
    <xf borderId="0" fillId="0" fontId="10" numFmtId="0" xfId="0" applyAlignment="1" applyFont="1">
      <alignment horizontal="left" vertical="center"/>
    </xf>
    <xf borderId="0" fillId="0" fontId="10" numFmtId="0" xfId="0" applyAlignment="1" applyFont="1">
      <alignment horizontal="center" vertical="center"/>
    </xf>
    <xf borderId="7" fillId="3" fontId="8" numFmtId="0" xfId="0" applyAlignment="1" applyBorder="1" applyFont="1">
      <alignment horizontal="right" vertical="center"/>
    </xf>
    <xf borderId="3" fillId="5" fontId="40" numFmtId="0" xfId="0" applyAlignment="1" applyBorder="1" applyFont="1">
      <alignment horizontal="center" vertical="center"/>
    </xf>
    <xf borderId="3" fillId="5" fontId="40" numFmtId="0" xfId="0" applyAlignment="1" applyBorder="1" applyFont="1">
      <alignment horizontal="left" vertical="center"/>
    </xf>
    <xf borderId="4" fillId="5" fontId="40" numFmtId="0" xfId="0" applyAlignment="1" applyBorder="1" applyFont="1">
      <alignment horizontal="center" vertical="center"/>
    </xf>
    <xf borderId="5" fillId="5" fontId="40" numFmtId="0" xfId="0" applyAlignment="1" applyBorder="1" applyFont="1">
      <alignment horizontal="center" vertical="center"/>
    </xf>
    <xf borderId="2" fillId="5" fontId="9" numFmtId="0" xfId="0" applyAlignment="1" applyBorder="1" applyFont="1">
      <alignment horizontal="center" vertical="center"/>
    </xf>
    <xf borderId="6" fillId="0" fontId="10" numFmtId="0" xfId="0" applyAlignment="1" applyBorder="1" applyFont="1">
      <alignment horizontal="center" vertical="center"/>
    </xf>
    <xf borderId="5" fillId="0" fontId="10" numFmtId="0" xfId="0" applyAlignment="1" applyBorder="1" applyFont="1">
      <alignment horizontal="center" vertical="center"/>
    </xf>
    <xf borderId="5" fillId="0" fontId="10" numFmtId="0" xfId="0" applyAlignment="1" applyBorder="1" applyFont="1">
      <alignment vertical="center"/>
    </xf>
    <xf borderId="7" fillId="3" fontId="5" numFmtId="0" xfId="0" applyAlignment="1" applyBorder="1" applyFont="1">
      <alignment horizontal="center" vertical="center"/>
    </xf>
    <xf borderId="0" fillId="11" fontId="2" numFmtId="0" xfId="0" applyFill="1" applyFont="1"/>
    <xf borderId="3" fillId="5" fontId="9" numFmtId="0" xfId="0" applyAlignment="1" applyBorder="1" applyFont="1">
      <alignment horizontal="left" vertical="center"/>
    </xf>
    <xf borderId="5" fillId="0" fontId="10" numFmtId="181" xfId="0" applyAlignment="1" applyBorder="1" applyFont="1" applyNumberFormat="1">
      <alignment horizontal="left" readingOrder="0" vertical="center"/>
    </xf>
    <xf borderId="0" fillId="12" fontId="2" numFmtId="0" xfId="0" applyFill="1" applyFont="1"/>
    <xf borderId="1" fillId="3" fontId="41" numFmtId="0" xfId="0" applyAlignment="1" applyBorder="1" applyFont="1">
      <alignment horizontal="left" readingOrder="0" shrinkToFit="0" vertical="center" wrapText="0"/>
    </xf>
    <xf borderId="0" fillId="3" fontId="2" numFmtId="0" xfId="0" applyFont="1"/>
    <xf borderId="0" fillId="5" fontId="6" numFmtId="0" xfId="0" applyAlignment="1" applyFont="1">
      <alignment horizontal="center" readingOrder="0"/>
    </xf>
    <xf borderId="0" fillId="12" fontId="42" numFmtId="0" xfId="0" applyFont="1"/>
    <xf borderId="0" fillId="3" fontId="42" numFmtId="0" xfId="0" applyFont="1"/>
    <xf borderId="5" fillId="0" fontId="18" numFmtId="0" xfId="0" applyAlignment="1" applyBorder="1" applyFont="1">
      <alignment horizontal="left" readingOrder="0" shrinkToFit="0" vertical="center" wrapText="1"/>
    </xf>
    <xf borderId="5" fillId="7" fontId="10" numFmtId="0" xfId="0" applyAlignment="1" applyBorder="1" applyFont="1">
      <alignment horizontal="center" vertical="center"/>
    </xf>
    <xf borderId="0" fillId="12" fontId="2" numFmtId="0" xfId="0" applyAlignment="1" applyFont="1">
      <alignment vertical="center"/>
    </xf>
    <xf borderId="0" fillId="0" fontId="7" numFmtId="0" xfId="0" applyAlignment="1" applyFont="1">
      <alignment horizontal="left" vertical="center"/>
    </xf>
    <xf borderId="5" fillId="0" fontId="38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center" vertical="center"/>
    </xf>
    <xf borderId="1" fillId="0" fontId="18" numFmtId="0" xfId="0" applyAlignment="1" applyBorder="1" applyFont="1">
      <alignment shrinkToFit="0" vertical="center" wrapText="0"/>
    </xf>
    <xf borderId="0" fillId="12" fontId="7" numFmtId="0" xfId="0" applyAlignment="1" applyFont="1">
      <alignment vertical="center"/>
    </xf>
    <xf borderId="0" fillId="12" fontId="7" numFmtId="0" xfId="0" applyAlignment="1" applyFont="1">
      <alignment horizontal="left" vertical="center"/>
    </xf>
    <xf borderId="0" fillId="12" fontId="7" numFmtId="0" xfId="0" applyAlignment="1" applyFont="1">
      <alignment horizontal="center" vertical="center"/>
    </xf>
    <xf borderId="0" fillId="12" fontId="4" numFmtId="0" xfId="0" applyAlignment="1" applyFont="1">
      <alignment vertical="center"/>
    </xf>
    <xf borderId="0" fillId="5" fontId="6" numFmtId="0" xfId="0" applyAlignment="1" applyFont="1">
      <alignment horizontal="center" vertical="center"/>
    </xf>
    <xf borderId="1" fillId="3" fontId="43" numFmtId="0" xfId="0" applyAlignment="1" applyBorder="1" applyFont="1">
      <alignment horizontal="left" readingOrder="0" shrinkToFit="0" vertical="center" wrapText="0"/>
    </xf>
    <xf borderId="1" fillId="0" fontId="44" numFmtId="0" xfId="0" applyAlignment="1" applyBorder="1" applyFont="1">
      <alignment vertical="center"/>
    </xf>
    <xf borderId="0" fillId="0" fontId="44" numFmtId="0" xfId="0" applyAlignment="1" applyFont="1">
      <alignment vertical="center"/>
    </xf>
    <xf borderId="0" fillId="13" fontId="44" numFmtId="0" xfId="0" applyAlignment="1" applyFill="1" applyFont="1">
      <alignment horizontal="center" vertical="center"/>
    </xf>
    <xf borderId="9" fillId="5" fontId="9" numFmtId="0" xfId="0" applyAlignment="1" applyBorder="1" applyFont="1">
      <alignment horizontal="center" vertical="center"/>
    </xf>
    <xf borderId="7" fillId="5" fontId="9" numFmtId="0" xfId="0" applyAlignment="1" applyBorder="1" applyFont="1">
      <alignment horizontal="center" vertical="center"/>
    </xf>
    <xf borderId="9" fillId="5" fontId="9" numFmtId="0" xfId="0" applyAlignment="1" applyBorder="1" applyFont="1">
      <alignment horizontal="center" shrinkToFit="0" vertical="center" wrapText="1"/>
    </xf>
    <xf borderId="10" fillId="5" fontId="9" numFmtId="0" xfId="0" applyAlignment="1" applyBorder="1" applyFont="1">
      <alignment horizontal="right" vertical="center"/>
    </xf>
    <xf borderId="11" fillId="0" fontId="2" numFmtId="0" xfId="0" applyBorder="1" applyFont="1"/>
    <xf borderId="0" fillId="0" fontId="44" numFmtId="0" xfId="0" applyAlignment="1" applyFont="1">
      <alignment horizontal="center" vertical="center"/>
    </xf>
    <xf borderId="7" fillId="5" fontId="9" numFmtId="0" xfId="0" applyAlignment="1" applyBorder="1" applyFont="1">
      <alignment horizontal="right" vertical="center"/>
    </xf>
    <xf borderId="7" fillId="5" fontId="9" numFmtId="0" xfId="0" applyAlignment="1" applyBorder="1" applyFont="1">
      <alignment horizontal="right" shrinkToFit="0" vertical="center" wrapText="1"/>
    </xf>
    <xf borderId="0" fillId="6" fontId="44" numFmtId="0" xfId="0" applyAlignment="1" applyFont="1">
      <alignment horizontal="center" readingOrder="0" shrinkToFit="0" vertical="center" wrapText="1"/>
    </xf>
    <xf borderId="0" fillId="6" fontId="44" numFmtId="0" xfId="0" applyAlignment="1" applyFont="1">
      <alignment readingOrder="0" vertical="center"/>
    </xf>
    <xf borderId="5" fillId="0" fontId="10" numFmtId="0" xfId="0" applyAlignment="1" applyBorder="1" applyFont="1">
      <alignment readingOrder="0" shrinkToFit="0" vertical="center" wrapText="1"/>
    </xf>
    <xf borderId="5" fillId="0" fontId="10" numFmtId="0" xfId="0" applyAlignment="1" applyBorder="1" applyFont="1">
      <alignment horizontal="right" readingOrder="0" vertical="center"/>
    </xf>
    <xf borderId="0" fillId="0" fontId="44" numFmtId="0" xfId="0" applyAlignment="1" applyFont="1">
      <alignment readingOrder="0" vertical="center"/>
    </xf>
    <xf borderId="5" fillId="0" fontId="10" numFmtId="0" xfId="0" applyAlignment="1" applyBorder="1" applyFont="1">
      <alignment shrinkToFit="0" vertical="center" wrapText="1"/>
    </xf>
    <xf borderId="5" fillId="0" fontId="10" numFmtId="0" xfId="0" applyAlignment="1" applyBorder="1" applyFont="1">
      <alignment horizontal="right" vertical="center"/>
    </xf>
    <xf borderId="7" fillId="3" fontId="24" numFmtId="0" xfId="0" applyAlignment="1" applyBorder="1" applyFont="1">
      <alignment readingOrder="0" vertical="center"/>
    </xf>
    <xf borderId="0" fillId="14" fontId="44" numFmtId="0" xfId="0" applyAlignment="1" applyFill="1" applyFont="1">
      <alignment vertical="center"/>
    </xf>
    <xf borderId="0" fillId="14" fontId="44" numFmtId="0" xfId="0" applyAlignment="1" applyFont="1">
      <alignment shrinkToFit="0" vertical="center" wrapText="1"/>
    </xf>
    <xf borderId="0" fillId="14" fontId="44" numFmtId="0" xfId="0" applyAlignment="1" applyFont="1">
      <alignment horizontal="center" vertical="center"/>
    </xf>
    <xf borderId="0" fillId="0" fontId="44" numFmtId="0" xfId="0" applyAlignment="1" applyFont="1">
      <alignment shrinkToFit="0" vertical="center" wrapText="1"/>
    </xf>
    <xf borderId="8" fillId="7" fontId="45" numFmtId="0" xfId="0" applyAlignment="1" applyBorder="1" applyFont="1">
      <alignment shrinkToFit="0" wrapText="0"/>
    </xf>
    <xf borderId="8" fillId="7" fontId="44" numFmtId="0" xfId="0" applyBorder="1" applyFont="1"/>
    <xf borderId="4" fillId="7" fontId="44" numFmtId="0" xfId="0" applyBorder="1" applyFont="1"/>
    <xf borderId="6" fillId="10" fontId="45" numFmtId="0" xfId="0" applyBorder="1" applyFont="1"/>
    <xf borderId="5" fillId="10" fontId="45" numFmtId="0" xfId="0" applyAlignment="1" applyBorder="1" applyFont="1">
      <alignment horizontal="center"/>
    </xf>
    <xf borderId="5" fillId="10" fontId="46" numFmtId="0" xfId="0" applyAlignment="1" applyBorder="1" applyFont="1">
      <alignment horizontal="center"/>
    </xf>
    <xf borderId="6" fillId="0" fontId="22" numFmtId="0" xfId="0" applyBorder="1" applyFont="1"/>
    <xf borderId="5" fillId="0" fontId="45" numFmtId="0" xfId="0" applyAlignment="1" applyBorder="1" applyFont="1">
      <alignment horizontal="center"/>
    </xf>
    <xf borderId="5" fillId="0" fontId="44" numFmtId="0" xfId="0" applyAlignment="1" applyBorder="1" applyFont="1">
      <alignment horizontal="center"/>
    </xf>
    <xf borderId="0" fillId="0" fontId="44" numFmtId="0" xfId="0" applyFont="1"/>
    <xf borderId="1" fillId="0" fontId="22" numFmtId="0" xfId="0" applyAlignment="1" applyBorder="1" applyFont="1">
      <alignment readingOrder="0" shrinkToFit="0" wrapText="0"/>
    </xf>
    <xf borderId="1" fillId="0" fontId="44" numFmtId="0" xfId="0" applyBorder="1" applyFont="1"/>
    <xf borderId="1" fillId="0" fontId="22" numFmtId="0" xfId="0" applyAlignment="1" applyBorder="1" applyFont="1">
      <alignment shrinkToFit="0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8">
    <tableStyle count="2" pivot="0" name="JANUARY 26-style">
      <tableStyleElement dxfId="1" type="firstRowStripe"/>
      <tableStyleElement dxfId="2" type="secondRowStripe"/>
    </tableStyle>
    <tableStyle count="2" pivot="0" name="JANUARY 26-style 2">
      <tableStyleElement dxfId="2" type="firstRowStripe"/>
      <tableStyleElement dxfId="1" type="secondRowStripe"/>
    </tableStyle>
    <tableStyle count="2" pivot="0" name="FEBRUARY 26-style">
      <tableStyleElement dxfId="2" type="firstRowStripe"/>
      <tableStyleElement dxfId="1" type="secondRowStripe"/>
    </tableStyle>
    <tableStyle count="2" pivot="0" name="FEBRUARY 26-style 2">
      <tableStyleElement dxfId="1" type="firstRowStripe"/>
      <tableStyleElement dxfId="2" type="secondRowStripe"/>
    </tableStyle>
    <tableStyle count="2" pivot="0" name="MARCH 26-style">
      <tableStyleElement dxfId="2" type="firstRowStripe"/>
      <tableStyleElement dxfId="1" type="secondRowStripe"/>
    </tableStyle>
    <tableStyle count="2" pivot="0" name="MARCH 26-style 2">
      <tableStyleElement dxfId="2" type="firstRowStripe"/>
      <tableStyleElement dxfId="1" type="secondRowStripe"/>
    </tableStyle>
    <tableStyle count="2" pivot="0" name="MARCH 26-style 3">
      <tableStyleElement dxfId="1" type="firstRowStripe"/>
      <tableStyleElement dxfId="2" type="secondRowStripe"/>
    </tableStyle>
    <tableStyle count="2" pivot="0" name="APRIL 26-style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84" Type="http://schemas.openxmlformats.org/officeDocument/2006/relationships/worksheet" Target="worksheets/sheet81.xml"/><Relationship Id="rId83" Type="http://schemas.openxmlformats.org/officeDocument/2006/relationships/worksheet" Target="worksheets/sheet80.xml"/><Relationship Id="rId42" Type="http://schemas.openxmlformats.org/officeDocument/2006/relationships/worksheet" Target="worksheets/sheet39.xml"/><Relationship Id="rId86" Type="http://schemas.openxmlformats.org/officeDocument/2006/relationships/worksheet" Target="worksheets/sheet83.xml"/><Relationship Id="rId41" Type="http://schemas.openxmlformats.org/officeDocument/2006/relationships/worksheet" Target="worksheets/sheet38.xml"/><Relationship Id="rId85" Type="http://schemas.openxmlformats.org/officeDocument/2006/relationships/worksheet" Target="worksheets/sheet82.xml"/><Relationship Id="rId44" Type="http://schemas.openxmlformats.org/officeDocument/2006/relationships/worksheet" Target="worksheets/sheet41.xml"/><Relationship Id="rId88" Type="http://schemas.openxmlformats.org/officeDocument/2006/relationships/worksheet" Target="worksheets/sheet85.xml"/><Relationship Id="rId43" Type="http://schemas.openxmlformats.org/officeDocument/2006/relationships/worksheet" Target="worksheets/sheet40.xml"/><Relationship Id="rId87" Type="http://schemas.openxmlformats.org/officeDocument/2006/relationships/worksheet" Target="worksheets/sheet84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89" Type="http://schemas.openxmlformats.org/officeDocument/2006/relationships/worksheet" Target="worksheets/sheet86.xml"/><Relationship Id="rId80" Type="http://schemas.openxmlformats.org/officeDocument/2006/relationships/worksheet" Target="worksheets/sheet77.xml"/><Relationship Id="rId82" Type="http://schemas.openxmlformats.org/officeDocument/2006/relationships/worksheet" Target="worksheets/sheet79.xml"/><Relationship Id="rId81" Type="http://schemas.openxmlformats.org/officeDocument/2006/relationships/worksheet" Target="worksheets/sheet78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73" Type="http://schemas.openxmlformats.org/officeDocument/2006/relationships/worksheet" Target="worksheets/sheet70.xml"/><Relationship Id="rId72" Type="http://schemas.openxmlformats.org/officeDocument/2006/relationships/worksheet" Target="worksheets/sheet69.xml"/><Relationship Id="rId31" Type="http://schemas.openxmlformats.org/officeDocument/2006/relationships/worksheet" Target="worksheets/sheet28.xml"/><Relationship Id="rId75" Type="http://schemas.openxmlformats.org/officeDocument/2006/relationships/worksheet" Target="worksheets/sheet72.xml"/><Relationship Id="rId30" Type="http://schemas.openxmlformats.org/officeDocument/2006/relationships/worksheet" Target="worksheets/sheet27.xml"/><Relationship Id="rId74" Type="http://schemas.openxmlformats.org/officeDocument/2006/relationships/worksheet" Target="worksheets/sheet71.xml"/><Relationship Id="rId33" Type="http://schemas.openxmlformats.org/officeDocument/2006/relationships/worksheet" Target="worksheets/sheet30.xml"/><Relationship Id="rId77" Type="http://schemas.openxmlformats.org/officeDocument/2006/relationships/worksheet" Target="worksheets/sheet74.xml"/><Relationship Id="rId32" Type="http://schemas.openxmlformats.org/officeDocument/2006/relationships/worksheet" Target="worksheets/sheet29.xml"/><Relationship Id="rId76" Type="http://schemas.openxmlformats.org/officeDocument/2006/relationships/worksheet" Target="worksheets/sheet73.xml"/><Relationship Id="rId35" Type="http://schemas.openxmlformats.org/officeDocument/2006/relationships/worksheet" Target="worksheets/sheet32.xml"/><Relationship Id="rId79" Type="http://schemas.openxmlformats.org/officeDocument/2006/relationships/worksheet" Target="worksheets/sheet76.xml"/><Relationship Id="rId34" Type="http://schemas.openxmlformats.org/officeDocument/2006/relationships/worksheet" Target="worksheets/sheet31.xml"/><Relationship Id="rId78" Type="http://schemas.openxmlformats.org/officeDocument/2006/relationships/worksheet" Target="worksheets/sheet75.xml"/><Relationship Id="rId71" Type="http://schemas.openxmlformats.org/officeDocument/2006/relationships/worksheet" Target="worksheets/sheet68.xml"/><Relationship Id="rId70" Type="http://schemas.openxmlformats.org/officeDocument/2006/relationships/worksheet" Target="worksheets/sheet67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62" Type="http://schemas.openxmlformats.org/officeDocument/2006/relationships/worksheet" Target="worksheets/sheet59.xml"/><Relationship Id="rId61" Type="http://schemas.openxmlformats.org/officeDocument/2006/relationships/worksheet" Target="worksheets/sheet58.xml"/><Relationship Id="rId20" Type="http://schemas.openxmlformats.org/officeDocument/2006/relationships/worksheet" Target="worksheets/sheet17.xml"/><Relationship Id="rId64" Type="http://schemas.openxmlformats.org/officeDocument/2006/relationships/worksheet" Target="worksheets/sheet61.xml"/><Relationship Id="rId63" Type="http://schemas.openxmlformats.org/officeDocument/2006/relationships/worksheet" Target="worksheets/sheet60.xml"/><Relationship Id="rId22" Type="http://schemas.openxmlformats.org/officeDocument/2006/relationships/worksheet" Target="worksheets/sheet19.xml"/><Relationship Id="rId66" Type="http://schemas.openxmlformats.org/officeDocument/2006/relationships/worksheet" Target="worksheets/sheet63.xml"/><Relationship Id="rId21" Type="http://schemas.openxmlformats.org/officeDocument/2006/relationships/worksheet" Target="worksheets/sheet18.xml"/><Relationship Id="rId65" Type="http://schemas.openxmlformats.org/officeDocument/2006/relationships/worksheet" Target="worksheets/sheet62.xml"/><Relationship Id="rId24" Type="http://schemas.openxmlformats.org/officeDocument/2006/relationships/worksheet" Target="worksheets/sheet21.xml"/><Relationship Id="rId68" Type="http://schemas.openxmlformats.org/officeDocument/2006/relationships/worksheet" Target="worksheets/sheet65.xml"/><Relationship Id="rId23" Type="http://schemas.openxmlformats.org/officeDocument/2006/relationships/worksheet" Target="worksheets/sheet20.xml"/><Relationship Id="rId67" Type="http://schemas.openxmlformats.org/officeDocument/2006/relationships/worksheet" Target="worksheets/sheet64.xml"/><Relationship Id="rId60" Type="http://schemas.openxmlformats.org/officeDocument/2006/relationships/worksheet" Target="worksheets/sheet57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69" Type="http://schemas.openxmlformats.org/officeDocument/2006/relationships/worksheet" Target="worksheets/sheet66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95" Type="http://schemas.openxmlformats.org/officeDocument/2006/relationships/worksheet" Target="worksheets/sheet92.xml"/><Relationship Id="rId50" Type="http://schemas.openxmlformats.org/officeDocument/2006/relationships/worksheet" Target="worksheets/sheet47.xml"/><Relationship Id="rId94" Type="http://schemas.openxmlformats.org/officeDocument/2006/relationships/worksheet" Target="worksheets/sheet91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96" Type="http://schemas.openxmlformats.org/officeDocument/2006/relationships/worksheet" Target="worksheets/sheet93.xml"/><Relationship Id="rId11" Type="http://schemas.openxmlformats.org/officeDocument/2006/relationships/worksheet" Target="worksheets/sheet8.xml"/><Relationship Id="rId55" Type="http://schemas.openxmlformats.org/officeDocument/2006/relationships/worksheet" Target="worksheets/sheet52.xml"/><Relationship Id="rId10" Type="http://schemas.openxmlformats.org/officeDocument/2006/relationships/worksheet" Target="worksheets/sheet7.xml"/><Relationship Id="rId54" Type="http://schemas.openxmlformats.org/officeDocument/2006/relationships/worksheet" Target="worksheets/sheet51.xml"/><Relationship Id="rId13" Type="http://schemas.openxmlformats.org/officeDocument/2006/relationships/worksheet" Target="worksheets/sheet10.xml"/><Relationship Id="rId57" Type="http://schemas.openxmlformats.org/officeDocument/2006/relationships/worksheet" Target="worksheets/sheet54.xml"/><Relationship Id="rId12" Type="http://schemas.openxmlformats.org/officeDocument/2006/relationships/worksheet" Target="worksheets/sheet9.xml"/><Relationship Id="rId56" Type="http://schemas.openxmlformats.org/officeDocument/2006/relationships/worksheet" Target="worksheets/sheet53.xml"/><Relationship Id="rId91" Type="http://schemas.openxmlformats.org/officeDocument/2006/relationships/worksheet" Target="worksheets/sheet88.xml"/><Relationship Id="rId90" Type="http://schemas.openxmlformats.org/officeDocument/2006/relationships/worksheet" Target="worksheets/sheet87.xml"/><Relationship Id="rId93" Type="http://schemas.openxmlformats.org/officeDocument/2006/relationships/worksheet" Target="worksheets/sheet90.xml"/><Relationship Id="rId92" Type="http://schemas.openxmlformats.org/officeDocument/2006/relationships/worksheet" Target="worksheets/sheet89.xml"/><Relationship Id="rId15" Type="http://schemas.openxmlformats.org/officeDocument/2006/relationships/worksheet" Target="worksheets/sheet12.xml"/><Relationship Id="rId59" Type="http://schemas.openxmlformats.org/officeDocument/2006/relationships/worksheet" Target="worksheets/sheet56.xml"/><Relationship Id="rId14" Type="http://schemas.openxmlformats.org/officeDocument/2006/relationships/worksheet" Target="worksheets/sheet11.xml"/><Relationship Id="rId58" Type="http://schemas.openxmlformats.org/officeDocument/2006/relationships/worksheet" Target="worksheets/sheet55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76:B109" displayName="Table_1" name="Table_1" id="1">
  <tableColumns count="1">
    <tableColumn name="Column1" id="1"/>
  </tableColumns>
  <tableStyleInfo name="JANUARY 26-style" showColumnStripes="0" showFirstColumn="1" showLastColumn="1" showRowStripes="1"/>
</table>
</file>

<file path=xl/tables/table2.xml><?xml version="1.0" encoding="utf-8"?>
<table xmlns="http://schemas.openxmlformats.org/spreadsheetml/2006/main" headerRowCount="0" ref="B110" displayName="Table_2" name="Table_2" id="2">
  <tableColumns count="1">
    <tableColumn name="Column1" id="1"/>
  </tableColumns>
  <tableStyleInfo name="JANUARY 26-style 2" showColumnStripes="0" showFirstColumn="1" showLastColumn="1" showRowStripes="1"/>
</table>
</file>

<file path=xl/tables/table3.xml><?xml version="1.0" encoding="utf-8"?>
<table xmlns="http://schemas.openxmlformats.org/spreadsheetml/2006/main" headerRowCount="0" ref="E7:E91" displayName="Table_3" name="Table_3" id="3">
  <tableColumns count="1">
    <tableColumn name="Column1" id="1"/>
  </tableColumns>
  <tableStyleInfo name="FEBRUARY 26-style" showColumnStripes="0" showFirstColumn="1" showLastColumn="1" showRowStripes="1"/>
</table>
</file>

<file path=xl/tables/table4.xml><?xml version="1.0" encoding="utf-8"?>
<table xmlns="http://schemas.openxmlformats.org/spreadsheetml/2006/main" headerRowCount="0" ref="B76:B91" displayName="Table_4" name="Table_4" id="4">
  <tableColumns count="1">
    <tableColumn name="Column1" id="1"/>
  </tableColumns>
  <tableStyleInfo name="FEBRUARY 26-style 2" showColumnStripes="0" showFirstColumn="1" showLastColumn="1" showRowStripes="1"/>
</table>
</file>

<file path=xl/tables/table5.xml><?xml version="1.0" encoding="utf-8"?>
<table xmlns="http://schemas.openxmlformats.org/spreadsheetml/2006/main" headerRowCount="0" ref="E7:E103" displayName="Table_5" name="Table_5" id="5">
  <tableColumns count="1">
    <tableColumn name="Column1" id="1"/>
  </tableColumns>
  <tableStyleInfo name="MARCH 26-style" showColumnStripes="0" showFirstColumn="1" showLastColumn="1" showRowStripes="1"/>
</table>
</file>

<file path=xl/tables/table6.xml><?xml version="1.0" encoding="utf-8"?>
<table xmlns="http://schemas.openxmlformats.org/spreadsheetml/2006/main" headerRowCount="0" ref="B27:B71" displayName="Table_6" name="Table_6" id="6">
  <tableColumns count="1">
    <tableColumn name="Column1" id="1"/>
  </tableColumns>
  <tableStyleInfo name="MARCH 26-style 2" showColumnStripes="0" showFirstColumn="1" showLastColumn="1" showRowStripes="1"/>
</table>
</file>

<file path=xl/tables/table7.xml><?xml version="1.0" encoding="utf-8"?>
<table xmlns="http://schemas.openxmlformats.org/spreadsheetml/2006/main" headerRowCount="0" ref="B73:B106" displayName="Table_7" name="Table_7" id="7">
  <tableColumns count="1">
    <tableColumn name="Column1" id="1"/>
  </tableColumns>
  <tableStyleInfo name="MARCH 26-style 3" showColumnStripes="0" showFirstColumn="1" showLastColumn="1" showRowStripes="1"/>
</table>
</file>

<file path=xl/tables/table8.xml><?xml version="1.0" encoding="utf-8"?>
<table xmlns="http://schemas.openxmlformats.org/spreadsheetml/2006/main" headerRowCount="0" ref="E7:E17" displayName="Table_8" name="Table_8" id="8">
  <tableColumns count="1">
    <tableColumn name="Column1" id="1"/>
  </tableColumns>
  <tableStyleInfo name="APRIL 26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Relationship Id="rId5" Type="http://schemas.openxmlformats.org/officeDocument/2006/relationships/table" Target="../tables/table5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Relationship Id="rId3" Type="http://schemas.openxmlformats.org/officeDocument/2006/relationships/table" Target="../tables/table8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.0"/>
    <col customWidth="1" min="2" max="2" width="10.88"/>
    <col customWidth="1" min="3" max="3" width="25.5"/>
    <col customWidth="1" min="4" max="34" width="3.25"/>
    <col customWidth="1" min="35" max="35" width="8.63"/>
    <col customWidth="1" min="36" max="36" width="10.88"/>
    <col customWidth="1" min="37" max="37" width="8.63"/>
    <col customWidth="1" min="39" max="39" width="28.38"/>
  </cols>
  <sheetData>
    <row r="1" ht="35.25" customHeight="1">
      <c r="A1" s="1" t="s">
        <v>0</v>
      </c>
    </row>
    <row r="2">
      <c r="A2" s="2" t="s">
        <v>1</v>
      </c>
      <c r="B2" s="2" t="s">
        <v>2</v>
      </c>
      <c r="C2" s="3" t="s">
        <v>3</v>
      </c>
      <c r="D2" s="4">
        <v>43891.0</v>
      </c>
      <c r="AI2" s="5" t="s">
        <v>4</v>
      </c>
      <c r="AJ2" s="6" t="s">
        <v>5</v>
      </c>
      <c r="AK2" s="7"/>
      <c r="AL2" s="8" t="s">
        <v>6</v>
      </c>
      <c r="AM2" s="9" t="s">
        <v>7</v>
      </c>
    </row>
    <row r="3">
      <c r="D3" s="10">
        <v>1.0</v>
      </c>
      <c r="E3" s="10">
        <v>2.0</v>
      </c>
      <c r="F3" s="10">
        <v>3.0</v>
      </c>
      <c r="G3" s="10">
        <v>4.0</v>
      </c>
      <c r="H3" s="10">
        <v>5.0</v>
      </c>
      <c r="I3" s="10">
        <v>6.0</v>
      </c>
      <c r="J3" s="10">
        <v>7.0</v>
      </c>
      <c r="K3" s="10">
        <v>8.0</v>
      </c>
      <c r="L3" s="10">
        <v>9.0</v>
      </c>
      <c r="M3" s="10">
        <v>10.0</v>
      </c>
      <c r="N3" s="10">
        <v>11.0</v>
      </c>
      <c r="O3" s="10">
        <v>12.0</v>
      </c>
      <c r="P3" s="10">
        <v>13.0</v>
      </c>
      <c r="Q3" s="10">
        <v>14.0</v>
      </c>
      <c r="R3" s="10">
        <v>15.0</v>
      </c>
      <c r="S3" s="10">
        <v>16.0</v>
      </c>
      <c r="T3" s="10">
        <v>17.0</v>
      </c>
      <c r="U3" s="10">
        <v>18.0</v>
      </c>
      <c r="V3" s="10">
        <v>19.0</v>
      </c>
      <c r="W3" s="10">
        <v>20.0</v>
      </c>
      <c r="X3" s="10">
        <v>21.0</v>
      </c>
      <c r="Y3" s="10">
        <v>22.0</v>
      </c>
      <c r="Z3" s="10">
        <v>23.0</v>
      </c>
      <c r="AA3" s="10">
        <v>24.0</v>
      </c>
      <c r="AB3" s="10">
        <v>25.0</v>
      </c>
      <c r="AC3" s="10">
        <v>26.0</v>
      </c>
      <c r="AD3" s="10">
        <v>27.0</v>
      </c>
      <c r="AE3" s="10">
        <v>28.0</v>
      </c>
      <c r="AF3" s="10">
        <v>29.0</v>
      </c>
      <c r="AG3" s="10">
        <v>30.0</v>
      </c>
      <c r="AH3" s="10">
        <v>31.0</v>
      </c>
      <c r="AK3" s="11" t="s">
        <v>8</v>
      </c>
    </row>
    <row r="4" ht="23.25" customHeight="1">
      <c r="A4" s="12">
        <v>1.0</v>
      </c>
      <c r="B4" s="12"/>
      <c r="C4" s="13" t="str">
        <f>iferror(vlookup(B4,'Crew Data'!C:G,5,0)," ")</f>
        <v> </v>
      </c>
      <c r="D4" s="12" t="b">
        <v>0</v>
      </c>
      <c r="E4" s="12" t="b">
        <v>0</v>
      </c>
      <c r="F4" s="12" t="b">
        <v>0</v>
      </c>
      <c r="G4" s="12" t="b">
        <v>0</v>
      </c>
      <c r="H4" s="12" t="b">
        <v>0</v>
      </c>
      <c r="I4" s="12" t="b">
        <v>0</v>
      </c>
      <c r="J4" s="12" t="b">
        <v>0</v>
      </c>
      <c r="K4" s="12" t="b">
        <v>0</v>
      </c>
      <c r="L4" s="12" t="b">
        <v>0</v>
      </c>
      <c r="M4" s="12" t="b">
        <v>0</v>
      </c>
      <c r="N4" s="12" t="b">
        <v>0</v>
      </c>
      <c r="O4" s="12" t="b">
        <v>0</v>
      </c>
      <c r="P4" s="12" t="b">
        <v>0</v>
      </c>
      <c r="Q4" s="12" t="b">
        <v>0</v>
      </c>
      <c r="R4" s="12" t="b">
        <v>0</v>
      </c>
      <c r="S4" s="12" t="b">
        <v>0</v>
      </c>
      <c r="T4" s="12" t="b">
        <v>0</v>
      </c>
      <c r="U4" s="12" t="b">
        <v>0</v>
      </c>
      <c r="V4" s="12" t="b">
        <v>0</v>
      </c>
      <c r="W4" s="12" t="b">
        <v>0</v>
      </c>
      <c r="X4" s="12" t="b">
        <v>0</v>
      </c>
      <c r="Y4" s="12" t="b">
        <v>0</v>
      </c>
      <c r="Z4" s="12" t="b">
        <v>0</v>
      </c>
      <c r="AA4" s="12" t="b">
        <v>0</v>
      </c>
      <c r="AB4" s="12" t="b">
        <v>0</v>
      </c>
      <c r="AC4" s="12" t="b">
        <v>0</v>
      </c>
      <c r="AD4" s="12" t="b">
        <v>0</v>
      </c>
      <c r="AE4" s="12" t="b">
        <v>0</v>
      </c>
      <c r="AF4" s="12" t="b">
        <v>0</v>
      </c>
      <c r="AG4" s="12" t="b">
        <v>0</v>
      </c>
      <c r="AH4" s="12" t="b">
        <v>0</v>
      </c>
      <c r="AI4" s="14">
        <f t="shared" ref="AI4:AI148" si="1">countif(D4:AH4,"True")</f>
        <v>0</v>
      </c>
      <c r="AJ4" s="15">
        <f t="shared" ref="AJ4:AJ148" si="2">AI4*400</f>
        <v>0</v>
      </c>
      <c r="AK4" s="16">
        <f t="shared" ref="AK4:AK148" si="3">COUNTIF(B:B,B4)</f>
        <v>0</v>
      </c>
      <c r="AL4" s="17"/>
      <c r="AM4" s="18"/>
    </row>
    <row r="5" ht="23.25" customHeight="1">
      <c r="A5" s="10">
        <v>2.0</v>
      </c>
      <c r="B5" s="10"/>
      <c r="C5" s="19" t="str">
        <f>iferror(vlookup(B5,'Crew Data'!C:G,5,0)," ")</f>
        <v> </v>
      </c>
      <c r="D5" s="10" t="b">
        <v>0</v>
      </c>
      <c r="E5" s="10" t="b">
        <v>0</v>
      </c>
      <c r="F5" s="10" t="b">
        <v>0</v>
      </c>
      <c r="G5" s="10" t="b">
        <v>0</v>
      </c>
      <c r="H5" s="10" t="b">
        <v>0</v>
      </c>
      <c r="I5" s="10" t="b">
        <v>0</v>
      </c>
      <c r="J5" s="10" t="b">
        <v>0</v>
      </c>
      <c r="K5" s="10" t="b">
        <v>0</v>
      </c>
      <c r="L5" s="10" t="b">
        <v>0</v>
      </c>
      <c r="M5" s="10" t="b">
        <v>0</v>
      </c>
      <c r="N5" s="10" t="b">
        <v>0</v>
      </c>
      <c r="O5" s="10" t="b">
        <v>0</v>
      </c>
      <c r="P5" s="10" t="b">
        <v>0</v>
      </c>
      <c r="Q5" s="10" t="b">
        <v>0</v>
      </c>
      <c r="R5" s="10" t="b">
        <v>0</v>
      </c>
      <c r="S5" s="10" t="b">
        <v>0</v>
      </c>
      <c r="T5" s="10" t="b">
        <v>0</v>
      </c>
      <c r="U5" s="10" t="b">
        <v>0</v>
      </c>
      <c r="V5" s="10" t="b">
        <v>0</v>
      </c>
      <c r="W5" s="10" t="b">
        <v>0</v>
      </c>
      <c r="X5" s="10" t="b">
        <v>0</v>
      </c>
      <c r="Y5" s="10" t="b">
        <v>0</v>
      </c>
      <c r="Z5" s="10" t="b">
        <v>0</v>
      </c>
      <c r="AA5" s="10" t="b">
        <v>0</v>
      </c>
      <c r="AB5" s="10" t="b">
        <v>0</v>
      </c>
      <c r="AC5" s="10" t="b">
        <v>0</v>
      </c>
      <c r="AD5" s="10" t="b">
        <v>0</v>
      </c>
      <c r="AE5" s="10" t="b">
        <v>0</v>
      </c>
      <c r="AF5" s="10" t="b">
        <v>0</v>
      </c>
      <c r="AG5" s="10" t="b">
        <v>0</v>
      </c>
      <c r="AH5" s="10" t="b">
        <v>0</v>
      </c>
      <c r="AI5" s="20">
        <f t="shared" si="1"/>
        <v>0</v>
      </c>
      <c r="AJ5" s="21">
        <f t="shared" si="2"/>
        <v>0</v>
      </c>
      <c r="AK5" s="22">
        <f t="shared" si="3"/>
        <v>0</v>
      </c>
      <c r="AL5" s="23"/>
      <c r="AM5" s="24"/>
    </row>
    <row r="6" ht="23.25" customHeight="1">
      <c r="A6" s="12">
        <v>3.0</v>
      </c>
      <c r="B6" s="12"/>
      <c r="C6" s="13" t="str">
        <f>iferror(vlookup(B6,'Crew Data'!C:G,5,0)," ")</f>
        <v> </v>
      </c>
      <c r="D6" s="12" t="b">
        <v>0</v>
      </c>
      <c r="E6" s="12" t="b">
        <v>0</v>
      </c>
      <c r="F6" s="12" t="b">
        <v>0</v>
      </c>
      <c r="G6" s="12" t="b">
        <v>0</v>
      </c>
      <c r="H6" s="12" t="b">
        <v>0</v>
      </c>
      <c r="I6" s="12" t="b">
        <v>0</v>
      </c>
      <c r="J6" s="12" t="b">
        <v>0</v>
      </c>
      <c r="K6" s="12" t="b">
        <v>0</v>
      </c>
      <c r="L6" s="12" t="b">
        <v>0</v>
      </c>
      <c r="M6" s="12" t="b">
        <v>0</v>
      </c>
      <c r="N6" s="12" t="b">
        <v>0</v>
      </c>
      <c r="O6" s="12" t="b">
        <v>0</v>
      </c>
      <c r="P6" s="12" t="b">
        <v>0</v>
      </c>
      <c r="Q6" s="12" t="b">
        <v>0</v>
      </c>
      <c r="R6" s="12" t="b">
        <v>0</v>
      </c>
      <c r="S6" s="12" t="b">
        <v>0</v>
      </c>
      <c r="T6" s="12" t="b">
        <v>0</v>
      </c>
      <c r="U6" s="12" t="b">
        <v>0</v>
      </c>
      <c r="V6" s="12" t="b">
        <v>0</v>
      </c>
      <c r="W6" s="12" t="b">
        <v>0</v>
      </c>
      <c r="X6" s="12" t="b">
        <v>0</v>
      </c>
      <c r="Y6" s="12" t="b">
        <v>0</v>
      </c>
      <c r="Z6" s="12" t="b">
        <v>0</v>
      </c>
      <c r="AA6" s="12" t="b">
        <v>0</v>
      </c>
      <c r="AB6" s="12" t="b">
        <v>0</v>
      </c>
      <c r="AC6" s="12" t="b">
        <v>0</v>
      </c>
      <c r="AD6" s="12" t="b">
        <v>0</v>
      </c>
      <c r="AE6" s="12" t="b">
        <v>0</v>
      </c>
      <c r="AF6" s="12" t="b">
        <v>0</v>
      </c>
      <c r="AG6" s="12" t="b">
        <v>0</v>
      </c>
      <c r="AH6" s="12" t="b">
        <v>0</v>
      </c>
      <c r="AI6" s="14">
        <f t="shared" si="1"/>
        <v>0</v>
      </c>
      <c r="AJ6" s="15">
        <f t="shared" si="2"/>
        <v>0</v>
      </c>
      <c r="AK6" s="16">
        <f t="shared" si="3"/>
        <v>0</v>
      </c>
      <c r="AL6" s="17"/>
      <c r="AM6" s="18"/>
    </row>
    <row r="7" ht="23.25" customHeight="1">
      <c r="A7" s="10">
        <v>4.0</v>
      </c>
      <c r="B7" s="10"/>
      <c r="C7" s="19" t="str">
        <f>iferror(vlookup(B7,'Crew Data'!C:G,5,0)," ")</f>
        <v> </v>
      </c>
      <c r="D7" s="10" t="b">
        <v>0</v>
      </c>
      <c r="E7" s="10" t="b">
        <v>0</v>
      </c>
      <c r="F7" s="10" t="b">
        <v>0</v>
      </c>
      <c r="G7" s="10" t="b">
        <v>0</v>
      </c>
      <c r="H7" s="10" t="b">
        <v>0</v>
      </c>
      <c r="I7" s="10" t="b">
        <v>0</v>
      </c>
      <c r="J7" s="10" t="b">
        <v>0</v>
      </c>
      <c r="K7" s="10" t="b">
        <v>0</v>
      </c>
      <c r="L7" s="10" t="b">
        <v>0</v>
      </c>
      <c r="M7" s="10" t="b">
        <v>0</v>
      </c>
      <c r="N7" s="10" t="b">
        <v>0</v>
      </c>
      <c r="O7" s="10" t="b">
        <v>0</v>
      </c>
      <c r="P7" s="10" t="b">
        <v>0</v>
      </c>
      <c r="Q7" s="10" t="b">
        <v>0</v>
      </c>
      <c r="R7" s="10" t="b">
        <v>0</v>
      </c>
      <c r="S7" s="10" t="b">
        <v>0</v>
      </c>
      <c r="T7" s="10" t="b">
        <v>0</v>
      </c>
      <c r="U7" s="10" t="b">
        <v>0</v>
      </c>
      <c r="V7" s="10" t="b">
        <v>0</v>
      </c>
      <c r="W7" s="10" t="b">
        <v>0</v>
      </c>
      <c r="X7" s="10" t="b">
        <v>0</v>
      </c>
      <c r="Y7" s="10" t="b">
        <v>0</v>
      </c>
      <c r="Z7" s="10" t="b">
        <v>0</v>
      </c>
      <c r="AA7" s="10" t="b">
        <v>0</v>
      </c>
      <c r="AB7" s="10" t="b">
        <v>0</v>
      </c>
      <c r="AC7" s="10" t="b">
        <v>0</v>
      </c>
      <c r="AD7" s="10" t="b">
        <v>0</v>
      </c>
      <c r="AE7" s="10" t="b">
        <v>0</v>
      </c>
      <c r="AF7" s="10" t="b">
        <v>0</v>
      </c>
      <c r="AG7" s="10" t="b">
        <v>0</v>
      </c>
      <c r="AH7" s="10" t="b">
        <v>0</v>
      </c>
      <c r="AI7" s="20">
        <f t="shared" si="1"/>
        <v>0</v>
      </c>
      <c r="AJ7" s="21">
        <f t="shared" si="2"/>
        <v>0</v>
      </c>
      <c r="AK7" s="22">
        <f t="shared" si="3"/>
        <v>0</v>
      </c>
      <c r="AL7" s="23"/>
      <c r="AM7" s="24"/>
    </row>
    <row r="8" ht="23.25" customHeight="1">
      <c r="A8" s="12">
        <v>5.0</v>
      </c>
      <c r="B8" s="12"/>
      <c r="C8" s="13" t="str">
        <f>iferror(vlookup(B8,'Crew Data'!C:G,5,0)," ")</f>
        <v> </v>
      </c>
      <c r="D8" s="12" t="b">
        <v>0</v>
      </c>
      <c r="E8" s="12" t="b">
        <v>0</v>
      </c>
      <c r="F8" s="12" t="b">
        <v>0</v>
      </c>
      <c r="G8" s="12" t="b">
        <v>0</v>
      </c>
      <c r="H8" s="12" t="b">
        <v>0</v>
      </c>
      <c r="I8" s="12" t="b">
        <v>0</v>
      </c>
      <c r="J8" s="12" t="b">
        <v>0</v>
      </c>
      <c r="K8" s="12" t="b">
        <v>0</v>
      </c>
      <c r="L8" s="12" t="b">
        <v>0</v>
      </c>
      <c r="M8" s="12" t="b">
        <v>0</v>
      </c>
      <c r="N8" s="12" t="b">
        <v>0</v>
      </c>
      <c r="O8" s="12" t="b">
        <v>0</v>
      </c>
      <c r="P8" s="12" t="b">
        <v>0</v>
      </c>
      <c r="Q8" s="12" t="b">
        <v>0</v>
      </c>
      <c r="R8" s="12" t="b">
        <v>0</v>
      </c>
      <c r="S8" s="12" t="b">
        <v>0</v>
      </c>
      <c r="T8" s="12" t="b">
        <v>0</v>
      </c>
      <c r="U8" s="12" t="b">
        <v>0</v>
      </c>
      <c r="V8" s="12" t="b">
        <v>0</v>
      </c>
      <c r="W8" s="12" t="b">
        <v>0</v>
      </c>
      <c r="X8" s="12" t="b">
        <v>0</v>
      </c>
      <c r="Y8" s="12" t="b">
        <v>0</v>
      </c>
      <c r="Z8" s="12" t="b">
        <v>0</v>
      </c>
      <c r="AA8" s="12" t="b">
        <v>0</v>
      </c>
      <c r="AB8" s="12" t="b">
        <v>0</v>
      </c>
      <c r="AC8" s="12" t="b">
        <v>0</v>
      </c>
      <c r="AD8" s="12" t="b">
        <v>0</v>
      </c>
      <c r="AE8" s="12" t="b">
        <v>0</v>
      </c>
      <c r="AF8" s="12" t="b">
        <v>0</v>
      </c>
      <c r="AG8" s="12" t="b">
        <v>0</v>
      </c>
      <c r="AH8" s="12" t="b">
        <v>0</v>
      </c>
      <c r="AI8" s="14">
        <f t="shared" si="1"/>
        <v>0</v>
      </c>
      <c r="AJ8" s="15">
        <f t="shared" si="2"/>
        <v>0</v>
      </c>
      <c r="AK8" s="16">
        <f t="shared" si="3"/>
        <v>0</v>
      </c>
      <c r="AL8" s="17"/>
      <c r="AM8" s="18"/>
    </row>
    <row r="9" ht="23.25" customHeight="1">
      <c r="A9" s="10">
        <v>6.0</v>
      </c>
      <c r="B9" s="10"/>
      <c r="C9" s="19" t="str">
        <f>iferror(vlookup(B9,'Crew Data'!C:G,5,0)," ")</f>
        <v> </v>
      </c>
      <c r="D9" s="10" t="b">
        <v>0</v>
      </c>
      <c r="E9" s="10" t="b">
        <v>0</v>
      </c>
      <c r="F9" s="10" t="b">
        <v>0</v>
      </c>
      <c r="G9" s="10" t="b">
        <v>0</v>
      </c>
      <c r="H9" s="10" t="b">
        <v>0</v>
      </c>
      <c r="I9" s="10" t="b">
        <v>0</v>
      </c>
      <c r="J9" s="10" t="b">
        <v>0</v>
      </c>
      <c r="K9" s="10" t="b">
        <v>0</v>
      </c>
      <c r="L9" s="10" t="b">
        <v>0</v>
      </c>
      <c r="M9" s="10" t="b">
        <v>0</v>
      </c>
      <c r="N9" s="10" t="b">
        <v>0</v>
      </c>
      <c r="O9" s="10" t="b">
        <v>0</v>
      </c>
      <c r="P9" s="10" t="b">
        <v>0</v>
      </c>
      <c r="Q9" s="10" t="b">
        <v>0</v>
      </c>
      <c r="R9" s="10" t="b">
        <v>0</v>
      </c>
      <c r="S9" s="10" t="b">
        <v>0</v>
      </c>
      <c r="T9" s="10" t="b">
        <v>0</v>
      </c>
      <c r="U9" s="10" t="b">
        <v>0</v>
      </c>
      <c r="V9" s="10" t="b">
        <v>0</v>
      </c>
      <c r="W9" s="10" t="b">
        <v>0</v>
      </c>
      <c r="X9" s="10" t="b">
        <v>0</v>
      </c>
      <c r="Y9" s="10" t="b">
        <v>0</v>
      </c>
      <c r="Z9" s="10" t="b">
        <v>0</v>
      </c>
      <c r="AA9" s="10" t="b">
        <v>0</v>
      </c>
      <c r="AB9" s="10" t="b">
        <v>0</v>
      </c>
      <c r="AC9" s="10" t="b">
        <v>0</v>
      </c>
      <c r="AD9" s="10" t="b">
        <v>0</v>
      </c>
      <c r="AE9" s="10" t="b">
        <v>0</v>
      </c>
      <c r="AF9" s="10" t="b">
        <v>0</v>
      </c>
      <c r="AG9" s="10" t="b">
        <v>0</v>
      </c>
      <c r="AH9" s="10" t="b">
        <v>0</v>
      </c>
      <c r="AI9" s="20">
        <f t="shared" si="1"/>
        <v>0</v>
      </c>
      <c r="AJ9" s="21">
        <f t="shared" si="2"/>
        <v>0</v>
      </c>
      <c r="AK9" s="22">
        <f t="shared" si="3"/>
        <v>0</v>
      </c>
      <c r="AL9" s="23"/>
      <c r="AM9" s="24"/>
    </row>
    <row r="10" ht="23.25" customHeight="1">
      <c r="A10" s="12">
        <v>7.0</v>
      </c>
      <c r="B10" s="12"/>
      <c r="C10" s="13" t="str">
        <f>iferror(vlookup(B10,'Crew Data'!C:G,5,0)," ")</f>
        <v> </v>
      </c>
      <c r="D10" s="12" t="b">
        <v>0</v>
      </c>
      <c r="E10" s="12" t="b">
        <v>0</v>
      </c>
      <c r="F10" s="12" t="b">
        <v>0</v>
      </c>
      <c r="G10" s="12" t="b">
        <v>0</v>
      </c>
      <c r="H10" s="12" t="b">
        <v>0</v>
      </c>
      <c r="I10" s="12" t="b">
        <v>0</v>
      </c>
      <c r="J10" s="12" t="b">
        <v>0</v>
      </c>
      <c r="K10" s="12" t="b">
        <v>0</v>
      </c>
      <c r="L10" s="12" t="b">
        <v>0</v>
      </c>
      <c r="M10" s="12" t="b">
        <v>0</v>
      </c>
      <c r="N10" s="12" t="b">
        <v>0</v>
      </c>
      <c r="O10" s="12" t="b">
        <v>0</v>
      </c>
      <c r="P10" s="12" t="b">
        <v>0</v>
      </c>
      <c r="Q10" s="12" t="b">
        <v>0</v>
      </c>
      <c r="R10" s="12" t="b">
        <v>0</v>
      </c>
      <c r="S10" s="12" t="b">
        <v>0</v>
      </c>
      <c r="T10" s="12" t="b">
        <v>0</v>
      </c>
      <c r="U10" s="12" t="b">
        <v>0</v>
      </c>
      <c r="V10" s="12" t="b">
        <v>0</v>
      </c>
      <c r="W10" s="12" t="b">
        <v>0</v>
      </c>
      <c r="X10" s="12" t="b">
        <v>0</v>
      </c>
      <c r="Y10" s="12" t="b">
        <v>0</v>
      </c>
      <c r="Z10" s="12" t="b">
        <v>0</v>
      </c>
      <c r="AA10" s="12" t="b">
        <v>0</v>
      </c>
      <c r="AB10" s="12" t="b">
        <v>0</v>
      </c>
      <c r="AC10" s="12" t="b">
        <v>0</v>
      </c>
      <c r="AD10" s="12" t="b">
        <v>0</v>
      </c>
      <c r="AE10" s="12" t="b">
        <v>0</v>
      </c>
      <c r="AF10" s="12" t="b">
        <v>0</v>
      </c>
      <c r="AG10" s="12" t="b">
        <v>0</v>
      </c>
      <c r="AH10" s="12" t="b">
        <v>0</v>
      </c>
      <c r="AI10" s="14">
        <f t="shared" si="1"/>
        <v>0</v>
      </c>
      <c r="AJ10" s="15">
        <f t="shared" si="2"/>
        <v>0</v>
      </c>
      <c r="AK10" s="16">
        <f t="shared" si="3"/>
        <v>0</v>
      </c>
      <c r="AL10" s="17"/>
      <c r="AM10" s="18"/>
    </row>
    <row r="11" ht="23.25" customHeight="1">
      <c r="A11" s="10">
        <v>8.0</v>
      </c>
      <c r="B11" s="10"/>
      <c r="C11" s="19" t="str">
        <f>iferror(vlookup(B11,'Crew Data'!C:G,5,0)," ")</f>
        <v> </v>
      </c>
      <c r="D11" s="10" t="b">
        <v>0</v>
      </c>
      <c r="E11" s="10" t="b">
        <v>0</v>
      </c>
      <c r="F11" s="10" t="b">
        <v>0</v>
      </c>
      <c r="G11" s="10" t="b">
        <v>0</v>
      </c>
      <c r="H11" s="10" t="b">
        <v>0</v>
      </c>
      <c r="I11" s="10" t="b">
        <v>0</v>
      </c>
      <c r="J11" s="10" t="b">
        <v>0</v>
      </c>
      <c r="K11" s="10" t="b">
        <v>0</v>
      </c>
      <c r="L11" s="10" t="b">
        <v>0</v>
      </c>
      <c r="M11" s="10" t="b">
        <v>0</v>
      </c>
      <c r="N11" s="10" t="b">
        <v>0</v>
      </c>
      <c r="O11" s="10" t="b">
        <v>0</v>
      </c>
      <c r="P11" s="10" t="b">
        <v>0</v>
      </c>
      <c r="Q11" s="10" t="b">
        <v>0</v>
      </c>
      <c r="R11" s="10" t="b">
        <v>0</v>
      </c>
      <c r="S11" s="10" t="b">
        <v>0</v>
      </c>
      <c r="T11" s="10" t="b">
        <v>0</v>
      </c>
      <c r="U11" s="10" t="b">
        <v>0</v>
      </c>
      <c r="V11" s="10" t="b">
        <v>0</v>
      </c>
      <c r="W11" s="10" t="b">
        <v>0</v>
      </c>
      <c r="X11" s="10" t="b">
        <v>0</v>
      </c>
      <c r="Y11" s="10" t="b">
        <v>0</v>
      </c>
      <c r="Z11" s="10" t="b">
        <v>0</v>
      </c>
      <c r="AA11" s="10" t="b">
        <v>0</v>
      </c>
      <c r="AB11" s="10" t="b">
        <v>0</v>
      </c>
      <c r="AC11" s="10" t="b">
        <v>0</v>
      </c>
      <c r="AD11" s="10" t="b">
        <v>0</v>
      </c>
      <c r="AE11" s="10" t="b">
        <v>0</v>
      </c>
      <c r="AF11" s="10" t="b">
        <v>0</v>
      </c>
      <c r="AG11" s="10" t="b">
        <v>0</v>
      </c>
      <c r="AH11" s="10" t="b">
        <v>0</v>
      </c>
      <c r="AI11" s="20">
        <f t="shared" si="1"/>
        <v>0</v>
      </c>
      <c r="AJ11" s="21">
        <f t="shared" si="2"/>
        <v>0</v>
      </c>
      <c r="AK11" s="22">
        <f t="shared" si="3"/>
        <v>0</v>
      </c>
      <c r="AL11" s="23"/>
      <c r="AM11" s="24"/>
    </row>
    <row r="12" ht="23.25" customHeight="1">
      <c r="A12" s="12">
        <v>9.0</v>
      </c>
      <c r="B12" s="12"/>
      <c r="C12" s="13" t="str">
        <f>iferror(vlookup(B12,'Crew Data'!C:G,5,0)," ")</f>
        <v> </v>
      </c>
      <c r="D12" s="12" t="b">
        <v>0</v>
      </c>
      <c r="E12" s="12" t="b">
        <v>0</v>
      </c>
      <c r="F12" s="12" t="b">
        <v>0</v>
      </c>
      <c r="G12" s="12" t="b">
        <v>0</v>
      </c>
      <c r="H12" s="12" t="b">
        <v>0</v>
      </c>
      <c r="I12" s="12" t="b">
        <v>0</v>
      </c>
      <c r="J12" s="12" t="b">
        <v>0</v>
      </c>
      <c r="K12" s="12" t="b">
        <v>0</v>
      </c>
      <c r="L12" s="12" t="b">
        <v>0</v>
      </c>
      <c r="M12" s="12" t="b">
        <v>0</v>
      </c>
      <c r="N12" s="12" t="b">
        <v>0</v>
      </c>
      <c r="O12" s="12" t="b">
        <v>0</v>
      </c>
      <c r="P12" s="12" t="b">
        <v>0</v>
      </c>
      <c r="Q12" s="12" t="b">
        <v>0</v>
      </c>
      <c r="R12" s="12" t="b">
        <v>0</v>
      </c>
      <c r="S12" s="12" t="b">
        <v>0</v>
      </c>
      <c r="T12" s="12" t="b">
        <v>0</v>
      </c>
      <c r="U12" s="12" t="b">
        <v>0</v>
      </c>
      <c r="V12" s="12" t="b">
        <v>0</v>
      </c>
      <c r="W12" s="12" t="b">
        <v>0</v>
      </c>
      <c r="X12" s="12" t="b">
        <v>0</v>
      </c>
      <c r="Y12" s="12" t="b">
        <v>0</v>
      </c>
      <c r="Z12" s="12" t="b">
        <v>0</v>
      </c>
      <c r="AA12" s="12" t="b">
        <v>0</v>
      </c>
      <c r="AB12" s="12" t="b">
        <v>0</v>
      </c>
      <c r="AC12" s="12" t="b">
        <v>0</v>
      </c>
      <c r="AD12" s="12" t="b">
        <v>0</v>
      </c>
      <c r="AE12" s="12" t="b">
        <v>0</v>
      </c>
      <c r="AF12" s="12" t="b">
        <v>0</v>
      </c>
      <c r="AG12" s="12" t="b">
        <v>0</v>
      </c>
      <c r="AH12" s="12" t="b">
        <v>0</v>
      </c>
      <c r="AI12" s="14">
        <f t="shared" si="1"/>
        <v>0</v>
      </c>
      <c r="AJ12" s="15">
        <f t="shared" si="2"/>
        <v>0</v>
      </c>
      <c r="AK12" s="16">
        <f t="shared" si="3"/>
        <v>0</v>
      </c>
      <c r="AL12" s="17"/>
      <c r="AM12" s="18"/>
    </row>
    <row r="13" ht="23.25" customHeight="1">
      <c r="A13" s="10">
        <v>10.0</v>
      </c>
      <c r="B13" s="10"/>
      <c r="C13" s="19" t="str">
        <f>iferror(vlookup(B13,'Crew Data'!C:G,5,0)," ")</f>
        <v> </v>
      </c>
      <c r="D13" s="10" t="b">
        <v>0</v>
      </c>
      <c r="E13" s="10" t="b">
        <v>0</v>
      </c>
      <c r="F13" s="10" t="b">
        <v>0</v>
      </c>
      <c r="G13" s="10" t="b">
        <v>0</v>
      </c>
      <c r="H13" s="10" t="b">
        <v>0</v>
      </c>
      <c r="I13" s="10" t="b">
        <v>0</v>
      </c>
      <c r="J13" s="10" t="b">
        <v>0</v>
      </c>
      <c r="K13" s="10" t="b">
        <v>0</v>
      </c>
      <c r="L13" s="10" t="b">
        <v>0</v>
      </c>
      <c r="M13" s="10" t="b">
        <v>0</v>
      </c>
      <c r="N13" s="10" t="b">
        <v>0</v>
      </c>
      <c r="O13" s="10" t="b">
        <v>0</v>
      </c>
      <c r="P13" s="10" t="b">
        <v>0</v>
      </c>
      <c r="Q13" s="10" t="b">
        <v>0</v>
      </c>
      <c r="R13" s="10" t="b">
        <v>0</v>
      </c>
      <c r="S13" s="10" t="b">
        <v>0</v>
      </c>
      <c r="T13" s="10" t="b">
        <v>0</v>
      </c>
      <c r="U13" s="10" t="b">
        <v>0</v>
      </c>
      <c r="V13" s="10" t="b">
        <v>0</v>
      </c>
      <c r="W13" s="10" t="b">
        <v>0</v>
      </c>
      <c r="X13" s="10" t="b">
        <v>0</v>
      </c>
      <c r="Y13" s="10" t="b">
        <v>0</v>
      </c>
      <c r="Z13" s="10" t="b">
        <v>0</v>
      </c>
      <c r="AA13" s="10" t="b">
        <v>0</v>
      </c>
      <c r="AB13" s="10" t="b">
        <v>0</v>
      </c>
      <c r="AC13" s="10" t="b">
        <v>0</v>
      </c>
      <c r="AD13" s="10" t="b">
        <v>0</v>
      </c>
      <c r="AE13" s="10" t="b">
        <v>0</v>
      </c>
      <c r="AF13" s="10" t="b">
        <v>0</v>
      </c>
      <c r="AG13" s="10" t="b">
        <v>0</v>
      </c>
      <c r="AH13" s="10" t="b">
        <v>0</v>
      </c>
      <c r="AI13" s="20">
        <f t="shared" si="1"/>
        <v>0</v>
      </c>
      <c r="AJ13" s="21">
        <f t="shared" si="2"/>
        <v>0</v>
      </c>
      <c r="AK13" s="22">
        <f t="shared" si="3"/>
        <v>0</v>
      </c>
      <c r="AL13" s="23"/>
      <c r="AM13" s="24"/>
    </row>
    <row r="14" ht="23.25" customHeight="1">
      <c r="A14" s="12">
        <v>11.0</v>
      </c>
      <c r="B14" s="12"/>
      <c r="C14" s="13" t="str">
        <f>iferror(vlookup(B14,'Crew Data'!C:G,5,0)," ")</f>
        <v> </v>
      </c>
      <c r="D14" s="12" t="b">
        <v>0</v>
      </c>
      <c r="E14" s="12" t="b">
        <v>0</v>
      </c>
      <c r="F14" s="12" t="b">
        <v>0</v>
      </c>
      <c r="G14" s="12" t="b">
        <v>0</v>
      </c>
      <c r="H14" s="12" t="b">
        <v>0</v>
      </c>
      <c r="I14" s="12" t="b">
        <v>0</v>
      </c>
      <c r="J14" s="12" t="b">
        <v>0</v>
      </c>
      <c r="K14" s="12" t="b">
        <v>0</v>
      </c>
      <c r="L14" s="12" t="b">
        <v>0</v>
      </c>
      <c r="M14" s="12" t="b">
        <v>0</v>
      </c>
      <c r="N14" s="12" t="b">
        <v>0</v>
      </c>
      <c r="O14" s="12" t="b">
        <v>0</v>
      </c>
      <c r="P14" s="12" t="b">
        <v>0</v>
      </c>
      <c r="Q14" s="12" t="b">
        <v>0</v>
      </c>
      <c r="R14" s="12" t="b">
        <v>0</v>
      </c>
      <c r="S14" s="12" t="b">
        <v>0</v>
      </c>
      <c r="T14" s="12" t="b">
        <v>0</v>
      </c>
      <c r="U14" s="12" t="b">
        <v>0</v>
      </c>
      <c r="V14" s="12" t="b">
        <v>0</v>
      </c>
      <c r="W14" s="12" t="b">
        <v>0</v>
      </c>
      <c r="X14" s="12" t="b">
        <v>0</v>
      </c>
      <c r="Y14" s="12" t="b">
        <v>0</v>
      </c>
      <c r="Z14" s="12" t="b">
        <v>0</v>
      </c>
      <c r="AA14" s="12" t="b">
        <v>0</v>
      </c>
      <c r="AB14" s="12" t="b">
        <v>0</v>
      </c>
      <c r="AC14" s="12" t="b">
        <v>0</v>
      </c>
      <c r="AD14" s="12" t="b">
        <v>0</v>
      </c>
      <c r="AE14" s="12" t="b">
        <v>0</v>
      </c>
      <c r="AF14" s="12" t="b">
        <v>0</v>
      </c>
      <c r="AG14" s="12" t="b">
        <v>0</v>
      </c>
      <c r="AH14" s="12" t="b">
        <v>0</v>
      </c>
      <c r="AI14" s="14">
        <f t="shared" si="1"/>
        <v>0</v>
      </c>
      <c r="AJ14" s="15">
        <f t="shared" si="2"/>
        <v>0</v>
      </c>
      <c r="AK14" s="16">
        <f t="shared" si="3"/>
        <v>0</v>
      </c>
      <c r="AL14" s="17"/>
      <c r="AM14" s="18"/>
    </row>
    <row r="15" ht="23.25" customHeight="1">
      <c r="A15" s="10">
        <v>12.0</v>
      </c>
      <c r="B15" s="10"/>
      <c r="C15" s="19" t="str">
        <f>iferror(vlookup(B15,'Crew Data'!C:G,5,0)," ")</f>
        <v> </v>
      </c>
      <c r="D15" s="10" t="b">
        <v>0</v>
      </c>
      <c r="E15" s="10" t="b">
        <v>0</v>
      </c>
      <c r="F15" s="10" t="b">
        <v>0</v>
      </c>
      <c r="G15" s="10" t="b">
        <v>0</v>
      </c>
      <c r="H15" s="10" t="b">
        <v>0</v>
      </c>
      <c r="I15" s="10" t="b">
        <v>0</v>
      </c>
      <c r="J15" s="10" t="b">
        <v>0</v>
      </c>
      <c r="K15" s="10" t="b">
        <v>0</v>
      </c>
      <c r="L15" s="10" t="b">
        <v>0</v>
      </c>
      <c r="M15" s="10" t="b">
        <v>0</v>
      </c>
      <c r="N15" s="10" t="b">
        <v>0</v>
      </c>
      <c r="O15" s="10" t="b">
        <v>0</v>
      </c>
      <c r="P15" s="10" t="b">
        <v>0</v>
      </c>
      <c r="Q15" s="10" t="b">
        <v>0</v>
      </c>
      <c r="R15" s="10" t="b">
        <v>0</v>
      </c>
      <c r="S15" s="10" t="b">
        <v>0</v>
      </c>
      <c r="T15" s="10" t="b">
        <v>0</v>
      </c>
      <c r="U15" s="10" t="b">
        <v>0</v>
      </c>
      <c r="V15" s="10" t="b">
        <v>0</v>
      </c>
      <c r="W15" s="10" t="b">
        <v>0</v>
      </c>
      <c r="X15" s="10" t="b">
        <v>0</v>
      </c>
      <c r="Y15" s="10" t="b">
        <v>0</v>
      </c>
      <c r="Z15" s="10" t="b">
        <v>0</v>
      </c>
      <c r="AA15" s="10" t="b">
        <v>0</v>
      </c>
      <c r="AB15" s="10" t="b">
        <v>0</v>
      </c>
      <c r="AC15" s="10" t="b">
        <v>0</v>
      </c>
      <c r="AD15" s="10" t="b">
        <v>0</v>
      </c>
      <c r="AE15" s="10" t="b">
        <v>0</v>
      </c>
      <c r="AF15" s="10" t="b">
        <v>0</v>
      </c>
      <c r="AG15" s="10" t="b">
        <v>0</v>
      </c>
      <c r="AH15" s="10" t="b">
        <v>0</v>
      </c>
      <c r="AI15" s="20">
        <f t="shared" si="1"/>
        <v>0</v>
      </c>
      <c r="AJ15" s="21">
        <f t="shared" si="2"/>
        <v>0</v>
      </c>
      <c r="AK15" s="22">
        <f t="shared" si="3"/>
        <v>0</v>
      </c>
      <c r="AL15" s="23"/>
      <c r="AM15" s="24"/>
    </row>
    <row r="16" ht="23.25" customHeight="1">
      <c r="A16" s="12">
        <v>13.0</v>
      </c>
      <c r="B16" s="12"/>
      <c r="C16" s="13" t="str">
        <f>iferror(vlookup(B16,'Crew Data'!C:G,5,0)," ")</f>
        <v> </v>
      </c>
      <c r="D16" s="12" t="b">
        <v>0</v>
      </c>
      <c r="E16" s="12" t="b">
        <v>0</v>
      </c>
      <c r="F16" s="12" t="b">
        <v>0</v>
      </c>
      <c r="G16" s="12" t="b">
        <v>0</v>
      </c>
      <c r="H16" s="12" t="b">
        <v>0</v>
      </c>
      <c r="I16" s="12" t="b">
        <v>0</v>
      </c>
      <c r="J16" s="12" t="b">
        <v>0</v>
      </c>
      <c r="K16" s="12" t="b">
        <v>0</v>
      </c>
      <c r="L16" s="12" t="b">
        <v>0</v>
      </c>
      <c r="M16" s="12" t="b">
        <v>0</v>
      </c>
      <c r="N16" s="12" t="b">
        <v>0</v>
      </c>
      <c r="O16" s="12" t="b">
        <v>0</v>
      </c>
      <c r="P16" s="12" t="b">
        <v>0</v>
      </c>
      <c r="Q16" s="12" t="b">
        <v>0</v>
      </c>
      <c r="R16" s="12" t="b">
        <v>0</v>
      </c>
      <c r="S16" s="12" t="b">
        <v>0</v>
      </c>
      <c r="T16" s="12" t="b">
        <v>0</v>
      </c>
      <c r="U16" s="12" t="b">
        <v>0</v>
      </c>
      <c r="V16" s="12" t="b">
        <v>0</v>
      </c>
      <c r="W16" s="12" t="b">
        <v>0</v>
      </c>
      <c r="X16" s="12" t="b">
        <v>0</v>
      </c>
      <c r="Y16" s="12" t="b">
        <v>0</v>
      </c>
      <c r="Z16" s="12" t="b">
        <v>0</v>
      </c>
      <c r="AA16" s="12" t="b">
        <v>0</v>
      </c>
      <c r="AB16" s="12" t="b">
        <v>0</v>
      </c>
      <c r="AC16" s="12" t="b">
        <v>0</v>
      </c>
      <c r="AD16" s="12" t="b">
        <v>0</v>
      </c>
      <c r="AE16" s="12" t="b">
        <v>0</v>
      </c>
      <c r="AF16" s="12" t="b">
        <v>0</v>
      </c>
      <c r="AG16" s="12" t="b">
        <v>0</v>
      </c>
      <c r="AH16" s="12" t="b">
        <v>0</v>
      </c>
      <c r="AI16" s="14">
        <f t="shared" si="1"/>
        <v>0</v>
      </c>
      <c r="AJ16" s="15">
        <f t="shared" si="2"/>
        <v>0</v>
      </c>
      <c r="AK16" s="16">
        <f t="shared" si="3"/>
        <v>0</v>
      </c>
      <c r="AL16" s="17"/>
      <c r="AM16" s="18"/>
    </row>
    <row r="17" ht="23.25" customHeight="1">
      <c r="A17" s="10">
        <v>14.0</v>
      </c>
      <c r="B17" s="10"/>
      <c r="C17" s="19" t="str">
        <f>iferror(vlookup(B17,'Crew Data'!C:G,5,0)," ")</f>
        <v> </v>
      </c>
      <c r="D17" s="10" t="b">
        <v>0</v>
      </c>
      <c r="E17" s="10" t="b">
        <v>0</v>
      </c>
      <c r="F17" s="10" t="b">
        <v>0</v>
      </c>
      <c r="G17" s="10" t="b">
        <v>0</v>
      </c>
      <c r="H17" s="10" t="b">
        <v>0</v>
      </c>
      <c r="I17" s="10" t="b">
        <v>0</v>
      </c>
      <c r="J17" s="10" t="b">
        <v>0</v>
      </c>
      <c r="K17" s="10" t="b">
        <v>0</v>
      </c>
      <c r="L17" s="10" t="b">
        <v>0</v>
      </c>
      <c r="M17" s="10" t="b">
        <v>0</v>
      </c>
      <c r="N17" s="10" t="b">
        <v>0</v>
      </c>
      <c r="O17" s="10" t="b">
        <v>0</v>
      </c>
      <c r="P17" s="10" t="b">
        <v>0</v>
      </c>
      <c r="Q17" s="10" t="b">
        <v>0</v>
      </c>
      <c r="R17" s="10" t="b">
        <v>0</v>
      </c>
      <c r="S17" s="10" t="b">
        <v>0</v>
      </c>
      <c r="T17" s="10" t="b">
        <v>0</v>
      </c>
      <c r="U17" s="10" t="b">
        <v>0</v>
      </c>
      <c r="V17" s="10" t="b">
        <v>0</v>
      </c>
      <c r="W17" s="10" t="b">
        <v>0</v>
      </c>
      <c r="X17" s="10" t="b">
        <v>0</v>
      </c>
      <c r="Y17" s="10" t="b">
        <v>0</v>
      </c>
      <c r="Z17" s="10" t="b">
        <v>0</v>
      </c>
      <c r="AA17" s="10" t="b">
        <v>0</v>
      </c>
      <c r="AB17" s="10" t="b">
        <v>0</v>
      </c>
      <c r="AC17" s="10" t="b">
        <v>0</v>
      </c>
      <c r="AD17" s="10" t="b">
        <v>0</v>
      </c>
      <c r="AE17" s="10" t="b">
        <v>0</v>
      </c>
      <c r="AF17" s="10" t="b">
        <v>0</v>
      </c>
      <c r="AG17" s="10" t="b">
        <v>0</v>
      </c>
      <c r="AH17" s="10" t="b">
        <v>0</v>
      </c>
      <c r="AI17" s="20">
        <f t="shared" si="1"/>
        <v>0</v>
      </c>
      <c r="AJ17" s="21">
        <f t="shared" si="2"/>
        <v>0</v>
      </c>
      <c r="AK17" s="22">
        <f t="shared" si="3"/>
        <v>0</v>
      </c>
      <c r="AL17" s="23"/>
      <c r="AM17" s="24"/>
    </row>
    <row r="18" ht="23.25" customHeight="1">
      <c r="A18" s="12">
        <v>15.0</v>
      </c>
      <c r="B18" s="12"/>
      <c r="C18" s="13" t="str">
        <f>iferror(vlookup(B18,'Crew Data'!C:G,5,0)," ")</f>
        <v> </v>
      </c>
      <c r="D18" s="12" t="b">
        <v>0</v>
      </c>
      <c r="E18" s="12" t="b">
        <v>0</v>
      </c>
      <c r="F18" s="12" t="b">
        <v>0</v>
      </c>
      <c r="G18" s="12" t="b">
        <v>0</v>
      </c>
      <c r="H18" s="12" t="b">
        <v>0</v>
      </c>
      <c r="I18" s="12" t="b">
        <v>0</v>
      </c>
      <c r="J18" s="12" t="b">
        <v>0</v>
      </c>
      <c r="K18" s="12" t="b">
        <v>0</v>
      </c>
      <c r="L18" s="12" t="b">
        <v>0</v>
      </c>
      <c r="M18" s="12" t="b">
        <v>0</v>
      </c>
      <c r="N18" s="12" t="b">
        <v>0</v>
      </c>
      <c r="O18" s="12" t="b">
        <v>0</v>
      </c>
      <c r="P18" s="12" t="b">
        <v>0</v>
      </c>
      <c r="Q18" s="12" t="b">
        <v>0</v>
      </c>
      <c r="R18" s="12" t="b">
        <v>0</v>
      </c>
      <c r="S18" s="12" t="b">
        <v>0</v>
      </c>
      <c r="T18" s="12" t="b">
        <v>0</v>
      </c>
      <c r="U18" s="12" t="b">
        <v>0</v>
      </c>
      <c r="V18" s="12" t="b">
        <v>0</v>
      </c>
      <c r="W18" s="12" t="b">
        <v>0</v>
      </c>
      <c r="X18" s="12" t="b">
        <v>0</v>
      </c>
      <c r="Y18" s="12" t="b">
        <v>0</v>
      </c>
      <c r="Z18" s="12" t="b">
        <v>0</v>
      </c>
      <c r="AA18" s="12" t="b">
        <v>0</v>
      </c>
      <c r="AB18" s="12" t="b">
        <v>0</v>
      </c>
      <c r="AC18" s="12" t="b">
        <v>0</v>
      </c>
      <c r="AD18" s="12" t="b">
        <v>0</v>
      </c>
      <c r="AE18" s="12" t="b">
        <v>0</v>
      </c>
      <c r="AF18" s="12" t="b">
        <v>0</v>
      </c>
      <c r="AG18" s="12" t="b">
        <v>0</v>
      </c>
      <c r="AH18" s="12" t="b">
        <v>0</v>
      </c>
      <c r="AI18" s="14">
        <f t="shared" si="1"/>
        <v>0</v>
      </c>
      <c r="AJ18" s="15">
        <f t="shared" si="2"/>
        <v>0</v>
      </c>
      <c r="AK18" s="16">
        <f t="shared" si="3"/>
        <v>0</v>
      </c>
      <c r="AL18" s="17"/>
      <c r="AM18" s="18"/>
    </row>
    <row r="19" ht="23.25" customHeight="1">
      <c r="A19" s="10">
        <v>16.0</v>
      </c>
      <c r="B19" s="10"/>
      <c r="C19" s="19" t="str">
        <f>iferror(vlookup(B19,'Crew Data'!C:G,5,0)," ")</f>
        <v> </v>
      </c>
      <c r="D19" s="10" t="b">
        <v>0</v>
      </c>
      <c r="E19" s="10" t="b">
        <v>0</v>
      </c>
      <c r="F19" s="10" t="b">
        <v>0</v>
      </c>
      <c r="G19" s="10" t="b">
        <v>0</v>
      </c>
      <c r="H19" s="10" t="b">
        <v>0</v>
      </c>
      <c r="I19" s="10" t="b">
        <v>0</v>
      </c>
      <c r="J19" s="10" t="b">
        <v>0</v>
      </c>
      <c r="K19" s="10" t="b">
        <v>0</v>
      </c>
      <c r="L19" s="10" t="b">
        <v>0</v>
      </c>
      <c r="M19" s="10" t="b">
        <v>0</v>
      </c>
      <c r="N19" s="10" t="b">
        <v>0</v>
      </c>
      <c r="O19" s="10" t="b">
        <v>0</v>
      </c>
      <c r="P19" s="10" t="b">
        <v>0</v>
      </c>
      <c r="Q19" s="10" t="b">
        <v>0</v>
      </c>
      <c r="R19" s="10" t="b">
        <v>0</v>
      </c>
      <c r="S19" s="10" t="b">
        <v>0</v>
      </c>
      <c r="T19" s="10" t="b">
        <v>0</v>
      </c>
      <c r="U19" s="10" t="b">
        <v>0</v>
      </c>
      <c r="V19" s="10" t="b">
        <v>0</v>
      </c>
      <c r="W19" s="10" t="b">
        <v>0</v>
      </c>
      <c r="X19" s="10" t="b">
        <v>0</v>
      </c>
      <c r="Y19" s="10" t="b">
        <v>0</v>
      </c>
      <c r="Z19" s="10" t="b">
        <v>0</v>
      </c>
      <c r="AA19" s="10" t="b">
        <v>0</v>
      </c>
      <c r="AB19" s="10" t="b">
        <v>0</v>
      </c>
      <c r="AC19" s="10" t="b">
        <v>0</v>
      </c>
      <c r="AD19" s="10" t="b">
        <v>0</v>
      </c>
      <c r="AE19" s="10" t="b">
        <v>0</v>
      </c>
      <c r="AF19" s="10" t="b">
        <v>0</v>
      </c>
      <c r="AG19" s="10" t="b">
        <v>0</v>
      </c>
      <c r="AH19" s="10" t="b">
        <v>0</v>
      </c>
      <c r="AI19" s="20">
        <f t="shared" si="1"/>
        <v>0</v>
      </c>
      <c r="AJ19" s="21">
        <f t="shared" si="2"/>
        <v>0</v>
      </c>
      <c r="AK19" s="22">
        <f t="shared" si="3"/>
        <v>0</v>
      </c>
      <c r="AL19" s="23"/>
      <c r="AM19" s="24"/>
    </row>
    <row r="20" ht="23.25" customHeight="1">
      <c r="A20" s="12">
        <v>17.0</v>
      </c>
      <c r="B20" s="12"/>
      <c r="C20" s="13" t="str">
        <f>iferror(vlookup(B20,'Crew Data'!C:G,5,0)," ")</f>
        <v> </v>
      </c>
      <c r="D20" s="12" t="b">
        <v>0</v>
      </c>
      <c r="E20" s="12" t="b">
        <v>0</v>
      </c>
      <c r="F20" s="12" t="b">
        <v>0</v>
      </c>
      <c r="G20" s="12" t="b">
        <v>0</v>
      </c>
      <c r="H20" s="12" t="b">
        <v>0</v>
      </c>
      <c r="I20" s="12" t="b">
        <v>0</v>
      </c>
      <c r="J20" s="12" t="b">
        <v>0</v>
      </c>
      <c r="K20" s="12" t="b">
        <v>0</v>
      </c>
      <c r="L20" s="12" t="b">
        <v>0</v>
      </c>
      <c r="M20" s="12" t="b">
        <v>0</v>
      </c>
      <c r="N20" s="12" t="b">
        <v>0</v>
      </c>
      <c r="O20" s="12" t="b">
        <v>0</v>
      </c>
      <c r="P20" s="12" t="b">
        <v>0</v>
      </c>
      <c r="Q20" s="12" t="b">
        <v>0</v>
      </c>
      <c r="R20" s="12" t="b">
        <v>0</v>
      </c>
      <c r="S20" s="12" t="b">
        <v>0</v>
      </c>
      <c r="T20" s="12" t="b">
        <v>0</v>
      </c>
      <c r="U20" s="12" t="b">
        <v>0</v>
      </c>
      <c r="V20" s="12" t="b">
        <v>0</v>
      </c>
      <c r="W20" s="12" t="b">
        <v>0</v>
      </c>
      <c r="X20" s="12" t="b">
        <v>0</v>
      </c>
      <c r="Y20" s="12" t="b">
        <v>0</v>
      </c>
      <c r="Z20" s="12" t="b">
        <v>0</v>
      </c>
      <c r="AA20" s="12" t="b">
        <v>0</v>
      </c>
      <c r="AB20" s="12" t="b">
        <v>0</v>
      </c>
      <c r="AC20" s="12" t="b">
        <v>0</v>
      </c>
      <c r="AD20" s="12" t="b">
        <v>0</v>
      </c>
      <c r="AE20" s="12" t="b">
        <v>0</v>
      </c>
      <c r="AF20" s="12" t="b">
        <v>0</v>
      </c>
      <c r="AG20" s="12" t="b">
        <v>0</v>
      </c>
      <c r="AH20" s="12" t="b">
        <v>0</v>
      </c>
      <c r="AI20" s="14">
        <f t="shared" si="1"/>
        <v>0</v>
      </c>
      <c r="AJ20" s="15">
        <f t="shared" si="2"/>
        <v>0</v>
      </c>
      <c r="AK20" s="16">
        <f t="shared" si="3"/>
        <v>0</v>
      </c>
      <c r="AL20" s="17"/>
      <c r="AM20" s="18"/>
    </row>
    <row r="21" ht="23.25" customHeight="1">
      <c r="A21" s="10">
        <v>18.0</v>
      </c>
      <c r="B21" s="10"/>
      <c r="C21" s="19" t="str">
        <f>iferror(vlookup(B21,'Crew Data'!C:G,5,0)," ")</f>
        <v> </v>
      </c>
      <c r="D21" s="10" t="b">
        <v>0</v>
      </c>
      <c r="E21" s="10" t="b">
        <v>0</v>
      </c>
      <c r="F21" s="10" t="b">
        <v>0</v>
      </c>
      <c r="G21" s="10" t="b">
        <v>0</v>
      </c>
      <c r="H21" s="10" t="b">
        <v>0</v>
      </c>
      <c r="I21" s="10" t="b">
        <v>0</v>
      </c>
      <c r="J21" s="10" t="b">
        <v>0</v>
      </c>
      <c r="K21" s="10" t="b">
        <v>0</v>
      </c>
      <c r="L21" s="10" t="b">
        <v>0</v>
      </c>
      <c r="M21" s="10" t="b">
        <v>0</v>
      </c>
      <c r="N21" s="10" t="b">
        <v>0</v>
      </c>
      <c r="O21" s="10" t="b">
        <v>0</v>
      </c>
      <c r="P21" s="10" t="b">
        <v>0</v>
      </c>
      <c r="Q21" s="10" t="b">
        <v>0</v>
      </c>
      <c r="R21" s="10" t="b">
        <v>0</v>
      </c>
      <c r="S21" s="10" t="b">
        <v>0</v>
      </c>
      <c r="T21" s="10" t="b">
        <v>0</v>
      </c>
      <c r="U21" s="10" t="b">
        <v>0</v>
      </c>
      <c r="V21" s="10" t="b">
        <v>0</v>
      </c>
      <c r="W21" s="10" t="b">
        <v>0</v>
      </c>
      <c r="X21" s="10" t="b">
        <v>0</v>
      </c>
      <c r="Y21" s="10" t="b">
        <v>0</v>
      </c>
      <c r="Z21" s="10" t="b">
        <v>0</v>
      </c>
      <c r="AA21" s="10" t="b">
        <v>0</v>
      </c>
      <c r="AB21" s="10" t="b">
        <v>0</v>
      </c>
      <c r="AC21" s="10" t="b">
        <v>0</v>
      </c>
      <c r="AD21" s="10" t="b">
        <v>0</v>
      </c>
      <c r="AE21" s="10" t="b">
        <v>0</v>
      </c>
      <c r="AF21" s="10" t="b">
        <v>0</v>
      </c>
      <c r="AG21" s="10" t="b">
        <v>0</v>
      </c>
      <c r="AH21" s="10" t="b">
        <v>0</v>
      </c>
      <c r="AI21" s="20">
        <f t="shared" si="1"/>
        <v>0</v>
      </c>
      <c r="AJ21" s="21">
        <f t="shared" si="2"/>
        <v>0</v>
      </c>
      <c r="AK21" s="22">
        <f t="shared" si="3"/>
        <v>0</v>
      </c>
      <c r="AL21" s="23"/>
      <c r="AM21" s="24"/>
    </row>
    <row r="22" ht="23.25" customHeight="1">
      <c r="A22" s="12">
        <v>19.0</v>
      </c>
      <c r="B22" s="12"/>
      <c r="C22" s="13" t="str">
        <f>iferror(vlookup(B22,'Crew Data'!C:G,5,0)," ")</f>
        <v> </v>
      </c>
      <c r="D22" s="12" t="b">
        <v>0</v>
      </c>
      <c r="E22" s="12" t="b">
        <v>0</v>
      </c>
      <c r="F22" s="12" t="b">
        <v>0</v>
      </c>
      <c r="G22" s="12" t="b">
        <v>0</v>
      </c>
      <c r="H22" s="12" t="b">
        <v>0</v>
      </c>
      <c r="I22" s="12" t="b">
        <v>0</v>
      </c>
      <c r="J22" s="12" t="b">
        <v>0</v>
      </c>
      <c r="K22" s="12" t="b">
        <v>0</v>
      </c>
      <c r="L22" s="12" t="b">
        <v>0</v>
      </c>
      <c r="M22" s="12" t="b">
        <v>0</v>
      </c>
      <c r="N22" s="12" t="b">
        <v>0</v>
      </c>
      <c r="O22" s="12" t="b">
        <v>0</v>
      </c>
      <c r="P22" s="12" t="b">
        <v>0</v>
      </c>
      <c r="Q22" s="12" t="b">
        <v>0</v>
      </c>
      <c r="R22" s="12" t="b">
        <v>0</v>
      </c>
      <c r="S22" s="12" t="b">
        <v>0</v>
      </c>
      <c r="T22" s="12" t="b">
        <v>0</v>
      </c>
      <c r="U22" s="12" t="b">
        <v>0</v>
      </c>
      <c r="V22" s="12" t="b">
        <v>0</v>
      </c>
      <c r="W22" s="12" t="b">
        <v>0</v>
      </c>
      <c r="X22" s="12" t="b">
        <v>0</v>
      </c>
      <c r="Y22" s="12" t="b">
        <v>0</v>
      </c>
      <c r="Z22" s="12" t="b">
        <v>0</v>
      </c>
      <c r="AA22" s="12" t="b">
        <v>0</v>
      </c>
      <c r="AB22" s="12" t="b">
        <v>0</v>
      </c>
      <c r="AC22" s="12" t="b">
        <v>0</v>
      </c>
      <c r="AD22" s="12" t="b">
        <v>0</v>
      </c>
      <c r="AE22" s="12" t="b">
        <v>0</v>
      </c>
      <c r="AF22" s="12" t="b">
        <v>0</v>
      </c>
      <c r="AG22" s="12" t="b">
        <v>0</v>
      </c>
      <c r="AH22" s="12" t="b">
        <v>0</v>
      </c>
      <c r="AI22" s="14">
        <f t="shared" si="1"/>
        <v>0</v>
      </c>
      <c r="AJ22" s="15">
        <f t="shared" si="2"/>
        <v>0</v>
      </c>
      <c r="AK22" s="16">
        <f t="shared" si="3"/>
        <v>0</v>
      </c>
      <c r="AL22" s="17"/>
      <c r="AM22" s="18"/>
    </row>
    <row r="23" ht="23.25" customHeight="1">
      <c r="A23" s="10">
        <v>20.0</v>
      </c>
      <c r="B23" s="10"/>
      <c r="C23" s="19" t="str">
        <f>iferror(vlookup(B23,'Crew Data'!C:G,5,0)," ")</f>
        <v> </v>
      </c>
      <c r="D23" s="10" t="b">
        <v>0</v>
      </c>
      <c r="E23" s="10" t="b">
        <v>0</v>
      </c>
      <c r="F23" s="10" t="b">
        <v>0</v>
      </c>
      <c r="G23" s="10" t="b">
        <v>0</v>
      </c>
      <c r="H23" s="10" t="b">
        <v>0</v>
      </c>
      <c r="I23" s="10" t="b">
        <v>0</v>
      </c>
      <c r="J23" s="10" t="b">
        <v>0</v>
      </c>
      <c r="K23" s="10" t="b">
        <v>0</v>
      </c>
      <c r="L23" s="10" t="b">
        <v>0</v>
      </c>
      <c r="M23" s="10" t="b">
        <v>0</v>
      </c>
      <c r="N23" s="10" t="b">
        <v>0</v>
      </c>
      <c r="O23" s="10" t="b">
        <v>0</v>
      </c>
      <c r="P23" s="10" t="b">
        <v>0</v>
      </c>
      <c r="Q23" s="10" t="b">
        <v>0</v>
      </c>
      <c r="R23" s="10" t="b">
        <v>0</v>
      </c>
      <c r="S23" s="10" t="b">
        <v>0</v>
      </c>
      <c r="T23" s="10" t="b">
        <v>0</v>
      </c>
      <c r="U23" s="10" t="b">
        <v>0</v>
      </c>
      <c r="V23" s="10" t="b">
        <v>0</v>
      </c>
      <c r="W23" s="10" t="b">
        <v>0</v>
      </c>
      <c r="X23" s="10" t="b">
        <v>0</v>
      </c>
      <c r="Y23" s="10" t="b">
        <v>0</v>
      </c>
      <c r="Z23" s="10" t="b">
        <v>0</v>
      </c>
      <c r="AA23" s="10" t="b">
        <v>0</v>
      </c>
      <c r="AB23" s="10" t="b">
        <v>0</v>
      </c>
      <c r="AC23" s="10" t="b">
        <v>0</v>
      </c>
      <c r="AD23" s="10" t="b">
        <v>0</v>
      </c>
      <c r="AE23" s="10" t="b">
        <v>0</v>
      </c>
      <c r="AF23" s="10" t="b">
        <v>0</v>
      </c>
      <c r="AG23" s="10" t="b">
        <v>0</v>
      </c>
      <c r="AH23" s="10" t="b">
        <v>0</v>
      </c>
      <c r="AI23" s="20">
        <f t="shared" si="1"/>
        <v>0</v>
      </c>
      <c r="AJ23" s="21">
        <f t="shared" si="2"/>
        <v>0</v>
      </c>
      <c r="AK23" s="22">
        <f t="shared" si="3"/>
        <v>0</v>
      </c>
      <c r="AL23" s="23"/>
      <c r="AM23" s="24"/>
    </row>
    <row r="24" ht="23.25" customHeight="1">
      <c r="A24" s="12">
        <v>21.0</v>
      </c>
      <c r="B24" s="12"/>
      <c r="C24" s="13" t="str">
        <f>iferror(vlookup(B24,'Crew Data'!C:G,5,0)," ")</f>
        <v> </v>
      </c>
      <c r="D24" s="12" t="b">
        <v>0</v>
      </c>
      <c r="E24" s="12" t="b">
        <v>0</v>
      </c>
      <c r="F24" s="12" t="b">
        <v>0</v>
      </c>
      <c r="G24" s="12" t="b">
        <v>0</v>
      </c>
      <c r="H24" s="12" t="b">
        <v>0</v>
      </c>
      <c r="I24" s="12" t="b">
        <v>0</v>
      </c>
      <c r="J24" s="12" t="b">
        <v>0</v>
      </c>
      <c r="K24" s="12" t="b">
        <v>0</v>
      </c>
      <c r="L24" s="12" t="b">
        <v>0</v>
      </c>
      <c r="M24" s="12" t="b">
        <v>0</v>
      </c>
      <c r="N24" s="12" t="b">
        <v>0</v>
      </c>
      <c r="O24" s="12" t="b">
        <v>0</v>
      </c>
      <c r="P24" s="12" t="b">
        <v>0</v>
      </c>
      <c r="Q24" s="12" t="b">
        <v>0</v>
      </c>
      <c r="R24" s="12" t="b">
        <v>0</v>
      </c>
      <c r="S24" s="12" t="b">
        <v>0</v>
      </c>
      <c r="T24" s="12" t="b">
        <v>0</v>
      </c>
      <c r="U24" s="12" t="b">
        <v>0</v>
      </c>
      <c r="V24" s="12" t="b">
        <v>0</v>
      </c>
      <c r="W24" s="12" t="b">
        <v>0</v>
      </c>
      <c r="X24" s="12" t="b">
        <v>0</v>
      </c>
      <c r="Y24" s="12" t="b">
        <v>0</v>
      </c>
      <c r="Z24" s="12" t="b">
        <v>0</v>
      </c>
      <c r="AA24" s="12" t="b">
        <v>0</v>
      </c>
      <c r="AB24" s="12" t="b">
        <v>0</v>
      </c>
      <c r="AC24" s="12" t="b">
        <v>0</v>
      </c>
      <c r="AD24" s="12" t="b">
        <v>0</v>
      </c>
      <c r="AE24" s="12" t="b">
        <v>0</v>
      </c>
      <c r="AF24" s="12" t="b">
        <v>0</v>
      </c>
      <c r="AG24" s="12" t="b">
        <v>0</v>
      </c>
      <c r="AH24" s="12" t="b">
        <v>0</v>
      </c>
      <c r="AI24" s="14">
        <f t="shared" si="1"/>
        <v>0</v>
      </c>
      <c r="AJ24" s="15">
        <f t="shared" si="2"/>
        <v>0</v>
      </c>
      <c r="AK24" s="16">
        <f t="shared" si="3"/>
        <v>0</v>
      </c>
      <c r="AL24" s="17"/>
      <c r="AM24" s="18"/>
    </row>
    <row r="25" ht="23.25" customHeight="1">
      <c r="A25" s="10">
        <v>22.0</v>
      </c>
      <c r="B25" s="10"/>
      <c r="C25" s="19" t="str">
        <f>iferror(vlookup(B25,'Crew Data'!C:G,5,0)," ")</f>
        <v> </v>
      </c>
      <c r="D25" s="10" t="b">
        <v>0</v>
      </c>
      <c r="E25" s="10" t="b">
        <v>0</v>
      </c>
      <c r="F25" s="10" t="b">
        <v>0</v>
      </c>
      <c r="G25" s="10" t="b">
        <v>0</v>
      </c>
      <c r="H25" s="10" t="b">
        <v>0</v>
      </c>
      <c r="I25" s="10" t="b">
        <v>0</v>
      </c>
      <c r="J25" s="10" t="b">
        <v>0</v>
      </c>
      <c r="K25" s="10" t="b">
        <v>0</v>
      </c>
      <c r="L25" s="10" t="b">
        <v>0</v>
      </c>
      <c r="M25" s="10" t="b">
        <v>0</v>
      </c>
      <c r="N25" s="10" t="b">
        <v>0</v>
      </c>
      <c r="O25" s="10" t="b">
        <v>0</v>
      </c>
      <c r="P25" s="10" t="b">
        <v>0</v>
      </c>
      <c r="Q25" s="10" t="b">
        <v>0</v>
      </c>
      <c r="R25" s="10" t="b">
        <v>0</v>
      </c>
      <c r="S25" s="10" t="b">
        <v>0</v>
      </c>
      <c r="T25" s="10" t="b">
        <v>0</v>
      </c>
      <c r="U25" s="10" t="b">
        <v>0</v>
      </c>
      <c r="V25" s="10" t="b">
        <v>0</v>
      </c>
      <c r="W25" s="10" t="b">
        <v>0</v>
      </c>
      <c r="X25" s="10" t="b">
        <v>0</v>
      </c>
      <c r="Y25" s="10" t="b">
        <v>0</v>
      </c>
      <c r="Z25" s="10" t="b">
        <v>0</v>
      </c>
      <c r="AA25" s="10" t="b">
        <v>0</v>
      </c>
      <c r="AB25" s="10" t="b">
        <v>0</v>
      </c>
      <c r="AC25" s="10" t="b">
        <v>0</v>
      </c>
      <c r="AD25" s="10" t="b">
        <v>0</v>
      </c>
      <c r="AE25" s="10" t="b">
        <v>0</v>
      </c>
      <c r="AF25" s="10" t="b">
        <v>0</v>
      </c>
      <c r="AG25" s="10" t="b">
        <v>0</v>
      </c>
      <c r="AH25" s="10" t="b">
        <v>0</v>
      </c>
      <c r="AI25" s="20">
        <f t="shared" si="1"/>
        <v>0</v>
      </c>
      <c r="AJ25" s="21">
        <f t="shared" si="2"/>
        <v>0</v>
      </c>
      <c r="AK25" s="22">
        <f t="shared" si="3"/>
        <v>0</v>
      </c>
      <c r="AL25" s="23"/>
      <c r="AM25" s="24"/>
    </row>
    <row r="26" ht="23.25" customHeight="1">
      <c r="A26" s="12">
        <v>23.0</v>
      </c>
      <c r="B26" s="12"/>
      <c r="C26" s="13" t="str">
        <f>iferror(vlookup(B26,'Crew Data'!C:G,5,0)," ")</f>
        <v> </v>
      </c>
      <c r="D26" s="12" t="b">
        <v>0</v>
      </c>
      <c r="E26" s="12" t="b">
        <v>0</v>
      </c>
      <c r="F26" s="12" t="b">
        <v>0</v>
      </c>
      <c r="G26" s="12" t="b">
        <v>0</v>
      </c>
      <c r="H26" s="12" t="b">
        <v>0</v>
      </c>
      <c r="I26" s="12" t="b">
        <v>0</v>
      </c>
      <c r="J26" s="12" t="b">
        <v>0</v>
      </c>
      <c r="K26" s="12" t="b">
        <v>0</v>
      </c>
      <c r="L26" s="12" t="b">
        <v>0</v>
      </c>
      <c r="M26" s="12" t="b">
        <v>0</v>
      </c>
      <c r="N26" s="12" t="b">
        <v>0</v>
      </c>
      <c r="O26" s="12" t="b">
        <v>0</v>
      </c>
      <c r="P26" s="12" t="b">
        <v>0</v>
      </c>
      <c r="Q26" s="12" t="b">
        <v>0</v>
      </c>
      <c r="R26" s="12" t="b">
        <v>0</v>
      </c>
      <c r="S26" s="12" t="b">
        <v>0</v>
      </c>
      <c r="T26" s="12" t="b">
        <v>0</v>
      </c>
      <c r="U26" s="12" t="b">
        <v>0</v>
      </c>
      <c r="V26" s="12" t="b">
        <v>0</v>
      </c>
      <c r="W26" s="12" t="b">
        <v>0</v>
      </c>
      <c r="X26" s="12" t="b">
        <v>0</v>
      </c>
      <c r="Y26" s="12" t="b">
        <v>0</v>
      </c>
      <c r="Z26" s="12" t="b">
        <v>0</v>
      </c>
      <c r="AA26" s="12" t="b">
        <v>0</v>
      </c>
      <c r="AB26" s="12" t="b">
        <v>0</v>
      </c>
      <c r="AC26" s="12" t="b">
        <v>0</v>
      </c>
      <c r="AD26" s="12" t="b">
        <v>0</v>
      </c>
      <c r="AE26" s="12" t="b">
        <v>0</v>
      </c>
      <c r="AF26" s="12" t="b">
        <v>0</v>
      </c>
      <c r="AG26" s="12" t="b">
        <v>0</v>
      </c>
      <c r="AH26" s="12" t="b">
        <v>0</v>
      </c>
      <c r="AI26" s="14">
        <f t="shared" si="1"/>
        <v>0</v>
      </c>
      <c r="AJ26" s="15">
        <f t="shared" si="2"/>
        <v>0</v>
      </c>
      <c r="AK26" s="16">
        <f t="shared" si="3"/>
        <v>0</v>
      </c>
      <c r="AL26" s="17"/>
      <c r="AM26" s="18"/>
    </row>
    <row r="27" ht="23.25" customHeight="1">
      <c r="A27" s="10">
        <v>24.0</v>
      </c>
      <c r="B27" s="10"/>
      <c r="C27" s="19" t="str">
        <f>iferror(vlookup(B27,'Crew Data'!C:G,5,0)," ")</f>
        <v> </v>
      </c>
      <c r="D27" s="10" t="b">
        <v>0</v>
      </c>
      <c r="E27" s="10" t="b">
        <v>0</v>
      </c>
      <c r="F27" s="10" t="b">
        <v>0</v>
      </c>
      <c r="G27" s="10" t="b">
        <v>0</v>
      </c>
      <c r="H27" s="10" t="b">
        <v>0</v>
      </c>
      <c r="I27" s="10" t="b">
        <v>0</v>
      </c>
      <c r="J27" s="10" t="b">
        <v>0</v>
      </c>
      <c r="K27" s="10" t="b">
        <v>0</v>
      </c>
      <c r="L27" s="10" t="b">
        <v>0</v>
      </c>
      <c r="M27" s="10" t="b">
        <v>0</v>
      </c>
      <c r="N27" s="10" t="b">
        <v>0</v>
      </c>
      <c r="O27" s="10" t="b">
        <v>0</v>
      </c>
      <c r="P27" s="10" t="b">
        <v>0</v>
      </c>
      <c r="Q27" s="10" t="b">
        <v>0</v>
      </c>
      <c r="R27" s="10" t="b">
        <v>0</v>
      </c>
      <c r="S27" s="10" t="b">
        <v>0</v>
      </c>
      <c r="T27" s="10" t="b">
        <v>0</v>
      </c>
      <c r="U27" s="10" t="b">
        <v>0</v>
      </c>
      <c r="V27" s="10" t="b">
        <v>0</v>
      </c>
      <c r="W27" s="10" t="b">
        <v>0</v>
      </c>
      <c r="X27" s="10" t="b">
        <v>0</v>
      </c>
      <c r="Y27" s="10" t="b">
        <v>0</v>
      </c>
      <c r="Z27" s="10" t="b">
        <v>0</v>
      </c>
      <c r="AA27" s="10" t="b">
        <v>0</v>
      </c>
      <c r="AB27" s="10" t="b">
        <v>0</v>
      </c>
      <c r="AC27" s="10" t="b">
        <v>0</v>
      </c>
      <c r="AD27" s="10" t="b">
        <v>0</v>
      </c>
      <c r="AE27" s="10" t="b">
        <v>0</v>
      </c>
      <c r="AF27" s="10" t="b">
        <v>0</v>
      </c>
      <c r="AG27" s="10" t="b">
        <v>0</v>
      </c>
      <c r="AH27" s="10" t="b">
        <v>0</v>
      </c>
      <c r="AI27" s="20">
        <f t="shared" si="1"/>
        <v>0</v>
      </c>
      <c r="AJ27" s="21">
        <f t="shared" si="2"/>
        <v>0</v>
      </c>
      <c r="AK27" s="22">
        <f t="shared" si="3"/>
        <v>0</v>
      </c>
      <c r="AL27" s="23"/>
      <c r="AM27" s="24"/>
    </row>
    <row r="28" ht="23.25" customHeight="1">
      <c r="A28" s="12">
        <v>25.0</v>
      </c>
      <c r="B28" s="12"/>
      <c r="C28" s="13" t="str">
        <f>iferror(vlookup(B28,'Crew Data'!C:G,5,0)," ")</f>
        <v> </v>
      </c>
      <c r="D28" s="12" t="b">
        <v>0</v>
      </c>
      <c r="E28" s="12" t="b">
        <v>0</v>
      </c>
      <c r="F28" s="12" t="b">
        <v>0</v>
      </c>
      <c r="G28" s="12" t="b">
        <v>0</v>
      </c>
      <c r="H28" s="12" t="b">
        <v>0</v>
      </c>
      <c r="I28" s="12" t="b">
        <v>0</v>
      </c>
      <c r="J28" s="12" t="b">
        <v>0</v>
      </c>
      <c r="K28" s="12" t="b">
        <v>0</v>
      </c>
      <c r="L28" s="12" t="b">
        <v>0</v>
      </c>
      <c r="M28" s="12" t="b">
        <v>0</v>
      </c>
      <c r="N28" s="12" t="b">
        <v>0</v>
      </c>
      <c r="O28" s="12" t="b">
        <v>0</v>
      </c>
      <c r="P28" s="12" t="b">
        <v>0</v>
      </c>
      <c r="Q28" s="12" t="b">
        <v>0</v>
      </c>
      <c r="R28" s="12" t="b">
        <v>0</v>
      </c>
      <c r="S28" s="12" t="b">
        <v>0</v>
      </c>
      <c r="T28" s="12" t="b">
        <v>0</v>
      </c>
      <c r="U28" s="12" t="b">
        <v>0</v>
      </c>
      <c r="V28" s="12" t="b">
        <v>0</v>
      </c>
      <c r="W28" s="12" t="b">
        <v>0</v>
      </c>
      <c r="X28" s="12" t="b">
        <v>0</v>
      </c>
      <c r="Y28" s="12" t="b">
        <v>0</v>
      </c>
      <c r="Z28" s="12" t="b">
        <v>0</v>
      </c>
      <c r="AA28" s="12" t="b">
        <v>0</v>
      </c>
      <c r="AB28" s="12" t="b">
        <v>0</v>
      </c>
      <c r="AC28" s="12" t="b">
        <v>0</v>
      </c>
      <c r="AD28" s="12" t="b">
        <v>0</v>
      </c>
      <c r="AE28" s="12" t="b">
        <v>0</v>
      </c>
      <c r="AF28" s="12" t="b">
        <v>0</v>
      </c>
      <c r="AG28" s="12" t="b">
        <v>0</v>
      </c>
      <c r="AH28" s="12" t="b">
        <v>0</v>
      </c>
      <c r="AI28" s="14">
        <f t="shared" si="1"/>
        <v>0</v>
      </c>
      <c r="AJ28" s="15">
        <f t="shared" si="2"/>
        <v>0</v>
      </c>
      <c r="AK28" s="16">
        <f t="shared" si="3"/>
        <v>0</v>
      </c>
      <c r="AL28" s="17"/>
      <c r="AM28" s="18"/>
    </row>
    <row r="29" ht="23.25" customHeight="1">
      <c r="A29" s="10">
        <v>26.0</v>
      </c>
      <c r="B29" s="10"/>
      <c r="C29" s="19" t="str">
        <f>iferror(vlookup(B29,'Crew Data'!C:G,5,0)," ")</f>
        <v> </v>
      </c>
      <c r="D29" s="10" t="b">
        <v>0</v>
      </c>
      <c r="E29" s="10" t="b">
        <v>0</v>
      </c>
      <c r="F29" s="10" t="b">
        <v>0</v>
      </c>
      <c r="G29" s="10" t="b">
        <v>0</v>
      </c>
      <c r="H29" s="10" t="b">
        <v>0</v>
      </c>
      <c r="I29" s="10" t="b">
        <v>0</v>
      </c>
      <c r="J29" s="10" t="b">
        <v>0</v>
      </c>
      <c r="K29" s="10" t="b">
        <v>0</v>
      </c>
      <c r="L29" s="10" t="b">
        <v>0</v>
      </c>
      <c r="M29" s="10" t="b">
        <v>0</v>
      </c>
      <c r="N29" s="10" t="b">
        <v>0</v>
      </c>
      <c r="O29" s="10" t="b">
        <v>0</v>
      </c>
      <c r="P29" s="10" t="b">
        <v>0</v>
      </c>
      <c r="Q29" s="10" t="b">
        <v>0</v>
      </c>
      <c r="R29" s="10" t="b">
        <v>0</v>
      </c>
      <c r="S29" s="10" t="b">
        <v>0</v>
      </c>
      <c r="T29" s="10" t="b">
        <v>0</v>
      </c>
      <c r="U29" s="10" t="b">
        <v>0</v>
      </c>
      <c r="V29" s="10" t="b">
        <v>0</v>
      </c>
      <c r="W29" s="10" t="b">
        <v>0</v>
      </c>
      <c r="X29" s="10" t="b">
        <v>0</v>
      </c>
      <c r="Y29" s="10" t="b">
        <v>0</v>
      </c>
      <c r="Z29" s="10" t="b">
        <v>0</v>
      </c>
      <c r="AA29" s="10" t="b">
        <v>0</v>
      </c>
      <c r="AB29" s="10" t="b">
        <v>0</v>
      </c>
      <c r="AC29" s="10" t="b">
        <v>0</v>
      </c>
      <c r="AD29" s="10" t="b">
        <v>0</v>
      </c>
      <c r="AE29" s="10" t="b">
        <v>0</v>
      </c>
      <c r="AF29" s="10" t="b">
        <v>0</v>
      </c>
      <c r="AG29" s="10" t="b">
        <v>0</v>
      </c>
      <c r="AH29" s="10" t="b">
        <v>0</v>
      </c>
      <c r="AI29" s="20">
        <f t="shared" si="1"/>
        <v>0</v>
      </c>
      <c r="AJ29" s="21">
        <f t="shared" si="2"/>
        <v>0</v>
      </c>
      <c r="AK29" s="22">
        <f t="shared" si="3"/>
        <v>0</v>
      </c>
      <c r="AL29" s="23"/>
      <c r="AM29" s="24"/>
    </row>
    <row r="30" ht="23.25" customHeight="1">
      <c r="A30" s="12">
        <v>27.0</v>
      </c>
      <c r="B30" s="12"/>
      <c r="C30" s="13" t="str">
        <f>iferror(vlookup(B30,'Crew Data'!C:G,5,0)," ")</f>
        <v> </v>
      </c>
      <c r="D30" s="12" t="b">
        <v>0</v>
      </c>
      <c r="E30" s="12" t="b">
        <v>0</v>
      </c>
      <c r="F30" s="12" t="b">
        <v>0</v>
      </c>
      <c r="G30" s="12" t="b">
        <v>0</v>
      </c>
      <c r="H30" s="12" t="b">
        <v>0</v>
      </c>
      <c r="I30" s="12" t="b">
        <v>0</v>
      </c>
      <c r="J30" s="12" t="b">
        <v>0</v>
      </c>
      <c r="K30" s="12" t="b">
        <v>0</v>
      </c>
      <c r="L30" s="12" t="b">
        <v>0</v>
      </c>
      <c r="M30" s="12" t="b">
        <v>0</v>
      </c>
      <c r="N30" s="12" t="b">
        <v>0</v>
      </c>
      <c r="O30" s="12" t="b">
        <v>0</v>
      </c>
      <c r="P30" s="12" t="b">
        <v>0</v>
      </c>
      <c r="Q30" s="12" t="b">
        <v>0</v>
      </c>
      <c r="R30" s="12" t="b">
        <v>0</v>
      </c>
      <c r="S30" s="12" t="b">
        <v>0</v>
      </c>
      <c r="T30" s="12" t="b">
        <v>0</v>
      </c>
      <c r="U30" s="12" t="b">
        <v>0</v>
      </c>
      <c r="V30" s="12" t="b">
        <v>0</v>
      </c>
      <c r="W30" s="12" t="b">
        <v>0</v>
      </c>
      <c r="X30" s="12" t="b">
        <v>0</v>
      </c>
      <c r="Y30" s="12" t="b">
        <v>0</v>
      </c>
      <c r="Z30" s="12" t="b">
        <v>0</v>
      </c>
      <c r="AA30" s="12" t="b">
        <v>0</v>
      </c>
      <c r="AB30" s="12" t="b">
        <v>0</v>
      </c>
      <c r="AC30" s="12" t="b">
        <v>0</v>
      </c>
      <c r="AD30" s="12" t="b">
        <v>0</v>
      </c>
      <c r="AE30" s="12" t="b">
        <v>0</v>
      </c>
      <c r="AF30" s="12" t="b">
        <v>0</v>
      </c>
      <c r="AG30" s="12" t="b">
        <v>0</v>
      </c>
      <c r="AH30" s="12" t="b">
        <v>0</v>
      </c>
      <c r="AI30" s="14">
        <f t="shared" si="1"/>
        <v>0</v>
      </c>
      <c r="AJ30" s="15">
        <f t="shared" si="2"/>
        <v>0</v>
      </c>
      <c r="AK30" s="16">
        <f t="shared" si="3"/>
        <v>0</v>
      </c>
      <c r="AL30" s="17"/>
      <c r="AM30" s="18"/>
    </row>
    <row r="31" ht="23.25" customHeight="1">
      <c r="A31" s="10">
        <v>28.0</v>
      </c>
      <c r="B31" s="10"/>
      <c r="C31" s="19" t="str">
        <f>iferror(vlookup(B31,'Crew Data'!C:G,5,0)," ")</f>
        <v> </v>
      </c>
      <c r="D31" s="10" t="b">
        <v>0</v>
      </c>
      <c r="E31" s="10" t="b">
        <v>0</v>
      </c>
      <c r="F31" s="10" t="b">
        <v>0</v>
      </c>
      <c r="G31" s="10" t="b">
        <v>0</v>
      </c>
      <c r="H31" s="10" t="b">
        <v>0</v>
      </c>
      <c r="I31" s="10" t="b">
        <v>0</v>
      </c>
      <c r="J31" s="10" t="b">
        <v>0</v>
      </c>
      <c r="K31" s="10" t="b">
        <v>0</v>
      </c>
      <c r="L31" s="10" t="b">
        <v>0</v>
      </c>
      <c r="M31" s="10" t="b">
        <v>0</v>
      </c>
      <c r="N31" s="10" t="b">
        <v>0</v>
      </c>
      <c r="O31" s="10" t="b">
        <v>0</v>
      </c>
      <c r="P31" s="10" t="b">
        <v>0</v>
      </c>
      <c r="Q31" s="10" t="b">
        <v>0</v>
      </c>
      <c r="R31" s="10" t="b">
        <v>0</v>
      </c>
      <c r="S31" s="10" t="b">
        <v>0</v>
      </c>
      <c r="T31" s="10" t="b">
        <v>0</v>
      </c>
      <c r="U31" s="10" t="b">
        <v>0</v>
      </c>
      <c r="V31" s="10" t="b">
        <v>0</v>
      </c>
      <c r="W31" s="10" t="b">
        <v>0</v>
      </c>
      <c r="X31" s="10" t="b">
        <v>0</v>
      </c>
      <c r="Y31" s="10" t="b">
        <v>0</v>
      </c>
      <c r="Z31" s="10" t="b">
        <v>0</v>
      </c>
      <c r="AA31" s="10" t="b">
        <v>0</v>
      </c>
      <c r="AB31" s="10" t="b">
        <v>0</v>
      </c>
      <c r="AC31" s="10" t="b">
        <v>0</v>
      </c>
      <c r="AD31" s="10" t="b">
        <v>0</v>
      </c>
      <c r="AE31" s="10" t="b">
        <v>0</v>
      </c>
      <c r="AF31" s="10" t="b">
        <v>0</v>
      </c>
      <c r="AG31" s="10" t="b">
        <v>0</v>
      </c>
      <c r="AH31" s="10" t="b">
        <v>0</v>
      </c>
      <c r="AI31" s="20">
        <f t="shared" si="1"/>
        <v>0</v>
      </c>
      <c r="AJ31" s="21">
        <f t="shared" si="2"/>
        <v>0</v>
      </c>
      <c r="AK31" s="22">
        <f t="shared" si="3"/>
        <v>0</v>
      </c>
      <c r="AL31" s="23"/>
      <c r="AM31" s="24"/>
    </row>
    <row r="32" ht="23.25" customHeight="1">
      <c r="A32" s="12">
        <v>29.0</v>
      </c>
      <c r="B32" s="12"/>
      <c r="C32" s="13" t="str">
        <f>iferror(vlookup(B32,'Crew Data'!C:G,5,0)," ")</f>
        <v> </v>
      </c>
      <c r="D32" s="12" t="b">
        <v>0</v>
      </c>
      <c r="E32" s="12" t="b">
        <v>0</v>
      </c>
      <c r="F32" s="12" t="b">
        <v>0</v>
      </c>
      <c r="G32" s="12" t="b">
        <v>0</v>
      </c>
      <c r="H32" s="12" t="b">
        <v>0</v>
      </c>
      <c r="I32" s="12" t="b">
        <v>0</v>
      </c>
      <c r="J32" s="12" t="b">
        <v>0</v>
      </c>
      <c r="K32" s="12" t="b">
        <v>0</v>
      </c>
      <c r="L32" s="12" t="b">
        <v>0</v>
      </c>
      <c r="M32" s="12" t="b">
        <v>0</v>
      </c>
      <c r="N32" s="12" t="b">
        <v>0</v>
      </c>
      <c r="O32" s="12" t="b">
        <v>0</v>
      </c>
      <c r="P32" s="12" t="b">
        <v>0</v>
      </c>
      <c r="Q32" s="12" t="b">
        <v>0</v>
      </c>
      <c r="R32" s="12" t="b">
        <v>0</v>
      </c>
      <c r="S32" s="12" t="b">
        <v>0</v>
      </c>
      <c r="T32" s="12" t="b">
        <v>0</v>
      </c>
      <c r="U32" s="12" t="b">
        <v>0</v>
      </c>
      <c r="V32" s="12" t="b">
        <v>0</v>
      </c>
      <c r="W32" s="12" t="b">
        <v>0</v>
      </c>
      <c r="X32" s="12" t="b">
        <v>0</v>
      </c>
      <c r="Y32" s="12" t="b">
        <v>0</v>
      </c>
      <c r="Z32" s="12" t="b">
        <v>0</v>
      </c>
      <c r="AA32" s="12" t="b">
        <v>0</v>
      </c>
      <c r="AB32" s="12" t="b">
        <v>0</v>
      </c>
      <c r="AC32" s="12" t="b">
        <v>0</v>
      </c>
      <c r="AD32" s="12" t="b">
        <v>0</v>
      </c>
      <c r="AE32" s="12" t="b">
        <v>0</v>
      </c>
      <c r="AF32" s="12" t="b">
        <v>0</v>
      </c>
      <c r="AG32" s="12" t="b">
        <v>0</v>
      </c>
      <c r="AH32" s="12" t="b">
        <v>0</v>
      </c>
      <c r="AI32" s="14">
        <f t="shared" si="1"/>
        <v>0</v>
      </c>
      <c r="AJ32" s="15">
        <f t="shared" si="2"/>
        <v>0</v>
      </c>
      <c r="AK32" s="16">
        <f t="shared" si="3"/>
        <v>0</v>
      </c>
      <c r="AL32" s="17"/>
      <c r="AM32" s="18"/>
    </row>
    <row r="33" ht="23.25" customHeight="1">
      <c r="A33" s="10">
        <v>30.0</v>
      </c>
      <c r="B33" s="10"/>
      <c r="C33" s="19" t="str">
        <f>iferror(vlookup(B33,'Crew Data'!C:G,5,0)," ")</f>
        <v> </v>
      </c>
      <c r="D33" s="10" t="b">
        <v>0</v>
      </c>
      <c r="E33" s="10" t="b">
        <v>0</v>
      </c>
      <c r="F33" s="10" t="b">
        <v>0</v>
      </c>
      <c r="G33" s="10" t="b">
        <v>0</v>
      </c>
      <c r="H33" s="10" t="b">
        <v>0</v>
      </c>
      <c r="I33" s="10" t="b">
        <v>0</v>
      </c>
      <c r="J33" s="10" t="b">
        <v>0</v>
      </c>
      <c r="K33" s="10" t="b">
        <v>0</v>
      </c>
      <c r="L33" s="10" t="b">
        <v>0</v>
      </c>
      <c r="M33" s="10" t="b">
        <v>0</v>
      </c>
      <c r="N33" s="10" t="b">
        <v>0</v>
      </c>
      <c r="O33" s="10" t="b">
        <v>0</v>
      </c>
      <c r="P33" s="10" t="b">
        <v>0</v>
      </c>
      <c r="Q33" s="10" t="b">
        <v>0</v>
      </c>
      <c r="R33" s="10" t="b">
        <v>0</v>
      </c>
      <c r="S33" s="10" t="b">
        <v>0</v>
      </c>
      <c r="T33" s="10" t="b">
        <v>0</v>
      </c>
      <c r="U33" s="10" t="b">
        <v>0</v>
      </c>
      <c r="V33" s="10" t="b">
        <v>0</v>
      </c>
      <c r="W33" s="10" t="b">
        <v>0</v>
      </c>
      <c r="X33" s="10" t="b">
        <v>0</v>
      </c>
      <c r="Y33" s="10" t="b">
        <v>0</v>
      </c>
      <c r="Z33" s="10" t="b">
        <v>0</v>
      </c>
      <c r="AA33" s="10" t="b">
        <v>0</v>
      </c>
      <c r="AB33" s="10" t="b">
        <v>0</v>
      </c>
      <c r="AC33" s="10" t="b">
        <v>0</v>
      </c>
      <c r="AD33" s="10" t="b">
        <v>0</v>
      </c>
      <c r="AE33" s="10" t="b">
        <v>0</v>
      </c>
      <c r="AF33" s="10" t="b">
        <v>0</v>
      </c>
      <c r="AG33" s="10" t="b">
        <v>0</v>
      </c>
      <c r="AH33" s="10" t="b">
        <v>0</v>
      </c>
      <c r="AI33" s="20">
        <f t="shared" si="1"/>
        <v>0</v>
      </c>
      <c r="AJ33" s="21">
        <f t="shared" si="2"/>
        <v>0</v>
      </c>
      <c r="AK33" s="22">
        <f t="shared" si="3"/>
        <v>0</v>
      </c>
      <c r="AL33" s="23"/>
      <c r="AM33" s="24"/>
    </row>
    <row r="34" ht="23.25" customHeight="1">
      <c r="A34" s="12">
        <v>31.0</v>
      </c>
      <c r="B34" s="12"/>
      <c r="C34" s="13" t="str">
        <f>iferror(vlookup(B34,'Crew Data'!C:G,5,0)," ")</f>
        <v> </v>
      </c>
      <c r="D34" s="12" t="b">
        <v>0</v>
      </c>
      <c r="E34" s="12" t="b">
        <v>0</v>
      </c>
      <c r="F34" s="12" t="b">
        <v>0</v>
      </c>
      <c r="G34" s="12" t="b">
        <v>0</v>
      </c>
      <c r="H34" s="12" t="b">
        <v>0</v>
      </c>
      <c r="I34" s="12" t="b">
        <v>0</v>
      </c>
      <c r="J34" s="12" t="b">
        <v>0</v>
      </c>
      <c r="K34" s="12" t="b">
        <v>0</v>
      </c>
      <c r="L34" s="12" t="b">
        <v>0</v>
      </c>
      <c r="M34" s="12" t="b">
        <v>0</v>
      </c>
      <c r="N34" s="12" t="b">
        <v>0</v>
      </c>
      <c r="O34" s="12" t="b">
        <v>0</v>
      </c>
      <c r="P34" s="12" t="b">
        <v>0</v>
      </c>
      <c r="Q34" s="12" t="b">
        <v>0</v>
      </c>
      <c r="R34" s="12" t="b">
        <v>0</v>
      </c>
      <c r="S34" s="12" t="b">
        <v>0</v>
      </c>
      <c r="T34" s="12" t="b">
        <v>0</v>
      </c>
      <c r="U34" s="12" t="b">
        <v>0</v>
      </c>
      <c r="V34" s="12" t="b">
        <v>0</v>
      </c>
      <c r="W34" s="12" t="b">
        <v>0</v>
      </c>
      <c r="X34" s="12" t="b">
        <v>0</v>
      </c>
      <c r="Y34" s="12" t="b">
        <v>0</v>
      </c>
      <c r="Z34" s="12" t="b">
        <v>0</v>
      </c>
      <c r="AA34" s="12" t="b">
        <v>0</v>
      </c>
      <c r="AB34" s="12" t="b">
        <v>0</v>
      </c>
      <c r="AC34" s="12" t="b">
        <v>0</v>
      </c>
      <c r="AD34" s="12" t="b">
        <v>0</v>
      </c>
      <c r="AE34" s="12" t="b">
        <v>0</v>
      </c>
      <c r="AF34" s="12" t="b">
        <v>0</v>
      </c>
      <c r="AG34" s="12" t="b">
        <v>0</v>
      </c>
      <c r="AH34" s="12" t="b">
        <v>0</v>
      </c>
      <c r="AI34" s="14">
        <f t="shared" si="1"/>
        <v>0</v>
      </c>
      <c r="AJ34" s="15">
        <f t="shared" si="2"/>
        <v>0</v>
      </c>
      <c r="AK34" s="16">
        <f t="shared" si="3"/>
        <v>0</v>
      </c>
      <c r="AL34" s="17"/>
      <c r="AM34" s="18"/>
    </row>
    <row r="35" ht="23.25" customHeight="1">
      <c r="A35" s="10">
        <v>32.0</v>
      </c>
      <c r="B35" s="10"/>
      <c r="C35" s="19" t="str">
        <f>iferror(vlookup(B35,'Crew Data'!C:G,5,0)," ")</f>
        <v> </v>
      </c>
      <c r="D35" s="10" t="b">
        <v>0</v>
      </c>
      <c r="E35" s="10" t="b">
        <v>0</v>
      </c>
      <c r="F35" s="10" t="b">
        <v>0</v>
      </c>
      <c r="G35" s="10" t="b">
        <v>0</v>
      </c>
      <c r="H35" s="10" t="b">
        <v>0</v>
      </c>
      <c r="I35" s="10" t="b">
        <v>0</v>
      </c>
      <c r="J35" s="10" t="b">
        <v>0</v>
      </c>
      <c r="K35" s="10" t="b">
        <v>0</v>
      </c>
      <c r="L35" s="10" t="b">
        <v>0</v>
      </c>
      <c r="M35" s="10" t="b">
        <v>0</v>
      </c>
      <c r="N35" s="10" t="b">
        <v>0</v>
      </c>
      <c r="O35" s="10" t="b">
        <v>0</v>
      </c>
      <c r="P35" s="10" t="b">
        <v>0</v>
      </c>
      <c r="Q35" s="10" t="b">
        <v>0</v>
      </c>
      <c r="R35" s="10" t="b">
        <v>0</v>
      </c>
      <c r="S35" s="10" t="b">
        <v>0</v>
      </c>
      <c r="T35" s="10" t="b">
        <v>0</v>
      </c>
      <c r="U35" s="10" t="b">
        <v>0</v>
      </c>
      <c r="V35" s="10" t="b">
        <v>0</v>
      </c>
      <c r="W35" s="10" t="b">
        <v>0</v>
      </c>
      <c r="X35" s="10" t="b">
        <v>0</v>
      </c>
      <c r="Y35" s="10" t="b">
        <v>0</v>
      </c>
      <c r="Z35" s="10" t="b">
        <v>0</v>
      </c>
      <c r="AA35" s="10" t="b">
        <v>0</v>
      </c>
      <c r="AB35" s="10" t="b">
        <v>0</v>
      </c>
      <c r="AC35" s="10" t="b">
        <v>0</v>
      </c>
      <c r="AD35" s="10" t="b">
        <v>0</v>
      </c>
      <c r="AE35" s="10" t="b">
        <v>0</v>
      </c>
      <c r="AF35" s="10" t="b">
        <v>0</v>
      </c>
      <c r="AG35" s="10" t="b">
        <v>0</v>
      </c>
      <c r="AH35" s="10" t="b">
        <v>0</v>
      </c>
      <c r="AI35" s="20">
        <f t="shared" si="1"/>
        <v>0</v>
      </c>
      <c r="AJ35" s="21">
        <f t="shared" si="2"/>
        <v>0</v>
      </c>
      <c r="AK35" s="22">
        <f t="shared" si="3"/>
        <v>0</v>
      </c>
      <c r="AL35" s="23"/>
      <c r="AM35" s="24"/>
    </row>
    <row r="36" ht="23.25" customHeight="1">
      <c r="A36" s="12">
        <v>33.0</v>
      </c>
      <c r="B36" s="12"/>
      <c r="C36" s="13" t="str">
        <f>iferror(vlookup(B36,'Crew Data'!C:G,5,0)," ")</f>
        <v> </v>
      </c>
      <c r="D36" s="12" t="b">
        <v>0</v>
      </c>
      <c r="E36" s="12" t="b">
        <v>0</v>
      </c>
      <c r="F36" s="12" t="b">
        <v>0</v>
      </c>
      <c r="G36" s="12" t="b">
        <v>0</v>
      </c>
      <c r="H36" s="12" t="b">
        <v>0</v>
      </c>
      <c r="I36" s="12" t="b">
        <v>0</v>
      </c>
      <c r="J36" s="12" t="b">
        <v>0</v>
      </c>
      <c r="K36" s="12" t="b">
        <v>0</v>
      </c>
      <c r="L36" s="12" t="b">
        <v>0</v>
      </c>
      <c r="M36" s="12" t="b">
        <v>0</v>
      </c>
      <c r="N36" s="12" t="b">
        <v>0</v>
      </c>
      <c r="O36" s="12" t="b">
        <v>0</v>
      </c>
      <c r="P36" s="12" t="b">
        <v>0</v>
      </c>
      <c r="Q36" s="12" t="b">
        <v>0</v>
      </c>
      <c r="R36" s="12" t="b">
        <v>0</v>
      </c>
      <c r="S36" s="12" t="b">
        <v>0</v>
      </c>
      <c r="T36" s="12" t="b">
        <v>0</v>
      </c>
      <c r="U36" s="12" t="b">
        <v>0</v>
      </c>
      <c r="V36" s="12" t="b">
        <v>0</v>
      </c>
      <c r="W36" s="12" t="b">
        <v>0</v>
      </c>
      <c r="X36" s="12" t="b">
        <v>0</v>
      </c>
      <c r="Y36" s="12" t="b">
        <v>0</v>
      </c>
      <c r="Z36" s="12" t="b">
        <v>0</v>
      </c>
      <c r="AA36" s="12" t="b">
        <v>0</v>
      </c>
      <c r="AB36" s="12" t="b">
        <v>0</v>
      </c>
      <c r="AC36" s="12" t="b">
        <v>0</v>
      </c>
      <c r="AD36" s="12" t="b">
        <v>0</v>
      </c>
      <c r="AE36" s="12" t="b">
        <v>0</v>
      </c>
      <c r="AF36" s="12" t="b">
        <v>0</v>
      </c>
      <c r="AG36" s="12" t="b">
        <v>0</v>
      </c>
      <c r="AH36" s="12" t="b">
        <v>0</v>
      </c>
      <c r="AI36" s="14">
        <f t="shared" si="1"/>
        <v>0</v>
      </c>
      <c r="AJ36" s="15">
        <f t="shared" si="2"/>
        <v>0</v>
      </c>
      <c r="AK36" s="16">
        <f t="shared" si="3"/>
        <v>0</v>
      </c>
      <c r="AL36" s="17"/>
      <c r="AM36" s="18"/>
    </row>
    <row r="37" ht="23.25" customHeight="1">
      <c r="A37" s="10">
        <v>34.0</v>
      </c>
      <c r="B37" s="10"/>
      <c r="C37" s="19" t="str">
        <f>iferror(vlookup(B37,'Crew Data'!C:G,5,0)," ")</f>
        <v> </v>
      </c>
      <c r="D37" s="10" t="b">
        <v>0</v>
      </c>
      <c r="E37" s="10" t="b">
        <v>0</v>
      </c>
      <c r="F37" s="10" t="b">
        <v>0</v>
      </c>
      <c r="G37" s="10" t="b">
        <v>0</v>
      </c>
      <c r="H37" s="10" t="b">
        <v>0</v>
      </c>
      <c r="I37" s="10" t="b">
        <v>0</v>
      </c>
      <c r="J37" s="10" t="b">
        <v>0</v>
      </c>
      <c r="K37" s="10" t="b">
        <v>0</v>
      </c>
      <c r="L37" s="10" t="b">
        <v>0</v>
      </c>
      <c r="M37" s="10" t="b">
        <v>0</v>
      </c>
      <c r="N37" s="10" t="b">
        <v>0</v>
      </c>
      <c r="O37" s="10" t="b">
        <v>0</v>
      </c>
      <c r="P37" s="10" t="b">
        <v>0</v>
      </c>
      <c r="Q37" s="10" t="b">
        <v>0</v>
      </c>
      <c r="R37" s="10" t="b">
        <v>0</v>
      </c>
      <c r="S37" s="10" t="b">
        <v>0</v>
      </c>
      <c r="T37" s="10" t="b">
        <v>0</v>
      </c>
      <c r="U37" s="10" t="b">
        <v>0</v>
      </c>
      <c r="V37" s="10" t="b">
        <v>0</v>
      </c>
      <c r="W37" s="10" t="b">
        <v>0</v>
      </c>
      <c r="X37" s="10" t="b">
        <v>0</v>
      </c>
      <c r="Y37" s="10" t="b">
        <v>0</v>
      </c>
      <c r="Z37" s="10" t="b">
        <v>0</v>
      </c>
      <c r="AA37" s="10" t="b">
        <v>0</v>
      </c>
      <c r="AB37" s="10" t="b">
        <v>0</v>
      </c>
      <c r="AC37" s="10" t="b">
        <v>0</v>
      </c>
      <c r="AD37" s="10" t="b">
        <v>0</v>
      </c>
      <c r="AE37" s="10" t="b">
        <v>0</v>
      </c>
      <c r="AF37" s="10" t="b">
        <v>0</v>
      </c>
      <c r="AG37" s="10" t="b">
        <v>0</v>
      </c>
      <c r="AH37" s="10" t="b">
        <v>0</v>
      </c>
      <c r="AI37" s="20">
        <f t="shared" si="1"/>
        <v>0</v>
      </c>
      <c r="AJ37" s="21">
        <f t="shared" si="2"/>
        <v>0</v>
      </c>
      <c r="AK37" s="22">
        <f t="shared" si="3"/>
        <v>0</v>
      </c>
      <c r="AL37" s="23"/>
      <c r="AM37" s="24"/>
    </row>
    <row r="38" ht="23.25" customHeight="1">
      <c r="A38" s="12">
        <v>35.0</v>
      </c>
      <c r="B38" s="12"/>
      <c r="C38" s="13" t="str">
        <f>iferror(vlookup(B38,'Crew Data'!C:G,5,0)," ")</f>
        <v> </v>
      </c>
      <c r="D38" s="12" t="b">
        <v>0</v>
      </c>
      <c r="E38" s="12" t="b">
        <v>0</v>
      </c>
      <c r="F38" s="12" t="b">
        <v>0</v>
      </c>
      <c r="G38" s="12" t="b">
        <v>0</v>
      </c>
      <c r="H38" s="12" t="b">
        <v>0</v>
      </c>
      <c r="I38" s="12" t="b">
        <v>0</v>
      </c>
      <c r="J38" s="12" t="b">
        <v>0</v>
      </c>
      <c r="K38" s="12" t="b">
        <v>0</v>
      </c>
      <c r="L38" s="12" t="b">
        <v>0</v>
      </c>
      <c r="M38" s="12" t="b">
        <v>0</v>
      </c>
      <c r="N38" s="12" t="b">
        <v>0</v>
      </c>
      <c r="O38" s="12" t="b">
        <v>0</v>
      </c>
      <c r="P38" s="12" t="b">
        <v>0</v>
      </c>
      <c r="Q38" s="12" t="b">
        <v>0</v>
      </c>
      <c r="R38" s="12" t="b">
        <v>0</v>
      </c>
      <c r="S38" s="12" t="b">
        <v>0</v>
      </c>
      <c r="T38" s="12" t="b">
        <v>0</v>
      </c>
      <c r="U38" s="12" t="b">
        <v>0</v>
      </c>
      <c r="V38" s="12" t="b">
        <v>0</v>
      </c>
      <c r="W38" s="12" t="b">
        <v>0</v>
      </c>
      <c r="X38" s="12" t="b">
        <v>0</v>
      </c>
      <c r="Y38" s="12" t="b">
        <v>0</v>
      </c>
      <c r="Z38" s="12" t="b">
        <v>0</v>
      </c>
      <c r="AA38" s="12" t="b">
        <v>0</v>
      </c>
      <c r="AB38" s="12" t="b">
        <v>0</v>
      </c>
      <c r="AC38" s="12" t="b">
        <v>0</v>
      </c>
      <c r="AD38" s="12" t="b">
        <v>0</v>
      </c>
      <c r="AE38" s="12" t="b">
        <v>0</v>
      </c>
      <c r="AF38" s="12" t="b">
        <v>0</v>
      </c>
      <c r="AG38" s="12" t="b">
        <v>0</v>
      </c>
      <c r="AH38" s="12" t="b">
        <v>0</v>
      </c>
      <c r="AI38" s="14">
        <f t="shared" si="1"/>
        <v>0</v>
      </c>
      <c r="AJ38" s="15">
        <f t="shared" si="2"/>
        <v>0</v>
      </c>
      <c r="AK38" s="16">
        <f t="shared" si="3"/>
        <v>0</v>
      </c>
      <c r="AL38" s="17"/>
      <c r="AM38" s="18"/>
    </row>
    <row r="39" ht="23.25" customHeight="1">
      <c r="A39" s="10">
        <v>36.0</v>
      </c>
      <c r="B39" s="10"/>
      <c r="C39" s="19" t="str">
        <f>iferror(vlookup(B39,'Crew Data'!C:G,5,0)," ")</f>
        <v> </v>
      </c>
      <c r="D39" s="10" t="b">
        <v>0</v>
      </c>
      <c r="E39" s="10" t="b">
        <v>0</v>
      </c>
      <c r="F39" s="10" t="b">
        <v>0</v>
      </c>
      <c r="G39" s="10" t="b">
        <v>0</v>
      </c>
      <c r="H39" s="10" t="b">
        <v>0</v>
      </c>
      <c r="I39" s="10" t="b">
        <v>0</v>
      </c>
      <c r="J39" s="10" t="b">
        <v>0</v>
      </c>
      <c r="K39" s="10" t="b">
        <v>0</v>
      </c>
      <c r="L39" s="10" t="b">
        <v>0</v>
      </c>
      <c r="M39" s="10" t="b">
        <v>0</v>
      </c>
      <c r="N39" s="10" t="b">
        <v>0</v>
      </c>
      <c r="O39" s="10" t="b">
        <v>0</v>
      </c>
      <c r="P39" s="10" t="b">
        <v>0</v>
      </c>
      <c r="Q39" s="10" t="b">
        <v>0</v>
      </c>
      <c r="R39" s="10" t="b">
        <v>0</v>
      </c>
      <c r="S39" s="10" t="b">
        <v>0</v>
      </c>
      <c r="T39" s="10" t="b">
        <v>0</v>
      </c>
      <c r="U39" s="10" t="b">
        <v>0</v>
      </c>
      <c r="V39" s="10" t="b">
        <v>0</v>
      </c>
      <c r="W39" s="10" t="b">
        <v>0</v>
      </c>
      <c r="X39" s="10" t="b">
        <v>0</v>
      </c>
      <c r="Y39" s="10" t="b">
        <v>0</v>
      </c>
      <c r="Z39" s="10" t="b">
        <v>0</v>
      </c>
      <c r="AA39" s="10" t="b">
        <v>0</v>
      </c>
      <c r="AB39" s="10" t="b">
        <v>0</v>
      </c>
      <c r="AC39" s="10" t="b">
        <v>0</v>
      </c>
      <c r="AD39" s="10" t="b">
        <v>0</v>
      </c>
      <c r="AE39" s="10" t="b">
        <v>0</v>
      </c>
      <c r="AF39" s="10" t="b">
        <v>0</v>
      </c>
      <c r="AG39" s="10" t="b">
        <v>0</v>
      </c>
      <c r="AH39" s="10" t="b">
        <v>0</v>
      </c>
      <c r="AI39" s="20">
        <f t="shared" si="1"/>
        <v>0</v>
      </c>
      <c r="AJ39" s="21">
        <f t="shared" si="2"/>
        <v>0</v>
      </c>
      <c r="AK39" s="22">
        <f t="shared" si="3"/>
        <v>0</v>
      </c>
      <c r="AL39" s="23"/>
      <c r="AM39" s="24"/>
    </row>
    <row r="40" ht="23.25" customHeight="1">
      <c r="A40" s="12">
        <v>37.0</v>
      </c>
      <c r="B40" s="12"/>
      <c r="C40" s="13" t="str">
        <f>iferror(vlookup(B40,'Crew Data'!C:G,5,0)," ")</f>
        <v> </v>
      </c>
      <c r="D40" s="12" t="b">
        <v>0</v>
      </c>
      <c r="E40" s="12" t="b">
        <v>0</v>
      </c>
      <c r="F40" s="12" t="b">
        <v>0</v>
      </c>
      <c r="G40" s="12" t="b">
        <v>0</v>
      </c>
      <c r="H40" s="12" t="b">
        <v>0</v>
      </c>
      <c r="I40" s="12" t="b">
        <v>0</v>
      </c>
      <c r="J40" s="12" t="b">
        <v>0</v>
      </c>
      <c r="K40" s="12" t="b">
        <v>0</v>
      </c>
      <c r="L40" s="12" t="b">
        <v>0</v>
      </c>
      <c r="M40" s="12" t="b">
        <v>0</v>
      </c>
      <c r="N40" s="12" t="b">
        <v>0</v>
      </c>
      <c r="O40" s="12" t="b">
        <v>0</v>
      </c>
      <c r="P40" s="12" t="b">
        <v>0</v>
      </c>
      <c r="Q40" s="12" t="b">
        <v>0</v>
      </c>
      <c r="R40" s="12" t="b">
        <v>0</v>
      </c>
      <c r="S40" s="12" t="b">
        <v>0</v>
      </c>
      <c r="T40" s="12" t="b">
        <v>0</v>
      </c>
      <c r="U40" s="12" t="b">
        <v>0</v>
      </c>
      <c r="V40" s="12" t="b">
        <v>0</v>
      </c>
      <c r="W40" s="12" t="b">
        <v>0</v>
      </c>
      <c r="X40" s="12" t="b">
        <v>0</v>
      </c>
      <c r="Y40" s="12" t="b">
        <v>0</v>
      </c>
      <c r="Z40" s="12" t="b">
        <v>0</v>
      </c>
      <c r="AA40" s="12" t="b">
        <v>0</v>
      </c>
      <c r="AB40" s="12" t="b">
        <v>0</v>
      </c>
      <c r="AC40" s="12" t="b">
        <v>0</v>
      </c>
      <c r="AD40" s="12" t="b">
        <v>0</v>
      </c>
      <c r="AE40" s="12" t="b">
        <v>0</v>
      </c>
      <c r="AF40" s="12" t="b">
        <v>0</v>
      </c>
      <c r="AG40" s="12" t="b">
        <v>0</v>
      </c>
      <c r="AH40" s="12" t="b">
        <v>0</v>
      </c>
      <c r="AI40" s="14">
        <f t="shared" si="1"/>
        <v>0</v>
      </c>
      <c r="AJ40" s="15">
        <f t="shared" si="2"/>
        <v>0</v>
      </c>
      <c r="AK40" s="16">
        <f t="shared" si="3"/>
        <v>0</v>
      </c>
      <c r="AL40" s="17"/>
      <c r="AM40" s="18"/>
    </row>
    <row r="41" ht="23.25" customHeight="1">
      <c r="A41" s="10">
        <v>38.0</v>
      </c>
      <c r="B41" s="10"/>
      <c r="C41" s="19" t="str">
        <f>iferror(vlookup(B41,'Crew Data'!C:G,5,0)," ")</f>
        <v> </v>
      </c>
      <c r="D41" s="10" t="b">
        <v>0</v>
      </c>
      <c r="E41" s="10" t="b">
        <v>0</v>
      </c>
      <c r="F41" s="10" t="b">
        <v>0</v>
      </c>
      <c r="G41" s="10" t="b">
        <v>0</v>
      </c>
      <c r="H41" s="10" t="b">
        <v>0</v>
      </c>
      <c r="I41" s="10" t="b">
        <v>0</v>
      </c>
      <c r="J41" s="10" t="b">
        <v>0</v>
      </c>
      <c r="K41" s="10" t="b">
        <v>0</v>
      </c>
      <c r="L41" s="10" t="b">
        <v>0</v>
      </c>
      <c r="M41" s="10" t="b">
        <v>0</v>
      </c>
      <c r="N41" s="10" t="b">
        <v>0</v>
      </c>
      <c r="O41" s="10" t="b">
        <v>0</v>
      </c>
      <c r="P41" s="10" t="b">
        <v>0</v>
      </c>
      <c r="Q41" s="10" t="b">
        <v>0</v>
      </c>
      <c r="R41" s="10" t="b">
        <v>0</v>
      </c>
      <c r="S41" s="10" t="b">
        <v>0</v>
      </c>
      <c r="T41" s="10" t="b">
        <v>0</v>
      </c>
      <c r="U41" s="10" t="b">
        <v>0</v>
      </c>
      <c r="V41" s="10" t="b">
        <v>0</v>
      </c>
      <c r="W41" s="10" t="b">
        <v>0</v>
      </c>
      <c r="X41" s="10" t="b">
        <v>0</v>
      </c>
      <c r="Y41" s="10" t="b">
        <v>0</v>
      </c>
      <c r="Z41" s="10" t="b">
        <v>0</v>
      </c>
      <c r="AA41" s="10" t="b">
        <v>0</v>
      </c>
      <c r="AB41" s="10" t="b">
        <v>0</v>
      </c>
      <c r="AC41" s="10" t="b">
        <v>0</v>
      </c>
      <c r="AD41" s="10" t="b">
        <v>0</v>
      </c>
      <c r="AE41" s="10" t="b">
        <v>0</v>
      </c>
      <c r="AF41" s="10" t="b">
        <v>0</v>
      </c>
      <c r="AG41" s="10" t="b">
        <v>0</v>
      </c>
      <c r="AH41" s="10" t="b">
        <v>0</v>
      </c>
      <c r="AI41" s="20">
        <f t="shared" si="1"/>
        <v>0</v>
      </c>
      <c r="AJ41" s="21">
        <f t="shared" si="2"/>
        <v>0</v>
      </c>
      <c r="AK41" s="22">
        <f t="shared" si="3"/>
        <v>0</v>
      </c>
      <c r="AL41" s="23"/>
      <c r="AM41" s="24"/>
    </row>
    <row r="42" ht="23.25" customHeight="1">
      <c r="A42" s="12">
        <v>39.0</v>
      </c>
      <c r="B42" s="12"/>
      <c r="C42" s="13" t="str">
        <f>iferror(vlookup(B42,'Crew Data'!C:G,5,0)," ")</f>
        <v> </v>
      </c>
      <c r="D42" s="12" t="b">
        <v>0</v>
      </c>
      <c r="E42" s="12" t="b">
        <v>0</v>
      </c>
      <c r="F42" s="12" t="b">
        <v>0</v>
      </c>
      <c r="G42" s="12" t="b">
        <v>0</v>
      </c>
      <c r="H42" s="12" t="b">
        <v>0</v>
      </c>
      <c r="I42" s="12" t="b">
        <v>0</v>
      </c>
      <c r="J42" s="12" t="b">
        <v>0</v>
      </c>
      <c r="K42" s="12" t="b">
        <v>0</v>
      </c>
      <c r="L42" s="12" t="b">
        <v>0</v>
      </c>
      <c r="M42" s="12" t="b">
        <v>0</v>
      </c>
      <c r="N42" s="12" t="b">
        <v>0</v>
      </c>
      <c r="O42" s="12" t="b">
        <v>0</v>
      </c>
      <c r="P42" s="12" t="b">
        <v>0</v>
      </c>
      <c r="Q42" s="12" t="b">
        <v>0</v>
      </c>
      <c r="R42" s="12" t="b">
        <v>0</v>
      </c>
      <c r="S42" s="12" t="b">
        <v>0</v>
      </c>
      <c r="T42" s="12" t="b">
        <v>0</v>
      </c>
      <c r="U42" s="12" t="b">
        <v>0</v>
      </c>
      <c r="V42" s="12" t="b">
        <v>0</v>
      </c>
      <c r="W42" s="12" t="b">
        <v>0</v>
      </c>
      <c r="X42" s="12" t="b">
        <v>0</v>
      </c>
      <c r="Y42" s="12" t="b">
        <v>0</v>
      </c>
      <c r="Z42" s="12" t="b">
        <v>0</v>
      </c>
      <c r="AA42" s="12" t="b">
        <v>0</v>
      </c>
      <c r="AB42" s="12" t="b">
        <v>0</v>
      </c>
      <c r="AC42" s="12" t="b">
        <v>0</v>
      </c>
      <c r="AD42" s="12" t="b">
        <v>0</v>
      </c>
      <c r="AE42" s="12" t="b">
        <v>0</v>
      </c>
      <c r="AF42" s="12" t="b">
        <v>0</v>
      </c>
      <c r="AG42" s="12" t="b">
        <v>0</v>
      </c>
      <c r="AH42" s="12" t="b">
        <v>0</v>
      </c>
      <c r="AI42" s="14">
        <f t="shared" si="1"/>
        <v>0</v>
      </c>
      <c r="AJ42" s="15">
        <f t="shared" si="2"/>
        <v>0</v>
      </c>
      <c r="AK42" s="16">
        <f t="shared" si="3"/>
        <v>0</v>
      </c>
      <c r="AL42" s="17"/>
      <c r="AM42" s="18"/>
    </row>
    <row r="43" ht="23.25" customHeight="1">
      <c r="A43" s="10">
        <v>40.0</v>
      </c>
      <c r="B43" s="10"/>
      <c r="C43" s="19" t="str">
        <f>iferror(vlookup(B43,'Crew Data'!C:G,5,0)," ")</f>
        <v> </v>
      </c>
      <c r="D43" s="10" t="b">
        <v>0</v>
      </c>
      <c r="E43" s="10" t="b">
        <v>0</v>
      </c>
      <c r="F43" s="10" t="b">
        <v>0</v>
      </c>
      <c r="G43" s="10" t="b">
        <v>0</v>
      </c>
      <c r="H43" s="10" t="b">
        <v>0</v>
      </c>
      <c r="I43" s="10" t="b">
        <v>0</v>
      </c>
      <c r="J43" s="10" t="b">
        <v>0</v>
      </c>
      <c r="K43" s="10" t="b">
        <v>0</v>
      </c>
      <c r="L43" s="10" t="b">
        <v>0</v>
      </c>
      <c r="M43" s="10" t="b">
        <v>0</v>
      </c>
      <c r="N43" s="10" t="b">
        <v>0</v>
      </c>
      <c r="O43" s="10" t="b">
        <v>0</v>
      </c>
      <c r="P43" s="10" t="b">
        <v>0</v>
      </c>
      <c r="Q43" s="10" t="b">
        <v>0</v>
      </c>
      <c r="R43" s="10" t="b">
        <v>0</v>
      </c>
      <c r="S43" s="10" t="b">
        <v>0</v>
      </c>
      <c r="T43" s="10" t="b">
        <v>0</v>
      </c>
      <c r="U43" s="10" t="b">
        <v>0</v>
      </c>
      <c r="V43" s="10" t="b">
        <v>0</v>
      </c>
      <c r="W43" s="10" t="b">
        <v>0</v>
      </c>
      <c r="X43" s="10" t="b">
        <v>0</v>
      </c>
      <c r="Y43" s="10" t="b">
        <v>0</v>
      </c>
      <c r="Z43" s="10" t="b">
        <v>0</v>
      </c>
      <c r="AA43" s="10" t="b">
        <v>0</v>
      </c>
      <c r="AB43" s="10" t="b">
        <v>0</v>
      </c>
      <c r="AC43" s="10" t="b">
        <v>0</v>
      </c>
      <c r="AD43" s="10" t="b">
        <v>0</v>
      </c>
      <c r="AE43" s="10" t="b">
        <v>0</v>
      </c>
      <c r="AF43" s="10" t="b">
        <v>0</v>
      </c>
      <c r="AG43" s="10" t="b">
        <v>0</v>
      </c>
      <c r="AH43" s="10" t="b">
        <v>0</v>
      </c>
      <c r="AI43" s="20">
        <f t="shared" si="1"/>
        <v>0</v>
      </c>
      <c r="AJ43" s="21">
        <f t="shared" si="2"/>
        <v>0</v>
      </c>
      <c r="AK43" s="22">
        <f t="shared" si="3"/>
        <v>0</v>
      </c>
      <c r="AL43" s="23"/>
      <c r="AM43" s="24"/>
    </row>
    <row r="44" ht="23.25" customHeight="1">
      <c r="A44" s="12">
        <v>41.0</v>
      </c>
      <c r="B44" s="12"/>
      <c r="C44" s="13" t="str">
        <f>iferror(vlookup(B44,'Crew Data'!C:G,5,0)," ")</f>
        <v> </v>
      </c>
      <c r="D44" s="12" t="b">
        <v>0</v>
      </c>
      <c r="E44" s="12" t="b">
        <v>0</v>
      </c>
      <c r="F44" s="12" t="b">
        <v>0</v>
      </c>
      <c r="G44" s="12" t="b">
        <v>0</v>
      </c>
      <c r="H44" s="12" t="b">
        <v>0</v>
      </c>
      <c r="I44" s="12" t="b">
        <v>0</v>
      </c>
      <c r="J44" s="12" t="b">
        <v>0</v>
      </c>
      <c r="K44" s="12" t="b">
        <v>0</v>
      </c>
      <c r="L44" s="12" t="b">
        <v>0</v>
      </c>
      <c r="M44" s="12" t="b">
        <v>0</v>
      </c>
      <c r="N44" s="12" t="b">
        <v>0</v>
      </c>
      <c r="O44" s="12" t="b">
        <v>0</v>
      </c>
      <c r="P44" s="12" t="b">
        <v>0</v>
      </c>
      <c r="Q44" s="12" t="b">
        <v>0</v>
      </c>
      <c r="R44" s="12" t="b">
        <v>0</v>
      </c>
      <c r="S44" s="12" t="b">
        <v>0</v>
      </c>
      <c r="T44" s="12" t="b">
        <v>0</v>
      </c>
      <c r="U44" s="12" t="b">
        <v>0</v>
      </c>
      <c r="V44" s="12" t="b">
        <v>0</v>
      </c>
      <c r="W44" s="12" t="b">
        <v>0</v>
      </c>
      <c r="X44" s="12" t="b">
        <v>0</v>
      </c>
      <c r="Y44" s="12" t="b">
        <v>0</v>
      </c>
      <c r="Z44" s="12" t="b">
        <v>0</v>
      </c>
      <c r="AA44" s="12" t="b">
        <v>0</v>
      </c>
      <c r="AB44" s="12" t="b">
        <v>0</v>
      </c>
      <c r="AC44" s="12" t="b">
        <v>0</v>
      </c>
      <c r="AD44" s="12" t="b">
        <v>0</v>
      </c>
      <c r="AE44" s="12" t="b">
        <v>0</v>
      </c>
      <c r="AF44" s="12" t="b">
        <v>0</v>
      </c>
      <c r="AG44" s="12" t="b">
        <v>0</v>
      </c>
      <c r="AH44" s="12" t="b">
        <v>0</v>
      </c>
      <c r="AI44" s="14">
        <f t="shared" si="1"/>
        <v>0</v>
      </c>
      <c r="AJ44" s="15">
        <f t="shared" si="2"/>
        <v>0</v>
      </c>
      <c r="AK44" s="16">
        <f t="shared" si="3"/>
        <v>0</v>
      </c>
      <c r="AL44" s="17"/>
      <c r="AM44" s="18"/>
    </row>
    <row r="45" ht="23.25" customHeight="1">
      <c r="A45" s="10">
        <v>42.0</v>
      </c>
      <c r="B45" s="10"/>
      <c r="C45" s="19" t="str">
        <f>iferror(vlookup(B45,'Crew Data'!C:G,5,0)," ")</f>
        <v> </v>
      </c>
      <c r="D45" s="10" t="b">
        <v>0</v>
      </c>
      <c r="E45" s="10" t="b">
        <v>0</v>
      </c>
      <c r="F45" s="10" t="b">
        <v>0</v>
      </c>
      <c r="G45" s="10" t="b">
        <v>0</v>
      </c>
      <c r="H45" s="10" t="b">
        <v>0</v>
      </c>
      <c r="I45" s="10" t="b">
        <v>0</v>
      </c>
      <c r="J45" s="10" t="b">
        <v>0</v>
      </c>
      <c r="K45" s="10" t="b">
        <v>0</v>
      </c>
      <c r="L45" s="10" t="b">
        <v>0</v>
      </c>
      <c r="M45" s="10" t="b">
        <v>0</v>
      </c>
      <c r="N45" s="10" t="b">
        <v>0</v>
      </c>
      <c r="O45" s="10" t="b">
        <v>0</v>
      </c>
      <c r="P45" s="10" t="b">
        <v>0</v>
      </c>
      <c r="Q45" s="10" t="b">
        <v>0</v>
      </c>
      <c r="R45" s="10" t="b">
        <v>0</v>
      </c>
      <c r="S45" s="10" t="b">
        <v>0</v>
      </c>
      <c r="T45" s="10" t="b">
        <v>0</v>
      </c>
      <c r="U45" s="10" t="b">
        <v>0</v>
      </c>
      <c r="V45" s="10" t="b">
        <v>0</v>
      </c>
      <c r="W45" s="10" t="b">
        <v>0</v>
      </c>
      <c r="X45" s="10" t="b">
        <v>0</v>
      </c>
      <c r="Y45" s="10" t="b">
        <v>0</v>
      </c>
      <c r="Z45" s="10" t="b">
        <v>0</v>
      </c>
      <c r="AA45" s="10" t="b">
        <v>0</v>
      </c>
      <c r="AB45" s="10" t="b">
        <v>0</v>
      </c>
      <c r="AC45" s="10" t="b">
        <v>0</v>
      </c>
      <c r="AD45" s="10" t="b">
        <v>0</v>
      </c>
      <c r="AE45" s="10" t="b">
        <v>0</v>
      </c>
      <c r="AF45" s="10" t="b">
        <v>0</v>
      </c>
      <c r="AG45" s="10" t="b">
        <v>0</v>
      </c>
      <c r="AH45" s="10" t="b">
        <v>0</v>
      </c>
      <c r="AI45" s="20">
        <f t="shared" si="1"/>
        <v>0</v>
      </c>
      <c r="AJ45" s="21">
        <f t="shared" si="2"/>
        <v>0</v>
      </c>
      <c r="AK45" s="22">
        <f t="shared" si="3"/>
        <v>0</v>
      </c>
      <c r="AL45" s="23"/>
      <c r="AM45" s="24"/>
    </row>
    <row r="46" ht="23.25" customHeight="1">
      <c r="A46" s="12">
        <v>43.0</v>
      </c>
      <c r="B46" s="12"/>
      <c r="C46" s="13" t="str">
        <f>iferror(vlookup(B46,'Crew Data'!C:G,5,0)," ")</f>
        <v> </v>
      </c>
      <c r="D46" s="12" t="b">
        <v>0</v>
      </c>
      <c r="E46" s="12" t="b">
        <v>0</v>
      </c>
      <c r="F46" s="12" t="b">
        <v>0</v>
      </c>
      <c r="G46" s="12" t="b">
        <v>0</v>
      </c>
      <c r="H46" s="12" t="b">
        <v>0</v>
      </c>
      <c r="I46" s="12" t="b">
        <v>0</v>
      </c>
      <c r="J46" s="12" t="b">
        <v>0</v>
      </c>
      <c r="K46" s="12" t="b">
        <v>0</v>
      </c>
      <c r="L46" s="12" t="b">
        <v>0</v>
      </c>
      <c r="M46" s="12" t="b">
        <v>0</v>
      </c>
      <c r="N46" s="12" t="b">
        <v>0</v>
      </c>
      <c r="O46" s="12" t="b">
        <v>0</v>
      </c>
      <c r="P46" s="12" t="b">
        <v>0</v>
      </c>
      <c r="Q46" s="12" t="b">
        <v>0</v>
      </c>
      <c r="R46" s="12" t="b">
        <v>0</v>
      </c>
      <c r="S46" s="12" t="b">
        <v>0</v>
      </c>
      <c r="T46" s="12" t="b">
        <v>0</v>
      </c>
      <c r="U46" s="12" t="b">
        <v>0</v>
      </c>
      <c r="V46" s="12" t="b">
        <v>0</v>
      </c>
      <c r="W46" s="12" t="b">
        <v>0</v>
      </c>
      <c r="X46" s="12" t="b">
        <v>0</v>
      </c>
      <c r="Y46" s="12" t="b">
        <v>0</v>
      </c>
      <c r="Z46" s="12" t="b">
        <v>0</v>
      </c>
      <c r="AA46" s="12" t="b">
        <v>0</v>
      </c>
      <c r="AB46" s="12" t="b">
        <v>0</v>
      </c>
      <c r="AC46" s="12" t="b">
        <v>0</v>
      </c>
      <c r="AD46" s="12" t="b">
        <v>0</v>
      </c>
      <c r="AE46" s="12" t="b">
        <v>0</v>
      </c>
      <c r="AF46" s="12" t="b">
        <v>0</v>
      </c>
      <c r="AG46" s="12" t="b">
        <v>0</v>
      </c>
      <c r="AH46" s="12" t="b">
        <v>0</v>
      </c>
      <c r="AI46" s="14">
        <f t="shared" si="1"/>
        <v>0</v>
      </c>
      <c r="AJ46" s="15">
        <f t="shared" si="2"/>
        <v>0</v>
      </c>
      <c r="AK46" s="16">
        <f t="shared" si="3"/>
        <v>0</v>
      </c>
      <c r="AL46" s="17"/>
      <c r="AM46" s="18"/>
    </row>
    <row r="47" ht="23.25" customHeight="1">
      <c r="A47" s="10">
        <v>44.0</v>
      </c>
      <c r="B47" s="10"/>
      <c r="C47" s="19" t="str">
        <f>iferror(vlookup(B47,'Crew Data'!C:G,5,0)," ")</f>
        <v> </v>
      </c>
      <c r="D47" s="10" t="b">
        <v>0</v>
      </c>
      <c r="E47" s="10" t="b">
        <v>0</v>
      </c>
      <c r="F47" s="10" t="b">
        <v>0</v>
      </c>
      <c r="G47" s="10" t="b">
        <v>0</v>
      </c>
      <c r="H47" s="10" t="b">
        <v>0</v>
      </c>
      <c r="I47" s="10" t="b">
        <v>0</v>
      </c>
      <c r="J47" s="10" t="b">
        <v>0</v>
      </c>
      <c r="K47" s="10" t="b">
        <v>0</v>
      </c>
      <c r="L47" s="10" t="b">
        <v>0</v>
      </c>
      <c r="M47" s="10" t="b">
        <v>0</v>
      </c>
      <c r="N47" s="10" t="b">
        <v>0</v>
      </c>
      <c r="O47" s="10" t="b">
        <v>0</v>
      </c>
      <c r="P47" s="10" t="b">
        <v>0</v>
      </c>
      <c r="Q47" s="10" t="b">
        <v>0</v>
      </c>
      <c r="R47" s="10" t="b">
        <v>0</v>
      </c>
      <c r="S47" s="10" t="b">
        <v>0</v>
      </c>
      <c r="T47" s="10" t="b">
        <v>0</v>
      </c>
      <c r="U47" s="10" t="b">
        <v>0</v>
      </c>
      <c r="V47" s="10" t="b">
        <v>0</v>
      </c>
      <c r="W47" s="10" t="b">
        <v>0</v>
      </c>
      <c r="X47" s="10" t="b">
        <v>0</v>
      </c>
      <c r="Y47" s="10" t="b">
        <v>0</v>
      </c>
      <c r="Z47" s="10" t="b">
        <v>0</v>
      </c>
      <c r="AA47" s="10" t="b">
        <v>0</v>
      </c>
      <c r="AB47" s="10" t="b">
        <v>0</v>
      </c>
      <c r="AC47" s="10" t="b">
        <v>0</v>
      </c>
      <c r="AD47" s="10" t="b">
        <v>0</v>
      </c>
      <c r="AE47" s="10" t="b">
        <v>0</v>
      </c>
      <c r="AF47" s="10" t="b">
        <v>0</v>
      </c>
      <c r="AG47" s="10" t="b">
        <v>0</v>
      </c>
      <c r="AH47" s="10" t="b">
        <v>0</v>
      </c>
      <c r="AI47" s="20">
        <f t="shared" si="1"/>
        <v>0</v>
      </c>
      <c r="AJ47" s="21">
        <f t="shared" si="2"/>
        <v>0</v>
      </c>
      <c r="AK47" s="22">
        <f t="shared" si="3"/>
        <v>0</v>
      </c>
      <c r="AL47" s="23"/>
      <c r="AM47" s="24"/>
    </row>
    <row r="48" ht="23.25" customHeight="1">
      <c r="A48" s="12">
        <v>45.0</v>
      </c>
      <c r="B48" s="12"/>
      <c r="C48" s="13" t="str">
        <f>iferror(vlookup(B48,'Crew Data'!C:G,5,0)," ")</f>
        <v> </v>
      </c>
      <c r="D48" s="12" t="b">
        <v>0</v>
      </c>
      <c r="E48" s="12" t="b">
        <v>0</v>
      </c>
      <c r="F48" s="12" t="b">
        <v>0</v>
      </c>
      <c r="G48" s="12" t="b">
        <v>0</v>
      </c>
      <c r="H48" s="12" t="b">
        <v>0</v>
      </c>
      <c r="I48" s="12" t="b">
        <v>0</v>
      </c>
      <c r="J48" s="12" t="b">
        <v>0</v>
      </c>
      <c r="K48" s="12" t="b">
        <v>0</v>
      </c>
      <c r="L48" s="12" t="b">
        <v>0</v>
      </c>
      <c r="M48" s="12" t="b">
        <v>0</v>
      </c>
      <c r="N48" s="12" t="b">
        <v>0</v>
      </c>
      <c r="O48" s="12" t="b">
        <v>0</v>
      </c>
      <c r="P48" s="12" t="b">
        <v>0</v>
      </c>
      <c r="Q48" s="12" t="b">
        <v>0</v>
      </c>
      <c r="R48" s="12" t="b">
        <v>0</v>
      </c>
      <c r="S48" s="12" t="b">
        <v>0</v>
      </c>
      <c r="T48" s="12" t="b">
        <v>0</v>
      </c>
      <c r="U48" s="12" t="b">
        <v>0</v>
      </c>
      <c r="V48" s="12" t="b">
        <v>0</v>
      </c>
      <c r="W48" s="12" t="b">
        <v>0</v>
      </c>
      <c r="X48" s="12" t="b">
        <v>0</v>
      </c>
      <c r="Y48" s="12" t="b">
        <v>0</v>
      </c>
      <c r="Z48" s="12" t="b">
        <v>0</v>
      </c>
      <c r="AA48" s="12" t="b">
        <v>0</v>
      </c>
      <c r="AB48" s="12" t="b">
        <v>0</v>
      </c>
      <c r="AC48" s="12" t="b">
        <v>0</v>
      </c>
      <c r="AD48" s="12" t="b">
        <v>0</v>
      </c>
      <c r="AE48" s="12" t="b">
        <v>0</v>
      </c>
      <c r="AF48" s="12" t="b">
        <v>0</v>
      </c>
      <c r="AG48" s="12" t="b">
        <v>0</v>
      </c>
      <c r="AH48" s="12" t="b">
        <v>0</v>
      </c>
      <c r="AI48" s="14">
        <f t="shared" si="1"/>
        <v>0</v>
      </c>
      <c r="AJ48" s="15">
        <f t="shared" si="2"/>
        <v>0</v>
      </c>
      <c r="AK48" s="16">
        <f t="shared" si="3"/>
        <v>0</v>
      </c>
      <c r="AL48" s="17"/>
      <c r="AM48" s="18"/>
    </row>
    <row r="49" ht="23.25" customHeight="1">
      <c r="A49" s="10">
        <v>46.0</v>
      </c>
      <c r="B49" s="10"/>
      <c r="C49" s="19" t="str">
        <f>iferror(vlookup(B49,'Crew Data'!C:G,5,0)," ")</f>
        <v> </v>
      </c>
      <c r="D49" s="10" t="b">
        <v>0</v>
      </c>
      <c r="E49" s="10" t="b">
        <v>0</v>
      </c>
      <c r="F49" s="10" t="b">
        <v>0</v>
      </c>
      <c r="G49" s="10" t="b">
        <v>0</v>
      </c>
      <c r="H49" s="10" t="b">
        <v>0</v>
      </c>
      <c r="I49" s="10" t="b">
        <v>0</v>
      </c>
      <c r="J49" s="10" t="b">
        <v>0</v>
      </c>
      <c r="K49" s="10" t="b">
        <v>0</v>
      </c>
      <c r="L49" s="10" t="b">
        <v>0</v>
      </c>
      <c r="M49" s="10" t="b">
        <v>0</v>
      </c>
      <c r="N49" s="10" t="b">
        <v>0</v>
      </c>
      <c r="O49" s="10" t="b">
        <v>0</v>
      </c>
      <c r="P49" s="10" t="b">
        <v>0</v>
      </c>
      <c r="Q49" s="10" t="b">
        <v>0</v>
      </c>
      <c r="R49" s="10" t="b">
        <v>0</v>
      </c>
      <c r="S49" s="10" t="b">
        <v>0</v>
      </c>
      <c r="T49" s="10" t="b">
        <v>0</v>
      </c>
      <c r="U49" s="10" t="b">
        <v>0</v>
      </c>
      <c r="V49" s="10" t="b">
        <v>0</v>
      </c>
      <c r="W49" s="10" t="b">
        <v>0</v>
      </c>
      <c r="X49" s="10" t="b">
        <v>0</v>
      </c>
      <c r="Y49" s="10" t="b">
        <v>0</v>
      </c>
      <c r="Z49" s="10" t="b">
        <v>0</v>
      </c>
      <c r="AA49" s="10" t="b">
        <v>0</v>
      </c>
      <c r="AB49" s="10" t="b">
        <v>0</v>
      </c>
      <c r="AC49" s="10" t="b">
        <v>0</v>
      </c>
      <c r="AD49" s="10" t="b">
        <v>0</v>
      </c>
      <c r="AE49" s="10" t="b">
        <v>0</v>
      </c>
      <c r="AF49" s="10" t="b">
        <v>0</v>
      </c>
      <c r="AG49" s="10" t="b">
        <v>0</v>
      </c>
      <c r="AH49" s="10" t="b">
        <v>0</v>
      </c>
      <c r="AI49" s="20">
        <f t="shared" si="1"/>
        <v>0</v>
      </c>
      <c r="AJ49" s="21">
        <f t="shared" si="2"/>
        <v>0</v>
      </c>
      <c r="AK49" s="22">
        <f t="shared" si="3"/>
        <v>0</v>
      </c>
      <c r="AL49" s="23"/>
      <c r="AM49" s="24"/>
    </row>
    <row r="50" ht="23.25" customHeight="1">
      <c r="A50" s="12">
        <v>47.0</v>
      </c>
      <c r="B50" s="12"/>
      <c r="C50" s="13" t="str">
        <f>iferror(vlookup(B50,'Crew Data'!C:G,5,0)," ")</f>
        <v> </v>
      </c>
      <c r="D50" s="12" t="b">
        <v>0</v>
      </c>
      <c r="E50" s="12" t="b">
        <v>0</v>
      </c>
      <c r="F50" s="12" t="b">
        <v>0</v>
      </c>
      <c r="G50" s="12" t="b">
        <v>0</v>
      </c>
      <c r="H50" s="12" t="b">
        <v>0</v>
      </c>
      <c r="I50" s="12" t="b">
        <v>0</v>
      </c>
      <c r="J50" s="12" t="b">
        <v>0</v>
      </c>
      <c r="K50" s="12" t="b">
        <v>0</v>
      </c>
      <c r="L50" s="12" t="b">
        <v>0</v>
      </c>
      <c r="M50" s="12" t="b">
        <v>0</v>
      </c>
      <c r="N50" s="12" t="b">
        <v>0</v>
      </c>
      <c r="O50" s="12" t="b">
        <v>0</v>
      </c>
      <c r="P50" s="12" t="b">
        <v>0</v>
      </c>
      <c r="Q50" s="12" t="b">
        <v>0</v>
      </c>
      <c r="R50" s="12" t="b">
        <v>0</v>
      </c>
      <c r="S50" s="12" t="b">
        <v>0</v>
      </c>
      <c r="T50" s="12" t="b">
        <v>0</v>
      </c>
      <c r="U50" s="12" t="b">
        <v>0</v>
      </c>
      <c r="V50" s="12" t="b">
        <v>0</v>
      </c>
      <c r="W50" s="12" t="b">
        <v>0</v>
      </c>
      <c r="X50" s="12" t="b">
        <v>0</v>
      </c>
      <c r="Y50" s="12" t="b">
        <v>0</v>
      </c>
      <c r="Z50" s="12" t="b">
        <v>0</v>
      </c>
      <c r="AA50" s="12" t="b">
        <v>0</v>
      </c>
      <c r="AB50" s="12" t="b">
        <v>0</v>
      </c>
      <c r="AC50" s="12" t="b">
        <v>0</v>
      </c>
      <c r="AD50" s="12" t="b">
        <v>0</v>
      </c>
      <c r="AE50" s="12" t="b">
        <v>0</v>
      </c>
      <c r="AF50" s="12" t="b">
        <v>0</v>
      </c>
      <c r="AG50" s="12" t="b">
        <v>0</v>
      </c>
      <c r="AH50" s="12" t="b">
        <v>0</v>
      </c>
      <c r="AI50" s="14">
        <f t="shared" si="1"/>
        <v>0</v>
      </c>
      <c r="AJ50" s="15">
        <f t="shared" si="2"/>
        <v>0</v>
      </c>
      <c r="AK50" s="16">
        <f t="shared" si="3"/>
        <v>0</v>
      </c>
      <c r="AL50" s="17"/>
      <c r="AM50" s="18"/>
    </row>
    <row r="51" ht="23.25" customHeight="1">
      <c r="A51" s="10">
        <v>48.0</v>
      </c>
      <c r="B51" s="10"/>
      <c r="C51" s="19" t="str">
        <f>iferror(vlookup(B51,'Crew Data'!C:G,5,0)," ")</f>
        <v> </v>
      </c>
      <c r="D51" s="10" t="b">
        <v>0</v>
      </c>
      <c r="E51" s="10" t="b">
        <v>0</v>
      </c>
      <c r="F51" s="10" t="b">
        <v>0</v>
      </c>
      <c r="G51" s="10" t="b">
        <v>0</v>
      </c>
      <c r="H51" s="10" t="b">
        <v>0</v>
      </c>
      <c r="I51" s="10" t="b">
        <v>0</v>
      </c>
      <c r="J51" s="10" t="b">
        <v>0</v>
      </c>
      <c r="K51" s="10" t="b">
        <v>0</v>
      </c>
      <c r="L51" s="10" t="b">
        <v>0</v>
      </c>
      <c r="M51" s="10" t="b">
        <v>0</v>
      </c>
      <c r="N51" s="10" t="b">
        <v>0</v>
      </c>
      <c r="O51" s="10" t="b">
        <v>0</v>
      </c>
      <c r="P51" s="10" t="b">
        <v>0</v>
      </c>
      <c r="Q51" s="10" t="b">
        <v>0</v>
      </c>
      <c r="R51" s="10" t="b">
        <v>0</v>
      </c>
      <c r="S51" s="10" t="b">
        <v>0</v>
      </c>
      <c r="T51" s="10" t="b">
        <v>0</v>
      </c>
      <c r="U51" s="10" t="b">
        <v>0</v>
      </c>
      <c r="V51" s="10" t="b">
        <v>0</v>
      </c>
      <c r="W51" s="10" t="b">
        <v>0</v>
      </c>
      <c r="X51" s="10" t="b">
        <v>0</v>
      </c>
      <c r="Y51" s="10" t="b">
        <v>0</v>
      </c>
      <c r="Z51" s="10" t="b">
        <v>0</v>
      </c>
      <c r="AA51" s="10" t="b">
        <v>0</v>
      </c>
      <c r="AB51" s="10" t="b">
        <v>0</v>
      </c>
      <c r="AC51" s="10" t="b">
        <v>0</v>
      </c>
      <c r="AD51" s="10" t="b">
        <v>0</v>
      </c>
      <c r="AE51" s="10" t="b">
        <v>0</v>
      </c>
      <c r="AF51" s="10" t="b">
        <v>0</v>
      </c>
      <c r="AG51" s="10" t="b">
        <v>0</v>
      </c>
      <c r="AH51" s="10" t="b">
        <v>0</v>
      </c>
      <c r="AI51" s="20">
        <f t="shared" si="1"/>
        <v>0</v>
      </c>
      <c r="AJ51" s="21">
        <f t="shared" si="2"/>
        <v>0</v>
      </c>
      <c r="AK51" s="22">
        <f t="shared" si="3"/>
        <v>0</v>
      </c>
      <c r="AL51" s="23"/>
      <c r="AM51" s="24"/>
    </row>
    <row r="52" ht="23.25" customHeight="1">
      <c r="A52" s="12">
        <v>49.0</v>
      </c>
      <c r="B52" s="12"/>
      <c r="C52" s="13" t="str">
        <f>iferror(vlookup(B52,'Crew Data'!C:G,5,0)," ")</f>
        <v> </v>
      </c>
      <c r="D52" s="12" t="b">
        <v>0</v>
      </c>
      <c r="E52" s="12" t="b">
        <v>0</v>
      </c>
      <c r="F52" s="12" t="b">
        <v>0</v>
      </c>
      <c r="G52" s="12" t="b">
        <v>0</v>
      </c>
      <c r="H52" s="12" t="b">
        <v>0</v>
      </c>
      <c r="I52" s="12" t="b">
        <v>0</v>
      </c>
      <c r="J52" s="12" t="b">
        <v>0</v>
      </c>
      <c r="K52" s="12" t="b">
        <v>0</v>
      </c>
      <c r="L52" s="12" t="b">
        <v>0</v>
      </c>
      <c r="M52" s="12" t="b">
        <v>0</v>
      </c>
      <c r="N52" s="12" t="b">
        <v>0</v>
      </c>
      <c r="O52" s="12" t="b">
        <v>0</v>
      </c>
      <c r="P52" s="12" t="b">
        <v>0</v>
      </c>
      <c r="Q52" s="12" t="b">
        <v>0</v>
      </c>
      <c r="R52" s="12" t="b">
        <v>0</v>
      </c>
      <c r="S52" s="12" t="b">
        <v>0</v>
      </c>
      <c r="T52" s="12" t="b">
        <v>0</v>
      </c>
      <c r="U52" s="12" t="b">
        <v>0</v>
      </c>
      <c r="V52" s="12" t="b">
        <v>0</v>
      </c>
      <c r="W52" s="12" t="b">
        <v>0</v>
      </c>
      <c r="X52" s="12" t="b">
        <v>0</v>
      </c>
      <c r="Y52" s="12" t="b">
        <v>0</v>
      </c>
      <c r="Z52" s="12" t="b">
        <v>0</v>
      </c>
      <c r="AA52" s="12" t="b">
        <v>0</v>
      </c>
      <c r="AB52" s="12" t="b">
        <v>0</v>
      </c>
      <c r="AC52" s="12" t="b">
        <v>0</v>
      </c>
      <c r="AD52" s="12" t="b">
        <v>0</v>
      </c>
      <c r="AE52" s="12" t="b">
        <v>0</v>
      </c>
      <c r="AF52" s="12" t="b">
        <v>0</v>
      </c>
      <c r="AG52" s="12" t="b">
        <v>0</v>
      </c>
      <c r="AH52" s="12" t="b">
        <v>0</v>
      </c>
      <c r="AI52" s="14">
        <f t="shared" si="1"/>
        <v>0</v>
      </c>
      <c r="AJ52" s="15">
        <f t="shared" si="2"/>
        <v>0</v>
      </c>
      <c r="AK52" s="16">
        <f t="shared" si="3"/>
        <v>0</v>
      </c>
      <c r="AL52" s="17"/>
      <c r="AM52" s="18"/>
    </row>
    <row r="53" ht="23.25" customHeight="1">
      <c r="A53" s="10">
        <v>50.0</v>
      </c>
      <c r="B53" s="10"/>
      <c r="C53" s="19" t="str">
        <f>iferror(vlookup(B53,'Crew Data'!C:G,5,0)," ")</f>
        <v> </v>
      </c>
      <c r="D53" s="10" t="b">
        <v>0</v>
      </c>
      <c r="E53" s="10" t="b">
        <v>0</v>
      </c>
      <c r="F53" s="10" t="b">
        <v>0</v>
      </c>
      <c r="G53" s="10" t="b">
        <v>0</v>
      </c>
      <c r="H53" s="10" t="b">
        <v>0</v>
      </c>
      <c r="I53" s="10" t="b">
        <v>0</v>
      </c>
      <c r="J53" s="10" t="b">
        <v>0</v>
      </c>
      <c r="K53" s="10" t="b">
        <v>0</v>
      </c>
      <c r="L53" s="10" t="b">
        <v>0</v>
      </c>
      <c r="M53" s="10" t="b">
        <v>0</v>
      </c>
      <c r="N53" s="10" t="b">
        <v>0</v>
      </c>
      <c r="O53" s="10" t="b">
        <v>0</v>
      </c>
      <c r="P53" s="10" t="b">
        <v>0</v>
      </c>
      <c r="Q53" s="10" t="b">
        <v>0</v>
      </c>
      <c r="R53" s="10" t="b">
        <v>0</v>
      </c>
      <c r="S53" s="10" t="b">
        <v>0</v>
      </c>
      <c r="T53" s="10" t="b">
        <v>0</v>
      </c>
      <c r="U53" s="10" t="b">
        <v>0</v>
      </c>
      <c r="V53" s="10" t="b">
        <v>0</v>
      </c>
      <c r="W53" s="10" t="b">
        <v>0</v>
      </c>
      <c r="X53" s="10" t="b">
        <v>0</v>
      </c>
      <c r="Y53" s="10" t="b">
        <v>0</v>
      </c>
      <c r="Z53" s="10" t="b">
        <v>0</v>
      </c>
      <c r="AA53" s="10" t="b">
        <v>0</v>
      </c>
      <c r="AB53" s="10" t="b">
        <v>0</v>
      </c>
      <c r="AC53" s="10" t="b">
        <v>0</v>
      </c>
      <c r="AD53" s="10" t="b">
        <v>0</v>
      </c>
      <c r="AE53" s="10" t="b">
        <v>0</v>
      </c>
      <c r="AF53" s="10" t="b">
        <v>0</v>
      </c>
      <c r="AG53" s="10" t="b">
        <v>0</v>
      </c>
      <c r="AH53" s="10" t="b">
        <v>0</v>
      </c>
      <c r="AI53" s="20">
        <f t="shared" si="1"/>
        <v>0</v>
      </c>
      <c r="AJ53" s="21">
        <f t="shared" si="2"/>
        <v>0</v>
      </c>
      <c r="AK53" s="22">
        <f t="shared" si="3"/>
        <v>0</v>
      </c>
      <c r="AL53" s="23"/>
      <c r="AM53" s="24"/>
    </row>
    <row r="54" ht="23.25" customHeight="1">
      <c r="A54" s="12">
        <v>51.0</v>
      </c>
      <c r="B54" s="12"/>
      <c r="C54" s="13" t="str">
        <f>iferror(vlookup(B54,'Crew Data'!C:G,5,0)," ")</f>
        <v> </v>
      </c>
      <c r="D54" s="12" t="b">
        <v>0</v>
      </c>
      <c r="E54" s="12" t="b">
        <v>0</v>
      </c>
      <c r="F54" s="12" t="b">
        <v>0</v>
      </c>
      <c r="G54" s="12" t="b">
        <v>0</v>
      </c>
      <c r="H54" s="12" t="b">
        <v>0</v>
      </c>
      <c r="I54" s="12" t="b">
        <v>0</v>
      </c>
      <c r="J54" s="12" t="b">
        <v>0</v>
      </c>
      <c r="K54" s="12" t="b">
        <v>0</v>
      </c>
      <c r="L54" s="12" t="b">
        <v>0</v>
      </c>
      <c r="M54" s="12" t="b">
        <v>0</v>
      </c>
      <c r="N54" s="12" t="b">
        <v>0</v>
      </c>
      <c r="O54" s="12" t="b">
        <v>0</v>
      </c>
      <c r="P54" s="12" t="b">
        <v>0</v>
      </c>
      <c r="Q54" s="12" t="b">
        <v>0</v>
      </c>
      <c r="R54" s="12" t="b">
        <v>0</v>
      </c>
      <c r="S54" s="12" t="b">
        <v>0</v>
      </c>
      <c r="T54" s="12" t="b">
        <v>0</v>
      </c>
      <c r="U54" s="12" t="b">
        <v>0</v>
      </c>
      <c r="V54" s="12" t="b">
        <v>0</v>
      </c>
      <c r="W54" s="12" t="b">
        <v>0</v>
      </c>
      <c r="X54" s="12" t="b">
        <v>0</v>
      </c>
      <c r="Y54" s="12" t="b">
        <v>0</v>
      </c>
      <c r="Z54" s="12" t="b">
        <v>0</v>
      </c>
      <c r="AA54" s="12" t="b">
        <v>0</v>
      </c>
      <c r="AB54" s="12" t="b">
        <v>0</v>
      </c>
      <c r="AC54" s="12" t="b">
        <v>0</v>
      </c>
      <c r="AD54" s="12" t="b">
        <v>0</v>
      </c>
      <c r="AE54" s="12" t="b">
        <v>0</v>
      </c>
      <c r="AF54" s="12" t="b">
        <v>0</v>
      </c>
      <c r="AG54" s="12" t="b">
        <v>0</v>
      </c>
      <c r="AH54" s="12" t="b">
        <v>0</v>
      </c>
      <c r="AI54" s="14">
        <f t="shared" si="1"/>
        <v>0</v>
      </c>
      <c r="AJ54" s="15">
        <f t="shared" si="2"/>
        <v>0</v>
      </c>
      <c r="AK54" s="16">
        <f t="shared" si="3"/>
        <v>0</v>
      </c>
      <c r="AL54" s="17"/>
      <c r="AM54" s="18"/>
    </row>
    <row r="55" ht="23.25" customHeight="1">
      <c r="A55" s="10">
        <v>52.0</v>
      </c>
      <c r="B55" s="10"/>
      <c r="C55" s="19" t="str">
        <f>iferror(vlookup(B55,'Crew Data'!C:G,5,0)," ")</f>
        <v> </v>
      </c>
      <c r="D55" s="10" t="b">
        <v>0</v>
      </c>
      <c r="E55" s="10" t="b">
        <v>0</v>
      </c>
      <c r="F55" s="10" t="b">
        <v>0</v>
      </c>
      <c r="G55" s="10" t="b">
        <v>0</v>
      </c>
      <c r="H55" s="10" t="b">
        <v>0</v>
      </c>
      <c r="I55" s="10" t="b">
        <v>0</v>
      </c>
      <c r="J55" s="10" t="b">
        <v>0</v>
      </c>
      <c r="K55" s="10" t="b">
        <v>0</v>
      </c>
      <c r="L55" s="10" t="b">
        <v>0</v>
      </c>
      <c r="M55" s="10" t="b">
        <v>0</v>
      </c>
      <c r="N55" s="10" t="b">
        <v>0</v>
      </c>
      <c r="O55" s="10" t="b">
        <v>0</v>
      </c>
      <c r="P55" s="10" t="b">
        <v>0</v>
      </c>
      <c r="Q55" s="10" t="b">
        <v>0</v>
      </c>
      <c r="R55" s="10" t="b">
        <v>0</v>
      </c>
      <c r="S55" s="10" t="b">
        <v>0</v>
      </c>
      <c r="T55" s="10" t="b">
        <v>0</v>
      </c>
      <c r="U55" s="10" t="b">
        <v>0</v>
      </c>
      <c r="V55" s="10" t="b">
        <v>0</v>
      </c>
      <c r="W55" s="10" t="b">
        <v>0</v>
      </c>
      <c r="X55" s="10" t="b">
        <v>0</v>
      </c>
      <c r="Y55" s="10" t="b">
        <v>0</v>
      </c>
      <c r="Z55" s="10" t="b">
        <v>0</v>
      </c>
      <c r="AA55" s="10" t="b">
        <v>0</v>
      </c>
      <c r="AB55" s="10" t="b">
        <v>0</v>
      </c>
      <c r="AC55" s="10" t="b">
        <v>0</v>
      </c>
      <c r="AD55" s="10" t="b">
        <v>0</v>
      </c>
      <c r="AE55" s="10" t="b">
        <v>0</v>
      </c>
      <c r="AF55" s="10" t="b">
        <v>0</v>
      </c>
      <c r="AG55" s="10" t="b">
        <v>0</v>
      </c>
      <c r="AH55" s="10" t="b">
        <v>0</v>
      </c>
      <c r="AI55" s="20">
        <f t="shared" si="1"/>
        <v>0</v>
      </c>
      <c r="AJ55" s="21">
        <f t="shared" si="2"/>
        <v>0</v>
      </c>
      <c r="AK55" s="22">
        <f t="shared" si="3"/>
        <v>0</v>
      </c>
      <c r="AL55" s="23"/>
      <c r="AM55" s="24"/>
    </row>
    <row r="56" ht="23.25" customHeight="1">
      <c r="A56" s="12">
        <v>53.0</v>
      </c>
      <c r="B56" s="12"/>
      <c r="C56" s="13" t="str">
        <f>iferror(vlookup(B56,'Crew Data'!C:G,5,0)," ")</f>
        <v> </v>
      </c>
      <c r="D56" s="12" t="b">
        <v>0</v>
      </c>
      <c r="E56" s="12" t="b">
        <v>0</v>
      </c>
      <c r="F56" s="12" t="b">
        <v>0</v>
      </c>
      <c r="G56" s="12" t="b">
        <v>0</v>
      </c>
      <c r="H56" s="12" t="b">
        <v>0</v>
      </c>
      <c r="I56" s="12" t="b">
        <v>0</v>
      </c>
      <c r="J56" s="12" t="b">
        <v>0</v>
      </c>
      <c r="K56" s="12" t="b">
        <v>0</v>
      </c>
      <c r="L56" s="12" t="b">
        <v>0</v>
      </c>
      <c r="M56" s="12" t="b">
        <v>0</v>
      </c>
      <c r="N56" s="12" t="b">
        <v>0</v>
      </c>
      <c r="O56" s="12" t="b">
        <v>0</v>
      </c>
      <c r="P56" s="12" t="b">
        <v>0</v>
      </c>
      <c r="Q56" s="12" t="b">
        <v>0</v>
      </c>
      <c r="R56" s="12" t="b">
        <v>0</v>
      </c>
      <c r="S56" s="12" t="b">
        <v>0</v>
      </c>
      <c r="T56" s="12" t="b">
        <v>0</v>
      </c>
      <c r="U56" s="12" t="b">
        <v>0</v>
      </c>
      <c r="V56" s="12" t="b">
        <v>0</v>
      </c>
      <c r="W56" s="12" t="b">
        <v>0</v>
      </c>
      <c r="X56" s="12" t="b">
        <v>0</v>
      </c>
      <c r="Y56" s="12" t="b">
        <v>0</v>
      </c>
      <c r="Z56" s="12" t="b">
        <v>0</v>
      </c>
      <c r="AA56" s="12" t="b">
        <v>0</v>
      </c>
      <c r="AB56" s="12" t="b">
        <v>0</v>
      </c>
      <c r="AC56" s="12" t="b">
        <v>0</v>
      </c>
      <c r="AD56" s="12" t="b">
        <v>0</v>
      </c>
      <c r="AE56" s="12" t="b">
        <v>0</v>
      </c>
      <c r="AF56" s="12" t="b">
        <v>0</v>
      </c>
      <c r="AG56" s="12" t="b">
        <v>0</v>
      </c>
      <c r="AH56" s="12" t="b">
        <v>0</v>
      </c>
      <c r="AI56" s="14">
        <f t="shared" si="1"/>
        <v>0</v>
      </c>
      <c r="AJ56" s="15">
        <f t="shared" si="2"/>
        <v>0</v>
      </c>
      <c r="AK56" s="16">
        <f t="shared" si="3"/>
        <v>0</v>
      </c>
      <c r="AL56" s="17"/>
      <c r="AM56" s="18"/>
    </row>
    <row r="57" ht="23.25" customHeight="1">
      <c r="A57" s="10">
        <v>54.0</v>
      </c>
      <c r="B57" s="10"/>
      <c r="C57" s="19" t="str">
        <f>iferror(vlookup(B57,'Crew Data'!C:G,5,0)," ")</f>
        <v> </v>
      </c>
      <c r="D57" s="10" t="b">
        <v>0</v>
      </c>
      <c r="E57" s="10" t="b">
        <v>0</v>
      </c>
      <c r="F57" s="10" t="b">
        <v>0</v>
      </c>
      <c r="G57" s="10" t="b">
        <v>0</v>
      </c>
      <c r="H57" s="10" t="b">
        <v>0</v>
      </c>
      <c r="I57" s="10" t="b">
        <v>0</v>
      </c>
      <c r="J57" s="10" t="b">
        <v>0</v>
      </c>
      <c r="K57" s="10" t="b">
        <v>0</v>
      </c>
      <c r="L57" s="10" t="b">
        <v>0</v>
      </c>
      <c r="M57" s="10" t="b">
        <v>0</v>
      </c>
      <c r="N57" s="10" t="b">
        <v>0</v>
      </c>
      <c r="O57" s="10" t="b">
        <v>0</v>
      </c>
      <c r="P57" s="10" t="b">
        <v>0</v>
      </c>
      <c r="Q57" s="10" t="b">
        <v>0</v>
      </c>
      <c r="R57" s="10" t="b">
        <v>0</v>
      </c>
      <c r="S57" s="10" t="b">
        <v>0</v>
      </c>
      <c r="T57" s="10" t="b">
        <v>0</v>
      </c>
      <c r="U57" s="10" t="b">
        <v>0</v>
      </c>
      <c r="V57" s="10" t="b">
        <v>0</v>
      </c>
      <c r="W57" s="10" t="b">
        <v>0</v>
      </c>
      <c r="X57" s="10" t="b">
        <v>0</v>
      </c>
      <c r="Y57" s="10" t="b">
        <v>0</v>
      </c>
      <c r="Z57" s="10" t="b">
        <v>0</v>
      </c>
      <c r="AA57" s="10" t="b">
        <v>0</v>
      </c>
      <c r="AB57" s="10" t="b">
        <v>0</v>
      </c>
      <c r="AC57" s="10" t="b">
        <v>0</v>
      </c>
      <c r="AD57" s="10" t="b">
        <v>0</v>
      </c>
      <c r="AE57" s="10" t="b">
        <v>0</v>
      </c>
      <c r="AF57" s="10" t="b">
        <v>0</v>
      </c>
      <c r="AG57" s="10" t="b">
        <v>0</v>
      </c>
      <c r="AH57" s="10" t="b">
        <v>0</v>
      </c>
      <c r="AI57" s="20">
        <f t="shared" si="1"/>
        <v>0</v>
      </c>
      <c r="AJ57" s="21">
        <f t="shared" si="2"/>
        <v>0</v>
      </c>
      <c r="AK57" s="22">
        <f t="shared" si="3"/>
        <v>0</v>
      </c>
      <c r="AL57" s="23"/>
      <c r="AM57" s="24"/>
    </row>
    <row r="58" ht="23.25" customHeight="1">
      <c r="A58" s="12">
        <v>55.0</v>
      </c>
      <c r="B58" s="12"/>
      <c r="C58" s="13" t="str">
        <f>iferror(vlookup(B58,'Crew Data'!C:G,5,0)," ")</f>
        <v> </v>
      </c>
      <c r="D58" s="12" t="b">
        <v>0</v>
      </c>
      <c r="E58" s="12" t="b">
        <v>0</v>
      </c>
      <c r="F58" s="12" t="b">
        <v>0</v>
      </c>
      <c r="G58" s="12" t="b">
        <v>0</v>
      </c>
      <c r="H58" s="12" t="b">
        <v>0</v>
      </c>
      <c r="I58" s="12" t="b">
        <v>0</v>
      </c>
      <c r="J58" s="12" t="b">
        <v>0</v>
      </c>
      <c r="K58" s="12" t="b">
        <v>0</v>
      </c>
      <c r="L58" s="12" t="b">
        <v>0</v>
      </c>
      <c r="M58" s="12" t="b">
        <v>0</v>
      </c>
      <c r="N58" s="12" t="b">
        <v>0</v>
      </c>
      <c r="O58" s="12" t="b">
        <v>0</v>
      </c>
      <c r="P58" s="12" t="b">
        <v>0</v>
      </c>
      <c r="Q58" s="12" t="b">
        <v>0</v>
      </c>
      <c r="R58" s="12" t="b">
        <v>0</v>
      </c>
      <c r="S58" s="12" t="b">
        <v>0</v>
      </c>
      <c r="T58" s="12" t="b">
        <v>0</v>
      </c>
      <c r="U58" s="12" t="b">
        <v>0</v>
      </c>
      <c r="V58" s="12" t="b">
        <v>0</v>
      </c>
      <c r="W58" s="12" t="b">
        <v>0</v>
      </c>
      <c r="X58" s="12" t="b">
        <v>0</v>
      </c>
      <c r="Y58" s="12" t="b">
        <v>0</v>
      </c>
      <c r="Z58" s="12" t="b">
        <v>0</v>
      </c>
      <c r="AA58" s="12" t="b">
        <v>0</v>
      </c>
      <c r="AB58" s="12" t="b">
        <v>0</v>
      </c>
      <c r="AC58" s="12" t="b">
        <v>0</v>
      </c>
      <c r="AD58" s="12" t="b">
        <v>0</v>
      </c>
      <c r="AE58" s="12" t="b">
        <v>0</v>
      </c>
      <c r="AF58" s="12" t="b">
        <v>0</v>
      </c>
      <c r="AG58" s="12" t="b">
        <v>0</v>
      </c>
      <c r="AH58" s="12" t="b">
        <v>0</v>
      </c>
      <c r="AI58" s="14">
        <f t="shared" si="1"/>
        <v>0</v>
      </c>
      <c r="AJ58" s="15">
        <f t="shared" si="2"/>
        <v>0</v>
      </c>
      <c r="AK58" s="16">
        <f t="shared" si="3"/>
        <v>0</v>
      </c>
      <c r="AL58" s="17"/>
      <c r="AM58" s="18"/>
    </row>
    <row r="59" ht="23.25" customHeight="1">
      <c r="A59" s="10">
        <v>56.0</v>
      </c>
      <c r="B59" s="10"/>
      <c r="C59" s="19" t="str">
        <f>iferror(vlookup(B59,'Crew Data'!C:G,5,0)," ")</f>
        <v> </v>
      </c>
      <c r="D59" s="10" t="b">
        <v>0</v>
      </c>
      <c r="E59" s="10" t="b">
        <v>0</v>
      </c>
      <c r="F59" s="10" t="b">
        <v>0</v>
      </c>
      <c r="G59" s="10" t="b">
        <v>0</v>
      </c>
      <c r="H59" s="10" t="b">
        <v>0</v>
      </c>
      <c r="I59" s="10" t="b">
        <v>0</v>
      </c>
      <c r="J59" s="10" t="b">
        <v>0</v>
      </c>
      <c r="K59" s="10" t="b">
        <v>0</v>
      </c>
      <c r="L59" s="10" t="b">
        <v>0</v>
      </c>
      <c r="M59" s="10" t="b">
        <v>0</v>
      </c>
      <c r="N59" s="10" t="b">
        <v>0</v>
      </c>
      <c r="O59" s="10" t="b">
        <v>0</v>
      </c>
      <c r="P59" s="10" t="b">
        <v>0</v>
      </c>
      <c r="Q59" s="10" t="b">
        <v>0</v>
      </c>
      <c r="R59" s="10" t="b">
        <v>0</v>
      </c>
      <c r="S59" s="10" t="b">
        <v>0</v>
      </c>
      <c r="T59" s="10" t="b">
        <v>0</v>
      </c>
      <c r="U59" s="10" t="b">
        <v>0</v>
      </c>
      <c r="V59" s="10" t="b">
        <v>0</v>
      </c>
      <c r="W59" s="10" t="b">
        <v>0</v>
      </c>
      <c r="X59" s="10" t="b">
        <v>0</v>
      </c>
      <c r="Y59" s="10" t="b">
        <v>0</v>
      </c>
      <c r="Z59" s="10" t="b">
        <v>0</v>
      </c>
      <c r="AA59" s="10" t="b">
        <v>0</v>
      </c>
      <c r="AB59" s="10" t="b">
        <v>0</v>
      </c>
      <c r="AC59" s="10" t="b">
        <v>0</v>
      </c>
      <c r="AD59" s="10" t="b">
        <v>0</v>
      </c>
      <c r="AE59" s="10" t="b">
        <v>0</v>
      </c>
      <c r="AF59" s="10" t="b">
        <v>0</v>
      </c>
      <c r="AG59" s="10" t="b">
        <v>0</v>
      </c>
      <c r="AH59" s="10" t="b">
        <v>0</v>
      </c>
      <c r="AI59" s="20">
        <f t="shared" si="1"/>
        <v>0</v>
      </c>
      <c r="AJ59" s="21">
        <f t="shared" si="2"/>
        <v>0</v>
      </c>
      <c r="AK59" s="22">
        <f t="shared" si="3"/>
        <v>0</v>
      </c>
      <c r="AL59" s="23"/>
      <c r="AM59" s="24"/>
    </row>
    <row r="60" ht="23.25" customHeight="1">
      <c r="A60" s="12">
        <v>57.0</v>
      </c>
      <c r="B60" s="12"/>
      <c r="C60" s="13" t="str">
        <f>iferror(vlookup(B60,'Crew Data'!C:G,5,0)," ")</f>
        <v> </v>
      </c>
      <c r="D60" s="12" t="b">
        <v>0</v>
      </c>
      <c r="E60" s="12" t="b">
        <v>0</v>
      </c>
      <c r="F60" s="12" t="b">
        <v>0</v>
      </c>
      <c r="G60" s="12" t="b">
        <v>0</v>
      </c>
      <c r="H60" s="12" t="b">
        <v>0</v>
      </c>
      <c r="I60" s="12" t="b">
        <v>0</v>
      </c>
      <c r="J60" s="12" t="b">
        <v>0</v>
      </c>
      <c r="K60" s="12" t="b">
        <v>0</v>
      </c>
      <c r="L60" s="12" t="b">
        <v>0</v>
      </c>
      <c r="M60" s="12" t="b">
        <v>0</v>
      </c>
      <c r="N60" s="12" t="b">
        <v>0</v>
      </c>
      <c r="O60" s="12" t="b">
        <v>0</v>
      </c>
      <c r="P60" s="12" t="b">
        <v>0</v>
      </c>
      <c r="Q60" s="12" t="b">
        <v>0</v>
      </c>
      <c r="R60" s="12" t="b">
        <v>0</v>
      </c>
      <c r="S60" s="12" t="b">
        <v>0</v>
      </c>
      <c r="T60" s="12" t="b">
        <v>0</v>
      </c>
      <c r="U60" s="12" t="b">
        <v>0</v>
      </c>
      <c r="V60" s="12" t="b">
        <v>0</v>
      </c>
      <c r="W60" s="12" t="b">
        <v>0</v>
      </c>
      <c r="X60" s="12" t="b">
        <v>0</v>
      </c>
      <c r="Y60" s="12" t="b">
        <v>0</v>
      </c>
      <c r="Z60" s="12" t="b">
        <v>0</v>
      </c>
      <c r="AA60" s="12" t="b">
        <v>0</v>
      </c>
      <c r="AB60" s="12" t="b">
        <v>0</v>
      </c>
      <c r="AC60" s="12" t="b">
        <v>0</v>
      </c>
      <c r="AD60" s="12" t="b">
        <v>0</v>
      </c>
      <c r="AE60" s="12" t="b">
        <v>0</v>
      </c>
      <c r="AF60" s="12" t="b">
        <v>0</v>
      </c>
      <c r="AG60" s="12" t="b">
        <v>0</v>
      </c>
      <c r="AH60" s="12" t="b">
        <v>0</v>
      </c>
      <c r="AI60" s="14">
        <f t="shared" si="1"/>
        <v>0</v>
      </c>
      <c r="AJ60" s="15">
        <f t="shared" si="2"/>
        <v>0</v>
      </c>
      <c r="AK60" s="16">
        <f t="shared" si="3"/>
        <v>0</v>
      </c>
      <c r="AL60" s="17"/>
      <c r="AM60" s="18"/>
    </row>
    <row r="61" ht="23.25" customHeight="1">
      <c r="A61" s="10">
        <v>58.0</v>
      </c>
      <c r="B61" s="10"/>
      <c r="C61" s="19" t="str">
        <f>iferror(vlookup(B61,'Crew Data'!C:G,5,0)," ")</f>
        <v> </v>
      </c>
      <c r="D61" s="10" t="b">
        <v>0</v>
      </c>
      <c r="E61" s="10" t="b">
        <v>0</v>
      </c>
      <c r="F61" s="10" t="b">
        <v>0</v>
      </c>
      <c r="G61" s="10" t="b">
        <v>0</v>
      </c>
      <c r="H61" s="10" t="b">
        <v>0</v>
      </c>
      <c r="I61" s="10" t="b">
        <v>0</v>
      </c>
      <c r="J61" s="10" t="b">
        <v>0</v>
      </c>
      <c r="K61" s="10" t="b">
        <v>0</v>
      </c>
      <c r="L61" s="10" t="b">
        <v>0</v>
      </c>
      <c r="M61" s="10" t="b">
        <v>0</v>
      </c>
      <c r="N61" s="10" t="b">
        <v>0</v>
      </c>
      <c r="O61" s="10" t="b">
        <v>0</v>
      </c>
      <c r="P61" s="10" t="b">
        <v>0</v>
      </c>
      <c r="Q61" s="10" t="b">
        <v>0</v>
      </c>
      <c r="R61" s="10" t="b">
        <v>0</v>
      </c>
      <c r="S61" s="10" t="b">
        <v>0</v>
      </c>
      <c r="T61" s="10" t="b">
        <v>0</v>
      </c>
      <c r="U61" s="10" t="b">
        <v>0</v>
      </c>
      <c r="V61" s="10" t="b">
        <v>0</v>
      </c>
      <c r="W61" s="10" t="b">
        <v>0</v>
      </c>
      <c r="X61" s="10" t="b">
        <v>0</v>
      </c>
      <c r="Y61" s="10" t="b">
        <v>0</v>
      </c>
      <c r="Z61" s="10" t="b">
        <v>0</v>
      </c>
      <c r="AA61" s="10" t="b">
        <v>0</v>
      </c>
      <c r="AB61" s="10" t="b">
        <v>0</v>
      </c>
      <c r="AC61" s="10" t="b">
        <v>0</v>
      </c>
      <c r="AD61" s="10" t="b">
        <v>0</v>
      </c>
      <c r="AE61" s="10" t="b">
        <v>0</v>
      </c>
      <c r="AF61" s="10" t="b">
        <v>0</v>
      </c>
      <c r="AG61" s="10" t="b">
        <v>0</v>
      </c>
      <c r="AH61" s="10" t="b">
        <v>0</v>
      </c>
      <c r="AI61" s="20">
        <f t="shared" si="1"/>
        <v>0</v>
      </c>
      <c r="AJ61" s="21">
        <f t="shared" si="2"/>
        <v>0</v>
      </c>
      <c r="AK61" s="22">
        <f t="shared" si="3"/>
        <v>0</v>
      </c>
      <c r="AL61" s="23"/>
      <c r="AM61" s="24"/>
    </row>
    <row r="62" ht="23.25" customHeight="1">
      <c r="A62" s="12">
        <v>59.0</v>
      </c>
      <c r="B62" s="12"/>
      <c r="C62" s="13" t="str">
        <f>iferror(vlookup(B62,'Crew Data'!C:G,5,0)," ")</f>
        <v> </v>
      </c>
      <c r="D62" s="12" t="b">
        <v>0</v>
      </c>
      <c r="E62" s="12" t="b">
        <v>0</v>
      </c>
      <c r="F62" s="12" t="b">
        <v>0</v>
      </c>
      <c r="G62" s="12" t="b">
        <v>0</v>
      </c>
      <c r="H62" s="12" t="b">
        <v>0</v>
      </c>
      <c r="I62" s="12" t="b">
        <v>0</v>
      </c>
      <c r="J62" s="12" t="b">
        <v>0</v>
      </c>
      <c r="K62" s="12" t="b">
        <v>0</v>
      </c>
      <c r="L62" s="12" t="b">
        <v>0</v>
      </c>
      <c r="M62" s="12" t="b">
        <v>0</v>
      </c>
      <c r="N62" s="12" t="b">
        <v>0</v>
      </c>
      <c r="O62" s="12" t="b">
        <v>0</v>
      </c>
      <c r="P62" s="12" t="b">
        <v>0</v>
      </c>
      <c r="Q62" s="12" t="b">
        <v>0</v>
      </c>
      <c r="R62" s="12" t="b">
        <v>0</v>
      </c>
      <c r="S62" s="12" t="b">
        <v>0</v>
      </c>
      <c r="T62" s="12" t="b">
        <v>0</v>
      </c>
      <c r="U62" s="12" t="b">
        <v>0</v>
      </c>
      <c r="V62" s="12" t="b">
        <v>0</v>
      </c>
      <c r="W62" s="12" t="b">
        <v>0</v>
      </c>
      <c r="X62" s="12" t="b">
        <v>0</v>
      </c>
      <c r="Y62" s="12" t="b">
        <v>0</v>
      </c>
      <c r="Z62" s="12" t="b">
        <v>0</v>
      </c>
      <c r="AA62" s="12" t="b">
        <v>0</v>
      </c>
      <c r="AB62" s="12" t="b">
        <v>0</v>
      </c>
      <c r="AC62" s="12" t="b">
        <v>0</v>
      </c>
      <c r="AD62" s="12" t="b">
        <v>0</v>
      </c>
      <c r="AE62" s="12" t="b">
        <v>0</v>
      </c>
      <c r="AF62" s="12" t="b">
        <v>0</v>
      </c>
      <c r="AG62" s="12" t="b">
        <v>0</v>
      </c>
      <c r="AH62" s="12" t="b">
        <v>0</v>
      </c>
      <c r="AI62" s="14">
        <f t="shared" si="1"/>
        <v>0</v>
      </c>
      <c r="AJ62" s="15">
        <f t="shared" si="2"/>
        <v>0</v>
      </c>
      <c r="AK62" s="16">
        <f t="shared" si="3"/>
        <v>0</v>
      </c>
      <c r="AL62" s="17"/>
      <c r="AM62" s="18"/>
    </row>
    <row r="63" ht="23.25" customHeight="1">
      <c r="A63" s="10">
        <v>60.0</v>
      </c>
      <c r="B63" s="10"/>
      <c r="C63" s="19" t="str">
        <f>iferror(vlookup(B63,'Crew Data'!C:G,5,0)," ")</f>
        <v> </v>
      </c>
      <c r="D63" s="10" t="b">
        <v>0</v>
      </c>
      <c r="E63" s="10" t="b">
        <v>0</v>
      </c>
      <c r="F63" s="10" t="b">
        <v>0</v>
      </c>
      <c r="G63" s="10" t="b">
        <v>0</v>
      </c>
      <c r="H63" s="10" t="b">
        <v>0</v>
      </c>
      <c r="I63" s="10" t="b">
        <v>0</v>
      </c>
      <c r="J63" s="10" t="b">
        <v>0</v>
      </c>
      <c r="K63" s="10" t="b">
        <v>0</v>
      </c>
      <c r="L63" s="10" t="b">
        <v>0</v>
      </c>
      <c r="M63" s="10" t="b">
        <v>0</v>
      </c>
      <c r="N63" s="10" t="b">
        <v>0</v>
      </c>
      <c r="O63" s="10" t="b">
        <v>0</v>
      </c>
      <c r="P63" s="10" t="b">
        <v>0</v>
      </c>
      <c r="Q63" s="10" t="b">
        <v>0</v>
      </c>
      <c r="R63" s="10" t="b">
        <v>0</v>
      </c>
      <c r="S63" s="10" t="b">
        <v>0</v>
      </c>
      <c r="T63" s="10" t="b">
        <v>0</v>
      </c>
      <c r="U63" s="10" t="b">
        <v>0</v>
      </c>
      <c r="V63" s="10" t="b">
        <v>0</v>
      </c>
      <c r="W63" s="10" t="b">
        <v>0</v>
      </c>
      <c r="X63" s="10" t="b">
        <v>0</v>
      </c>
      <c r="Y63" s="10" t="b">
        <v>0</v>
      </c>
      <c r="Z63" s="10" t="b">
        <v>0</v>
      </c>
      <c r="AA63" s="10" t="b">
        <v>0</v>
      </c>
      <c r="AB63" s="10" t="b">
        <v>0</v>
      </c>
      <c r="AC63" s="10" t="b">
        <v>0</v>
      </c>
      <c r="AD63" s="10" t="b">
        <v>0</v>
      </c>
      <c r="AE63" s="10" t="b">
        <v>0</v>
      </c>
      <c r="AF63" s="10" t="b">
        <v>0</v>
      </c>
      <c r="AG63" s="10" t="b">
        <v>0</v>
      </c>
      <c r="AH63" s="10" t="b">
        <v>0</v>
      </c>
      <c r="AI63" s="20">
        <f t="shared" si="1"/>
        <v>0</v>
      </c>
      <c r="AJ63" s="21">
        <f t="shared" si="2"/>
        <v>0</v>
      </c>
      <c r="AK63" s="22">
        <f t="shared" si="3"/>
        <v>0</v>
      </c>
      <c r="AL63" s="23"/>
      <c r="AM63" s="24"/>
    </row>
    <row r="64" ht="23.25" customHeight="1">
      <c r="A64" s="12">
        <v>61.0</v>
      </c>
      <c r="B64" s="12"/>
      <c r="C64" s="13" t="str">
        <f>iferror(vlookup(B64,'Crew Data'!C:G,5,0)," ")</f>
        <v> </v>
      </c>
      <c r="D64" s="12" t="b">
        <v>0</v>
      </c>
      <c r="E64" s="12" t="b">
        <v>0</v>
      </c>
      <c r="F64" s="12" t="b">
        <v>0</v>
      </c>
      <c r="G64" s="12" t="b">
        <v>0</v>
      </c>
      <c r="H64" s="12" t="b">
        <v>0</v>
      </c>
      <c r="I64" s="12" t="b">
        <v>0</v>
      </c>
      <c r="J64" s="12" t="b">
        <v>0</v>
      </c>
      <c r="K64" s="12" t="b">
        <v>0</v>
      </c>
      <c r="L64" s="12" t="b">
        <v>0</v>
      </c>
      <c r="M64" s="12" t="b">
        <v>0</v>
      </c>
      <c r="N64" s="12" t="b">
        <v>0</v>
      </c>
      <c r="O64" s="12" t="b">
        <v>0</v>
      </c>
      <c r="P64" s="12" t="b">
        <v>0</v>
      </c>
      <c r="Q64" s="12" t="b">
        <v>0</v>
      </c>
      <c r="R64" s="12" t="b">
        <v>0</v>
      </c>
      <c r="S64" s="12" t="b">
        <v>0</v>
      </c>
      <c r="T64" s="12" t="b">
        <v>0</v>
      </c>
      <c r="U64" s="12" t="b">
        <v>0</v>
      </c>
      <c r="V64" s="12" t="b">
        <v>0</v>
      </c>
      <c r="W64" s="12" t="b">
        <v>0</v>
      </c>
      <c r="X64" s="12" t="b">
        <v>0</v>
      </c>
      <c r="Y64" s="12" t="b">
        <v>0</v>
      </c>
      <c r="Z64" s="12" t="b">
        <v>0</v>
      </c>
      <c r="AA64" s="12" t="b">
        <v>0</v>
      </c>
      <c r="AB64" s="12" t="b">
        <v>0</v>
      </c>
      <c r="AC64" s="12" t="b">
        <v>0</v>
      </c>
      <c r="AD64" s="12" t="b">
        <v>0</v>
      </c>
      <c r="AE64" s="12" t="b">
        <v>0</v>
      </c>
      <c r="AF64" s="12" t="b">
        <v>0</v>
      </c>
      <c r="AG64" s="12" t="b">
        <v>0</v>
      </c>
      <c r="AH64" s="12" t="b">
        <v>0</v>
      </c>
      <c r="AI64" s="14">
        <f t="shared" si="1"/>
        <v>0</v>
      </c>
      <c r="AJ64" s="15">
        <f t="shared" si="2"/>
        <v>0</v>
      </c>
      <c r="AK64" s="16">
        <f t="shared" si="3"/>
        <v>0</v>
      </c>
      <c r="AL64" s="17"/>
      <c r="AM64" s="18"/>
    </row>
    <row r="65" ht="23.25" customHeight="1">
      <c r="A65" s="10">
        <v>62.0</v>
      </c>
      <c r="B65" s="10"/>
      <c r="C65" s="19" t="str">
        <f>iferror(vlookup(B65,'Crew Data'!C:G,5,0)," ")</f>
        <v> </v>
      </c>
      <c r="D65" s="10" t="b">
        <v>0</v>
      </c>
      <c r="E65" s="10" t="b">
        <v>0</v>
      </c>
      <c r="F65" s="10" t="b">
        <v>0</v>
      </c>
      <c r="G65" s="10" t="b">
        <v>0</v>
      </c>
      <c r="H65" s="10" t="b">
        <v>0</v>
      </c>
      <c r="I65" s="10" t="b">
        <v>0</v>
      </c>
      <c r="J65" s="10" t="b">
        <v>0</v>
      </c>
      <c r="K65" s="10" t="b">
        <v>0</v>
      </c>
      <c r="L65" s="10" t="b">
        <v>0</v>
      </c>
      <c r="M65" s="10" t="b">
        <v>0</v>
      </c>
      <c r="N65" s="10" t="b">
        <v>0</v>
      </c>
      <c r="O65" s="10" t="b">
        <v>0</v>
      </c>
      <c r="P65" s="10" t="b">
        <v>0</v>
      </c>
      <c r="Q65" s="10" t="b">
        <v>0</v>
      </c>
      <c r="R65" s="10" t="b">
        <v>0</v>
      </c>
      <c r="S65" s="10" t="b">
        <v>0</v>
      </c>
      <c r="T65" s="10" t="b">
        <v>0</v>
      </c>
      <c r="U65" s="10" t="b">
        <v>0</v>
      </c>
      <c r="V65" s="10" t="b">
        <v>0</v>
      </c>
      <c r="W65" s="10" t="b">
        <v>0</v>
      </c>
      <c r="X65" s="10" t="b">
        <v>0</v>
      </c>
      <c r="Y65" s="10" t="b">
        <v>0</v>
      </c>
      <c r="Z65" s="10" t="b">
        <v>0</v>
      </c>
      <c r="AA65" s="10" t="b">
        <v>0</v>
      </c>
      <c r="AB65" s="10" t="b">
        <v>0</v>
      </c>
      <c r="AC65" s="10" t="b">
        <v>0</v>
      </c>
      <c r="AD65" s="10" t="b">
        <v>0</v>
      </c>
      <c r="AE65" s="10" t="b">
        <v>0</v>
      </c>
      <c r="AF65" s="10" t="b">
        <v>0</v>
      </c>
      <c r="AG65" s="10" t="b">
        <v>0</v>
      </c>
      <c r="AH65" s="10" t="b">
        <v>0</v>
      </c>
      <c r="AI65" s="20">
        <f t="shared" si="1"/>
        <v>0</v>
      </c>
      <c r="AJ65" s="21">
        <f t="shared" si="2"/>
        <v>0</v>
      </c>
      <c r="AK65" s="22">
        <f t="shared" si="3"/>
        <v>0</v>
      </c>
      <c r="AL65" s="23"/>
      <c r="AM65" s="24"/>
    </row>
    <row r="66" ht="23.25" customHeight="1">
      <c r="A66" s="12">
        <v>63.0</v>
      </c>
      <c r="B66" s="12"/>
      <c r="C66" s="13" t="str">
        <f>iferror(vlookup(B66,'Crew Data'!C:G,5,0)," ")</f>
        <v> </v>
      </c>
      <c r="D66" s="12" t="b">
        <v>0</v>
      </c>
      <c r="E66" s="12" t="b">
        <v>0</v>
      </c>
      <c r="F66" s="12" t="b">
        <v>0</v>
      </c>
      <c r="G66" s="12" t="b">
        <v>0</v>
      </c>
      <c r="H66" s="12" t="b">
        <v>0</v>
      </c>
      <c r="I66" s="12" t="b">
        <v>0</v>
      </c>
      <c r="J66" s="12" t="b">
        <v>0</v>
      </c>
      <c r="K66" s="12" t="b">
        <v>0</v>
      </c>
      <c r="L66" s="12" t="b">
        <v>0</v>
      </c>
      <c r="M66" s="12" t="b">
        <v>0</v>
      </c>
      <c r="N66" s="12" t="b">
        <v>0</v>
      </c>
      <c r="O66" s="12" t="b">
        <v>0</v>
      </c>
      <c r="P66" s="12" t="b">
        <v>0</v>
      </c>
      <c r="Q66" s="12" t="b">
        <v>0</v>
      </c>
      <c r="R66" s="12" t="b">
        <v>0</v>
      </c>
      <c r="S66" s="12" t="b">
        <v>0</v>
      </c>
      <c r="T66" s="12" t="b">
        <v>0</v>
      </c>
      <c r="U66" s="12" t="b">
        <v>0</v>
      </c>
      <c r="V66" s="12" t="b">
        <v>0</v>
      </c>
      <c r="W66" s="12" t="b">
        <v>0</v>
      </c>
      <c r="X66" s="12" t="b">
        <v>0</v>
      </c>
      <c r="Y66" s="12" t="b">
        <v>0</v>
      </c>
      <c r="Z66" s="12" t="b">
        <v>0</v>
      </c>
      <c r="AA66" s="12" t="b">
        <v>0</v>
      </c>
      <c r="AB66" s="12" t="b">
        <v>0</v>
      </c>
      <c r="AC66" s="12" t="b">
        <v>0</v>
      </c>
      <c r="AD66" s="12" t="b">
        <v>0</v>
      </c>
      <c r="AE66" s="12" t="b">
        <v>0</v>
      </c>
      <c r="AF66" s="12" t="b">
        <v>0</v>
      </c>
      <c r="AG66" s="12" t="b">
        <v>0</v>
      </c>
      <c r="AH66" s="12" t="b">
        <v>0</v>
      </c>
      <c r="AI66" s="14">
        <f t="shared" si="1"/>
        <v>0</v>
      </c>
      <c r="AJ66" s="15">
        <f t="shared" si="2"/>
        <v>0</v>
      </c>
      <c r="AK66" s="16">
        <f t="shared" si="3"/>
        <v>0</v>
      </c>
      <c r="AL66" s="17"/>
      <c r="AM66" s="18"/>
    </row>
    <row r="67" ht="23.25" customHeight="1">
      <c r="A67" s="10">
        <v>64.0</v>
      </c>
      <c r="B67" s="10"/>
      <c r="C67" s="19" t="str">
        <f>iferror(vlookup(B67,'Crew Data'!C:G,5,0)," ")</f>
        <v> </v>
      </c>
      <c r="D67" s="10" t="b">
        <v>0</v>
      </c>
      <c r="E67" s="10" t="b">
        <v>0</v>
      </c>
      <c r="F67" s="10" t="b">
        <v>0</v>
      </c>
      <c r="G67" s="10" t="b">
        <v>0</v>
      </c>
      <c r="H67" s="10" t="b">
        <v>0</v>
      </c>
      <c r="I67" s="10" t="b">
        <v>0</v>
      </c>
      <c r="J67" s="10" t="b">
        <v>0</v>
      </c>
      <c r="K67" s="10" t="b">
        <v>0</v>
      </c>
      <c r="L67" s="10" t="b">
        <v>0</v>
      </c>
      <c r="M67" s="10" t="b">
        <v>0</v>
      </c>
      <c r="N67" s="10" t="b">
        <v>0</v>
      </c>
      <c r="O67" s="10" t="b">
        <v>0</v>
      </c>
      <c r="P67" s="10" t="b">
        <v>0</v>
      </c>
      <c r="Q67" s="10" t="b">
        <v>0</v>
      </c>
      <c r="R67" s="10" t="b">
        <v>0</v>
      </c>
      <c r="S67" s="10" t="b">
        <v>0</v>
      </c>
      <c r="T67" s="10" t="b">
        <v>0</v>
      </c>
      <c r="U67" s="10" t="b">
        <v>0</v>
      </c>
      <c r="V67" s="10" t="b">
        <v>0</v>
      </c>
      <c r="W67" s="10" t="b">
        <v>0</v>
      </c>
      <c r="X67" s="10" t="b">
        <v>0</v>
      </c>
      <c r="Y67" s="10" t="b">
        <v>0</v>
      </c>
      <c r="Z67" s="10" t="b">
        <v>0</v>
      </c>
      <c r="AA67" s="10" t="b">
        <v>0</v>
      </c>
      <c r="AB67" s="10" t="b">
        <v>0</v>
      </c>
      <c r="AC67" s="10" t="b">
        <v>0</v>
      </c>
      <c r="AD67" s="10" t="b">
        <v>0</v>
      </c>
      <c r="AE67" s="10" t="b">
        <v>0</v>
      </c>
      <c r="AF67" s="10" t="b">
        <v>0</v>
      </c>
      <c r="AG67" s="10" t="b">
        <v>0</v>
      </c>
      <c r="AH67" s="10" t="b">
        <v>0</v>
      </c>
      <c r="AI67" s="20">
        <f t="shared" si="1"/>
        <v>0</v>
      </c>
      <c r="AJ67" s="21">
        <f t="shared" si="2"/>
        <v>0</v>
      </c>
      <c r="AK67" s="22">
        <f t="shared" si="3"/>
        <v>0</v>
      </c>
      <c r="AL67" s="23"/>
      <c r="AM67" s="24"/>
    </row>
    <row r="68" ht="23.25" customHeight="1">
      <c r="A68" s="12">
        <v>65.0</v>
      </c>
      <c r="B68" s="12"/>
      <c r="C68" s="13" t="str">
        <f>iferror(vlookup(B68,'Crew Data'!C:G,5,0)," ")</f>
        <v> </v>
      </c>
      <c r="D68" s="12" t="b">
        <v>0</v>
      </c>
      <c r="E68" s="12" t="b">
        <v>0</v>
      </c>
      <c r="F68" s="12" t="b">
        <v>0</v>
      </c>
      <c r="G68" s="12" t="b">
        <v>0</v>
      </c>
      <c r="H68" s="12" t="b">
        <v>0</v>
      </c>
      <c r="I68" s="12" t="b">
        <v>0</v>
      </c>
      <c r="J68" s="12" t="b">
        <v>0</v>
      </c>
      <c r="K68" s="12" t="b">
        <v>0</v>
      </c>
      <c r="L68" s="12" t="b">
        <v>0</v>
      </c>
      <c r="M68" s="12" t="b">
        <v>0</v>
      </c>
      <c r="N68" s="12" t="b">
        <v>0</v>
      </c>
      <c r="O68" s="12" t="b">
        <v>0</v>
      </c>
      <c r="P68" s="12" t="b">
        <v>0</v>
      </c>
      <c r="Q68" s="12" t="b">
        <v>0</v>
      </c>
      <c r="R68" s="12" t="b">
        <v>0</v>
      </c>
      <c r="S68" s="12" t="b">
        <v>0</v>
      </c>
      <c r="T68" s="12" t="b">
        <v>0</v>
      </c>
      <c r="U68" s="12" t="b">
        <v>0</v>
      </c>
      <c r="V68" s="12" t="b">
        <v>0</v>
      </c>
      <c r="W68" s="12" t="b">
        <v>0</v>
      </c>
      <c r="X68" s="12" t="b">
        <v>0</v>
      </c>
      <c r="Y68" s="12" t="b">
        <v>0</v>
      </c>
      <c r="Z68" s="12" t="b">
        <v>0</v>
      </c>
      <c r="AA68" s="12" t="b">
        <v>0</v>
      </c>
      <c r="AB68" s="12" t="b">
        <v>0</v>
      </c>
      <c r="AC68" s="12" t="b">
        <v>0</v>
      </c>
      <c r="AD68" s="12" t="b">
        <v>0</v>
      </c>
      <c r="AE68" s="12" t="b">
        <v>0</v>
      </c>
      <c r="AF68" s="12" t="b">
        <v>0</v>
      </c>
      <c r="AG68" s="12" t="b">
        <v>0</v>
      </c>
      <c r="AH68" s="12" t="b">
        <v>0</v>
      </c>
      <c r="AI68" s="14">
        <f t="shared" si="1"/>
        <v>0</v>
      </c>
      <c r="AJ68" s="15">
        <f t="shared" si="2"/>
        <v>0</v>
      </c>
      <c r="AK68" s="16">
        <f t="shared" si="3"/>
        <v>0</v>
      </c>
      <c r="AL68" s="17"/>
      <c r="AM68" s="18"/>
    </row>
    <row r="69" ht="23.25" customHeight="1">
      <c r="A69" s="10">
        <v>66.0</v>
      </c>
      <c r="B69" s="10"/>
      <c r="C69" s="19" t="str">
        <f>iferror(vlookup(B69,'Crew Data'!C:G,5,0)," ")</f>
        <v> </v>
      </c>
      <c r="D69" s="10" t="b">
        <v>0</v>
      </c>
      <c r="E69" s="10" t="b">
        <v>0</v>
      </c>
      <c r="F69" s="10" t="b">
        <v>0</v>
      </c>
      <c r="G69" s="10" t="b">
        <v>0</v>
      </c>
      <c r="H69" s="10" t="b">
        <v>0</v>
      </c>
      <c r="I69" s="10" t="b">
        <v>0</v>
      </c>
      <c r="J69" s="10" t="b">
        <v>0</v>
      </c>
      <c r="K69" s="10" t="b">
        <v>0</v>
      </c>
      <c r="L69" s="10" t="b">
        <v>0</v>
      </c>
      <c r="M69" s="10" t="b">
        <v>0</v>
      </c>
      <c r="N69" s="10" t="b">
        <v>0</v>
      </c>
      <c r="O69" s="10" t="b">
        <v>0</v>
      </c>
      <c r="P69" s="10" t="b">
        <v>0</v>
      </c>
      <c r="Q69" s="10" t="b">
        <v>0</v>
      </c>
      <c r="R69" s="10" t="b">
        <v>0</v>
      </c>
      <c r="S69" s="10" t="b">
        <v>0</v>
      </c>
      <c r="T69" s="10" t="b">
        <v>0</v>
      </c>
      <c r="U69" s="10" t="b">
        <v>0</v>
      </c>
      <c r="V69" s="10" t="b">
        <v>0</v>
      </c>
      <c r="W69" s="10" t="b">
        <v>0</v>
      </c>
      <c r="X69" s="10" t="b">
        <v>0</v>
      </c>
      <c r="Y69" s="10" t="b">
        <v>0</v>
      </c>
      <c r="Z69" s="10" t="b">
        <v>0</v>
      </c>
      <c r="AA69" s="10" t="b">
        <v>0</v>
      </c>
      <c r="AB69" s="10" t="b">
        <v>0</v>
      </c>
      <c r="AC69" s="10" t="b">
        <v>0</v>
      </c>
      <c r="AD69" s="10" t="b">
        <v>0</v>
      </c>
      <c r="AE69" s="10" t="b">
        <v>0</v>
      </c>
      <c r="AF69" s="10" t="b">
        <v>0</v>
      </c>
      <c r="AG69" s="10" t="b">
        <v>0</v>
      </c>
      <c r="AH69" s="10" t="b">
        <v>0</v>
      </c>
      <c r="AI69" s="20">
        <f t="shared" si="1"/>
        <v>0</v>
      </c>
      <c r="AJ69" s="21">
        <f t="shared" si="2"/>
        <v>0</v>
      </c>
      <c r="AK69" s="22">
        <f t="shared" si="3"/>
        <v>0</v>
      </c>
      <c r="AL69" s="23"/>
      <c r="AM69" s="24"/>
    </row>
    <row r="70" ht="23.25" customHeight="1">
      <c r="A70" s="12">
        <v>67.0</v>
      </c>
      <c r="B70" s="12"/>
      <c r="C70" s="13" t="str">
        <f>iferror(vlookup(B70,'Crew Data'!C:G,5,0)," ")</f>
        <v> </v>
      </c>
      <c r="D70" s="12" t="b">
        <v>0</v>
      </c>
      <c r="E70" s="12" t="b">
        <v>0</v>
      </c>
      <c r="F70" s="12" t="b">
        <v>0</v>
      </c>
      <c r="G70" s="12" t="b">
        <v>0</v>
      </c>
      <c r="H70" s="12" t="b">
        <v>0</v>
      </c>
      <c r="I70" s="12" t="b">
        <v>0</v>
      </c>
      <c r="J70" s="12" t="b">
        <v>0</v>
      </c>
      <c r="K70" s="12" t="b">
        <v>0</v>
      </c>
      <c r="L70" s="12" t="b">
        <v>0</v>
      </c>
      <c r="M70" s="12" t="b">
        <v>0</v>
      </c>
      <c r="N70" s="12" t="b">
        <v>0</v>
      </c>
      <c r="O70" s="12" t="b">
        <v>0</v>
      </c>
      <c r="P70" s="12" t="b">
        <v>0</v>
      </c>
      <c r="Q70" s="12" t="b">
        <v>0</v>
      </c>
      <c r="R70" s="12" t="b">
        <v>0</v>
      </c>
      <c r="S70" s="12" t="b">
        <v>0</v>
      </c>
      <c r="T70" s="12" t="b">
        <v>0</v>
      </c>
      <c r="U70" s="12" t="b">
        <v>0</v>
      </c>
      <c r="V70" s="12" t="b">
        <v>0</v>
      </c>
      <c r="W70" s="12" t="b">
        <v>0</v>
      </c>
      <c r="X70" s="12" t="b">
        <v>0</v>
      </c>
      <c r="Y70" s="12" t="b">
        <v>0</v>
      </c>
      <c r="Z70" s="12" t="b">
        <v>0</v>
      </c>
      <c r="AA70" s="12" t="b">
        <v>0</v>
      </c>
      <c r="AB70" s="12" t="b">
        <v>0</v>
      </c>
      <c r="AC70" s="12" t="b">
        <v>0</v>
      </c>
      <c r="AD70" s="12" t="b">
        <v>0</v>
      </c>
      <c r="AE70" s="12" t="b">
        <v>0</v>
      </c>
      <c r="AF70" s="12" t="b">
        <v>0</v>
      </c>
      <c r="AG70" s="12" t="b">
        <v>0</v>
      </c>
      <c r="AH70" s="12" t="b">
        <v>0</v>
      </c>
      <c r="AI70" s="14">
        <f t="shared" si="1"/>
        <v>0</v>
      </c>
      <c r="AJ70" s="15">
        <f t="shared" si="2"/>
        <v>0</v>
      </c>
      <c r="AK70" s="16">
        <f t="shared" si="3"/>
        <v>0</v>
      </c>
      <c r="AL70" s="17"/>
      <c r="AM70" s="18"/>
    </row>
    <row r="71" ht="23.25" customHeight="1">
      <c r="A71" s="10">
        <v>68.0</v>
      </c>
      <c r="B71" s="10"/>
      <c r="C71" s="19" t="str">
        <f>iferror(vlookup(B71,'Crew Data'!C:G,5,0)," ")</f>
        <v> </v>
      </c>
      <c r="D71" s="10" t="b">
        <v>0</v>
      </c>
      <c r="E71" s="10" t="b">
        <v>0</v>
      </c>
      <c r="F71" s="10" t="b">
        <v>0</v>
      </c>
      <c r="G71" s="10" t="b">
        <v>0</v>
      </c>
      <c r="H71" s="10" t="b">
        <v>0</v>
      </c>
      <c r="I71" s="10" t="b">
        <v>0</v>
      </c>
      <c r="J71" s="10" t="b">
        <v>0</v>
      </c>
      <c r="K71" s="10" t="b">
        <v>0</v>
      </c>
      <c r="L71" s="10" t="b">
        <v>0</v>
      </c>
      <c r="M71" s="10" t="b">
        <v>0</v>
      </c>
      <c r="N71" s="10" t="b">
        <v>0</v>
      </c>
      <c r="O71" s="10" t="b">
        <v>0</v>
      </c>
      <c r="P71" s="10" t="b">
        <v>0</v>
      </c>
      <c r="Q71" s="10" t="b">
        <v>0</v>
      </c>
      <c r="R71" s="10" t="b">
        <v>0</v>
      </c>
      <c r="S71" s="10" t="b">
        <v>0</v>
      </c>
      <c r="T71" s="10" t="b">
        <v>0</v>
      </c>
      <c r="U71" s="10" t="b">
        <v>0</v>
      </c>
      <c r="V71" s="10" t="b">
        <v>0</v>
      </c>
      <c r="W71" s="10" t="b">
        <v>0</v>
      </c>
      <c r="X71" s="10" t="b">
        <v>0</v>
      </c>
      <c r="Y71" s="10" t="b">
        <v>0</v>
      </c>
      <c r="Z71" s="10" t="b">
        <v>0</v>
      </c>
      <c r="AA71" s="10" t="b">
        <v>0</v>
      </c>
      <c r="AB71" s="10" t="b">
        <v>0</v>
      </c>
      <c r="AC71" s="10" t="b">
        <v>0</v>
      </c>
      <c r="AD71" s="10" t="b">
        <v>0</v>
      </c>
      <c r="AE71" s="10" t="b">
        <v>0</v>
      </c>
      <c r="AF71" s="10" t="b">
        <v>0</v>
      </c>
      <c r="AG71" s="10" t="b">
        <v>0</v>
      </c>
      <c r="AH71" s="10" t="b">
        <v>0</v>
      </c>
      <c r="AI71" s="20">
        <f t="shared" si="1"/>
        <v>0</v>
      </c>
      <c r="AJ71" s="21">
        <f t="shared" si="2"/>
        <v>0</v>
      </c>
      <c r="AK71" s="22">
        <f t="shared" si="3"/>
        <v>0</v>
      </c>
      <c r="AL71" s="23"/>
      <c r="AM71" s="24"/>
    </row>
    <row r="72" ht="23.25" customHeight="1">
      <c r="A72" s="12">
        <v>69.0</v>
      </c>
      <c r="B72" s="12"/>
      <c r="C72" s="13" t="str">
        <f>iferror(vlookup(B72,'Crew Data'!C:G,5,0)," ")</f>
        <v> </v>
      </c>
      <c r="D72" s="12" t="b">
        <v>0</v>
      </c>
      <c r="E72" s="12" t="b">
        <v>0</v>
      </c>
      <c r="F72" s="12" t="b">
        <v>0</v>
      </c>
      <c r="G72" s="12" t="b">
        <v>0</v>
      </c>
      <c r="H72" s="12" t="b">
        <v>0</v>
      </c>
      <c r="I72" s="12" t="b">
        <v>0</v>
      </c>
      <c r="J72" s="12" t="b">
        <v>0</v>
      </c>
      <c r="K72" s="12" t="b">
        <v>0</v>
      </c>
      <c r="L72" s="12" t="b">
        <v>0</v>
      </c>
      <c r="M72" s="12" t="b">
        <v>0</v>
      </c>
      <c r="N72" s="12" t="b">
        <v>0</v>
      </c>
      <c r="O72" s="12" t="b">
        <v>0</v>
      </c>
      <c r="P72" s="12" t="b">
        <v>0</v>
      </c>
      <c r="Q72" s="12" t="b">
        <v>0</v>
      </c>
      <c r="R72" s="12" t="b">
        <v>0</v>
      </c>
      <c r="S72" s="12" t="b">
        <v>0</v>
      </c>
      <c r="T72" s="12" t="b">
        <v>0</v>
      </c>
      <c r="U72" s="12" t="b">
        <v>0</v>
      </c>
      <c r="V72" s="12" t="b">
        <v>0</v>
      </c>
      <c r="W72" s="12" t="b">
        <v>0</v>
      </c>
      <c r="X72" s="12" t="b">
        <v>0</v>
      </c>
      <c r="Y72" s="12" t="b">
        <v>0</v>
      </c>
      <c r="Z72" s="12" t="b">
        <v>0</v>
      </c>
      <c r="AA72" s="12" t="b">
        <v>0</v>
      </c>
      <c r="AB72" s="12" t="b">
        <v>0</v>
      </c>
      <c r="AC72" s="12" t="b">
        <v>0</v>
      </c>
      <c r="AD72" s="12" t="b">
        <v>0</v>
      </c>
      <c r="AE72" s="12" t="b">
        <v>0</v>
      </c>
      <c r="AF72" s="12" t="b">
        <v>0</v>
      </c>
      <c r="AG72" s="12" t="b">
        <v>0</v>
      </c>
      <c r="AH72" s="12" t="b">
        <v>0</v>
      </c>
      <c r="AI72" s="14">
        <f t="shared" si="1"/>
        <v>0</v>
      </c>
      <c r="AJ72" s="15">
        <f t="shared" si="2"/>
        <v>0</v>
      </c>
      <c r="AK72" s="16">
        <f t="shared" si="3"/>
        <v>0</v>
      </c>
      <c r="AL72" s="17"/>
      <c r="AM72" s="18"/>
    </row>
    <row r="73" ht="23.25" customHeight="1">
      <c r="A73" s="10">
        <v>70.0</v>
      </c>
      <c r="B73" s="10"/>
      <c r="C73" s="19" t="str">
        <f>iferror(vlookup(B73,'Crew Data'!C:G,5,0)," ")</f>
        <v> </v>
      </c>
      <c r="D73" s="10" t="b">
        <v>0</v>
      </c>
      <c r="E73" s="10" t="b">
        <v>0</v>
      </c>
      <c r="F73" s="10" t="b">
        <v>0</v>
      </c>
      <c r="G73" s="10" t="b">
        <v>0</v>
      </c>
      <c r="H73" s="10" t="b">
        <v>0</v>
      </c>
      <c r="I73" s="10" t="b">
        <v>0</v>
      </c>
      <c r="J73" s="10" t="b">
        <v>0</v>
      </c>
      <c r="K73" s="10" t="b">
        <v>0</v>
      </c>
      <c r="L73" s="10" t="b">
        <v>0</v>
      </c>
      <c r="M73" s="10" t="b">
        <v>0</v>
      </c>
      <c r="N73" s="10" t="b">
        <v>0</v>
      </c>
      <c r="O73" s="10" t="b">
        <v>0</v>
      </c>
      <c r="P73" s="10" t="b">
        <v>0</v>
      </c>
      <c r="Q73" s="10" t="b">
        <v>0</v>
      </c>
      <c r="R73" s="10" t="b">
        <v>0</v>
      </c>
      <c r="S73" s="10" t="b">
        <v>0</v>
      </c>
      <c r="T73" s="10" t="b">
        <v>0</v>
      </c>
      <c r="U73" s="10" t="b">
        <v>0</v>
      </c>
      <c r="V73" s="10" t="b">
        <v>0</v>
      </c>
      <c r="W73" s="10" t="b">
        <v>0</v>
      </c>
      <c r="X73" s="10" t="b">
        <v>0</v>
      </c>
      <c r="Y73" s="10" t="b">
        <v>0</v>
      </c>
      <c r="Z73" s="10" t="b">
        <v>0</v>
      </c>
      <c r="AA73" s="10" t="b">
        <v>0</v>
      </c>
      <c r="AB73" s="10" t="b">
        <v>0</v>
      </c>
      <c r="AC73" s="10" t="b">
        <v>0</v>
      </c>
      <c r="AD73" s="10" t="b">
        <v>0</v>
      </c>
      <c r="AE73" s="10" t="b">
        <v>0</v>
      </c>
      <c r="AF73" s="10" t="b">
        <v>0</v>
      </c>
      <c r="AG73" s="10" t="b">
        <v>0</v>
      </c>
      <c r="AH73" s="10" t="b">
        <v>0</v>
      </c>
      <c r="AI73" s="20">
        <f t="shared" si="1"/>
        <v>0</v>
      </c>
      <c r="AJ73" s="21">
        <f t="shared" si="2"/>
        <v>0</v>
      </c>
      <c r="AK73" s="22">
        <f t="shared" si="3"/>
        <v>0</v>
      </c>
      <c r="AL73" s="23"/>
      <c r="AM73" s="24"/>
    </row>
    <row r="74" ht="23.25" customHeight="1">
      <c r="A74" s="12">
        <v>71.0</v>
      </c>
      <c r="B74" s="12"/>
      <c r="C74" s="13" t="str">
        <f>iferror(vlookup(B74,'Crew Data'!C:G,5,0)," ")</f>
        <v> </v>
      </c>
      <c r="D74" s="12" t="b">
        <v>0</v>
      </c>
      <c r="E74" s="12" t="b">
        <v>0</v>
      </c>
      <c r="F74" s="12" t="b">
        <v>0</v>
      </c>
      <c r="G74" s="12" t="b">
        <v>0</v>
      </c>
      <c r="H74" s="12" t="b">
        <v>0</v>
      </c>
      <c r="I74" s="12" t="b">
        <v>0</v>
      </c>
      <c r="J74" s="12" t="b">
        <v>0</v>
      </c>
      <c r="K74" s="12" t="b">
        <v>0</v>
      </c>
      <c r="L74" s="12" t="b">
        <v>0</v>
      </c>
      <c r="M74" s="12" t="b">
        <v>0</v>
      </c>
      <c r="N74" s="12" t="b">
        <v>0</v>
      </c>
      <c r="O74" s="12" t="b">
        <v>0</v>
      </c>
      <c r="P74" s="12" t="b">
        <v>0</v>
      </c>
      <c r="Q74" s="12" t="b">
        <v>0</v>
      </c>
      <c r="R74" s="12" t="b">
        <v>0</v>
      </c>
      <c r="S74" s="12" t="b">
        <v>0</v>
      </c>
      <c r="T74" s="12" t="b">
        <v>0</v>
      </c>
      <c r="U74" s="12" t="b">
        <v>0</v>
      </c>
      <c r="V74" s="12" t="b">
        <v>0</v>
      </c>
      <c r="W74" s="12" t="b">
        <v>0</v>
      </c>
      <c r="X74" s="12" t="b">
        <v>0</v>
      </c>
      <c r="Y74" s="12" t="b">
        <v>0</v>
      </c>
      <c r="Z74" s="12" t="b">
        <v>0</v>
      </c>
      <c r="AA74" s="12" t="b">
        <v>0</v>
      </c>
      <c r="AB74" s="12" t="b">
        <v>0</v>
      </c>
      <c r="AC74" s="12" t="b">
        <v>0</v>
      </c>
      <c r="AD74" s="12" t="b">
        <v>0</v>
      </c>
      <c r="AE74" s="12" t="b">
        <v>0</v>
      </c>
      <c r="AF74" s="12" t="b">
        <v>0</v>
      </c>
      <c r="AG74" s="12" t="b">
        <v>0</v>
      </c>
      <c r="AH74" s="12" t="b">
        <v>0</v>
      </c>
      <c r="AI74" s="14">
        <f t="shared" si="1"/>
        <v>0</v>
      </c>
      <c r="AJ74" s="15">
        <f t="shared" si="2"/>
        <v>0</v>
      </c>
      <c r="AK74" s="16">
        <f t="shared" si="3"/>
        <v>0</v>
      </c>
      <c r="AL74" s="17"/>
      <c r="AM74" s="18"/>
    </row>
    <row r="75" ht="23.25" customHeight="1">
      <c r="A75" s="10">
        <v>72.0</v>
      </c>
      <c r="B75" s="10"/>
      <c r="C75" s="19" t="str">
        <f>iferror(vlookup(B75,'Crew Data'!C:G,5,0)," ")</f>
        <v> </v>
      </c>
      <c r="D75" s="10" t="b">
        <v>0</v>
      </c>
      <c r="E75" s="10" t="b">
        <v>0</v>
      </c>
      <c r="F75" s="10" t="b">
        <v>0</v>
      </c>
      <c r="G75" s="10" t="b">
        <v>0</v>
      </c>
      <c r="H75" s="10" t="b">
        <v>0</v>
      </c>
      <c r="I75" s="10" t="b">
        <v>0</v>
      </c>
      <c r="J75" s="10" t="b">
        <v>0</v>
      </c>
      <c r="K75" s="10" t="b">
        <v>0</v>
      </c>
      <c r="L75" s="10" t="b">
        <v>0</v>
      </c>
      <c r="M75" s="10" t="b">
        <v>0</v>
      </c>
      <c r="N75" s="10" t="b">
        <v>0</v>
      </c>
      <c r="O75" s="10" t="b">
        <v>0</v>
      </c>
      <c r="P75" s="10" t="b">
        <v>0</v>
      </c>
      <c r="Q75" s="10" t="b">
        <v>0</v>
      </c>
      <c r="R75" s="10" t="b">
        <v>0</v>
      </c>
      <c r="S75" s="10" t="b">
        <v>0</v>
      </c>
      <c r="T75" s="10" t="b">
        <v>0</v>
      </c>
      <c r="U75" s="10" t="b">
        <v>0</v>
      </c>
      <c r="V75" s="10" t="b">
        <v>0</v>
      </c>
      <c r="W75" s="10" t="b">
        <v>0</v>
      </c>
      <c r="X75" s="10" t="b">
        <v>0</v>
      </c>
      <c r="Y75" s="10" t="b">
        <v>0</v>
      </c>
      <c r="Z75" s="10" t="b">
        <v>0</v>
      </c>
      <c r="AA75" s="10" t="b">
        <v>0</v>
      </c>
      <c r="AB75" s="10" t="b">
        <v>0</v>
      </c>
      <c r="AC75" s="10" t="b">
        <v>0</v>
      </c>
      <c r="AD75" s="10" t="b">
        <v>0</v>
      </c>
      <c r="AE75" s="10" t="b">
        <v>0</v>
      </c>
      <c r="AF75" s="10" t="b">
        <v>0</v>
      </c>
      <c r="AG75" s="10" t="b">
        <v>0</v>
      </c>
      <c r="AH75" s="10" t="b">
        <v>0</v>
      </c>
      <c r="AI75" s="20">
        <f t="shared" si="1"/>
        <v>0</v>
      </c>
      <c r="AJ75" s="21">
        <f t="shared" si="2"/>
        <v>0</v>
      </c>
      <c r="AK75" s="22">
        <f t="shared" si="3"/>
        <v>0</v>
      </c>
      <c r="AL75" s="23"/>
      <c r="AM75" s="24"/>
    </row>
    <row r="76" ht="23.25" customHeight="1">
      <c r="A76" s="12">
        <v>73.0</v>
      </c>
      <c r="B76" s="12"/>
      <c r="C76" s="13" t="str">
        <f>iferror(vlookup(B76,'Crew Data'!C:G,5,0)," ")</f>
        <v> </v>
      </c>
      <c r="D76" s="12" t="b">
        <v>0</v>
      </c>
      <c r="E76" s="12" t="b">
        <v>0</v>
      </c>
      <c r="F76" s="12" t="b">
        <v>0</v>
      </c>
      <c r="G76" s="12" t="b">
        <v>0</v>
      </c>
      <c r="H76" s="12" t="b">
        <v>0</v>
      </c>
      <c r="I76" s="12" t="b">
        <v>0</v>
      </c>
      <c r="J76" s="12" t="b">
        <v>0</v>
      </c>
      <c r="K76" s="12" t="b">
        <v>0</v>
      </c>
      <c r="L76" s="12" t="b">
        <v>0</v>
      </c>
      <c r="M76" s="12" t="b">
        <v>0</v>
      </c>
      <c r="N76" s="12" t="b">
        <v>0</v>
      </c>
      <c r="O76" s="12" t="b">
        <v>0</v>
      </c>
      <c r="P76" s="12" t="b">
        <v>0</v>
      </c>
      <c r="Q76" s="12" t="b">
        <v>0</v>
      </c>
      <c r="R76" s="12" t="b">
        <v>0</v>
      </c>
      <c r="S76" s="12" t="b">
        <v>0</v>
      </c>
      <c r="T76" s="12" t="b">
        <v>0</v>
      </c>
      <c r="U76" s="12" t="b">
        <v>0</v>
      </c>
      <c r="V76" s="12" t="b">
        <v>0</v>
      </c>
      <c r="W76" s="12" t="b">
        <v>0</v>
      </c>
      <c r="X76" s="12" t="b">
        <v>0</v>
      </c>
      <c r="Y76" s="12" t="b">
        <v>0</v>
      </c>
      <c r="Z76" s="12" t="b">
        <v>0</v>
      </c>
      <c r="AA76" s="12" t="b">
        <v>0</v>
      </c>
      <c r="AB76" s="12" t="b">
        <v>0</v>
      </c>
      <c r="AC76" s="12" t="b">
        <v>0</v>
      </c>
      <c r="AD76" s="12" t="b">
        <v>0</v>
      </c>
      <c r="AE76" s="12" t="b">
        <v>0</v>
      </c>
      <c r="AF76" s="12" t="b">
        <v>0</v>
      </c>
      <c r="AG76" s="12" t="b">
        <v>0</v>
      </c>
      <c r="AH76" s="12" t="b">
        <v>0</v>
      </c>
      <c r="AI76" s="14">
        <f t="shared" si="1"/>
        <v>0</v>
      </c>
      <c r="AJ76" s="15">
        <f t="shared" si="2"/>
        <v>0</v>
      </c>
      <c r="AK76" s="16">
        <f t="shared" si="3"/>
        <v>0</v>
      </c>
      <c r="AL76" s="17"/>
      <c r="AM76" s="18"/>
    </row>
    <row r="77" ht="23.25" customHeight="1">
      <c r="A77" s="10">
        <v>74.0</v>
      </c>
      <c r="B77" s="10"/>
      <c r="C77" s="19" t="str">
        <f>iferror(vlookup(B77,'Crew Data'!C:G,5,0)," ")</f>
        <v> </v>
      </c>
      <c r="D77" s="10" t="b">
        <v>0</v>
      </c>
      <c r="E77" s="10" t="b">
        <v>0</v>
      </c>
      <c r="F77" s="10" t="b">
        <v>0</v>
      </c>
      <c r="G77" s="10" t="b">
        <v>0</v>
      </c>
      <c r="H77" s="10" t="b">
        <v>0</v>
      </c>
      <c r="I77" s="10" t="b">
        <v>0</v>
      </c>
      <c r="J77" s="10" t="b">
        <v>0</v>
      </c>
      <c r="K77" s="10" t="b">
        <v>0</v>
      </c>
      <c r="L77" s="10" t="b">
        <v>0</v>
      </c>
      <c r="M77" s="10" t="b">
        <v>0</v>
      </c>
      <c r="N77" s="10" t="b">
        <v>0</v>
      </c>
      <c r="O77" s="10" t="b">
        <v>0</v>
      </c>
      <c r="P77" s="10" t="b">
        <v>0</v>
      </c>
      <c r="Q77" s="10" t="b">
        <v>0</v>
      </c>
      <c r="R77" s="10" t="b">
        <v>0</v>
      </c>
      <c r="S77" s="10" t="b">
        <v>0</v>
      </c>
      <c r="T77" s="10" t="b">
        <v>0</v>
      </c>
      <c r="U77" s="10" t="b">
        <v>0</v>
      </c>
      <c r="V77" s="10" t="b">
        <v>0</v>
      </c>
      <c r="W77" s="10" t="b">
        <v>0</v>
      </c>
      <c r="X77" s="10" t="b">
        <v>0</v>
      </c>
      <c r="Y77" s="10" t="b">
        <v>0</v>
      </c>
      <c r="Z77" s="10" t="b">
        <v>0</v>
      </c>
      <c r="AA77" s="10" t="b">
        <v>0</v>
      </c>
      <c r="AB77" s="10" t="b">
        <v>0</v>
      </c>
      <c r="AC77" s="10" t="b">
        <v>0</v>
      </c>
      <c r="AD77" s="10" t="b">
        <v>0</v>
      </c>
      <c r="AE77" s="10" t="b">
        <v>0</v>
      </c>
      <c r="AF77" s="10" t="b">
        <v>0</v>
      </c>
      <c r="AG77" s="10" t="b">
        <v>0</v>
      </c>
      <c r="AH77" s="10" t="b">
        <v>0</v>
      </c>
      <c r="AI77" s="20">
        <f t="shared" si="1"/>
        <v>0</v>
      </c>
      <c r="AJ77" s="21">
        <f t="shared" si="2"/>
        <v>0</v>
      </c>
      <c r="AK77" s="22">
        <f t="shared" si="3"/>
        <v>0</v>
      </c>
      <c r="AL77" s="23"/>
      <c r="AM77" s="24"/>
    </row>
    <row r="78" ht="23.25" customHeight="1">
      <c r="A78" s="12">
        <v>75.0</v>
      </c>
      <c r="B78" s="12"/>
      <c r="C78" s="13" t="str">
        <f>iferror(vlookup(B78,'Crew Data'!C:G,5,0)," ")</f>
        <v> </v>
      </c>
      <c r="D78" s="12" t="b">
        <v>0</v>
      </c>
      <c r="E78" s="12" t="b">
        <v>0</v>
      </c>
      <c r="F78" s="12" t="b">
        <v>0</v>
      </c>
      <c r="G78" s="12" t="b">
        <v>0</v>
      </c>
      <c r="H78" s="12" t="b">
        <v>0</v>
      </c>
      <c r="I78" s="12" t="b">
        <v>0</v>
      </c>
      <c r="J78" s="12" t="b">
        <v>0</v>
      </c>
      <c r="K78" s="12" t="b">
        <v>0</v>
      </c>
      <c r="L78" s="12" t="b">
        <v>0</v>
      </c>
      <c r="M78" s="12" t="b">
        <v>0</v>
      </c>
      <c r="N78" s="12" t="b">
        <v>0</v>
      </c>
      <c r="O78" s="12" t="b">
        <v>0</v>
      </c>
      <c r="P78" s="12" t="b">
        <v>0</v>
      </c>
      <c r="Q78" s="12" t="b">
        <v>0</v>
      </c>
      <c r="R78" s="12" t="b">
        <v>0</v>
      </c>
      <c r="S78" s="12" t="b">
        <v>0</v>
      </c>
      <c r="T78" s="12" t="b">
        <v>0</v>
      </c>
      <c r="U78" s="12" t="b">
        <v>0</v>
      </c>
      <c r="V78" s="12" t="b">
        <v>0</v>
      </c>
      <c r="W78" s="12" t="b">
        <v>0</v>
      </c>
      <c r="X78" s="12" t="b">
        <v>0</v>
      </c>
      <c r="Y78" s="12" t="b">
        <v>0</v>
      </c>
      <c r="Z78" s="12" t="b">
        <v>0</v>
      </c>
      <c r="AA78" s="12" t="b">
        <v>0</v>
      </c>
      <c r="AB78" s="12" t="b">
        <v>0</v>
      </c>
      <c r="AC78" s="12" t="b">
        <v>0</v>
      </c>
      <c r="AD78" s="12" t="b">
        <v>0</v>
      </c>
      <c r="AE78" s="12" t="b">
        <v>0</v>
      </c>
      <c r="AF78" s="12" t="b">
        <v>0</v>
      </c>
      <c r="AG78" s="12" t="b">
        <v>0</v>
      </c>
      <c r="AH78" s="12" t="b">
        <v>0</v>
      </c>
      <c r="AI78" s="14">
        <f t="shared" si="1"/>
        <v>0</v>
      </c>
      <c r="AJ78" s="15">
        <f t="shared" si="2"/>
        <v>0</v>
      </c>
      <c r="AK78" s="16">
        <f t="shared" si="3"/>
        <v>0</v>
      </c>
      <c r="AL78" s="17"/>
      <c r="AM78" s="18"/>
    </row>
    <row r="79" ht="23.25" customHeight="1">
      <c r="A79" s="10">
        <v>76.0</v>
      </c>
      <c r="B79" s="10"/>
      <c r="C79" s="19" t="str">
        <f>iferror(vlookup(B79,'Crew Data'!C:G,5,0)," ")</f>
        <v> </v>
      </c>
      <c r="D79" s="10" t="b">
        <v>0</v>
      </c>
      <c r="E79" s="10" t="b">
        <v>0</v>
      </c>
      <c r="F79" s="10" t="b">
        <v>0</v>
      </c>
      <c r="G79" s="10" t="b">
        <v>0</v>
      </c>
      <c r="H79" s="10" t="b">
        <v>0</v>
      </c>
      <c r="I79" s="10" t="b">
        <v>0</v>
      </c>
      <c r="J79" s="10" t="b">
        <v>0</v>
      </c>
      <c r="K79" s="10" t="b">
        <v>0</v>
      </c>
      <c r="L79" s="10" t="b">
        <v>0</v>
      </c>
      <c r="M79" s="10" t="b">
        <v>0</v>
      </c>
      <c r="N79" s="10" t="b">
        <v>0</v>
      </c>
      <c r="O79" s="10" t="b">
        <v>0</v>
      </c>
      <c r="P79" s="10" t="b">
        <v>0</v>
      </c>
      <c r="Q79" s="10" t="b">
        <v>0</v>
      </c>
      <c r="R79" s="10" t="b">
        <v>0</v>
      </c>
      <c r="S79" s="10" t="b">
        <v>0</v>
      </c>
      <c r="T79" s="10" t="b">
        <v>0</v>
      </c>
      <c r="U79" s="10" t="b">
        <v>0</v>
      </c>
      <c r="V79" s="10" t="b">
        <v>0</v>
      </c>
      <c r="W79" s="10" t="b">
        <v>0</v>
      </c>
      <c r="X79" s="10" t="b">
        <v>0</v>
      </c>
      <c r="Y79" s="10" t="b">
        <v>0</v>
      </c>
      <c r="Z79" s="10" t="b">
        <v>0</v>
      </c>
      <c r="AA79" s="10" t="b">
        <v>0</v>
      </c>
      <c r="AB79" s="10" t="b">
        <v>0</v>
      </c>
      <c r="AC79" s="10" t="b">
        <v>0</v>
      </c>
      <c r="AD79" s="10" t="b">
        <v>0</v>
      </c>
      <c r="AE79" s="10" t="b">
        <v>0</v>
      </c>
      <c r="AF79" s="10" t="b">
        <v>0</v>
      </c>
      <c r="AG79" s="10" t="b">
        <v>0</v>
      </c>
      <c r="AH79" s="10" t="b">
        <v>0</v>
      </c>
      <c r="AI79" s="20">
        <f t="shared" si="1"/>
        <v>0</v>
      </c>
      <c r="AJ79" s="21">
        <f t="shared" si="2"/>
        <v>0</v>
      </c>
      <c r="AK79" s="22">
        <f t="shared" si="3"/>
        <v>0</v>
      </c>
      <c r="AL79" s="23"/>
      <c r="AM79" s="24"/>
    </row>
    <row r="80" ht="23.25" customHeight="1">
      <c r="A80" s="12">
        <v>77.0</v>
      </c>
      <c r="B80" s="12"/>
      <c r="C80" s="13" t="str">
        <f>iferror(vlookup(B80,'Crew Data'!C:G,5,0)," ")</f>
        <v> </v>
      </c>
      <c r="D80" s="12" t="b">
        <v>0</v>
      </c>
      <c r="E80" s="12" t="b">
        <v>0</v>
      </c>
      <c r="F80" s="12" t="b">
        <v>0</v>
      </c>
      <c r="G80" s="12" t="b">
        <v>0</v>
      </c>
      <c r="H80" s="12" t="b">
        <v>0</v>
      </c>
      <c r="I80" s="12" t="b">
        <v>0</v>
      </c>
      <c r="J80" s="12" t="b">
        <v>0</v>
      </c>
      <c r="K80" s="12" t="b">
        <v>0</v>
      </c>
      <c r="L80" s="12" t="b">
        <v>0</v>
      </c>
      <c r="M80" s="12" t="b">
        <v>0</v>
      </c>
      <c r="N80" s="12" t="b">
        <v>0</v>
      </c>
      <c r="O80" s="12" t="b">
        <v>0</v>
      </c>
      <c r="P80" s="12" t="b">
        <v>0</v>
      </c>
      <c r="Q80" s="12" t="b">
        <v>0</v>
      </c>
      <c r="R80" s="12" t="b">
        <v>0</v>
      </c>
      <c r="S80" s="12" t="b">
        <v>0</v>
      </c>
      <c r="T80" s="12" t="b">
        <v>0</v>
      </c>
      <c r="U80" s="12" t="b">
        <v>0</v>
      </c>
      <c r="V80" s="12" t="b">
        <v>0</v>
      </c>
      <c r="W80" s="12" t="b">
        <v>0</v>
      </c>
      <c r="X80" s="12" t="b">
        <v>0</v>
      </c>
      <c r="Y80" s="12" t="b">
        <v>0</v>
      </c>
      <c r="Z80" s="12" t="b">
        <v>0</v>
      </c>
      <c r="AA80" s="12" t="b">
        <v>0</v>
      </c>
      <c r="AB80" s="12" t="b">
        <v>0</v>
      </c>
      <c r="AC80" s="12" t="b">
        <v>0</v>
      </c>
      <c r="AD80" s="12" t="b">
        <v>0</v>
      </c>
      <c r="AE80" s="12" t="b">
        <v>0</v>
      </c>
      <c r="AF80" s="12" t="b">
        <v>0</v>
      </c>
      <c r="AG80" s="12" t="b">
        <v>0</v>
      </c>
      <c r="AH80" s="12" t="b">
        <v>0</v>
      </c>
      <c r="AI80" s="14">
        <f t="shared" si="1"/>
        <v>0</v>
      </c>
      <c r="AJ80" s="15">
        <f t="shared" si="2"/>
        <v>0</v>
      </c>
      <c r="AK80" s="16">
        <f t="shared" si="3"/>
        <v>0</v>
      </c>
      <c r="AL80" s="17"/>
      <c r="AM80" s="18"/>
    </row>
    <row r="81" ht="23.25" customHeight="1">
      <c r="A81" s="10">
        <v>78.0</v>
      </c>
      <c r="B81" s="10"/>
      <c r="C81" s="19" t="str">
        <f>iferror(vlookup(B81,'Crew Data'!C:G,5,0)," ")</f>
        <v> </v>
      </c>
      <c r="D81" s="10" t="b">
        <v>0</v>
      </c>
      <c r="E81" s="10" t="b">
        <v>0</v>
      </c>
      <c r="F81" s="10" t="b">
        <v>0</v>
      </c>
      <c r="G81" s="10" t="b">
        <v>0</v>
      </c>
      <c r="H81" s="10" t="b">
        <v>0</v>
      </c>
      <c r="I81" s="10" t="b">
        <v>0</v>
      </c>
      <c r="J81" s="10" t="b">
        <v>0</v>
      </c>
      <c r="K81" s="10" t="b">
        <v>0</v>
      </c>
      <c r="L81" s="10" t="b">
        <v>0</v>
      </c>
      <c r="M81" s="10" t="b">
        <v>0</v>
      </c>
      <c r="N81" s="10" t="b">
        <v>0</v>
      </c>
      <c r="O81" s="10" t="b">
        <v>0</v>
      </c>
      <c r="P81" s="10" t="b">
        <v>0</v>
      </c>
      <c r="Q81" s="10" t="b">
        <v>0</v>
      </c>
      <c r="R81" s="10" t="b">
        <v>0</v>
      </c>
      <c r="S81" s="10" t="b">
        <v>0</v>
      </c>
      <c r="T81" s="10" t="b">
        <v>0</v>
      </c>
      <c r="U81" s="10" t="b">
        <v>0</v>
      </c>
      <c r="V81" s="10" t="b">
        <v>0</v>
      </c>
      <c r="W81" s="10" t="b">
        <v>0</v>
      </c>
      <c r="X81" s="10" t="b">
        <v>0</v>
      </c>
      <c r="Y81" s="10" t="b">
        <v>0</v>
      </c>
      <c r="Z81" s="10" t="b">
        <v>0</v>
      </c>
      <c r="AA81" s="10" t="b">
        <v>0</v>
      </c>
      <c r="AB81" s="10" t="b">
        <v>0</v>
      </c>
      <c r="AC81" s="10" t="b">
        <v>0</v>
      </c>
      <c r="AD81" s="10" t="b">
        <v>0</v>
      </c>
      <c r="AE81" s="10" t="b">
        <v>0</v>
      </c>
      <c r="AF81" s="10" t="b">
        <v>0</v>
      </c>
      <c r="AG81" s="10" t="b">
        <v>0</v>
      </c>
      <c r="AH81" s="10" t="b">
        <v>0</v>
      </c>
      <c r="AI81" s="20">
        <f t="shared" si="1"/>
        <v>0</v>
      </c>
      <c r="AJ81" s="21">
        <f t="shared" si="2"/>
        <v>0</v>
      </c>
      <c r="AK81" s="22">
        <f t="shared" si="3"/>
        <v>0</v>
      </c>
      <c r="AL81" s="23"/>
      <c r="AM81" s="24"/>
    </row>
    <row r="82" ht="23.25" customHeight="1">
      <c r="A82" s="12">
        <v>79.0</v>
      </c>
      <c r="B82" s="12"/>
      <c r="C82" s="13" t="str">
        <f>iferror(vlookup(B82,'Crew Data'!C:G,5,0)," ")</f>
        <v> </v>
      </c>
      <c r="D82" s="12" t="b">
        <v>0</v>
      </c>
      <c r="E82" s="12" t="b">
        <v>0</v>
      </c>
      <c r="F82" s="12" t="b">
        <v>0</v>
      </c>
      <c r="G82" s="12" t="b">
        <v>0</v>
      </c>
      <c r="H82" s="12" t="b">
        <v>0</v>
      </c>
      <c r="I82" s="12" t="b">
        <v>0</v>
      </c>
      <c r="J82" s="12" t="b">
        <v>0</v>
      </c>
      <c r="K82" s="12" t="b">
        <v>0</v>
      </c>
      <c r="L82" s="12" t="b">
        <v>0</v>
      </c>
      <c r="M82" s="12" t="b">
        <v>0</v>
      </c>
      <c r="N82" s="12" t="b">
        <v>0</v>
      </c>
      <c r="O82" s="12" t="b">
        <v>0</v>
      </c>
      <c r="P82" s="12" t="b">
        <v>0</v>
      </c>
      <c r="Q82" s="12" t="b">
        <v>0</v>
      </c>
      <c r="R82" s="12" t="b">
        <v>0</v>
      </c>
      <c r="S82" s="12" t="b">
        <v>0</v>
      </c>
      <c r="T82" s="12" t="b">
        <v>0</v>
      </c>
      <c r="U82" s="12" t="b">
        <v>0</v>
      </c>
      <c r="V82" s="12" t="b">
        <v>0</v>
      </c>
      <c r="W82" s="12" t="b">
        <v>0</v>
      </c>
      <c r="X82" s="12" t="b">
        <v>0</v>
      </c>
      <c r="Y82" s="12" t="b">
        <v>0</v>
      </c>
      <c r="Z82" s="12" t="b">
        <v>0</v>
      </c>
      <c r="AA82" s="12" t="b">
        <v>0</v>
      </c>
      <c r="AB82" s="12" t="b">
        <v>0</v>
      </c>
      <c r="AC82" s="12" t="b">
        <v>0</v>
      </c>
      <c r="AD82" s="12" t="b">
        <v>0</v>
      </c>
      <c r="AE82" s="12" t="b">
        <v>0</v>
      </c>
      <c r="AF82" s="12" t="b">
        <v>0</v>
      </c>
      <c r="AG82" s="12" t="b">
        <v>0</v>
      </c>
      <c r="AH82" s="12" t="b">
        <v>0</v>
      </c>
      <c r="AI82" s="14">
        <f t="shared" si="1"/>
        <v>0</v>
      </c>
      <c r="AJ82" s="15">
        <f t="shared" si="2"/>
        <v>0</v>
      </c>
      <c r="AK82" s="16">
        <f t="shared" si="3"/>
        <v>0</v>
      </c>
      <c r="AL82" s="17"/>
      <c r="AM82" s="18"/>
    </row>
    <row r="83" ht="23.25" customHeight="1">
      <c r="A83" s="10">
        <v>80.0</v>
      </c>
      <c r="B83" s="10"/>
      <c r="C83" s="19" t="str">
        <f>iferror(vlookup(B83,'Crew Data'!C:G,5,0)," ")</f>
        <v> </v>
      </c>
      <c r="D83" s="10" t="b">
        <v>0</v>
      </c>
      <c r="E83" s="10" t="b">
        <v>0</v>
      </c>
      <c r="F83" s="10" t="b">
        <v>0</v>
      </c>
      <c r="G83" s="10" t="b">
        <v>0</v>
      </c>
      <c r="H83" s="10" t="b">
        <v>0</v>
      </c>
      <c r="I83" s="10" t="b">
        <v>0</v>
      </c>
      <c r="J83" s="10" t="b">
        <v>0</v>
      </c>
      <c r="K83" s="10" t="b">
        <v>0</v>
      </c>
      <c r="L83" s="10" t="b">
        <v>0</v>
      </c>
      <c r="M83" s="10" t="b">
        <v>0</v>
      </c>
      <c r="N83" s="10" t="b">
        <v>0</v>
      </c>
      <c r="O83" s="10" t="b">
        <v>0</v>
      </c>
      <c r="P83" s="10" t="b">
        <v>0</v>
      </c>
      <c r="Q83" s="10" t="b">
        <v>0</v>
      </c>
      <c r="R83" s="10" t="b">
        <v>0</v>
      </c>
      <c r="S83" s="10" t="b">
        <v>0</v>
      </c>
      <c r="T83" s="10" t="b">
        <v>0</v>
      </c>
      <c r="U83" s="10" t="b">
        <v>0</v>
      </c>
      <c r="V83" s="10" t="b">
        <v>0</v>
      </c>
      <c r="W83" s="10" t="b">
        <v>0</v>
      </c>
      <c r="X83" s="10" t="b">
        <v>0</v>
      </c>
      <c r="Y83" s="10" t="b">
        <v>0</v>
      </c>
      <c r="Z83" s="10" t="b">
        <v>0</v>
      </c>
      <c r="AA83" s="10" t="b">
        <v>0</v>
      </c>
      <c r="AB83" s="10" t="b">
        <v>0</v>
      </c>
      <c r="AC83" s="10" t="b">
        <v>0</v>
      </c>
      <c r="AD83" s="10" t="b">
        <v>0</v>
      </c>
      <c r="AE83" s="10" t="b">
        <v>0</v>
      </c>
      <c r="AF83" s="10" t="b">
        <v>0</v>
      </c>
      <c r="AG83" s="10" t="b">
        <v>0</v>
      </c>
      <c r="AH83" s="10" t="b">
        <v>0</v>
      </c>
      <c r="AI83" s="20">
        <f t="shared" si="1"/>
        <v>0</v>
      </c>
      <c r="AJ83" s="21">
        <f t="shared" si="2"/>
        <v>0</v>
      </c>
      <c r="AK83" s="22">
        <f t="shared" si="3"/>
        <v>0</v>
      </c>
      <c r="AL83" s="23"/>
      <c r="AM83" s="24"/>
    </row>
    <row r="84" ht="23.25" customHeight="1">
      <c r="A84" s="12">
        <v>81.0</v>
      </c>
      <c r="B84" s="12"/>
      <c r="C84" s="13" t="str">
        <f>iferror(vlookup(B84,'Crew Data'!C:G,5,0)," ")</f>
        <v> </v>
      </c>
      <c r="D84" s="12" t="b">
        <v>0</v>
      </c>
      <c r="E84" s="12" t="b">
        <v>0</v>
      </c>
      <c r="F84" s="12" t="b">
        <v>0</v>
      </c>
      <c r="G84" s="12" t="b">
        <v>0</v>
      </c>
      <c r="H84" s="12" t="b">
        <v>0</v>
      </c>
      <c r="I84" s="12" t="b">
        <v>0</v>
      </c>
      <c r="J84" s="12" t="b">
        <v>0</v>
      </c>
      <c r="K84" s="12" t="b">
        <v>0</v>
      </c>
      <c r="L84" s="12" t="b">
        <v>0</v>
      </c>
      <c r="M84" s="12" t="b">
        <v>0</v>
      </c>
      <c r="N84" s="12" t="b">
        <v>0</v>
      </c>
      <c r="O84" s="12" t="b">
        <v>0</v>
      </c>
      <c r="P84" s="12" t="b">
        <v>0</v>
      </c>
      <c r="Q84" s="12" t="b">
        <v>0</v>
      </c>
      <c r="R84" s="12" t="b">
        <v>0</v>
      </c>
      <c r="S84" s="12" t="b">
        <v>0</v>
      </c>
      <c r="T84" s="12" t="b">
        <v>0</v>
      </c>
      <c r="U84" s="12" t="b">
        <v>0</v>
      </c>
      <c r="V84" s="12" t="b">
        <v>0</v>
      </c>
      <c r="W84" s="12" t="b">
        <v>0</v>
      </c>
      <c r="X84" s="12" t="b">
        <v>0</v>
      </c>
      <c r="Y84" s="12" t="b">
        <v>0</v>
      </c>
      <c r="Z84" s="12" t="b">
        <v>0</v>
      </c>
      <c r="AA84" s="12" t="b">
        <v>0</v>
      </c>
      <c r="AB84" s="12" t="b">
        <v>0</v>
      </c>
      <c r="AC84" s="12" t="b">
        <v>0</v>
      </c>
      <c r="AD84" s="12" t="b">
        <v>0</v>
      </c>
      <c r="AE84" s="12" t="b">
        <v>0</v>
      </c>
      <c r="AF84" s="12" t="b">
        <v>0</v>
      </c>
      <c r="AG84" s="12" t="b">
        <v>0</v>
      </c>
      <c r="AH84" s="12" t="b">
        <v>0</v>
      </c>
      <c r="AI84" s="14">
        <f t="shared" si="1"/>
        <v>0</v>
      </c>
      <c r="AJ84" s="15">
        <f t="shared" si="2"/>
        <v>0</v>
      </c>
      <c r="AK84" s="16">
        <f t="shared" si="3"/>
        <v>0</v>
      </c>
      <c r="AL84" s="17"/>
      <c r="AM84" s="18"/>
    </row>
    <row r="85" ht="23.25" customHeight="1">
      <c r="A85" s="10">
        <v>82.0</v>
      </c>
      <c r="B85" s="10"/>
      <c r="C85" s="19" t="str">
        <f>iferror(vlookup(B85,'Crew Data'!C:G,5,0)," ")</f>
        <v> </v>
      </c>
      <c r="D85" s="10" t="b">
        <v>0</v>
      </c>
      <c r="E85" s="10" t="b">
        <v>0</v>
      </c>
      <c r="F85" s="10" t="b">
        <v>0</v>
      </c>
      <c r="G85" s="10" t="b">
        <v>0</v>
      </c>
      <c r="H85" s="10" t="b">
        <v>0</v>
      </c>
      <c r="I85" s="10" t="b">
        <v>0</v>
      </c>
      <c r="J85" s="10" t="b">
        <v>0</v>
      </c>
      <c r="K85" s="10" t="b">
        <v>0</v>
      </c>
      <c r="L85" s="10" t="b">
        <v>0</v>
      </c>
      <c r="M85" s="10" t="b">
        <v>0</v>
      </c>
      <c r="N85" s="10" t="b">
        <v>0</v>
      </c>
      <c r="O85" s="10" t="b">
        <v>0</v>
      </c>
      <c r="P85" s="10" t="b">
        <v>0</v>
      </c>
      <c r="Q85" s="10" t="b">
        <v>0</v>
      </c>
      <c r="R85" s="10" t="b">
        <v>0</v>
      </c>
      <c r="S85" s="10" t="b">
        <v>0</v>
      </c>
      <c r="T85" s="10" t="b">
        <v>0</v>
      </c>
      <c r="U85" s="10" t="b">
        <v>0</v>
      </c>
      <c r="V85" s="10" t="b">
        <v>0</v>
      </c>
      <c r="W85" s="10" t="b">
        <v>0</v>
      </c>
      <c r="X85" s="10" t="b">
        <v>0</v>
      </c>
      <c r="Y85" s="10" t="b">
        <v>0</v>
      </c>
      <c r="Z85" s="10" t="b">
        <v>0</v>
      </c>
      <c r="AA85" s="10" t="b">
        <v>0</v>
      </c>
      <c r="AB85" s="10" t="b">
        <v>0</v>
      </c>
      <c r="AC85" s="10" t="b">
        <v>0</v>
      </c>
      <c r="AD85" s="10" t="b">
        <v>0</v>
      </c>
      <c r="AE85" s="10" t="b">
        <v>0</v>
      </c>
      <c r="AF85" s="10" t="b">
        <v>0</v>
      </c>
      <c r="AG85" s="10" t="b">
        <v>0</v>
      </c>
      <c r="AH85" s="10" t="b">
        <v>0</v>
      </c>
      <c r="AI85" s="20">
        <f t="shared" si="1"/>
        <v>0</v>
      </c>
      <c r="AJ85" s="21">
        <f t="shared" si="2"/>
        <v>0</v>
      </c>
      <c r="AK85" s="22">
        <f t="shared" si="3"/>
        <v>0</v>
      </c>
      <c r="AL85" s="23"/>
      <c r="AM85" s="24"/>
    </row>
    <row r="86" ht="23.25" customHeight="1">
      <c r="A86" s="12">
        <v>83.0</v>
      </c>
      <c r="B86" s="12"/>
      <c r="C86" s="13" t="str">
        <f>iferror(vlookup(B86,'Crew Data'!C:G,5,0)," ")</f>
        <v> </v>
      </c>
      <c r="D86" s="12" t="b">
        <v>0</v>
      </c>
      <c r="E86" s="12" t="b">
        <v>0</v>
      </c>
      <c r="F86" s="12" t="b">
        <v>0</v>
      </c>
      <c r="G86" s="12" t="b">
        <v>0</v>
      </c>
      <c r="H86" s="12" t="b">
        <v>0</v>
      </c>
      <c r="I86" s="12" t="b">
        <v>0</v>
      </c>
      <c r="J86" s="12" t="b">
        <v>0</v>
      </c>
      <c r="K86" s="12" t="b">
        <v>0</v>
      </c>
      <c r="L86" s="12" t="b">
        <v>0</v>
      </c>
      <c r="M86" s="12" t="b">
        <v>0</v>
      </c>
      <c r="N86" s="12" t="b">
        <v>0</v>
      </c>
      <c r="O86" s="12" t="b">
        <v>0</v>
      </c>
      <c r="P86" s="12" t="b">
        <v>0</v>
      </c>
      <c r="Q86" s="12" t="b">
        <v>0</v>
      </c>
      <c r="R86" s="12" t="b">
        <v>0</v>
      </c>
      <c r="S86" s="12" t="b">
        <v>0</v>
      </c>
      <c r="T86" s="12" t="b">
        <v>0</v>
      </c>
      <c r="U86" s="12" t="b">
        <v>0</v>
      </c>
      <c r="V86" s="12" t="b">
        <v>0</v>
      </c>
      <c r="W86" s="12" t="b">
        <v>0</v>
      </c>
      <c r="X86" s="12" t="b">
        <v>0</v>
      </c>
      <c r="Y86" s="12" t="b">
        <v>0</v>
      </c>
      <c r="Z86" s="12" t="b">
        <v>0</v>
      </c>
      <c r="AA86" s="12" t="b">
        <v>0</v>
      </c>
      <c r="AB86" s="12" t="b">
        <v>0</v>
      </c>
      <c r="AC86" s="12" t="b">
        <v>0</v>
      </c>
      <c r="AD86" s="12" t="b">
        <v>0</v>
      </c>
      <c r="AE86" s="12" t="b">
        <v>0</v>
      </c>
      <c r="AF86" s="12" t="b">
        <v>0</v>
      </c>
      <c r="AG86" s="12" t="b">
        <v>0</v>
      </c>
      <c r="AH86" s="12" t="b">
        <v>0</v>
      </c>
      <c r="AI86" s="14">
        <f t="shared" si="1"/>
        <v>0</v>
      </c>
      <c r="AJ86" s="15">
        <f t="shared" si="2"/>
        <v>0</v>
      </c>
      <c r="AK86" s="16">
        <f t="shared" si="3"/>
        <v>0</v>
      </c>
      <c r="AL86" s="17"/>
      <c r="AM86" s="18"/>
    </row>
    <row r="87" ht="23.25" customHeight="1">
      <c r="A87" s="10">
        <v>84.0</v>
      </c>
      <c r="B87" s="10"/>
      <c r="C87" s="19" t="str">
        <f>iferror(vlookup(B87,'Crew Data'!C:G,5,0)," ")</f>
        <v> </v>
      </c>
      <c r="D87" s="10" t="b">
        <v>0</v>
      </c>
      <c r="E87" s="10" t="b">
        <v>0</v>
      </c>
      <c r="F87" s="10" t="b">
        <v>0</v>
      </c>
      <c r="G87" s="10" t="b">
        <v>0</v>
      </c>
      <c r="H87" s="10" t="b">
        <v>0</v>
      </c>
      <c r="I87" s="10" t="b">
        <v>0</v>
      </c>
      <c r="J87" s="10" t="b">
        <v>0</v>
      </c>
      <c r="K87" s="10" t="b">
        <v>0</v>
      </c>
      <c r="L87" s="10" t="b">
        <v>0</v>
      </c>
      <c r="M87" s="10" t="b">
        <v>0</v>
      </c>
      <c r="N87" s="10" t="b">
        <v>0</v>
      </c>
      <c r="O87" s="10" t="b">
        <v>0</v>
      </c>
      <c r="P87" s="10" t="b">
        <v>0</v>
      </c>
      <c r="Q87" s="10" t="b">
        <v>0</v>
      </c>
      <c r="R87" s="10" t="b">
        <v>0</v>
      </c>
      <c r="S87" s="10" t="b">
        <v>0</v>
      </c>
      <c r="T87" s="10" t="b">
        <v>0</v>
      </c>
      <c r="U87" s="10" t="b">
        <v>0</v>
      </c>
      <c r="V87" s="10" t="b">
        <v>0</v>
      </c>
      <c r="W87" s="10" t="b">
        <v>0</v>
      </c>
      <c r="X87" s="10" t="b">
        <v>0</v>
      </c>
      <c r="Y87" s="10" t="b">
        <v>0</v>
      </c>
      <c r="Z87" s="10" t="b">
        <v>0</v>
      </c>
      <c r="AA87" s="10" t="b">
        <v>0</v>
      </c>
      <c r="AB87" s="10" t="b">
        <v>0</v>
      </c>
      <c r="AC87" s="10" t="b">
        <v>0</v>
      </c>
      <c r="AD87" s="10" t="b">
        <v>0</v>
      </c>
      <c r="AE87" s="10" t="b">
        <v>0</v>
      </c>
      <c r="AF87" s="10" t="b">
        <v>0</v>
      </c>
      <c r="AG87" s="10" t="b">
        <v>0</v>
      </c>
      <c r="AH87" s="10" t="b">
        <v>0</v>
      </c>
      <c r="AI87" s="20">
        <f t="shared" si="1"/>
        <v>0</v>
      </c>
      <c r="AJ87" s="21">
        <f t="shared" si="2"/>
        <v>0</v>
      </c>
      <c r="AK87" s="22">
        <f t="shared" si="3"/>
        <v>0</v>
      </c>
      <c r="AL87" s="23"/>
      <c r="AM87" s="24"/>
    </row>
    <row r="88" ht="23.25" customHeight="1">
      <c r="A88" s="12">
        <v>85.0</v>
      </c>
      <c r="B88" s="12"/>
      <c r="C88" s="13" t="str">
        <f>iferror(vlookup(B88,'Crew Data'!C:G,5,0)," ")</f>
        <v> </v>
      </c>
      <c r="D88" s="12" t="b">
        <v>0</v>
      </c>
      <c r="E88" s="12" t="b">
        <v>0</v>
      </c>
      <c r="F88" s="12" t="b">
        <v>0</v>
      </c>
      <c r="G88" s="12" t="b">
        <v>0</v>
      </c>
      <c r="H88" s="12" t="b">
        <v>0</v>
      </c>
      <c r="I88" s="12" t="b">
        <v>0</v>
      </c>
      <c r="J88" s="12" t="b">
        <v>0</v>
      </c>
      <c r="K88" s="12" t="b">
        <v>0</v>
      </c>
      <c r="L88" s="12" t="b">
        <v>0</v>
      </c>
      <c r="M88" s="12" t="b">
        <v>0</v>
      </c>
      <c r="N88" s="12" t="b">
        <v>0</v>
      </c>
      <c r="O88" s="12" t="b">
        <v>0</v>
      </c>
      <c r="P88" s="12" t="b">
        <v>0</v>
      </c>
      <c r="Q88" s="12" t="b">
        <v>0</v>
      </c>
      <c r="R88" s="12" t="b">
        <v>0</v>
      </c>
      <c r="S88" s="12" t="b">
        <v>0</v>
      </c>
      <c r="T88" s="12" t="b">
        <v>0</v>
      </c>
      <c r="U88" s="12" t="b">
        <v>0</v>
      </c>
      <c r="V88" s="12" t="b">
        <v>0</v>
      </c>
      <c r="W88" s="12" t="b">
        <v>0</v>
      </c>
      <c r="X88" s="12" t="b">
        <v>0</v>
      </c>
      <c r="Y88" s="12" t="b">
        <v>0</v>
      </c>
      <c r="Z88" s="12" t="b">
        <v>0</v>
      </c>
      <c r="AA88" s="12" t="b">
        <v>0</v>
      </c>
      <c r="AB88" s="12" t="b">
        <v>0</v>
      </c>
      <c r="AC88" s="12" t="b">
        <v>0</v>
      </c>
      <c r="AD88" s="12" t="b">
        <v>0</v>
      </c>
      <c r="AE88" s="12" t="b">
        <v>0</v>
      </c>
      <c r="AF88" s="12" t="b">
        <v>0</v>
      </c>
      <c r="AG88" s="12" t="b">
        <v>0</v>
      </c>
      <c r="AH88" s="12" t="b">
        <v>0</v>
      </c>
      <c r="AI88" s="14">
        <f t="shared" si="1"/>
        <v>0</v>
      </c>
      <c r="AJ88" s="15">
        <f t="shared" si="2"/>
        <v>0</v>
      </c>
      <c r="AK88" s="16">
        <f t="shared" si="3"/>
        <v>0</v>
      </c>
      <c r="AL88" s="17"/>
      <c r="AM88" s="18"/>
    </row>
    <row r="89" ht="23.25" customHeight="1">
      <c r="A89" s="10">
        <v>86.0</v>
      </c>
      <c r="B89" s="10"/>
      <c r="C89" s="19" t="str">
        <f>iferror(vlookup(B89,'Crew Data'!C:G,5,0)," ")</f>
        <v> </v>
      </c>
      <c r="D89" s="10" t="b">
        <v>0</v>
      </c>
      <c r="E89" s="10" t="b">
        <v>0</v>
      </c>
      <c r="F89" s="10" t="b">
        <v>0</v>
      </c>
      <c r="G89" s="10" t="b">
        <v>0</v>
      </c>
      <c r="H89" s="10" t="b">
        <v>0</v>
      </c>
      <c r="I89" s="10" t="b">
        <v>0</v>
      </c>
      <c r="J89" s="10" t="b">
        <v>0</v>
      </c>
      <c r="K89" s="10" t="b">
        <v>0</v>
      </c>
      <c r="L89" s="10" t="b">
        <v>0</v>
      </c>
      <c r="M89" s="10" t="b">
        <v>0</v>
      </c>
      <c r="N89" s="10" t="b">
        <v>0</v>
      </c>
      <c r="O89" s="10" t="b">
        <v>0</v>
      </c>
      <c r="P89" s="10" t="b">
        <v>0</v>
      </c>
      <c r="Q89" s="10" t="b">
        <v>0</v>
      </c>
      <c r="R89" s="10" t="b">
        <v>0</v>
      </c>
      <c r="S89" s="10" t="b">
        <v>0</v>
      </c>
      <c r="T89" s="10" t="b">
        <v>0</v>
      </c>
      <c r="U89" s="10" t="b">
        <v>0</v>
      </c>
      <c r="V89" s="10" t="b">
        <v>0</v>
      </c>
      <c r="W89" s="10" t="b">
        <v>0</v>
      </c>
      <c r="X89" s="10" t="b">
        <v>0</v>
      </c>
      <c r="Y89" s="10" t="b">
        <v>0</v>
      </c>
      <c r="Z89" s="10" t="b">
        <v>0</v>
      </c>
      <c r="AA89" s="10" t="b">
        <v>0</v>
      </c>
      <c r="AB89" s="10" t="b">
        <v>0</v>
      </c>
      <c r="AC89" s="10" t="b">
        <v>0</v>
      </c>
      <c r="AD89" s="10" t="b">
        <v>0</v>
      </c>
      <c r="AE89" s="10" t="b">
        <v>0</v>
      </c>
      <c r="AF89" s="10" t="b">
        <v>0</v>
      </c>
      <c r="AG89" s="10" t="b">
        <v>0</v>
      </c>
      <c r="AH89" s="10" t="b">
        <v>0</v>
      </c>
      <c r="AI89" s="20">
        <f t="shared" si="1"/>
        <v>0</v>
      </c>
      <c r="AJ89" s="21">
        <f t="shared" si="2"/>
        <v>0</v>
      </c>
      <c r="AK89" s="22">
        <f t="shared" si="3"/>
        <v>0</v>
      </c>
      <c r="AL89" s="23"/>
      <c r="AM89" s="24"/>
    </row>
    <row r="90" ht="23.25" customHeight="1">
      <c r="A90" s="12">
        <v>87.0</v>
      </c>
      <c r="B90" s="12"/>
      <c r="C90" s="13" t="str">
        <f>iferror(vlookup(B90,'Crew Data'!C:G,5,0)," ")</f>
        <v> </v>
      </c>
      <c r="D90" s="12" t="b">
        <v>0</v>
      </c>
      <c r="E90" s="12" t="b">
        <v>0</v>
      </c>
      <c r="F90" s="12" t="b">
        <v>0</v>
      </c>
      <c r="G90" s="12" t="b">
        <v>0</v>
      </c>
      <c r="H90" s="12" t="b">
        <v>0</v>
      </c>
      <c r="I90" s="12" t="b">
        <v>0</v>
      </c>
      <c r="J90" s="12" t="b">
        <v>0</v>
      </c>
      <c r="K90" s="12" t="b">
        <v>0</v>
      </c>
      <c r="L90" s="12" t="b">
        <v>0</v>
      </c>
      <c r="M90" s="12" t="b">
        <v>0</v>
      </c>
      <c r="N90" s="12" t="b">
        <v>0</v>
      </c>
      <c r="O90" s="12" t="b">
        <v>0</v>
      </c>
      <c r="P90" s="12" t="b">
        <v>0</v>
      </c>
      <c r="Q90" s="12" t="b">
        <v>0</v>
      </c>
      <c r="R90" s="12" t="b">
        <v>0</v>
      </c>
      <c r="S90" s="12" t="b">
        <v>0</v>
      </c>
      <c r="T90" s="12" t="b">
        <v>0</v>
      </c>
      <c r="U90" s="12" t="b">
        <v>0</v>
      </c>
      <c r="V90" s="12" t="b">
        <v>0</v>
      </c>
      <c r="W90" s="12" t="b">
        <v>0</v>
      </c>
      <c r="X90" s="12" t="b">
        <v>0</v>
      </c>
      <c r="Y90" s="12" t="b">
        <v>0</v>
      </c>
      <c r="Z90" s="12" t="b">
        <v>0</v>
      </c>
      <c r="AA90" s="12" t="b">
        <v>0</v>
      </c>
      <c r="AB90" s="12" t="b">
        <v>0</v>
      </c>
      <c r="AC90" s="12" t="b">
        <v>0</v>
      </c>
      <c r="AD90" s="12" t="b">
        <v>0</v>
      </c>
      <c r="AE90" s="12" t="b">
        <v>0</v>
      </c>
      <c r="AF90" s="12" t="b">
        <v>0</v>
      </c>
      <c r="AG90" s="12" t="b">
        <v>0</v>
      </c>
      <c r="AH90" s="12" t="b">
        <v>0</v>
      </c>
      <c r="AI90" s="14">
        <f t="shared" si="1"/>
        <v>0</v>
      </c>
      <c r="AJ90" s="15">
        <f t="shared" si="2"/>
        <v>0</v>
      </c>
      <c r="AK90" s="16">
        <f t="shared" si="3"/>
        <v>0</v>
      </c>
      <c r="AL90" s="17"/>
      <c r="AM90" s="18"/>
    </row>
    <row r="91" ht="23.25" customHeight="1">
      <c r="A91" s="10">
        <v>88.0</v>
      </c>
      <c r="B91" s="10"/>
      <c r="C91" s="19" t="str">
        <f>iferror(vlookup(B91,'Crew Data'!C:G,5,0)," ")</f>
        <v> </v>
      </c>
      <c r="D91" s="10" t="b">
        <v>0</v>
      </c>
      <c r="E91" s="10" t="b">
        <v>0</v>
      </c>
      <c r="F91" s="10" t="b">
        <v>0</v>
      </c>
      <c r="G91" s="10" t="b">
        <v>0</v>
      </c>
      <c r="H91" s="10" t="b">
        <v>0</v>
      </c>
      <c r="I91" s="10" t="b">
        <v>0</v>
      </c>
      <c r="J91" s="10" t="b">
        <v>0</v>
      </c>
      <c r="K91" s="10" t="b">
        <v>0</v>
      </c>
      <c r="L91" s="10" t="b">
        <v>0</v>
      </c>
      <c r="M91" s="10" t="b">
        <v>0</v>
      </c>
      <c r="N91" s="10" t="b">
        <v>0</v>
      </c>
      <c r="O91" s="10" t="b">
        <v>0</v>
      </c>
      <c r="P91" s="10" t="b">
        <v>0</v>
      </c>
      <c r="Q91" s="10" t="b">
        <v>0</v>
      </c>
      <c r="R91" s="10" t="b">
        <v>0</v>
      </c>
      <c r="S91" s="10" t="b">
        <v>0</v>
      </c>
      <c r="T91" s="10" t="b">
        <v>0</v>
      </c>
      <c r="U91" s="10" t="b">
        <v>0</v>
      </c>
      <c r="V91" s="10" t="b">
        <v>0</v>
      </c>
      <c r="W91" s="10" t="b">
        <v>0</v>
      </c>
      <c r="X91" s="10" t="b">
        <v>0</v>
      </c>
      <c r="Y91" s="10" t="b">
        <v>0</v>
      </c>
      <c r="Z91" s="10" t="b">
        <v>0</v>
      </c>
      <c r="AA91" s="10" t="b">
        <v>0</v>
      </c>
      <c r="AB91" s="10" t="b">
        <v>0</v>
      </c>
      <c r="AC91" s="10" t="b">
        <v>0</v>
      </c>
      <c r="AD91" s="10" t="b">
        <v>0</v>
      </c>
      <c r="AE91" s="10" t="b">
        <v>0</v>
      </c>
      <c r="AF91" s="10" t="b">
        <v>0</v>
      </c>
      <c r="AG91" s="10" t="b">
        <v>0</v>
      </c>
      <c r="AH91" s="10" t="b">
        <v>0</v>
      </c>
      <c r="AI91" s="20">
        <f t="shared" si="1"/>
        <v>0</v>
      </c>
      <c r="AJ91" s="21">
        <f t="shared" si="2"/>
        <v>0</v>
      </c>
      <c r="AK91" s="22">
        <f t="shared" si="3"/>
        <v>0</v>
      </c>
      <c r="AL91" s="23"/>
      <c r="AM91" s="24"/>
    </row>
    <row r="92" ht="23.25" customHeight="1">
      <c r="A92" s="12">
        <v>89.0</v>
      </c>
      <c r="B92" s="12"/>
      <c r="C92" s="13" t="str">
        <f>iferror(vlookup(B92,'Crew Data'!C:G,5,0)," ")</f>
        <v> </v>
      </c>
      <c r="D92" s="12" t="b">
        <v>0</v>
      </c>
      <c r="E92" s="12" t="b">
        <v>0</v>
      </c>
      <c r="F92" s="12" t="b">
        <v>0</v>
      </c>
      <c r="G92" s="12" t="b">
        <v>0</v>
      </c>
      <c r="H92" s="12" t="b">
        <v>0</v>
      </c>
      <c r="I92" s="12" t="b">
        <v>0</v>
      </c>
      <c r="J92" s="12" t="b">
        <v>0</v>
      </c>
      <c r="K92" s="12" t="b">
        <v>0</v>
      </c>
      <c r="L92" s="12" t="b">
        <v>0</v>
      </c>
      <c r="M92" s="12" t="b">
        <v>0</v>
      </c>
      <c r="N92" s="12" t="b">
        <v>0</v>
      </c>
      <c r="O92" s="12" t="b">
        <v>0</v>
      </c>
      <c r="P92" s="12" t="b">
        <v>0</v>
      </c>
      <c r="Q92" s="12" t="b">
        <v>0</v>
      </c>
      <c r="R92" s="12" t="b">
        <v>0</v>
      </c>
      <c r="S92" s="12" t="b">
        <v>0</v>
      </c>
      <c r="T92" s="12" t="b">
        <v>0</v>
      </c>
      <c r="U92" s="12" t="b">
        <v>0</v>
      </c>
      <c r="V92" s="12" t="b">
        <v>0</v>
      </c>
      <c r="W92" s="12" t="b">
        <v>0</v>
      </c>
      <c r="X92" s="12" t="b">
        <v>0</v>
      </c>
      <c r="Y92" s="12" t="b">
        <v>0</v>
      </c>
      <c r="Z92" s="12" t="b">
        <v>0</v>
      </c>
      <c r="AA92" s="12" t="b">
        <v>0</v>
      </c>
      <c r="AB92" s="12" t="b">
        <v>0</v>
      </c>
      <c r="AC92" s="12" t="b">
        <v>0</v>
      </c>
      <c r="AD92" s="12" t="b">
        <v>0</v>
      </c>
      <c r="AE92" s="12" t="b">
        <v>0</v>
      </c>
      <c r="AF92" s="12" t="b">
        <v>0</v>
      </c>
      <c r="AG92" s="12" t="b">
        <v>0</v>
      </c>
      <c r="AH92" s="12" t="b">
        <v>0</v>
      </c>
      <c r="AI92" s="14">
        <f t="shared" si="1"/>
        <v>0</v>
      </c>
      <c r="AJ92" s="15">
        <f t="shared" si="2"/>
        <v>0</v>
      </c>
      <c r="AK92" s="16">
        <f t="shared" si="3"/>
        <v>0</v>
      </c>
      <c r="AL92" s="17"/>
      <c r="AM92" s="18"/>
    </row>
    <row r="93" ht="23.25" customHeight="1">
      <c r="A93" s="10">
        <v>90.0</v>
      </c>
      <c r="B93" s="10"/>
      <c r="C93" s="19" t="str">
        <f>iferror(vlookup(B93,'Crew Data'!C:G,5,0)," ")</f>
        <v> </v>
      </c>
      <c r="D93" s="10" t="b">
        <v>0</v>
      </c>
      <c r="E93" s="10" t="b">
        <v>0</v>
      </c>
      <c r="F93" s="10" t="b">
        <v>0</v>
      </c>
      <c r="G93" s="10" t="b">
        <v>0</v>
      </c>
      <c r="H93" s="10" t="b">
        <v>0</v>
      </c>
      <c r="I93" s="10" t="b">
        <v>0</v>
      </c>
      <c r="J93" s="10" t="b">
        <v>0</v>
      </c>
      <c r="K93" s="10" t="b">
        <v>0</v>
      </c>
      <c r="L93" s="10" t="b">
        <v>0</v>
      </c>
      <c r="M93" s="10" t="b">
        <v>0</v>
      </c>
      <c r="N93" s="10" t="b">
        <v>0</v>
      </c>
      <c r="O93" s="10" t="b">
        <v>0</v>
      </c>
      <c r="P93" s="10" t="b">
        <v>0</v>
      </c>
      <c r="Q93" s="10" t="b">
        <v>0</v>
      </c>
      <c r="R93" s="10" t="b">
        <v>0</v>
      </c>
      <c r="S93" s="10" t="b">
        <v>0</v>
      </c>
      <c r="T93" s="10" t="b">
        <v>0</v>
      </c>
      <c r="U93" s="10" t="b">
        <v>0</v>
      </c>
      <c r="V93" s="10" t="b">
        <v>0</v>
      </c>
      <c r="W93" s="10" t="b">
        <v>0</v>
      </c>
      <c r="X93" s="10" t="b">
        <v>0</v>
      </c>
      <c r="Y93" s="10" t="b">
        <v>0</v>
      </c>
      <c r="Z93" s="10" t="b">
        <v>0</v>
      </c>
      <c r="AA93" s="10" t="b">
        <v>0</v>
      </c>
      <c r="AB93" s="10" t="b">
        <v>0</v>
      </c>
      <c r="AC93" s="10" t="b">
        <v>0</v>
      </c>
      <c r="AD93" s="10" t="b">
        <v>0</v>
      </c>
      <c r="AE93" s="10" t="b">
        <v>0</v>
      </c>
      <c r="AF93" s="10" t="b">
        <v>0</v>
      </c>
      <c r="AG93" s="10" t="b">
        <v>0</v>
      </c>
      <c r="AH93" s="10" t="b">
        <v>0</v>
      </c>
      <c r="AI93" s="20">
        <f t="shared" si="1"/>
        <v>0</v>
      </c>
      <c r="AJ93" s="21">
        <f t="shared" si="2"/>
        <v>0</v>
      </c>
      <c r="AK93" s="22">
        <f t="shared" si="3"/>
        <v>0</v>
      </c>
      <c r="AL93" s="23"/>
      <c r="AM93" s="24"/>
    </row>
    <row r="94" ht="23.25" customHeight="1">
      <c r="A94" s="12">
        <v>91.0</v>
      </c>
      <c r="B94" s="12"/>
      <c r="C94" s="13" t="str">
        <f>iferror(vlookup(B94,'Crew Data'!C:G,5,0)," ")</f>
        <v> </v>
      </c>
      <c r="D94" s="12" t="b">
        <v>0</v>
      </c>
      <c r="E94" s="12" t="b">
        <v>0</v>
      </c>
      <c r="F94" s="12" t="b">
        <v>0</v>
      </c>
      <c r="G94" s="12" t="b">
        <v>0</v>
      </c>
      <c r="H94" s="12" t="b">
        <v>0</v>
      </c>
      <c r="I94" s="12" t="b">
        <v>0</v>
      </c>
      <c r="J94" s="12" t="b">
        <v>0</v>
      </c>
      <c r="K94" s="12" t="b">
        <v>0</v>
      </c>
      <c r="L94" s="12" t="b">
        <v>0</v>
      </c>
      <c r="M94" s="12" t="b">
        <v>0</v>
      </c>
      <c r="N94" s="12" t="b">
        <v>0</v>
      </c>
      <c r="O94" s="12" t="b">
        <v>0</v>
      </c>
      <c r="P94" s="12" t="b">
        <v>0</v>
      </c>
      <c r="Q94" s="12" t="b">
        <v>0</v>
      </c>
      <c r="R94" s="12" t="b">
        <v>0</v>
      </c>
      <c r="S94" s="12" t="b">
        <v>0</v>
      </c>
      <c r="T94" s="12" t="b">
        <v>0</v>
      </c>
      <c r="U94" s="12" t="b">
        <v>0</v>
      </c>
      <c r="V94" s="12" t="b">
        <v>0</v>
      </c>
      <c r="W94" s="12" t="b">
        <v>0</v>
      </c>
      <c r="X94" s="12" t="b">
        <v>0</v>
      </c>
      <c r="Y94" s="12" t="b">
        <v>0</v>
      </c>
      <c r="Z94" s="12" t="b">
        <v>0</v>
      </c>
      <c r="AA94" s="12" t="b">
        <v>0</v>
      </c>
      <c r="AB94" s="12" t="b">
        <v>0</v>
      </c>
      <c r="AC94" s="12" t="b">
        <v>0</v>
      </c>
      <c r="AD94" s="12" t="b">
        <v>0</v>
      </c>
      <c r="AE94" s="12" t="b">
        <v>0</v>
      </c>
      <c r="AF94" s="12" t="b">
        <v>0</v>
      </c>
      <c r="AG94" s="12" t="b">
        <v>0</v>
      </c>
      <c r="AH94" s="12" t="b">
        <v>0</v>
      </c>
      <c r="AI94" s="14">
        <f t="shared" si="1"/>
        <v>0</v>
      </c>
      <c r="AJ94" s="15">
        <f t="shared" si="2"/>
        <v>0</v>
      </c>
      <c r="AK94" s="16">
        <f t="shared" si="3"/>
        <v>0</v>
      </c>
      <c r="AL94" s="17"/>
      <c r="AM94" s="18"/>
    </row>
    <row r="95" ht="23.25" customHeight="1">
      <c r="A95" s="10">
        <v>92.0</v>
      </c>
      <c r="B95" s="10"/>
      <c r="C95" s="19" t="str">
        <f>iferror(vlookup(B95,'Crew Data'!C:G,5,0)," ")</f>
        <v> </v>
      </c>
      <c r="D95" s="10" t="b">
        <v>0</v>
      </c>
      <c r="E95" s="10" t="b">
        <v>0</v>
      </c>
      <c r="F95" s="10" t="b">
        <v>0</v>
      </c>
      <c r="G95" s="10" t="b">
        <v>0</v>
      </c>
      <c r="H95" s="10" t="b">
        <v>0</v>
      </c>
      <c r="I95" s="10" t="b">
        <v>0</v>
      </c>
      <c r="J95" s="10" t="b">
        <v>0</v>
      </c>
      <c r="K95" s="10" t="b">
        <v>0</v>
      </c>
      <c r="L95" s="10" t="b">
        <v>0</v>
      </c>
      <c r="M95" s="10" t="b">
        <v>0</v>
      </c>
      <c r="N95" s="10" t="b">
        <v>0</v>
      </c>
      <c r="O95" s="10" t="b">
        <v>0</v>
      </c>
      <c r="P95" s="10" t="b">
        <v>0</v>
      </c>
      <c r="Q95" s="10" t="b">
        <v>0</v>
      </c>
      <c r="R95" s="10" t="b">
        <v>0</v>
      </c>
      <c r="S95" s="10" t="b">
        <v>0</v>
      </c>
      <c r="T95" s="10" t="b">
        <v>0</v>
      </c>
      <c r="U95" s="10" t="b">
        <v>0</v>
      </c>
      <c r="V95" s="10" t="b">
        <v>0</v>
      </c>
      <c r="W95" s="10" t="b">
        <v>0</v>
      </c>
      <c r="X95" s="10" t="b">
        <v>0</v>
      </c>
      <c r="Y95" s="10" t="b">
        <v>0</v>
      </c>
      <c r="Z95" s="10" t="b">
        <v>0</v>
      </c>
      <c r="AA95" s="10" t="b">
        <v>0</v>
      </c>
      <c r="AB95" s="10" t="b">
        <v>0</v>
      </c>
      <c r="AC95" s="10" t="b">
        <v>0</v>
      </c>
      <c r="AD95" s="10" t="b">
        <v>0</v>
      </c>
      <c r="AE95" s="10" t="b">
        <v>0</v>
      </c>
      <c r="AF95" s="10" t="b">
        <v>0</v>
      </c>
      <c r="AG95" s="10" t="b">
        <v>0</v>
      </c>
      <c r="AH95" s="10" t="b">
        <v>0</v>
      </c>
      <c r="AI95" s="20">
        <f t="shared" si="1"/>
        <v>0</v>
      </c>
      <c r="AJ95" s="21">
        <f t="shared" si="2"/>
        <v>0</v>
      </c>
      <c r="AK95" s="22">
        <f t="shared" si="3"/>
        <v>0</v>
      </c>
      <c r="AL95" s="23"/>
      <c r="AM95" s="24"/>
    </row>
    <row r="96" ht="23.25" customHeight="1">
      <c r="A96" s="12">
        <v>93.0</v>
      </c>
      <c r="B96" s="12"/>
      <c r="C96" s="13" t="str">
        <f>iferror(vlookup(B96,'Crew Data'!C:G,5,0)," ")</f>
        <v> </v>
      </c>
      <c r="D96" s="12" t="b">
        <v>0</v>
      </c>
      <c r="E96" s="12" t="b">
        <v>0</v>
      </c>
      <c r="F96" s="12" t="b">
        <v>0</v>
      </c>
      <c r="G96" s="12" t="b">
        <v>0</v>
      </c>
      <c r="H96" s="12" t="b">
        <v>0</v>
      </c>
      <c r="I96" s="12" t="b">
        <v>0</v>
      </c>
      <c r="J96" s="12" t="b">
        <v>0</v>
      </c>
      <c r="K96" s="12" t="b">
        <v>0</v>
      </c>
      <c r="L96" s="12" t="b">
        <v>0</v>
      </c>
      <c r="M96" s="12" t="b">
        <v>0</v>
      </c>
      <c r="N96" s="12" t="b">
        <v>0</v>
      </c>
      <c r="O96" s="12" t="b">
        <v>0</v>
      </c>
      <c r="P96" s="12" t="b">
        <v>0</v>
      </c>
      <c r="Q96" s="12" t="b">
        <v>0</v>
      </c>
      <c r="R96" s="12" t="b">
        <v>0</v>
      </c>
      <c r="S96" s="12" t="b">
        <v>0</v>
      </c>
      <c r="T96" s="12" t="b">
        <v>0</v>
      </c>
      <c r="U96" s="12" t="b">
        <v>0</v>
      </c>
      <c r="V96" s="12" t="b">
        <v>0</v>
      </c>
      <c r="W96" s="12" t="b">
        <v>0</v>
      </c>
      <c r="X96" s="12" t="b">
        <v>0</v>
      </c>
      <c r="Y96" s="12" t="b">
        <v>0</v>
      </c>
      <c r="Z96" s="12" t="b">
        <v>0</v>
      </c>
      <c r="AA96" s="12" t="b">
        <v>0</v>
      </c>
      <c r="AB96" s="12" t="b">
        <v>0</v>
      </c>
      <c r="AC96" s="12" t="b">
        <v>0</v>
      </c>
      <c r="AD96" s="12" t="b">
        <v>0</v>
      </c>
      <c r="AE96" s="12" t="b">
        <v>0</v>
      </c>
      <c r="AF96" s="12" t="b">
        <v>0</v>
      </c>
      <c r="AG96" s="12" t="b">
        <v>0</v>
      </c>
      <c r="AH96" s="12" t="b">
        <v>0</v>
      </c>
      <c r="AI96" s="14">
        <f t="shared" si="1"/>
        <v>0</v>
      </c>
      <c r="AJ96" s="15">
        <f t="shared" si="2"/>
        <v>0</v>
      </c>
      <c r="AK96" s="16">
        <f t="shared" si="3"/>
        <v>0</v>
      </c>
      <c r="AL96" s="17"/>
      <c r="AM96" s="18"/>
    </row>
    <row r="97" ht="23.25" customHeight="1">
      <c r="A97" s="10">
        <v>94.0</v>
      </c>
      <c r="B97" s="10"/>
      <c r="C97" s="19" t="str">
        <f>iferror(vlookup(B97,'Crew Data'!C:G,5,0)," ")</f>
        <v> </v>
      </c>
      <c r="D97" s="10" t="b">
        <v>0</v>
      </c>
      <c r="E97" s="10" t="b">
        <v>0</v>
      </c>
      <c r="F97" s="10" t="b">
        <v>0</v>
      </c>
      <c r="G97" s="10" t="b">
        <v>0</v>
      </c>
      <c r="H97" s="10" t="b">
        <v>0</v>
      </c>
      <c r="I97" s="10" t="b">
        <v>0</v>
      </c>
      <c r="J97" s="10" t="b">
        <v>0</v>
      </c>
      <c r="K97" s="10" t="b">
        <v>0</v>
      </c>
      <c r="L97" s="10" t="b">
        <v>0</v>
      </c>
      <c r="M97" s="10" t="b">
        <v>0</v>
      </c>
      <c r="N97" s="10" t="b">
        <v>0</v>
      </c>
      <c r="O97" s="10" t="b">
        <v>0</v>
      </c>
      <c r="P97" s="10" t="b">
        <v>0</v>
      </c>
      <c r="Q97" s="10" t="b">
        <v>0</v>
      </c>
      <c r="R97" s="10" t="b">
        <v>0</v>
      </c>
      <c r="S97" s="10" t="b">
        <v>0</v>
      </c>
      <c r="T97" s="10" t="b">
        <v>0</v>
      </c>
      <c r="U97" s="10" t="b">
        <v>0</v>
      </c>
      <c r="V97" s="10" t="b">
        <v>0</v>
      </c>
      <c r="W97" s="10" t="b">
        <v>0</v>
      </c>
      <c r="X97" s="10" t="b">
        <v>0</v>
      </c>
      <c r="Y97" s="10" t="b">
        <v>0</v>
      </c>
      <c r="Z97" s="10" t="b">
        <v>0</v>
      </c>
      <c r="AA97" s="10" t="b">
        <v>0</v>
      </c>
      <c r="AB97" s="10" t="b">
        <v>0</v>
      </c>
      <c r="AC97" s="10" t="b">
        <v>0</v>
      </c>
      <c r="AD97" s="10" t="b">
        <v>0</v>
      </c>
      <c r="AE97" s="10" t="b">
        <v>0</v>
      </c>
      <c r="AF97" s="10" t="b">
        <v>0</v>
      </c>
      <c r="AG97" s="10" t="b">
        <v>0</v>
      </c>
      <c r="AH97" s="10" t="b">
        <v>0</v>
      </c>
      <c r="AI97" s="20">
        <f t="shared" si="1"/>
        <v>0</v>
      </c>
      <c r="AJ97" s="21">
        <f t="shared" si="2"/>
        <v>0</v>
      </c>
      <c r="AK97" s="22">
        <f t="shared" si="3"/>
        <v>0</v>
      </c>
      <c r="AL97" s="23"/>
      <c r="AM97" s="24"/>
    </row>
    <row r="98" ht="23.25" customHeight="1">
      <c r="A98" s="12">
        <v>95.0</v>
      </c>
      <c r="B98" s="12"/>
      <c r="C98" s="13" t="str">
        <f>iferror(vlookup(B98,'Crew Data'!C:G,5,0)," ")</f>
        <v> </v>
      </c>
      <c r="D98" s="12" t="b">
        <v>0</v>
      </c>
      <c r="E98" s="12" t="b">
        <v>0</v>
      </c>
      <c r="F98" s="12" t="b">
        <v>0</v>
      </c>
      <c r="G98" s="12" t="b">
        <v>0</v>
      </c>
      <c r="H98" s="12" t="b">
        <v>0</v>
      </c>
      <c r="I98" s="12" t="b">
        <v>0</v>
      </c>
      <c r="J98" s="12" t="b">
        <v>0</v>
      </c>
      <c r="K98" s="12" t="b">
        <v>0</v>
      </c>
      <c r="L98" s="12" t="b">
        <v>0</v>
      </c>
      <c r="M98" s="12" t="b">
        <v>0</v>
      </c>
      <c r="N98" s="12" t="b">
        <v>0</v>
      </c>
      <c r="O98" s="12" t="b">
        <v>0</v>
      </c>
      <c r="P98" s="12" t="b">
        <v>0</v>
      </c>
      <c r="Q98" s="12" t="b">
        <v>0</v>
      </c>
      <c r="R98" s="12" t="b">
        <v>0</v>
      </c>
      <c r="S98" s="12" t="b">
        <v>0</v>
      </c>
      <c r="T98" s="12" t="b">
        <v>0</v>
      </c>
      <c r="U98" s="12" t="b">
        <v>0</v>
      </c>
      <c r="V98" s="12" t="b">
        <v>0</v>
      </c>
      <c r="W98" s="12" t="b">
        <v>0</v>
      </c>
      <c r="X98" s="12" t="b">
        <v>0</v>
      </c>
      <c r="Y98" s="12" t="b">
        <v>0</v>
      </c>
      <c r="Z98" s="12" t="b">
        <v>0</v>
      </c>
      <c r="AA98" s="12" t="b">
        <v>0</v>
      </c>
      <c r="AB98" s="12" t="b">
        <v>0</v>
      </c>
      <c r="AC98" s="12" t="b">
        <v>0</v>
      </c>
      <c r="AD98" s="12" t="b">
        <v>0</v>
      </c>
      <c r="AE98" s="12" t="b">
        <v>0</v>
      </c>
      <c r="AF98" s="12" t="b">
        <v>0</v>
      </c>
      <c r="AG98" s="12" t="b">
        <v>0</v>
      </c>
      <c r="AH98" s="12" t="b">
        <v>0</v>
      </c>
      <c r="AI98" s="14">
        <f t="shared" si="1"/>
        <v>0</v>
      </c>
      <c r="AJ98" s="15">
        <f t="shared" si="2"/>
        <v>0</v>
      </c>
      <c r="AK98" s="16">
        <f t="shared" si="3"/>
        <v>0</v>
      </c>
      <c r="AL98" s="17"/>
      <c r="AM98" s="18"/>
    </row>
    <row r="99" ht="23.25" customHeight="1">
      <c r="A99" s="10">
        <v>96.0</v>
      </c>
      <c r="B99" s="10"/>
      <c r="C99" s="19" t="str">
        <f>iferror(vlookup(B99,'Crew Data'!C:G,5,0)," ")</f>
        <v> </v>
      </c>
      <c r="D99" s="10" t="b">
        <v>0</v>
      </c>
      <c r="E99" s="10" t="b">
        <v>0</v>
      </c>
      <c r="F99" s="10" t="b">
        <v>0</v>
      </c>
      <c r="G99" s="10" t="b">
        <v>0</v>
      </c>
      <c r="H99" s="10" t="b">
        <v>0</v>
      </c>
      <c r="I99" s="10" t="b">
        <v>0</v>
      </c>
      <c r="J99" s="10" t="b">
        <v>0</v>
      </c>
      <c r="K99" s="10" t="b">
        <v>0</v>
      </c>
      <c r="L99" s="10" t="b">
        <v>0</v>
      </c>
      <c r="M99" s="10" t="b">
        <v>0</v>
      </c>
      <c r="N99" s="10" t="b">
        <v>0</v>
      </c>
      <c r="O99" s="10" t="b">
        <v>0</v>
      </c>
      <c r="P99" s="10" t="b">
        <v>0</v>
      </c>
      <c r="Q99" s="10" t="b">
        <v>0</v>
      </c>
      <c r="R99" s="10" t="b">
        <v>0</v>
      </c>
      <c r="S99" s="10" t="b">
        <v>0</v>
      </c>
      <c r="T99" s="10" t="b">
        <v>0</v>
      </c>
      <c r="U99" s="10" t="b">
        <v>0</v>
      </c>
      <c r="V99" s="10" t="b">
        <v>0</v>
      </c>
      <c r="W99" s="10" t="b">
        <v>0</v>
      </c>
      <c r="X99" s="10" t="b">
        <v>0</v>
      </c>
      <c r="Y99" s="10" t="b">
        <v>0</v>
      </c>
      <c r="Z99" s="10" t="b">
        <v>0</v>
      </c>
      <c r="AA99" s="10" t="b">
        <v>0</v>
      </c>
      <c r="AB99" s="10" t="b">
        <v>0</v>
      </c>
      <c r="AC99" s="10" t="b">
        <v>0</v>
      </c>
      <c r="AD99" s="10" t="b">
        <v>0</v>
      </c>
      <c r="AE99" s="10" t="b">
        <v>0</v>
      </c>
      <c r="AF99" s="10" t="b">
        <v>0</v>
      </c>
      <c r="AG99" s="10" t="b">
        <v>0</v>
      </c>
      <c r="AH99" s="10" t="b">
        <v>0</v>
      </c>
      <c r="AI99" s="20">
        <f t="shared" si="1"/>
        <v>0</v>
      </c>
      <c r="AJ99" s="21">
        <f t="shared" si="2"/>
        <v>0</v>
      </c>
      <c r="AK99" s="22">
        <f t="shared" si="3"/>
        <v>0</v>
      </c>
      <c r="AL99" s="23"/>
      <c r="AM99" s="24"/>
    </row>
    <row r="100" ht="23.25" customHeight="1">
      <c r="A100" s="12">
        <v>97.0</v>
      </c>
      <c r="B100" s="12"/>
      <c r="C100" s="13" t="str">
        <f>iferror(vlookup(B100,'Crew Data'!C:G,5,0)," ")</f>
        <v> </v>
      </c>
      <c r="D100" s="12" t="b">
        <v>0</v>
      </c>
      <c r="E100" s="12" t="b">
        <v>0</v>
      </c>
      <c r="F100" s="12" t="b">
        <v>0</v>
      </c>
      <c r="G100" s="12" t="b">
        <v>0</v>
      </c>
      <c r="H100" s="12" t="b">
        <v>0</v>
      </c>
      <c r="I100" s="12" t="b">
        <v>0</v>
      </c>
      <c r="J100" s="12" t="b">
        <v>0</v>
      </c>
      <c r="K100" s="12" t="b">
        <v>0</v>
      </c>
      <c r="L100" s="12" t="b">
        <v>0</v>
      </c>
      <c r="M100" s="12" t="b">
        <v>0</v>
      </c>
      <c r="N100" s="12" t="b">
        <v>0</v>
      </c>
      <c r="O100" s="12" t="b">
        <v>0</v>
      </c>
      <c r="P100" s="12" t="b">
        <v>0</v>
      </c>
      <c r="Q100" s="12" t="b">
        <v>0</v>
      </c>
      <c r="R100" s="12" t="b">
        <v>0</v>
      </c>
      <c r="S100" s="12" t="b">
        <v>0</v>
      </c>
      <c r="T100" s="12" t="b">
        <v>0</v>
      </c>
      <c r="U100" s="12" t="b">
        <v>0</v>
      </c>
      <c r="V100" s="12" t="b">
        <v>0</v>
      </c>
      <c r="W100" s="12" t="b">
        <v>0</v>
      </c>
      <c r="X100" s="12" t="b">
        <v>0</v>
      </c>
      <c r="Y100" s="12" t="b">
        <v>0</v>
      </c>
      <c r="Z100" s="12" t="b">
        <v>0</v>
      </c>
      <c r="AA100" s="12" t="b">
        <v>0</v>
      </c>
      <c r="AB100" s="12" t="b">
        <v>0</v>
      </c>
      <c r="AC100" s="12" t="b">
        <v>0</v>
      </c>
      <c r="AD100" s="12" t="b">
        <v>0</v>
      </c>
      <c r="AE100" s="12" t="b">
        <v>0</v>
      </c>
      <c r="AF100" s="12" t="b">
        <v>0</v>
      </c>
      <c r="AG100" s="12" t="b">
        <v>0</v>
      </c>
      <c r="AH100" s="12" t="b">
        <v>0</v>
      </c>
      <c r="AI100" s="14">
        <f t="shared" si="1"/>
        <v>0</v>
      </c>
      <c r="AJ100" s="15">
        <f t="shared" si="2"/>
        <v>0</v>
      </c>
      <c r="AK100" s="16">
        <f t="shared" si="3"/>
        <v>0</v>
      </c>
      <c r="AL100" s="17"/>
      <c r="AM100" s="18"/>
    </row>
    <row r="101" ht="23.25" customHeight="1">
      <c r="A101" s="10">
        <v>98.0</v>
      </c>
      <c r="B101" s="10"/>
      <c r="C101" s="19" t="str">
        <f>iferror(vlookup(B101,'Crew Data'!C:G,5,0)," ")</f>
        <v> </v>
      </c>
      <c r="D101" s="10" t="b">
        <v>0</v>
      </c>
      <c r="E101" s="10" t="b">
        <v>0</v>
      </c>
      <c r="F101" s="10" t="b">
        <v>0</v>
      </c>
      <c r="G101" s="10" t="b">
        <v>0</v>
      </c>
      <c r="H101" s="10" t="b">
        <v>0</v>
      </c>
      <c r="I101" s="10" t="b">
        <v>0</v>
      </c>
      <c r="J101" s="10" t="b">
        <v>0</v>
      </c>
      <c r="K101" s="10" t="b">
        <v>0</v>
      </c>
      <c r="L101" s="10" t="b">
        <v>0</v>
      </c>
      <c r="M101" s="10" t="b">
        <v>0</v>
      </c>
      <c r="N101" s="10" t="b">
        <v>0</v>
      </c>
      <c r="O101" s="10" t="b">
        <v>0</v>
      </c>
      <c r="P101" s="10" t="b">
        <v>0</v>
      </c>
      <c r="Q101" s="10" t="b">
        <v>0</v>
      </c>
      <c r="R101" s="10" t="b">
        <v>0</v>
      </c>
      <c r="S101" s="10" t="b">
        <v>0</v>
      </c>
      <c r="T101" s="10" t="b">
        <v>0</v>
      </c>
      <c r="U101" s="10" t="b">
        <v>0</v>
      </c>
      <c r="V101" s="10" t="b">
        <v>0</v>
      </c>
      <c r="W101" s="10" t="b">
        <v>0</v>
      </c>
      <c r="X101" s="10" t="b">
        <v>0</v>
      </c>
      <c r="Y101" s="10" t="b">
        <v>0</v>
      </c>
      <c r="Z101" s="10" t="b">
        <v>0</v>
      </c>
      <c r="AA101" s="10" t="b">
        <v>0</v>
      </c>
      <c r="AB101" s="10" t="b">
        <v>0</v>
      </c>
      <c r="AC101" s="10" t="b">
        <v>0</v>
      </c>
      <c r="AD101" s="10" t="b">
        <v>0</v>
      </c>
      <c r="AE101" s="10" t="b">
        <v>0</v>
      </c>
      <c r="AF101" s="10" t="b">
        <v>0</v>
      </c>
      <c r="AG101" s="10" t="b">
        <v>0</v>
      </c>
      <c r="AH101" s="10" t="b">
        <v>0</v>
      </c>
      <c r="AI101" s="20">
        <f t="shared" si="1"/>
        <v>0</v>
      </c>
      <c r="AJ101" s="21">
        <f t="shared" si="2"/>
        <v>0</v>
      </c>
      <c r="AK101" s="22">
        <f t="shared" si="3"/>
        <v>0</v>
      </c>
      <c r="AL101" s="23"/>
      <c r="AM101" s="24"/>
    </row>
    <row r="102" ht="23.25" customHeight="1">
      <c r="A102" s="12">
        <v>99.0</v>
      </c>
      <c r="B102" s="12"/>
      <c r="C102" s="13" t="str">
        <f>iferror(vlookup(B102,'Crew Data'!C:G,5,0)," ")</f>
        <v> </v>
      </c>
      <c r="D102" s="12" t="b">
        <v>0</v>
      </c>
      <c r="E102" s="12" t="b">
        <v>0</v>
      </c>
      <c r="F102" s="12" t="b">
        <v>0</v>
      </c>
      <c r="G102" s="12" t="b">
        <v>0</v>
      </c>
      <c r="H102" s="12" t="b">
        <v>0</v>
      </c>
      <c r="I102" s="12" t="b">
        <v>0</v>
      </c>
      <c r="J102" s="12" t="b">
        <v>0</v>
      </c>
      <c r="K102" s="12" t="b">
        <v>0</v>
      </c>
      <c r="L102" s="12" t="b">
        <v>0</v>
      </c>
      <c r="M102" s="12" t="b">
        <v>0</v>
      </c>
      <c r="N102" s="12" t="b">
        <v>0</v>
      </c>
      <c r="O102" s="12" t="b">
        <v>0</v>
      </c>
      <c r="P102" s="12" t="b">
        <v>0</v>
      </c>
      <c r="Q102" s="12" t="b">
        <v>0</v>
      </c>
      <c r="R102" s="12" t="b">
        <v>0</v>
      </c>
      <c r="S102" s="12" t="b">
        <v>0</v>
      </c>
      <c r="T102" s="12" t="b">
        <v>0</v>
      </c>
      <c r="U102" s="12" t="b">
        <v>0</v>
      </c>
      <c r="V102" s="12" t="b">
        <v>0</v>
      </c>
      <c r="W102" s="12" t="b">
        <v>0</v>
      </c>
      <c r="X102" s="12" t="b">
        <v>0</v>
      </c>
      <c r="Y102" s="12" t="b">
        <v>0</v>
      </c>
      <c r="Z102" s="12" t="b">
        <v>0</v>
      </c>
      <c r="AA102" s="12" t="b">
        <v>0</v>
      </c>
      <c r="AB102" s="12" t="b">
        <v>0</v>
      </c>
      <c r="AC102" s="12" t="b">
        <v>0</v>
      </c>
      <c r="AD102" s="12" t="b">
        <v>0</v>
      </c>
      <c r="AE102" s="12" t="b">
        <v>0</v>
      </c>
      <c r="AF102" s="12" t="b">
        <v>0</v>
      </c>
      <c r="AG102" s="12" t="b">
        <v>0</v>
      </c>
      <c r="AH102" s="12" t="b">
        <v>0</v>
      </c>
      <c r="AI102" s="14">
        <f t="shared" si="1"/>
        <v>0</v>
      </c>
      <c r="AJ102" s="15">
        <f t="shared" si="2"/>
        <v>0</v>
      </c>
      <c r="AK102" s="16">
        <f t="shared" si="3"/>
        <v>0</v>
      </c>
      <c r="AL102" s="17"/>
      <c r="AM102" s="18"/>
    </row>
    <row r="103" ht="23.25" customHeight="1">
      <c r="A103" s="10">
        <v>100.0</v>
      </c>
      <c r="B103" s="10"/>
      <c r="C103" s="19" t="str">
        <f>iferror(vlookup(B103,'Crew Data'!C:G,5,0)," ")</f>
        <v> </v>
      </c>
      <c r="D103" s="10" t="b">
        <v>0</v>
      </c>
      <c r="E103" s="10" t="b">
        <v>0</v>
      </c>
      <c r="F103" s="10" t="b">
        <v>0</v>
      </c>
      <c r="G103" s="10" t="b">
        <v>0</v>
      </c>
      <c r="H103" s="10" t="b">
        <v>0</v>
      </c>
      <c r="I103" s="10" t="b">
        <v>0</v>
      </c>
      <c r="J103" s="10" t="b">
        <v>0</v>
      </c>
      <c r="K103" s="10" t="b">
        <v>0</v>
      </c>
      <c r="L103" s="10" t="b">
        <v>0</v>
      </c>
      <c r="M103" s="10" t="b">
        <v>0</v>
      </c>
      <c r="N103" s="10" t="b">
        <v>0</v>
      </c>
      <c r="O103" s="10" t="b">
        <v>0</v>
      </c>
      <c r="P103" s="10" t="b">
        <v>0</v>
      </c>
      <c r="Q103" s="10" t="b">
        <v>0</v>
      </c>
      <c r="R103" s="10" t="b">
        <v>0</v>
      </c>
      <c r="S103" s="10" t="b">
        <v>0</v>
      </c>
      <c r="T103" s="10" t="b">
        <v>0</v>
      </c>
      <c r="U103" s="10" t="b">
        <v>0</v>
      </c>
      <c r="V103" s="10" t="b">
        <v>0</v>
      </c>
      <c r="W103" s="10" t="b">
        <v>0</v>
      </c>
      <c r="X103" s="10" t="b">
        <v>0</v>
      </c>
      <c r="Y103" s="10" t="b">
        <v>0</v>
      </c>
      <c r="Z103" s="10" t="b">
        <v>0</v>
      </c>
      <c r="AA103" s="10" t="b">
        <v>0</v>
      </c>
      <c r="AB103" s="10" t="b">
        <v>0</v>
      </c>
      <c r="AC103" s="10" t="b">
        <v>0</v>
      </c>
      <c r="AD103" s="10" t="b">
        <v>0</v>
      </c>
      <c r="AE103" s="10" t="b">
        <v>0</v>
      </c>
      <c r="AF103" s="10" t="b">
        <v>0</v>
      </c>
      <c r="AG103" s="10" t="b">
        <v>0</v>
      </c>
      <c r="AH103" s="10" t="b">
        <v>0</v>
      </c>
      <c r="AI103" s="20">
        <f t="shared" si="1"/>
        <v>0</v>
      </c>
      <c r="AJ103" s="21">
        <f t="shared" si="2"/>
        <v>0</v>
      </c>
      <c r="AK103" s="22">
        <f t="shared" si="3"/>
        <v>0</v>
      </c>
      <c r="AL103" s="23"/>
      <c r="AM103" s="24"/>
    </row>
    <row r="104" ht="23.25" customHeight="1">
      <c r="A104" s="12">
        <v>101.0</v>
      </c>
      <c r="B104" s="12"/>
      <c r="C104" s="13" t="str">
        <f>iferror(vlookup(B104,'Crew Data'!C:G,5,0)," ")</f>
        <v> </v>
      </c>
      <c r="D104" s="12" t="b">
        <v>0</v>
      </c>
      <c r="E104" s="12" t="b">
        <v>0</v>
      </c>
      <c r="F104" s="12" t="b">
        <v>0</v>
      </c>
      <c r="G104" s="12" t="b">
        <v>0</v>
      </c>
      <c r="H104" s="12" t="b">
        <v>0</v>
      </c>
      <c r="I104" s="12" t="b">
        <v>0</v>
      </c>
      <c r="J104" s="12" t="b">
        <v>0</v>
      </c>
      <c r="K104" s="12" t="b">
        <v>0</v>
      </c>
      <c r="L104" s="12" t="b">
        <v>0</v>
      </c>
      <c r="M104" s="12" t="b">
        <v>0</v>
      </c>
      <c r="N104" s="12" t="b">
        <v>0</v>
      </c>
      <c r="O104" s="12" t="b">
        <v>0</v>
      </c>
      <c r="P104" s="12" t="b">
        <v>0</v>
      </c>
      <c r="Q104" s="12" t="b">
        <v>0</v>
      </c>
      <c r="R104" s="12" t="b">
        <v>0</v>
      </c>
      <c r="S104" s="12" t="b">
        <v>0</v>
      </c>
      <c r="T104" s="12" t="b">
        <v>0</v>
      </c>
      <c r="U104" s="12" t="b">
        <v>0</v>
      </c>
      <c r="V104" s="12" t="b">
        <v>0</v>
      </c>
      <c r="W104" s="12" t="b">
        <v>0</v>
      </c>
      <c r="X104" s="12" t="b">
        <v>0</v>
      </c>
      <c r="Y104" s="12" t="b">
        <v>0</v>
      </c>
      <c r="Z104" s="12" t="b">
        <v>0</v>
      </c>
      <c r="AA104" s="12" t="b">
        <v>0</v>
      </c>
      <c r="AB104" s="12" t="b">
        <v>0</v>
      </c>
      <c r="AC104" s="12" t="b">
        <v>0</v>
      </c>
      <c r="AD104" s="12" t="b">
        <v>0</v>
      </c>
      <c r="AE104" s="12" t="b">
        <v>0</v>
      </c>
      <c r="AF104" s="12" t="b">
        <v>0</v>
      </c>
      <c r="AG104" s="12" t="b">
        <v>0</v>
      </c>
      <c r="AH104" s="12" t="b">
        <v>0</v>
      </c>
      <c r="AI104" s="14">
        <f t="shared" si="1"/>
        <v>0</v>
      </c>
      <c r="AJ104" s="15">
        <f t="shared" si="2"/>
        <v>0</v>
      </c>
      <c r="AK104" s="16">
        <f t="shared" si="3"/>
        <v>0</v>
      </c>
      <c r="AL104" s="17"/>
      <c r="AM104" s="18"/>
    </row>
    <row r="105" ht="23.25" customHeight="1">
      <c r="A105" s="10">
        <v>102.0</v>
      </c>
      <c r="B105" s="10"/>
      <c r="C105" s="19" t="str">
        <f>iferror(vlookup(B105,'Crew Data'!C:G,5,0)," ")</f>
        <v> </v>
      </c>
      <c r="D105" s="10" t="b">
        <v>0</v>
      </c>
      <c r="E105" s="10" t="b">
        <v>0</v>
      </c>
      <c r="F105" s="10" t="b">
        <v>0</v>
      </c>
      <c r="G105" s="10" t="b">
        <v>0</v>
      </c>
      <c r="H105" s="10" t="b">
        <v>0</v>
      </c>
      <c r="I105" s="10" t="b">
        <v>0</v>
      </c>
      <c r="J105" s="10" t="b">
        <v>0</v>
      </c>
      <c r="K105" s="10" t="b">
        <v>0</v>
      </c>
      <c r="L105" s="10" t="b">
        <v>0</v>
      </c>
      <c r="M105" s="10" t="b">
        <v>0</v>
      </c>
      <c r="N105" s="10" t="b">
        <v>0</v>
      </c>
      <c r="O105" s="10" t="b">
        <v>0</v>
      </c>
      <c r="P105" s="10" t="b">
        <v>0</v>
      </c>
      <c r="Q105" s="10" t="b">
        <v>0</v>
      </c>
      <c r="R105" s="10" t="b">
        <v>0</v>
      </c>
      <c r="S105" s="10" t="b">
        <v>0</v>
      </c>
      <c r="T105" s="10" t="b">
        <v>0</v>
      </c>
      <c r="U105" s="10" t="b">
        <v>0</v>
      </c>
      <c r="V105" s="10" t="b">
        <v>0</v>
      </c>
      <c r="W105" s="10" t="b">
        <v>0</v>
      </c>
      <c r="X105" s="10" t="b">
        <v>0</v>
      </c>
      <c r="Y105" s="10" t="b">
        <v>0</v>
      </c>
      <c r="Z105" s="10" t="b">
        <v>0</v>
      </c>
      <c r="AA105" s="10" t="b">
        <v>0</v>
      </c>
      <c r="AB105" s="10" t="b">
        <v>0</v>
      </c>
      <c r="AC105" s="10" t="b">
        <v>0</v>
      </c>
      <c r="AD105" s="10" t="b">
        <v>0</v>
      </c>
      <c r="AE105" s="10" t="b">
        <v>0</v>
      </c>
      <c r="AF105" s="10" t="b">
        <v>0</v>
      </c>
      <c r="AG105" s="10" t="b">
        <v>0</v>
      </c>
      <c r="AH105" s="10" t="b">
        <v>0</v>
      </c>
      <c r="AI105" s="20">
        <f t="shared" si="1"/>
        <v>0</v>
      </c>
      <c r="AJ105" s="21">
        <f t="shared" si="2"/>
        <v>0</v>
      </c>
      <c r="AK105" s="22">
        <f t="shared" si="3"/>
        <v>0</v>
      </c>
      <c r="AL105" s="23"/>
      <c r="AM105" s="24"/>
    </row>
    <row r="106" ht="23.25" customHeight="1">
      <c r="A106" s="12">
        <v>103.0</v>
      </c>
      <c r="B106" s="12"/>
      <c r="C106" s="13" t="str">
        <f>iferror(vlookup(B106,'Crew Data'!C:G,5,0)," ")</f>
        <v> </v>
      </c>
      <c r="D106" s="12" t="b">
        <v>0</v>
      </c>
      <c r="E106" s="12" t="b">
        <v>0</v>
      </c>
      <c r="F106" s="12" t="b">
        <v>0</v>
      </c>
      <c r="G106" s="12" t="b">
        <v>0</v>
      </c>
      <c r="H106" s="12" t="b">
        <v>0</v>
      </c>
      <c r="I106" s="12" t="b">
        <v>0</v>
      </c>
      <c r="J106" s="12" t="b">
        <v>0</v>
      </c>
      <c r="K106" s="12" t="b">
        <v>0</v>
      </c>
      <c r="L106" s="12" t="b">
        <v>0</v>
      </c>
      <c r="M106" s="12" t="b">
        <v>0</v>
      </c>
      <c r="N106" s="12" t="b">
        <v>0</v>
      </c>
      <c r="O106" s="12" t="b">
        <v>0</v>
      </c>
      <c r="P106" s="12" t="b">
        <v>0</v>
      </c>
      <c r="Q106" s="12" t="b">
        <v>0</v>
      </c>
      <c r="R106" s="12" t="b">
        <v>0</v>
      </c>
      <c r="S106" s="12" t="b">
        <v>0</v>
      </c>
      <c r="T106" s="12" t="b">
        <v>0</v>
      </c>
      <c r="U106" s="12" t="b">
        <v>0</v>
      </c>
      <c r="V106" s="12" t="b">
        <v>0</v>
      </c>
      <c r="W106" s="12" t="b">
        <v>0</v>
      </c>
      <c r="X106" s="12" t="b">
        <v>0</v>
      </c>
      <c r="Y106" s="12" t="b">
        <v>0</v>
      </c>
      <c r="Z106" s="12" t="b">
        <v>0</v>
      </c>
      <c r="AA106" s="12" t="b">
        <v>0</v>
      </c>
      <c r="AB106" s="12" t="b">
        <v>0</v>
      </c>
      <c r="AC106" s="12" t="b">
        <v>0</v>
      </c>
      <c r="AD106" s="12" t="b">
        <v>0</v>
      </c>
      <c r="AE106" s="12" t="b">
        <v>0</v>
      </c>
      <c r="AF106" s="12" t="b">
        <v>0</v>
      </c>
      <c r="AG106" s="12" t="b">
        <v>0</v>
      </c>
      <c r="AH106" s="12" t="b">
        <v>0</v>
      </c>
      <c r="AI106" s="14">
        <f t="shared" si="1"/>
        <v>0</v>
      </c>
      <c r="AJ106" s="15">
        <f t="shared" si="2"/>
        <v>0</v>
      </c>
      <c r="AK106" s="16">
        <f t="shared" si="3"/>
        <v>0</v>
      </c>
      <c r="AL106" s="17"/>
      <c r="AM106" s="18"/>
    </row>
    <row r="107" ht="23.25" customHeight="1">
      <c r="A107" s="10">
        <v>104.0</v>
      </c>
      <c r="B107" s="10"/>
      <c r="C107" s="19" t="str">
        <f>iferror(vlookup(B107,'Crew Data'!C:G,5,0)," ")</f>
        <v> </v>
      </c>
      <c r="D107" s="10" t="b">
        <v>0</v>
      </c>
      <c r="E107" s="10" t="b">
        <v>0</v>
      </c>
      <c r="F107" s="10" t="b">
        <v>0</v>
      </c>
      <c r="G107" s="10" t="b">
        <v>0</v>
      </c>
      <c r="H107" s="10" t="b">
        <v>0</v>
      </c>
      <c r="I107" s="10" t="b">
        <v>0</v>
      </c>
      <c r="J107" s="10" t="b">
        <v>0</v>
      </c>
      <c r="K107" s="10" t="b">
        <v>0</v>
      </c>
      <c r="L107" s="10" t="b">
        <v>0</v>
      </c>
      <c r="M107" s="10" t="b">
        <v>0</v>
      </c>
      <c r="N107" s="10" t="b">
        <v>0</v>
      </c>
      <c r="O107" s="10" t="b">
        <v>0</v>
      </c>
      <c r="P107" s="10" t="b">
        <v>0</v>
      </c>
      <c r="Q107" s="10" t="b">
        <v>0</v>
      </c>
      <c r="R107" s="10" t="b">
        <v>0</v>
      </c>
      <c r="S107" s="10" t="b">
        <v>0</v>
      </c>
      <c r="T107" s="10" t="b">
        <v>0</v>
      </c>
      <c r="U107" s="10" t="b">
        <v>0</v>
      </c>
      <c r="V107" s="10" t="b">
        <v>0</v>
      </c>
      <c r="W107" s="10" t="b">
        <v>0</v>
      </c>
      <c r="X107" s="10" t="b">
        <v>0</v>
      </c>
      <c r="Y107" s="10" t="b">
        <v>0</v>
      </c>
      <c r="Z107" s="10" t="b">
        <v>0</v>
      </c>
      <c r="AA107" s="10" t="b">
        <v>0</v>
      </c>
      <c r="AB107" s="10" t="b">
        <v>0</v>
      </c>
      <c r="AC107" s="10" t="b">
        <v>0</v>
      </c>
      <c r="AD107" s="10" t="b">
        <v>0</v>
      </c>
      <c r="AE107" s="10" t="b">
        <v>0</v>
      </c>
      <c r="AF107" s="10" t="b">
        <v>0</v>
      </c>
      <c r="AG107" s="10" t="b">
        <v>0</v>
      </c>
      <c r="AH107" s="10" t="b">
        <v>0</v>
      </c>
      <c r="AI107" s="20">
        <f t="shared" si="1"/>
        <v>0</v>
      </c>
      <c r="AJ107" s="21">
        <f t="shared" si="2"/>
        <v>0</v>
      </c>
      <c r="AK107" s="22">
        <f t="shared" si="3"/>
        <v>0</v>
      </c>
      <c r="AL107" s="23"/>
      <c r="AM107" s="24"/>
    </row>
    <row r="108" ht="23.25" customHeight="1">
      <c r="A108" s="12">
        <v>105.0</v>
      </c>
      <c r="B108" s="12"/>
      <c r="C108" s="13" t="str">
        <f>iferror(vlookup(B108,'Crew Data'!C:G,5,0)," ")</f>
        <v> </v>
      </c>
      <c r="D108" s="12" t="b">
        <v>0</v>
      </c>
      <c r="E108" s="12" t="b">
        <v>0</v>
      </c>
      <c r="F108" s="12" t="b">
        <v>0</v>
      </c>
      <c r="G108" s="12" t="b">
        <v>0</v>
      </c>
      <c r="H108" s="12" t="b">
        <v>0</v>
      </c>
      <c r="I108" s="12" t="b">
        <v>0</v>
      </c>
      <c r="J108" s="12" t="b">
        <v>0</v>
      </c>
      <c r="K108" s="12" t="b">
        <v>0</v>
      </c>
      <c r="L108" s="12" t="b">
        <v>0</v>
      </c>
      <c r="M108" s="12" t="b">
        <v>0</v>
      </c>
      <c r="N108" s="12" t="b">
        <v>0</v>
      </c>
      <c r="O108" s="12" t="b">
        <v>0</v>
      </c>
      <c r="P108" s="12" t="b">
        <v>0</v>
      </c>
      <c r="Q108" s="12" t="b">
        <v>0</v>
      </c>
      <c r="R108" s="12" t="b">
        <v>0</v>
      </c>
      <c r="S108" s="12" t="b">
        <v>0</v>
      </c>
      <c r="T108" s="12" t="b">
        <v>0</v>
      </c>
      <c r="U108" s="12" t="b">
        <v>0</v>
      </c>
      <c r="V108" s="12" t="b">
        <v>0</v>
      </c>
      <c r="W108" s="12" t="b">
        <v>0</v>
      </c>
      <c r="X108" s="12" t="b">
        <v>0</v>
      </c>
      <c r="Y108" s="12" t="b">
        <v>0</v>
      </c>
      <c r="Z108" s="12" t="b">
        <v>0</v>
      </c>
      <c r="AA108" s="12" t="b">
        <v>0</v>
      </c>
      <c r="AB108" s="12" t="b">
        <v>0</v>
      </c>
      <c r="AC108" s="12" t="b">
        <v>0</v>
      </c>
      <c r="AD108" s="12" t="b">
        <v>0</v>
      </c>
      <c r="AE108" s="12" t="b">
        <v>0</v>
      </c>
      <c r="AF108" s="12" t="b">
        <v>0</v>
      </c>
      <c r="AG108" s="12" t="b">
        <v>0</v>
      </c>
      <c r="AH108" s="12" t="b">
        <v>0</v>
      </c>
      <c r="AI108" s="14">
        <f t="shared" si="1"/>
        <v>0</v>
      </c>
      <c r="AJ108" s="15">
        <f t="shared" si="2"/>
        <v>0</v>
      </c>
      <c r="AK108" s="16">
        <f t="shared" si="3"/>
        <v>0</v>
      </c>
      <c r="AL108" s="17"/>
      <c r="AM108" s="18"/>
    </row>
    <row r="109" ht="23.25" customHeight="1">
      <c r="A109" s="10">
        <v>106.0</v>
      </c>
      <c r="B109" s="10"/>
      <c r="C109" s="19" t="str">
        <f>iferror(vlookup(B109,'Crew Data'!C:G,5,0)," ")</f>
        <v> </v>
      </c>
      <c r="D109" s="10" t="b">
        <v>0</v>
      </c>
      <c r="E109" s="10" t="b">
        <v>0</v>
      </c>
      <c r="F109" s="10" t="b">
        <v>0</v>
      </c>
      <c r="G109" s="10" t="b">
        <v>0</v>
      </c>
      <c r="H109" s="10" t="b">
        <v>0</v>
      </c>
      <c r="I109" s="10" t="b">
        <v>0</v>
      </c>
      <c r="J109" s="10" t="b">
        <v>0</v>
      </c>
      <c r="K109" s="10" t="b">
        <v>0</v>
      </c>
      <c r="L109" s="10" t="b">
        <v>0</v>
      </c>
      <c r="M109" s="10" t="b">
        <v>0</v>
      </c>
      <c r="N109" s="10" t="b">
        <v>0</v>
      </c>
      <c r="O109" s="10" t="b">
        <v>0</v>
      </c>
      <c r="P109" s="10" t="b">
        <v>0</v>
      </c>
      <c r="Q109" s="10" t="b">
        <v>0</v>
      </c>
      <c r="R109" s="10" t="b">
        <v>0</v>
      </c>
      <c r="S109" s="10" t="b">
        <v>0</v>
      </c>
      <c r="T109" s="10" t="b">
        <v>0</v>
      </c>
      <c r="U109" s="10" t="b">
        <v>0</v>
      </c>
      <c r="V109" s="10" t="b">
        <v>0</v>
      </c>
      <c r="W109" s="10" t="b">
        <v>0</v>
      </c>
      <c r="X109" s="10" t="b">
        <v>0</v>
      </c>
      <c r="Y109" s="10" t="b">
        <v>0</v>
      </c>
      <c r="Z109" s="10" t="b">
        <v>0</v>
      </c>
      <c r="AA109" s="10" t="b">
        <v>0</v>
      </c>
      <c r="AB109" s="10" t="b">
        <v>0</v>
      </c>
      <c r="AC109" s="10" t="b">
        <v>0</v>
      </c>
      <c r="AD109" s="10" t="b">
        <v>0</v>
      </c>
      <c r="AE109" s="10" t="b">
        <v>0</v>
      </c>
      <c r="AF109" s="10" t="b">
        <v>0</v>
      </c>
      <c r="AG109" s="10" t="b">
        <v>0</v>
      </c>
      <c r="AH109" s="10" t="b">
        <v>0</v>
      </c>
      <c r="AI109" s="20">
        <f t="shared" si="1"/>
        <v>0</v>
      </c>
      <c r="AJ109" s="21">
        <f t="shared" si="2"/>
        <v>0</v>
      </c>
      <c r="AK109" s="22">
        <f t="shared" si="3"/>
        <v>0</v>
      </c>
      <c r="AL109" s="23"/>
      <c r="AM109" s="24"/>
    </row>
    <row r="110" ht="23.25" customHeight="1">
      <c r="A110" s="12">
        <v>107.0</v>
      </c>
      <c r="B110" s="12"/>
      <c r="C110" s="13" t="str">
        <f>iferror(vlookup(B110,'Crew Data'!C:G,5,0)," ")</f>
        <v> </v>
      </c>
      <c r="D110" s="12" t="b">
        <v>0</v>
      </c>
      <c r="E110" s="12" t="b">
        <v>0</v>
      </c>
      <c r="F110" s="12" t="b">
        <v>0</v>
      </c>
      <c r="G110" s="12" t="b">
        <v>0</v>
      </c>
      <c r="H110" s="12" t="b">
        <v>0</v>
      </c>
      <c r="I110" s="12" t="b">
        <v>0</v>
      </c>
      <c r="J110" s="12" t="b">
        <v>0</v>
      </c>
      <c r="K110" s="12" t="b">
        <v>0</v>
      </c>
      <c r="L110" s="12" t="b">
        <v>0</v>
      </c>
      <c r="M110" s="12" t="b">
        <v>0</v>
      </c>
      <c r="N110" s="12" t="b">
        <v>0</v>
      </c>
      <c r="O110" s="12" t="b">
        <v>0</v>
      </c>
      <c r="P110" s="12" t="b">
        <v>0</v>
      </c>
      <c r="Q110" s="12" t="b">
        <v>0</v>
      </c>
      <c r="R110" s="12" t="b">
        <v>0</v>
      </c>
      <c r="S110" s="12" t="b">
        <v>0</v>
      </c>
      <c r="T110" s="12" t="b">
        <v>0</v>
      </c>
      <c r="U110" s="12" t="b">
        <v>0</v>
      </c>
      <c r="V110" s="12" t="b">
        <v>0</v>
      </c>
      <c r="W110" s="12" t="b">
        <v>0</v>
      </c>
      <c r="X110" s="12" t="b">
        <v>0</v>
      </c>
      <c r="Y110" s="12" t="b">
        <v>0</v>
      </c>
      <c r="Z110" s="12" t="b">
        <v>0</v>
      </c>
      <c r="AA110" s="12" t="b">
        <v>0</v>
      </c>
      <c r="AB110" s="12" t="b">
        <v>0</v>
      </c>
      <c r="AC110" s="12" t="b">
        <v>0</v>
      </c>
      <c r="AD110" s="12" t="b">
        <v>0</v>
      </c>
      <c r="AE110" s="12" t="b">
        <v>0</v>
      </c>
      <c r="AF110" s="12" t="b">
        <v>0</v>
      </c>
      <c r="AG110" s="12" t="b">
        <v>0</v>
      </c>
      <c r="AH110" s="12" t="b">
        <v>0</v>
      </c>
      <c r="AI110" s="14">
        <f t="shared" si="1"/>
        <v>0</v>
      </c>
      <c r="AJ110" s="15">
        <f t="shared" si="2"/>
        <v>0</v>
      </c>
      <c r="AK110" s="16">
        <f t="shared" si="3"/>
        <v>0</v>
      </c>
      <c r="AL110" s="17"/>
      <c r="AM110" s="18"/>
    </row>
    <row r="111" ht="23.25" customHeight="1">
      <c r="A111" s="10">
        <v>108.0</v>
      </c>
      <c r="B111" s="10"/>
      <c r="C111" s="19" t="str">
        <f>iferror(vlookup(B111,'Crew Data'!C:G,5,0)," ")</f>
        <v> </v>
      </c>
      <c r="D111" s="10" t="b">
        <v>0</v>
      </c>
      <c r="E111" s="10" t="b">
        <v>0</v>
      </c>
      <c r="F111" s="10" t="b">
        <v>0</v>
      </c>
      <c r="G111" s="10" t="b">
        <v>0</v>
      </c>
      <c r="H111" s="10" t="b">
        <v>0</v>
      </c>
      <c r="I111" s="10" t="b">
        <v>0</v>
      </c>
      <c r="J111" s="10" t="b">
        <v>0</v>
      </c>
      <c r="K111" s="10" t="b">
        <v>0</v>
      </c>
      <c r="L111" s="10" t="b">
        <v>0</v>
      </c>
      <c r="M111" s="10" t="b">
        <v>0</v>
      </c>
      <c r="N111" s="10" t="b">
        <v>0</v>
      </c>
      <c r="O111" s="10" t="b">
        <v>0</v>
      </c>
      <c r="P111" s="10" t="b">
        <v>0</v>
      </c>
      <c r="Q111" s="10" t="b">
        <v>0</v>
      </c>
      <c r="R111" s="10" t="b">
        <v>0</v>
      </c>
      <c r="S111" s="10" t="b">
        <v>0</v>
      </c>
      <c r="T111" s="10" t="b">
        <v>0</v>
      </c>
      <c r="U111" s="10" t="b">
        <v>0</v>
      </c>
      <c r="V111" s="10" t="b">
        <v>0</v>
      </c>
      <c r="W111" s="10" t="b">
        <v>0</v>
      </c>
      <c r="X111" s="10" t="b">
        <v>0</v>
      </c>
      <c r="Y111" s="10" t="b">
        <v>0</v>
      </c>
      <c r="Z111" s="10" t="b">
        <v>0</v>
      </c>
      <c r="AA111" s="10" t="b">
        <v>0</v>
      </c>
      <c r="AB111" s="10" t="b">
        <v>0</v>
      </c>
      <c r="AC111" s="10" t="b">
        <v>0</v>
      </c>
      <c r="AD111" s="10" t="b">
        <v>0</v>
      </c>
      <c r="AE111" s="10" t="b">
        <v>0</v>
      </c>
      <c r="AF111" s="10" t="b">
        <v>0</v>
      </c>
      <c r="AG111" s="10" t="b">
        <v>0</v>
      </c>
      <c r="AH111" s="10" t="b">
        <v>0</v>
      </c>
      <c r="AI111" s="20">
        <f t="shared" si="1"/>
        <v>0</v>
      </c>
      <c r="AJ111" s="21">
        <f t="shared" si="2"/>
        <v>0</v>
      </c>
      <c r="AK111" s="22">
        <f t="shared" si="3"/>
        <v>0</v>
      </c>
      <c r="AL111" s="23"/>
      <c r="AM111" s="24"/>
    </row>
    <row r="112" ht="23.25" customHeight="1">
      <c r="A112" s="12">
        <v>109.0</v>
      </c>
      <c r="B112" s="12"/>
      <c r="C112" s="13" t="str">
        <f>iferror(vlookup(B112,'Crew Data'!C:G,5,0)," ")</f>
        <v> </v>
      </c>
      <c r="D112" s="12" t="b">
        <v>0</v>
      </c>
      <c r="E112" s="12" t="b">
        <v>0</v>
      </c>
      <c r="F112" s="12" t="b">
        <v>0</v>
      </c>
      <c r="G112" s="12" t="b">
        <v>0</v>
      </c>
      <c r="H112" s="12" t="b">
        <v>0</v>
      </c>
      <c r="I112" s="12" t="b">
        <v>0</v>
      </c>
      <c r="J112" s="12" t="b">
        <v>0</v>
      </c>
      <c r="K112" s="12" t="b">
        <v>0</v>
      </c>
      <c r="L112" s="12" t="b">
        <v>0</v>
      </c>
      <c r="M112" s="12" t="b">
        <v>0</v>
      </c>
      <c r="N112" s="12" t="b">
        <v>0</v>
      </c>
      <c r="O112" s="12" t="b">
        <v>0</v>
      </c>
      <c r="P112" s="12" t="b">
        <v>0</v>
      </c>
      <c r="Q112" s="12" t="b">
        <v>0</v>
      </c>
      <c r="R112" s="12" t="b">
        <v>0</v>
      </c>
      <c r="S112" s="12" t="b">
        <v>0</v>
      </c>
      <c r="T112" s="12" t="b">
        <v>0</v>
      </c>
      <c r="U112" s="12" t="b">
        <v>0</v>
      </c>
      <c r="V112" s="12" t="b">
        <v>0</v>
      </c>
      <c r="W112" s="12" t="b">
        <v>0</v>
      </c>
      <c r="X112" s="12" t="b">
        <v>0</v>
      </c>
      <c r="Y112" s="12" t="b">
        <v>0</v>
      </c>
      <c r="Z112" s="12" t="b">
        <v>0</v>
      </c>
      <c r="AA112" s="12" t="b">
        <v>0</v>
      </c>
      <c r="AB112" s="12" t="b">
        <v>0</v>
      </c>
      <c r="AC112" s="12" t="b">
        <v>0</v>
      </c>
      <c r="AD112" s="12" t="b">
        <v>0</v>
      </c>
      <c r="AE112" s="12" t="b">
        <v>0</v>
      </c>
      <c r="AF112" s="12" t="b">
        <v>0</v>
      </c>
      <c r="AG112" s="12" t="b">
        <v>0</v>
      </c>
      <c r="AH112" s="12" t="b">
        <v>0</v>
      </c>
      <c r="AI112" s="14">
        <f t="shared" si="1"/>
        <v>0</v>
      </c>
      <c r="AJ112" s="15">
        <f t="shared" si="2"/>
        <v>0</v>
      </c>
      <c r="AK112" s="16">
        <f t="shared" si="3"/>
        <v>0</v>
      </c>
      <c r="AL112" s="17"/>
      <c r="AM112" s="18"/>
    </row>
    <row r="113" ht="23.25" customHeight="1">
      <c r="A113" s="10">
        <v>110.0</v>
      </c>
      <c r="B113" s="10"/>
      <c r="C113" s="19" t="str">
        <f>iferror(vlookup(B113,'Crew Data'!C:G,5,0)," ")</f>
        <v> </v>
      </c>
      <c r="D113" s="10" t="b">
        <v>0</v>
      </c>
      <c r="E113" s="10" t="b">
        <v>0</v>
      </c>
      <c r="F113" s="10" t="b">
        <v>0</v>
      </c>
      <c r="G113" s="10" t="b">
        <v>0</v>
      </c>
      <c r="H113" s="10" t="b">
        <v>0</v>
      </c>
      <c r="I113" s="10" t="b">
        <v>0</v>
      </c>
      <c r="J113" s="10" t="b">
        <v>0</v>
      </c>
      <c r="K113" s="10" t="b">
        <v>0</v>
      </c>
      <c r="L113" s="10" t="b">
        <v>0</v>
      </c>
      <c r="M113" s="10" t="b">
        <v>0</v>
      </c>
      <c r="N113" s="10" t="b">
        <v>0</v>
      </c>
      <c r="O113" s="10" t="b">
        <v>0</v>
      </c>
      <c r="P113" s="10" t="b">
        <v>0</v>
      </c>
      <c r="Q113" s="10" t="b">
        <v>0</v>
      </c>
      <c r="R113" s="10" t="b">
        <v>0</v>
      </c>
      <c r="S113" s="10" t="b">
        <v>0</v>
      </c>
      <c r="T113" s="10" t="b">
        <v>0</v>
      </c>
      <c r="U113" s="10" t="b">
        <v>0</v>
      </c>
      <c r="V113" s="10" t="b">
        <v>0</v>
      </c>
      <c r="W113" s="10" t="b">
        <v>0</v>
      </c>
      <c r="X113" s="10" t="b">
        <v>0</v>
      </c>
      <c r="Y113" s="10" t="b">
        <v>0</v>
      </c>
      <c r="Z113" s="10" t="b">
        <v>0</v>
      </c>
      <c r="AA113" s="10" t="b">
        <v>0</v>
      </c>
      <c r="AB113" s="10" t="b">
        <v>0</v>
      </c>
      <c r="AC113" s="10" t="b">
        <v>0</v>
      </c>
      <c r="AD113" s="10" t="b">
        <v>0</v>
      </c>
      <c r="AE113" s="10" t="b">
        <v>0</v>
      </c>
      <c r="AF113" s="10" t="b">
        <v>0</v>
      </c>
      <c r="AG113" s="10" t="b">
        <v>0</v>
      </c>
      <c r="AH113" s="10" t="b">
        <v>0</v>
      </c>
      <c r="AI113" s="20">
        <f t="shared" si="1"/>
        <v>0</v>
      </c>
      <c r="AJ113" s="21">
        <f t="shared" si="2"/>
        <v>0</v>
      </c>
      <c r="AK113" s="22">
        <f t="shared" si="3"/>
        <v>0</v>
      </c>
      <c r="AL113" s="23"/>
      <c r="AM113" s="24"/>
    </row>
    <row r="114" ht="23.25" customHeight="1">
      <c r="A114" s="12">
        <v>111.0</v>
      </c>
      <c r="B114" s="12"/>
      <c r="C114" s="13" t="str">
        <f>iferror(vlookup(B114,'Crew Data'!C:G,5,0)," ")</f>
        <v> </v>
      </c>
      <c r="D114" s="12" t="b">
        <v>0</v>
      </c>
      <c r="E114" s="12" t="b">
        <v>0</v>
      </c>
      <c r="F114" s="12" t="b">
        <v>0</v>
      </c>
      <c r="G114" s="12" t="b">
        <v>0</v>
      </c>
      <c r="H114" s="12" t="b">
        <v>0</v>
      </c>
      <c r="I114" s="12" t="b">
        <v>0</v>
      </c>
      <c r="J114" s="12" t="b">
        <v>0</v>
      </c>
      <c r="K114" s="12" t="b">
        <v>0</v>
      </c>
      <c r="L114" s="12" t="b">
        <v>0</v>
      </c>
      <c r="M114" s="12" t="b">
        <v>0</v>
      </c>
      <c r="N114" s="12" t="b">
        <v>0</v>
      </c>
      <c r="O114" s="12" t="b">
        <v>0</v>
      </c>
      <c r="P114" s="12" t="b">
        <v>0</v>
      </c>
      <c r="Q114" s="12" t="b">
        <v>0</v>
      </c>
      <c r="R114" s="12" t="b">
        <v>0</v>
      </c>
      <c r="S114" s="12" t="b">
        <v>0</v>
      </c>
      <c r="T114" s="12" t="b">
        <v>0</v>
      </c>
      <c r="U114" s="12" t="b">
        <v>0</v>
      </c>
      <c r="V114" s="12" t="b">
        <v>0</v>
      </c>
      <c r="W114" s="12" t="b">
        <v>0</v>
      </c>
      <c r="X114" s="12" t="b">
        <v>0</v>
      </c>
      <c r="Y114" s="12" t="b">
        <v>0</v>
      </c>
      <c r="Z114" s="12" t="b">
        <v>0</v>
      </c>
      <c r="AA114" s="12" t="b">
        <v>0</v>
      </c>
      <c r="AB114" s="12" t="b">
        <v>0</v>
      </c>
      <c r="AC114" s="12" t="b">
        <v>0</v>
      </c>
      <c r="AD114" s="12" t="b">
        <v>0</v>
      </c>
      <c r="AE114" s="12" t="b">
        <v>0</v>
      </c>
      <c r="AF114" s="12" t="b">
        <v>0</v>
      </c>
      <c r="AG114" s="12" t="b">
        <v>0</v>
      </c>
      <c r="AH114" s="12" t="b">
        <v>0</v>
      </c>
      <c r="AI114" s="14">
        <f t="shared" si="1"/>
        <v>0</v>
      </c>
      <c r="AJ114" s="15">
        <f t="shared" si="2"/>
        <v>0</v>
      </c>
      <c r="AK114" s="16">
        <f t="shared" si="3"/>
        <v>0</v>
      </c>
      <c r="AL114" s="17"/>
      <c r="AM114" s="18"/>
    </row>
    <row r="115" ht="23.25" customHeight="1">
      <c r="A115" s="10">
        <v>112.0</v>
      </c>
      <c r="B115" s="10"/>
      <c r="C115" s="19" t="str">
        <f>iferror(vlookup(B115,'Crew Data'!C:G,5,0)," ")</f>
        <v> </v>
      </c>
      <c r="D115" s="10" t="b">
        <v>0</v>
      </c>
      <c r="E115" s="10" t="b">
        <v>0</v>
      </c>
      <c r="F115" s="10" t="b">
        <v>0</v>
      </c>
      <c r="G115" s="10" t="b">
        <v>0</v>
      </c>
      <c r="H115" s="10" t="b">
        <v>0</v>
      </c>
      <c r="I115" s="10" t="b">
        <v>0</v>
      </c>
      <c r="J115" s="10" t="b">
        <v>0</v>
      </c>
      <c r="K115" s="10" t="b">
        <v>0</v>
      </c>
      <c r="L115" s="10" t="b">
        <v>0</v>
      </c>
      <c r="M115" s="10" t="b">
        <v>0</v>
      </c>
      <c r="N115" s="10" t="b">
        <v>0</v>
      </c>
      <c r="O115" s="10" t="b">
        <v>0</v>
      </c>
      <c r="P115" s="10" t="b">
        <v>0</v>
      </c>
      <c r="Q115" s="10" t="b">
        <v>0</v>
      </c>
      <c r="R115" s="10" t="b">
        <v>0</v>
      </c>
      <c r="S115" s="10" t="b">
        <v>0</v>
      </c>
      <c r="T115" s="10" t="b">
        <v>0</v>
      </c>
      <c r="U115" s="10" t="b">
        <v>0</v>
      </c>
      <c r="V115" s="10" t="b">
        <v>0</v>
      </c>
      <c r="W115" s="10" t="b">
        <v>0</v>
      </c>
      <c r="X115" s="10" t="b">
        <v>0</v>
      </c>
      <c r="Y115" s="10" t="b">
        <v>0</v>
      </c>
      <c r="Z115" s="10" t="b">
        <v>0</v>
      </c>
      <c r="AA115" s="10" t="b">
        <v>0</v>
      </c>
      <c r="AB115" s="10" t="b">
        <v>0</v>
      </c>
      <c r="AC115" s="10" t="b">
        <v>0</v>
      </c>
      <c r="AD115" s="10" t="b">
        <v>0</v>
      </c>
      <c r="AE115" s="10" t="b">
        <v>0</v>
      </c>
      <c r="AF115" s="10" t="b">
        <v>0</v>
      </c>
      <c r="AG115" s="10" t="b">
        <v>0</v>
      </c>
      <c r="AH115" s="10" t="b">
        <v>0</v>
      </c>
      <c r="AI115" s="20">
        <f t="shared" si="1"/>
        <v>0</v>
      </c>
      <c r="AJ115" s="21">
        <f t="shared" si="2"/>
        <v>0</v>
      </c>
      <c r="AK115" s="22">
        <f t="shared" si="3"/>
        <v>0</v>
      </c>
      <c r="AL115" s="23"/>
      <c r="AM115" s="24"/>
    </row>
    <row r="116" ht="23.25" customHeight="1">
      <c r="A116" s="12">
        <v>113.0</v>
      </c>
      <c r="B116" s="12"/>
      <c r="C116" s="13" t="str">
        <f>iferror(vlookup(B116,'Crew Data'!C:G,5,0)," ")</f>
        <v> </v>
      </c>
      <c r="D116" s="12" t="b">
        <v>0</v>
      </c>
      <c r="E116" s="12" t="b">
        <v>0</v>
      </c>
      <c r="F116" s="12" t="b">
        <v>0</v>
      </c>
      <c r="G116" s="12" t="b">
        <v>0</v>
      </c>
      <c r="H116" s="12" t="b">
        <v>0</v>
      </c>
      <c r="I116" s="12" t="b">
        <v>0</v>
      </c>
      <c r="J116" s="12" t="b">
        <v>0</v>
      </c>
      <c r="K116" s="12" t="b">
        <v>0</v>
      </c>
      <c r="L116" s="12" t="b">
        <v>0</v>
      </c>
      <c r="M116" s="12" t="b">
        <v>0</v>
      </c>
      <c r="N116" s="12" t="b">
        <v>0</v>
      </c>
      <c r="O116" s="12" t="b">
        <v>0</v>
      </c>
      <c r="P116" s="12" t="b">
        <v>0</v>
      </c>
      <c r="Q116" s="12" t="b">
        <v>0</v>
      </c>
      <c r="R116" s="12" t="b">
        <v>0</v>
      </c>
      <c r="S116" s="12" t="b">
        <v>0</v>
      </c>
      <c r="T116" s="12" t="b">
        <v>0</v>
      </c>
      <c r="U116" s="12" t="b">
        <v>0</v>
      </c>
      <c r="V116" s="12" t="b">
        <v>0</v>
      </c>
      <c r="W116" s="12" t="b">
        <v>0</v>
      </c>
      <c r="X116" s="12" t="b">
        <v>0</v>
      </c>
      <c r="Y116" s="12" t="b">
        <v>0</v>
      </c>
      <c r="Z116" s="12" t="b">
        <v>0</v>
      </c>
      <c r="AA116" s="12" t="b">
        <v>0</v>
      </c>
      <c r="AB116" s="12" t="b">
        <v>0</v>
      </c>
      <c r="AC116" s="12" t="b">
        <v>0</v>
      </c>
      <c r="AD116" s="12" t="b">
        <v>0</v>
      </c>
      <c r="AE116" s="12" t="b">
        <v>0</v>
      </c>
      <c r="AF116" s="12" t="b">
        <v>0</v>
      </c>
      <c r="AG116" s="12" t="b">
        <v>0</v>
      </c>
      <c r="AH116" s="12" t="b">
        <v>0</v>
      </c>
      <c r="AI116" s="14">
        <f t="shared" si="1"/>
        <v>0</v>
      </c>
      <c r="AJ116" s="15">
        <f t="shared" si="2"/>
        <v>0</v>
      </c>
      <c r="AK116" s="16">
        <f t="shared" si="3"/>
        <v>0</v>
      </c>
      <c r="AL116" s="17"/>
      <c r="AM116" s="18"/>
    </row>
    <row r="117" ht="23.25" customHeight="1">
      <c r="A117" s="10">
        <v>114.0</v>
      </c>
      <c r="B117" s="10"/>
      <c r="C117" s="19" t="str">
        <f>iferror(vlookup(B117,'Crew Data'!C:G,5,0)," ")</f>
        <v> </v>
      </c>
      <c r="D117" s="10" t="b">
        <v>0</v>
      </c>
      <c r="E117" s="10" t="b">
        <v>0</v>
      </c>
      <c r="F117" s="10" t="b">
        <v>0</v>
      </c>
      <c r="G117" s="10" t="b">
        <v>0</v>
      </c>
      <c r="H117" s="10" t="b">
        <v>0</v>
      </c>
      <c r="I117" s="10" t="b">
        <v>0</v>
      </c>
      <c r="J117" s="10" t="b">
        <v>0</v>
      </c>
      <c r="K117" s="10" t="b">
        <v>0</v>
      </c>
      <c r="L117" s="10" t="b">
        <v>0</v>
      </c>
      <c r="M117" s="10" t="b">
        <v>0</v>
      </c>
      <c r="N117" s="10" t="b">
        <v>0</v>
      </c>
      <c r="O117" s="10" t="b">
        <v>0</v>
      </c>
      <c r="P117" s="10" t="b">
        <v>0</v>
      </c>
      <c r="Q117" s="10" t="b">
        <v>0</v>
      </c>
      <c r="R117" s="10" t="b">
        <v>0</v>
      </c>
      <c r="S117" s="10" t="b">
        <v>0</v>
      </c>
      <c r="T117" s="10" t="b">
        <v>0</v>
      </c>
      <c r="U117" s="10" t="b">
        <v>0</v>
      </c>
      <c r="V117" s="10" t="b">
        <v>0</v>
      </c>
      <c r="W117" s="10" t="b">
        <v>0</v>
      </c>
      <c r="X117" s="10" t="b">
        <v>0</v>
      </c>
      <c r="Y117" s="10" t="b">
        <v>0</v>
      </c>
      <c r="Z117" s="10" t="b">
        <v>0</v>
      </c>
      <c r="AA117" s="10" t="b">
        <v>0</v>
      </c>
      <c r="AB117" s="10" t="b">
        <v>0</v>
      </c>
      <c r="AC117" s="10" t="b">
        <v>0</v>
      </c>
      <c r="AD117" s="10" t="b">
        <v>0</v>
      </c>
      <c r="AE117" s="10" t="b">
        <v>0</v>
      </c>
      <c r="AF117" s="10" t="b">
        <v>0</v>
      </c>
      <c r="AG117" s="10" t="b">
        <v>0</v>
      </c>
      <c r="AH117" s="10" t="b">
        <v>0</v>
      </c>
      <c r="AI117" s="20">
        <f t="shared" si="1"/>
        <v>0</v>
      </c>
      <c r="AJ117" s="21">
        <f t="shared" si="2"/>
        <v>0</v>
      </c>
      <c r="AK117" s="22">
        <f t="shared" si="3"/>
        <v>0</v>
      </c>
      <c r="AL117" s="23"/>
      <c r="AM117" s="24"/>
    </row>
    <row r="118" ht="23.25" customHeight="1">
      <c r="A118" s="12">
        <v>115.0</v>
      </c>
      <c r="B118" s="12"/>
      <c r="C118" s="13" t="str">
        <f>iferror(vlookup(B118,'Crew Data'!C:G,5,0)," ")</f>
        <v> </v>
      </c>
      <c r="D118" s="12" t="b">
        <v>0</v>
      </c>
      <c r="E118" s="12" t="b">
        <v>0</v>
      </c>
      <c r="F118" s="12" t="b">
        <v>0</v>
      </c>
      <c r="G118" s="12" t="b">
        <v>0</v>
      </c>
      <c r="H118" s="12" t="b">
        <v>0</v>
      </c>
      <c r="I118" s="12" t="b">
        <v>0</v>
      </c>
      <c r="J118" s="12" t="b">
        <v>0</v>
      </c>
      <c r="K118" s="12" t="b">
        <v>0</v>
      </c>
      <c r="L118" s="12" t="b">
        <v>0</v>
      </c>
      <c r="M118" s="12" t="b">
        <v>0</v>
      </c>
      <c r="N118" s="12" t="b">
        <v>0</v>
      </c>
      <c r="O118" s="12" t="b">
        <v>0</v>
      </c>
      <c r="P118" s="12" t="b">
        <v>0</v>
      </c>
      <c r="Q118" s="12" t="b">
        <v>0</v>
      </c>
      <c r="R118" s="12" t="b">
        <v>0</v>
      </c>
      <c r="S118" s="12" t="b">
        <v>0</v>
      </c>
      <c r="T118" s="12" t="b">
        <v>0</v>
      </c>
      <c r="U118" s="12" t="b">
        <v>0</v>
      </c>
      <c r="V118" s="12" t="b">
        <v>0</v>
      </c>
      <c r="W118" s="12" t="b">
        <v>0</v>
      </c>
      <c r="X118" s="12" t="b">
        <v>0</v>
      </c>
      <c r="Y118" s="12" t="b">
        <v>0</v>
      </c>
      <c r="Z118" s="12" t="b">
        <v>0</v>
      </c>
      <c r="AA118" s="12" t="b">
        <v>0</v>
      </c>
      <c r="AB118" s="12" t="b">
        <v>0</v>
      </c>
      <c r="AC118" s="12" t="b">
        <v>0</v>
      </c>
      <c r="AD118" s="12" t="b">
        <v>0</v>
      </c>
      <c r="AE118" s="12" t="b">
        <v>0</v>
      </c>
      <c r="AF118" s="12" t="b">
        <v>0</v>
      </c>
      <c r="AG118" s="12" t="b">
        <v>0</v>
      </c>
      <c r="AH118" s="12" t="b">
        <v>0</v>
      </c>
      <c r="AI118" s="14">
        <f t="shared" si="1"/>
        <v>0</v>
      </c>
      <c r="AJ118" s="15">
        <f t="shared" si="2"/>
        <v>0</v>
      </c>
      <c r="AK118" s="16">
        <f t="shared" si="3"/>
        <v>0</v>
      </c>
      <c r="AL118" s="17"/>
      <c r="AM118" s="18"/>
    </row>
    <row r="119" ht="23.25" customHeight="1">
      <c r="A119" s="10">
        <v>116.0</v>
      </c>
      <c r="B119" s="10"/>
      <c r="C119" s="19" t="str">
        <f>iferror(vlookup(B119,'Crew Data'!C:G,5,0)," ")</f>
        <v> </v>
      </c>
      <c r="D119" s="10" t="b">
        <v>0</v>
      </c>
      <c r="E119" s="10" t="b">
        <v>0</v>
      </c>
      <c r="F119" s="10" t="b">
        <v>0</v>
      </c>
      <c r="G119" s="10" t="b">
        <v>0</v>
      </c>
      <c r="H119" s="10" t="b">
        <v>0</v>
      </c>
      <c r="I119" s="10" t="b">
        <v>0</v>
      </c>
      <c r="J119" s="10" t="b">
        <v>0</v>
      </c>
      <c r="K119" s="10" t="b">
        <v>0</v>
      </c>
      <c r="L119" s="10" t="b">
        <v>0</v>
      </c>
      <c r="M119" s="10" t="b">
        <v>0</v>
      </c>
      <c r="N119" s="10" t="b">
        <v>0</v>
      </c>
      <c r="O119" s="10" t="b">
        <v>0</v>
      </c>
      <c r="P119" s="10" t="b">
        <v>0</v>
      </c>
      <c r="Q119" s="10" t="b">
        <v>0</v>
      </c>
      <c r="R119" s="10" t="b">
        <v>0</v>
      </c>
      <c r="S119" s="10" t="b">
        <v>0</v>
      </c>
      <c r="T119" s="10" t="b">
        <v>0</v>
      </c>
      <c r="U119" s="10" t="b">
        <v>0</v>
      </c>
      <c r="V119" s="10" t="b">
        <v>0</v>
      </c>
      <c r="W119" s="10" t="b">
        <v>0</v>
      </c>
      <c r="X119" s="10" t="b">
        <v>0</v>
      </c>
      <c r="Y119" s="10" t="b">
        <v>0</v>
      </c>
      <c r="Z119" s="10" t="b">
        <v>0</v>
      </c>
      <c r="AA119" s="10" t="b">
        <v>0</v>
      </c>
      <c r="AB119" s="10" t="b">
        <v>0</v>
      </c>
      <c r="AC119" s="10" t="b">
        <v>0</v>
      </c>
      <c r="AD119" s="10" t="b">
        <v>0</v>
      </c>
      <c r="AE119" s="10" t="b">
        <v>0</v>
      </c>
      <c r="AF119" s="10" t="b">
        <v>0</v>
      </c>
      <c r="AG119" s="10" t="b">
        <v>0</v>
      </c>
      <c r="AH119" s="10" t="b">
        <v>0</v>
      </c>
      <c r="AI119" s="20">
        <f t="shared" si="1"/>
        <v>0</v>
      </c>
      <c r="AJ119" s="21">
        <f t="shared" si="2"/>
        <v>0</v>
      </c>
      <c r="AK119" s="22">
        <f t="shared" si="3"/>
        <v>0</v>
      </c>
      <c r="AL119" s="23"/>
      <c r="AM119" s="24"/>
    </row>
    <row r="120" ht="23.25" customHeight="1">
      <c r="A120" s="12">
        <v>117.0</v>
      </c>
      <c r="B120" s="12"/>
      <c r="C120" s="13" t="str">
        <f>iferror(vlookup(B120,'Crew Data'!C:G,5,0)," ")</f>
        <v> </v>
      </c>
      <c r="D120" s="12" t="b">
        <v>0</v>
      </c>
      <c r="E120" s="12" t="b">
        <v>0</v>
      </c>
      <c r="F120" s="12" t="b">
        <v>0</v>
      </c>
      <c r="G120" s="12" t="b">
        <v>0</v>
      </c>
      <c r="H120" s="12" t="b">
        <v>0</v>
      </c>
      <c r="I120" s="12" t="b">
        <v>0</v>
      </c>
      <c r="J120" s="12" t="b">
        <v>0</v>
      </c>
      <c r="K120" s="12" t="b">
        <v>0</v>
      </c>
      <c r="L120" s="12" t="b">
        <v>0</v>
      </c>
      <c r="M120" s="12" t="b">
        <v>0</v>
      </c>
      <c r="N120" s="12" t="b">
        <v>0</v>
      </c>
      <c r="O120" s="12" t="b">
        <v>0</v>
      </c>
      <c r="P120" s="12" t="b">
        <v>0</v>
      </c>
      <c r="Q120" s="12" t="b">
        <v>0</v>
      </c>
      <c r="R120" s="12" t="b">
        <v>0</v>
      </c>
      <c r="S120" s="12" t="b">
        <v>0</v>
      </c>
      <c r="T120" s="12" t="b">
        <v>0</v>
      </c>
      <c r="U120" s="12" t="b">
        <v>0</v>
      </c>
      <c r="V120" s="12" t="b">
        <v>0</v>
      </c>
      <c r="W120" s="12" t="b">
        <v>0</v>
      </c>
      <c r="X120" s="12" t="b">
        <v>0</v>
      </c>
      <c r="Y120" s="12" t="b">
        <v>0</v>
      </c>
      <c r="Z120" s="12" t="b">
        <v>0</v>
      </c>
      <c r="AA120" s="12" t="b">
        <v>0</v>
      </c>
      <c r="AB120" s="12" t="b">
        <v>0</v>
      </c>
      <c r="AC120" s="12" t="b">
        <v>0</v>
      </c>
      <c r="AD120" s="12" t="b">
        <v>0</v>
      </c>
      <c r="AE120" s="12" t="b">
        <v>0</v>
      </c>
      <c r="AF120" s="12" t="b">
        <v>0</v>
      </c>
      <c r="AG120" s="12" t="b">
        <v>0</v>
      </c>
      <c r="AH120" s="12" t="b">
        <v>0</v>
      </c>
      <c r="AI120" s="14">
        <f t="shared" si="1"/>
        <v>0</v>
      </c>
      <c r="AJ120" s="15">
        <f t="shared" si="2"/>
        <v>0</v>
      </c>
      <c r="AK120" s="16">
        <f t="shared" si="3"/>
        <v>0</v>
      </c>
      <c r="AL120" s="17"/>
      <c r="AM120" s="18"/>
    </row>
    <row r="121" ht="23.25" customHeight="1">
      <c r="A121" s="10">
        <v>118.0</v>
      </c>
      <c r="B121" s="10"/>
      <c r="C121" s="19" t="str">
        <f>iferror(vlookup(B121,'Crew Data'!C:G,5,0)," ")</f>
        <v> </v>
      </c>
      <c r="D121" s="10" t="b">
        <v>0</v>
      </c>
      <c r="E121" s="10" t="b">
        <v>0</v>
      </c>
      <c r="F121" s="10" t="b">
        <v>0</v>
      </c>
      <c r="G121" s="10" t="b">
        <v>0</v>
      </c>
      <c r="H121" s="10" t="b">
        <v>0</v>
      </c>
      <c r="I121" s="10" t="b">
        <v>0</v>
      </c>
      <c r="J121" s="10" t="b">
        <v>0</v>
      </c>
      <c r="K121" s="10" t="b">
        <v>0</v>
      </c>
      <c r="L121" s="10" t="b">
        <v>0</v>
      </c>
      <c r="M121" s="10" t="b">
        <v>0</v>
      </c>
      <c r="N121" s="10" t="b">
        <v>0</v>
      </c>
      <c r="O121" s="10" t="b">
        <v>0</v>
      </c>
      <c r="P121" s="10" t="b">
        <v>0</v>
      </c>
      <c r="Q121" s="10" t="b">
        <v>0</v>
      </c>
      <c r="R121" s="10" t="b">
        <v>0</v>
      </c>
      <c r="S121" s="10" t="b">
        <v>0</v>
      </c>
      <c r="T121" s="10" t="b">
        <v>0</v>
      </c>
      <c r="U121" s="10" t="b">
        <v>0</v>
      </c>
      <c r="V121" s="10" t="b">
        <v>0</v>
      </c>
      <c r="W121" s="10" t="b">
        <v>0</v>
      </c>
      <c r="X121" s="10" t="b">
        <v>0</v>
      </c>
      <c r="Y121" s="10" t="b">
        <v>0</v>
      </c>
      <c r="Z121" s="10" t="b">
        <v>0</v>
      </c>
      <c r="AA121" s="10" t="b">
        <v>0</v>
      </c>
      <c r="AB121" s="10" t="b">
        <v>0</v>
      </c>
      <c r="AC121" s="10" t="b">
        <v>0</v>
      </c>
      <c r="AD121" s="10" t="b">
        <v>0</v>
      </c>
      <c r="AE121" s="10" t="b">
        <v>0</v>
      </c>
      <c r="AF121" s="10" t="b">
        <v>0</v>
      </c>
      <c r="AG121" s="10" t="b">
        <v>0</v>
      </c>
      <c r="AH121" s="10" t="b">
        <v>0</v>
      </c>
      <c r="AI121" s="20">
        <f t="shared" si="1"/>
        <v>0</v>
      </c>
      <c r="AJ121" s="21">
        <f t="shared" si="2"/>
        <v>0</v>
      </c>
      <c r="AK121" s="22">
        <f t="shared" si="3"/>
        <v>0</v>
      </c>
      <c r="AL121" s="23"/>
      <c r="AM121" s="24"/>
    </row>
    <row r="122" ht="23.25" customHeight="1">
      <c r="A122" s="12">
        <v>119.0</v>
      </c>
      <c r="B122" s="12"/>
      <c r="C122" s="13" t="str">
        <f>iferror(vlookup(B122,'Crew Data'!C:G,5,0)," ")</f>
        <v> </v>
      </c>
      <c r="D122" s="12" t="b">
        <v>0</v>
      </c>
      <c r="E122" s="12" t="b">
        <v>0</v>
      </c>
      <c r="F122" s="12" t="b">
        <v>0</v>
      </c>
      <c r="G122" s="12" t="b">
        <v>0</v>
      </c>
      <c r="H122" s="12" t="b">
        <v>0</v>
      </c>
      <c r="I122" s="12" t="b">
        <v>0</v>
      </c>
      <c r="J122" s="12" t="b">
        <v>0</v>
      </c>
      <c r="K122" s="12" t="b">
        <v>0</v>
      </c>
      <c r="L122" s="12" t="b">
        <v>0</v>
      </c>
      <c r="M122" s="12" t="b">
        <v>0</v>
      </c>
      <c r="N122" s="12" t="b">
        <v>0</v>
      </c>
      <c r="O122" s="12" t="b">
        <v>0</v>
      </c>
      <c r="P122" s="12" t="b">
        <v>0</v>
      </c>
      <c r="Q122" s="12" t="b">
        <v>0</v>
      </c>
      <c r="R122" s="12" t="b">
        <v>0</v>
      </c>
      <c r="S122" s="12" t="b">
        <v>0</v>
      </c>
      <c r="T122" s="12" t="b">
        <v>0</v>
      </c>
      <c r="U122" s="12" t="b">
        <v>0</v>
      </c>
      <c r="V122" s="12" t="b">
        <v>0</v>
      </c>
      <c r="W122" s="12" t="b">
        <v>0</v>
      </c>
      <c r="X122" s="12" t="b">
        <v>0</v>
      </c>
      <c r="Y122" s="12" t="b">
        <v>0</v>
      </c>
      <c r="Z122" s="12" t="b">
        <v>0</v>
      </c>
      <c r="AA122" s="12" t="b">
        <v>0</v>
      </c>
      <c r="AB122" s="12" t="b">
        <v>0</v>
      </c>
      <c r="AC122" s="12" t="b">
        <v>0</v>
      </c>
      <c r="AD122" s="12" t="b">
        <v>0</v>
      </c>
      <c r="AE122" s="12" t="b">
        <v>0</v>
      </c>
      <c r="AF122" s="12" t="b">
        <v>0</v>
      </c>
      <c r="AG122" s="12" t="b">
        <v>0</v>
      </c>
      <c r="AH122" s="12" t="b">
        <v>0</v>
      </c>
      <c r="AI122" s="14">
        <f t="shared" si="1"/>
        <v>0</v>
      </c>
      <c r="AJ122" s="15">
        <f t="shared" si="2"/>
        <v>0</v>
      </c>
      <c r="AK122" s="16">
        <f t="shared" si="3"/>
        <v>0</v>
      </c>
      <c r="AL122" s="17"/>
      <c r="AM122" s="18"/>
    </row>
    <row r="123" ht="23.25" customHeight="1">
      <c r="A123" s="10">
        <v>120.0</v>
      </c>
      <c r="B123" s="10"/>
      <c r="C123" s="19" t="str">
        <f>iferror(vlookup(B123,'Crew Data'!C:G,5,0)," ")</f>
        <v> </v>
      </c>
      <c r="D123" s="10" t="b">
        <v>0</v>
      </c>
      <c r="E123" s="10" t="b">
        <v>0</v>
      </c>
      <c r="F123" s="10" t="b">
        <v>0</v>
      </c>
      <c r="G123" s="10" t="b">
        <v>0</v>
      </c>
      <c r="H123" s="10" t="b">
        <v>0</v>
      </c>
      <c r="I123" s="10" t="b">
        <v>0</v>
      </c>
      <c r="J123" s="10" t="b">
        <v>0</v>
      </c>
      <c r="K123" s="10" t="b">
        <v>0</v>
      </c>
      <c r="L123" s="10" t="b">
        <v>0</v>
      </c>
      <c r="M123" s="10" t="b">
        <v>0</v>
      </c>
      <c r="N123" s="10" t="b">
        <v>0</v>
      </c>
      <c r="O123" s="10" t="b">
        <v>0</v>
      </c>
      <c r="P123" s="10" t="b">
        <v>0</v>
      </c>
      <c r="Q123" s="10" t="b">
        <v>0</v>
      </c>
      <c r="R123" s="10" t="b">
        <v>0</v>
      </c>
      <c r="S123" s="10" t="b">
        <v>0</v>
      </c>
      <c r="T123" s="10" t="b">
        <v>0</v>
      </c>
      <c r="U123" s="10" t="b">
        <v>0</v>
      </c>
      <c r="V123" s="10" t="b">
        <v>0</v>
      </c>
      <c r="W123" s="10" t="b">
        <v>0</v>
      </c>
      <c r="X123" s="10" t="b">
        <v>0</v>
      </c>
      <c r="Y123" s="10" t="b">
        <v>0</v>
      </c>
      <c r="Z123" s="10" t="b">
        <v>0</v>
      </c>
      <c r="AA123" s="10" t="b">
        <v>0</v>
      </c>
      <c r="AB123" s="10" t="b">
        <v>0</v>
      </c>
      <c r="AC123" s="10" t="b">
        <v>0</v>
      </c>
      <c r="AD123" s="10" t="b">
        <v>0</v>
      </c>
      <c r="AE123" s="10" t="b">
        <v>0</v>
      </c>
      <c r="AF123" s="10" t="b">
        <v>0</v>
      </c>
      <c r="AG123" s="10" t="b">
        <v>0</v>
      </c>
      <c r="AH123" s="10" t="b">
        <v>0</v>
      </c>
      <c r="AI123" s="20">
        <f t="shared" si="1"/>
        <v>0</v>
      </c>
      <c r="AJ123" s="21">
        <f t="shared" si="2"/>
        <v>0</v>
      </c>
      <c r="AK123" s="22">
        <f t="shared" si="3"/>
        <v>0</v>
      </c>
      <c r="AL123" s="23"/>
      <c r="AM123" s="24"/>
    </row>
    <row r="124" ht="23.25" customHeight="1">
      <c r="A124" s="12">
        <v>121.0</v>
      </c>
      <c r="B124" s="12"/>
      <c r="C124" s="13" t="str">
        <f>iferror(vlookup(B124,'Crew Data'!C:G,5,0)," ")</f>
        <v> </v>
      </c>
      <c r="D124" s="12" t="b">
        <v>0</v>
      </c>
      <c r="E124" s="12" t="b">
        <v>0</v>
      </c>
      <c r="F124" s="12" t="b">
        <v>0</v>
      </c>
      <c r="G124" s="12" t="b">
        <v>0</v>
      </c>
      <c r="H124" s="12" t="b">
        <v>0</v>
      </c>
      <c r="I124" s="12" t="b">
        <v>0</v>
      </c>
      <c r="J124" s="12" t="b">
        <v>0</v>
      </c>
      <c r="K124" s="12" t="b">
        <v>0</v>
      </c>
      <c r="L124" s="12" t="b">
        <v>0</v>
      </c>
      <c r="M124" s="12" t="b">
        <v>0</v>
      </c>
      <c r="N124" s="12" t="b">
        <v>0</v>
      </c>
      <c r="O124" s="12" t="b">
        <v>0</v>
      </c>
      <c r="P124" s="12" t="b">
        <v>0</v>
      </c>
      <c r="Q124" s="12" t="b">
        <v>0</v>
      </c>
      <c r="R124" s="12" t="b">
        <v>0</v>
      </c>
      <c r="S124" s="12" t="b">
        <v>0</v>
      </c>
      <c r="T124" s="12" t="b">
        <v>0</v>
      </c>
      <c r="U124" s="12" t="b">
        <v>0</v>
      </c>
      <c r="V124" s="12" t="b">
        <v>0</v>
      </c>
      <c r="W124" s="12" t="b">
        <v>0</v>
      </c>
      <c r="X124" s="12" t="b">
        <v>0</v>
      </c>
      <c r="Y124" s="12" t="b">
        <v>0</v>
      </c>
      <c r="Z124" s="12" t="b">
        <v>0</v>
      </c>
      <c r="AA124" s="12" t="b">
        <v>0</v>
      </c>
      <c r="AB124" s="12" t="b">
        <v>0</v>
      </c>
      <c r="AC124" s="12" t="b">
        <v>0</v>
      </c>
      <c r="AD124" s="12" t="b">
        <v>0</v>
      </c>
      <c r="AE124" s="12" t="b">
        <v>0</v>
      </c>
      <c r="AF124" s="12" t="b">
        <v>0</v>
      </c>
      <c r="AG124" s="12" t="b">
        <v>0</v>
      </c>
      <c r="AH124" s="12" t="b">
        <v>0</v>
      </c>
      <c r="AI124" s="14">
        <f t="shared" si="1"/>
        <v>0</v>
      </c>
      <c r="AJ124" s="15">
        <f t="shared" si="2"/>
        <v>0</v>
      </c>
      <c r="AK124" s="16">
        <f t="shared" si="3"/>
        <v>0</v>
      </c>
      <c r="AL124" s="17"/>
      <c r="AM124" s="18"/>
    </row>
    <row r="125" ht="23.25" customHeight="1">
      <c r="A125" s="10">
        <v>122.0</v>
      </c>
      <c r="B125" s="10"/>
      <c r="C125" s="19" t="str">
        <f>iferror(vlookup(B125,'Crew Data'!C:G,5,0)," ")</f>
        <v> </v>
      </c>
      <c r="D125" s="10" t="b">
        <v>0</v>
      </c>
      <c r="E125" s="10" t="b">
        <v>0</v>
      </c>
      <c r="F125" s="10" t="b">
        <v>0</v>
      </c>
      <c r="G125" s="10" t="b">
        <v>0</v>
      </c>
      <c r="H125" s="10" t="b">
        <v>0</v>
      </c>
      <c r="I125" s="10" t="b">
        <v>0</v>
      </c>
      <c r="J125" s="10" t="b">
        <v>0</v>
      </c>
      <c r="K125" s="10" t="b">
        <v>0</v>
      </c>
      <c r="L125" s="10" t="b">
        <v>0</v>
      </c>
      <c r="M125" s="10" t="b">
        <v>0</v>
      </c>
      <c r="N125" s="10" t="b">
        <v>0</v>
      </c>
      <c r="O125" s="10" t="b">
        <v>0</v>
      </c>
      <c r="P125" s="10" t="b">
        <v>0</v>
      </c>
      <c r="Q125" s="10" t="b">
        <v>0</v>
      </c>
      <c r="R125" s="10" t="b">
        <v>0</v>
      </c>
      <c r="S125" s="10" t="b">
        <v>0</v>
      </c>
      <c r="T125" s="10" t="b">
        <v>0</v>
      </c>
      <c r="U125" s="10" t="b">
        <v>0</v>
      </c>
      <c r="V125" s="10" t="b">
        <v>0</v>
      </c>
      <c r="W125" s="10" t="b">
        <v>0</v>
      </c>
      <c r="X125" s="10" t="b">
        <v>0</v>
      </c>
      <c r="Y125" s="10" t="b">
        <v>0</v>
      </c>
      <c r="Z125" s="10" t="b">
        <v>0</v>
      </c>
      <c r="AA125" s="10" t="b">
        <v>0</v>
      </c>
      <c r="AB125" s="10" t="b">
        <v>0</v>
      </c>
      <c r="AC125" s="10" t="b">
        <v>0</v>
      </c>
      <c r="AD125" s="10" t="b">
        <v>0</v>
      </c>
      <c r="AE125" s="10" t="b">
        <v>0</v>
      </c>
      <c r="AF125" s="10" t="b">
        <v>0</v>
      </c>
      <c r="AG125" s="10" t="b">
        <v>0</v>
      </c>
      <c r="AH125" s="10" t="b">
        <v>0</v>
      </c>
      <c r="AI125" s="20">
        <f t="shared" si="1"/>
        <v>0</v>
      </c>
      <c r="AJ125" s="21">
        <f t="shared" si="2"/>
        <v>0</v>
      </c>
      <c r="AK125" s="22">
        <f t="shared" si="3"/>
        <v>0</v>
      </c>
      <c r="AL125" s="23"/>
      <c r="AM125" s="24"/>
    </row>
    <row r="126" ht="23.25" customHeight="1">
      <c r="A126" s="12">
        <v>123.0</v>
      </c>
      <c r="B126" s="12"/>
      <c r="C126" s="13" t="str">
        <f>iferror(vlookup(B126,'Crew Data'!C:G,5,0)," ")</f>
        <v> </v>
      </c>
      <c r="D126" s="12" t="b">
        <v>0</v>
      </c>
      <c r="E126" s="12" t="b">
        <v>0</v>
      </c>
      <c r="F126" s="12" t="b">
        <v>0</v>
      </c>
      <c r="G126" s="12" t="b">
        <v>0</v>
      </c>
      <c r="H126" s="12" t="b">
        <v>0</v>
      </c>
      <c r="I126" s="12" t="b">
        <v>0</v>
      </c>
      <c r="J126" s="12" t="b">
        <v>0</v>
      </c>
      <c r="K126" s="12" t="b">
        <v>0</v>
      </c>
      <c r="L126" s="12" t="b">
        <v>0</v>
      </c>
      <c r="M126" s="12" t="b">
        <v>0</v>
      </c>
      <c r="N126" s="12" t="b">
        <v>0</v>
      </c>
      <c r="O126" s="12" t="b">
        <v>0</v>
      </c>
      <c r="P126" s="12" t="b">
        <v>0</v>
      </c>
      <c r="Q126" s="12" t="b">
        <v>0</v>
      </c>
      <c r="R126" s="12" t="b">
        <v>0</v>
      </c>
      <c r="S126" s="12" t="b">
        <v>0</v>
      </c>
      <c r="T126" s="12" t="b">
        <v>0</v>
      </c>
      <c r="U126" s="12" t="b">
        <v>0</v>
      </c>
      <c r="V126" s="12" t="b">
        <v>0</v>
      </c>
      <c r="W126" s="12" t="b">
        <v>0</v>
      </c>
      <c r="X126" s="12" t="b">
        <v>0</v>
      </c>
      <c r="Y126" s="12" t="b">
        <v>0</v>
      </c>
      <c r="Z126" s="12" t="b">
        <v>0</v>
      </c>
      <c r="AA126" s="12" t="b">
        <v>0</v>
      </c>
      <c r="AB126" s="12" t="b">
        <v>0</v>
      </c>
      <c r="AC126" s="12" t="b">
        <v>0</v>
      </c>
      <c r="AD126" s="12" t="b">
        <v>0</v>
      </c>
      <c r="AE126" s="12" t="b">
        <v>0</v>
      </c>
      <c r="AF126" s="12" t="b">
        <v>0</v>
      </c>
      <c r="AG126" s="12" t="b">
        <v>0</v>
      </c>
      <c r="AH126" s="12" t="b">
        <v>0</v>
      </c>
      <c r="AI126" s="14">
        <f t="shared" si="1"/>
        <v>0</v>
      </c>
      <c r="AJ126" s="15">
        <f t="shared" si="2"/>
        <v>0</v>
      </c>
      <c r="AK126" s="16">
        <f t="shared" si="3"/>
        <v>0</v>
      </c>
      <c r="AL126" s="17"/>
      <c r="AM126" s="18"/>
    </row>
    <row r="127" ht="23.25" customHeight="1">
      <c r="A127" s="10">
        <v>124.0</v>
      </c>
      <c r="B127" s="10"/>
      <c r="C127" s="19" t="str">
        <f>iferror(vlookup(B127,'Crew Data'!C:G,5,0)," ")</f>
        <v> </v>
      </c>
      <c r="D127" s="10" t="b">
        <v>0</v>
      </c>
      <c r="E127" s="10" t="b">
        <v>0</v>
      </c>
      <c r="F127" s="10" t="b">
        <v>0</v>
      </c>
      <c r="G127" s="10" t="b">
        <v>0</v>
      </c>
      <c r="H127" s="10" t="b">
        <v>0</v>
      </c>
      <c r="I127" s="10" t="b">
        <v>0</v>
      </c>
      <c r="J127" s="10" t="b">
        <v>0</v>
      </c>
      <c r="K127" s="10" t="b">
        <v>0</v>
      </c>
      <c r="L127" s="10" t="b">
        <v>0</v>
      </c>
      <c r="M127" s="10" t="b">
        <v>0</v>
      </c>
      <c r="N127" s="10" t="b">
        <v>0</v>
      </c>
      <c r="O127" s="10" t="b">
        <v>0</v>
      </c>
      <c r="P127" s="10" t="b">
        <v>0</v>
      </c>
      <c r="Q127" s="10" t="b">
        <v>0</v>
      </c>
      <c r="R127" s="10" t="b">
        <v>0</v>
      </c>
      <c r="S127" s="10" t="b">
        <v>0</v>
      </c>
      <c r="T127" s="10" t="b">
        <v>0</v>
      </c>
      <c r="U127" s="10" t="b">
        <v>0</v>
      </c>
      <c r="V127" s="10" t="b">
        <v>0</v>
      </c>
      <c r="W127" s="10" t="b">
        <v>0</v>
      </c>
      <c r="X127" s="10" t="b">
        <v>0</v>
      </c>
      <c r="Y127" s="10" t="b">
        <v>0</v>
      </c>
      <c r="Z127" s="10" t="b">
        <v>0</v>
      </c>
      <c r="AA127" s="10" t="b">
        <v>0</v>
      </c>
      <c r="AB127" s="10" t="b">
        <v>0</v>
      </c>
      <c r="AC127" s="10" t="b">
        <v>0</v>
      </c>
      <c r="AD127" s="10" t="b">
        <v>0</v>
      </c>
      <c r="AE127" s="10" t="b">
        <v>0</v>
      </c>
      <c r="AF127" s="10" t="b">
        <v>0</v>
      </c>
      <c r="AG127" s="10" t="b">
        <v>0</v>
      </c>
      <c r="AH127" s="10" t="b">
        <v>0</v>
      </c>
      <c r="AI127" s="20">
        <f t="shared" si="1"/>
        <v>0</v>
      </c>
      <c r="AJ127" s="21">
        <f t="shared" si="2"/>
        <v>0</v>
      </c>
      <c r="AK127" s="22">
        <f t="shared" si="3"/>
        <v>0</v>
      </c>
      <c r="AL127" s="23"/>
      <c r="AM127" s="24"/>
    </row>
    <row r="128" ht="23.25" customHeight="1">
      <c r="A128" s="12">
        <v>125.0</v>
      </c>
      <c r="B128" s="12"/>
      <c r="C128" s="13" t="str">
        <f>iferror(vlookup(B128,'Crew Data'!C:G,5,0)," ")</f>
        <v> </v>
      </c>
      <c r="D128" s="12" t="b">
        <v>0</v>
      </c>
      <c r="E128" s="12" t="b">
        <v>0</v>
      </c>
      <c r="F128" s="12" t="b">
        <v>0</v>
      </c>
      <c r="G128" s="12" t="b">
        <v>0</v>
      </c>
      <c r="H128" s="12" t="b">
        <v>0</v>
      </c>
      <c r="I128" s="12" t="b">
        <v>0</v>
      </c>
      <c r="J128" s="12" t="b">
        <v>0</v>
      </c>
      <c r="K128" s="12" t="b">
        <v>0</v>
      </c>
      <c r="L128" s="12" t="b">
        <v>0</v>
      </c>
      <c r="M128" s="12" t="b">
        <v>0</v>
      </c>
      <c r="N128" s="12" t="b">
        <v>0</v>
      </c>
      <c r="O128" s="12" t="b">
        <v>0</v>
      </c>
      <c r="P128" s="12" t="b">
        <v>0</v>
      </c>
      <c r="Q128" s="12" t="b">
        <v>0</v>
      </c>
      <c r="R128" s="12" t="b">
        <v>0</v>
      </c>
      <c r="S128" s="12" t="b">
        <v>0</v>
      </c>
      <c r="T128" s="12" t="b">
        <v>0</v>
      </c>
      <c r="U128" s="12" t="b">
        <v>0</v>
      </c>
      <c r="V128" s="12" t="b">
        <v>0</v>
      </c>
      <c r="W128" s="12" t="b">
        <v>0</v>
      </c>
      <c r="X128" s="12" t="b">
        <v>0</v>
      </c>
      <c r="Y128" s="12" t="b">
        <v>0</v>
      </c>
      <c r="Z128" s="12" t="b">
        <v>0</v>
      </c>
      <c r="AA128" s="12" t="b">
        <v>0</v>
      </c>
      <c r="AB128" s="12" t="b">
        <v>0</v>
      </c>
      <c r="AC128" s="12" t="b">
        <v>0</v>
      </c>
      <c r="AD128" s="12" t="b">
        <v>0</v>
      </c>
      <c r="AE128" s="12" t="b">
        <v>0</v>
      </c>
      <c r="AF128" s="12" t="b">
        <v>0</v>
      </c>
      <c r="AG128" s="12" t="b">
        <v>0</v>
      </c>
      <c r="AH128" s="12" t="b">
        <v>0</v>
      </c>
      <c r="AI128" s="14">
        <f t="shared" si="1"/>
        <v>0</v>
      </c>
      <c r="AJ128" s="15">
        <f t="shared" si="2"/>
        <v>0</v>
      </c>
      <c r="AK128" s="16">
        <f t="shared" si="3"/>
        <v>0</v>
      </c>
      <c r="AL128" s="17"/>
      <c r="AM128" s="18"/>
    </row>
    <row r="129" ht="23.25" customHeight="1">
      <c r="A129" s="10">
        <v>126.0</v>
      </c>
      <c r="B129" s="10"/>
      <c r="C129" s="19" t="str">
        <f>iferror(vlookup(B129,'Crew Data'!C:G,5,0)," ")</f>
        <v> </v>
      </c>
      <c r="D129" s="10" t="b">
        <v>0</v>
      </c>
      <c r="E129" s="10" t="b">
        <v>0</v>
      </c>
      <c r="F129" s="10" t="b">
        <v>0</v>
      </c>
      <c r="G129" s="10" t="b">
        <v>0</v>
      </c>
      <c r="H129" s="10" t="b">
        <v>0</v>
      </c>
      <c r="I129" s="10" t="b">
        <v>0</v>
      </c>
      <c r="J129" s="10" t="b">
        <v>0</v>
      </c>
      <c r="K129" s="10" t="b">
        <v>0</v>
      </c>
      <c r="L129" s="10" t="b">
        <v>0</v>
      </c>
      <c r="M129" s="10" t="b">
        <v>0</v>
      </c>
      <c r="N129" s="10" t="b">
        <v>0</v>
      </c>
      <c r="O129" s="10" t="b">
        <v>0</v>
      </c>
      <c r="P129" s="10" t="b">
        <v>0</v>
      </c>
      <c r="Q129" s="10" t="b">
        <v>0</v>
      </c>
      <c r="R129" s="10" t="b">
        <v>0</v>
      </c>
      <c r="S129" s="10" t="b">
        <v>0</v>
      </c>
      <c r="T129" s="10" t="b">
        <v>0</v>
      </c>
      <c r="U129" s="10" t="b">
        <v>0</v>
      </c>
      <c r="V129" s="10" t="b">
        <v>0</v>
      </c>
      <c r="W129" s="10" t="b">
        <v>0</v>
      </c>
      <c r="X129" s="10" t="b">
        <v>0</v>
      </c>
      <c r="Y129" s="10" t="b">
        <v>0</v>
      </c>
      <c r="Z129" s="10" t="b">
        <v>0</v>
      </c>
      <c r="AA129" s="10" t="b">
        <v>0</v>
      </c>
      <c r="AB129" s="10" t="b">
        <v>0</v>
      </c>
      <c r="AC129" s="10" t="b">
        <v>0</v>
      </c>
      <c r="AD129" s="10" t="b">
        <v>0</v>
      </c>
      <c r="AE129" s="10" t="b">
        <v>0</v>
      </c>
      <c r="AF129" s="10" t="b">
        <v>0</v>
      </c>
      <c r="AG129" s="10" t="b">
        <v>0</v>
      </c>
      <c r="AH129" s="10" t="b">
        <v>0</v>
      </c>
      <c r="AI129" s="20">
        <f t="shared" si="1"/>
        <v>0</v>
      </c>
      <c r="AJ129" s="21">
        <f t="shared" si="2"/>
        <v>0</v>
      </c>
      <c r="AK129" s="22">
        <f t="shared" si="3"/>
        <v>0</v>
      </c>
      <c r="AL129" s="23"/>
      <c r="AM129" s="24"/>
    </row>
    <row r="130" ht="23.25" customHeight="1">
      <c r="A130" s="12">
        <v>127.0</v>
      </c>
      <c r="B130" s="12"/>
      <c r="C130" s="13" t="str">
        <f>iferror(vlookup(B130,'Crew Data'!C:G,5,0)," ")</f>
        <v> </v>
      </c>
      <c r="D130" s="12" t="b">
        <v>0</v>
      </c>
      <c r="E130" s="12" t="b">
        <v>0</v>
      </c>
      <c r="F130" s="12" t="b">
        <v>0</v>
      </c>
      <c r="G130" s="12" t="b">
        <v>0</v>
      </c>
      <c r="H130" s="12" t="b">
        <v>0</v>
      </c>
      <c r="I130" s="12" t="b">
        <v>0</v>
      </c>
      <c r="J130" s="12" t="b">
        <v>0</v>
      </c>
      <c r="K130" s="12" t="b">
        <v>0</v>
      </c>
      <c r="L130" s="12" t="b">
        <v>0</v>
      </c>
      <c r="M130" s="12" t="b">
        <v>0</v>
      </c>
      <c r="N130" s="12" t="b">
        <v>0</v>
      </c>
      <c r="O130" s="12" t="b">
        <v>0</v>
      </c>
      <c r="P130" s="12" t="b">
        <v>0</v>
      </c>
      <c r="Q130" s="12" t="b">
        <v>0</v>
      </c>
      <c r="R130" s="12" t="b">
        <v>0</v>
      </c>
      <c r="S130" s="12" t="b">
        <v>0</v>
      </c>
      <c r="T130" s="12" t="b">
        <v>0</v>
      </c>
      <c r="U130" s="12" t="b">
        <v>0</v>
      </c>
      <c r="V130" s="12" t="b">
        <v>0</v>
      </c>
      <c r="W130" s="12" t="b">
        <v>0</v>
      </c>
      <c r="X130" s="12" t="b">
        <v>0</v>
      </c>
      <c r="Y130" s="12" t="b">
        <v>0</v>
      </c>
      <c r="Z130" s="12" t="b">
        <v>0</v>
      </c>
      <c r="AA130" s="12" t="b">
        <v>0</v>
      </c>
      <c r="AB130" s="12" t="b">
        <v>0</v>
      </c>
      <c r="AC130" s="12" t="b">
        <v>0</v>
      </c>
      <c r="AD130" s="12" t="b">
        <v>0</v>
      </c>
      <c r="AE130" s="12" t="b">
        <v>0</v>
      </c>
      <c r="AF130" s="12" t="b">
        <v>0</v>
      </c>
      <c r="AG130" s="12" t="b">
        <v>0</v>
      </c>
      <c r="AH130" s="12" t="b">
        <v>0</v>
      </c>
      <c r="AI130" s="14">
        <f t="shared" si="1"/>
        <v>0</v>
      </c>
      <c r="AJ130" s="15">
        <f t="shared" si="2"/>
        <v>0</v>
      </c>
      <c r="AK130" s="16">
        <f t="shared" si="3"/>
        <v>0</v>
      </c>
      <c r="AL130" s="17"/>
      <c r="AM130" s="18"/>
    </row>
    <row r="131" ht="23.25" customHeight="1">
      <c r="A131" s="10">
        <v>128.0</v>
      </c>
      <c r="B131" s="10"/>
      <c r="C131" s="19" t="str">
        <f>iferror(vlookup(B131,'Crew Data'!C:G,5,0)," ")</f>
        <v> </v>
      </c>
      <c r="D131" s="10" t="b">
        <v>0</v>
      </c>
      <c r="E131" s="10" t="b">
        <v>0</v>
      </c>
      <c r="F131" s="10" t="b">
        <v>0</v>
      </c>
      <c r="G131" s="10" t="b">
        <v>0</v>
      </c>
      <c r="H131" s="10" t="b">
        <v>0</v>
      </c>
      <c r="I131" s="10" t="b">
        <v>0</v>
      </c>
      <c r="J131" s="10" t="b">
        <v>0</v>
      </c>
      <c r="K131" s="10" t="b">
        <v>0</v>
      </c>
      <c r="L131" s="10" t="b">
        <v>0</v>
      </c>
      <c r="M131" s="10" t="b">
        <v>0</v>
      </c>
      <c r="N131" s="10" t="b">
        <v>0</v>
      </c>
      <c r="O131" s="10" t="b">
        <v>0</v>
      </c>
      <c r="P131" s="10" t="b">
        <v>0</v>
      </c>
      <c r="Q131" s="10" t="b">
        <v>0</v>
      </c>
      <c r="R131" s="10" t="b">
        <v>0</v>
      </c>
      <c r="S131" s="10" t="b">
        <v>0</v>
      </c>
      <c r="T131" s="10" t="b">
        <v>0</v>
      </c>
      <c r="U131" s="10" t="b">
        <v>0</v>
      </c>
      <c r="V131" s="10" t="b">
        <v>0</v>
      </c>
      <c r="W131" s="10" t="b">
        <v>0</v>
      </c>
      <c r="X131" s="10" t="b">
        <v>0</v>
      </c>
      <c r="Y131" s="10" t="b">
        <v>0</v>
      </c>
      <c r="Z131" s="10" t="b">
        <v>0</v>
      </c>
      <c r="AA131" s="10" t="b">
        <v>0</v>
      </c>
      <c r="AB131" s="10" t="b">
        <v>0</v>
      </c>
      <c r="AC131" s="10" t="b">
        <v>0</v>
      </c>
      <c r="AD131" s="10" t="b">
        <v>0</v>
      </c>
      <c r="AE131" s="10" t="b">
        <v>0</v>
      </c>
      <c r="AF131" s="10" t="b">
        <v>0</v>
      </c>
      <c r="AG131" s="10" t="b">
        <v>0</v>
      </c>
      <c r="AH131" s="10" t="b">
        <v>0</v>
      </c>
      <c r="AI131" s="20">
        <f t="shared" si="1"/>
        <v>0</v>
      </c>
      <c r="AJ131" s="21">
        <f t="shared" si="2"/>
        <v>0</v>
      </c>
      <c r="AK131" s="22">
        <f t="shared" si="3"/>
        <v>0</v>
      </c>
      <c r="AL131" s="23"/>
      <c r="AM131" s="24"/>
    </row>
    <row r="132" ht="23.25" customHeight="1">
      <c r="A132" s="12">
        <v>129.0</v>
      </c>
      <c r="B132" s="12"/>
      <c r="C132" s="13" t="str">
        <f>iferror(vlookup(B132,'Crew Data'!C:G,5,0)," ")</f>
        <v> </v>
      </c>
      <c r="D132" s="12" t="b">
        <v>0</v>
      </c>
      <c r="E132" s="12" t="b">
        <v>0</v>
      </c>
      <c r="F132" s="12" t="b">
        <v>0</v>
      </c>
      <c r="G132" s="12" t="b">
        <v>0</v>
      </c>
      <c r="H132" s="12" t="b">
        <v>0</v>
      </c>
      <c r="I132" s="12" t="b">
        <v>0</v>
      </c>
      <c r="J132" s="12" t="b">
        <v>0</v>
      </c>
      <c r="K132" s="12" t="b">
        <v>0</v>
      </c>
      <c r="L132" s="12" t="b">
        <v>0</v>
      </c>
      <c r="M132" s="12" t="b">
        <v>0</v>
      </c>
      <c r="N132" s="12" t="b">
        <v>0</v>
      </c>
      <c r="O132" s="12" t="b">
        <v>0</v>
      </c>
      <c r="P132" s="12" t="b">
        <v>0</v>
      </c>
      <c r="Q132" s="12" t="b">
        <v>0</v>
      </c>
      <c r="R132" s="12" t="b">
        <v>0</v>
      </c>
      <c r="S132" s="12" t="b">
        <v>0</v>
      </c>
      <c r="T132" s="12" t="b">
        <v>0</v>
      </c>
      <c r="U132" s="12" t="b">
        <v>0</v>
      </c>
      <c r="V132" s="12" t="b">
        <v>0</v>
      </c>
      <c r="W132" s="12" t="b">
        <v>0</v>
      </c>
      <c r="X132" s="12" t="b">
        <v>0</v>
      </c>
      <c r="Y132" s="12" t="b">
        <v>0</v>
      </c>
      <c r="Z132" s="12" t="b">
        <v>0</v>
      </c>
      <c r="AA132" s="12" t="b">
        <v>0</v>
      </c>
      <c r="AB132" s="12" t="b">
        <v>0</v>
      </c>
      <c r="AC132" s="12" t="b">
        <v>0</v>
      </c>
      <c r="AD132" s="12" t="b">
        <v>0</v>
      </c>
      <c r="AE132" s="12" t="b">
        <v>0</v>
      </c>
      <c r="AF132" s="12" t="b">
        <v>0</v>
      </c>
      <c r="AG132" s="12" t="b">
        <v>0</v>
      </c>
      <c r="AH132" s="12" t="b">
        <v>0</v>
      </c>
      <c r="AI132" s="14">
        <f t="shared" si="1"/>
        <v>0</v>
      </c>
      <c r="AJ132" s="15">
        <f t="shared" si="2"/>
        <v>0</v>
      </c>
      <c r="AK132" s="16">
        <f t="shared" si="3"/>
        <v>0</v>
      </c>
      <c r="AL132" s="17"/>
      <c r="AM132" s="18"/>
    </row>
    <row r="133" ht="23.25" customHeight="1">
      <c r="A133" s="10">
        <v>130.0</v>
      </c>
      <c r="B133" s="10"/>
      <c r="C133" s="19" t="str">
        <f>iferror(vlookup(B133,'Crew Data'!C:G,5,0)," ")</f>
        <v> </v>
      </c>
      <c r="D133" s="10" t="b">
        <v>0</v>
      </c>
      <c r="E133" s="10" t="b">
        <v>0</v>
      </c>
      <c r="F133" s="10" t="b">
        <v>0</v>
      </c>
      <c r="G133" s="10" t="b">
        <v>0</v>
      </c>
      <c r="H133" s="10" t="b">
        <v>0</v>
      </c>
      <c r="I133" s="10" t="b">
        <v>0</v>
      </c>
      <c r="J133" s="10" t="b">
        <v>0</v>
      </c>
      <c r="K133" s="10" t="b">
        <v>0</v>
      </c>
      <c r="L133" s="10" t="b">
        <v>0</v>
      </c>
      <c r="M133" s="10" t="b">
        <v>0</v>
      </c>
      <c r="N133" s="10" t="b">
        <v>0</v>
      </c>
      <c r="O133" s="10" t="b">
        <v>0</v>
      </c>
      <c r="P133" s="10" t="b">
        <v>0</v>
      </c>
      <c r="Q133" s="10" t="b">
        <v>0</v>
      </c>
      <c r="R133" s="10" t="b">
        <v>0</v>
      </c>
      <c r="S133" s="10" t="b">
        <v>0</v>
      </c>
      <c r="T133" s="10" t="b">
        <v>0</v>
      </c>
      <c r="U133" s="10" t="b">
        <v>0</v>
      </c>
      <c r="V133" s="10" t="b">
        <v>0</v>
      </c>
      <c r="W133" s="10" t="b">
        <v>0</v>
      </c>
      <c r="X133" s="10" t="b">
        <v>0</v>
      </c>
      <c r="Y133" s="10" t="b">
        <v>0</v>
      </c>
      <c r="Z133" s="10" t="b">
        <v>0</v>
      </c>
      <c r="AA133" s="10" t="b">
        <v>0</v>
      </c>
      <c r="AB133" s="10" t="b">
        <v>0</v>
      </c>
      <c r="AC133" s="10" t="b">
        <v>0</v>
      </c>
      <c r="AD133" s="10" t="b">
        <v>0</v>
      </c>
      <c r="AE133" s="10" t="b">
        <v>0</v>
      </c>
      <c r="AF133" s="10" t="b">
        <v>0</v>
      </c>
      <c r="AG133" s="10" t="b">
        <v>0</v>
      </c>
      <c r="AH133" s="10" t="b">
        <v>0</v>
      </c>
      <c r="AI133" s="20">
        <f t="shared" si="1"/>
        <v>0</v>
      </c>
      <c r="AJ133" s="21">
        <f t="shared" si="2"/>
        <v>0</v>
      </c>
      <c r="AK133" s="22">
        <f t="shared" si="3"/>
        <v>0</v>
      </c>
      <c r="AL133" s="23"/>
      <c r="AM133" s="24"/>
    </row>
    <row r="134" ht="23.25" customHeight="1">
      <c r="A134" s="12">
        <v>131.0</v>
      </c>
      <c r="B134" s="12"/>
      <c r="C134" s="13" t="str">
        <f>iferror(vlookup(B134,'Crew Data'!C:G,5,0)," ")</f>
        <v> </v>
      </c>
      <c r="D134" s="12" t="b">
        <v>0</v>
      </c>
      <c r="E134" s="12" t="b">
        <v>0</v>
      </c>
      <c r="F134" s="12" t="b">
        <v>0</v>
      </c>
      <c r="G134" s="12" t="b">
        <v>0</v>
      </c>
      <c r="H134" s="12" t="b">
        <v>0</v>
      </c>
      <c r="I134" s="12" t="b">
        <v>0</v>
      </c>
      <c r="J134" s="12" t="b">
        <v>0</v>
      </c>
      <c r="K134" s="12" t="b">
        <v>0</v>
      </c>
      <c r="L134" s="12" t="b">
        <v>0</v>
      </c>
      <c r="M134" s="12" t="b">
        <v>0</v>
      </c>
      <c r="N134" s="12" t="b">
        <v>0</v>
      </c>
      <c r="O134" s="12" t="b">
        <v>0</v>
      </c>
      <c r="P134" s="12" t="b">
        <v>0</v>
      </c>
      <c r="Q134" s="12" t="b">
        <v>0</v>
      </c>
      <c r="R134" s="12" t="b">
        <v>0</v>
      </c>
      <c r="S134" s="12" t="b">
        <v>0</v>
      </c>
      <c r="T134" s="12" t="b">
        <v>0</v>
      </c>
      <c r="U134" s="12" t="b">
        <v>0</v>
      </c>
      <c r="V134" s="12" t="b">
        <v>0</v>
      </c>
      <c r="W134" s="12" t="b">
        <v>0</v>
      </c>
      <c r="X134" s="12" t="b">
        <v>0</v>
      </c>
      <c r="Y134" s="12" t="b">
        <v>0</v>
      </c>
      <c r="Z134" s="12" t="b">
        <v>0</v>
      </c>
      <c r="AA134" s="12" t="b">
        <v>0</v>
      </c>
      <c r="AB134" s="12" t="b">
        <v>0</v>
      </c>
      <c r="AC134" s="12" t="b">
        <v>0</v>
      </c>
      <c r="AD134" s="12" t="b">
        <v>0</v>
      </c>
      <c r="AE134" s="12" t="b">
        <v>0</v>
      </c>
      <c r="AF134" s="12" t="b">
        <v>0</v>
      </c>
      <c r="AG134" s="12" t="b">
        <v>0</v>
      </c>
      <c r="AH134" s="12" t="b">
        <v>0</v>
      </c>
      <c r="AI134" s="14">
        <f t="shared" si="1"/>
        <v>0</v>
      </c>
      <c r="AJ134" s="15">
        <f t="shared" si="2"/>
        <v>0</v>
      </c>
      <c r="AK134" s="16">
        <f t="shared" si="3"/>
        <v>0</v>
      </c>
      <c r="AL134" s="17"/>
      <c r="AM134" s="18"/>
    </row>
    <row r="135" ht="23.25" customHeight="1">
      <c r="A135" s="10">
        <v>132.0</v>
      </c>
      <c r="B135" s="10"/>
      <c r="C135" s="19" t="str">
        <f>iferror(vlookup(B135,'Crew Data'!C:G,5,0)," ")</f>
        <v> </v>
      </c>
      <c r="D135" s="10" t="b">
        <v>0</v>
      </c>
      <c r="E135" s="10" t="b">
        <v>0</v>
      </c>
      <c r="F135" s="10" t="b">
        <v>0</v>
      </c>
      <c r="G135" s="10" t="b">
        <v>0</v>
      </c>
      <c r="H135" s="10" t="b">
        <v>0</v>
      </c>
      <c r="I135" s="10" t="b">
        <v>0</v>
      </c>
      <c r="J135" s="10" t="b">
        <v>0</v>
      </c>
      <c r="K135" s="10" t="b">
        <v>0</v>
      </c>
      <c r="L135" s="10" t="b">
        <v>0</v>
      </c>
      <c r="M135" s="10" t="b">
        <v>0</v>
      </c>
      <c r="N135" s="10" t="b">
        <v>0</v>
      </c>
      <c r="O135" s="10" t="b">
        <v>0</v>
      </c>
      <c r="P135" s="10" t="b">
        <v>0</v>
      </c>
      <c r="Q135" s="10" t="b">
        <v>0</v>
      </c>
      <c r="R135" s="10" t="b">
        <v>0</v>
      </c>
      <c r="S135" s="10" t="b">
        <v>0</v>
      </c>
      <c r="T135" s="10" t="b">
        <v>0</v>
      </c>
      <c r="U135" s="10" t="b">
        <v>0</v>
      </c>
      <c r="V135" s="10" t="b">
        <v>0</v>
      </c>
      <c r="W135" s="10" t="b">
        <v>0</v>
      </c>
      <c r="X135" s="10" t="b">
        <v>0</v>
      </c>
      <c r="Y135" s="10" t="b">
        <v>0</v>
      </c>
      <c r="Z135" s="10" t="b">
        <v>0</v>
      </c>
      <c r="AA135" s="10" t="b">
        <v>0</v>
      </c>
      <c r="AB135" s="10" t="b">
        <v>0</v>
      </c>
      <c r="AC135" s="10" t="b">
        <v>0</v>
      </c>
      <c r="AD135" s="10" t="b">
        <v>0</v>
      </c>
      <c r="AE135" s="10" t="b">
        <v>0</v>
      </c>
      <c r="AF135" s="10" t="b">
        <v>0</v>
      </c>
      <c r="AG135" s="10" t="b">
        <v>0</v>
      </c>
      <c r="AH135" s="10" t="b">
        <v>0</v>
      </c>
      <c r="AI135" s="20">
        <f t="shared" si="1"/>
        <v>0</v>
      </c>
      <c r="AJ135" s="21">
        <f t="shared" si="2"/>
        <v>0</v>
      </c>
      <c r="AK135" s="22">
        <f t="shared" si="3"/>
        <v>0</v>
      </c>
      <c r="AL135" s="23"/>
      <c r="AM135" s="24"/>
    </row>
    <row r="136" ht="23.25" customHeight="1">
      <c r="A136" s="12">
        <v>133.0</v>
      </c>
      <c r="B136" s="12"/>
      <c r="C136" s="13" t="str">
        <f>iferror(vlookup(B136,'Crew Data'!C:G,5,0)," ")</f>
        <v> </v>
      </c>
      <c r="D136" s="12" t="b">
        <v>0</v>
      </c>
      <c r="E136" s="12" t="b">
        <v>0</v>
      </c>
      <c r="F136" s="12" t="b">
        <v>0</v>
      </c>
      <c r="G136" s="12" t="b">
        <v>0</v>
      </c>
      <c r="H136" s="12" t="b">
        <v>0</v>
      </c>
      <c r="I136" s="12" t="b">
        <v>0</v>
      </c>
      <c r="J136" s="12" t="b">
        <v>0</v>
      </c>
      <c r="K136" s="12" t="b">
        <v>0</v>
      </c>
      <c r="L136" s="12" t="b">
        <v>0</v>
      </c>
      <c r="M136" s="12" t="b">
        <v>0</v>
      </c>
      <c r="N136" s="12" t="b">
        <v>0</v>
      </c>
      <c r="O136" s="12" t="b">
        <v>0</v>
      </c>
      <c r="P136" s="12" t="b">
        <v>0</v>
      </c>
      <c r="Q136" s="12" t="b">
        <v>0</v>
      </c>
      <c r="R136" s="12" t="b">
        <v>0</v>
      </c>
      <c r="S136" s="12" t="b">
        <v>0</v>
      </c>
      <c r="T136" s="12" t="b">
        <v>0</v>
      </c>
      <c r="U136" s="12" t="b">
        <v>0</v>
      </c>
      <c r="V136" s="12" t="b">
        <v>0</v>
      </c>
      <c r="W136" s="12" t="b">
        <v>0</v>
      </c>
      <c r="X136" s="12" t="b">
        <v>0</v>
      </c>
      <c r="Y136" s="12" t="b">
        <v>0</v>
      </c>
      <c r="Z136" s="12" t="b">
        <v>0</v>
      </c>
      <c r="AA136" s="12" t="b">
        <v>0</v>
      </c>
      <c r="AB136" s="12" t="b">
        <v>0</v>
      </c>
      <c r="AC136" s="12" t="b">
        <v>0</v>
      </c>
      <c r="AD136" s="12" t="b">
        <v>0</v>
      </c>
      <c r="AE136" s="12" t="b">
        <v>0</v>
      </c>
      <c r="AF136" s="12" t="b">
        <v>0</v>
      </c>
      <c r="AG136" s="12" t="b">
        <v>0</v>
      </c>
      <c r="AH136" s="12" t="b">
        <v>0</v>
      </c>
      <c r="AI136" s="14">
        <f t="shared" si="1"/>
        <v>0</v>
      </c>
      <c r="AJ136" s="15">
        <f t="shared" si="2"/>
        <v>0</v>
      </c>
      <c r="AK136" s="16">
        <f t="shared" si="3"/>
        <v>0</v>
      </c>
      <c r="AL136" s="17"/>
      <c r="AM136" s="18"/>
    </row>
    <row r="137" ht="23.25" customHeight="1">
      <c r="A137" s="10">
        <v>134.0</v>
      </c>
      <c r="B137" s="10"/>
      <c r="C137" s="19" t="str">
        <f>iferror(vlookup(B137,'Crew Data'!C:G,5,0)," ")</f>
        <v> </v>
      </c>
      <c r="D137" s="10" t="b">
        <v>0</v>
      </c>
      <c r="E137" s="10" t="b">
        <v>0</v>
      </c>
      <c r="F137" s="10" t="b">
        <v>0</v>
      </c>
      <c r="G137" s="10" t="b">
        <v>0</v>
      </c>
      <c r="H137" s="10" t="b">
        <v>0</v>
      </c>
      <c r="I137" s="10" t="b">
        <v>0</v>
      </c>
      <c r="J137" s="10" t="b">
        <v>0</v>
      </c>
      <c r="K137" s="10" t="b">
        <v>0</v>
      </c>
      <c r="L137" s="10" t="b">
        <v>0</v>
      </c>
      <c r="M137" s="10" t="b">
        <v>0</v>
      </c>
      <c r="N137" s="10" t="b">
        <v>0</v>
      </c>
      <c r="O137" s="10" t="b">
        <v>0</v>
      </c>
      <c r="P137" s="10" t="b">
        <v>0</v>
      </c>
      <c r="Q137" s="10" t="b">
        <v>0</v>
      </c>
      <c r="R137" s="10" t="b">
        <v>0</v>
      </c>
      <c r="S137" s="10" t="b">
        <v>0</v>
      </c>
      <c r="T137" s="10" t="b">
        <v>0</v>
      </c>
      <c r="U137" s="10" t="b">
        <v>0</v>
      </c>
      <c r="V137" s="10" t="b">
        <v>0</v>
      </c>
      <c r="W137" s="10" t="b">
        <v>0</v>
      </c>
      <c r="X137" s="10" t="b">
        <v>0</v>
      </c>
      <c r="Y137" s="10" t="b">
        <v>0</v>
      </c>
      <c r="Z137" s="10" t="b">
        <v>0</v>
      </c>
      <c r="AA137" s="10" t="b">
        <v>0</v>
      </c>
      <c r="AB137" s="10" t="b">
        <v>0</v>
      </c>
      <c r="AC137" s="10" t="b">
        <v>0</v>
      </c>
      <c r="AD137" s="10" t="b">
        <v>0</v>
      </c>
      <c r="AE137" s="10" t="b">
        <v>0</v>
      </c>
      <c r="AF137" s="10" t="b">
        <v>0</v>
      </c>
      <c r="AG137" s="10" t="b">
        <v>0</v>
      </c>
      <c r="AH137" s="10" t="b">
        <v>0</v>
      </c>
      <c r="AI137" s="20">
        <f t="shared" si="1"/>
        <v>0</v>
      </c>
      <c r="AJ137" s="21">
        <f t="shared" si="2"/>
        <v>0</v>
      </c>
      <c r="AK137" s="22">
        <f t="shared" si="3"/>
        <v>0</v>
      </c>
      <c r="AL137" s="23"/>
      <c r="AM137" s="24"/>
    </row>
    <row r="138" ht="23.25" customHeight="1">
      <c r="A138" s="12">
        <v>135.0</v>
      </c>
      <c r="B138" s="12"/>
      <c r="C138" s="13" t="str">
        <f>iferror(vlookup(B138,'Crew Data'!C:G,5,0)," ")</f>
        <v> </v>
      </c>
      <c r="D138" s="12" t="b">
        <v>0</v>
      </c>
      <c r="E138" s="12" t="b">
        <v>0</v>
      </c>
      <c r="F138" s="12" t="b">
        <v>0</v>
      </c>
      <c r="G138" s="12" t="b">
        <v>0</v>
      </c>
      <c r="H138" s="12" t="b">
        <v>0</v>
      </c>
      <c r="I138" s="12" t="b">
        <v>0</v>
      </c>
      <c r="J138" s="12" t="b">
        <v>0</v>
      </c>
      <c r="K138" s="12" t="b">
        <v>0</v>
      </c>
      <c r="L138" s="12" t="b">
        <v>0</v>
      </c>
      <c r="M138" s="12" t="b">
        <v>0</v>
      </c>
      <c r="N138" s="12" t="b">
        <v>0</v>
      </c>
      <c r="O138" s="12" t="b">
        <v>0</v>
      </c>
      <c r="P138" s="12" t="b">
        <v>0</v>
      </c>
      <c r="Q138" s="12" t="b">
        <v>0</v>
      </c>
      <c r="R138" s="12" t="b">
        <v>0</v>
      </c>
      <c r="S138" s="12" t="b">
        <v>0</v>
      </c>
      <c r="T138" s="12" t="b">
        <v>0</v>
      </c>
      <c r="U138" s="12" t="b">
        <v>0</v>
      </c>
      <c r="V138" s="12" t="b">
        <v>0</v>
      </c>
      <c r="W138" s="12" t="b">
        <v>0</v>
      </c>
      <c r="X138" s="12" t="b">
        <v>0</v>
      </c>
      <c r="Y138" s="12" t="b">
        <v>0</v>
      </c>
      <c r="Z138" s="12" t="b">
        <v>0</v>
      </c>
      <c r="AA138" s="12" t="b">
        <v>0</v>
      </c>
      <c r="AB138" s="12" t="b">
        <v>0</v>
      </c>
      <c r="AC138" s="12" t="b">
        <v>0</v>
      </c>
      <c r="AD138" s="12" t="b">
        <v>0</v>
      </c>
      <c r="AE138" s="12" t="b">
        <v>0</v>
      </c>
      <c r="AF138" s="12" t="b">
        <v>0</v>
      </c>
      <c r="AG138" s="12" t="b">
        <v>0</v>
      </c>
      <c r="AH138" s="12" t="b">
        <v>0</v>
      </c>
      <c r="AI138" s="14">
        <f t="shared" si="1"/>
        <v>0</v>
      </c>
      <c r="AJ138" s="15">
        <f t="shared" si="2"/>
        <v>0</v>
      </c>
      <c r="AK138" s="16">
        <f t="shared" si="3"/>
        <v>0</v>
      </c>
      <c r="AL138" s="17"/>
      <c r="AM138" s="18"/>
    </row>
    <row r="139" ht="23.25" customHeight="1">
      <c r="A139" s="10">
        <v>136.0</v>
      </c>
      <c r="B139" s="10"/>
      <c r="C139" s="19" t="str">
        <f>iferror(vlookup(B139,'Crew Data'!C:G,5,0)," ")</f>
        <v> </v>
      </c>
      <c r="D139" s="10" t="b">
        <v>0</v>
      </c>
      <c r="E139" s="10" t="b">
        <v>0</v>
      </c>
      <c r="F139" s="10" t="b">
        <v>0</v>
      </c>
      <c r="G139" s="10" t="b">
        <v>0</v>
      </c>
      <c r="H139" s="10" t="b">
        <v>0</v>
      </c>
      <c r="I139" s="10" t="b">
        <v>0</v>
      </c>
      <c r="J139" s="10" t="b">
        <v>0</v>
      </c>
      <c r="K139" s="10" t="b">
        <v>0</v>
      </c>
      <c r="L139" s="10" t="b">
        <v>0</v>
      </c>
      <c r="M139" s="10" t="b">
        <v>0</v>
      </c>
      <c r="N139" s="10" t="b">
        <v>0</v>
      </c>
      <c r="O139" s="10" t="b">
        <v>0</v>
      </c>
      <c r="P139" s="10" t="b">
        <v>0</v>
      </c>
      <c r="Q139" s="10" t="b">
        <v>0</v>
      </c>
      <c r="R139" s="10" t="b">
        <v>0</v>
      </c>
      <c r="S139" s="10" t="b">
        <v>0</v>
      </c>
      <c r="T139" s="10" t="b">
        <v>0</v>
      </c>
      <c r="U139" s="10" t="b">
        <v>0</v>
      </c>
      <c r="V139" s="10" t="b">
        <v>0</v>
      </c>
      <c r="W139" s="10" t="b">
        <v>0</v>
      </c>
      <c r="X139" s="10" t="b">
        <v>0</v>
      </c>
      <c r="Y139" s="10" t="b">
        <v>0</v>
      </c>
      <c r="Z139" s="10" t="b">
        <v>0</v>
      </c>
      <c r="AA139" s="10" t="b">
        <v>0</v>
      </c>
      <c r="AB139" s="10" t="b">
        <v>0</v>
      </c>
      <c r="AC139" s="10" t="b">
        <v>0</v>
      </c>
      <c r="AD139" s="10" t="b">
        <v>0</v>
      </c>
      <c r="AE139" s="10" t="b">
        <v>0</v>
      </c>
      <c r="AF139" s="10" t="b">
        <v>0</v>
      </c>
      <c r="AG139" s="10" t="b">
        <v>0</v>
      </c>
      <c r="AH139" s="10" t="b">
        <v>0</v>
      </c>
      <c r="AI139" s="20">
        <f t="shared" si="1"/>
        <v>0</v>
      </c>
      <c r="AJ139" s="21">
        <f t="shared" si="2"/>
        <v>0</v>
      </c>
      <c r="AK139" s="22">
        <f t="shared" si="3"/>
        <v>0</v>
      </c>
      <c r="AL139" s="23"/>
      <c r="AM139" s="24"/>
    </row>
    <row r="140" ht="23.25" customHeight="1">
      <c r="A140" s="12">
        <v>137.0</v>
      </c>
      <c r="B140" s="12"/>
      <c r="C140" s="13" t="str">
        <f>iferror(vlookup(B140,'Crew Data'!C:G,5,0)," ")</f>
        <v> </v>
      </c>
      <c r="D140" s="12" t="b">
        <v>0</v>
      </c>
      <c r="E140" s="12" t="b">
        <v>0</v>
      </c>
      <c r="F140" s="12" t="b">
        <v>0</v>
      </c>
      <c r="G140" s="12" t="b">
        <v>0</v>
      </c>
      <c r="H140" s="12" t="b">
        <v>0</v>
      </c>
      <c r="I140" s="12" t="b">
        <v>0</v>
      </c>
      <c r="J140" s="12" t="b">
        <v>0</v>
      </c>
      <c r="K140" s="12" t="b">
        <v>0</v>
      </c>
      <c r="L140" s="12" t="b">
        <v>0</v>
      </c>
      <c r="M140" s="12" t="b">
        <v>0</v>
      </c>
      <c r="N140" s="12" t="b">
        <v>0</v>
      </c>
      <c r="O140" s="12" t="b">
        <v>0</v>
      </c>
      <c r="P140" s="12" t="b">
        <v>0</v>
      </c>
      <c r="Q140" s="12" t="b">
        <v>0</v>
      </c>
      <c r="R140" s="12" t="b">
        <v>0</v>
      </c>
      <c r="S140" s="12" t="b">
        <v>0</v>
      </c>
      <c r="T140" s="12" t="b">
        <v>0</v>
      </c>
      <c r="U140" s="12" t="b">
        <v>0</v>
      </c>
      <c r="V140" s="12" t="b">
        <v>0</v>
      </c>
      <c r="W140" s="12" t="b">
        <v>0</v>
      </c>
      <c r="X140" s="12" t="b">
        <v>0</v>
      </c>
      <c r="Y140" s="12" t="b">
        <v>0</v>
      </c>
      <c r="Z140" s="12" t="b">
        <v>0</v>
      </c>
      <c r="AA140" s="12" t="b">
        <v>0</v>
      </c>
      <c r="AB140" s="12" t="b">
        <v>0</v>
      </c>
      <c r="AC140" s="12" t="b">
        <v>0</v>
      </c>
      <c r="AD140" s="12" t="b">
        <v>0</v>
      </c>
      <c r="AE140" s="12" t="b">
        <v>0</v>
      </c>
      <c r="AF140" s="12" t="b">
        <v>0</v>
      </c>
      <c r="AG140" s="12" t="b">
        <v>0</v>
      </c>
      <c r="AH140" s="12" t="b">
        <v>0</v>
      </c>
      <c r="AI140" s="14">
        <f t="shared" si="1"/>
        <v>0</v>
      </c>
      <c r="AJ140" s="15">
        <f t="shared" si="2"/>
        <v>0</v>
      </c>
      <c r="AK140" s="16">
        <f t="shared" si="3"/>
        <v>0</v>
      </c>
      <c r="AL140" s="17"/>
      <c r="AM140" s="18"/>
    </row>
    <row r="141" ht="23.25" customHeight="1">
      <c r="A141" s="10">
        <v>138.0</v>
      </c>
      <c r="B141" s="10"/>
      <c r="C141" s="19" t="str">
        <f>iferror(vlookup(B141,'Crew Data'!C:G,5,0)," ")</f>
        <v> </v>
      </c>
      <c r="D141" s="10" t="b">
        <v>0</v>
      </c>
      <c r="E141" s="10" t="b">
        <v>0</v>
      </c>
      <c r="F141" s="10" t="b">
        <v>0</v>
      </c>
      <c r="G141" s="10" t="b">
        <v>0</v>
      </c>
      <c r="H141" s="10" t="b">
        <v>0</v>
      </c>
      <c r="I141" s="10" t="b">
        <v>0</v>
      </c>
      <c r="J141" s="10" t="b">
        <v>0</v>
      </c>
      <c r="K141" s="10" t="b">
        <v>0</v>
      </c>
      <c r="L141" s="10" t="b">
        <v>0</v>
      </c>
      <c r="M141" s="10" t="b">
        <v>0</v>
      </c>
      <c r="N141" s="10" t="b">
        <v>0</v>
      </c>
      <c r="O141" s="10" t="b">
        <v>0</v>
      </c>
      <c r="P141" s="10" t="b">
        <v>0</v>
      </c>
      <c r="Q141" s="10" t="b">
        <v>0</v>
      </c>
      <c r="R141" s="10" t="b">
        <v>0</v>
      </c>
      <c r="S141" s="10" t="b">
        <v>0</v>
      </c>
      <c r="T141" s="10" t="b">
        <v>0</v>
      </c>
      <c r="U141" s="10" t="b">
        <v>0</v>
      </c>
      <c r="V141" s="10" t="b">
        <v>0</v>
      </c>
      <c r="W141" s="10" t="b">
        <v>0</v>
      </c>
      <c r="X141" s="10" t="b">
        <v>0</v>
      </c>
      <c r="Y141" s="10" t="b">
        <v>0</v>
      </c>
      <c r="Z141" s="10" t="b">
        <v>0</v>
      </c>
      <c r="AA141" s="10" t="b">
        <v>0</v>
      </c>
      <c r="AB141" s="10" t="b">
        <v>0</v>
      </c>
      <c r="AC141" s="10" t="b">
        <v>0</v>
      </c>
      <c r="AD141" s="10" t="b">
        <v>0</v>
      </c>
      <c r="AE141" s="10" t="b">
        <v>0</v>
      </c>
      <c r="AF141" s="10" t="b">
        <v>0</v>
      </c>
      <c r="AG141" s="10" t="b">
        <v>0</v>
      </c>
      <c r="AH141" s="10" t="b">
        <v>0</v>
      </c>
      <c r="AI141" s="20">
        <f t="shared" si="1"/>
        <v>0</v>
      </c>
      <c r="AJ141" s="21">
        <f t="shared" si="2"/>
        <v>0</v>
      </c>
      <c r="AK141" s="22">
        <f t="shared" si="3"/>
        <v>0</v>
      </c>
      <c r="AL141" s="23"/>
      <c r="AM141" s="24"/>
    </row>
    <row r="142" ht="23.25" customHeight="1">
      <c r="A142" s="12">
        <v>139.0</v>
      </c>
      <c r="B142" s="12"/>
      <c r="C142" s="13" t="str">
        <f>iferror(vlookup(B142,'Crew Data'!C:G,5,0)," ")</f>
        <v> </v>
      </c>
      <c r="D142" s="12" t="b">
        <v>0</v>
      </c>
      <c r="E142" s="12" t="b">
        <v>0</v>
      </c>
      <c r="F142" s="12" t="b">
        <v>0</v>
      </c>
      <c r="G142" s="12" t="b">
        <v>0</v>
      </c>
      <c r="H142" s="12" t="b">
        <v>0</v>
      </c>
      <c r="I142" s="12" t="b">
        <v>0</v>
      </c>
      <c r="J142" s="12" t="b">
        <v>0</v>
      </c>
      <c r="K142" s="12" t="b">
        <v>0</v>
      </c>
      <c r="L142" s="12" t="b">
        <v>0</v>
      </c>
      <c r="M142" s="12" t="b">
        <v>0</v>
      </c>
      <c r="N142" s="12" t="b">
        <v>0</v>
      </c>
      <c r="O142" s="12" t="b">
        <v>0</v>
      </c>
      <c r="P142" s="12" t="b">
        <v>0</v>
      </c>
      <c r="Q142" s="12" t="b">
        <v>0</v>
      </c>
      <c r="R142" s="12" t="b">
        <v>0</v>
      </c>
      <c r="S142" s="12" t="b">
        <v>0</v>
      </c>
      <c r="T142" s="12" t="b">
        <v>0</v>
      </c>
      <c r="U142" s="12" t="b">
        <v>0</v>
      </c>
      <c r="V142" s="12" t="b">
        <v>0</v>
      </c>
      <c r="W142" s="12" t="b">
        <v>0</v>
      </c>
      <c r="X142" s="12" t="b">
        <v>0</v>
      </c>
      <c r="Y142" s="12" t="b">
        <v>0</v>
      </c>
      <c r="Z142" s="12" t="b">
        <v>0</v>
      </c>
      <c r="AA142" s="12" t="b">
        <v>0</v>
      </c>
      <c r="AB142" s="12" t="b">
        <v>0</v>
      </c>
      <c r="AC142" s="12" t="b">
        <v>0</v>
      </c>
      <c r="AD142" s="12" t="b">
        <v>0</v>
      </c>
      <c r="AE142" s="12" t="b">
        <v>0</v>
      </c>
      <c r="AF142" s="12" t="b">
        <v>0</v>
      </c>
      <c r="AG142" s="12" t="b">
        <v>0</v>
      </c>
      <c r="AH142" s="12" t="b">
        <v>0</v>
      </c>
      <c r="AI142" s="14">
        <f t="shared" si="1"/>
        <v>0</v>
      </c>
      <c r="AJ142" s="15">
        <f t="shared" si="2"/>
        <v>0</v>
      </c>
      <c r="AK142" s="16">
        <f t="shared" si="3"/>
        <v>0</v>
      </c>
      <c r="AL142" s="17"/>
      <c r="AM142" s="18"/>
    </row>
    <row r="143" ht="23.25" customHeight="1">
      <c r="A143" s="10">
        <v>140.0</v>
      </c>
      <c r="B143" s="10"/>
      <c r="C143" s="19" t="str">
        <f>iferror(vlookup(B143,'Crew Data'!C:G,5,0)," ")</f>
        <v> </v>
      </c>
      <c r="D143" s="10" t="b">
        <v>0</v>
      </c>
      <c r="E143" s="10" t="b">
        <v>0</v>
      </c>
      <c r="F143" s="10" t="b">
        <v>0</v>
      </c>
      <c r="G143" s="10" t="b">
        <v>0</v>
      </c>
      <c r="H143" s="10" t="b">
        <v>0</v>
      </c>
      <c r="I143" s="10" t="b">
        <v>0</v>
      </c>
      <c r="J143" s="10" t="b">
        <v>0</v>
      </c>
      <c r="K143" s="10" t="b">
        <v>0</v>
      </c>
      <c r="L143" s="10" t="b">
        <v>0</v>
      </c>
      <c r="M143" s="10" t="b">
        <v>0</v>
      </c>
      <c r="N143" s="10" t="b">
        <v>0</v>
      </c>
      <c r="O143" s="10" t="b">
        <v>0</v>
      </c>
      <c r="P143" s="10" t="b">
        <v>0</v>
      </c>
      <c r="Q143" s="10" t="b">
        <v>0</v>
      </c>
      <c r="R143" s="10" t="b">
        <v>0</v>
      </c>
      <c r="S143" s="10" t="b">
        <v>0</v>
      </c>
      <c r="T143" s="10" t="b">
        <v>0</v>
      </c>
      <c r="U143" s="10" t="b">
        <v>0</v>
      </c>
      <c r="V143" s="10" t="b">
        <v>0</v>
      </c>
      <c r="W143" s="10" t="b">
        <v>0</v>
      </c>
      <c r="X143" s="10" t="b">
        <v>0</v>
      </c>
      <c r="Y143" s="10" t="b">
        <v>0</v>
      </c>
      <c r="Z143" s="10" t="b">
        <v>0</v>
      </c>
      <c r="AA143" s="10" t="b">
        <v>0</v>
      </c>
      <c r="AB143" s="10" t="b">
        <v>0</v>
      </c>
      <c r="AC143" s="10" t="b">
        <v>0</v>
      </c>
      <c r="AD143" s="10" t="b">
        <v>0</v>
      </c>
      <c r="AE143" s="10" t="b">
        <v>0</v>
      </c>
      <c r="AF143" s="10" t="b">
        <v>0</v>
      </c>
      <c r="AG143" s="10" t="b">
        <v>0</v>
      </c>
      <c r="AH143" s="10" t="b">
        <v>0</v>
      </c>
      <c r="AI143" s="20">
        <f t="shared" si="1"/>
        <v>0</v>
      </c>
      <c r="AJ143" s="21">
        <f t="shared" si="2"/>
        <v>0</v>
      </c>
      <c r="AK143" s="22">
        <f t="shared" si="3"/>
        <v>0</v>
      </c>
      <c r="AL143" s="23"/>
      <c r="AM143" s="24"/>
    </row>
    <row r="144" ht="23.25" customHeight="1">
      <c r="A144" s="12">
        <v>141.0</v>
      </c>
      <c r="B144" s="12"/>
      <c r="C144" s="13" t="str">
        <f>iferror(vlookup(B144,'Crew Data'!C:G,5,0)," ")</f>
        <v> </v>
      </c>
      <c r="D144" s="12" t="b">
        <v>0</v>
      </c>
      <c r="E144" s="12" t="b">
        <v>0</v>
      </c>
      <c r="F144" s="12" t="b">
        <v>0</v>
      </c>
      <c r="G144" s="12" t="b">
        <v>0</v>
      </c>
      <c r="H144" s="12" t="b">
        <v>0</v>
      </c>
      <c r="I144" s="12" t="b">
        <v>0</v>
      </c>
      <c r="J144" s="12" t="b">
        <v>0</v>
      </c>
      <c r="K144" s="12" t="b">
        <v>0</v>
      </c>
      <c r="L144" s="12" t="b">
        <v>0</v>
      </c>
      <c r="M144" s="12" t="b">
        <v>0</v>
      </c>
      <c r="N144" s="12" t="b">
        <v>0</v>
      </c>
      <c r="O144" s="12" t="b">
        <v>0</v>
      </c>
      <c r="P144" s="12" t="b">
        <v>0</v>
      </c>
      <c r="Q144" s="12" t="b">
        <v>0</v>
      </c>
      <c r="R144" s="12" t="b">
        <v>0</v>
      </c>
      <c r="S144" s="12" t="b">
        <v>0</v>
      </c>
      <c r="T144" s="12" t="b">
        <v>0</v>
      </c>
      <c r="U144" s="12" t="b">
        <v>0</v>
      </c>
      <c r="V144" s="12" t="b">
        <v>0</v>
      </c>
      <c r="W144" s="12" t="b">
        <v>0</v>
      </c>
      <c r="X144" s="12" t="b">
        <v>0</v>
      </c>
      <c r="Y144" s="12" t="b">
        <v>0</v>
      </c>
      <c r="Z144" s="12" t="b">
        <v>0</v>
      </c>
      <c r="AA144" s="12" t="b">
        <v>0</v>
      </c>
      <c r="AB144" s="12" t="b">
        <v>0</v>
      </c>
      <c r="AC144" s="12" t="b">
        <v>0</v>
      </c>
      <c r="AD144" s="12" t="b">
        <v>0</v>
      </c>
      <c r="AE144" s="12" t="b">
        <v>0</v>
      </c>
      <c r="AF144" s="12" t="b">
        <v>0</v>
      </c>
      <c r="AG144" s="12" t="b">
        <v>0</v>
      </c>
      <c r="AH144" s="12" t="b">
        <v>0</v>
      </c>
      <c r="AI144" s="14">
        <f t="shared" si="1"/>
        <v>0</v>
      </c>
      <c r="AJ144" s="15">
        <f t="shared" si="2"/>
        <v>0</v>
      </c>
      <c r="AK144" s="16">
        <f t="shared" si="3"/>
        <v>0</v>
      </c>
      <c r="AL144" s="17"/>
      <c r="AM144" s="18"/>
    </row>
    <row r="145" ht="23.25" customHeight="1">
      <c r="A145" s="10">
        <v>142.0</v>
      </c>
      <c r="B145" s="10"/>
      <c r="C145" s="19" t="str">
        <f>iferror(vlookup(B145,'Crew Data'!C:G,5,0)," ")</f>
        <v> </v>
      </c>
      <c r="D145" s="10" t="b">
        <v>0</v>
      </c>
      <c r="E145" s="10" t="b">
        <v>0</v>
      </c>
      <c r="F145" s="10" t="b">
        <v>0</v>
      </c>
      <c r="G145" s="10" t="b">
        <v>0</v>
      </c>
      <c r="H145" s="10" t="b">
        <v>0</v>
      </c>
      <c r="I145" s="10" t="b">
        <v>0</v>
      </c>
      <c r="J145" s="10" t="b">
        <v>0</v>
      </c>
      <c r="K145" s="10" t="b">
        <v>0</v>
      </c>
      <c r="L145" s="10" t="b">
        <v>0</v>
      </c>
      <c r="M145" s="10" t="b">
        <v>0</v>
      </c>
      <c r="N145" s="10" t="b">
        <v>0</v>
      </c>
      <c r="O145" s="10" t="b">
        <v>0</v>
      </c>
      <c r="P145" s="10" t="b">
        <v>0</v>
      </c>
      <c r="Q145" s="10" t="b">
        <v>0</v>
      </c>
      <c r="R145" s="10" t="b">
        <v>0</v>
      </c>
      <c r="S145" s="10" t="b">
        <v>0</v>
      </c>
      <c r="T145" s="10" t="b">
        <v>0</v>
      </c>
      <c r="U145" s="10" t="b">
        <v>0</v>
      </c>
      <c r="V145" s="10" t="b">
        <v>0</v>
      </c>
      <c r="W145" s="10" t="b">
        <v>0</v>
      </c>
      <c r="X145" s="10" t="b">
        <v>0</v>
      </c>
      <c r="Y145" s="10" t="b">
        <v>0</v>
      </c>
      <c r="Z145" s="10" t="b">
        <v>0</v>
      </c>
      <c r="AA145" s="10" t="b">
        <v>0</v>
      </c>
      <c r="AB145" s="10" t="b">
        <v>0</v>
      </c>
      <c r="AC145" s="10" t="b">
        <v>0</v>
      </c>
      <c r="AD145" s="10" t="b">
        <v>0</v>
      </c>
      <c r="AE145" s="10" t="b">
        <v>0</v>
      </c>
      <c r="AF145" s="10" t="b">
        <v>0</v>
      </c>
      <c r="AG145" s="10" t="b">
        <v>0</v>
      </c>
      <c r="AH145" s="10" t="b">
        <v>0</v>
      </c>
      <c r="AI145" s="20">
        <f t="shared" si="1"/>
        <v>0</v>
      </c>
      <c r="AJ145" s="21">
        <f t="shared" si="2"/>
        <v>0</v>
      </c>
      <c r="AK145" s="22">
        <f t="shared" si="3"/>
        <v>0</v>
      </c>
      <c r="AL145" s="23"/>
      <c r="AM145" s="24"/>
    </row>
    <row r="146" ht="23.25" customHeight="1">
      <c r="A146" s="12">
        <v>143.0</v>
      </c>
      <c r="B146" s="12"/>
      <c r="C146" s="13" t="str">
        <f>iferror(vlookup(B146,'Crew Data'!C:G,5,0)," ")</f>
        <v> </v>
      </c>
      <c r="D146" s="12" t="b">
        <v>0</v>
      </c>
      <c r="E146" s="12" t="b">
        <v>0</v>
      </c>
      <c r="F146" s="12" t="b">
        <v>0</v>
      </c>
      <c r="G146" s="12" t="b">
        <v>0</v>
      </c>
      <c r="H146" s="12" t="b">
        <v>0</v>
      </c>
      <c r="I146" s="12" t="b">
        <v>0</v>
      </c>
      <c r="J146" s="12" t="b">
        <v>0</v>
      </c>
      <c r="K146" s="12" t="b">
        <v>0</v>
      </c>
      <c r="L146" s="12" t="b">
        <v>0</v>
      </c>
      <c r="M146" s="12" t="b">
        <v>0</v>
      </c>
      <c r="N146" s="12" t="b">
        <v>0</v>
      </c>
      <c r="O146" s="12" t="b">
        <v>0</v>
      </c>
      <c r="P146" s="12" t="b">
        <v>0</v>
      </c>
      <c r="Q146" s="12" t="b">
        <v>0</v>
      </c>
      <c r="R146" s="12" t="b">
        <v>0</v>
      </c>
      <c r="S146" s="12" t="b">
        <v>0</v>
      </c>
      <c r="T146" s="12" t="b">
        <v>0</v>
      </c>
      <c r="U146" s="12" t="b">
        <v>0</v>
      </c>
      <c r="V146" s="12" t="b">
        <v>0</v>
      </c>
      <c r="W146" s="12" t="b">
        <v>0</v>
      </c>
      <c r="X146" s="12" t="b">
        <v>0</v>
      </c>
      <c r="Y146" s="12" t="b">
        <v>0</v>
      </c>
      <c r="Z146" s="12" t="b">
        <v>0</v>
      </c>
      <c r="AA146" s="12" t="b">
        <v>0</v>
      </c>
      <c r="AB146" s="12" t="b">
        <v>0</v>
      </c>
      <c r="AC146" s="12" t="b">
        <v>0</v>
      </c>
      <c r="AD146" s="12" t="b">
        <v>0</v>
      </c>
      <c r="AE146" s="12" t="b">
        <v>0</v>
      </c>
      <c r="AF146" s="12" t="b">
        <v>0</v>
      </c>
      <c r="AG146" s="12" t="b">
        <v>0</v>
      </c>
      <c r="AH146" s="12" t="b">
        <v>0</v>
      </c>
      <c r="AI146" s="14">
        <f t="shared" si="1"/>
        <v>0</v>
      </c>
      <c r="AJ146" s="15">
        <f t="shared" si="2"/>
        <v>0</v>
      </c>
      <c r="AK146" s="16">
        <f t="shared" si="3"/>
        <v>0</v>
      </c>
      <c r="AL146" s="17"/>
      <c r="AM146" s="18"/>
    </row>
    <row r="147" ht="23.25" customHeight="1">
      <c r="A147" s="10">
        <v>144.0</v>
      </c>
      <c r="B147" s="10"/>
      <c r="C147" s="19" t="str">
        <f>iferror(vlookup(B147,'Crew Data'!C:G,5,0)," ")</f>
        <v> </v>
      </c>
      <c r="D147" s="10" t="b">
        <v>0</v>
      </c>
      <c r="E147" s="10" t="b">
        <v>0</v>
      </c>
      <c r="F147" s="10" t="b">
        <v>0</v>
      </c>
      <c r="G147" s="10" t="b">
        <v>0</v>
      </c>
      <c r="H147" s="10" t="b">
        <v>0</v>
      </c>
      <c r="I147" s="10" t="b">
        <v>0</v>
      </c>
      <c r="J147" s="10" t="b">
        <v>0</v>
      </c>
      <c r="K147" s="10" t="b">
        <v>0</v>
      </c>
      <c r="L147" s="10" t="b">
        <v>0</v>
      </c>
      <c r="M147" s="10" t="b">
        <v>0</v>
      </c>
      <c r="N147" s="10" t="b">
        <v>0</v>
      </c>
      <c r="O147" s="10" t="b">
        <v>0</v>
      </c>
      <c r="P147" s="10" t="b">
        <v>0</v>
      </c>
      <c r="Q147" s="10" t="b">
        <v>0</v>
      </c>
      <c r="R147" s="10" t="b">
        <v>0</v>
      </c>
      <c r="S147" s="10" t="b">
        <v>0</v>
      </c>
      <c r="T147" s="10" t="b">
        <v>0</v>
      </c>
      <c r="U147" s="10" t="b">
        <v>0</v>
      </c>
      <c r="V147" s="10" t="b">
        <v>0</v>
      </c>
      <c r="W147" s="10" t="b">
        <v>0</v>
      </c>
      <c r="X147" s="10" t="b">
        <v>0</v>
      </c>
      <c r="Y147" s="10" t="b">
        <v>0</v>
      </c>
      <c r="Z147" s="10" t="b">
        <v>0</v>
      </c>
      <c r="AA147" s="10" t="b">
        <v>0</v>
      </c>
      <c r="AB147" s="10" t="b">
        <v>0</v>
      </c>
      <c r="AC147" s="10" t="b">
        <v>0</v>
      </c>
      <c r="AD147" s="10" t="b">
        <v>0</v>
      </c>
      <c r="AE147" s="10" t="b">
        <v>0</v>
      </c>
      <c r="AF147" s="10" t="b">
        <v>0</v>
      </c>
      <c r="AG147" s="10" t="b">
        <v>0</v>
      </c>
      <c r="AH147" s="10" t="b">
        <v>0</v>
      </c>
      <c r="AI147" s="20">
        <f t="shared" si="1"/>
        <v>0</v>
      </c>
      <c r="AJ147" s="21">
        <f t="shared" si="2"/>
        <v>0</v>
      </c>
      <c r="AK147" s="22">
        <f t="shared" si="3"/>
        <v>0</v>
      </c>
      <c r="AL147" s="23"/>
      <c r="AM147" s="24"/>
    </row>
    <row r="148" ht="23.25" customHeight="1">
      <c r="A148" s="12">
        <v>145.0</v>
      </c>
      <c r="B148" s="12"/>
      <c r="C148" s="13" t="str">
        <f>iferror(vlookup(B148,'Crew Data'!C:G,5,0)," ")</f>
        <v> </v>
      </c>
      <c r="D148" s="12" t="b">
        <v>0</v>
      </c>
      <c r="E148" s="12" t="b">
        <v>0</v>
      </c>
      <c r="F148" s="12" t="b">
        <v>0</v>
      </c>
      <c r="G148" s="12" t="b">
        <v>0</v>
      </c>
      <c r="H148" s="12" t="b">
        <v>0</v>
      </c>
      <c r="I148" s="12" t="b">
        <v>0</v>
      </c>
      <c r="J148" s="12" t="b">
        <v>0</v>
      </c>
      <c r="K148" s="12" t="b">
        <v>0</v>
      </c>
      <c r="L148" s="12" t="b">
        <v>0</v>
      </c>
      <c r="M148" s="12" t="b">
        <v>0</v>
      </c>
      <c r="N148" s="12" t="b">
        <v>0</v>
      </c>
      <c r="O148" s="12" t="b">
        <v>0</v>
      </c>
      <c r="P148" s="12" t="b">
        <v>0</v>
      </c>
      <c r="Q148" s="12" t="b">
        <v>0</v>
      </c>
      <c r="R148" s="12" t="b">
        <v>0</v>
      </c>
      <c r="S148" s="12" t="b">
        <v>0</v>
      </c>
      <c r="T148" s="12" t="b">
        <v>0</v>
      </c>
      <c r="U148" s="12" t="b">
        <v>0</v>
      </c>
      <c r="V148" s="12" t="b">
        <v>0</v>
      </c>
      <c r="W148" s="12" t="b">
        <v>0</v>
      </c>
      <c r="X148" s="12" t="b">
        <v>0</v>
      </c>
      <c r="Y148" s="12" t="b">
        <v>0</v>
      </c>
      <c r="Z148" s="12" t="b">
        <v>0</v>
      </c>
      <c r="AA148" s="12" t="b">
        <v>0</v>
      </c>
      <c r="AB148" s="12" t="b">
        <v>0</v>
      </c>
      <c r="AC148" s="12" t="b">
        <v>0</v>
      </c>
      <c r="AD148" s="12" t="b">
        <v>0</v>
      </c>
      <c r="AE148" s="12" t="b">
        <v>0</v>
      </c>
      <c r="AF148" s="12" t="b">
        <v>0</v>
      </c>
      <c r="AG148" s="12" t="b">
        <v>0</v>
      </c>
      <c r="AH148" s="12" t="b">
        <v>0</v>
      </c>
      <c r="AI148" s="14">
        <f t="shared" si="1"/>
        <v>0</v>
      </c>
      <c r="AJ148" s="15">
        <f t="shared" si="2"/>
        <v>0</v>
      </c>
      <c r="AK148" s="16">
        <f t="shared" si="3"/>
        <v>0</v>
      </c>
      <c r="AL148" s="17"/>
      <c r="AM148" s="18"/>
    </row>
    <row r="149" ht="23.25" customHeight="1">
      <c r="A149" s="25"/>
      <c r="B149" s="26"/>
      <c r="C149" s="27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9"/>
      <c r="AJ149" s="29"/>
      <c r="AK149" s="26"/>
      <c r="AL149" s="28"/>
      <c r="AM149" s="28"/>
    </row>
    <row r="150" ht="23.25" customHeight="1">
      <c r="A150" s="25"/>
      <c r="B150" s="26"/>
      <c r="C150" s="27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9"/>
      <c r="AJ150" s="29"/>
      <c r="AK150" s="26"/>
      <c r="AL150" s="28"/>
      <c r="AM150" s="28"/>
    </row>
    <row r="151" ht="23.25" customHeight="1">
      <c r="A151" s="25"/>
      <c r="B151" s="26"/>
      <c r="C151" s="27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9"/>
      <c r="AJ151" s="29"/>
      <c r="AK151" s="26"/>
      <c r="AL151" s="28"/>
      <c r="AM151" s="28"/>
    </row>
    <row r="152" ht="23.25" customHeight="1">
      <c r="A152" s="25"/>
      <c r="B152" s="26"/>
      <c r="C152" s="27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9"/>
      <c r="AJ152" s="29"/>
      <c r="AK152" s="26"/>
      <c r="AL152" s="28"/>
      <c r="AM152" s="28"/>
    </row>
    <row r="153" ht="23.25" customHeight="1">
      <c r="A153" s="25"/>
      <c r="B153" s="26"/>
      <c r="C153" s="27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9"/>
      <c r="AJ153" s="29"/>
      <c r="AK153" s="26"/>
      <c r="AL153" s="28"/>
      <c r="AM153" s="28"/>
    </row>
    <row r="154" ht="23.25" customHeight="1">
      <c r="A154" s="25"/>
      <c r="B154" s="26"/>
      <c r="C154" s="27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9"/>
      <c r="AJ154" s="29"/>
      <c r="AK154" s="26"/>
      <c r="AL154" s="28"/>
      <c r="AM154" s="28"/>
    </row>
    <row r="155" ht="23.25" customHeight="1">
      <c r="A155" s="25"/>
      <c r="B155" s="26"/>
      <c r="C155" s="27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9"/>
      <c r="AJ155" s="29"/>
      <c r="AK155" s="26"/>
      <c r="AL155" s="28"/>
      <c r="AM155" s="28"/>
    </row>
    <row r="156" ht="23.25" customHeight="1">
      <c r="A156" s="25"/>
      <c r="B156" s="26"/>
      <c r="C156" s="27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9"/>
      <c r="AJ156" s="29"/>
      <c r="AK156" s="26"/>
      <c r="AL156" s="28"/>
      <c r="AM156" s="28"/>
    </row>
    <row r="157" ht="23.25" customHeight="1">
      <c r="A157" s="25"/>
      <c r="B157" s="26"/>
      <c r="C157" s="27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9"/>
      <c r="AJ157" s="29"/>
      <c r="AK157" s="26"/>
      <c r="AL157" s="28"/>
      <c r="AM157" s="28"/>
    </row>
    <row r="158" ht="23.25" customHeight="1">
      <c r="A158" s="25"/>
      <c r="B158" s="26"/>
      <c r="C158" s="27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9"/>
      <c r="AJ158" s="29"/>
      <c r="AK158" s="26"/>
      <c r="AL158" s="28"/>
      <c r="AM158" s="28"/>
    </row>
    <row r="159" ht="23.25" customHeight="1">
      <c r="A159" s="25"/>
      <c r="B159" s="26"/>
      <c r="C159" s="27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9"/>
      <c r="AJ159" s="29"/>
      <c r="AK159" s="26"/>
      <c r="AL159" s="28"/>
      <c r="AM159" s="28"/>
    </row>
    <row r="160" ht="23.25" customHeight="1">
      <c r="A160" s="25"/>
      <c r="B160" s="26"/>
      <c r="C160" s="27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9"/>
      <c r="AJ160" s="29"/>
      <c r="AK160" s="26"/>
      <c r="AL160" s="28"/>
      <c r="AM160" s="28"/>
    </row>
    <row r="161" ht="23.25" customHeight="1">
      <c r="A161" s="25"/>
      <c r="B161" s="26"/>
      <c r="C161" s="27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9"/>
      <c r="AJ161" s="29"/>
      <c r="AK161" s="26"/>
      <c r="AL161" s="28"/>
      <c r="AM161" s="28"/>
    </row>
    <row r="162" ht="23.25" customHeight="1">
      <c r="A162" s="25"/>
      <c r="B162" s="26"/>
      <c r="C162" s="27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9"/>
      <c r="AJ162" s="29"/>
      <c r="AK162" s="26"/>
      <c r="AL162" s="28"/>
      <c r="AM162" s="28"/>
    </row>
    <row r="163" ht="23.25" customHeight="1">
      <c r="A163" s="25"/>
      <c r="B163" s="26"/>
      <c r="C163" s="27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9"/>
      <c r="AJ163" s="29"/>
      <c r="AK163" s="26"/>
      <c r="AL163" s="28"/>
      <c r="AM163" s="28"/>
    </row>
    <row r="164" ht="23.25" customHeight="1">
      <c r="A164" s="25"/>
      <c r="B164" s="26"/>
      <c r="C164" s="27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9"/>
      <c r="AJ164" s="29"/>
      <c r="AK164" s="26"/>
      <c r="AL164" s="28"/>
      <c r="AM164" s="28"/>
    </row>
    <row r="165" ht="23.25" customHeight="1">
      <c r="A165" s="25"/>
      <c r="B165" s="26"/>
      <c r="C165" s="27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9"/>
      <c r="AJ165" s="29"/>
      <c r="AK165" s="26"/>
      <c r="AL165" s="28"/>
      <c r="AM165" s="28"/>
    </row>
    <row r="166" ht="23.25" customHeight="1">
      <c r="A166" s="25"/>
      <c r="B166" s="26"/>
      <c r="C166" s="27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9"/>
      <c r="AJ166" s="29"/>
      <c r="AK166" s="26"/>
      <c r="AL166" s="28"/>
      <c r="AM166" s="28"/>
    </row>
    <row r="167" ht="23.25" customHeight="1">
      <c r="A167" s="25"/>
      <c r="B167" s="26"/>
      <c r="C167" s="27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9"/>
      <c r="AJ167" s="29"/>
      <c r="AK167" s="26"/>
      <c r="AL167" s="28"/>
      <c r="AM167" s="28"/>
    </row>
    <row r="168" ht="23.25" customHeight="1">
      <c r="A168" s="25"/>
      <c r="B168" s="26"/>
      <c r="C168" s="27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9"/>
      <c r="AJ168" s="29"/>
      <c r="AK168" s="26"/>
      <c r="AL168" s="28"/>
      <c r="AM168" s="28"/>
    </row>
    <row r="169" ht="23.25" customHeight="1">
      <c r="A169" s="25"/>
      <c r="B169" s="26"/>
      <c r="C169" s="27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9"/>
      <c r="AJ169" s="29"/>
      <c r="AK169" s="26"/>
      <c r="AL169" s="28"/>
      <c r="AM169" s="28"/>
    </row>
    <row r="170" ht="23.25" customHeight="1">
      <c r="A170" s="25"/>
      <c r="B170" s="26"/>
      <c r="C170" s="27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9"/>
      <c r="AJ170" s="29"/>
      <c r="AK170" s="26"/>
      <c r="AL170" s="28"/>
      <c r="AM170" s="28"/>
    </row>
    <row r="171" ht="23.25" customHeight="1">
      <c r="A171" s="25"/>
      <c r="B171" s="26"/>
      <c r="C171" s="27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9"/>
      <c r="AJ171" s="29"/>
      <c r="AK171" s="26"/>
      <c r="AL171" s="28"/>
      <c r="AM171" s="28"/>
    </row>
    <row r="172" ht="23.25" customHeight="1">
      <c r="A172" s="25"/>
      <c r="B172" s="26"/>
      <c r="C172" s="27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9"/>
      <c r="AJ172" s="29"/>
      <c r="AK172" s="26"/>
      <c r="AL172" s="28"/>
      <c r="AM172" s="28"/>
    </row>
    <row r="173" ht="23.25" customHeight="1">
      <c r="A173" s="25"/>
      <c r="B173" s="26"/>
      <c r="C173" s="27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9"/>
      <c r="AJ173" s="29"/>
      <c r="AK173" s="26"/>
      <c r="AL173" s="28"/>
      <c r="AM173" s="28"/>
    </row>
    <row r="174" ht="23.25" customHeight="1">
      <c r="A174" s="25"/>
      <c r="B174" s="26"/>
      <c r="C174" s="27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9"/>
      <c r="AJ174" s="29"/>
      <c r="AK174" s="26"/>
      <c r="AL174" s="28"/>
      <c r="AM174" s="28"/>
    </row>
    <row r="175" ht="23.25" customHeight="1">
      <c r="A175" s="25"/>
      <c r="B175" s="26"/>
      <c r="C175" s="27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9"/>
      <c r="AJ175" s="29"/>
      <c r="AK175" s="26"/>
      <c r="AL175" s="28"/>
      <c r="AM175" s="28"/>
    </row>
    <row r="176" ht="23.25" customHeight="1">
      <c r="A176" s="25"/>
      <c r="B176" s="26"/>
      <c r="C176" s="27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9"/>
      <c r="AJ176" s="29"/>
      <c r="AK176" s="26"/>
      <c r="AL176" s="28"/>
      <c r="AM176" s="28"/>
    </row>
    <row r="177" ht="23.25" customHeight="1">
      <c r="A177" s="25"/>
      <c r="B177" s="26"/>
      <c r="C177" s="27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9"/>
      <c r="AJ177" s="29"/>
      <c r="AK177" s="26"/>
      <c r="AL177" s="28"/>
      <c r="AM177" s="28"/>
    </row>
    <row r="178" ht="23.25" customHeight="1">
      <c r="A178" s="25"/>
      <c r="B178" s="26"/>
      <c r="C178" s="27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9"/>
      <c r="AJ178" s="29"/>
      <c r="AK178" s="26"/>
      <c r="AL178" s="28"/>
      <c r="AM178" s="28"/>
    </row>
    <row r="179" ht="23.25" customHeight="1">
      <c r="A179" s="25"/>
      <c r="B179" s="26"/>
      <c r="C179" s="27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9"/>
      <c r="AJ179" s="29"/>
      <c r="AK179" s="26"/>
      <c r="AL179" s="28"/>
      <c r="AM179" s="28"/>
    </row>
    <row r="180" ht="23.25" customHeight="1">
      <c r="A180" s="25"/>
      <c r="B180" s="26"/>
      <c r="C180" s="27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9"/>
      <c r="AJ180" s="29"/>
      <c r="AK180" s="26"/>
      <c r="AL180" s="28"/>
      <c r="AM180" s="28"/>
    </row>
    <row r="181" ht="23.25" customHeight="1">
      <c r="A181" s="25"/>
      <c r="B181" s="26"/>
      <c r="C181" s="27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9"/>
      <c r="AJ181" s="29"/>
      <c r="AK181" s="26"/>
      <c r="AL181" s="28"/>
      <c r="AM181" s="28"/>
    </row>
    <row r="182" ht="23.25" customHeight="1">
      <c r="A182" s="25"/>
      <c r="B182" s="26"/>
      <c r="C182" s="27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9"/>
      <c r="AJ182" s="29"/>
      <c r="AK182" s="26"/>
      <c r="AL182" s="28"/>
      <c r="AM182" s="28"/>
    </row>
    <row r="183" ht="23.25" customHeight="1">
      <c r="A183" s="25"/>
      <c r="B183" s="26"/>
      <c r="C183" s="27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9"/>
      <c r="AJ183" s="29"/>
      <c r="AK183" s="26"/>
      <c r="AL183" s="28"/>
      <c r="AM183" s="28"/>
    </row>
    <row r="184" ht="23.25" customHeight="1">
      <c r="A184" s="25"/>
      <c r="B184" s="26"/>
      <c r="C184" s="27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9"/>
      <c r="AJ184" s="29"/>
      <c r="AK184" s="26"/>
      <c r="AL184" s="28"/>
      <c r="AM184" s="28"/>
    </row>
    <row r="185" ht="23.25" customHeight="1">
      <c r="A185" s="25"/>
      <c r="B185" s="26"/>
      <c r="C185" s="27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9"/>
      <c r="AJ185" s="29"/>
      <c r="AK185" s="26"/>
      <c r="AL185" s="28"/>
      <c r="AM185" s="28"/>
    </row>
    <row r="186" ht="23.25" customHeight="1">
      <c r="A186" s="25"/>
      <c r="B186" s="26"/>
      <c r="C186" s="27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9"/>
      <c r="AJ186" s="29"/>
      <c r="AK186" s="26"/>
      <c r="AL186" s="28"/>
      <c r="AM186" s="28"/>
    </row>
    <row r="187" ht="23.25" customHeight="1">
      <c r="A187" s="25"/>
      <c r="B187" s="26"/>
      <c r="C187" s="27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9"/>
      <c r="AJ187" s="29"/>
      <c r="AK187" s="26"/>
      <c r="AL187" s="28"/>
      <c r="AM187" s="28"/>
    </row>
    <row r="188" ht="23.25" customHeight="1">
      <c r="A188" s="25"/>
      <c r="B188" s="26"/>
      <c r="C188" s="27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9"/>
      <c r="AJ188" s="29"/>
      <c r="AK188" s="26"/>
      <c r="AL188" s="28"/>
      <c r="AM188" s="28"/>
    </row>
    <row r="189" ht="23.25" customHeight="1">
      <c r="A189" s="25"/>
      <c r="B189" s="26"/>
      <c r="C189" s="27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9"/>
      <c r="AJ189" s="29"/>
      <c r="AK189" s="26"/>
      <c r="AL189" s="28"/>
      <c r="AM189" s="28"/>
    </row>
    <row r="190" ht="23.25" customHeight="1">
      <c r="A190" s="25"/>
      <c r="B190" s="26"/>
      <c r="C190" s="27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9"/>
      <c r="AJ190" s="29"/>
      <c r="AK190" s="26"/>
      <c r="AL190" s="28"/>
      <c r="AM190" s="28"/>
    </row>
    <row r="191" ht="23.25" customHeight="1">
      <c r="A191" s="25"/>
      <c r="B191" s="26"/>
      <c r="C191" s="27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9"/>
      <c r="AJ191" s="29"/>
      <c r="AK191" s="26"/>
      <c r="AL191" s="28"/>
      <c r="AM191" s="28"/>
    </row>
    <row r="192" ht="23.25" customHeight="1">
      <c r="A192" s="25"/>
      <c r="B192" s="26"/>
      <c r="C192" s="27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9"/>
      <c r="AJ192" s="29"/>
      <c r="AK192" s="26"/>
      <c r="AL192" s="28"/>
      <c r="AM192" s="28"/>
    </row>
  </sheetData>
  <mergeCells count="9">
    <mergeCell ref="AL2:AL3"/>
    <mergeCell ref="AM2:AM3"/>
    <mergeCell ref="A1:AM1"/>
    <mergeCell ref="A2:A3"/>
    <mergeCell ref="B2:B3"/>
    <mergeCell ref="C2:C3"/>
    <mergeCell ref="D2:AH2"/>
    <mergeCell ref="AI2:AI3"/>
    <mergeCell ref="AJ2:AJ3"/>
  </mergeCells>
  <dataValidations>
    <dataValidation type="list" allowBlank="1" sqref="AL4:AL148">
      <formula1>"CHECKED (OK),CHECKED  (NOT OK)"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3" max="3" width="26.75"/>
    <col customWidth="1" min="4" max="4" width="33.25"/>
    <col customWidth="1" min="7" max="7" width="3.5"/>
    <col customWidth="1" min="8" max="8" width="18.63"/>
    <col customWidth="1" min="9" max="9" width="21.63"/>
  </cols>
  <sheetData>
    <row r="1">
      <c r="A1" s="30" t="s">
        <v>9</v>
      </c>
      <c r="G1" s="31"/>
      <c r="H1" s="32" t="s">
        <v>10</v>
      </c>
      <c r="I1" s="33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4" t="s">
        <v>1</v>
      </c>
      <c r="B2" s="35" t="s">
        <v>11</v>
      </c>
      <c r="C2" s="35" t="s">
        <v>12</v>
      </c>
      <c r="D2" s="36" t="s">
        <v>13</v>
      </c>
      <c r="E2" s="37" t="s">
        <v>14</v>
      </c>
      <c r="F2" s="38"/>
      <c r="G2" s="39"/>
      <c r="H2" s="40"/>
      <c r="I2" s="40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41"/>
      <c r="B3" s="38"/>
      <c r="C3" s="38"/>
      <c r="D3" s="38"/>
      <c r="E3" s="42" t="s">
        <v>15</v>
      </c>
      <c r="F3" s="43" t="s">
        <v>5</v>
      </c>
      <c r="G3" s="39"/>
      <c r="H3" s="44" t="s">
        <v>6</v>
      </c>
      <c r="I3" s="45" t="s">
        <v>7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24.75" customHeight="1">
      <c r="A4" s="46"/>
      <c r="B4" s="47"/>
      <c r="C4" s="48" t="str">
        <f>vlookup(B4,'Crew Data'!C:G,5,0)</f>
        <v>#N/A</v>
      </c>
      <c r="D4" s="49"/>
      <c r="E4" s="47"/>
      <c r="F4" s="50">
        <f>E4*400</f>
        <v>0</v>
      </c>
      <c r="G4" s="22">
        <f>COUNTIF(B:B,B4)</f>
        <v>0</v>
      </c>
      <c r="H4" s="5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D5" s="52"/>
    </row>
    <row r="6">
      <c r="D6" s="52"/>
    </row>
    <row r="7" ht="44.25" customHeight="1">
      <c r="A7" s="53" t="s">
        <v>16</v>
      </c>
    </row>
    <row r="8">
      <c r="D8" s="52"/>
    </row>
    <row r="9">
      <c r="D9" s="52"/>
    </row>
    <row r="10">
      <c r="D10" s="52"/>
    </row>
    <row r="11">
      <c r="D11" s="52"/>
    </row>
    <row r="12">
      <c r="D12" s="52"/>
    </row>
    <row r="13">
      <c r="D13" s="52"/>
    </row>
    <row r="14">
      <c r="D14" s="52"/>
    </row>
    <row r="15">
      <c r="D15" s="52"/>
    </row>
    <row r="16">
      <c r="D16" s="52"/>
    </row>
    <row r="17">
      <c r="D17" s="52"/>
    </row>
    <row r="18">
      <c r="D18" s="52"/>
    </row>
    <row r="19">
      <c r="D19" s="52"/>
    </row>
    <row r="20">
      <c r="D20" s="52"/>
    </row>
    <row r="21">
      <c r="D21" s="52"/>
    </row>
    <row r="22">
      <c r="D22" s="52"/>
    </row>
    <row r="23">
      <c r="D23" s="52"/>
    </row>
    <row r="24">
      <c r="D24" s="52"/>
    </row>
    <row r="25">
      <c r="D25" s="52"/>
    </row>
    <row r="26">
      <c r="D26" s="52"/>
    </row>
    <row r="27">
      <c r="D27" s="52"/>
    </row>
    <row r="28">
      <c r="D28" s="52"/>
    </row>
    <row r="29">
      <c r="D29" s="52"/>
    </row>
    <row r="30">
      <c r="D30" s="52"/>
    </row>
    <row r="31">
      <c r="D31" s="52"/>
    </row>
    <row r="32">
      <c r="D32" s="52"/>
    </row>
    <row r="33">
      <c r="D33" s="52"/>
    </row>
    <row r="34">
      <c r="D34" s="52"/>
    </row>
    <row r="35">
      <c r="D35" s="52"/>
    </row>
    <row r="36">
      <c r="D36" s="52"/>
    </row>
    <row r="37">
      <c r="D37" s="52"/>
    </row>
    <row r="38">
      <c r="D38" s="52"/>
    </row>
    <row r="39">
      <c r="D39" s="52"/>
    </row>
    <row r="40">
      <c r="D40" s="52"/>
    </row>
    <row r="41">
      <c r="D41" s="52"/>
    </row>
    <row r="42">
      <c r="D42" s="52"/>
    </row>
    <row r="43">
      <c r="D43" s="52"/>
    </row>
    <row r="44">
      <c r="D44" s="52"/>
    </row>
    <row r="45">
      <c r="D45" s="52"/>
    </row>
    <row r="46">
      <c r="D46" s="52"/>
    </row>
    <row r="47">
      <c r="D47" s="52"/>
    </row>
    <row r="48">
      <c r="D48" s="52"/>
    </row>
    <row r="49">
      <c r="D49" s="52"/>
    </row>
    <row r="50">
      <c r="D50" s="52"/>
    </row>
    <row r="51">
      <c r="D51" s="52"/>
    </row>
    <row r="52">
      <c r="D52" s="52"/>
    </row>
    <row r="53">
      <c r="D53" s="52"/>
    </row>
    <row r="54">
      <c r="D54" s="52"/>
    </row>
    <row r="55">
      <c r="D55" s="52"/>
    </row>
    <row r="56">
      <c r="D56" s="52"/>
    </row>
    <row r="57">
      <c r="D57" s="52"/>
    </row>
    <row r="58">
      <c r="D58" s="52"/>
    </row>
    <row r="59">
      <c r="D59" s="52"/>
    </row>
    <row r="60">
      <c r="D60" s="52"/>
    </row>
    <row r="61">
      <c r="D61" s="52"/>
    </row>
    <row r="62">
      <c r="D62" s="52"/>
    </row>
    <row r="63">
      <c r="D63" s="52"/>
    </row>
    <row r="64">
      <c r="D64" s="52"/>
    </row>
    <row r="65">
      <c r="D65" s="52"/>
    </row>
    <row r="66">
      <c r="D66" s="52"/>
    </row>
    <row r="67">
      <c r="D67" s="52"/>
    </row>
    <row r="68">
      <c r="D68" s="52"/>
    </row>
    <row r="69">
      <c r="D69" s="52"/>
    </row>
    <row r="70">
      <c r="D70" s="52"/>
    </row>
    <row r="71">
      <c r="D71" s="52"/>
    </row>
    <row r="72">
      <c r="D72" s="52"/>
    </row>
    <row r="73">
      <c r="D73" s="52"/>
    </row>
    <row r="74">
      <c r="D74" s="52"/>
    </row>
    <row r="75">
      <c r="D75" s="52"/>
    </row>
    <row r="76">
      <c r="D76" s="52"/>
    </row>
    <row r="77">
      <c r="D77" s="52"/>
    </row>
    <row r="78">
      <c r="D78" s="52"/>
    </row>
    <row r="79">
      <c r="D79" s="52"/>
    </row>
    <row r="80">
      <c r="D80" s="52"/>
    </row>
    <row r="81">
      <c r="D81" s="52"/>
    </row>
    <row r="82">
      <c r="D82" s="52"/>
    </row>
    <row r="83">
      <c r="D83" s="52"/>
    </row>
    <row r="84">
      <c r="D84" s="52"/>
    </row>
    <row r="85">
      <c r="D85" s="52"/>
    </row>
    <row r="86">
      <c r="D86" s="52"/>
    </row>
    <row r="87">
      <c r="D87" s="52"/>
    </row>
    <row r="88">
      <c r="D88" s="52"/>
    </row>
    <row r="89">
      <c r="D89" s="52"/>
    </row>
    <row r="90">
      <c r="D90" s="52"/>
    </row>
    <row r="91">
      <c r="D91" s="52"/>
    </row>
    <row r="92">
      <c r="D92" s="52"/>
    </row>
    <row r="93">
      <c r="D93" s="52"/>
    </row>
    <row r="94">
      <c r="D94" s="52"/>
    </row>
    <row r="95">
      <c r="D95" s="52"/>
    </row>
    <row r="96">
      <c r="D96" s="52"/>
    </row>
    <row r="97">
      <c r="D97" s="52"/>
    </row>
    <row r="98">
      <c r="D98" s="52"/>
    </row>
    <row r="99">
      <c r="D99" s="52"/>
    </row>
    <row r="100">
      <c r="D100" s="52"/>
    </row>
    <row r="101">
      <c r="D101" s="52"/>
    </row>
    <row r="102">
      <c r="D102" s="52"/>
    </row>
    <row r="103">
      <c r="D103" s="52"/>
    </row>
    <row r="104">
      <c r="D104" s="52"/>
    </row>
    <row r="105">
      <c r="D105" s="52"/>
    </row>
    <row r="106">
      <c r="D106" s="52"/>
    </row>
    <row r="107">
      <c r="D107" s="52"/>
    </row>
    <row r="108">
      <c r="D108" s="52"/>
    </row>
    <row r="109">
      <c r="D109" s="52"/>
    </row>
    <row r="110">
      <c r="D110" s="52"/>
    </row>
    <row r="111">
      <c r="D111" s="52"/>
    </row>
    <row r="112">
      <c r="D112" s="52"/>
    </row>
    <row r="113">
      <c r="D113" s="52"/>
    </row>
    <row r="114">
      <c r="D114" s="52"/>
    </row>
    <row r="115">
      <c r="D115" s="52"/>
    </row>
    <row r="116">
      <c r="D116" s="52"/>
    </row>
    <row r="117">
      <c r="D117" s="52"/>
    </row>
    <row r="118">
      <c r="D118" s="52"/>
    </row>
    <row r="119">
      <c r="D119" s="52"/>
    </row>
    <row r="120">
      <c r="D120" s="52"/>
    </row>
    <row r="121">
      <c r="D121" s="52"/>
    </row>
    <row r="122">
      <c r="D122" s="52"/>
    </row>
    <row r="123">
      <c r="D123" s="52"/>
    </row>
    <row r="124">
      <c r="D124" s="52"/>
    </row>
    <row r="125">
      <c r="D125" s="52"/>
    </row>
    <row r="126">
      <c r="D126" s="52"/>
    </row>
    <row r="127">
      <c r="D127" s="52"/>
    </row>
    <row r="128">
      <c r="D128" s="52"/>
    </row>
    <row r="129">
      <c r="D129" s="52"/>
    </row>
    <row r="130">
      <c r="D130" s="52"/>
    </row>
    <row r="131">
      <c r="D131" s="52"/>
    </row>
    <row r="132">
      <c r="D132" s="52"/>
    </row>
    <row r="133">
      <c r="D133" s="52"/>
    </row>
    <row r="134">
      <c r="D134" s="52"/>
    </row>
    <row r="135">
      <c r="D135" s="52"/>
    </row>
    <row r="136">
      <c r="D136" s="52"/>
    </row>
    <row r="137">
      <c r="D137" s="52"/>
    </row>
    <row r="138">
      <c r="D138" s="52"/>
    </row>
    <row r="139">
      <c r="D139" s="52"/>
    </row>
    <row r="140">
      <c r="D140" s="52"/>
    </row>
    <row r="141">
      <c r="D141" s="52"/>
    </row>
    <row r="142">
      <c r="D142" s="52"/>
    </row>
    <row r="143">
      <c r="D143" s="52"/>
    </row>
    <row r="144">
      <c r="D144" s="52"/>
    </row>
    <row r="145">
      <c r="D145" s="52"/>
    </row>
    <row r="146">
      <c r="D146" s="52"/>
    </row>
    <row r="147">
      <c r="D147" s="52"/>
    </row>
    <row r="148">
      <c r="D148" s="52"/>
    </row>
    <row r="149">
      <c r="D149" s="52"/>
    </row>
    <row r="150">
      <c r="D150" s="52"/>
    </row>
    <row r="151">
      <c r="D151" s="52"/>
    </row>
    <row r="152">
      <c r="D152" s="52"/>
    </row>
    <row r="153">
      <c r="D153" s="52"/>
    </row>
    <row r="154">
      <c r="D154" s="52"/>
    </row>
    <row r="155">
      <c r="D155" s="52"/>
    </row>
    <row r="156">
      <c r="D156" s="52"/>
    </row>
    <row r="157">
      <c r="D157" s="52"/>
    </row>
    <row r="158">
      <c r="D158" s="52"/>
    </row>
    <row r="159">
      <c r="D159" s="52"/>
    </row>
    <row r="160">
      <c r="D160" s="52"/>
    </row>
    <row r="161">
      <c r="D161" s="52"/>
    </row>
    <row r="162">
      <c r="D162" s="52"/>
    </row>
    <row r="163">
      <c r="D163" s="52"/>
    </row>
    <row r="164">
      <c r="D164" s="52"/>
    </row>
    <row r="165">
      <c r="D165" s="52"/>
    </row>
    <row r="166">
      <c r="D166" s="52"/>
    </row>
    <row r="167">
      <c r="D167" s="52"/>
    </row>
    <row r="168">
      <c r="D168" s="52"/>
    </row>
    <row r="169">
      <c r="D169" s="52"/>
    </row>
    <row r="170">
      <c r="D170" s="52"/>
    </row>
    <row r="171">
      <c r="D171" s="52"/>
    </row>
    <row r="172">
      <c r="D172" s="52"/>
    </row>
    <row r="173">
      <c r="D173" s="52"/>
    </row>
    <row r="174">
      <c r="D174" s="52"/>
    </row>
    <row r="175">
      <c r="D175" s="52"/>
    </row>
    <row r="176">
      <c r="D176" s="52"/>
    </row>
    <row r="177">
      <c r="D177" s="52"/>
    </row>
    <row r="178">
      <c r="D178" s="52"/>
    </row>
    <row r="179">
      <c r="D179" s="52"/>
    </row>
    <row r="180">
      <c r="D180" s="52"/>
    </row>
    <row r="181">
      <c r="D181" s="52"/>
    </row>
    <row r="182">
      <c r="D182" s="52"/>
    </row>
    <row r="183">
      <c r="D183" s="52"/>
    </row>
    <row r="184">
      <c r="D184" s="52"/>
    </row>
    <row r="185">
      <c r="D185" s="52"/>
    </row>
    <row r="186">
      <c r="D186" s="52"/>
    </row>
    <row r="187">
      <c r="D187" s="52"/>
    </row>
    <row r="188">
      <c r="D188" s="52"/>
    </row>
    <row r="189">
      <c r="D189" s="52"/>
    </row>
    <row r="190">
      <c r="D190" s="52"/>
    </row>
    <row r="191">
      <c r="D191" s="52"/>
    </row>
    <row r="192">
      <c r="D192" s="52"/>
    </row>
    <row r="193">
      <c r="D193" s="52"/>
    </row>
    <row r="194">
      <c r="D194" s="52"/>
    </row>
    <row r="195">
      <c r="D195" s="52"/>
    </row>
    <row r="196">
      <c r="D196" s="52"/>
    </row>
    <row r="197">
      <c r="D197" s="52"/>
    </row>
    <row r="198">
      <c r="D198" s="52"/>
    </row>
    <row r="199">
      <c r="D199" s="52"/>
    </row>
    <row r="200">
      <c r="D200" s="52"/>
    </row>
    <row r="201">
      <c r="D201" s="52"/>
    </row>
    <row r="202">
      <c r="D202" s="52"/>
    </row>
    <row r="203">
      <c r="D203" s="52"/>
    </row>
    <row r="204">
      <c r="D204" s="52"/>
    </row>
    <row r="205">
      <c r="D205" s="52"/>
    </row>
    <row r="206">
      <c r="D206" s="52"/>
    </row>
    <row r="207">
      <c r="D207" s="52"/>
    </row>
    <row r="208">
      <c r="D208" s="52"/>
    </row>
    <row r="209">
      <c r="D209" s="52"/>
    </row>
    <row r="210">
      <c r="D210" s="52"/>
    </row>
    <row r="211">
      <c r="D211" s="52"/>
    </row>
    <row r="212">
      <c r="D212" s="52"/>
    </row>
    <row r="213">
      <c r="D213" s="52"/>
    </row>
    <row r="214">
      <c r="D214" s="52"/>
    </row>
    <row r="215">
      <c r="D215" s="52"/>
    </row>
    <row r="216">
      <c r="D216" s="52"/>
    </row>
    <row r="217">
      <c r="D217" s="52"/>
    </row>
    <row r="218">
      <c r="D218" s="52"/>
    </row>
    <row r="219">
      <c r="D219" s="52"/>
    </row>
    <row r="220">
      <c r="D220" s="52"/>
    </row>
    <row r="221">
      <c r="D221" s="52"/>
    </row>
    <row r="222">
      <c r="D222" s="52"/>
    </row>
    <row r="223">
      <c r="D223" s="52"/>
    </row>
    <row r="224">
      <c r="D224" s="52"/>
    </row>
    <row r="225">
      <c r="D225" s="52"/>
    </row>
    <row r="226">
      <c r="D226" s="52"/>
    </row>
    <row r="227">
      <c r="D227" s="52"/>
    </row>
    <row r="228">
      <c r="D228" s="52"/>
    </row>
    <row r="229">
      <c r="D229" s="52"/>
    </row>
    <row r="230">
      <c r="D230" s="52"/>
    </row>
    <row r="231">
      <c r="D231" s="52"/>
    </row>
    <row r="232">
      <c r="D232" s="52"/>
    </row>
    <row r="233">
      <c r="D233" s="52"/>
    </row>
    <row r="234">
      <c r="D234" s="52"/>
    </row>
    <row r="235">
      <c r="D235" s="52"/>
    </row>
    <row r="236">
      <c r="D236" s="52"/>
    </row>
    <row r="237">
      <c r="D237" s="52"/>
    </row>
    <row r="238">
      <c r="D238" s="52"/>
    </row>
    <row r="239">
      <c r="D239" s="52"/>
    </row>
    <row r="240">
      <c r="D240" s="52"/>
    </row>
    <row r="241">
      <c r="D241" s="52"/>
    </row>
    <row r="242">
      <c r="D242" s="52"/>
    </row>
    <row r="243">
      <c r="D243" s="52"/>
    </row>
    <row r="244">
      <c r="D244" s="52"/>
    </row>
    <row r="245">
      <c r="D245" s="52"/>
    </row>
    <row r="246">
      <c r="D246" s="52"/>
    </row>
    <row r="247">
      <c r="D247" s="52"/>
    </row>
    <row r="248">
      <c r="D248" s="52"/>
    </row>
    <row r="249">
      <c r="D249" s="52"/>
    </row>
    <row r="250">
      <c r="D250" s="52"/>
    </row>
    <row r="251">
      <c r="D251" s="52"/>
    </row>
    <row r="252">
      <c r="D252" s="52"/>
    </row>
    <row r="253">
      <c r="D253" s="52"/>
    </row>
    <row r="254">
      <c r="D254" s="52"/>
    </row>
    <row r="255">
      <c r="D255" s="52"/>
    </row>
    <row r="256">
      <c r="D256" s="52"/>
    </row>
    <row r="257">
      <c r="D257" s="52"/>
    </row>
    <row r="258">
      <c r="D258" s="52"/>
    </row>
    <row r="259">
      <c r="D259" s="52"/>
    </row>
    <row r="260">
      <c r="D260" s="52"/>
    </row>
    <row r="261">
      <c r="D261" s="52"/>
    </row>
    <row r="262">
      <c r="D262" s="52"/>
    </row>
    <row r="263">
      <c r="D263" s="52"/>
    </row>
    <row r="264">
      <c r="D264" s="52"/>
    </row>
    <row r="265">
      <c r="D265" s="52"/>
    </row>
    <row r="266">
      <c r="D266" s="52"/>
    </row>
    <row r="267">
      <c r="D267" s="52"/>
    </row>
    <row r="268">
      <c r="D268" s="52"/>
    </row>
    <row r="269">
      <c r="D269" s="52"/>
    </row>
    <row r="270">
      <c r="D270" s="52"/>
    </row>
    <row r="271">
      <c r="D271" s="52"/>
    </row>
    <row r="272">
      <c r="D272" s="52"/>
    </row>
    <row r="273">
      <c r="D273" s="52"/>
    </row>
    <row r="274">
      <c r="D274" s="52"/>
    </row>
    <row r="275">
      <c r="D275" s="52"/>
    </row>
    <row r="276">
      <c r="D276" s="52"/>
    </row>
    <row r="277">
      <c r="D277" s="52"/>
    </row>
    <row r="278">
      <c r="D278" s="52"/>
    </row>
    <row r="279">
      <c r="D279" s="52"/>
    </row>
    <row r="280">
      <c r="D280" s="52"/>
    </row>
    <row r="281">
      <c r="D281" s="52"/>
    </row>
    <row r="282">
      <c r="D282" s="52"/>
    </row>
    <row r="283">
      <c r="D283" s="52"/>
    </row>
    <row r="284">
      <c r="D284" s="52"/>
    </row>
    <row r="285">
      <c r="D285" s="52"/>
    </row>
    <row r="286">
      <c r="D286" s="52"/>
    </row>
    <row r="287">
      <c r="D287" s="52"/>
    </row>
    <row r="288">
      <c r="D288" s="52"/>
    </row>
    <row r="289">
      <c r="D289" s="52"/>
    </row>
    <row r="290">
      <c r="D290" s="52"/>
    </row>
    <row r="291">
      <c r="D291" s="52"/>
    </row>
    <row r="292">
      <c r="D292" s="52"/>
    </row>
    <row r="293">
      <c r="D293" s="52"/>
    </row>
    <row r="294">
      <c r="D294" s="52"/>
    </row>
    <row r="295">
      <c r="D295" s="52"/>
    </row>
    <row r="296">
      <c r="D296" s="52"/>
    </row>
    <row r="297">
      <c r="D297" s="52"/>
    </row>
    <row r="298">
      <c r="D298" s="52"/>
    </row>
    <row r="299">
      <c r="D299" s="52"/>
    </row>
    <row r="300">
      <c r="D300" s="52"/>
    </row>
    <row r="301">
      <c r="D301" s="52"/>
    </row>
    <row r="302">
      <c r="D302" s="52"/>
    </row>
    <row r="303">
      <c r="D303" s="52"/>
    </row>
    <row r="304">
      <c r="D304" s="52"/>
    </row>
    <row r="305">
      <c r="D305" s="52"/>
    </row>
    <row r="306">
      <c r="D306" s="52"/>
    </row>
    <row r="307">
      <c r="D307" s="52"/>
    </row>
    <row r="308">
      <c r="D308" s="52"/>
    </row>
    <row r="309">
      <c r="D309" s="52"/>
    </row>
    <row r="310">
      <c r="D310" s="52"/>
    </row>
    <row r="311">
      <c r="D311" s="52"/>
    </row>
    <row r="312">
      <c r="D312" s="52"/>
    </row>
    <row r="313">
      <c r="D313" s="52"/>
    </row>
    <row r="314">
      <c r="D314" s="52"/>
    </row>
    <row r="315">
      <c r="D315" s="52"/>
    </row>
    <row r="316">
      <c r="D316" s="52"/>
    </row>
    <row r="317">
      <c r="D317" s="52"/>
    </row>
    <row r="318">
      <c r="D318" s="52"/>
    </row>
    <row r="319">
      <c r="D319" s="52"/>
    </row>
    <row r="320">
      <c r="D320" s="52"/>
    </row>
    <row r="321">
      <c r="D321" s="52"/>
    </row>
    <row r="322">
      <c r="D322" s="52"/>
    </row>
    <row r="323">
      <c r="D323" s="52"/>
    </row>
    <row r="324">
      <c r="D324" s="52"/>
    </row>
    <row r="325">
      <c r="D325" s="52"/>
    </row>
    <row r="326">
      <c r="D326" s="52"/>
    </row>
    <row r="327">
      <c r="D327" s="52"/>
    </row>
    <row r="328">
      <c r="D328" s="52"/>
    </row>
    <row r="329">
      <c r="D329" s="52"/>
    </row>
    <row r="330">
      <c r="D330" s="52"/>
    </row>
    <row r="331">
      <c r="D331" s="52"/>
    </row>
    <row r="332">
      <c r="D332" s="52"/>
    </row>
    <row r="333">
      <c r="D333" s="52"/>
    </row>
    <row r="334">
      <c r="D334" s="52"/>
    </row>
    <row r="335">
      <c r="D335" s="52"/>
    </row>
    <row r="336">
      <c r="D336" s="52"/>
    </row>
    <row r="337">
      <c r="D337" s="52"/>
    </row>
    <row r="338">
      <c r="D338" s="52"/>
    </row>
    <row r="339">
      <c r="D339" s="52"/>
    </row>
    <row r="340">
      <c r="D340" s="52"/>
    </row>
    <row r="341">
      <c r="D341" s="52"/>
    </row>
    <row r="342">
      <c r="D342" s="52"/>
    </row>
    <row r="343">
      <c r="D343" s="52"/>
    </row>
    <row r="344">
      <c r="D344" s="52"/>
    </row>
    <row r="345">
      <c r="D345" s="52"/>
    </row>
    <row r="346">
      <c r="D346" s="52"/>
    </row>
    <row r="347">
      <c r="D347" s="52"/>
    </row>
    <row r="348">
      <c r="D348" s="52"/>
    </row>
    <row r="349">
      <c r="D349" s="52"/>
    </row>
    <row r="350">
      <c r="D350" s="52"/>
    </row>
    <row r="351">
      <c r="D351" s="52"/>
    </row>
    <row r="352">
      <c r="D352" s="52"/>
    </row>
    <row r="353">
      <c r="D353" s="52"/>
    </row>
    <row r="354">
      <c r="D354" s="52"/>
    </row>
    <row r="355">
      <c r="D355" s="52"/>
    </row>
    <row r="356">
      <c r="D356" s="52"/>
    </row>
    <row r="357">
      <c r="D357" s="52"/>
    </row>
    <row r="358">
      <c r="D358" s="52"/>
    </row>
    <row r="359">
      <c r="D359" s="52"/>
    </row>
    <row r="360">
      <c r="D360" s="52"/>
    </row>
    <row r="361">
      <c r="D361" s="52"/>
    </row>
    <row r="362">
      <c r="D362" s="52"/>
    </row>
    <row r="363">
      <c r="D363" s="52"/>
    </row>
    <row r="364">
      <c r="D364" s="52"/>
    </row>
    <row r="365">
      <c r="D365" s="52"/>
    </row>
    <row r="366">
      <c r="D366" s="52"/>
    </row>
    <row r="367">
      <c r="D367" s="52"/>
    </row>
    <row r="368">
      <c r="D368" s="52"/>
    </row>
    <row r="369">
      <c r="D369" s="52"/>
    </row>
    <row r="370">
      <c r="D370" s="52"/>
    </row>
    <row r="371">
      <c r="D371" s="52"/>
    </row>
    <row r="372">
      <c r="D372" s="52"/>
    </row>
    <row r="373">
      <c r="D373" s="52"/>
    </row>
    <row r="374">
      <c r="D374" s="52"/>
    </row>
    <row r="375">
      <c r="D375" s="52"/>
    </row>
    <row r="376">
      <c r="D376" s="52"/>
    </row>
    <row r="377">
      <c r="D377" s="52"/>
    </row>
    <row r="378">
      <c r="D378" s="52"/>
    </row>
    <row r="379">
      <c r="D379" s="52"/>
    </row>
    <row r="380">
      <c r="D380" s="52"/>
    </row>
    <row r="381">
      <c r="D381" s="52"/>
    </row>
    <row r="382">
      <c r="D382" s="52"/>
    </row>
    <row r="383">
      <c r="D383" s="52"/>
    </row>
    <row r="384">
      <c r="D384" s="52"/>
    </row>
    <row r="385">
      <c r="D385" s="52"/>
    </row>
    <row r="386">
      <c r="D386" s="52"/>
    </row>
    <row r="387">
      <c r="D387" s="52"/>
    </row>
    <row r="388">
      <c r="D388" s="52"/>
    </row>
    <row r="389">
      <c r="D389" s="52"/>
    </row>
    <row r="390">
      <c r="D390" s="52"/>
    </row>
    <row r="391">
      <c r="D391" s="52"/>
    </row>
    <row r="392">
      <c r="D392" s="52"/>
    </row>
    <row r="393">
      <c r="D393" s="52"/>
    </row>
    <row r="394">
      <c r="D394" s="52"/>
    </row>
    <row r="395">
      <c r="D395" s="52"/>
    </row>
    <row r="396">
      <c r="D396" s="52"/>
    </row>
    <row r="397">
      <c r="D397" s="52"/>
    </row>
    <row r="398">
      <c r="D398" s="52"/>
    </row>
    <row r="399">
      <c r="D399" s="52"/>
    </row>
    <row r="400">
      <c r="D400" s="52"/>
    </row>
    <row r="401">
      <c r="D401" s="52"/>
    </row>
    <row r="402">
      <c r="D402" s="52"/>
    </row>
    <row r="403">
      <c r="D403" s="52"/>
    </row>
    <row r="404">
      <c r="D404" s="52"/>
    </row>
    <row r="405">
      <c r="D405" s="52"/>
    </row>
    <row r="406">
      <c r="D406" s="52"/>
    </row>
    <row r="407">
      <c r="D407" s="52"/>
    </row>
    <row r="408">
      <c r="D408" s="52"/>
    </row>
    <row r="409">
      <c r="D409" s="52"/>
    </row>
    <row r="410">
      <c r="D410" s="52"/>
    </row>
    <row r="411">
      <c r="D411" s="52"/>
    </row>
    <row r="412">
      <c r="D412" s="52"/>
    </row>
    <row r="413">
      <c r="D413" s="52"/>
    </row>
    <row r="414">
      <c r="D414" s="52"/>
    </row>
    <row r="415">
      <c r="D415" s="52"/>
    </row>
    <row r="416">
      <c r="D416" s="52"/>
    </row>
    <row r="417">
      <c r="D417" s="52"/>
    </row>
    <row r="418">
      <c r="D418" s="52"/>
    </row>
    <row r="419">
      <c r="D419" s="52"/>
    </row>
    <row r="420">
      <c r="D420" s="52"/>
    </row>
    <row r="421">
      <c r="D421" s="52"/>
    </row>
    <row r="422">
      <c r="D422" s="52"/>
    </row>
    <row r="423">
      <c r="D423" s="52"/>
    </row>
    <row r="424">
      <c r="D424" s="52"/>
    </row>
    <row r="425">
      <c r="D425" s="52"/>
    </row>
    <row r="426">
      <c r="D426" s="52"/>
    </row>
    <row r="427">
      <c r="D427" s="52"/>
    </row>
    <row r="428">
      <c r="D428" s="52"/>
    </row>
    <row r="429">
      <c r="D429" s="52"/>
    </row>
    <row r="430">
      <c r="D430" s="52"/>
    </row>
    <row r="431">
      <c r="D431" s="52"/>
    </row>
    <row r="432">
      <c r="D432" s="52"/>
    </row>
    <row r="433">
      <c r="D433" s="52"/>
    </row>
    <row r="434">
      <c r="D434" s="52"/>
    </row>
    <row r="435">
      <c r="D435" s="52"/>
    </row>
    <row r="436">
      <c r="D436" s="52"/>
    </row>
    <row r="437">
      <c r="D437" s="52"/>
    </row>
    <row r="438">
      <c r="D438" s="52"/>
    </row>
    <row r="439">
      <c r="D439" s="52"/>
    </row>
    <row r="440">
      <c r="D440" s="52"/>
    </row>
    <row r="441">
      <c r="D441" s="52"/>
    </row>
    <row r="442">
      <c r="D442" s="52"/>
    </row>
    <row r="443">
      <c r="D443" s="52"/>
    </row>
    <row r="444">
      <c r="D444" s="52"/>
    </row>
    <row r="445">
      <c r="D445" s="52"/>
    </row>
    <row r="446">
      <c r="D446" s="52"/>
    </row>
    <row r="447">
      <c r="D447" s="52"/>
    </row>
    <row r="448">
      <c r="D448" s="52"/>
    </row>
    <row r="449">
      <c r="D449" s="52"/>
    </row>
    <row r="450">
      <c r="D450" s="52"/>
    </row>
    <row r="451">
      <c r="D451" s="52"/>
    </row>
    <row r="452">
      <c r="D452" s="52"/>
    </row>
    <row r="453">
      <c r="D453" s="52"/>
    </row>
    <row r="454">
      <c r="D454" s="52"/>
    </row>
    <row r="455">
      <c r="D455" s="52"/>
    </row>
    <row r="456">
      <c r="D456" s="52"/>
    </row>
    <row r="457">
      <c r="D457" s="52"/>
    </row>
    <row r="458">
      <c r="D458" s="52"/>
    </row>
    <row r="459">
      <c r="D459" s="52"/>
    </row>
    <row r="460">
      <c r="D460" s="52"/>
    </row>
    <row r="461">
      <c r="D461" s="52"/>
    </row>
    <row r="462">
      <c r="D462" s="52"/>
    </row>
    <row r="463">
      <c r="D463" s="52"/>
    </row>
    <row r="464">
      <c r="D464" s="52"/>
    </row>
    <row r="465">
      <c r="D465" s="52"/>
    </row>
    <row r="466">
      <c r="D466" s="52"/>
    </row>
    <row r="467">
      <c r="D467" s="52"/>
    </row>
    <row r="468">
      <c r="D468" s="52"/>
    </row>
    <row r="469">
      <c r="D469" s="52"/>
    </row>
    <row r="470">
      <c r="D470" s="52"/>
    </row>
    <row r="471">
      <c r="D471" s="52"/>
    </row>
    <row r="472">
      <c r="D472" s="52"/>
    </row>
    <row r="473">
      <c r="D473" s="52"/>
    </row>
    <row r="474">
      <c r="D474" s="52"/>
    </row>
    <row r="475">
      <c r="D475" s="52"/>
    </row>
    <row r="476">
      <c r="D476" s="52"/>
    </row>
    <row r="477">
      <c r="D477" s="52"/>
    </row>
    <row r="478">
      <c r="D478" s="52"/>
    </row>
    <row r="479">
      <c r="D479" s="52"/>
    </row>
    <row r="480">
      <c r="D480" s="52"/>
    </row>
    <row r="481">
      <c r="D481" s="52"/>
    </row>
    <row r="482">
      <c r="D482" s="52"/>
    </row>
    <row r="483">
      <c r="D483" s="52"/>
    </row>
    <row r="484">
      <c r="D484" s="52"/>
    </row>
    <row r="485">
      <c r="D485" s="52"/>
    </row>
    <row r="486">
      <c r="D486" s="52"/>
    </row>
    <row r="487">
      <c r="D487" s="52"/>
    </row>
    <row r="488">
      <c r="D488" s="52"/>
    </row>
    <row r="489">
      <c r="D489" s="52"/>
    </row>
    <row r="490">
      <c r="D490" s="52"/>
    </row>
    <row r="491">
      <c r="D491" s="52"/>
    </row>
    <row r="492">
      <c r="D492" s="52"/>
    </row>
    <row r="493">
      <c r="D493" s="52"/>
    </row>
    <row r="494">
      <c r="D494" s="52"/>
    </row>
    <row r="495">
      <c r="D495" s="52"/>
    </row>
    <row r="496">
      <c r="D496" s="52"/>
    </row>
    <row r="497">
      <c r="D497" s="52"/>
    </row>
    <row r="498">
      <c r="D498" s="52"/>
    </row>
    <row r="499">
      <c r="D499" s="52"/>
    </row>
    <row r="500">
      <c r="D500" s="52"/>
    </row>
    <row r="501">
      <c r="D501" s="52"/>
    </row>
    <row r="502">
      <c r="D502" s="52"/>
    </row>
    <row r="503">
      <c r="D503" s="52"/>
    </row>
    <row r="504">
      <c r="D504" s="52"/>
    </row>
    <row r="505">
      <c r="D505" s="52"/>
    </row>
    <row r="506">
      <c r="D506" s="52"/>
    </row>
    <row r="507">
      <c r="D507" s="52"/>
    </row>
    <row r="508">
      <c r="D508" s="52"/>
    </row>
    <row r="509">
      <c r="D509" s="52"/>
    </row>
    <row r="510">
      <c r="D510" s="52"/>
    </row>
    <row r="511">
      <c r="D511" s="52"/>
    </row>
    <row r="512">
      <c r="D512" s="52"/>
    </row>
    <row r="513">
      <c r="D513" s="52"/>
    </row>
    <row r="514">
      <c r="D514" s="52"/>
    </row>
    <row r="515">
      <c r="D515" s="52"/>
    </row>
    <row r="516">
      <c r="D516" s="52"/>
    </row>
    <row r="517">
      <c r="D517" s="52"/>
    </row>
    <row r="518">
      <c r="D518" s="52"/>
    </row>
    <row r="519">
      <c r="D519" s="52"/>
    </row>
    <row r="520">
      <c r="D520" s="52"/>
    </row>
    <row r="521">
      <c r="D521" s="52"/>
    </row>
    <row r="522">
      <c r="D522" s="52"/>
    </row>
    <row r="523">
      <c r="D523" s="52"/>
    </row>
    <row r="524">
      <c r="D524" s="52"/>
    </row>
    <row r="525">
      <c r="D525" s="52"/>
    </row>
    <row r="526">
      <c r="D526" s="52"/>
    </row>
    <row r="527">
      <c r="D527" s="52"/>
    </row>
    <row r="528">
      <c r="D528" s="52"/>
    </row>
    <row r="529">
      <c r="D529" s="52"/>
    </row>
    <row r="530">
      <c r="D530" s="52"/>
    </row>
    <row r="531">
      <c r="D531" s="52"/>
    </row>
    <row r="532">
      <c r="D532" s="52"/>
    </row>
    <row r="533">
      <c r="D533" s="52"/>
    </row>
    <row r="534">
      <c r="D534" s="52"/>
    </row>
    <row r="535">
      <c r="D535" s="52"/>
    </row>
    <row r="536">
      <c r="D536" s="52"/>
    </row>
    <row r="537">
      <c r="D537" s="52"/>
    </row>
    <row r="538">
      <c r="D538" s="52"/>
    </row>
    <row r="539">
      <c r="D539" s="52"/>
    </row>
    <row r="540">
      <c r="D540" s="52"/>
    </row>
    <row r="541">
      <c r="D541" s="52"/>
    </row>
    <row r="542">
      <c r="D542" s="52"/>
    </row>
    <row r="543">
      <c r="D543" s="52"/>
    </row>
    <row r="544">
      <c r="D544" s="52"/>
    </row>
    <row r="545">
      <c r="D545" s="52"/>
    </row>
    <row r="546">
      <c r="D546" s="52"/>
    </row>
    <row r="547">
      <c r="D547" s="52"/>
    </row>
    <row r="548">
      <c r="D548" s="52"/>
    </row>
    <row r="549">
      <c r="D549" s="52"/>
    </row>
    <row r="550">
      <c r="D550" s="52"/>
    </row>
    <row r="551">
      <c r="D551" s="52"/>
    </row>
    <row r="552">
      <c r="D552" s="52"/>
    </row>
    <row r="553">
      <c r="D553" s="52"/>
    </row>
    <row r="554">
      <c r="D554" s="52"/>
    </row>
    <row r="555">
      <c r="D555" s="52"/>
    </row>
    <row r="556">
      <c r="D556" s="52"/>
    </row>
    <row r="557">
      <c r="D557" s="52"/>
    </row>
    <row r="558">
      <c r="D558" s="52"/>
    </row>
    <row r="559">
      <c r="D559" s="52"/>
    </row>
    <row r="560">
      <c r="D560" s="52"/>
    </row>
    <row r="561">
      <c r="D561" s="52"/>
    </row>
    <row r="562">
      <c r="D562" s="52"/>
    </row>
    <row r="563">
      <c r="D563" s="52"/>
    </row>
    <row r="564">
      <c r="D564" s="52"/>
    </row>
    <row r="565">
      <c r="D565" s="52"/>
    </row>
    <row r="566">
      <c r="D566" s="52"/>
    </row>
    <row r="567">
      <c r="D567" s="52"/>
    </row>
    <row r="568">
      <c r="D568" s="52"/>
    </row>
    <row r="569">
      <c r="D569" s="52"/>
    </row>
    <row r="570">
      <c r="D570" s="52"/>
    </row>
    <row r="571">
      <c r="D571" s="52"/>
    </row>
    <row r="572">
      <c r="D572" s="52"/>
    </row>
    <row r="573">
      <c r="D573" s="52"/>
    </row>
    <row r="574">
      <c r="D574" s="52"/>
    </row>
    <row r="575">
      <c r="D575" s="52"/>
    </row>
    <row r="576">
      <c r="D576" s="52"/>
    </row>
    <row r="577">
      <c r="D577" s="52"/>
    </row>
    <row r="578">
      <c r="D578" s="52"/>
    </row>
    <row r="579">
      <c r="D579" s="52"/>
    </row>
    <row r="580">
      <c r="D580" s="52"/>
    </row>
    <row r="581">
      <c r="D581" s="52"/>
    </row>
    <row r="582">
      <c r="D582" s="52"/>
    </row>
    <row r="583">
      <c r="D583" s="52"/>
    </row>
    <row r="584">
      <c r="D584" s="52"/>
    </row>
    <row r="585">
      <c r="D585" s="52"/>
    </row>
    <row r="586">
      <c r="D586" s="52"/>
    </row>
    <row r="587">
      <c r="D587" s="52"/>
    </row>
    <row r="588">
      <c r="D588" s="52"/>
    </row>
    <row r="589">
      <c r="D589" s="52"/>
    </row>
    <row r="590">
      <c r="D590" s="52"/>
    </row>
    <row r="591">
      <c r="D591" s="52"/>
    </row>
    <row r="592">
      <c r="D592" s="52"/>
    </row>
    <row r="593">
      <c r="D593" s="52"/>
    </row>
    <row r="594">
      <c r="D594" s="52"/>
    </row>
    <row r="595">
      <c r="D595" s="52"/>
    </row>
    <row r="596">
      <c r="D596" s="52"/>
    </row>
    <row r="597">
      <c r="D597" s="52"/>
    </row>
    <row r="598">
      <c r="D598" s="52"/>
    </row>
    <row r="599">
      <c r="D599" s="52"/>
    </row>
    <row r="600">
      <c r="D600" s="52"/>
    </row>
    <row r="601">
      <c r="D601" s="52"/>
    </row>
    <row r="602">
      <c r="D602" s="52"/>
    </row>
    <row r="603">
      <c r="D603" s="52"/>
    </row>
    <row r="604">
      <c r="D604" s="52"/>
    </row>
    <row r="605">
      <c r="D605" s="52"/>
    </row>
    <row r="606">
      <c r="D606" s="52"/>
    </row>
    <row r="607">
      <c r="D607" s="52"/>
    </row>
    <row r="608">
      <c r="D608" s="52"/>
    </row>
    <row r="609">
      <c r="D609" s="52"/>
    </row>
    <row r="610">
      <c r="D610" s="52"/>
    </row>
    <row r="611">
      <c r="D611" s="52"/>
    </row>
    <row r="612">
      <c r="D612" s="52"/>
    </row>
    <row r="613">
      <c r="D613" s="52"/>
    </row>
    <row r="614">
      <c r="D614" s="52"/>
    </row>
    <row r="615">
      <c r="D615" s="52"/>
    </row>
    <row r="616">
      <c r="D616" s="52"/>
    </row>
    <row r="617">
      <c r="D617" s="52"/>
    </row>
    <row r="618">
      <c r="D618" s="52"/>
    </row>
    <row r="619">
      <c r="D619" s="52"/>
    </row>
    <row r="620">
      <c r="D620" s="52"/>
    </row>
    <row r="621">
      <c r="D621" s="52"/>
    </row>
    <row r="622">
      <c r="D622" s="52"/>
    </row>
    <row r="623">
      <c r="D623" s="52"/>
    </row>
    <row r="624">
      <c r="D624" s="52"/>
    </row>
    <row r="625">
      <c r="D625" s="52"/>
    </row>
    <row r="626">
      <c r="D626" s="52"/>
    </row>
    <row r="627">
      <c r="D627" s="52"/>
    </row>
    <row r="628">
      <c r="D628" s="52"/>
    </row>
    <row r="629">
      <c r="D629" s="52"/>
    </row>
    <row r="630">
      <c r="D630" s="52"/>
    </row>
    <row r="631">
      <c r="D631" s="52"/>
    </row>
    <row r="632">
      <c r="D632" s="52"/>
    </row>
    <row r="633">
      <c r="D633" s="52"/>
    </row>
    <row r="634">
      <c r="D634" s="52"/>
    </row>
    <row r="635">
      <c r="D635" s="52"/>
    </row>
    <row r="636">
      <c r="D636" s="52"/>
    </row>
    <row r="637">
      <c r="D637" s="52"/>
    </row>
    <row r="638">
      <c r="D638" s="52"/>
    </row>
    <row r="639">
      <c r="D639" s="52"/>
    </row>
    <row r="640">
      <c r="D640" s="52"/>
    </row>
    <row r="641">
      <c r="D641" s="52"/>
    </row>
    <row r="642">
      <c r="D642" s="52"/>
    </row>
    <row r="643">
      <c r="D643" s="52"/>
    </row>
    <row r="644">
      <c r="D644" s="52"/>
    </row>
    <row r="645">
      <c r="D645" s="52"/>
    </row>
    <row r="646">
      <c r="D646" s="52"/>
    </row>
    <row r="647">
      <c r="D647" s="52"/>
    </row>
    <row r="648">
      <c r="D648" s="52"/>
    </row>
    <row r="649">
      <c r="D649" s="52"/>
    </row>
    <row r="650">
      <c r="D650" s="52"/>
    </row>
    <row r="651">
      <c r="D651" s="52"/>
    </row>
    <row r="652">
      <c r="D652" s="52"/>
    </row>
    <row r="653">
      <c r="D653" s="52"/>
    </row>
    <row r="654">
      <c r="D654" s="52"/>
    </row>
    <row r="655">
      <c r="D655" s="52"/>
    </row>
    <row r="656">
      <c r="D656" s="52"/>
    </row>
    <row r="657">
      <c r="D657" s="52"/>
    </row>
    <row r="658">
      <c r="D658" s="52"/>
    </row>
    <row r="659">
      <c r="D659" s="52"/>
    </row>
    <row r="660">
      <c r="D660" s="52"/>
    </row>
    <row r="661">
      <c r="D661" s="52"/>
    </row>
    <row r="662">
      <c r="D662" s="52"/>
    </row>
    <row r="663">
      <c r="D663" s="52"/>
    </row>
    <row r="664">
      <c r="D664" s="52"/>
    </row>
    <row r="665">
      <c r="D665" s="52"/>
    </row>
    <row r="666">
      <c r="D666" s="52"/>
    </row>
    <row r="667">
      <c r="D667" s="52"/>
    </row>
    <row r="668">
      <c r="D668" s="52"/>
    </row>
    <row r="669">
      <c r="D669" s="52"/>
    </row>
    <row r="670">
      <c r="D670" s="52"/>
    </row>
    <row r="671">
      <c r="D671" s="52"/>
    </row>
    <row r="672">
      <c r="D672" s="52"/>
    </row>
    <row r="673">
      <c r="D673" s="52"/>
    </row>
    <row r="674">
      <c r="D674" s="52"/>
    </row>
    <row r="675">
      <c r="D675" s="52"/>
    </row>
    <row r="676">
      <c r="D676" s="52"/>
    </row>
    <row r="677">
      <c r="D677" s="52"/>
    </row>
    <row r="678">
      <c r="D678" s="52"/>
    </row>
    <row r="679">
      <c r="D679" s="52"/>
    </row>
    <row r="680">
      <c r="D680" s="52"/>
    </row>
    <row r="681">
      <c r="D681" s="52"/>
    </row>
    <row r="682">
      <c r="D682" s="52"/>
    </row>
    <row r="683">
      <c r="D683" s="52"/>
    </row>
    <row r="684">
      <c r="D684" s="52"/>
    </row>
    <row r="685">
      <c r="D685" s="52"/>
    </row>
    <row r="686">
      <c r="D686" s="52"/>
    </row>
    <row r="687">
      <c r="D687" s="52"/>
    </row>
    <row r="688">
      <c r="D688" s="52"/>
    </row>
    <row r="689">
      <c r="D689" s="52"/>
    </row>
    <row r="690">
      <c r="D690" s="52"/>
    </row>
    <row r="691">
      <c r="D691" s="52"/>
    </row>
    <row r="692">
      <c r="D692" s="52"/>
    </row>
    <row r="693">
      <c r="D693" s="52"/>
    </row>
    <row r="694">
      <c r="D694" s="52"/>
    </row>
    <row r="695">
      <c r="D695" s="52"/>
    </row>
    <row r="696">
      <c r="D696" s="52"/>
    </row>
    <row r="697">
      <c r="D697" s="52"/>
    </row>
    <row r="698">
      <c r="D698" s="52"/>
    </row>
    <row r="699">
      <c r="D699" s="52"/>
    </row>
    <row r="700">
      <c r="D700" s="52"/>
    </row>
    <row r="701">
      <c r="D701" s="52"/>
    </row>
    <row r="702">
      <c r="D702" s="52"/>
    </row>
    <row r="703">
      <c r="D703" s="52"/>
    </row>
    <row r="704">
      <c r="D704" s="52"/>
    </row>
    <row r="705">
      <c r="D705" s="52"/>
    </row>
    <row r="706">
      <c r="D706" s="52"/>
    </row>
    <row r="707">
      <c r="D707" s="52"/>
    </row>
    <row r="708">
      <c r="D708" s="52"/>
    </row>
    <row r="709">
      <c r="D709" s="52"/>
    </row>
    <row r="710">
      <c r="D710" s="52"/>
    </row>
    <row r="711">
      <c r="D711" s="52"/>
    </row>
    <row r="712">
      <c r="D712" s="52"/>
    </row>
    <row r="713">
      <c r="D713" s="52"/>
    </row>
    <row r="714">
      <c r="D714" s="52"/>
    </row>
    <row r="715">
      <c r="D715" s="52"/>
    </row>
    <row r="716">
      <c r="D716" s="52"/>
    </row>
    <row r="717">
      <c r="D717" s="52"/>
    </row>
    <row r="718">
      <c r="D718" s="52"/>
    </row>
    <row r="719">
      <c r="D719" s="52"/>
    </row>
    <row r="720">
      <c r="D720" s="52"/>
    </row>
    <row r="721">
      <c r="D721" s="52"/>
    </row>
    <row r="722">
      <c r="D722" s="52"/>
    </row>
    <row r="723">
      <c r="D723" s="52"/>
    </row>
    <row r="724">
      <c r="D724" s="52"/>
    </row>
    <row r="725">
      <c r="D725" s="52"/>
    </row>
    <row r="726">
      <c r="D726" s="52"/>
    </row>
    <row r="727">
      <c r="D727" s="52"/>
    </row>
    <row r="728">
      <c r="D728" s="52"/>
    </row>
    <row r="729">
      <c r="D729" s="52"/>
    </row>
    <row r="730">
      <c r="D730" s="52"/>
    </row>
    <row r="731">
      <c r="D731" s="52"/>
    </row>
    <row r="732">
      <c r="D732" s="52"/>
    </row>
    <row r="733">
      <c r="D733" s="52"/>
    </row>
    <row r="734">
      <c r="D734" s="52"/>
    </row>
    <row r="735">
      <c r="D735" s="52"/>
    </row>
    <row r="736">
      <c r="D736" s="52"/>
    </row>
    <row r="737">
      <c r="D737" s="52"/>
    </row>
    <row r="738">
      <c r="D738" s="52"/>
    </row>
    <row r="739">
      <c r="D739" s="52"/>
    </row>
    <row r="740">
      <c r="D740" s="52"/>
    </row>
    <row r="741">
      <c r="D741" s="52"/>
    </row>
    <row r="742">
      <c r="D742" s="52"/>
    </row>
    <row r="743">
      <c r="D743" s="52"/>
    </row>
    <row r="744">
      <c r="D744" s="52"/>
    </row>
    <row r="745">
      <c r="D745" s="52"/>
    </row>
    <row r="746">
      <c r="D746" s="52"/>
    </row>
    <row r="747">
      <c r="D747" s="52"/>
    </row>
    <row r="748">
      <c r="D748" s="52"/>
    </row>
    <row r="749">
      <c r="D749" s="52"/>
    </row>
    <row r="750">
      <c r="D750" s="52"/>
    </row>
    <row r="751">
      <c r="D751" s="52"/>
    </row>
    <row r="752">
      <c r="D752" s="52"/>
    </row>
    <row r="753">
      <c r="D753" s="52"/>
    </row>
    <row r="754">
      <c r="D754" s="52"/>
    </row>
    <row r="755">
      <c r="D755" s="52"/>
    </row>
    <row r="756">
      <c r="D756" s="52"/>
    </row>
    <row r="757">
      <c r="D757" s="52"/>
    </row>
    <row r="758">
      <c r="D758" s="52"/>
    </row>
    <row r="759">
      <c r="D759" s="52"/>
    </row>
    <row r="760">
      <c r="D760" s="52"/>
    </row>
    <row r="761">
      <c r="D761" s="52"/>
    </row>
    <row r="762">
      <c r="D762" s="52"/>
    </row>
    <row r="763">
      <c r="D763" s="52"/>
    </row>
    <row r="764">
      <c r="D764" s="52"/>
    </row>
    <row r="765">
      <c r="D765" s="52"/>
    </row>
    <row r="766">
      <c r="D766" s="52"/>
    </row>
    <row r="767">
      <c r="D767" s="52"/>
    </row>
    <row r="768">
      <c r="D768" s="52"/>
    </row>
    <row r="769">
      <c r="D769" s="52"/>
    </row>
    <row r="770">
      <c r="D770" s="52"/>
    </row>
    <row r="771">
      <c r="D771" s="52"/>
    </row>
    <row r="772">
      <c r="D772" s="52"/>
    </row>
    <row r="773">
      <c r="D773" s="52"/>
    </row>
    <row r="774">
      <c r="D774" s="52"/>
    </row>
    <row r="775">
      <c r="D775" s="52"/>
    </row>
    <row r="776">
      <c r="D776" s="52"/>
    </row>
    <row r="777">
      <c r="D777" s="52"/>
    </row>
    <row r="778">
      <c r="D778" s="52"/>
    </row>
    <row r="779">
      <c r="D779" s="52"/>
    </row>
    <row r="780">
      <c r="D780" s="52"/>
    </row>
    <row r="781">
      <c r="D781" s="52"/>
    </row>
    <row r="782">
      <c r="D782" s="52"/>
    </row>
    <row r="783">
      <c r="D783" s="52"/>
    </row>
    <row r="784">
      <c r="D784" s="52"/>
    </row>
    <row r="785">
      <c r="D785" s="52"/>
    </row>
    <row r="786">
      <c r="D786" s="52"/>
    </row>
    <row r="787">
      <c r="D787" s="52"/>
    </row>
    <row r="788">
      <c r="D788" s="52"/>
    </row>
    <row r="789">
      <c r="D789" s="52"/>
    </row>
    <row r="790">
      <c r="D790" s="52"/>
    </row>
    <row r="791">
      <c r="D791" s="52"/>
    </row>
    <row r="792">
      <c r="D792" s="52"/>
    </row>
    <row r="793">
      <c r="D793" s="52"/>
    </row>
    <row r="794">
      <c r="D794" s="52"/>
    </row>
    <row r="795">
      <c r="D795" s="52"/>
    </row>
    <row r="796">
      <c r="D796" s="52"/>
    </row>
    <row r="797">
      <c r="D797" s="52"/>
    </row>
    <row r="798">
      <c r="D798" s="52"/>
    </row>
    <row r="799">
      <c r="D799" s="52"/>
    </row>
    <row r="800">
      <c r="D800" s="52"/>
    </row>
    <row r="801">
      <c r="D801" s="52"/>
    </row>
    <row r="802">
      <c r="D802" s="52"/>
    </row>
    <row r="803">
      <c r="D803" s="52"/>
    </row>
    <row r="804">
      <c r="D804" s="52"/>
    </row>
    <row r="805">
      <c r="D805" s="52"/>
    </row>
    <row r="806">
      <c r="D806" s="52"/>
    </row>
    <row r="807">
      <c r="D807" s="52"/>
    </row>
    <row r="808">
      <c r="D808" s="52"/>
    </row>
    <row r="809">
      <c r="D809" s="52"/>
    </row>
    <row r="810">
      <c r="D810" s="52"/>
    </row>
    <row r="811">
      <c r="D811" s="52"/>
    </row>
    <row r="812">
      <c r="D812" s="52"/>
    </row>
    <row r="813">
      <c r="D813" s="52"/>
    </row>
    <row r="814">
      <c r="D814" s="52"/>
    </row>
    <row r="815">
      <c r="D815" s="52"/>
    </row>
    <row r="816">
      <c r="D816" s="52"/>
    </row>
    <row r="817">
      <c r="D817" s="52"/>
    </row>
    <row r="818">
      <c r="D818" s="52"/>
    </row>
    <row r="819">
      <c r="D819" s="52"/>
    </row>
    <row r="820">
      <c r="D820" s="52"/>
    </row>
    <row r="821">
      <c r="D821" s="52"/>
    </row>
    <row r="822">
      <c r="D822" s="52"/>
    </row>
    <row r="823">
      <c r="D823" s="52"/>
    </row>
    <row r="824">
      <c r="D824" s="52"/>
    </row>
    <row r="825">
      <c r="D825" s="52"/>
    </row>
    <row r="826">
      <c r="D826" s="52"/>
    </row>
    <row r="827">
      <c r="D827" s="52"/>
    </row>
    <row r="828">
      <c r="D828" s="52"/>
    </row>
    <row r="829">
      <c r="D829" s="52"/>
    </row>
    <row r="830">
      <c r="D830" s="52"/>
    </row>
    <row r="831">
      <c r="D831" s="52"/>
    </row>
    <row r="832">
      <c r="D832" s="52"/>
    </row>
    <row r="833">
      <c r="D833" s="52"/>
    </row>
    <row r="834">
      <c r="D834" s="52"/>
    </row>
    <row r="835">
      <c r="D835" s="52"/>
    </row>
    <row r="836">
      <c r="D836" s="52"/>
    </row>
    <row r="837">
      <c r="D837" s="52"/>
    </row>
    <row r="838">
      <c r="D838" s="52"/>
    </row>
    <row r="839">
      <c r="D839" s="52"/>
    </row>
    <row r="840">
      <c r="D840" s="52"/>
    </row>
    <row r="841">
      <c r="D841" s="52"/>
    </row>
    <row r="842">
      <c r="D842" s="52"/>
    </row>
    <row r="843">
      <c r="D843" s="52"/>
    </row>
  </sheetData>
  <mergeCells count="7">
    <mergeCell ref="A1:F1"/>
    <mergeCell ref="A2:A3"/>
    <mergeCell ref="B2:B3"/>
    <mergeCell ref="C2:C3"/>
    <mergeCell ref="D2:D3"/>
    <mergeCell ref="E2:F2"/>
    <mergeCell ref="A7:E7"/>
  </mergeCells>
  <dataValidations>
    <dataValidation type="list" allowBlank="1" sqref="H4">
      <formula1>"CHECKED (OK),CHECKED  (NOT OK)"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1.25"/>
    <col customWidth="1" min="3" max="3" width="26.75"/>
    <col customWidth="1" min="4" max="4" width="33.25"/>
    <col customWidth="1" min="7" max="7" width="3.5"/>
    <col customWidth="1" min="8" max="8" width="18.63"/>
    <col customWidth="1" min="9" max="9" width="21.63"/>
  </cols>
  <sheetData>
    <row r="1">
      <c r="A1" s="30" t="s">
        <v>17</v>
      </c>
      <c r="G1" s="31"/>
      <c r="H1" s="32" t="s">
        <v>18</v>
      </c>
      <c r="I1" s="33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4" t="s">
        <v>1</v>
      </c>
      <c r="B2" s="35" t="s">
        <v>11</v>
      </c>
      <c r="C2" s="35" t="s">
        <v>12</v>
      </c>
      <c r="D2" s="36" t="s">
        <v>13</v>
      </c>
      <c r="E2" s="37" t="s">
        <v>14</v>
      </c>
      <c r="F2" s="38"/>
      <c r="G2" s="39"/>
      <c r="H2" s="40"/>
      <c r="I2" s="40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41"/>
      <c r="B3" s="38"/>
      <c r="C3" s="38"/>
      <c r="D3" s="38"/>
      <c r="E3" s="42" t="s">
        <v>15</v>
      </c>
      <c r="F3" s="43" t="s">
        <v>5</v>
      </c>
      <c r="G3" s="39"/>
      <c r="H3" s="44" t="s">
        <v>6</v>
      </c>
      <c r="I3" s="45" t="s">
        <v>7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24.75" customHeight="1">
      <c r="A4" s="54">
        <v>1.0</v>
      </c>
      <c r="B4" s="47">
        <v>1000732.0</v>
      </c>
      <c r="C4" s="48" t="str">
        <f>vlookup(B4,'Crew Data'!C:G,5,0)</f>
        <v>Inthra Mathiang</v>
      </c>
      <c r="D4" s="49" t="s">
        <v>19</v>
      </c>
      <c r="E4" s="47">
        <v>3.0</v>
      </c>
      <c r="F4" s="50">
        <f t="shared" ref="F4:F23" si="1">E4*400</f>
        <v>1200</v>
      </c>
      <c r="G4" s="22">
        <f t="shared" ref="G4:G23" si="2">COUNTIF(B:B,B4)</f>
        <v>1</v>
      </c>
      <c r="H4" s="51" t="s">
        <v>20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ht="24.75" customHeight="1">
      <c r="A5" s="55">
        <v>2.0</v>
      </c>
      <c r="B5" s="55">
        <v>1011507.0</v>
      </c>
      <c r="C5" s="48" t="str">
        <f>vlookup(B5,'Crew Data'!C:G,5,0)</f>
        <v>Weerinpimon Rhuecharoen</v>
      </c>
      <c r="D5" s="49" t="s">
        <v>19</v>
      </c>
      <c r="E5" s="55">
        <v>3.0</v>
      </c>
      <c r="F5" s="50">
        <f t="shared" si="1"/>
        <v>1200</v>
      </c>
      <c r="G5" s="22">
        <f t="shared" si="2"/>
        <v>1</v>
      </c>
      <c r="H5" s="51" t="s">
        <v>20</v>
      </c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ht="24.75" customHeight="1">
      <c r="A6" s="55">
        <v>3.0</v>
      </c>
      <c r="B6" s="55">
        <v>1010890.0</v>
      </c>
      <c r="C6" s="48" t="str">
        <f>vlookup(B6,'Crew Data'!C:G,5,0)</f>
        <v>Keetawan Udomkiattikul</v>
      </c>
      <c r="D6" s="56" t="s">
        <v>19</v>
      </c>
      <c r="E6" s="55">
        <v>3.0</v>
      </c>
      <c r="F6" s="50">
        <f t="shared" si="1"/>
        <v>1200</v>
      </c>
      <c r="G6" s="22">
        <f t="shared" si="2"/>
        <v>1</v>
      </c>
      <c r="H6" s="51" t="s">
        <v>20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ht="24.75" customHeight="1">
      <c r="A7" s="55">
        <v>4.0</v>
      </c>
      <c r="B7" s="55">
        <v>1006747.0</v>
      </c>
      <c r="C7" s="48" t="str">
        <f>vlookup(B7,'Crew Data'!C:G,5,0)</f>
        <v>Phichayanat Duangprasanchai</v>
      </c>
      <c r="D7" s="56" t="s">
        <v>21</v>
      </c>
      <c r="E7" s="55">
        <v>3.0</v>
      </c>
      <c r="F7" s="50">
        <f t="shared" si="1"/>
        <v>1200</v>
      </c>
      <c r="G7" s="22">
        <f t="shared" si="2"/>
        <v>1</v>
      </c>
      <c r="H7" s="51" t="s">
        <v>20</v>
      </c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ht="24.75" customHeight="1">
      <c r="A8" s="55">
        <v>5.0</v>
      </c>
      <c r="B8" s="55">
        <v>1007011.0</v>
      </c>
      <c r="C8" s="48" t="str">
        <f>vlookup(B8,'Crew Data'!C:G,5,0)</f>
        <v>Jeeraprapa Tuptimdang</v>
      </c>
      <c r="D8" s="56" t="s">
        <v>22</v>
      </c>
      <c r="E8" s="55">
        <v>3.0</v>
      </c>
      <c r="F8" s="50">
        <f t="shared" si="1"/>
        <v>1200</v>
      </c>
      <c r="G8" s="22">
        <f t="shared" si="2"/>
        <v>1</v>
      </c>
      <c r="H8" s="51" t="s">
        <v>20</v>
      </c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ht="24.75" customHeight="1">
      <c r="A9" s="54">
        <v>6.0</v>
      </c>
      <c r="B9" s="55">
        <v>1007020.0</v>
      </c>
      <c r="C9" s="48" t="str">
        <f>vlookup(B9,'Crew Data'!C:G,5,0)</f>
        <v>Thamonwan Chinnarukbumrung</v>
      </c>
      <c r="D9" s="56" t="s">
        <v>22</v>
      </c>
      <c r="E9" s="55">
        <v>3.0</v>
      </c>
      <c r="F9" s="50">
        <f t="shared" si="1"/>
        <v>1200</v>
      </c>
      <c r="G9" s="22">
        <f t="shared" si="2"/>
        <v>1</v>
      </c>
      <c r="H9" s="51" t="s">
        <v>20</v>
      </c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ht="24.75" customHeight="1">
      <c r="A10" s="55">
        <v>7.0</v>
      </c>
      <c r="B10" s="55">
        <v>1012899.0</v>
      </c>
      <c r="C10" s="48" t="str">
        <f>vlookup(B10,'Crew Data'!C:G,5,0)</f>
        <v>Pichaya Sonthigorn</v>
      </c>
      <c r="D10" s="56" t="s">
        <v>19</v>
      </c>
      <c r="E10" s="55">
        <v>3.0</v>
      </c>
      <c r="F10" s="50">
        <f t="shared" si="1"/>
        <v>1200</v>
      </c>
      <c r="G10" s="22">
        <f t="shared" si="2"/>
        <v>1</v>
      </c>
      <c r="H10" s="51" t="s">
        <v>20</v>
      </c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ht="24.75" customHeight="1">
      <c r="A11" s="55">
        <v>8.0</v>
      </c>
      <c r="B11" s="55">
        <v>1018791.0</v>
      </c>
      <c r="C11" s="48" t="str">
        <f>vlookup(B11,'Crew Data'!C:G,5,0)</f>
        <v>Kitdanai Tiantanawit</v>
      </c>
      <c r="D11" s="56" t="s">
        <v>21</v>
      </c>
      <c r="E11" s="55">
        <v>3.0</v>
      </c>
      <c r="F11" s="50">
        <f t="shared" si="1"/>
        <v>1200</v>
      </c>
      <c r="G11" s="22">
        <f t="shared" si="2"/>
        <v>1</v>
      </c>
      <c r="H11" s="51" t="s">
        <v>20</v>
      </c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ht="24.75" customHeight="1">
      <c r="A12" s="55">
        <v>9.0</v>
      </c>
      <c r="B12" s="55">
        <v>1007017.0</v>
      </c>
      <c r="C12" s="48" t="str">
        <f>vlookup(B12,'Crew Data'!C:G,5,0)</f>
        <v>#N/A</v>
      </c>
      <c r="D12" s="56" t="s">
        <v>21</v>
      </c>
      <c r="E12" s="55">
        <v>3.0</v>
      </c>
      <c r="F12" s="50">
        <f t="shared" si="1"/>
        <v>1200</v>
      </c>
      <c r="G12" s="22">
        <f t="shared" si="2"/>
        <v>1</v>
      </c>
      <c r="H12" s="51" t="s">
        <v>20</v>
      </c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ht="24.75" customHeight="1">
      <c r="A13" s="55">
        <v>10.0</v>
      </c>
      <c r="B13" s="55">
        <v>1018807.0</v>
      </c>
      <c r="C13" s="48" t="str">
        <f>vlookup(B13,'Crew Data'!C:G,5,0)</f>
        <v>Prapassorn Soonsorn</v>
      </c>
      <c r="D13" s="56" t="s">
        <v>22</v>
      </c>
      <c r="E13" s="55">
        <v>3.0</v>
      </c>
      <c r="F13" s="50">
        <f t="shared" si="1"/>
        <v>1200</v>
      </c>
      <c r="G13" s="22">
        <f t="shared" si="2"/>
        <v>1</v>
      </c>
      <c r="H13" s="51" t="s">
        <v>20</v>
      </c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ht="24.75" customHeight="1">
      <c r="A14" s="54">
        <v>11.0</v>
      </c>
      <c r="B14" s="55">
        <v>1025318.0</v>
      </c>
      <c r="C14" s="48" t="str">
        <f>vlookup(B14,'Crew Data'!C:G,5,0)</f>
        <v>Jetsada Sutthiniam</v>
      </c>
      <c r="D14" s="56" t="s">
        <v>23</v>
      </c>
      <c r="E14" s="55">
        <v>3.0</v>
      </c>
      <c r="F14" s="50">
        <f t="shared" si="1"/>
        <v>1200</v>
      </c>
      <c r="G14" s="22">
        <f t="shared" si="2"/>
        <v>1</v>
      </c>
      <c r="H14" s="51" t="s">
        <v>20</v>
      </c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ht="24.75" customHeight="1">
      <c r="A15" s="55">
        <v>12.0</v>
      </c>
      <c r="B15" s="55">
        <v>1006352.0</v>
      </c>
      <c r="C15" s="48" t="str">
        <f>vlookup(B15,'Crew Data'!C:G,5,0)</f>
        <v>Sirinthip Singhadecha</v>
      </c>
      <c r="D15" s="56" t="s">
        <v>22</v>
      </c>
      <c r="E15" s="55">
        <v>3.0</v>
      </c>
      <c r="F15" s="50">
        <f t="shared" si="1"/>
        <v>1200</v>
      </c>
      <c r="G15" s="22">
        <f t="shared" si="2"/>
        <v>1</v>
      </c>
      <c r="H15" s="51" t="s">
        <v>20</v>
      </c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t="24.75" customHeight="1">
      <c r="A16" s="55">
        <v>13.0</v>
      </c>
      <c r="B16" s="55">
        <v>1011513.0</v>
      </c>
      <c r="C16" s="48" t="str">
        <f>vlookup(B16,'Crew Data'!C:G,5,0)</f>
        <v>Rawitnat Marayat</v>
      </c>
      <c r="D16" s="56" t="s">
        <v>24</v>
      </c>
      <c r="E16" s="55">
        <v>3.0</v>
      </c>
      <c r="F16" s="50">
        <f t="shared" si="1"/>
        <v>1200</v>
      </c>
      <c r="G16" s="22">
        <f t="shared" si="2"/>
        <v>1</v>
      </c>
      <c r="H16" s="51" t="s">
        <v>20</v>
      </c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t="24.75" customHeight="1">
      <c r="A17" s="55">
        <v>14.0</v>
      </c>
      <c r="B17" s="55">
        <v>1003368.0</v>
      </c>
      <c r="C17" s="48" t="str">
        <f>vlookup(B17,'Crew Data'!C:G,5,0)</f>
        <v>Woradaluck Lerdthanapaijit</v>
      </c>
      <c r="D17" s="56" t="s">
        <v>24</v>
      </c>
      <c r="E17" s="55">
        <v>3.0</v>
      </c>
      <c r="F17" s="50">
        <f t="shared" si="1"/>
        <v>1200</v>
      </c>
      <c r="G17" s="22">
        <f t="shared" si="2"/>
        <v>1</v>
      </c>
      <c r="H17" s="51" t="s">
        <v>20</v>
      </c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24.75" customHeight="1">
      <c r="A18" s="55">
        <v>15.0</v>
      </c>
      <c r="B18" s="55">
        <v>1015093.0</v>
      </c>
      <c r="C18" s="48" t="str">
        <f>vlookup(B18,'Crew Data'!C:G,5,0)</f>
        <v>Sampan Simpalipan</v>
      </c>
      <c r="D18" s="56" t="s">
        <v>24</v>
      </c>
      <c r="E18" s="55">
        <v>3.0</v>
      </c>
      <c r="F18" s="50">
        <f t="shared" si="1"/>
        <v>1200</v>
      </c>
      <c r="G18" s="22">
        <f t="shared" si="2"/>
        <v>1</v>
      </c>
      <c r="H18" s="51" t="s">
        <v>20</v>
      </c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t="24.75" customHeight="1">
      <c r="A19" s="54">
        <v>16.0</v>
      </c>
      <c r="B19" s="55">
        <v>1006987.0</v>
      </c>
      <c r="C19" s="48" t="str">
        <f>vlookup(B19,'Crew Data'!C:G,5,0)</f>
        <v>Ailada Arjsiri</v>
      </c>
      <c r="D19" s="56" t="s">
        <v>25</v>
      </c>
      <c r="E19" s="55">
        <v>3.0</v>
      </c>
      <c r="F19" s="50">
        <f t="shared" si="1"/>
        <v>1200</v>
      </c>
      <c r="G19" s="22">
        <f t="shared" si="2"/>
        <v>1</v>
      </c>
      <c r="H19" s="51" t="s">
        <v>20</v>
      </c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ht="24.75" customHeight="1">
      <c r="A20" s="55">
        <v>17.0</v>
      </c>
      <c r="B20" s="55">
        <v>1019223.0</v>
      </c>
      <c r="C20" s="48" t="str">
        <f>vlookup(B20,'Crew Data'!C:G,5,0)</f>
        <v>Sutatta Jongsirisathaporn</v>
      </c>
      <c r="D20" s="56" t="s">
        <v>25</v>
      </c>
      <c r="E20" s="55">
        <v>3.0</v>
      </c>
      <c r="F20" s="50">
        <f t="shared" si="1"/>
        <v>1200</v>
      </c>
      <c r="G20" s="22">
        <f t="shared" si="2"/>
        <v>1</v>
      </c>
      <c r="H20" s="51" t="s">
        <v>20</v>
      </c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24.75" customHeight="1">
      <c r="A21" s="55">
        <v>18.0</v>
      </c>
      <c r="B21" s="55">
        <v>1014666.0</v>
      </c>
      <c r="C21" s="48" t="str">
        <f>vlookup(B21,'Crew Data'!C:G,5,0)</f>
        <v>Kanatsanan Wichitthararak</v>
      </c>
      <c r="D21" s="56" t="s">
        <v>25</v>
      </c>
      <c r="E21" s="55">
        <v>3.0</v>
      </c>
      <c r="F21" s="50">
        <f t="shared" si="1"/>
        <v>1200</v>
      </c>
      <c r="G21" s="22">
        <f t="shared" si="2"/>
        <v>1</v>
      </c>
      <c r="H21" s="51" t="s">
        <v>20</v>
      </c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24.75" customHeight="1">
      <c r="A22" s="55">
        <v>19.0</v>
      </c>
      <c r="B22" s="55">
        <v>1012188.0</v>
      </c>
      <c r="C22" s="48" t="str">
        <f>vlookup(B22,'Crew Data'!C:G,5,0)</f>
        <v>Warut Sritham</v>
      </c>
      <c r="D22" s="56" t="s">
        <v>25</v>
      </c>
      <c r="E22" s="55">
        <v>3.0</v>
      </c>
      <c r="F22" s="50">
        <f t="shared" si="1"/>
        <v>1200</v>
      </c>
      <c r="G22" s="22">
        <f t="shared" si="2"/>
        <v>1</v>
      </c>
      <c r="H22" s="51" t="s">
        <v>20</v>
      </c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24.75" customHeight="1">
      <c r="A23" s="55">
        <v>20.0</v>
      </c>
      <c r="B23" s="55">
        <v>1007016.0</v>
      </c>
      <c r="C23" s="48" t="str">
        <f>vlookup(B23,'Crew Data'!C:G,5,0)</f>
        <v>Sathita Pongsomran</v>
      </c>
      <c r="D23" s="56" t="s">
        <v>21</v>
      </c>
      <c r="E23" s="55">
        <v>3.0</v>
      </c>
      <c r="F23" s="50">
        <f t="shared" si="1"/>
        <v>1200</v>
      </c>
      <c r="G23" s="22">
        <f t="shared" si="2"/>
        <v>1</v>
      </c>
      <c r="H23" s="51" t="s">
        <v>20</v>
      </c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24.75" customHeight="1">
      <c r="A24" s="57" t="s">
        <v>26</v>
      </c>
    </row>
    <row r="25">
      <c r="D25" s="52"/>
    </row>
    <row r="26">
      <c r="D26" s="52"/>
    </row>
    <row r="27">
      <c r="D27" s="52"/>
    </row>
    <row r="28">
      <c r="D28" s="52"/>
    </row>
    <row r="29">
      <c r="D29" s="52"/>
    </row>
    <row r="30">
      <c r="D30" s="52"/>
    </row>
    <row r="31">
      <c r="D31" s="52"/>
    </row>
    <row r="32">
      <c r="D32" s="52"/>
    </row>
    <row r="33">
      <c r="D33" s="52"/>
    </row>
    <row r="34">
      <c r="D34" s="52"/>
    </row>
    <row r="35">
      <c r="D35" s="52"/>
    </row>
    <row r="36">
      <c r="D36" s="52"/>
    </row>
    <row r="37">
      <c r="D37" s="52"/>
    </row>
    <row r="38">
      <c r="D38" s="52"/>
    </row>
    <row r="39">
      <c r="D39" s="52"/>
    </row>
    <row r="40">
      <c r="D40" s="52"/>
    </row>
    <row r="41">
      <c r="D41" s="52"/>
    </row>
    <row r="42">
      <c r="D42" s="52"/>
    </row>
    <row r="43">
      <c r="D43" s="52"/>
    </row>
    <row r="44">
      <c r="D44" s="52"/>
    </row>
    <row r="45">
      <c r="D45" s="52"/>
    </row>
    <row r="46">
      <c r="D46" s="52"/>
    </row>
    <row r="47">
      <c r="D47" s="52"/>
    </row>
    <row r="48">
      <c r="D48" s="52"/>
    </row>
    <row r="49">
      <c r="D49" s="52"/>
    </row>
    <row r="50">
      <c r="D50" s="52"/>
    </row>
    <row r="51">
      <c r="D51" s="52"/>
    </row>
    <row r="52">
      <c r="D52" s="52"/>
    </row>
    <row r="53">
      <c r="D53" s="52"/>
    </row>
    <row r="54">
      <c r="D54" s="52"/>
    </row>
    <row r="55">
      <c r="D55" s="52"/>
    </row>
    <row r="56">
      <c r="D56" s="52"/>
    </row>
    <row r="57">
      <c r="D57" s="52"/>
    </row>
    <row r="58">
      <c r="D58" s="52"/>
    </row>
    <row r="59">
      <c r="D59" s="52"/>
    </row>
    <row r="60">
      <c r="D60" s="52"/>
    </row>
    <row r="61">
      <c r="D61" s="52"/>
    </row>
    <row r="62">
      <c r="D62" s="52"/>
    </row>
    <row r="63">
      <c r="D63" s="52"/>
    </row>
    <row r="64">
      <c r="D64" s="52"/>
    </row>
    <row r="65">
      <c r="D65" s="52"/>
    </row>
    <row r="66">
      <c r="D66" s="52"/>
    </row>
    <row r="67">
      <c r="D67" s="52"/>
    </row>
    <row r="68">
      <c r="D68" s="52"/>
    </row>
    <row r="69">
      <c r="D69" s="52"/>
    </row>
    <row r="70">
      <c r="D70" s="52"/>
    </row>
    <row r="71">
      <c r="D71" s="52"/>
    </row>
    <row r="72">
      <c r="D72" s="52"/>
    </row>
    <row r="73">
      <c r="D73" s="52"/>
    </row>
    <row r="74">
      <c r="D74" s="52"/>
    </row>
    <row r="75">
      <c r="D75" s="52"/>
    </row>
    <row r="76">
      <c r="D76" s="52"/>
    </row>
    <row r="77">
      <c r="D77" s="52"/>
    </row>
    <row r="78">
      <c r="D78" s="52"/>
    </row>
    <row r="79">
      <c r="D79" s="52"/>
    </row>
    <row r="80">
      <c r="D80" s="52"/>
    </row>
    <row r="81">
      <c r="D81" s="52"/>
    </row>
    <row r="82">
      <c r="D82" s="52"/>
    </row>
    <row r="83">
      <c r="D83" s="52"/>
    </row>
    <row r="84">
      <c r="D84" s="52"/>
    </row>
    <row r="85">
      <c r="D85" s="52"/>
    </row>
    <row r="86">
      <c r="D86" s="52"/>
    </row>
    <row r="87">
      <c r="D87" s="52"/>
    </row>
    <row r="88">
      <c r="D88" s="52"/>
    </row>
    <row r="89">
      <c r="D89" s="52"/>
    </row>
    <row r="90">
      <c r="D90" s="52"/>
    </row>
    <row r="91">
      <c r="D91" s="52"/>
    </row>
    <row r="92">
      <c r="D92" s="52"/>
    </row>
    <row r="93">
      <c r="D93" s="52"/>
    </row>
    <row r="94">
      <c r="D94" s="52"/>
    </row>
    <row r="95">
      <c r="D95" s="52"/>
    </row>
    <row r="96">
      <c r="D96" s="52"/>
    </row>
    <row r="97">
      <c r="D97" s="52"/>
    </row>
    <row r="98">
      <c r="D98" s="52"/>
    </row>
    <row r="99">
      <c r="D99" s="52"/>
    </row>
    <row r="100">
      <c r="D100" s="52"/>
    </row>
    <row r="101">
      <c r="D101" s="52"/>
    </row>
    <row r="102">
      <c r="D102" s="52"/>
    </row>
    <row r="103">
      <c r="D103" s="52"/>
    </row>
    <row r="104">
      <c r="D104" s="52"/>
    </row>
    <row r="105">
      <c r="D105" s="52"/>
    </row>
    <row r="106">
      <c r="D106" s="52"/>
    </row>
    <row r="107">
      <c r="D107" s="52"/>
    </row>
    <row r="108">
      <c r="D108" s="52"/>
    </row>
    <row r="109">
      <c r="D109" s="52"/>
    </row>
    <row r="110">
      <c r="D110" s="52"/>
    </row>
    <row r="111">
      <c r="D111" s="52"/>
    </row>
    <row r="112">
      <c r="D112" s="52"/>
    </row>
    <row r="113">
      <c r="D113" s="52"/>
    </row>
    <row r="114">
      <c r="D114" s="52"/>
    </row>
    <row r="115">
      <c r="D115" s="52"/>
    </row>
    <row r="116">
      <c r="D116" s="52"/>
    </row>
    <row r="117">
      <c r="D117" s="52"/>
    </row>
    <row r="118">
      <c r="D118" s="52"/>
    </row>
    <row r="119">
      <c r="D119" s="52"/>
    </row>
    <row r="120">
      <c r="D120" s="52"/>
    </row>
    <row r="121">
      <c r="D121" s="52"/>
    </row>
    <row r="122">
      <c r="D122" s="52"/>
    </row>
    <row r="123">
      <c r="D123" s="52"/>
    </row>
    <row r="124">
      <c r="D124" s="52"/>
    </row>
    <row r="125">
      <c r="D125" s="52"/>
    </row>
    <row r="126">
      <c r="D126" s="52"/>
    </row>
    <row r="127">
      <c r="D127" s="52"/>
    </row>
    <row r="128">
      <c r="D128" s="52"/>
    </row>
    <row r="129">
      <c r="D129" s="52"/>
    </row>
    <row r="130">
      <c r="D130" s="52"/>
    </row>
    <row r="131">
      <c r="D131" s="52"/>
    </row>
    <row r="132">
      <c r="D132" s="52"/>
    </row>
    <row r="133">
      <c r="D133" s="52"/>
    </row>
    <row r="134">
      <c r="D134" s="52"/>
    </row>
    <row r="135">
      <c r="D135" s="52"/>
    </row>
    <row r="136">
      <c r="D136" s="52"/>
    </row>
    <row r="137">
      <c r="D137" s="52"/>
    </row>
    <row r="138">
      <c r="D138" s="52"/>
    </row>
    <row r="139">
      <c r="D139" s="52"/>
    </row>
    <row r="140">
      <c r="D140" s="52"/>
    </row>
    <row r="141">
      <c r="D141" s="52"/>
    </row>
    <row r="142">
      <c r="D142" s="52"/>
    </row>
    <row r="143">
      <c r="D143" s="52"/>
    </row>
    <row r="144">
      <c r="D144" s="52"/>
    </row>
    <row r="145">
      <c r="D145" s="52"/>
    </row>
    <row r="146">
      <c r="D146" s="52"/>
    </row>
    <row r="147">
      <c r="D147" s="52"/>
    </row>
    <row r="148">
      <c r="D148" s="52"/>
    </row>
    <row r="149">
      <c r="D149" s="52"/>
    </row>
    <row r="150">
      <c r="D150" s="52"/>
    </row>
    <row r="151">
      <c r="D151" s="52"/>
    </row>
    <row r="152">
      <c r="D152" s="52"/>
    </row>
    <row r="153">
      <c r="D153" s="52"/>
    </row>
    <row r="154">
      <c r="D154" s="52"/>
    </row>
    <row r="155">
      <c r="D155" s="52"/>
    </row>
    <row r="156">
      <c r="D156" s="52"/>
    </row>
    <row r="157">
      <c r="D157" s="52"/>
    </row>
    <row r="158">
      <c r="D158" s="52"/>
    </row>
    <row r="159">
      <c r="D159" s="52"/>
    </row>
    <row r="160">
      <c r="D160" s="52"/>
    </row>
    <row r="161">
      <c r="D161" s="52"/>
    </row>
    <row r="162">
      <c r="D162" s="52"/>
    </row>
    <row r="163">
      <c r="D163" s="52"/>
    </row>
    <row r="164">
      <c r="D164" s="52"/>
    </row>
    <row r="165">
      <c r="D165" s="52"/>
    </row>
    <row r="166">
      <c r="D166" s="52"/>
    </row>
    <row r="167">
      <c r="D167" s="52"/>
    </row>
    <row r="168">
      <c r="D168" s="52"/>
    </row>
    <row r="169">
      <c r="D169" s="52"/>
    </row>
    <row r="170">
      <c r="D170" s="52"/>
    </row>
    <row r="171">
      <c r="D171" s="52"/>
    </row>
    <row r="172">
      <c r="D172" s="52"/>
    </row>
    <row r="173">
      <c r="D173" s="52"/>
    </row>
    <row r="174">
      <c r="D174" s="52"/>
    </row>
    <row r="175">
      <c r="D175" s="52"/>
    </row>
    <row r="176">
      <c r="D176" s="52"/>
    </row>
    <row r="177">
      <c r="D177" s="52"/>
    </row>
    <row r="178">
      <c r="D178" s="52"/>
    </row>
    <row r="179">
      <c r="D179" s="52"/>
    </row>
    <row r="180">
      <c r="D180" s="52"/>
    </row>
    <row r="181">
      <c r="D181" s="52"/>
    </row>
    <row r="182">
      <c r="D182" s="52"/>
    </row>
    <row r="183">
      <c r="D183" s="52"/>
    </row>
    <row r="184">
      <c r="D184" s="52"/>
    </row>
    <row r="185">
      <c r="D185" s="52"/>
    </row>
    <row r="186">
      <c r="D186" s="52"/>
    </row>
    <row r="187">
      <c r="D187" s="52"/>
    </row>
    <row r="188">
      <c r="D188" s="52"/>
    </row>
    <row r="189">
      <c r="D189" s="52"/>
    </row>
    <row r="190">
      <c r="D190" s="52"/>
    </row>
    <row r="191">
      <c r="D191" s="52"/>
    </row>
    <row r="192">
      <c r="D192" s="52"/>
    </row>
    <row r="193">
      <c r="D193" s="52"/>
    </row>
    <row r="194">
      <c r="D194" s="52"/>
    </row>
    <row r="195">
      <c r="D195" s="52"/>
    </row>
    <row r="196">
      <c r="D196" s="52"/>
    </row>
    <row r="197">
      <c r="D197" s="52"/>
    </row>
    <row r="198">
      <c r="D198" s="52"/>
    </row>
    <row r="199">
      <c r="D199" s="52"/>
    </row>
    <row r="200">
      <c r="D200" s="52"/>
    </row>
    <row r="201">
      <c r="D201" s="52"/>
    </row>
    <row r="202">
      <c r="D202" s="52"/>
    </row>
    <row r="203">
      <c r="D203" s="52"/>
    </row>
    <row r="204">
      <c r="D204" s="52"/>
    </row>
    <row r="205">
      <c r="D205" s="52"/>
    </row>
    <row r="206">
      <c r="D206" s="52"/>
    </row>
    <row r="207">
      <c r="D207" s="52"/>
    </row>
    <row r="208">
      <c r="D208" s="52"/>
    </row>
    <row r="209">
      <c r="D209" s="52"/>
    </row>
    <row r="210">
      <c r="D210" s="52"/>
    </row>
    <row r="211">
      <c r="D211" s="52"/>
    </row>
    <row r="212">
      <c r="D212" s="52"/>
    </row>
    <row r="213">
      <c r="D213" s="52"/>
    </row>
    <row r="214">
      <c r="D214" s="52"/>
    </row>
    <row r="215">
      <c r="D215" s="52"/>
    </row>
    <row r="216">
      <c r="D216" s="52"/>
    </row>
    <row r="217">
      <c r="D217" s="52"/>
    </row>
    <row r="218">
      <c r="D218" s="52"/>
    </row>
    <row r="219">
      <c r="D219" s="52"/>
    </row>
    <row r="220">
      <c r="D220" s="52"/>
    </row>
    <row r="221">
      <c r="D221" s="52"/>
    </row>
    <row r="222">
      <c r="D222" s="52"/>
    </row>
    <row r="223">
      <c r="D223" s="52"/>
    </row>
    <row r="224">
      <c r="D224" s="52"/>
    </row>
    <row r="225">
      <c r="D225" s="52"/>
    </row>
    <row r="226">
      <c r="D226" s="52"/>
    </row>
    <row r="227">
      <c r="D227" s="52"/>
    </row>
    <row r="228">
      <c r="D228" s="52"/>
    </row>
    <row r="229">
      <c r="D229" s="52"/>
    </row>
    <row r="230">
      <c r="D230" s="52"/>
    </row>
    <row r="231">
      <c r="D231" s="52"/>
    </row>
    <row r="232">
      <c r="D232" s="52"/>
    </row>
    <row r="233">
      <c r="D233" s="52"/>
    </row>
    <row r="234">
      <c r="D234" s="52"/>
    </row>
    <row r="235">
      <c r="D235" s="52"/>
    </row>
    <row r="236">
      <c r="D236" s="52"/>
    </row>
    <row r="237">
      <c r="D237" s="52"/>
    </row>
    <row r="238">
      <c r="D238" s="52"/>
    </row>
    <row r="239">
      <c r="D239" s="52"/>
    </row>
    <row r="240">
      <c r="D240" s="52"/>
    </row>
    <row r="241">
      <c r="D241" s="52"/>
    </row>
    <row r="242">
      <c r="D242" s="52"/>
    </row>
    <row r="243">
      <c r="D243" s="52"/>
    </row>
    <row r="244">
      <c r="D244" s="52"/>
    </row>
    <row r="245">
      <c r="D245" s="52"/>
    </row>
    <row r="246">
      <c r="D246" s="52"/>
    </row>
    <row r="247">
      <c r="D247" s="52"/>
    </row>
    <row r="248">
      <c r="D248" s="52"/>
    </row>
    <row r="249">
      <c r="D249" s="52"/>
    </row>
    <row r="250">
      <c r="D250" s="52"/>
    </row>
    <row r="251">
      <c r="D251" s="52"/>
    </row>
    <row r="252">
      <c r="D252" s="52"/>
    </row>
    <row r="253">
      <c r="D253" s="52"/>
    </row>
    <row r="254">
      <c r="D254" s="52"/>
    </row>
    <row r="255">
      <c r="D255" s="52"/>
    </row>
    <row r="256">
      <c r="D256" s="52"/>
    </row>
    <row r="257">
      <c r="D257" s="52"/>
    </row>
    <row r="258">
      <c r="D258" s="52"/>
    </row>
    <row r="259">
      <c r="D259" s="52"/>
    </row>
    <row r="260">
      <c r="D260" s="52"/>
    </row>
    <row r="261">
      <c r="D261" s="52"/>
    </row>
    <row r="262">
      <c r="D262" s="52"/>
    </row>
    <row r="263">
      <c r="D263" s="52"/>
    </row>
    <row r="264">
      <c r="D264" s="52"/>
    </row>
    <row r="265">
      <c r="D265" s="52"/>
    </row>
    <row r="266">
      <c r="D266" s="52"/>
    </row>
    <row r="267">
      <c r="D267" s="52"/>
    </row>
    <row r="268">
      <c r="D268" s="52"/>
    </row>
    <row r="269">
      <c r="D269" s="52"/>
    </row>
    <row r="270">
      <c r="D270" s="52"/>
    </row>
    <row r="271">
      <c r="D271" s="52"/>
    </row>
    <row r="272">
      <c r="D272" s="52"/>
    </row>
    <row r="273">
      <c r="D273" s="52"/>
    </row>
    <row r="274">
      <c r="D274" s="52"/>
    </row>
    <row r="275">
      <c r="D275" s="52"/>
    </row>
    <row r="276">
      <c r="D276" s="52"/>
    </row>
    <row r="277">
      <c r="D277" s="52"/>
    </row>
    <row r="278">
      <c r="D278" s="52"/>
    </row>
    <row r="279">
      <c r="D279" s="52"/>
    </row>
    <row r="280">
      <c r="D280" s="52"/>
    </row>
    <row r="281">
      <c r="D281" s="52"/>
    </row>
    <row r="282">
      <c r="D282" s="52"/>
    </row>
    <row r="283">
      <c r="D283" s="52"/>
    </row>
    <row r="284">
      <c r="D284" s="52"/>
    </row>
    <row r="285">
      <c r="D285" s="52"/>
    </row>
    <row r="286">
      <c r="D286" s="52"/>
    </row>
    <row r="287">
      <c r="D287" s="52"/>
    </row>
    <row r="288">
      <c r="D288" s="52"/>
    </row>
    <row r="289">
      <c r="D289" s="52"/>
    </row>
    <row r="290">
      <c r="D290" s="52"/>
    </row>
    <row r="291">
      <c r="D291" s="52"/>
    </row>
    <row r="292">
      <c r="D292" s="52"/>
    </row>
    <row r="293">
      <c r="D293" s="52"/>
    </row>
    <row r="294">
      <c r="D294" s="52"/>
    </row>
    <row r="295">
      <c r="D295" s="52"/>
    </row>
    <row r="296">
      <c r="D296" s="52"/>
    </row>
    <row r="297">
      <c r="D297" s="52"/>
    </row>
    <row r="298">
      <c r="D298" s="52"/>
    </row>
    <row r="299">
      <c r="D299" s="52"/>
    </row>
    <row r="300">
      <c r="D300" s="52"/>
    </row>
    <row r="301">
      <c r="D301" s="52"/>
    </row>
    <row r="302">
      <c r="D302" s="52"/>
    </row>
    <row r="303">
      <c r="D303" s="52"/>
    </row>
    <row r="304">
      <c r="D304" s="52"/>
    </row>
    <row r="305">
      <c r="D305" s="52"/>
    </row>
    <row r="306">
      <c r="D306" s="52"/>
    </row>
    <row r="307">
      <c r="D307" s="52"/>
    </row>
    <row r="308">
      <c r="D308" s="52"/>
    </row>
    <row r="309">
      <c r="D309" s="52"/>
    </row>
    <row r="310">
      <c r="D310" s="52"/>
    </row>
    <row r="311">
      <c r="D311" s="52"/>
    </row>
    <row r="312">
      <c r="D312" s="52"/>
    </row>
    <row r="313">
      <c r="D313" s="52"/>
    </row>
    <row r="314">
      <c r="D314" s="52"/>
    </row>
    <row r="315">
      <c r="D315" s="52"/>
    </row>
    <row r="316">
      <c r="D316" s="52"/>
    </row>
    <row r="317">
      <c r="D317" s="52"/>
    </row>
    <row r="318">
      <c r="D318" s="52"/>
    </row>
    <row r="319">
      <c r="D319" s="52"/>
    </row>
    <row r="320">
      <c r="D320" s="52"/>
    </row>
    <row r="321">
      <c r="D321" s="52"/>
    </row>
    <row r="322">
      <c r="D322" s="52"/>
    </row>
    <row r="323">
      <c r="D323" s="52"/>
    </row>
    <row r="324">
      <c r="D324" s="52"/>
    </row>
    <row r="325">
      <c r="D325" s="52"/>
    </row>
    <row r="326">
      <c r="D326" s="52"/>
    </row>
    <row r="327">
      <c r="D327" s="52"/>
    </row>
    <row r="328">
      <c r="D328" s="52"/>
    </row>
    <row r="329">
      <c r="D329" s="52"/>
    </row>
    <row r="330">
      <c r="D330" s="52"/>
    </row>
    <row r="331">
      <c r="D331" s="52"/>
    </row>
    <row r="332">
      <c r="D332" s="52"/>
    </row>
    <row r="333">
      <c r="D333" s="52"/>
    </row>
    <row r="334">
      <c r="D334" s="52"/>
    </row>
    <row r="335">
      <c r="D335" s="52"/>
    </row>
    <row r="336">
      <c r="D336" s="52"/>
    </row>
    <row r="337">
      <c r="D337" s="52"/>
    </row>
    <row r="338">
      <c r="D338" s="52"/>
    </row>
    <row r="339">
      <c r="D339" s="52"/>
    </row>
    <row r="340">
      <c r="D340" s="52"/>
    </row>
    <row r="341">
      <c r="D341" s="52"/>
    </row>
    <row r="342">
      <c r="D342" s="52"/>
    </row>
    <row r="343">
      <c r="D343" s="52"/>
    </row>
    <row r="344">
      <c r="D344" s="52"/>
    </row>
    <row r="345">
      <c r="D345" s="52"/>
    </row>
    <row r="346">
      <c r="D346" s="52"/>
    </row>
    <row r="347">
      <c r="D347" s="52"/>
    </row>
    <row r="348">
      <c r="D348" s="52"/>
    </row>
    <row r="349">
      <c r="D349" s="52"/>
    </row>
    <row r="350">
      <c r="D350" s="52"/>
    </row>
    <row r="351">
      <c r="D351" s="52"/>
    </row>
    <row r="352">
      <c r="D352" s="52"/>
    </row>
    <row r="353">
      <c r="D353" s="52"/>
    </row>
    <row r="354">
      <c r="D354" s="52"/>
    </row>
    <row r="355">
      <c r="D355" s="52"/>
    </row>
    <row r="356">
      <c r="D356" s="52"/>
    </row>
    <row r="357">
      <c r="D357" s="52"/>
    </row>
    <row r="358">
      <c r="D358" s="52"/>
    </row>
    <row r="359">
      <c r="D359" s="52"/>
    </row>
    <row r="360">
      <c r="D360" s="52"/>
    </row>
    <row r="361">
      <c r="D361" s="52"/>
    </row>
    <row r="362">
      <c r="D362" s="52"/>
    </row>
    <row r="363">
      <c r="D363" s="52"/>
    </row>
    <row r="364">
      <c r="D364" s="52"/>
    </row>
    <row r="365">
      <c r="D365" s="52"/>
    </row>
    <row r="366">
      <c r="D366" s="52"/>
    </row>
    <row r="367">
      <c r="D367" s="52"/>
    </row>
    <row r="368">
      <c r="D368" s="52"/>
    </row>
    <row r="369">
      <c r="D369" s="52"/>
    </row>
    <row r="370">
      <c r="D370" s="52"/>
    </row>
    <row r="371">
      <c r="D371" s="52"/>
    </row>
    <row r="372">
      <c r="D372" s="52"/>
    </row>
    <row r="373">
      <c r="D373" s="52"/>
    </row>
    <row r="374">
      <c r="D374" s="52"/>
    </row>
    <row r="375">
      <c r="D375" s="52"/>
    </row>
    <row r="376">
      <c r="D376" s="52"/>
    </row>
    <row r="377">
      <c r="D377" s="52"/>
    </row>
    <row r="378">
      <c r="D378" s="52"/>
    </row>
    <row r="379">
      <c r="D379" s="52"/>
    </row>
    <row r="380">
      <c r="D380" s="52"/>
    </row>
    <row r="381">
      <c r="D381" s="52"/>
    </row>
    <row r="382">
      <c r="D382" s="52"/>
    </row>
    <row r="383">
      <c r="D383" s="52"/>
    </row>
    <row r="384">
      <c r="D384" s="52"/>
    </row>
    <row r="385">
      <c r="D385" s="52"/>
    </row>
    <row r="386">
      <c r="D386" s="52"/>
    </row>
    <row r="387">
      <c r="D387" s="52"/>
    </row>
    <row r="388">
      <c r="D388" s="52"/>
    </row>
    <row r="389">
      <c r="D389" s="52"/>
    </row>
    <row r="390">
      <c r="D390" s="52"/>
    </row>
    <row r="391">
      <c r="D391" s="52"/>
    </row>
    <row r="392">
      <c r="D392" s="52"/>
    </row>
    <row r="393">
      <c r="D393" s="52"/>
    </row>
    <row r="394">
      <c r="D394" s="52"/>
    </row>
    <row r="395">
      <c r="D395" s="52"/>
    </row>
    <row r="396">
      <c r="D396" s="52"/>
    </row>
    <row r="397">
      <c r="D397" s="52"/>
    </row>
    <row r="398">
      <c r="D398" s="52"/>
    </row>
    <row r="399">
      <c r="D399" s="52"/>
    </row>
    <row r="400">
      <c r="D400" s="52"/>
    </row>
    <row r="401">
      <c r="D401" s="52"/>
    </row>
    <row r="402">
      <c r="D402" s="52"/>
    </row>
    <row r="403">
      <c r="D403" s="52"/>
    </row>
    <row r="404">
      <c r="D404" s="52"/>
    </row>
    <row r="405">
      <c r="D405" s="52"/>
    </row>
    <row r="406">
      <c r="D406" s="52"/>
    </row>
    <row r="407">
      <c r="D407" s="52"/>
    </row>
    <row r="408">
      <c r="D408" s="52"/>
    </row>
    <row r="409">
      <c r="D409" s="52"/>
    </row>
    <row r="410">
      <c r="D410" s="52"/>
    </row>
    <row r="411">
      <c r="D411" s="52"/>
    </row>
    <row r="412">
      <c r="D412" s="52"/>
    </row>
    <row r="413">
      <c r="D413" s="52"/>
    </row>
    <row r="414">
      <c r="D414" s="52"/>
    </row>
    <row r="415">
      <c r="D415" s="52"/>
    </row>
    <row r="416">
      <c r="D416" s="52"/>
    </row>
    <row r="417">
      <c r="D417" s="52"/>
    </row>
    <row r="418">
      <c r="D418" s="52"/>
    </row>
    <row r="419">
      <c r="D419" s="52"/>
    </row>
    <row r="420">
      <c r="D420" s="52"/>
    </row>
    <row r="421">
      <c r="D421" s="52"/>
    </row>
    <row r="422">
      <c r="D422" s="52"/>
    </row>
    <row r="423">
      <c r="D423" s="52"/>
    </row>
    <row r="424">
      <c r="D424" s="52"/>
    </row>
    <row r="425">
      <c r="D425" s="52"/>
    </row>
    <row r="426">
      <c r="D426" s="52"/>
    </row>
    <row r="427">
      <c r="D427" s="52"/>
    </row>
    <row r="428">
      <c r="D428" s="52"/>
    </row>
    <row r="429">
      <c r="D429" s="52"/>
    </row>
    <row r="430">
      <c r="D430" s="52"/>
    </row>
    <row r="431">
      <c r="D431" s="52"/>
    </row>
    <row r="432">
      <c r="D432" s="52"/>
    </row>
    <row r="433">
      <c r="D433" s="52"/>
    </row>
    <row r="434">
      <c r="D434" s="52"/>
    </row>
    <row r="435">
      <c r="D435" s="52"/>
    </row>
    <row r="436">
      <c r="D436" s="52"/>
    </row>
    <row r="437">
      <c r="D437" s="52"/>
    </row>
    <row r="438">
      <c r="D438" s="52"/>
    </row>
    <row r="439">
      <c r="D439" s="52"/>
    </row>
    <row r="440">
      <c r="D440" s="52"/>
    </row>
    <row r="441">
      <c r="D441" s="52"/>
    </row>
    <row r="442">
      <c r="D442" s="52"/>
    </row>
    <row r="443">
      <c r="D443" s="52"/>
    </row>
    <row r="444">
      <c r="D444" s="52"/>
    </row>
    <row r="445">
      <c r="D445" s="52"/>
    </row>
    <row r="446">
      <c r="D446" s="52"/>
    </row>
    <row r="447">
      <c r="D447" s="52"/>
    </row>
    <row r="448">
      <c r="D448" s="52"/>
    </row>
    <row r="449">
      <c r="D449" s="52"/>
    </row>
    <row r="450">
      <c r="D450" s="52"/>
    </row>
    <row r="451">
      <c r="D451" s="52"/>
    </row>
    <row r="452">
      <c r="D452" s="52"/>
    </row>
    <row r="453">
      <c r="D453" s="52"/>
    </row>
    <row r="454">
      <c r="D454" s="52"/>
    </row>
    <row r="455">
      <c r="D455" s="52"/>
    </row>
    <row r="456">
      <c r="D456" s="52"/>
    </row>
    <row r="457">
      <c r="D457" s="52"/>
    </row>
    <row r="458">
      <c r="D458" s="52"/>
    </row>
    <row r="459">
      <c r="D459" s="52"/>
    </row>
    <row r="460">
      <c r="D460" s="52"/>
    </row>
    <row r="461">
      <c r="D461" s="52"/>
    </row>
    <row r="462">
      <c r="D462" s="52"/>
    </row>
    <row r="463">
      <c r="D463" s="52"/>
    </row>
    <row r="464">
      <c r="D464" s="52"/>
    </row>
    <row r="465">
      <c r="D465" s="52"/>
    </row>
    <row r="466">
      <c r="D466" s="52"/>
    </row>
    <row r="467">
      <c r="D467" s="52"/>
    </row>
    <row r="468">
      <c r="D468" s="52"/>
    </row>
    <row r="469">
      <c r="D469" s="52"/>
    </row>
    <row r="470">
      <c r="D470" s="52"/>
    </row>
    <row r="471">
      <c r="D471" s="52"/>
    </row>
    <row r="472">
      <c r="D472" s="52"/>
    </row>
    <row r="473">
      <c r="D473" s="52"/>
    </row>
    <row r="474">
      <c r="D474" s="52"/>
    </row>
    <row r="475">
      <c r="D475" s="52"/>
    </row>
    <row r="476">
      <c r="D476" s="52"/>
    </row>
    <row r="477">
      <c r="D477" s="52"/>
    </row>
    <row r="478">
      <c r="D478" s="52"/>
    </row>
    <row r="479">
      <c r="D479" s="52"/>
    </row>
    <row r="480">
      <c r="D480" s="52"/>
    </row>
    <row r="481">
      <c r="D481" s="52"/>
    </row>
    <row r="482">
      <c r="D482" s="52"/>
    </row>
    <row r="483">
      <c r="D483" s="52"/>
    </row>
    <row r="484">
      <c r="D484" s="52"/>
    </row>
    <row r="485">
      <c r="D485" s="52"/>
    </row>
    <row r="486">
      <c r="D486" s="52"/>
    </row>
    <row r="487">
      <c r="D487" s="52"/>
    </row>
    <row r="488">
      <c r="D488" s="52"/>
    </row>
    <row r="489">
      <c r="D489" s="52"/>
    </row>
    <row r="490">
      <c r="D490" s="52"/>
    </row>
    <row r="491">
      <c r="D491" s="52"/>
    </row>
    <row r="492">
      <c r="D492" s="52"/>
    </row>
    <row r="493">
      <c r="D493" s="52"/>
    </row>
    <row r="494">
      <c r="D494" s="52"/>
    </row>
    <row r="495">
      <c r="D495" s="52"/>
    </row>
    <row r="496">
      <c r="D496" s="52"/>
    </row>
    <row r="497">
      <c r="D497" s="52"/>
    </row>
    <row r="498">
      <c r="D498" s="52"/>
    </row>
    <row r="499">
      <c r="D499" s="52"/>
    </row>
    <row r="500">
      <c r="D500" s="52"/>
    </row>
    <row r="501">
      <c r="D501" s="52"/>
    </row>
    <row r="502">
      <c r="D502" s="52"/>
    </row>
    <row r="503">
      <c r="D503" s="52"/>
    </row>
    <row r="504">
      <c r="D504" s="52"/>
    </row>
    <row r="505">
      <c r="D505" s="52"/>
    </row>
    <row r="506">
      <c r="D506" s="52"/>
    </row>
    <row r="507">
      <c r="D507" s="52"/>
    </row>
    <row r="508">
      <c r="D508" s="52"/>
    </row>
    <row r="509">
      <c r="D509" s="52"/>
    </row>
    <row r="510">
      <c r="D510" s="52"/>
    </row>
    <row r="511">
      <c r="D511" s="52"/>
    </row>
    <row r="512">
      <c r="D512" s="52"/>
    </row>
    <row r="513">
      <c r="D513" s="52"/>
    </row>
    <row r="514">
      <c r="D514" s="52"/>
    </row>
    <row r="515">
      <c r="D515" s="52"/>
    </row>
    <row r="516">
      <c r="D516" s="52"/>
    </row>
    <row r="517">
      <c r="D517" s="52"/>
    </row>
    <row r="518">
      <c r="D518" s="52"/>
    </row>
    <row r="519">
      <c r="D519" s="52"/>
    </row>
    <row r="520">
      <c r="D520" s="52"/>
    </row>
    <row r="521">
      <c r="D521" s="52"/>
    </row>
    <row r="522">
      <c r="D522" s="52"/>
    </row>
    <row r="523">
      <c r="D523" s="52"/>
    </row>
    <row r="524">
      <c r="D524" s="52"/>
    </row>
    <row r="525">
      <c r="D525" s="52"/>
    </row>
    <row r="526">
      <c r="D526" s="52"/>
    </row>
    <row r="527">
      <c r="D527" s="52"/>
    </row>
    <row r="528">
      <c r="D528" s="52"/>
    </row>
    <row r="529">
      <c r="D529" s="52"/>
    </row>
    <row r="530">
      <c r="D530" s="52"/>
    </row>
    <row r="531">
      <c r="D531" s="52"/>
    </row>
    <row r="532">
      <c r="D532" s="52"/>
    </row>
    <row r="533">
      <c r="D533" s="52"/>
    </row>
    <row r="534">
      <c r="D534" s="52"/>
    </row>
    <row r="535">
      <c r="D535" s="52"/>
    </row>
    <row r="536">
      <c r="D536" s="52"/>
    </row>
    <row r="537">
      <c r="D537" s="52"/>
    </row>
    <row r="538">
      <c r="D538" s="52"/>
    </row>
    <row r="539">
      <c r="D539" s="52"/>
    </row>
    <row r="540">
      <c r="D540" s="52"/>
    </row>
    <row r="541">
      <c r="D541" s="52"/>
    </row>
    <row r="542">
      <c r="D542" s="52"/>
    </row>
    <row r="543">
      <c r="D543" s="52"/>
    </row>
    <row r="544">
      <c r="D544" s="52"/>
    </row>
    <row r="545">
      <c r="D545" s="52"/>
    </row>
    <row r="546">
      <c r="D546" s="52"/>
    </row>
    <row r="547">
      <c r="D547" s="52"/>
    </row>
    <row r="548">
      <c r="D548" s="52"/>
    </row>
    <row r="549">
      <c r="D549" s="52"/>
    </row>
    <row r="550">
      <c r="D550" s="52"/>
    </row>
    <row r="551">
      <c r="D551" s="52"/>
    </row>
    <row r="552">
      <c r="D552" s="52"/>
    </row>
    <row r="553">
      <c r="D553" s="52"/>
    </row>
    <row r="554">
      <c r="D554" s="52"/>
    </row>
    <row r="555">
      <c r="D555" s="52"/>
    </row>
    <row r="556">
      <c r="D556" s="52"/>
    </row>
    <row r="557">
      <c r="D557" s="52"/>
    </row>
    <row r="558">
      <c r="D558" s="52"/>
    </row>
    <row r="559">
      <c r="D559" s="52"/>
    </row>
    <row r="560">
      <c r="D560" s="52"/>
    </row>
    <row r="561">
      <c r="D561" s="52"/>
    </row>
    <row r="562">
      <c r="D562" s="52"/>
    </row>
    <row r="563">
      <c r="D563" s="52"/>
    </row>
    <row r="564">
      <c r="D564" s="52"/>
    </row>
    <row r="565">
      <c r="D565" s="52"/>
    </row>
    <row r="566">
      <c r="D566" s="52"/>
    </row>
    <row r="567">
      <c r="D567" s="52"/>
    </row>
    <row r="568">
      <c r="D568" s="52"/>
    </row>
    <row r="569">
      <c r="D569" s="52"/>
    </row>
    <row r="570">
      <c r="D570" s="52"/>
    </row>
    <row r="571">
      <c r="D571" s="52"/>
    </row>
    <row r="572">
      <c r="D572" s="52"/>
    </row>
    <row r="573">
      <c r="D573" s="52"/>
    </row>
    <row r="574">
      <c r="D574" s="52"/>
    </row>
    <row r="575">
      <c r="D575" s="52"/>
    </row>
    <row r="576">
      <c r="D576" s="52"/>
    </row>
    <row r="577">
      <c r="D577" s="52"/>
    </row>
    <row r="578">
      <c r="D578" s="52"/>
    </row>
    <row r="579">
      <c r="D579" s="52"/>
    </row>
    <row r="580">
      <c r="D580" s="52"/>
    </row>
    <row r="581">
      <c r="D581" s="52"/>
    </row>
    <row r="582">
      <c r="D582" s="52"/>
    </row>
    <row r="583">
      <c r="D583" s="52"/>
    </row>
    <row r="584">
      <c r="D584" s="52"/>
    </row>
    <row r="585">
      <c r="D585" s="52"/>
    </row>
    <row r="586">
      <c r="D586" s="52"/>
    </row>
    <row r="587">
      <c r="D587" s="52"/>
    </row>
    <row r="588">
      <c r="D588" s="52"/>
    </row>
    <row r="589">
      <c r="D589" s="52"/>
    </row>
    <row r="590">
      <c r="D590" s="52"/>
    </row>
    <row r="591">
      <c r="D591" s="52"/>
    </row>
    <row r="592">
      <c r="D592" s="52"/>
    </row>
    <row r="593">
      <c r="D593" s="52"/>
    </row>
    <row r="594">
      <c r="D594" s="52"/>
    </row>
    <row r="595">
      <c r="D595" s="52"/>
    </row>
    <row r="596">
      <c r="D596" s="52"/>
    </row>
    <row r="597">
      <c r="D597" s="52"/>
    </row>
    <row r="598">
      <c r="D598" s="52"/>
    </row>
    <row r="599">
      <c r="D599" s="52"/>
    </row>
    <row r="600">
      <c r="D600" s="52"/>
    </row>
    <row r="601">
      <c r="D601" s="52"/>
    </row>
    <row r="602">
      <c r="D602" s="52"/>
    </row>
    <row r="603">
      <c r="D603" s="52"/>
    </row>
    <row r="604">
      <c r="D604" s="52"/>
    </row>
    <row r="605">
      <c r="D605" s="52"/>
    </row>
    <row r="606">
      <c r="D606" s="52"/>
    </row>
    <row r="607">
      <c r="D607" s="52"/>
    </row>
    <row r="608">
      <c r="D608" s="52"/>
    </row>
    <row r="609">
      <c r="D609" s="52"/>
    </row>
    <row r="610">
      <c r="D610" s="52"/>
    </row>
    <row r="611">
      <c r="D611" s="52"/>
    </row>
    <row r="612">
      <c r="D612" s="52"/>
    </row>
    <row r="613">
      <c r="D613" s="52"/>
    </row>
    <row r="614">
      <c r="D614" s="52"/>
    </row>
    <row r="615">
      <c r="D615" s="52"/>
    </row>
    <row r="616">
      <c r="D616" s="52"/>
    </row>
    <row r="617">
      <c r="D617" s="52"/>
    </row>
    <row r="618">
      <c r="D618" s="52"/>
    </row>
    <row r="619">
      <c r="D619" s="52"/>
    </row>
    <row r="620">
      <c r="D620" s="52"/>
    </row>
    <row r="621">
      <c r="D621" s="52"/>
    </row>
    <row r="622">
      <c r="D622" s="52"/>
    </row>
    <row r="623">
      <c r="D623" s="52"/>
    </row>
    <row r="624">
      <c r="D624" s="52"/>
    </row>
    <row r="625">
      <c r="D625" s="52"/>
    </row>
    <row r="626">
      <c r="D626" s="52"/>
    </row>
    <row r="627">
      <c r="D627" s="52"/>
    </row>
    <row r="628">
      <c r="D628" s="52"/>
    </row>
    <row r="629">
      <c r="D629" s="52"/>
    </row>
    <row r="630">
      <c r="D630" s="52"/>
    </row>
    <row r="631">
      <c r="D631" s="52"/>
    </row>
    <row r="632">
      <c r="D632" s="52"/>
    </row>
    <row r="633">
      <c r="D633" s="52"/>
    </row>
    <row r="634">
      <c r="D634" s="52"/>
    </row>
    <row r="635">
      <c r="D635" s="52"/>
    </row>
    <row r="636">
      <c r="D636" s="52"/>
    </row>
    <row r="637">
      <c r="D637" s="52"/>
    </row>
    <row r="638">
      <c r="D638" s="52"/>
    </row>
    <row r="639">
      <c r="D639" s="52"/>
    </row>
    <row r="640">
      <c r="D640" s="52"/>
    </row>
    <row r="641">
      <c r="D641" s="52"/>
    </row>
    <row r="642">
      <c r="D642" s="52"/>
    </row>
    <row r="643">
      <c r="D643" s="52"/>
    </row>
    <row r="644">
      <c r="D644" s="52"/>
    </row>
    <row r="645">
      <c r="D645" s="52"/>
    </row>
    <row r="646">
      <c r="D646" s="52"/>
    </row>
    <row r="647">
      <c r="D647" s="52"/>
    </row>
    <row r="648">
      <c r="D648" s="52"/>
    </row>
    <row r="649">
      <c r="D649" s="52"/>
    </row>
    <row r="650">
      <c r="D650" s="52"/>
    </row>
    <row r="651">
      <c r="D651" s="52"/>
    </row>
    <row r="652">
      <c r="D652" s="52"/>
    </row>
    <row r="653">
      <c r="D653" s="52"/>
    </row>
    <row r="654">
      <c r="D654" s="52"/>
    </row>
    <row r="655">
      <c r="D655" s="52"/>
    </row>
    <row r="656">
      <c r="D656" s="52"/>
    </row>
    <row r="657">
      <c r="D657" s="52"/>
    </row>
    <row r="658">
      <c r="D658" s="52"/>
    </row>
    <row r="659">
      <c r="D659" s="52"/>
    </row>
    <row r="660">
      <c r="D660" s="52"/>
    </row>
    <row r="661">
      <c r="D661" s="52"/>
    </row>
    <row r="662">
      <c r="D662" s="52"/>
    </row>
    <row r="663">
      <c r="D663" s="52"/>
    </row>
    <row r="664">
      <c r="D664" s="52"/>
    </row>
    <row r="665">
      <c r="D665" s="52"/>
    </row>
    <row r="666">
      <c r="D666" s="52"/>
    </row>
    <row r="667">
      <c r="D667" s="52"/>
    </row>
    <row r="668">
      <c r="D668" s="52"/>
    </row>
    <row r="669">
      <c r="D669" s="52"/>
    </row>
    <row r="670">
      <c r="D670" s="52"/>
    </row>
    <row r="671">
      <c r="D671" s="52"/>
    </row>
    <row r="672">
      <c r="D672" s="52"/>
    </row>
    <row r="673">
      <c r="D673" s="52"/>
    </row>
    <row r="674">
      <c r="D674" s="52"/>
    </row>
    <row r="675">
      <c r="D675" s="52"/>
    </row>
    <row r="676">
      <c r="D676" s="52"/>
    </row>
    <row r="677">
      <c r="D677" s="52"/>
    </row>
    <row r="678">
      <c r="D678" s="52"/>
    </row>
    <row r="679">
      <c r="D679" s="52"/>
    </row>
    <row r="680">
      <c r="D680" s="52"/>
    </row>
    <row r="681">
      <c r="D681" s="52"/>
    </row>
    <row r="682">
      <c r="D682" s="52"/>
    </row>
    <row r="683">
      <c r="D683" s="52"/>
    </row>
    <row r="684">
      <c r="D684" s="52"/>
    </row>
    <row r="685">
      <c r="D685" s="52"/>
    </row>
    <row r="686">
      <c r="D686" s="52"/>
    </row>
    <row r="687">
      <c r="D687" s="52"/>
    </row>
    <row r="688">
      <c r="D688" s="52"/>
    </row>
    <row r="689">
      <c r="D689" s="52"/>
    </row>
    <row r="690">
      <c r="D690" s="52"/>
    </row>
    <row r="691">
      <c r="D691" s="52"/>
    </row>
    <row r="692">
      <c r="D692" s="52"/>
    </row>
    <row r="693">
      <c r="D693" s="52"/>
    </row>
    <row r="694">
      <c r="D694" s="52"/>
    </row>
    <row r="695">
      <c r="D695" s="52"/>
    </row>
    <row r="696">
      <c r="D696" s="52"/>
    </row>
    <row r="697">
      <c r="D697" s="52"/>
    </row>
    <row r="698">
      <c r="D698" s="52"/>
    </row>
    <row r="699">
      <c r="D699" s="52"/>
    </row>
    <row r="700">
      <c r="D700" s="52"/>
    </row>
    <row r="701">
      <c r="D701" s="52"/>
    </row>
    <row r="702">
      <c r="D702" s="52"/>
    </row>
    <row r="703">
      <c r="D703" s="52"/>
    </row>
    <row r="704">
      <c r="D704" s="52"/>
    </row>
    <row r="705">
      <c r="D705" s="52"/>
    </row>
    <row r="706">
      <c r="D706" s="52"/>
    </row>
    <row r="707">
      <c r="D707" s="52"/>
    </row>
    <row r="708">
      <c r="D708" s="52"/>
    </row>
    <row r="709">
      <c r="D709" s="52"/>
    </row>
    <row r="710">
      <c r="D710" s="52"/>
    </row>
    <row r="711">
      <c r="D711" s="52"/>
    </row>
    <row r="712">
      <c r="D712" s="52"/>
    </row>
    <row r="713">
      <c r="D713" s="52"/>
    </row>
    <row r="714">
      <c r="D714" s="52"/>
    </row>
    <row r="715">
      <c r="D715" s="52"/>
    </row>
    <row r="716">
      <c r="D716" s="52"/>
    </row>
    <row r="717">
      <c r="D717" s="52"/>
    </row>
    <row r="718">
      <c r="D718" s="52"/>
    </row>
    <row r="719">
      <c r="D719" s="52"/>
    </row>
    <row r="720">
      <c r="D720" s="52"/>
    </row>
    <row r="721">
      <c r="D721" s="52"/>
    </row>
    <row r="722">
      <c r="D722" s="52"/>
    </row>
    <row r="723">
      <c r="D723" s="52"/>
    </row>
    <row r="724">
      <c r="D724" s="52"/>
    </row>
    <row r="725">
      <c r="D725" s="52"/>
    </row>
    <row r="726">
      <c r="D726" s="52"/>
    </row>
    <row r="727">
      <c r="D727" s="52"/>
    </row>
    <row r="728">
      <c r="D728" s="52"/>
    </row>
    <row r="729">
      <c r="D729" s="52"/>
    </row>
    <row r="730">
      <c r="D730" s="52"/>
    </row>
    <row r="731">
      <c r="D731" s="52"/>
    </row>
    <row r="732">
      <c r="D732" s="52"/>
    </row>
    <row r="733">
      <c r="D733" s="52"/>
    </row>
    <row r="734">
      <c r="D734" s="52"/>
    </row>
    <row r="735">
      <c r="D735" s="52"/>
    </row>
    <row r="736">
      <c r="D736" s="52"/>
    </row>
    <row r="737">
      <c r="D737" s="52"/>
    </row>
    <row r="738">
      <c r="D738" s="52"/>
    </row>
    <row r="739">
      <c r="D739" s="52"/>
    </row>
    <row r="740">
      <c r="D740" s="52"/>
    </row>
    <row r="741">
      <c r="D741" s="52"/>
    </row>
    <row r="742">
      <c r="D742" s="52"/>
    </row>
    <row r="743">
      <c r="D743" s="52"/>
    </row>
    <row r="744">
      <c r="D744" s="52"/>
    </row>
    <row r="745">
      <c r="D745" s="52"/>
    </row>
    <row r="746">
      <c r="D746" s="52"/>
    </row>
    <row r="747">
      <c r="D747" s="52"/>
    </row>
    <row r="748">
      <c r="D748" s="52"/>
    </row>
    <row r="749">
      <c r="D749" s="52"/>
    </row>
    <row r="750">
      <c r="D750" s="52"/>
    </row>
    <row r="751">
      <c r="D751" s="52"/>
    </row>
    <row r="752">
      <c r="D752" s="52"/>
    </row>
    <row r="753">
      <c r="D753" s="52"/>
    </row>
    <row r="754">
      <c r="D754" s="52"/>
    </row>
    <row r="755">
      <c r="D755" s="52"/>
    </row>
    <row r="756">
      <c r="D756" s="52"/>
    </row>
    <row r="757">
      <c r="D757" s="52"/>
    </row>
    <row r="758">
      <c r="D758" s="52"/>
    </row>
    <row r="759">
      <c r="D759" s="52"/>
    </row>
    <row r="760">
      <c r="D760" s="52"/>
    </row>
    <row r="761">
      <c r="D761" s="52"/>
    </row>
    <row r="762">
      <c r="D762" s="52"/>
    </row>
    <row r="763">
      <c r="D763" s="52"/>
    </row>
    <row r="764">
      <c r="D764" s="52"/>
    </row>
    <row r="765">
      <c r="D765" s="52"/>
    </row>
    <row r="766">
      <c r="D766" s="52"/>
    </row>
    <row r="767">
      <c r="D767" s="52"/>
    </row>
    <row r="768">
      <c r="D768" s="52"/>
    </row>
    <row r="769">
      <c r="D769" s="52"/>
    </row>
    <row r="770">
      <c r="D770" s="52"/>
    </row>
    <row r="771">
      <c r="D771" s="52"/>
    </row>
    <row r="772">
      <c r="D772" s="52"/>
    </row>
    <row r="773">
      <c r="D773" s="52"/>
    </row>
    <row r="774">
      <c r="D774" s="52"/>
    </row>
    <row r="775">
      <c r="D775" s="52"/>
    </row>
    <row r="776">
      <c r="D776" s="52"/>
    </row>
    <row r="777">
      <c r="D777" s="52"/>
    </row>
    <row r="778">
      <c r="D778" s="52"/>
    </row>
    <row r="779">
      <c r="D779" s="52"/>
    </row>
    <row r="780">
      <c r="D780" s="52"/>
    </row>
    <row r="781">
      <c r="D781" s="52"/>
    </row>
    <row r="782">
      <c r="D782" s="52"/>
    </row>
    <row r="783">
      <c r="D783" s="52"/>
    </row>
    <row r="784">
      <c r="D784" s="52"/>
    </row>
    <row r="785">
      <c r="D785" s="52"/>
    </row>
    <row r="786">
      <c r="D786" s="52"/>
    </row>
    <row r="787">
      <c r="D787" s="52"/>
    </row>
    <row r="788">
      <c r="D788" s="52"/>
    </row>
    <row r="789">
      <c r="D789" s="52"/>
    </row>
    <row r="790">
      <c r="D790" s="52"/>
    </row>
    <row r="791">
      <c r="D791" s="52"/>
    </row>
    <row r="792">
      <c r="D792" s="52"/>
    </row>
    <row r="793">
      <c r="D793" s="52"/>
    </row>
    <row r="794">
      <c r="D794" s="52"/>
    </row>
    <row r="795">
      <c r="D795" s="52"/>
    </row>
    <row r="796">
      <c r="D796" s="52"/>
    </row>
    <row r="797">
      <c r="D797" s="52"/>
    </row>
    <row r="798">
      <c r="D798" s="52"/>
    </row>
    <row r="799">
      <c r="D799" s="52"/>
    </row>
    <row r="800">
      <c r="D800" s="52"/>
    </row>
    <row r="801">
      <c r="D801" s="52"/>
    </row>
    <row r="802">
      <c r="D802" s="52"/>
    </row>
    <row r="803">
      <c r="D803" s="52"/>
    </row>
    <row r="804">
      <c r="D804" s="52"/>
    </row>
    <row r="805">
      <c r="D805" s="52"/>
    </row>
    <row r="806">
      <c r="D806" s="52"/>
    </row>
    <row r="807">
      <c r="D807" s="52"/>
    </row>
    <row r="808">
      <c r="D808" s="52"/>
    </row>
    <row r="809">
      <c r="D809" s="52"/>
    </row>
    <row r="810">
      <c r="D810" s="52"/>
    </row>
    <row r="811">
      <c r="D811" s="52"/>
    </row>
    <row r="812">
      <c r="D812" s="52"/>
    </row>
    <row r="813">
      <c r="D813" s="52"/>
    </row>
    <row r="814">
      <c r="D814" s="52"/>
    </row>
    <row r="815">
      <c r="D815" s="52"/>
    </row>
    <row r="816">
      <c r="D816" s="52"/>
    </row>
    <row r="817">
      <c r="D817" s="52"/>
    </row>
    <row r="818">
      <c r="D818" s="52"/>
    </row>
    <row r="819">
      <c r="D819" s="52"/>
    </row>
    <row r="820">
      <c r="D820" s="52"/>
    </row>
    <row r="821">
      <c r="D821" s="52"/>
    </row>
    <row r="822">
      <c r="D822" s="52"/>
    </row>
    <row r="823">
      <c r="D823" s="52"/>
    </row>
    <row r="824">
      <c r="D824" s="52"/>
    </row>
    <row r="825">
      <c r="D825" s="52"/>
    </row>
    <row r="826">
      <c r="D826" s="52"/>
    </row>
    <row r="827">
      <c r="D827" s="52"/>
    </row>
    <row r="828">
      <c r="D828" s="52"/>
    </row>
    <row r="829">
      <c r="D829" s="52"/>
    </row>
    <row r="830">
      <c r="D830" s="52"/>
    </row>
    <row r="831">
      <c r="D831" s="52"/>
    </row>
    <row r="832">
      <c r="D832" s="52"/>
    </row>
    <row r="833">
      <c r="D833" s="52"/>
    </row>
    <row r="834">
      <c r="D834" s="52"/>
    </row>
    <row r="835">
      <c r="D835" s="52"/>
    </row>
    <row r="836">
      <c r="D836" s="52"/>
    </row>
    <row r="837">
      <c r="D837" s="52"/>
    </row>
    <row r="838">
      <c r="D838" s="52"/>
    </row>
    <row r="839">
      <c r="D839" s="52"/>
    </row>
    <row r="840">
      <c r="D840" s="52"/>
    </row>
    <row r="841">
      <c r="D841" s="52"/>
    </row>
    <row r="842">
      <c r="D842" s="52"/>
    </row>
    <row r="843">
      <c r="D843" s="52"/>
    </row>
    <row r="844">
      <c r="D844" s="52"/>
    </row>
    <row r="845">
      <c r="D845" s="52"/>
    </row>
    <row r="846">
      <c r="D846" s="52"/>
    </row>
    <row r="847">
      <c r="D847" s="52"/>
    </row>
    <row r="848">
      <c r="D848" s="52"/>
    </row>
    <row r="849">
      <c r="D849" s="52"/>
    </row>
    <row r="850">
      <c r="D850" s="52"/>
    </row>
    <row r="851">
      <c r="D851" s="52"/>
    </row>
    <row r="852">
      <c r="D852" s="52"/>
    </row>
    <row r="853">
      <c r="D853" s="52"/>
    </row>
    <row r="854">
      <c r="D854" s="52"/>
    </row>
    <row r="855">
      <c r="D855" s="52"/>
    </row>
    <row r="856">
      <c r="D856" s="52"/>
    </row>
    <row r="857">
      <c r="D857" s="52"/>
    </row>
    <row r="858">
      <c r="D858" s="52"/>
    </row>
    <row r="859">
      <c r="D859" s="52"/>
    </row>
    <row r="860">
      <c r="D860" s="52"/>
    </row>
    <row r="861">
      <c r="D861" s="52"/>
    </row>
  </sheetData>
  <mergeCells count="7">
    <mergeCell ref="A1:F1"/>
    <mergeCell ref="A2:A3"/>
    <mergeCell ref="B2:B3"/>
    <mergeCell ref="C2:C3"/>
    <mergeCell ref="D2:D3"/>
    <mergeCell ref="E2:F2"/>
    <mergeCell ref="A24:H24"/>
  </mergeCells>
  <dataValidations>
    <dataValidation type="list" allowBlank="1" sqref="H4:H23">
      <formula1>"CHECKED (OK),CHECKED  (NOT OK)"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.63"/>
    <col customWidth="1" min="2" max="2" width="11.25"/>
    <col customWidth="1" min="3" max="3" width="30.75"/>
    <col customWidth="1" min="4" max="4" width="33.25"/>
    <col customWidth="1" min="7" max="7" width="4.88"/>
    <col customWidth="1" min="8" max="8" width="47.13"/>
    <col customWidth="1" min="9" max="9" width="21.63"/>
  </cols>
  <sheetData>
    <row r="1">
      <c r="A1" s="30" t="s">
        <v>27</v>
      </c>
      <c r="G1" s="31"/>
      <c r="H1" s="32" t="s">
        <v>28</v>
      </c>
      <c r="I1" s="33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4" t="s">
        <v>1</v>
      </c>
      <c r="B2" s="35" t="s">
        <v>11</v>
      </c>
      <c r="C2" s="35" t="s">
        <v>12</v>
      </c>
      <c r="D2" s="36" t="s">
        <v>13</v>
      </c>
      <c r="E2" s="37" t="s">
        <v>14</v>
      </c>
      <c r="F2" s="38"/>
      <c r="G2" s="39"/>
      <c r="H2" s="40"/>
      <c r="I2" s="40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58"/>
      <c r="B3" s="59"/>
      <c r="C3" s="59"/>
      <c r="D3" s="60"/>
      <c r="E3" s="42" t="s">
        <v>15</v>
      </c>
      <c r="F3" s="43" t="s">
        <v>5</v>
      </c>
      <c r="G3" s="39"/>
      <c r="H3" s="44" t="s">
        <v>6</v>
      </c>
      <c r="I3" s="45" t="s">
        <v>7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24.75" customHeight="1">
      <c r="A4" s="54">
        <v>1.0</v>
      </c>
      <c r="B4" s="47">
        <v>1003385.0</v>
      </c>
      <c r="C4" s="48" t="str">
        <f>vlookup(B4,'Crew Data'!C:G,5,0)</f>
        <v>Jaruma Jantarapap</v>
      </c>
      <c r="D4" s="49" t="s">
        <v>29</v>
      </c>
      <c r="E4" s="47">
        <v>2.0</v>
      </c>
      <c r="F4" s="50">
        <f t="shared" ref="F4:F84" si="1">E4*400</f>
        <v>800</v>
      </c>
      <c r="G4" s="22">
        <f t="shared" ref="G4:G84" si="2">COUNTIF(B:B,B4)</f>
        <v>1</v>
      </c>
      <c r="H4" s="51" t="s">
        <v>20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ht="24.75" customHeight="1">
      <c r="A5" s="55">
        <v>2.0</v>
      </c>
      <c r="B5" s="55">
        <v>1004213.0</v>
      </c>
      <c r="C5" s="48" t="str">
        <f>vlookup(B5,'Crew Data'!C:G,5,0)</f>
        <v>Worapada Suetrongmunkong</v>
      </c>
      <c r="D5" s="49" t="s">
        <v>30</v>
      </c>
      <c r="E5" s="55">
        <v>2.0</v>
      </c>
      <c r="F5" s="50">
        <f t="shared" si="1"/>
        <v>800</v>
      </c>
      <c r="G5" s="22">
        <f t="shared" si="2"/>
        <v>1</v>
      </c>
      <c r="H5" s="51" t="s">
        <v>20</v>
      </c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ht="24.75" customHeight="1">
      <c r="A6" s="55">
        <v>3.0</v>
      </c>
      <c r="B6" s="55">
        <v>1022989.0</v>
      </c>
      <c r="C6" s="48" t="str">
        <f>vlookup(B6,'Crew Data'!C:G,5,0)</f>
        <v>Peeranat Chavitranurak</v>
      </c>
      <c r="D6" s="56" t="s">
        <v>31</v>
      </c>
      <c r="E6" s="55">
        <v>2.0</v>
      </c>
      <c r="F6" s="50">
        <f t="shared" si="1"/>
        <v>800</v>
      </c>
      <c r="G6" s="22">
        <f t="shared" si="2"/>
        <v>1</v>
      </c>
      <c r="H6" s="51" t="s">
        <v>20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ht="24.75" customHeight="1">
      <c r="A7" s="55">
        <v>4.0</v>
      </c>
      <c r="B7" s="55">
        <v>1005287.0</v>
      </c>
      <c r="C7" s="48" t="str">
        <f>vlookup(B7,'Crew Data'!C:G,5,0)</f>
        <v>Thanawan Seemakul</v>
      </c>
      <c r="D7" s="56" t="s">
        <v>30</v>
      </c>
      <c r="E7" s="55">
        <v>2.0</v>
      </c>
      <c r="F7" s="50">
        <f t="shared" si="1"/>
        <v>800</v>
      </c>
      <c r="G7" s="22">
        <f t="shared" si="2"/>
        <v>1</v>
      </c>
      <c r="H7" s="51" t="s">
        <v>20</v>
      </c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ht="24.75" customHeight="1">
      <c r="A8" s="55">
        <v>5.0</v>
      </c>
      <c r="B8" s="55">
        <v>1022660.0</v>
      </c>
      <c r="C8" s="48" t="str">
        <f>vlookup(B8,'Crew Data'!C:G,5,0)</f>
        <v>Ketjiya Sriamonsak</v>
      </c>
      <c r="D8" s="56" t="s">
        <v>32</v>
      </c>
      <c r="E8" s="55">
        <v>2.0</v>
      </c>
      <c r="F8" s="50">
        <f t="shared" si="1"/>
        <v>800</v>
      </c>
      <c r="G8" s="22">
        <f t="shared" si="2"/>
        <v>1</v>
      </c>
      <c r="H8" s="51" t="s">
        <v>20</v>
      </c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ht="24.75" customHeight="1">
      <c r="A9" s="54">
        <v>6.0</v>
      </c>
      <c r="B9" s="55">
        <v>1007416.0</v>
      </c>
      <c r="C9" s="48" t="str">
        <f>vlookup(B9,'Crew Data'!C:G,5,0)</f>
        <v>Metus Leearporn</v>
      </c>
      <c r="D9" s="56" t="s">
        <v>33</v>
      </c>
      <c r="E9" s="55">
        <v>2.0</v>
      </c>
      <c r="F9" s="50">
        <f t="shared" si="1"/>
        <v>800</v>
      </c>
      <c r="G9" s="22">
        <f t="shared" si="2"/>
        <v>1</v>
      </c>
      <c r="H9" s="51" t="s">
        <v>20</v>
      </c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ht="24.75" customHeight="1">
      <c r="A10" s="55">
        <v>7.0</v>
      </c>
      <c r="B10" s="55">
        <v>1007277.0</v>
      </c>
      <c r="C10" s="48" t="str">
        <f>vlookup(B10,'Crew Data'!C:G,5,0)</f>
        <v>Theerapat Sudsawas</v>
      </c>
      <c r="D10" s="56" t="s">
        <v>33</v>
      </c>
      <c r="E10" s="55">
        <v>2.0</v>
      </c>
      <c r="F10" s="50">
        <f t="shared" si="1"/>
        <v>800</v>
      </c>
      <c r="G10" s="22">
        <f t="shared" si="2"/>
        <v>1</v>
      </c>
      <c r="H10" s="51" t="s">
        <v>20</v>
      </c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ht="24.75" customHeight="1">
      <c r="A11" s="55">
        <v>8.0</v>
      </c>
      <c r="B11" s="55">
        <v>1018803.0</v>
      </c>
      <c r="C11" s="48" t="str">
        <f>vlookup(B11,'Crew Data'!C:G,5,0)</f>
        <v>Natthaphon Poosomchit</v>
      </c>
      <c r="D11" s="56" t="s">
        <v>34</v>
      </c>
      <c r="E11" s="55">
        <v>4.0</v>
      </c>
      <c r="F11" s="50">
        <f t="shared" si="1"/>
        <v>1600</v>
      </c>
      <c r="G11" s="22">
        <f t="shared" si="2"/>
        <v>1</v>
      </c>
      <c r="H11" s="51" t="s">
        <v>20</v>
      </c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ht="24.75" customHeight="1">
      <c r="A12" s="55">
        <v>9.0</v>
      </c>
      <c r="B12" s="55">
        <v>1003386.0</v>
      </c>
      <c r="C12" s="48" t="str">
        <f>vlookup(B12,'Crew Data'!C:G,5,0)</f>
        <v>#N/A</v>
      </c>
      <c r="D12" s="56" t="s">
        <v>35</v>
      </c>
      <c r="E12" s="55">
        <v>2.0</v>
      </c>
      <c r="F12" s="50">
        <f t="shared" si="1"/>
        <v>800</v>
      </c>
      <c r="G12" s="22">
        <f t="shared" si="2"/>
        <v>1</v>
      </c>
      <c r="H12" s="51" t="s">
        <v>20</v>
      </c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ht="24.75" customHeight="1">
      <c r="A13" s="55">
        <v>10.0</v>
      </c>
      <c r="B13" s="55">
        <v>1003384.0</v>
      </c>
      <c r="C13" s="48" t="str">
        <f>vlookup(B13,'Crew Data'!C:G,5,0)</f>
        <v>Chatchaya Bhoocharyarth</v>
      </c>
      <c r="D13" s="56" t="s">
        <v>36</v>
      </c>
      <c r="E13" s="55">
        <v>2.0</v>
      </c>
      <c r="F13" s="50">
        <f t="shared" si="1"/>
        <v>800</v>
      </c>
      <c r="G13" s="22">
        <f t="shared" si="2"/>
        <v>1</v>
      </c>
      <c r="H13" s="51" t="s">
        <v>20</v>
      </c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ht="24.75" customHeight="1">
      <c r="A14" s="54">
        <v>11.0</v>
      </c>
      <c r="B14" s="55">
        <v>1001818.0</v>
      </c>
      <c r="C14" s="48" t="str">
        <f>vlookup(B14,'Crew Data'!C:G,5,0)</f>
        <v>Tanyapat Limthananat</v>
      </c>
      <c r="D14" s="56" t="s">
        <v>37</v>
      </c>
      <c r="E14" s="55">
        <v>2.0</v>
      </c>
      <c r="F14" s="50">
        <f t="shared" si="1"/>
        <v>800</v>
      </c>
      <c r="G14" s="22">
        <f t="shared" si="2"/>
        <v>1</v>
      </c>
      <c r="H14" s="51" t="s">
        <v>20</v>
      </c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ht="24.75" customHeight="1">
      <c r="A15" s="55">
        <v>12.0</v>
      </c>
      <c r="B15" s="55">
        <v>1017926.0</v>
      </c>
      <c r="C15" s="48" t="str">
        <f>vlookup(B15,'Crew Data'!C:G,5,0)</f>
        <v>Noppamanee Samranrat</v>
      </c>
      <c r="D15" s="56" t="s">
        <v>38</v>
      </c>
      <c r="E15" s="55">
        <v>2.0</v>
      </c>
      <c r="F15" s="50">
        <f t="shared" si="1"/>
        <v>800</v>
      </c>
      <c r="G15" s="22">
        <f t="shared" si="2"/>
        <v>1</v>
      </c>
      <c r="H15" s="51" t="s">
        <v>20</v>
      </c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t="24.75" customHeight="1">
      <c r="A16" s="55">
        <v>13.0</v>
      </c>
      <c r="B16" s="55">
        <v>1007009.0</v>
      </c>
      <c r="C16" s="48" t="str">
        <f>vlookup(B16,'Crew Data'!C:G,5,0)</f>
        <v>Busayarat Pongratanakul</v>
      </c>
      <c r="D16" s="56" t="s">
        <v>39</v>
      </c>
      <c r="E16" s="55">
        <v>2.0</v>
      </c>
      <c r="F16" s="50">
        <f t="shared" si="1"/>
        <v>800</v>
      </c>
      <c r="G16" s="22">
        <f t="shared" si="2"/>
        <v>1</v>
      </c>
      <c r="H16" s="51" t="s">
        <v>20</v>
      </c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t="24.75" customHeight="1">
      <c r="A17" s="55">
        <v>14.0</v>
      </c>
      <c r="B17" s="55">
        <v>1001787.0</v>
      </c>
      <c r="C17" s="48" t="str">
        <f>vlookup(B17,'Crew Data'!C:G,5,0)</f>
        <v>Porntippa Markpoon</v>
      </c>
      <c r="D17" s="56" t="s">
        <v>40</v>
      </c>
      <c r="E17" s="55">
        <v>4.0</v>
      </c>
      <c r="F17" s="50">
        <f t="shared" si="1"/>
        <v>1600</v>
      </c>
      <c r="G17" s="22">
        <f t="shared" si="2"/>
        <v>1</v>
      </c>
      <c r="H17" s="51" t="s">
        <v>20</v>
      </c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24.75" customHeight="1">
      <c r="A18" s="55">
        <v>15.0</v>
      </c>
      <c r="B18" s="55">
        <v>1005944.0</v>
      </c>
      <c r="C18" s="48" t="str">
        <f>vlookup(B18,'Crew Data'!C:G,5,0)</f>
        <v>Kwanchanok Praditsuk</v>
      </c>
      <c r="D18" s="56" t="s">
        <v>39</v>
      </c>
      <c r="E18" s="55">
        <v>2.0</v>
      </c>
      <c r="F18" s="50">
        <f t="shared" si="1"/>
        <v>800</v>
      </c>
      <c r="G18" s="22">
        <f t="shared" si="2"/>
        <v>1</v>
      </c>
      <c r="H18" s="51" t="s">
        <v>20</v>
      </c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t="24.75" customHeight="1">
      <c r="A19" s="54">
        <v>16.0</v>
      </c>
      <c r="B19" s="55">
        <v>1014064.0</v>
      </c>
      <c r="C19" s="48" t="str">
        <f>vlookup(B19,'Crew Data'!C:G,5,0)</f>
        <v>Jaraspak Plengkhum</v>
      </c>
      <c r="D19" s="56" t="s">
        <v>37</v>
      </c>
      <c r="E19" s="55">
        <v>2.0</v>
      </c>
      <c r="F19" s="50">
        <f t="shared" si="1"/>
        <v>800</v>
      </c>
      <c r="G19" s="22">
        <f t="shared" si="2"/>
        <v>1</v>
      </c>
      <c r="H19" s="51" t="s">
        <v>20</v>
      </c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ht="24.75" customHeight="1">
      <c r="A20" s="55">
        <v>17.0</v>
      </c>
      <c r="B20" s="55">
        <v>1004375.0</v>
      </c>
      <c r="C20" s="48" t="str">
        <f>vlookup(B20,'Crew Data'!C:G,5,0)</f>
        <v>Arpakorn Kultangwattana</v>
      </c>
      <c r="D20" s="56" t="s">
        <v>41</v>
      </c>
      <c r="E20" s="55">
        <v>5.0</v>
      </c>
      <c r="F20" s="50">
        <f t="shared" si="1"/>
        <v>2000</v>
      </c>
      <c r="G20" s="22">
        <f t="shared" si="2"/>
        <v>1</v>
      </c>
      <c r="H20" s="51" t="s">
        <v>20</v>
      </c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24.75" customHeight="1">
      <c r="A21" s="55">
        <v>18.0</v>
      </c>
      <c r="B21" s="55">
        <v>1006742.0</v>
      </c>
      <c r="C21" s="48" t="str">
        <f>vlookup(B21,'Crew Data'!C:G,5,0)</f>
        <v>Korakoch Charoenying</v>
      </c>
      <c r="D21" s="56" t="s">
        <v>42</v>
      </c>
      <c r="E21" s="55">
        <v>4.0</v>
      </c>
      <c r="F21" s="50">
        <f t="shared" si="1"/>
        <v>1600</v>
      </c>
      <c r="G21" s="22">
        <f t="shared" si="2"/>
        <v>1</v>
      </c>
      <c r="H21" s="51" t="s">
        <v>20</v>
      </c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24.75" customHeight="1">
      <c r="A22" s="55">
        <v>19.0</v>
      </c>
      <c r="B22" s="55">
        <v>1010880.0</v>
      </c>
      <c r="C22" s="48" t="str">
        <f>vlookup(B22,'Crew Data'!C:G,5,0)</f>
        <v>Chutima Thitisantikhun</v>
      </c>
      <c r="D22" s="56" t="s">
        <v>43</v>
      </c>
      <c r="E22" s="55">
        <v>2.0</v>
      </c>
      <c r="F22" s="50">
        <f t="shared" si="1"/>
        <v>800</v>
      </c>
      <c r="G22" s="22">
        <f t="shared" si="2"/>
        <v>1</v>
      </c>
      <c r="H22" s="51" t="s">
        <v>20</v>
      </c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24.75" customHeight="1">
      <c r="A23" s="55">
        <v>20.0</v>
      </c>
      <c r="B23" s="55">
        <v>1015097.0</v>
      </c>
      <c r="C23" s="48" t="str">
        <f>vlookup(B23,'Crew Data'!C:G,5,0)</f>
        <v>#N/A</v>
      </c>
      <c r="D23" s="56" t="s">
        <v>44</v>
      </c>
      <c r="E23" s="55">
        <v>2.0</v>
      </c>
      <c r="F23" s="50">
        <f t="shared" si="1"/>
        <v>800</v>
      </c>
      <c r="G23" s="22">
        <f t="shared" si="2"/>
        <v>1</v>
      </c>
      <c r="H23" s="51" t="s">
        <v>20</v>
      </c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24.75" customHeight="1">
      <c r="A24" s="54">
        <v>21.0</v>
      </c>
      <c r="B24" s="55">
        <v>1015090.0</v>
      </c>
      <c r="C24" s="48" t="str">
        <f>vlookup(B24,'Crew Data'!C:G,5,0)</f>
        <v>#N/A</v>
      </c>
      <c r="D24" s="56" t="s">
        <v>45</v>
      </c>
      <c r="E24" s="55">
        <v>4.0</v>
      </c>
      <c r="F24" s="50">
        <f t="shared" si="1"/>
        <v>1600</v>
      </c>
      <c r="G24" s="22">
        <f t="shared" si="2"/>
        <v>1</v>
      </c>
      <c r="H24" s="51" t="s">
        <v>20</v>
      </c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24.75" customHeight="1">
      <c r="A25" s="55">
        <v>22.0</v>
      </c>
      <c r="B25" s="55">
        <v>1022222.0</v>
      </c>
      <c r="C25" s="48" t="str">
        <f>vlookup(B25,'Crew Data'!C:G,5,0)</f>
        <v>Songboon Kiatchaweepan</v>
      </c>
      <c r="D25" s="56" t="s">
        <v>31</v>
      </c>
      <c r="E25" s="55">
        <v>2.0</v>
      </c>
      <c r="F25" s="50">
        <f t="shared" si="1"/>
        <v>800</v>
      </c>
      <c r="G25" s="22">
        <f t="shared" si="2"/>
        <v>1</v>
      </c>
      <c r="H25" s="51" t="s">
        <v>20</v>
      </c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24.75" customHeight="1">
      <c r="A26" s="55">
        <v>23.0</v>
      </c>
      <c r="B26" s="55">
        <v>1017639.0</v>
      </c>
      <c r="C26" s="48" t="str">
        <f>vlookup(B26,'Crew Data'!C:G,5,0)</f>
        <v>Dhanupol Sagulsukhmongkol</v>
      </c>
      <c r="D26" s="56" t="s">
        <v>30</v>
      </c>
      <c r="E26" s="55">
        <v>2.0</v>
      </c>
      <c r="F26" s="50">
        <f t="shared" si="1"/>
        <v>800</v>
      </c>
      <c r="G26" s="22">
        <f t="shared" si="2"/>
        <v>1</v>
      </c>
      <c r="H26" s="51" t="s">
        <v>20</v>
      </c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24.75" customHeight="1">
      <c r="A27" s="55">
        <v>24.0</v>
      </c>
      <c r="B27" s="55">
        <v>1002374.0</v>
      </c>
      <c r="C27" s="48" t="str">
        <f>vlookup(B27,'Crew Data'!C:G,5,0)</f>
        <v>Sirilak Sutanant</v>
      </c>
      <c r="D27" s="56" t="s">
        <v>46</v>
      </c>
      <c r="E27" s="55">
        <v>2.0</v>
      </c>
      <c r="F27" s="50">
        <f t="shared" si="1"/>
        <v>800</v>
      </c>
      <c r="G27" s="22">
        <f t="shared" si="2"/>
        <v>1</v>
      </c>
      <c r="H27" s="51" t="s">
        <v>20</v>
      </c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24.75" customHeight="1">
      <c r="A28" s="55">
        <v>25.0</v>
      </c>
      <c r="B28" s="55">
        <v>1007202.0</v>
      </c>
      <c r="C28" s="48" t="str">
        <f>vlookup(B28,'Crew Data'!C:G,5,0)</f>
        <v>Kritsada Prachanuchit</v>
      </c>
      <c r="D28" s="56" t="s">
        <v>43</v>
      </c>
      <c r="E28" s="55">
        <v>2.0</v>
      </c>
      <c r="F28" s="50">
        <f t="shared" si="1"/>
        <v>800</v>
      </c>
      <c r="G28" s="22">
        <f t="shared" si="2"/>
        <v>1</v>
      </c>
      <c r="H28" s="51" t="s">
        <v>20</v>
      </c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24.75" customHeight="1">
      <c r="A29" s="54">
        <v>26.0</v>
      </c>
      <c r="B29" s="55">
        <v>1011319.0</v>
      </c>
      <c r="C29" s="48" t="str">
        <f>vlookup(B29,'Crew Data'!C:G,5,0)</f>
        <v>Sakaow Homtrakul</v>
      </c>
      <c r="D29" s="56" t="s">
        <v>47</v>
      </c>
      <c r="E29" s="55">
        <v>2.0</v>
      </c>
      <c r="F29" s="50">
        <f t="shared" si="1"/>
        <v>800</v>
      </c>
      <c r="G29" s="22">
        <f t="shared" si="2"/>
        <v>1</v>
      </c>
      <c r="H29" s="51" t="s">
        <v>20</v>
      </c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24.75" customHeight="1">
      <c r="A30" s="55">
        <v>27.0</v>
      </c>
      <c r="B30" s="55">
        <v>1015092.0</v>
      </c>
      <c r="C30" s="48" t="str">
        <f>vlookup(B30,'Crew Data'!C:G,5,0)</f>
        <v>Phavinee Sripablhom</v>
      </c>
      <c r="D30" s="56" t="s">
        <v>48</v>
      </c>
      <c r="E30" s="55">
        <v>2.0</v>
      </c>
      <c r="F30" s="50">
        <f t="shared" si="1"/>
        <v>800</v>
      </c>
      <c r="G30" s="22">
        <f t="shared" si="2"/>
        <v>1</v>
      </c>
      <c r="H30" s="51" t="s">
        <v>20</v>
      </c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24.75" customHeight="1">
      <c r="A31" s="55">
        <v>28.0</v>
      </c>
      <c r="B31" s="55">
        <v>1022841.0</v>
      </c>
      <c r="C31" s="48" t="str">
        <f>vlookup(B31,'Crew Data'!C:G,5,0)</f>
        <v>Apinya Chaisaeng</v>
      </c>
      <c r="D31" s="56" t="s">
        <v>36</v>
      </c>
      <c r="E31" s="55">
        <v>2.0</v>
      </c>
      <c r="F31" s="50">
        <f t="shared" si="1"/>
        <v>800</v>
      </c>
      <c r="G31" s="22">
        <f t="shared" si="2"/>
        <v>1</v>
      </c>
      <c r="H31" s="51" t="s">
        <v>20</v>
      </c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24.75" customHeight="1">
      <c r="A32" s="55">
        <v>29.0</v>
      </c>
      <c r="B32" s="55">
        <v>1000486.0</v>
      </c>
      <c r="C32" s="48" t="str">
        <f>vlookup(B32,'Crew Data'!C:G,5,0)</f>
        <v>Ratthinan Wasupornwiboon</v>
      </c>
      <c r="D32" s="56" t="s">
        <v>35</v>
      </c>
      <c r="E32" s="55">
        <v>2.0</v>
      </c>
      <c r="F32" s="50">
        <f t="shared" si="1"/>
        <v>800</v>
      </c>
      <c r="G32" s="22">
        <f t="shared" si="2"/>
        <v>1</v>
      </c>
      <c r="H32" s="51" t="s">
        <v>20</v>
      </c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t="24.75" customHeight="1">
      <c r="A33" s="55">
        <v>30.0</v>
      </c>
      <c r="B33" s="55">
        <v>1014080.0</v>
      </c>
      <c r="C33" s="48" t="str">
        <f>vlookup(B33,'Crew Data'!C:G,5,0)</f>
        <v>Phalinsu Angsunakul</v>
      </c>
      <c r="D33" s="56" t="s">
        <v>49</v>
      </c>
      <c r="E33" s="55">
        <v>2.0</v>
      </c>
      <c r="F33" s="50">
        <f t="shared" si="1"/>
        <v>800</v>
      </c>
      <c r="G33" s="22">
        <f t="shared" si="2"/>
        <v>1</v>
      </c>
      <c r="H33" s="51" t="s">
        <v>20</v>
      </c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24.75" customHeight="1">
      <c r="A34" s="54">
        <v>31.0</v>
      </c>
      <c r="B34" s="55">
        <v>1014059.0</v>
      </c>
      <c r="C34" s="48" t="str">
        <f>vlookup(B34,'Crew Data'!C:G,5,0)</f>
        <v>#N/A</v>
      </c>
      <c r="D34" s="56" t="s">
        <v>49</v>
      </c>
      <c r="E34" s="55">
        <v>2.0</v>
      </c>
      <c r="F34" s="50">
        <f t="shared" si="1"/>
        <v>800</v>
      </c>
      <c r="G34" s="22">
        <f t="shared" si="2"/>
        <v>1</v>
      </c>
      <c r="H34" s="51" t="s">
        <v>20</v>
      </c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ht="24.75" customHeight="1">
      <c r="A35" s="55">
        <v>32.0</v>
      </c>
      <c r="B35" s="55">
        <v>1001319.0</v>
      </c>
      <c r="C35" s="48" t="str">
        <f>vlookup(B35,'Crew Data'!C:G,5,0)</f>
        <v>Wipat Lurkasemsuk</v>
      </c>
      <c r="D35" s="56" t="s">
        <v>48</v>
      </c>
      <c r="E35" s="55">
        <v>2.0</v>
      </c>
      <c r="F35" s="50">
        <f t="shared" si="1"/>
        <v>800</v>
      </c>
      <c r="G35" s="22">
        <f t="shared" si="2"/>
        <v>1</v>
      </c>
      <c r="H35" s="51" t="s">
        <v>20</v>
      </c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ht="24.75" customHeight="1">
      <c r="A36" s="55">
        <v>33.0</v>
      </c>
      <c r="B36" s="55">
        <v>1006743.0</v>
      </c>
      <c r="C36" s="48" t="str">
        <f>vlookup(B36,'Crew Data'!C:G,5,0)</f>
        <v>Methawadee Nuanganant</v>
      </c>
      <c r="D36" s="56" t="s">
        <v>50</v>
      </c>
      <c r="E36" s="55">
        <v>2.0</v>
      </c>
      <c r="F36" s="50">
        <f t="shared" si="1"/>
        <v>800</v>
      </c>
      <c r="G36" s="22">
        <f t="shared" si="2"/>
        <v>1</v>
      </c>
      <c r="H36" s="51" t="s">
        <v>20</v>
      </c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ht="24.75" customHeight="1">
      <c r="A37" s="55">
        <v>34.0</v>
      </c>
      <c r="B37" s="55">
        <v>1004541.0</v>
      </c>
      <c r="C37" s="48" t="str">
        <f>vlookup(B37,'Crew Data'!C:G,5,0)</f>
        <v>Varaporn Rattanamahasalchai</v>
      </c>
      <c r="D37" s="56" t="s">
        <v>48</v>
      </c>
      <c r="E37" s="55">
        <v>2.0</v>
      </c>
      <c r="F37" s="50">
        <f t="shared" si="1"/>
        <v>800</v>
      </c>
      <c r="G37" s="22">
        <f t="shared" si="2"/>
        <v>1</v>
      </c>
      <c r="H37" s="51" t="s">
        <v>20</v>
      </c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t="24.75" customHeight="1">
      <c r="A38" s="55">
        <v>35.0</v>
      </c>
      <c r="B38" s="55">
        <v>1003172.0</v>
      </c>
      <c r="C38" s="48" t="str">
        <f>vlookup(B38,'Crew Data'!C:G,5,0)</f>
        <v>Natthanit Kaewchoochuen</v>
      </c>
      <c r="D38" s="56" t="s">
        <v>51</v>
      </c>
      <c r="E38" s="55">
        <v>2.0</v>
      </c>
      <c r="F38" s="50">
        <f t="shared" si="1"/>
        <v>800</v>
      </c>
      <c r="G38" s="22">
        <f t="shared" si="2"/>
        <v>1</v>
      </c>
      <c r="H38" s="51" t="s">
        <v>20</v>
      </c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t="24.75" customHeight="1">
      <c r="A39" s="54">
        <v>36.0</v>
      </c>
      <c r="B39" s="55">
        <v>1019299.0</v>
      </c>
      <c r="C39" s="48" t="str">
        <f>vlookup(B39,'Crew Data'!C:G,5,0)</f>
        <v>Phattaraporn Jindapol</v>
      </c>
      <c r="D39" s="56" t="s">
        <v>51</v>
      </c>
      <c r="E39" s="55">
        <v>2.0</v>
      </c>
      <c r="F39" s="50">
        <f t="shared" si="1"/>
        <v>800</v>
      </c>
      <c r="G39" s="22">
        <f t="shared" si="2"/>
        <v>1</v>
      </c>
      <c r="H39" s="51" t="s">
        <v>20</v>
      </c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ht="24.75" customHeight="1">
      <c r="A40" s="55">
        <v>37.0</v>
      </c>
      <c r="B40" s="55">
        <v>1003220.0</v>
      </c>
      <c r="C40" s="48" t="str">
        <f>vlookup(B40,'Crew Data'!C:G,5,0)</f>
        <v>Pathita Leepeeravitit</v>
      </c>
      <c r="D40" s="56" t="s">
        <v>52</v>
      </c>
      <c r="E40" s="55">
        <v>2.0</v>
      </c>
      <c r="F40" s="50">
        <f t="shared" si="1"/>
        <v>800</v>
      </c>
      <c r="G40" s="22">
        <f t="shared" si="2"/>
        <v>1</v>
      </c>
      <c r="H40" s="51" t="s">
        <v>20</v>
      </c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ht="24.75" customHeight="1">
      <c r="A41" s="55">
        <v>38.0</v>
      </c>
      <c r="B41" s="55">
        <v>1009131.0</v>
      </c>
      <c r="C41" s="48" t="str">
        <f>vlookup(B41,'Crew Data'!C:G,5,0)</f>
        <v>Burin Wongdithai</v>
      </c>
      <c r="D41" s="56" t="s">
        <v>39</v>
      </c>
      <c r="E41" s="55">
        <v>2.0</v>
      </c>
      <c r="F41" s="50">
        <f t="shared" si="1"/>
        <v>800</v>
      </c>
      <c r="G41" s="22">
        <f t="shared" si="2"/>
        <v>1</v>
      </c>
      <c r="H41" s="51" t="s">
        <v>20</v>
      </c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ht="24.75" customHeight="1">
      <c r="A42" s="55">
        <v>39.0</v>
      </c>
      <c r="B42" s="55">
        <v>1004444.0</v>
      </c>
      <c r="C42" s="48" t="str">
        <f>vlookup(B42,'Crew Data'!C:G,5,0)</f>
        <v>Arisara Nenchatee</v>
      </c>
      <c r="D42" s="56" t="s">
        <v>52</v>
      </c>
      <c r="E42" s="55">
        <v>2.0</v>
      </c>
      <c r="F42" s="50">
        <f t="shared" si="1"/>
        <v>800</v>
      </c>
      <c r="G42" s="22">
        <f t="shared" si="2"/>
        <v>1</v>
      </c>
      <c r="H42" s="51" t="s">
        <v>20</v>
      </c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ht="24.75" customHeight="1">
      <c r="A43" s="55">
        <v>40.0</v>
      </c>
      <c r="B43" s="55">
        <v>1003223.0</v>
      </c>
      <c r="C43" s="48" t="str">
        <f>vlookup(B43,'Crew Data'!C:G,5,0)</f>
        <v>#N/A</v>
      </c>
      <c r="D43" s="56" t="s">
        <v>50</v>
      </c>
      <c r="E43" s="55">
        <v>2.0</v>
      </c>
      <c r="F43" s="50">
        <f t="shared" si="1"/>
        <v>800</v>
      </c>
      <c r="G43" s="22">
        <f t="shared" si="2"/>
        <v>1</v>
      </c>
      <c r="H43" s="51" t="s">
        <v>20</v>
      </c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ht="24.75" customHeight="1">
      <c r="A44" s="54">
        <v>41.0</v>
      </c>
      <c r="B44" s="55">
        <v>1007339.0</v>
      </c>
      <c r="C44" s="48" t="str">
        <f>vlookup(B44,'Crew Data'!C:G,5,0)</f>
        <v>Chanicha Songkrit</v>
      </c>
      <c r="D44" s="56" t="s">
        <v>41</v>
      </c>
      <c r="E44" s="55">
        <v>5.0</v>
      </c>
      <c r="F44" s="50">
        <f t="shared" si="1"/>
        <v>2000</v>
      </c>
      <c r="G44" s="22">
        <f t="shared" si="2"/>
        <v>1</v>
      </c>
      <c r="H44" s="51" t="s">
        <v>20</v>
      </c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ht="24.75" customHeight="1">
      <c r="A45" s="55">
        <v>42.0</v>
      </c>
      <c r="B45" s="55">
        <v>1007207.0</v>
      </c>
      <c r="C45" s="48" t="str">
        <f>vlookup(B45,'Crew Data'!C:G,5,0)</f>
        <v>Sasiwan Nakate</v>
      </c>
      <c r="D45" s="56" t="s">
        <v>33</v>
      </c>
      <c r="E45" s="55">
        <v>2.0</v>
      </c>
      <c r="F45" s="50">
        <f t="shared" si="1"/>
        <v>800</v>
      </c>
      <c r="G45" s="22">
        <f t="shared" si="2"/>
        <v>1</v>
      </c>
      <c r="H45" s="51" t="s">
        <v>20</v>
      </c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ht="24.75" customHeight="1">
      <c r="A46" s="55">
        <v>43.0</v>
      </c>
      <c r="B46" s="55">
        <v>1005303.0</v>
      </c>
      <c r="C46" s="48" t="str">
        <f>vlookup(B46,'Crew Data'!C:G,5,0)</f>
        <v>Piyathida Jaikla</v>
      </c>
      <c r="D46" s="56" t="s">
        <v>53</v>
      </c>
      <c r="E46" s="55">
        <v>2.0</v>
      </c>
      <c r="F46" s="50">
        <f t="shared" si="1"/>
        <v>800</v>
      </c>
      <c r="G46" s="22">
        <f t="shared" si="2"/>
        <v>1</v>
      </c>
      <c r="H46" s="51" t="s">
        <v>20</v>
      </c>
      <c r="J46" s="6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ht="24.75" customHeight="1">
      <c r="A47" s="55">
        <v>44.0</v>
      </c>
      <c r="B47" s="55">
        <v>1009799.0</v>
      </c>
      <c r="C47" s="48" t="str">
        <f>vlookup(B47,'Crew Data'!C:G,5,0)</f>
        <v>Kittirat Aujsri</v>
      </c>
      <c r="D47" s="56" t="s">
        <v>54</v>
      </c>
      <c r="E47" s="55">
        <v>2.0</v>
      </c>
      <c r="F47" s="50">
        <f t="shared" si="1"/>
        <v>800</v>
      </c>
      <c r="G47" s="22">
        <f t="shared" si="2"/>
        <v>1</v>
      </c>
      <c r="H47" s="51" t="s">
        <v>20</v>
      </c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ht="24.75" customHeight="1">
      <c r="A48" s="55">
        <v>45.0</v>
      </c>
      <c r="B48" s="55">
        <v>1010932.0</v>
      </c>
      <c r="C48" s="48" t="str">
        <f>vlookup(B48,'Crew Data'!C:G,5,0)</f>
        <v>Wanunyapat Wongvichien</v>
      </c>
      <c r="D48" s="56" t="s">
        <v>43</v>
      </c>
      <c r="E48" s="55">
        <v>2.0</v>
      </c>
      <c r="F48" s="50">
        <f t="shared" si="1"/>
        <v>800</v>
      </c>
      <c r="G48" s="22">
        <f t="shared" si="2"/>
        <v>1</v>
      </c>
      <c r="H48" s="51" t="s">
        <v>20</v>
      </c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ht="24.75" customHeight="1">
      <c r="A49" s="54">
        <v>46.0</v>
      </c>
      <c r="B49" s="55">
        <v>1016195.0</v>
      </c>
      <c r="C49" s="48" t="str">
        <f>vlookup(B49,'Crew Data'!C:G,5,0)</f>
        <v>Keerati Sooksai</v>
      </c>
      <c r="D49" s="56" t="s">
        <v>52</v>
      </c>
      <c r="E49" s="55">
        <v>2.0</v>
      </c>
      <c r="F49" s="50">
        <f t="shared" si="1"/>
        <v>800</v>
      </c>
      <c r="G49" s="22">
        <f t="shared" si="2"/>
        <v>1</v>
      </c>
      <c r="H49" s="51" t="s">
        <v>20</v>
      </c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ht="24.75" customHeight="1">
      <c r="A50" s="55">
        <v>47.0</v>
      </c>
      <c r="B50" s="55">
        <v>1006835.0</v>
      </c>
      <c r="C50" s="48" t="str">
        <f>vlookup(B50,'Crew Data'!C:G,5,0)</f>
        <v>Ketsaraporn Borvornmongkolsak</v>
      </c>
      <c r="D50" s="56" t="s">
        <v>55</v>
      </c>
      <c r="E50" s="55">
        <v>2.0</v>
      </c>
      <c r="F50" s="50">
        <f t="shared" si="1"/>
        <v>800</v>
      </c>
      <c r="G50" s="22">
        <f t="shared" si="2"/>
        <v>1</v>
      </c>
      <c r="H50" s="51" t="s">
        <v>20</v>
      </c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ht="24.75" customHeight="1">
      <c r="A51" s="55">
        <v>48.0</v>
      </c>
      <c r="B51" s="55">
        <v>1004857.0</v>
      </c>
      <c r="C51" s="48" t="str">
        <f>vlookup(B51,'Crew Data'!C:G,5,0)</f>
        <v>#N/A</v>
      </c>
      <c r="D51" s="56" t="s">
        <v>56</v>
      </c>
      <c r="E51" s="55">
        <v>2.0</v>
      </c>
      <c r="F51" s="50">
        <f t="shared" si="1"/>
        <v>800</v>
      </c>
      <c r="G51" s="22">
        <f t="shared" si="2"/>
        <v>1</v>
      </c>
      <c r="H51" s="51" t="s">
        <v>20</v>
      </c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ht="24.75" customHeight="1">
      <c r="A52" s="55">
        <v>49.0</v>
      </c>
      <c r="B52" s="55">
        <v>1012358.0</v>
      </c>
      <c r="C52" s="48" t="str">
        <f>vlookup(B52,'Crew Data'!C:G,5,0)</f>
        <v>Kohchamon Pithayapitpat</v>
      </c>
      <c r="D52" s="56" t="s">
        <v>24</v>
      </c>
      <c r="E52" s="55">
        <v>3.0</v>
      </c>
      <c r="F52" s="50">
        <f t="shared" si="1"/>
        <v>1200</v>
      </c>
      <c r="G52" s="22">
        <f t="shared" si="2"/>
        <v>1</v>
      </c>
      <c r="H52" s="51" t="s">
        <v>20</v>
      </c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ht="24.75" customHeight="1">
      <c r="A53" s="55">
        <v>50.0</v>
      </c>
      <c r="B53" s="55">
        <v>1006324.0</v>
      </c>
      <c r="C53" s="48" t="str">
        <f>vlookup(B53,'Crew Data'!C:G,5,0)</f>
        <v>Pimpas Ruangtragul</v>
      </c>
      <c r="D53" s="56" t="s">
        <v>57</v>
      </c>
      <c r="E53" s="55">
        <v>2.0</v>
      </c>
      <c r="F53" s="50">
        <f t="shared" si="1"/>
        <v>800</v>
      </c>
      <c r="G53" s="22">
        <f t="shared" si="2"/>
        <v>1</v>
      </c>
      <c r="H53" s="51" t="s">
        <v>20</v>
      </c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ht="24.75" customHeight="1">
      <c r="A54" s="54">
        <v>51.0</v>
      </c>
      <c r="B54" s="55">
        <v>1007262.0</v>
      </c>
      <c r="C54" s="48" t="str">
        <f>vlookup(B54,'Crew Data'!C:G,5,0)</f>
        <v> Kaeokumchai</v>
      </c>
      <c r="D54" s="56" t="s">
        <v>32</v>
      </c>
      <c r="E54" s="55">
        <v>2.0</v>
      </c>
      <c r="F54" s="50">
        <f t="shared" si="1"/>
        <v>800</v>
      </c>
      <c r="G54" s="22">
        <f t="shared" si="2"/>
        <v>1</v>
      </c>
      <c r="H54" s="51" t="s">
        <v>20</v>
      </c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ht="24.75" customHeight="1">
      <c r="A55" s="55">
        <v>52.0</v>
      </c>
      <c r="B55" s="55">
        <v>1006991.0</v>
      </c>
      <c r="C55" s="48" t="str">
        <f>vlookup(B55,'Crew Data'!C:G,5,0)</f>
        <v>Chattamanuch Thiamhong</v>
      </c>
      <c r="D55" s="56" t="s">
        <v>58</v>
      </c>
      <c r="E55" s="55">
        <v>2.0</v>
      </c>
      <c r="F55" s="50">
        <f t="shared" si="1"/>
        <v>800</v>
      </c>
      <c r="G55" s="22">
        <f t="shared" si="2"/>
        <v>1</v>
      </c>
      <c r="H55" s="51" t="s">
        <v>20</v>
      </c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ht="24.75" customHeight="1">
      <c r="A56" s="55">
        <v>53.0</v>
      </c>
      <c r="B56" s="55">
        <v>1002984.0</v>
      </c>
      <c r="C56" s="48" t="str">
        <f>vlookup(B56,'Crew Data'!C:G,5,0)</f>
        <v>Praepailin Luckanatin</v>
      </c>
      <c r="D56" s="56" t="s">
        <v>56</v>
      </c>
      <c r="E56" s="55">
        <v>2.0</v>
      </c>
      <c r="F56" s="50">
        <f t="shared" si="1"/>
        <v>800</v>
      </c>
      <c r="G56" s="22">
        <f t="shared" si="2"/>
        <v>1</v>
      </c>
      <c r="H56" s="51" t="s">
        <v>20</v>
      </c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ht="24.75" customHeight="1">
      <c r="A57" s="55">
        <v>54.0</v>
      </c>
      <c r="B57" s="55">
        <v>1018531.0</v>
      </c>
      <c r="C57" s="48" t="str">
        <f>vlookup(B57,'Crew Data'!C:G,5,0)</f>
        <v>Chawit Donsawee</v>
      </c>
      <c r="D57" s="56" t="s">
        <v>59</v>
      </c>
      <c r="E57" s="55">
        <v>6.0</v>
      </c>
      <c r="F57" s="50">
        <f t="shared" si="1"/>
        <v>2400</v>
      </c>
      <c r="G57" s="22">
        <f t="shared" si="2"/>
        <v>1</v>
      </c>
      <c r="H57" s="51" t="s">
        <v>20</v>
      </c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ht="24.75" customHeight="1">
      <c r="A58" s="55">
        <v>55.0</v>
      </c>
      <c r="B58" s="55">
        <v>1006052.0</v>
      </c>
      <c r="C58" s="48" t="str">
        <f>vlookup(B58,'Crew Data'!C:G,5,0)</f>
        <v>Ananya Sindhusen</v>
      </c>
      <c r="D58" s="56" t="s">
        <v>57</v>
      </c>
      <c r="E58" s="55">
        <v>2.0</v>
      </c>
      <c r="F58" s="50">
        <f t="shared" si="1"/>
        <v>800</v>
      </c>
      <c r="G58" s="22">
        <f t="shared" si="2"/>
        <v>1</v>
      </c>
      <c r="H58" s="51" t="s">
        <v>20</v>
      </c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ht="24.75" customHeight="1">
      <c r="A59" s="54">
        <v>56.0</v>
      </c>
      <c r="B59" s="55">
        <v>1010939.0</v>
      </c>
      <c r="C59" s="48" t="str">
        <f>vlookup(B59,'Crew Data'!C:G,5,0)</f>
        <v>Yuwarat Meesap</v>
      </c>
      <c r="D59" s="56" t="s">
        <v>60</v>
      </c>
      <c r="E59" s="55">
        <v>4.0</v>
      </c>
      <c r="F59" s="50">
        <f t="shared" si="1"/>
        <v>1600</v>
      </c>
      <c r="G59" s="22">
        <f t="shared" si="2"/>
        <v>1</v>
      </c>
      <c r="H59" s="51" t="s">
        <v>20</v>
      </c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ht="24.75" customHeight="1">
      <c r="A60" s="55">
        <v>57.0</v>
      </c>
      <c r="B60" s="55">
        <v>1014308.0</v>
      </c>
      <c r="C60" s="48" t="str">
        <f>vlookup(B60,'Crew Data'!C:G,5,0)</f>
        <v>Asama Thunyavacharakul</v>
      </c>
      <c r="D60" s="56" t="s">
        <v>61</v>
      </c>
      <c r="E60" s="55">
        <v>2.0</v>
      </c>
      <c r="F60" s="50">
        <f t="shared" si="1"/>
        <v>800</v>
      </c>
      <c r="G60" s="22">
        <f t="shared" si="2"/>
        <v>1</v>
      </c>
      <c r="H60" s="51" t="s">
        <v>20</v>
      </c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ht="24.75" customHeight="1">
      <c r="A61" s="55">
        <v>58.0</v>
      </c>
      <c r="B61" s="55">
        <v>1006995.0</v>
      </c>
      <c r="C61" s="48" t="str">
        <f>vlookup(B61,'Crew Data'!C:G,5,0)</f>
        <v>Kornrumpha Wongsing</v>
      </c>
      <c r="D61" s="56" t="s">
        <v>46</v>
      </c>
      <c r="E61" s="55">
        <v>2.0</v>
      </c>
      <c r="F61" s="50">
        <f t="shared" si="1"/>
        <v>800</v>
      </c>
      <c r="G61" s="22">
        <f t="shared" si="2"/>
        <v>1</v>
      </c>
      <c r="H61" s="51" t="s">
        <v>20</v>
      </c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ht="24.75" customHeight="1">
      <c r="A62" s="55">
        <v>59.0</v>
      </c>
      <c r="B62" s="55">
        <v>1005444.0</v>
      </c>
      <c r="C62" s="48" t="str">
        <f>vlookup(B62,'Crew Data'!C:G,5,0)</f>
        <v>Rassarin Weerathammavit</v>
      </c>
      <c r="D62" s="56" t="s">
        <v>32</v>
      </c>
      <c r="E62" s="55">
        <v>2.0</v>
      </c>
      <c r="F62" s="50">
        <f t="shared" si="1"/>
        <v>800</v>
      </c>
      <c r="G62" s="22">
        <f t="shared" si="2"/>
        <v>1</v>
      </c>
      <c r="H62" s="51" t="s">
        <v>20</v>
      </c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ht="24.75" customHeight="1">
      <c r="A63" s="55">
        <v>60.0</v>
      </c>
      <c r="B63" s="55">
        <v>1011065.0</v>
      </c>
      <c r="C63" s="48" t="str">
        <f>vlookup(B63,'Crew Data'!C:G,5,0)</f>
        <v>Krittapak Chuchuaisuwan</v>
      </c>
      <c r="D63" s="56" t="s">
        <v>62</v>
      </c>
      <c r="E63" s="55">
        <v>6.0</v>
      </c>
      <c r="F63" s="50">
        <f t="shared" si="1"/>
        <v>2400</v>
      </c>
      <c r="G63" s="22">
        <f t="shared" si="2"/>
        <v>1</v>
      </c>
      <c r="H63" s="51" t="s">
        <v>20</v>
      </c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ht="24.75" customHeight="1">
      <c r="A64" s="54">
        <v>61.0</v>
      </c>
      <c r="B64" s="55">
        <v>1009759.0</v>
      </c>
      <c r="C64" s="48" t="str">
        <f>vlookup(B64,'Crew Data'!C:G,5,0)</f>
        <v>Rattanaporn Boonin</v>
      </c>
      <c r="D64" s="56" t="s">
        <v>63</v>
      </c>
      <c r="E64" s="55">
        <v>2.0</v>
      </c>
      <c r="F64" s="50">
        <f t="shared" si="1"/>
        <v>800</v>
      </c>
      <c r="G64" s="22">
        <f t="shared" si="2"/>
        <v>1</v>
      </c>
      <c r="H64" s="51" t="s">
        <v>20</v>
      </c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ht="24.75" customHeight="1">
      <c r="A65" s="55">
        <v>62.0</v>
      </c>
      <c r="B65" s="55">
        <v>1015394.0</v>
      </c>
      <c r="C65" s="48" t="str">
        <f>vlookup(B65,'Crew Data'!C:G,5,0)</f>
        <v>Kawin Panpipat</v>
      </c>
      <c r="D65" s="56" t="s">
        <v>64</v>
      </c>
      <c r="E65" s="55">
        <v>2.0</v>
      </c>
      <c r="F65" s="50">
        <f t="shared" si="1"/>
        <v>800</v>
      </c>
      <c r="G65" s="22">
        <f t="shared" si="2"/>
        <v>1</v>
      </c>
      <c r="H65" s="51" t="s">
        <v>20</v>
      </c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ht="24.75" customHeight="1">
      <c r="A66" s="55">
        <v>63.0</v>
      </c>
      <c r="B66" s="55">
        <v>1014359.0</v>
      </c>
      <c r="C66" s="48" t="str">
        <f>vlookup(B66,'Crew Data'!C:G,5,0)</f>
        <v>Rattiporn Thongarch</v>
      </c>
      <c r="D66" s="56" t="s">
        <v>65</v>
      </c>
      <c r="E66" s="55">
        <v>2.0</v>
      </c>
      <c r="F66" s="50">
        <f t="shared" si="1"/>
        <v>800</v>
      </c>
      <c r="G66" s="22">
        <f t="shared" si="2"/>
        <v>1</v>
      </c>
      <c r="H66" s="51" t="s">
        <v>20</v>
      </c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ht="24.75" customHeight="1">
      <c r="A67" s="55">
        <v>64.0</v>
      </c>
      <c r="B67" s="55">
        <v>1017653.0</v>
      </c>
      <c r="C67" s="48" t="str">
        <f>vlookup(B67,'Crew Data'!C:G,5,0)</f>
        <v>Wachiraphon Lakbun</v>
      </c>
      <c r="D67" s="56" t="s">
        <v>66</v>
      </c>
      <c r="E67" s="55">
        <v>4.0</v>
      </c>
      <c r="F67" s="50">
        <f t="shared" si="1"/>
        <v>1600</v>
      </c>
      <c r="G67" s="22">
        <f t="shared" si="2"/>
        <v>1</v>
      </c>
      <c r="H67" s="51" t="s">
        <v>20</v>
      </c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ht="24.75" customHeight="1">
      <c r="A68" s="55">
        <v>65.0</v>
      </c>
      <c r="B68" s="55">
        <v>1006989.0</v>
      </c>
      <c r="C68" s="48" t="str">
        <f>vlookup(B68,'Crew Data'!C:G,5,0)</f>
        <v>Pimlawee Unn-A-Nant</v>
      </c>
      <c r="D68" s="56" t="s">
        <v>36</v>
      </c>
      <c r="E68" s="55">
        <v>2.0</v>
      </c>
      <c r="F68" s="50">
        <f t="shared" si="1"/>
        <v>800</v>
      </c>
      <c r="G68" s="22">
        <f t="shared" si="2"/>
        <v>1</v>
      </c>
      <c r="H68" s="51" t="s">
        <v>20</v>
      </c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ht="24.75" customHeight="1">
      <c r="A69" s="55">
        <v>66.0</v>
      </c>
      <c r="B69" s="55">
        <v>1017651.0</v>
      </c>
      <c r="C69" s="48" t="str">
        <f>vlookup(B69,'Crew Data'!C:G,5,0)</f>
        <v>Usana Saepua</v>
      </c>
      <c r="D69" s="56" t="s">
        <v>65</v>
      </c>
      <c r="E69" s="55">
        <v>2.0</v>
      </c>
      <c r="F69" s="50">
        <f t="shared" si="1"/>
        <v>800</v>
      </c>
      <c r="G69" s="22">
        <f t="shared" si="2"/>
        <v>1</v>
      </c>
      <c r="H69" s="51" t="s">
        <v>20</v>
      </c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ht="24.75" customHeight="1">
      <c r="A70" s="55">
        <v>67.0</v>
      </c>
      <c r="B70" s="55">
        <v>1005765.0</v>
      </c>
      <c r="C70" s="48" t="str">
        <f>vlookup(B70,'Crew Data'!C:G,5,0)</f>
        <v>Rapeepan Ariyakul</v>
      </c>
      <c r="D70" s="56" t="s">
        <v>36</v>
      </c>
      <c r="E70" s="55">
        <v>2.0</v>
      </c>
      <c r="F70" s="50">
        <f t="shared" si="1"/>
        <v>800</v>
      </c>
      <c r="G70" s="22">
        <f t="shared" si="2"/>
        <v>1</v>
      </c>
      <c r="H70" s="51" t="s">
        <v>20</v>
      </c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ht="24.75" customHeight="1">
      <c r="A71" s="55">
        <v>68.0</v>
      </c>
      <c r="B71" s="55">
        <v>1005953.0</v>
      </c>
      <c r="C71" s="48" t="str">
        <f>vlookup(B71,'Crew Data'!C:G,5,0)</f>
        <v>Pinchapitch Pinchachartanant</v>
      </c>
      <c r="D71" s="56" t="s">
        <v>63</v>
      </c>
      <c r="E71" s="55">
        <v>2.0</v>
      </c>
      <c r="F71" s="50">
        <f t="shared" si="1"/>
        <v>800</v>
      </c>
      <c r="G71" s="22">
        <f t="shared" si="2"/>
        <v>1</v>
      </c>
      <c r="H71" s="51" t="s">
        <v>20</v>
      </c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ht="24.75" customHeight="1">
      <c r="A72" s="55">
        <v>69.0</v>
      </c>
      <c r="B72" s="55">
        <v>1019308.0</v>
      </c>
      <c r="C72" s="48" t="str">
        <f>vlookup(B72,'Crew Data'!C:G,5,0)</f>
        <v>Thanyathorn Prueksasilp</v>
      </c>
      <c r="D72" s="56" t="s">
        <v>51</v>
      </c>
      <c r="E72" s="55">
        <v>2.0</v>
      </c>
      <c r="F72" s="50">
        <f t="shared" si="1"/>
        <v>800</v>
      </c>
      <c r="G72" s="22">
        <f t="shared" si="2"/>
        <v>1</v>
      </c>
      <c r="H72" s="51" t="s">
        <v>20</v>
      </c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ht="24.75" customHeight="1">
      <c r="A73" s="54">
        <v>70.0</v>
      </c>
      <c r="B73" s="55">
        <v>1011830.0</v>
      </c>
      <c r="C73" s="48" t="str">
        <f>vlookup(B73,'Crew Data'!C:G,5,0)</f>
        <v>Rathaphon Pratheappornsak</v>
      </c>
      <c r="D73" s="56" t="s">
        <v>67</v>
      </c>
      <c r="E73" s="55">
        <v>4.0</v>
      </c>
      <c r="F73" s="50">
        <f t="shared" si="1"/>
        <v>1600</v>
      </c>
      <c r="G73" s="22">
        <f t="shared" si="2"/>
        <v>1</v>
      </c>
      <c r="H73" s="51" t="s">
        <v>20</v>
      </c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ht="24.75" customHeight="1">
      <c r="A74" s="55">
        <v>71.0</v>
      </c>
      <c r="B74" s="55">
        <v>1007026.0</v>
      </c>
      <c r="C74" s="48" t="str">
        <f>vlookup(B74,'Crew Data'!C:G,5,0)</f>
        <v>Kwanrapee Satayayookt</v>
      </c>
      <c r="D74" s="56" t="s">
        <v>68</v>
      </c>
      <c r="E74" s="55">
        <v>4.0</v>
      </c>
      <c r="F74" s="50">
        <f t="shared" si="1"/>
        <v>1600</v>
      </c>
      <c r="G74" s="22">
        <f t="shared" si="2"/>
        <v>1</v>
      </c>
      <c r="H74" s="51" t="s">
        <v>20</v>
      </c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ht="24.75" customHeight="1">
      <c r="A75" s="55">
        <v>72.0</v>
      </c>
      <c r="B75" s="55">
        <v>1011515.0</v>
      </c>
      <c r="C75" s="48" t="str">
        <f>vlookup(B75,'Crew Data'!C:G,5,0)</f>
        <v>Sopark Phosiri</v>
      </c>
      <c r="D75" s="56" t="s">
        <v>69</v>
      </c>
      <c r="E75" s="55">
        <v>6.0</v>
      </c>
      <c r="F75" s="50">
        <f t="shared" si="1"/>
        <v>2400</v>
      </c>
      <c r="G75" s="22">
        <f t="shared" si="2"/>
        <v>1</v>
      </c>
      <c r="H75" s="51" t="s">
        <v>20</v>
      </c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ht="24.75" customHeight="1">
      <c r="A76" s="55">
        <v>73.0</v>
      </c>
      <c r="B76" s="55">
        <v>1014670.0</v>
      </c>
      <c r="C76" s="48" t="str">
        <f>vlookup(B76,'Crew Data'!C:G,5,0)</f>
        <v>Napapat Suwannawong</v>
      </c>
      <c r="D76" s="56" t="s">
        <v>67</v>
      </c>
      <c r="E76" s="55">
        <v>4.0</v>
      </c>
      <c r="F76" s="50">
        <f t="shared" si="1"/>
        <v>1600</v>
      </c>
      <c r="G76" s="22">
        <f t="shared" si="2"/>
        <v>1</v>
      </c>
      <c r="H76" s="51" t="s">
        <v>20</v>
      </c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ht="24.75" customHeight="1">
      <c r="A77" s="55">
        <v>74.0</v>
      </c>
      <c r="B77" s="55">
        <v>1009768.0</v>
      </c>
      <c r="C77" s="48" t="str">
        <f>vlookup(B77,'Crew Data'!C:G,5,0)</f>
        <v>Thidech Eakmongkollert</v>
      </c>
      <c r="D77" s="56" t="s">
        <v>70</v>
      </c>
      <c r="E77" s="55">
        <v>2.0</v>
      </c>
      <c r="F77" s="50">
        <f t="shared" si="1"/>
        <v>800</v>
      </c>
      <c r="G77" s="22">
        <f t="shared" si="2"/>
        <v>1</v>
      </c>
      <c r="H77" s="51" t="s">
        <v>20</v>
      </c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ht="24.75" customHeight="1">
      <c r="A78" s="55">
        <v>75.0</v>
      </c>
      <c r="B78" s="55">
        <v>1019307.0</v>
      </c>
      <c r="C78" s="48" t="str">
        <f>vlookup(B78,'Crew Data'!C:G,5,0)</f>
        <v>Thanyathorn Krisanayanyong</v>
      </c>
      <c r="D78" s="56" t="s">
        <v>51</v>
      </c>
      <c r="E78" s="55">
        <v>2.0</v>
      </c>
      <c r="F78" s="50">
        <f t="shared" si="1"/>
        <v>800</v>
      </c>
      <c r="G78" s="22">
        <f t="shared" si="2"/>
        <v>1</v>
      </c>
      <c r="H78" s="51" t="s">
        <v>20</v>
      </c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ht="24.75" customHeight="1">
      <c r="A79" s="55">
        <v>76.0</v>
      </c>
      <c r="B79" s="55">
        <v>1008754.0</v>
      </c>
      <c r="C79" s="48" t="str">
        <f>vlookup(B79,'Crew Data'!C:G,5,0)</f>
        <v>Pimlapas Tanapatpongsapas</v>
      </c>
      <c r="D79" s="56" t="s">
        <v>64</v>
      </c>
      <c r="E79" s="55">
        <v>2.0</v>
      </c>
      <c r="F79" s="50">
        <f t="shared" si="1"/>
        <v>800</v>
      </c>
      <c r="G79" s="22">
        <f t="shared" si="2"/>
        <v>1</v>
      </c>
      <c r="H79" s="51" t="s">
        <v>20</v>
      </c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ht="24.75" customHeight="1">
      <c r="A80" s="55">
        <v>77.0</v>
      </c>
      <c r="B80" s="55">
        <v>1023584.0</v>
      </c>
      <c r="C80" s="48" t="str">
        <f>vlookup(B80,'Crew Data'!C:G,5,0)</f>
        <v>#N/A</v>
      </c>
      <c r="D80" s="56" t="s">
        <v>63</v>
      </c>
      <c r="E80" s="55">
        <v>2.0</v>
      </c>
      <c r="F80" s="50">
        <f t="shared" si="1"/>
        <v>800</v>
      </c>
      <c r="G80" s="22">
        <f t="shared" si="2"/>
        <v>1</v>
      </c>
      <c r="H80" s="51" t="s">
        <v>20</v>
      </c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ht="24.75" customHeight="1">
      <c r="A81" s="55">
        <v>78.0</v>
      </c>
      <c r="B81" s="55">
        <v>1006846.0</v>
      </c>
      <c r="C81" s="48" t="str">
        <f>vlookup(B81,'Crew Data'!C:G,5,0)</f>
        <v>Sasikarn Khampan</v>
      </c>
      <c r="D81" s="56" t="s">
        <v>52</v>
      </c>
      <c r="E81" s="55">
        <v>2.0</v>
      </c>
      <c r="F81" s="50">
        <f t="shared" si="1"/>
        <v>800</v>
      </c>
      <c r="G81" s="22">
        <f t="shared" si="2"/>
        <v>1</v>
      </c>
      <c r="H81" s="51" t="s">
        <v>20</v>
      </c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ht="24.75" customHeight="1">
      <c r="A82" s="54">
        <v>79.0</v>
      </c>
      <c r="B82" s="55">
        <v>1012899.0</v>
      </c>
      <c r="C82" s="48" t="str">
        <f>vlookup(B82,'Crew Data'!C:G,5,0)</f>
        <v>Pichaya Sonthigorn</v>
      </c>
      <c r="D82" s="56" t="s">
        <v>71</v>
      </c>
      <c r="E82" s="55">
        <v>2.0</v>
      </c>
      <c r="F82" s="50">
        <f t="shared" si="1"/>
        <v>800</v>
      </c>
      <c r="G82" s="22">
        <f t="shared" si="2"/>
        <v>1</v>
      </c>
      <c r="H82" s="51" t="s">
        <v>20</v>
      </c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ht="24.75" customHeight="1">
      <c r="A83" s="55">
        <v>80.0</v>
      </c>
      <c r="B83" s="55">
        <v>1004450.0</v>
      </c>
      <c r="C83" s="48" t="str">
        <f>vlookup(B83,'Crew Data'!C:G,5,0)</f>
        <v>Suthathip Choosen</v>
      </c>
      <c r="D83" s="56" t="s">
        <v>64</v>
      </c>
      <c r="E83" s="55">
        <v>2.0</v>
      </c>
      <c r="F83" s="50">
        <f t="shared" si="1"/>
        <v>800</v>
      </c>
      <c r="G83" s="22">
        <f t="shared" si="2"/>
        <v>1</v>
      </c>
      <c r="H83" s="51" t="s">
        <v>20</v>
      </c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ht="24.75" customHeight="1">
      <c r="A84" s="55">
        <v>81.0</v>
      </c>
      <c r="B84" s="55">
        <v>1007153.0</v>
      </c>
      <c r="C84" s="48" t="str">
        <f>vlookup(B84,'Crew Data'!C:G,5,0)</f>
        <v>Pannathat Chuchuaisuwan</v>
      </c>
      <c r="D84" s="56" t="s">
        <v>72</v>
      </c>
      <c r="E84" s="55">
        <v>6.0</v>
      </c>
      <c r="F84" s="50">
        <f t="shared" si="1"/>
        <v>2400</v>
      </c>
      <c r="G84" s="22">
        <f t="shared" si="2"/>
        <v>1</v>
      </c>
      <c r="H84" s="51" t="s">
        <v>20</v>
      </c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>
      <c r="D85" s="52"/>
    </row>
    <row r="86">
      <c r="D86" s="52"/>
    </row>
    <row r="87">
      <c r="D87" s="52"/>
    </row>
    <row r="88">
      <c r="D88" s="52"/>
    </row>
    <row r="89">
      <c r="D89" s="52"/>
    </row>
    <row r="90">
      <c r="D90" s="52"/>
    </row>
    <row r="91">
      <c r="D91" s="52"/>
    </row>
    <row r="92">
      <c r="D92" s="52"/>
    </row>
    <row r="93">
      <c r="D93" s="52"/>
    </row>
    <row r="94">
      <c r="D94" s="52"/>
    </row>
    <row r="95">
      <c r="D95" s="52"/>
    </row>
    <row r="96">
      <c r="D96" s="52"/>
    </row>
    <row r="97">
      <c r="D97" s="52"/>
    </row>
    <row r="98">
      <c r="D98" s="52"/>
    </row>
    <row r="99">
      <c r="D99" s="52"/>
    </row>
    <row r="100">
      <c r="D100" s="52"/>
    </row>
    <row r="101">
      <c r="D101" s="52"/>
    </row>
    <row r="102">
      <c r="D102" s="52"/>
    </row>
    <row r="103">
      <c r="D103" s="52"/>
    </row>
    <row r="104">
      <c r="D104" s="52"/>
    </row>
    <row r="105">
      <c r="D105" s="52"/>
    </row>
    <row r="106">
      <c r="D106" s="52"/>
    </row>
    <row r="107">
      <c r="D107" s="52"/>
    </row>
    <row r="108">
      <c r="D108" s="52"/>
    </row>
    <row r="109">
      <c r="D109" s="52"/>
    </row>
    <row r="110">
      <c r="D110" s="52"/>
    </row>
    <row r="111">
      <c r="D111" s="52"/>
    </row>
    <row r="112">
      <c r="D112" s="52"/>
    </row>
    <row r="113">
      <c r="D113" s="52"/>
    </row>
    <row r="114">
      <c r="D114" s="52"/>
    </row>
    <row r="115">
      <c r="D115" s="52"/>
    </row>
    <row r="116">
      <c r="D116" s="52"/>
    </row>
    <row r="117">
      <c r="D117" s="52"/>
    </row>
    <row r="118">
      <c r="D118" s="52"/>
    </row>
    <row r="119">
      <c r="D119" s="52"/>
    </row>
    <row r="120">
      <c r="D120" s="52"/>
    </row>
    <row r="121">
      <c r="D121" s="52"/>
    </row>
    <row r="122">
      <c r="D122" s="52"/>
    </row>
    <row r="123">
      <c r="D123" s="52"/>
    </row>
    <row r="124">
      <c r="D124" s="52"/>
    </row>
    <row r="125">
      <c r="D125" s="52"/>
    </row>
    <row r="126">
      <c r="D126" s="52"/>
    </row>
    <row r="127">
      <c r="D127" s="52"/>
    </row>
    <row r="128">
      <c r="D128" s="52"/>
    </row>
    <row r="129">
      <c r="D129" s="52"/>
    </row>
    <row r="130">
      <c r="D130" s="52"/>
    </row>
    <row r="131">
      <c r="D131" s="52"/>
    </row>
    <row r="132">
      <c r="D132" s="52"/>
    </row>
    <row r="133">
      <c r="D133" s="52"/>
    </row>
    <row r="134">
      <c r="D134" s="52"/>
    </row>
    <row r="135">
      <c r="D135" s="52"/>
    </row>
    <row r="136">
      <c r="D136" s="52"/>
    </row>
    <row r="137">
      <c r="D137" s="52"/>
    </row>
    <row r="138">
      <c r="D138" s="52"/>
    </row>
    <row r="139">
      <c r="D139" s="52"/>
    </row>
    <row r="140">
      <c r="D140" s="52"/>
    </row>
    <row r="141">
      <c r="D141" s="52"/>
    </row>
    <row r="142">
      <c r="D142" s="52"/>
    </row>
    <row r="143">
      <c r="D143" s="52"/>
    </row>
    <row r="144">
      <c r="D144" s="52"/>
    </row>
    <row r="145">
      <c r="D145" s="52"/>
    </row>
    <row r="146">
      <c r="D146" s="52"/>
    </row>
    <row r="147">
      <c r="D147" s="52"/>
    </row>
    <row r="148">
      <c r="D148" s="52"/>
    </row>
    <row r="149">
      <c r="D149" s="52"/>
    </row>
    <row r="150">
      <c r="D150" s="52"/>
    </row>
    <row r="151">
      <c r="D151" s="52"/>
    </row>
    <row r="152">
      <c r="D152" s="52"/>
    </row>
    <row r="153">
      <c r="D153" s="52"/>
    </row>
    <row r="154">
      <c r="D154" s="52"/>
    </row>
    <row r="155">
      <c r="D155" s="52"/>
    </row>
    <row r="156">
      <c r="D156" s="52"/>
    </row>
    <row r="157">
      <c r="D157" s="52"/>
    </row>
    <row r="158">
      <c r="D158" s="52"/>
    </row>
    <row r="159">
      <c r="D159" s="52"/>
    </row>
    <row r="160">
      <c r="D160" s="52"/>
    </row>
    <row r="161">
      <c r="D161" s="52"/>
    </row>
    <row r="162">
      <c r="D162" s="52"/>
    </row>
    <row r="163">
      <c r="D163" s="52"/>
    </row>
    <row r="164">
      <c r="D164" s="52"/>
    </row>
    <row r="165">
      <c r="D165" s="52"/>
    </row>
    <row r="166">
      <c r="D166" s="52"/>
    </row>
    <row r="167">
      <c r="D167" s="52"/>
    </row>
    <row r="168">
      <c r="D168" s="52"/>
    </row>
    <row r="169">
      <c r="D169" s="52"/>
    </row>
    <row r="170">
      <c r="D170" s="52"/>
    </row>
    <row r="171">
      <c r="D171" s="52"/>
    </row>
    <row r="172">
      <c r="D172" s="52"/>
    </row>
    <row r="173">
      <c r="D173" s="52"/>
    </row>
    <row r="174">
      <c r="D174" s="52"/>
    </row>
    <row r="175">
      <c r="D175" s="52"/>
    </row>
    <row r="176">
      <c r="D176" s="52"/>
    </row>
    <row r="177">
      <c r="D177" s="52"/>
    </row>
    <row r="178">
      <c r="D178" s="52"/>
    </row>
    <row r="179">
      <c r="D179" s="52"/>
    </row>
    <row r="180">
      <c r="D180" s="52"/>
    </row>
    <row r="181">
      <c r="D181" s="52"/>
    </row>
    <row r="182">
      <c r="D182" s="52"/>
    </row>
    <row r="183">
      <c r="D183" s="52"/>
    </row>
    <row r="184">
      <c r="D184" s="52"/>
    </row>
    <row r="185">
      <c r="D185" s="52"/>
    </row>
    <row r="186">
      <c r="D186" s="52"/>
    </row>
    <row r="187">
      <c r="D187" s="52"/>
    </row>
    <row r="188">
      <c r="D188" s="52"/>
    </row>
    <row r="189">
      <c r="D189" s="52"/>
    </row>
    <row r="190">
      <c r="D190" s="52"/>
    </row>
    <row r="191">
      <c r="D191" s="52"/>
    </row>
    <row r="192">
      <c r="D192" s="52"/>
    </row>
    <row r="193">
      <c r="D193" s="52"/>
    </row>
    <row r="194">
      <c r="D194" s="52"/>
    </row>
    <row r="195">
      <c r="D195" s="52"/>
    </row>
    <row r="196">
      <c r="D196" s="52"/>
    </row>
    <row r="197">
      <c r="D197" s="52"/>
    </row>
    <row r="198">
      <c r="D198" s="52"/>
    </row>
    <row r="199">
      <c r="D199" s="52"/>
    </row>
    <row r="200">
      <c r="D200" s="52"/>
    </row>
    <row r="201">
      <c r="D201" s="52"/>
    </row>
    <row r="202">
      <c r="D202" s="52"/>
    </row>
    <row r="203">
      <c r="D203" s="52"/>
    </row>
    <row r="204">
      <c r="D204" s="52"/>
    </row>
    <row r="205">
      <c r="D205" s="52"/>
    </row>
    <row r="206">
      <c r="D206" s="52"/>
    </row>
    <row r="207">
      <c r="D207" s="52"/>
    </row>
    <row r="208">
      <c r="D208" s="52"/>
    </row>
    <row r="209">
      <c r="D209" s="52"/>
    </row>
    <row r="210">
      <c r="D210" s="52"/>
    </row>
    <row r="211">
      <c r="D211" s="52"/>
    </row>
    <row r="212">
      <c r="D212" s="52"/>
    </row>
    <row r="213">
      <c r="D213" s="52"/>
    </row>
    <row r="214">
      <c r="D214" s="52"/>
    </row>
    <row r="215">
      <c r="D215" s="52"/>
    </row>
    <row r="216">
      <c r="D216" s="52"/>
    </row>
    <row r="217">
      <c r="D217" s="52"/>
    </row>
    <row r="218">
      <c r="D218" s="52"/>
    </row>
    <row r="219">
      <c r="D219" s="52"/>
    </row>
    <row r="220">
      <c r="D220" s="52"/>
    </row>
    <row r="221">
      <c r="D221" s="52"/>
    </row>
    <row r="222">
      <c r="D222" s="52"/>
    </row>
    <row r="223">
      <c r="D223" s="52"/>
    </row>
    <row r="224">
      <c r="D224" s="52"/>
    </row>
    <row r="225">
      <c r="D225" s="52"/>
    </row>
    <row r="226">
      <c r="D226" s="52"/>
    </row>
    <row r="227">
      <c r="D227" s="52"/>
    </row>
    <row r="228">
      <c r="D228" s="52"/>
    </row>
    <row r="229">
      <c r="D229" s="52"/>
    </row>
    <row r="230">
      <c r="D230" s="52"/>
    </row>
    <row r="231">
      <c r="D231" s="52"/>
    </row>
    <row r="232">
      <c r="D232" s="52"/>
    </row>
    <row r="233">
      <c r="D233" s="52"/>
    </row>
    <row r="234">
      <c r="D234" s="52"/>
    </row>
    <row r="235">
      <c r="D235" s="52"/>
    </row>
    <row r="236">
      <c r="D236" s="52"/>
    </row>
    <row r="237">
      <c r="D237" s="52"/>
    </row>
    <row r="238">
      <c r="D238" s="52"/>
    </row>
    <row r="239">
      <c r="D239" s="52"/>
    </row>
    <row r="240">
      <c r="D240" s="52"/>
    </row>
    <row r="241">
      <c r="D241" s="52"/>
    </row>
    <row r="242">
      <c r="D242" s="52"/>
    </row>
    <row r="243">
      <c r="D243" s="52"/>
    </row>
    <row r="244">
      <c r="D244" s="52"/>
    </row>
    <row r="245">
      <c r="D245" s="52"/>
    </row>
    <row r="246">
      <c r="D246" s="52"/>
    </row>
    <row r="247">
      <c r="D247" s="52"/>
    </row>
    <row r="248">
      <c r="D248" s="52"/>
    </row>
    <row r="249">
      <c r="D249" s="52"/>
    </row>
    <row r="250">
      <c r="D250" s="52"/>
    </row>
    <row r="251">
      <c r="D251" s="52"/>
    </row>
    <row r="252">
      <c r="D252" s="52"/>
    </row>
    <row r="253">
      <c r="D253" s="52"/>
    </row>
    <row r="254">
      <c r="D254" s="52"/>
    </row>
    <row r="255">
      <c r="D255" s="52"/>
    </row>
    <row r="256">
      <c r="D256" s="52"/>
    </row>
    <row r="257">
      <c r="D257" s="52"/>
    </row>
    <row r="258">
      <c r="D258" s="52"/>
    </row>
    <row r="259">
      <c r="D259" s="52"/>
    </row>
    <row r="260">
      <c r="D260" s="52"/>
    </row>
    <row r="261">
      <c r="D261" s="52"/>
    </row>
    <row r="262">
      <c r="D262" s="52"/>
    </row>
    <row r="263">
      <c r="D263" s="52"/>
    </row>
    <row r="264">
      <c r="D264" s="52"/>
    </row>
    <row r="265">
      <c r="D265" s="52"/>
    </row>
    <row r="266">
      <c r="D266" s="52"/>
    </row>
    <row r="267">
      <c r="D267" s="52"/>
    </row>
    <row r="268">
      <c r="D268" s="52"/>
    </row>
    <row r="269">
      <c r="D269" s="52"/>
    </row>
    <row r="270">
      <c r="D270" s="52"/>
    </row>
    <row r="271">
      <c r="D271" s="52"/>
    </row>
    <row r="272">
      <c r="D272" s="52"/>
    </row>
    <row r="273">
      <c r="D273" s="52"/>
    </row>
    <row r="274">
      <c r="D274" s="52"/>
    </row>
    <row r="275">
      <c r="D275" s="52"/>
    </row>
    <row r="276">
      <c r="D276" s="52"/>
    </row>
    <row r="277">
      <c r="D277" s="52"/>
    </row>
    <row r="278">
      <c r="D278" s="52"/>
    </row>
    <row r="279">
      <c r="D279" s="52"/>
    </row>
    <row r="280">
      <c r="D280" s="52"/>
    </row>
    <row r="281">
      <c r="D281" s="52"/>
    </row>
    <row r="282">
      <c r="D282" s="52"/>
    </row>
    <row r="283">
      <c r="D283" s="52"/>
    </row>
    <row r="284">
      <c r="D284" s="52"/>
    </row>
    <row r="285">
      <c r="D285" s="52"/>
    </row>
    <row r="286">
      <c r="D286" s="52"/>
    </row>
    <row r="287">
      <c r="D287" s="52"/>
    </row>
    <row r="288">
      <c r="D288" s="52"/>
    </row>
    <row r="289">
      <c r="D289" s="52"/>
    </row>
    <row r="290">
      <c r="D290" s="52"/>
    </row>
    <row r="291">
      <c r="D291" s="52"/>
    </row>
    <row r="292">
      <c r="D292" s="52"/>
    </row>
    <row r="293">
      <c r="D293" s="52"/>
    </row>
    <row r="294">
      <c r="D294" s="52"/>
    </row>
    <row r="295">
      <c r="D295" s="52"/>
    </row>
    <row r="296">
      <c r="D296" s="52"/>
    </row>
    <row r="297">
      <c r="D297" s="52"/>
    </row>
    <row r="298">
      <c r="D298" s="52"/>
    </row>
    <row r="299">
      <c r="D299" s="52"/>
    </row>
    <row r="300">
      <c r="D300" s="52"/>
    </row>
    <row r="301">
      <c r="D301" s="52"/>
    </row>
    <row r="302">
      <c r="D302" s="52"/>
    </row>
    <row r="303">
      <c r="D303" s="52"/>
    </row>
    <row r="304">
      <c r="D304" s="52"/>
    </row>
    <row r="305">
      <c r="D305" s="52"/>
    </row>
    <row r="306">
      <c r="D306" s="52"/>
    </row>
    <row r="307">
      <c r="D307" s="52"/>
    </row>
    <row r="308">
      <c r="D308" s="52"/>
    </row>
    <row r="309">
      <c r="D309" s="52"/>
    </row>
    <row r="310">
      <c r="D310" s="52"/>
    </row>
    <row r="311">
      <c r="D311" s="52"/>
    </row>
    <row r="312">
      <c r="D312" s="52"/>
    </row>
    <row r="313">
      <c r="D313" s="52"/>
    </row>
    <row r="314">
      <c r="D314" s="52"/>
    </row>
    <row r="315">
      <c r="D315" s="52"/>
    </row>
    <row r="316">
      <c r="D316" s="52"/>
    </row>
    <row r="317">
      <c r="D317" s="52"/>
    </row>
    <row r="318">
      <c r="D318" s="52"/>
    </row>
    <row r="319">
      <c r="D319" s="52"/>
    </row>
    <row r="320">
      <c r="D320" s="52"/>
    </row>
    <row r="321">
      <c r="D321" s="52"/>
    </row>
    <row r="322">
      <c r="D322" s="52"/>
    </row>
    <row r="323">
      <c r="D323" s="52"/>
    </row>
    <row r="324">
      <c r="D324" s="52"/>
    </row>
    <row r="325">
      <c r="D325" s="52"/>
    </row>
    <row r="326">
      <c r="D326" s="52"/>
    </row>
    <row r="327">
      <c r="D327" s="52"/>
    </row>
    <row r="328">
      <c r="D328" s="52"/>
    </row>
    <row r="329">
      <c r="D329" s="52"/>
    </row>
    <row r="330">
      <c r="D330" s="52"/>
    </row>
    <row r="331">
      <c r="D331" s="52"/>
    </row>
    <row r="332">
      <c r="D332" s="52"/>
    </row>
    <row r="333">
      <c r="D333" s="52"/>
    </row>
    <row r="334">
      <c r="D334" s="52"/>
    </row>
    <row r="335">
      <c r="D335" s="52"/>
    </row>
    <row r="336">
      <c r="D336" s="52"/>
    </row>
    <row r="337">
      <c r="D337" s="52"/>
    </row>
    <row r="338">
      <c r="D338" s="52"/>
    </row>
    <row r="339">
      <c r="D339" s="52"/>
    </row>
    <row r="340">
      <c r="D340" s="52"/>
    </row>
    <row r="341">
      <c r="D341" s="52"/>
    </row>
    <row r="342">
      <c r="D342" s="52"/>
    </row>
    <row r="343">
      <c r="D343" s="52"/>
    </row>
    <row r="344">
      <c r="D344" s="52"/>
    </row>
    <row r="345">
      <c r="D345" s="52"/>
    </row>
    <row r="346">
      <c r="D346" s="52"/>
    </row>
    <row r="347">
      <c r="D347" s="52"/>
    </row>
    <row r="348">
      <c r="D348" s="52"/>
    </row>
    <row r="349">
      <c r="D349" s="52"/>
    </row>
    <row r="350">
      <c r="D350" s="52"/>
    </row>
    <row r="351">
      <c r="D351" s="52"/>
    </row>
    <row r="352">
      <c r="D352" s="52"/>
    </row>
    <row r="353">
      <c r="D353" s="52"/>
    </row>
    <row r="354">
      <c r="D354" s="52"/>
    </row>
    <row r="355">
      <c r="D355" s="52"/>
    </row>
    <row r="356">
      <c r="D356" s="52"/>
    </row>
    <row r="357">
      <c r="D357" s="52"/>
    </row>
    <row r="358">
      <c r="D358" s="52"/>
    </row>
    <row r="359">
      <c r="D359" s="52"/>
    </row>
    <row r="360">
      <c r="D360" s="52"/>
    </row>
    <row r="361">
      <c r="D361" s="52"/>
    </row>
    <row r="362">
      <c r="D362" s="52"/>
    </row>
    <row r="363">
      <c r="D363" s="52"/>
    </row>
    <row r="364">
      <c r="D364" s="52"/>
    </row>
    <row r="365">
      <c r="D365" s="52"/>
    </row>
    <row r="366">
      <c r="D366" s="52"/>
    </row>
    <row r="367">
      <c r="D367" s="52"/>
    </row>
    <row r="368">
      <c r="D368" s="52"/>
    </row>
    <row r="369">
      <c r="D369" s="52"/>
    </row>
    <row r="370">
      <c r="D370" s="52"/>
    </row>
    <row r="371">
      <c r="D371" s="52"/>
    </row>
    <row r="372">
      <c r="D372" s="52"/>
    </row>
    <row r="373">
      <c r="D373" s="52"/>
    </row>
    <row r="374">
      <c r="D374" s="52"/>
    </row>
    <row r="375">
      <c r="D375" s="52"/>
    </row>
    <row r="376">
      <c r="D376" s="52"/>
    </row>
    <row r="377">
      <c r="D377" s="52"/>
    </row>
    <row r="378">
      <c r="D378" s="52"/>
    </row>
    <row r="379">
      <c r="D379" s="52"/>
    </row>
    <row r="380">
      <c r="D380" s="52"/>
    </row>
    <row r="381">
      <c r="D381" s="52"/>
    </row>
    <row r="382">
      <c r="D382" s="52"/>
    </row>
    <row r="383">
      <c r="D383" s="52"/>
    </row>
    <row r="384">
      <c r="D384" s="52"/>
    </row>
    <row r="385">
      <c r="D385" s="52"/>
    </row>
    <row r="386">
      <c r="D386" s="52"/>
    </row>
    <row r="387">
      <c r="D387" s="52"/>
    </row>
    <row r="388">
      <c r="D388" s="52"/>
    </row>
    <row r="389">
      <c r="D389" s="52"/>
    </row>
    <row r="390">
      <c r="D390" s="52"/>
    </row>
    <row r="391">
      <c r="D391" s="52"/>
    </row>
    <row r="392">
      <c r="D392" s="52"/>
    </row>
    <row r="393">
      <c r="D393" s="52"/>
    </row>
    <row r="394">
      <c r="D394" s="52"/>
    </row>
    <row r="395">
      <c r="D395" s="52"/>
    </row>
    <row r="396">
      <c r="D396" s="52"/>
    </row>
    <row r="397">
      <c r="D397" s="52"/>
    </row>
    <row r="398">
      <c r="D398" s="52"/>
    </row>
    <row r="399">
      <c r="D399" s="52"/>
    </row>
    <row r="400">
      <c r="D400" s="52"/>
    </row>
    <row r="401">
      <c r="D401" s="52"/>
    </row>
    <row r="402">
      <c r="D402" s="52"/>
    </row>
    <row r="403">
      <c r="D403" s="52"/>
    </row>
    <row r="404">
      <c r="D404" s="52"/>
    </row>
    <row r="405">
      <c r="D405" s="52"/>
    </row>
    <row r="406">
      <c r="D406" s="52"/>
    </row>
    <row r="407">
      <c r="D407" s="52"/>
    </row>
    <row r="408">
      <c r="D408" s="52"/>
    </row>
    <row r="409">
      <c r="D409" s="52"/>
    </row>
    <row r="410">
      <c r="D410" s="52"/>
    </row>
    <row r="411">
      <c r="D411" s="52"/>
    </row>
    <row r="412">
      <c r="D412" s="52"/>
    </row>
    <row r="413">
      <c r="D413" s="52"/>
    </row>
    <row r="414">
      <c r="D414" s="52"/>
    </row>
    <row r="415">
      <c r="D415" s="52"/>
    </row>
    <row r="416">
      <c r="D416" s="52"/>
    </row>
    <row r="417">
      <c r="D417" s="52"/>
    </row>
    <row r="418">
      <c r="D418" s="52"/>
    </row>
    <row r="419">
      <c r="D419" s="52"/>
    </row>
    <row r="420">
      <c r="D420" s="52"/>
    </row>
    <row r="421">
      <c r="D421" s="52"/>
    </row>
    <row r="422">
      <c r="D422" s="52"/>
    </row>
    <row r="423">
      <c r="D423" s="52"/>
    </row>
    <row r="424">
      <c r="D424" s="52"/>
    </row>
    <row r="425">
      <c r="D425" s="52"/>
    </row>
    <row r="426">
      <c r="D426" s="52"/>
    </row>
    <row r="427">
      <c r="D427" s="52"/>
    </row>
    <row r="428">
      <c r="D428" s="52"/>
    </row>
    <row r="429">
      <c r="D429" s="52"/>
    </row>
    <row r="430">
      <c r="D430" s="52"/>
    </row>
    <row r="431">
      <c r="D431" s="52"/>
    </row>
    <row r="432">
      <c r="D432" s="52"/>
    </row>
    <row r="433">
      <c r="D433" s="52"/>
    </row>
    <row r="434">
      <c r="D434" s="52"/>
    </row>
    <row r="435">
      <c r="D435" s="52"/>
    </row>
    <row r="436">
      <c r="D436" s="52"/>
    </row>
    <row r="437">
      <c r="D437" s="52"/>
    </row>
    <row r="438">
      <c r="D438" s="52"/>
    </row>
    <row r="439">
      <c r="D439" s="52"/>
    </row>
    <row r="440">
      <c r="D440" s="52"/>
    </row>
    <row r="441">
      <c r="D441" s="52"/>
    </row>
    <row r="442">
      <c r="D442" s="52"/>
    </row>
    <row r="443">
      <c r="D443" s="52"/>
    </row>
    <row r="444">
      <c r="D444" s="52"/>
    </row>
    <row r="445">
      <c r="D445" s="52"/>
    </row>
    <row r="446">
      <c r="D446" s="52"/>
    </row>
    <row r="447">
      <c r="D447" s="52"/>
    </row>
    <row r="448">
      <c r="D448" s="52"/>
    </row>
    <row r="449">
      <c r="D449" s="52"/>
    </row>
    <row r="450">
      <c r="D450" s="52"/>
    </row>
    <row r="451">
      <c r="D451" s="52"/>
    </row>
    <row r="452">
      <c r="D452" s="52"/>
    </row>
    <row r="453">
      <c r="D453" s="52"/>
    </row>
    <row r="454">
      <c r="D454" s="52"/>
    </row>
    <row r="455">
      <c r="D455" s="52"/>
    </row>
    <row r="456">
      <c r="D456" s="52"/>
    </row>
    <row r="457">
      <c r="D457" s="52"/>
    </row>
    <row r="458">
      <c r="D458" s="52"/>
    </row>
    <row r="459">
      <c r="D459" s="52"/>
    </row>
    <row r="460">
      <c r="D460" s="52"/>
    </row>
    <row r="461">
      <c r="D461" s="52"/>
    </row>
    <row r="462">
      <c r="D462" s="52"/>
    </row>
    <row r="463">
      <c r="D463" s="52"/>
    </row>
    <row r="464">
      <c r="D464" s="52"/>
    </row>
    <row r="465">
      <c r="D465" s="52"/>
    </row>
    <row r="466">
      <c r="D466" s="52"/>
    </row>
    <row r="467">
      <c r="D467" s="52"/>
    </row>
    <row r="468">
      <c r="D468" s="52"/>
    </row>
    <row r="469">
      <c r="D469" s="52"/>
    </row>
    <row r="470">
      <c r="D470" s="52"/>
    </row>
    <row r="471">
      <c r="D471" s="52"/>
    </row>
    <row r="472">
      <c r="D472" s="52"/>
    </row>
    <row r="473">
      <c r="D473" s="52"/>
    </row>
    <row r="474">
      <c r="D474" s="52"/>
    </row>
    <row r="475">
      <c r="D475" s="52"/>
    </row>
    <row r="476">
      <c r="D476" s="52"/>
    </row>
    <row r="477">
      <c r="D477" s="52"/>
    </row>
    <row r="478">
      <c r="D478" s="52"/>
    </row>
    <row r="479">
      <c r="D479" s="52"/>
    </row>
    <row r="480">
      <c r="D480" s="52"/>
    </row>
    <row r="481">
      <c r="D481" s="52"/>
    </row>
    <row r="482">
      <c r="D482" s="52"/>
    </row>
    <row r="483">
      <c r="D483" s="52"/>
    </row>
    <row r="484">
      <c r="D484" s="52"/>
    </row>
    <row r="485">
      <c r="D485" s="52"/>
    </row>
    <row r="486">
      <c r="D486" s="52"/>
    </row>
    <row r="487">
      <c r="D487" s="52"/>
    </row>
    <row r="488">
      <c r="D488" s="52"/>
    </row>
    <row r="489">
      <c r="D489" s="52"/>
    </row>
    <row r="490">
      <c r="D490" s="52"/>
    </row>
    <row r="491">
      <c r="D491" s="52"/>
    </row>
    <row r="492">
      <c r="D492" s="52"/>
    </row>
    <row r="493">
      <c r="D493" s="52"/>
    </row>
    <row r="494">
      <c r="D494" s="52"/>
    </row>
    <row r="495">
      <c r="D495" s="52"/>
    </row>
    <row r="496">
      <c r="D496" s="52"/>
    </row>
    <row r="497">
      <c r="D497" s="52"/>
    </row>
    <row r="498">
      <c r="D498" s="52"/>
    </row>
    <row r="499">
      <c r="D499" s="52"/>
    </row>
    <row r="500">
      <c r="D500" s="52"/>
    </row>
    <row r="501">
      <c r="D501" s="52"/>
    </row>
    <row r="502">
      <c r="D502" s="52"/>
    </row>
    <row r="503">
      <c r="D503" s="52"/>
    </row>
    <row r="504">
      <c r="D504" s="52"/>
    </row>
    <row r="505">
      <c r="D505" s="52"/>
    </row>
    <row r="506">
      <c r="D506" s="52"/>
    </row>
    <row r="507">
      <c r="D507" s="52"/>
    </row>
    <row r="508">
      <c r="D508" s="52"/>
    </row>
    <row r="509">
      <c r="D509" s="52"/>
    </row>
    <row r="510">
      <c r="D510" s="52"/>
    </row>
    <row r="511">
      <c r="D511" s="52"/>
    </row>
    <row r="512">
      <c r="D512" s="52"/>
    </row>
    <row r="513">
      <c r="D513" s="52"/>
    </row>
    <row r="514">
      <c r="D514" s="52"/>
    </row>
    <row r="515">
      <c r="D515" s="52"/>
    </row>
    <row r="516">
      <c r="D516" s="52"/>
    </row>
    <row r="517">
      <c r="D517" s="52"/>
    </row>
    <row r="518">
      <c r="D518" s="52"/>
    </row>
    <row r="519">
      <c r="D519" s="52"/>
    </row>
    <row r="520">
      <c r="D520" s="52"/>
    </row>
    <row r="521">
      <c r="D521" s="52"/>
    </row>
    <row r="522">
      <c r="D522" s="52"/>
    </row>
    <row r="523">
      <c r="D523" s="52"/>
    </row>
    <row r="524">
      <c r="D524" s="52"/>
    </row>
    <row r="525">
      <c r="D525" s="52"/>
    </row>
    <row r="526">
      <c r="D526" s="52"/>
    </row>
    <row r="527">
      <c r="D527" s="52"/>
    </row>
    <row r="528">
      <c r="D528" s="52"/>
    </row>
    <row r="529">
      <c r="D529" s="52"/>
    </row>
    <row r="530">
      <c r="D530" s="52"/>
    </row>
    <row r="531">
      <c r="D531" s="52"/>
    </row>
    <row r="532">
      <c r="D532" s="52"/>
    </row>
    <row r="533">
      <c r="D533" s="52"/>
    </row>
    <row r="534">
      <c r="D534" s="52"/>
    </row>
    <row r="535">
      <c r="D535" s="52"/>
    </row>
    <row r="536">
      <c r="D536" s="52"/>
    </row>
    <row r="537">
      <c r="D537" s="52"/>
    </row>
    <row r="538">
      <c r="D538" s="52"/>
    </row>
    <row r="539">
      <c r="D539" s="52"/>
    </row>
    <row r="540">
      <c r="D540" s="52"/>
    </row>
    <row r="541">
      <c r="D541" s="52"/>
    </row>
    <row r="542">
      <c r="D542" s="52"/>
    </row>
    <row r="543">
      <c r="D543" s="52"/>
    </row>
    <row r="544">
      <c r="D544" s="52"/>
    </row>
    <row r="545">
      <c r="D545" s="52"/>
    </row>
    <row r="546">
      <c r="D546" s="52"/>
    </row>
    <row r="547">
      <c r="D547" s="52"/>
    </row>
    <row r="548">
      <c r="D548" s="52"/>
    </row>
    <row r="549">
      <c r="D549" s="52"/>
    </row>
    <row r="550">
      <c r="D550" s="52"/>
    </row>
    <row r="551">
      <c r="D551" s="52"/>
    </row>
    <row r="552">
      <c r="D552" s="52"/>
    </row>
    <row r="553">
      <c r="D553" s="52"/>
    </row>
    <row r="554">
      <c r="D554" s="52"/>
    </row>
    <row r="555">
      <c r="D555" s="52"/>
    </row>
    <row r="556">
      <c r="D556" s="52"/>
    </row>
    <row r="557">
      <c r="D557" s="52"/>
    </row>
    <row r="558">
      <c r="D558" s="52"/>
    </row>
    <row r="559">
      <c r="D559" s="52"/>
    </row>
    <row r="560">
      <c r="D560" s="52"/>
    </row>
    <row r="561">
      <c r="D561" s="52"/>
    </row>
    <row r="562">
      <c r="D562" s="52"/>
    </row>
    <row r="563">
      <c r="D563" s="52"/>
    </row>
    <row r="564">
      <c r="D564" s="52"/>
    </row>
    <row r="565">
      <c r="D565" s="52"/>
    </row>
    <row r="566">
      <c r="D566" s="52"/>
    </row>
    <row r="567">
      <c r="D567" s="52"/>
    </row>
    <row r="568">
      <c r="D568" s="52"/>
    </row>
    <row r="569">
      <c r="D569" s="52"/>
    </row>
    <row r="570">
      <c r="D570" s="52"/>
    </row>
    <row r="571">
      <c r="D571" s="52"/>
    </row>
    <row r="572">
      <c r="D572" s="52"/>
    </row>
    <row r="573">
      <c r="D573" s="52"/>
    </row>
    <row r="574">
      <c r="D574" s="52"/>
    </row>
    <row r="575">
      <c r="D575" s="52"/>
    </row>
    <row r="576">
      <c r="D576" s="52"/>
    </row>
    <row r="577">
      <c r="D577" s="52"/>
    </row>
    <row r="578">
      <c r="D578" s="52"/>
    </row>
    <row r="579">
      <c r="D579" s="52"/>
    </row>
    <row r="580">
      <c r="D580" s="52"/>
    </row>
    <row r="581">
      <c r="D581" s="52"/>
    </row>
    <row r="582">
      <c r="D582" s="52"/>
    </row>
    <row r="583">
      <c r="D583" s="52"/>
    </row>
    <row r="584">
      <c r="D584" s="52"/>
    </row>
    <row r="585">
      <c r="D585" s="52"/>
    </row>
    <row r="586">
      <c r="D586" s="52"/>
    </row>
    <row r="587">
      <c r="D587" s="52"/>
    </row>
    <row r="588">
      <c r="D588" s="52"/>
    </row>
    <row r="589">
      <c r="D589" s="52"/>
    </row>
    <row r="590">
      <c r="D590" s="52"/>
    </row>
    <row r="591">
      <c r="D591" s="52"/>
    </row>
    <row r="592">
      <c r="D592" s="52"/>
    </row>
    <row r="593">
      <c r="D593" s="52"/>
    </row>
    <row r="594">
      <c r="D594" s="52"/>
    </row>
    <row r="595">
      <c r="D595" s="52"/>
    </row>
    <row r="596">
      <c r="D596" s="52"/>
    </row>
    <row r="597">
      <c r="D597" s="52"/>
    </row>
    <row r="598">
      <c r="D598" s="52"/>
    </row>
    <row r="599">
      <c r="D599" s="52"/>
    </row>
    <row r="600">
      <c r="D600" s="52"/>
    </row>
    <row r="601">
      <c r="D601" s="52"/>
    </row>
    <row r="602">
      <c r="D602" s="52"/>
    </row>
    <row r="603">
      <c r="D603" s="52"/>
    </row>
    <row r="604">
      <c r="D604" s="52"/>
    </row>
    <row r="605">
      <c r="D605" s="52"/>
    </row>
    <row r="606">
      <c r="D606" s="52"/>
    </row>
    <row r="607">
      <c r="D607" s="52"/>
    </row>
    <row r="608">
      <c r="D608" s="52"/>
    </row>
    <row r="609">
      <c r="D609" s="52"/>
    </row>
    <row r="610">
      <c r="D610" s="52"/>
    </row>
    <row r="611">
      <c r="D611" s="52"/>
    </row>
    <row r="612">
      <c r="D612" s="52"/>
    </row>
    <row r="613">
      <c r="D613" s="52"/>
    </row>
    <row r="614">
      <c r="D614" s="52"/>
    </row>
    <row r="615">
      <c r="D615" s="52"/>
    </row>
    <row r="616">
      <c r="D616" s="52"/>
    </row>
    <row r="617">
      <c r="D617" s="52"/>
    </row>
    <row r="618">
      <c r="D618" s="52"/>
    </row>
    <row r="619">
      <c r="D619" s="52"/>
    </row>
    <row r="620">
      <c r="D620" s="52"/>
    </row>
    <row r="621">
      <c r="D621" s="52"/>
    </row>
    <row r="622">
      <c r="D622" s="52"/>
    </row>
    <row r="623">
      <c r="D623" s="52"/>
    </row>
    <row r="624">
      <c r="D624" s="52"/>
    </row>
    <row r="625">
      <c r="D625" s="52"/>
    </row>
    <row r="626">
      <c r="D626" s="52"/>
    </row>
    <row r="627">
      <c r="D627" s="52"/>
    </row>
    <row r="628">
      <c r="D628" s="52"/>
    </row>
    <row r="629">
      <c r="D629" s="52"/>
    </row>
    <row r="630">
      <c r="D630" s="52"/>
    </row>
    <row r="631">
      <c r="D631" s="52"/>
    </row>
    <row r="632">
      <c r="D632" s="52"/>
    </row>
    <row r="633">
      <c r="D633" s="52"/>
    </row>
    <row r="634">
      <c r="D634" s="52"/>
    </row>
    <row r="635">
      <c r="D635" s="52"/>
    </row>
    <row r="636">
      <c r="D636" s="52"/>
    </row>
    <row r="637">
      <c r="D637" s="52"/>
    </row>
    <row r="638">
      <c r="D638" s="52"/>
    </row>
    <row r="639">
      <c r="D639" s="52"/>
    </row>
    <row r="640">
      <c r="D640" s="52"/>
    </row>
    <row r="641">
      <c r="D641" s="52"/>
    </row>
    <row r="642">
      <c r="D642" s="52"/>
    </row>
    <row r="643">
      <c r="D643" s="52"/>
    </row>
    <row r="644">
      <c r="D644" s="52"/>
    </row>
    <row r="645">
      <c r="D645" s="52"/>
    </row>
    <row r="646">
      <c r="D646" s="52"/>
    </row>
    <row r="647">
      <c r="D647" s="52"/>
    </row>
    <row r="648">
      <c r="D648" s="52"/>
    </row>
    <row r="649">
      <c r="D649" s="52"/>
    </row>
    <row r="650">
      <c r="D650" s="52"/>
    </row>
    <row r="651">
      <c r="D651" s="52"/>
    </row>
    <row r="652">
      <c r="D652" s="52"/>
    </row>
    <row r="653">
      <c r="D653" s="52"/>
    </row>
    <row r="654">
      <c r="D654" s="52"/>
    </row>
    <row r="655">
      <c r="D655" s="52"/>
    </row>
    <row r="656">
      <c r="D656" s="52"/>
    </row>
    <row r="657">
      <c r="D657" s="52"/>
    </row>
    <row r="658">
      <c r="D658" s="52"/>
    </row>
    <row r="659">
      <c r="D659" s="52"/>
    </row>
    <row r="660">
      <c r="D660" s="52"/>
    </row>
    <row r="661">
      <c r="D661" s="52"/>
    </row>
    <row r="662">
      <c r="D662" s="52"/>
    </row>
    <row r="663">
      <c r="D663" s="52"/>
    </row>
    <row r="664">
      <c r="D664" s="52"/>
    </row>
    <row r="665">
      <c r="D665" s="52"/>
    </row>
    <row r="666">
      <c r="D666" s="52"/>
    </row>
    <row r="667">
      <c r="D667" s="52"/>
    </row>
    <row r="668">
      <c r="D668" s="52"/>
    </row>
    <row r="669">
      <c r="D669" s="52"/>
    </row>
    <row r="670">
      <c r="D670" s="52"/>
    </row>
    <row r="671">
      <c r="D671" s="52"/>
    </row>
    <row r="672">
      <c r="D672" s="52"/>
    </row>
    <row r="673">
      <c r="D673" s="52"/>
    </row>
    <row r="674">
      <c r="D674" s="52"/>
    </row>
    <row r="675">
      <c r="D675" s="52"/>
    </row>
    <row r="676">
      <c r="D676" s="52"/>
    </row>
    <row r="677">
      <c r="D677" s="52"/>
    </row>
    <row r="678">
      <c r="D678" s="52"/>
    </row>
    <row r="679">
      <c r="D679" s="52"/>
    </row>
    <row r="680">
      <c r="D680" s="52"/>
    </row>
    <row r="681">
      <c r="D681" s="52"/>
    </row>
    <row r="682">
      <c r="D682" s="52"/>
    </row>
    <row r="683">
      <c r="D683" s="52"/>
    </row>
    <row r="684">
      <c r="D684" s="52"/>
    </row>
    <row r="685">
      <c r="D685" s="52"/>
    </row>
    <row r="686">
      <c r="D686" s="52"/>
    </row>
    <row r="687">
      <c r="D687" s="52"/>
    </row>
    <row r="688">
      <c r="D688" s="52"/>
    </row>
    <row r="689">
      <c r="D689" s="52"/>
    </row>
    <row r="690">
      <c r="D690" s="52"/>
    </row>
    <row r="691">
      <c r="D691" s="52"/>
    </row>
    <row r="692">
      <c r="D692" s="52"/>
    </row>
    <row r="693">
      <c r="D693" s="52"/>
    </row>
    <row r="694">
      <c r="D694" s="52"/>
    </row>
    <row r="695">
      <c r="D695" s="52"/>
    </row>
    <row r="696">
      <c r="D696" s="52"/>
    </row>
    <row r="697">
      <c r="D697" s="52"/>
    </row>
    <row r="698">
      <c r="D698" s="52"/>
    </row>
    <row r="699">
      <c r="D699" s="52"/>
    </row>
    <row r="700">
      <c r="D700" s="52"/>
    </row>
    <row r="701">
      <c r="D701" s="52"/>
    </row>
    <row r="702">
      <c r="D702" s="52"/>
    </row>
    <row r="703">
      <c r="D703" s="52"/>
    </row>
    <row r="704">
      <c r="D704" s="52"/>
    </row>
    <row r="705">
      <c r="D705" s="52"/>
    </row>
    <row r="706">
      <c r="D706" s="52"/>
    </row>
    <row r="707">
      <c r="D707" s="52"/>
    </row>
    <row r="708">
      <c r="D708" s="52"/>
    </row>
    <row r="709">
      <c r="D709" s="52"/>
    </row>
    <row r="710">
      <c r="D710" s="52"/>
    </row>
    <row r="711">
      <c r="D711" s="52"/>
    </row>
    <row r="712">
      <c r="D712" s="52"/>
    </row>
    <row r="713">
      <c r="D713" s="52"/>
    </row>
    <row r="714">
      <c r="D714" s="52"/>
    </row>
    <row r="715">
      <c r="D715" s="52"/>
    </row>
    <row r="716">
      <c r="D716" s="52"/>
    </row>
    <row r="717">
      <c r="D717" s="52"/>
    </row>
    <row r="718">
      <c r="D718" s="52"/>
    </row>
    <row r="719">
      <c r="D719" s="52"/>
    </row>
    <row r="720">
      <c r="D720" s="52"/>
    </row>
    <row r="721">
      <c r="D721" s="52"/>
    </row>
    <row r="722">
      <c r="D722" s="52"/>
    </row>
    <row r="723">
      <c r="D723" s="52"/>
    </row>
    <row r="724">
      <c r="D724" s="52"/>
    </row>
    <row r="725">
      <c r="D725" s="52"/>
    </row>
    <row r="726">
      <c r="D726" s="52"/>
    </row>
    <row r="727">
      <c r="D727" s="52"/>
    </row>
    <row r="728">
      <c r="D728" s="52"/>
    </row>
    <row r="729">
      <c r="D729" s="52"/>
    </row>
    <row r="730">
      <c r="D730" s="52"/>
    </row>
    <row r="731">
      <c r="D731" s="52"/>
    </row>
    <row r="732">
      <c r="D732" s="52"/>
    </row>
    <row r="733">
      <c r="D733" s="52"/>
    </row>
    <row r="734">
      <c r="D734" s="52"/>
    </row>
    <row r="735">
      <c r="D735" s="52"/>
    </row>
    <row r="736">
      <c r="D736" s="52"/>
    </row>
    <row r="737">
      <c r="D737" s="52"/>
    </row>
    <row r="738">
      <c r="D738" s="52"/>
    </row>
    <row r="739">
      <c r="D739" s="52"/>
    </row>
    <row r="740">
      <c r="D740" s="52"/>
    </row>
    <row r="741">
      <c r="D741" s="52"/>
    </row>
    <row r="742">
      <c r="D742" s="52"/>
    </row>
    <row r="743">
      <c r="D743" s="52"/>
    </row>
    <row r="744">
      <c r="D744" s="52"/>
    </row>
    <row r="745">
      <c r="D745" s="52"/>
    </row>
    <row r="746">
      <c r="D746" s="52"/>
    </row>
    <row r="747">
      <c r="D747" s="52"/>
    </row>
    <row r="748">
      <c r="D748" s="52"/>
    </row>
    <row r="749">
      <c r="D749" s="52"/>
    </row>
    <row r="750">
      <c r="D750" s="52"/>
    </row>
    <row r="751">
      <c r="D751" s="52"/>
    </row>
    <row r="752">
      <c r="D752" s="52"/>
    </row>
    <row r="753">
      <c r="D753" s="52"/>
    </row>
    <row r="754">
      <c r="D754" s="52"/>
    </row>
    <row r="755">
      <c r="D755" s="52"/>
    </row>
    <row r="756">
      <c r="D756" s="52"/>
    </row>
    <row r="757">
      <c r="D757" s="52"/>
    </row>
    <row r="758">
      <c r="D758" s="52"/>
    </row>
    <row r="759">
      <c r="D759" s="52"/>
    </row>
    <row r="760">
      <c r="D760" s="52"/>
    </row>
    <row r="761">
      <c r="D761" s="52"/>
    </row>
    <row r="762">
      <c r="D762" s="52"/>
    </row>
    <row r="763">
      <c r="D763" s="52"/>
    </row>
    <row r="764">
      <c r="D764" s="52"/>
    </row>
    <row r="765">
      <c r="D765" s="52"/>
    </row>
    <row r="766">
      <c r="D766" s="52"/>
    </row>
    <row r="767">
      <c r="D767" s="52"/>
    </row>
    <row r="768">
      <c r="D768" s="52"/>
    </row>
    <row r="769">
      <c r="D769" s="52"/>
    </row>
    <row r="770">
      <c r="D770" s="52"/>
    </row>
    <row r="771">
      <c r="D771" s="52"/>
    </row>
    <row r="772">
      <c r="D772" s="52"/>
    </row>
    <row r="773">
      <c r="D773" s="52"/>
    </row>
    <row r="774">
      <c r="D774" s="52"/>
    </row>
    <row r="775">
      <c r="D775" s="52"/>
    </row>
    <row r="776">
      <c r="D776" s="52"/>
    </row>
    <row r="777">
      <c r="D777" s="52"/>
    </row>
    <row r="778">
      <c r="D778" s="52"/>
    </row>
    <row r="779">
      <c r="D779" s="52"/>
    </row>
    <row r="780">
      <c r="D780" s="52"/>
    </row>
    <row r="781">
      <c r="D781" s="52"/>
    </row>
    <row r="782">
      <c r="D782" s="52"/>
    </row>
    <row r="783">
      <c r="D783" s="52"/>
    </row>
    <row r="784">
      <c r="D784" s="52"/>
    </row>
    <row r="785">
      <c r="D785" s="52"/>
    </row>
    <row r="786">
      <c r="D786" s="52"/>
    </row>
    <row r="787">
      <c r="D787" s="52"/>
    </row>
    <row r="788">
      <c r="D788" s="52"/>
    </row>
    <row r="789">
      <c r="D789" s="52"/>
    </row>
    <row r="790">
      <c r="D790" s="52"/>
    </row>
    <row r="791">
      <c r="D791" s="52"/>
    </row>
    <row r="792">
      <c r="D792" s="52"/>
    </row>
    <row r="793">
      <c r="D793" s="52"/>
    </row>
    <row r="794">
      <c r="D794" s="52"/>
    </row>
    <row r="795">
      <c r="D795" s="52"/>
    </row>
    <row r="796">
      <c r="D796" s="52"/>
    </row>
    <row r="797">
      <c r="D797" s="52"/>
    </row>
    <row r="798">
      <c r="D798" s="52"/>
    </row>
    <row r="799">
      <c r="D799" s="52"/>
    </row>
    <row r="800">
      <c r="D800" s="52"/>
    </row>
    <row r="801">
      <c r="D801" s="52"/>
    </row>
    <row r="802">
      <c r="D802" s="52"/>
    </row>
    <row r="803">
      <c r="D803" s="52"/>
    </row>
    <row r="804">
      <c r="D804" s="52"/>
    </row>
    <row r="805">
      <c r="D805" s="52"/>
    </row>
    <row r="806">
      <c r="D806" s="52"/>
    </row>
    <row r="807">
      <c r="D807" s="52"/>
    </row>
    <row r="808">
      <c r="D808" s="52"/>
    </row>
    <row r="809">
      <c r="D809" s="52"/>
    </row>
    <row r="810">
      <c r="D810" s="52"/>
    </row>
    <row r="811">
      <c r="D811" s="52"/>
    </row>
    <row r="812">
      <c r="D812" s="52"/>
    </row>
    <row r="813">
      <c r="D813" s="52"/>
    </row>
    <row r="814">
      <c r="D814" s="52"/>
    </row>
    <row r="815">
      <c r="D815" s="52"/>
    </row>
    <row r="816">
      <c r="D816" s="52"/>
    </row>
    <row r="817">
      <c r="D817" s="52"/>
    </row>
    <row r="818">
      <c r="D818" s="52"/>
    </row>
    <row r="819">
      <c r="D819" s="52"/>
    </row>
    <row r="820">
      <c r="D820" s="52"/>
    </row>
    <row r="821">
      <c r="D821" s="52"/>
    </row>
    <row r="822">
      <c r="D822" s="52"/>
    </row>
    <row r="823">
      <c r="D823" s="52"/>
    </row>
    <row r="824">
      <c r="D824" s="52"/>
    </row>
    <row r="825">
      <c r="D825" s="52"/>
    </row>
    <row r="826">
      <c r="D826" s="52"/>
    </row>
    <row r="827">
      <c r="D827" s="52"/>
    </row>
    <row r="828">
      <c r="D828" s="52"/>
    </row>
    <row r="829">
      <c r="D829" s="52"/>
    </row>
    <row r="830">
      <c r="D830" s="52"/>
    </row>
    <row r="831">
      <c r="D831" s="52"/>
    </row>
    <row r="832">
      <c r="D832" s="52"/>
    </row>
    <row r="833">
      <c r="D833" s="52"/>
    </row>
    <row r="834">
      <c r="D834" s="52"/>
    </row>
    <row r="835">
      <c r="D835" s="52"/>
    </row>
    <row r="836">
      <c r="D836" s="52"/>
    </row>
    <row r="837">
      <c r="D837" s="52"/>
    </row>
    <row r="838">
      <c r="D838" s="52"/>
    </row>
    <row r="839">
      <c r="D839" s="52"/>
    </row>
    <row r="840">
      <c r="D840" s="52"/>
    </row>
    <row r="841">
      <c r="D841" s="52"/>
    </row>
    <row r="842">
      <c r="D842" s="52"/>
    </row>
    <row r="843">
      <c r="D843" s="52"/>
    </row>
    <row r="844">
      <c r="D844" s="52"/>
    </row>
    <row r="845">
      <c r="D845" s="52"/>
    </row>
    <row r="846">
      <c r="D846" s="52"/>
    </row>
    <row r="847">
      <c r="D847" s="52"/>
    </row>
    <row r="848">
      <c r="D848" s="52"/>
    </row>
    <row r="849">
      <c r="D849" s="52"/>
    </row>
    <row r="850">
      <c r="D850" s="52"/>
    </row>
    <row r="851">
      <c r="D851" s="52"/>
    </row>
    <row r="852">
      <c r="D852" s="52"/>
    </row>
    <row r="853">
      <c r="D853" s="52"/>
    </row>
    <row r="854">
      <c r="D854" s="52"/>
    </row>
    <row r="855">
      <c r="D855" s="52"/>
    </row>
    <row r="856">
      <c r="D856" s="52"/>
    </row>
    <row r="857">
      <c r="D857" s="52"/>
    </row>
    <row r="858">
      <c r="D858" s="52"/>
    </row>
    <row r="859">
      <c r="D859" s="52"/>
    </row>
    <row r="860">
      <c r="D860" s="52"/>
    </row>
    <row r="861">
      <c r="D861" s="52"/>
    </row>
    <row r="862">
      <c r="D862" s="52"/>
    </row>
    <row r="863">
      <c r="D863" s="52"/>
    </row>
    <row r="864">
      <c r="D864" s="52"/>
    </row>
    <row r="865">
      <c r="D865" s="52"/>
    </row>
    <row r="866">
      <c r="D866" s="52"/>
    </row>
    <row r="867">
      <c r="D867" s="52"/>
    </row>
    <row r="868">
      <c r="D868" s="52"/>
    </row>
    <row r="869">
      <c r="D869" s="52"/>
    </row>
    <row r="870">
      <c r="D870" s="52"/>
    </row>
    <row r="871">
      <c r="D871" s="52"/>
    </row>
    <row r="872">
      <c r="D872" s="52"/>
    </row>
    <row r="873">
      <c r="D873" s="52"/>
    </row>
    <row r="874">
      <c r="D874" s="52"/>
    </row>
    <row r="875">
      <c r="D875" s="52"/>
    </row>
    <row r="876">
      <c r="D876" s="52"/>
    </row>
    <row r="877">
      <c r="D877" s="52"/>
    </row>
    <row r="878">
      <c r="D878" s="52"/>
    </row>
    <row r="879">
      <c r="D879" s="52"/>
    </row>
    <row r="880">
      <c r="D880" s="52"/>
    </row>
    <row r="881">
      <c r="D881" s="52"/>
    </row>
    <row r="882">
      <c r="D882" s="52"/>
    </row>
    <row r="883">
      <c r="D883" s="52"/>
    </row>
    <row r="884">
      <c r="D884" s="52"/>
    </row>
    <row r="885">
      <c r="D885" s="52"/>
    </row>
    <row r="886">
      <c r="D886" s="52"/>
    </row>
    <row r="887">
      <c r="D887" s="52"/>
    </row>
    <row r="888">
      <c r="D888" s="52"/>
    </row>
    <row r="889">
      <c r="D889" s="52"/>
    </row>
    <row r="890">
      <c r="D890" s="52"/>
    </row>
    <row r="891">
      <c r="D891" s="52"/>
    </row>
    <row r="892">
      <c r="D892" s="52"/>
    </row>
    <row r="893">
      <c r="D893" s="52"/>
    </row>
    <row r="894">
      <c r="D894" s="52"/>
    </row>
    <row r="895">
      <c r="D895" s="52"/>
    </row>
    <row r="896">
      <c r="D896" s="52"/>
    </row>
    <row r="897">
      <c r="D897" s="52"/>
    </row>
    <row r="898">
      <c r="D898" s="52"/>
    </row>
    <row r="899">
      <c r="D899" s="52"/>
    </row>
    <row r="900">
      <c r="D900" s="52"/>
    </row>
    <row r="901">
      <c r="D901" s="52"/>
    </row>
    <row r="902">
      <c r="D902" s="52"/>
    </row>
    <row r="903">
      <c r="D903" s="52"/>
    </row>
    <row r="904">
      <c r="D904" s="52"/>
    </row>
    <row r="905">
      <c r="D905" s="52"/>
    </row>
    <row r="906">
      <c r="D906" s="52"/>
    </row>
    <row r="907">
      <c r="D907" s="52"/>
    </row>
    <row r="908">
      <c r="D908" s="52"/>
    </row>
    <row r="909">
      <c r="D909" s="52"/>
    </row>
    <row r="910">
      <c r="D910" s="52"/>
    </row>
    <row r="911">
      <c r="D911" s="52"/>
    </row>
    <row r="912">
      <c r="D912" s="52"/>
    </row>
    <row r="913">
      <c r="D913" s="52"/>
    </row>
    <row r="914">
      <c r="D914" s="52"/>
    </row>
    <row r="915">
      <c r="D915" s="52"/>
    </row>
    <row r="916">
      <c r="D916" s="52"/>
    </row>
    <row r="917">
      <c r="D917" s="52"/>
    </row>
    <row r="918">
      <c r="D918" s="52"/>
    </row>
    <row r="919">
      <c r="D919" s="52"/>
    </row>
    <row r="920">
      <c r="D920" s="52"/>
    </row>
    <row r="921">
      <c r="D921" s="52"/>
    </row>
  </sheetData>
  <autoFilter ref="$A$3:$Z$84"/>
  <mergeCells count="2">
    <mergeCell ref="A1:F1"/>
    <mergeCell ref="E2:F2"/>
  </mergeCells>
  <dataValidations>
    <dataValidation type="list" allowBlank="1" sqref="H4:H84">
      <formula1>"CHECKED (OK),CHECKED  (NOT OK)"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.63"/>
    <col customWidth="1" min="2" max="2" width="11.25"/>
    <col customWidth="1" min="3" max="3" width="35.25"/>
    <col customWidth="1" min="4" max="4" width="33.25"/>
    <col customWidth="1" min="7" max="7" width="4.88"/>
    <col customWidth="1" min="8" max="8" width="23.5"/>
    <col customWidth="1" min="9" max="9" width="21.63"/>
  </cols>
  <sheetData>
    <row r="1">
      <c r="A1" s="30" t="s">
        <v>73</v>
      </c>
      <c r="G1" s="31"/>
      <c r="H1" s="32" t="s">
        <v>74</v>
      </c>
      <c r="I1" s="33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4" t="s">
        <v>1</v>
      </c>
      <c r="B2" s="35" t="s">
        <v>11</v>
      </c>
      <c r="C2" s="35" t="s">
        <v>12</v>
      </c>
      <c r="D2" s="36" t="s">
        <v>13</v>
      </c>
      <c r="E2" s="37" t="s">
        <v>14</v>
      </c>
      <c r="F2" s="38"/>
      <c r="G2" s="39"/>
      <c r="H2" s="40"/>
      <c r="I2" s="40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58"/>
      <c r="B3" s="59"/>
      <c r="C3" s="59"/>
      <c r="D3" s="60"/>
      <c r="E3" s="42" t="s">
        <v>15</v>
      </c>
      <c r="F3" s="43" t="s">
        <v>5</v>
      </c>
      <c r="G3" s="39"/>
      <c r="H3" s="44" t="s">
        <v>6</v>
      </c>
      <c r="I3" s="45" t="s">
        <v>7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24.75" customHeight="1">
      <c r="A4" s="54">
        <v>1.0</v>
      </c>
      <c r="B4" s="47">
        <v>1022858.0</v>
      </c>
      <c r="C4" s="48" t="str">
        <f>vlookup(B4,'Crew Data'!C:G,5,0)</f>
        <v>Methakarn Ratanamalaya</v>
      </c>
      <c r="D4" s="49" t="s">
        <v>75</v>
      </c>
      <c r="E4" s="47">
        <v>2.0</v>
      </c>
      <c r="F4" s="50">
        <f t="shared" ref="F4:F100" si="1">E4*400</f>
        <v>800</v>
      </c>
      <c r="G4" s="22">
        <f t="shared" ref="G4:G100" si="2">COUNTIF(B:B,B4)</f>
        <v>1</v>
      </c>
      <c r="H4" s="51" t="s">
        <v>20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ht="24.75" customHeight="1">
      <c r="A5" s="55">
        <v>2.0</v>
      </c>
      <c r="B5" s="55">
        <v>1002986.0</v>
      </c>
      <c r="C5" s="48" t="str">
        <f>vlookup(B5,'Crew Data'!C:G,5,0)</f>
        <v>Sirikhwan Siringoen</v>
      </c>
      <c r="D5" s="49" t="s">
        <v>76</v>
      </c>
      <c r="E5" s="55">
        <v>2.0</v>
      </c>
      <c r="F5" s="50">
        <f t="shared" si="1"/>
        <v>800</v>
      </c>
      <c r="G5" s="22">
        <f t="shared" si="2"/>
        <v>1</v>
      </c>
      <c r="H5" s="51" t="s">
        <v>20</v>
      </c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ht="24.75" customHeight="1">
      <c r="A6" s="55">
        <v>3.0</v>
      </c>
      <c r="B6" s="55">
        <v>1008894.0</v>
      </c>
      <c r="C6" s="48" t="str">
        <f>vlookup(B6,'Crew Data'!C:G,5,0)</f>
        <v>Piyaphong Hongsiri</v>
      </c>
      <c r="D6" s="56" t="s">
        <v>76</v>
      </c>
      <c r="E6" s="55">
        <v>2.0</v>
      </c>
      <c r="F6" s="50">
        <f t="shared" si="1"/>
        <v>800</v>
      </c>
      <c r="G6" s="22">
        <f t="shared" si="2"/>
        <v>1</v>
      </c>
      <c r="H6" s="51" t="s">
        <v>20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ht="24.75" customHeight="1">
      <c r="A7" s="55">
        <v>4.0</v>
      </c>
      <c r="B7" s="55">
        <v>1007153.0</v>
      </c>
      <c r="C7" s="48" t="str">
        <f>vlookup(B7,'Crew Data'!C:G,5,0)</f>
        <v>Pannathat Chuchuaisuwan</v>
      </c>
      <c r="D7" s="56" t="s">
        <v>77</v>
      </c>
      <c r="E7" s="55">
        <v>2.0</v>
      </c>
      <c r="F7" s="50">
        <f t="shared" si="1"/>
        <v>800</v>
      </c>
      <c r="G7" s="22">
        <f t="shared" si="2"/>
        <v>1</v>
      </c>
      <c r="H7" s="51" t="s">
        <v>20</v>
      </c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ht="24.75" customHeight="1">
      <c r="A8" s="55">
        <v>5.0</v>
      </c>
      <c r="B8" s="55">
        <v>1007034.0</v>
      </c>
      <c r="C8" s="48" t="str">
        <f>vlookup(B8,'Crew Data'!C:G,5,0)</f>
        <v>Raveekankate Sukasemthongdi</v>
      </c>
      <c r="D8" s="56" t="s">
        <v>76</v>
      </c>
      <c r="E8" s="55">
        <v>2.0</v>
      </c>
      <c r="F8" s="50">
        <f t="shared" si="1"/>
        <v>800</v>
      </c>
      <c r="G8" s="22">
        <f t="shared" si="2"/>
        <v>1</v>
      </c>
      <c r="H8" s="51" t="s">
        <v>20</v>
      </c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ht="24.75" customHeight="1">
      <c r="A9" s="54">
        <v>6.0</v>
      </c>
      <c r="B9" s="55">
        <v>1007157.0</v>
      </c>
      <c r="C9" s="48" t="str">
        <f>vlookup(B9,'Crew Data'!C:G,5,0)</f>
        <v>Pichanun Seneetantikul</v>
      </c>
      <c r="D9" s="56" t="s">
        <v>77</v>
      </c>
      <c r="E9" s="55">
        <v>2.0</v>
      </c>
      <c r="F9" s="50">
        <f t="shared" si="1"/>
        <v>800</v>
      </c>
      <c r="G9" s="22">
        <f t="shared" si="2"/>
        <v>1</v>
      </c>
      <c r="H9" s="51" t="s">
        <v>20</v>
      </c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ht="24.75" customHeight="1">
      <c r="A10" s="55">
        <v>7.0</v>
      </c>
      <c r="B10" s="55">
        <v>1005443.0</v>
      </c>
      <c r="C10" s="48" t="str">
        <f>vlookup(B10,'Crew Data'!C:G,5,0)</f>
        <v>Pipassa Laopiyasakul</v>
      </c>
      <c r="D10" s="56" t="s">
        <v>78</v>
      </c>
      <c r="E10" s="55">
        <v>2.0</v>
      </c>
      <c r="F10" s="50">
        <f t="shared" si="1"/>
        <v>800</v>
      </c>
      <c r="G10" s="22">
        <f t="shared" si="2"/>
        <v>1</v>
      </c>
      <c r="H10" s="51" t="s">
        <v>20</v>
      </c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ht="24.75" customHeight="1">
      <c r="A11" s="55">
        <v>8.0</v>
      </c>
      <c r="B11" s="55">
        <v>1007161.0</v>
      </c>
      <c r="C11" s="48" t="str">
        <f>vlookup(B11,'Crew Data'!C:G,5,0)</f>
        <v>Prangnaree Sahawatcharin</v>
      </c>
      <c r="D11" s="56" t="s">
        <v>77</v>
      </c>
      <c r="E11" s="55">
        <v>2.0</v>
      </c>
      <c r="F11" s="50">
        <f t="shared" si="1"/>
        <v>800</v>
      </c>
      <c r="G11" s="22">
        <f t="shared" si="2"/>
        <v>1</v>
      </c>
      <c r="H11" s="51" t="s">
        <v>20</v>
      </c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ht="24.75" customHeight="1">
      <c r="A12" s="55">
        <v>9.0</v>
      </c>
      <c r="B12" s="55">
        <v>1002202.0</v>
      </c>
      <c r="C12" s="48" t="str">
        <f>vlookup(B12,'Crew Data'!C:G,5,0)</f>
        <v>Nithipkan Damrongpongkhajorn</v>
      </c>
      <c r="D12" s="56" t="s">
        <v>79</v>
      </c>
      <c r="E12" s="55">
        <v>2.0</v>
      </c>
      <c r="F12" s="50">
        <f t="shared" si="1"/>
        <v>800</v>
      </c>
      <c r="G12" s="22">
        <f t="shared" si="2"/>
        <v>1</v>
      </c>
      <c r="H12" s="51" t="s">
        <v>20</v>
      </c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ht="24.75" customHeight="1">
      <c r="A13" s="55">
        <v>10.0</v>
      </c>
      <c r="B13" s="55">
        <v>1009818.0</v>
      </c>
      <c r="C13" s="48" t="str">
        <f>vlookup(B13,'Crew Data'!C:G,5,0)</f>
        <v>#N/A</v>
      </c>
      <c r="D13" s="56" t="s">
        <v>80</v>
      </c>
      <c r="E13" s="55">
        <v>2.0</v>
      </c>
      <c r="F13" s="50">
        <f t="shared" si="1"/>
        <v>800</v>
      </c>
      <c r="G13" s="22">
        <f t="shared" si="2"/>
        <v>1</v>
      </c>
      <c r="H13" s="51" t="s">
        <v>20</v>
      </c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ht="24.75" customHeight="1">
      <c r="A14" s="54">
        <v>11.0</v>
      </c>
      <c r="B14" s="55">
        <v>1005306.0</v>
      </c>
      <c r="C14" s="48" t="str">
        <f>vlookup(B14,'Crew Data'!C:G,5,0)</f>
        <v>Sirirat Kaewduangkhae</v>
      </c>
      <c r="D14" s="56" t="s">
        <v>81</v>
      </c>
      <c r="E14" s="55">
        <v>2.0</v>
      </c>
      <c r="F14" s="50">
        <f t="shared" si="1"/>
        <v>800</v>
      </c>
      <c r="G14" s="22">
        <f t="shared" si="2"/>
        <v>1</v>
      </c>
      <c r="H14" s="51" t="s">
        <v>20</v>
      </c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ht="24.75" customHeight="1">
      <c r="A15" s="55">
        <v>12.0</v>
      </c>
      <c r="B15" s="55">
        <v>1001273.0</v>
      </c>
      <c r="C15" s="48" t="str">
        <f>vlookup(B15,'Crew Data'!C:G,5,0)</f>
        <v>Chidchanok Seesorn</v>
      </c>
      <c r="D15" s="56" t="s">
        <v>76</v>
      </c>
      <c r="E15" s="55">
        <v>2.0</v>
      </c>
      <c r="F15" s="50">
        <f t="shared" si="1"/>
        <v>800</v>
      </c>
      <c r="G15" s="22">
        <f t="shared" si="2"/>
        <v>1</v>
      </c>
      <c r="H15" s="51" t="s">
        <v>20</v>
      </c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t="24.75" customHeight="1">
      <c r="A16" s="55">
        <v>13.0</v>
      </c>
      <c r="B16" s="55">
        <v>1015404.0</v>
      </c>
      <c r="C16" s="48" t="str">
        <f>vlookup(B16,'Crew Data'!C:G,5,0)</f>
        <v>Nutchanart Wanmasae</v>
      </c>
      <c r="D16" s="56" t="s">
        <v>82</v>
      </c>
      <c r="E16" s="55">
        <v>2.0</v>
      </c>
      <c r="F16" s="50">
        <f t="shared" si="1"/>
        <v>800</v>
      </c>
      <c r="G16" s="22">
        <f t="shared" si="2"/>
        <v>1</v>
      </c>
      <c r="H16" s="51" t="s">
        <v>20</v>
      </c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t="24.75" customHeight="1">
      <c r="A17" s="55">
        <v>14.0</v>
      </c>
      <c r="B17" s="55">
        <v>1007181.0</v>
      </c>
      <c r="C17" s="48" t="str">
        <f>vlookup(B17,'Crew Data'!C:G,5,0)</f>
        <v>Warisara Sutta</v>
      </c>
      <c r="D17" s="56" t="s">
        <v>83</v>
      </c>
      <c r="E17" s="55">
        <v>2.0</v>
      </c>
      <c r="F17" s="50">
        <f t="shared" si="1"/>
        <v>800</v>
      </c>
      <c r="G17" s="22">
        <f t="shared" si="2"/>
        <v>1</v>
      </c>
      <c r="H17" s="51" t="s">
        <v>20</v>
      </c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24.75" customHeight="1">
      <c r="A18" s="55">
        <v>15.0</v>
      </c>
      <c r="B18" s="55">
        <v>1004200.0</v>
      </c>
      <c r="C18" s="48" t="str">
        <f>vlookup(B18,'Crew Data'!C:G,5,0)</f>
        <v>Napasorn Narkkaew</v>
      </c>
      <c r="D18" s="56" t="s">
        <v>84</v>
      </c>
      <c r="E18" s="55">
        <v>2.0</v>
      </c>
      <c r="F18" s="50">
        <f t="shared" si="1"/>
        <v>800</v>
      </c>
      <c r="G18" s="22">
        <f t="shared" si="2"/>
        <v>1</v>
      </c>
      <c r="H18" s="51" t="s">
        <v>20</v>
      </c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t="24.75" customHeight="1">
      <c r="A19" s="54">
        <v>16.0</v>
      </c>
      <c r="B19" s="55">
        <v>1007001.0</v>
      </c>
      <c r="C19" s="48" t="str">
        <f>vlookup(B19,'Crew Data'!C:G,5,0)</f>
        <v>Phakrapee Fuengprang</v>
      </c>
      <c r="D19" s="56" t="s">
        <v>84</v>
      </c>
      <c r="E19" s="55">
        <v>2.0</v>
      </c>
      <c r="F19" s="50">
        <f t="shared" si="1"/>
        <v>800</v>
      </c>
      <c r="G19" s="22">
        <f t="shared" si="2"/>
        <v>1</v>
      </c>
      <c r="H19" s="51" t="s">
        <v>20</v>
      </c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ht="24.75" customHeight="1">
      <c r="A20" s="55">
        <v>17.0</v>
      </c>
      <c r="B20" s="55">
        <v>1012901.0</v>
      </c>
      <c r="C20" s="48" t="str">
        <f>vlookup(B20,'Crew Data'!C:G,5,0)</f>
        <v>Sandao Siriwarunrak</v>
      </c>
      <c r="D20" s="56" t="s">
        <v>85</v>
      </c>
      <c r="E20" s="55">
        <v>2.0</v>
      </c>
      <c r="F20" s="50">
        <f t="shared" si="1"/>
        <v>800</v>
      </c>
      <c r="G20" s="22">
        <f t="shared" si="2"/>
        <v>1</v>
      </c>
      <c r="H20" s="51" t="s">
        <v>20</v>
      </c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24.75" customHeight="1">
      <c r="A21" s="55">
        <v>18.0</v>
      </c>
      <c r="B21" s="55">
        <v>1014312.0</v>
      </c>
      <c r="C21" s="48" t="str">
        <f>vlookup(B21,'Crew Data'!C:G,5,0)</f>
        <v>Chadaporn Pliankham</v>
      </c>
      <c r="D21" s="56" t="s">
        <v>83</v>
      </c>
      <c r="E21" s="55">
        <v>2.0</v>
      </c>
      <c r="F21" s="50">
        <f t="shared" si="1"/>
        <v>800</v>
      </c>
      <c r="G21" s="22">
        <f t="shared" si="2"/>
        <v>1</v>
      </c>
      <c r="H21" s="51" t="s">
        <v>20</v>
      </c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24.75" customHeight="1">
      <c r="A22" s="55">
        <v>19.0</v>
      </c>
      <c r="B22" s="55">
        <v>1005802.0</v>
      </c>
      <c r="C22" s="48" t="str">
        <f>vlookup(B22,'Crew Data'!C:G,5,0)</f>
        <v>Jaruwan Jarungpirawong</v>
      </c>
      <c r="D22" s="56" t="s">
        <v>79</v>
      </c>
      <c r="E22" s="55">
        <v>2.0</v>
      </c>
      <c r="F22" s="50">
        <f t="shared" si="1"/>
        <v>800</v>
      </c>
      <c r="G22" s="22">
        <f t="shared" si="2"/>
        <v>1</v>
      </c>
      <c r="H22" s="51" t="s">
        <v>20</v>
      </c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24.75" customHeight="1">
      <c r="A23" s="55">
        <v>20.0</v>
      </c>
      <c r="B23" s="55">
        <v>1018803.0</v>
      </c>
      <c r="C23" s="48" t="str">
        <f>vlookup(B23,'Crew Data'!C:G,5,0)</f>
        <v>Natthaphon Poosomchit</v>
      </c>
      <c r="D23" s="56" t="s">
        <v>84</v>
      </c>
      <c r="E23" s="55">
        <v>2.0</v>
      </c>
      <c r="F23" s="50">
        <f t="shared" si="1"/>
        <v>800</v>
      </c>
      <c r="G23" s="22">
        <f t="shared" si="2"/>
        <v>1</v>
      </c>
      <c r="H23" s="51" t="s">
        <v>20</v>
      </c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24.75" customHeight="1">
      <c r="A24" s="54">
        <v>21.0</v>
      </c>
      <c r="B24" s="55">
        <v>1019193.0</v>
      </c>
      <c r="C24" s="48" t="str">
        <f>vlookup(B24,'Crew Data'!C:G,5,0)</f>
        <v>Nattaporn Pattarasiriwong</v>
      </c>
      <c r="D24" s="56" t="s">
        <v>85</v>
      </c>
      <c r="E24" s="55">
        <v>2.0</v>
      </c>
      <c r="F24" s="50">
        <f t="shared" si="1"/>
        <v>800</v>
      </c>
      <c r="G24" s="22">
        <f t="shared" si="2"/>
        <v>1</v>
      </c>
      <c r="H24" s="51" t="s">
        <v>20</v>
      </c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24.75" customHeight="1">
      <c r="A25" s="55">
        <v>22.0</v>
      </c>
      <c r="B25" s="55">
        <v>1015412.0</v>
      </c>
      <c r="C25" s="48" t="str">
        <f>vlookup(B25,'Crew Data'!C:G,5,0)</f>
        <v>Sitthiphath Ratanaborvornsethi</v>
      </c>
      <c r="D25" s="56" t="s">
        <v>82</v>
      </c>
      <c r="E25" s="55">
        <v>2.0</v>
      </c>
      <c r="F25" s="50">
        <f t="shared" si="1"/>
        <v>800</v>
      </c>
      <c r="G25" s="22">
        <f t="shared" si="2"/>
        <v>1</v>
      </c>
      <c r="H25" s="51" t="s">
        <v>20</v>
      </c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24.75" customHeight="1">
      <c r="A26" s="55">
        <v>23.0</v>
      </c>
      <c r="B26" s="55">
        <v>1004034.0</v>
      </c>
      <c r="C26" s="48" t="str">
        <f>vlookup(B26,'Crew Data'!C:G,5,0)</f>
        <v>Monthon Siribunnakul</v>
      </c>
      <c r="D26" s="56" t="s">
        <v>86</v>
      </c>
      <c r="E26" s="55">
        <v>2.0</v>
      </c>
      <c r="F26" s="50">
        <f t="shared" si="1"/>
        <v>800</v>
      </c>
      <c r="G26" s="22">
        <f t="shared" si="2"/>
        <v>1</v>
      </c>
      <c r="H26" s="51" t="s">
        <v>20</v>
      </c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24.75" customHeight="1">
      <c r="A27" s="55">
        <v>24.0</v>
      </c>
      <c r="B27" s="55">
        <v>1002146.0</v>
      </c>
      <c r="C27" s="48" t="str">
        <f>vlookup(B27,'Crew Data'!C:G,5,0)</f>
        <v>Romrawee Choeikeewong</v>
      </c>
      <c r="D27" s="56" t="s">
        <v>79</v>
      </c>
      <c r="E27" s="55">
        <v>2.0</v>
      </c>
      <c r="F27" s="50">
        <f t="shared" si="1"/>
        <v>800</v>
      </c>
      <c r="G27" s="22">
        <f t="shared" si="2"/>
        <v>1</v>
      </c>
      <c r="H27" s="51" t="s">
        <v>20</v>
      </c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24.75" customHeight="1">
      <c r="A28" s="55">
        <v>25.0</v>
      </c>
      <c r="B28" s="55">
        <v>1006311.0</v>
      </c>
      <c r="C28" s="48" t="str">
        <f>vlookup(B28,'Crew Data'!C:G,5,0)</f>
        <v>Kantanat Fuengfuchevakul</v>
      </c>
      <c r="D28" s="56" t="s">
        <v>79</v>
      </c>
      <c r="E28" s="55">
        <v>2.0</v>
      </c>
      <c r="F28" s="50">
        <f t="shared" si="1"/>
        <v>800</v>
      </c>
      <c r="G28" s="22">
        <f t="shared" si="2"/>
        <v>1</v>
      </c>
      <c r="H28" s="51" t="s">
        <v>20</v>
      </c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24.75" customHeight="1">
      <c r="A29" s="54">
        <v>26.0</v>
      </c>
      <c r="B29" s="55">
        <v>1007319.0</v>
      </c>
      <c r="C29" s="48" t="str">
        <f>vlookup(B29,'Crew Data'!C:G,5,0)</f>
        <v>Setthachart Kittithanakorn</v>
      </c>
      <c r="D29" s="56" t="s">
        <v>86</v>
      </c>
      <c r="E29" s="55">
        <v>2.0</v>
      </c>
      <c r="F29" s="50">
        <f t="shared" si="1"/>
        <v>800</v>
      </c>
      <c r="G29" s="22">
        <f t="shared" si="2"/>
        <v>1</v>
      </c>
      <c r="H29" s="51" t="s">
        <v>20</v>
      </c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24.75" customHeight="1">
      <c r="A30" s="55">
        <v>27.0</v>
      </c>
      <c r="B30" s="55">
        <v>1007201.0</v>
      </c>
      <c r="C30" s="48" t="str">
        <f>vlookup(B30,'Crew Data'!C:G,5,0)</f>
        <v>Juthaporn Ratanavaraporn</v>
      </c>
      <c r="D30" s="56" t="s">
        <v>78</v>
      </c>
      <c r="E30" s="55">
        <v>2.0</v>
      </c>
      <c r="F30" s="50">
        <f t="shared" si="1"/>
        <v>800</v>
      </c>
      <c r="G30" s="22">
        <f t="shared" si="2"/>
        <v>1</v>
      </c>
      <c r="H30" s="51" t="s">
        <v>20</v>
      </c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24.75" customHeight="1">
      <c r="A31" s="55">
        <v>28.0</v>
      </c>
      <c r="B31" s="55">
        <v>1004318.0</v>
      </c>
      <c r="C31" s="48" t="str">
        <f>vlookup(B31,'Crew Data'!C:G,5,0)</f>
        <v>Nattapong Kao-Ngampanich</v>
      </c>
      <c r="D31" s="56" t="s">
        <v>83</v>
      </c>
      <c r="E31" s="55">
        <v>2.0</v>
      </c>
      <c r="F31" s="50">
        <f t="shared" si="1"/>
        <v>800</v>
      </c>
      <c r="G31" s="22">
        <f t="shared" si="2"/>
        <v>1</v>
      </c>
      <c r="H31" s="51" t="s">
        <v>20</v>
      </c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24.75" customHeight="1">
      <c r="A32" s="55">
        <v>29.0</v>
      </c>
      <c r="B32" s="55">
        <v>1001233.0</v>
      </c>
      <c r="C32" s="48" t="str">
        <f>vlookup(B32,'Crew Data'!C:G,5,0)</f>
        <v>Sasithorn Wonglee</v>
      </c>
      <c r="D32" s="56" t="s">
        <v>87</v>
      </c>
      <c r="E32" s="55">
        <v>2.0</v>
      </c>
      <c r="F32" s="50">
        <f t="shared" si="1"/>
        <v>800</v>
      </c>
      <c r="G32" s="22">
        <f t="shared" si="2"/>
        <v>1</v>
      </c>
      <c r="H32" s="51" t="s">
        <v>20</v>
      </c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t="24.75" customHeight="1">
      <c r="A33" s="55">
        <v>30.0</v>
      </c>
      <c r="B33" s="55">
        <v>1011318.0</v>
      </c>
      <c r="C33" s="48" t="str">
        <f>vlookup(B33,'Crew Data'!C:G,5,0)</f>
        <v>Rudeemas Thiangthat</v>
      </c>
      <c r="D33" s="56" t="s">
        <v>88</v>
      </c>
      <c r="E33" s="55">
        <v>2.0</v>
      </c>
      <c r="F33" s="50">
        <f t="shared" si="1"/>
        <v>800</v>
      </c>
      <c r="G33" s="22">
        <f t="shared" si="2"/>
        <v>1</v>
      </c>
      <c r="H33" s="51" t="s">
        <v>20</v>
      </c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24.75" customHeight="1">
      <c r="A34" s="54">
        <v>31.0</v>
      </c>
      <c r="B34" s="55">
        <v>1014092.0</v>
      </c>
      <c r="C34" s="48" t="str">
        <f>vlookup(B34,'Crew Data'!C:G,5,0)</f>
        <v>Varatorn Sitisarn</v>
      </c>
      <c r="D34" s="56" t="s">
        <v>89</v>
      </c>
      <c r="E34" s="55">
        <v>2.0</v>
      </c>
      <c r="F34" s="50">
        <f t="shared" si="1"/>
        <v>800</v>
      </c>
      <c r="G34" s="22">
        <f t="shared" si="2"/>
        <v>1</v>
      </c>
      <c r="H34" s="51" t="s">
        <v>20</v>
      </c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ht="24.75" customHeight="1">
      <c r="A35" s="55">
        <v>32.0</v>
      </c>
      <c r="B35" s="55">
        <v>1000486.0</v>
      </c>
      <c r="C35" s="48" t="str">
        <f>vlookup(B35,'Crew Data'!C:G,5,0)</f>
        <v>Ratthinan Wasupornwiboon</v>
      </c>
      <c r="D35" s="56" t="s">
        <v>88</v>
      </c>
      <c r="E35" s="55">
        <v>2.0</v>
      </c>
      <c r="F35" s="50">
        <f t="shared" si="1"/>
        <v>800</v>
      </c>
      <c r="G35" s="22">
        <f t="shared" si="2"/>
        <v>1</v>
      </c>
      <c r="H35" s="51" t="s">
        <v>20</v>
      </c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ht="24.75" customHeight="1">
      <c r="A36" s="55">
        <v>33.0</v>
      </c>
      <c r="B36" s="55">
        <v>1018817.0</v>
      </c>
      <c r="C36" s="48" t="str">
        <f>vlookup(B36,'Crew Data'!C:G,5,0)</f>
        <v>Witittorn Onkhaw</v>
      </c>
      <c r="D36" s="56" t="s">
        <v>88</v>
      </c>
      <c r="E36" s="55">
        <v>2.0</v>
      </c>
      <c r="F36" s="50">
        <f t="shared" si="1"/>
        <v>800</v>
      </c>
      <c r="G36" s="22">
        <f t="shared" si="2"/>
        <v>1</v>
      </c>
      <c r="H36" s="51" t="s">
        <v>20</v>
      </c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ht="24.75" customHeight="1">
      <c r="A37" s="55">
        <v>34.0</v>
      </c>
      <c r="B37" s="55">
        <v>1010897.0</v>
      </c>
      <c r="C37" s="48" t="str">
        <f>vlookup(B37,'Crew Data'!C:G,5,0)</f>
        <v>Natcharee Wisespun</v>
      </c>
      <c r="D37" s="56" t="s">
        <v>90</v>
      </c>
      <c r="E37" s="55">
        <v>2.0</v>
      </c>
      <c r="F37" s="50">
        <f t="shared" si="1"/>
        <v>800</v>
      </c>
      <c r="G37" s="22">
        <f t="shared" si="2"/>
        <v>1</v>
      </c>
      <c r="H37" s="51" t="s">
        <v>20</v>
      </c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t="24.75" customHeight="1">
      <c r="A38" s="55">
        <v>35.0</v>
      </c>
      <c r="B38" s="55">
        <v>1019191.0</v>
      </c>
      <c r="C38" s="48" t="str">
        <f>vlookup(B38,'Crew Data'!C:G,5,0)</f>
        <v>Nathamonphan Boonyakiat</v>
      </c>
      <c r="D38" s="56" t="s">
        <v>81</v>
      </c>
      <c r="E38" s="55">
        <v>2.0</v>
      </c>
      <c r="F38" s="50">
        <f t="shared" si="1"/>
        <v>800</v>
      </c>
      <c r="G38" s="22">
        <f t="shared" si="2"/>
        <v>1</v>
      </c>
      <c r="H38" s="51" t="s">
        <v>20</v>
      </c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t="24.75" customHeight="1">
      <c r="A39" s="54">
        <v>36.0</v>
      </c>
      <c r="B39" s="55">
        <v>1019549.0</v>
      </c>
      <c r="C39" s="48" t="str">
        <f>vlookup(B39,'Crew Data'!C:G,5,0)</f>
        <v>Phuriwat Chaitulyavate </v>
      </c>
      <c r="D39" s="56" t="s">
        <v>81</v>
      </c>
      <c r="E39" s="55">
        <v>2.0</v>
      </c>
      <c r="F39" s="50">
        <f t="shared" si="1"/>
        <v>800</v>
      </c>
      <c r="G39" s="22">
        <f t="shared" si="2"/>
        <v>1</v>
      </c>
      <c r="H39" s="51" t="s">
        <v>20</v>
      </c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ht="24.75" customHeight="1">
      <c r="A40" s="55">
        <v>37.0</v>
      </c>
      <c r="B40" s="55">
        <v>1003223.0</v>
      </c>
      <c r="C40" s="48" t="str">
        <f>vlookup(B40,'Crew Data'!C:G,5,0)</f>
        <v>#N/A</v>
      </c>
      <c r="D40" s="56" t="s">
        <v>91</v>
      </c>
      <c r="E40" s="55">
        <v>2.0</v>
      </c>
      <c r="F40" s="50">
        <f t="shared" si="1"/>
        <v>800</v>
      </c>
      <c r="G40" s="22">
        <f t="shared" si="2"/>
        <v>1</v>
      </c>
      <c r="H40" s="51" t="s">
        <v>20</v>
      </c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ht="24.75" customHeight="1">
      <c r="A41" s="55">
        <v>38.0</v>
      </c>
      <c r="B41" s="55">
        <v>1012359.0</v>
      </c>
      <c r="C41" s="48" t="str">
        <f>vlookup(B41,'Crew Data'!C:G,5,0)</f>
        <v>Kotchakon Kanchanamethakul</v>
      </c>
      <c r="D41" s="56" t="s">
        <v>84</v>
      </c>
      <c r="E41" s="55">
        <v>2.0</v>
      </c>
      <c r="F41" s="50">
        <f t="shared" si="1"/>
        <v>800</v>
      </c>
      <c r="G41" s="22">
        <f t="shared" si="2"/>
        <v>1</v>
      </c>
      <c r="H41" s="51" t="s">
        <v>20</v>
      </c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ht="24.75" customHeight="1">
      <c r="A42" s="55">
        <v>39.0</v>
      </c>
      <c r="B42" s="55">
        <v>1010904.0</v>
      </c>
      <c r="C42" s="48" t="str">
        <f>vlookup(B42,'Crew Data'!C:G,5,0)</f>
        <v>Phadoongkiat Phanwilai</v>
      </c>
      <c r="D42" s="56" t="s">
        <v>91</v>
      </c>
      <c r="E42" s="55">
        <v>2.0</v>
      </c>
      <c r="F42" s="50">
        <f t="shared" si="1"/>
        <v>800</v>
      </c>
      <c r="G42" s="22">
        <f t="shared" si="2"/>
        <v>1</v>
      </c>
      <c r="H42" s="51" t="s">
        <v>20</v>
      </c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ht="24.75" customHeight="1">
      <c r="A43" s="55">
        <v>40.0</v>
      </c>
      <c r="B43" s="55">
        <v>1010880.0</v>
      </c>
      <c r="C43" s="48" t="str">
        <f>vlookup(B43,'Crew Data'!C:G,5,0)</f>
        <v>Chutima Thitisantikhun</v>
      </c>
      <c r="D43" s="56" t="s">
        <v>92</v>
      </c>
      <c r="E43" s="55">
        <v>4.0</v>
      </c>
      <c r="F43" s="50">
        <f t="shared" si="1"/>
        <v>1600</v>
      </c>
      <c r="G43" s="22">
        <f t="shared" si="2"/>
        <v>1</v>
      </c>
      <c r="H43" s="51" t="s">
        <v>20</v>
      </c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ht="24.75" customHeight="1">
      <c r="A44" s="54">
        <v>41.0</v>
      </c>
      <c r="B44" s="55">
        <v>1005818.0</v>
      </c>
      <c r="C44" s="48" t="str">
        <f>vlookup(B44,'Crew Data'!C:G,5,0)</f>
        <v>Nattaporn Phatteeratip</v>
      </c>
      <c r="D44" s="56" t="s">
        <v>86</v>
      </c>
      <c r="E44" s="55">
        <v>2.0</v>
      </c>
      <c r="F44" s="50">
        <f t="shared" si="1"/>
        <v>800</v>
      </c>
      <c r="G44" s="22">
        <f t="shared" si="2"/>
        <v>1</v>
      </c>
      <c r="H44" s="51" t="s">
        <v>20</v>
      </c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ht="24.75" customHeight="1">
      <c r="A45" s="55">
        <v>42.0</v>
      </c>
      <c r="B45" s="55">
        <v>1011515.0</v>
      </c>
      <c r="C45" s="48" t="str">
        <f>vlookup(B45,'Crew Data'!C:G,5,0)</f>
        <v>Sopark Phosiri</v>
      </c>
      <c r="D45" s="56" t="s">
        <v>93</v>
      </c>
      <c r="E45" s="55">
        <v>2.0</v>
      </c>
      <c r="F45" s="50">
        <f t="shared" si="1"/>
        <v>800</v>
      </c>
      <c r="G45" s="22">
        <f t="shared" si="2"/>
        <v>1</v>
      </c>
      <c r="H45" s="51" t="s">
        <v>20</v>
      </c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ht="24.75" customHeight="1">
      <c r="A46" s="55">
        <v>43.0</v>
      </c>
      <c r="B46" s="55">
        <v>1022223.0</v>
      </c>
      <c r="C46" s="48" t="str">
        <f>vlookup(B46,'Crew Data'!C:G,5,0)</f>
        <v>Nantapak Benjasiriporn</v>
      </c>
      <c r="D46" s="56" t="s">
        <v>91</v>
      </c>
      <c r="E46" s="55">
        <v>2.0</v>
      </c>
      <c r="F46" s="50">
        <f t="shared" si="1"/>
        <v>800</v>
      </c>
      <c r="G46" s="22">
        <f t="shared" si="2"/>
        <v>1</v>
      </c>
      <c r="H46" s="51" t="s">
        <v>20</v>
      </c>
      <c r="J46" s="6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ht="24.75" customHeight="1">
      <c r="A47" s="55">
        <v>44.0</v>
      </c>
      <c r="B47" s="55">
        <v>1003054.0</v>
      </c>
      <c r="C47" s="48" t="str">
        <f>vlookup(B47,'Crew Data'!C:G,5,0)</f>
        <v>Oraphin Suwongjit</v>
      </c>
      <c r="D47" s="56" t="s">
        <v>94</v>
      </c>
      <c r="E47" s="55">
        <v>2.0</v>
      </c>
      <c r="F47" s="50">
        <f t="shared" si="1"/>
        <v>800</v>
      </c>
      <c r="G47" s="22">
        <f t="shared" si="2"/>
        <v>1</v>
      </c>
      <c r="H47" s="51" t="s">
        <v>20</v>
      </c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ht="24.75" customHeight="1">
      <c r="A48" s="55">
        <v>45.0</v>
      </c>
      <c r="B48" s="55">
        <v>1010932.0</v>
      </c>
      <c r="C48" s="48" t="str">
        <f>vlookup(B48,'Crew Data'!C:G,5,0)</f>
        <v>Wanunyapat Wongvichien</v>
      </c>
      <c r="D48" s="56" t="s">
        <v>90</v>
      </c>
      <c r="E48" s="55">
        <v>2.0</v>
      </c>
      <c r="F48" s="50">
        <f t="shared" si="1"/>
        <v>800</v>
      </c>
      <c r="G48" s="22">
        <f t="shared" si="2"/>
        <v>1</v>
      </c>
      <c r="H48" s="51" t="s">
        <v>20</v>
      </c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ht="24.75" customHeight="1">
      <c r="A49" s="54">
        <v>46.0</v>
      </c>
      <c r="B49" s="55">
        <v>1019222.0</v>
      </c>
      <c r="C49" s="48" t="str">
        <f>vlookup(B49,'Crew Data'!C:G,5,0)</f>
        <v>Supitcha Thepgul</v>
      </c>
      <c r="D49" s="56" t="s">
        <v>89</v>
      </c>
      <c r="E49" s="55">
        <v>2.0</v>
      </c>
      <c r="F49" s="50">
        <f t="shared" si="1"/>
        <v>800</v>
      </c>
      <c r="G49" s="22">
        <f t="shared" si="2"/>
        <v>1</v>
      </c>
      <c r="H49" s="51" t="s">
        <v>20</v>
      </c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ht="24.75" customHeight="1">
      <c r="A50" s="55">
        <v>47.0</v>
      </c>
      <c r="B50" s="55">
        <v>1019299.0</v>
      </c>
      <c r="C50" s="48" t="str">
        <f>vlookup(B50,'Crew Data'!C:G,5,0)</f>
        <v>Phattaraporn Jindapol</v>
      </c>
      <c r="D50" s="56" t="s">
        <v>95</v>
      </c>
      <c r="E50" s="55">
        <v>2.0</v>
      </c>
      <c r="F50" s="50">
        <f t="shared" si="1"/>
        <v>800</v>
      </c>
      <c r="G50" s="22">
        <f t="shared" si="2"/>
        <v>1</v>
      </c>
      <c r="H50" s="51" t="s">
        <v>20</v>
      </c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ht="24.75" customHeight="1">
      <c r="A51" s="55">
        <v>48.0</v>
      </c>
      <c r="B51" s="55">
        <v>1011513.0</v>
      </c>
      <c r="C51" s="48" t="str">
        <f>vlookup(B51,'Crew Data'!C:G,5,0)</f>
        <v>Rawitnat Marayat</v>
      </c>
      <c r="D51" s="56" t="s">
        <v>96</v>
      </c>
      <c r="E51" s="55">
        <v>2.0</v>
      </c>
      <c r="F51" s="50">
        <f t="shared" si="1"/>
        <v>800</v>
      </c>
      <c r="G51" s="22">
        <f t="shared" si="2"/>
        <v>1</v>
      </c>
      <c r="H51" s="51" t="s">
        <v>20</v>
      </c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ht="24.75" customHeight="1">
      <c r="A52" s="55">
        <v>49.0</v>
      </c>
      <c r="B52" s="55">
        <v>1016197.0</v>
      </c>
      <c r="C52" s="48" t="str">
        <f>vlookup(B52,'Crew Data'!C:G,5,0)</f>
        <v>Kornchanok Ruamsanit</v>
      </c>
      <c r="D52" s="56" t="s">
        <v>94</v>
      </c>
      <c r="E52" s="55">
        <v>2.0</v>
      </c>
      <c r="F52" s="50">
        <f t="shared" si="1"/>
        <v>800</v>
      </c>
      <c r="G52" s="22">
        <f t="shared" si="2"/>
        <v>1</v>
      </c>
      <c r="H52" s="51" t="s">
        <v>20</v>
      </c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ht="24.75" customHeight="1">
      <c r="A53" s="55">
        <v>50.0</v>
      </c>
      <c r="B53" s="55">
        <v>1003368.0</v>
      </c>
      <c r="C53" s="48" t="str">
        <f>vlookup(B53,'Crew Data'!C:G,5,0)</f>
        <v>Woradaluck Lerdthanapaijit</v>
      </c>
      <c r="D53" s="56" t="s">
        <v>91</v>
      </c>
      <c r="E53" s="55">
        <v>2.0</v>
      </c>
      <c r="F53" s="50">
        <f t="shared" si="1"/>
        <v>800</v>
      </c>
      <c r="G53" s="22">
        <f t="shared" si="2"/>
        <v>1</v>
      </c>
      <c r="H53" s="51" t="s">
        <v>20</v>
      </c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ht="24.75" customHeight="1">
      <c r="A54" s="55">
        <v>51.0</v>
      </c>
      <c r="B54" s="55">
        <v>1006830.0</v>
      </c>
      <c r="C54" s="48" t="str">
        <f>vlookup(B54,'Crew Data'!C:G,5,0)</f>
        <v>#N/A</v>
      </c>
      <c r="D54" s="56" t="s">
        <v>97</v>
      </c>
      <c r="E54" s="55">
        <v>2.0</v>
      </c>
      <c r="F54" s="50">
        <f t="shared" si="1"/>
        <v>800</v>
      </c>
      <c r="G54" s="22">
        <f t="shared" si="2"/>
        <v>1</v>
      </c>
      <c r="H54" s="51" t="s">
        <v>20</v>
      </c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ht="24.75" customHeight="1">
      <c r="A55" s="55">
        <v>52.0</v>
      </c>
      <c r="B55" s="55">
        <v>1003302.0</v>
      </c>
      <c r="C55" s="48" t="str">
        <f>vlookup(B55,'Crew Data'!C:G,5,0)</f>
        <v>Panwad Thongkham</v>
      </c>
      <c r="D55" s="56" t="s">
        <v>97</v>
      </c>
      <c r="E55" s="55">
        <v>2.0</v>
      </c>
      <c r="F55" s="50">
        <f t="shared" si="1"/>
        <v>800</v>
      </c>
      <c r="G55" s="22">
        <f t="shared" si="2"/>
        <v>1</v>
      </c>
      <c r="H55" s="51" t="s">
        <v>20</v>
      </c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ht="24.75" customHeight="1">
      <c r="A56" s="55">
        <v>53.0</v>
      </c>
      <c r="B56" s="55">
        <v>1019395.0</v>
      </c>
      <c r="C56" s="48" t="str">
        <f>vlookup(B56,'Crew Data'!C:G,5,0)</f>
        <v>Dalika Sayanprasert</v>
      </c>
      <c r="D56" s="56" t="s">
        <v>97</v>
      </c>
      <c r="E56" s="55">
        <v>2.0</v>
      </c>
      <c r="F56" s="50">
        <f t="shared" si="1"/>
        <v>800</v>
      </c>
      <c r="G56" s="22">
        <f t="shared" si="2"/>
        <v>1</v>
      </c>
      <c r="H56" s="51" t="s">
        <v>20</v>
      </c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ht="24.75" customHeight="1">
      <c r="A57" s="55">
        <v>54.0</v>
      </c>
      <c r="B57" s="55">
        <v>1023595.0</v>
      </c>
      <c r="C57" s="48" t="str">
        <f>vlookup(B57,'Crew Data'!C:G,5,0)</f>
        <v>Kanokpan Tongnu</v>
      </c>
      <c r="D57" s="56" t="s">
        <v>94</v>
      </c>
      <c r="E57" s="55">
        <v>2.0</v>
      </c>
      <c r="F57" s="50">
        <f t="shared" si="1"/>
        <v>800</v>
      </c>
      <c r="G57" s="22">
        <f t="shared" si="2"/>
        <v>1</v>
      </c>
      <c r="H57" s="51" t="s">
        <v>20</v>
      </c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ht="24.75" customHeight="1">
      <c r="A58" s="54">
        <v>55.0</v>
      </c>
      <c r="B58" s="55">
        <v>1010893.0</v>
      </c>
      <c r="C58" s="48" t="str">
        <f>vlookup(B58,'Crew Data'!C:G,5,0)</f>
        <v>#N/A</v>
      </c>
      <c r="D58" s="56" t="s">
        <v>96</v>
      </c>
      <c r="E58" s="55">
        <v>2.0</v>
      </c>
      <c r="F58" s="50">
        <f t="shared" si="1"/>
        <v>800</v>
      </c>
      <c r="G58" s="22">
        <f t="shared" si="2"/>
        <v>1</v>
      </c>
      <c r="H58" s="51" t="s">
        <v>20</v>
      </c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ht="24.75" customHeight="1">
      <c r="A59" s="55">
        <v>56.0</v>
      </c>
      <c r="B59" s="55">
        <v>1010890.0</v>
      </c>
      <c r="C59" s="48" t="str">
        <f>vlookup(B59,'Crew Data'!C:G,5,0)</f>
        <v>Keetawan Udomkiattikul</v>
      </c>
      <c r="D59" s="56" t="s">
        <v>98</v>
      </c>
      <c r="E59" s="55">
        <v>2.0</v>
      </c>
      <c r="F59" s="50">
        <f t="shared" si="1"/>
        <v>800</v>
      </c>
      <c r="G59" s="22">
        <f t="shared" si="2"/>
        <v>1</v>
      </c>
      <c r="H59" s="51" t="s">
        <v>20</v>
      </c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ht="24.75" customHeight="1">
      <c r="A60" s="55">
        <v>57.0</v>
      </c>
      <c r="B60" s="55">
        <v>1010700.0</v>
      </c>
      <c r="C60" s="48" t="str">
        <f>vlookup(B60,'Crew Data'!C:G,5,0)</f>
        <v>Buntika Wongkham</v>
      </c>
      <c r="D60" s="56" t="s">
        <v>99</v>
      </c>
      <c r="E60" s="55">
        <v>4.0</v>
      </c>
      <c r="F60" s="50">
        <f t="shared" si="1"/>
        <v>1600</v>
      </c>
      <c r="G60" s="22">
        <f t="shared" si="2"/>
        <v>1</v>
      </c>
      <c r="H60" s="51" t="s">
        <v>20</v>
      </c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ht="24.75" customHeight="1">
      <c r="A61" s="55">
        <v>58.0</v>
      </c>
      <c r="B61" s="55">
        <v>1011319.0</v>
      </c>
      <c r="C61" s="48" t="str">
        <f>vlookup(B61,'Crew Data'!C:G,5,0)</f>
        <v>Sakaow Homtrakul</v>
      </c>
      <c r="D61" s="56" t="s">
        <v>95</v>
      </c>
      <c r="E61" s="55">
        <v>2.0</v>
      </c>
      <c r="F61" s="50">
        <f t="shared" si="1"/>
        <v>800</v>
      </c>
      <c r="G61" s="22">
        <f t="shared" si="2"/>
        <v>1</v>
      </c>
      <c r="H61" s="51" t="s">
        <v>20</v>
      </c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ht="24.75" customHeight="1">
      <c r="A62" s="55">
        <v>59.0</v>
      </c>
      <c r="B62" s="55">
        <v>1016229.0</v>
      </c>
      <c r="C62" s="48" t="str">
        <f>vlookup(B62,'Crew Data'!C:G,5,0)</f>
        <v>Sutharat Chimdid</v>
      </c>
      <c r="D62" s="56" t="s">
        <v>97</v>
      </c>
      <c r="E62" s="55">
        <v>2.0</v>
      </c>
      <c r="F62" s="50">
        <f t="shared" si="1"/>
        <v>800</v>
      </c>
      <c r="G62" s="22">
        <f t="shared" si="2"/>
        <v>1</v>
      </c>
      <c r="H62" s="51" t="s">
        <v>20</v>
      </c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ht="24.75" customHeight="1">
      <c r="A63" s="55">
        <v>60.0</v>
      </c>
      <c r="B63" s="55">
        <v>1016176.0</v>
      </c>
      <c r="C63" s="48" t="str">
        <f>vlookup(B63,'Crew Data'!C:G,5,0)</f>
        <v>Boontarika Charoenpong</v>
      </c>
      <c r="D63" s="56" t="s">
        <v>94</v>
      </c>
      <c r="E63" s="55">
        <v>2.0</v>
      </c>
      <c r="F63" s="50">
        <f t="shared" si="1"/>
        <v>800</v>
      </c>
      <c r="G63" s="22">
        <f t="shared" si="2"/>
        <v>1</v>
      </c>
      <c r="H63" s="51" t="s">
        <v>20</v>
      </c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ht="24.75" customHeight="1">
      <c r="A64" s="55">
        <v>61.0</v>
      </c>
      <c r="B64" s="55">
        <v>1012368.0</v>
      </c>
      <c r="C64" s="48" t="str">
        <f>vlookup(B64,'Crew Data'!C:G,5,0)</f>
        <v>#N/A</v>
      </c>
      <c r="D64" s="56" t="s">
        <v>100</v>
      </c>
      <c r="E64" s="55">
        <v>2.0</v>
      </c>
      <c r="F64" s="50">
        <f t="shared" si="1"/>
        <v>800</v>
      </c>
      <c r="G64" s="22">
        <f t="shared" si="2"/>
        <v>1</v>
      </c>
      <c r="H64" s="51" t="s">
        <v>20</v>
      </c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ht="24.75" customHeight="1">
      <c r="A65" s="55">
        <v>62.0</v>
      </c>
      <c r="B65" s="55">
        <v>1014359.0</v>
      </c>
      <c r="C65" s="48" t="str">
        <f>vlookup(B65,'Crew Data'!C:G,5,0)</f>
        <v>Rattiporn Thongarch</v>
      </c>
      <c r="D65" s="56" t="s">
        <v>101</v>
      </c>
      <c r="E65" s="55">
        <v>4.0</v>
      </c>
      <c r="F65" s="50">
        <f t="shared" si="1"/>
        <v>1600</v>
      </c>
      <c r="G65" s="22">
        <f t="shared" si="2"/>
        <v>1</v>
      </c>
      <c r="H65" s="51" t="s">
        <v>20</v>
      </c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ht="24.75" customHeight="1">
      <c r="A66" s="55">
        <v>63.0</v>
      </c>
      <c r="B66" s="55">
        <v>1013006.0</v>
      </c>
      <c r="C66" s="48" t="str">
        <f>vlookup(B66,'Crew Data'!C:G,5,0)</f>
        <v>#N/A</v>
      </c>
      <c r="D66" s="56" t="s">
        <v>102</v>
      </c>
      <c r="E66" s="55">
        <v>4.0</v>
      </c>
      <c r="F66" s="50">
        <f t="shared" si="1"/>
        <v>1600</v>
      </c>
      <c r="G66" s="22">
        <f t="shared" si="2"/>
        <v>1</v>
      </c>
      <c r="H66" s="51" t="s">
        <v>20</v>
      </c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ht="24.75" customHeight="1">
      <c r="A67" s="54">
        <v>64.0</v>
      </c>
      <c r="B67" s="55">
        <v>1007270.0</v>
      </c>
      <c r="C67" s="48" t="str">
        <f>vlookup(B67,'Crew Data'!C:G,5,0)</f>
        <v>Radarom Sunakorn</v>
      </c>
      <c r="D67" s="56" t="s">
        <v>103</v>
      </c>
      <c r="E67" s="55">
        <v>2.0</v>
      </c>
      <c r="F67" s="50">
        <f t="shared" si="1"/>
        <v>800</v>
      </c>
      <c r="G67" s="22">
        <f t="shared" si="2"/>
        <v>1</v>
      </c>
      <c r="H67" s="51" t="s">
        <v>20</v>
      </c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ht="24.75" customHeight="1">
      <c r="A68" s="55">
        <v>65.0</v>
      </c>
      <c r="B68" s="55">
        <v>1007281.0</v>
      </c>
      <c r="C68" s="48" t="str">
        <f>vlookup(B68,'Crew Data'!C:G,5,0)</f>
        <v>Warodom Wongswasdi</v>
      </c>
      <c r="D68" s="56" t="s">
        <v>103</v>
      </c>
      <c r="E68" s="55">
        <v>2.0</v>
      </c>
      <c r="F68" s="50">
        <f t="shared" si="1"/>
        <v>800</v>
      </c>
      <c r="G68" s="22">
        <f t="shared" si="2"/>
        <v>1</v>
      </c>
      <c r="H68" s="51" t="s">
        <v>20</v>
      </c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ht="24.75" customHeight="1">
      <c r="A69" s="55">
        <v>66.0</v>
      </c>
      <c r="B69" s="55">
        <v>1013187.0</v>
      </c>
      <c r="C69" s="48" t="str">
        <f>vlookup(B69,'Crew Data'!C:G,5,0)</f>
        <v>Sirilak Chaiwisut</v>
      </c>
      <c r="D69" s="56" t="s">
        <v>104</v>
      </c>
      <c r="E69" s="55">
        <v>2.0</v>
      </c>
      <c r="F69" s="50">
        <f t="shared" si="1"/>
        <v>800</v>
      </c>
      <c r="G69" s="22">
        <f t="shared" si="2"/>
        <v>1</v>
      </c>
      <c r="H69" s="51" t="s">
        <v>20</v>
      </c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ht="24.75" customHeight="1">
      <c r="A70" s="55">
        <v>67.0</v>
      </c>
      <c r="B70" s="55">
        <v>1007262.0</v>
      </c>
      <c r="C70" s="48" t="str">
        <f>vlookup(B70,'Crew Data'!C:G,5,0)</f>
        <v> Kaeokumchai</v>
      </c>
      <c r="D70" s="56" t="s">
        <v>103</v>
      </c>
      <c r="E70" s="55">
        <v>2.0</v>
      </c>
      <c r="F70" s="50">
        <f t="shared" si="1"/>
        <v>800</v>
      </c>
      <c r="G70" s="22">
        <f t="shared" si="2"/>
        <v>1</v>
      </c>
      <c r="H70" s="51" t="s">
        <v>20</v>
      </c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ht="24.75" customHeight="1">
      <c r="A71" s="55">
        <v>68.0</v>
      </c>
      <c r="B71" s="55">
        <v>1011820.0</v>
      </c>
      <c r="C71" s="48" t="str">
        <f>vlookup(B71,'Crew Data'!C:G,5,0)</f>
        <v>Nitithorn Chiangpradit</v>
      </c>
      <c r="D71" s="56" t="s">
        <v>105</v>
      </c>
      <c r="E71" s="55">
        <v>4.0</v>
      </c>
      <c r="F71" s="50">
        <f t="shared" si="1"/>
        <v>1600</v>
      </c>
      <c r="G71" s="22">
        <f t="shared" si="2"/>
        <v>1</v>
      </c>
      <c r="H71" s="51" t="s">
        <v>20</v>
      </c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ht="24.75" customHeight="1">
      <c r="A72" s="55">
        <v>69.0</v>
      </c>
      <c r="B72" s="55">
        <v>1011504.0</v>
      </c>
      <c r="C72" s="48" t="str">
        <f>vlookup(B72,'Crew Data'!C:G,5,0)</f>
        <v>Punyanuch Skulnukulkit</v>
      </c>
      <c r="D72" s="56" t="s">
        <v>93</v>
      </c>
      <c r="E72" s="55">
        <v>2.0</v>
      </c>
      <c r="F72" s="50">
        <f t="shared" si="1"/>
        <v>800</v>
      </c>
      <c r="G72" s="22">
        <f t="shared" si="2"/>
        <v>1</v>
      </c>
      <c r="H72" s="51" t="s">
        <v>20</v>
      </c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ht="24.75" customHeight="1">
      <c r="A73" s="55">
        <v>70.0</v>
      </c>
      <c r="B73" s="55">
        <v>1012372.0</v>
      </c>
      <c r="C73" s="48" t="str">
        <f>vlookup(B73,'Crew Data'!C:G,5,0)</f>
        <v>Vinida Ma</v>
      </c>
      <c r="D73" s="56" t="s">
        <v>106</v>
      </c>
      <c r="E73" s="55">
        <v>2.0</v>
      </c>
      <c r="F73" s="50">
        <f t="shared" si="1"/>
        <v>800</v>
      </c>
      <c r="G73" s="22">
        <f t="shared" si="2"/>
        <v>1</v>
      </c>
      <c r="H73" s="51" t="s">
        <v>20</v>
      </c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ht="24.75" customHeight="1">
      <c r="A74" s="55">
        <v>71.0</v>
      </c>
      <c r="B74" s="55">
        <v>1010919.0</v>
      </c>
      <c r="C74" s="48" t="str">
        <f>vlookup(B74,'Crew Data'!C:G,5,0)</f>
        <v>Suntorn Srimasongserm</v>
      </c>
      <c r="D74" s="56" t="s">
        <v>106</v>
      </c>
      <c r="E74" s="55">
        <v>2.0</v>
      </c>
      <c r="F74" s="50">
        <f t="shared" si="1"/>
        <v>800</v>
      </c>
      <c r="G74" s="22">
        <f t="shared" si="2"/>
        <v>1</v>
      </c>
      <c r="H74" s="51" t="s">
        <v>20</v>
      </c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ht="24.75" customHeight="1">
      <c r="A75" s="55">
        <v>72.0</v>
      </c>
      <c r="B75" s="55">
        <v>1012158.0</v>
      </c>
      <c r="C75" s="48" t="str">
        <f>vlookup(B75,'Crew Data'!C:G,5,0)</f>
        <v>Itthipong Khanthonglor</v>
      </c>
      <c r="D75" s="56" t="s">
        <v>106</v>
      </c>
      <c r="E75" s="55">
        <v>2.0</v>
      </c>
      <c r="F75" s="50">
        <f t="shared" si="1"/>
        <v>800</v>
      </c>
      <c r="G75" s="22">
        <f t="shared" si="2"/>
        <v>1</v>
      </c>
      <c r="H75" s="51" t="s">
        <v>20</v>
      </c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ht="24.75" customHeight="1">
      <c r="A76" s="54">
        <v>73.0</v>
      </c>
      <c r="B76" s="55">
        <v>1016214.0</v>
      </c>
      <c r="C76" s="48" t="str">
        <f>vlookup(B76,'Crew Data'!C:G,5,0)</f>
        <v>Passakorn Porncharoon</v>
      </c>
      <c r="D76" s="56" t="s">
        <v>80</v>
      </c>
      <c r="E76" s="55">
        <v>2.0</v>
      </c>
      <c r="F76" s="50">
        <f t="shared" si="1"/>
        <v>800</v>
      </c>
      <c r="G76" s="22">
        <f t="shared" si="2"/>
        <v>1</v>
      </c>
      <c r="H76" s="51" t="s">
        <v>20</v>
      </c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ht="24.75" customHeight="1">
      <c r="A77" s="55">
        <v>74.0</v>
      </c>
      <c r="B77" s="55">
        <v>1019297.0</v>
      </c>
      <c r="C77" s="48" t="str">
        <f>vlookup(B77,'Crew Data'!C:G,5,0)</f>
        <v>Norramon Nakkara</v>
      </c>
      <c r="D77" s="56" t="s">
        <v>107</v>
      </c>
      <c r="E77" s="55">
        <v>2.0</v>
      </c>
      <c r="F77" s="50">
        <f t="shared" si="1"/>
        <v>800</v>
      </c>
      <c r="G77" s="22">
        <f t="shared" si="2"/>
        <v>1</v>
      </c>
      <c r="H77" s="51" t="s">
        <v>20</v>
      </c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ht="24.75" customHeight="1">
      <c r="A78" s="55">
        <v>75.0</v>
      </c>
      <c r="B78" s="55">
        <v>1022846.0</v>
      </c>
      <c r="C78" s="48" t="str">
        <f>vlookup(B78,'Crew Data'!C:G,5,0)</f>
        <v>Tattiya Supannabut</v>
      </c>
      <c r="D78" s="56" t="s">
        <v>106</v>
      </c>
      <c r="E78" s="55">
        <v>2.0</v>
      </c>
      <c r="F78" s="50">
        <f t="shared" si="1"/>
        <v>800</v>
      </c>
      <c r="G78" s="22">
        <f t="shared" si="2"/>
        <v>1</v>
      </c>
      <c r="H78" s="51" t="s">
        <v>20</v>
      </c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ht="24.75" customHeight="1">
      <c r="A79" s="55">
        <v>76.0</v>
      </c>
      <c r="B79" s="55">
        <v>1002984.0</v>
      </c>
      <c r="C79" s="48" t="str">
        <f>vlookup(B79,'Crew Data'!C:G,5,0)</f>
        <v>Praepailin Luckanatin</v>
      </c>
      <c r="D79" s="56" t="s">
        <v>96</v>
      </c>
      <c r="E79" s="55">
        <v>2.0</v>
      </c>
      <c r="F79" s="50">
        <f t="shared" si="1"/>
        <v>800</v>
      </c>
      <c r="G79" s="22">
        <f t="shared" si="2"/>
        <v>1</v>
      </c>
      <c r="H79" s="51" t="s">
        <v>20</v>
      </c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ht="24.75" customHeight="1">
      <c r="A80" s="55">
        <v>77.0</v>
      </c>
      <c r="B80" s="55">
        <v>1002370.0</v>
      </c>
      <c r="C80" s="48" t="str">
        <f>vlookup(B80,'Crew Data'!C:G,5,0)</f>
        <v>Napaphat Yuktanan</v>
      </c>
      <c r="D80" s="56" t="s">
        <v>103</v>
      </c>
      <c r="E80" s="55">
        <v>2.0</v>
      </c>
      <c r="F80" s="50">
        <f t="shared" si="1"/>
        <v>800</v>
      </c>
      <c r="G80" s="22">
        <f t="shared" si="2"/>
        <v>1</v>
      </c>
      <c r="H80" s="51" t="s">
        <v>20</v>
      </c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ht="24.75" customHeight="1">
      <c r="A81" s="55">
        <v>78.0</v>
      </c>
      <c r="B81" s="55">
        <v>1004748.0</v>
      </c>
      <c r="C81" s="48" t="str">
        <f>vlookup(B81,'Crew Data'!C:G,5,0)</f>
        <v>Chirapha Khlaikhlueng</v>
      </c>
      <c r="D81" s="56" t="s">
        <v>107</v>
      </c>
      <c r="E81" s="55">
        <v>2.0</v>
      </c>
      <c r="F81" s="50">
        <f t="shared" si="1"/>
        <v>800</v>
      </c>
      <c r="G81" s="22">
        <f t="shared" si="2"/>
        <v>1</v>
      </c>
      <c r="H81" s="51" t="s">
        <v>20</v>
      </c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ht="24.75" customHeight="1">
      <c r="A82" s="55">
        <v>79.0</v>
      </c>
      <c r="B82" s="55">
        <v>1010939.0</v>
      </c>
      <c r="C82" s="48" t="str">
        <f>vlookup(B82,'Crew Data'!C:G,5,0)</f>
        <v>Yuwarat Meesap</v>
      </c>
      <c r="D82" s="56" t="s">
        <v>108</v>
      </c>
      <c r="E82" s="55">
        <v>2.0</v>
      </c>
      <c r="F82" s="50">
        <f t="shared" si="1"/>
        <v>800</v>
      </c>
      <c r="G82" s="22">
        <f t="shared" si="2"/>
        <v>1</v>
      </c>
      <c r="H82" s="51" t="s">
        <v>20</v>
      </c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ht="24.75" customHeight="1">
      <c r="A83" s="55">
        <v>80.0</v>
      </c>
      <c r="B83" s="55">
        <v>1006743.0</v>
      </c>
      <c r="C83" s="48" t="str">
        <f>vlookup(B83,'Crew Data'!C:G,5,0)</f>
        <v>Methawadee Nuanganant</v>
      </c>
      <c r="D83" s="56" t="s">
        <v>109</v>
      </c>
      <c r="E83" s="55">
        <v>2.0</v>
      </c>
      <c r="F83" s="50">
        <f t="shared" si="1"/>
        <v>800</v>
      </c>
      <c r="G83" s="22">
        <f t="shared" si="2"/>
        <v>1</v>
      </c>
      <c r="H83" s="51" t="s">
        <v>20</v>
      </c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ht="24.75" customHeight="1">
      <c r="A84" s="55">
        <v>81.0</v>
      </c>
      <c r="B84" s="55">
        <v>1022213.0</v>
      </c>
      <c r="C84" s="48" t="str">
        <f>vlookup(B84,'Crew Data'!C:G,5,0)</f>
        <v>Puripak Pensawat</v>
      </c>
      <c r="D84" s="56" t="s">
        <v>88</v>
      </c>
      <c r="E84" s="55">
        <v>2.0</v>
      </c>
      <c r="F84" s="50">
        <f t="shared" si="1"/>
        <v>800</v>
      </c>
      <c r="G84" s="22">
        <f t="shared" si="2"/>
        <v>1</v>
      </c>
      <c r="H84" s="51" t="s">
        <v>20</v>
      </c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ht="24.75" customHeight="1">
      <c r="A85" s="54">
        <v>82.0</v>
      </c>
      <c r="B85" s="55">
        <v>1007003.0</v>
      </c>
      <c r="C85" s="48" t="str">
        <f>vlookup(B85,'Crew Data'!C:G,5,0)</f>
        <v>Ravipa Tumsen</v>
      </c>
      <c r="D85" s="56" t="s">
        <v>85</v>
      </c>
      <c r="E85" s="55">
        <v>2.0</v>
      </c>
      <c r="F85" s="50">
        <f t="shared" si="1"/>
        <v>800</v>
      </c>
      <c r="G85" s="22">
        <f t="shared" si="2"/>
        <v>1</v>
      </c>
      <c r="H85" s="51" t="s">
        <v>20</v>
      </c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ht="24.75" customHeight="1">
      <c r="A86" s="55">
        <v>83.0</v>
      </c>
      <c r="B86" s="55">
        <v>1012183.0</v>
      </c>
      <c r="C86" s="48" t="str">
        <f>vlookup(B86,'Crew Data'!C:G,5,0)</f>
        <v>Tatree Phakaew</v>
      </c>
      <c r="D86" s="56" t="s">
        <v>110</v>
      </c>
      <c r="E86" s="55">
        <v>4.0</v>
      </c>
      <c r="F86" s="50">
        <f t="shared" si="1"/>
        <v>1600</v>
      </c>
      <c r="G86" s="22">
        <f t="shared" si="2"/>
        <v>1</v>
      </c>
      <c r="H86" s="51" t="s">
        <v>20</v>
      </c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ht="24.75" customHeight="1">
      <c r="A87" s="55">
        <v>84.0</v>
      </c>
      <c r="B87" s="55">
        <v>1005280.0</v>
      </c>
      <c r="C87" s="48" t="str">
        <f>vlookup(B87,'Crew Data'!C:G,5,0)</f>
        <v>Napaporn Termthanaporn</v>
      </c>
      <c r="D87" s="56" t="s">
        <v>107</v>
      </c>
      <c r="E87" s="55">
        <v>2.0</v>
      </c>
      <c r="F87" s="50">
        <f t="shared" si="1"/>
        <v>800</v>
      </c>
      <c r="G87" s="22">
        <f t="shared" si="2"/>
        <v>1</v>
      </c>
      <c r="H87" s="51" t="s">
        <v>20</v>
      </c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ht="24.75" customHeight="1">
      <c r="A88" s="55">
        <v>85.0</v>
      </c>
      <c r="B88" s="55">
        <v>1011716.0</v>
      </c>
      <c r="C88" s="48" t="str">
        <f>vlookup(B88,'Crew Data'!C:G,5,0)</f>
        <v>Arjarree Intharapaijit</v>
      </c>
      <c r="D88" s="56" t="s">
        <v>107</v>
      </c>
      <c r="E88" s="55">
        <v>2.0</v>
      </c>
      <c r="F88" s="50">
        <f t="shared" si="1"/>
        <v>800</v>
      </c>
      <c r="G88" s="22">
        <f t="shared" si="2"/>
        <v>1</v>
      </c>
      <c r="H88" s="51" t="s">
        <v>20</v>
      </c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ht="24.75" customHeight="1">
      <c r="A89" s="55">
        <v>86.0</v>
      </c>
      <c r="B89" s="55">
        <v>1007525.0</v>
      </c>
      <c r="C89" s="48" t="str">
        <f>vlookup(B89,'Crew Data'!C:G,5,0)</f>
        <v>Matharapoj Daungkull</v>
      </c>
      <c r="D89" s="56" t="s">
        <v>111</v>
      </c>
      <c r="E89" s="55">
        <v>2.0</v>
      </c>
      <c r="F89" s="50">
        <f t="shared" si="1"/>
        <v>800</v>
      </c>
      <c r="G89" s="22">
        <f t="shared" si="2"/>
        <v>1</v>
      </c>
      <c r="H89" s="51" t="s">
        <v>20</v>
      </c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ht="24.75" customHeight="1">
      <c r="A90" s="55">
        <v>87.0</v>
      </c>
      <c r="B90" s="55">
        <v>1008689.0</v>
      </c>
      <c r="C90" s="48" t="str">
        <f>vlookup(B90,'Crew Data'!C:G,5,0)</f>
        <v>Patcharee Sornnuan</v>
      </c>
      <c r="D90" s="56" t="s">
        <v>111</v>
      </c>
      <c r="E90" s="55">
        <v>2.0</v>
      </c>
      <c r="F90" s="50">
        <f t="shared" si="1"/>
        <v>800</v>
      </c>
      <c r="G90" s="22">
        <f t="shared" si="2"/>
        <v>1</v>
      </c>
      <c r="H90" s="51" t="s">
        <v>20</v>
      </c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ht="24.75" customHeight="1">
      <c r="A91" s="55">
        <v>88.0</v>
      </c>
      <c r="B91" s="55">
        <v>1012187.0</v>
      </c>
      <c r="C91" s="48" t="str">
        <f>vlookup(B91,'Crew Data'!C:G,5,0)</f>
        <v>Warangkana Mattaweewong</v>
      </c>
      <c r="D91" s="56" t="s">
        <v>111</v>
      </c>
      <c r="E91" s="55">
        <v>2.0</v>
      </c>
      <c r="F91" s="50">
        <f t="shared" si="1"/>
        <v>800</v>
      </c>
      <c r="G91" s="22">
        <f t="shared" si="2"/>
        <v>1</v>
      </c>
      <c r="H91" s="51" t="s">
        <v>20</v>
      </c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ht="24.75" customHeight="1">
      <c r="A92" s="55">
        <v>89.0</v>
      </c>
      <c r="B92" s="55">
        <v>1003385.0</v>
      </c>
      <c r="C92" s="48" t="str">
        <f>vlookup(B92,'Crew Data'!C:G,5,0)</f>
        <v>Jaruma Jantarapap</v>
      </c>
      <c r="D92" s="56" t="s">
        <v>112</v>
      </c>
      <c r="E92" s="55">
        <v>4.0</v>
      </c>
      <c r="F92" s="50">
        <f t="shared" si="1"/>
        <v>1600</v>
      </c>
      <c r="G92" s="22">
        <f t="shared" si="2"/>
        <v>1</v>
      </c>
      <c r="H92" s="51" t="s">
        <v>20</v>
      </c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ht="24.75" customHeight="1">
      <c r="A93" s="55">
        <v>90.0</v>
      </c>
      <c r="B93" s="55">
        <v>1006313.0</v>
      </c>
      <c r="C93" s="48" t="str">
        <f>vlookup(B93,'Crew Data'!C:G,5,0)</f>
        <v>Kanyarat Palasak</v>
      </c>
      <c r="D93" s="56" t="s">
        <v>80</v>
      </c>
      <c r="E93" s="55">
        <v>2.0</v>
      </c>
      <c r="F93" s="50">
        <f t="shared" si="1"/>
        <v>800</v>
      </c>
      <c r="G93" s="22">
        <f t="shared" si="2"/>
        <v>1</v>
      </c>
      <c r="H93" s="51" t="s">
        <v>20</v>
      </c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ht="24.75" customHeight="1">
      <c r="A94" s="54">
        <v>91.0</v>
      </c>
      <c r="B94" s="55">
        <v>1003055.0</v>
      </c>
      <c r="C94" s="48" t="str">
        <f>vlookup(B94,'Crew Data'!C:G,5,0)</f>
        <v>Pachara Nonthapak</v>
      </c>
      <c r="D94" s="56" t="s">
        <v>80</v>
      </c>
      <c r="E94" s="55">
        <v>2.0</v>
      </c>
      <c r="F94" s="50">
        <f t="shared" si="1"/>
        <v>800</v>
      </c>
      <c r="G94" s="22">
        <f t="shared" si="2"/>
        <v>1</v>
      </c>
      <c r="H94" s="51" t="s">
        <v>20</v>
      </c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ht="24.75" customHeight="1">
      <c r="A95" s="55">
        <v>92.0</v>
      </c>
      <c r="B95" s="55">
        <v>1001822.0</v>
      </c>
      <c r="C95" s="48" t="str">
        <f>vlookup(B95,'Crew Data'!C:G,5,0)</f>
        <v>Wilasinee Natenopparat</v>
      </c>
      <c r="D95" s="56" t="s">
        <v>95</v>
      </c>
      <c r="E95" s="55">
        <v>2.0</v>
      </c>
      <c r="F95" s="50">
        <f t="shared" si="1"/>
        <v>800</v>
      </c>
      <c r="G95" s="22">
        <f t="shared" si="2"/>
        <v>1</v>
      </c>
      <c r="H95" s="51" t="s">
        <v>20</v>
      </c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ht="24.75" customHeight="1">
      <c r="A96" s="55">
        <v>93.0</v>
      </c>
      <c r="B96" s="55">
        <v>1007424.0</v>
      </c>
      <c r="C96" s="48" t="str">
        <f>vlookup(B96,'Crew Data'!C:G,5,0)</f>
        <v>#N/A</v>
      </c>
      <c r="D96" s="56" t="s">
        <v>98</v>
      </c>
      <c r="E96" s="55">
        <v>2.0</v>
      </c>
      <c r="F96" s="50">
        <f t="shared" si="1"/>
        <v>800</v>
      </c>
      <c r="G96" s="22">
        <f t="shared" si="2"/>
        <v>1</v>
      </c>
      <c r="H96" s="51" t="s">
        <v>20</v>
      </c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ht="24.75" customHeight="1">
      <c r="A97" s="55">
        <v>94.0</v>
      </c>
      <c r="B97" s="55">
        <v>1007258.0</v>
      </c>
      <c r="C97" s="48" t="str">
        <f>vlookup(B97,'Crew Data'!C:G,5,0)</f>
        <v>#N/A</v>
      </c>
      <c r="D97" s="56" t="s">
        <v>87</v>
      </c>
      <c r="E97" s="55">
        <v>2.0</v>
      </c>
      <c r="F97" s="50">
        <f t="shared" si="1"/>
        <v>800</v>
      </c>
      <c r="G97" s="22">
        <f t="shared" si="2"/>
        <v>1</v>
      </c>
      <c r="H97" s="51" t="s">
        <v>20</v>
      </c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ht="24.75" customHeight="1">
      <c r="A98" s="55">
        <v>95.0</v>
      </c>
      <c r="B98" s="55">
        <v>1017646.0</v>
      </c>
      <c r="C98" s="48" t="str">
        <f>vlookup(B98,'Crew Data'!C:G,5,0)</f>
        <v>Panisara Pratoomchat</v>
      </c>
      <c r="D98" s="56" t="s">
        <v>104</v>
      </c>
      <c r="E98" s="55">
        <v>2.0</v>
      </c>
      <c r="F98" s="50">
        <f t="shared" si="1"/>
        <v>800</v>
      </c>
      <c r="G98" s="22">
        <f t="shared" si="2"/>
        <v>1</v>
      </c>
      <c r="H98" s="51" t="s">
        <v>20</v>
      </c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ht="24.75" customHeight="1">
      <c r="A99" s="55">
        <v>96.0</v>
      </c>
      <c r="B99" s="55">
        <v>1002273.0</v>
      </c>
      <c r="C99" s="48" t="str">
        <f>vlookup(B99,'Crew Data'!C:G,5,0)</f>
        <v>Sirion Kwanchai</v>
      </c>
      <c r="D99" s="56" t="s">
        <v>113</v>
      </c>
      <c r="E99" s="55">
        <v>2.0</v>
      </c>
      <c r="F99" s="50">
        <f t="shared" si="1"/>
        <v>800</v>
      </c>
      <c r="G99" s="22">
        <f t="shared" si="2"/>
        <v>1</v>
      </c>
      <c r="H99" s="51" t="s">
        <v>20</v>
      </c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ht="24.75" customHeight="1">
      <c r="A100" s="55">
        <v>97.0</v>
      </c>
      <c r="B100" s="55">
        <v>1017657.0</v>
      </c>
      <c r="C100" s="48" t="str">
        <f>vlookup(B100,'Crew Data'!C:G,5,0)</f>
        <v>Yanakorn Charnfun</v>
      </c>
      <c r="D100" s="56" t="s">
        <v>77</v>
      </c>
      <c r="E100" s="55">
        <v>2.0</v>
      </c>
      <c r="F100" s="50">
        <f t="shared" si="1"/>
        <v>800</v>
      </c>
      <c r="G100" s="22">
        <f t="shared" si="2"/>
        <v>1</v>
      </c>
      <c r="H100" s="51" t="s">
        <v>20</v>
      </c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>
      <c r="D101" s="52"/>
    </row>
    <row r="102">
      <c r="D102" s="52"/>
    </row>
    <row r="103">
      <c r="D103" s="52"/>
    </row>
    <row r="104">
      <c r="D104" s="52"/>
    </row>
    <row r="105">
      <c r="D105" s="52"/>
    </row>
    <row r="106">
      <c r="D106" s="52"/>
    </row>
  </sheetData>
  <autoFilter ref="$A$3:$G$100"/>
  <mergeCells count="2">
    <mergeCell ref="A1:F1"/>
    <mergeCell ref="E2:F2"/>
  </mergeCells>
  <dataValidations>
    <dataValidation type="list" allowBlank="1" sqref="H4:H100">
      <formula1>"CHECKED (OK),CHECKED  (NOT OK)"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.63"/>
    <col customWidth="1" min="2" max="2" width="11.25"/>
    <col customWidth="1" min="3" max="3" width="35.25"/>
    <col customWidth="1" min="4" max="4" width="33.25"/>
    <col customWidth="1" min="7" max="7" width="4.88"/>
    <col customWidth="1" min="8" max="8" width="23.5"/>
    <col customWidth="1" min="9" max="9" width="21.63"/>
  </cols>
  <sheetData>
    <row r="1">
      <c r="A1" s="30" t="s">
        <v>114</v>
      </c>
      <c r="G1" s="31"/>
      <c r="H1" s="32" t="s">
        <v>115</v>
      </c>
      <c r="I1" s="33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4" t="s">
        <v>1</v>
      </c>
      <c r="B2" s="35" t="s">
        <v>11</v>
      </c>
      <c r="C2" s="35" t="s">
        <v>12</v>
      </c>
      <c r="D2" s="36" t="s">
        <v>13</v>
      </c>
      <c r="E2" s="37" t="s">
        <v>14</v>
      </c>
      <c r="F2" s="38"/>
      <c r="G2" s="39"/>
      <c r="H2" s="40"/>
      <c r="I2" s="40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58"/>
      <c r="B3" s="59"/>
      <c r="C3" s="59"/>
      <c r="D3" s="60"/>
      <c r="E3" s="42" t="s">
        <v>15</v>
      </c>
      <c r="F3" s="43" t="s">
        <v>5</v>
      </c>
      <c r="G3" s="39"/>
      <c r="H3" s="44" t="s">
        <v>6</v>
      </c>
      <c r="I3" s="45" t="s">
        <v>7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24.75" customHeight="1">
      <c r="A4" s="54">
        <v>1.0</v>
      </c>
      <c r="B4" s="47">
        <v>1010731.0</v>
      </c>
      <c r="C4" s="48" t="str">
        <f>vlookup(B4,'Crew Data'!C:G,5,0)</f>
        <v>Samatikan Boonket</v>
      </c>
      <c r="D4" s="49" t="s">
        <v>116</v>
      </c>
      <c r="E4" s="47">
        <v>2.0</v>
      </c>
      <c r="F4" s="50">
        <f t="shared" ref="F4:F91" si="1">E4*400</f>
        <v>800</v>
      </c>
      <c r="G4" s="22">
        <f t="shared" ref="G4:G91" si="2">COUNTIF(B:B,B4)</f>
        <v>1</v>
      </c>
      <c r="H4" s="51" t="s">
        <v>20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ht="24.75" customHeight="1">
      <c r="A5" s="55">
        <v>2.0</v>
      </c>
      <c r="B5" s="55">
        <v>1012372.0</v>
      </c>
      <c r="C5" s="48" t="str">
        <f>vlookup(B5,'Crew Data'!C:G,5,0)</f>
        <v>Vinida Ma</v>
      </c>
      <c r="D5" s="49" t="s">
        <v>117</v>
      </c>
      <c r="E5" s="55">
        <v>2.0</v>
      </c>
      <c r="F5" s="50">
        <f t="shared" si="1"/>
        <v>800</v>
      </c>
      <c r="G5" s="22">
        <f t="shared" si="2"/>
        <v>1</v>
      </c>
      <c r="H5" s="51" t="s">
        <v>20</v>
      </c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ht="24.75" customHeight="1">
      <c r="A6" s="55">
        <v>3.0</v>
      </c>
      <c r="B6" s="55">
        <v>1000736.0</v>
      </c>
      <c r="C6" s="48" t="str">
        <f>vlookup(B6,'Crew Data'!C:G,5,0)</f>
        <v>Ekkachai Moolla</v>
      </c>
      <c r="D6" s="56" t="s">
        <v>117</v>
      </c>
      <c r="E6" s="55">
        <v>2.0</v>
      </c>
      <c r="F6" s="50">
        <f t="shared" si="1"/>
        <v>800</v>
      </c>
      <c r="G6" s="22">
        <f t="shared" si="2"/>
        <v>1</v>
      </c>
      <c r="H6" s="51" t="s">
        <v>20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ht="24.75" customHeight="1">
      <c r="A7" s="55">
        <v>4.0</v>
      </c>
      <c r="B7" s="55">
        <v>1004583.0</v>
      </c>
      <c r="C7" s="48" t="str">
        <f>vlookup(B7,'Crew Data'!C:G,5,0)</f>
        <v>Suphanun Yotpunya</v>
      </c>
      <c r="D7" s="56" t="s">
        <v>78</v>
      </c>
      <c r="E7" s="55">
        <v>2.0</v>
      </c>
      <c r="F7" s="50">
        <f t="shared" si="1"/>
        <v>800</v>
      </c>
      <c r="G7" s="22">
        <f t="shared" si="2"/>
        <v>1</v>
      </c>
      <c r="H7" s="51" t="s">
        <v>20</v>
      </c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ht="24.75" customHeight="1">
      <c r="A8" s="55">
        <v>5.0</v>
      </c>
      <c r="B8" s="55">
        <v>1005287.0</v>
      </c>
      <c r="C8" s="48" t="str">
        <f>vlookup(B8,'Crew Data'!C:G,5,0)</f>
        <v>Thanawan Seemakul</v>
      </c>
      <c r="D8" s="56" t="s">
        <v>118</v>
      </c>
      <c r="E8" s="55">
        <v>2.0</v>
      </c>
      <c r="F8" s="50">
        <f t="shared" si="1"/>
        <v>800</v>
      </c>
      <c r="G8" s="22">
        <f t="shared" si="2"/>
        <v>1</v>
      </c>
      <c r="H8" s="51" t="s">
        <v>20</v>
      </c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ht="24.75" customHeight="1">
      <c r="A9" s="54">
        <v>6.0</v>
      </c>
      <c r="B9" s="55">
        <v>1002202.0</v>
      </c>
      <c r="C9" s="48" t="str">
        <f>vlookup(B9,'Crew Data'!C:G,5,0)</f>
        <v>Nithipkan Damrongpongkhajorn</v>
      </c>
      <c r="D9" s="56" t="s">
        <v>119</v>
      </c>
      <c r="E9" s="55">
        <v>2.0</v>
      </c>
      <c r="F9" s="50">
        <f t="shared" si="1"/>
        <v>800</v>
      </c>
      <c r="G9" s="22">
        <f t="shared" si="2"/>
        <v>1</v>
      </c>
      <c r="H9" s="51" t="s">
        <v>20</v>
      </c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ht="24.75" customHeight="1">
      <c r="A10" s="55">
        <v>7.0</v>
      </c>
      <c r="B10" s="55">
        <v>1012984.0</v>
      </c>
      <c r="C10" s="48" t="str">
        <f>vlookup(B10,'Crew Data'!C:G,5,0)</f>
        <v>Issaree Opasvimud</v>
      </c>
      <c r="D10" s="56" t="s">
        <v>120</v>
      </c>
      <c r="E10" s="55">
        <v>2.0</v>
      </c>
      <c r="F10" s="50">
        <f t="shared" si="1"/>
        <v>800</v>
      </c>
      <c r="G10" s="22">
        <f t="shared" si="2"/>
        <v>1</v>
      </c>
      <c r="H10" s="51" t="s">
        <v>20</v>
      </c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ht="24.75" customHeight="1">
      <c r="A11" s="55">
        <v>8.0</v>
      </c>
      <c r="B11" s="55">
        <v>1023582.0</v>
      </c>
      <c r="C11" s="48" t="str">
        <f>vlookup(B11,'Crew Data'!C:G,5,0)</f>
        <v>Rawiwan Chailerst</v>
      </c>
      <c r="D11" s="56" t="s">
        <v>120</v>
      </c>
      <c r="E11" s="55">
        <v>2.0</v>
      </c>
      <c r="F11" s="50">
        <f t="shared" si="1"/>
        <v>800</v>
      </c>
      <c r="G11" s="22">
        <f t="shared" si="2"/>
        <v>1</v>
      </c>
      <c r="H11" s="51" t="s">
        <v>20</v>
      </c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ht="24.75" customHeight="1">
      <c r="A12" s="55">
        <v>9.0</v>
      </c>
      <c r="B12" s="55">
        <v>1007003.0</v>
      </c>
      <c r="C12" s="48" t="str">
        <f>vlookup(B12,'Crew Data'!C:G,5,0)</f>
        <v>Ravipa Tumsen</v>
      </c>
      <c r="D12" s="56" t="s">
        <v>121</v>
      </c>
      <c r="E12" s="55">
        <v>2.0</v>
      </c>
      <c r="F12" s="50">
        <f t="shared" si="1"/>
        <v>800</v>
      </c>
      <c r="G12" s="22">
        <f t="shared" si="2"/>
        <v>1</v>
      </c>
      <c r="H12" s="51" t="s">
        <v>20</v>
      </c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ht="24.75" customHeight="1">
      <c r="A13" s="55">
        <v>10.0</v>
      </c>
      <c r="B13" s="55">
        <v>1006989.0</v>
      </c>
      <c r="C13" s="48" t="str">
        <f>vlookup(B13,'Crew Data'!C:G,5,0)</f>
        <v>Pimlawee Unn-A-Nant</v>
      </c>
      <c r="D13" s="56" t="s">
        <v>121</v>
      </c>
      <c r="E13" s="55">
        <v>2.0</v>
      </c>
      <c r="F13" s="50">
        <f t="shared" si="1"/>
        <v>800</v>
      </c>
      <c r="G13" s="22">
        <f t="shared" si="2"/>
        <v>1</v>
      </c>
      <c r="H13" s="51" t="s">
        <v>20</v>
      </c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ht="24.75" customHeight="1">
      <c r="A14" s="54">
        <v>11.0</v>
      </c>
      <c r="B14" s="55">
        <v>1009011.0</v>
      </c>
      <c r="C14" s="48" t="str">
        <f>vlookup(B14,'Crew Data'!C:G,5,0)</f>
        <v>Weerayos Rungudomsinsakul</v>
      </c>
      <c r="D14" s="56" t="s">
        <v>121</v>
      </c>
      <c r="E14" s="55">
        <v>2.0</v>
      </c>
      <c r="F14" s="50">
        <f t="shared" si="1"/>
        <v>800</v>
      </c>
      <c r="G14" s="22">
        <f t="shared" si="2"/>
        <v>1</v>
      </c>
      <c r="H14" s="51" t="s">
        <v>20</v>
      </c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ht="24.75" customHeight="1">
      <c r="A15" s="55">
        <v>12.0</v>
      </c>
      <c r="B15" s="55">
        <v>1019518.0</v>
      </c>
      <c r="C15" s="48" t="str">
        <f>vlookup(B15,'Crew Data'!C:G,5,0)</f>
        <v>Naratip Dumrongthai</v>
      </c>
      <c r="D15" s="56" t="s">
        <v>122</v>
      </c>
      <c r="E15" s="55">
        <v>2.0</v>
      </c>
      <c r="F15" s="50">
        <f t="shared" si="1"/>
        <v>800</v>
      </c>
      <c r="G15" s="22">
        <f t="shared" si="2"/>
        <v>1</v>
      </c>
      <c r="H15" s="51" t="s">
        <v>20</v>
      </c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t="24.75" customHeight="1">
      <c r="A16" s="55">
        <v>13.0</v>
      </c>
      <c r="B16" s="55">
        <v>1003223.0</v>
      </c>
      <c r="C16" s="48" t="str">
        <f>vlookup(B16,'Crew Data'!C:G,5,0)</f>
        <v>#N/A</v>
      </c>
      <c r="D16" s="56" t="s">
        <v>120</v>
      </c>
      <c r="E16" s="55">
        <v>2.0</v>
      </c>
      <c r="F16" s="50">
        <f t="shared" si="1"/>
        <v>800</v>
      </c>
      <c r="G16" s="22">
        <f t="shared" si="2"/>
        <v>1</v>
      </c>
      <c r="H16" s="51" t="s">
        <v>20</v>
      </c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t="24.75" customHeight="1">
      <c r="A17" s="55">
        <v>14.0</v>
      </c>
      <c r="B17" s="55">
        <v>1003302.0</v>
      </c>
      <c r="C17" s="48" t="str">
        <f>vlookup(B17,'Crew Data'!C:G,5,0)</f>
        <v>Panwad Thongkham</v>
      </c>
      <c r="D17" s="56" t="s">
        <v>123</v>
      </c>
      <c r="E17" s="55">
        <v>4.0</v>
      </c>
      <c r="F17" s="50">
        <f t="shared" si="1"/>
        <v>1600</v>
      </c>
      <c r="G17" s="22">
        <f t="shared" si="2"/>
        <v>1</v>
      </c>
      <c r="H17" s="51" t="s">
        <v>20</v>
      </c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24.75" customHeight="1">
      <c r="A18" s="55">
        <v>15.0</v>
      </c>
      <c r="B18" s="55">
        <v>1015091.0</v>
      </c>
      <c r="C18" s="48" t="str">
        <f>vlookup(B18,'Crew Data'!C:G,5,0)</f>
        <v>Nutpattra Kokanutaporn </v>
      </c>
      <c r="D18" s="56" t="s">
        <v>124</v>
      </c>
      <c r="E18" s="55">
        <v>2.0</v>
      </c>
      <c r="F18" s="50">
        <f t="shared" si="1"/>
        <v>800</v>
      </c>
      <c r="G18" s="22">
        <f t="shared" si="2"/>
        <v>1</v>
      </c>
      <c r="H18" s="51" t="s">
        <v>20</v>
      </c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t="24.75" customHeight="1">
      <c r="A19" s="54">
        <v>16.0</v>
      </c>
      <c r="B19" s="55">
        <v>1011515.0</v>
      </c>
      <c r="C19" s="48" t="str">
        <f>vlookup(B19,'Crew Data'!C:G,5,0)</f>
        <v>Sopark Phosiri</v>
      </c>
      <c r="D19" s="56" t="s">
        <v>125</v>
      </c>
      <c r="E19" s="55">
        <v>2.0</v>
      </c>
      <c r="F19" s="50">
        <f t="shared" si="1"/>
        <v>800</v>
      </c>
      <c r="G19" s="22">
        <f t="shared" si="2"/>
        <v>1</v>
      </c>
      <c r="H19" s="51" t="s">
        <v>20</v>
      </c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ht="24.75" customHeight="1">
      <c r="A20" s="55">
        <v>17.0</v>
      </c>
      <c r="B20" s="55">
        <v>1007034.0</v>
      </c>
      <c r="C20" s="48" t="str">
        <f>vlookup(B20,'Crew Data'!C:G,5,0)</f>
        <v>Raveekankate Sukasemthongdi</v>
      </c>
      <c r="D20" s="56" t="s">
        <v>117</v>
      </c>
      <c r="E20" s="55">
        <v>2.0</v>
      </c>
      <c r="F20" s="50">
        <f t="shared" si="1"/>
        <v>800</v>
      </c>
      <c r="G20" s="22">
        <f t="shared" si="2"/>
        <v>1</v>
      </c>
      <c r="H20" s="51" t="s">
        <v>20</v>
      </c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24.75" customHeight="1">
      <c r="A21" s="55">
        <v>18.0</v>
      </c>
      <c r="B21" s="55">
        <v>1005818.0</v>
      </c>
      <c r="C21" s="48" t="str">
        <f>vlookup(B21,'Crew Data'!C:G,5,0)</f>
        <v>Nattaporn Phatteeratip</v>
      </c>
      <c r="D21" s="56" t="s">
        <v>126</v>
      </c>
      <c r="E21" s="55">
        <v>2.0</v>
      </c>
      <c r="F21" s="50">
        <f t="shared" si="1"/>
        <v>800</v>
      </c>
      <c r="G21" s="22">
        <f t="shared" si="2"/>
        <v>1</v>
      </c>
      <c r="H21" s="51" t="s">
        <v>20</v>
      </c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24.75" customHeight="1">
      <c r="A22" s="55">
        <v>19.0</v>
      </c>
      <c r="B22" s="55">
        <v>1004317.0</v>
      </c>
      <c r="C22" s="48" t="str">
        <f>vlookup(B22,'Crew Data'!C:G,5,0)</f>
        <v>Narit Aimwat</v>
      </c>
      <c r="D22" s="56" t="s">
        <v>127</v>
      </c>
      <c r="E22" s="55">
        <v>2.0</v>
      </c>
      <c r="F22" s="50">
        <f t="shared" si="1"/>
        <v>800</v>
      </c>
      <c r="G22" s="22">
        <f t="shared" si="2"/>
        <v>1</v>
      </c>
      <c r="H22" s="51" t="s">
        <v>20</v>
      </c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24.75" customHeight="1">
      <c r="A23" s="55">
        <v>20.0</v>
      </c>
      <c r="B23" s="55">
        <v>1001286.0</v>
      </c>
      <c r="C23" s="48" t="str">
        <f>vlookup(B23,'Crew Data'!C:G,5,0)</f>
        <v>Sirinart Auypornbusyakom</v>
      </c>
      <c r="D23" s="56" t="s">
        <v>128</v>
      </c>
      <c r="E23" s="55">
        <v>4.0</v>
      </c>
      <c r="F23" s="50">
        <f t="shared" si="1"/>
        <v>1600</v>
      </c>
      <c r="G23" s="22">
        <f t="shared" si="2"/>
        <v>1</v>
      </c>
      <c r="H23" s="51" t="s">
        <v>20</v>
      </c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24.75" customHeight="1">
      <c r="A24" s="54">
        <v>21.0</v>
      </c>
      <c r="B24" s="55">
        <v>1018817.0</v>
      </c>
      <c r="C24" s="48" t="str">
        <f>vlookup(B24,'Crew Data'!C:G,5,0)</f>
        <v>Witittorn Onkhaw</v>
      </c>
      <c r="D24" s="56" t="s">
        <v>129</v>
      </c>
      <c r="E24" s="55">
        <v>2.0</v>
      </c>
      <c r="F24" s="50">
        <f t="shared" si="1"/>
        <v>800</v>
      </c>
      <c r="G24" s="22">
        <f t="shared" si="2"/>
        <v>1</v>
      </c>
      <c r="H24" s="51" t="s">
        <v>20</v>
      </c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24.75" customHeight="1">
      <c r="A25" s="55">
        <v>22.0</v>
      </c>
      <c r="B25" s="55">
        <v>1015081.0</v>
      </c>
      <c r="C25" s="48" t="str">
        <f>vlookup(B25,'Crew Data'!C:G,5,0)</f>
        <v>#N/A</v>
      </c>
      <c r="D25" s="56" t="s">
        <v>130</v>
      </c>
      <c r="E25" s="55">
        <v>2.0</v>
      </c>
      <c r="F25" s="50">
        <f t="shared" si="1"/>
        <v>800</v>
      </c>
      <c r="G25" s="22">
        <f t="shared" si="2"/>
        <v>1</v>
      </c>
      <c r="H25" s="51" t="s">
        <v>20</v>
      </c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24.75" customHeight="1">
      <c r="A26" s="55">
        <v>23.0</v>
      </c>
      <c r="B26" s="55">
        <v>1007146.0</v>
      </c>
      <c r="C26" s="48" t="str">
        <f>vlookup(B26,'Crew Data'!C:G,5,0)</f>
        <v>Nolnapat Nitmanee</v>
      </c>
      <c r="D26" s="56" t="s">
        <v>125</v>
      </c>
      <c r="E26" s="55">
        <v>2.0</v>
      </c>
      <c r="F26" s="50">
        <f t="shared" si="1"/>
        <v>800</v>
      </c>
      <c r="G26" s="22">
        <f t="shared" si="2"/>
        <v>1</v>
      </c>
      <c r="H26" s="51" t="s">
        <v>20</v>
      </c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24.75" customHeight="1">
      <c r="A27" s="55">
        <v>24.0</v>
      </c>
      <c r="B27" s="55">
        <v>1004204.0</v>
      </c>
      <c r="C27" s="48" t="str">
        <f>vlookup(B27,'Crew Data'!C:G,5,0)</f>
        <v>Phasita Khomdech</v>
      </c>
      <c r="D27" s="56" t="s">
        <v>131</v>
      </c>
      <c r="E27" s="55">
        <v>2.0</v>
      </c>
      <c r="F27" s="50">
        <f t="shared" si="1"/>
        <v>800</v>
      </c>
      <c r="G27" s="22">
        <f t="shared" si="2"/>
        <v>1</v>
      </c>
      <c r="H27" s="51" t="s">
        <v>20</v>
      </c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24.75" customHeight="1">
      <c r="A28" s="55">
        <v>25.0</v>
      </c>
      <c r="B28" s="55">
        <v>1001582.0</v>
      </c>
      <c r="C28" s="48" t="str">
        <f>vlookup(B28,'Crew Data'!C:G,5,0)</f>
        <v>Waleerat khumsap</v>
      </c>
      <c r="D28" s="56" t="s">
        <v>132</v>
      </c>
      <c r="E28" s="55">
        <v>2.0</v>
      </c>
      <c r="F28" s="50">
        <f t="shared" si="1"/>
        <v>800</v>
      </c>
      <c r="G28" s="22">
        <f t="shared" si="2"/>
        <v>1</v>
      </c>
      <c r="H28" s="51" t="s">
        <v>20</v>
      </c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24.75" customHeight="1">
      <c r="A29" s="54">
        <v>26.0</v>
      </c>
      <c r="B29" s="55">
        <v>1012158.0</v>
      </c>
      <c r="C29" s="48" t="str">
        <f>vlookup(B29,'Crew Data'!C:G,5,0)</f>
        <v>Itthipong Khanthonglor</v>
      </c>
      <c r="D29" s="56" t="s">
        <v>126</v>
      </c>
      <c r="E29" s="55">
        <v>2.0</v>
      </c>
      <c r="F29" s="50">
        <f t="shared" si="1"/>
        <v>800</v>
      </c>
      <c r="G29" s="22">
        <f t="shared" si="2"/>
        <v>1</v>
      </c>
      <c r="H29" s="51" t="s">
        <v>20</v>
      </c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24.75" customHeight="1">
      <c r="A30" s="55">
        <v>27.0</v>
      </c>
      <c r="B30" s="55">
        <v>1016195.0</v>
      </c>
      <c r="C30" s="48" t="str">
        <f>vlookup(B30,'Crew Data'!C:G,5,0)</f>
        <v>Keerati Sooksai</v>
      </c>
      <c r="D30" s="56" t="s">
        <v>127</v>
      </c>
      <c r="E30" s="55">
        <v>2.0</v>
      </c>
      <c r="F30" s="50">
        <f t="shared" si="1"/>
        <v>800</v>
      </c>
      <c r="G30" s="22">
        <f t="shared" si="2"/>
        <v>1</v>
      </c>
      <c r="H30" s="51" t="s">
        <v>20</v>
      </c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24.75" customHeight="1">
      <c r="A31" s="55">
        <v>28.0</v>
      </c>
      <c r="B31" s="55">
        <v>1022699.0</v>
      </c>
      <c r="C31" s="48" t="str">
        <f>vlookup(B31,'Crew Data'!C:G,5,0)</f>
        <v>Pawin Tiajae</v>
      </c>
      <c r="D31" s="56" t="s">
        <v>133</v>
      </c>
      <c r="E31" s="55">
        <v>2.0</v>
      </c>
      <c r="F31" s="50">
        <f t="shared" si="1"/>
        <v>800</v>
      </c>
      <c r="G31" s="22">
        <f t="shared" si="2"/>
        <v>1</v>
      </c>
      <c r="H31" s="51" t="s">
        <v>20</v>
      </c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24.75" customHeight="1">
      <c r="A32" s="55">
        <v>29.0</v>
      </c>
      <c r="B32" s="55">
        <v>1015394.0</v>
      </c>
      <c r="C32" s="48" t="str">
        <f>vlookup(B32,'Crew Data'!C:G,5,0)</f>
        <v>Kawin Panpipat</v>
      </c>
      <c r="D32" s="56" t="s">
        <v>133</v>
      </c>
      <c r="E32" s="55">
        <v>2.0</v>
      </c>
      <c r="F32" s="50">
        <f t="shared" si="1"/>
        <v>800</v>
      </c>
      <c r="G32" s="22">
        <f t="shared" si="2"/>
        <v>1</v>
      </c>
      <c r="H32" s="51" t="s">
        <v>20</v>
      </c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t="24.75" customHeight="1">
      <c r="A33" s="55">
        <v>30.0</v>
      </c>
      <c r="B33" s="55">
        <v>1025326.0</v>
      </c>
      <c r="C33" s="48" t="str">
        <f>vlookup(B33,'Crew Data'!C:G,5,0)</f>
        <v>#N/A</v>
      </c>
      <c r="D33" s="56" t="s">
        <v>134</v>
      </c>
      <c r="E33" s="55">
        <v>4.0</v>
      </c>
      <c r="F33" s="50">
        <f t="shared" si="1"/>
        <v>1600</v>
      </c>
      <c r="G33" s="22">
        <f t="shared" si="2"/>
        <v>1</v>
      </c>
      <c r="H33" s="51" t="s">
        <v>20</v>
      </c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24.75" customHeight="1">
      <c r="A34" s="54">
        <v>31.0</v>
      </c>
      <c r="B34" s="55">
        <v>1006835.0</v>
      </c>
      <c r="C34" s="48" t="str">
        <f>vlookup(B34,'Crew Data'!C:G,5,0)</f>
        <v>Ketsaraporn Borvornmongkolsak</v>
      </c>
      <c r="D34" s="56" t="s">
        <v>135</v>
      </c>
      <c r="E34" s="55">
        <v>6.0</v>
      </c>
      <c r="F34" s="50">
        <f t="shared" si="1"/>
        <v>2400</v>
      </c>
      <c r="G34" s="22">
        <f t="shared" si="2"/>
        <v>1</v>
      </c>
      <c r="H34" s="51" t="s">
        <v>20</v>
      </c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ht="24.75" customHeight="1">
      <c r="A35" s="55">
        <v>32.0</v>
      </c>
      <c r="B35" s="55">
        <v>1004857.0</v>
      </c>
      <c r="C35" s="48" t="str">
        <f>vlookup(B35,'Crew Data'!C:G,5,0)</f>
        <v>#N/A</v>
      </c>
      <c r="D35" s="56" t="s">
        <v>136</v>
      </c>
      <c r="E35" s="55">
        <v>2.0</v>
      </c>
      <c r="F35" s="50">
        <f t="shared" si="1"/>
        <v>800</v>
      </c>
      <c r="G35" s="22">
        <f t="shared" si="2"/>
        <v>1</v>
      </c>
      <c r="H35" s="51" t="s">
        <v>20</v>
      </c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ht="24.75" customHeight="1">
      <c r="A36" s="55">
        <v>33.0</v>
      </c>
      <c r="B36" s="55">
        <v>1012362.0</v>
      </c>
      <c r="C36" s="48" t="str">
        <f>vlookup(B36,'Crew Data'!C:G,5,0)</f>
        <v>Patcharagorn Chankhong</v>
      </c>
      <c r="D36" s="56" t="s">
        <v>137</v>
      </c>
      <c r="E36" s="55">
        <v>4.0</v>
      </c>
      <c r="F36" s="50">
        <f t="shared" si="1"/>
        <v>1600</v>
      </c>
      <c r="G36" s="22">
        <f t="shared" si="2"/>
        <v>1</v>
      </c>
      <c r="H36" s="51" t="s">
        <v>20</v>
      </c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ht="24.75" customHeight="1">
      <c r="A37" s="55">
        <v>34.0</v>
      </c>
      <c r="B37" s="55">
        <v>1011509.0</v>
      </c>
      <c r="C37" s="48" t="str">
        <f>vlookup(B37,'Crew Data'!C:G,5,0)</f>
        <v>Natcha Supakhong</v>
      </c>
      <c r="D37" s="56" t="s">
        <v>125</v>
      </c>
      <c r="E37" s="55">
        <v>2.0</v>
      </c>
      <c r="F37" s="50">
        <f t="shared" si="1"/>
        <v>800</v>
      </c>
      <c r="G37" s="22">
        <f t="shared" si="2"/>
        <v>1</v>
      </c>
      <c r="H37" s="51" t="s">
        <v>20</v>
      </c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t="24.75" customHeight="1">
      <c r="A38" s="55">
        <v>35.0</v>
      </c>
      <c r="B38" s="55">
        <v>1025307.0</v>
      </c>
      <c r="C38" s="48" t="str">
        <f>vlookup(B38,'Crew Data'!C:G,5,0)</f>
        <v>Krisada Kerdsuwan</v>
      </c>
      <c r="D38" s="56" t="s">
        <v>138</v>
      </c>
      <c r="E38" s="55">
        <v>2.0</v>
      </c>
      <c r="F38" s="50">
        <f t="shared" si="1"/>
        <v>800</v>
      </c>
      <c r="G38" s="22">
        <f t="shared" si="2"/>
        <v>1</v>
      </c>
      <c r="H38" s="51" t="s">
        <v>20</v>
      </c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t="24.75" customHeight="1">
      <c r="A39" s="54">
        <v>36.0</v>
      </c>
      <c r="B39" s="55">
        <v>1025319.0</v>
      </c>
      <c r="C39" s="48" t="str">
        <f>vlookup(B39,'Crew Data'!C:G,5,0)</f>
        <v>Phongsakron Saepan</v>
      </c>
      <c r="D39" s="56" t="s">
        <v>139</v>
      </c>
      <c r="E39" s="55">
        <v>2.0</v>
      </c>
      <c r="F39" s="50">
        <f t="shared" si="1"/>
        <v>800</v>
      </c>
      <c r="G39" s="22">
        <f t="shared" si="2"/>
        <v>1</v>
      </c>
      <c r="H39" s="51" t="s">
        <v>20</v>
      </c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ht="24.75" customHeight="1">
      <c r="A40" s="55">
        <v>37.0</v>
      </c>
      <c r="B40" s="55">
        <v>1014308.0</v>
      </c>
      <c r="C40" s="48" t="str">
        <f>vlookup(B40,'Crew Data'!C:G,5,0)</f>
        <v>Asama Thunyavacharakul</v>
      </c>
      <c r="D40" s="56" t="s">
        <v>140</v>
      </c>
      <c r="E40" s="55">
        <v>4.0</v>
      </c>
      <c r="F40" s="50">
        <f t="shared" si="1"/>
        <v>1600</v>
      </c>
      <c r="G40" s="22">
        <f t="shared" si="2"/>
        <v>1</v>
      </c>
      <c r="H40" s="51" t="s">
        <v>20</v>
      </c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ht="24.75" customHeight="1">
      <c r="A41" s="55">
        <v>38.0</v>
      </c>
      <c r="B41" s="55">
        <v>1005773.0</v>
      </c>
      <c r="C41" s="48" t="str">
        <f>vlookup(B41,'Crew Data'!C:G,5,0)</f>
        <v>Wipoj Sinsomboon</v>
      </c>
      <c r="D41" s="56" t="s">
        <v>141</v>
      </c>
      <c r="E41" s="55">
        <v>2.0</v>
      </c>
      <c r="F41" s="50">
        <f t="shared" si="1"/>
        <v>800</v>
      </c>
      <c r="G41" s="22">
        <f t="shared" si="2"/>
        <v>1</v>
      </c>
      <c r="H41" s="51" t="s">
        <v>20</v>
      </c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ht="24.75" customHeight="1">
      <c r="A42" s="55">
        <v>39.0</v>
      </c>
      <c r="B42" s="55">
        <v>1004536.0</v>
      </c>
      <c r="C42" s="48" t="str">
        <f>vlookup(B42,'Crew Data'!C:G,5,0)</f>
        <v>Rathawit Vachirasittapong</v>
      </c>
      <c r="D42" s="56" t="s">
        <v>142</v>
      </c>
      <c r="E42" s="55">
        <v>4.0</v>
      </c>
      <c r="F42" s="50">
        <f t="shared" si="1"/>
        <v>1600</v>
      </c>
      <c r="G42" s="22">
        <f t="shared" si="2"/>
        <v>1</v>
      </c>
      <c r="H42" s="51" t="s">
        <v>20</v>
      </c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ht="24.75" customHeight="1">
      <c r="A43" s="55">
        <v>40.0</v>
      </c>
      <c r="B43" s="55">
        <v>1006076.0</v>
      </c>
      <c r="C43" s="48" t="str">
        <f>vlookup(B43,'Crew Data'!C:G,5,0)</f>
        <v>Naruechon Rodkaew</v>
      </c>
      <c r="D43" s="56" t="s">
        <v>143</v>
      </c>
      <c r="E43" s="55">
        <v>2.0</v>
      </c>
      <c r="F43" s="50">
        <f t="shared" si="1"/>
        <v>800</v>
      </c>
      <c r="G43" s="22">
        <f t="shared" si="2"/>
        <v>1</v>
      </c>
      <c r="H43" s="51" t="s">
        <v>20</v>
      </c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ht="24.75" customHeight="1">
      <c r="A44" s="54">
        <v>41.0</v>
      </c>
      <c r="B44" s="55">
        <v>1018535.0</v>
      </c>
      <c r="C44" s="48" t="str">
        <f>vlookup(B44,'Crew Data'!C:G,5,0)</f>
        <v>Nawapu Dontaolek</v>
      </c>
      <c r="D44" s="56" t="s">
        <v>144</v>
      </c>
      <c r="E44" s="55">
        <v>4.0</v>
      </c>
      <c r="F44" s="50">
        <f t="shared" si="1"/>
        <v>1600</v>
      </c>
      <c r="G44" s="22">
        <f t="shared" si="2"/>
        <v>1</v>
      </c>
      <c r="H44" s="51" t="s">
        <v>20</v>
      </c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ht="24.75" customHeight="1">
      <c r="A45" s="55">
        <v>42.0</v>
      </c>
      <c r="B45" s="55">
        <v>1005326.0</v>
      </c>
      <c r="C45" s="48" t="str">
        <f>vlookup(B45,'Crew Data'!C:G,5,0)</f>
        <v>Pakornpoj Lertsmitivant</v>
      </c>
      <c r="D45" s="56" t="s">
        <v>96</v>
      </c>
      <c r="E45" s="55">
        <v>2.0</v>
      </c>
      <c r="F45" s="50">
        <f t="shared" si="1"/>
        <v>800</v>
      </c>
      <c r="G45" s="22">
        <f t="shared" si="2"/>
        <v>1</v>
      </c>
      <c r="H45" s="51" t="s">
        <v>20</v>
      </c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ht="24.75" customHeight="1">
      <c r="A46" s="55">
        <v>43.0</v>
      </c>
      <c r="B46" s="55">
        <v>1011705.0</v>
      </c>
      <c r="C46" s="48" t="str">
        <f>vlookup(B46,'Crew Data'!C:G,5,0)</f>
        <v>Nattika Naephimai</v>
      </c>
      <c r="D46" s="56" t="s">
        <v>145</v>
      </c>
      <c r="E46" s="55">
        <v>2.0</v>
      </c>
      <c r="F46" s="50">
        <f t="shared" si="1"/>
        <v>800</v>
      </c>
      <c r="G46" s="22">
        <f t="shared" si="2"/>
        <v>1</v>
      </c>
      <c r="H46" s="51" t="s">
        <v>20</v>
      </c>
      <c r="J46" s="6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ht="24.75" customHeight="1">
      <c r="A47" s="55">
        <v>44.0</v>
      </c>
      <c r="B47" s="55">
        <v>1004375.0</v>
      </c>
      <c r="C47" s="48" t="str">
        <f>vlookup(B47,'Crew Data'!C:G,5,0)</f>
        <v>Arpakorn Kultangwattana</v>
      </c>
      <c r="D47" s="56" t="s">
        <v>146</v>
      </c>
      <c r="E47" s="55">
        <v>2.0</v>
      </c>
      <c r="F47" s="50">
        <f t="shared" si="1"/>
        <v>800</v>
      </c>
      <c r="G47" s="22">
        <f t="shared" si="2"/>
        <v>1</v>
      </c>
      <c r="H47" s="51" t="s">
        <v>20</v>
      </c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ht="24.75" customHeight="1">
      <c r="A48" s="55">
        <v>45.0</v>
      </c>
      <c r="B48" s="55">
        <v>1011311.0</v>
      </c>
      <c r="C48" s="48" t="str">
        <f>vlookup(B48,'Crew Data'!C:G,5,0)</f>
        <v>#N/A</v>
      </c>
      <c r="D48" s="56" t="s">
        <v>147</v>
      </c>
      <c r="E48" s="55">
        <v>2.0</v>
      </c>
      <c r="F48" s="50">
        <f t="shared" si="1"/>
        <v>800</v>
      </c>
      <c r="G48" s="22">
        <f t="shared" si="2"/>
        <v>1</v>
      </c>
      <c r="H48" s="51" t="s">
        <v>20</v>
      </c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ht="24.75" customHeight="1">
      <c r="A49" s="54">
        <v>46.0</v>
      </c>
      <c r="B49" s="55">
        <v>1006840.0</v>
      </c>
      <c r="C49" s="48" t="str">
        <f>vlookup(B49,'Crew Data'!C:G,5,0)</f>
        <v>Nutthawich Suwanmanee</v>
      </c>
      <c r="D49" s="56" t="s">
        <v>147</v>
      </c>
      <c r="E49" s="55">
        <v>2.0</v>
      </c>
      <c r="F49" s="50">
        <f t="shared" si="1"/>
        <v>800</v>
      </c>
      <c r="G49" s="22">
        <f t="shared" si="2"/>
        <v>1</v>
      </c>
      <c r="H49" s="51" t="s">
        <v>20</v>
      </c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ht="24.75" customHeight="1">
      <c r="A50" s="55">
        <v>47.0</v>
      </c>
      <c r="B50" s="55">
        <v>1004329.0</v>
      </c>
      <c r="C50" s="48" t="str">
        <f>vlookup(B50,'Crew Data'!C:G,5,0)</f>
        <v>Supattra Narattaraksa</v>
      </c>
      <c r="D50" s="56" t="s">
        <v>124</v>
      </c>
      <c r="E50" s="55">
        <v>2.0</v>
      </c>
      <c r="F50" s="50">
        <f t="shared" si="1"/>
        <v>800</v>
      </c>
      <c r="G50" s="22">
        <f t="shared" si="2"/>
        <v>1</v>
      </c>
      <c r="H50" s="51" t="s">
        <v>20</v>
      </c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ht="24.75" customHeight="1">
      <c r="A51" s="55">
        <v>48.0</v>
      </c>
      <c r="B51" s="55">
        <v>1012359.0</v>
      </c>
      <c r="C51" s="48" t="str">
        <f>vlookup(B51,'Crew Data'!C:G,5,0)</f>
        <v>Kotchakon Kanchanamethakul</v>
      </c>
      <c r="D51" s="56" t="s">
        <v>147</v>
      </c>
      <c r="E51" s="55">
        <v>2.0</v>
      </c>
      <c r="F51" s="50">
        <f t="shared" si="1"/>
        <v>800</v>
      </c>
      <c r="G51" s="22">
        <f t="shared" si="2"/>
        <v>1</v>
      </c>
      <c r="H51" s="51" t="s">
        <v>20</v>
      </c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ht="24.75" customHeight="1">
      <c r="A52" s="55">
        <v>49.0</v>
      </c>
      <c r="B52" s="55">
        <v>1014312.0</v>
      </c>
      <c r="C52" s="48" t="str">
        <f>vlookup(B52,'Crew Data'!C:G,5,0)</f>
        <v>Chadaporn Pliankham</v>
      </c>
      <c r="D52" s="56" t="s">
        <v>141</v>
      </c>
      <c r="E52" s="55">
        <v>2.0</v>
      </c>
      <c r="F52" s="50">
        <f t="shared" si="1"/>
        <v>800</v>
      </c>
      <c r="G52" s="22">
        <f t="shared" si="2"/>
        <v>1</v>
      </c>
      <c r="H52" s="51" t="s">
        <v>20</v>
      </c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ht="24.75" customHeight="1">
      <c r="A53" s="55">
        <v>50.0</v>
      </c>
      <c r="B53" s="55">
        <v>1002984.0</v>
      </c>
      <c r="C53" s="48" t="str">
        <f>vlookup(B53,'Crew Data'!C:G,5,0)</f>
        <v>Praepailin Luckanatin</v>
      </c>
      <c r="D53" s="56" t="s">
        <v>136</v>
      </c>
      <c r="E53" s="55">
        <v>2.0</v>
      </c>
      <c r="F53" s="50">
        <f t="shared" si="1"/>
        <v>800</v>
      </c>
      <c r="G53" s="22">
        <f t="shared" si="2"/>
        <v>1</v>
      </c>
      <c r="H53" s="51" t="s">
        <v>20</v>
      </c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ht="24.75" customHeight="1">
      <c r="A54" s="55">
        <v>51.0</v>
      </c>
      <c r="B54" s="55">
        <v>1007016.0</v>
      </c>
      <c r="C54" s="48" t="str">
        <f>vlookup(B54,'Crew Data'!C:G,5,0)</f>
        <v>Sathita Pongsomran</v>
      </c>
      <c r="D54" s="56" t="s">
        <v>122</v>
      </c>
      <c r="E54" s="55">
        <v>2.0</v>
      </c>
      <c r="F54" s="50">
        <f t="shared" si="1"/>
        <v>800</v>
      </c>
      <c r="G54" s="22">
        <f t="shared" si="2"/>
        <v>1</v>
      </c>
      <c r="H54" s="51" t="s">
        <v>20</v>
      </c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ht="24.75" customHeight="1">
      <c r="A55" s="55">
        <v>52.0</v>
      </c>
      <c r="B55" s="55">
        <v>1019525.0</v>
      </c>
      <c r="C55" s="48" t="str">
        <f>vlookup(B55,'Crew Data'!C:G,5,0)</f>
        <v>Nithikarn Saiyukhet</v>
      </c>
      <c r="D55" s="56" t="s">
        <v>129</v>
      </c>
      <c r="E55" s="55">
        <v>2.0</v>
      </c>
      <c r="F55" s="50">
        <f t="shared" si="1"/>
        <v>800</v>
      </c>
      <c r="G55" s="22">
        <f t="shared" si="2"/>
        <v>1</v>
      </c>
      <c r="H55" s="51" t="s">
        <v>20</v>
      </c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ht="24.75" customHeight="1">
      <c r="A56" s="55">
        <v>53.0</v>
      </c>
      <c r="B56" s="55">
        <v>1005753.0</v>
      </c>
      <c r="C56" s="48" t="str">
        <f>vlookup(B56,'Crew Data'!C:G,5,0)</f>
        <v>Kamolchanok Khantidilokvongsa</v>
      </c>
      <c r="D56" s="56" t="s">
        <v>148</v>
      </c>
      <c r="E56" s="55">
        <v>2.0</v>
      </c>
      <c r="F56" s="50">
        <f t="shared" si="1"/>
        <v>800</v>
      </c>
      <c r="G56" s="22">
        <f t="shared" si="2"/>
        <v>1</v>
      </c>
      <c r="H56" s="51" t="s">
        <v>20</v>
      </c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ht="24.75" customHeight="1">
      <c r="A57" s="55">
        <v>54.0</v>
      </c>
      <c r="B57" s="55">
        <v>1003172.0</v>
      </c>
      <c r="C57" s="48" t="str">
        <f>vlookup(B57,'Crew Data'!C:G,5,0)</f>
        <v>Natthanit Kaewchoochuen</v>
      </c>
      <c r="D57" s="56" t="s">
        <v>149</v>
      </c>
      <c r="E57" s="55">
        <v>6.0</v>
      </c>
      <c r="F57" s="50">
        <f t="shared" si="1"/>
        <v>2400</v>
      </c>
      <c r="G57" s="22">
        <f t="shared" si="2"/>
        <v>1</v>
      </c>
      <c r="H57" s="51" t="s">
        <v>20</v>
      </c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ht="24.75" customHeight="1">
      <c r="A58" s="54">
        <v>55.0</v>
      </c>
      <c r="B58" s="55">
        <v>1023595.0</v>
      </c>
      <c r="C58" s="48" t="str">
        <f>vlookup(B58,'Crew Data'!C:G,5,0)</f>
        <v>Kanokpan Tongnu</v>
      </c>
      <c r="D58" s="56" t="s">
        <v>150</v>
      </c>
      <c r="E58" s="55">
        <v>2.0</v>
      </c>
      <c r="F58" s="50">
        <f t="shared" si="1"/>
        <v>800</v>
      </c>
      <c r="G58" s="22">
        <f t="shared" si="2"/>
        <v>1</v>
      </c>
      <c r="H58" s="51" t="s">
        <v>20</v>
      </c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ht="24.75" customHeight="1">
      <c r="A59" s="55">
        <v>56.0</v>
      </c>
      <c r="B59" s="55">
        <v>1023589.0</v>
      </c>
      <c r="C59" s="48" t="str">
        <f>vlookup(B59,'Crew Data'!C:G,5,0)</f>
        <v>Pattanee Nopparat</v>
      </c>
      <c r="D59" s="56" t="s">
        <v>150</v>
      </c>
      <c r="E59" s="55">
        <v>2.0</v>
      </c>
      <c r="F59" s="50">
        <f t="shared" si="1"/>
        <v>800</v>
      </c>
      <c r="G59" s="22">
        <f t="shared" si="2"/>
        <v>1</v>
      </c>
      <c r="H59" s="51" t="s">
        <v>20</v>
      </c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ht="24.75" customHeight="1">
      <c r="A60" s="55">
        <v>57.0</v>
      </c>
      <c r="B60" s="55">
        <v>1023594.0</v>
      </c>
      <c r="C60" s="48" t="str">
        <f>vlookup(B60,'Crew Data'!C:G,5,0)</f>
        <v>Teerada Sripochsomboon</v>
      </c>
      <c r="D60" s="56" t="s">
        <v>150</v>
      </c>
      <c r="E60" s="55">
        <v>2.0</v>
      </c>
      <c r="F60" s="50">
        <f t="shared" si="1"/>
        <v>800</v>
      </c>
      <c r="G60" s="22">
        <f t="shared" si="2"/>
        <v>1</v>
      </c>
      <c r="H60" s="51" t="s">
        <v>20</v>
      </c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ht="24.75" customHeight="1">
      <c r="A61" s="55">
        <v>58.0</v>
      </c>
      <c r="B61" s="55">
        <v>1007427.0</v>
      </c>
      <c r="C61" s="48" t="str">
        <f>vlookup(B61,'Crew Data'!C:G,5,0)</f>
        <v>Warasit Rittiruechaikul</v>
      </c>
      <c r="D61" s="56" t="s">
        <v>151</v>
      </c>
      <c r="E61" s="55">
        <v>2.0</v>
      </c>
      <c r="F61" s="50">
        <f t="shared" si="1"/>
        <v>800</v>
      </c>
      <c r="G61" s="22">
        <f t="shared" si="2"/>
        <v>1</v>
      </c>
      <c r="H61" s="51" t="s">
        <v>20</v>
      </c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ht="24.75" customHeight="1">
      <c r="A62" s="55">
        <v>59.0</v>
      </c>
      <c r="B62" s="55">
        <v>1004047.0</v>
      </c>
      <c r="C62" s="48" t="str">
        <f>vlookup(B62,'Crew Data'!C:G,5,0)</f>
        <v>Sunisa Panhirun</v>
      </c>
      <c r="D62" s="56" t="s">
        <v>126</v>
      </c>
      <c r="E62" s="55">
        <v>2.0</v>
      </c>
      <c r="F62" s="50">
        <f t="shared" si="1"/>
        <v>800</v>
      </c>
      <c r="G62" s="22">
        <f t="shared" si="2"/>
        <v>1</v>
      </c>
      <c r="H62" s="51" t="s">
        <v>20</v>
      </c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ht="24.75" customHeight="1">
      <c r="A63" s="55">
        <v>60.0</v>
      </c>
      <c r="B63" s="55">
        <v>1018804.0</v>
      </c>
      <c r="C63" s="48" t="str">
        <f>vlookup(B63,'Crew Data'!C:G,5,0)</f>
        <v>Noppadol Utthiya</v>
      </c>
      <c r="D63" s="56" t="s">
        <v>152</v>
      </c>
      <c r="E63" s="55">
        <v>2.0</v>
      </c>
      <c r="F63" s="50">
        <f t="shared" si="1"/>
        <v>800</v>
      </c>
      <c r="G63" s="22">
        <f t="shared" si="2"/>
        <v>1</v>
      </c>
      <c r="H63" s="51" t="s">
        <v>20</v>
      </c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ht="24.75" customHeight="1">
      <c r="A64" s="55">
        <v>61.0</v>
      </c>
      <c r="B64" s="55">
        <v>1023607.0</v>
      </c>
      <c r="C64" s="48" t="str">
        <f>vlookup(B64,'Crew Data'!C:G,5,0)</f>
        <v>Kanes Boonyapanachoti</v>
      </c>
      <c r="D64" s="56" t="s">
        <v>148</v>
      </c>
      <c r="E64" s="55">
        <v>2.0</v>
      </c>
      <c r="F64" s="50">
        <f t="shared" si="1"/>
        <v>800</v>
      </c>
      <c r="G64" s="22">
        <f t="shared" si="2"/>
        <v>1</v>
      </c>
      <c r="H64" s="51" t="s">
        <v>20</v>
      </c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ht="24.75" customHeight="1">
      <c r="A65" s="55">
        <v>62.0</v>
      </c>
      <c r="B65" s="55">
        <v>1017655.0</v>
      </c>
      <c r="C65" s="48" t="str">
        <f>vlookup(B65,'Crew Data'!C:G,5,0)</f>
        <v>Waris Suaprasert</v>
      </c>
      <c r="D65" s="56" t="s">
        <v>151</v>
      </c>
      <c r="E65" s="55">
        <v>2.0</v>
      </c>
      <c r="F65" s="50">
        <f t="shared" si="1"/>
        <v>800</v>
      </c>
      <c r="G65" s="22">
        <f t="shared" si="2"/>
        <v>1</v>
      </c>
      <c r="H65" s="51" t="s">
        <v>20</v>
      </c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ht="24.75" customHeight="1">
      <c r="A66" s="55">
        <v>63.0</v>
      </c>
      <c r="B66" s="55">
        <v>1006318.0</v>
      </c>
      <c r="C66" s="48" t="str">
        <f>vlookup(B66,'Crew Data'!C:G,5,0)</f>
        <v>Kritsada Tangpriyarak</v>
      </c>
      <c r="D66" s="56" t="s">
        <v>151</v>
      </c>
      <c r="E66" s="55">
        <v>2.0</v>
      </c>
      <c r="F66" s="50">
        <f t="shared" si="1"/>
        <v>800</v>
      </c>
      <c r="G66" s="22">
        <f t="shared" si="2"/>
        <v>1</v>
      </c>
      <c r="H66" s="51" t="s">
        <v>20</v>
      </c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ht="24.75" customHeight="1">
      <c r="A67" s="54">
        <v>64.0</v>
      </c>
      <c r="B67" s="55">
        <v>1019394.0</v>
      </c>
      <c r="C67" s="48" t="str">
        <f>vlookup(B67,'Crew Data'!C:G,5,0)</f>
        <v>#N/A</v>
      </c>
      <c r="D67" s="56" t="s">
        <v>132</v>
      </c>
      <c r="E67" s="55">
        <v>2.0</v>
      </c>
      <c r="F67" s="50">
        <f t="shared" si="1"/>
        <v>800</v>
      </c>
      <c r="G67" s="22">
        <f t="shared" si="2"/>
        <v>1</v>
      </c>
      <c r="H67" s="51" t="s">
        <v>20</v>
      </c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ht="24.75" customHeight="1">
      <c r="A68" s="55">
        <v>65.0</v>
      </c>
      <c r="B68" s="55">
        <v>1019412.0</v>
      </c>
      <c r="C68" s="48" t="str">
        <f>vlookup(B68,'Crew Data'!C:G,5,0)</f>
        <v>Werapat Thitirojnopparat</v>
      </c>
      <c r="D68" s="56" t="s">
        <v>148</v>
      </c>
      <c r="E68" s="55">
        <v>2.0</v>
      </c>
      <c r="F68" s="50">
        <f t="shared" si="1"/>
        <v>800</v>
      </c>
      <c r="G68" s="22">
        <f t="shared" si="2"/>
        <v>1</v>
      </c>
      <c r="H68" s="51" t="s">
        <v>20</v>
      </c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ht="24.75" customHeight="1">
      <c r="A69" s="55">
        <v>66.0</v>
      </c>
      <c r="B69" s="55">
        <v>1006846.0</v>
      </c>
      <c r="C69" s="48" t="str">
        <f>vlookup(B69,'Crew Data'!C:G,5,0)</f>
        <v>Sasikarn Khampan</v>
      </c>
      <c r="D69" s="56" t="s">
        <v>153</v>
      </c>
      <c r="E69" s="55">
        <v>4.0</v>
      </c>
      <c r="F69" s="50">
        <f t="shared" si="1"/>
        <v>1600</v>
      </c>
      <c r="G69" s="22">
        <f t="shared" si="2"/>
        <v>1</v>
      </c>
      <c r="H69" s="51" t="s">
        <v>20</v>
      </c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ht="24.75" customHeight="1">
      <c r="A70" s="55">
        <v>67.0</v>
      </c>
      <c r="B70" s="55">
        <v>1004729.0</v>
      </c>
      <c r="C70" s="48" t="str">
        <f>vlookup(B70,'Crew Data'!C:G,5,0)</f>
        <v>Sasimon Chamnansarn</v>
      </c>
      <c r="D70" s="56" t="s">
        <v>127</v>
      </c>
      <c r="E70" s="55">
        <v>2.0</v>
      </c>
      <c r="F70" s="50">
        <f t="shared" si="1"/>
        <v>800</v>
      </c>
      <c r="G70" s="22">
        <f t="shared" si="2"/>
        <v>1</v>
      </c>
      <c r="H70" s="51" t="s">
        <v>20</v>
      </c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ht="24.75" customHeight="1">
      <c r="A71" s="55">
        <v>68.0</v>
      </c>
      <c r="B71" s="55">
        <v>1014316.0</v>
      </c>
      <c r="C71" s="48" t="str">
        <f>vlookup(B71,'Crew Data'!C:G,5,0)</f>
        <v>Eakapol Tuncharoen</v>
      </c>
      <c r="D71" s="56" t="s">
        <v>154</v>
      </c>
      <c r="E71" s="55">
        <v>2.0</v>
      </c>
      <c r="F71" s="50">
        <f t="shared" si="1"/>
        <v>800</v>
      </c>
      <c r="G71" s="22">
        <f t="shared" si="2"/>
        <v>1</v>
      </c>
      <c r="H71" s="51" t="s">
        <v>20</v>
      </c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ht="24.75" customHeight="1">
      <c r="A72" s="55">
        <v>69.0</v>
      </c>
      <c r="B72" s="55">
        <v>1011053.0</v>
      </c>
      <c r="C72" s="48" t="str">
        <f>vlookup(B72,'Crew Data'!C:G,5,0)</f>
        <v>Athit Sornsiriwong</v>
      </c>
      <c r="D72" s="56" t="s">
        <v>155</v>
      </c>
      <c r="E72" s="55">
        <v>4.0</v>
      </c>
      <c r="F72" s="50">
        <f t="shared" si="1"/>
        <v>1600</v>
      </c>
      <c r="G72" s="22">
        <f t="shared" si="2"/>
        <v>1</v>
      </c>
      <c r="H72" s="51" t="s">
        <v>20</v>
      </c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ht="24.75" customHeight="1">
      <c r="A73" s="55">
        <v>70.0</v>
      </c>
      <c r="B73" s="55">
        <v>1003418.0</v>
      </c>
      <c r="C73" s="48" t="str">
        <f>vlookup(B73,'Crew Data'!C:G,5,0)</f>
        <v>Chiravitch Kittiphongsathaporn</v>
      </c>
      <c r="D73" s="56" t="s">
        <v>156</v>
      </c>
      <c r="E73" s="55">
        <v>4.0</v>
      </c>
      <c r="F73" s="50">
        <f t="shared" si="1"/>
        <v>1600</v>
      </c>
      <c r="G73" s="22">
        <f t="shared" si="2"/>
        <v>1</v>
      </c>
      <c r="H73" s="51" t="s">
        <v>20</v>
      </c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ht="24.75" customHeight="1">
      <c r="A74" s="55">
        <v>71.0</v>
      </c>
      <c r="B74" s="55">
        <v>1015093.0</v>
      </c>
      <c r="C74" s="48" t="str">
        <f>vlookup(B74,'Crew Data'!C:G,5,0)</f>
        <v>Sampan Simpalipan</v>
      </c>
      <c r="D74" s="56" t="s">
        <v>141</v>
      </c>
      <c r="E74" s="55">
        <v>2.0</v>
      </c>
      <c r="F74" s="50">
        <f t="shared" si="1"/>
        <v>800</v>
      </c>
      <c r="G74" s="22">
        <f t="shared" si="2"/>
        <v>1</v>
      </c>
      <c r="H74" s="51" t="s">
        <v>20</v>
      </c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ht="24.75" customHeight="1">
      <c r="A75" s="55">
        <v>72.0</v>
      </c>
      <c r="B75" s="55">
        <v>1012905.0</v>
      </c>
      <c r="C75" s="48" t="str">
        <f>vlookup(B75,'Crew Data'!C:G,5,0)</f>
        <v>Paweerisa Tantijaratchai</v>
      </c>
      <c r="D75" s="56" t="s">
        <v>152</v>
      </c>
      <c r="E75" s="55">
        <v>2.0</v>
      </c>
      <c r="F75" s="50">
        <f t="shared" si="1"/>
        <v>800</v>
      </c>
      <c r="G75" s="22">
        <f t="shared" si="2"/>
        <v>1</v>
      </c>
      <c r="H75" s="51" t="s">
        <v>20</v>
      </c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ht="24.75" customHeight="1">
      <c r="A76" s="54">
        <v>73.0</v>
      </c>
      <c r="B76" s="55">
        <v>1010904.0</v>
      </c>
      <c r="C76" s="48" t="str">
        <f>vlookup(B76,'Crew Data'!C:G,5,0)</f>
        <v>Phadoongkiat Phanwilai</v>
      </c>
      <c r="D76" s="56" t="s">
        <v>157</v>
      </c>
      <c r="E76" s="55">
        <v>2.0</v>
      </c>
      <c r="F76" s="50">
        <f t="shared" si="1"/>
        <v>800</v>
      </c>
      <c r="G76" s="22">
        <f t="shared" si="2"/>
        <v>1</v>
      </c>
      <c r="H76" s="51" t="s">
        <v>20</v>
      </c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ht="24.75" customHeight="1">
      <c r="A77" s="55">
        <v>74.0</v>
      </c>
      <c r="B77" s="55">
        <v>1007340.0</v>
      </c>
      <c r="C77" s="48" t="str">
        <f>vlookup(B77,'Crew Data'!C:G,5,0)</f>
        <v>Patpapada Vadtanawat</v>
      </c>
      <c r="D77" s="56" t="s">
        <v>158</v>
      </c>
      <c r="E77" s="55">
        <v>6.0</v>
      </c>
      <c r="F77" s="50">
        <f t="shared" si="1"/>
        <v>2400</v>
      </c>
      <c r="G77" s="22">
        <f t="shared" si="2"/>
        <v>1</v>
      </c>
      <c r="H77" s="51" t="s">
        <v>20</v>
      </c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ht="24.75" customHeight="1">
      <c r="A78" s="55">
        <v>75.0</v>
      </c>
      <c r="B78" s="55">
        <v>1007339.0</v>
      </c>
      <c r="C78" s="48" t="str">
        <f>vlookup(B78,'Crew Data'!C:G,5,0)</f>
        <v>Chanicha Songkrit</v>
      </c>
      <c r="D78" s="56" t="s">
        <v>159</v>
      </c>
      <c r="E78" s="55">
        <v>2.0</v>
      </c>
      <c r="F78" s="50">
        <f t="shared" si="1"/>
        <v>800</v>
      </c>
      <c r="G78" s="22">
        <f t="shared" si="2"/>
        <v>1</v>
      </c>
      <c r="H78" s="51" t="s">
        <v>20</v>
      </c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ht="24.75" customHeight="1">
      <c r="A79" s="55">
        <v>76.0</v>
      </c>
      <c r="B79" s="55">
        <v>1010939.0</v>
      </c>
      <c r="C79" s="48" t="str">
        <f>vlookup(B79,'Crew Data'!C:G,5,0)</f>
        <v>Yuwarat Meesap</v>
      </c>
      <c r="D79" s="56" t="s">
        <v>160</v>
      </c>
      <c r="E79" s="55">
        <v>4.0</v>
      </c>
      <c r="F79" s="50">
        <f t="shared" si="1"/>
        <v>1600</v>
      </c>
      <c r="G79" s="22">
        <f t="shared" si="2"/>
        <v>1</v>
      </c>
      <c r="H79" s="51" t="s">
        <v>20</v>
      </c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ht="24.75" customHeight="1">
      <c r="A80" s="55">
        <v>77.0</v>
      </c>
      <c r="B80" s="55">
        <v>1011848.0</v>
      </c>
      <c r="C80" s="48" t="str">
        <f>vlookup(B80,'Crew Data'!C:G,5,0)</f>
        <v>Wiput Janvanichstaporn</v>
      </c>
      <c r="D80" s="56" t="s">
        <v>157</v>
      </c>
      <c r="E80" s="55">
        <v>2.0</v>
      </c>
      <c r="F80" s="50">
        <f t="shared" si="1"/>
        <v>800</v>
      </c>
      <c r="G80" s="22">
        <f t="shared" si="2"/>
        <v>1</v>
      </c>
      <c r="H80" s="51" t="s">
        <v>20</v>
      </c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ht="24.75" customHeight="1">
      <c r="A81" s="55">
        <v>78.0</v>
      </c>
      <c r="B81" s="55">
        <v>1005956.0</v>
      </c>
      <c r="C81" s="48" t="str">
        <f>vlookup(B81,'Crew Data'!C:G,5,0)</f>
        <v>Pipat Penpaiboon</v>
      </c>
      <c r="D81" s="56" t="s">
        <v>157</v>
      </c>
      <c r="E81" s="55">
        <v>2.0</v>
      </c>
      <c r="F81" s="50">
        <f t="shared" si="1"/>
        <v>800</v>
      </c>
      <c r="G81" s="22">
        <f t="shared" si="2"/>
        <v>1</v>
      </c>
      <c r="H81" s="51" t="s">
        <v>20</v>
      </c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ht="24.75" customHeight="1">
      <c r="A82" s="55">
        <v>79.0</v>
      </c>
      <c r="B82" s="55">
        <v>1003386.0</v>
      </c>
      <c r="C82" s="48" t="str">
        <f>vlookup(B82,'Crew Data'!C:G,5,0)</f>
        <v>#N/A</v>
      </c>
      <c r="D82" s="56" t="s">
        <v>161</v>
      </c>
      <c r="E82" s="55">
        <v>3.0</v>
      </c>
      <c r="F82" s="50">
        <f t="shared" si="1"/>
        <v>1200</v>
      </c>
      <c r="G82" s="22">
        <f t="shared" si="2"/>
        <v>1</v>
      </c>
      <c r="H82" s="51" t="s">
        <v>20</v>
      </c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ht="24.75" customHeight="1">
      <c r="A83" s="55">
        <v>80.0</v>
      </c>
      <c r="B83" s="55">
        <v>1007017.0</v>
      </c>
      <c r="C83" s="48" t="str">
        <f>vlookup(B83,'Crew Data'!C:G,5,0)</f>
        <v>#N/A</v>
      </c>
      <c r="D83" s="56" t="s">
        <v>159</v>
      </c>
      <c r="E83" s="55">
        <v>2.0</v>
      </c>
      <c r="F83" s="50">
        <f t="shared" si="1"/>
        <v>800</v>
      </c>
      <c r="G83" s="22">
        <f t="shared" si="2"/>
        <v>1</v>
      </c>
      <c r="H83" s="51" t="s">
        <v>20</v>
      </c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ht="24.75" customHeight="1">
      <c r="A84" s="55">
        <v>81.0</v>
      </c>
      <c r="B84" s="55">
        <v>1011843.0</v>
      </c>
      <c r="C84" s="48" t="str">
        <f>vlookup(B84,'Crew Data'!C:G,5,0)</f>
        <v>Teetawat Vanaphuti</v>
      </c>
      <c r="D84" s="56" t="s">
        <v>104</v>
      </c>
      <c r="E84" s="55">
        <v>2.0</v>
      </c>
      <c r="F84" s="50">
        <f t="shared" si="1"/>
        <v>800</v>
      </c>
      <c r="G84" s="22">
        <f t="shared" si="2"/>
        <v>1</v>
      </c>
      <c r="H84" s="51" t="s">
        <v>20</v>
      </c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ht="24.75" customHeight="1">
      <c r="A85" s="54">
        <v>82.0</v>
      </c>
      <c r="B85" s="55">
        <v>1018791.0</v>
      </c>
      <c r="C85" s="48" t="str">
        <f>vlookup(B85,'Crew Data'!C:G,5,0)</f>
        <v>Kitdanai Tiantanawit</v>
      </c>
      <c r="D85" s="56" t="s">
        <v>122</v>
      </c>
      <c r="E85" s="55">
        <v>2.0</v>
      </c>
      <c r="F85" s="50">
        <f t="shared" si="1"/>
        <v>800</v>
      </c>
      <c r="G85" s="22">
        <f t="shared" si="2"/>
        <v>1</v>
      </c>
      <c r="H85" s="51" t="s">
        <v>20</v>
      </c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ht="24.75" customHeight="1">
      <c r="A86" s="55">
        <v>83.0</v>
      </c>
      <c r="B86" s="55">
        <v>1001819.0</v>
      </c>
      <c r="C86" s="48" t="str">
        <f>vlookup(B86,'Crew Data'!C:G,5,0)</f>
        <v>#N/A</v>
      </c>
      <c r="D86" s="56" t="s">
        <v>162</v>
      </c>
      <c r="E86" s="55">
        <v>2.0</v>
      </c>
      <c r="F86" s="50">
        <f t="shared" si="1"/>
        <v>800</v>
      </c>
      <c r="G86" s="22">
        <f t="shared" si="2"/>
        <v>1</v>
      </c>
      <c r="H86" s="51" t="s">
        <v>20</v>
      </c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ht="24.75" customHeight="1">
      <c r="A87" s="55">
        <v>84.0</v>
      </c>
      <c r="B87" s="55">
        <v>1004765.0</v>
      </c>
      <c r="C87" s="48" t="str">
        <f>vlookup(B87,'Crew Data'!C:G,5,0)</f>
        <v>Wasinee Leeopas</v>
      </c>
      <c r="D87" s="62">
        <v>45169.0</v>
      </c>
      <c r="E87" s="55">
        <v>1.0</v>
      </c>
      <c r="F87" s="50">
        <f t="shared" si="1"/>
        <v>400</v>
      </c>
      <c r="G87" s="22">
        <f t="shared" si="2"/>
        <v>1</v>
      </c>
      <c r="H87" s="51" t="s">
        <v>20</v>
      </c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ht="24.75" customHeight="1">
      <c r="A88" s="55">
        <v>85.0</v>
      </c>
      <c r="B88" s="55">
        <v>1017651.0</v>
      </c>
      <c r="C88" s="48" t="str">
        <f>vlookup(B88,'Crew Data'!C:G,5,0)</f>
        <v>Usana Saepua</v>
      </c>
      <c r="D88" s="56" t="s">
        <v>163</v>
      </c>
      <c r="E88" s="55">
        <v>2.0</v>
      </c>
      <c r="F88" s="50">
        <f t="shared" si="1"/>
        <v>800</v>
      </c>
      <c r="G88" s="22">
        <f t="shared" si="2"/>
        <v>1</v>
      </c>
      <c r="H88" s="51" t="s">
        <v>20</v>
      </c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ht="24.75" customHeight="1">
      <c r="A89" s="55">
        <v>86.0</v>
      </c>
      <c r="B89" s="55">
        <v>1025302.0</v>
      </c>
      <c r="C89" s="48" t="str">
        <f>vlookup(B89,'Crew Data'!C:G,5,0)</f>
        <v>Krisana Sae-yang</v>
      </c>
      <c r="D89" s="56" t="s">
        <v>163</v>
      </c>
      <c r="E89" s="55">
        <v>2.0</v>
      </c>
      <c r="F89" s="50">
        <f t="shared" si="1"/>
        <v>800</v>
      </c>
      <c r="G89" s="22">
        <f t="shared" si="2"/>
        <v>1</v>
      </c>
      <c r="H89" s="51" t="s">
        <v>20</v>
      </c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ht="24.75" customHeight="1">
      <c r="A90" s="55">
        <v>87.0</v>
      </c>
      <c r="B90" s="55">
        <v>1004030.0</v>
      </c>
      <c r="C90" s="48" t="str">
        <f>vlookup(B90,'Crew Data'!C:G,5,0)</f>
        <v>Kulpornpat Srikulchaipat</v>
      </c>
      <c r="D90" s="56" t="s">
        <v>164</v>
      </c>
      <c r="E90" s="55">
        <v>2.0</v>
      </c>
      <c r="F90" s="50">
        <f t="shared" si="1"/>
        <v>800</v>
      </c>
      <c r="G90" s="22">
        <f t="shared" si="2"/>
        <v>1</v>
      </c>
      <c r="H90" s="51" t="s">
        <v>20</v>
      </c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ht="24.75" customHeight="1">
      <c r="A91" s="55">
        <v>88.0</v>
      </c>
      <c r="B91" s="55">
        <v>1013181.0</v>
      </c>
      <c r="C91" s="48" t="str">
        <f>vlookup(B91,'Crew Data'!C:G,5,0)</f>
        <v>Pattorn Kitthathamrong</v>
      </c>
      <c r="D91" s="56" t="s">
        <v>165</v>
      </c>
      <c r="E91" s="55">
        <v>2.0</v>
      </c>
      <c r="F91" s="50">
        <f t="shared" si="1"/>
        <v>800</v>
      </c>
      <c r="G91" s="22">
        <f t="shared" si="2"/>
        <v>1</v>
      </c>
      <c r="H91" s="51" t="s">
        <v>20</v>
      </c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>
      <c r="D92" s="52"/>
    </row>
    <row r="93">
      <c r="D93" s="52"/>
    </row>
    <row r="94">
      <c r="D94" s="52"/>
    </row>
    <row r="95">
      <c r="D95" s="52"/>
    </row>
    <row r="96">
      <c r="D96" s="52"/>
    </row>
    <row r="97">
      <c r="D97" s="52"/>
    </row>
  </sheetData>
  <autoFilter ref="$A$3:$G$91"/>
  <mergeCells count="2">
    <mergeCell ref="A1:F1"/>
    <mergeCell ref="E2:F2"/>
  </mergeCells>
  <dataValidations>
    <dataValidation type="list" allowBlank="1" sqref="H4:H91">
      <formula1>"CHECKED (OK),CHECKED  (NOT OK)"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.63"/>
    <col customWidth="1" min="2" max="2" width="11.25"/>
    <col customWidth="1" min="3" max="3" width="35.25"/>
    <col customWidth="1" min="4" max="4" width="60.25"/>
    <col customWidth="1" min="7" max="7" width="4.88"/>
    <col customWidth="1" min="8" max="8" width="23.5"/>
    <col customWidth="1" min="9" max="9" width="21.63"/>
  </cols>
  <sheetData>
    <row r="1">
      <c r="A1" s="30" t="s">
        <v>166</v>
      </c>
      <c r="G1" s="31"/>
      <c r="H1" s="32" t="s">
        <v>167</v>
      </c>
      <c r="I1" s="33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4" t="s">
        <v>1</v>
      </c>
      <c r="B2" s="35" t="s">
        <v>11</v>
      </c>
      <c r="C2" s="35" t="s">
        <v>12</v>
      </c>
      <c r="D2" s="36" t="s">
        <v>13</v>
      </c>
      <c r="E2" s="37" t="s">
        <v>14</v>
      </c>
      <c r="F2" s="38"/>
      <c r="G2" s="39"/>
      <c r="H2" s="40"/>
      <c r="I2" s="40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58"/>
      <c r="B3" s="59"/>
      <c r="C3" s="59"/>
      <c r="D3" s="60"/>
      <c r="E3" s="42" t="s">
        <v>15</v>
      </c>
      <c r="F3" s="43" t="s">
        <v>5</v>
      </c>
      <c r="G3" s="39"/>
      <c r="H3" s="44" t="s">
        <v>6</v>
      </c>
      <c r="I3" s="45" t="s">
        <v>7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26.25" customHeight="1">
      <c r="A4" s="54">
        <v>1.0</v>
      </c>
      <c r="B4" s="47">
        <v>1004729.0</v>
      </c>
      <c r="C4" s="48" t="str">
        <f>vlookup(B4,'Crew Data'!C:G,5,0)</f>
        <v>Sasimon Chamnansarn</v>
      </c>
      <c r="D4" s="49" t="s">
        <v>164</v>
      </c>
      <c r="E4" s="47">
        <v>2.0</v>
      </c>
      <c r="F4" s="50">
        <f t="shared" ref="F4:F88" si="1">E4*400</f>
        <v>800</v>
      </c>
      <c r="G4" s="22">
        <f t="shared" ref="G4:G88" si="2">COUNTIF(B:B,B4)</f>
        <v>1</v>
      </c>
      <c r="H4" s="51" t="s">
        <v>20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ht="26.25" customHeight="1">
      <c r="A5" s="55">
        <v>2.0</v>
      </c>
      <c r="B5" s="55">
        <v>1003385.0</v>
      </c>
      <c r="C5" s="48" t="str">
        <f>vlookup(B5,'Crew Data'!C:G,5,0)</f>
        <v>Jaruma Jantarapap</v>
      </c>
      <c r="D5" s="49" t="s">
        <v>168</v>
      </c>
      <c r="E5" s="55">
        <v>16.0</v>
      </c>
      <c r="F5" s="50">
        <f t="shared" si="1"/>
        <v>6400</v>
      </c>
      <c r="G5" s="22">
        <f t="shared" si="2"/>
        <v>1</v>
      </c>
      <c r="H5" s="51" t="s">
        <v>20</v>
      </c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ht="24.75" customHeight="1">
      <c r="A6" s="55">
        <v>3.0</v>
      </c>
      <c r="B6" s="55">
        <v>1005297.0</v>
      </c>
      <c r="C6" s="48" t="str">
        <f>vlookup(B6,'Crew Data'!C:G,5,0)</f>
        <v>Kunapond Wutayatornsakul</v>
      </c>
      <c r="D6" s="56" t="s">
        <v>169</v>
      </c>
      <c r="E6" s="55">
        <v>2.0</v>
      </c>
      <c r="F6" s="50">
        <f t="shared" si="1"/>
        <v>800</v>
      </c>
      <c r="G6" s="22">
        <f t="shared" si="2"/>
        <v>1</v>
      </c>
      <c r="H6" s="51" t="s">
        <v>20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ht="24.75" customHeight="1">
      <c r="A7" s="55">
        <v>4.0</v>
      </c>
      <c r="B7" s="55">
        <v>1007011.0</v>
      </c>
      <c r="C7" s="48" t="str">
        <f>vlookup(B7,'Crew Data'!C:G,5,0)</f>
        <v>Jeeraprapa Tuptimdang</v>
      </c>
      <c r="D7" s="56" t="s">
        <v>170</v>
      </c>
      <c r="E7" s="55">
        <v>2.0</v>
      </c>
      <c r="F7" s="50">
        <f t="shared" si="1"/>
        <v>800</v>
      </c>
      <c r="G7" s="22">
        <f t="shared" si="2"/>
        <v>1</v>
      </c>
      <c r="H7" s="51" t="s">
        <v>20</v>
      </c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ht="24.75" customHeight="1">
      <c r="A8" s="55">
        <v>5.0</v>
      </c>
      <c r="B8" s="55">
        <v>1014329.0</v>
      </c>
      <c r="C8" s="48" t="str">
        <f>vlookup(B8,'Crew Data'!C:G,5,0)</f>
        <v>Kanicha Sae-toen</v>
      </c>
      <c r="D8" s="56" t="s">
        <v>171</v>
      </c>
      <c r="E8" s="55">
        <v>2.0</v>
      </c>
      <c r="F8" s="50">
        <f t="shared" si="1"/>
        <v>800</v>
      </c>
      <c r="G8" s="22">
        <f t="shared" si="2"/>
        <v>1</v>
      </c>
      <c r="H8" s="51" t="s">
        <v>20</v>
      </c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ht="24.75" customHeight="1">
      <c r="A9" s="54">
        <v>6.0</v>
      </c>
      <c r="B9" s="55">
        <v>1007276.0</v>
      </c>
      <c r="C9" s="48" t="str">
        <f>vlookup(B9,'Crew Data'!C:G,5,0)</f>
        <v>Teerayut Worawejwisarn</v>
      </c>
      <c r="D9" s="56" t="s">
        <v>172</v>
      </c>
      <c r="E9" s="55">
        <v>2.0</v>
      </c>
      <c r="F9" s="50">
        <f t="shared" si="1"/>
        <v>800</v>
      </c>
      <c r="G9" s="22">
        <f t="shared" si="2"/>
        <v>1</v>
      </c>
      <c r="H9" s="51" t="s">
        <v>20</v>
      </c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ht="24.75" customHeight="1">
      <c r="A10" s="55">
        <v>7.0</v>
      </c>
      <c r="B10" s="55">
        <v>1012907.0</v>
      </c>
      <c r="C10" s="48" t="str">
        <f>vlookup(B10,'Crew Data'!C:G,5,0)</f>
        <v>Thiranuch Chantavarin</v>
      </c>
      <c r="D10" s="56" t="s">
        <v>173</v>
      </c>
      <c r="E10" s="55">
        <v>2.0</v>
      </c>
      <c r="F10" s="50">
        <f t="shared" si="1"/>
        <v>800</v>
      </c>
      <c r="G10" s="22">
        <f t="shared" si="2"/>
        <v>1</v>
      </c>
      <c r="H10" s="51" t="s">
        <v>20</v>
      </c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ht="24.75" customHeight="1">
      <c r="A11" s="55">
        <v>8.0</v>
      </c>
      <c r="B11" s="55">
        <v>1004765.0</v>
      </c>
      <c r="C11" s="48" t="str">
        <f>vlookup(B11,'Crew Data'!C:G,5,0)</f>
        <v>Wasinee Leeopas</v>
      </c>
      <c r="D11" s="56" t="s">
        <v>173</v>
      </c>
      <c r="E11" s="55">
        <v>2.0</v>
      </c>
      <c r="F11" s="50">
        <f t="shared" si="1"/>
        <v>800</v>
      </c>
      <c r="G11" s="22">
        <f t="shared" si="2"/>
        <v>1</v>
      </c>
      <c r="H11" s="51" t="s">
        <v>20</v>
      </c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ht="24.75" customHeight="1">
      <c r="A12" s="55">
        <v>9.0</v>
      </c>
      <c r="B12" s="55">
        <v>1006844.0</v>
      </c>
      <c r="C12" s="48" t="str">
        <f>vlookup(B12,'Crew Data'!C:G,5,0)</f>
        <v>Rada Nilyam</v>
      </c>
      <c r="D12" s="56" t="s">
        <v>174</v>
      </c>
      <c r="E12" s="55">
        <v>2.0</v>
      </c>
      <c r="F12" s="50">
        <f t="shared" si="1"/>
        <v>800</v>
      </c>
      <c r="G12" s="22">
        <f t="shared" si="2"/>
        <v>1</v>
      </c>
      <c r="H12" s="51" t="s">
        <v>20</v>
      </c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ht="24.75" customHeight="1">
      <c r="A13" s="55">
        <v>10.0</v>
      </c>
      <c r="B13" s="55">
        <v>1003137.0</v>
      </c>
      <c r="C13" s="48" t="str">
        <f>vlookup(B13,'Crew Data'!C:G,5,0)</f>
        <v>Patcharamai Udomphol</v>
      </c>
      <c r="D13" s="56" t="s">
        <v>175</v>
      </c>
      <c r="E13" s="55">
        <v>2.0</v>
      </c>
      <c r="F13" s="50">
        <f t="shared" si="1"/>
        <v>800</v>
      </c>
      <c r="G13" s="22">
        <f t="shared" si="2"/>
        <v>1</v>
      </c>
      <c r="H13" s="51" t="s">
        <v>20</v>
      </c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ht="24.75" customHeight="1">
      <c r="A14" s="54">
        <v>11.0</v>
      </c>
      <c r="B14" s="55">
        <v>1005906.0</v>
      </c>
      <c r="C14" s="48" t="str">
        <f>vlookup(B14,'Crew Data'!C:G,5,0)</f>
        <v>Supatra Pokkhabut</v>
      </c>
      <c r="D14" s="56" t="s">
        <v>176</v>
      </c>
      <c r="E14" s="55">
        <v>2.0</v>
      </c>
      <c r="F14" s="50">
        <f t="shared" si="1"/>
        <v>800</v>
      </c>
      <c r="G14" s="22">
        <f t="shared" si="2"/>
        <v>1</v>
      </c>
      <c r="H14" s="51" t="s">
        <v>20</v>
      </c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ht="24.75" customHeight="1">
      <c r="A15" s="55">
        <v>12.0</v>
      </c>
      <c r="B15" s="55">
        <v>1009799.0</v>
      </c>
      <c r="C15" s="48" t="str">
        <f>vlookup(B15,'Crew Data'!C:G,5,0)</f>
        <v>Kittirat Aujsri</v>
      </c>
      <c r="D15" s="56" t="s">
        <v>177</v>
      </c>
      <c r="E15" s="55">
        <v>2.0</v>
      </c>
      <c r="F15" s="50">
        <f t="shared" si="1"/>
        <v>800</v>
      </c>
      <c r="G15" s="22">
        <f t="shared" si="2"/>
        <v>1</v>
      </c>
      <c r="H15" s="51" t="s">
        <v>20</v>
      </c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t="24.75" customHeight="1">
      <c r="A16" s="55">
        <v>13.0</v>
      </c>
      <c r="B16" s="55">
        <v>1007022.0</v>
      </c>
      <c r="C16" s="48" t="str">
        <f>vlookup(B16,'Crew Data'!C:G,5,0)</f>
        <v>Waroot Chanpueak</v>
      </c>
      <c r="D16" s="56" t="s">
        <v>177</v>
      </c>
      <c r="E16" s="55">
        <v>2.0</v>
      </c>
      <c r="F16" s="50">
        <f t="shared" si="1"/>
        <v>800</v>
      </c>
      <c r="G16" s="22">
        <f t="shared" si="2"/>
        <v>1</v>
      </c>
      <c r="H16" s="51" t="s">
        <v>20</v>
      </c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t="24.75" customHeight="1">
      <c r="A17" s="55">
        <v>14.0</v>
      </c>
      <c r="B17" s="55">
        <v>1022989.0</v>
      </c>
      <c r="C17" s="48" t="str">
        <f>vlookup(B17,'Crew Data'!C:G,5,0)</f>
        <v>Peeranat Chavitranurak</v>
      </c>
      <c r="D17" s="56" t="s">
        <v>169</v>
      </c>
      <c r="E17" s="55">
        <v>2.0</v>
      </c>
      <c r="F17" s="50">
        <f t="shared" si="1"/>
        <v>800</v>
      </c>
      <c r="G17" s="22">
        <f t="shared" si="2"/>
        <v>1</v>
      </c>
      <c r="H17" s="51" t="s">
        <v>20</v>
      </c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24.75" customHeight="1">
      <c r="A18" s="55">
        <v>15.0</v>
      </c>
      <c r="B18" s="55">
        <v>1018533.0</v>
      </c>
      <c r="C18" s="48" t="str">
        <f>vlookup(B18,'Crew Data'!C:G,5,0)</f>
        <v>Kunjira Jirawarodom</v>
      </c>
      <c r="D18" s="56" t="s">
        <v>170</v>
      </c>
      <c r="E18" s="55">
        <v>2.0</v>
      </c>
      <c r="F18" s="50">
        <f t="shared" si="1"/>
        <v>800</v>
      </c>
      <c r="G18" s="22">
        <f t="shared" si="2"/>
        <v>1</v>
      </c>
      <c r="H18" s="51" t="s">
        <v>20</v>
      </c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t="24.75" customHeight="1">
      <c r="A19" s="54">
        <v>16.0</v>
      </c>
      <c r="B19" s="55">
        <v>1004047.0</v>
      </c>
      <c r="C19" s="48" t="str">
        <f>vlookup(B19,'Crew Data'!C:G,5,0)</f>
        <v>Sunisa Panhirun</v>
      </c>
      <c r="D19" s="56" t="s">
        <v>176</v>
      </c>
      <c r="E19" s="55">
        <v>2.0</v>
      </c>
      <c r="F19" s="50">
        <f t="shared" si="1"/>
        <v>800</v>
      </c>
      <c r="G19" s="22">
        <f t="shared" si="2"/>
        <v>1</v>
      </c>
      <c r="H19" s="51" t="s">
        <v>20</v>
      </c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ht="24.75" customHeight="1">
      <c r="A20" s="55">
        <v>17.0</v>
      </c>
      <c r="B20" s="55">
        <v>1005329.0</v>
      </c>
      <c r="C20" s="48" t="str">
        <f>vlookup(B20,'Crew Data'!C:G,5,0)</f>
        <v>Thunchanok Phasukcharoen</v>
      </c>
      <c r="D20" s="56" t="s">
        <v>178</v>
      </c>
      <c r="E20" s="55">
        <v>2.0</v>
      </c>
      <c r="F20" s="50">
        <f t="shared" si="1"/>
        <v>800</v>
      </c>
      <c r="G20" s="22">
        <f t="shared" si="2"/>
        <v>1</v>
      </c>
      <c r="H20" s="51" t="s">
        <v>20</v>
      </c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24.75" customHeight="1">
      <c r="A21" s="55">
        <v>18.0</v>
      </c>
      <c r="B21" s="55">
        <v>1013181.0</v>
      </c>
      <c r="C21" s="48" t="str">
        <f>vlookup(B21,'Crew Data'!C:G,5,0)</f>
        <v>Pattorn Kitthathamrong</v>
      </c>
      <c r="D21" s="56" t="s">
        <v>178</v>
      </c>
      <c r="E21" s="55">
        <v>2.0</v>
      </c>
      <c r="F21" s="50">
        <f t="shared" si="1"/>
        <v>800</v>
      </c>
      <c r="G21" s="22">
        <f t="shared" si="2"/>
        <v>1</v>
      </c>
      <c r="H21" s="51" t="s">
        <v>20</v>
      </c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24.75" customHeight="1">
      <c r="A22" s="55">
        <v>19.0</v>
      </c>
      <c r="B22" s="55">
        <v>1018974.0</v>
      </c>
      <c r="C22" s="48" t="str">
        <f>vlookup(B22,'Crew Data'!C:G,5,0)</f>
        <v>Nakharin Preediyanon</v>
      </c>
      <c r="D22" s="56" t="s">
        <v>159</v>
      </c>
      <c r="E22" s="55">
        <v>2.0</v>
      </c>
      <c r="F22" s="50">
        <f t="shared" si="1"/>
        <v>800</v>
      </c>
      <c r="G22" s="22">
        <f t="shared" si="2"/>
        <v>1</v>
      </c>
      <c r="H22" s="51" t="s">
        <v>20</v>
      </c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24.75" customHeight="1">
      <c r="A23" s="55">
        <v>20.0</v>
      </c>
      <c r="B23" s="55">
        <v>1006911.0</v>
      </c>
      <c r="C23" s="48" t="str">
        <f>vlookup(B23,'Crew Data'!C:G,5,0)</f>
        <v>Yuttana Chintanapatumporn</v>
      </c>
      <c r="D23" s="56" t="s">
        <v>174</v>
      </c>
      <c r="E23" s="55">
        <v>2.0</v>
      </c>
      <c r="F23" s="50">
        <f t="shared" si="1"/>
        <v>800</v>
      </c>
      <c r="G23" s="22">
        <f t="shared" si="2"/>
        <v>1</v>
      </c>
      <c r="H23" s="51" t="s">
        <v>20</v>
      </c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24.75" customHeight="1">
      <c r="A24" s="54">
        <v>21.0</v>
      </c>
      <c r="B24" s="55">
        <v>1007339.0</v>
      </c>
      <c r="C24" s="48" t="str">
        <f>vlookup(B24,'Crew Data'!C:G,5,0)</f>
        <v>Chanicha Songkrit</v>
      </c>
      <c r="D24" s="56" t="s">
        <v>179</v>
      </c>
      <c r="E24" s="55">
        <v>2.0</v>
      </c>
      <c r="F24" s="50">
        <f t="shared" si="1"/>
        <v>800</v>
      </c>
      <c r="G24" s="22">
        <f t="shared" si="2"/>
        <v>1</v>
      </c>
      <c r="H24" s="51" t="s">
        <v>20</v>
      </c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24.75" customHeight="1">
      <c r="A25" s="55">
        <v>22.0</v>
      </c>
      <c r="B25" s="55">
        <v>1018803.0</v>
      </c>
      <c r="C25" s="48" t="str">
        <f>vlookup(B25,'Crew Data'!C:G,5,0)</f>
        <v>Natthaphon Poosomchit</v>
      </c>
      <c r="D25" s="56" t="s">
        <v>176</v>
      </c>
      <c r="E25" s="55">
        <v>2.0</v>
      </c>
      <c r="F25" s="50">
        <f t="shared" si="1"/>
        <v>800</v>
      </c>
      <c r="G25" s="22">
        <f t="shared" si="2"/>
        <v>1</v>
      </c>
      <c r="H25" s="51" t="s">
        <v>20</v>
      </c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24.75" customHeight="1">
      <c r="A26" s="55">
        <v>23.0</v>
      </c>
      <c r="B26" s="55">
        <v>1014665.0</v>
      </c>
      <c r="C26" s="48" t="str">
        <f>vlookup(B26,'Crew Data'!C:G,5,0)</f>
        <v>Jaruwan Charoenratanapirom</v>
      </c>
      <c r="D26" s="56" t="s">
        <v>180</v>
      </c>
      <c r="E26" s="55">
        <v>2.0</v>
      </c>
      <c r="F26" s="50">
        <f t="shared" si="1"/>
        <v>800</v>
      </c>
      <c r="G26" s="22">
        <f t="shared" si="2"/>
        <v>1</v>
      </c>
      <c r="H26" s="51" t="s">
        <v>20</v>
      </c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24.75" customHeight="1">
      <c r="A27" s="55">
        <v>24.0</v>
      </c>
      <c r="B27" s="55">
        <v>1011848.0</v>
      </c>
      <c r="C27" s="48" t="str">
        <f>vlookup(B27,'Crew Data'!C:G,5,0)</f>
        <v>Wiput Janvanichstaporn</v>
      </c>
      <c r="D27" s="56" t="s">
        <v>180</v>
      </c>
      <c r="E27" s="55">
        <v>2.0</v>
      </c>
      <c r="F27" s="50">
        <f t="shared" si="1"/>
        <v>800</v>
      </c>
      <c r="G27" s="22">
        <f t="shared" si="2"/>
        <v>1</v>
      </c>
      <c r="H27" s="51" t="s">
        <v>20</v>
      </c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24.75" customHeight="1">
      <c r="A28" s="55">
        <v>25.0</v>
      </c>
      <c r="B28" s="55">
        <v>1000675.0</v>
      </c>
      <c r="C28" s="48" t="str">
        <f>vlookup(B28,'Crew Data'!C:G,5,0)</f>
        <v>Sivaporn Limkanokrat</v>
      </c>
      <c r="D28" s="56" t="s">
        <v>180</v>
      </c>
      <c r="E28" s="55">
        <v>2.0</v>
      </c>
      <c r="F28" s="50">
        <f t="shared" si="1"/>
        <v>800</v>
      </c>
      <c r="G28" s="22">
        <f t="shared" si="2"/>
        <v>1</v>
      </c>
      <c r="H28" s="51" t="s">
        <v>20</v>
      </c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24.75" customHeight="1">
      <c r="A29" s="54">
        <v>26.0</v>
      </c>
      <c r="B29" s="55">
        <v>1006318.0</v>
      </c>
      <c r="C29" s="48" t="str">
        <f>vlookup(B29,'Crew Data'!C:G,5,0)</f>
        <v>Kritsada Tangpriyarak</v>
      </c>
      <c r="D29" s="56" t="s">
        <v>180</v>
      </c>
      <c r="E29" s="55">
        <v>2.0</v>
      </c>
      <c r="F29" s="50">
        <f t="shared" si="1"/>
        <v>800</v>
      </c>
      <c r="G29" s="22">
        <f t="shared" si="2"/>
        <v>1</v>
      </c>
      <c r="H29" s="51" t="s">
        <v>20</v>
      </c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24.75" customHeight="1">
      <c r="A30" s="55">
        <v>27.0</v>
      </c>
      <c r="B30" s="55">
        <v>1006846.0</v>
      </c>
      <c r="C30" s="48" t="str">
        <f>vlookup(B30,'Crew Data'!C:G,5,0)</f>
        <v>Sasikarn Khampan</v>
      </c>
      <c r="D30" s="56" t="s">
        <v>181</v>
      </c>
      <c r="E30" s="55">
        <v>2.0</v>
      </c>
      <c r="F30" s="50">
        <f t="shared" si="1"/>
        <v>800</v>
      </c>
      <c r="G30" s="22">
        <f t="shared" si="2"/>
        <v>1</v>
      </c>
      <c r="H30" s="51" t="s">
        <v>20</v>
      </c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24.75" customHeight="1">
      <c r="A31" s="55">
        <v>28.0</v>
      </c>
      <c r="B31" s="55">
        <v>1025319.0</v>
      </c>
      <c r="C31" s="48" t="str">
        <f>vlookup(B31,'Crew Data'!C:G,5,0)</f>
        <v>Phongsakron Saepan</v>
      </c>
      <c r="D31" s="56" t="s">
        <v>177</v>
      </c>
      <c r="E31" s="55">
        <v>2.0</v>
      </c>
      <c r="F31" s="50">
        <f t="shared" si="1"/>
        <v>800</v>
      </c>
      <c r="G31" s="22">
        <f t="shared" si="2"/>
        <v>1</v>
      </c>
      <c r="H31" s="51" t="s">
        <v>20</v>
      </c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24.75" customHeight="1">
      <c r="A32" s="55">
        <v>29.0</v>
      </c>
      <c r="B32" s="55">
        <v>1006840.0</v>
      </c>
      <c r="C32" s="48" t="str">
        <f>vlookup(B32,'Crew Data'!C:G,5,0)</f>
        <v>Nutthawich Suwanmanee</v>
      </c>
      <c r="D32" s="56" t="s">
        <v>171</v>
      </c>
      <c r="E32" s="55">
        <v>2.0</v>
      </c>
      <c r="F32" s="50">
        <f t="shared" si="1"/>
        <v>800</v>
      </c>
      <c r="G32" s="22">
        <f t="shared" si="2"/>
        <v>1</v>
      </c>
      <c r="H32" s="51" t="s">
        <v>20</v>
      </c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t="24.75" customHeight="1">
      <c r="A33" s="55">
        <v>30.0</v>
      </c>
      <c r="B33" s="55">
        <v>1004540.0</v>
      </c>
      <c r="C33" s="48" t="str">
        <f>vlookup(B33,'Crew Data'!C:G,5,0)</f>
        <v>Thitipa Pinthusaksit</v>
      </c>
      <c r="D33" s="56" t="s">
        <v>182</v>
      </c>
      <c r="E33" s="55">
        <v>2.0</v>
      </c>
      <c r="F33" s="50">
        <f t="shared" si="1"/>
        <v>800</v>
      </c>
      <c r="G33" s="22">
        <f t="shared" si="2"/>
        <v>1</v>
      </c>
      <c r="H33" s="51" t="s">
        <v>20</v>
      </c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24.75" customHeight="1">
      <c r="A34" s="54">
        <v>31.0</v>
      </c>
      <c r="B34" s="55">
        <v>1004375.0</v>
      </c>
      <c r="C34" s="48" t="str">
        <f>vlookup(B34,'Crew Data'!C:G,5,0)</f>
        <v>Arpakorn Kultangwattana</v>
      </c>
      <c r="D34" s="56" t="s">
        <v>179</v>
      </c>
      <c r="E34" s="55">
        <v>2.0</v>
      </c>
      <c r="F34" s="50">
        <f t="shared" si="1"/>
        <v>800</v>
      </c>
      <c r="G34" s="22">
        <f t="shared" si="2"/>
        <v>1</v>
      </c>
      <c r="H34" s="51" t="s">
        <v>20</v>
      </c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ht="24.75" customHeight="1">
      <c r="A35" s="55">
        <v>32.0</v>
      </c>
      <c r="B35" s="55">
        <v>1019518.0</v>
      </c>
      <c r="C35" s="48" t="str">
        <f>vlookup(B35,'Crew Data'!C:G,5,0)</f>
        <v>Naratip Dumrongthai</v>
      </c>
      <c r="D35" s="56" t="s">
        <v>183</v>
      </c>
      <c r="E35" s="55">
        <v>2.0</v>
      </c>
      <c r="F35" s="50">
        <f t="shared" si="1"/>
        <v>800</v>
      </c>
      <c r="G35" s="22">
        <f t="shared" si="2"/>
        <v>1</v>
      </c>
      <c r="H35" s="51" t="s">
        <v>20</v>
      </c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ht="24.75" customHeight="1">
      <c r="A36" s="55">
        <v>33.0</v>
      </c>
      <c r="B36" s="55">
        <v>1006835.0</v>
      </c>
      <c r="C36" s="48" t="str">
        <f>vlookup(B36,'Crew Data'!C:G,5,0)</f>
        <v>Ketsaraporn Borvornmongkolsak</v>
      </c>
      <c r="D36" s="56" t="s">
        <v>184</v>
      </c>
      <c r="E36" s="55">
        <v>2.0</v>
      </c>
      <c r="F36" s="50">
        <f t="shared" si="1"/>
        <v>800</v>
      </c>
      <c r="G36" s="22">
        <f t="shared" si="2"/>
        <v>1</v>
      </c>
      <c r="H36" s="51" t="s">
        <v>20</v>
      </c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ht="24.75" customHeight="1">
      <c r="A37" s="55">
        <v>34.0</v>
      </c>
      <c r="B37" s="55">
        <v>1010934.0</v>
      </c>
      <c r="C37" s="48" t="str">
        <f>vlookup(B37,'Crew Data'!C:G,5,0)</f>
        <v>Werawat Sittipachaikul</v>
      </c>
      <c r="D37" s="56" t="s">
        <v>185</v>
      </c>
      <c r="E37" s="55">
        <v>2.0</v>
      </c>
      <c r="F37" s="50">
        <f t="shared" si="1"/>
        <v>800</v>
      </c>
      <c r="G37" s="22">
        <f t="shared" si="2"/>
        <v>1</v>
      </c>
      <c r="H37" s="51" t="s">
        <v>20</v>
      </c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t="24.75" customHeight="1">
      <c r="A38" s="55">
        <v>35.0</v>
      </c>
      <c r="B38" s="55">
        <v>1019407.0</v>
      </c>
      <c r="C38" s="48" t="str">
        <f>vlookup(B38,'Crew Data'!C:G,5,0)</f>
        <v>Saowapak Siri-athikhom</v>
      </c>
      <c r="D38" s="56" t="s">
        <v>186</v>
      </c>
      <c r="E38" s="55">
        <v>2.0</v>
      </c>
      <c r="F38" s="50">
        <f t="shared" si="1"/>
        <v>800</v>
      </c>
      <c r="G38" s="22">
        <f t="shared" si="2"/>
        <v>1</v>
      </c>
      <c r="H38" s="51" t="s">
        <v>20</v>
      </c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t="24.75" customHeight="1">
      <c r="A39" s="54">
        <v>36.0</v>
      </c>
      <c r="B39" s="55">
        <v>1013180.0</v>
      </c>
      <c r="C39" s="48" t="str">
        <f>vlookup(B39,'Crew Data'!C:G,5,0)</f>
        <v>Nuttinee Rattana-u-dom</v>
      </c>
      <c r="D39" s="56" t="s">
        <v>178</v>
      </c>
      <c r="E39" s="55">
        <v>2.0</v>
      </c>
      <c r="F39" s="50">
        <f t="shared" si="1"/>
        <v>800</v>
      </c>
      <c r="G39" s="22">
        <f t="shared" si="2"/>
        <v>1</v>
      </c>
      <c r="H39" s="51" t="s">
        <v>20</v>
      </c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ht="24.75" customHeight="1">
      <c r="A40" s="55">
        <v>37.0</v>
      </c>
      <c r="B40" s="55">
        <v>1019536.0</v>
      </c>
      <c r="C40" s="48" t="str">
        <f>vlookup(B40,'Crew Data'!C:G,5,0)</f>
        <v>#N/A</v>
      </c>
      <c r="D40" s="56" t="s">
        <v>187</v>
      </c>
      <c r="E40" s="55">
        <v>2.0</v>
      </c>
      <c r="F40" s="50">
        <f t="shared" si="1"/>
        <v>800</v>
      </c>
      <c r="G40" s="22">
        <f t="shared" si="2"/>
        <v>1</v>
      </c>
      <c r="H40" s="51" t="s">
        <v>20</v>
      </c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ht="24.75" customHeight="1">
      <c r="A41" s="55">
        <v>38.0</v>
      </c>
      <c r="B41" s="55">
        <v>1005307.0</v>
      </c>
      <c r="C41" s="48" t="str">
        <f>vlookup(B41,'Crew Data'!C:G,5,0)</f>
        <v>Thanattha Machai</v>
      </c>
      <c r="D41" s="56" t="s">
        <v>181</v>
      </c>
      <c r="E41" s="55">
        <v>2.0</v>
      </c>
      <c r="F41" s="50">
        <f t="shared" si="1"/>
        <v>800</v>
      </c>
      <c r="G41" s="22">
        <f t="shared" si="2"/>
        <v>1</v>
      </c>
      <c r="H41" s="51" t="s">
        <v>20</v>
      </c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ht="24.75" customHeight="1">
      <c r="A42" s="55">
        <v>39.0</v>
      </c>
      <c r="B42" s="55">
        <v>1004450.0</v>
      </c>
      <c r="C42" s="48" t="str">
        <f>vlookup(B42,'Crew Data'!C:G,5,0)</f>
        <v>Suthathip Choosen</v>
      </c>
      <c r="D42" s="56" t="s">
        <v>188</v>
      </c>
      <c r="E42" s="55">
        <v>2.0</v>
      </c>
      <c r="F42" s="50">
        <f t="shared" si="1"/>
        <v>800</v>
      </c>
      <c r="G42" s="22">
        <f t="shared" si="2"/>
        <v>1</v>
      </c>
      <c r="H42" s="51" t="s">
        <v>20</v>
      </c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ht="24.75" customHeight="1">
      <c r="A43" s="55">
        <v>40.0</v>
      </c>
      <c r="B43" s="55">
        <v>1007270.0</v>
      </c>
      <c r="C43" s="48" t="str">
        <f>vlookup(B43,'Crew Data'!C:G,5,0)</f>
        <v>Radarom Sunakorn</v>
      </c>
      <c r="D43" s="56" t="s">
        <v>172</v>
      </c>
      <c r="E43" s="55">
        <v>2.0</v>
      </c>
      <c r="F43" s="50">
        <f t="shared" si="1"/>
        <v>800</v>
      </c>
      <c r="G43" s="22">
        <f t="shared" si="2"/>
        <v>1</v>
      </c>
      <c r="H43" s="51" t="s">
        <v>20</v>
      </c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ht="24.75" customHeight="1">
      <c r="A44" s="54">
        <v>41.0</v>
      </c>
      <c r="B44" s="55">
        <v>1017651.0</v>
      </c>
      <c r="C44" s="48" t="str">
        <f>vlookup(B44,'Crew Data'!C:G,5,0)</f>
        <v>Usana Saepua</v>
      </c>
      <c r="D44" s="56" t="s">
        <v>182</v>
      </c>
      <c r="E44" s="55">
        <v>2.0</v>
      </c>
      <c r="F44" s="50">
        <f t="shared" si="1"/>
        <v>800</v>
      </c>
      <c r="G44" s="22">
        <f t="shared" si="2"/>
        <v>1</v>
      </c>
      <c r="H44" s="51" t="s">
        <v>20</v>
      </c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ht="24.75" customHeight="1">
      <c r="A45" s="55">
        <v>42.0</v>
      </c>
      <c r="B45" s="55">
        <v>1007281.0</v>
      </c>
      <c r="C45" s="48" t="str">
        <f>vlookup(B45,'Crew Data'!C:G,5,0)</f>
        <v>Warodom Wongswasdi</v>
      </c>
      <c r="D45" s="56" t="s">
        <v>189</v>
      </c>
      <c r="E45" s="55">
        <v>4.0</v>
      </c>
      <c r="F45" s="50">
        <f t="shared" si="1"/>
        <v>1600</v>
      </c>
      <c r="G45" s="22">
        <f t="shared" si="2"/>
        <v>1</v>
      </c>
      <c r="H45" s="51" t="s">
        <v>20</v>
      </c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ht="24.75" customHeight="1">
      <c r="A46" s="55">
        <v>43.0</v>
      </c>
      <c r="B46" s="55">
        <v>1007017.0</v>
      </c>
      <c r="C46" s="48" t="str">
        <f>vlookup(B46,'Crew Data'!C:G,5,0)</f>
        <v>#N/A</v>
      </c>
      <c r="D46" s="56" t="s">
        <v>183</v>
      </c>
      <c r="E46" s="55">
        <v>2.0</v>
      </c>
      <c r="F46" s="50">
        <f t="shared" si="1"/>
        <v>800</v>
      </c>
      <c r="G46" s="22">
        <f t="shared" si="2"/>
        <v>1</v>
      </c>
      <c r="H46" s="51" t="s">
        <v>20</v>
      </c>
      <c r="J46" s="6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ht="24.75" customHeight="1">
      <c r="A47" s="55">
        <v>44.0</v>
      </c>
      <c r="B47" s="55">
        <v>1014666.0</v>
      </c>
      <c r="C47" s="48" t="str">
        <f>vlookup(B47,'Crew Data'!C:G,5,0)</f>
        <v>Kanatsanan Wichitthararak</v>
      </c>
      <c r="D47" s="56" t="s">
        <v>171</v>
      </c>
      <c r="E47" s="55">
        <v>2.0</v>
      </c>
      <c r="F47" s="50">
        <f t="shared" si="1"/>
        <v>800</v>
      </c>
      <c r="G47" s="22">
        <f t="shared" si="2"/>
        <v>1</v>
      </c>
      <c r="H47" s="51" t="s">
        <v>20</v>
      </c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ht="24.75" customHeight="1">
      <c r="A48" s="55">
        <v>45.0</v>
      </c>
      <c r="B48" s="55">
        <v>1001393.0</v>
      </c>
      <c r="C48" s="48" t="str">
        <f>vlookup(B48,'Crew Data'!C:G,5,0)</f>
        <v>Natthima Dolchalermkiat</v>
      </c>
      <c r="D48" s="56" t="s">
        <v>186</v>
      </c>
      <c r="E48" s="55">
        <v>2.0</v>
      </c>
      <c r="F48" s="50">
        <f t="shared" si="1"/>
        <v>800</v>
      </c>
      <c r="G48" s="22">
        <f t="shared" si="2"/>
        <v>1</v>
      </c>
      <c r="H48" s="51" t="s">
        <v>20</v>
      </c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ht="24.75" customHeight="1">
      <c r="A49" s="54">
        <v>46.0</v>
      </c>
      <c r="B49" s="55">
        <v>1007016.0</v>
      </c>
      <c r="C49" s="48" t="str">
        <f>vlookup(B49,'Crew Data'!C:G,5,0)</f>
        <v>Sathita Pongsomran</v>
      </c>
      <c r="D49" s="56" t="s">
        <v>183</v>
      </c>
      <c r="E49" s="55">
        <v>2.0</v>
      </c>
      <c r="F49" s="50">
        <f t="shared" si="1"/>
        <v>800</v>
      </c>
      <c r="G49" s="22">
        <f t="shared" si="2"/>
        <v>1</v>
      </c>
      <c r="H49" s="51" t="s">
        <v>20</v>
      </c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ht="24.75" customHeight="1">
      <c r="A50" s="55">
        <v>47.0</v>
      </c>
      <c r="B50" s="55">
        <v>1016229.0</v>
      </c>
      <c r="C50" s="48" t="str">
        <f>vlookup(B50,'Crew Data'!C:G,5,0)</f>
        <v>Sutharat Chimdid</v>
      </c>
      <c r="D50" s="56" t="s">
        <v>187</v>
      </c>
      <c r="E50" s="55">
        <v>2.0</v>
      </c>
      <c r="F50" s="50">
        <f t="shared" si="1"/>
        <v>800</v>
      </c>
      <c r="G50" s="22">
        <f t="shared" si="2"/>
        <v>1</v>
      </c>
      <c r="H50" s="51" t="s">
        <v>20</v>
      </c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ht="24.75" customHeight="1">
      <c r="A51" s="55">
        <v>48.0</v>
      </c>
      <c r="B51" s="55">
        <v>1008991.0</v>
      </c>
      <c r="C51" s="48" t="str">
        <f>vlookup(B51,'Crew Data'!C:G,5,0)</f>
        <v>Premkamon Changsuwan</v>
      </c>
      <c r="D51" s="56" t="s">
        <v>190</v>
      </c>
      <c r="E51" s="55">
        <v>2.0</v>
      </c>
      <c r="F51" s="50">
        <f t="shared" si="1"/>
        <v>800</v>
      </c>
      <c r="G51" s="22">
        <f t="shared" si="2"/>
        <v>1</v>
      </c>
      <c r="H51" s="51" t="s">
        <v>20</v>
      </c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ht="24.75" customHeight="1">
      <c r="A52" s="55">
        <v>49.0</v>
      </c>
      <c r="B52" s="55">
        <v>1025309.0</v>
      </c>
      <c r="C52" s="48" t="str">
        <f>vlookup(B52,'Crew Data'!C:G,5,0)</f>
        <v>Nonthapat Mansamak</v>
      </c>
      <c r="D52" s="56" t="s">
        <v>185</v>
      </c>
      <c r="E52" s="55">
        <v>2.0</v>
      </c>
      <c r="F52" s="50">
        <f t="shared" si="1"/>
        <v>800</v>
      </c>
      <c r="G52" s="22">
        <f t="shared" si="2"/>
        <v>1</v>
      </c>
      <c r="H52" s="51" t="s">
        <v>20</v>
      </c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ht="24.75" customHeight="1">
      <c r="A53" s="55">
        <v>50.0</v>
      </c>
      <c r="B53" s="55">
        <v>1022701.0</v>
      </c>
      <c r="C53" s="48" t="str">
        <f>vlookup(B53,'Crew Data'!C:G,5,0)</f>
        <v>Janyarak Khundilokbovorn</v>
      </c>
      <c r="D53" s="56" t="s">
        <v>188</v>
      </c>
      <c r="E53" s="55">
        <v>2.0</v>
      </c>
      <c r="F53" s="50">
        <f t="shared" si="1"/>
        <v>800</v>
      </c>
      <c r="G53" s="22">
        <f t="shared" si="2"/>
        <v>1</v>
      </c>
      <c r="H53" s="51" t="s">
        <v>20</v>
      </c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ht="24.75" customHeight="1">
      <c r="A54" s="55">
        <v>51.0</v>
      </c>
      <c r="B54" s="55">
        <v>1006086.0</v>
      </c>
      <c r="C54" s="48" t="str">
        <f>vlookup(B54,'Crew Data'!C:G,5,0)</f>
        <v>Tanaporn Wongviboonkul</v>
      </c>
      <c r="D54" s="56" t="s">
        <v>186</v>
      </c>
      <c r="E54" s="55">
        <v>2.0</v>
      </c>
      <c r="F54" s="50">
        <f t="shared" si="1"/>
        <v>800</v>
      </c>
      <c r="G54" s="22">
        <f t="shared" si="2"/>
        <v>1</v>
      </c>
      <c r="H54" s="51" t="s">
        <v>20</v>
      </c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ht="24.75" customHeight="1">
      <c r="A55" s="55">
        <v>52.0</v>
      </c>
      <c r="B55" s="55">
        <v>1003386.0</v>
      </c>
      <c r="C55" s="48" t="str">
        <f>vlookup(B55,'Crew Data'!C:G,5,0)</f>
        <v>#N/A</v>
      </c>
      <c r="D55" s="56" t="s">
        <v>191</v>
      </c>
      <c r="E55" s="55">
        <v>9.0</v>
      </c>
      <c r="F55" s="50">
        <f t="shared" si="1"/>
        <v>3600</v>
      </c>
      <c r="G55" s="22">
        <f t="shared" si="2"/>
        <v>1</v>
      </c>
      <c r="H55" s="51" t="s">
        <v>20</v>
      </c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ht="24.75" customHeight="1">
      <c r="A56" s="55">
        <v>53.0</v>
      </c>
      <c r="B56" s="55">
        <v>1004531.0</v>
      </c>
      <c r="C56" s="48" t="str">
        <f>vlookup(B56,'Crew Data'!C:G,5,0)</f>
        <v>Nattakan Kanokpantarakorn </v>
      </c>
      <c r="D56" s="56" t="s">
        <v>192</v>
      </c>
      <c r="E56" s="55">
        <v>2.0</v>
      </c>
      <c r="F56" s="50">
        <f t="shared" si="1"/>
        <v>800</v>
      </c>
      <c r="G56" s="22">
        <f t="shared" si="2"/>
        <v>1</v>
      </c>
      <c r="H56" s="51" t="s">
        <v>20</v>
      </c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ht="24.75" customHeight="1">
      <c r="A57" s="55">
        <v>54.0</v>
      </c>
      <c r="B57" s="55">
        <v>1006743.0</v>
      </c>
      <c r="C57" s="48" t="str">
        <f>vlookup(B57,'Crew Data'!C:G,5,0)</f>
        <v>Methawadee Nuanganant</v>
      </c>
      <c r="D57" s="56" t="s">
        <v>185</v>
      </c>
      <c r="E57" s="55">
        <v>2.0</v>
      </c>
      <c r="F57" s="50">
        <f t="shared" si="1"/>
        <v>800</v>
      </c>
      <c r="G57" s="22">
        <f t="shared" si="2"/>
        <v>1</v>
      </c>
      <c r="H57" s="51" t="s">
        <v>20</v>
      </c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ht="24.75" customHeight="1">
      <c r="A58" s="54">
        <v>55.0</v>
      </c>
      <c r="B58" s="55">
        <v>1014316.0</v>
      </c>
      <c r="C58" s="48" t="str">
        <f>vlookup(B58,'Crew Data'!C:G,5,0)</f>
        <v>Eakapol Tuncharoen</v>
      </c>
      <c r="D58" s="56" t="s">
        <v>193</v>
      </c>
      <c r="E58" s="55">
        <v>4.0</v>
      </c>
      <c r="F58" s="50">
        <f t="shared" si="1"/>
        <v>1600</v>
      </c>
      <c r="G58" s="22">
        <f t="shared" si="2"/>
        <v>1</v>
      </c>
      <c r="H58" s="51" t="s">
        <v>20</v>
      </c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ht="24.75" customHeight="1">
      <c r="A59" s="55">
        <v>56.0</v>
      </c>
      <c r="B59" s="55">
        <v>1012366.0</v>
      </c>
      <c r="C59" s="48" t="str">
        <f>vlookup(B59,'Crew Data'!C:G,5,0)</f>
        <v>Ronnachai Wannarat</v>
      </c>
      <c r="D59" s="56" t="s">
        <v>194</v>
      </c>
      <c r="E59" s="55">
        <v>2.0</v>
      </c>
      <c r="F59" s="50">
        <f t="shared" si="1"/>
        <v>800</v>
      </c>
      <c r="G59" s="22">
        <f t="shared" si="2"/>
        <v>1</v>
      </c>
      <c r="H59" s="51" t="s">
        <v>20</v>
      </c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ht="24.75" customHeight="1">
      <c r="A60" s="55">
        <v>57.0</v>
      </c>
      <c r="B60" s="55">
        <v>1007262.0</v>
      </c>
      <c r="C60" s="48" t="str">
        <f>vlookup(B60,'Crew Data'!C:G,5,0)</f>
        <v> Kaeokumchai</v>
      </c>
      <c r="D60" s="56" t="s">
        <v>195</v>
      </c>
      <c r="E60" s="55">
        <v>2.0</v>
      </c>
      <c r="F60" s="50">
        <f t="shared" si="1"/>
        <v>800</v>
      </c>
      <c r="G60" s="22">
        <f t="shared" si="2"/>
        <v>1</v>
      </c>
      <c r="H60" s="51" t="s">
        <v>20</v>
      </c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ht="24.75" customHeight="1">
      <c r="A61" s="55">
        <v>58.0</v>
      </c>
      <c r="B61" s="55">
        <v>1012892.0</v>
      </c>
      <c r="C61" s="48" t="str">
        <f>vlookup(B61,'Crew Data'!C:G,5,0)</f>
        <v>Apinya Phiphatwatanarkul</v>
      </c>
      <c r="D61" s="56" t="s">
        <v>173</v>
      </c>
      <c r="E61" s="55">
        <v>2.0</v>
      </c>
      <c r="F61" s="50">
        <f t="shared" si="1"/>
        <v>800</v>
      </c>
      <c r="G61" s="22">
        <f t="shared" si="2"/>
        <v>1</v>
      </c>
      <c r="H61" s="51" t="s">
        <v>20</v>
      </c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ht="24.75" customHeight="1">
      <c r="A62" s="55">
        <v>59.0</v>
      </c>
      <c r="B62" s="55">
        <v>1003172.0</v>
      </c>
      <c r="C62" s="48" t="str">
        <f>vlookup(B62,'Crew Data'!C:G,5,0)</f>
        <v>Natthanit Kaewchoochuen</v>
      </c>
      <c r="D62" s="56" t="s">
        <v>196</v>
      </c>
      <c r="E62" s="55">
        <v>4.0</v>
      </c>
      <c r="F62" s="50">
        <f t="shared" si="1"/>
        <v>1600</v>
      </c>
      <c r="G62" s="22">
        <f t="shared" si="2"/>
        <v>1</v>
      </c>
      <c r="H62" s="51" t="s">
        <v>20</v>
      </c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ht="24.75" customHeight="1">
      <c r="A63" s="55">
        <v>60.0</v>
      </c>
      <c r="B63" s="55">
        <v>1006742.0</v>
      </c>
      <c r="C63" s="48" t="str">
        <f>vlookup(B63,'Crew Data'!C:G,5,0)</f>
        <v>Korakoch Charoenying</v>
      </c>
      <c r="D63" s="56" t="s">
        <v>190</v>
      </c>
      <c r="E63" s="55">
        <v>2.0</v>
      </c>
      <c r="F63" s="50">
        <f t="shared" si="1"/>
        <v>800</v>
      </c>
      <c r="G63" s="22">
        <f t="shared" si="2"/>
        <v>1</v>
      </c>
      <c r="H63" s="51" t="s">
        <v>20</v>
      </c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ht="24.75" customHeight="1">
      <c r="A64" s="55">
        <v>61.0</v>
      </c>
      <c r="B64" s="55">
        <v>1013189.0</v>
      </c>
      <c r="C64" s="48" t="str">
        <f>vlookup(B64,'Crew Data'!C:G,5,0)</f>
        <v>Supakrit Khongvittaya</v>
      </c>
      <c r="D64" s="56" t="s">
        <v>174</v>
      </c>
      <c r="E64" s="55">
        <v>2.0</v>
      </c>
      <c r="F64" s="50">
        <f t="shared" si="1"/>
        <v>800</v>
      </c>
      <c r="G64" s="22">
        <f t="shared" si="2"/>
        <v>1</v>
      </c>
      <c r="H64" s="51" t="s">
        <v>20</v>
      </c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ht="24.75" customHeight="1">
      <c r="A65" s="55">
        <v>62.0</v>
      </c>
      <c r="B65" s="55">
        <v>1019550.0</v>
      </c>
      <c r="C65" s="48" t="str">
        <f>vlookup(B65,'Crew Data'!C:G,5,0)</f>
        <v>Thansaya Gerdnavy</v>
      </c>
      <c r="D65" s="56" t="s">
        <v>183</v>
      </c>
      <c r="E65" s="55">
        <v>2.0</v>
      </c>
      <c r="F65" s="50">
        <f t="shared" si="1"/>
        <v>800</v>
      </c>
      <c r="G65" s="22">
        <f t="shared" si="2"/>
        <v>1</v>
      </c>
      <c r="H65" s="51" t="s">
        <v>20</v>
      </c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ht="24.75" customHeight="1">
      <c r="A66" s="55">
        <v>63.0</v>
      </c>
      <c r="B66" s="55">
        <v>1002370.0</v>
      </c>
      <c r="C66" s="48" t="str">
        <f>vlookup(B66,'Crew Data'!C:G,5,0)</f>
        <v>Napaphat Yuktanan</v>
      </c>
      <c r="D66" s="56" t="s">
        <v>197</v>
      </c>
      <c r="E66" s="55">
        <v>4.0</v>
      </c>
      <c r="F66" s="50">
        <f t="shared" si="1"/>
        <v>1600</v>
      </c>
      <c r="G66" s="22">
        <f t="shared" si="2"/>
        <v>1</v>
      </c>
      <c r="H66" s="51" t="s">
        <v>20</v>
      </c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ht="24.75" customHeight="1">
      <c r="A67" s="54">
        <v>64.0</v>
      </c>
      <c r="B67" s="55">
        <v>1008989.0</v>
      </c>
      <c r="C67" s="48" t="str">
        <f>vlookup(B67,'Crew Data'!C:G,5,0)</f>
        <v>Pornpimon Booranawattanakul</v>
      </c>
      <c r="D67" s="56" t="s">
        <v>190</v>
      </c>
      <c r="E67" s="55">
        <v>2.0</v>
      </c>
      <c r="F67" s="50">
        <f t="shared" si="1"/>
        <v>800</v>
      </c>
      <c r="G67" s="22">
        <f t="shared" si="2"/>
        <v>1</v>
      </c>
      <c r="H67" s="51" t="s">
        <v>20</v>
      </c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ht="24.75" customHeight="1">
      <c r="A68" s="55">
        <v>65.0</v>
      </c>
      <c r="B68" s="55">
        <v>1006989.0</v>
      </c>
      <c r="C68" s="48" t="str">
        <f>vlookup(B68,'Crew Data'!C:G,5,0)</f>
        <v>Pimlawee Unn-A-Nant</v>
      </c>
      <c r="D68" s="56" t="s">
        <v>198</v>
      </c>
      <c r="E68" s="55">
        <v>2.0</v>
      </c>
      <c r="F68" s="50">
        <f t="shared" si="1"/>
        <v>800</v>
      </c>
      <c r="G68" s="22">
        <f t="shared" si="2"/>
        <v>1</v>
      </c>
      <c r="H68" s="51" t="s">
        <v>20</v>
      </c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ht="24.75" customHeight="1">
      <c r="A69" s="55">
        <v>66.0</v>
      </c>
      <c r="B69" s="55">
        <v>1016195.0</v>
      </c>
      <c r="C69" s="48" t="str">
        <f>vlookup(B69,'Crew Data'!C:G,5,0)</f>
        <v>Keerati Sooksai</v>
      </c>
      <c r="D69" s="56" t="s">
        <v>187</v>
      </c>
      <c r="E69" s="55">
        <v>2.0</v>
      </c>
      <c r="F69" s="50">
        <f t="shared" si="1"/>
        <v>800</v>
      </c>
      <c r="G69" s="22">
        <f t="shared" si="2"/>
        <v>1</v>
      </c>
      <c r="H69" s="51" t="s">
        <v>20</v>
      </c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ht="24.75" customHeight="1">
      <c r="A70" s="55">
        <v>67.0</v>
      </c>
      <c r="B70" s="55">
        <v>1004538.0</v>
      </c>
      <c r="C70" s="48" t="str">
        <f>vlookup(B70,'Crew Data'!C:G,5,0)</f>
        <v>Sasipa Lertkiertdamrong</v>
      </c>
      <c r="D70" s="56" t="s">
        <v>192</v>
      </c>
      <c r="E70" s="55">
        <v>2.0</v>
      </c>
      <c r="F70" s="50">
        <f t="shared" si="1"/>
        <v>800</v>
      </c>
      <c r="G70" s="22">
        <f t="shared" si="2"/>
        <v>1</v>
      </c>
      <c r="H70" s="51" t="s">
        <v>20</v>
      </c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ht="24.75" customHeight="1">
      <c r="A71" s="55">
        <v>68.0</v>
      </c>
      <c r="B71" s="55">
        <v>1010939.0</v>
      </c>
      <c r="C71" s="48" t="str">
        <f>vlookup(B71,'Crew Data'!C:G,5,0)</f>
        <v>Yuwarat Meesap</v>
      </c>
      <c r="D71" s="56" t="s">
        <v>198</v>
      </c>
      <c r="E71" s="55">
        <v>2.0</v>
      </c>
      <c r="F71" s="50">
        <f t="shared" si="1"/>
        <v>800</v>
      </c>
      <c r="G71" s="22">
        <f t="shared" si="2"/>
        <v>1</v>
      </c>
      <c r="H71" s="51" t="s">
        <v>20</v>
      </c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ht="24.75" customHeight="1">
      <c r="A72" s="55">
        <v>69.0</v>
      </c>
      <c r="B72" s="55">
        <v>1019397.0</v>
      </c>
      <c r="C72" s="48" t="str">
        <f>vlookup(B72,'Crew Data'!C:G,5,0)</f>
        <v>Jutaporn Gongkam</v>
      </c>
      <c r="D72" s="56" t="s">
        <v>199</v>
      </c>
      <c r="E72" s="55">
        <v>4.0</v>
      </c>
      <c r="F72" s="50">
        <f t="shared" si="1"/>
        <v>1600</v>
      </c>
      <c r="G72" s="22">
        <f t="shared" si="2"/>
        <v>1</v>
      </c>
      <c r="H72" s="51" t="s">
        <v>20</v>
      </c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ht="24.75" customHeight="1">
      <c r="A73" s="55">
        <v>70.0</v>
      </c>
      <c r="B73" s="55">
        <v>1005958.0</v>
      </c>
      <c r="C73" s="48" t="str">
        <f>vlookup(B73,'Crew Data'!C:G,5,0)</f>
        <v>Pumipat Khorkongprasert</v>
      </c>
      <c r="D73" s="56" t="s">
        <v>200</v>
      </c>
      <c r="E73" s="55">
        <v>2.0</v>
      </c>
      <c r="F73" s="50">
        <f t="shared" si="1"/>
        <v>800</v>
      </c>
      <c r="G73" s="22">
        <f t="shared" si="2"/>
        <v>1</v>
      </c>
      <c r="H73" s="51" t="s">
        <v>20</v>
      </c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ht="24.75" customHeight="1">
      <c r="A74" s="55">
        <v>71.0</v>
      </c>
      <c r="B74" s="55">
        <v>1025324.0</v>
      </c>
      <c r="C74" s="48" t="str">
        <f>vlookup(B74,'Crew Data'!C:G,5,0)</f>
        <v>#N/A</v>
      </c>
      <c r="D74" s="56" t="s">
        <v>177</v>
      </c>
      <c r="E74" s="55">
        <v>2.0</v>
      </c>
      <c r="F74" s="50">
        <f t="shared" si="1"/>
        <v>800</v>
      </c>
      <c r="G74" s="22">
        <f t="shared" si="2"/>
        <v>1</v>
      </c>
      <c r="H74" s="51" t="s">
        <v>20</v>
      </c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ht="24.75" customHeight="1">
      <c r="A75" s="55">
        <v>72.0</v>
      </c>
      <c r="B75" s="55">
        <v>1004444.0</v>
      </c>
      <c r="C75" s="48" t="str">
        <f>vlookup(B75,'Crew Data'!C:G,5,0)</f>
        <v>Arisara Nenchatee</v>
      </c>
      <c r="D75" s="56" t="s">
        <v>195</v>
      </c>
      <c r="E75" s="55">
        <v>2.0</v>
      </c>
      <c r="F75" s="50">
        <f t="shared" si="1"/>
        <v>800</v>
      </c>
      <c r="G75" s="22">
        <f t="shared" si="2"/>
        <v>1</v>
      </c>
      <c r="H75" s="51" t="s">
        <v>20</v>
      </c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ht="24.75" customHeight="1">
      <c r="A76" s="54">
        <v>73.0</v>
      </c>
      <c r="B76" s="55">
        <v>1017645.0</v>
      </c>
      <c r="C76" s="48" t="str">
        <f>vlookup(B76,'Crew Data'!C:G,5,0)</f>
        <v>Nattida Palasak</v>
      </c>
      <c r="D76" s="56" t="s">
        <v>201</v>
      </c>
      <c r="E76" s="55">
        <v>4.0</v>
      </c>
      <c r="F76" s="50">
        <f t="shared" si="1"/>
        <v>1600</v>
      </c>
      <c r="G76" s="22">
        <f t="shared" si="2"/>
        <v>1</v>
      </c>
      <c r="H76" s="51" t="s">
        <v>20</v>
      </c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ht="24.75" customHeight="1">
      <c r="A77" s="55">
        <v>74.0</v>
      </c>
      <c r="B77" s="55">
        <v>1006854.0</v>
      </c>
      <c r="C77" s="48" t="str">
        <f>vlookup(B77,'Crew Data'!C:G,5,0)</f>
        <v>Thanachai Wilai-ngam</v>
      </c>
      <c r="D77" s="56" t="s">
        <v>202</v>
      </c>
      <c r="E77" s="55">
        <v>2.0</v>
      </c>
      <c r="F77" s="50">
        <f t="shared" si="1"/>
        <v>800</v>
      </c>
      <c r="G77" s="22">
        <f t="shared" si="2"/>
        <v>1</v>
      </c>
      <c r="H77" s="51" t="s">
        <v>20</v>
      </c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ht="24.75" customHeight="1">
      <c r="A78" s="55">
        <v>75.0</v>
      </c>
      <c r="B78" s="55">
        <v>1001822.0</v>
      </c>
      <c r="C78" s="48" t="str">
        <f>vlookup(B78,'Crew Data'!C:G,5,0)</f>
        <v>Wilasinee Natenopparat</v>
      </c>
      <c r="D78" s="56" t="s">
        <v>203</v>
      </c>
      <c r="E78" s="55">
        <v>6.0</v>
      </c>
      <c r="F78" s="50">
        <f t="shared" si="1"/>
        <v>2400</v>
      </c>
      <c r="G78" s="22">
        <f t="shared" si="2"/>
        <v>1</v>
      </c>
      <c r="H78" s="51" t="s">
        <v>20</v>
      </c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ht="24.75" customHeight="1">
      <c r="A79" s="55">
        <v>76.0</v>
      </c>
      <c r="B79" s="55">
        <v>1025329.0</v>
      </c>
      <c r="C79" s="48" t="str">
        <f>vlookup(B79,'Crew Data'!C:G,5,0)</f>
        <v>Jintana Cheng</v>
      </c>
      <c r="D79" s="56" t="s">
        <v>204</v>
      </c>
      <c r="E79" s="55">
        <v>2.0</v>
      </c>
      <c r="F79" s="50">
        <f t="shared" si="1"/>
        <v>800</v>
      </c>
      <c r="G79" s="22">
        <f t="shared" si="2"/>
        <v>1</v>
      </c>
      <c r="H79" s="51" t="s">
        <v>20</v>
      </c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ht="24.75" customHeight="1">
      <c r="A80" s="55">
        <v>77.0</v>
      </c>
      <c r="B80" s="55">
        <v>1018532.0</v>
      </c>
      <c r="C80" s="48" t="str">
        <f>vlookup(B80,'Crew Data'!C:G,5,0)</f>
        <v>Kantachet Boonserm</v>
      </c>
      <c r="D80" s="56" t="s">
        <v>202</v>
      </c>
      <c r="E80" s="55">
        <v>2.0</v>
      </c>
      <c r="F80" s="50">
        <f t="shared" si="1"/>
        <v>800</v>
      </c>
      <c r="G80" s="22">
        <f t="shared" si="2"/>
        <v>1</v>
      </c>
      <c r="H80" s="51" t="s">
        <v>20</v>
      </c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ht="24.75" customHeight="1">
      <c r="A81" s="55">
        <v>78.0</v>
      </c>
      <c r="B81" s="55">
        <v>1005280.0</v>
      </c>
      <c r="C81" s="48" t="str">
        <f>vlookup(B81,'Crew Data'!C:G,5,0)</f>
        <v>Napaporn Termthanaporn</v>
      </c>
      <c r="D81" s="56" t="s">
        <v>179</v>
      </c>
      <c r="E81" s="55">
        <v>2.0</v>
      </c>
      <c r="F81" s="50">
        <f t="shared" si="1"/>
        <v>800</v>
      </c>
      <c r="G81" s="22">
        <f t="shared" si="2"/>
        <v>1</v>
      </c>
      <c r="H81" s="51" t="s">
        <v>20</v>
      </c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ht="24.75" customHeight="1">
      <c r="A82" s="55">
        <v>79.0</v>
      </c>
      <c r="B82" s="55">
        <v>1000451.0</v>
      </c>
      <c r="C82" s="48" t="str">
        <f>vlookup(B82,'Crew Data'!C:G,5,0)</f>
        <v>Chutima Yuksen</v>
      </c>
      <c r="D82" s="56" t="s">
        <v>169</v>
      </c>
      <c r="E82" s="55">
        <v>2.0</v>
      </c>
      <c r="F82" s="50">
        <f t="shared" si="1"/>
        <v>800</v>
      </c>
      <c r="G82" s="22">
        <f t="shared" si="2"/>
        <v>1</v>
      </c>
      <c r="H82" s="51" t="s">
        <v>20</v>
      </c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ht="24.75" customHeight="1">
      <c r="A83" s="55">
        <v>80.0</v>
      </c>
      <c r="B83" s="55">
        <v>1007020.0</v>
      </c>
      <c r="C83" s="48" t="str">
        <f>vlookup(B83,'Crew Data'!C:G,5,0)</f>
        <v>Thamonwan Chinnarukbumrung</v>
      </c>
      <c r="D83" s="56" t="s">
        <v>170</v>
      </c>
      <c r="E83" s="55">
        <v>2.0</v>
      </c>
      <c r="F83" s="50">
        <f t="shared" si="1"/>
        <v>800</v>
      </c>
      <c r="G83" s="22">
        <f t="shared" si="2"/>
        <v>1</v>
      </c>
      <c r="H83" s="51" t="s">
        <v>20</v>
      </c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ht="24.75" customHeight="1">
      <c r="A84" s="55">
        <v>81.0</v>
      </c>
      <c r="B84" s="55">
        <v>1022983.0</v>
      </c>
      <c r="C84" s="48" t="str">
        <f>vlookup(B84,'Crew Data'!C:G,5,0)</f>
        <v>Surapong Thongchinnawat</v>
      </c>
      <c r="D84" s="56" t="s">
        <v>169</v>
      </c>
      <c r="E84" s="55">
        <v>2.0</v>
      </c>
      <c r="F84" s="50">
        <f t="shared" si="1"/>
        <v>800</v>
      </c>
      <c r="G84" s="22">
        <f t="shared" si="2"/>
        <v>1</v>
      </c>
      <c r="H84" s="51" t="s">
        <v>20</v>
      </c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ht="24.75" customHeight="1">
      <c r="A85" s="54">
        <v>82.0</v>
      </c>
      <c r="B85" s="55">
        <v>1006899.0</v>
      </c>
      <c r="C85" s="48" t="str">
        <f>vlookup(B85,'Crew Data'!C:G,5,0)</f>
        <v>Phakchira Charoensuk</v>
      </c>
      <c r="D85" s="56" t="s">
        <v>205</v>
      </c>
      <c r="E85" s="55">
        <v>2.0</v>
      </c>
      <c r="F85" s="50">
        <f t="shared" si="1"/>
        <v>800</v>
      </c>
      <c r="G85" s="22">
        <f t="shared" si="2"/>
        <v>1</v>
      </c>
      <c r="H85" s="51" t="s">
        <v>20</v>
      </c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ht="24.75" customHeight="1">
      <c r="A86" s="55">
        <v>83.0</v>
      </c>
      <c r="B86" s="55">
        <v>1013192.0</v>
      </c>
      <c r="C86" s="48" t="str">
        <f>vlookup(B86,'Crew Data'!C:G,5,0)</f>
        <v>Thiptanya Phosri</v>
      </c>
      <c r="D86" s="56" t="s">
        <v>178</v>
      </c>
      <c r="E86" s="55">
        <v>2.0</v>
      </c>
      <c r="F86" s="50">
        <f t="shared" si="1"/>
        <v>800</v>
      </c>
      <c r="G86" s="22">
        <f t="shared" si="2"/>
        <v>1</v>
      </c>
      <c r="H86" s="51" t="s">
        <v>20</v>
      </c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ht="24.75" customHeight="1">
      <c r="A87" s="55">
        <v>84.0</v>
      </c>
      <c r="B87" s="55">
        <v>1019300.0</v>
      </c>
      <c r="C87" s="48" t="str">
        <f>vlookup(B87,'Crew Data'!C:G,5,0)</f>
        <v>Piyaporn Mogchai</v>
      </c>
      <c r="D87" s="56" t="s">
        <v>179</v>
      </c>
      <c r="E87" s="55">
        <v>2.0</v>
      </c>
      <c r="F87" s="50">
        <f t="shared" si="1"/>
        <v>800</v>
      </c>
      <c r="G87" s="22">
        <f t="shared" si="2"/>
        <v>1</v>
      </c>
      <c r="H87" s="51" t="s">
        <v>20</v>
      </c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ht="24.75" customHeight="1">
      <c r="A88" s="55">
        <v>85.0</v>
      </c>
      <c r="B88" s="55">
        <v>1002984.0</v>
      </c>
      <c r="C88" s="48" t="str">
        <f>vlookup(B88,'Crew Data'!C:G,5,0)</f>
        <v>Praepailin Luckanatin</v>
      </c>
      <c r="D88" s="56" t="s">
        <v>163</v>
      </c>
      <c r="E88" s="55">
        <v>2.0</v>
      </c>
      <c r="F88" s="50">
        <f t="shared" si="1"/>
        <v>800</v>
      </c>
      <c r="G88" s="22">
        <f t="shared" si="2"/>
        <v>1</v>
      </c>
      <c r="H88" s="51" t="s">
        <v>20</v>
      </c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>
      <c r="D89" s="52"/>
    </row>
    <row r="90">
      <c r="D90" s="52"/>
    </row>
    <row r="91">
      <c r="D91" s="52"/>
    </row>
    <row r="92">
      <c r="D92" s="52"/>
    </row>
    <row r="93">
      <c r="D93" s="52"/>
    </row>
    <row r="94">
      <c r="D94" s="52"/>
    </row>
  </sheetData>
  <autoFilter ref="$A$3:$G$88"/>
  <mergeCells count="2">
    <mergeCell ref="A1:F1"/>
    <mergeCell ref="E2:F2"/>
  </mergeCells>
  <dataValidations>
    <dataValidation type="list" allowBlank="1" sqref="H4:H88">
      <formula1>"CHECKED (OK),CHECKED  (NOT OK)"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.63"/>
    <col customWidth="1" min="2" max="2" width="11.25"/>
    <col customWidth="1" min="3" max="3" width="35.25"/>
    <col customWidth="1" min="4" max="4" width="60.25"/>
    <col customWidth="1" hidden="1" min="7" max="7" width="6.13"/>
    <col customWidth="1" min="8" max="8" width="23.5"/>
    <col customWidth="1" min="9" max="9" width="21.63"/>
  </cols>
  <sheetData>
    <row r="1">
      <c r="A1" s="30" t="s">
        <v>206</v>
      </c>
      <c r="G1" s="31"/>
      <c r="H1" s="32" t="s">
        <v>207</v>
      </c>
      <c r="I1" s="33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4" t="s">
        <v>1</v>
      </c>
      <c r="B2" s="35" t="s">
        <v>11</v>
      </c>
      <c r="C2" s="35" t="s">
        <v>12</v>
      </c>
      <c r="D2" s="36" t="s">
        <v>13</v>
      </c>
      <c r="E2" s="37" t="s">
        <v>14</v>
      </c>
      <c r="F2" s="38"/>
      <c r="G2" s="39"/>
      <c r="H2" s="40"/>
      <c r="I2" s="40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58"/>
      <c r="B3" s="59"/>
      <c r="C3" s="59"/>
      <c r="D3" s="60"/>
      <c r="E3" s="42" t="s">
        <v>15</v>
      </c>
      <c r="F3" s="43" t="s">
        <v>5</v>
      </c>
      <c r="G3" s="39"/>
      <c r="H3" s="44" t="s">
        <v>6</v>
      </c>
      <c r="I3" s="45" t="s">
        <v>7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26.25" customHeight="1">
      <c r="A4" s="54">
        <v>1.0</v>
      </c>
      <c r="B4" s="47">
        <v>1007009.0</v>
      </c>
      <c r="C4" s="48" t="str">
        <f>vlookup(B4,'Crew Data'!C:G,5,0)</f>
        <v>Busayarat Pongratanakul</v>
      </c>
      <c r="D4" s="49" t="s">
        <v>208</v>
      </c>
      <c r="E4" s="47">
        <v>4.0</v>
      </c>
      <c r="F4" s="50">
        <f t="shared" ref="F4:F72" si="1">E4*400</f>
        <v>1600</v>
      </c>
      <c r="G4" s="22">
        <f t="shared" ref="G4:G72" si="2">COUNTIF(B:B,B4)</f>
        <v>1</v>
      </c>
      <c r="H4" s="51" t="s">
        <v>20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ht="26.25" customHeight="1">
      <c r="A5" s="55">
        <v>2.0</v>
      </c>
      <c r="B5" s="55">
        <v>1007029.0</v>
      </c>
      <c r="C5" s="48" t="str">
        <f>vlookup(B5,'Crew Data'!C:G,5,0)</f>
        <v>Pitchaya Dalai</v>
      </c>
      <c r="D5" s="49" t="s">
        <v>184</v>
      </c>
      <c r="E5" s="55">
        <v>2.0</v>
      </c>
      <c r="F5" s="50">
        <f t="shared" si="1"/>
        <v>800</v>
      </c>
      <c r="G5" s="22">
        <f t="shared" si="2"/>
        <v>1</v>
      </c>
      <c r="H5" s="51" t="s">
        <v>20</v>
      </c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ht="24.75" customHeight="1">
      <c r="A6" s="55">
        <v>3.0</v>
      </c>
      <c r="B6" s="55">
        <v>1005303.0</v>
      </c>
      <c r="C6" s="48" t="str">
        <f>vlookup(B6,'Crew Data'!C:G,5,0)</f>
        <v>Piyathida Jaikla</v>
      </c>
      <c r="D6" s="56" t="s">
        <v>195</v>
      </c>
      <c r="E6" s="55">
        <v>2.0</v>
      </c>
      <c r="F6" s="50">
        <f t="shared" si="1"/>
        <v>800</v>
      </c>
      <c r="G6" s="22">
        <f t="shared" si="2"/>
        <v>1</v>
      </c>
      <c r="H6" s="51" t="s">
        <v>20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ht="24.75" customHeight="1">
      <c r="A7" s="55">
        <v>4.0</v>
      </c>
      <c r="B7" s="55">
        <v>1005828.0</v>
      </c>
      <c r="C7" s="48" t="str">
        <f>vlookup(B7,'Crew Data'!C:G,5,0)</f>
        <v>Piyawan Panitanthum</v>
      </c>
      <c r="D7" s="56" t="s">
        <v>209</v>
      </c>
      <c r="E7" s="55">
        <v>2.0</v>
      </c>
      <c r="F7" s="50">
        <f t="shared" si="1"/>
        <v>800</v>
      </c>
      <c r="G7" s="22">
        <f t="shared" si="2"/>
        <v>1</v>
      </c>
      <c r="H7" s="51" t="s">
        <v>20</v>
      </c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ht="24.75" customHeight="1">
      <c r="A8" s="55">
        <v>5.0</v>
      </c>
      <c r="B8" s="55">
        <v>1014665.0</v>
      </c>
      <c r="C8" s="48" t="str">
        <f>vlookup(B8,'Crew Data'!C:G,5,0)</f>
        <v>Jaruwan Charoenratanapirom</v>
      </c>
      <c r="D8" s="56" t="s">
        <v>210</v>
      </c>
      <c r="E8" s="55">
        <v>2.0</v>
      </c>
      <c r="F8" s="50">
        <f t="shared" si="1"/>
        <v>800</v>
      </c>
      <c r="G8" s="22">
        <f t="shared" si="2"/>
        <v>1</v>
      </c>
      <c r="H8" s="51" t="s">
        <v>20</v>
      </c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ht="24.75" customHeight="1">
      <c r="A9" s="54">
        <v>6.0</v>
      </c>
      <c r="B9" s="55">
        <v>1011848.0</v>
      </c>
      <c r="C9" s="48" t="str">
        <f>vlookup(B9,'Crew Data'!C:G,5,0)</f>
        <v>Wiput Janvanichstaporn</v>
      </c>
      <c r="D9" s="56" t="s">
        <v>210</v>
      </c>
      <c r="E9" s="55">
        <v>2.0</v>
      </c>
      <c r="F9" s="50">
        <f t="shared" si="1"/>
        <v>800</v>
      </c>
      <c r="G9" s="22">
        <f t="shared" si="2"/>
        <v>1</v>
      </c>
      <c r="H9" s="51" t="s">
        <v>20</v>
      </c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ht="24.75" customHeight="1">
      <c r="A10" s="55">
        <v>7.0</v>
      </c>
      <c r="B10" s="55">
        <v>1011504.0</v>
      </c>
      <c r="C10" s="48" t="str">
        <f>vlookup(B10,'Crew Data'!C:G,5,0)</f>
        <v>Punyanuch Skulnukulkit</v>
      </c>
      <c r="D10" s="56" t="s">
        <v>211</v>
      </c>
      <c r="E10" s="55">
        <v>2.0</v>
      </c>
      <c r="F10" s="50">
        <f t="shared" si="1"/>
        <v>800</v>
      </c>
      <c r="G10" s="22">
        <f t="shared" si="2"/>
        <v>1</v>
      </c>
      <c r="H10" s="51" t="s">
        <v>20</v>
      </c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ht="24.75" customHeight="1">
      <c r="A11" s="55">
        <v>8.0</v>
      </c>
      <c r="B11" s="55">
        <v>1023594.0</v>
      </c>
      <c r="C11" s="48" t="str">
        <f>vlookup(B11,'Crew Data'!C:G,5,0)</f>
        <v>Teerada Sripochsomboon</v>
      </c>
      <c r="D11" s="56" t="s">
        <v>212</v>
      </c>
      <c r="E11" s="55">
        <v>2.0</v>
      </c>
      <c r="F11" s="50">
        <f t="shared" si="1"/>
        <v>800</v>
      </c>
      <c r="G11" s="22">
        <f t="shared" si="2"/>
        <v>1</v>
      </c>
      <c r="H11" s="51" t="s">
        <v>20</v>
      </c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ht="24.75" customHeight="1">
      <c r="A12" s="55">
        <v>9.0</v>
      </c>
      <c r="B12" s="55">
        <v>1023582.0</v>
      </c>
      <c r="C12" s="48" t="str">
        <f>vlookup(B12,'Crew Data'!C:G,5,0)</f>
        <v>Rawiwan Chailerst</v>
      </c>
      <c r="D12" s="56" t="s">
        <v>212</v>
      </c>
      <c r="E12" s="55">
        <v>2.0</v>
      </c>
      <c r="F12" s="50">
        <f t="shared" si="1"/>
        <v>800</v>
      </c>
      <c r="G12" s="22">
        <f t="shared" si="2"/>
        <v>1</v>
      </c>
      <c r="H12" s="51" t="s">
        <v>20</v>
      </c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ht="24.75" customHeight="1">
      <c r="A13" s="55">
        <v>10.0</v>
      </c>
      <c r="B13" s="55">
        <v>1023581.0</v>
      </c>
      <c r="C13" s="48" t="str">
        <f>vlookup(B13,'Crew Data'!C:G,5,0)</f>
        <v>Pavitra Chaosrithong</v>
      </c>
      <c r="D13" s="56" t="s">
        <v>213</v>
      </c>
      <c r="E13" s="55">
        <v>4.0</v>
      </c>
      <c r="F13" s="50">
        <f t="shared" si="1"/>
        <v>1600</v>
      </c>
      <c r="G13" s="22">
        <f t="shared" si="2"/>
        <v>1</v>
      </c>
      <c r="H13" s="51" t="s">
        <v>20</v>
      </c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ht="24.75" customHeight="1">
      <c r="A14" s="54">
        <v>11.0</v>
      </c>
      <c r="B14" s="55">
        <v>1008956.0</v>
      </c>
      <c r="C14" s="48" t="str">
        <f>vlookup(B14,'Crew Data'!C:G,5,0)</f>
        <v>Duangkamon Thongfuang</v>
      </c>
      <c r="D14" s="56" t="s">
        <v>214</v>
      </c>
      <c r="E14" s="55">
        <v>2.0</v>
      </c>
      <c r="F14" s="50">
        <f t="shared" si="1"/>
        <v>800</v>
      </c>
      <c r="G14" s="22">
        <f t="shared" si="2"/>
        <v>1</v>
      </c>
      <c r="H14" s="51" t="s">
        <v>20</v>
      </c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ht="24.75" customHeight="1">
      <c r="A15" s="55">
        <v>12.0</v>
      </c>
      <c r="B15" s="55">
        <v>1019407.0</v>
      </c>
      <c r="C15" s="48" t="str">
        <f>vlookup(B15,'Crew Data'!C:G,5,0)</f>
        <v>Saowapak Siri-athikhom</v>
      </c>
      <c r="D15" s="56" t="s">
        <v>215</v>
      </c>
      <c r="E15" s="55">
        <v>2.0</v>
      </c>
      <c r="F15" s="50">
        <f t="shared" si="1"/>
        <v>800</v>
      </c>
      <c r="G15" s="22">
        <f t="shared" si="2"/>
        <v>1</v>
      </c>
      <c r="H15" s="51" t="s">
        <v>20</v>
      </c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t="24.75" customHeight="1">
      <c r="A16" s="55">
        <v>13.0</v>
      </c>
      <c r="B16" s="55">
        <v>1019404.0</v>
      </c>
      <c r="C16" s="48" t="str">
        <f>vlookup(B16,'Crew Data'!C:G,5,0)</f>
        <v>Ninlaya Tangmongkhongkon</v>
      </c>
      <c r="D16" s="56" t="s">
        <v>215</v>
      </c>
      <c r="E16" s="55">
        <v>2.0</v>
      </c>
      <c r="F16" s="50">
        <f t="shared" si="1"/>
        <v>800</v>
      </c>
      <c r="G16" s="22">
        <f t="shared" si="2"/>
        <v>1</v>
      </c>
      <c r="H16" s="51" t="s">
        <v>20</v>
      </c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t="24.75" customHeight="1">
      <c r="A17" s="55">
        <v>14.0</v>
      </c>
      <c r="B17" s="55">
        <v>1022660.0</v>
      </c>
      <c r="C17" s="48" t="str">
        <f>vlookup(B17,'Crew Data'!C:G,5,0)</f>
        <v>Ketjiya Sriamonsak</v>
      </c>
      <c r="D17" s="56" t="s">
        <v>215</v>
      </c>
      <c r="E17" s="55">
        <v>2.0</v>
      </c>
      <c r="F17" s="50">
        <f t="shared" si="1"/>
        <v>800</v>
      </c>
      <c r="G17" s="22">
        <f t="shared" si="2"/>
        <v>1</v>
      </c>
      <c r="H17" s="51" t="s">
        <v>20</v>
      </c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24.75" customHeight="1">
      <c r="A18" s="55">
        <v>15.0</v>
      </c>
      <c r="B18" s="55">
        <v>1019518.0</v>
      </c>
      <c r="C18" s="48" t="str">
        <f>vlookup(B18,'Crew Data'!C:G,5,0)</f>
        <v>Naratip Dumrongthai</v>
      </c>
      <c r="D18" s="56" t="s">
        <v>216</v>
      </c>
      <c r="E18" s="55">
        <v>2.0</v>
      </c>
      <c r="F18" s="50">
        <f t="shared" si="1"/>
        <v>800</v>
      </c>
      <c r="G18" s="22">
        <f t="shared" si="2"/>
        <v>1</v>
      </c>
      <c r="H18" s="51" t="s">
        <v>20</v>
      </c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t="24.75" customHeight="1">
      <c r="A19" s="54">
        <v>16.0</v>
      </c>
      <c r="B19" s="55">
        <v>1004034.0</v>
      </c>
      <c r="C19" s="48" t="str">
        <f>vlookup(B19,'Crew Data'!C:G,5,0)</f>
        <v>Monthon Siribunnakul</v>
      </c>
      <c r="D19" s="56" t="s">
        <v>217</v>
      </c>
      <c r="E19" s="55">
        <v>2.0</v>
      </c>
      <c r="F19" s="50">
        <f t="shared" si="1"/>
        <v>800</v>
      </c>
      <c r="G19" s="22">
        <f t="shared" si="2"/>
        <v>1</v>
      </c>
      <c r="H19" s="51" t="s">
        <v>20</v>
      </c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ht="24.75" customHeight="1">
      <c r="A20" s="55">
        <v>17.0</v>
      </c>
      <c r="B20" s="55">
        <v>1011082.0</v>
      </c>
      <c r="C20" s="48" t="str">
        <f>vlookup(B20,'Crew Data'!C:G,5,0)</f>
        <v>Tida Pheechapand</v>
      </c>
      <c r="D20" s="56" t="s">
        <v>218</v>
      </c>
      <c r="E20" s="55">
        <v>2.0</v>
      </c>
      <c r="F20" s="50">
        <f t="shared" si="1"/>
        <v>800</v>
      </c>
      <c r="G20" s="22">
        <f t="shared" si="2"/>
        <v>1</v>
      </c>
      <c r="H20" s="51" t="s">
        <v>20</v>
      </c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24.75" customHeight="1">
      <c r="A21" s="55">
        <v>18.0</v>
      </c>
      <c r="B21" s="55">
        <v>1003368.0</v>
      </c>
      <c r="C21" s="48" t="str">
        <f>vlookup(B21,'Crew Data'!C:G,5,0)</f>
        <v>Woradaluck Lerdthanapaijit</v>
      </c>
      <c r="D21" s="56" t="s">
        <v>211</v>
      </c>
      <c r="E21" s="55">
        <v>2.0</v>
      </c>
      <c r="F21" s="50">
        <f t="shared" si="1"/>
        <v>800</v>
      </c>
      <c r="G21" s="22">
        <f t="shared" si="2"/>
        <v>1</v>
      </c>
      <c r="H21" s="51" t="s">
        <v>20</v>
      </c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24.75" customHeight="1">
      <c r="A22" s="55">
        <v>19.0</v>
      </c>
      <c r="B22" s="55">
        <v>1008359.0</v>
      </c>
      <c r="C22" s="48" t="str">
        <f>vlookup(B22,'Crew Data'!C:G,5,0)</f>
        <v>Peerapol Umpawan</v>
      </c>
      <c r="D22" s="56" t="s">
        <v>217</v>
      </c>
      <c r="E22" s="55">
        <v>2.0</v>
      </c>
      <c r="F22" s="50">
        <f t="shared" si="1"/>
        <v>800</v>
      </c>
      <c r="G22" s="22">
        <f t="shared" si="2"/>
        <v>1</v>
      </c>
      <c r="H22" s="51" t="s">
        <v>20</v>
      </c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24.75" customHeight="1">
      <c r="A23" s="55">
        <v>20.0</v>
      </c>
      <c r="B23" s="55">
        <v>1018791.0</v>
      </c>
      <c r="C23" s="48" t="str">
        <f>vlookup(B23,'Crew Data'!C:G,5,0)</f>
        <v>Kitdanai Tiantanawit</v>
      </c>
      <c r="D23" s="56" t="s">
        <v>216</v>
      </c>
      <c r="E23" s="55">
        <v>2.0</v>
      </c>
      <c r="F23" s="50">
        <f t="shared" si="1"/>
        <v>800</v>
      </c>
      <c r="G23" s="22">
        <f t="shared" si="2"/>
        <v>1</v>
      </c>
      <c r="H23" s="51" t="s">
        <v>20</v>
      </c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24.75" customHeight="1">
      <c r="A24" s="54">
        <v>21.0</v>
      </c>
      <c r="B24" s="55">
        <v>1025307.0</v>
      </c>
      <c r="C24" s="48" t="str">
        <f>vlookup(B24,'Crew Data'!C:G,5,0)</f>
        <v>Krisada Kerdsuwan</v>
      </c>
      <c r="D24" s="56" t="s">
        <v>219</v>
      </c>
      <c r="E24" s="55">
        <v>2.0</v>
      </c>
      <c r="F24" s="50">
        <f t="shared" si="1"/>
        <v>800</v>
      </c>
      <c r="G24" s="22">
        <f t="shared" si="2"/>
        <v>1</v>
      </c>
      <c r="H24" s="51" t="s">
        <v>20</v>
      </c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24.75" customHeight="1">
      <c r="A25" s="55">
        <v>22.0</v>
      </c>
      <c r="B25" s="55">
        <v>1015097.0</v>
      </c>
      <c r="C25" s="48" t="str">
        <f>vlookup(B25,'Crew Data'!C:G,5,0)</f>
        <v>#N/A</v>
      </c>
      <c r="D25" s="56" t="s">
        <v>219</v>
      </c>
      <c r="E25" s="55">
        <v>2.0</v>
      </c>
      <c r="F25" s="50">
        <f t="shared" si="1"/>
        <v>800</v>
      </c>
      <c r="G25" s="22">
        <f t="shared" si="2"/>
        <v>1</v>
      </c>
      <c r="H25" s="51" t="s">
        <v>20</v>
      </c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24.75" customHeight="1">
      <c r="A26" s="55">
        <v>23.0</v>
      </c>
      <c r="B26" s="55">
        <v>1011741.0</v>
      </c>
      <c r="C26" s="48" t="str">
        <f>vlookup(B26,'Crew Data'!C:G,5,0)</f>
        <v>Naphak Aussanon</v>
      </c>
      <c r="D26" s="56" t="s">
        <v>220</v>
      </c>
      <c r="E26" s="55">
        <v>2.0</v>
      </c>
      <c r="F26" s="50">
        <f t="shared" si="1"/>
        <v>800</v>
      </c>
      <c r="G26" s="22">
        <f t="shared" si="2"/>
        <v>1</v>
      </c>
      <c r="H26" s="51" t="s">
        <v>20</v>
      </c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24.75" customHeight="1">
      <c r="A27" s="55">
        <v>24.0</v>
      </c>
      <c r="B27" s="55">
        <v>1007017.0</v>
      </c>
      <c r="C27" s="48" t="str">
        <f>vlookup(B27,'Crew Data'!C:G,5,0)</f>
        <v>#N/A</v>
      </c>
      <c r="D27" s="56" t="s">
        <v>221</v>
      </c>
      <c r="E27" s="55">
        <v>4.0</v>
      </c>
      <c r="F27" s="50">
        <f t="shared" si="1"/>
        <v>1600</v>
      </c>
      <c r="G27" s="22">
        <f t="shared" si="2"/>
        <v>1</v>
      </c>
      <c r="H27" s="51" t="s">
        <v>20</v>
      </c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24.75" customHeight="1">
      <c r="A28" s="55">
        <v>25.0</v>
      </c>
      <c r="B28" s="55">
        <v>1022708.0</v>
      </c>
      <c r="C28" s="48" t="str">
        <f>vlookup(B28,'Crew Data'!C:G,5,0)</f>
        <v>Sirilak Phanphipat</v>
      </c>
      <c r="D28" s="56" t="s">
        <v>222</v>
      </c>
      <c r="E28" s="55">
        <v>2.0</v>
      </c>
      <c r="F28" s="50">
        <f t="shared" si="1"/>
        <v>800</v>
      </c>
      <c r="G28" s="22">
        <f t="shared" si="2"/>
        <v>1</v>
      </c>
      <c r="H28" s="51" t="s">
        <v>20</v>
      </c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24.75" customHeight="1">
      <c r="A29" s="54">
        <v>26.0</v>
      </c>
      <c r="B29" s="55">
        <v>1004729.0</v>
      </c>
      <c r="C29" s="48" t="str">
        <f>vlookup(B29,'Crew Data'!C:G,5,0)</f>
        <v>Sasimon Chamnansarn</v>
      </c>
      <c r="D29" s="56" t="s">
        <v>223</v>
      </c>
      <c r="E29" s="55">
        <v>2.0</v>
      </c>
      <c r="F29" s="50">
        <f t="shared" si="1"/>
        <v>800</v>
      </c>
      <c r="G29" s="22">
        <f t="shared" si="2"/>
        <v>1</v>
      </c>
      <c r="H29" s="51" t="s">
        <v>20</v>
      </c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24.75" customHeight="1">
      <c r="A30" s="55">
        <v>27.0</v>
      </c>
      <c r="B30" s="55">
        <v>1017655.0</v>
      </c>
      <c r="C30" s="48" t="str">
        <f>vlookup(B30,'Crew Data'!C:G,5,0)</f>
        <v>Waris Suaprasert</v>
      </c>
      <c r="D30" s="56" t="s">
        <v>224</v>
      </c>
      <c r="E30" s="55">
        <v>2.0</v>
      </c>
      <c r="F30" s="50">
        <f t="shared" si="1"/>
        <v>800</v>
      </c>
      <c r="G30" s="22">
        <f t="shared" si="2"/>
        <v>1</v>
      </c>
      <c r="H30" s="51" t="s">
        <v>20</v>
      </c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24.75" customHeight="1">
      <c r="A31" s="55">
        <v>28.0</v>
      </c>
      <c r="B31" s="55">
        <v>1003386.0</v>
      </c>
      <c r="C31" s="48" t="str">
        <f>vlookup(B31,'Crew Data'!C:G,5,0)</f>
        <v>#N/A</v>
      </c>
      <c r="D31" s="56" t="s">
        <v>225</v>
      </c>
      <c r="E31" s="55">
        <v>6.0</v>
      </c>
      <c r="F31" s="50">
        <f t="shared" si="1"/>
        <v>2400</v>
      </c>
      <c r="G31" s="22">
        <f t="shared" si="2"/>
        <v>1</v>
      </c>
      <c r="H31" s="51" t="s">
        <v>20</v>
      </c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24.75" customHeight="1">
      <c r="A32" s="55">
        <v>29.0</v>
      </c>
      <c r="B32" s="55">
        <v>1010926.0</v>
      </c>
      <c r="C32" s="48" t="str">
        <f>vlookup(B32,'Crew Data'!C:G,5,0)</f>
        <v>Thanchanoth Chiwnarupai</v>
      </c>
      <c r="D32" s="56" t="s">
        <v>226</v>
      </c>
      <c r="E32" s="55">
        <v>2.0</v>
      </c>
      <c r="F32" s="50">
        <f t="shared" si="1"/>
        <v>800</v>
      </c>
      <c r="G32" s="22">
        <f t="shared" si="2"/>
        <v>1</v>
      </c>
      <c r="H32" s="51" t="s">
        <v>20</v>
      </c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t="24.75" customHeight="1">
      <c r="A33" s="55">
        <v>30.0</v>
      </c>
      <c r="B33" s="55">
        <v>1019397.0</v>
      </c>
      <c r="C33" s="48" t="str">
        <f>vlookup(B33,'Crew Data'!C:G,5,0)</f>
        <v>Jutaporn Gongkam</v>
      </c>
      <c r="D33" s="56" t="s">
        <v>218</v>
      </c>
      <c r="E33" s="55">
        <v>2.0</v>
      </c>
      <c r="F33" s="50">
        <f t="shared" si="1"/>
        <v>800</v>
      </c>
      <c r="G33" s="22">
        <f t="shared" si="2"/>
        <v>1</v>
      </c>
      <c r="H33" s="51" t="s">
        <v>20</v>
      </c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24.75" customHeight="1">
      <c r="A34" s="54">
        <v>31.0</v>
      </c>
      <c r="B34" s="55">
        <v>1016232.0</v>
      </c>
      <c r="C34" s="48" t="str">
        <f>vlookup(B34,'Crew Data'!C:G,5,0)</f>
        <v>Thanyachatchanok Bamrungsapsakul</v>
      </c>
      <c r="D34" s="56" t="s">
        <v>227</v>
      </c>
      <c r="E34" s="55">
        <v>2.0</v>
      </c>
      <c r="F34" s="50">
        <f t="shared" si="1"/>
        <v>800</v>
      </c>
      <c r="G34" s="22">
        <f t="shared" si="2"/>
        <v>1</v>
      </c>
      <c r="H34" s="51" t="s">
        <v>20</v>
      </c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ht="24.75" customHeight="1">
      <c r="A35" s="55">
        <v>32.0</v>
      </c>
      <c r="B35" s="55">
        <v>1012981.0</v>
      </c>
      <c r="C35" s="48" t="str">
        <f>vlookup(B35,'Crew Data'!C:G,5,0)</f>
        <v>Chinakrit Boonyapiwat</v>
      </c>
      <c r="D35" s="56" t="s">
        <v>228</v>
      </c>
      <c r="E35" s="55">
        <v>2.0</v>
      </c>
      <c r="F35" s="50">
        <f t="shared" si="1"/>
        <v>800</v>
      </c>
      <c r="G35" s="22">
        <f t="shared" si="2"/>
        <v>1</v>
      </c>
      <c r="H35" s="51" t="s">
        <v>20</v>
      </c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ht="24.75" customHeight="1">
      <c r="A36" s="55">
        <v>33.0</v>
      </c>
      <c r="B36" s="55">
        <v>1011084.0</v>
      </c>
      <c r="C36" s="48" t="str">
        <f>vlookup(B36,'Crew Data'!C:G,5,0)</f>
        <v>Warich Nathtigoon</v>
      </c>
      <c r="D36" s="56" t="s">
        <v>229</v>
      </c>
      <c r="E36" s="55">
        <v>2.0</v>
      </c>
      <c r="F36" s="50">
        <f t="shared" si="1"/>
        <v>800</v>
      </c>
      <c r="G36" s="22">
        <f t="shared" si="2"/>
        <v>1</v>
      </c>
      <c r="H36" s="51" t="s">
        <v>20</v>
      </c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ht="24.75" customHeight="1">
      <c r="A37" s="55">
        <v>34.0</v>
      </c>
      <c r="B37" s="55">
        <v>1011830.0</v>
      </c>
      <c r="C37" s="48" t="str">
        <f>vlookup(B37,'Crew Data'!C:G,5,0)</f>
        <v>Rathaphon Pratheappornsak</v>
      </c>
      <c r="D37" s="56" t="s">
        <v>210</v>
      </c>
      <c r="E37" s="55">
        <v>2.0</v>
      </c>
      <c r="F37" s="50">
        <f t="shared" si="1"/>
        <v>800</v>
      </c>
      <c r="G37" s="22">
        <f t="shared" si="2"/>
        <v>1</v>
      </c>
      <c r="H37" s="51" t="s">
        <v>20</v>
      </c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t="24.75" customHeight="1">
      <c r="A38" s="55">
        <v>35.0</v>
      </c>
      <c r="B38" s="55">
        <v>1011071.0</v>
      </c>
      <c r="C38" s="48" t="str">
        <f>vlookup(B38,'Crew Data'!C:G,5,0)</f>
        <v>Puttinee Satjapanpong </v>
      </c>
      <c r="D38" s="56" t="s">
        <v>230</v>
      </c>
      <c r="E38" s="55">
        <v>2.0</v>
      </c>
      <c r="F38" s="50">
        <f t="shared" si="1"/>
        <v>800</v>
      </c>
      <c r="G38" s="22">
        <f t="shared" si="2"/>
        <v>1</v>
      </c>
      <c r="H38" s="51" t="s">
        <v>20</v>
      </c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t="24.75" customHeight="1">
      <c r="A39" s="54">
        <v>36.0</v>
      </c>
      <c r="B39" s="55">
        <v>1001317.0</v>
      </c>
      <c r="C39" s="48" t="str">
        <f>vlookup(B39,'Crew Data'!C:G,5,0)</f>
        <v>Umaporn Charnond</v>
      </c>
      <c r="D39" s="56" t="s">
        <v>231</v>
      </c>
      <c r="E39" s="55">
        <v>2.0</v>
      </c>
      <c r="F39" s="50">
        <f t="shared" si="1"/>
        <v>800</v>
      </c>
      <c r="G39" s="22">
        <f t="shared" si="2"/>
        <v>1</v>
      </c>
      <c r="H39" s="51" t="s">
        <v>20</v>
      </c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ht="24.75" customHeight="1">
      <c r="A40" s="55">
        <v>37.0</v>
      </c>
      <c r="B40" s="55">
        <v>1006846.0</v>
      </c>
      <c r="C40" s="48" t="str">
        <f>vlookup(B40,'Crew Data'!C:G,5,0)</f>
        <v>Sasikarn Khampan</v>
      </c>
      <c r="D40" s="56" t="s">
        <v>223</v>
      </c>
      <c r="E40" s="55">
        <v>2.0</v>
      </c>
      <c r="F40" s="50">
        <f t="shared" si="1"/>
        <v>800</v>
      </c>
      <c r="G40" s="22">
        <f t="shared" si="2"/>
        <v>1</v>
      </c>
      <c r="H40" s="51" t="s">
        <v>20</v>
      </c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ht="24.75" customHeight="1">
      <c r="A41" s="55">
        <v>38.0</v>
      </c>
      <c r="B41" s="55">
        <v>1006052.0</v>
      </c>
      <c r="C41" s="48" t="str">
        <f>vlookup(B41,'Crew Data'!C:G,5,0)</f>
        <v>Ananya Sindhusen</v>
      </c>
      <c r="D41" s="56" t="s">
        <v>232</v>
      </c>
      <c r="E41" s="55">
        <v>2.0</v>
      </c>
      <c r="F41" s="50">
        <f t="shared" si="1"/>
        <v>800</v>
      </c>
      <c r="G41" s="22">
        <f t="shared" si="2"/>
        <v>1</v>
      </c>
      <c r="H41" s="51" t="s">
        <v>20</v>
      </c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ht="24.75" customHeight="1">
      <c r="A42" s="55">
        <v>39.0</v>
      </c>
      <c r="B42" s="55">
        <v>1019307.0</v>
      </c>
      <c r="C42" s="48" t="str">
        <f>vlookup(B42,'Crew Data'!C:G,5,0)</f>
        <v>Thanyathorn Krisanayanyong</v>
      </c>
      <c r="D42" s="56" t="s">
        <v>220</v>
      </c>
      <c r="E42" s="55">
        <v>2.0</v>
      </c>
      <c r="F42" s="50">
        <f t="shared" si="1"/>
        <v>800</v>
      </c>
      <c r="G42" s="22">
        <f t="shared" si="2"/>
        <v>1</v>
      </c>
      <c r="H42" s="51" t="s">
        <v>20</v>
      </c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ht="24.75" customHeight="1">
      <c r="A43" s="55">
        <v>40.0</v>
      </c>
      <c r="B43" s="55">
        <v>1018803.0</v>
      </c>
      <c r="C43" s="48" t="str">
        <f>vlookup(B43,'Crew Data'!C:G,5,0)</f>
        <v>Natthaphon Poosomchit</v>
      </c>
      <c r="D43" s="56" t="s">
        <v>233</v>
      </c>
      <c r="E43" s="55">
        <v>2.0</v>
      </c>
      <c r="F43" s="50">
        <f t="shared" si="1"/>
        <v>800</v>
      </c>
      <c r="G43" s="22">
        <f t="shared" si="2"/>
        <v>1</v>
      </c>
      <c r="H43" s="51" t="s">
        <v>20</v>
      </c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ht="24.75" customHeight="1">
      <c r="A44" s="54">
        <v>41.0</v>
      </c>
      <c r="B44" s="55">
        <v>1001319.0</v>
      </c>
      <c r="C44" s="48" t="str">
        <f>vlookup(B44,'Crew Data'!C:G,5,0)</f>
        <v>Wipat Lurkasemsuk</v>
      </c>
      <c r="D44" s="56" t="s">
        <v>232</v>
      </c>
      <c r="E44" s="55">
        <v>2.0</v>
      </c>
      <c r="F44" s="50">
        <f t="shared" si="1"/>
        <v>800</v>
      </c>
      <c r="G44" s="22">
        <f t="shared" si="2"/>
        <v>1</v>
      </c>
      <c r="H44" s="51" t="s">
        <v>20</v>
      </c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ht="24.75" customHeight="1">
      <c r="A45" s="55">
        <v>42.0</v>
      </c>
      <c r="B45" s="55">
        <v>1018535.0</v>
      </c>
      <c r="C45" s="48" t="str">
        <f>vlookup(B45,'Crew Data'!C:G,5,0)</f>
        <v>Nawapu Dontaolek</v>
      </c>
      <c r="D45" s="56" t="s">
        <v>232</v>
      </c>
      <c r="E45" s="55">
        <v>2.0</v>
      </c>
      <c r="F45" s="50">
        <f t="shared" si="1"/>
        <v>800</v>
      </c>
      <c r="G45" s="22">
        <f t="shared" si="2"/>
        <v>1</v>
      </c>
      <c r="H45" s="51" t="s">
        <v>20</v>
      </c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ht="24.75" customHeight="1">
      <c r="A46" s="55">
        <v>43.0</v>
      </c>
      <c r="B46" s="55">
        <v>1007016.0</v>
      </c>
      <c r="C46" s="48" t="str">
        <f>vlookup(B46,'Crew Data'!C:G,5,0)</f>
        <v>Sathita Pongsomran</v>
      </c>
      <c r="D46" s="56" t="s">
        <v>216</v>
      </c>
      <c r="E46" s="55">
        <v>2.0</v>
      </c>
      <c r="F46" s="50">
        <f t="shared" si="1"/>
        <v>800</v>
      </c>
      <c r="G46" s="22">
        <f t="shared" si="2"/>
        <v>1</v>
      </c>
      <c r="H46" s="51" t="s">
        <v>20</v>
      </c>
      <c r="J46" s="6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ht="24.75" customHeight="1">
      <c r="A47" s="55">
        <v>44.0</v>
      </c>
      <c r="B47" s="55">
        <v>1004857.0</v>
      </c>
      <c r="C47" s="48" t="str">
        <f>vlookup(B47,'Crew Data'!C:G,5,0)</f>
        <v>#N/A</v>
      </c>
      <c r="D47" s="56" t="s">
        <v>233</v>
      </c>
      <c r="E47" s="55">
        <v>2.0</v>
      </c>
      <c r="F47" s="50">
        <f t="shared" si="1"/>
        <v>800</v>
      </c>
      <c r="G47" s="22">
        <f t="shared" si="2"/>
        <v>1</v>
      </c>
      <c r="H47" s="51" t="s">
        <v>20</v>
      </c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ht="24.75" customHeight="1">
      <c r="A48" s="55">
        <v>45.0</v>
      </c>
      <c r="B48" s="55">
        <v>1007207.0</v>
      </c>
      <c r="C48" s="48" t="str">
        <f>vlookup(B48,'Crew Data'!C:G,5,0)</f>
        <v>Sasiwan Nakate</v>
      </c>
      <c r="D48" s="56" t="s">
        <v>234</v>
      </c>
      <c r="E48" s="55">
        <v>4.0</v>
      </c>
      <c r="F48" s="50">
        <f t="shared" si="1"/>
        <v>1600</v>
      </c>
      <c r="G48" s="22">
        <f t="shared" si="2"/>
        <v>1</v>
      </c>
      <c r="H48" s="51" t="s">
        <v>20</v>
      </c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ht="24.75" customHeight="1">
      <c r="A49" s="54">
        <v>46.0</v>
      </c>
      <c r="B49" s="55">
        <v>1022983.0</v>
      </c>
      <c r="C49" s="48" t="str">
        <f>vlookup(B49,'Crew Data'!C:G,5,0)</f>
        <v>Surapong Thongchinnawat</v>
      </c>
      <c r="D49" s="56" t="s">
        <v>235</v>
      </c>
      <c r="E49" s="55">
        <v>2.0</v>
      </c>
      <c r="F49" s="50">
        <f t="shared" si="1"/>
        <v>800</v>
      </c>
      <c r="G49" s="22">
        <f t="shared" si="2"/>
        <v>1</v>
      </c>
      <c r="H49" s="51" t="s">
        <v>20</v>
      </c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ht="24.75" customHeight="1">
      <c r="A50" s="55">
        <v>47.0</v>
      </c>
      <c r="B50" s="55">
        <v>1009768.0</v>
      </c>
      <c r="C50" s="48" t="str">
        <f>vlookup(B50,'Crew Data'!C:G,5,0)</f>
        <v>Thidech Eakmongkollert</v>
      </c>
      <c r="D50" s="56" t="s">
        <v>236</v>
      </c>
      <c r="E50" s="55">
        <v>2.0</v>
      </c>
      <c r="F50" s="50">
        <f t="shared" si="1"/>
        <v>800</v>
      </c>
      <c r="G50" s="22">
        <f t="shared" si="2"/>
        <v>1</v>
      </c>
      <c r="H50" s="51" t="s">
        <v>20</v>
      </c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ht="24.75" customHeight="1">
      <c r="A51" s="55">
        <v>48.0</v>
      </c>
      <c r="B51" s="55">
        <v>1018533.0</v>
      </c>
      <c r="C51" s="48" t="str">
        <f>vlookup(B51,'Crew Data'!C:G,5,0)</f>
        <v>Kunjira Jirawarodom</v>
      </c>
      <c r="D51" s="56" t="s">
        <v>217</v>
      </c>
      <c r="E51" s="55">
        <v>2.0</v>
      </c>
      <c r="F51" s="50">
        <f t="shared" si="1"/>
        <v>800</v>
      </c>
      <c r="G51" s="22">
        <f t="shared" si="2"/>
        <v>1</v>
      </c>
      <c r="H51" s="51" t="s">
        <v>20</v>
      </c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ht="24.75" customHeight="1">
      <c r="A52" s="55">
        <v>49.0</v>
      </c>
      <c r="B52" s="55">
        <v>1022845.0</v>
      </c>
      <c r="C52" s="48" t="str">
        <f>vlookup(B52,'Crew Data'!C:G,5,0)</f>
        <v>Phattharasiri Kamkhow</v>
      </c>
      <c r="D52" s="56" t="s">
        <v>235</v>
      </c>
      <c r="E52" s="55">
        <v>2.0</v>
      </c>
      <c r="F52" s="50">
        <f t="shared" si="1"/>
        <v>800</v>
      </c>
      <c r="G52" s="22">
        <f t="shared" si="2"/>
        <v>1</v>
      </c>
      <c r="H52" s="51" t="s">
        <v>20</v>
      </c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ht="24.75" customHeight="1">
      <c r="A53" s="55">
        <v>50.0</v>
      </c>
      <c r="B53" s="55">
        <v>1010939.0</v>
      </c>
      <c r="C53" s="48" t="str">
        <f>vlookup(B53,'Crew Data'!C:G,5,0)</f>
        <v>Yuwarat Meesap</v>
      </c>
      <c r="D53" s="56" t="s">
        <v>231</v>
      </c>
      <c r="E53" s="55">
        <v>2.0</v>
      </c>
      <c r="F53" s="50">
        <f t="shared" si="1"/>
        <v>800</v>
      </c>
      <c r="G53" s="22">
        <f t="shared" si="2"/>
        <v>1</v>
      </c>
      <c r="H53" s="51" t="s">
        <v>20</v>
      </c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ht="24.75" customHeight="1">
      <c r="A54" s="55">
        <v>51.0</v>
      </c>
      <c r="B54" s="55">
        <v>1002370.0</v>
      </c>
      <c r="C54" s="48" t="str">
        <f>vlookup(B54,'Crew Data'!C:G,5,0)</f>
        <v>Napaphat Yuktanan</v>
      </c>
      <c r="D54" s="56" t="s">
        <v>227</v>
      </c>
      <c r="E54" s="55">
        <v>2.0</v>
      </c>
      <c r="F54" s="50">
        <f t="shared" si="1"/>
        <v>800</v>
      </c>
      <c r="G54" s="22">
        <f t="shared" si="2"/>
        <v>1</v>
      </c>
      <c r="H54" s="51" t="s">
        <v>20</v>
      </c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ht="24.75" customHeight="1">
      <c r="A55" s="55">
        <v>52.0</v>
      </c>
      <c r="B55" s="55">
        <v>1018981.0</v>
      </c>
      <c r="C55" s="48" t="str">
        <f>vlookup(B55,'Crew Data'!C:G,5,0)</f>
        <v>Thossaphol Sattabanmongkol</v>
      </c>
      <c r="D55" s="56" t="s">
        <v>227</v>
      </c>
      <c r="E55" s="55">
        <v>2.0</v>
      </c>
      <c r="F55" s="50">
        <f t="shared" si="1"/>
        <v>800</v>
      </c>
      <c r="G55" s="22">
        <f t="shared" si="2"/>
        <v>1</v>
      </c>
      <c r="H55" s="51" t="s">
        <v>20</v>
      </c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ht="24.75" customHeight="1">
      <c r="A56" s="55">
        <v>53.0</v>
      </c>
      <c r="B56" s="55">
        <v>1001738.0</v>
      </c>
      <c r="C56" s="48" t="str">
        <f>vlookup(B56,'Crew Data'!C:G,5,0)</f>
        <v>Nannaphat Poolklai</v>
      </c>
      <c r="D56" s="56" t="s">
        <v>237</v>
      </c>
      <c r="E56" s="55">
        <v>2.0</v>
      </c>
      <c r="F56" s="50">
        <f t="shared" si="1"/>
        <v>800</v>
      </c>
      <c r="G56" s="22">
        <f t="shared" si="2"/>
        <v>1</v>
      </c>
      <c r="H56" s="51" t="s">
        <v>20</v>
      </c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ht="24.75" customHeight="1">
      <c r="A57" s="55">
        <v>54.0</v>
      </c>
      <c r="B57" s="55">
        <v>1006318.0</v>
      </c>
      <c r="C57" s="48" t="str">
        <f>vlookup(B57,'Crew Data'!C:G,5,0)</f>
        <v>Kritsada Tangpriyarak</v>
      </c>
      <c r="D57" s="56" t="s">
        <v>224</v>
      </c>
      <c r="E57" s="55">
        <v>2.0</v>
      </c>
      <c r="F57" s="50">
        <f t="shared" si="1"/>
        <v>800</v>
      </c>
      <c r="G57" s="22">
        <f t="shared" si="2"/>
        <v>1</v>
      </c>
      <c r="H57" s="51" t="s">
        <v>20</v>
      </c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ht="24.75" customHeight="1">
      <c r="A58" s="54">
        <v>55.0</v>
      </c>
      <c r="B58" s="55">
        <v>1003302.0</v>
      </c>
      <c r="C58" s="48" t="str">
        <f>vlookup(B58,'Crew Data'!C:G,5,0)</f>
        <v>Panwad Thongkham</v>
      </c>
      <c r="D58" s="56" t="s">
        <v>192</v>
      </c>
      <c r="E58" s="55">
        <v>2.0</v>
      </c>
      <c r="F58" s="50">
        <f t="shared" si="1"/>
        <v>800</v>
      </c>
      <c r="G58" s="22">
        <f t="shared" si="2"/>
        <v>1</v>
      </c>
      <c r="H58" s="51" t="s">
        <v>20</v>
      </c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ht="24.75" customHeight="1">
      <c r="A59" s="55">
        <v>56.0</v>
      </c>
      <c r="B59" s="55">
        <v>1017647.0</v>
      </c>
      <c r="C59" s="48" t="str">
        <f>vlookup(B59,'Crew Data'!C:G,5,0)</f>
        <v>Papopvit Pungposop</v>
      </c>
      <c r="D59" s="56" t="s">
        <v>182</v>
      </c>
      <c r="E59" s="55">
        <v>2.0</v>
      </c>
      <c r="F59" s="50">
        <f t="shared" si="1"/>
        <v>800</v>
      </c>
      <c r="G59" s="22">
        <f t="shared" si="2"/>
        <v>1</v>
      </c>
      <c r="H59" s="51" t="s">
        <v>20</v>
      </c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ht="24.75" customHeight="1">
      <c r="A60" s="55">
        <v>57.0</v>
      </c>
      <c r="B60" s="55">
        <v>1001614.0</v>
      </c>
      <c r="C60" s="48" t="str">
        <f>vlookup(B60,'Crew Data'!C:G,5,0)</f>
        <v>Sanlaya Kanrarat</v>
      </c>
      <c r="D60" s="56" t="s">
        <v>89</v>
      </c>
      <c r="E60" s="55">
        <v>2.0</v>
      </c>
      <c r="F60" s="50">
        <f t="shared" si="1"/>
        <v>800</v>
      </c>
      <c r="G60" s="22">
        <f t="shared" si="2"/>
        <v>1</v>
      </c>
      <c r="H60" s="51" t="s">
        <v>20</v>
      </c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ht="24.75" customHeight="1">
      <c r="A61" s="55">
        <v>58.0</v>
      </c>
      <c r="B61" s="55">
        <v>1019223.0</v>
      </c>
      <c r="C61" s="48" t="str">
        <f>vlookup(B61,'Crew Data'!C:G,5,0)</f>
        <v>Sutatta Jongsirisathaporn</v>
      </c>
      <c r="D61" s="56" t="s">
        <v>209</v>
      </c>
      <c r="E61" s="55">
        <v>2.0</v>
      </c>
      <c r="F61" s="50">
        <f t="shared" si="1"/>
        <v>800</v>
      </c>
      <c r="G61" s="22">
        <f t="shared" si="2"/>
        <v>1</v>
      </c>
      <c r="H61" s="51" t="s">
        <v>20</v>
      </c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ht="24.75" customHeight="1">
      <c r="A62" s="55">
        <v>59.0</v>
      </c>
      <c r="B62" s="55">
        <v>1011306.0</v>
      </c>
      <c r="C62" s="48" t="str">
        <f>vlookup(B62,'Crew Data'!C:G,5,0)</f>
        <v>Kanthanuch Boonlor</v>
      </c>
      <c r="D62" s="56" t="s">
        <v>238</v>
      </c>
      <c r="E62" s="55">
        <v>4.0</v>
      </c>
      <c r="F62" s="50">
        <f t="shared" si="1"/>
        <v>1600</v>
      </c>
      <c r="G62" s="22">
        <f t="shared" si="2"/>
        <v>1</v>
      </c>
      <c r="H62" s="51" t="s">
        <v>20</v>
      </c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ht="24.75" customHeight="1">
      <c r="A63" s="55">
        <v>60.0</v>
      </c>
      <c r="B63" s="55">
        <v>1019295.0</v>
      </c>
      <c r="C63" s="48" t="str">
        <f>vlookup(B63,'Crew Data'!C:G,5,0)</f>
        <v>Methawee Yos-in</v>
      </c>
      <c r="D63" s="56" t="s">
        <v>231</v>
      </c>
      <c r="E63" s="55">
        <v>2.0</v>
      </c>
      <c r="F63" s="50">
        <f t="shared" si="1"/>
        <v>800</v>
      </c>
      <c r="G63" s="22">
        <f t="shared" si="2"/>
        <v>1</v>
      </c>
      <c r="H63" s="51" t="s">
        <v>20</v>
      </c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ht="24.75" customHeight="1">
      <c r="A64" s="55">
        <v>61.0</v>
      </c>
      <c r="B64" s="55">
        <v>1011502.0</v>
      </c>
      <c r="C64" s="48" t="str">
        <f>vlookup(B64,'Crew Data'!C:G,5,0)</f>
        <v>Kritskorn Kathinthong</v>
      </c>
      <c r="D64" s="56" t="s">
        <v>226</v>
      </c>
      <c r="E64" s="55">
        <v>2.0</v>
      </c>
      <c r="F64" s="50">
        <f t="shared" si="1"/>
        <v>800</v>
      </c>
      <c r="G64" s="22">
        <f t="shared" si="2"/>
        <v>1</v>
      </c>
      <c r="H64" s="51" t="s">
        <v>20</v>
      </c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ht="24.75" customHeight="1">
      <c r="A65" s="55">
        <v>62.0</v>
      </c>
      <c r="B65" s="55">
        <v>1003385.0</v>
      </c>
      <c r="C65" s="48" t="str">
        <f>vlookup(B65,'Crew Data'!C:G,5,0)</f>
        <v>Jaruma Jantarapap</v>
      </c>
      <c r="D65" s="56" t="s">
        <v>239</v>
      </c>
      <c r="E65" s="55">
        <v>6.0</v>
      </c>
      <c r="F65" s="50">
        <f t="shared" si="1"/>
        <v>2400</v>
      </c>
      <c r="G65" s="22">
        <f t="shared" si="2"/>
        <v>1</v>
      </c>
      <c r="H65" s="51" t="s">
        <v>20</v>
      </c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ht="24.75" customHeight="1">
      <c r="A66" s="55">
        <v>63.0</v>
      </c>
      <c r="B66" s="55">
        <v>1005967.0</v>
      </c>
      <c r="C66" s="48" t="str">
        <f>vlookup(B66,'Crew Data'!C:G,5,0)</f>
        <v>Yukol Phubunjongkij</v>
      </c>
      <c r="D66" s="56" t="s">
        <v>236</v>
      </c>
      <c r="E66" s="55">
        <v>2.0</v>
      </c>
      <c r="F66" s="50">
        <f t="shared" si="1"/>
        <v>800</v>
      </c>
      <c r="G66" s="22">
        <f t="shared" si="2"/>
        <v>1</v>
      </c>
      <c r="H66" s="51" t="s">
        <v>20</v>
      </c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ht="24.75" customHeight="1">
      <c r="A67" s="54">
        <v>64.0</v>
      </c>
      <c r="B67" s="55">
        <v>1001286.0</v>
      </c>
      <c r="C67" s="48" t="str">
        <f>vlookup(B67,'Crew Data'!C:G,5,0)</f>
        <v>Sirinart Auypornbusyakom</v>
      </c>
      <c r="D67" s="56" t="s">
        <v>237</v>
      </c>
      <c r="E67" s="55">
        <v>2.0</v>
      </c>
      <c r="F67" s="50">
        <f t="shared" si="1"/>
        <v>800</v>
      </c>
      <c r="G67" s="22">
        <f t="shared" si="2"/>
        <v>1</v>
      </c>
      <c r="H67" s="51" t="s">
        <v>20</v>
      </c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ht="24.75" customHeight="1">
      <c r="A68" s="55">
        <v>65.0</v>
      </c>
      <c r="B68" s="55">
        <v>1006753.0</v>
      </c>
      <c r="C68" s="48" t="str">
        <f>vlookup(B68,'Crew Data'!C:G,5,0)</f>
        <v>Thiptida Keereemasthong</v>
      </c>
      <c r="D68" s="56" t="s">
        <v>222</v>
      </c>
      <c r="E68" s="55">
        <v>2.0</v>
      </c>
      <c r="F68" s="50">
        <f t="shared" si="1"/>
        <v>800</v>
      </c>
      <c r="G68" s="22">
        <f t="shared" si="2"/>
        <v>1</v>
      </c>
      <c r="H68" s="51" t="s">
        <v>20</v>
      </c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ht="24.75" customHeight="1">
      <c r="A69" s="55">
        <v>66.0</v>
      </c>
      <c r="B69" s="55">
        <v>1001301.0</v>
      </c>
      <c r="C69" s="48" t="str">
        <f>vlookup(B69,'Crew Data'!C:G,5,0)</f>
        <v>Burin Buarapha</v>
      </c>
      <c r="D69" s="56" t="s">
        <v>209</v>
      </c>
      <c r="E69" s="55">
        <v>2.0</v>
      </c>
      <c r="F69" s="50">
        <f t="shared" si="1"/>
        <v>800</v>
      </c>
      <c r="G69" s="22">
        <f t="shared" si="2"/>
        <v>1</v>
      </c>
      <c r="H69" s="51" t="s">
        <v>20</v>
      </c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ht="24.75" customHeight="1">
      <c r="A70" s="55">
        <v>67.0</v>
      </c>
      <c r="B70" s="55">
        <v>1012182.0</v>
      </c>
      <c r="C70" s="48" t="str">
        <f>vlookup(B70,'Crew Data'!C:G,5,0)</f>
        <v>Soikamol Phonakhon</v>
      </c>
      <c r="D70" s="56" t="s">
        <v>228</v>
      </c>
      <c r="E70" s="55">
        <v>2.0</v>
      </c>
      <c r="F70" s="50">
        <f t="shared" si="1"/>
        <v>800</v>
      </c>
      <c r="G70" s="22">
        <f t="shared" si="2"/>
        <v>1</v>
      </c>
      <c r="H70" s="51" t="s">
        <v>20</v>
      </c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ht="24.75" customHeight="1">
      <c r="A71" s="55">
        <v>68.0</v>
      </c>
      <c r="B71" s="55">
        <v>1006995.0</v>
      </c>
      <c r="C71" s="48" t="str">
        <f>vlookup(B71,'Crew Data'!C:G,5,0)</f>
        <v>Kornrumpha Wongsing</v>
      </c>
      <c r="D71" s="56" t="s">
        <v>228</v>
      </c>
      <c r="E71" s="55">
        <v>2.0</v>
      </c>
      <c r="F71" s="50">
        <f t="shared" si="1"/>
        <v>800</v>
      </c>
      <c r="G71" s="22">
        <f t="shared" si="2"/>
        <v>1</v>
      </c>
      <c r="H71" s="51" t="s">
        <v>20</v>
      </c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ht="24.75" customHeight="1">
      <c r="A72" s="55">
        <v>69.0</v>
      </c>
      <c r="B72" s="55">
        <v>1002984.0</v>
      </c>
      <c r="C72" s="48" t="str">
        <f>vlookup(B72,'Crew Data'!C:G,5,0)</f>
        <v>Praepailin Luckanatin</v>
      </c>
      <c r="D72" s="56" t="s">
        <v>240</v>
      </c>
      <c r="E72" s="55">
        <v>4.0</v>
      </c>
      <c r="F72" s="50">
        <f t="shared" si="1"/>
        <v>1600</v>
      </c>
      <c r="G72" s="22">
        <f t="shared" si="2"/>
        <v>1</v>
      </c>
      <c r="H72" s="51" t="s">
        <v>20</v>
      </c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</sheetData>
  <autoFilter ref="$A$3:$G$72"/>
  <mergeCells count="2">
    <mergeCell ref="A1:F1"/>
    <mergeCell ref="E2:F2"/>
  </mergeCells>
  <dataValidations>
    <dataValidation type="list" allowBlank="1" sqref="H4:H72">
      <formula1>"CHECKED (OK),CHECKED  (NOT OK)"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.63"/>
    <col customWidth="1" min="2" max="2" width="11.25"/>
    <col customWidth="1" min="3" max="3" width="35.25"/>
    <col customWidth="1" min="4" max="4" width="60.25"/>
    <col customWidth="1" hidden="1" min="7" max="7" width="6.13"/>
    <col customWidth="1" min="8" max="8" width="23.5"/>
    <col customWidth="1" min="9" max="9" width="21.63"/>
  </cols>
  <sheetData>
    <row r="1">
      <c r="A1" s="30" t="s">
        <v>241</v>
      </c>
      <c r="G1" s="31"/>
      <c r="H1" s="32" t="s">
        <v>242</v>
      </c>
      <c r="I1" s="33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4" t="s">
        <v>1</v>
      </c>
      <c r="B2" s="35" t="s">
        <v>11</v>
      </c>
      <c r="C2" s="35" t="s">
        <v>12</v>
      </c>
      <c r="D2" s="36" t="s">
        <v>13</v>
      </c>
      <c r="E2" s="37" t="s">
        <v>14</v>
      </c>
      <c r="F2" s="38"/>
      <c r="G2" s="39"/>
      <c r="H2" s="40"/>
      <c r="I2" s="40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58"/>
      <c r="B3" s="59"/>
      <c r="C3" s="59"/>
      <c r="D3" s="60"/>
      <c r="E3" s="42" t="s">
        <v>15</v>
      </c>
      <c r="F3" s="43" t="s">
        <v>5</v>
      </c>
      <c r="G3" s="39"/>
      <c r="H3" s="44" t="s">
        <v>6</v>
      </c>
      <c r="I3" s="45" t="s">
        <v>7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26.25" customHeight="1">
      <c r="A4" s="54">
        <v>1.0</v>
      </c>
      <c r="B4" s="47">
        <v>1005964.0</v>
      </c>
      <c r="C4" s="48" t="str">
        <f>vlookup(B4,'Crew Data'!C:G,5,0)</f>
        <v>Sawitri Siribunrueangwong</v>
      </c>
      <c r="D4" s="49" t="s">
        <v>230</v>
      </c>
      <c r="E4" s="47">
        <v>2.0</v>
      </c>
      <c r="F4" s="50">
        <f t="shared" ref="F4:F10" si="1">E4*400</f>
        <v>800</v>
      </c>
      <c r="G4" s="22">
        <f t="shared" ref="G4:G10" si="2">COUNTIF(B:B,B4)</f>
        <v>1</v>
      </c>
      <c r="H4" s="51" t="s">
        <v>20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ht="26.25" customHeight="1">
      <c r="A5" s="55">
        <v>2.0</v>
      </c>
      <c r="B5" s="55">
        <v>1025323.0</v>
      </c>
      <c r="C5" s="48" t="str">
        <f>vlookup(B5,'Crew Data'!C:G,5,0)</f>
        <v>Jariya Tangmahamek</v>
      </c>
      <c r="D5" s="49" t="s">
        <v>204</v>
      </c>
      <c r="E5" s="55">
        <v>2.0</v>
      </c>
      <c r="F5" s="50">
        <f t="shared" si="1"/>
        <v>800</v>
      </c>
      <c r="G5" s="22">
        <f t="shared" si="2"/>
        <v>1</v>
      </c>
      <c r="H5" s="51" t="s">
        <v>20</v>
      </c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ht="24.75" customHeight="1">
      <c r="A6" s="55">
        <v>3.0</v>
      </c>
      <c r="B6" s="55">
        <v>1006835.0</v>
      </c>
      <c r="C6" s="48" t="str">
        <f>vlookup(B6,'Crew Data'!C:G,5,0)</f>
        <v>Ketsaraporn Borvornmongkolsak</v>
      </c>
      <c r="D6" s="56" t="s">
        <v>243</v>
      </c>
      <c r="E6" s="55">
        <v>4.0</v>
      </c>
      <c r="F6" s="50">
        <f t="shared" si="1"/>
        <v>1600</v>
      </c>
      <c r="G6" s="22">
        <f t="shared" si="2"/>
        <v>1</v>
      </c>
      <c r="H6" s="51" t="s">
        <v>20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ht="24.75" customHeight="1">
      <c r="A7" s="55">
        <v>4.0</v>
      </c>
      <c r="B7" s="55">
        <v>1014064.0</v>
      </c>
      <c r="C7" s="48" t="str">
        <f>vlookup(B7,'Crew Data'!C:G,5,0)</f>
        <v>Jaraspak Plengkhum</v>
      </c>
      <c r="D7" s="56" t="s">
        <v>244</v>
      </c>
      <c r="E7" s="55">
        <v>2.0</v>
      </c>
      <c r="F7" s="50">
        <f t="shared" si="1"/>
        <v>800</v>
      </c>
      <c r="G7" s="22">
        <f t="shared" si="2"/>
        <v>1</v>
      </c>
      <c r="H7" s="51" t="s">
        <v>20</v>
      </c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ht="24.75" customHeight="1">
      <c r="A8" s="55">
        <v>5.0</v>
      </c>
      <c r="B8" s="55">
        <v>1014678.0</v>
      </c>
      <c r="C8" s="48" t="str">
        <f>vlookup(B8,'Crew Data'!C:G,5,0)</f>
        <v>Supapong Kwanon</v>
      </c>
      <c r="D8" s="56" t="s">
        <v>219</v>
      </c>
      <c r="E8" s="55">
        <v>2.0</v>
      </c>
      <c r="F8" s="50">
        <f t="shared" si="1"/>
        <v>800</v>
      </c>
      <c r="G8" s="22">
        <f t="shared" si="2"/>
        <v>1</v>
      </c>
      <c r="H8" s="51" t="s">
        <v>20</v>
      </c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ht="24.75" customHeight="1">
      <c r="A9" s="54">
        <v>6.0</v>
      </c>
      <c r="B9" s="55">
        <v>1019555.0</v>
      </c>
      <c r="C9" s="48" t="str">
        <f>vlookup(B9,'Crew Data'!C:G,5,0)</f>
        <v>#N/A</v>
      </c>
      <c r="D9" s="56" t="s">
        <v>245</v>
      </c>
      <c r="E9" s="55">
        <v>2.0</v>
      </c>
      <c r="F9" s="50">
        <f t="shared" si="1"/>
        <v>800</v>
      </c>
      <c r="G9" s="22">
        <f t="shared" si="2"/>
        <v>1</v>
      </c>
      <c r="H9" s="51" t="s">
        <v>20</v>
      </c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ht="24.75" customHeight="1">
      <c r="A10" s="55">
        <v>7.0</v>
      </c>
      <c r="B10" s="55">
        <v>1005759.0</v>
      </c>
      <c r="C10" s="48" t="str">
        <f>vlookup(B10,'Crew Data'!C:G,5,0)</f>
        <v>Nirinya Arunthanakulphat</v>
      </c>
      <c r="D10" s="56" t="s">
        <v>214</v>
      </c>
      <c r="E10" s="55">
        <v>2.0</v>
      </c>
      <c r="F10" s="50">
        <f t="shared" si="1"/>
        <v>800</v>
      </c>
      <c r="G10" s="22">
        <f t="shared" si="2"/>
        <v>1</v>
      </c>
      <c r="H10" s="51" t="s">
        <v>20</v>
      </c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</sheetData>
  <autoFilter ref="$A$3:$G$10"/>
  <mergeCells count="2">
    <mergeCell ref="A1:F1"/>
    <mergeCell ref="E2:F2"/>
  </mergeCells>
  <dataValidations>
    <dataValidation type="list" allowBlank="1" sqref="H4:H10">
      <formula1>"CHECKED (OK),CHECKED  (NOT OK)"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3" max="3" width="26.75"/>
    <col customWidth="1" min="4" max="4" width="33.25"/>
    <col customWidth="1" min="7" max="7" width="3.5"/>
    <col customWidth="1" min="8" max="8" width="18.63"/>
    <col customWidth="1" min="9" max="9" width="21.63"/>
  </cols>
  <sheetData>
    <row r="1">
      <c r="A1" s="30" t="s">
        <v>246</v>
      </c>
      <c r="G1" s="31"/>
      <c r="H1" s="32" t="s">
        <v>247</v>
      </c>
      <c r="I1" s="33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4" t="s">
        <v>1</v>
      </c>
      <c r="B2" s="35" t="s">
        <v>11</v>
      </c>
      <c r="C2" s="35" t="s">
        <v>12</v>
      </c>
      <c r="D2" s="36" t="s">
        <v>13</v>
      </c>
      <c r="E2" s="37" t="s">
        <v>14</v>
      </c>
      <c r="F2" s="38"/>
      <c r="G2" s="39"/>
      <c r="H2" s="40"/>
      <c r="I2" s="40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41"/>
      <c r="B3" s="38"/>
      <c r="C3" s="38"/>
      <c r="D3" s="38"/>
      <c r="E3" s="42" t="s">
        <v>15</v>
      </c>
      <c r="F3" s="43" t="s">
        <v>5</v>
      </c>
      <c r="G3" s="39"/>
      <c r="H3" s="44" t="s">
        <v>6</v>
      </c>
      <c r="I3" s="45" t="s">
        <v>7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24.75" customHeight="1">
      <c r="A4" s="46"/>
      <c r="B4" s="47"/>
      <c r="C4" s="48" t="str">
        <f>vlookup(B4,'Crew Data'!C:G,5,0)</f>
        <v>#N/A</v>
      </c>
      <c r="D4" s="49"/>
      <c r="E4" s="47"/>
      <c r="F4" s="50">
        <f>E4*400</f>
        <v>0</v>
      </c>
      <c r="G4" s="22">
        <f>COUNTIF(B:B,B4)</f>
        <v>0</v>
      </c>
      <c r="H4" s="5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D5" s="52"/>
    </row>
    <row r="6">
      <c r="D6" s="52"/>
    </row>
    <row r="7" ht="44.25" customHeight="1">
      <c r="A7" s="53" t="s">
        <v>16</v>
      </c>
    </row>
  </sheetData>
  <mergeCells count="7">
    <mergeCell ref="A1:F1"/>
    <mergeCell ref="A2:A3"/>
    <mergeCell ref="B2:B3"/>
    <mergeCell ref="C2:C3"/>
    <mergeCell ref="D2:D3"/>
    <mergeCell ref="E2:F2"/>
    <mergeCell ref="A7:E7"/>
  </mergeCells>
  <dataValidations>
    <dataValidation type="list" allowBlank="1" sqref="H4">
      <formula1>"CHECKED (OK),CHECKED  (NOT OK)"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3" max="3" width="26.75"/>
    <col customWidth="1" min="4" max="4" width="33.25"/>
    <col customWidth="1" min="7" max="7" width="3.5"/>
    <col customWidth="1" min="8" max="8" width="18.63"/>
    <col customWidth="1" min="9" max="9" width="21.63"/>
  </cols>
  <sheetData>
    <row r="1">
      <c r="A1" s="30" t="s">
        <v>248</v>
      </c>
      <c r="G1" s="31"/>
      <c r="H1" s="32" t="s">
        <v>249</v>
      </c>
      <c r="I1" s="33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4" t="s">
        <v>1</v>
      </c>
      <c r="B2" s="35" t="s">
        <v>11</v>
      </c>
      <c r="C2" s="35" t="s">
        <v>12</v>
      </c>
      <c r="D2" s="36" t="s">
        <v>13</v>
      </c>
      <c r="E2" s="37" t="s">
        <v>14</v>
      </c>
      <c r="F2" s="38"/>
      <c r="G2" s="39"/>
      <c r="H2" s="40"/>
      <c r="I2" s="40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41"/>
      <c r="B3" s="38"/>
      <c r="C3" s="38"/>
      <c r="D3" s="38"/>
      <c r="E3" s="42" t="s">
        <v>15</v>
      </c>
      <c r="F3" s="43" t="s">
        <v>5</v>
      </c>
      <c r="G3" s="39"/>
      <c r="H3" s="44" t="s">
        <v>6</v>
      </c>
      <c r="I3" s="45" t="s">
        <v>7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24.75" customHeight="1">
      <c r="A4" s="46"/>
      <c r="B4" s="47"/>
      <c r="C4" s="48" t="str">
        <f>vlookup(B4,'Crew Data'!C:G,5,0)</f>
        <v>#N/A</v>
      </c>
      <c r="D4" s="49"/>
      <c r="E4" s="47"/>
      <c r="F4" s="50">
        <f>E4*400</f>
        <v>0</v>
      </c>
      <c r="G4" s="22">
        <f>COUNTIF(B:B,B4)</f>
        <v>0</v>
      </c>
      <c r="H4" s="5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D5" s="52"/>
    </row>
    <row r="6">
      <c r="D6" s="52"/>
    </row>
    <row r="7" ht="44.25" customHeight="1">
      <c r="A7" s="53" t="s">
        <v>16</v>
      </c>
    </row>
  </sheetData>
  <mergeCells count="7">
    <mergeCell ref="A1:F1"/>
    <mergeCell ref="A2:A3"/>
    <mergeCell ref="B2:B3"/>
    <mergeCell ref="C2:C3"/>
    <mergeCell ref="D2:D3"/>
    <mergeCell ref="E2:F2"/>
    <mergeCell ref="A7:E7"/>
  </mergeCells>
  <dataValidations>
    <dataValidation type="list" allowBlank="1" sqref="H4">
      <formula1>"CHECKED (OK),CHECKED  (NOT OK)"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3" max="3" width="26.75"/>
    <col customWidth="1" min="4" max="4" width="33.25"/>
    <col customWidth="1" min="7" max="7" width="3.5"/>
    <col customWidth="1" min="8" max="8" width="18.63"/>
    <col customWidth="1" min="9" max="9" width="21.63"/>
  </cols>
  <sheetData>
    <row r="1">
      <c r="A1" s="30" t="s">
        <v>250</v>
      </c>
      <c r="G1" s="31"/>
      <c r="H1" s="32" t="s">
        <v>251</v>
      </c>
      <c r="I1" s="33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4" t="s">
        <v>1</v>
      </c>
      <c r="B2" s="35" t="s">
        <v>11</v>
      </c>
      <c r="C2" s="35" t="s">
        <v>12</v>
      </c>
      <c r="D2" s="36" t="s">
        <v>13</v>
      </c>
      <c r="E2" s="37" t="s">
        <v>14</v>
      </c>
      <c r="F2" s="38"/>
      <c r="G2" s="39"/>
      <c r="H2" s="40"/>
      <c r="I2" s="40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41"/>
      <c r="B3" s="38"/>
      <c r="C3" s="38"/>
      <c r="D3" s="38"/>
      <c r="E3" s="42" t="s">
        <v>15</v>
      </c>
      <c r="F3" s="43" t="s">
        <v>5</v>
      </c>
      <c r="G3" s="39"/>
      <c r="H3" s="44" t="s">
        <v>6</v>
      </c>
      <c r="I3" s="45" t="s">
        <v>7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24.75" customHeight="1">
      <c r="A4" s="46"/>
      <c r="B4" s="47"/>
      <c r="C4" s="48" t="str">
        <f>vlookup(B4,'Crew Data'!C:G,5,0)</f>
        <v>#N/A</v>
      </c>
      <c r="D4" s="49"/>
      <c r="E4" s="47"/>
      <c r="F4" s="50">
        <f>E4*400</f>
        <v>0</v>
      </c>
      <c r="G4" s="22">
        <f>COUNTIF(B:B,B4)</f>
        <v>0</v>
      </c>
      <c r="H4" s="5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D5" s="52"/>
    </row>
    <row r="6">
      <c r="D6" s="52"/>
    </row>
    <row r="7" ht="44.25" customHeight="1">
      <c r="A7" s="53" t="s">
        <v>16</v>
      </c>
    </row>
  </sheetData>
  <mergeCells count="7">
    <mergeCell ref="A1:F1"/>
    <mergeCell ref="A2:A3"/>
    <mergeCell ref="B2:B3"/>
    <mergeCell ref="C2:C3"/>
    <mergeCell ref="D2:D3"/>
    <mergeCell ref="E2:F2"/>
    <mergeCell ref="A7:E7"/>
  </mergeCells>
  <dataValidations>
    <dataValidation type="list" allowBlank="1" sqref="H4">
      <formula1>"CHECKED (OK),CHECKED  (NOT OK)"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3" max="3" width="26.75"/>
    <col customWidth="1" min="4" max="4" width="33.25"/>
    <col customWidth="1" min="7" max="7" width="3.5"/>
    <col customWidth="1" min="8" max="8" width="18.63"/>
    <col customWidth="1" min="9" max="9" width="21.63"/>
  </cols>
  <sheetData>
    <row r="1">
      <c r="A1" s="30" t="s">
        <v>252</v>
      </c>
      <c r="G1" s="31"/>
      <c r="H1" s="32" t="s">
        <v>253</v>
      </c>
      <c r="I1" s="33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4" t="s">
        <v>1</v>
      </c>
      <c r="B2" s="35" t="s">
        <v>11</v>
      </c>
      <c r="C2" s="35" t="s">
        <v>12</v>
      </c>
      <c r="D2" s="36" t="s">
        <v>13</v>
      </c>
      <c r="E2" s="37" t="s">
        <v>14</v>
      </c>
      <c r="F2" s="38"/>
      <c r="G2" s="39"/>
      <c r="H2" s="40"/>
      <c r="I2" s="40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41"/>
      <c r="B3" s="38"/>
      <c r="C3" s="38"/>
      <c r="D3" s="38"/>
      <c r="E3" s="42" t="s">
        <v>15</v>
      </c>
      <c r="F3" s="43" t="s">
        <v>5</v>
      </c>
      <c r="G3" s="39"/>
      <c r="H3" s="44" t="s">
        <v>6</v>
      </c>
      <c r="I3" s="45" t="s">
        <v>7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24.75" customHeight="1">
      <c r="A4" s="46"/>
      <c r="B4" s="47"/>
      <c r="C4" s="48" t="str">
        <f>vlookup(B4,'Crew Data'!C:G,5,0)</f>
        <v>#N/A</v>
      </c>
      <c r="D4" s="49"/>
      <c r="E4" s="47"/>
      <c r="F4" s="50">
        <f>E4*400</f>
        <v>0</v>
      </c>
      <c r="G4" s="22">
        <f>COUNTIF(B:B,B4)</f>
        <v>0</v>
      </c>
      <c r="H4" s="5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D5" s="52"/>
    </row>
    <row r="6">
      <c r="D6" s="52"/>
    </row>
    <row r="7" ht="44.25" customHeight="1">
      <c r="A7" s="53" t="s">
        <v>16</v>
      </c>
    </row>
  </sheetData>
  <mergeCells count="7">
    <mergeCell ref="A1:F1"/>
    <mergeCell ref="A2:A3"/>
    <mergeCell ref="B2:B3"/>
    <mergeCell ref="C2:C3"/>
    <mergeCell ref="D2:D3"/>
    <mergeCell ref="E2:F2"/>
    <mergeCell ref="A7:E7"/>
  </mergeCells>
  <dataValidations>
    <dataValidation type="list" allowBlank="1" sqref="H4">
      <formula1>"CHECKED (OK),CHECKED  (NOT OK)"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3" max="3" width="26.75"/>
    <col customWidth="1" min="4" max="4" width="33.25"/>
    <col customWidth="1" min="7" max="7" width="3.5"/>
    <col customWidth="1" min="8" max="8" width="18.63"/>
    <col customWidth="1" min="9" max="9" width="21.63"/>
  </cols>
  <sheetData>
    <row r="1">
      <c r="A1" s="30" t="s">
        <v>254</v>
      </c>
      <c r="G1" s="31"/>
      <c r="H1" s="32" t="s">
        <v>255</v>
      </c>
      <c r="I1" s="33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4" t="s">
        <v>1</v>
      </c>
      <c r="B2" s="35" t="s">
        <v>11</v>
      </c>
      <c r="C2" s="35" t="s">
        <v>12</v>
      </c>
      <c r="D2" s="36" t="s">
        <v>13</v>
      </c>
      <c r="E2" s="37" t="s">
        <v>14</v>
      </c>
      <c r="F2" s="38"/>
      <c r="G2" s="39"/>
      <c r="H2" s="40"/>
      <c r="I2" s="40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41"/>
      <c r="B3" s="38"/>
      <c r="C3" s="38"/>
      <c r="D3" s="38"/>
      <c r="E3" s="42" t="s">
        <v>15</v>
      </c>
      <c r="F3" s="43" t="s">
        <v>5</v>
      </c>
      <c r="G3" s="39"/>
      <c r="H3" s="44" t="s">
        <v>6</v>
      </c>
      <c r="I3" s="45" t="s">
        <v>7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24.75" customHeight="1">
      <c r="A4" s="46"/>
      <c r="B4" s="47"/>
      <c r="C4" s="48" t="str">
        <f>vlookup(B4,'Crew Data'!C:G,5,0)</f>
        <v>#N/A</v>
      </c>
      <c r="D4" s="49"/>
      <c r="E4" s="47"/>
      <c r="F4" s="50">
        <f>E4*400</f>
        <v>0</v>
      </c>
      <c r="G4" s="22">
        <f>COUNTIF(B:B,B4)</f>
        <v>0</v>
      </c>
      <c r="H4" s="5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D5" s="52"/>
    </row>
    <row r="6">
      <c r="D6" s="52"/>
    </row>
    <row r="7" ht="44.25" customHeight="1">
      <c r="A7" s="53" t="s">
        <v>16</v>
      </c>
    </row>
  </sheetData>
  <mergeCells count="7">
    <mergeCell ref="A1:F1"/>
    <mergeCell ref="A2:A3"/>
    <mergeCell ref="B2:B3"/>
    <mergeCell ref="C2:C3"/>
    <mergeCell ref="D2:D3"/>
    <mergeCell ref="E2:F2"/>
    <mergeCell ref="A7:E7"/>
  </mergeCells>
  <dataValidations>
    <dataValidation type="list" allowBlank="1" sqref="H4">
      <formula1>"CHECKED (OK),CHECKED  (NOT OK)"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3" max="3" width="26.75"/>
    <col customWidth="1" min="4" max="4" width="33.25"/>
    <col customWidth="1" min="7" max="7" width="3.5"/>
    <col customWidth="1" min="8" max="8" width="18.63"/>
    <col customWidth="1" min="9" max="9" width="21.63"/>
  </cols>
  <sheetData>
    <row r="1">
      <c r="A1" s="30" t="s">
        <v>256</v>
      </c>
      <c r="G1" s="31"/>
      <c r="H1" s="32" t="s">
        <v>257</v>
      </c>
      <c r="I1" s="33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4" t="s">
        <v>1</v>
      </c>
      <c r="B2" s="35" t="s">
        <v>11</v>
      </c>
      <c r="C2" s="35" t="s">
        <v>12</v>
      </c>
      <c r="D2" s="36" t="s">
        <v>13</v>
      </c>
      <c r="E2" s="37" t="s">
        <v>14</v>
      </c>
      <c r="F2" s="38"/>
      <c r="G2" s="39"/>
      <c r="H2" s="40"/>
      <c r="I2" s="40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41"/>
      <c r="B3" s="38"/>
      <c r="C3" s="38"/>
      <c r="D3" s="38"/>
      <c r="E3" s="42" t="s">
        <v>15</v>
      </c>
      <c r="F3" s="43" t="s">
        <v>5</v>
      </c>
      <c r="G3" s="39"/>
      <c r="H3" s="44" t="s">
        <v>6</v>
      </c>
      <c r="I3" s="45" t="s">
        <v>7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24.75" customHeight="1">
      <c r="A4" s="46"/>
      <c r="B4" s="47"/>
      <c r="C4" s="48" t="str">
        <f>vlookup(B4,'Crew Data'!C:G,5,0)</f>
        <v>#N/A</v>
      </c>
      <c r="D4" s="49"/>
      <c r="E4" s="47"/>
      <c r="F4" s="50">
        <f>E4*400</f>
        <v>0</v>
      </c>
      <c r="G4" s="22">
        <f>COUNTIF(B:B,B4)</f>
        <v>0</v>
      </c>
      <c r="H4" s="5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D5" s="52"/>
    </row>
    <row r="6">
      <c r="D6" s="52"/>
    </row>
    <row r="7" ht="44.25" customHeight="1">
      <c r="A7" s="53" t="s">
        <v>16</v>
      </c>
    </row>
  </sheetData>
  <mergeCells count="7">
    <mergeCell ref="A1:F1"/>
    <mergeCell ref="A2:A3"/>
    <mergeCell ref="B2:B3"/>
    <mergeCell ref="C2:C3"/>
    <mergeCell ref="D2:D3"/>
    <mergeCell ref="E2:F2"/>
    <mergeCell ref="A7:E7"/>
  </mergeCells>
  <dataValidations>
    <dataValidation type="list" allowBlank="1" sqref="H4">
      <formula1>"CHECKED (OK),CHECKED  (NOT OK)"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3" max="3" width="26.75"/>
    <col customWidth="1" min="4" max="4" width="33.25"/>
    <col customWidth="1" min="7" max="7" width="3.5"/>
    <col customWidth="1" hidden="1" min="8" max="8" width="18.63"/>
    <col customWidth="1" hidden="1" min="9" max="9" width="21.63"/>
  </cols>
  <sheetData>
    <row r="1">
      <c r="A1" s="30" t="s">
        <v>258</v>
      </c>
      <c r="G1" s="31"/>
      <c r="H1" s="32" t="s">
        <v>259</v>
      </c>
      <c r="I1" s="33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4" t="s">
        <v>1</v>
      </c>
      <c r="B2" s="35" t="s">
        <v>11</v>
      </c>
      <c r="C2" s="35" t="s">
        <v>12</v>
      </c>
      <c r="D2" s="36" t="s">
        <v>13</v>
      </c>
      <c r="E2" s="37" t="s">
        <v>14</v>
      </c>
      <c r="F2" s="38"/>
      <c r="G2" s="39"/>
      <c r="H2" s="40"/>
      <c r="I2" s="40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41"/>
      <c r="B3" s="38"/>
      <c r="C3" s="38"/>
      <c r="D3" s="38"/>
      <c r="E3" s="42" t="s">
        <v>15</v>
      </c>
      <c r="F3" s="43" t="s">
        <v>5</v>
      </c>
      <c r="G3" s="39"/>
      <c r="H3" s="44" t="s">
        <v>6</v>
      </c>
      <c r="I3" s="45" t="s">
        <v>7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24.75" customHeight="1">
      <c r="A4" s="54">
        <v>1.0</v>
      </c>
      <c r="B4" s="47">
        <v>1004016.0</v>
      </c>
      <c r="C4" s="48" t="str">
        <f>vlookup(B4,'Crew Data'!C:G,5,0)</f>
        <v>Khamkhun Thapnoo</v>
      </c>
      <c r="D4" s="63">
        <v>45596.0</v>
      </c>
      <c r="E4" s="47">
        <v>1.0</v>
      </c>
      <c r="F4" s="50">
        <f t="shared" ref="F4:F12" si="1">E4*400</f>
        <v>400</v>
      </c>
      <c r="G4" s="22">
        <f t="shared" ref="G4:G12" si="2">COUNTIF(B:B,B4)</f>
        <v>1</v>
      </c>
      <c r="H4" s="5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A5" s="54">
        <v>2.0</v>
      </c>
      <c r="B5" s="47">
        <v>1004683.0</v>
      </c>
      <c r="C5" s="48" t="str">
        <f>vlookup(B5,'Crew Data'!C:G,5,0)</f>
        <v>Prok Lartham</v>
      </c>
      <c r="D5" s="49" t="s">
        <v>260</v>
      </c>
      <c r="E5" s="47">
        <v>4.0</v>
      </c>
      <c r="F5" s="50">
        <f t="shared" si="1"/>
        <v>1600</v>
      </c>
      <c r="G5" s="22">
        <f t="shared" si="2"/>
        <v>1</v>
      </c>
      <c r="H5" s="51"/>
      <c r="J5" s="31"/>
    </row>
    <row r="6">
      <c r="A6" s="54">
        <v>3.0</v>
      </c>
      <c r="B6" s="47">
        <v>1013178.0</v>
      </c>
      <c r="C6" s="48" t="str">
        <f>vlookup(B6,'Crew Data'!C:G,5,0)</f>
        <v>Niharoon Sulaiman</v>
      </c>
      <c r="D6" s="49" t="s">
        <v>260</v>
      </c>
      <c r="E6" s="47">
        <v>4.0</v>
      </c>
      <c r="F6" s="50">
        <f t="shared" si="1"/>
        <v>1600</v>
      </c>
      <c r="G6" s="22">
        <f t="shared" si="2"/>
        <v>1</v>
      </c>
      <c r="H6" s="51"/>
      <c r="J6" s="31"/>
    </row>
    <row r="7">
      <c r="A7" s="54">
        <v>4.0</v>
      </c>
      <c r="B7" s="47">
        <v>1007007.0</v>
      </c>
      <c r="C7" s="48" t="str">
        <f>vlookup(B7,'Crew Data'!C:G,5,0)</f>
        <v>Aram Nukulpakdee</v>
      </c>
      <c r="D7" s="63">
        <v>45596.0</v>
      </c>
      <c r="E7" s="47">
        <v>1.0</v>
      </c>
      <c r="F7" s="50">
        <f t="shared" si="1"/>
        <v>400</v>
      </c>
      <c r="G7" s="22">
        <f t="shared" si="2"/>
        <v>1</v>
      </c>
      <c r="H7" s="51"/>
      <c r="J7" s="31"/>
    </row>
    <row r="8">
      <c r="A8" s="54">
        <v>5.0</v>
      </c>
      <c r="B8" s="47">
        <v>1011513.0</v>
      </c>
      <c r="C8" s="48" t="str">
        <f>vlookup(B8,'Crew Data'!C:G,5,0)</f>
        <v>Rawitnat Marayat</v>
      </c>
      <c r="D8" s="49" t="s">
        <v>261</v>
      </c>
      <c r="E8" s="47">
        <v>2.0</v>
      </c>
      <c r="F8" s="50">
        <f t="shared" si="1"/>
        <v>800</v>
      </c>
      <c r="G8" s="22">
        <f t="shared" si="2"/>
        <v>1</v>
      </c>
      <c r="H8" s="51"/>
      <c r="J8" s="31"/>
    </row>
    <row r="9">
      <c r="A9" s="54">
        <v>6.0</v>
      </c>
      <c r="B9" s="47">
        <v>1003365.0</v>
      </c>
      <c r="C9" s="48" t="str">
        <f>vlookup(B9,'Crew Data'!C:G,5,0)</f>
        <v>Napatchol Wongwuttito</v>
      </c>
      <c r="D9" s="49" t="s">
        <v>260</v>
      </c>
      <c r="E9" s="47">
        <v>4.0</v>
      </c>
      <c r="F9" s="50">
        <f t="shared" si="1"/>
        <v>1600</v>
      </c>
      <c r="G9" s="22">
        <f t="shared" si="2"/>
        <v>1</v>
      </c>
      <c r="H9" s="51"/>
      <c r="J9" s="31"/>
    </row>
    <row r="10">
      <c r="A10" s="54">
        <v>7.0</v>
      </c>
      <c r="B10" s="47">
        <v>1010731.0</v>
      </c>
      <c r="C10" s="48" t="str">
        <f>vlookup(B10,'Crew Data'!C:G,5,0)</f>
        <v>Samatikan Boonket</v>
      </c>
      <c r="D10" s="63">
        <v>45596.0</v>
      </c>
      <c r="E10" s="47">
        <v>1.0</v>
      </c>
      <c r="F10" s="50">
        <f t="shared" si="1"/>
        <v>400</v>
      </c>
      <c r="G10" s="22">
        <f t="shared" si="2"/>
        <v>1</v>
      </c>
      <c r="H10" s="51"/>
      <c r="J10" s="31"/>
    </row>
    <row r="11">
      <c r="A11" s="54">
        <v>8.0</v>
      </c>
      <c r="B11" s="47">
        <v>1007032.0</v>
      </c>
      <c r="C11" s="48" t="str">
        <f>vlookup(B11,'Crew Data'!C:G,5,0)</f>
        <v>Praew Kijsuwan</v>
      </c>
      <c r="D11" s="63">
        <v>45597.0</v>
      </c>
      <c r="E11" s="47">
        <v>1.0</v>
      </c>
      <c r="F11" s="50">
        <f t="shared" si="1"/>
        <v>400</v>
      </c>
      <c r="G11" s="22">
        <f t="shared" si="2"/>
        <v>1</v>
      </c>
      <c r="H11" s="51"/>
      <c r="J11" s="31"/>
    </row>
    <row r="12">
      <c r="A12" s="54">
        <v>9.0</v>
      </c>
      <c r="B12" s="47">
        <v>1022215.0</v>
      </c>
      <c r="C12" s="48" t="str">
        <f>vlookup(B12,'Crew Data'!C:G,5,0)</f>
        <v>Porntida Yuttimi</v>
      </c>
      <c r="D12" s="63">
        <v>45598.0</v>
      </c>
      <c r="E12" s="47">
        <v>1.0</v>
      </c>
      <c r="F12" s="50">
        <f t="shared" si="1"/>
        <v>400</v>
      </c>
      <c r="G12" s="22">
        <f t="shared" si="2"/>
        <v>1</v>
      </c>
      <c r="H12" s="51"/>
      <c r="J12" s="31"/>
    </row>
  </sheetData>
  <mergeCells count="6">
    <mergeCell ref="A1:F1"/>
    <mergeCell ref="A2:A3"/>
    <mergeCell ref="B2:B3"/>
    <mergeCell ref="C2:C3"/>
    <mergeCell ref="D2:D3"/>
    <mergeCell ref="E2:F2"/>
  </mergeCells>
  <dataValidations>
    <dataValidation type="list" allowBlank="1" sqref="H4:H12">
      <formula1>"CHECKED (OK),CHECKED  (NOT OK)"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3" max="3" width="26.75"/>
    <col customWidth="1" min="4" max="4" width="33.25"/>
    <col customWidth="1" min="7" max="7" width="3.5"/>
    <col customWidth="1" hidden="1" min="8" max="8" width="18.63"/>
    <col customWidth="1" hidden="1" min="9" max="9" width="21.63"/>
  </cols>
  <sheetData>
    <row r="1">
      <c r="A1" s="64" t="s">
        <v>262</v>
      </c>
      <c r="G1" s="65"/>
      <c r="H1" s="66" t="s">
        <v>263</v>
      </c>
      <c r="I1" s="67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68" t="s">
        <v>1</v>
      </c>
      <c r="B2" s="69" t="s">
        <v>11</v>
      </c>
      <c r="C2" s="69" t="s">
        <v>12</v>
      </c>
      <c r="D2" s="70" t="s">
        <v>13</v>
      </c>
      <c r="E2" s="71" t="s">
        <v>14</v>
      </c>
      <c r="F2" s="38"/>
      <c r="G2" s="72"/>
      <c r="H2" s="65"/>
      <c r="I2" s="65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73"/>
      <c r="B3" s="74"/>
      <c r="C3" s="74"/>
      <c r="D3" s="75"/>
      <c r="E3" s="76" t="s">
        <v>15</v>
      </c>
      <c r="F3" s="77" t="s">
        <v>5</v>
      </c>
      <c r="G3" s="72"/>
      <c r="H3" s="78" t="s">
        <v>6</v>
      </c>
      <c r="I3" s="79" t="s">
        <v>7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>
      <c r="A4" s="80">
        <v>1.0</v>
      </c>
      <c r="B4" s="81">
        <v>1015093.0</v>
      </c>
      <c r="C4" s="82" t="str">
        <f>vlookup(B4,'Crew Data'!C:G,5,0)</f>
        <v>Sampan Simpalipan</v>
      </c>
      <c r="D4" s="83" t="s">
        <v>264</v>
      </c>
      <c r="E4" s="81">
        <v>33.0</v>
      </c>
      <c r="F4" s="84">
        <f t="shared" ref="F4:F35" si="1">E4*400</f>
        <v>13200</v>
      </c>
      <c r="G4" s="85">
        <f t="shared" ref="G4:G35" si="2">COUNTIF(B:B,B4)</f>
        <v>1</v>
      </c>
      <c r="H4" s="86" t="s">
        <v>20</v>
      </c>
      <c r="I4" s="87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A5" s="80">
        <v>2.0</v>
      </c>
      <c r="B5" s="81">
        <v>1004197.0</v>
      </c>
      <c r="C5" s="82" t="str">
        <f>vlookup(B5,'Crew Data'!C:G,5,0)</f>
        <v>Kultharin Kijbamrunglab</v>
      </c>
      <c r="D5" s="83" t="s">
        <v>265</v>
      </c>
      <c r="E5" s="81">
        <v>2.0</v>
      </c>
      <c r="F5" s="84">
        <f t="shared" si="1"/>
        <v>800</v>
      </c>
      <c r="G5" s="85">
        <f t="shared" si="2"/>
        <v>1</v>
      </c>
      <c r="H5" s="86" t="s">
        <v>20</v>
      </c>
      <c r="I5" s="87"/>
      <c r="J5" s="31"/>
    </row>
    <row r="6">
      <c r="A6" s="80">
        <v>3.0</v>
      </c>
      <c r="B6" s="81">
        <v>1040522.0</v>
      </c>
      <c r="C6" s="82" t="str">
        <f>vlookup(B6,'Crew Data'!C:G,5,0)</f>
        <v>Titapa Tiyasoponjit</v>
      </c>
      <c r="D6" s="83" t="s">
        <v>266</v>
      </c>
      <c r="E6" s="81">
        <v>2.0</v>
      </c>
      <c r="F6" s="84">
        <f t="shared" si="1"/>
        <v>800</v>
      </c>
      <c r="G6" s="85">
        <f t="shared" si="2"/>
        <v>1</v>
      </c>
      <c r="H6" s="86" t="s">
        <v>20</v>
      </c>
      <c r="I6" s="87"/>
      <c r="J6" s="31"/>
    </row>
    <row r="7">
      <c r="A7" s="80">
        <v>4.0</v>
      </c>
      <c r="B7" s="81">
        <v>1017975.0</v>
      </c>
      <c r="C7" s="82" t="str">
        <f>vlookup(B7,'Crew Data'!C:G,5,0)</f>
        <v>Nilin Ngampuak</v>
      </c>
      <c r="D7" s="83" t="s">
        <v>266</v>
      </c>
      <c r="E7" s="81">
        <v>2.0</v>
      </c>
      <c r="F7" s="84">
        <f t="shared" si="1"/>
        <v>800</v>
      </c>
      <c r="G7" s="85">
        <f t="shared" si="2"/>
        <v>1</v>
      </c>
      <c r="H7" s="86" t="s">
        <v>20</v>
      </c>
      <c r="I7" s="87"/>
      <c r="J7" s="31"/>
    </row>
    <row r="8">
      <c r="A8" s="80">
        <v>5.0</v>
      </c>
      <c r="B8" s="81">
        <v>1014554.0</v>
      </c>
      <c r="C8" s="82" t="str">
        <f>vlookup(B8,'Crew Data'!C:G,5,0)</f>
        <v>Katthareeya Trachoowanich</v>
      </c>
      <c r="D8" s="83" t="s">
        <v>265</v>
      </c>
      <c r="E8" s="81">
        <v>2.0</v>
      </c>
      <c r="F8" s="84">
        <f t="shared" si="1"/>
        <v>800</v>
      </c>
      <c r="G8" s="85">
        <f t="shared" si="2"/>
        <v>1</v>
      </c>
      <c r="H8" s="86" t="s">
        <v>20</v>
      </c>
      <c r="I8" s="87"/>
      <c r="J8" s="31"/>
    </row>
    <row r="9">
      <c r="A9" s="80">
        <v>6.0</v>
      </c>
      <c r="B9" s="81">
        <v>1007014.0</v>
      </c>
      <c r="C9" s="82" t="str">
        <f>vlookup(B9,'Crew Data'!C:G,5,0)</f>
        <v>Piyanut Nainet</v>
      </c>
      <c r="D9" s="83" t="s">
        <v>267</v>
      </c>
      <c r="E9" s="81">
        <v>2.0</v>
      </c>
      <c r="F9" s="84">
        <f t="shared" si="1"/>
        <v>800</v>
      </c>
      <c r="G9" s="85">
        <f t="shared" si="2"/>
        <v>1</v>
      </c>
      <c r="H9" s="86" t="s">
        <v>20</v>
      </c>
      <c r="I9" s="87"/>
      <c r="J9" s="31"/>
    </row>
    <row r="10">
      <c r="A10" s="80">
        <v>7.0</v>
      </c>
      <c r="B10" s="81">
        <v>1022215.0</v>
      </c>
      <c r="C10" s="82" t="str">
        <f>vlookup(B10,'Crew Data'!C:G,5,0)</f>
        <v>Porntida Yuttimi</v>
      </c>
      <c r="D10" s="83" t="s">
        <v>268</v>
      </c>
      <c r="E10" s="81">
        <v>1.0</v>
      </c>
      <c r="F10" s="84">
        <f t="shared" si="1"/>
        <v>400</v>
      </c>
      <c r="G10" s="85">
        <f t="shared" si="2"/>
        <v>1</v>
      </c>
      <c r="H10" s="86" t="s">
        <v>20</v>
      </c>
      <c r="I10" s="87"/>
      <c r="J10" s="31"/>
    </row>
    <row r="11">
      <c r="A11" s="80">
        <v>8.0</v>
      </c>
      <c r="B11" s="81">
        <v>1004531.0</v>
      </c>
      <c r="C11" s="82" t="str">
        <f>vlookup(B11,'Crew Data'!C:G,5,0)</f>
        <v>Nattakan Kanokpantarakorn </v>
      </c>
      <c r="D11" s="83" t="s">
        <v>267</v>
      </c>
      <c r="E11" s="81">
        <v>2.0</v>
      </c>
      <c r="F11" s="84">
        <f t="shared" si="1"/>
        <v>800</v>
      </c>
      <c r="G11" s="85">
        <f t="shared" si="2"/>
        <v>1</v>
      </c>
      <c r="H11" s="86" t="s">
        <v>20</v>
      </c>
      <c r="I11" s="87"/>
      <c r="J11" s="31"/>
    </row>
    <row r="12">
      <c r="A12" s="80">
        <v>9.0</v>
      </c>
      <c r="B12" s="81">
        <v>1015096.0</v>
      </c>
      <c r="C12" s="82" t="str">
        <f>vlookup(B12,'Crew Data'!C:G,5,0)</f>
        <v>Thiranart Ponglongkhum</v>
      </c>
      <c r="D12" s="83" t="s">
        <v>266</v>
      </c>
      <c r="E12" s="81">
        <v>2.0</v>
      </c>
      <c r="F12" s="84">
        <f t="shared" si="1"/>
        <v>800</v>
      </c>
      <c r="G12" s="85">
        <f t="shared" si="2"/>
        <v>1</v>
      </c>
      <c r="H12" s="86" t="s">
        <v>20</v>
      </c>
      <c r="I12" s="87"/>
      <c r="J12" s="31"/>
    </row>
    <row r="13">
      <c r="A13" s="80">
        <v>10.0</v>
      </c>
      <c r="B13" s="81">
        <v>1003392.0</v>
      </c>
      <c r="C13" s="82" t="str">
        <f>vlookup(B13,'Crew Data'!C:G,5,0)</f>
        <v>Punnaphas Tawornpanmanee</v>
      </c>
      <c r="D13" s="83" t="s">
        <v>269</v>
      </c>
      <c r="E13" s="81">
        <v>2.0</v>
      </c>
      <c r="F13" s="84">
        <f t="shared" si="1"/>
        <v>800</v>
      </c>
      <c r="G13" s="85">
        <f t="shared" si="2"/>
        <v>1</v>
      </c>
      <c r="H13" s="86" t="s">
        <v>20</v>
      </c>
      <c r="I13" s="87"/>
      <c r="J13" s="31"/>
    </row>
    <row r="14">
      <c r="A14" s="80">
        <v>11.0</v>
      </c>
      <c r="B14" s="81">
        <v>1013576.0</v>
      </c>
      <c r="C14" s="82" t="str">
        <f>vlookup(B14,'Crew Data'!C:G,5,0)</f>
        <v>Pawarisar Samanthong</v>
      </c>
      <c r="D14" s="83" t="s">
        <v>270</v>
      </c>
      <c r="E14" s="81">
        <v>2.0</v>
      </c>
      <c r="F14" s="84">
        <f t="shared" si="1"/>
        <v>800</v>
      </c>
      <c r="G14" s="85">
        <f t="shared" si="2"/>
        <v>1</v>
      </c>
      <c r="H14" s="86" t="s">
        <v>20</v>
      </c>
      <c r="I14" s="87"/>
      <c r="J14" s="31"/>
    </row>
    <row r="15">
      <c r="A15" s="80">
        <v>12.0</v>
      </c>
      <c r="B15" s="81">
        <v>1007157.0</v>
      </c>
      <c r="C15" s="82" t="str">
        <f>vlookup(B15,'Crew Data'!C:G,5,0)</f>
        <v>Pichanun Seneetantikul</v>
      </c>
      <c r="D15" s="83" t="s">
        <v>271</v>
      </c>
      <c r="E15" s="81">
        <v>2.0</v>
      </c>
      <c r="F15" s="84">
        <f t="shared" si="1"/>
        <v>800</v>
      </c>
      <c r="G15" s="85">
        <f t="shared" si="2"/>
        <v>1</v>
      </c>
      <c r="H15" s="86" t="s">
        <v>20</v>
      </c>
      <c r="I15" s="87"/>
      <c r="J15" s="31"/>
    </row>
    <row r="16">
      <c r="A16" s="80">
        <v>13.0</v>
      </c>
      <c r="B16" s="81">
        <v>1009799.0</v>
      </c>
      <c r="C16" s="82" t="str">
        <f>vlookup(B16,'Crew Data'!C:G,5,0)</f>
        <v>Kittirat Aujsri</v>
      </c>
      <c r="D16" s="83" t="s">
        <v>272</v>
      </c>
      <c r="E16" s="81">
        <v>2.0</v>
      </c>
      <c r="F16" s="84">
        <f t="shared" si="1"/>
        <v>800</v>
      </c>
      <c r="G16" s="85">
        <f t="shared" si="2"/>
        <v>1</v>
      </c>
      <c r="H16" s="86" t="s">
        <v>20</v>
      </c>
      <c r="I16" s="87"/>
      <c r="J16" s="31"/>
    </row>
    <row r="17">
      <c r="A17" s="80">
        <v>14.0</v>
      </c>
      <c r="B17" s="81">
        <v>1007032.0</v>
      </c>
      <c r="C17" s="82" t="str">
        <f>vlookup(B17,'Crew Data'!C:G,5,0)</f>
        <v>Praew Kijsuwan</v>
      </c>
      <c r="D17" s="83" t="s">
        <v>268</v>
      </c>
      <c r="E17" s="81">
        <v>1.0</v>
      </c>
      <c r="F17" s="84">
        <f t="shared" si="1"/>
        <v>400</v>
      </c>
      <c r="G17" s="85">
        <f t="shared" si="2"/>
        <v>1</v>
      </c>
      <c r="H17" s="86" t="s">
        <v>20</v>
      </c>
      <c r="I17" s="87"/>
      <c r="J17" s="31"/>
    </row>
    <row r="18">
      <c r="A18" s="80">
        <v>15.0</v>
      </c>
      <c r="B18" s="81">
        <v>1002984.0</v>
      </c>
      <c r="C18" s="82" t="str">
        <f>vlookup(B18,'Crew Data'!C:G,5,0)</f>
        <v>Praepailin Luckanatin</v>
      </c>
      <c r="D18" s="83" t="s">
        <v>270</v>
      </c>
      <c r="E18" s="81">
        <v>2.0</v>
      </c>
      <c r="F18" s="84">
        <f t="shared" si="1"/>
        <v>800</v>
      </c>
      <c r="G18" s="85">
        <f t="shared" si="2"/>
        <v>1</v>
      </c>
      <c r="H18" s="86" t="s">
        <v>20</v>
      </c>
      <c r="I18" s="87"/>
      <c r="J18" s="31"/>
    </row>
    <row r="19">
      <c r="A19" s="80">
        <v>16.0</v>
      </c>
      <c r="B19" s="81">
        <v>1001273.0</v>
      </c>
      <c r="C19" s="82" t="str">
        <f>vlookup(B19,'Crew Data'!C:G,5,0)</f>
        <v>Chidchanok Seesorn</v>
      </c>
      <c r="D19" s="83" t="s">
        <v>273</v>
      </c>
      <c r="E19" s="81">
        <v>2.0</v>
      </c>
      <c r="F19" s="84">
        <f t="shared" si="1"/>
        <v>800</v>
      </c>
      <c r="G19" s="85">
        <f t="shared" si="2"/>
        <v>1</v>
      </c>
      <c r="H19" s="86" t="s">
        <v>20</v>
      </c>
      <c r="I19" s="87"/>
      <c r="J19" s="31"/>
    </row>
    <row r="20">
      <c r="A20" s="80">
        <v>17.0</v>
      </c>
      <c r="B20" s="81">
        <v>1015091.0</v>
      </c>
      <c r="C20" s="82" t="str">
        <f>vlookup(B20,'Crew Data'!C:G,5,0)</f>
        <v>Nutpattra Kokanutaporn </v>
      </c>
      <c r="D20" s="83" t="s">
        <v>274</v>
      </c>
      <c r="E20" s="81">
        <v>2.0</v>
      </c>
      <c r="F20" s="84">
        <f t="shared" si="1"/>
        <v>800</v>
      </c>
      <c r="G20" s="85">
        <f t="shared" si="2"/>
        <v>1</v>
      </c>
      <c r="H20" s="86" t="s">
        <v>20</v>
      </c>
      <c r="I20" s="87"/>
      <c r="J20" s="31"/>
    </row>
    <row r="21">
      <c r="A21" s="80">
        <v>18.0</v>
      </c>
      <c r="B21" s="81">
        <v>1022218.0</v>
      </c>
      <c r="C21" s="82" t="str">
        <f>vlookup(B21,'Crew Data'!C:G,5,0)</f>
        <v>Pimchai Supachaiyakij</v>
      </c>
      <c r="D21" s="83" t="s">
        <v>268</v>
      </c>
      <c r="E21" s="81">
        <v>1.0</v>
      </c>
      <c r="F21" s="84">
        <f t="shared" si="1"/>
        <v>400</v>
      </c>
      <c r="G21" s="85">
        <f t="shared" si="2"/>
        <v>1</v>
      </c>
      <c r="H21" s="86" t="s">
        <v>20</v>
      </c>
      <c r="I21" s="87"/>
      <c r="J21" s="31"/>
    </row>
    <row r="22">
      <c r="A22" s="80">
        <v>19.0</v>
      </c>
      <c r="B22" s="81">
        <v>1004016.0</v>
      </c>
      <c r="C22" s="82" t="str">
        <f>vlookup(B22,'Crew Data'!C:G,5,0)</f>
        <v>Khamkhun Thapnoo</v>
      </c>
      <c r="D22" s="83" t="s">
        <v>275</v>
      </c>
      <c r="E22" s="81">
        <v>26.0</v>
      </c>
      <c r="F22" s="84">
        <f t="shared" si="1"/>
        <v>10400</v>
      </c>
      <c r="G22" s="85">
        <f t="shared" si="2"/>
        <v>1</v>
      </c>
      <c r="H22" s="86" t="s">
        <v>20</v>
      </c>
      <c r="I22" s="87"/>
      <c r="J22" s="31"/>
    </row>
    <row r="23">
      <c r="A23" s="80">
        <v>21.0</v>
      </c>
      <c r="B23" s="81">
        <v>1007007.0</v>
      </c>
      <c r="C23" s="82" t="str">
        <f>vlookup(B23,'Crew Data'!C:G,5,0)</f>
        <v>Aram Nukulpakdee</v>
      </c>
      <c r="D23" s="83" t="s">
        <v>276</v>
      </c>
      <c r="E23" s="81">
        <v>25.0</v>
      </c>
      <c r="F23" s="84">
        <f t="shared" si="1"/>
        <v>10000</v>
      </c>
      <c r="G23" s="85">
        <f t="shared" si="2"/>
        <v>1</v>
      </c>
      <c r="H23" s="86" t="s">
        <v>20</v>
      </c>
      <c r="I23" s="87"/>
      <c r="J23" s="31"/>
    </row>
    <row r="24">
      <c r="A24" s="80">
        <v>22.0</v>
      </c>
      <c r="B24" s="81">
        <v>1005762.0</v>
      </c>
      <c r="C24" s="82" t="str">
        <f>vlookup(B24,'Crew Data'!C:G,5,0)</f>
        <v>Photchara Srisuk</v>
      </c>
      <c r="D24" s="83" t="s">
        <v>277</v>
      </c>
      <c r="E24" s="81">
        <v>27.0</v>
      </c>
      <c r="F24" s="84">
        <f t="shared" si="1"/>
        <v>10800</v>
      </c>
      <c r="G24" s="85">
        <f t="shared" si="2"/>
        <v>1</v>
      </c>
      <c r="H24" s="86" t="s">
        <v>20</v>
      </c>
      <c r="I24" s="87"/>
      <c r="J24" s="31"/>
    </row>
    <row r="25">
      <c r="A25" s="80">
        <v>23.0</v>
      </c>
      <c r="B25" s="81">
        <v>1003365.0</v>
      </c>
      <c r="C25" s="82" t="str">
        <f>vlookup(B25,'Crew Data'!C:G,5,0)</f>
        <v>Napatchol Wongwuttito</v>
      </c>
      <c r="D25" s="83" t="s">
        <v>278</v>
      </c>
      <c r="E25" s="81">
        <v>26.0</v>
      </c>
      <c r="F25" s="84">
        <f t="shared" si="1"/>
        <v>10400</v>
      </c>
      <c r="G25" s="85">
        <f t="shared" si="2"/>
        <v>1</v>
      </c>
      <c r="H25" s="86" t="s">
        <v>20</v>
      </c>
      <c r="I25" s="87"/>
      <c r="J25" s="31"/>
    </row>
    <row r="26">
      <c r="A26" s="80">
        <v>24.0</v>
      </c>
      <c r="B26" s="81">
        <v>1018543.0</v>
      </c>
      <c r="C26" s="82" t="str">
        <f>vlookup(B26,'Crew Data'!C:G,5,0)</f>
        <v>Tanawat Prasansuk</v>
      </c>
      <c r="D26" s="83" t="s">
        <v>279</v>
      </c>
      <c r="E26" s="81">
        <v>30.0</v>
      </c>
      <c r="F26" s="84">
        <f t="shared" si="1"/>
        <v>12000</v>
      </c>
      <c r="G26" s="85">
        <f t="shared" si="2"/>
        <v>1</v>
      </c>
      <c r="H26" s="86" t="s">
        <v>20</v>
      </c>
      <c r="I26" s="87"/>
      <c r="J26" s="31"/>
    </row>
    <row r="27">
      <c r="A27" s="80">
        <v>25.0</v>
      </c>
      <c r="B27" s="81">
        <v>1013178.0</v>
      </c>
      <c r="C27" s="82" t="str">
        <f>vlookup(B27,'Crew Data'!C:G,5,0)</f>
        <v>Niharoon Sulaiman</v>
      </c>
      <c r="D27" s="83" t="s">
        <v>280</v>
      </c>
      <c r="E27" s="81">
        <v>28.0</v>
      </c>
      <c r="F27" s="84">
        <f t="shared" si="1"/>
        <v>11200</v>
      </c>
      <c r="G27" s="85">
        <f t="shared" si="2"/>
        <v>1</v>
      </c>
      <c r="H27" s="86" t="s">
        <v>20</v>
      </c>
      <c r="I27" s="87"/>
      <c r="J27" s="31"/>
    </row>
    <row r="28">
      <c r="A28" s="80">
        <v>26.0</v>
      </c>
      <c r="B28" s="81">
        <v>1004683.0</v>
      </c>
      <c r="C28" s="82" t="str">
        <f>vlookup(B28,'Crew Data'!C:G,5,0)</f>
        <v>Prok Lartham</v>
      </c>
      <c r="D28" s="83" t="s">
        <v>279</v>
      </c>
      <c r="E28" s="81">
        <v>30.0</v>
      </c>
      <c r="F28" s="84">
        <f t="shared" si="1"/>
        <v>12000</v>
      </c>
      <c r="G28" s="85">
        <f t="shared" si="2"/>
        <v>1</v>
      </c>
      <c r="H28" s="86" t="s">
        <v>20</v>
      </c>
      <c r="I28" s="87"/>
      <c r="J28" s="31"/>
    </row>
    <row r="29">
      <c r="A29" s="80">
        <v>27.0</v>
      </c>
      <c r="B29" s="81">
        <v>1006991.0</v>
      </c>
      <c r="C29" s="82" t="str">
        <f>vlookup(B29,'Crew Data'!C:G,5,0)</f>
        <v>Chattamanuch Thiamhong</v>
      </c>
      <c r="D29" s="83" t="s">
        <v>281</v>
      </c>
      <c r="E29" s="81">
        <v>1.0</v>
      </c>
      <c r="F29" s="84">
        <f t="shared" si="1"/>
        <v>400</v>
      </c>
      <c r="G29" s="85">
        <f t="shared" si="2"/>
        <v>1</v>
      </c>
      <c r="H29" s="86" t="s">
        <v>20</v>
      </c>
      <c r="I29" s="87"/>
      <c r="J29" s="31"/>
    </row>
    <row r="30">
      <c r="A30" s="80">
        <v>28.0</v>
      </c>
      <c r="B30" s="81">
        <v>1011513.0</v>
      </c>
      <c r="C30" s="82" t="str">
        <f>vlookup(B30,'Crew Data'!C:G,5,0)</f>
        <v>Rawitnat Marayat</v>
      </c>
      <c r="D30" s="83" t="s">
        <v>281</v>
      </c>
      <c r="E30" s="81">
        <v>1.0</v>
      </c>
      <c r="F30" s="84">
        <f t="shared" si="1"/>
        <v>400</v>
      </c>
      <c r="G30" s="85">
        <f t="shared" si="2"/>
        <v>1</v>
      </c>
      <c r="H30" s="86" t="s">
        <v>20</v>
      </c>
      <c r="I30" s="87"/>
      <c r="J30" s="31"/>
    </row>
    <row r="31">
      <c r="A31" s="88">
        <v>29.0</v>
      </c>
      <c r="B31" s="88">
        <v>1010880.0</v>
      </c>
      <c r="C31" s="89" t="str">
        <f>vlookup(B31,'Crew Data'!C:G,5,0)</f>
        <v>Chutima Thitisantikhun</v>
      </c>
      <c r="D31" s="90" t="s">
        <v>282</v>
      </c>
      <c r="E31" s="88">
        <v>2.0</v>
      </c>
      <c r="F31" s="91">
        <f t="shared" si="1"/>
        <v>800</v>
      </c>
      <c r="G31" s="85">
        <f t="shared" si="2"/>
        <v>1</v>
      </c>
      <c r="H31" s="86" t="s">
        <v>20</v>
      </c>
      <c r="I31" s="87"/>
      <c r="J31" s="31"/>
    </row>
    <row r="32">
      <c r="A32" s="88">
        <v>30.0</v>
      </c>
      <c r="B32" s="88">
        <v>1007194.0</v>
      </c>
      <c r="C32" s="89" t="str">
        <f>vlookup(B32,'Crew Data'!C:G,5,0)</f>
        <v>Arparatt Pengya</v>
      </c>
      <c r="D32" s="90" t="s">
        <v>282</v>
      </c>
      <c r="E32" s="88">
        <v>2.0</v>
      </c>
      <c r="F32" s="91">
        <f t="shared" si="1"/>
        <v>800</v>
      </c>
      <c r="G32" s="85">
        <f t="shared" si="2"/>
        <v>1</v>
      </c>
      <c r="H32" s="86" t="s">
        <v>20</v>
      </c>
      <c r="I32" s="87"/>
      <c r="J32" s="31"/>
    </row>
    <row r="33">
      <c r="A33" s="88">
        <v>31.0</v>
      </c>
      <c r="B33" s="88">
        <v>1002202.0</v>
      </c>
      <c r="C33" s="89" t="str">
        <f>vlookup(B33,'Crew Data'!C:G,5,0)</f>
        <v>Nithipkan Damrongpongkhajorn</v>
      </c>
      <c r="D33" s="90" t="s">
        <v>273</v>
      </c>
      <c r="E33" s="88">
        <v>2.0</v>
      </c>
      <c r="F33" s="91">
        <f t="shared" si="1"/>
        <v>800</v>
      </c>
      <c r="G33" s="85">
        <f t="shared" si="2"/>
        <v>1</v>
      </c>
      <c r="H33" s="86" t="s">
        <v>20</v>
      </c>
      <c r="I33" s="87"/>
      <c r="J33" s="31"/>
    </row>
    <row r="34">
      <c r="A34" s="88">
        <v>32.0</v>
      </c>
      <c r="B34" s="88">
        <v>1010884.0</v>
      </c>
      <c r="C34" s="89" t="str">
        <f>vlookup(B34,'Crew Data'!C:G,5,0)</f>
        <v>Gridsapol Kittipakorn</v>
      </c>
      <c r="D34" s="92" t="s">
        <v>283</v>
      </c>
      <c r="E34" s="88">
        <v>2.0</v>
      </c>
      <c r="F34" s="91">
        <f t="shared" si="1"/>
        <v>800</v>
      </c>
      <c r="G34" s="85">
        <f t="shared" si="2"/>
        <v>1</v>
      </c>
      <c r="H34" s="86" t="s">
        <v>20</v>
      </c>
      <c r="I34" s="87"/>
      <c r="J34" s="31"/>
    </row>
    <row r="35">
      <c r="A35" s="88">
        <v>33.0</v>
      </c>
      <c r="B35" s="88">
        <v>1004213.0</v>
      </c>
      <c r="C35" s="89" t="str">
        <f>vlookup(B35,'Crew Data'!C:G,5,0)</f>
        <v>Worapada Suetrongmunkong</v>
      </c>
      <c r="D35" s="90" t="s">
        <v>265</v>
      </c>
      <c r="E35" s="88">
        <v>2.0</v>
      </c>
      <c r="F35" s="91">
        <f t="shared" si="1"/>
        <v>800</v>
      </c>
      <c r="G35" s="85">
        <f t="shared" si="2"/>
        <v>1</v>
      </c>
      <c r="H35" s="86" t="s">
        <v>20</v>
      </c>
      <c r="I35" s="87"/>
      <c r="J35" s="31"/>
    </row>
  </sheetData>
  <autoFilter ref="$A$3:$Z$33"/>
  <mergeCells count="2">
    <mergeCell ref="A1:F1"/>
    <mergeCell ref="E2:F2"/>
  </mergeCells>
  <dataValidations>
    <dataValidation type="list" allowBlank="1" sqref="H4:H35">
      <formula1>"CHECKED (OK),CHECKED  (NOT OK)"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3" max="3" width="26.75"/>
    <col customWidth="1" min="4" max="4" width="33.25"/>
    <col customWidth="1" min="7" max="7" width="3.5"/>
    <col customWidth="1" min="8" max="8" width="18.63"/>
    <col customWidth="1" min="9" max="9" width="21.63"/>
  </cols>
  <sheetData>
    <row r="1">
      <c r="A1" s="64" t="s">
        <v>284</v>
      </c>
      <c r="G1" s="65"/>
      <c r="H1" s="66" t="s">
        <v>285</v>
      </c>
      <c r="I1" s="67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93" t="s">
        <v>1</v>
      </c>
      <c r="B2" s="93" t="s">
        <v>11</v>
      </c>
      <c r="C2" s="93" t="s">
        <v>12</v>
      </c>
      <c r="D2" s="94" t="s">
        <v>13</v>
      </c>
      <c r="E2" s="95" t="s">
        <v>14</v>
      </c>
      <c r="G2" s="72"/>
      <c r="H2" s="65"/>
      <c r="I2" s="65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93"/>
      <c r="B3" s="93"/>
      <c r="C3" s="93"/>
      <c r="D3" s="94"/>
      <c r="E3" s="95" t="s">
        <v>15</v>
      </c>
      <c r="F3" s="96" t="s">
        <v>5</v>
      </c>
      <c r="G3" s="72"/>
      <c r="H3" s="78" t="s">
        <v>6</v>
      </c>
      <c r="I3" s="79" t="s">
        <v>7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>
      <c r="A4" s="97">
        <v>1.0</v>
      </c>
      <c r="B4" s="97">
        <v>1019193.0</v>
      </c>
      <c r="C4" s="98" t="str">
        <f>vlookup(B4,'Crew Data'!C:G,5,0)</f>
        <v>Nattaporn Pattarasiriwong</v>
      </c>
      <c r="D4" s="99" t="s">
        <v>286</v>
      </c>
      <c r="E4" s="97">
        <v>4.0</v>
      </c>
      <c r="F4" s="100">
        <f t="shared" ref="F4:F36" si="1">E4*400</f>
        <v>1600</v>
      </c>
      <c r="G4" s="85">
        <f t="shared" ref="G4:G36" si="2">COUNTIF(B:B,B4)</f>
        <v>1</v>
      </c>
      <c r="H4" s="86" t="s">
        <v>20</v>
      </c>
      <c r="I4" s="87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A5" s="97">
        <v>2.0</v>
      </c>
      <c r="B5" s="97">
        <v>1001822.0</v>
      </c>
      <c r="C5" s="98" t="str">
        <f>vlookup(B5,'Crew Data'!C:G,5,0)</f>
        <v>Wilasinee Natenopparat</v>
      </c>
      <c r="D5" s="99" t="s">
        <v>287</v>
      </c>
      <c r="E5" s="97">
        <v>2.0</v>
      </c>
      <c r="F5" s="100">
        <f t="shared" si="1"/>
        <v>800</v>
      </c>
      <c r="G5" s="85">
        <f t="shared" si="2"/>
        <v>1</v>
      </c>
      <c r="H5" s="86" t="s">
        <v>20</v>
      </c>
      <c r="I5" s="87"/>
    </row>
    <row r="6">
      <c r="A6" s="97">
        <v>3.0</v>
      </c>
      <c r="B6" s="101">
        <v>1040338.0</v>
      </c>
      <c r="C6" s="98" t="str">
        <f>vlookup(B6,'Crew Data'!C:G,5,0)</f>
        <v>Piyakorn Sripraphan</v>
      </c>
      <c r="D6" s="99" t="s">
        <v>270</v>
      </c>
      <c r="E6" s="97">
        <v>2.0</v>
      </c>
      <c r="F6" s="100">
        <f t="shared" si="1"/>
        <v>800</v>
      </c>
      <c r="G6" s="85">
        <f t="shared" si="2"/>
        <v>1</v>
      </c>
      <c r="H6" s="86" t="s">
        <v>20</v>
      </c>
      <c r="I6" s="87"/>
    </row>
    <row r="7">
      <c r="A7" s="97">
        <v>4.0</v>
      </c>
      <c r="B7" s="102">
        <v>1004298.0</v>
      </c>
      <c r="C7" s="98" t="str">
        <f>vlookup(B7,'Crew Data'!C:G,5,0)</f>
        <v>Teerapat Kasemphongsakorn</v>
      </c>
      <c r="D7" s="99" t="s">
        <v>288</v>
      </c>
      <c r="E7" s="97">
        <v>2.0</v>
      </c>
      <c r="F7" s="100">
        <f t="shared" si="1"/>
        <v>800</v>
      </c>
      <c r="G7" s="85">
        <f t="shared" si="2"/>
        <v>1</v>
      </c>
      <c r="H7" s="86" t="s">
        <v>20</v>
      </c>
      <c r="I7" s="87"/>
    </row>
    <row r="8">
      <c r="A8" s="97">
        <v>5.0</v>
      </c>
      <c r="B8" s="102">
        <v>1015412.0</v>
      </c>
      <c r="C8" s="98" t="str">
        <f>vlookup(B8,'Crew Data'!C:G,5,0)</f>
        <v>Sitthiphath Ratanaborvornsethi</v>
      </c>
      <c r="D8" s="99" t="s">
        <v>289</v>
      </c>
      <c r="E8" s="97">
        <v>2.0</v>
      </c>
      <c r="F8" s="100">
        <f t="shared" si="1"/>
        <v>800</v>
      </c>
      <c r="G8" s="85">
        <f t="shared" si="2"/>
        <v>1</v>
      </c>
      <c r="H8" s="86" t="s">
        <v>20</v>
      </c>
      <c r="I8" s="87"/>
    </row>
    <row r="9">
      <c r="A9" s="97">
        <v>6.0</v>
      </c>
      <c r="B9" s="102">
        <v>1025144.0</v>
      </c>
      <c r="C9" s="98" t="str">
        <f>vlookup(B9,'Crew Data'!C:G,5,0)</f>
        <v>Maythawee Krabuansri</v>
      </c>
      <c r="D9" s="99" t="s">
        <v>290</v>
      </c>
      <c r="E9" s="97">
        <v>2.0</v>
      </c>
      <c r="F9" s="100">
        <f t="shared" si="1"/>
        <v>800</v>
      </c>
      <c r="G9" s="85">
        <f t="shared" si="2"/>
        <v>1</v>
      </c>
      <c r="H9" s="86" t="s">
        <v>20</v>
      </c>
      <c r="I9" s="87"/>
    </row>
    <row r="10">
      <c r="A10" s="97">
        <v>7.0</v>
      </c>
      <c r="B10" s="102">
        <v>1004541.0</v>
      </c>
      <c r="C10" s="98" t="str">
        <f>vlookup(B10,'Crew Data'!C:G,5,0)</f>
        <v>Varaporn Rattanamahasalchai</v>
      </c>
      <c r="D10" s="99" t="s">
        <v>291</v>
      </c>
      <c r="E10" s="97">
        <v>2.0</v>
      </c>
      <c r="F10" s="100">
        <f t="shared" si="1"/>
        <v>800</v>
      </c>
      <c r="G10" s="85">
        <f t="shared" si="2"/>
        <v>1</v>
      </c>
      <c r="H10" s="86" t="s">
        <v>20</v>
      </c>
      <c r="I10" s="87"/>
    </row>
    <row r="11">
      <c r="A11" s="97">
        <v>8.0</v>
      </c>
      <c r="B11" s="102">
        <v>1004047.0</v>
      </c>
      <c r="C11" s="98" t="str">
        <f>vlookup(B11,'Crew Data'!C:G,5,0)</f>
        <v>Sunisa Panhirun</v>
      </c>
      <c r="D11" s="99" t="s">
        <v>291</v>
      </c>
      <c r="E11" s="97">
        <v>2.0</v>
      </c>
      <c r="F11" s="100">
        <f t="shared" si="1"/>
        <v>800</v>
      </c>
      <c r="G11" s="85">
        <f t="shared" si="2"/>
        <v>1</v>
      </c>
      <c r="H11" s="86" t="s">
        <v>20</v>
      </c>
      <c r="I11" s="87"/>
    </row>
    <row r="12">
      <c r="A12" s="97">
        <v>9.0</v>
      </c>
      <c r="B12" s="102">
        <v>1016385.0</v>
      </c>
      <c r="C12" s="98" t="str">
        <f>vlookup(B12,'Crew Data'!C:G,5,0)</f>
        <v>Raweewan Sritong</v>
      </c>
      <c r="D12" s="99" t="s">
        <v>292</v>
      </c>
      <c r="E12" s="97">
        <v>2.0</v>
      </c>
      <c r="F12" s="100">
        <f t="shared" si="1"/>
        <v>800</v>
      </c>
      <c r="G12" s="85">
        <f t="shared" si="2"/>
        <v>1</v>
      </c>
      <c r="H12" s="86" t="s">
        <v>20</v>
      </c>
      <c r="I12" s="87"/>
    </row>
    <row r="13">
      <c r="A13" s="97">
        <v>10.0</v>
      </c>
      <c r="B13" s="102">
        <v>1011844.0</v>
      </c>
      <c r="C13" s="98" t="str">
        <f>vlookup(B13,'Crew Data'!C:G,5,0)</f>
        <v>Thanyaporn Vaivattana</v>
      </c>
      <c r="D13" s="99" t="s">
        <v>293</v>
      </c>
      <c r="E13" s="97">
        <v>2.0</v>
      </c>
      <c r="F13" s="100">
        <f t="shared" si="1"/>
        <v>800</v>
      </c>
      <c r="G13" s="85">
        <f t="shared" si="2"/>
        <v>1</v>
      </c>
      <c r="H13" s="86" t="s">
        <v>20</v>
      </c>
      <c r="I13" s="87"/>
    </row>
    <row r="14">
      <c r="A14" s="97">
        <v>11.0</v>
      </c>
      <c r="B14" s="102">
        <v>1013033.0</v>
      </c>
      <c r="C14" s="98" t="str">
        <f>vlookup(B14,'Crew Data'!C:G,5,0)</f>
        <v>Sirirat Thampipat</v>
      </c>
      <c r="D14" s="99" t="s">
        <v>294</v>
      </c>
      <c r="E14" s="97">
        <v>2.0</v>
      </c>
      <c r="F14" s="100">
        <f t="shared" si="1"/>
        <v>800</v>
      </c>
      <c r="G14" s="85">
        <f t="shared" si="2"/>
        <v>1</v>
      </c>
      <c r="H14" s="86" t="s">
        <v>20</v>
      </c>
      <c r="I14" s="87"/>
    </row>
    <row r="15">
      <c r="A15" s="97">
        <v>12.0</v>
      </c>
      <c r="B15" s="102">
        <v>1011513.0</v>
      </c>
      <c r="C15" s="98" t="str">
        <f>vlookup(B15,'Crew Data'!C:G,5,0)</f>
        <v>Rawitnat Marayat</v>
      </c>
      <c r="D15" s="103">
        <v>45627.0</v>
      </c>
      <c r="E15" s="97">
        <v>1.0</v>
      </c>
      <c r="F15" s="100">
        <f t="shared" si="1"/>
        <v>400</v>
      </c>
      <c r="G15" s="85">
        <f t="shared" si="2"/>
        <v>1</v>
      </c>
      <c r="H15" s="86" t="s">
        <v>20</v>
      </c>
      <c r="I15" s="87"/>
    </row>
    <row r="16">
      <c r="A16" s="97">
        <v>13.0</v>
      </c>
      <c r="B16" s="102">
        <v>1015096.0</v>
      </c>
      <c r="C16" s="98" t="str">
        <f>vlookup(B16,'Crew Data'!C:G,5,0)</f>
        <v>Thiranart Ponglongkhum</v>
      </c>
      <c r="D16" s="99" t="s">
        <v>295</v>
      </c>
      <c r="E16" s="97">
        <v>2.0</v>
      </c>
      <c r="F16" s="100">
        <f t="shared" si="1"/>
        <v>800</v>
      </c>
      <c r="G16" s="85">
        <f t="shared" si="2"/>
        <v>1</v>
      </c>
      <c r="H16" s="86" t="s">
        <v>20</v>
      </c>
      <c r="I16" s="87"/>
    </row>
    <row r="17">
      <c r="A17" s="97">
        <v>14.0</v>
      </c>
      <c r="B17" s="102">
        <v>1014554.0</v>
      </c>
      <c r="C17" s="98" t="str">
        <f>vlookup(B17,'Crew Data'!C:G,5,0)</f>
        <v>Katthareeya Trachoowanich</v>
      </c>
      <c r="D17" s="99" t="s">
        <v>296</v>
      </c>
      <c r="E17" s="97">
        <v>2.0</v>
      </c>
      <c r="F17" s="100">
        <f t="shared" si="1"/>
        <v>800</v>
      </c>
      <c r="G17" s="85">
        <f t="shared" si="2"/>
        <v>1</v>
      </c>
      <c r="H17" s="86" t="s">
        <v>20</v>
      </c>
      <c r="I17" s="87"/>
    </row>
    <row r="18">
      <c r="A18" s="97">
        <v>15.0</v>
      </c>
      <c r="B18" s="102">
        <v>1007032.0</v>
      </c>
      <c r="C18" s="98" t="str">
        <f>vlookup(B18,'Crew Data'!C:G,5,0)</f>
        <v>Praew Kijsuwan</v>
      </c>
      <c r="D18" s="99" t="s">
        <v>290</v>
      </c>
      <c r="E18" s="97">
        <v>2.0</v>
      </c>
      <c r="F18" s="100">
        <f t="shared" si="1"/>
        <v>800</v>
      </c>
      <c r="G18" s="85">
        <f t="shared" si="2"/>
        <v>1</v>
      </c>
      <c r="H18" s="86" t="s">
        <v>20</v>
      </c>
      <c r="I18" s="87"/>
    </row>
    <row r="19">
      <c r="A19" s="97">
        <v>16.0</v>
      </c>
      <c r="B19" s="102">
        <v>1007026.0</v>
      </c>
      <c r="C19" s="98" t="str">
        <f>vlookup(B19,'Crew Data'!C:G,5,0)</f>
        <v>Kwanrapee Satayayookt</v>
      </c>
      <c r="D19" s="99" t="s">
        <v>290</v>
      </c>
      <c r="E19" s="97">
        <v>2.0</v>
      </c>
      <c r="F19" s="100">
        <f t="shared" si="1"/>
        <v>800</v>
      </c>
      <c r="G19" s="85">
        <f t="shared" si="2"/>
        <v>1</v>
      </c>
      <c r="H19" s="86" t="s">
        <v>20</v>
      </c>
      <c r="I19" s="87"/>
    </row>
    <row r="20">
      <c r="A20" s="97">
        <v>17.0</v>
      </c>
      <c r="B20" s="102">
        <v>1004127.0</v>
      </c>
      <c r="C20" s="98" t="str">
        <f>vlookup(B20,'Crew Data'!C:G,5,0)</f>
        <v>Thawinun Arunnuntapanich</v>
      </c>
      <c r="D20" s="103">
        <v>45657.0</v>
      </c>
      <c r="E20" s="97">
        <v>1.0</v>
      </c>
      <c r="F20" s="100">
        <f t="shared" si="1"/>
        <v>400</v>
      </c>
      <c r="G20" s="85">
        <f t="shared" si="2"/>
        <v>1</v>
      </c>
      <c r="H20" s="86" t="s">
        <v>20</v>
      </c>
      <c r="I20" s="87"/>
    </row>
    <row r="21">
      <c r="A21" s="97">
        <v>18.0</v>
      </c>
      <c r="B21" s="102">
        <v>1019551.0</v>
      </c>
      <c r="C21" s="98" t="str">
        <f>vlookup(B21,'Crew Data'!C:G,5,0)</f>
        <v>Thanyatorn Panyanonwat</v>
      </c>
      <c r="D21" s="103">
        <v>45657.0</v>
      </c>
      <c r="E21" s="97">
        <v>1.0</v>
      </c>
      <c r="F21" s="100">
        <f t="shared" si="1"/>
        <v>400</v>
      </c>
      <c r="G21" s="85">
        <f t="shared" si="2"/>
        <v>1</v>
      </c>
      <c r="H21" s="86" t="s">
        <v>20</v>
      </c>
      <c r="I21" s="87"/>
    </row>
    <row r="22">
      <c r="A22" s="97">
        <v>19.0</v>
      </c>
      <c r="B22" s="102">
        <v>1014262.0</v>
      </c>
      <c r="C22" s="98" t="str">
        <f>vlookup(B22,'Crew Data'!C:G,5,0)</f>
        <v>Wongsakorn Chumniwatesa</v>
      </c>
      <c r="D22" s="103">
        <v>45657.0</v>
      </c>
      <c r="E22" s="97">
        <v>1.0</v>
      </c>
      <c r="F22" s="100">
        <f t="shared" si="1"/>
        <v>400</v>
      </c>
      <c r="G22" s="85">
        <f t="shared" si="2"/>
        <v>1</v>
      </c>
      <c r="H22" s="86" t="s">
        <v>20</v>
      </c>
      <c r="I22" s="87"/>
    </row>
    <row r="23">
      <c r="A23" s="97">
        <v>20.0</v>
      </c>
      <c r="B23" s="97">
        <v>1010916.0</v>
      </c>
      <c r="C23" s="98" t="str">
        <f>vlookup(B23,'Crew Data'!C:G,5,0)</f>
        <v>Sivakorn Sangsukiam</v>
      </c>
      <c r="D23" s="99" t="s">
        <v>296</v>
      </c>
      <c r="E23" s="97">
        <v>2.0</v>
      </c>
      <c r="F23" s="100">
        <f t="shared" si="1"/>
        <v>800</v>
      </c>
      <c r="G23" s="85">
        <f t="shared" si="2"/>
        <v>1</v>
      </c>
      <c r="H23" s="86" t="s">
        <v>20</v>
      </c>
      <c r="I23" s="87"/>
    </row>
    <row r="24">
      <c r="A24" s="97">
        <v>21.0</v>
      </c>
      <c r="B24" s="101">
        <v>1005301.0</v>
      </c>
      <c r="C24" s="98" t="str">
        <f>vlookup(B24,'Crew Data'!C:G,5,0)</f>
        <v>Pimpaporn Sittitanggoon</v>
      </c>
      <c r="D24" s="99" t="s">
        <v>272</v>
      </c>
      <c r="E24" s="97">
        <v>2.0</v>
      </c>
      <c r="F24" s="100">
        <f t="shared" si="1"/>
        <v>800</v>
      </c>
      <c r="G24" s="85">
        <f t="shared" si="2"/>
        <v>1</v>
      </c>
      <c r="H24" s="86" t="s">
        <v>20</v>
      </c>
      <c r="I24" s="87"/>
    </row>
    <row r="25">
      <c r="A25" s="97">
        <v>22.0</v>
      </c>
      <c r="B25" s="101">
        <v>1001082.0</v>
      </c>
      <c r="C25" s="98" t="str">
        <f>vlookup(B25,'Crew Data'!C:G,5,0)</f>
        <v>Pobsaran Chantaratim</v>
      </c>
      <c r="D25" s="99" t="s">
        <v>294</v>
      </c>
      <c r="E25" s="97">
        <v>2.0</v>
      </c>
      <c r="F25" s="100">
        <f t="shared" si="1"/>
        <v>800</v>
      </c>
      <c r="G25" s="85">
        <f t="shared" si="2"/>
        <v>1</v>
      </c>
      <c r="H25" s="86" t="s">
        <v>20</v>
      </c>
      <c r="I25" s="87"/>
    </row>
    <row r="26">
      <c r="A26" s="97">
        <v>23.0</v>
      </c>
      <c r="B26" s="104">
        <v>1003392.0</v>
      </c>
      <c r="C26" s="98" t="str">
        <f>vlookup(B26,'Crew Data'!C:G,5,0)</f>
        <v>Punnaphas Tawornpanmanee</v>
      </c>
      <c r="D26" s="99" t="s">
        <v>291</v>
      </c>
      <c r="E26" s="97">
        <v>2.0</v>
      </c>
      <c r="F26" s="100">
        <f t="shared" si="1"/>
        <v>800</v>
      </c>
      <c r="G26" s="85">
        <f t="shared" si="2"/>
        <v>1</v>
      </c>
      <c r="H26" s="86" t="s">
        <v>20</v>
      </c>
      <c r="I26" s="87"/>
    </row>
    <row r="27">
      <c r="A27" s="97">
        <v>24.0</v>
      </c>
      <c r="B27" s="102">
        <v>1012554.0</v>
      </c>
      <c r="C27" s="98" t="str">
        <f>vlookup(B27,'Crew Data'!C:G,5,0)</f>
        <v>Bhuriwat Udomphol</v>
      </c>
      <c r="D27" s="99" t="s">
        <v>297</v>
      </c>
      <c r="E27" s="97">
        <v>4.0</v>
      </c>
      <c r="F27" s="100">
        <f t="shared" si="1"/>
        <v>1600</v>
      </c>
      <c r="G27" s="85">
        <f t="shared" si="2"/>
        <v>1</v>
      </c>
      <c r="H27" s="86" t="s">
        <v>20</v>
      </c>
      <c r="I27" s="87"/>
    </row>
    <row r="28">
      <c r="A28" s="97">
        <v>25.0</v>
      </c>
      <c r="B28" s="102">
        <v>1004016.0</v>
      </c>
      <c r="C28" s="98" t="str">
        <f>vlookup(B28,'Crew Data'!C:G,5,0)</f>
        <v>Khamkhun Thapnoo</v>
      </c>
      <c r="D28" s="99" t="s">
        <v>298</v>
      </c>
      <c r="E28" s="97">
        <v>29.0</v>
      </c>
      <c r="F28" s="100">
        <f t="shared" si="1"/>
        <v>11600</v>
      </c>
      <c r="G28" s="85">
        <f t="shared" si="2"/>
        <v>1</v>
      </c>
      <c r="H28" s="86" t="s">
        <v>20</v>
      </c>
      <c r="I28" s="87"/>
    </row>
    <row r="29">
      <c r="A29" s="97">
        <v>26.0</v>
      </c>
      <c r="B29" s="102">
        <v>1005972.0</v>
      </c>
      <c r="C29" s="98" t="str">
        <f>vlookup(B29,'Crew Data'!C:G,5,0)</f>
        <v>Wuttipon Onpuns</v>
      </c>
      <c r="D29" s="99" t="s">
        <v>299</v>
      </c>
      <c r="E29" s="97">
        <v>31.0</v>
      </c>
      <c r="F29" s="100">
        <f t="shared" si="1"/>
        <v>12400</v>
      </c>
      <c r="G29" s="85">
        <f t="shared" si="2"/>
        <v>1</v>
      </c>
      <c r="H29" s="86" t="s">
        <v>20</v>
      </c>
      <c r="I29" s="87"/>
    </row>
    <row r="30">
      <c r="A30" s="97">
        <v>27.0</v>
      </c>
      <c r="B30" s="102">
        <v>1025306.0</v>
      </c>
      <c r="C30" s="98" t="str">
        <f>vlookup(B30,'Crew Data'!C:G,5,0)</f>
        <v>Soravis Kissanaviparkporn</v>
      </c>
      <c r="D30" s="99" t="s">
        <v>300</v>
      </c>
      <c r="E30" s="97">
        <v>26.0</v>
      </c>
      <c r="F30" s="100">
        <f t="shared" si="1"/>
        <v>10400</v>
      </c>
      <c r="G30" s="85">
        <f t="shared" si="2"/>
        <v>1</v>
      </c>
      <c r="H30" s="86" t="s">
        <v>20</v>
      </c>
      <c r="I30" s="87"/>
    </row>
    <row r="31">
      <c r="A31" s="97">
        <v>28.0</v>
      </c>
      <c r="B31" s="102">
        <v>1005762.0</v>
      </c>
      <c r="C31" s="98" t="str">
        <f>vlookup(B31,'Crew Data'!C:G,5,0)</f>
        <v>Photchara Srisuk</v>
      </c>
      <c r="D31" s="99" t="s">
        <v>299</v>
      </c>
      <c r="E31" s="97">
        <v>31.0</v>
      </c>
      <c r="F31" s="100">
        <f t="shared" si="1"/>
        <v>12400</v>
      </c>
      <c r="G31" s="85">
        <f t="shared" si="2"/>
        <v>1</v>
      </c>
      <c r="H31" s="86" t="s">
        <v>20</v>
      </c>
      <c r="I31" s="87"/>
    </row>
    <row r="32">
      <c r="A32" s="97">
        <v>29.0</v>
      </c>
      <c r="B32" s="102">
        <v>1009768.0</v>
      </c>
      <c r="C32" s="98" t="str">
        <f>vlookup(B32,'Crew Data'!C:G,5,0)</f>
        <v>Thidech Eakmongkollert</v>
      </c>
      <c r="D32" s="99" t="s">
        <v>301</v>
      </c>
      <c r="E32" s="97">
        <v>30.0</v>
      </c>
      <c r="F32" s="100">
        <f t="shared" si="1"/>
        <v>12000</v>
      </c>
      <c r="G32" s="85">
        <f t="shared" si="2"/>
        <v>1</v>
      </c>
      <c r="H32" s="86" t="s">
        <v>20</v>
      </c>
      <c r="I32" s="87"/>
    </row>
    <row r="33">
      <c r="A33" s="97">
        <v>30.0</v>
      </c>
      <c r="B33" s="102">
        <v>1009757.0</v>
      </c>
      <c r="C33" s="98" t="str">
        <f>vlookup(B33,'Crew Data'!C:G,5,0)</f>
        <v>Pattrawan Wongchirawat</v>
      </c>
      <c r="D33" s="99" t="s">
        <v>302</v>
      </c>
      <c r="E33" s="97">
        <v>28.0</v>
      </c>
      <c r="F33" s="100">
        <f t="shared" si="1"/>
        <v>11200</v>
      </c>
      <c r="G33" s="85">
        <f t="shared" si="2"/>
        <v>1</v>
      </c>
      <c r="H33" s="86" t="s">
        <v>20</v>
      </c>
      <c r="I33" s="87"/>
    </row>
    <row r="34">
      <c r="A34" s="97">
        <v>31.0</v>
      </c>
      <c r="B34" s="102">
        <v>1011510.0</v>
      </c>
      <c r="C34" s="98" t="str">
        <f>vlookup(B34,'Crew Data'!C:G,5,0)</f>
        <v>Nitinai Chalongtrakul</v>
      </c>
      <c r="D34" s="99" t="s">
        <v>303</v>
      </c>
      <c r="E34" s="97">
        <v>2.0</v>
      </c>
      <c r="F34" s="100">
        <f t="shared" si="1"/>
        <v>800</v>
      </c>
      <c r="G34" s="85">
        <f t="shared" si="2"/>
        <v>1</v>
      </c>
      <c r="H34" s="86" t="s">
        <v>20</v>
      </c>
      <c r="I34" s="87"/>
    </row>
    <row r="35">
      <c r="A35" s="97">
        <v>32.0</v>
      </c>
      <c r="B35" s="102">
        <v>1007007.0</v>
      </c>
      <c r="C35" s="98" t="str">
        <f>vlookup(B35,'Crew Data'!C:G,5,0)</f>
        <v>Aram Nukulpakdee</v>
      </c>
      <c r="D35" s="99" t="s">
        <v>299</v>
      </c>
      <c r="E35" s="97">
        <v>31.0</v>
      </c>
      <c r="F35" s="100">
        <f t="shared" si="1"/>
        <v>12400</v>
      </c>
      <c r="G35" s="85">
        <f t="shared" si="2"/>
        <v>1</v>
      </c>
      <c r="H35" s="86" t="s">
        <v>20</v>
      </c>
      <c r="I35" s="87"/>
    </row>
    <row r="36">
      <c r="A36" s="97">
        <v>33.0</v>
      </c>
      <c r="B36" s="102">
        <v>1009434.0</v>
      </c>
      <c r="C36" s="98" t="str">
        <f>vlookup(B36,'Crew Data'!C:G,5,0)</f>
        <v>Wanpiya Kaewyok</v>
      </c>
      <c r="D36" s="99" t="s">
        <v>296</v>
      </c>
      <c r="E36" s="97">
        <v>2.0</v>
      </c>
      <c r="F36" s="100">
        <f t="shared" si="1"/>
        <v>800</v>
      </c>
      <c r="G36" s="85">
        <f t="shared" si="2"/>
        <v>1</v>
      </c>
      <c r="H36" s="86" t="s">
        <v>20</v>
      </c>
      <c r="I36" s="87"/>
    </row>
  </sheetData>
  <mergeCells count="2">
    <mergeCell ref="A1:F1"/>
    <mergeCell ref="E2:F2"/>
  </mergeCells>
  <dataValidations>
    <dataValidation type="list" allowBlank="1" sqref="H4:H36">
      <formula1>"CHECKED (OK),CHECKED  (NOT OK)"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.88"/>
    <col customWidth="1" min="2" max="2" width="9.63"/>
    <col customWidth="1" min="3" max="3" width="23.0"/>
    <col customWidth="1" min="4" max="4" width="30.63"/>
    <col customWidth="1" min="5" max="5" width="7.63"/>
    <col customWidth="1" min="7" max="7" width="3.5"/>
    <col customWidth="1" min="8" max="8" width="18.63"/>
    <col customWidth="1" min="9" max="9" width="21.63"/>
  </cols>
  <sheetData>
    <row r="1">
      <c r="A1" s="105" t="s">
        <v>304</v>
      </c>
      <c r="G1" s="65"/>
      <c r="H1" s="66" t="s">
        <v>305</v>
      </c>
      <c r="I1" s="67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106" t="s">
        <v>1</v>
      </c>
      <c r="B2" s="106" t="s">
        <v>11</v>
      </c>
      <c r="C2" s="93" t="s">
        <v>12</v>
      </c>
      <c r="D2" s="94" t="s">
        <v>13</v>
      </c>
      <c r="E2" s="95" t="s">
        <v>14</v>
      </c>
      <c r="G2" s="72"/>
      <c r="H2" s="65"/>
      <c r="I2" s="65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106"/>
      <c r="B3" s="106"/>
      <c r="C3" s="93"/>
      <c r="D3" s="94"/>
      <c r="E3" s="95" t="s">
        <v>15</v>
      </c>
      <c r="F3" s="96" t="s">
        <v>5</v>
      </c>
      <c r="G3" s="72"/>
      <c r="H3" s="78" t="s">
        <v>6</v>
      </c>
      <c r="I3" s="79" t="s">
        <v>7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>
      <c r="A4" s="107">
        <v>1.0</v>
      </c>
      <c r="B4" s="107">
        <v>1022213.0</v>
      </c>
      <c r="C4" s="98" t="str">
        <f>vlookup(B4,'Crew Data'!C:G,5,0)</f>
        <v>Puripak Pensawat</v>
      </c>
      <c r="D4" s="99" t="s">
        <v>306</v>
      </c>
      <c r="E4" s="97">
        <v>2.0</v>
      </c>
      <c r="F4" s="100">
        <f t="shared" ref="F4:F53" si="1">E4*400</f>
        <v>800</v>
      </c>
      <c r="G4" s="85">
        <f t="shared" ref="G4:G53" si="2">COUNTIF(B:B,B4)</f>
        <v>1</v>
      </c>
      <c r="H4" s="86" t="s">
        <v>20</v>
      </c>
      <c r="I4" s="87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A5" s="107">
        <v>2.0</v>
      </c>
      <c r="B5" s="108">
        <v>1011800.0</v>
      </c>
      <c r="C5" s="98" t="str">
        <f>vlookup(B5,'Crew Data'!C:G,5,0)</f>
        <v>Arisa Witthawaskul</v>
      </c>
      <c r="D5" s="99" t="s">
        <v>307</v>
      </c>
      <c r="E5" s="109">
        <v>2.0</v>
      </c>
      <c r="F5" s="100">
        <f t="shared" si="1"/>
        <v>800</v>
      </c>
      <c r="G5" s="85">
        <f t="shared" si="2"/>
        <v>1</v>
      </c>
      <c r="H5" s="86" t="s">
        <v>20</v>
      </c>
      <c r="I5" s="87"/>
    </row>
    <row r="6">
      <c r="A6" s="107">
        <v>3.0</v>
      </c>
      <c r="B6" s="108">
        <v>1012362.0</v>
      </c>
      <c r="C6" s="98" t="str">
        <f>vlookup(B6,'Crew Data'!C:G,5,0)</f>
        <v>Patcharagorn Chankhong</v>
      </c>
      <c r="D6" s="99" t="s">
        <v>307</v>
      </c>
      <c r="E6" s="97">
        <v>2.0</v>
      </c>
      <c r="F6" s="100">
        <f t="shared" si="1"/>
        <v>800</v>
      </c>
      <c r="G6" s="85">
        <f t="shared" si="2"/>
        <v>1</v>
      </c>
      <c r="H6" s="86" t="s">
        <v>20</v>
      </c>
      <c r="I6" s="87"/>
    </row>
    <row r="7">
      <c r="A7" s="107">
        <v>4.0</v>
      </c>
      <c r="B7" s="107">
        <v>1006995.0</v>
      </c>
      <c r="C7" s="98" t="str">
        <f>vlookup(B7,'Crew Data'!C:G,5,0)</f>
        <v>Kornrumpha Wongsing</v>
      </c>
      <c r="D7" s="99" t="s">
        <v>306</v>
      </c>
      <c r="E7" s="97">
        <v>2.0</v>
      </c>
      <c r="F7" s="100">
        <f t="shared" si="1"/>
        <v>800</v>
      </c>
      <c r="G7" s="85">
        <f t="shared" si="2"/>
        <v>1</v>
      </c>
      <c r="H7" s="86" t="s">
        <v>20</v>
      </c>
      <c r="I7" s="87"/>
    </row>
    <row r="8">
      <c r="A8" s="107">
        <v>5.0</v>
      </c>
      <c r="B8" s="108">
        <v>1006991.0</v>
      </c>
      <c r="C8" s="98" t="str">
        <f>vlookup(B8,'Crew Data'!C:G,5,0)</f>
        <v>Chattamanuch Thiamhong</v>
      </c>
      <c r="D8" s="103">
        <v>45658.0</v>
      </c>
      <c r="E8" s="97">
        <v>1.0</v>
      </c>
      <c r="F8" s="100">
        <f t="shared" si="1"/>
        <v>400</v>
      </c>
      <c r="G8" s="85">
        <f t="shared" si="2"/>
        <v>1</v>
      </c>
      <c r="H8" s="86" t="s">
        <v>20</v>
      </c>
      <c r="I8" s="87"/>
    </row>
    <row r="9">
      <c r="A9" s="107">
        <v>6.0</v>
      </c>
      <c r="B9" s="108">
        <v>1009757.0</v>
      </c>
      <c r="C9" s="98" t="str">
        <f>vlookup(B9,'Crew Data'!C:G,5,0)</f>
        <v>Pattrawan Wongchirawat</v>
      </c>
      <c r="D9" s="103">
        <v>45658.0</v>
      </c>
      <c r="E9" s="97">
        <v>1.0</v>
      </c>
      <c r="F9" s="100">
        <f t="shared" si="1"/>
        <v>400</v>
      </c>
      <c r="G9" s="85">
        <f t="shared" si="2"/>
        <v>1</v>
      </c>
      <c r="H9" s="86" t="s">
        <v>20</v>
      </c>
      <c r="I9" s="87"/>
    </row>
    <row r="10">
      <c r="A10" s="107">
        <v>7.0</v>
      </c>
      <c r="B10" s="108">
        <v>1025186.0</v>
      </c>
      <c r="C10" s="98" t="str">
        <f>vlookup(B10,'Crew Data'!C:G,5,0)</f>
        <v>Pawaran Modsuwan</v>
      </c>
      <c r="D10" s="99" t="s">
        <v>308</v>
      </c>
      <c r="E10" s="97">
        <v>2.0</v>
      </c>
      <c r="F10" s="100">
        <f t="shared" si="1"/>
        <v>800</v>
      </c>
      <c r="G10" s="85">
        <f t="shared" si="2"/>
        <v>1</v>
      </c>
      <c r="H10" s="86" t="s">
        <v>20</v>
      </c>
      <c r="I10" s="87"/>
    </row>
    <row r="11">
      <c r="A11" s="107">
        <v>8.0</v>
      </c>
      <c r="B11" s="108">
        <v>1006870.0</v>
      </c>
      <c r="C11" s="98" t="str">
        <f>vlookup(B11,'Crew Data'!C:G,5,0)</f>
        <v>Duangporn Denkesineelam</v>
      </c>
      <c r="D11" s="99" t="s">
        <v>309</v>
      </c>
      <c r="E11" s="97">
        <v>2.0</v>
      </c>
      <c r="F11" s="100">
        <f t="shared" si="1"/>
        <v>800</v>
      </c>
      <c r="G11" s="85">
        <f t="shared" si="2"/>
        <v>1</v>
      </c>
      <c r="H11" s="86" t="s">
        <v>20</v>
      </c>
      <c r="I11" s="87"/>
    </row>
    <row r="12">
      <c r="A12" s="107">
        <v>9.0</v>
      </c>
      <c r="B12" s="108">
        <v>1004531.0</v>
      </c>
      <c r="C12" s="98" t="str">
        <f>vlookup(B12,'Crew Data'!C:G,5,0)</f>
        <v>Nattakan Kanokpantarakorn </v>
      </c>
      <c r="D12" s="99" t="s">
        <v>310</v>
      </c>
      <c r="E12" s="97">
        <v>2.0</v>
      </c>
      <c r="F12" s="100">
        <f t="shared" si="1"/>
        <v>800</v>
      </c>
      <c r="G12" s="85">
        <f t="shared" si="2"/>
        <v>1</v>
      </c>
      <c r="H12" s="86" t="s">
        <v>20</v>
      </c>
      <c r="I12" s="87"/>
    </row>
    <row r="13">
      <c r="A13" s="107">
        <v>10.0</v>
      </c>
      <c r="B13" s="108">
        <v>1040505.0</v>
      </c>
      <c r="C13" s="98" t="str">
        <f>vlookup(B13,'Crew Data'!C:G,5,0)</f>
        <v>Atchamaporn Pimrin</v>
      </c>
      <c r="D13" s="99" t="s">
        <v>310</v>
      </c>
      <c r="E13" s="97">
        <v>2.0</v>
      </c>
      <c r="F13" s="100">
        <f t="shared" si="1"/>
        <v>800</v>
      </c>
      <c r="G13" s="85">
        <f t="shared" si="2"/>
        <v>1</v>
      </c>
      <c r="H13" s="86" t="s">
        <v>20</v>
      </c>
      <c r="I13" s="87"/>
    </row>
    <row r="14">
      <c r="A14" s="107">
        <v>11.0</v>
      </c>
      <c r="B14" s="108">
        <v>1040868.0</v>
      </c>
      <c r="C14" s="98" t="str">
        <f>vlookup(B14,'Crew Data'!C:G,5,0)</f>
        <v>Napatchakorn Khaminbut</v>
      </c>
      <c r="D14" s="99" t="s">
        <v>311</v>
      </c>
      <c r="E14" s="97">
        <v>2.0</v>
      </c>
      <c r="F14" s="100">
        <f t="shared" si="1"/>
        <v>800</v>
      </c>
      <c r="G14" s="85">
        <f t="shared" si="2"/>
        <v>1</v>
      </c>
      <c r="H14" s="86" t="s">
        <v>20</v>
      </c>
      <c r="I14" s="87"/>
    </row>
    <row r="15">
      <c r="A15" s="107">
        <v>12.0</v>
      </c>
      <c r="B15" s="108">
        <v>1019518.0</v>
      </c>
      <c r="C15" s="98" t="str">
        <f>vlookup(B15,'Crew Data'!C:G,5,0)</f>
        <v>Naratip Dumrongthai</v>
      </c>
      <c r="D15" s="99" t="s">
        <v>312</v>
      </c>
      <c r="E15" s="97">
        <v>2.0</v>
      </c>
      <c r="F15" s="100">
        <f t="shared" si="1"/>
        <v>800</v>
      </c>
      <c r="G15" s="85">
        <f t="shared" si="2"/>
        <v>1</v>
      </c>
      <c r="H15" s="86" t="s">
        <v>20</v>
      </c>
      <c r="I15" s="87"/>
    </row>
    <row r="16">
      <c r="A16" s="107">
        <v>13.0</v>
      </c>
      <c r="B16" s="108">
        <v>1015405.0</v>
      </c>
      <c r="C16" s="98" t="str">
        <f>vlookup(B16,'Crew Data'!C:G,5,0)</f>
        <v>Nuttapon Pungjun</v>
      </c>
      <c r="D16" s="99" t="s">
        <v>312</v>
      </c>
      <c r="E16" s="97">
        <v>2.0</v>
      </c>
      <c r="F16" s="100">
        <f t="shared" si="1"/>
        <v>800</v>
      </c>
      <c r="G16" s="85">
        <f t="shared" si="2"/>
        <v>1</v>
      </c>
      <c r="H16" s="86" t="s">
        <v>20</v>
      </c>
      <c r="I16" s="87"/>
    </row>
    <row r="17">
      <c r="A17" s="107">
        <v>14.0</v>
      </c>
      <c r="B17" s="108">
        <v>1001822.0</v>
      </c>
      <c r="C17" s="98" t="str">
        <f>vlookup(B17,'Crew Data'!C:G,5,0)</f>
        <v>Wilasinee Natenopparat</v>
      </c>
      <c r="D17" s="99" t="s">
        <v>308</v>
      </c>
      <c r="E17" s="97">
        <v>2.0</v>
      </c>
      <c r="F17" s="100">
        <f t="shared" si="1"/>
        <v>800</v>
      </c>
      <c r="G17" s="85">
        <f t="shared" si="2"/>
        <v>1</v>
      </c>
      <c r="H17" s="86" t="s">
        <v>20</v>
      </c>
      <c r="I17" s="87"/>
    </row>
    <row r="18">
      <c r="A18" s="107">
        <v>15.0</v>
      </c>
      <c r="B18" s="108">
        <v>1012158.0</v>
      </c>
      <c r="C18" s="98" t="str">
        <f>vlookup(B18,'Crew Data'!C:G,5,0)</f>
        <v>Itthipong Khanthonglor</v>
      </c>
      <c r="D18" s="99" t="s">
        <v>313</v>
      </c>
      <c r="E18" s="97">
        <v>2.0</v>
      </c>
      <c r="F18" s="100">
        <f t="shared" si="1"/>
        <v>800</v>
      </c>
      <c r="G18" s="85">
        <f t="shared" si="2"/>
        <v>1</v>
      </c>
      <c r="H18" s="86" t="s">
        <v>20</v>
      </c>
      <c r="I18" s="87"/>
    </row>
    <row r="19">
      <c r="A19" s="107">
        <v>16.0</v>
      </c>
      <c r="B19" s="108">
        <v>1000486.0</v>
      </c>
      <c r="C19" s="98" t="str">
        <f>vlookup(B19,'Crew Data'!C:G,5,0)</f>
        <v>Ratthinan Wasupornwiboon</v>
      </c>
      <c r="D19" s="99" t="s">
        <v>311</v>
      </c>
      <c r="E19" s="97">
        <v>2.0</v>
      </c>
      <c r="F19" s="100">
        <f t="shared" si="1"/>
        <v>800</v>
      </c>
      <c r="G19" s="85">
        <f t="shared" si="2"/>
        <v>1</v>
      </c>
      <c r="H19" s="86" t="s">
        <v>20</v>
      </c>
      <c r="I19" s="87"/>
    </row>
    <row r="20">
      <c r="A20" s="107">
        <v>17.0</v>
      </c>
      <c r="B20" s="108">
        <v>1011516.0</v>
      </c>
      <c r="C20" s="98" t="str">
        <f>vlookup(B20,'Crew Data'!C:G,5,0)</f>
        <v>Thitipol Soontorn-Anantakul</v>
      </c>
      <c r="D20" s="99" t="s">
        <v>308</v>
      </c>
      <c r="E20" s="97">
        <v>2.0</v>
      </c>
      <c r="F20" s="100">
        <f t="shared" si="1"/>
        <v>800</v>
      </c>
      <c r="G20" s="85">
        <f t="shared" si="2"/>
        <v>1</v>
      </c>
      <c r="H20" s="86" t="s">
        <v>20</v>
      </c>
      <c r="I20" s="87"/>
    </row>
    <row r="21">
      <c r="A21" s="107">
        <v>18.0</v>
      </c>
      <c r="B21" s="108">
        <v>1011762.0</v>
      </c>
      <c r="C21" s="98" t="str">
        <f>vlookup(B21,'Crew Data'!C:G,5,0)</f>
        <v>Tritotsaporn Ketudat</v>
      </c>
      <c r="D21" s="99" t="s">
        <v>314</v>
      </c>
      <c r="E21" s="97">
        <v>2.0</v>
      </c>
      <c r="F21" s="100">
        <f t="shared" si="1"/>
        <v>800</v>
      </c>
      <c r="G21" s="85">
        <f t="shared" si="2"/>
        <v>1</v>
      </c>
      <c r="H21" s="86" t="s">
        <v>20</v>
      </c>
      <c r="I21" s="87"/>
    </row>
    <row r="22">
      <c r="A22" s="107">
        <v>19.0</v>
      </c>
      <c r="B22" s="108">
        <v>1017657.0</v>
      </c>
      <c r="C22" s="98" t="str">
        <f>vlookup(B22,'Crew Data'!C:G,5,0)</f>
        <v>Yanakorn Charnfun</v>
      </c>
      <c r="D22" s="99" t="s">
        <v>308</v>
      </c>
      <c r="E22" s="97">
        <v>2.0</v>
      </c>
      <c r="F22" s="100">
        <f t="shared" si="1"/>
        <v>800</v>
      </c>
      <c r="G22" s="85">
        <f t="shared" si="2"/>
        <v>1</v>
      </c>
      <c r="H22" s="86" t="s">
        <v>20</v>
      </c>
      <c r="I22" s="87"/>
    </row>
    <row r="23">
      <c r="A23" s="107">
        <v>20.0</v>
      </c>
      <c r="B23" s="108">
        <v>1009672.0</v>
      </c>
      <c r="C23" s="98" t="str">
        <f>vlookup(B23,'Crew Data'!C:G,5,0)</f>
        <v>Sujarinee Sukhon</v>
      </c>
      <c r="D23" s="99" t="s">
        <v>313</v>
      </c>
      <c r="E23" s="97">
        <v>2.0</v>
      </c>
      <c r="F23" s="100">
        <f t="shared" si="1"/>
        <v>800</v>
      </c>
      <c r="G23" s="85">
        <f t="shared" si="2"/>
        <v>1</v>
      </c>
      <c r="H23" s="86" t="s">
        <v>20</v>
      </c>
      <c r="I23" s="87"/>
    </row>
    <row r="24">
      <c r="A24" s="107">
        <v>21.0</v>
      </c>
      <c r="B24" s="110">
        <v>1026213.0</v>
      </c>
      <c r="C24" s="98" t="str">
        <f>vlookup(B24,'Crew Data'!C:G,5,0)</f>
        <v>Yossapon Pankham</v>
      </c>
      <c r="D24" s="99" t="s">
        <v>315</v>
      </c>
      <c r="E24" s="97">
        <v>2.0</v>
      </c>
      <c r="F24" s="100">
        <f t="shared" si="1"/>
        <v>800</v>
      </c>
      <c r="G24" s="85">
        <f t="shared" si="2"/>
        <v>1</v>
      </c>
      <c r="H24" s="86" t="s">
        <v>20</v>
      </c>
      <c r="I24" s="87"/>
    </row>
    <row r="25">
      <c r="A25" s="107">
        <v>22.0</v>
      </c>
      <c r="B25" s="110">
        <v>1040354.0</v>
      </c>
      <c r="C25" s="98" t="str">
        <f>vlookup(B25,'Crew Data'!C:G,5,0)</f>
        <v>#N/A</v>
      </c>
      <c r="D25" s="99" t="s">
        <v>312</v>
      </c>
      <c r="E25" s="97">
        <v>2.0</v>
      </c>
      <c r="F25" s="100">
        <f t="shared" si="1"/>
        <v>800</v>
      </c>
      <c r="G25" s="85">
        <f t="shared" si="2"/>
        <v>1</v>
      </c>
      <c r="H25" s="86" t="s">
        <v>20</v>
      </c>
      <c r="I25" s="87"/>
    </row>
    <row r="26">
      <c r="A26" s="107">
        <v>23.0</v>
      </c>
      <c r="B26" s="110">
        <v>1005818.0</v>
      </c>
      <c r="C26" s="98" t="str">
        <f>vlookup(B26,'Crew Data'!C:G,5,0)</f>
        <v>Nattaporn Phatteeratip</v>
      </c>
      <c r="D26" s="99" t="s">
        <v>316</v>
      </c>
      <c r="E26" s="97">
        <v>4.0</v>
      </c>
      <c r="F26" s="100">
        <f t="shared" si="1"/>
        <v>1600</v>
      </c>
      <c r="G26" s="85">
        <f t="shared" si="2"/>
        <v>1</v>
      </c>
      <c r="H26" s="86" t="s">
        <v>20</v>
      </c>
      <c r="I26" s="87"/>
    </row>
    <row r="27">
      <c r="A27" s="107">
        <v>24.0</v>
      </c>
      <c r="B27" s="108">
        <v>1016214.0</v>
      </c>
      <c r="C27" s="98" t="str">
        <f>vlookup(B27,'Crew Data'!C:G,5,0)</f>
        <v>Passakorn Porncharoon</v>
      </c>
      <c r="D27" s="99" t="s">
        <v>309</v>
      </c>
      <c r="E27" s="97">
        <v>2.0</v>
      </c>
      <c r="F27" s="100">
        <f t="shared" si="1"/>
        <v>800</v>
      </c>
      <c r="G27" s="85">
        <f t="shared" si="2"/>
        <v>1</v>
      </c>
      <c r="H27" s="86" t="s">
        <v>20</v>
      </c>
      <c r="I27" s="87"/>
    </row>
    <row r="28">
      <c r="A28" s="107">
        <v>25.0</v>
      </c>
      <c r="B28" s="108">
        <v>1001286.0</v>
      </c>
      <c r="C28" s="98" t="str">
        <f>vlookup(B28,'Crew Data'!C:G,5,0)</f>
        <v>Sirinart Auypornbusyakom</v>
      </c>
      <c r="D28" s="99" t="s">
        <v>317</v>
      </c>
      <c r="E28" s="97">
        <v>2.0</v>
      </c>
      <c r="F28" s="100">
        <f t="shared" si="1"/>
        <v>800</v>
      </c>
      <c r="G28" s="85">
        <f t="shared" si="2"/>
        <v>1</v>
      </c>
      <c r="H28" s="86" t="s">
        <v>20</v>
      </c>
      <c r="I28" s="87"/>
    </row>
    <row r="29">
      <c r="A29" s="107">
        <v>26.0</v>
      </c>
      <c r="B29" s="108">
        <v>1018784.0</v>
      </c>
      <c r="C29" s="98" t="str">
        <f>vlookup(B29,'Crew Data'!C:G,5,0)</f>
        <v>Apirak Thongpiyaphoom</v>
      </c>
      <c r="D29" s="99" t="s">
        <v>314</v>
      </c>
      <c r="E29" s="97">
        <v>2.0</v>
      </c>
      <c r="F29" s="100">
        <f t="shared" si="1"/>
        <v>800</v>
      </c>
      <c r="G29" s="85">
        <f t="shared" si="2"/>
        <v>1</v>
      </c>
      <c r="H29" s="86" t="s">
        <v>20</v>
      </c>
      <c r="I29" s="87"/>
    </row>
    <row r="30">
      <c r="A30" s="107">
        <v>27.0</v>
      </c>
      <c r="B30" s="108">
        <v>1003392.0</v>
      </c>
      <c r="C30" s="98" t="str">
        <f>vlookup(B30,'Crew Data'!C:G,5,0)</f>
        <v>Punnaphas Tawornpanmanee</v>
      </c>
      <c r="D30" s="99" t="s">
        <v>317</v>
      </c>
      <c r="E30" s="97">
        <v>2.0</v>
      </c>
      <c r="F30" s="100">
        <f t="shared" si="1"/>
        <v>800</v>
      </c>
      <c r="G30" s="85">
        <f t="shared" si="2"/>
        <v>1</v>
      </c>
      <c r="H30" s="86" t="s">
        <v>20</v>
      </c>
      <c r="I30" s="87"/>
    </row>
    <row r="31">
      <c r="A31" s="107">
        <v>28.0</v>
      </c>
      <c r="B31" s="108">
        <v>1011811.0</v>
      </c>
      <c r="C31" s="98" t="str">
        <f>vlookup(B31,'Crew Data'!C:G,5,0)</f>
        <v>Jinnapitch Napisitsopa</v>
      </c>
      <c r="D31" s="99" t="s">
        <v>307</v>
      </c>
      <c r="E31" s="97">
        <v>2.0</v>
      </c>
      <c r="F31" s="100">
        <f t="shared" si="1"/>
        <v>800</v>
      </c>
      <c r="G31" s="85">
        <f t="shared" si="2"/>
        <v>1</v>
      </c>
      <c r="H31" s="86" t="s">
        <v>20</v>
      </c>
      <c r="I31" s="87"/>
    </row>
    <row r="32">
      <c r="A32" s="107">
        <v>29.0</v>
      </c>
      <c r="B32" s="108">
        <v>1007014.0</v>
      </c>
      <c r="C32" s="98" t="str">
        <f>vlookup(B32,'Crew Data'!C:G,5,0)</f>
        <v>Piyanut Nainet</v>
      </c>
      <c r="D32" s="99" t="s">
        <v>318</v>
      </c>
      <c r="E32" s="97">
        <v>4.0</v>
      </c>
      <c r="F32" s="100">
        <f t="shared" si="1"/>
        <v>1600</v>
      </c>
      <c r="G32" s="85">
        <f t="shared" si="2"/>
        <v>1</v>
      </c>
      <c r="H32" s="86" t="s">
        <v>20</v>
      </c>
      <c r="I32" s="87"/>
    </row>
    <row r="33">
      <c r="A33" s="107">
        <v>30.0</v>
      </c>
      <c r="B33" s="108">
        <v>1003302.0</v>
      </c>
      <c r="C33" s="98" t="str">
        <f>vlookup(B33,'Crew Data'!C:G,5,0)</f>
        <v>Panwad Thongkham</v>
      </c>
      <c r="D33" s="99" t="s">
        <v>313</v>
      </c>
      <c r="E33" s="97">
        <v>2.0</v>
      </c>
      <c r="F33" s="100">
        <f t="shared" si="1"/>
        <v>800</v>
      </c>
      <c r="G33" s="85">
        <f t="shared" si="2"/>
        <v>1</v>
      </c>
      <c r="H33" s="86" t="s">
        <v>20</v>
      </c>
      <c r="I33" s="87"/>
    </row>
    <row r="34">
      <c r="A34" s="107">
        <v>31.0</v>
      </c>
      <c r="B34" s="108">
        <v>1009799.0</v>
      </c>
      <c r="C34" s="98" t="str">
        <f>vlookup(B34,'Crew Data'!C:G,5,0)</f>
        <v>Kittirat Aujsri</v>
      </c>
      <c r="D34" s="99" t="s">
        <v>319</v>
      </c>
      <c r="E34" s="97">
        <v>4.0</v>
      </c>
      <c r="F34" s="100">
        <f t="shared" si="1"/>
        <v>1600</v>
      </c>
      <c r="G34" s="85">
        <f t="shared" si="2"/>
        <v>1</v>
      </c>
      <c r="H34" s="86" t="s">
        <v>20</v>
      </c>
      <c r="I34" s="87"/>
    </row>
    <row r="35">
      <c r="A35" s="107">
        <v>32.0</v>
      </c>
      <c r="B35" s="108">
        <v>1011514.0</v>
      </c>
      <c r="C35" s="98" t="str">
        <f>vlookup(B35,'Crew Data'!C:G,5,0)</f>
        <v>Phapada Chukavirote</v>
      </c>
      <c r="D35" s="99" t="s">
        <v>317</v>
      </c>
      <c r="E35" s="97">
        <v>2.0</v>
      </c>
      <c r="F35" s="100">
        <f t="shared" si="1"/>
        <v>800</v>
      </c>
      <c r="G35" s="85">
        <f t="shared" si="2"/>
        <v>1</v>
      </c>
      <c r="H35" s="86" t="s">
        <v>20</v>
      </c>
      <c r="I35" s="87"/>
    </row>
    <row r="36">
      <c r="A36" s="107">
        <v>33.0</v>
      </c>
      <c r="B36" s="108">
        <v>1005972.0</v>
      </c>
      <c r="C36" s="98" t="str">
        <f>vlookup(B36,'Crew Data'!C:G,5,0)</f>
        <v>Wuttipon Onpuns</v>
      </c>
      <c r="D36" s="99" t="s">
        <v>320</v>
      </c>
      <c r="E36" s="97">
        <v>29.0</v>
      </c>
      <c r="F36" s="100">
        <f t="shared" si="1"/>
        <v>11600</v>
      </c>
      <c r="G36" s="85">
        <f t="shared" si="2"/>
        <v>1</v>
      </c>
      <c r="H36" s="86" t="s">
        <v>20</v>
      </c>
      <c r="I36" s="87"/>
    </row>
    <row r="37">
      <c r="A37" s="107">
        <v>34.0</v>
      </c>
      <c r="B37" s="108">
        <v>1004016.0</v>
      </c>
      <c r="C37" s="98" t="str">
        <f>vlookup(B37,'Crew Data'!C:G,5,0)</f>
        <v>Khamkhun Thapnoo</v>
      </c>
      <c r="D37" s="99" t="s">
        <v>321</v>
      </c>
      <c r="E37" s="97">
        <v>29.0</v>
      </c>
      <c r="F37" s="100">
        <f t="shared" si="1"/>
        <v>11600</v>
      </c>
      <c r="G37" s="85">
        <f t="shared" si="2"/>
        <v>1</v>
      </c>
      <c r="H37" s="86" t="s">
        <v>20</v>
      </c>
      <c r="I37" s="87"/>
    </row>
    <row r="38">
      <c r="A38" s="107">
        <v>35.0</v>
      </c>
      <c r="B38" s="108">
        <v>1007268.0</v>
      </c>
      <c r="C38" s="98" t="str">
        <f>vlookup(B38,'Crew Data'!C:G,5,0)</f>
        <v>Nujira Suwanasang</v>
      </c>
      <c r="D38" s="99" t="s">
        <v>322</v>
      </c>
      <c r="E38" s="97">
        <v>31.0</v>
      </c>
      <c r="F38" s="100">
        <f t="shared" si="1"/>
        <v>12400</v>
      </c>
      <c r="G38" s="85">
        <f t="shared" si="2"/>
        <v>1</v>
      </c>
      <c r="H38" s="86" t="s">
        <v>20</v>
      </c>
      <c r="I38" s="87"/>
    </row>
    <row r="39">
      <c r="A39" s="107">
        <v>36.0</v>
      </c>
      <c r="B39" s="108">
        <v>1004683.0</v>
      </c>
      <c r="C39" s="98" t="str">
        <f>vlookup(B39,'Crew Data'!C:G,5,0)</f>
        <v>Prok Lartham</v>
      </c>
      <c r="D39" s="99" t="s">
        <v>322</v>
      </c>
      <c r="E39" s="97">
        <v>31.0</v>
      </c>
      <c r="F39" s="100">
        <f t="shared" si="1"/>
        <v>12400</v>
      </c>
      <c r="G39" s="85">
        <f t="shared" si="2"/>
        <v>1</v>
      </c>
      <c r="H39" s="86" t="s">
        <v>20</v>
      </c>
      <c r="I39" s="87"/>
    </row>
    <row r="40">
      <c r="A40" s="107">
        <v>37.0</v>
      </c>
      <c r="B40" s="108">
        <v>1007007.0</v>
      </c>
      <c r="C40" s="98" t="str">
        <f>vlookup(B40,'Crew Data'!C:G,5,0)</f>
        <v>Aram Nukulpakdee</v>
      </c>
      <c r="D40" s="99" t="s">
        <v>323</v>
      </c>
      <c r="E40" s="97">
        <v>30.0</v>
      </c>
      <c r="F40" s="100">
        <f t="shared" si="1"/>
        <v>12000</v>
      </c>
      <c r="G40" s="85">
        <f t="shared" si="2"/>
        <v>1</v>
      </c>
      <c r="H40" s="86" t="s">
        <v>20</v>
      </c>
      <c r="I40" s="87"/>
    </row>
    <row r="41">
      <c r="A41" s="107">
        <v>38.0</v>
      </c>
      <c r="B41" s="108">
        <v>1029036.0</v>
      </c>
      <c r="C41" s="98" t="str">
        <f>vlookup(B41,'Crew Data'!C:G,5,0)</f>
        <v>Sornsawan Meksung</v>
      </c>
      <c r="D41" s="99" t="s">
        <v>324</v>
      </c>
      <c r="E41" s="97">
        <v>2.0</v>
      </c>
      <c r="F41" s="100">
        <f t="shared" si="1"/>
        <v>800</v>
      </c>
      <c r="G41" s="85">
        <f t="shared" si="2"/>
        <v>1</v>
      </c>
      <c r="H41" s="86" t="s">
        <v>20</v>
      </c>
      <c r="I41" s="87"/>
    </row>
    <row r="42">
      <c r="A42" s="107">
        <v>39.0</v>
      </c>
      <c r="B42" s="108">
        <v>1025306.0</v>
      </c>
      <c r="C42" s="98" t="str">
        <f>vlookup(B42,'Crew Data'!C:G,5,0)</f>
        <v>Soravis Kissanaviparkporn</v>
      </c>
      <c r="D42" s="99" t="s">
        <v>325</v>
      </c>
      <c r="E42" s="97">
        <v>28.0</v>
      </c>
      <c r="F42" s="100">
        <f t="shared" si="1"/>
        <v>11200</v>
      </c>
      <c r="G42" s="85">
        <f t="shared" si="2"/>
        <v>1</v>
      </c>
      <c r="H42" s="86" t="s">
        <v>20</v>
      </c>
      <c r="I42" s="87"/>
    </row>
    <row r="43">
      <c r="A43" s="107">
        <v>40.0</v>
      </c>
      <c r="B43" s="108">
        <v>1006992.0</v>
      </c>
      <c r="C43" s="98" t="str">
        <f>vlookup(B43,'Crew Data'!C:G,5,0)</f>
        <v>Danupon Chuenmongkol</v>
      </c>
      <c r="D43" s="99" t="s">
        <v>322</v>
      </c>
      <c r="E43" s="97">
        <v>31.0</v>
      </c>
      <c r="F43" s="100">
        <f t="shared" si="1"/>
        <v>12400</v>
      </c>
      <c r="G43" s="85">
        <f t="shared" si="2"/>
        <v>1</v>
      </c>
      <c r="H43" s="86" t="s">
        <v>20</v>
      </c>
      <c r="I43" s="87"/>
    </row>
    <row r="44">
      <c r="A44" s="107">
        <v>41.0</v>
      </c>
      <c r="B44" s="108">
        <v>1005762.0</v>
      </c>
      <c r="C44" s="98" t="str">
        <f>vlookup(B44,'Crew Data'!C:G,5,0)</f>
        <v>Photchara Srisuk</v>
      </c>
      <c r="D44" s="99" t="s">
        <v>322</v>
      </c>
      <c r="E44" s="97">
        <v>31.0</v>
      </c>
      <c r="F44" s="100">
        <f t="shared" si="1"/>
        <v>12400</v>
      </c>
      <c r="G44" s="85">
        <f t="shared" si="2"/>
        <v>1</v>
      </c>
      <c r="H44" s="86" t="s">
        <v>20</v>
      </c>
      <c r="I44" s="87"/>
    </row>
    <row r="45">
      <c r="A45" s="107">
        <v>42.0</v>
      </c>
      <c r="B45" s="108">
        <v>1019199.0</v>
      </c>
      <c r="C45" s="98" t="str">
        <f>vlookup(B45,'Crew Data'!C:G,5,0)</f>
        <v>Nutpawee Thawanthalerngrit</v>
      </c>
      <c r="D45" s="99" t="s">
        <v>326</v>
      </c>
      <c r="E45" s="97">
        <v>2.0</v>
      </c>
      <c r="F45" s="100">
        <f t="shared" si="1"/>
        <v>800</v>
      </c>
      <c r="G45" s="85">
        <f t="shared" si="2"/>
        <v>1</v>
      </c>
      <c r="H45" s="86" t="s">
        <v>20</v>
      </c>
      <c r="I45" s="87"/>
    </row>
    <row r="46">
      <c r="A46" s="107">
        <v>43.0</v>
      </c>
      <c r="B46" s="108">
        <v>1022706.0</v>
      </c>
      <c r="C46" s="98" t="str">
        <f>vlookup(B46,'Crew Data'!C:G,5,0)</f>
        <v>Nutpimon Taain</v>
      </c>
      <c r="D46" s="99" t="s">
        <v>299</v>
      </c>
      <c r="E46" s="97">
        <v>31.0</v>
      </c>
      <c r="F46" s="100">
        <f t="shared" si="1"/>
        <v>12400</v>
      </c>
      <c r="G46" s="85">
        <f t="shared" si="2"/>
        <v>1</v>
      </c>
      <c r="H46" s="86" t="s">
        <v>20</v>
      </c>
      <c r="I46" s="87"/>
    </row>
    <row r="47">
      <c r="A47" s="107">
        <v>44.0</v>
      </c>
      <c r="B47" s="108">
        <v>1002207.0</v>
      </c>
      <c r="C47" s="98" t="str">
        <f>vlookup(B47,'Crew Data'!C:G,5,0)</f>
        <v>Phakaon Chaiwong</v>
      </c>
      <c r="D47" s="99" t="s">
        <v>310</v>
      </c>
      <c r="E47" s="97">
        <v>2.0</v>
      </c>
      <c r="F47" s="100">
        <f t="shared" si="1"/>
        <v>800</v>
      </c>
      <c r="G47" s="85">
        <f t="shared" si="2"/>
        <v>1</v>
      </c>
      <c r="H47" s="86" t="s">
        <v>20</v>
      </c>
      <c r="I47" s="87"/>
    </row>
    <row r="48">
      <c r="A48" s="107">
        <v>45.0</v>
      </c>
      <c r="B48" s="108">
        <v>1011513.0</v>
      </c>
      <c r="C48" s="98" t="str">
        <f>vlookup(B48,'Crew Data'!C:G,5,0)</f>
        <v>Rawitnat Marayat</v>
      </c>
      <c r="D48" s="99" t="s">
        <v>315</v>
      </c>
      <c r="E48" s="97">
        <v>2.0</v>
      </c>
      <c r="F48" s="100">
        <f t="shared" si="1"/>
        <v>800</v>
      </c>
      <c r="G48" s="85">
        <f t="shared" si="2"/>
        <v>1</v>
      </c>
      <c r="H48" s="86" t="s">
        <v>20</v>
      </c>
      <c r="I48" s="87"/>
    </row>
    <row r="49">
      <c r="A49" s="107">
        <v>46.0</v>
      </c>
      <c r="B49" s="108">
        <v>1011083.0</v>
      </c>
      <c r="C49" s="98" t="str">
        <f>vlookup(B49,'Crew Data'!C:G,5,0)</f>
        <v>Wanliya Choosiri</v>
      </c>
      <c r="D49" s="99" t="s">
        <v>315</v>
      </c>
      <c r="E49" s="97">
        <v>2.0</v>
      </c>
      <c r="F49" s="100">
        <f t="shared" si="1"/>
        <v>800</v>
      </c>
      <c r="G49" s="85">
        <f t="shared" si="2"/>
        <v>1</v>
      </c>
      <c r="H49" s="86" t="s">
        <v>20</v>
      </c>
      <c r="I49" s="87"/>
    </row>
    <row r="50">
      <c r="A50" s="107">
        <v>47.0</v>
      </c>
      <c r="B50" s="108">
        <v>1001082.0</v>
      </c>
      <c r="C50" s="98" t="str">
        <f>vlookup(B50,'Crew Data'!C:G,5,0)</f>
        <v>Pobsaran Chantaratim</v>
      </c>
      <c r="D50" s="99" t="s">
        <v>324</v>
      </c>
      <c r="E50" s="97">
        <v>2.0</v>
      </c>
      <c r="F50" s="100">
        <f t="shared" si="1"/>
        <v>800</v>
      </c>
      <c r="G50" s="85">
        <f t="shared" si="2"/>
        <v>1</v>
      </c>
      <c r="H50" s="86" t="s">
        <v>20</v>
      </c>
      <c r="I50" s="87"/>
    </row>
    <row r="51">
      <c r="A51" s="107">
        <v>48.0</v>
      </c>
      <c r="B51" s="108">
        <v>1040865.0</v>
      </c>
      <c r="C51" s="98" t="str">
        <f>vlookup(B51,'Crew Data'!C:G,5,0)</f>
        <v>Kantiya Hengprasert</v>
      </c>
      <c r="D51" s="99" t="s">
        <v>306</v>
      </c>
      <c r="E51" s="97">
        <v>2.0</v>
      </c>
      <c r="F51" s="100">
        <f t="shared" si="1"/>
        <v>800</v>
      </c>
      <c r="G51" s="85">
        <f t="shared" si="2"/>
        <v>1</v>
      </c>
      <c r="H51" s="86" t="s">
        <v>20</v>
      </c>
      <c r="I51" s="87"/>
    </row>
    <row r="52">
      <c r="A52" s="107">
        <v>49.0</v>
      </c>
      <c r="B52" s="108">
        <v>1013018.0</v>
      </c>
      <c r="C52" s="98" t="str">
        <f>vlookup(B52,'Crew Data'!C:G,5,0)</f>
        <v>Panuwat Warunyaporn</v>
      </c>
      <c r="D52" s="99" t="s">
        <v>306</v>
      </c>
      <c r="E52" s="97">
        <v>2.0</v>
      </c>
      <c r="F52" s="100">
        <f t="shared" si="1"/>
        <v>800</v>
      </c>
      <c r="G52" s="85">
        <f t="shared" si="2"/>
        <v>1</v>
      </c>
      <c r="H52" s="86" t="s">
        <v>20</v>
      </c>
      <c r="I52" s="87"/>
    </row>
    <row r="53">
      <c r="A53" s="107">
        <v>50.0</v>
      </c>
      <c r="B53" s="108">
        <v>1000736.0</v>
      </c>
      <c r="C53" s="98" t="str">
        <f>vlookup(B53,'Crew Data'!C:G,5,0)</f>
        <v>Ekkachai Moolla</v>
      </c>
      <c r="D53" s="99" t="s">
        <v>327</v>
      </c>
      <c r="E53" s="97">
        <v>2.0</v>
      </c>
      <c r="F53" s="100">
        <f t="shared" si="1"/>
        <v>800</v>
      </c>
      <c r="G53" s="85">
        <f t="shared" si="2"/>
        <v>1</v>
      </c>
      <c r="H53" s="86" t="s">
        <v>20</v>
      </c>
      <c r="I53" s="87"/>
    </row>
  </sheetData>
  <mergeCells count="2">
    <mergeCell ref="A1:F1"/>
    <mergeCell ref="E2:F2"/>
  </mergeCells>
  <dataValidations>
    <dataValidation type="list" allowBlank="1" sqref="H4:H53">
      <formula1>"CHECKED (OK),CHECKED  (NOT OK)"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.88"/>
    <col customWidth="1" min="2" max="2" width="9.63"/>
    <col customWidth="1" min="3" max="3" width="23.0"/>
    <col customWidth="1" min="4" max="4" width="30.63"/>
    <col customWidth="1" min="5" max="5" width="7.63"/>
    <col customWidth="1" min="7" max="7" width="3.5"/>
    <col customWidth="1" min="8" max="8" width="18.63"/>
    <col customWidth="1" min="9" max="9" width="21.63"/>
  </cols>
  <sheetData>
    <row r="1">
      <c r="A1" s="105" t="s">
        <v>328</v>
      </c>
      <c r="G1" s="111"/>
      <c r="H1" s="112" t="s">
        <v>329</v>
      </c>
      <c r="I1" s="113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106" t="s">
        <v>1</v>
      </c>
      <c r="B2" s="106" t="s">
        <v>11</v>
      </c>
      <c r="C2" s="106" t="s">
        <v>12</v>
      </c>
      <c r="D2" s="114" t="s">
        <v>13</v>
      </c>
      <c r="E2" s="115" t="s">
        <v>14</v>
      </c>
      <c r="G2" s="116"/>
      <c r="H2" s="111"/>
      <c r="I2" s="11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106"/>
      <c r="B3" s="106"/>
      <c r="C3" s="106"/>
      <c r="D3" s="114"/>
      <c r="E3" s="115" t="s">
        <v>15</v>
      </c>
      <c r="F3" s="117" t="s">
        <v>5</v>
      </c>
      <c r="G3" s="116"/>
      <c r="H3" s="118" t="s">
        <v>6</v>
      </c>
      <c r="I3" s="119" t="s">
        <v>7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>
      <c r="A4" s="107">
        <v>1.0</v>
      </c>
      <c r="B4" s="107">
        <v>1012680.0</v>
      </c>
      <c r="C4" s="120" t="str">
        <f>vlookup(B4,'Crew Data'!C:G,5,0)</f>
        <v>Wiracha Chamsoongnern</v>
      </c>
      <c r="D4" s="121" t="s">
        <v>311</v>
      </c>
      <c r="E4" s="107">
        <v>2.0</v>
      </c>
      <c r="F4" s="122">
        <f t="shared" ref="F4:F54" si="1">E4*400</f>
        <v>800</v>
      </c>
      <c r="G4" s="22">
        <f t="shared" ref="G4:G54" si="2">COUNTIF(B:B,B4)</f>
        <v>1</v>
      </c>
      <c r="H4" s="123" t="s">
        <v>20</v>
      </c>
      <c r="I4" s="124" t="s">
        <v>330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A5" s="107">
        <v>2.0</v>
      </c>
      <c r="B5" s="108">
        <v>1004127.0</v>
      </c>
      <c r="C5" s="120" t="str">
        <f>vlookup(B5,'Crew Data'!C:G,5,0)</f>
        <v>Thawinun Arunnuntapanich</v>
      </c>
      <c r="D5" s="125">
        <v>45658.0</v>
      </c>
      <c r="E5" s="108">
        <v>1.0</v>
      </c>
      <c r="F5" s="122">
        <f t="shared" si="1"/>
        <v>400</v>
      </c>
      <c r="G5" s="22">
        <f t="shared" si="2"/>
        <v>1</v>
      </c>
      <c r="H5" s="123" t="s">
        <v>20</v>
      </c>
      <c r="I5" s="124" t="s">
        <v>330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107">
        <v>3.0</v>
      </c>
      <c r="B6" s="108">
        <v>1004213.0</v>
      </c>
      <c r="C6" s="120" t="str">
        <f>vlookup(B6,'Crew Data'!C:G,5,0)</f>
        <v>Worapada Suetrongmunkong</v>
      </c>
      <c r="D6" s="121" t="s">
        <v>331</v>
      </c>
      <c r="E6" s="108">
        <v>2.0</v>
      </c>
      <c r="F6" s="122">
        <f t="shared" si="1"/>
        <v>800</v>
      </c>
      <c r="G6" s="22">
        <f t="shared" si="2"/>
        <v>1</v>
      </c>
      <c r="H6" s="123" t="s">
        <v>20</v>
      </c>
      <c r="I6" s="126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A7" s="107">
        <v>4.0</v>
      </c>
      <c r="B7" s="108">
        <v>1028736.0</v>
      </c>
      <c r="C7" s="120" t="str">
        <f>vlookup(B7,'Crew Data'!C:G,5,0)</f>
        <v>Nutchanat Tawong</v>
      </c>
      <c r="D7" s="121" t="s">
        <v>331</v>
      </c>
      <c r="E7" s="107">
        <v>2.0</v>
      </c>
      <c r="F7" s="122">
        <f t="shared" si="1"/>
        <v>800</v>
      </c>
      <c r="G7" s="22">
        <f t="shared" si="2"/>
        <v>1</v>
      </c>
      <c r="H7" s="123" t="s">
        <v>20</v>
      </c>
      <c r="I7" s="126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107">
        <v>5.0</v>
      </c>
      <c r="B8" s="107">
        <v>1007841.0</v>
      </c>
      <c r="C8" s="120" t="str">
        <f>vlookup(B8,'Crew Data'!C:G,5,0)</f>
        <v>Wisanee Nateeviriyaworakul</v>
      </c>
      <c r="D8" s="121" t="s">
        <v>331</v>
      </c>
      <c r="E8" s="107">
        <v>2.0</v>
      </c>
      <c r="F8" s="122">
        <f t="shared" si="1"/>
        <v>800</v>
      </c>
      <c r="G8" s="22">
        <f t="shared" si="2"/>
        <v>1</v>
      </c>
      <c r="H8" s="123" t="s">
        <v>20</v>
      </c>
      <c r="I8" s="126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>
      <c r="A9" s="107">
        <v>6.0</v>
      </c>
      <c r="B9" s="108">
        <v>1003418.0</v>
      </c>
      <c r="C9" s="120" t="str">
        <f>vlookup(B9,'Crew Data'!C:G,5,0)</f>
        <v>Chiravitch Kittiphongsathaporn</v>
      </c>
      <c r="D9" s="121" t="s">
        <v>332</v>
      </c>
      <c r="E9" s="107">
        <v>2.0</v>
      </c>
      <c r="F9" s="122">
        <f t="shared" si="1"/>
        <v>800</v>
      </c>
      <c r="G9" s="22">
        <f t="shared" si="2"/>
        <v>1</v>
      </c>
      <c r="H9" s="123" t="s">
        <v>20</v>
      </c>
      <c r="I9" s="126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>
      <c r="A10" s="107">
        <v>7.0</v>
      </c>
      <c r="B10" s="108">
        <v>1001614.0</v>
      </c>
      <c r="C10" s="120" t="str">
        <f>vlookup(B10,'Crew Data'!C:G,5,0)</f>
        <v>Sanlaya Kanrarat</v>
      </c>
      <c r="D10" s="121" t="s">
        <v>333</v>
      </c>
      <c r="E10" s="107">
        <v>2.0</v>
      </c>
      <c r="F10" s="122">
        <f t="shared" si="1"/>
        <v>800</v>
      </c>
      <c r="G10" s="22">
        <f t="shared" si="2"/>
        <v>1</v>
      </c>
      <c r="H10" s="123" t="s">
        <v>20</v>
      </c>
      <c r="I10" s="126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107">
        <v>8.0</v>
      </c>
      <c r="B11" s="108">
        <v>1012187.0</v>
      </c>
      <c r="C11" s="120" t="str">
        <f>vlookup(B11,'Crew Data'!C:G,5,0)</f>
        <v>Warangkana Mattaweewong</v>
      </c>
      <c r="D11" s="121" t="s">
        <v>334</v>
      </c>
      <c r="E11" s="107">
        <v>2.0</v>
      </c>
      <c r="F11" s="122">
        <f t="shared" si="1"/>
        <v>800</v>
      </c>
      <c r="G11" s="22">
        <f t="shared" si="2"/>
        <v>1</v>
      </c>
      <c r="H11" s="123" t="s">
        <v>20</v>
      </c>
      <c r="I11" s="126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>
      <c r="A12" s="107">
        <v>9.0</v>
      </c>
      <c r="B12" s="108">
        <v>1011844.0</v>
      </c>
      <c r="C12" s="120" t="str">
        <f>vlookup(B12,'Crew Data'!C:G,5,0)</f>
        <v>Thanyaporn Vaivattana</v>
      </c>
      <c r="D12" s="121" t="s">
        <v>334</v>
      </c>
      <c r="E12" s="107">
        <v>2.0</v>
      </c>
      <c r="F12" s="122">
        <f t="shared" si="1"/>
        <v>800</v>
      </c>
      <c r="G12" s="22">
        <f t="shared" si="2"/>
        <v>1</v>
      </c>
      <c r="H12" s="123" t="s">
        <v>20</v>
      </c>
      <c r="I12" s="126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107">
        <v>10.0</v>
      </c>
      <c r="B13" s="108">
        <v>1015405.0</v>
      </c>
      <c r="C13" s="120" t="str">
        <f>vlookup(B13,'Crew Data'!C:G,5,0)</f>
        <v>Nuttapon Pungjun</v>
      </c>
      <c r="D13" s="121" t="s">
        <v>335</v>
      </c>
      <c r="E13" s="107">
        <v>2.0</v>
      </c>
      <c r="F13" s="122">
        <f t="shared" si="1"/>
        <v>800</v>
      </c>
      <c r="G13" s="22">
        <f t="shared" si="2"/>
        <v>1</v>
      </c>
      <c r="H13" s="123" t="s">
        <v>20</v>
      </c>
      <c r="I13" s="126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>
      <c r="A14" s="107">
        <v>11.0</v>
      </c>
      <c r="B14" s="108">
        <v>1001286.0</v>
      </c>
      <c r="C14" s="120" t="str">
        <f>vlookup(B14,'Crew Data'!C:G,5,0)</f>
        <v>Sirinart Auypornbusyakom</v>
      </c>
      <c r="D14" s="121" t="s">
        <v>334</v>
      </c>
      <c r="E14" s="107">
        <v>2.0</v>
      </c>
      <c r="F14" s="122">
        <f t="shared" si="1"/>
        <v>800</v>
      </c>
      <c r="G14" s="22">
        <f t="shared" si="2"/>
        <v>1</v>
      </c>
      <c r="H14" s="123" t="s">
        <v>20</v>
      </c>
      <c r="I14" s="126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107">
        <v>12.0</v>
      </c>
      <c r="B15" s="108">
        <v>1011848.0</v>
      </c>
      <c r="C15" s="120" t="str">
        <f>vlookup(B15,'Crew Data'!C:G,5,0)</f>
        <v>Wiput Janvanichstaporn</v>
      </c>
      <c r="D15" s="121" t="s">
        <v>336</v>
      </c>
      <c r="E15" s="107">
        <v>2.0</v>
      </c>
      <c r="F15" s="122">
        <f t="shared" si="1"/>
        <v>800</v>
      </c>
      <c r="G15" s="22">
        <f t="shared" si="2"/>
        <v>1</v>
      </c>
      <c r="H15" s="123" t="s">
        <v>20</v>
      </c>
      <c r="I15" s="126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107">
        <v>13.0</v>
      </c>
      <c r="B16" s="108">
        <v>1014064.0</v>
      </c>
      <c r="C16" s="120" t="str">
        <f>vlookup(B16,'Crew Data'!C:G,5,0)</f>
        <v>Jaraspak Plengkhum</v>
      </c>
      <c r="D16" s="121" t="s">
        <v>331</v>
      </c>
      <c r="E16" s="107">
        <v>2.0</v>
      </c>
      <c r="F16" s="122">
        <f t="shared" si="1"/>
        <v>800</v>
      </c>
      <c r="G16" s="22">
        <f t="shared" si="2"/>
        <v>1</v>
      </c>
      <c r="H16" s="123" t="s">
        <v>20</v>
      </c>
      <c r="I16" s="126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107">
        <v>14.0</v>
      </c>
      <c r="B17" s="108">
        <v>1006995.0</v>
      </c>
      <c r="C17" s="120" t="str">
        <f>vlookup(B17,'Crew Data'!C:G,5,0)</f>
        <v>Kornrumpha Wongsing</v>
      </c>
      <c r="D17" s="121" t="s">
        <v>336</v>
      </c>
      <c r="E17" s="107">
        <v>2.0</v>
      </c>
      <c r="F17" s="122">
        <f t="shared" si="1"/>
        <v>800</v>
      </c>
      <c r="G17" s="22">
        <f t="shared" si="2"/>
        <v>1</v>
      </c>
      <c r="H17" s="123" t="s">
        <v>20</v>
      </c>
      <c r="I17" s="126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107">
        <v>15.0</v>
      </c>
      <c r="B18" s="108">
        <v>1026213.0</v>
      </c>
      <c r="C18" s="120" t="str">
        <f>vlookup(B18,'Crew Data'!C:G,5,0)</f>
        <v>Yossapon Pankham</v>
      </c>
      <c r="D18" s="121" t="s">
        <v>333</v>
      </c>
      <c r="E18" s="107">
        <v>2.0</v>
      </c>
      <c r="F18" s="122">
        <f t="shared" si="1"/>
        <v>800</v>
      </c>
      <c r="G18" s="22">
        <f t="shared" si="2"/>
        <v>1</v>
      </c>
      <c r="H18" s="123" t="s">
        <v>20</v>
      </c>
      <c r="I18" s="126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107">
        <v>16.0</v>
      </c>
      <c r="B19" s="108">
        <v>1010939.0</v>
      </c>
      <c r="C19" s="120" t="str">
        <f>vlookup(B19,'Crew Data'!C:G,5,0)</f>
        <v>Yuwarat Meesap</v>
      </c>
      <c r="D19" s="121" t="s">
        <v>337</v>
      </c>
      <c r="E19" s="107">
        <v>2.0</v>
      </c>
      <c r="F19" s="122">
        <f t="shared" si="1"/>
        <v>800</v>
      </c>
      <c r="G19" s="22">
        <f t="shared" si="2"/>
        <v>1</v>
      </c>
      <c r="H19" s="123" t="s">
        <v>20</v>
      </c>
      <c r="I19" s="126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107">
        <v>17.0</v>
      </c>
      <c r="B20" s="108">
        <v>1004204.0</v>
      </c>
      <c r="C20" s="120" t="str">
        <f>vlookup(B20,'Crew Data'!C:G,5,0)</f>
        <v>Phasita Khomdech</v>
      </c>
      <c r="D20" s="121" t="s">
        <v>338</v>
      </c>
      <c r="E20" s="107">
        <v>2.0</v>
      </c>
      <c r="F20" s="122">
        <f t="shared" si="1"/>
        <v>800</v>
      </c>
      <c r="G20" s="22">
        <f t="shared" si="2"/>
        <v>1</v>
      </c>
      <c r="H20" s="123" t="s">
        <v>20</v>
      </c>
      <c r="I20" s="126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107">
        <v>18.0</v>
      </c>
      <c r="B21" s="108">
        <v>1014675.0</v>
      </c>
      <c r="C21" s="120" t="str">
        <f>vlookup(B21,'Crew Data'!C:G,5,0)</f>
        <v>Saranya Amlee</v>
      </c>
      <c r="D21" s="121" t="s">
        <v>336</v>
      </c>
      <c r="E21" s="107">
        <v>2.0</v>
      </c>
      <c r="F21" s="122">
        <f t="shared" si="1"/>
        <v>800</v>
      </c>
      <c r="G21" s="22">
        <f t="shared" si="2"/>
        <v>1</v>
      </c>
      <c r="H21" s="123" t="s">
        <v>20</v>
      </c>
      <c r="I21" s="126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>
      <c r="A22" s="107">
        <v>19.0</v>
      </c>
      <c r="B22" s="108">
        <v>1008359.0</v>
      </c>
      <c r="C22" s="120" t="str">
        <f>vlookup(B22,'Crew Data'!C:G,5,0)</f>
        <v>Peerapol Umpawan</v>
      </c>
      <c r="D22" s="121" t="s">
        <v>338</v>
      </c>
      <c r="E22" s="107">
        <v>2.0</v>
      </c>
      <c r="F22" s="122">
        <f t="shared" si="1"/>
        <v>800</v>
      </c>
      <c r="G22" s="22">
        <f t="shared" si="2"/>
        <v>1</v>
      </c>
      <c r="H22" s="123" t="s">
        <v>20</v>
      </c>
      <c r="I22" s="126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>
      <c r="A23" s="107">
        <v>20.0</v>
      </c>
      <c r="B23" s="108">
        <v>1004298.0</v>
      </c>
      <c r="C23" s="120" t="str">
        <f>vlookup(B23,'Crew Data'!C:G,5,0)</f>
        <v>Teerapat Kasemphongsakorn</v>
      </c>
      <c r="D23" s="121" t="s">
        <v>337</v>
      </c>
      <c r="E23" s="107">
        <v>2.0</v>
      </c>
      <c r="F23" s="122">
        <f t="shared" si="1"/>
        <v>800</v>
      </c>
      <c r="G23" s="22">
        <f t="shared" si="2"/>
        <v>1</v>
      </c>
      <c r="H23" s="123" t="s">
        <v>20</v>
      </c>
      <c r="I23" s="126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>
      <c r="A24" s="107">
        <v>21.0</v>
      </c>
      <c r="B24" s="108">
        <v>1009811.0</v>
      </c>
      <c r="C24" s="120" t="str">
        <f>vlookup(B24,'Crew Data'!C:G,5,0)</f>
        <v>Natchanan Pena Viegas</v>
      </c>
      <c r="D24" s="121" t="s">
        <v>335</v>
      </c>
      <c r="E24" s="107">
        <v>2.0</v>
      </c>
      <c r="F24" s="122">
        <f t="shared" si="1"/>
        <v>800</v>
      </c>
      <c r="G24" s="22">
        <f t="shared" si="2"/>
        <v>1</v>
      </c>
      <c r="H24" s="123" t="s">
        <v>20</v>
      </c>
      <c r="I24" s="126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>
      <c r="A25" s="107">
        <v>22.0</v>
      </c>
      <c r="B25" s="110">
        <v>1012158.0</v>
      </c>
      <c r="C25" s="120" t="str">
        <f>vlookup(B25,'Crew Data'!C:G,5,0)</f>
        <v>Itthipong Khanthonglor</v>
      </c>
      <c r="D25" s="121" t="s">
        <v>339</v>
      </c>
      <c r="E25" s="107">
        <v>2.0</v>
      </c>
      <c r="F25" s="122">
        <f t="shared" si="1"/>
        <v>800</v>
      </c>
      <c r="G25" s="22">
        <f t="shared" si="2"/>
        <v>1</v>
      </c>
      <c r="H25" s="123" t="s">
        <v>20</v>
      </c>
      <c r="I25" s="126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>
      <c r="A26" s="107">
        <v>23.0</v>
      </c>
      <c r="B26" s="110">
        <v>1013033.0</v>
      </c>
      <c r="C26" s="120" t="str">
        <f>vlookup(B26,'Crew Data'!C:G,5,0)</f>
        <v>Sirirat Thampipat</v>
      </c>
      <c r="D26" s="121" t="s">
        <v>340</v>
      </c>
      <c r="E26" s="107">
        <v>4.0</v>
      </c>
      <c r="F26" s="122">
        <f t="shared" si="1"/>
        <v>1600</v>
      </c>
      <c r="G26" s="22">
        <f t="shared" si="2"/>
        <v>1</v>
      </c>
      <c r="H26" s="123" t="s">
        <v>20</v>
      </c>
      <c r="I26" s="126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>
      <c r="A27" s="107">
        <v>24.0</v>
      </c>
      <c r="B27" s="110">
        <v>1012984.0</v>
      </c>
      <c r="C27" s="120" t="str">
        <f>vlookup(B27,'Crew Data'!C:G,5,0)</f>
        <v>Issaree Opasvimud</v>
      </c>
      <c r="D27" s="121" t="s">
        <v>341</v>
      </c>
      <c r="E27" s="107">
        <v>2.0</v>
      </c>
      <c r="F27" s="122">
        <f t="shared" si="1"/>
        <v>800</v>
      </c>
      <c r="G27" s="22">
        <f t="shared" si="2"/>
        <v>1</v>
      </c>
      <c r="H27" s="123" t="s">
        <v>20</v>
      </c>
      <c r="I27" s="126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>
      <c r="A28" s="107">
        <v>25.0</v>
      </c>
      <c r="B28" s="108">
        <v>1013000.0</v>
      </c>
      <c r="C28" s="120" t="str">
        <f>vlookup(B28,'Crew Data'!C:G,5,0)</f>
        <v>Matsarin Kaprasob</v>
      </c>
      <c r="D28" s="121" t="s">
        <v>341</v>
      </c>
      <c r="E28" s="107">
        <v>2.0</v>
      </c>
      <c r="F28" s="122">
        <f t="shared" si="1"/>
        <v>800</v>
      </c>
      <c r="G28" s="22">
        <f t="shared" si="2"/>
        <v>1</v>
      </c>
      <c r="H28" s="123" t="s">
        <v>20</v>
      </c>
      <c r="I28" s="126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>
      <c r="A29" s="107">
        <v>26.0</v>
      </c>
      <c r="B29" s="108">
        <v>1007014.0</v>
      </c>
      <c r="C29" s="120" t="str">
        <f>vlookup(B29,'Crew Data'!C:G,5,0)</f>
        <v>Piyanut Nainet</v>
      </c>
      <c r="D29" s="121" t="s">
        <v>341</v>
      </c>
      <c r="E29" s="107">
        <v>2.0</v>
      </c>
      <c r="F29" s="122">
        <f t="shared" si="1"/>
        <v>800</v>
      </c>
      <c r="G29" s="22">
        <f t="shared" si="2"/>
        <v>1</v>
      </c>
      <c r="H29" s="123" t="s">
        <v>20</v>
      </c>
      <c r="I29" s="126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>
      <c r="A30" s="107">
        <v>27.0</v>
      </c>
      <c r="B30" s="108">
        <v>1011319.0</v>
      </c>
      <c r="C30" s="120" t="str">
        <f>vlookup(B30,'Crew Data'!C:G,5,0)</f>
        <v>Sakaow Homtrakul</v>
      </c>
      <c r="D30" s="121" t="s">
        <v>342</v>
      </c>
      <c r="E30" s="107">
        <v>2.0</v>
      </c>
      <c r="F30" s="122">
        <f t="shared" si="1"/>
        <v>800</v>
      </c>
      <c r="G30" s="22">
        <f t="shared" si="2"/>
        <v>1</v>
      </c>
      <c r="H30" s="123" t="s">
        <v>20</v>
      </c>
      <c r="I30" s="126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>
      <c r="A31" s="107">
        <v>28.0</v>
      </c>
      <c r="B31" s="108">
        <v>1011306.0</v>
      </c>
      <c r="C31" s="120" t="str">
        <f>vlookup(B31,'Crew Data'!C:G,5,0)</f>
        <v>Kanthanuch Boonlor</v>
      </c>
      <c r="D31" s="121" t="s">
        <v>342</v>
      </c>
      <c r="E31" s="107">
        <v>2.0</v>
      </c>
      <c r="F31" s="122">
        <f t="shared" si="1"/>
        <v>800</v>
      </c>
      <c r="G31" s="22">
        <f t="shared" si="2"/>
        <v>1</v>
      </c>
      <c r="H31" s="123" t="s">
        <v>20</v>
      </c>
      <c r="I31" s="126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>
      <c r="A32" s="107">
        <v>29.0</v>
      </c>
      <c r="B32" s="108">
        <v>1012989.0</v>
      </c>
      <c r="C32" s="120" t="str">
        <f>vlookup(B32,'Crew Data'!C:G,5,0)</f>
        <v>Kitibodee Harnkunthamart</v>
      </c>
      <c r="D32" s="121" t="s">
        <v>339</v>
      </c>
      <c r="E32" s="107">
        <v>2.0</v>
      </c>
      <c r="F32" s="122">
        <f t="shared" si="1"/>
        <v>800</v>
      </c>
      <c r="G32" s="22">
        <f t="shared" si="2"/>
        <v>1</v>
      </c>
      <c r="H32" s="123" t="s">
        <v>20</v>
      </c>
      <c r="I32" s="126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>
      <c r="A33" s="107">
        <v>30.0</v>
      </c>
      <c r="B33" s="108">
        <v>1012256.0</v>
      </c>
      <c r="C33" s="120" t="str">
        <f>vlookup(B33,'Crew Data'!C:G,5,0)</f>
        <v>Sarayut Ungsaichue</v>
      </c>
      <c r="D33" s="121" t="s">
        <v>342</v>
      </c>
      <c r="E33" s="107">
        <v>2.0</v>
      </c>
      <c r="F33" s="122">
        <f t="shared" si="1"/>
        <v>800</v>
      </c>
      <c r="G33" s="22">
        <f t="shared" si="2"/>
        <v>1</v>
      </c>
      <c r="H33" s="123" t="s">
        <v>20</v>
      </c>
      <c r="I33" s="126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>
      <c r="A34" s="107">
        <v>31.0</v>
      </c>
      <c r="B34" s="108">
        <v>1004863.0</v>
      </c>
      <c r="C34" s="120" t="str">
        <f>vlookup(B34,'Crew Data'!C:G,5,0)</f>
        <v>Sirirat Sirikul</v>
      </c>
      <c r="D34" s="121" t="s">
        <v>343</v>
      </c>
      <c r="E34" s="107">
        <v>28.0</v>
      </c>
      <c r="F34" s="122">
        <f t="shared" si="1"/>
        <v>11200</v>
      </c>
      <c r="G34" s="22">
        <f t="shared" si="2"/>
        <v>1</v>
      </c>
      <c r="H34" s="123" t="s">
        <v>20</v>
      </c>
      <c r="I34" s="126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>
      <c r="A35" s="107">
        <v>32.0</v>
      </c>
      <c r="B35" s="108">
        <v>1007273.0</v>
      </c>
      <c r="C35" s="120" t="str">
        <f>vlookup(B35,'Crew Data'!C:G,5,0)</f>
        <v>Sarinya Phontong</v>
      </c>
      <c r="D35" s="121" t="s">
        <v>341</v>
      </c>
      <c r="E35" s="107">
        <v>2.0</v>
      </c>
      <c r="F35" s="122">
        <f t="shared" si="1"/>
        <v>800</v>
      </c>
      <c r="G35" s="22">
        <f t="shared" si="2"/>
        <v>1</v>
      </c>
      <c r="H35" s="123" t="s">
        <v>20</v>
      </c>
      <c r="I35" s="126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>
      <c r="A36" s="107">
        <v>33.0</v>
      </c>
      <c r="B36" s="108">
        <v>1004016.0</v>
      </c>
      <c r="C36" s="120" t="str">
        <f>vlookup(B36,'Crew Data'!C:G,5,0)</f>
        <v>Khamkhun Thapnoo</v>
      </c>
      <c r="D36" s="121" t="s">
        <v>344</v>
      </c>
      <c r="E36" s="107">
        <v>26.0</v>
      </c>
      <c r="F36" s="122">
        <f t="shared" si="1"/>
        <v>10400</v>
      </c>
      <c r="G36" s="22">
        <f t="shared" si="2"/>
        <v>1</v>
      </c>
      <c r="H36" s="123" t="s">
        <v>20</v>
      </c>
      <c r="I36" s="126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>
      <c r="A37" s="107">
        <v>34.0</v>
      </c>
      <c r="B37" s="108">
        <v>1007268.0</v>
      </c>
      <c r="C37" s="120" t="str">
        <f>vlookup(B37,'Crew Data'!C:G,5,0)</f>
        <v>Nujira Suwanasang</v>
      </c>
      <c r="D37" s="121" t="s">
        <v>344</v>
      </c>
      <c r="E37" s="107">
        <v>26.0</v>
      </c>
      <c r="F37" s="122">
        <f t="shared" si="1"/>
        <v>10400</v>
      </c>
      <c r="G37" s="22">
        <f t="shared" si="2"/>
        <v>1</v>
      </c>
      <c r="H37" s="123" t="s">
        <v>20</v>
      </c>
      <c r="I37" s="126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>
      <c r="A38" s="107">
        <v>35.0</v>
      </c>
      <c r="B38" s="108">
        <v>1013173.0</v>
      </c>
      <c r="C38" s="120" t="str">
        <f>vlookup(B38,'Crew Data'!C:G,5,0)</f>
        <v>Juthatip Narin</v>
      </c>
      <c r="D38" s="121" t="s">
        <v>345</v>
      </c>
      <c r="E38" s="107">
        <v>26.0</v>
      </c>
      <c r="F38" s="122">
        <f t="shared" si="1"/>
        <v>10400</v>
      </c>
      <c r="G38" s="22">
        <f t="shared" si="2"/>
        <v>1</v>
      </c>
      <c r="H38" s="123" t="s">
        <v>20</v>
      </c>
      <c r="I38" s="126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>
      <c r="A39" s="107">
        <v>36.0</v>
      </c>
      <c r="B39" s="108">
        <v>1007271.0</v>
      </c>
      <c r="C39" s="120" t="str">
        <f>vlookup(B39,'Crew Data'!C:G,5,0)</f>
        <v>Ruchdaporn Niratch</v>
      </c>
      <c r="D39" s="121" t="s">
        <v>344</v>
      </c>
      <c r="E39" s="107">
        <v>26.0</v>
      </c>
      <c r="F39" s="122">
        <f t="shared" si="1"/>
        <v>10400</v>
      </c>
      <c r="G39" s="22">
        <f t="shared" si="2"/>
        <v>1</v>
      </c>
      <c r="H39" s="123" t="s">
        <v>20</v>
      </c>
      <c r="I39" s="126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>
      <c r="A40" s="107">
        <v>37.0</v>
      </c>
      <c r="B40" s="108">
        <v>1005972.0</v>
      </c>
      <c r="C40" s="120" t="str">
        <f>vlookup(B40,'Crew Data'!C:G,5,0)</f>
        <v>Wuttipon Onpuns</v>
      </c>
      <c r="D40" s="121" t="s">
        <v>343</v>
      </c>
      <c r="E40" s="107">
        <v>28.0</v>
      </c>
      <c r="F40" s="122">
        <f t="shared" si="1"/>
        <v>11200</v>
      </c>
      <c r="G40" s="22">
        <f t="shared" si="2"/>
        <v>1</v>
      </c>
      <c r="H40" s="123" t="s">
        <v>20</v>
      </c>
      <c r="I40" s="126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>
      <c r="A41" s="107">
        <v>38.0</v>
      </c>
      <c r="B41" s="108">
        <v>1025306.0</v>
      </c>
      <c r="C41" s="120" t="str">
        <f>vlookup(B41,'Crew Data'!C:G,5,0)</f>
        <v>Soravis Kissanaviparkporn</v>
      </c>
      <c r="D41" s="121" t="s">
        <v>343</v>
      </c>
      <c r="E41" s="107">
        <v>28.0</v>
      </c>
      <c r="F41" s="122">
        <f t="shared" si="1"/>
        <v>11200</v>
      </c>
      <c r="G41" s="22">
        <f t="shared" si="2"/>
        <v>1</v>
      </c>
      <c r="H41" s="123" t="s">
        <v>20</v>
      </c>
      <c r="I41" s="126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>
      <c r="A42" s="107">
        <v>39.0</v>
      </c>
      <c r="B42" s="108">
        <v>1004531.0</v>
      </c>
      <c r="C42" s="120" t="str">
        <f>vlookup(B42,'Crew Data'!C:G,5,0)</f>
        <v>Nattakan Kanokpantarakorn </v>
      </c>
      <c r="D42" s="121" t="s">
        <v>342</v>
      </c>
      <c r="E42" s="107">
        <v>2.0</v>
      </c>
      <c r="F42" s="122">
        <f t="shared" si="1"/>
        <v>800</v>
      </c>
      <c r="G42" s="22">
        <f t="shared" si="2"/>
        <v>1</v>
      </c>
      <c r="H42" s="123" t="s">
        <v>20</v>
      </c>
      <c r="I42" s="126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>
      <c r="A43" s="107">
        <v>40.0</v>
      </c>
      <c r="B43" s="108">
        <v>1006293.0</v>
      </c>
      <c r="C43" s="120" t="str">
        <f>vlookup(B43,'Crew Data'!C:G,5,0)</f>
        <v>Atchara Mettaraksa</v>
      </c>
      <c r="D43" s="121" t="s">
        <v>343</v>
      </c>
      <c r="E43" s="107">
        <v>28.0</v>
      </c>
      <c r="F43" s="122">
        <f t="shared" si="1"/>
        <v>11200</v>
      </c>
      <c r="G43" s="22">
        <f t="shared" si="2"/>
        <v>1</v>
      </c>
      <c r="H43" s="123" t="s">
        <v>20</v>
      </c>
      <c r="I43" s="126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>
      <c r="A44" s="107">
        <v>41.0</v>
      </c>
      <c r="B44" s="108">
        <v>1022662.0</v>
      </c>
      <c r="C44" s="120" t="str">
        <f>vlookup(B44,'Crew Data'!C:G,5,0)</f>
        <v>Wachiraporn Songkram</v>
      </c>
      <c r="D44" s="121" t="s">
        <v>338</v>
      </c>
      <c r="E44" s="107">
        <v>2.0</v>
      </c>
      <c r="F44" s="122">
        <f t="shared" si="1"/>
        <v>800</v>
      </c>
      <c r="G44" s="22">
        <f t="shared" si="2"/>
        <v>1</v>
      </c>
      <c r="H44" s="123" t="s">
        <v>20</v>
      </c>
      <c r="I44" s="126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hidden="1">
      <c r="A45" s="107">
        <v>41.0</v>
      </c>
      <c r="B45" s="108"/>
      <c r="C45" s="120" t="str">
        <f>vlookup(B45,'Crew Data'!C:G,5,0)</f>
        <v>#N/A</v>
      </c>
      <c r="D45" s="121"/>
      <c r="E45" s="107"/>
      <c r="F45" s="122">
        <f t="shared" si="1"/>
        <v>0</v>
      </c>
      <c r="G45" s="22">
        <f t="shared" si="2"/>
        <v>0</v>
      </c>
      <c r="H45" s="123" t="s">
        <v>20</v>
      </c>
      <c r="I45" s="126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hidden="1">
      <c r="A46" s="107">
        <v>42.0</v>
      </c>
      <c r="B46" s="108"/>
      <c r="C46" s="120" t="str">
        <f>vlookup(B46,'Crew Data'!C:G,5,0)</f>
        <v>#N/A</v>
      </c>
      <c r="D46" s="121"/>
      <c r="E46" s="107"/>
      <c r="F46" s="122">
        <f t="shared" si="1"/>
        <v>0</v>
      </c>
      <c r="G46" s="22">
        <f t="shared" si="2"/>
        <v>0</v>
      </c>
      <c r="H46" s="123" t="s">
        <v>20</v>
      </c>
      <c r="I46" s="126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idden="1">
      <c r="A47" s="107">
        <v>43.0</v>
      </c>
      <c r="B47" s="108"/>
      <c r="C47" s="120" t="str">
        <f>vlookup(B47,'Crew Data'!C:G,5,0)</f>
        <v>#N/A</v>
      </c>
      <c r="D47" s="121"/>
      <c r="E47" s="107"/>
      <c r="F47" s="122">
        <f t="shared" si="1"/>
        <v>0</v>
      </c>
      <c r="G47" s="22">
        <f t="shared" si="2"/>
        <v>0</v>
      </c>
      <c r="H47" s="123" t="s">
        <v>20</v>
      </c>
      <c r="I47" s="126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idden="1">
      <c r="A48" s="107">
        <v>44.0</v>
      </c>
      <c r="B48" s="108"/>
      <c r="C48" s="120" t="str">
        <f>vlookup(B48,'Crew Data'!C:G,5,0)</f>
        <v>#N/A</v>
      </c>
      <c r="D48" s="121"/>
      <c r="E48" s="107"/>
      <c r="F48" s="122">
        <f t="shared" si="1"/>
        <v>0</v>
      </c>
      <c r="G48" s="22">
        <f t="shared" si="2"/>
        <v>0</v>
      </c>
      <c r="H48" s="123" t="s">
        <v>20</v>
      </c>
      <c r="I48" s="126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idden="1">
      <c r="A49" s="107">
        <v>45.0</v>
      </c>
      <c r="B49" s="108"/>
      <c r="C49" s="120" t="str">
        <f>vlookup(B49,'Crew Data'!C:G,5,0)</f>
        <v>#N/A</v>
      </c>
      <c r="D49" s="121"/>
      <c r="E49" s="107"/>
      <c r="F49" s="122">
        <f t="shared" si="1"/>
        <v>0</v>
      </c>
      <c r="G49" s="22">
        <f t="shared" si="2"/>
        <v>0</v>
      </c>
      <c r="H49" s="123" t="s">
        <v>20</v>
      </c>
      <c r="I49" s="126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idden="1">
      <c r="A50" s="107">
        <v>46.0</v>
      </c>
      <c r="B50" s="108"/>
      <c r="C50" s="120" t="str">
        <f>vlookup(B50,'Crew Data'!C:G,5,0)</f>
        <v>#N/A</v>
      </c>
      <c r="D50" s="121"/>
      <c r="E50" s="107"/>
      <c r="F50" s="122">
        <f t="shared" si="1"/>
        <v>0</v>
      </c>
      <c r="G50" s="22">
        <f t="shared" si="2"/>
        <v>0</v>
      </c>
      <c r="H50" s="123" t="s">
        <v>20</v>
      </c>
      <c r="I50" s="126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idden="1">
      <c r="A51" s="107">
        <v>47.0</v>
      </c>
      <c r="B51" s="108"/>
      <c r="C51" s="120" t="str">
        <f>vlookup(B51,'Crew Data'!C:G,5,0)</f>
        <v>#N/A</v>
      </c>
      <c r="D51" s="121"/>
      <c r="E51" s="107"/>
      <c r="F51" s="122">
        <f t="shared" si="1"/>
        <v>0</v>
      </c>
      <c r="G51" s="22">
        <f t="shared" si="2"/>
        <v>0</v>
      </c>
      <c r="H51" s="123" t="s">
        <v>20</v>
      </c>
      <c r="I51" s="126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idden="1">
      <c r="A52" s="107">
        <v>48.0</v>
      </c>
      <c r="B52" s="108"/>
      <c r="C52" s="120" t="str">
        <f>vlookup(B52,'Crew Data'!C:G,5,0)</f>
        <v>#N/A</v>
      </c>
      <c r="D52" s="121"/>
      <c r="E52" s="107"/>
      <c r="F52" s="122">
        <f t="shared" si="1"/>
        <v>0</v>
      </c>
      <c r="G52" s="22">
        <f t="shared" si="2"/>
        <v>0</v>
      </c>
      <c r="H52" s="123" t="s">
        <v>20</v>
      </c>
      <c r="I52" s="126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idden="1">
      <c r="A53" s="107">
        <v>49.0</v>
      </c>
      <c r="B53" s="108"/>
      <c r="C53" s="120" t="str">
        <f>vlookup(B53,'Crew Data'!C:G,5,0)</f>
        <v>#N/A</v>
      </c>
      <c r="D53" s="121"/>
      <c r="E53" s="107"/>
      <c r="F53" s="122">
        <f t="shared" si="1"/>
        <v>0</v>
      </c>
      <c r="G53" s="22">
        <f t="shared" si="2"/>
        <v>0</v>
      </c>
      <c r="H53" s="123" t="s">
        <v>20</v>
      </c>
      <c r="I53" s="126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idden="1">
      <c r="A54" s="107">
        <v>50.0</v>
      </c>
      <c r="B54" s="108"/>
      <c r="C54" s="120" t="str">
        <f>vlookup(B54,'Crew Data'!C:G,5,0)</f>
        <v>#N/A</v>
      </c>
      <c r="D54" s="121"/>
      <c r="E54" s="107"/>
      <c r="F54" s="122">
        <f t="shared" si="1"/>
        <v>0</v>
      </c>
      <c r="G54" s="22">
        <f t="shared" si="2"/>
        <v>0</v>
      </c>
      <c r="H54" s="123" t="s">
        <v>20</v>
      </c>
      <c r="I54" s="126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</sheetData>
  <mergeCells count="2">
    <mergeCell ref="A1:F1"/>
    <mergeCell ref="E2:F2"/>
  </mergeCells>
  <dataValidations>
    <dataValidation type="list" allowBlank="1" sqref="H4:H54">
      <formula1>"CHECKED (OK),CHECKED  (NOT OK)"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.88"/>
    <col customWidth="1" min="2" max="2" width="9.63"/>
    <col customWidth="1" min="3" max="3" width="23.0"/>
    <col customWidth="1" min="4" max="4" width="30.63"/>
    <col customWidth="1" min="5" max="5" width="7.63"/>
    <col customWidth="1" min="7" max="7" width="3.5"/>
    <col customWidth="1" min="8" max="8" width="18.63"/>
    <col customWidth="1" min="9" max="9" width="21.63"/>
  </cols>
  <sheetData>
    <row r="1">
      <c r="A1" s="105" t="s">
        <v>346</v>
      </c>
      <c r="G1" s="111"/>
      <c r="H1" s="112" t="s">
        <v>347</v>
      </c>
      <c r="I1" s="113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106" t="s">
        <v>1</v>
      </c>
      <c r="B2" s="106" t="s">
        <v>11</v>
      </c>
      <c r="C2" s="106" t="s">
        <v>12</v>
      </c>
      <c r="D2" s="114" t="s">
        <v>13</v>
      </c>
      <c r="E2" s="115" t="s">
        <v>14</v>
      </c>
      <c r="G2" s="116"/>
      <c r="H2" s="111"/>
      <c r="I2" s="11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106"/>
      <c r="B3" s="106"/>
      <c r="C3" s="106"/>
      <c r="D3" s="114"/>
      <c r="E3" s="115" t="s">
        <v>15</v>
      </c>
      <c r="F3" s="117" t="s">
        <v>5</v>
      </c>
      <c r="G3" s="116"/>
      <c r="H3" s="118" t="s">
        <v>6</v>
      </c>
      <c r="I3" s="119" t="s">
        <v>7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>
      <c r="A4" s="107">
        <v>1.0</v>
      </c>
      <c r="B4" s="107">
        <v>1001617.0</v>
      </c>
      <c r="C4" s="120" t="str">
        <f>vlookup(B4,'Crew Data'!C:G,5,0)</f>
        <v>Suthida Tanakarn</v>
      </c>
      <c r="D4" s="121" t="s">
        <v>348</v>
      </c>
      <c r="E4" s="107">
        <v>2.0</v>
      </c>
      <c r="F4" s="122">
        <f t="shared" ref="F4:F40" si="1">E4*400</f>
        <v>800</v>
      </c>
      <c r="G4" s="22">
        <f t="shared" ref="G4:G40" si="2">COUNTIF(B:B,B4)</f>
        <v>1</v>
      </c>
      <c r="H4" s="123" t="s">
        <v>20</v>
      </c>
      <c r="I4" s="124" t="s">
        <v>349</v>
      </c>
      <c r="J4" s="127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A5" s="107">
        <v>2.0</v>
      </c>
      <c r="B5" s="107">
        <v>1007022.0</v>
      </c>
      <c r="C5" s="120" t="str">
        <f>vlookup(B5,'Crew Data'!C:G,5,0)</f>
        <v>Waroot Chanpueak</v>
      </c>
      <c r="D5" s="121" t="s">
        <v>350</v>
      </c>
      <c r="E5" s="107">
        <v>2.0</v>
      </c>
      <c r="F5" s="122">
        <f t="shared" si="1"/>
        <v>800</v>
      </c>
      <c r="G5" s="22">
        <f t="shared" si="2"/>
        <v>1</v>
      </c>
      <c r="H5" s="123" t="s">
        <v>20</v>
      </c>
      <c r="I5" s="124"/>
      <c r="J5" s="128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>
      <c r="A6" s="107">
        <v>3.0</v>
      </c>
      <c r="B6" s="107">
        <v>1015094.0</v>
      </c>
      <c r="C6" s="120" t="str">
        <f>vlookup(B6,'Crew Data'!C:G,5,0)</f>
        <v>Pheephat Janjamras</v>
      </c>
      <c r="D6" s="121" t="s">
        <v>350</v>
      </c>
      <c r="E6" s="107">
        <v>2.0</v>
      </c>
      <c r="F6" s="122">
        <f t="shared" si="1"/>
        <v>800</v>
      </c>
      <c r="G6" s="22">
        <f t="shared" si="2"/>
        <v>1</v>
      </c>
      <c r="H6" s="123" t="s">
        <v>20</v>
      </c>
      <c r="I6" s="124"/>
      <c r="J6" s="128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>
      <c r="A7" s="107">
        <v>4.0</v>
      </c>
      <c r="B7" s="129">
        <v>1010880.0</v>
      </c>
      <c r="C7" s="120" t="str">
        <f>vlookup(B7,'Crew Data'!C:G,5,0)</f>
        <v>Chutima Thitisantikhun</v>
      </c>
      <c r="D7" s="121" t="s">
        <v>350</v>
      </c>
      <c r="E7" s="107">
        <v>2.0</v>
      </c>
      <c r="F7" s="122">
        <f t="shared" si="1"/>
        <v>800</v>
      </c>
      <c r="G7" s="22">
        <f t="shared" si="2"/>
        <v>1</v>
      </c>
      <c r="H7" s="123" t="s">
        <v>20</v>
      </c>
      <c r="I7" s="124"/>
      <c r="J7" s="130"/>
      <c r="K7" s="31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107">
        <v>5.0</v>
      </c>
      <c r="B8" s="131">
        <v>1043868.0</v>
      </c>
      <c r="C8" s="120" t="str">
        <f>vlookup(B8,'Crew Data'!C:G,5,0)</f>
        <v>Sutida Srisuwantada</v>
      </c>
      <c r="D8" s="121" t="s">
        <v>351</v>
      </c>
      <c r="E8" s="107">
        <v>2.0</v>
      </c>
      <c r="F8" s="122">
        <f t="shared" si="1"/>
        <v>800</v>
      </c>
      <c r="G8" s="22">
        <f t="shared" si="2"/>
        <v>1</v>
      </c>
      <c r="H8" s="123" t="s">
        <v>20</v>
      </c>
      <c r="I8" s="126"/>
      <c r="J8" s="130"/>
      <c r="K8" s="31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>
      <c r="A9" s="107">
        <v>6.0</v>
      </c>
      <c r="B9" s="131">
        <v>1009434.0</v>
      </c>
      <c r="C9" s="120" t="str">
        <f>vlookup(B9,'Crew Data'!C:G,5,0)</f>
        <v>Wanpiya Kaewyok</v>
      </c>
      <c r="D9" s="121" t="s">
        <v>350</v>
      </c>
      <c r="E9" s="107">
        <v>2.0</v>
      </c>
      <c r="F9" s="122">
        <f t="shared" si="1"/>
        <v>800</v>
      </c>
      <c r="G9" s="22">
        <f t="shared" si="2"/>
        <v>1</v>
      </c>
      <c r="H9" s="123" t="s">
        <v>20</v>
      </c>
      <c r="I9" s="126"/>
      <c r="J9" s="130"/>
      <c r="K9" s="31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>
      <c r="A10" s="107">
        <v>7.0</v>
      </c>
      <c r="B10" s="107">
        <v>1005303.0</v>
      </c>
      <c r="C10" s="120" t="str">
        <f>vlookup(B10,'Crew Data'!C:G,5,0)</f>
        <v>Piyathida Jaikla</v>
      </c>
      <c r="D10" s="121" t="s">
        <v>352</v>
      </c>
      <c r="E10" s="107">
        <v>2.0</v>
      </c>
      <c r="F10" s="122">
        <f t="shared" si="1"/>
        <v>800</v>
      </c>
      <c r="G10" s="22">
        <f t="shared" si="2"/>
        <v>1</v>
      </c>
      <c r="H10" s="123" t="s">
        <v>20</v>
      </c>
      <c r="I10" s="126"/>
      <c r="J10" s="130"/>
      <c r="K10" s="31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107">
        <v>8.0</v>
      </c>
      <c r="B11" s="107">
        <v>1005289.0</v>
      </c>
      <c r="C11" s="120" t="str">
        <f>vlookup(B11,'Crew Data'!C:G,5,0)</f>
        <v>Varoonyupa Choovet</v>
      </c>
      <c r="D11" s="121" t="s">
        <v>352</v>
      </c>
      <c r="E11" s="107">
        <v>2.0</v>
      </c>
      <c r="F11" s="122">
        <f t="shared" si="1"/>
        <v>800</v>
      </c>
      <c r="G11" s="22">
        <f t="shared" si="2"/>
        <v>1</v>
      </c>
      <c r="H11" s="123" t="s">
        <v>20</v>
      </c>
      <c r="I11" s="126"/>
      <c r="J11" s="132"/>
      <c r="K11" s="31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>
      <c r="A12" s="107">
        <v>9.0</v>
      </c>
      <c r="B12" s="131">
        <v>1019402.0</v>
      </c>
      <c r="C12" s="120" t="str">
        <f>vlookup(B12,'Crew Data'!C:G,5,0)</f>
        <v>Methawat Thitinawasup</v>
      </c>
      <c r="D12" s="121" t="s">
        <v>353</v>
      </c>
      <c r="E12" s="107">
        <v>2.0</v>
      </c>
      <c r="F12" s="122">
        <f t="shared" si="1"/>
        <v>800</v>
      </c>
      <c r="G12" s="22">
        <f t="shared" si="2"/>
        <v>1</v>
      </c>
      <c r="H12" s="123" t="s">
        <v>20</v>
      </c>
      <c r="I12" s="126"/>
      <c r="J12" s="132"/>
      <c r="K12" s="31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107">
        <v>10.0</v>
      </c>
      <c r="B13" s="129">
        <v>1010805.0</v>
      </c>
      <c r="C13" s="120" t="str">
        <f>vlookup(B13,'Crew Data'!C:G,5,0)</f>
        <v>Tipparada Chiewsamran</v>
      </c>
      <c r="D13" s="121" t="s">
        <v>352</v>
      </c>
      <c r="E13" s="107">
        <v>2.0</v>
      </c>
      <c r="F13" s="122">
        <f t="shared" si="1"/>
        <v>800</v>
      </c>
      <c r="G13" s="22">
        <f t="shared" si="2"/>
        <v>1</v>
      </c>
      <c r="H13" s="123" t="s">
        <v>20</v>
      </c>
      <c r="I13" s="126"/>
      <c r="J13" s="130"/>
      <c r="K13" s="31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>
      <c r="A14" s="107">
        <v>11.0</v>
      </c>
      <c r="B14" s="131">
        <v>1000736.0</v>
      </c>
      <c r="C14" s="120" t="str">
        <f>vlookup(B14,'Crew Data'!C:G,5,0)</f>
        <v>Ekkachai Moolla</v>
      </c>
      <c r="D14" s="121" t="s">
        <v>353</v>
      </c>
      <c r="E14" s="107">
        <v>2.0</v>
      </c>
      <c r="F14" s="122">
        <f t="shared" si="1"/>
        <v>800</v>
      </c>
      <c r="G14" s="22">
        <f t="shared" si="2"/>
        <v>1</v>
      </c>
      <c r="H14" s="123" t="s">
        <v>20</v>
      </c>
      <c r="I14" s="126"/>
      <c r="J14" s="130"/>
      <c r="K14" s="31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107">
        <v>12.0</v>
      </c>
      <c r="B15" s="131">
        <v>1010721.0</v>
      </c>
      <c r="C15" s="120" t="str">
        <f>vlookup(B15,'Crew Data'!C:G,5,0)</f>
        <v>Papitchaya Saytasuhat</v>
      </c>
      <c r="D15" s="121" t="s">
        <v>354</v>
      </c>
      <c r="E15" s="107">
        <v>2.0</v>
      </c>
      <c r="F15" s="122">
        <f t="shared" si="1"/>
        <v>800</v>
      </c>
      <c r="G15" s="22">
        <f t="shared" si="2"/>
        <v>1</v>
      </c>
      <c r="H15" s="123" t="s">
        <v>20</v>
      </c>
      <c r="I15" s="126"/>
      <c r="J15" s="130"/>
      <c r="K15" s="31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107">
        <v>13.0</v>
      </c>
      <c r="B16" s="131">
        <v>1003302.0</v>
      </c>
      <c r="C16" s="120" t="str">
        <f>vlookup(B16,'Crew Data'!C:G,5,0)</f>
        <v>Panwad Thongkham</v>
      </c>
      <c r="D16" s="121" t="s">
        <v>352</v>
      </c>
      <c r="E16" s="107">
        <v>2.0</v>
      </c>
      <c r="F16" s="122">
        <f t="shared" si="1"/>
        <v>800</v>
      </c>
      <c r="G16" s="22">
        <f t="shared" si="2"/>
        <v>1</v>
      </c>
      <c r="H16" s="123" t="s">
        <v>20</v>
      </c>
      <c r="I16" s="126"/>
      <c r="J16" s="130"/>
      <c r="K16" s="31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107">
        <v>14.0</v>
      </c>
      <c r="B17" s="131">
        <v>1014316.0</v>
      </c>
      <c r="C17" s="120" t="str">
        <f>vlookup(B17,'Crew Data'!C:G,5,0)</f>
        <v>Eakapol Tuncharoen</v>
      </c>
      <c r="D17" s="121" t="s">
        <v>354</v>
      </c>
      <c r="E17" s="107">
        <v>2.0</v>
      </c>
      <c r="F17" s="122">
        <f t="shared" si="1"/>
        <v>800</v>
      </c>
      <c r="G17" s="22">
        <f t="shared" si="2"/>
        <v>1</v>
      </c>
      <c r="H17" s="123" t="s">
        <v>20</v>
      </c>
      <c r="I17" s="126"/>
      <c r="J17" s="130"/>
      <c r="K17" s="31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107">
        <v>15.0</v>
      </c>
      <c r="B18" s="131">
        <v>1022719.0</v>
      </c>
      <c r="C18" s="120" t="str">
        <f>vlookup(B18,'Crew Data'!C:G,5,0)</f>
        <v>Ploypapat Ariyakamolrat</v>
      </c>
      <c r="D18" s="121" t="s">
        <v>355</v>
      </c>
      <c r="E18" s="107">
        <v>2.0</v>
      </c>
      <c r="F18" s="122">
        <f t="shared" si="1"/>
        <v>800</v>
      </c>
      <c r="G18" s="22">
        <f t="shared" si="2"/>
        <v>1</v>
      </c>
      <c r="H18" s="123" t="s">
        <v>20</v>
      </c>
      <c r="I18" s="126"/>
      <c r="J18" s="130"/>
      <c r="K18" s="31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107">
        <v>16.0</v>
      </c>
      <c r="B19" s="131">
        <v>1040911.0</v>
      </c>
      <c r="C19" s="120" t="str">
        <f>vlookup(B19,'Crew Data'!C:G,5,0)</f>
        <v>Supanun Suwanbongkot</v>
      </c>
      <c r="D19" s="121" t="s">
        <v>355</v>
      </c>
      <c r="E19" s="107">
        <v>2.0</v>
      </c>
      <c r="F19" s="122">
        <f t="shared" si="1"/>
        <v>800</v>
      </c>
      <c r="G19" s="22">
        <f t="shared" si="2"/>
        <v>1</v>
      </c>
      <c r="H19" s="123" t="s">
        <v>20</v>
      </c>
      <c r="I19" s="126"/>
      <c r="J19" s="130"/>
      <c r="K19" s="31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107">
        <v>17.0</v>
      </c>
      <c r="B20" s="131">
        <v>1022858.0</v>
      </c>
      <c r="C20" s="120" t="str">
        <f>vlookup(B20,'Crew Data'!C:G,5,0)</f>
        <v>Methakarn Ratanamalaya</v>
      </c>
      <c r="D20" s="121" t="s">
        <v>355</v>
      </c>
      <c r="E20" s="107">
        <v>2.0</v>
      </c>
      <c r="F20" s="122">
        <f t="shared" si="1"/>
        <v>800</v>
      </c>
      <c r="G20" s="22">
        <f t="shared" si="2"/>
        <v>1</v>
      </c>
      <c r="H20" s="123" t="s">
        <v>20</v>
      </c>
      <c r="I20" s="126"/>
      <c r="J20" s="130"/>
      <c r="K20" s="31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107">
        <v>18.0</v>
      </c>
      <c r="B21" s="131">
        <v>1025329.0</v>
      </c>
      <c r="C21" s="120" t="str">
        <f>vlookup(B21,'Crew Data'!C:G,5,0)</f>
        <v>Jintana Cheng</v>
      </c>
      <c r="D21" s="121" t="s">
        <v>356</v>
      </c>
      <c r="E21" s="107">
        <v>2.0</v>
      </c>
      <c r="F21" s="122">
        <f t="shared" si="1"/>
        <v>800</v>
      </c>
      <c r="G21" s="22">
        <f t="shared" si="2"/>
        <v>1</v>
      </c>
      <c r="H21" s="123" t="s">
        <v>20</v>
      </c>
      <c r="I21" s="126"/>
      <c r="J21" s="130"/>
      <c r="K21" s="31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>
      <c r="A22" s="107">
        <v>19.0</v>
      </c>
      <c r="B22" s="131">
        <v>1012372.0</v>
      </c>
      <c r="C22" s="120" t="str">
        <f>vlookup(B22,'Crew Data'!C:G,5,0)</f>
        <v>Vinida Ma</v>
      </c>
      <c r="D22" s="121" t="s">
        <v>357</v>
      </c>
      <c r="E22" s="107">
        <v>2.0</v>
      </c>
      <c r="F22" s="122">
        <f t="shared" si="1"/>
        <v>800</v>
      </c>
      <c r="G22" s="22">
        <f t="shared" si="2"/>
        <v>1</v>
      </c>
      <c r="H22" s="123" t="s">
        <v>20</v>
      </c>
      <c r="I22" s="126"/>
      <c r="J22" s="130"/>
      <c r="K22" s="31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>
      <c r="A23" s="107">
        <v>20.0</v>
      </c>
      <c r="B23" s="131">
        <v>1007273.0</v>
      </c>
      <c r="C23" s="120" t="str">
        <f>vlookup(B23,'Crew Data'!C:G,5,0)</f>
        <v>Sarinya Phontong</v>
      </c>
      <c r="D23" s="121" t="s">
        <v>357</v>
      </c>
      <c r="E23" s="107">
        <v>2.0</v>
      </c>
      <c r="F23" s="122">
        <f t="shared" si="1"/>
        <v>800</v>
      </c>
      <c r="G23" s="22">
        <f t="shared" si="2"/>
        <v>1</v>
      </c>
      <c r="H23" s="123" t="s">
        <v>20</v>
      </c>
      <c r="I23" s="126"/>
      <c r="J23" s="130"/>
      <c r="K23" s="31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>
      <c r="A24" s="107">
        <v>21.0</v>
      </c>
      <c r="B24" s="131">
        <v>1012361.0</v>
      </c>
      <c r="C24" s="120" t="str">
        <f>vlookup(B24,'Crew Data'!C:G,5,0)</f>
        <v>Natcha Poopong</v>
      </c>
      <c r="D24" s="121" t="s">
        <v>357</v>
      </c>
      <c r="E24" s="107">
        <v>2.0</v>
      </c>
      <c r="F24" s="122">
        <f t="shared" si="1"/>
        <v>800</v>
      </c>
      <c r="G24" s="22">
        <f t="shared" si="2"/>
        <v>1</v>
      </c>
      <c r="H24" s="123" t="s">
        <v>20</v>
      </c>
      <c r="I24" s="126"/>
      <c r="J24" s="130"/>
      <c r="K24" s="31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>
      <c r="A25" s="107">
        <v>22.0</v>
      </c>
      <c r="B25" s="131">
        <v>1002207.0</v>
      </c>
      <c r="C25" s="120" t="str">
        <f>vlookup(B25,'Crew Data'!C:G,5,0)</f>
        <v>Phakaon Chaiwong</v>
      </c>
      <c r="D25" s="121" t="s">
        <v>353</v>
      </c>
      <c r="E25" s="107">
        <v>2.0</v>
      </c>
      <c r="F25" s="122">
        <f t="shared" si="1"/>
        <v>800</v>
      </c>
      <c r="G25" s="22">
        <f t="shared" si="2"/>
        <v>1</v>
      </c>
      <c r="H25" s="123" t="s">
        <v>20</v>
      </c>
      <c r="I25" s="126"/>
      <c r="J25" s="130"/>
      <c r="K25" s="31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>
      <c r="A26" s="107">
        <v>23.0</v>
      </c>
      <c r="B26" s="131">
        <v>1004569.0</v>
      </c>
      <c r="C26" s="120" t="str">
        <f>vlookup(B26,'Crew Data'!C:G,5,0)</f>
        <v>Chutikul Khruakham</v>
      </c>
      <c r="D26" s="121" t="s">
        <v>351</v>
      </c>
      <c r="E26" s="107">
        <v>2.0</v>
      </c>
      <c r="F26" s="122">
        <f t="shared" si="1"/>
        <v>800</v>
      </c>
      <c r="G26" s="22">
        <f t="shared" si="2"/>
        <v>1</v>
      </c>
      <c r="H26" s="123" t="s">
        <v>20</v>
      </c>
      <c r="I26" s="126"/>
      <c r="J26" s="130"/>
      <c r="K26" s="31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>
      <c r="A27" s="107">
        <v>24.0</v>
      </c>
      <c r="B27" s="133">
        <v>1006052.0</v>
      </c>
      <c r="C27" s="120" t="str">
        <f>vlookup(B27,'Crew Data'!C:G,5,0)</f>
        <v>Ananya Sindhusen</v>
      </c>
      <c r="D27" s="121" t="s">
        <v>358</v>
      </c>
      <c r="E27" s="107">
        <v>2.0</v>
      </c>
      <c r="F27" s="122">
        <f t="shared" si="1"/>
        <v>800</v>
      </c>
      <c r="G27" s="22">
        <f t="shared" si="2"/>
        <v>1</v>
      </c>
      <c r="H27" s="123" t="s">
        <v>20</v>
      </c>
      <c r="I27" s="126"/>
      <c r="J27" s="130"/>
      <c r="K27" s="31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>
      <c r="A28" s="107">
        <v>25.0</v>
      </c>
      <c r="B28" s="131">
        <v>1008754.0</v>
      </c>
      <c r="C28" s="120" t="str">
        <f>vlookup(B28,'Crew Data'!C:G,5,0)</f>
        <v>Pimlapas Tanapatpongsapas</v>
      </c>
      <c r="D28" s="121" t="s">
        <v>359</v>
      </c>
      <c r="E28" s="107">
        <v>2.0</v>
      </c>
      <c r="F28" s="122">
        <f t="shared" si="1"/>
        <v>800</v>
      </c>
      <c r="G28" s="22">
        <f t="shared" si="2"/>
        <v>1</v>
      </c>
      <c r="H28" s="123" t="s">
        <v>20</v>
      </c>
      <c r="I28" s="126"/>
      <c r="J28" s="130"/>
      <c r="K28" s="31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>
      <c r="A29" s="107">
        <v>26.0</v>
      </c>
      <c r="B29" s="134">
        <v>1008956.0</v>
      </c>
      <c r="C29" s="120" t="str">
        <f>vlookup(B29,'Crew Data'!C:G,5,0)</f>
        <v>Duangkamon Thongfuang</v>
      </c>
      <c r="D29" s="121" t="s">
        <v>356</v>
      </c>
      <c r="E29" s="107">
        <v>2.0</v>
      </c>
      <c r="F29" s="122">
        <f t="shared" si="1"/>
        <v>800</v>
      </c>
      <c r="G29" s="22">
        <f t="shared" si="2"/>
        <v>1</v>
      </c>
      <c r="H29" s="123" t="s">
        <v>20</v>
      </c>
      <c r="I29" s="126"/>
      <c r="J29" s="130"/>
      <c r="K29" s="31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>
      <c r="A30" s="107">
        <v>27.0</v>
      </c>
      <c r="B30" s="134">
        <v>1015394.0</v>
      </c>
      <c r="C30" s="120" t="str">
        <f>vlookup(B30,'Crew Data'!C:G,5,0)</f>
        <v>Kawin Panpipat</v>
      </c>
      <c r="D30" s="121" t="s">
        <v>359</v>
      </c>
      <c r="E30" s="107">
        <v>2.0</v>
      </c>
      <c r="F30" s="122">
        <f t="shared" si="1"/>
        <v>800</v>
      </c>
      <c r="G30" s="22">
        <f t="shared" si="2"/>
        <v>1</v>
      </c>
      <c r="H30" s="123" t="s">
        <v>20</v>
      </c>
      <c r="I30" s="126"/>
      <c r="J30" s="130"/>
      <c r="K30" s="31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>
      <c r="A31" s="107">
        <v>28.0</v>
      </c>
      <c r="B31" s="134">
        <v>1009757.0</v>
      </c>
      <c r="C31" s="120" t="str">
        <f>vlookup(B31,'Crew Data'!C:G,5,0)</f>
        <v>Pattrawan Wongchirawat</v>
      </c>
      <c r="D31" s="121" t="s">
        <v>360</v>
      </c>
      <c r="E31" s="107">
        <v>27.0</v>
      </c>
      <c r="F31" s="122">
        <f t="shared" si="1"/>
        <v>10800</v>
      </c>
      <c r="G31" s="22">
        <f t="shared" si="2"/>
        <v>1</v>
      </c>
      <c r="H31" s="123" t="s">
        <v>20</v>
      </c>
      <c r="I31" s="126"/>
      <c r="J31" s="130"/>
      <c r="K31" s="31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>
      <c r="A32" s="107">
        <v>29.0</v>
      </c>
      <c r="B32" s="131">
        <v>1013185.0</v>
      </c>
      <c r="C32" s="120" t="str">
        <f>vlookup(B32,'Crew Data'!C:G,5,0)</f>
        <v>Pongsak Sangdee</v>
      </c>
      <c r="D32" s="121" t="s">
        <v>361</v>
      </c>
      <c r="E32" s="107">
        <v>4.0</v>
      </c>
      <c r="F32" s="122">
        <f t="shared" si="1"/>
        <v>1600</v>
      </c>
      <c r="G32" s="22">
        <f t="shared" si="2"/>
        <v>1</v>
      </c>
      <c r="H32" s="123" t="s">
        <v>20</v>
      </c>
      <c r="I32" s="126"/>
      <c r="J32" s="130"/>
      <c r="K32" s="31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>
      <c r="A33" s="107">
        <v>30.0</v>
      </c>
      <c r="B33" s="131">
        <v>1011741.0</v>
      </c>
      <c r="C33" s="120" t="str">
        <f>vlookup(B33,'Crew Data'!C:G,5,0)</f>
        <v>Naphak Aussanon</v>
      </c>
      <c r="D33" s="121" t="s">
        <v>356</v>
      </c>
      <c r="E33" s="107">
        <v>2.0</v>
      </c>
      <c r="F33" s="122">
        <f t="shared" si="1"/>
        <v>800</v>
      </c>
      <c r="G33" s="22">
        <f t="shared" si="2"/>
        <v>1</v>
      </c>
      <c r="H33" s="123" t="s">
        <v>20</v>
      </c>
      <c r="I33" s="126"/>
      <c r="J33" s="130"/>
      <c r="K33" s="31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>
      <c r="A34" s="107">
        <v>31.0</v>
      </c>
      <c r="B34" s="131">
        <v>1009131.0</v>
      </c>
      <c r="C34" s="120" t="str">
        <f>vlookup(B34,'Crew Data'!C:G,5,0)</f>
        <v>Burin Wongdithai</v>
      </c>
      <c r="D34" s="121" t="s">
        <v>354</v>
      </c>
      <c r="E34" s="107">
        <v>2.0</v>
      </c>
      <c r="F34" s="122">
        <f t="shared" si="1"/>
        <v>800</v>
      </c>
      <c r="G34" s="22">
        <f t="shared" si="2"/>
        <v>1</v>
      </c>
      <c r="H34" s="123" t="s">
        <v>20</v>
      </c>
      <c r="I34" s="126"/>
      <c r="J34" s="130"/>
      <c r="K34" s="31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>
      <c r="A35" s="107">
        <v>32.0</v>
      </c>
      <c r="B35" s="131">
        <v>1025186.0</v>
      </c>
      <c r="C35" s="120" t="str">
        <f>vlookup(B35,'Crew Data'!C:G,5,0)</f>
        <v>Pawaran Modsuwan</v>
      </c>
      <c r="D35" s="121" t="s">
        <v>362</v>
      </c>
      <c r="E35" s="107">
        <v>2.0</v>
      </c>
      <c r="F35" s="122">
        <f t="shared" si="1"/>
        <v>800</v>
      </c>
      <c r="G35" s="22">
        <f t="shared" si="2"/>
        <v>1</v>
      </c>
      <c r="H35" s="123" t="s">
        <v>20</v>
      </c>
      <c r="I35" s="126"/>
      <c r="J35" s="130"/>
      <c r="K35" s="31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>
      <c r="A36" s="107">
        <v>33.0</v>
      </c>
      <c r="B36" s="131">
        <v>1013173.0</v>
      </c>
      <c r="C36" s="120" t="str">
        <f>vlookup(B36,'Crew Data'!C:G,5,0)</f>
        <v>Juthatip Narin</v>
      </c>
      <c r="D36" s="121" t="s">
        <v>363</v>
      </c>
      <c r="E36" s="107">
        <v>30.0</v>
      </c>
      <c r="F36" s="122">
        <f t="shared" si="1"/>
        <v>12000</v>
      </c>
      <c r="G36" s="22">
        <f t="shared" si="2"/>
        <v>1</v>
      </c>
      <c r="H36" s="123" t="s">
        <v>20</v>
      </c>
      <c r="I36" s="126"/>
      <c r="J36" s="130"/>
      <c r="K36" s="31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>
      <c r="A37" s="107">
        <v>34.0</v>
      </c>
      <c r="B37" s="131">
        <v>1007279.0</v>
      </c>
      <c r="C37" s="120" t="str">
        <f>vlookup(B37,'Crew Data'!C:G,5,0)</f>
        <v>Tulaya Arayapisutigoon</v>
      </c>
      <c r="D37" s="121" t="s">
        <v>364</v>
      </c>
      <c r="E37" s="107">
        <v>26.0</v>
      </c>
      <c r="F37" s="122">
        <f t="shared" si="1"/>
        <v>10400</v>
      </c>
      <c r="G37" s="22">
        <f t="shared" si="2"/>
        <v>1</v>
      </c>
      <c r="H37" s="123" t="s">
        <v>20</v>
      </c>
      <c r="I37" s="126"/>
      <c r="J37" s="130"/>
      <c r="K37" s="31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>
      <c r="A38" s="107">
        <v>35.0</v>
      </c>
      <c r="B38" s="131">
        <v>1013186.0</v>
      </c>
      <c r="C38" s="120" t="str">
        <f>vlookup(B38,'Crew Data'!C:G,5,0)</f>
        <v>Pornthiwa Promthong</v>
      </c>
      <c r="D38" s="121" t="s">
        <v>365</v>
      </c>
      <c r="E38" s="107">
        <v>30.0</v>
      </c>
      <c r="F38" s="122">
        <f t="shared" si="1"/>
        <v>12000</v>
      </c>
      <c r="G38" s="22">
        <f t="shared" si="2"/>
        <v>1</v>
      </c>
      <c r="H38" s="123" t="s">
        <v>20</v>
      </c>
      <c r="I38" s="126"/>
      <c r="J38" s="130"/>
      <c r="K38" s="31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>
      <c r="A39" s="107">
        <v>36.0</v>
      </c>
      <c r="B39" s="131">
        <v>1007007.0</v>
      </c>
      <c r="C39" s="120" t="str">
        <f>vlookup(B39,'Crew Data'!C:G,5,0)</f>
        <v>Aram Nukulpakdee</v>
      </c>
      <c r="D39" s="121" t="s">
        <v>366</v>
      </c>
      <c r="E39" s="107">
        <v>31.0</v>
      </c>
      <c r="F39" s="122">
        <f t="shared" si="1"/>
        <v>12400</v>
      </c>
      <c r="G39" s="22">
        <f t="shared" si="2"/>
        <v>1</v>
      </c>
      <c r="H39" s="123" t="s">
        <v>20</v>
      </c>
      <c r="I39" s="126"/>
      <c r="J39" s="130"/>
      <c r="K39" s="31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>
      <c r="A40" s="107">
        <v>37.0</v>
      </c>
      <c r="B40" s="131">
        <v>1003047.0</v>
      </c>
      <c r="C40" s="120" t="str">
        <f>vlookup(B40,'Crew Data'!C:G,5,0)</f>
        <v>Mananpat Dechanoppawit</v>
      </c>
      <c r="D40" s="121" t="s">
        <v>362</v>
      </c>
      <c r="E40" s="107">
        <v>2.0</v>
      </c>
      <c r="F40" s="122">
        <f t="shared" si="1"/>
        <v>800</v>
      </c>
      <c r="G40" s="22">
        <f t="shared" si="2"/>
        <v>1</v>
      </c>
      <c r="H40" s="123" t="s">
        <v>20</v>
      </c>
      <c r="I40" s="126"/>
      <c r="J40" s="130"/>
      <c r="K40" s="31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>
      <c r="A41" s="107"/>
      <c r="B41" s="131"/>
      <c r="C41" s="120"/>
      <c r="D41" s="121"/>
      <c r="E41" s="107"/>
      <c r="F41" s="122"/>
      <c r="G41" s="22"/>
      <c r="H41" s="123"/>
      <c r="I41" s="126"/>
      <c r="J41" s="130"/>
      <c r="K41" s="31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>
      <c r="A42" s="107"/>
      <c r="B42" s="131"/>
      <c r="C42" s="120"/>
      <c r="D42" s="121"/>
      <c r="E42" s="107"/>
      <c r="F42" s="122"/>
      <c r="G42" s="22"/>
      <c r="H42" s="123"/>
      <c r="I42" s="126"/>
      <c r="J42" s="130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>
      <c r="A43" s="107"/>
      <c r="B43" s="131"/>
      <c r="C43" s="120"/>
      <c r="D43" s="121"/>
      <c r="E43" s="107"/>
      <c r="F43" s="122"/>
      <c r="G43" s="22"/>
      <c r="H43" s="123"/>
      <c r="I43" s="126"/>
      <c r="J43" s="130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>
      <c r="A44" s="107"/>
      <c r="B44" s="131"/>
      <c r="C44" s="120"/>
      <c r="D44" s="121"/>
      <c r="E44" s="107"/>
      <c r="F44" s="122"/>
      <c r="G44" s="22"/>
      <c r="H44" s="123"/>
      <c r="I44" s="126"/>
      <c r="J44" s="130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>
      <c r="A45" s="107"/>
      <c r="B45" s="131"/>
      <c r="C45" s="120"/>
      <c r="D45" s="121"/>
      <c r="E45" s="107"/>
      <c r="F45" s="122"/>
      <c r="G45" s="22"/>
      <c r="H45" s="123"/>
      <c r="I45" s="126"/>
      <c r="J45" s="130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>
      <c r="A46" s="107"/>
      <c r="B46" s="131"/>
      <c r="C46" s="120"/>
      <c r="D46" s="121"/>
      <c r="E46" s="107"/>
      <c r="F46" s="122"/>
      <c r="G46" s="22"/>
      <c r="H46" s="123"/>
      <c r="I46" s="126"/>
      <c r="J46" s="130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>
      <c r="A47" s="107"/>
      <c r="B47" s="131"/>
      <c r="C47" s="120"/>
      <c r="D47" s="121"/>
      <c r="E47" s="107"/>
      <c r="F47" s="122"/>
      <c r="G47" s="22"/>
      <c r="H47" s="123"/>
      <c r="I47" s="126"/>
      <c r="J47" s="130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>
      <c r="A48" s="107"/>
      <c r="B48" s="131"/>
      <c r="C48" s="120"/>
      <c r="D48" s="121"/>
      <c r="E48" s="107"/>
      <c r="F48" s="122"/>
      <c r="G48" s="22"/>
      <c r="H48" s="123"/>
      <c r="I48" s="126"/>
      <c r="J48" s="130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>
      <c r="A49" s="107"/>
      <c r="B49" s="131"/>
      <c r="C49" s="120"/>
      <c r="D49" s="121"/>
      <c r="E49" s="107"/>
      <c r="F49" s="122"/>
      <c r="G49" s="22"/>
      <c r="H49" s="123"/>
      <c r="I49" s="126"/>
      <c r="J49" s="130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>
      <c r="A50" s="107"/>
      <c r="B50" s="131"/>
      <c r="C50" s="120"/>
      <c r="D50" s="121"/>
      <c r="E50" s="107"/>
      <c r="F50" s="122"/>
      <c r="G50" s="22"/>
      <c r="H50" s="123"/>
      <c r="I50" s="126"/>
      <c r="J50" s="130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>
      <c r="A51" s="107"/>
      <c r="B51" s="131"/>
      <c r="C51" s="120"/>
      <c r="D51" s="121"/>
      <c r="E51" s="107"/>
      <c r="F51" s="122"/>
      <c r="G51" s="22"/>
      <c r="H51" s="123"/>
      <c r="I51" s="126"/>
      <c r="J51" s="130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>
      <c r="A52" s="107"/>
      <c r="B52" s="131"/>
      <c r="C52" s="120"/>
      <c r="D52" s="121"/>
      <c r="E52" s="107"/>
      <c r="F52" s="122"/>
      <c r="G52" s="22"/>
      <c r="H52" s="123"/>
      <c r="I52" s="126"/>
      <c r="J52" s="130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>
      <c r="A53" s="107"/>
      <c r="B53" s="131"/>
      <c r="C53" s="120"/>
      <c r="D53" s="121"/>
      <c r="E53" s="107"/>
      <c r="F53" s="122"/>
      <c r="G53" s="22"/>
      <c r="H53" s="123"/>
      <c r="I53" s="126"/>
      <c r="J53" s="130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>
      <c r="A54" s="107"/>
      <c r="B54" s="131"/>
      <c r="C54" s="120"/>
      <c r="D54" s="121"/>
      <c r="E54" s="107"/>
      <c r="F54" s="122"/>
      <c r="G54" s="22"/>
      <c r="H54" s="123"/>
      <c r="I54" s="126"/>
      <c r="J54" s="130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>
      <c r="A55" s="107"/>
      <c r="B55" s="131"/>
      <c r="C55" s="120"/>
      <c r="D55" s="121"/>
      <c r="E55" s="107"/>
      <c r="F55" s="122"/>
      <c r="G55" s="22"/>
      <c r="H55" s="123"/>
      <c r="I55" s="126"/>
      <c r="J55" s="130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>
      <c r="A56" s="107"/>
      <c r="B56" s="131"/>
      <c r="C56" s="120"/>
      <c r="D56" s="121"/>
      <c r="E56" s="107"/>
      <c r="F56" s="122"/>
      <c r="G56" s="22"/>
      <c r="H56" s="123"/>
      <c r="I56" s="126"/>
      <c r="J56" s="130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>
      <c r="A57" s="107"/>
      <c r="B57" s="131"/>
      <c r="C57" s="120"/>
      <c r="D57" s="121"/>
      <c r="E57" s="107"/>
      <c r="F57" s="122"/>
      <c r="G57" s="22"/>
      <c r="H57" s="123"/>
      <c r="I57" s="126"/>
      <c r="J57" s="130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>
      <c r="A58" s="107"/>
      <c r="B58" s="131"/>
      <c r="C58" s="120"/>
      <c r="D58" s="121"/>
      <c r="E58" s="107"/>
      <c r="F58" s="122"/>
      <c r="G58" s="22"/>
      <c r="H58" s="123"/>
      <c r="I58" s="126"/>
      <c r="J58" s="130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>
      <c r="A59" s="107"/>
      <c r="B59" s="131"/>
      <c r="C59" s="120"/>
      <c r="D59" s="121"/>
      <c r="E59" s="107"/>
      <c r="F59" s="122"/>
      <c r="G59" s="22"/>
      <c r="H59" s="123"/>
      <c r="I59" s="126"/>
      <c r="J59" s="130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>
      <c r="A60" s="107"/>
      <c r="B60" s="131"/>
      <c r="C60" s="120"/>
      <c r="D60" s="121"/>
      <c r="E60" s="107"/>
      <c r="F60" s="122"/>
      <c r="G60" s="22"/>
      <c r="H60" s="123"/>
      <c r="I60" s="126"/>
      <c r="J60" s="130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>
      <c r="A61" s="107"/>
      <c r="B61" s="131"/>
      <c r="C61" s="120"/>
      <c r="D61" s="121"/>
      <c r="E61" s="107"/>
      <c r="F61" s="122"/>
      <c r="G61" s="22"/>
      <c r="H61" s="123"/>
      <c r="I61" s="126"/>
      <c r="J61" s="130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>
      <c r="A62" s="107"/>
      <c r="B62" s="131"/>
      <c r="C62" s="120"/>
      <c r="D62" s="121"/>
      <c r="E62" s="107"/>
      <c r="F62" s="122"/>
      <c r="G62" s="22"/>
      <c r="H62" s="123"/>
      <c r="I62" s="126"/>
      <c r="J62" s="130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>
      <c r="A63" s="107"/>
      <c r="B63" s="131"/>
      <c r="C63" s="120"/>
      <c r="D63" s="121"/>
      <c r="E63" s="107"/>
      <c r="F63" s="122"/>
      <c r="G63" s="22"/>
      <c r="H63" s="123"/>
      <c r="I63" s="126"/>
      <c r="J63" s="130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>
      <c r="A64" s="107"/>
      <c r="B64" s="131"/>
      <c r="C64" s="120"/>
      <c r="D64" s="121"/>
      <c r="E64" s="107"/>
      <c r="F64" s="122"/>
      <c r="G64" s="22"/>
      <c r="H64" s="123"/>
      <c r="I64" s="126"/>
      <c r="J64" s="130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>
      <c r="A65" s="107"/>
      <c r="B65" s="131"/>
      <c r="C65" s="120"/>
      <c r="D65" s="121"/>
      <c r="E65" s="107"/>
      <c r="F65" s="122"/>
      <c r="G65" s="22"/>
      <c r="H65" s="123"/>
      <c r="I65" s="126"/>
      <c r="J65" s="130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>
      <c r="A66" s="107"/>
      <c r="B66" s="131"/>
      <c r="C66" s="120"/>
      <c r="D66" s="121"/>
      <c r="E66" s="107"/>
      <c r="F66" s="122"/>
      <c r="G66" s="22"/>
      <c r="H66" s="123"/>
      <c r="I66" s="126"/>
      <c r="J66" s="130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>
      <c r="A67" s="107"/>
      <c r="B67" s="131"/>
      <c r="C67" s="120"/>
      <c r="D67" s="121"/>
      <c r="E67" s="107"/>
      <c r="F67" s="122"/>
      <c r="G67" s="22"/>
      <c r="H67" s="123"/>
      <c r="I67" s="126"/>
      <c r="J67" s="130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>
      <c r="A68" s="107"/>
      <c r="B68" s="131"/>
      <c r="C68" s="120"/>
      <c r="D68" s="121"/>
      <c r="E68" s="107"/>
      <c r="F68" s="122"/>
      <c r="G68" s="22"/>
      <c r="H68" s="123"/>
      <c r="I68" s="126"/>
      <c r="J68" s="130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>
      <c r="A69" s="107"/>
      <c r="B69" s="131"/>
      <c r="C69" s="120"/>
      <c r="D69" s="121"/>
      <c r="E69" s="107"/>
      <c r="F69" s="122"/>
      <c r="G69" s="22"/>
      <c r="H69" s="123"/>
      <c r="I69" s="126"/>
      <c r="J69" s="130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>
      <c r="A70" s="107"/>
      <c r="B70" s="131"/>
      <c r="C70" s="120"/>
      <c r="D70" s="121"/>
      <c r="E70" s="107"/>
      <c r="F70" s="122"/>
      <c r="G70" s="22"/>
      <c r="H70" s="123"/>
      <c r="I70" s="126"/>
      <c r="J70" s="130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>
      <c r="A71" s="107"/>
      <c r="B71" s="131"/>
      <c r="C71" s="120"/>
      <c r="D71" s="121"/>
      <c r="E71" s="107"/>
      <c r="F71" s="122"/>
      <c r="G71" s="22"/>
      <c r="H71" s="123"/>
      <c r="I71" s="126"/>
      <c r="J71" s="130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>
      <c r="A72" s="107"/>
      <c r="B72" s="131"/>
      <c r="C72" s="120"/>
      <c r="D72" s="121"/>
      <c r="E72" s="107"/>
      <c r="F72" s="122"/>
      <c r="G72" s="22"/>
      <c r="H72" s="123"/>
      <c r="I72" s="126"/>
      <c r="J72" s="130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>
      <c r="A73" s="107"/>
      <c r="B73" s="131"/>
      <c r="C73" s="120"/>
      <c r="D73" s="121"/>
      <c r="E73" s="107"/>
      <c r="F73" s="122"/>
      <c r="G73" s="22"/>
      <c r="H73" s="123"/>
      <c r="I73" s="126"/>
      <c r="J73" s="130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>
      <c r="A74" s="107"/>
      <c r="B74" s="131"/>
      <c r="C74" s="120"/>
      <c r="D74" s="121"/>
      <c r="E74" s="107"/>
      <c r="F74" s="122"/>
      <c r="G74" s="22"/>
      <c r="H74" s="123"/>
      <c r="I74" s="126"/>
      <c r="J74" s="130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>
      <c r="A75" s="107"/>
      <c r="B75" s="131"/>
      <c r="C75" s="120"/>
      <c r="D75" s="121"/>
      <c r="E75" s="107"/>
      <c r="F75" s="122"/>
      <c r="G75" s="22"/>
      <c r="H75" s="123"/>
      <c r="I75" s="126"/>
      <c r="J75" s="130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>
      <c r="A76" s="107"/>
      <c r="B76" s="131"/>
      <c r="C76" s="120"/>
      <c r="D76" s="121"/>
      <c r="E76" s="107"/>
      <c r="F76" s="122"/>
      <c r="G76" s="22"/>
      <c r="H76" s="123"/>
      <c r="I76" s="126"/>
      <c r="J76" s="130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>
      <c r="A77" s="107"/>
      <c r="B77" s="131"/>
      <c r="C77" s="120"/>
      <c r="D77" s="121"/>
      <c r="E77" s="107"/>
      <c r="F77" s="122"/>
      <c r="G77" s="22"/>
      <c r="H77" s="123"/>
      <c r="I77" s="126"/>
      <c r="J77" s="130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>
      <c r="A78" s="107"/>
      <c r="B78" s="131"/>
      <c r="C78" s="120"/>
      <c r="D78" s="121"/>
      <c r="E78" s="107"/>
      <c r="F78" s="122"/>
      <c r="G78" s="22"/>
      <c r="H78" s="123"/>
      <c r="I78" s="126"/>
      <c r="J78" s="130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>
      <c r="A79" s="107"/>
      <c r="B79" s="131"/>
      <c r="C79" s="120"/>
      <c r="D79" s="121"/>
      <c r="E79" s="107"/>
      <c r="F79" s="122"/>
      <c r="G79" s="22"/>
      <c r="H79" s="123"/>
      <c r="I79" s="126"/>
      <c r="J79" s="130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>
      <c r="A80" s="107"/>
      <c r="B80" s="131"/>
      <c r="C80" s="120"/>
      <c r="D80" s="121"/>
      <c r="E80" s="107"/>
      <c r="F80" s="122"/>
      <c r="G80" s="22"/>
      <c r="H80" s="123"/>
      <c r="I80" s="126"/>
      <c r="J80" s="130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>
      <c r="A81" s="107"/>
      <c r="B81" s="131"/>
      <c r="C81" s="120"/>
      <c r="D81" s="121"/>
      <c r="E81" s="107"/>
      <c r="F81" s="122"/>
      <c r="G81" s="22"/>
      <c r="H81" s="123"/>
      <c r="I81" s="126"/>
      <c r="J81" s="130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>
      <c r="A82" s="107"/>
      <c r="B82" s="131"/>
      <c r="C82" s="120"/>
      <c r="D82" s="121"/>
      <c r="E82" s="107"/>
      <c r="F82" s="122"/>
      <c r="G82" s="22"/>
      <c r="H82" s="123"/>
      <c r="I82" s="126"/>
      <c r="J82" s="130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>
      <c r="A83" s="107"/>
      <c r="B83" s="131"/>
      <c r="C83" s="120"/>
      <c r="D83" s="121"/>
      <c r="E83" s="107"/>
      <c r="F83" s="122"/>
      <c r="G83" s="22"/>
      <c r="H83" s="123"/>
      <c r="I83" s="126"/>
      <c r="J83" s="130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>
      <c r="A84" s="107"/>
      <c r="B84" s="131"/>
      <c r="C84" s="120"/>
      <c r="D84" s="121"/>
      <c r="E84" s="107"/>
      <c r="F84" s="122"/>
      <c r="G84" s="22"/>
      <c r="H84" s="123"/>
      <c r="I84" s="126"/>
      <c r="J84" s="130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>
      <c r="A85" s="107"/>
      <c r="B85" s="131"/>
      <c r="C85" s="120"/>
      <c r="D85" s="121"/>
      <c r="E85" s="107"/>
      <c r="F85" s="122"/>
      <c r="G85" s="22"/>
      <c r="H85" s="123"/>
      <c r="I85" s="126"/>
      <c r="J85" s="130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>
      <c r="A86" s="107"/>
      <c r="B86" s="131"/>
      <c r="C86" s="120"/>
      <c r="D86" s="121"/>
      <c r="E86" s="107"/>
      <c r="F86" s="122"/>
      <c r="G86" s="22"/>
      <c r="H86" s="123"/>
      <c r="I86" s="126"/>
      <c r="J86" s="130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>
      <c r="A87" s="107"/>
      <c r="B87" s="131"/>
      <c r="C87" s="120"/>
      <c r="D87" s="121"/>
      <c r="E87" s="107"/>
      <c r="F87" s="122"/>
      <c r="G87" s="22"/>
      <c r="H87" s="123"/>
      <c r="I87" s="126"/>
      <c r="J87" s="130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>
      <c r="A88" s="107"/>
      <c r="B88" s="131"/>
      <c r="C88" s="120"/>
      <c r="D88" s="121"/>
      <c r="E88" s="107"/>
      <c r="F88" s="122"/>
      <c r="G88" s="22"/>
      <c r="H88" s="123"/>
      <c r="I88" s="126"/>
      <c r="J88" s="130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>
      <c r="A89" s="107"/>
      <c r="B89" s="131"/>
      <c r="C89" s="120"/>
      <c r="D89" s="121"/>
      <c r="E89" s="107"/>
      <c r="F89" s="122"/>
      <c r="G89" s="22"/>
      <c r="H89" s="123"/>
      <c r="I89" s="126"/>
      <c r="J89" s="130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>
      <c r="A90" s="107"/>
      <c r="B90" s="131"/>
      <c r="C90" s="120"/>
      <c r="D90" s="121"/>
      <c r="E90" s="107"/>
      <c r="F90" s="122"/>
      <c r="G90" s="22"/>
      <c r="H90" s="123"/>
      <c r="I90" s="126"/>
      <c r="J90" s="130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>
      <c r="A91" s="107"/>
      <c r="B91" s="131"/>
      <c r="C91" s="120"/>
      <c r="D91" s="121"/>
      <c r="E91" s="107"/>
      <c r="F91" s="122"/>
      <c r="G91" s="22"/>
      <c r="H91" s="123"/>
      <c r="I91" s="126"/>
      <c r="J91" s="130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>
      <c r="A92" s="107"/>
      <c r="B92" s="131"/>
      <c r="C92" s="120"/>
      <c r="D92" s="121"/>
      <c r="E92" s="107"/>
      <c r="F92" s="122"/>
      <c r="G92" s="22"/>
      <c r="H92" s="123"/>
      <c r="I92" s="126"/>
      <c r="J92" s="130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>
      <c r="A93" s="107"/>
      <c r="B93" s="131"/>
      <c r="C93" s="120"/>
      <c r="D93" s="121"/>
      <c r="E93" s="107"/>
      <c r="F93" s="122"/>
      <c r="G93" s="22"/>
      <c r="H93" s="123"/>
      <c r="I93" s="126"/>
      <c r="J93" s="130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>
      <c r="A94" s="107"/>
      <c r="B94" s="131"/>
      <c r="C94" s="120"/>
      <c r="D94" s="121"/>
      <c r="E94" s="107"/>
      <c r="F94" s="122"/>
      <c r="G94" s="22"/>
      <c r="H94" s="123"/>
      <c r="I94" s="126"/>
      <c r="J94" s="130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>
      <c r="A95" s="107"/>
      <c r="B95" s="131"/>
      <c r="C95" s="120"/>
      <c r="D95" s="121"/>
      <c r="E95" s="107"/>
      <c r="F95" s="122"/>
      <c r="G95" s="22"/>
      <c r="H95" s="123"/>
      <c r="I95" s="126"/>
      <c r="J95" s="130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>
      <c r="A96" s="107"/>
      <c r="B96" s="131"/>
      <c r="C96" s="120"/>
      <c r="D96" s="121"/>
      <c r="E96" s="107"/>
      <c r="F96" s="122"/>
      <c r="G96" s="22"/>
      <c r="H96" s="123"/>
      <c r="I96" s="126"/>
      <c r="J96" s="130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>
      <c r="A97" s="107"/>
      <c r="B97" s="131"/>
      <c r="C97" s="120"/>
      <c r="D97" s="121"/>
      <c r="E97" s="107"/>
      <c r="F97" s="122"/>
      <c r="G97" s="22"/>
      <c r="H97" s="123"/>
      <c r="I97" s="126"/>
      <c r="J97" s="130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>
      <c r="A98" s="107"/>
      <c r="B98" s="131"/>
      <c r="C98" s="120"/>
      <c r="D98" s="121"/>
      <c r="E98" s="107"/>
      <c r="F98" s="122"/>
      <c r="G98" s="22"/>
      <c r="H98" s="123"/>
      <c r="I98" s="126"/>
      <c r="J98" s="130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>
      <c r="A99" s="107"/>
      <c r="B99" s="131"/>
      <c r="C99" s="120"/>
      <c r="D99" s="121"/>
      <c r="E99" s="107"/>
      <c r="F99" s="122"/>
      <c r="G99" s="22"/>
      <c r="H99" s="123"/>
      <c r="I99" s="126"/>
      <c r="J99" s="130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>
      <c r="A100" s="107"/>
      <c r="B100" s="131"/>
      <c r="C100" s="120"/>
      <c r="D100" s="121"/>
      <c r="E100" s="107"/>
      <c r="F100" s="122"/>
      <c r="G100" s="22"/>
      <c r="H100" s="123"/>
      <c r="I100" s="126"/>
      <c r="J100" s="130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>
      <c r="A101" s="107"/>
      <c r="B101" s="131"/>
      <c r="C101" s="120"/>
      <c r="D101" s="121"/>
      <c r="E101" s="107"/>
      <c r="F101" s="122"/>
      <c r="G101" s="22"/>
      <c r="H101" s="123"/>
      <c r="I101" s="126"/>
      <c r="J101" s="130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>
      <c r="A102" s="107"/>
      <c r="B102" s="131"/>
      <c r="C102" s="120"/>
      <c r="D102" s="121"/>
      <c r="E102" s="107"/>
      <c r="F102" s="122"/>
      <c r="G102" s="22"/>
      <c r="H102" s="123"/>
      <c r="I102" s="126"/>
      <c r="J102" s="130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>
      <c r="A103" s="107"/>
      <c r="B103" s="131"/>
      <c r="C103" s="120"/>
      <c r="D103" s="121"/>
      <c r="E103" s="107"/>
      <c r="F103" s="122"/>
      <c r="G103" s="22"/>
      <c r="H103" s="123"/>
      <c r="I103" s="126"/>
      <c r="J103" s="130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>
      <c r="A104" s="107"/>
      <c r="B104" s="131"/>
      <c r="C104" s="120"/>
      <c r="D104" s="121"/>
      <c r="E104" s="107"/>
      <c r="F104" s="122"/>
      <c r="G104" s="22"/>
      <c r="H104" s="123"/>
      <c r="I104" s="126"/>
      <c r="J104" s="130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>
      <c r="A105" s="107"/>
      <c r="B105" s="131"/>
      <c r="C105" s="120"/>
      <c r="D105" s="121"/>
      <c r="E105" s="107"/>
      <c r="F105" s="122"/>
      <c r="G105" s="22"/>
      <c r="H105" s="123"/>
      <c r="I105" s="126"/>
      <c r="J105" s="130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>
      <c r="A106" s="107"/>
      <c r="B106" s="131"/>
      <c r="C106" s="120"/>
      <c r="D106" s="121"/>
      <c r="E106" s="107"/>
      <c r="F106" s="122"/>
      <c r="G106" s="22"/>
      <c r="H106" s="123"/>
      <c r="I106" s="126"/>
      <c r="J106" s="130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>
      <c r="A107" s="107"/>
      <c r="B107" s="131"/>
      <c r="C107" s="120"/>
      <c r="D107" s="121"/>
      <c r="E107" s="107"/>
      <c r="F107" s="122"/>
      <c r="G107" s="22"/>
      <c r="H107" s="123"/>
      <c r="I107" s="126"/>
      <c r="J107" s="130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>
      <c r="A108" s="107"/>
      <c r="B108" s="131"/>
      <c r="C108" s="120"/>
      <c r="D108" s="121"/>
      <c r="E108" s="107"/>
      <c r="F108" s="122"/>
      <c r="G108" s="22"/>
      <c r="H108" s="123"/>
      <c r="I108" s="126"/>
      <c r="J108" s="130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>
      <c r="A109" s="107"/>
      <c r="B109" s="131"/>
      <c r="C109" s="120"/>
      <c r="D109" s="121"/>
      <c r="E109" s="107"/>
      <c r="F109" s="122"/>
      <c r="G109" s="22"/>
      <c r="H109" s="123"/>
      <c r="I109" s="126"/>
      <c r="J109" s="130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>
      <c r="A110" s="107"/>
      <c r="B110" s="131"/>
      <c r="C110" s="120"/>
      <c r="D110" s="121"/>
      <c r="E110" s="107"/>
      <c r="F110" s="122"/>
      <c r="G110" s="22"/>
      <c r="H110" s="123"/>
      <c r="I110" s="126"/>
      <c r="J110" s="130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>
      <c r="A111" s="107"/>
      <c r="B111" s="131"/>
      <c r="C111" s="120"/>
      <c r="D111" s="121"/>
      <c r="E111" s="107"/>
      <c r="F111" s="122"/>
      <c r="G111" s="22"/>
      <c r="H111" s="123"/>
      <c r="I111" s="126"/>
      <c r="J111" s="130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>
      <c r="A112" s="107"/>
      <c r="B112" s="131"/>
      <c r="C112" s="120"/>
      <c r="D112" s="121"/>
      <c r="E112" s="107"/>
      <c r="F112" s="122"/>
      <c r="G112" s="22"/>
      <c r="H112" s="123"/>
      <c r="I112" s="126"/>
      <c r="J112" s="130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>
      <c r="A113" s="107"/>
      <c r="B113" s="131"/>
      <c r="C113" s="120"/>
      <c r="D113" s="121"/>
      <c r="E113" s="107"/>
      <c r="F113" s="122"/>
      <c r="G113" s="22"/>
      <c r="H113" s="123"/>
      <c r="I113" s="126"/>
      <c r="J113" s="130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>
      <c r="A114" s="107"/>
      <c r="B114" s="131"/>
      <c r="C114" s="120"/>
      <c r="D114" s="121"/>
      <c r="E114" s="107"/>
      <c r="F114" s="122"/>
      <c r="G114" s="22"/>
      <c r="H114" s="123"/>
      <c r="I114" s="126"/>
      <c r="J114" s="130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>
      <c r="A115" s="107"/>
      <c r="B115" s="131"/>
      <c r="C115" s="120"/>
      <c r="D115" s="121"/>
      <c r="E115" s="107"/>
      <c r="F115" s="122"/>
      <c r="G115" s="22"/>
      <c r="H115" s="123"/>
      <c r="I115" s="126"/>
      <c r="J115" s="130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>
      <c r="A116" s="107"/>
      <c r="B116" s="131"/>
      <c r="C116" s="120"/>
      <c r="D116" s="121"/>
      <c r="E116" s="107"/>
      <c r="F116" s="122"/>
      <c r="G116" s="22"/>
      <c r="H116" s="123"/>
      <c r="I116" s="126"/>
      <c r="J116" s="130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>
      <c r="A117" s="107"/>
      <c r="B117" s="131"/>
      <c r="C117" s="120"/>
      <c r="D117" s="121"/>
      <c r="E117" s="107"/>
      <c r="F117" s="122"/>
      <c r="G117" s="22"/>
      <c r="H117" s="123"/>
      <c r="I117" s="126"/>
      <c r="J117" s="130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>
      <c r="A118" s="107"/>
      <c r="B118" s="131"/>
      <c r="C118" s="120"/>
      <c r="D118" s="121"/>
      <c r="E118" s="107"/>
      <c r="F118" s="122"/>
      <c r="G118" s="22"/>
      <c r="H118" s="123"/>
      <c r="I118" s="126"/>
      <c r="J118" s="130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>
      <c r="A119" s="107"/>
      <c r="B119" s="131"/>
      <c r="C119" s="120"/>
      <c r="D119" s="121"/>
      <c r="E119" s="107"/>
      <c r="F119" s="122"/>
      <c r="G119" s="22"/>
      <c r="H119" s="123"/>
      <c r="I119" s="126"/>
      <c r="J119" s="130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>
      <c r="A120" s="107"/>
      <c r="B120" s="131"/>
      <c r="C120" s="120"/>
      <c r="D120" s="121"/>
      <c r="E120" s="107"/>
      <c r="F120" s="122"/>
      <c r="G120" s="22"/>
      <c r="H120" s="123"/>
      <c r="I120" s="126"/>
      <c r="J120" s="130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>
      <c r="A121" s="107"/>
      <c r="B121" s="131"/>
      <c r="C121" s="120"/>
      <c r="D121" s="121"/>
      <c r="E121" s="107"/>
      <c r="F121" s="122"/>
      <c r="G121" s="22"/>
      <c r="H121" s="123"/>
      <c r="I121" s="126"/>
      <c r="J121" s="130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>
      <c r="A122" s="107"/>
      <c r="B122" s="131"/>
      <c r="C122" s="120"/>
      <c r="D122" s="121"/>
      <c r="E122" s="107"/>
      <c r="F122" s="122"/>
      <c r="G122" s="22"/>
      <c r="H122" s="123"/>
      <c r="I122" s="126"/>
      <c r="J122" s="130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>
      <c r="A123" s="107"/>
      <c r="B123" s="131"/>
      <c r="C123" s="120"/>
      <c r="D123" s="121"/>
      <c r="E123" s="107"/>
      <c r="F123" s="122"/>
      <c r="G123" s="22"/>
      <c r="H123" s="123"/>
      <c r="I123" s="126"/>
      <c r="J123" s="130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>
      <c r="A124" s="107"/>
      <c r="B124" s="131"/>
      <c r="C124" s="120"/>
      <c r="D124" s="121"/>
      <c r="E124" s="107"/>
      <c r="F124" s="122"/>
      <c r="G124" s="22"/>
      <c r="H124" s="123"/>
      <c r="I124" s="126"/>
      <c r="J124" s="130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>
      <c r="A125" s="107"/>
      <c r="B125" s="131"/>
      <c r="C125" s="120"/>
      <c r="D125" s="121"/>
      <c r="E125" s="107"/>
      <c r="F125" s="122"/>
      <c r="G125" s="22"/>
      <c r="H125" s="123"/>
      <c r="I125" s="126"/>
      <c r="J125" s="130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>
      <c r="A126" s="107"/>
      <c r="B126" s="131"/>
      <c r="C126" s="120"/>
      <c r="D126" s="121"/>
      <c r="E126" s="107"/>
      <c r="F126" s="122"/>
      <c r="G126" s="22"/>
      <c r="H126" s="123"/>
      <c r="I126" s="126"/>
      <c r="J126" s="130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>
      <c r="A127" s="107"/>
      <c r="B127" s="131"/>
      <c r="C127" s="120"/>
      <c r="D127" s="121"/>
      <c r="E127" s="107"/>
      <c r="F127" s="122"/>
      <c r="G127" s="22"/>
      <c r="H127" s="123"/>
      <c r="I127" s="126"/>
      <c r="J127" s="130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>
      <c r="A128" s="107"/>
      <c r="B128" s="131"/>
      <c r="C128" s="120"/>
      <c r="D128" s="121"/>
      <c r="E128" s="107"/>
      <c r="F128" s="122"/>
      <c r="G128" s="22"/>
      <c r="H128" s="123"/>
      <c r="I128" s="126"/>
      <c r="J128" s="130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>
      <c r="A129" s="107"/>
      <c r="B129" s="131"/>
      <c r="C129" s="120"/>
      <c r="D129" s="121"/>
      <c r="E129" s="107"/>
      <c r="F129" s="122"/>
      <c r="G129" s="22"/>
      <c r="H129" s="123"/>
      <c r="I129" s="126"/>
      <c r="J129" s="130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>
      <c r="A130" s="107"/>
      <c r="B130" s="131"/>
      <c r="C130" s="120"/>
      <c r="D130" s="121"/>
      <c r="E130" s="107"/>
      <c r="F130" s="122"/>
      <c r="G130" s="22"/>
      <c r="H130" s="123"/>
      <c r="I130" s="126"/>
      <c r="J130" s="130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>
      <c r="A131" s="107"/>
      <c r="B131" s="131"/>
      <c r="C131" s="120"/>
      <c r="D131" s="121"/>
      <c r="E131" s="107"/>
      <c r="F131" s="122"/>
      <c r="G131" s="22"/>
      <c r="H131" s="123"/>
      <c r="I131" s="126"/>
      <c r="J131" s="130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>
      <c r="A132" s="107"/>
      <c r="B132" s="131"/>
      <c r="C132" s="120"/>
      <c r="D132" s="121"/>
      <c r="E132" s="107"/>
      <c r="F132" s="122"/>
      <c r="G132" s="22"/>
      <c r="H132" s="123"/>
      <c r="I132" s="126"/>
      <c r="J132" s="130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>
      <c r="A133" s="107"/>
      <c r="B133" s="131"/>
      <c r="C133" s="120"/>
      <c r="D133" s="121"/>
      <c r="E133" s="107"/>
      <c r="F133" s="122"/>
      <c r="G133" s="22"/>
      <c r="H133" s="123"/>
      <c r="I133" s="126"/>
      <c r="J133" s="130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>
      <c r="A134" s="107"/>
      <c r="B134" s="131"/>
      <c r="C134" s="120"/>
      <c r="D134" s="121"/>
      <c r="E134" s="107"/>
      <c r="F134" s="122"/>
      <c r="G134" s="22"/>
      <c r="H134" s="123"/>
      <c r="I134" s="126"/>
      <c r="J134" s="130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>
      <c r="A135" s="107"/>
      <c r="B135" s="131"/>
      <c r="C135" s="120"/>
      <c r="D135" s="121"/>
      <c r="E135" s="107"/>
      <c r="F135" s="122"/>
      <c r="G135" s="22"/>
      <c r="H135" s="123"/>
      <c r="I135" s="126"/>
      <c r="J135" s="130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>
      <c r="A136" s="107"/>
      <c r="B136" s="131"/>
      <c r="C136" s="120"/>
      <c r="D136" s="121"/>
      <c r="E136" s="107"/>
      <c r="F136" s="122"/>
      <c r="G136" s="22"/>
      <c r="H136" s="123"/>
      <c r="I136" s="126"/>
      <c r="J136" s="130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>
      <c r="A137" s="107"/>
      <c r="B137" s="131"/>
      <c r="C137" s="120"/>
      <c r="D137" s="121"/>
      <c r="E137" s="107"/>
      <c r="F137" s="122"/>
      <c r="G137" s="22"/>
      <c r="H137" s="123"/>
      <c r="I137" s="126"/>
      <c r="J137" s="130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>
      <c r="A138" s="107"/>
      <c r="B138" s="131"/>
      <c r="C138" s="120"/>
      <c r="D138" s="121"/>
      <c r="E138" s="107"/>
      <c r="F138" s="122"/>
      <c r="G138" s="22"/>
      <c r="H138" s="123"/>
      <c r="I138" s="126"/>
      <c r="J138" s="130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>
      <c r="A139" s="107"/>
      <c r="B139" s="131"/>
      <c r="C139" s="120"/>
      <c r="D139" s="121"/>
      <c r="E139" s="107"/>
      <c r="F139" s="122"/>
      <c r="G139" s="22"/>
      <c r="H139" s="123"/>
      <c r="I139" s="126"/>
      <c r="J139" s="130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>
      <c r="A140" s="107"/>
      <c r="B140" s="131"/>
      <c r="C140" s="120"/>
      <c r="D140" s="121"/>
      <c r="E140" s="107"/>
      <c r="F140" s="122"/>
      <c r="G140" s="22"/>
      <c r="H140" s="123"/>
      <c r="I140" s="126"/>
      <c r="J140" s="130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>
      <c r="A141" s="107"/>
      <c r="B141" s="131"/>
      <c r="C141" s="120"/>
      <c r="D141" s="121"/>
      <c r="E141" s="107"/>
      <c r="F141" s="122"/>
      <c r="G141" s="22"/>
      <c r="H141" s="123"/>
      <c r="I141" s="126"/>
      <c r="J141" s="130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>
      <c r="A142" s="107"/>
      <c r="B142" s="131"/>
      <c r="C142" s="120"/>
      <c r="D142" s="121"/>
      <c r="E142" s="107"/>
      <c r="F142" s="122"/>
      <c r="G142" s="22"/>
      <c r="H142" s="123"/>
      <c r="I142" s="126"/>
      <c r="J142" s="130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>
      <c r="A143" s="107"/>
      <c r="B143" s="131"/>
      <c r="C143" s="120"/>
      <c r="D143" s="121"/>
      <c r="E143" s="107"/>
      <c r="F143" s="122"/>
      <c r="G143" s="22"/>
      <c r="H143" s="123"/>
      <c r="I143" s="126"/>
      <c r="J143" s="130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>
      <c r="A144" s="107"/>
      <c r="B144" s="131"/>
      <c r="C144" s="120"/>
      <c r="D144" s="121"/>
      <c r="E144" s="107"/>
      <c r="F144" s="122"/>
      <c r="G144" s="22"/>
      <c r="H144" s="123"/>
      <c r="I144" s="126"/>
      <c r="J144" s="130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>
      <c r="A145" s="107"/>
      <c r="B145" s="131"/>
      <c r="C145" s="120"/>
      <c r="D145" s="121"/>
      <c r="E145" s="107"/>
      <c r="F145" s="122"/>
      <c r="G145" s="22"/>
      <c r="H145" s="123"/>
      <c r="I145" s="126"/>
      <c r="J145" s="130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>
      <c r="A146" s="107"/>
      <c r="B146" s="131"/>
      <c r="C146" s="120"/>
      <c r="D146" s="121"/>
      <c r="E146" s="107"/>
      <c r="F146" s="122"/>
      <c r="G146" s="22"/>
      <c r="H146" s="123"/>
      <c r="I146" s="126"/>
      <c r="J146" s="130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>
      <c r="A147" s="107"/>
      <c r="B147" s="131"/>
      <c r="C147" s="120"/>
      <c r="D147" s="121"/>
      <c r="E147" s="107"/>
      <c r="F147" s="122"/>
      <c r="G147" s="22"/>
      <c r="H147" s="123"/>
      <c r="I147" s="126"/>
      <c r="J147" s="130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>
      <c r="A148" s="107"/>
      <c r="B148" s="131"/>
      <c r="C148" s="120"/>
      <c r="D148" s="121"/>
      <c r="E148" s="107"/>
      <c r="F148" s="122"/>
      <c r="G148" s="22"/>
      <c r="H148" s="123"/>
      <c r="I148" s="126"/>
      <c r="J148" s="130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>
      <c r="A149" s="107"/>
      <c r="B149" s="131"/>
      <c r="C149" s="120"/>
      <c r="D149" s="121"/>
      <c r="E149" s="107"/>
      <c r="F149" s="122"/>
      <c r="G149" s="22"/>
      <c r="H149" s="123"/>
      <c r="I149" s="126"/>
      <c r="J149" s="130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>
      <c r="A150" s="107"/>
      <c r="B150" s="131"/>
      <c r="C150" s="120"/>
      <c r="D150" s="121"/>
      <c r="E150" s="107"/>
      <c r="F150" s="122"/>
      <c r="G150" s="22"/>
      <c r="H150" s="123"/>
      <c r="I150" s="126"/>
      <c r="J150" s="130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>
      <c r="A151" s="107"/>
      <c r="B151" s="131"/>
      <c r="C151" s="120"/>
      <c r="D151" s="121"/>
      <c r="E151" s="107"/>
      <c r="F151" s="122"/>
      <c r="G151" s="22"/>
      <c r="H151" s="123"/>
      <c r="I151" s="126"/>
      <c r="J151" s="130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>
      <c r="A152" s="107"/>
      <c r="B152" s="131"/>
      <c r="C152" s="120"/>
      <c r="D152" s="121"/>
      <c r="E152" s="107"/>
      <c r="F152" s="122"/>
      <c r="G152" s="22"/>
      <c r="H152" s="123"/>
      <c r="I152" s="126"/>
      <c r="J152" s="130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>
      <c r="A153" s="107"/>
      <c r="B153" s="131"/>
      <c r="C153" s="120"/>
      <c r="D153" s="121"/>
      <c r="E153" s="107"/>
      <c r="F153" s="122"/>
      <c r="G153" s="22"/>
      <c r="H153" s="123"/>
      <c r="I153" s="126"/>
      <c r="J153" s="130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>
      <c r="A154" s="107"/>
      <c r="B154" s="131"/>
      <c r="C154" s="120"/>
      <c r="D154" s="121"/>
      <c r="E154" s="107"/>
      <c r="F154" s="122"/>
      <c r="G154" s="22"/>
      <c r="H154" s="123"/>
      <c r="I154" s="126"/>
      <c r="J154" s="130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>
      <c r="A155" s="107"/>
      <c r="B155" s="131"/>
      <c r="C155" s="120"/>
      <c r="D155" s="121"/>
      <c r="E155" s="107"/>
      <c r="F155" s="122"/>
      <c r="G155" s="22"/>
      <c r="H155" s="123"/>
      <c r="I155" s="126"/>
      <c r="J155" s="130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>
      <c r="A156" s="107"/>
      <c r="B156" s="131"/>
      <c r="C156" s="120"/>
      <c r="D156" s="121"/>
      <c r="E156" s="107"/>
      <c r="F156" s="122"/>
      <c r="G156" s="22"/>
      <c r="H156" s="123"/>
      <c r="I156" s="126"/>
      <c r="J156" s="130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>
      <c r="A157" s="107"/>
      <c r="B157" s="131"/>
      <c r="C157" s="120"/>
      <c r="D157" s="121"/>
      <c r="E157" s="107"/>
      <c r="F157" s="122"/>
      <c r="G157" s="22"/>
      <c r="H157" s="123"/>
      <c r="I157" s="126"/>
      <c r="J157" s="130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>
      <c r="A158" s="107"/>
      <c r="B158" s="131"/>
      <c r="C158" s="120"/>
      <c r="D158" s="121"/>
      <c r="E158" s="107"/>
      <c r="F158" s="122"/>
      <c r="G158" s="22"/>
      <c r="H158" s="123"/>
      <c r="I158" s="126"/>
      <c r="J158" s="130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>
      <c r="A159" s="107"/>
      <c r="B159" s="131"/>
      <c r="C159" s="120"/>
      <c r="D159" s="121"/>
      <c r="E159" s="107"/>
      <c r="F159" s="122"/>
      <c r="G159" s="22"/>
      <c r="H159" s="123"/>
      <c r="I159" s="126"/>
      <c r="J159" s="130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>
      <c r="A160" s="107"/>
      <c r="B160" s="131"/>
      <c r="C160" s="120"/>
      <c r="D160" s="121"/>
      <c r="E160" s="107"/>
      <c r="F160" s="122"/>
      <c r="G160" s="22"/>
      <c r="H160" s="123"/>
      <c r="I160" s="126"/>
      <c r="J160" s="130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>
      <c r="A161" s="107"/>
      <c r="B161" s="131"/>
      <c r="C161" s="120"/>
      <c r="D161" s="121"/>
      <c r="E161" s="107"/>
      <c r="F161" s="122"/>
      <c r="G161" s="22"/>
      <c r="H161" s="123"/>
      <c r="I161" s="126"/>
      <c r="J161" s="130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>
      <c r="A162" s="107"/>
      <c r="B162" s="131"/>
      <c r="C162" s="120"/>
      <c r="D162" s="121"/>
      <c r="E162" s="107"/>
      <c r="F162" s="122"/>
      <c r="G162" s="22"/>
      <c r="H162" s="123"/>
      <c r="I162" s="126"/>
      <c r="J162" s="130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>
      <c r="A163" s="107"/>
      <c r="B163" s="131"/>
      <c r="C163" s="120"/>
      <c r="D163" s="121"/>
      <c r="E163" s="107"/>
      <c r="F163" s="122"/>
      <c r="G163" s="22"/>
      <c r="H163" s="123"/>
      <c r="I163" s="126"/>
      <c r="J163" s="130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>
      <c r="A164" s="107"/>
      <c r="B164" s="131"/>
      <c r="C164" s="120"/>
      <c r="D164" s="121"/>
      <c r="E164" s="107"/>
      <c r="F164" s="122"/>
      <c r="G164" s="22"/>
      <c r="H164" s="123"/>
      <c r="I164" s="126"/>
      <c r="J164" s="130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>
      <c r="A165" s="107"/>
      <c r="B165" s="131"/>
      <c r="C165" s="120"/>
      <c r="D165" s="121"/>
      <c r="E165" s="107"/>
      <c r="F165" s="122"/>
      <c r="G165" s="22"/>
      <c r="H165" s="123"/>
      <c r="I165" s="126"/>
      <c r="J165" s="130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>
      <c r="A166" s="107"/>
      <c r="B166" s="131"/>
      <c r="C166" s="120"/>
      <c r="D166" s="121"/>
      <c r="E166" s="107"/>
      <c r="F166" s="122"/>
      <c r="G166" s="22"/>
      <c r="H166" s="123"/>
      <c r="I166" s="126"/>
      <c r="J166" s="130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>
      <c r="A167" s="107"/>
      <c r="B167" s="131"/>
      <c r="C167" s="120"/>
      <c r="D167" s="121"/>
      <c r="E167" s="107"/>
      <c r="F167" s="122"/>
      <c r="G167" s="22"/>
      <c r="H167" s="123"/>
      <c r="I167" s="126"/>
      <c r="J167" s="130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>
      <c r="A168" s="107"/>
      <c r="B168" s="131"/>
      <c r="C168" s="120"/>
      <c r="D168" s="121"/>
      <c r="E168" s="107"/>
      <c r="F168" s="122"/>
      <c r="G168" s="22"/>
      <c r="H168" s="123"/>
      <c r="I168" s="126"/>
      <c r="J168" s="130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>
      <c r="A169" s="107"/>
      <c r="B169" s="131"/>
      <c r="C169" s="120"/>
      <c r="D169" s="121"/>
      <c r="E169" s="107"/>
      <c r="F169" s="122"/>
      <c r="G169" s="22"/>
      <c r="H169" s="123"/>
      <c r="I169" s="126"/>
      <c r="J169" s="130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>
      <c r="A170" s="107"/>
      <c r="B170" s="131"/>
      <c r="C170" s="120"/>
      <c r="D170" s="121"/>
      <c r="E170" s="107"/>
      <c r="F170" s="122"/>
      <c r="G170" s="22"/>
      <c r="H170" s="123"/>
      <c r="I170" s="126"/>
      <c r="J170" s="130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>
      <c r="A171" s="107"/>
      <c r="B171" s="131"/>
      <c r="C171" s="120"/>
      <c r="D171" s="121"/>
      <c r="E171" s="107"/>
      <c r="F171" s="122"/>
      <c r="G171" s="22"/>
      <c r="H171" s="123"/>
      <c r="I171" s="126"/>
      <c r="J171" s="130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>
      <c r="A172" s="107"/>
      <c r="B172" s="131"/>
      <c r="C172" s="120"/>
      <c r="D172" s="121"/>
      <c r="E172" s="107"/>
      <c r="F172" s="122"/>
      <c r="G172" s="22"/>
      <c r="H172" s="123"/>
      <c r="I172" s="126"/>
      <c r="J172" s="130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>
      <c r="A173" s="107"/>
      <c r="B173" s="131"/>
      <c r="C173" s="120"/>
      <c r="D173" s="121"/>
      <c r="E173" s="107"/>
      <c r="F173" s="122"/>
      <c r="G173" s="22"/>
      <c r="H173" s="123"/>
      <c r="I173" s="126"/>
      <c r="J173" s="130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>
      <c r="A174" s="107"/>
      <c r="B174" s="131"/>
      <c r="C174" s="120"/>
      <c r="D174" s="121"/>
      <c r="E174" s="107"/>
      <c r="F174" s="122"/>
      <c r="G174" s="22"/>
      <c r="H174" s="123"/>
      <c r="I174" s="126"/>
      <c r="J174" s="130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>
      <c r="A175" s="107"/>
      <c r="B175" s="131"/>
      <c r="C175" s="120"/>
      <c r="D175" s="121"/>
      <c r="E175" s="107"/>
      <c r="F175" s="122"/>
      <c r="G175" s="22"/>
      <c r="H175" s="123"/>
      <c r="I175" s="126"/>
      <c r="J175" s="130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>
      <c r="A176" s="107"/>
      <c r="B176" s="131"/>
      <c r="C176" s="120"/>
      <c r="D176" s="121"/>
      <c r="E176" s="107"/>
      <c r="F176" s="122"/>
      <c r="G176" s="22"/>
      <c r="H176" s="123"/>
      <c r="I176" s="126"/>
      <c r="J176" s="130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>
      <c r="A177" s="107"/>
      <c r="B177" s="131"/>
      <c r="C177" s="120"/>
      <c r="D177" s="121"/>
      <c r="E177" s="107"/>
      <c r="F177" s="122"/>
      <c r="G177" s="22"/>
      <c r="H177" s="123"/>
      <c r="I177" s="126"/>
      <c r="J177" s="130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>
      <c r="A178" s="107"/>
      <c r="B178" s="131"/>
      <c r="C178" s="120"/>
      <c r="D178" s="121"/>
      <c r="E178" s="107"/>
      <c r="F178" s="122"/>
      <c r="G178" s="22"/>
      <c r="H178" s="123"/>
      <c r="I178" s="126"/>
      <c r="J178" s="130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>
      <c r="A179" s="107"/>
      <c r="B179" s="131"/>
      <c r="C179" s="120"/>
      <c r="D179" s="121"/>
      <c r="E179" s="107"/>
      <c r="F179" s="122"/>
      <c r="G179" s="22"/>
      <c r="H179" s="123"/>
      <c r="I179" s="126"/>
      <c r="J179" s="130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>
      <c r="A180" s="107"/>
      <c r="B180" s="131"/>
      <c r="C180" s="120"/>
      <c r="D180" s="121"/>
      <c r="E180" s="107"/>
      <c r="F180" s="122"/>
      <c r="G180" s="22"/>
      <c r="H180" s="123"/>
      <c r="I180" s="126"/>
      <c r="J180" s="130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>
      <c r="A181" s="107"/>
      <c r="B181" s="131"/>
      <c r="C181" s="120"/>
      <c r="D181" s="121"/>
      <c r="E181" s="107"/>
      <c r="F181" s="122"/>
      <c r="G181" s="22"/>
      <c r="H181" s="123"/>
      <c r="I181" s="126"/>
      <c r="J181" s="130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>
      <c r="A182" s="107"/>
      <c r="B182" s="131"/>
      <c r="C182" s="120"/>
      <c r="D182" s="121"/>
      <c r="E182" s="107"/>
      <c r="F182" s="122"/>
      <c r="G182" s="22"/>
      <c r="H182" s="123"/>
      <c r="I182" s="126"/>
      <c r="J182" s="130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>
      <c r="A183" s="107"/>
      <c r="B183" s="131"/>
      <c r="C183" s="120"/>
      <c r="D183" s="121"/>
      <c r="E183" s="107"/>
      <c r="F183" s="122"/>
      <c r="G183" s="22"/>
      <c r="H183" s="123"/>
      <c r="I183" s="126"/>
      <c r="J183" s="130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>
      <c r="A184" s="107"/>
      <c r="B184" s="131"/>
      <c r="C184" s="120"/>
      <c r="D184" s="121"/>
      <c r="E184" s="107"/>
      <c r="F184" s="122"/>
      <c r="G184" s="22"/>
      <c r="H184" s="123"/>
      <c r="I184" s="126"/>
      <c r="J184" s="130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>
      <c r="A185" s="107"/>
      <c r="B185" s="131"/>
      <c r="C185" s="120"/>
      <c r="D185" s="121"/>
      <c r="E185" s="107"/>
      <c r="F185" s="122"/>
      <c r="G185" s="22"/>
      <c r="H185" s="123"/>
      <c r="I185" s="126"/>
      <c r="J185" s="130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>
      <c r="A186" s="107"/>
      <c r="B186" s="131"/>
      <c r="C186" s="120"/>
      <c r="D186" s="121"/>
      <c r="E186" s="107"/>
      <c r="F186" s="122"/>
      <c r="G186" s="22"/>
      <c r="H186" s="123"/>
      <c r="I186" s="126"/>
      <c r="J186" s="130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>
      <c r="A187" s="107"/>
      <c r="B187" s="131"/>
      <c r="C187" s="120"/>
      <c r="D187" s="121"/>
      <c r="E187" s="107"/>
      <c r="F187" s="122"/>
      <c r="G187" s="22"/>
      <c r="H187" s="123"/>
      <c r="I187" s="126"/>
      <c r="J187" s="130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>
      <c r="A188" s="107"/>
      <c r="B188" s="131"/>
      <c r="C188" s="120"/>
      <c r="D188" s="121"/>
      <c r="E188" s="107"/>
      <c r="F188" s="122"/>
      <c r="G188" s="22"/>
      <c r="H188" s="123"/>
      <c r="I188" s="126"/>
      <c r="J188" s="130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>
      <c r="A189" s="107"/>
      <c r="B189" s="131"/>
      <c r="C189" s="120"/>
      <c r="D189" s="121"/>
      <c r="E189" s="107"/>
      <c r="F189" s="122"/>
      <c r="G189" s="22"/>
      <c r="H189" s="123"/>
      <c r="I189" s="126"/>
      <c r="J189" s="130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>
      <c r="A190" s="107"/>
      <c r="B190" s="131"/>
      <c r="C190" s="120"/>
      <c r="D190" s="121"/>
      <c r="E190" s="107"/>
      <c r="F190" s="122"/>
      <c r="G190" s="22"/>
      <c r="H190" s="123"/>
      <c r="I190" s="126"/>
      <c r="J190" s="130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>
      <c r="A191" s="107"/>
      <c r="B191" s="131"/>
      <c r="C191" s="120"/>
      <c r="D191" s="121"/>
      <c r="E191" s="107"/>
      <c r="F191" s="122"/>
      <c r="G191" s="22"/>
      <c r="H191" s="123"/>
      <c r="I191" s="126"/>
      <c r="J191" s="130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>
      <c r="A192" s="107"/>
      <c r="B192" s="131"/>
      <c r="C192" s="120"/>
      <c r="D192" s="121"/>
      <c r="E192" s="107"/>
      <c r="F192" s="122"/>
      <c r="G192" s="22"/>
      <c r="H192" s="123"/>
      <c r="I192" s="126"/>
      <c r="J192" s="130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>
      <c r="A193" s="107"/>
      <c r="B193" s="131"/>
      <c r="C193" s="120"/>
      <c r="D193" s="121"/>
      <c r="E193" s="107"/>
      <c r="F193" s="122"/>
      <c r="G193" s="22"/>
      <c r="H193" s="123"/>
      <c r="I193" s="126"/>
      <c r="J193" s="130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>
      <c r="A194" s="107"/>
      <c r="B194" s="131"/>
      <c r="C194" s="120"/>
      <c r="D194" s="121"/>
      <c r="E194" s="107"/>
      <c r="F194" s="122"/>
      <c r="G194" s="22"/>
      <c r="H194" s="123"/>
      <c r="I194" s="126"/>
      <c r="J194" s="130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>
      <c r="A195" s="107"/>
      <c r="B195" s="131"/>
      <c r="C195" s="120"/>
      <c r="D195" s="121"/>
      <c r="E195" s="107"/>
      <c r="F195" s="122"/>
      <c r="G195" s="22"/>
      <c r="H195" s="123"/>
      <c r="I195" s="126"/>
      <c r="J195" s="130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>
      <c r="A196" s="107"/>
      <c r="B196" s="131"/>
      <c r="C196" s="120"/>
      <c r="D196" s="121"/>
      <c r="E196" s="107"/>
      <c r="F196" s="122"/>
      <c r="G196" s="22"/>
      <c r="H196" s="123"/>
      <c r="I196" s="126"/>
      <c r="J196" s="130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>
      <c r="A197" s="107"/>
      <c r="B197" s="131"/>
      <c r="C197" s="120"/>
      <c r="D197" s="121"/>
      <c r="E197" s="107"/>
      <c r="F197" s="122"/>
      <c r="G197" s="22"/>
      <c r="H197" s="123"/>
      <c r="I197" s="126"/>
      <c r="J197" s="130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>
      <c r="A198" s="107"/>
      <c r="B198" s="131"/>
      <c r="C198" s="120"/>
      <c r="D198" s="121"/>
      <c r="E198" s="107"/>
      <c r="F198" s="122"/>
      <c r="G198" s="22"/>
      <c r="H198" s="123"/>
      <c r="I198" s="126"/>
      <c r="J198" s="130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>
      <c r="A199" s="107"/>
      <c r="B199" s="131"/>
      <c r="C199" s="120"/>
      <c r="D199" s="121"/>
      <c r="E199" s="107"/>
      <c r="F199" s="122"/>
      <c r="G199" s="22"/>
      <c r="H199" s="123"/>
      <c r="I199" s="126"/>
      <c r="J199" s="130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>
      <c r="A200" s="107"/>
      <c r="B200" s="131"/>
      <c r="C200" s="120"/>
      <c r="D200" s="121"/>
      <c r="E200" s="107"/>
      <c r="F200" s="122"/>
      <c r="G200" s="22"/>
      <c r="H200" s="123"/>
      <c r="I200" s="126"/>
      <c r="J200" s="130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>
      <c r="A201" s="107"/>
      <c r="B201" s="131"/>
      <c r="C201" s="120"/>
      <c r="D201" s="121"/>
      <c r="E201" s="107"/>
      <c r="F201" s="122"/>
      <c r="G201" s="22"/>
      <c r="H201" s="123"/>
      <c r="I201" s="126"/>
      <c r="J201" s="130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>
      <c r="A202" s="107"/>
      <c r="B202" s="131"/>
      <c r="C202" s="120"/>
      <c r="D202" s="121"/>
      <c r="E202" s="107"/>
      <c r="F202" s="122"/>
      <c r="G202" s="22"/>
      <c r="H202" s="123"/>
      <c r="I202" s="126"/>
      <c r="J202" s="130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>
      <c r="A203" s="107"/>
      <c r="B203" s="131"/>
      <c r="C203" s="120"/>
      <c r="D203" s="121"/>
      <c r="E203" s="107"/>
      <c r="F203" s="122"/>
      <c r="G203" s="22"/>
      <c r="H203" s="123"/>
      <c r="I203" s="126"/>
      <c r="J203" s="130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>
      <c r="A204" s="107"/>
      <c r="B204" s="131"/>
      <c r="C204" s="120"/>
      <c r="D204" s="121"/>
      <c r="E204" s="107"/>
      <c r="F204" s="122"/>
      <c r="G204" s="22"/>
      <c r="H204" s="123"/>
      <c r="I204" s="126"/>
      <c r="J204" s="130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>
      <c r="A205" s="107"/>
      <c r="B205" s="131"/>
      <c r="C205" s="120"/>
      <c r="D205" s="121"/>
      <c r="E205" s="107"/>
      <c r="F205" s="122"/>
      <c r="G205" s="22"/>
      <c r="H205" s="123"/>
      <c r="I205" s="126"/>
      <c r="J205" s="130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>
      <c r="A206" s="107"/>
      <c r="B206" s="131"/>
      <c r="C206" s="120"/>
      <c r="D206" s="121"/>
      <c r="E206" s="107"/>
      <c r="F206" s="122"/>
      <c r="G206" s="22"/>
      <c r="H206" s="123"/>
      <c r="I206" s="126"/>
      <c r="J206" s="130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>
      <c r="A207" s="107"/>
      <c r="B207" s="131"/>
      <c r="C207" s="120"/>
      <c r="D207" s="121"/>
      <c r="E207" s="107"/>
      <c r="F207" s="122"/>
      <c r="G207" s="22"/>
      <c r="H207" s="123"/>
      <c r="I207" s="126"/>
      <c r="J207" s="130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>
      <c r="A208" s="107"/>
      <c r="B208" s="131"/>
      <c r="C208" s="120"/>
      <c r="D208" s="121"/>
      <c r="E208" s="107"/>
      <c r="F208" s="122"/>
      <c r="G208" s="22"/>
      <c r="H208" s="123"/>
      <c r="I208" s="126"/>
      <c r="J208" s="130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>
      <c r="A209" s="107"/>
      <c r="B209" s="131"/>
      <c r="C209" s="120"/>
      <c r="D209" s="121"/>
      <c r="E209" s="107"/>
      <c r="F209" s="122"/>
      <c r="G209" s="22"/>
      <c r="H209" s="123"/>
      <c r="I209" s="126"/>
      <c r="J209" s="130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>
      <c r="A210" s="107"/>
      <c r="B210" s="131"/>
      <c r="C210" s="120"/>
      <c r="D210" s="121"/>
      <c r="E210" s="107"/>
      <c r="F210" s="122"/>
      <c r="G210" s="22"/>
      <c r="H210" s="123"/>
      <c r="I210" s="126"/>
      <c r="J210" s="130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>
      <c r="A211" s="107"/>
      <c r="B211" s="131"/>
      <c r="C211" s="120"/>
      <c r="D211" s="121"/>
      <c r="E211" s="107"/>
      <c r="F211" s="122"/>
      <c r="G211" s="22"/>
      <c r="H211" s="123"/>
      <c r="I211" s="126"/>
      <c r="J211" s="130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>
      <c r="A212" s="107"/>
      <c r="B212" s="131"/>
      <c r="C212" s="120"/>
      <c r="D212" s="121"/>
      <c r="E212" s="107"/>
      <c r="F212" s="122"/>
      <c r="G212" s="22"/>
      <c r="H212" s="123"/>
      <c r="I212" s="126"/>
      <c r="J212" s="130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>
      <c r="A213" s="107"/>
      <c r="B213" s="131"/>
      <c r="C213" s="120"/>
      <c r="D213" s="121"/>
      <c r="E213" s="107"/>
      <c r="F213" s="122"/>
      <c r="G213" s="22"/>
      <c r="H213" s="123"/>
      <c r="I213" s="126"/>
      <c r="J213" s="130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>
      <c r="A214" s="107"/>
      <c r="B214" s="131"/>
      <c r="C214" s="120"/>
      <c r="D214" s="121"/>
      <c r="E214" s="107"/>
      <c r="F214" s="122"/>
      <c r="G214" s="22"/>
      <c r="H214" s="123"/>
      <c r="I214" s="126"/>
      <c r="J214" s="130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>
      <c r="A215" s="107"/>
      <c r="B215" s="131"/>
      <c r="C215" s="120"/>
      <c r="D215" s="121"/>
      <c r="E215" s="107"/>
      <c r="F215" s="122"/>
      <c r="G215" s="22"/>
      <c r="H215" s="123"/>
      <c r="I215" s="126"/>
      <c r="J215" s="130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>
      <c r="A216" s="107"/>
      <c r="B216" s="131"/>
      <c r="C216" s="120"/>
      <c r="D216" s="121"/>
      <c r="E216" s="107"/>
      <c r="F216" s="122"/>
      <c r="G216" s="22"/>
      <c r="H216" s="123"/>
      <c r="I216" s="126"/>
      <c r="J216" s="130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>
      <c r="A217" s="107"/>
      <c r="B217" s="131"/>
      <c r="C217" s="120"/>
      <c r="D217" s="121"/>
      <c r="E217" s="107"/>
      <c r="F217" s="122"/>
      <c r="G217" s="22"/>
      <c r="H217" s="123"/>
      <c r="I217" s="126"/>
      <c r="J217" s="130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>
      <c r="A218" s="107"/>
      <c r="B218" s="131"/>
      <c r="C218" s="120"/>
      <c r="D218" s="121"/>
      <c r="E218" s="107"/>
      <c r="F218" s="122"/>
      <c r="G218" s="22"/>
      <c r="H218" s="123"/>
      <c r="I218" s="126"/>
      <c r="J218" s="130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>
      <c r="A219" s="107"/>
      <c r="B219" s="131"/>
      <c r="C219" s="120"/>
      <c r="D219" s="121"/>
      <c r="E219" s="107"/>
      <c r="F219" s="122"/>
      <c r="G219" s="22"/>
      <c r="H219" s="123"/>
      <c r="I219" s="126"/>
      <c r="J219" s="130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>
      <c r="A220" s="107"/>
      <c r="B220" s="131"/>
      <c r="C220" s="120"/>
      <c r="D220" s="121"/>
      <c r="E220" s="107"/>
      <c r="F220" s="122"/>
      <c r="G220" s="22"/>
      <c r="H220" s="123"/>
      <c r="I220" s="126"/>
      <c r="J220" s="130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>
      <c r="A221" s="107"/>
      <c r="B221" s="131"/>
      <c r="C221" s="120"/>
      <c r="D221" s="121"/>
      <c r="E221" s="107"/>
      <c r="F221" s="122"/>
      <c r="G221" s="22"/>
      <c r="H221" s="123"/>
      <c r="I221" s="126"/>
      <c r="J221" s="130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>
      <c r="A222" s="107"/>
      <c r="B222" s="131"/>
      <c r="C222" s="120"/>
      <c r="D222" s="121"/>
      <c r="E222" s="107"/>
      <c r="F222" s="122"/>
      <c r="G222" s="22"/>
      <c r="H222" s="123"/>
      <c r="I222" s="126"/>
      <c r="J222" s="130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>
      <c r="A223" s="107"/>
      <c r="B223" s="131"/>
      <c r="C223" s="120"/>
      <c r="D223" s="121"/>
      <c r="E223" s="107"/>
      <c r="F223" s="122"/>
      <c r="G223" s="22"/>
      <c r="H223" s="123"/>
      <c r="I223" s="126"/>
      <c r="J223" s="130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>
      <c r="A224" s="107"/>
      <c r="B224" s="131"/>
      <c r="C224" s="120"/>
      <c r="D224" s="121"/>
      <c r="E224" s="107"/>
      <c r="F224" s="122"/>
      <c r="G224" s="22"/>
      <c r="H224" s="123"/>
      <c r="I224" s="126"/>
      <c r="J224" s="130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>
      <c r="A225" s="107"/>
      <c r="B225" s="131"/>
      <c r="C225" s="120"/>
      <c r="D225" s="121"/>
      <c r="E225" s="107"/>
      <c r="F225" s="122"/>
      <c r="G225" s="22"/>
      <c r="H225" s="123"/>
      <c r="I225" s="126"/>
      <c r="J225" s="130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>
      <c r="A226" s="107"/>
      <c r="B226" s="131"/>
      <c r="C226" s="120"/>
      <c r="D226" s="121"/>
      <c r="E226" s="107"/>
      <c r="F226" s="122"/>
      <c r="G226" s="22"/>
      <c r="H226" s="123"/>
      <c r="I226" s="126"/>
      <c r="J226" s="130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>
      <c r="A227" s="107"/>
      <c r="B227" s="131"/>
      <c r="C227" s="120"/>
      <c r="D227" s="121"/>
      <c r="E227" s="107"/>
      <c r="F227" s="122"/>
      <c r="G227" s="22"/>
      <c r="H227" s="123"/>
      <c r="I227" s="126"/>
      <c r="J227" s="130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>
      <c r="A228" s="107"/>
      <c r="B228" s="131"/>
      <c r="C228" s="120"/>
      <c r="D228" s="121"/>
      <c r="E228" s="107"/>
      <c r="F228" s="122"/>
      <c r="G228" s="22"/>
      <c r="H228" s="123"/>
      <c r="I228" s="126"/>
      <c r="J228" s="130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>
      <c r="A229" s="107"/>
      <c r="B229" s="131"/>
      <c r="C229" s="120"/>
      <c r="D229" s="121"/>
      <c r="E229" s="107"/>
      <c r="F229" s="122"/>
      <c r="G229" s="22"/>
      <c r="H229" s="123"/>
      <c r="I229" s="126"/>
      <c r="J229" s="130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>
      <c r="A230" s="107"/>
      <c r="B230" s="131"/>
      <c r="C230" s="120"/>
      <c r="D230" s="121"/>
      <c r="E230" s="107"/>
      <c r="F230" s="122"/>
      <c r="G230" s="22"/>
      <c r="H230" s="123"/>
      <c r="I230" s="126"/>
      <c r="J230" s="130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>
      <c r="A231" s="107"/>
      <c r="B231" s="131"/>
      <c r="C231" s="120"/>
      <c r="D231" s="121"/>
      <c r="E231" s="107"/>
      <c r="F231" s="122"/>
      <c r="G231" s="22"/>
      <c r="H231" s="123"/>
      <c r="I231" s="126"/>
      <c r="J231" s="130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>
      <c r="A232" s="107"/>
      <c r="B232" s="131"/>
      <c r="C232" s="120"/>
      <c r="D232" s="121"/>
      <c r="E232" s="107"/>
      <c r="F232" s="122"/>
      <c r="G232" s="22"/>
      <c r="H232" s="123"/>
      <c r="I232" s="126"/>
      <c r="J232" s="130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>
      <c r="A233" s="107"/>
      <c r="B233" s="131"/>
      <c r="C233" s="120"/>
      <c r="D233" s="121"/>
      <c r="E233" s="107"/>
      <c r="F233" s="122"/>
      <c r="G233" s="22"/>
      <c r="H233" s="123"/>
      <c r="I233" s="126"/>
      <c r="J233" s="130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>
      <c r="A234" s="107"/>
      <c r="B234" s="131"/>
      <c r="C234" s="120"/>
      <c r="D234" s="121"/>
      <c r="E234" s="107"/>
      <c r="F234" s="122"/>
      <c r="G234" s="22"/>
      <c r="H234" s="123"/>
      <c r="I234" s="126"/>
      <c r="J234" s="130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>
      <c r="A235" s="107"/>
      <c r="B235" s="131"/>
      <c r="C235" s="120"/>
      <c r="D235" s="121"/>
      <c r="E235" s="107"/>
      <c r="F235" s="122"/>
      <c r="G235" s="22"/>
      <c r="H235" s="123"/>
      <c r="I235" s="126"/>
      <c r="J235" s="130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>
      <c r="A236" s="107"/>
      <c r="B236" s="131"/>
      <c r="C236" s="120"/>
      <c r="D236" s="121"/>
      <c r="E236" s="107"/>
      <c r="F236" s="122"/>
      <c r="G236" s="22"/>
      <c r="H236" s="123"/>
      <c r="I236" s="126"/>
      <c r="J236" s="130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>
      <c r="A237" s="107"/>
      <c r="B237" s="131"/>
      <c r="C237" s="120"/>
      <c r="D237" s="121"/>
      <c r="E237" s="107"/>
      <c r="F237" s="122"/>
      <c r="G237" s="22"/>
      <c r="H237" s="123"/>
      <c r="I237" s="126"/>
      <c r="J237" s="130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>
      <c r="A238" s="107"/>
      <c r="B238" s="131"/>
      <c r="C238" s="120"/>
      <c r="D238" s="121"/>
      <c r="E238" s="107"/>
      <c r="F238" s="122"/>
      <c r="G238" s="22"/>
      <c r="H238" s="123"/>
      <c r="I238" s="126"/>
      <c r="J238" s="130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>
      <c r="A239" s="107"/>
      <c r="B239" s="131"/>
      <c r="C239" s="120"/>
      <c r="D239" s="121"/>
      <c r="E239" s="107"/>
      <c r="F239" s="122"/>
      <c r="G239" s="22"/>
      <c r="H239" s="123"/>
      <c r="I239" s="126"/>
      <c r="J239" s="130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>
      <c r="A240" s="107"/>
      <c r="B240" s="131"/>
      <c r="C240" s="120"/>
      <c r="D240" s="121"/>
      <c r="E240" s="107"/>
      <c r="F240" s="122"/>
      <c r="G240" s="22"/>
      <c r="H240" s="123"/>
      <c r="I240" s="126"/>
      <c r="J240" s="130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>
      <c r="A241" s="107"/>
      <c r="B241" s="131"/>
      <c r="C241" s="120"/>
      <c r="D241" s="121"/>
      <c r="E241" s="107"/>
      <c r="F241" s="122"/>
      <c r="G241" s="22"/>
      <c r="H241" s="123"/>
      <c r="I241" s="126"/>
      <c r="J241" s="130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>
      <c r="A242" s="107"/>
      <c r="B242" s="131"/>
      <c r="C242" s="120"/>
      <c r="D242" s="121"/>
      <c r="E242" s="107"/>
      <c r="F242" s="122"/>
      <c r="G242" s="22"/>
      <c r="H242" s="123"/>
      <c r="I242" s="126"/>
      <c r="J242" s="130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>
      <c r="A243" s="107"/>
      <c r="B243" s="131"/>
      <c r="C243" s="120"/>
      <c r="D243" s="121"/>
      <c r="E243" s="107"/>
      <c r="F243" s="122"/>
      <c r="G243" s="22"/>
      <c r="H243" s="123"/>
      <c r="I243" s="126"/>
      <c r="J243" s="130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>
      <c r="A244" s="107"/>
      <c r="B244" s="131"/>
      <c r="C244" s="120"/>
      <c r="D244" s="121"/>
      <c r="E244" s="107"/>
      <c r="F244" s="122"/>
      <c r="G244" s="22"/>
      <c r="H244" s="123"/>
      <c r="I244" s="126"/>
      <c r="J244" s="130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>
      <c r="A245" s="107"/>
      <c r="B245" s="131"/>
      <c r="C245" s="120"/>
      <c r="D245" s="121"/>
      <c r="E245" s="107"/>
      <c r="F245" s="122"/>
      <c r="G245" s="22"/>
      <c r="H245" s="123"/>
      <c r="I245" s="126"/>
      <c r="J245" s="130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>
      <c r="A246" s="107"/>
      <c r="B246" s="131"/>
      <c r="C246" s="120"/>
      <c r="D246" s="121"/>
      <c r="E246" s="107"/>
      <c r="F246" s="122"/>
      <c r="G246" s="22"/>
      <c r="H246" s="123"/>
      <c r="I246" s="126"/>
      <c r="J246" s="130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>
      <c r="A247" s="107"/>
      <c r="B247" s="131"/>
      <c r="C247" s="120"/>
      <c r="D247" s="121"/>
      <c r="E247" s="107"/>
      <c r="F247" s="122"/>
      <c r="G247" s="22"/>
      <c r="H247" s="123"/>
      <c r="I247" s="126"/>
      <c r="J247" s="130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>
      <c r="A248" s="107"/>
      <c r="B248" s="131"/>
      <c r="C248" s="120"/>
      <c r="D248" s="121"/>
      <c r="E248" s="107"/>
      <c r="F248" s="122"/>
      <c r="G248" s="22"/>
      <c r="H248" s="123"/>
      <c r="I248" s="126"/>
      <c r="J248" s="130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>
      <c r="A249" s="107"/>
      <c r="B249" s="131"/>
      <c r="C249" s="120"/>
      <c r="D249" s="121"/>
      <c r="E249" s="107"/>
      <c r="F249" s="122"/>
      <c r="G249" s="22"/>
      <c r="H249" s="123"/>
      <c r="I249" s="126"/>
      <c r="J249" s="130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>
      <c r="A250" s="107"/>
      <c r="B250" s="131"/>
      <c r="C250" s="120"/>
      <c r="D250" s="121"/>
      <c r="E250" s="107"/>
      <c r="F250" s="122"/>
      <c r="G250" s="22"/>
      <c r="H250" s="123"/>
      <c r="I250" s="126"/>
      <c r="J250" s="130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>
      <c r="A251" s="107"/>
      <c r="B251" s="131"/>
      <c r="C251" s="120"/>
      <c r="D251" s="121"/>
      <c r="E251" s="107"/>
      <c r="F251" s="122"/>
      <c r="G251" s="22"/>
      <c r="H251" s="123"/>
      <c r="I251" s="126"/>
      <c r="J251" s="130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>
      <c r="A252" s="107"/>
      <c r="B252" s="131"/>
      <c r="C252" s="120"/>
      <c r="D252" s="121"/>
      <c r="E252" s="107"/>
      <c r="F252" s="122"/>
      <c r="G252" s="22"/>
      <c r="H252" s="123"/>
      <c r="I252" s="126"/>
      <c r="J252" s="130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>
      <c r="A253" s="107"/>
      <c r="B253" s="131"/>
      <c r="C253" s="120"/>
      <c r="D253" s="121"/>
      <c r="E253" s="107"/>
      <c r="F253" s="122"/>
      <c r="G253" s="22"/>
      <c r="H253" s="123"/>
      <c r="I253" s="126"/>
      <c r="J253" s="130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>
      <c r="A254" s="107"/>
      <c r="B254" s="131"/>
      <c r="C254" s="120"/>
      <c r="D254" s="121"/>
      <c r="E254" s="107"/>
      <c r="F254" s="122"/>
      <c r="G254" s="22"/>
      <c r="H254" s="123"/>
      <c r="I254" s="126"/>
      <c r="J254" s="130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>
      <c r="A255" s="107"/>
      <c r="B255" s="131"/>
      <c r="C255" s="120"/>
      <c r="D255" s="121"/>
      <c r="E255" s="107"/>
      <c r="F255" s="122"/>
      <c r="G255" s="22"/>
      <c r="H255" s="123"/>
      <c r="I255" s="126"/>
      <c r="J255" s="130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>
      <c r="A256" s="107"/>
      <c r="B256" s="131"/>
      <c r="C256" s="120"/>
      <c r="D256" s="121"/>
      <c r="E256" s="107"/>
      <c r="F256" s="122"/>
      <c r="G256" s="22"/>
      <c r="H256" s="123"/>
      <c r="I256" s="126"/>
      <c r="J256" s="130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>
      <c r="A257" s="107"/>
      <c r="B257" s="131"/>
      <c r="C257" s="120"/>
      <c r="D257" s="121"/>
      <c r="E257" s="107"/>
      <c r="F257" s="122"/>
      <c r="G257" s="22"/>
      <c r="H257" s="123"/>
      <c r="I257" s="126"/>
      <c r="J257" s="130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>
      <c r="A258" s="107"/>
      <c r="B258" s="131"/>
      <c r="C258" s="120"/>
      <c r="D258" s="121"/>
      <c r="E258" s="107"/>
      <c r="F258" s="122"/>
      <c r="G258" s="22"/>
      <c r="H258" s="123"/>
      <c r="I258" s="126"/>
      <c r="J258" s="130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>
      <c r="A259" s="107"/>
      <c r="B259" s="131"/>
      <c r="C259" s="120"/>
      <c r="D259" s="121"/>
      <c r="E259" s="107"/>
      <c r="F259" s="122"/>
      <c r="G259" s="22"/>
      <c r="H259" s="123"/>
      <c r="I259" s="126"/>
      <c r="J259" s="130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>
      <c r="A260" s="107"/>
      <c r="B260" s="131"/>
      <c r="C260" s="120"/>
      <c r="D260" s="121"/>
      <c r="E260" s="107"/>
      <c r="F260" s="122"/>
      <c r="G260" s="22"/>
      <c r="H260" s="123"/>
      <c r="I260" s="126"/>
      <c r="J260" s="130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>
      <c r="A261" s="107"/>
      <c r="B261" s="131"/>
      <c r="C261" s="120"/>
      <c r="D261" s="121"/>
      <c r="E261" s="107"/>
      <c r="F261" s="122"/>
      <c r="G261" s="22"/>
      <c r="H261" s="123"/>
      <c r="I261" s="126"/>
      <c r="J261" s="130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>
      <c r="A262" s="107"/>
      <c r="B262" s="131"/>
      <c r="C262" s="120"/>
      <c r="D262" s="121"/>
      <c r="E262" s="107"/>
      <c r="F262" s="122"/>
      <c r="G262" s="22"/>
      <c r="H262" s="123"/>
      <c r="I262" s="126"/>
      <c r="J262" s="130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>
      <c r="A263" s="107"/>
      <c r="B263" s="131"/>
      <c r="C263" s="120"/>
      <c r="D263" s="121"/>
      <c r="E263" s="107"/>
      <c r="F263" s="122"/>
      <c r="G263" s="22"/>
      <c r="H263" s="123"/>
      <c r="I263" s="126"/>
      <c r="J263" s="130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>
      <c r="A264" s="107"/>
      <c r="B264" s="131"/>
      <c r="C264" s="120"/>
      <c r="D264" s="121"/>
      <c r="E264" s="107"/>
      <c r="F264" s="122"/>
      <c r="G264" s="22"/>
      <c r="H264" s="123"/>
      <c r="I264" s="126"/>
      <c r="J264" s="130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>
      <c r="A265" s="107"/>
      <c r="B265" s="131"/>
      <c r="C265" s="120"/>
      <c r="D265" s="121"/>
      <c r="E265" s="107"/>
      <c r="F265" s="122"/>
      <c r="G265" s="22"/>
      <c r="H265" s="123"/>
      <c r="I265" s="126"/>
      <c r="J265" s="130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>
      <c r="A266" s="107"/>
      <c r="B266" s="131"/>
      <c r="C266" s="120"/>
      <c r="D266" s="121"/>
      <c r="E266" s="107"/>
      <c r="F266" s="122"/>
      <c r="G266" s="22"/>
      <c r="H266" s="123"/>
      <c r="I266" s="126"/>
      <c r="J266" s="130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>
      <c r="A267" s="107"/>
      <c r="B267" s="131"/>
      <c r="C267" s="120"/>
      <c r="D267" s="121"/>
      <c r="E267" s="107"/>
      <c r="F267" s="122"/>
      <c r="G267" s="22"/>
      <c r="H267" s="123"/>
      <c r="I267" s="126"/>
      <c r="J267" s="130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>
      <c r="A268" s="107"/>
      <c r="B268" s="131"/>
      <c r="C268" s="120"/>
      <c r="D268" s="121"/>
      <c r="E268" s="107"/>
      <c r="F268" s="122"/>
      <c r="G268" s="22"/>
      <c r="H268" s="123"/>
      <c r="I268" s="126"/>
      <c r="J268" s="130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>
      <c r="A269" s="107"/>
      <c r="B269" s="131"/>
      <c r="C269" s="120"/>
      <c r="D269" s="121"/>
      <c r="E269" s="107"/>
      <c r="F269" s="122"/>
      <c r="G269" s="22"/>
      <c r="H269" s="123"/>
      <c r="I269" s="126"/>
      <c r="J269" s="130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>
      <c r="A270" s="107"/>
      <c r="B270" s="131"/>
      <c r="C270" s="120"/>
      <c r="D270" s="121"/>
      <c r="E270" s="107"/>
      <c r="F270" s="122"/>
      <c r="G270" s="22"/>
      <c r="H270" s="123"/>
      <c r="I270" s="126"/>
      <c r="J270" s="130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>
      <c r="A271" s="107"/>
      <c r="B271" s="131"/>
      <c r="C271" s="120"/>
      <c r="D271" s="121"/>
      <c r="E271" s="107"/>
      <c r="F271" s="122"/>
      <c r="G271" s="22"/>
      <c r="H271" s="123"/>
      <c r="I271" s="126"/>
      <c r="J271" s="130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>
      <c r="A272" s="107"/>
      <c r="B272" s="131"/>
      <c r="C272" s="120"/>
      <c r="D272" s="121"/>
      <c r="E272" s="107"/>
      <c r="F272" s="122"/>
      <c r="G272" s="22"/>
      <c r="H272" s="123"/>
      <c r="I272" s="126"/>
      <c r="J272" s="130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>
      <c r="A273" s="107"/>
      <c r="B273" s="131"/>
      <c r="C273" s="120"/>
      <c r="D273" s="121"/>
      <c r="E273" s="107"/>
      <c r="F273" s="122"/>
      <c r="G273" s="22"/>
      <c r="H273" s="123"/>
      <c r="I273" s="126"/>
      <c r="J273" s="130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>
      <c r="A274" s="107"/>
      <c r="B274" s="131"/>
      <c r="C274" s="120"/>
      <c r="D274" s="121"/>
      <c r="E274" s="107"/>
      <c r="F274" s="122"/>
      <c r="G274" s="22"/>
      <c r="H274" s="123"/>
      <c r="I274" s="126"/>
      <c r="J274" s="130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>
      <c r="A275" s="107"/>
      <c r="B275" s="131"/>
      <c r="C275" s="120"/>
      <c r="D275" s="121"/>
      <c r="E275" s="107"/>
      <c r="F275" s="122"/>
      <c r="G275" s="22"/>
      <c r="H275" s="123"/>
      <c r="I275" s="126"/>
      <c r="J275" s="130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>
      <c r="A276" s="107"/>
      <c r="B276" s="131"/>
      <c r="C276" s="120"/>
      <c r="D276" s="121"/>
      <c r="E276" s="107"/>
      <c r="F276" s="122"/>
      <c r="G276" s="22"/>
      <c r="H276" s="123"/>
      <c r="I276" s="126"/>
      <c r="J276" s="130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>
      <c r="A277" s="107"/>
      <c r="B277" s="131"/>
      <c r="C277" s="120"/>
      <c r="D277" s="121"/>
      <c r="E277" s="107"/>
      <c r="F277" s="122"/>
      <c r="G277" s="22"/>
      <c r="H277" s="123"/>
      <c r="I277" s="126"/>
      <c r="J277" s="130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>
      <c r="A278" s="107"/>
      <c r="B278" s="131"/>
      <c r="C278" s="120"/>
      <c r="D278" s="121"/>
      <c r="E278" s="107"/>
      <c r="F278" s="122"/>
      <c r="G278" s="22"/>
      <c r="H278" s="123"/>
      <c r="I278" s="126"/>
      <c r="J278" s="130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>
      <c r="A279" s="107"/>
      <c r="B279" s="131"/>
      <c r="C279" s="120"/>
      <c r="D279" s="121"/>
      <c r="E279" s="107"/>
      <c r="F279" s="122"/>
      <c r="G279" s="22"/>
      <c r="H279" s="123"/>
      <c r="I279" s="126"/>
      <c r="J279" s="130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>
      <c r="A280" s="107"/>
      <c r="B280" s="131"/>
      <c r="C280" s="120"/>
      <c r="D280" s="121"/>
      <c r="E280" s="107"/>
      <c r="F280" s="122"/>
      <c r="G280" s="22"/>
      <c r="H280" s="123"/>
      <c r="I280" s="126"/>
      <c r="J280" s="130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>
      <c r="A281" s="107"/>
      <c r="B281" s="131"/>
      <c r="C281" s="120"/>
      <c r="D281" s="121"/>
      <c r="E281" s="107"/>
      <c r="F281" s="122"/>
      <c r="G281" s="22"/>
      <c r="H281" s="123"/>
      <c r="I281" s="126"/>
      <c r="J281" s="130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>
      <c r="A282" s="107"/>
      <c r="B282" s="131"/>
      <c r="C282" s="120"/>
      <c r="D282" s="121"/>
      <c r="E282" s="107"/>
      <c r="F282" s="122"/>
      <c r="G282" s="22"/>
      <c r="H282" s="123"/>
      <c r="I282" s="126"/>
      <c r="J282" s="130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>
      <c r="A283" s="107"/>
      <c r="B283" s="131"/>
      <c r="C283" s="120"/>
      <c r="D283" s="121"/>
      <c r="E283" s="107"/>
      <c r="F283" s="122"/>
      <c r="G283" s="22"/>
      <c r="H283" s="123"/>
      <c r="I283" s="126"/>
      <c r="J283" s="130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>
      <c r="A284" s="107"/>
      <c r="B284" s="131"/>
      <c r="C284" s="120"/>
      <c r="D284" s="121"/>
      <c r="E284" s="107"/>
      <c r="F284" s="122"/>
      <c r="G284" s="22"/>
      <c r="H284" s="123"/>
      <c r="I284" s="126"/>
      <c r="J284" s="130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>
      <c r="A285" s="107"/>
      <c r="B285" s="131"/>
      <c r="C285" s="120"/>
      <c r="D285" s="121"/>
      <c r="E285" s="107"/>
      <c r="F285" s="122"/>
      <c r="G285" s="22"/>
      <c r="H285" s="123"/>
      <c r="I285" s="126"/>
      <c r="J285" s="130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>
      <c r="A286" s="107"/>
      <c r="B286" s="131"/>
      <c r="C286" s="120"/>
      <c r="D286" s="121"/>
      <c r="E286" s="107"/>
      <c r="F286" s="122"/>
      <c r="G286" s="22"/>
      <c r="H286" s="123"/>
      <c r="I286" s="126"/>
      <c r="J286" s="130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>
      <c r="A287" s="107"/>
      <c r="B287" s="131"/>
      <c r="C287" s="120"/>
      <c r="D287" s="121"/>
      <c r="E287" s="107"/>
      <c r="F287" s="122"/>
      <c r="G287" s="22"/>
      <c r="H287" s="123"/>
      <c r="I287" s="126"/>
      <c r="J287" s="130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>
      <c r="A288" s="107"/>
      <c r="B288" s="131"/>
      <c r="C288" s="120"/>
      <c r="D288" s="121"/>
      <c r="E288" s="107"/>
      <c r="F288" s="122"/>
      <c r="G288" s="22"/>
      <c r="H288" s="123"/>
      <c r="I288" s="126"/>
      <c r="J288" s="130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>
      <c r="A289" s="107"/>
      <c r="B289" s="131"/>
      <c r="C289" s="120"/>
      <c r="D289" s="121"/>
      <c r="E289" s="107"/>
      <c r="F289" s="122"/>
      <c r="G289" s="22"/>
      <c r="H289" s="123"/>
      <c r="I289" s="126"/>
      <c r="J289" s="130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>
      <c r="A290" s="107"/>
      <c r="B290" s="131"/>
      <c r="C290" s="120"/>
      <c r="D290" s="121"/>
      <c r="E290" s="107"/>
      <c r="F290" s="122"/>
      <c r="G290" s="22"/>
      <c r="H290" s="123"/>
      <c r="I290" s="126"/>
      <c r="J290" s="130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>
      <c r="A291" s="107"/>
      <c r="B291" s="131"/>
      <c r="C291" s="120"/>
      <c r="D291" s="121"/>
      <c r="E291" s="107"/>
      <c r="F291" s="122"/>
      <c r="G291" s="22"/>
      <c r="H291" s="123"/>
      <c r="I291" s="126"/>
      <c r="J291" s="130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>
      <c r="A292" s="107"/>
      <c r="B292" s="131"/>
      <c r="C292" s="120"/>
      <c r="D292" s="121"/>
      <c r="E292" s="107"/>
      <c r="F292" s="122"/>
      <c r="G292" s="22"/>
      <c r="H292" s="123"/>
      <c r="I292" s="126"/>
      <c r="J292" s="130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>
      <c r="A293" s="107"/>
      <c r="B293" s="131"/>
      <c r="C293" s="120"/>
      <c r="D293" s="121"/>
      <c r="E293" s="107"/>
      <c r="F293" s="122"/>
      <c r="G293" s="22"/>
      <c r="H293" s="123"/>
      <c r="I293" s="126"/>
      <c r="J293" s="130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>
      <c r="A294" s="107"/>
      <c r="B294" s="131"/>
      <c r="C294" s="120"/>
      <c r="D294" s="121"/>
      <c r="E294" s="107"/>
      <c r="F294" s="122"/>
      <c r="G294" s="22"/>
      <c r="H294" s="123"/>
      <c r="I294" s="126"/>
      <c r="J294" s="130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>
      <c r="A295" s="107"/>
      <c r="B295" s="131"/>
      <c r="C295" s="120"/>
      <c r="D295" s="121"/>
      <c r="E295" s="107"/>
      <c r="F295" s="122"/>
      <c r="G295" s="22"/>
      <c r="H295" s="123"/>
      <c r="I295" s="126"/>
      <c r="J295" s="130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>
      <c r="A296" s="107"/>
      <c r="B296" s="131"/>
      <c r="C296" s="120"/>
      <c r="D296" s="121"/>
      <c r="E296" s="107"/>
      <c r="F296" s="122"/>
      <c r="G296" s="22"/>
      <c r="H296" s="123"/>
      <c r="I296" s="126"/>
      <c r="J296" s="130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>
      <c r="A297" s="107"/>
      <c r="B297" s="131"/>
      <c r="C297" s="120"/>
      <c r="D297" s="121"/>
      <c r="E297" s="107"/>
      <c r="F297" s="122"/>
      <c r="G297" s="22"/>
      <c r="H297" s="123"/>
      <c r="I297" s="126"/>
      <c r="J297" s="130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>
      <c r="A298" s="107"/>
      <c r="B298" s="131"/>
      <c r="C298" s="120"/>
      <c r="D298" s="121"/>
      <c r="E298" s="107"/>
      <c r="F298" s="122"/>
      <c r="G298" s="22"/>
      <c r="H298" s="123"/>
      <c r="I298" s="126"/>
      <c r="J298" s="130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>
      <c r="A299" s="107"/>
      <c r="B299" s="131"/>
      <c r="C299" s="120"/>
      <c r="D299" s="121"/>
      <c r="E299" s="107"/>
      <c r="F299" s="122"/>
      <c r="G299" s="22"/>
      <c r="H299" s="123"/>
      <c r="I299" s="126"/>
      <c r="J299" s="130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>
      <c r="A300" s="107"/>
      <c r="B300" s="131"/>
      <c r="C300" s="120"/>
      <c r="D300" s="121"/>
      <c r="E300" s="107"/>
      <c r="F300" s="122"/>
      <c r="G300" s="22"/>
      <c r="H300" s="123"/>
      <c r="I300" s="126"/>
      <c r="J300" s="130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>
      <c r="A301" s="107"/>
      <c r="B301" s="131"/>
      <c r="C301" s="120"/>
      <c r="D301" s="121"/>
      <c r="E301" s="107"/>
      <c r="F301" s="122"/>
      <c r="G301" s="22"/>
      <c r="H301" s="123"/>
      <c r="I301" s="126"/>
      <c r="J301" s="130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>
      <c r="A302" s="107"/>
      <c r="B302" s="131"/>
      <c r="C302" s="120"/>
      <c r="D302" s="121"/>
      <c r="E302" s="107"/>
      <c r="F302" s="122"/>
      <c r="G302" s="22"/>
      <c r="H302" s="123"/>
      <c r="I302" s="126"/>
      <c r="J302" s="130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>
      <c r="A303" s="107"/>
      <c r="B303" s="131"/>
      <c r="C303" s="120"/>
      <c r="D303" s="121"/>
      <c r="E303" s="107"/>
      <c r="F303" s="122"/>
      <c r="G303" s="22"/>
      <c r="H303" s="123"/>
      <c r="I303" s="126"/>
      <c r="J303" s="130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>
      <c r="A304" s="107"/>
      <c r="B304" s="131"/>
      <c r="C304" s="120"/>
      <c r="D304" s="121"/>
      <c r="E304" s="107"/>
      <c r="F304" s="122"/>
      <c r="G304" s="22"/>
      <c r="H304" s="123"/>
      <c r="I304" s="126"/>
      <c r="J304" s="130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>
      <c r="A305" s="107"/>
      <c r="B305" s="131"/>
      <c r="C305" s="120"/>
      <c r="D305" s="121"/>
      <c r="E305" s="107"/>
      <c r="F305" s="122"/>
      <c r="G305" s="22"/>
      <c r="H305" s="123"/>
      <c r="I305" s="126"/>
      <c r="J305" s="130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>
      <c r="A306" s="107"/>
      <c r="B306" s="131"/>
      <c r="C306" s="120"/>
      <c r="D306" s="121"/>
      <c r="E306" s="107"/>
      <c r="F306" s="122"/>
      <c r="G306" s="22"/>
      <c r="H306" s="123"/>
      <c r="I306" s="126"/>
      <c r="J306" s="130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>
      <c r="A307" s="107"/>
      <c r="B307" s="131"/>
      <c r="C307" s="120"/>
      <c r="D307" s="121"/>
      <c r="E307" s="107"/>
      <c r="F307" s="122"/>
      <c r="G307" s="22"/>
      <c r="H307" s="123"/>
      <c r="I307" s="126"/>
      <c r="J307" s="130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>
      <c r="A308" s="107"/>
      <c r="B308" s="131"/>
      <c r="C308" s="120"/>
      <c r="D308" s="121"/>
      <c r="E308" s="107"/>
      <c r="F308" s="122"/>
      <c r="G308" s="22"/>
      <c r="H308" s="123"/>
      <c r="I308" s="126"/>
      <c r="J308" s="130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>
      <c r="A309" s="107"/>
      <c r="B309" s="131"/>
      <c r="C309" s="120"/>
      <c r="D309" s="121"/>
      <c r="E309" s="107"/>
      <c r="F309" s="122"/>
      <c r="G309" s="22"/>
      <c r="H309" s="123"/>
      <c r="I309" s="126"/>
      <c r="J309" s="130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>
      <c r="A310" s="107"/>
      <c r="B310" s="131"/>
      <c r="C310" s="120"/>
      <c r="D310" s="121"/>
      <c r="E310" s="107"/>
      <c r="F310" s="122"/>
      <c r="G310" s="22"/>
      <c r="H310" s="123"/>
      <c r="I310" s="126"/>
      <c r="J310" s="130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>
      <c r="A311" s="107"/>
      <c r="B311" s="131"/>
      <c r="C311" s="120"/>
      <c r="D311" s="121"/>
      <c r="E311" s="107"/>
      <c r="F311" s="122"/>
      <c r="G311" s="22"/>
      <c r="H311" s="123"/>
      <c r="I311" s="126"/>
      <c r="J311" s="130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>
      <c r="A312" s="107"/>
      <c r="B312" s="131"/>
      <c r="C312" s="120"/>
      <c r="D312" s="121"/>
      <c r="E312" s="107"/>
      <c r="F312" s="122"/>
      <c r="G312" s="22"/>
      <c r="H312" s="123"/>
      <c r="I312" s="126"/>
      <c r="J312" s="130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>
      <c r="A313" s="107"/>
      <c r="B313" s="131"/>
      <c r="C313" s="120"/>
      <c r="D313" s="121"/>
      <c r="E313" s="107"/>
      <c r="F313" s="122"/>
      <c r="G313" s="22"/>
      <c r="H313" s="123"/>
      <c r="I313" s="126"/>
      <c r="J313" s="130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>
      <c r="A314" s="107"/>
      <c r="B314" s="131"/>
      <c r="C314" s="120"/>
      <c r="D314" s="121"/>
      <c r="E314" s="107"/>
      <c r="F314" s="122"/>
      <c r="G314" s="22"/>
      <c r="H314" s="123"/>
      <c r="I314" s="126"/>
      <c r="J314" s="130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>
      <c r="A315" s="107"/>
      <c r="B315" s="131"/>
      <c r="C315" s="120"/>
      <c r="D315" s="121"/>
      <c r="E315" s="107"/>
      <c r="F315" s="122"/>
      <c r="G315" s="22"/>
      <c r="H315" s="123"/>
      <c r="I315" s="126"/>
      <c r="J315" s="130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>
      <c r="A316" s="107"/>
      <c r="B316" s="131"/>
      <c r="C316" s="120"/>
      <c r="D316" s="121"/>
      <c r="E316" s="107"/>
      <c r="F316" s="122"/>
      <c r="G316" s="22"/>
      <c r="H316" s="123"/>
      <c r="I316" s="126"/>
      <c r="J316" s="130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>
      <c r="A317" s="107"/>
      <c r="B317" s="131"/>
      <c r="C317" s="120"/>
      <c r="D317" s="121"/>
      <c r="E317" s="107"/>
      <c r="F317" s="122"/>
      <c r="G317" s="22"/>
      <c r="H317" s="123"/>
      <c r="I317" s="126"/>
      <c r="J317" s="130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>
      <c r="A318" s="107"/>
      <c r="B318" s="131"/>
      <c r="C318" s="120"/>
      <c r="D318" s="121"/>
      <c r="E318" s="107"/>
      <c r="F318" s="122"/>
      <c r="G318" s="22"/>
      <c r="H318" s="123"/>
      <c r="I318" s="126"/>
      <c r="J318" s="130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>
      <c r="A319" s="107"/>
      <c r="B319" s="131"/>
      <c r="C319" s="120"/>
      <c r="D319" s="121"/>
      <c r="E319" s="107"/>
      <c r="F319" s="122"/>
      <c r="G319" s="22"/>
      <c r="H319" s="123"/>
      <c r="I319" s="126"/>
      <c r="J319" s="130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>
      <c r="A320" s="107"/>
      <c r="B320" s="131"/>
      <c r="C320" s="120"/>
      <c r="D320" s="121"/>
      <c r="E320" s="107"/>
      <c r="F320" s="122"/>
      <c r="G320" s="22"/>
      <c r="H320" s="123"/>
      <c r="I320" s="126"/>
      <c r="J320" s="130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>
      <c r="A321" s="107"/>
      <c r="B321" s="131"/>
      <c r="C321" s="120"/>
      <c r="D321" s="121"/>
      <c r="E321" s="107"/>
      <c r="F321" s="122"/>
      <c r="G321" s="22"/>
      <c r="H321" s="123"/>
      <c r="I321" s="126"/>
      <c r="J321" s="130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>
      <c r="A322" s="107"/>
      <c r="B322" s="131"/>
      <c r="C322" s="120"/>
      <c r="D322" s="121"/>
      <c r="E322" s="107"/>
      <c r="F322" s="122"/>
      <c r="G322" s="22"/>
      <c r="H322" s="123"/>
      <c r="I322" s="126"/>
      <c r="J322" s="130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>
      <c r="A323" s="107"/>
      <c r="B323" s="131"/>
      <c r="C323" s="120"/>
      <c r="D323" s="121"/>
      <c r="E323" s="107"/>
      <c r="F323" s="122"/>
      <c r="G323" s="22"/>
      <c r="H323" s="123"/>
      <c r="I323" s="126"/>
      <c r="J323" s="130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>
      <c r="A324" s="107"/>
      <c r="B324" s="131"/>
      <c r="C324" s="120"/>
      <c r="D324" s="121"/>
      <c r="E324" s="107"/>
      <c r="F324" s="122"/>
      <c r="G324" s="22"/>
      <c r="H324" s="123"/>
      <c r="I324" s="126"/>
      <c r="J324" s="130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>
      <c r="A325" s="107"/>
      <c r="B325" s="131"/>
      <c r="C325" s="120"/>
      <c r="D325" s="121"/>
      <c r="E325" s="107"/>
      <c r="F325" s="122"/>
      <c r="G325" s="22"/>
      <c r="H325" s="123"/>
      <c r="I325" s="126"/>
      <c r="J325" s="130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>
      <c r="A326" s="107"/>
      <c r="B326" s="131"/>
      <c r="C326" s="120"/>
      <c r="D326" s="121"/>
      <c r="E326" s="107"/>
      <c r="F326" s="122"/>
      <c r="G326" s="22"/>
      <c r="H326" s="123"/>
      <c r="I326" s="126"/>
      <c r="J326" s="130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>
      <c r="A327" s="107"/>
      <c r="B327" s="131"/>
      <c r="C327" s="120"/>
      <c r="D327" s="121"/>
      <c r="E327" s="107"/>
      <c r="F327" s="122"/>
      <c r="G327" s="22"/>
      <c r="H327" s="123"/>
      <c r="I327" s="126"/>
      <c r="J327" s="130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>
      <c r="A328" s="107"/>
      <c r="B328" s="131"/>
      <c r="C328" s="120"/>
      <c r="D328" s="121"/>
      <c r="E328" s="107"/>
      <c r="F328" s="122"/>
      <c r="G328" s="22"/>
      <c r="H328" s="123"/>
      <c r="I328" s="126"/>
      <c r="J328" s="130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>
      <c r="A329" s="107"/>
      <c r="B329" s="131"/>
      <c r="C329" s="120"/>
      <c r="D329" s="121"/>
      <c r="E329" s="107"/>
      <c r="F329" s="122"/>
      <c r="G329" s="22"/>
      <c r="H329" s="123"/>
      <c r="I329" s="126"/>
      <c r="J329" s="130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>
      <c r="A330" s="107"/>
      <c r="B330" s="131"/>
      <c r="C330" s="120"/>
      <c r="D330" s="121"/>
      <c r="E330" s="107"/>
      <c r="F330" s="122"/>
      <c r="G330" s="22"/>
      <c r="H330" s="123"/>
      <c r="I330" s="126"/>
      <c r="J330" s="130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>
      <c r="A331" s="107"/>
      <c r="B331" s="131"/>
      <c r="C331" s="120"/>
      <c r="D331" s="121"/>
      <c r="E331" s="107"/>
      <c r="F331" s="122"/>
      <c r="G331" s="22"/>
      <c r="H331" s="123"/>
      <c r="I331" s="126"/>
      <c r="J331" s="130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>
      <c r="A332" s="107"/>
      <c r="B332" s="131"/>
      <c r="C332" s="120"/>
      <c r="D332" s="121"/>
      <c r="E332" s="107"/>
      <c r="F332" s="122"/>
      <c r="G332" s="22"/>
      <c r="H332" s="123"/>
      <c r="I332" s="126"/>
      <c r="J332" s="130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>
      <c r="A333" s="107"/>
      <c r="B333" s="131"/>
      <c r="C333" s="120"/>
      <c r="D333" s="121"/>
      <c r="E333" s="107"/>
      <c r="F333" s="122"/>
      <c r="G333" s="22"/>
      <c r="H333" s="123"/>
      <c r="I333" s="126"/>
      <c r="J333" s="130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>
      <c r="A334" s="107"/>
      <c r="B334" s="131"/>
      <c r="C334" s="120"/>
      <c r="D334" s="121"/>
      <c r="E334" s="107"/>
      <c r="F334" s="122"/>
      <c r="G334" s="22"/>
      <c r="H334" s="123"/>
      <c r="I334" s="126"/>
      <c r="J334" s="130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>
      <c r="A335" s="107"/>
      <c r="B335" s="131"/>
      <c r="C335" s="120"/>
      <c r="D335" s="121"/>
      <c r="E335" s="107"/>
      <c r="F335" s="122"/>
      <c r="G335" s="22"/>
      <c r="H335" s="123"/>
      <c r="I335" s="126"/>
      <c r="J335" s="130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>
      <c r="A336" s="107"/>
      <c r="B336" s="131"/>
      <c r="C336" s="120"/>
      <c r="D336" s="121"/>
      <c r="E336" s="107"/>
      <c r="F336" s="122"/>
      <c r="G336" s="22"/>
      <c r="H336" s="123"/>
      <c r="I336" s="126"/>
      <c r="J336" s="130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>
      <c r="A337" s="107"/>
      <c r="B337" s="131"/>
      <c r="C337" s="120"/>
      <c r="D337" s="121"/>
      <c r="E337" s="107"/>
      <c r="F337" s="122"/>
      <c r="G337" s="22"/>
      <c r="H337" s="123"/>
      <c r="I337" s="126"/>
      <c r="J337" s="130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>
      <c r="A338" s="107"/>
      <c r="B338" s="131"/>
      <c r="C338" s="120"/>
      <c r="D338" s="121"/>
      <c r="E338" s="107"/>
      <c r="F338" s="122"/>
      <c r="G338" s="22"/>
      <c r="H338" s="123"/>
      <c r="I338" s="126"/>
      <c r="J338" s="130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>
      <c r="A339" s="107"/>
      <c r="B339" s="131"/>
      <c r="C339" s="120"/>
      <c r="D339" s="121"/>
      <c r="E339" s="107"/>
      <c r="F339" s="122"/>
      <c r="G339" s="22"/>
      <c r="H339" s="123"/>
      <c r="I339" s="126"/>
      <c r="J339" s="130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>
      <c r="A340" s="107"/>
      <c r="B340" s="131"/>
      <c r="C340" s="120"/>
      <c r="D340" s="121"/>
      <c r="E340" s="107"/>
      <c r="F340" s="122"/>
      <c r="G340" s="22"/>
      <c r="H340" s="123"/>
      <c r="I340" s="126"/>
      <c r="J340" s="130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>
      <c r="A341" s="107"/>
      <c r="B341" s="131"/>
      <c r="C341" s="120"/>
      <c r="D341" s="121"/>
      <c r="E341" s="107"/>
      <c r="F341" s="122"/>
      <c r="G341" s="22"/>
      <c r="H341" s="123"/>
      <c r="I341" s="126"/>
      <c r="J341" s="130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>
      <c r="A342" s="107"/>
      <c r="B342" s="131"/>
      <c r="C342" s="120"/>
      <c r="D342" s="121"/>
      <c r="E342" s="107"/>
      <c r="F342" s="122"/>
      <c r="G342" s="22"/>
      <c r="H342" s="123"/>
      <c r="I342" s="126"/>
      <c r="J342" s="130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>
      <c r="A343" s="107"/>
      <c r="B343" s="131"/>
      <c r="C343" s="120"/>
      <c r="D343" s="121"/>
      <c r="E343" s="107"/>
      <c r="F343" s="122"/>
      <c r="G343" s="22"/>
      <c r="H343" s="123"/>
      <c r="I343" s="126"/>
      <c r="J343" s="130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>
      <c r="A344" s="107"/>
      <c r="B344" s="131"/>
      <c r="C344" s="120"/>
      <c r="D344" s="121"/>
      <c r="E344" s="107"/>
      <c r="F344" s="122"/>
      <c r="G344" s="22"/>
      <c r="H344" s="123"/>
      <c r="I344" s="126"/>
      <c r="J344" s="130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>
      <c r="A345" s="107"/>
      <c r="B345" s="131"/>
      <c r="C345" s="120"/>
      <c r="D345" s="121"/>
      <c r="E345" s="107"/>
      <c r="F345" s="122"/>
      <c r="G345" s="22"/>
      <c r="H345" s="123"/>
      <c r="I345" s="126"/>
      <c r="J345" s="130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>
      <c r="A346" s="107"/>
      <c r="B346" s="131"/>
      <c r="C346" s="120"/>
      <c r="D346" s="121"/>
      <c r="E346" s="107"/>
      <c r="F346" s="122"/>
      <c r="G346" s="22"/>
      <c r="H346" s="123"/>
      <c r="I346" s="126"/>
      <c r="J346" s="130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>
      <c r="A347" s="107"/>
      <c r="B347" s="131"/>
      <c r="C347" s="120"/>
      <c r="D347" s="121"/>
      <c r="E347" s="107"/>
      <c r="F347" s="122"/>
      <c r="G347" s="22"/>
      <c r="H347" s="123"/>
      <c r="I347" s="126"/>
      <c r="J347" s="130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>
      <c r="A348" s="107"/>
      <c r="B348" s="131"/>
      <c r="C348" s="120"/>
      <c r="D348" s="121"/>
      <c r="E348" s="107"/>
      <c r="F348" s="122"/>
      <c r="G348" s="22"/>
      <c r="H348" s="123"/>
      <c r="I348" s="126"/>
      <c r="J348" s="130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>
      <c r="A349" s="107"/>
      <c r="B349" s="131"/>
      <c r="C349" s="120"/>
      <c r="D349" s="121"/>
      <c r="E349" s="107"/>
      <c r="F349" s="122"/>
      <c r="G349" s="22"/>
      <c r="H349" s="123"/>
      <c r="I349" s="126"/>
      <c r="J349" s="130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>
      <c r="A350" s="107"/>
      <c r="B350" s="131"/>
      <c r="C350" s="120"/>
      <c r="D350" s="121"/>
      <c r="E350" s="107"/>
      <c r="F350" s="122"/>
      <c r="G350" s="22"/>
      <c r="H350" s="123"/>
      <c r="I350" s="126"/>
      <c r="J350" s="130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>
      <c r="A351" s="107"/>
      <c r="B351" s="131"/>
      <c r="C351" s="120"/>
      <c r="D351" s="121"/>
      <c r="E351" s="107"/>
      <c r="F351" s="122"/>
      <c r="G351" s="22"/>
      <c r="H351" s="123"/>
      <c r="I351" s="126"/>
      <c r="J351" s="130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>
      <c r="A352" s="107"/>
      <c r="B352" s="131"/>
      <c r="C352" s="120"/>
      <c r="D352" s="121"/>
      <c r="E352" s="107"/>
      <c r="F352" s="122"/>
      <c r="G352" s="22"/>
      <c r="H352" s="123"/>
      <c r="I352" s="126"/>
      <c r="J352" s="130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>
      <c r="A353" s="107"/>
      <c r="B353" s="131"/>
      <c r="C353" s="120"/>
      <c r="D353" s="121"/>
      <c r="E353" s="107"/>
      <c r="F353" s="122"/>
      <c r="G353" s="22"/>
      <c r="H353" s="123"/>
      <c r="I353" s="126"/>
      <c r="J353" s="130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>
      <c r="A354" s="107"/>
      <c r="B354" s="131"/>
      <c r="C354" s="120"/>
      <c r="D354" s="121"/>
      <c r="E354" s="107"/>
      <c r="F354" s="122"/>
      <c r="G354" s="22"/>
      <c r="H354" s="123"/>
      <c r="I354" s="126"/>
      <c r="J354" s="130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>
      <c r="A355" s="107"/>
      <c r="B355" s="131"/>
      <c r="C355" s="120"/>
      <c r="D355" s="121"/>
      <c r="E355" s="107"/>
      <c r="F355" s="122"/>
      <c r="G355" s="22"/>
      <c r="H355" s="123"/>
      <c r="I355" s="126"/>
      <c r="J355" s="130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>
      <c r="A356" s="107"/>
      <c r="B356" s="131"/>
      <c r="C356" s="120"/>
      <c r="D356" s="121"/>
      <c r="E356" s="107"/>
      <c r="F356" s="122"/>
      <c r="G356" s="22"/>
      <c r="H356" s="123"/>
      <c r="I356" s="126"/>
      <c r="J356" s="130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>
      <c r="A357" s="107"/>
      <c r="B357" s="131"/>
      <c r="C357" s="120"/>
      <c r="D357" s="121"/>
      <c r="E357" s="107"/>
      <c r="F357" s="122"/>
      <c r="G357" s="22"/>
      <c r="H357" s="123"/>
      <c r="I357" s="126"/>
      <c r="J357" s="130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>
      <c r="A358" s="107"/>
      <c r="B358" s="131"/>
      <c r="C358" s="120"/>
      <c r="D358" s="121"/>
      <c r="E358" s="107"/>
      <c r="F358" s="122"/>
      <c r="G358" s="22"/>
      <c r="H358" s="123"/>
      <c r="I358" s="126"/>
      <c r="J358" s="130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>
      <c r="A359" s="107"/>
      <c r="B359" s="131"/>
      <c r="C359" s="120"/>
      <c r="D359" s="121"/>
      <c r="E359" s="107"/>
      <c r="F359" s="122"/>
      <c r="G359" s="22"/>
      <c r="H359" s="123"/>
      <c r="I359" s="126"/>
      <c r="J359" s="130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>
      <c r="A360" s="107"/>
      <c r="B360" s="131"/>
      <c r="C360" s="120"/>
      <c r="D360" s="121"/>
      <c r="E360" s="107"/>
      <c r="F360" s="122"/>
      <c r="G360" s="22"/>
      <c r="H360" s="123"/>
      <c r="I360" s="126"/>
      <c r="J360" s="130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>
      <c r="A361" s="107"/>
      <c r="B361" s="131"/>
      <c r="C361" s="120"/>
      <c r="D361" s="121"/>
      <c r="E361" s="107"/>
      <c r="F361" s="122"/>
      <c r="G361" s="22"/>
      <c r="H361" s="123"/>
      <c r="I361" s="126"/>
      <c r="J361" s="130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>
      <c r="A362" s="107"/>
      <c r="B362" s="131"/>
      <c r="C362" s="120"/>
      <c r="D362" s="121"/>
      <c r="E362" s="107"/>
      <c r="F362" s="122"/>
      <c r="G362" s="22"/>
      <c r="H362" s="123"/>
      <c r="I362" s="126"/>
      <c r="J362" s="130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>
      <c r="A363" s="107"/>
      <c r="B363" s="131"/>
      <c r="C363" s="120"/>
      <c r="D363" s="121"/>
      <c r="E363" s="107"/>
      <c r="F363" s="122"/>
      <c r="G363" s="22"/>
      <c r="H363" s="123"/>
      <c r="I363" s="126"/>
      <c r="J363" s="130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>
      <c r="A364" s="107"/>
      <c r="B364" s="131"/>
      <c r="C364" s="120"/>
      <c r="D364" s="121"/>
      <c r="E364" s="107"/>
      <c r="F364" s="122"/>
      <c r="G364" s="22"/>
      <c r="H364" s="123"/>
      <c r="I364" s="126"/>
      <c r="J364" s="130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>
      <c r="A365" s="107"/>
      <c r="B365" s="131"/>
      <c r="C365" s="120"/>
      <c r="D365" s="121"/>
      <c r="E365" s="107"/>
      <c r="F365" s="122"/>
      <c r="G365" s="22"/>
      <c r="H365" s="123"/>
      <c r="I365" s="126"/>
      <c r="J365" s="130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>
      <c r="A366" s="107"/>
      <c r="B366" s="131"/>
      <c r="C366" s="120"/>
      <c r="D366" s="121"/>
      <c r="E366" s="107"/>
      <c r="F366" s="122"/>
      <c r="G366" s="22"/>
      <c r="H366" s="123"/>
      <c r="I366" s="126"/>
      <c r="J366" s="130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>
      <c r="A367" s="107"/>
      <c r="B367" s="131"/>
      <c r="C367" s="120"/>
      <c r="D367" s="121"/>
      <c r="E367" s="107"/>
      <c r="F367" s="122"/>
      <c r="G367" s="22"/>
      <c r="H367" s="123"/>
      <c r="I367" s="126"/>
      <c r="J367" s="130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>
      <c r="A368" s="107"/>
      <c r="B368" s="131"/>
      <c r="C368" s="120"/>
      <c r="D368" s="121"/>
      <c r="E368" s="107"/>
      <c r="F368" s="122"/>
      <c r="G368" s="22"/>
      <c r="H368" s="123"/>
      <c r="I368" s="126"/>
      <c r="J368" s="130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>
      <c r="A369" s="107"/>
      <c r="B369" s="131"/>
      <c r="C369" s="120"/>
      <c r="D369" s="121"/>
      <c r="E369" s="107"/>
      <c r="F369" s="122"/>
      <c r="G369" s="22"/>
      <c r="H369" s="123"/>
      <c r="I369" s="126"/>
      <c r="J369" s="130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>
      <c r="A370" s="107"/>
      <c r="B370" s="131"/>
      <c r="C370" s="120"/>
      <c r="D370" s="121"/>
      <c r="E370" s="107"/>
      <c r="F370" s="122"/>
      <c r="G370" s="22"/>
      <c r="H370" s="123"/>
      <c r="I370" s="126"/>
      <c r="J370" s="130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>
      <c r="A371" s="107"/>
      <c r="B371" s="131"/>
      <c r="C371" s="120"/>
      <c r="D371" s="121"/>
      <c r="E371" s="107"/>
      <c r="F371" s="122"/>
      <c r="G371" s="22"/>
      <c r="H371" s="123"/>
      <c r="I371" s="126"/>
      <c r="J371" s="130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>
      <c r="A372" s="107"/>
      <c r="B372" s="131"/>
      <c r="C372" s="120"/>
      <c r="D372" s="121"/>
      <c r="E372" s="107"/>
      <c r="F372" s="122"/>
      <c r="G372" s="22"/>
      <c r="H372" s="123"/>
      <c r="I372" s="126"/>
      <c r="J372" s="130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>
      <c r="A373" s="107"/>
      <c r="B373" s="131"/>
      <c r="C373" s="120"/>
      <c r="D373" s="121"/>
      <c r="E373" s="107"/>
      <c r="F373" s="122"/>
      <c r="G373" s="22"/>
      <c r="H373" s="123"/>
      <c r="I373" s="126"/>
      <c r="J373" s="130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>
      <c r="A374" s="107"/>
      <c r="B374" s="131"/>
      <c r="C374" s="120"/>
      <c r="D374" s="121"/>
      <c r="E374" s="107"/>
      <c r="F374" s="122"/>
      <c r="G374" s="22"/>
      <c r="H374" s="123"/>
      <c r="I374" s="126"/>
      <c r="J374" s="130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>
      <c r="A375" s="107"/>
      <c r="B375" s="131"/>
      <c r="C375" s="120"/>
      <c r="D375" s="121"/>
      <c r="E375" s="107"/>
      <c r="F375" s="122"/>
      <c r="G375" s="22"/>
      <c r="H375" s="123"/>
      <c r="I375" s="126"/>
      <c r="J375" s="130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>
      <c r="A376" s="107"/>
      <c r="B376" s="131"/>
      <c r="C376" s="120"/>
      <c r="D376" s="121"/>
      <c r="E376" s="107"/>
      <c r="F376" s="122"/>
      <c r="G376" s="22"/>
      <c r="H376" s="123"/>
      <c r="I376" s="126"/>
      <c r="J376" s="130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>
      <c r="A377" s="107"/>
      <c r="B377" s="131"/>
      <c r="C377" s="120"/>
      <c r="D377" s="121"/>
      <c r="E377" s="107"/>
      <c r="F377" s="122"/>
      <c r="G377" s="22"/>
      <c r="H377" s="123"/>
      <c r="I377" s="126"/>
      <c r="J377" s="130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>
      <c r="A378" s="107"/>
      <c r="B378" s="131"/>
      <c r="C378" s="120"/>
      <c r="D378" s="121"/>
      <c r="E378" s="107"/>
      <c r="F378" s="122"/>
      <c r="G378" s="22"/>
      <c r="H378" s="123"/>
      <c r="I378" s="126"/>
      <c r="J378" s="130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>
      <c r="A379" s="107"/>
      <c r="B379" s="131"/>
      <c r="C379" s="120"/>
      <c r="D379" s="121"/>
      <c r="E379" s="107"/>
      <c r="F379" s="122"/>
      <c r="G379" s="22"/>
      <c r="H379" s="123"/>
      <c r="I379" s="126"/>
      <c r="J379" s="130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>
      <c r="A380" s="107"/>
      <c r="B380" s="131"/>
      <c r="C380" s="120"/>
      <c r="D380" s="121"/>
      <c r="E380" s="107"/>
      <c r="F380" s="122"/>
      <c r="G380" s="22"/>
      <c r="H380" s="123"/>
      <c r="I380" s="126"/>
      <c r="J380" s="130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>
      <c r="A381" s="107"/>
      <c r="B381" s="131"/>
      <c r="C381" s="120"/>
      <c r="D381" s="121"/>
      <c r="E381" s="107"/>
      <c r="F381" s="122"/>
      <c r="G381" s="22"/>
      <c r="H381" s="123"/>
      <c r="I381" s="126"/>
      <c r="J381" s="130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>
      <c r="A382" s="107"/>
      <c r="B382" s="131"/>
      <c r="C382" s="120"/>
      <c r="D382" s="121"/>
      <c r="E382" s="107"/>
      <c r="F382" s="122"/>
      <c r="G382" s="22"/>
      <c r="H382" s="123"/>
      <c r="I382" s="126"/>
      <c r="J382" s="130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>
      <c r="A383" s="107"/>
      <c r="B383" s="131"/>
      <c r="C383" s="120"/>
      <c r="D383" s="121"/>
      <c r="E383" s="107"/>
      <c r="F383" s="122"/>
      <c r="G383" s="22"/>
      <c r="H383" s="123"/>
      <c r="I383" s="126"/>
      <c r="J383" s="130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>
      <c r="A384" s="107"/>
      <c r="B384" s="131"/>
      <c r="C384" s="120"/>
      <c r="D384" s="121"/>
      <c r="E384" s="107"/>
      <c r="F384" s="122"/>
      <c r="G384" s="22"/>
      <c r="H384" s="123"/>
      <c r="I384" s="126"/>
      <c r="J384" s="130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>
      <c r="A385" s="107"/>
      <c r="B385" s="131"/>
      <c r="C385" s="120"/>
      <c r="D385" s="121"/>
      <c r="E385" s="107"/>
      <c r="F385" s="122"/>
      <c r="G385" s="22"/>
      <c r="H385" s="123"/>
      <c r="I385" s="126"/>
      <c r="J385" s="130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>
      <c r="A386" s="107"/>
      <c r="B386" s="131"/>
      <c r="C386" s="120"/>
      <c r="D386" s="121"/>
      <c r="E386" s="107"/>
      <c r="F386" s="122"/>
      <c r="G386" s="22"/>
      <c r="H386" s="123"/>
      <c r="I386" s="126"/>
      <c r="J386" s="130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>
      <c r="A387" s="107"/>
      <c r="B387" s="131"/>
      <c r="C387" s="120"/>
      <c r="D387" s="121"/>
      <c r="E387" s="107"/>
      <c r="F387" s="122"/>
      <c r="G387" s="22"/>
      <c r="H387" s="123"/>
      <c r="I387" s="126"/>
      <c r="J387" s="130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>
      <c r="A388" s="107"/>
      <c r="B388" s="131"/>
      <c r="C388" s="120"/>
      <c r="D388" s="121"/>
      <c r="E388" s="107"/>
      <c r="F388" s="122"/>
      <c r="G388" s="22"/>
      <c r="H388" s="123"/>
      <c r="I388" s="126"/>
      <c r="J388" s="130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>
      <c r="A389" s="107"/>
      <c r="B389" s="131"/>
      <c r="C389" s="120"/>
      <c r="D389" s="121"/>
      <c r="E389" s="107"/>
      <c r="F389" s="122"/>
      <c r="G389" s="22"/>
      <c r="H389" s="123"/>
      <c r="I389" s="126"/>
      <c r="J389" s="130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>
      <c r="A390" s="107"/>
      <c r="B390" s="131"/>
      <c r="C390" s="120"/>
      <c r="D390" s="121"/>
      <c r="E390" s="107"/>
      <c r="F390" s="122"/>
      <c r="G390" s="22"/>
      <c r="H390" s="123"/>
      <c r="I390" s="126"/>
      <c r="J390" s="130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>
      <c r="A391" s="107"/>
      <c r="B391" s="131"/>
      <c r="C391" s="120"/>
      <c r="D391" s="121"/>
      <c r="E391" s="107"/>
      <c r="F391" s="122"/>
      <c r="G391" s="22"/>
      <c r="H391" s="123"/>
      <c r="I391" s="126"/>
      <c r="J391" s="130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>
      <c r="A392" s="107"/>
      <c r="B392" s="131"/>
      <c r="C392" s="120"/>
      <c r="D392" s="121"/>
      <c r="E392" s="107"/>
      <c r="F392" s="122"/>
      <c r="G392" s="22"/>
      <c r="H392" s="123"/>
      <c r="I392" s="126"/>
      <c r="J392" s="130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>
      <c r="A393" s="107"/>
      <c r="B393" s="131"/>
      <c r="C393" s="120"/>
      <c r="D393" s="121"/>
      <c r="E393" s="107"/>
      <c r="F393" s="122"/>
      <c r="G393" s="22"/>
      <c r="H393" s="123"/>
      <c r="I393" s="126"/>
      <c r="J393" s="130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>
      <c r="A394" s="107"/>
      <c r="B394" s="131"/>
      <c r="C394" s="120"/>
      <c r="D394" s="121"/>
      <c r="E394" s="107"/>
      <c r="F394" s="122"/>
      <c r="G394" s="22"/>
      <c r="H394" s="123"/>
      <c r="I394" s="126"/>
      <c r="J394" s="130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>
      <c r="A395" s="107"/>
      <c r="B395" s="131"/>
      <c r="C395" s="120"/>
      <c r="D395" s="121"/>
      <c r="E395" s="107"/>
      <c r="F395" s="122"/>
      <c r="G395" s="22"/>
      <c r="H395" s="123"/>
      <c r="I395" s="126"/>
      <c r="J395" s="130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>
      <c r="A396" s="107"/>
      <c r="B396" s="131"/>
      <c r="C396" s="120"/>
      <c r="D396" s="121"/>
      <c r="E396" s="107"/>
      <c r="F396" s="122"/>
      <c r="G396" s="22"/>
      <c r="H396" s="123"/>
      <c r="I396" s="126"/>
      <c r="J396" s="130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>
      <c r="A397" s="107"/>
      <c r="B397" s="131"/>
      <c r="C397" s="120"/>
      <c r="D397" s="121"/>
      <c r="E397" s="107"/>
      <c r="F397" s="122"/>
      <c r="G397" s="22"/>
      <c r="H397" s="123"/>
      <c r="I397" s="126"/>
      <c r="J397" s="130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>
      <c r="A398" s="107"/>
      <c r="B398" s="131"/>
      <c r="C398" s="120"/>
      <c r="D398" s="121"/>
      <c r="E398" s="107"/>
      <c r="F398" s="122"/>
      <c r="G398" s="22"/>
      <c r="H398" s="123"/>
      <c r="I398" s="126"/>
      <c r="J398" s="130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>
      <c r="A399" s="107"/>
      <c r="B399" s="131"/>
      <c r="C399" s="120"/>
      <c r="D399" s="121"/>
      <c r="E399" s="107"/>
      <c r="F399" s="122"/>
      <c r="G399" s="22"/>
      <c r="H399" s="123"/>
      <c r="I399" s="126"/>
      <c r="J399" s="130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>
      <c r="A400" s="107"/>
      <c r="B400" s="131"/>
      <c r="C400" s="120"/>
      <c r="D400" s="121"/>
      <c r="E400" s="107"/>
      <c r="F400" s="122"/>
      <c r="G400" s="22"/>
      <c r="H400" s="123"/>
      <c r="I400" s="126"/>
      <c r="J400" s="130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>
      <c r="A401" s="107"/>
      <c r="B401" s="131"/>
      <c r="C401" s="120"/>
      <c r="D401" s="121"/>
      <c r="E401" s="107"/>
      <c r="F401" s="122"/>
      <c r="G401" s="22"/>
      <c r="H401" s="123"/>
      <c r="I401" s="126"/>
      <c r="J401" s="130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>
      <c r="A402" s="107"/>
      <c r="B402" s="131"/>
      <c r="C402" s="120"/>
      <c r="D402" s="121"/>
      <c r="E402" s="107"/>
      <c r="F402" s="122"/>
      <c r="G402" s="22"/>
      <c r="H402" s="123"/>
      <c r="I402" s="126"/>
      <c r="J402" s="130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>
      <c r="A403" s="107"/>
      <c r="B403" s="131"/>
      <c r="C403" s="120"/>
      <c r="D403" s="121"/>
      <c r="E403" s="107"/>
      <c r="F403" s="122"/>
      <c r="G403" s="22"/>
      <c r="H403" s="123"/>
      <c r="I403" s="126"/>
      <c r="J403" s="130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>
      <c r="A404" s="107"/>
      <c r="B404" s="131"/>
      <c r="C404" s="120"/>
      <c r="D404" s="121"/>
      <c r="E404" s="107"/>
      <c r="F404" s="122"/>
      <c r="G404" s="22"/>
      <c r="H404" s="123"/>
      <c r="I404" s="126"/>
      <c r="J404" s="130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>
      <c r="A405" s="107"/>
      <c r="B405" s="131"/>
      <c r="C405" s="120"/>
      <c r="D405" s="121"/>
      <c r="E405" s="107"/>
      <c r="F405" s="122"/>
      <c r="G405" s="22"/>
      <c r="H405" s="123"/>
      <c r="I405" s="126"/>
      <c r="J405" s="130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>
      <c r="A406" s="107"/>
      <c r="B406" s="131"/>
      <c r="C406" s="120"/>
      <c r="D406" s="121"/>
      <c r="E406" s="107"/>
      <c r="F406" s="122"/>
      <c r="G406" s="22"/>
      <c r="H406" s="123"/>
      <c r="I406" s="126"/>
      <c r="J406" s="130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>
      <c r="A407" s="107"/>
      <c r="B407" s="131"/>
      <c r="C407" s="120"/>
      <c r="D407" s="121"/>
      <c r="E407" s="107"/>
      <c r="F407" s="122"/>
      <c r="G407" s="22"/>
      <c r="H407" s="123"/>
      <c r="I407" s="126"/>
      <c r="J407" s="130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>
      <c r="A408" s="107"/>
      <c r="B408" s="131"/>
      <c r="C408" s="120"/>
      <c r="D408" s="121"/>
      <c r="E408" s="107"/>
      <c r="F408" s="122"/>
      <c r="G408" s="22"/>
      <c r="H408" s="123"/>
      <c r="I408" s="126"/>
      <c r="J408" s="130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>
      <c r="A409" s="107"/>
      <c r="B409" s="131"/>
      <c r="C409" s="120"/>
      <c r="D409" s="121"/>
      <c r="E409" s="107"/>
      <c r="F409" s="122"/>
      <c r="G409" s="22"/>
      <c r="H409" s="123"/>
      <c r="I409" s="126"/>
      <c r="J409" s="130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>
      <c r="A410" s="107"/>
      <c r="B410" s="131"/>
      <c r="C410" s="120"/>
      <c r="D410" s="121"/>
      <c r="E410" s="107"/>
      <c r="F410" s="122"/>
      <c r="G410" s="22"/>
      <c r="H410" s="123"/>
      <c r="I410" s="126"/>
      <c r="J410" s="130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>
      <c r="A411" s="107"/>
      <c r="B411" s="131"/>
      <c r="C411" s="120"/>
      <c r="D411" s="121"/>
      <c r="E411" s="107"/>
      <c r="F411" s="122"/>
      <c r="G411" s="22"/>
      <c r="H411" s="123"/>
      <c r="I411" s="126"/>
      <c r="J411" s="130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>
      <c r="A412" s="107"/>
      <c r="B412" s="131"/>
      <c r="C412" s="120"/>
      <c r="D412" s="121"/>
      <c r="E412" s="107"/>
      <c r="F412" s="122"/>
      <c r="G412" s="22"/>
      <c r="H412" s="123"/>
      <c r="I412" s="126"/>
      <c r="J412" s="130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>
      <c r="A413" s="107"/>
      <c r="B413" s="131"/>
      <c r="C413" s="120"/>
      <c r="D413" s="121"/>
      <c r="E413" s="107"/>
      <c r="F413" s="122"/>
      <c r="G413" s="22"/>
      <c r="H413" s="123"/>
      <c r="I413" s="126"/>
      <c r="J413" s="130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>
      <c r="A414" s="107"/>
      <c r="B414" s="131"/>
      <c r="C414" s="120"/>
      <c r="D414" s="121"/>
      <c r="E414" s="107"/>
      <c r="F414" s="122"/>
      <c r="G414" s="22"/>
      <c r="H414" s="123"/>
      <c r="I414" s="126"/>
      <c r="J414" s="130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>
      <c r="A415" s="107"/>
      <c r="B415" s="131"/>
      <c r="C415" s="120"/>
      <c r="D415" s="121"/>
      <c r="E415" s="107"/>
      <c r="F415" s="122"/>
      <c r="G415" s="22"/>
      <c r="H415" s="123"/>
      <c r="I415" s="126"/>
      <c r="J415" s="130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>
      <c r="A416" s="107"/>
      <c r="B416" s="131"/>
      <c r="C416" s="120"/>
      <c r="D416" s="121"/>
      <c r="E416" s="107"/>
      <c r="F416" s="122"/>
      <c r="G416" s="22"/>
      <c r="H416" s="123"/>
      <c r="I416" s="126"/>
      <c r="J416" s="130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>
      <c r="A417" s="107"/>
      <c r="B417" s="131"/>
      <c r="C417" s="120"/>
      <c r="D417" s="121"/>
      <c r="E417" s="107"/>
      <c r="F417" s="122"/>
      <c r="G417" s="22"/>
      <c r="H417" s="123"/>
      <c r="I417" s="126"/>
      <c r="J417" s="130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>
      <c r="A418" s="107"/>
      <c r="B418" s="131"/>
      <c r="C418" s="120"/>
      <c r="D418" s="121"/>
      <c r="E418" s="107"/>
      <c r="F418" s="122"/>
      <c r="G418" s="22"/>
      <c r="H418" s="123"/>
      <c r="I418" s="126"/>
      <c r="J418" s="130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>
      <c r="A419" s="107"/>
      <c r="B419" s="131"/>
      <c r="C419" s="120"/>
      <c r="D419" s="121"/>
      <c r="E419" s="107"/>
      <c r="F419" s="122"/>
      <c r="G419" s="22"/>
      <c r="H419" s="123"/>
      <c r="I419" s="126"/>
      <c r="J419" s="130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>
      <c r="A420" s="107"/>
      <c r="B420" s="131"/>
      <c r="C420" s="120"/>
      <c r="D420" s="121"/>
      <c r="E420" s="107"/>
      <c r="F420" s="122"/>
      <c r="G420" s="22"/>
      <c r="H420" s="123"/>
      <c r="I420" s="126"/>
      <c r="J420" s="130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>
      <c r="A421" s="107"/>
      <c r="B421" s="131"/>
      <c r="C421" s="120"/>
      <c r="D421" s="121"/>
      <c r="E421" s="107"/>
      <c r="F421" s="122"/>
      <c r="G421" s="22"/>
      <c r="H421" s="123"/>
      <c r="I421" s="126"/>
      <c r="J421" s="130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>
      <c r="A422" s="107"/>
      <c r="B422" s="131"/>
      <c r="C422" s="120"/>
      <c r="D422" s="121"/>
      <c r="E422" s="107"/>
      <c r="F422" s="122"/>
      <c r="G422" s="22"/>
      <c r="H422" s="123"/>
      <c r="I422" s="126"/>
      <c r="J422" s="130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>
      <c r="A423" s="107"/>
      <c r="B423" s="131"/>
      <c r="C423" s="120"/>
      <c r="D423" s="121"/>
      <c r="E423" s="107"/>
      <c r="F423" s="122"/>
      <c r="G423" s="22"/>
      <c r="H423" s="123"/>
      <c r="I423" s="126"/>
      <c r="J423" s="130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>
      <c r="A424" s="107"/>
      <c r="B424" s="131"/>
      <c r="C424" s="120"/>
      <c r="D424" s="121"/>
      <c r="E424" s="107"/>
      <c r="F424" s="122"/>
      <c r="G424" s="22"/>
      <c r="H424" s="123"/>
      <c r="I424" s="126"/>
      <c r="J424" s="130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>
      <c r="A425" s="107"/>
      <c r="B425" s="131"/>
      <c r="C425" s="120"/>
      <c r="D425" s="121"/>
      <c r="E425" s="107"/>
      <c r="F425" s="122"/>
      <c r="G425" s="22"/>
      <c r="H425" s="123"/>
      <c r="I425" s="126"/>
      <c r="J425" s="130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>
      <c r="A426" s="107"/>
      <c r="B426" s="131"/>
      <c r="C426" s="120"/>
      <c r="D426" s="121"/>
      <c r="E426" s="107"/>
      <c r="F426" s="122"/>
      <c r="G426" s="22"/>
      <c r="H426" s="123"/>
      <c r="I426" s="126"/>
      <c r="J426" s="130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>
      <c r="A427" s="107"/>
      <c r="B427" s="131"/>
      <c r="C427" s="120"/>
      <c r="D427" s="121"/>
      <c r="E427" s="107"/>
      <c r="F427" s="122"/>
      <c r="G427" s="22"/>
      <c r="H427" s="123"/>
      <c r="I427" s="126"/>
      <c r="J427" s="130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>
      <c r="A428" s="107"/>
      <c r="B428" s="131"/>
      <c r="C428" s="120"/>
      <c r="D428" s="121"/>
      <c r="E428" s="107"/>
      <c r="F428" s="122"/>
      <c r="G428" s="22"/>
      <c r="H428" s="123"/>
      <c r="I428" s="126"/>
      <c r="J428" s="130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>
      <c r="A429" s="107"/>
      <c r="B429" s="131"/>
      <c r="C429" s="120"/>
      <c r="D429" s="121"/>
      <c r="E429" s="107"/>
      <c r="F429" s="122"/>
      <c r="G429" s="22"/>
      <c r="H429" s="123"/>
      <c r="I429" s="126"/>
      <c r="J429" s="130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>
      <c r="A430" s="107"/>
      <c r="B430" s="131"/>
      <c r="C430" s="120"/>
      <c r="D430" s="121"/>
      <c r="E430" s="107"/>
      <c r="F430" s="122"/>
      <c r="G430" s="22"/>
      <c r="H430" s="123"/>
      <c r="I430" s="126"/>
      <c r="J430" s="130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>
      <c r="A431" s="107"/>
      <c r="B431" s="131"/>
      <c r="C431" s="120"/>
      <c r="D431" s="121"/>
      <c r="E431" s="107"/>
      <c r="F431" s="122"/>
      <c r="G431" s="22"/>
      <c r="H431" s="123"/>
      <c r="I431" s="126"/>
      <c r="J431" s="130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>
      <c r="A432" s="107"/>
      <c r="B432" s="131"/>
      <c r="C432" s="120"/>
      <c r="D432" s="121"/>
      <c r="E432" s="107"/>
      <c r="F432" s="122"/>
      <c r="G432" s="22"/>
      <c r="H432" s="123"/>
      <c r="I432" s="126"/>
      <c r="J432" s="130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>
      <c r="A433" s="107"/>
      <c r="B433" s="131"/>
      <c r="C433" s="120"/>
      <c r="D433" s="121"/>
      <c r="E433" s="107"/>
      <c r="F433" s="122"/>
      <c r="G433" s="22"/>
      <c r="H433" s="123"/>
      <c r="I433" s="126"/>
      <c r="J433" s="130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>
      <c r="A434" s="107"/>
      <c r="B434" s="131"/>
      <c r="C434" s="120"/>
      <c r="D434" s="121"/>
      <c r="E434" s="107"/>
      <c r="F434" s="122"/>
      <c r="G434" s="22"/>
      <c r="H434" s="123"/>
      <c r="I434" s="126"/>
      <c r="J434" s="130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>
      <c r="A435" s="107"/>
      <c r="B435" s="131"/>
      <c r="C435" s="120"/>
      <c r="D435" s="121"/>
      <c r="E435" s="107"/>
      <c r="F435" s="122"/>
      <c r="G435" s="22"/>
      <c r="H435" s="123"/>
      <c r="I435" s="126"/>
      <c r="J435" s="130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>
      <c r="A436" s="107"/>
      <c r="B436" s="131"/>
      <c r="C436" s="120"/>
      <c r="D436" s="121"/>
      <c r="E436" s="107"/>
      <c r="F436" s="122"/>
      <c r="G436" s="22"/>
      <c r="H436" s="123"/>
      <c r="I436" s="126"/>
      <c r="J436" s="130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>
      <c r="A437" s="107"/>
      <c r="B437" s="131"/>
      <c r="C437" s="120"/>
      <c r="D437" s="121"/>
      <c r="E437" s="107"/>
      <c r="F437" s="122"/>
      <c r="G437" s="22"/>
      <c r="H437" s="123"/>
      <c r="I437" s="126"/>
      <c r="J437" s="130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>
      <c r="A438" s="107"/>
      <c r="B438" s="131"/>
      <c r="C438" s="120"/>
      <c r="D438" s="121"/>
      <c r="E438" s="107"/>
      <c r="F438" s="122"/>
      <c r="G438" s="22"/>
      <c r="H438" s="123"/>
      <c r="I438" s="126"/>
      <c r="J438" s="130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>
      <c r="A439" s="107"/>
      <c r="B439" s="131"/>
      <c r="C439" s="120"/>
      <c r="D439" s="121"/>
      <c r="E439" s="107"/>
      <c r="F439" s="122"/>
      <c r="G439" s="22"/>
      <c r="H439" s="123"/>
      <c r="I439" s="126"/>
      <c r="J439" s="130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>
      <c r="A440" s="107"/>
      <c r="B440" s="131"/>
      <c r="C440" s="120"/>
      <c r="D440" s="121"/>
      <c r="E440" s="107"/>
      <c r="F440" s="122"/>
      <c r="G440" s="22"/>
      <c r="H440" s="123"/>
      <c r="I440" s="126"/>
      <c r="J440" s="130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>
      <c r="A441" s="107"/>
      <c r="B441" s="131"/>
      <c r="C441" s="120"/>
      <c r="D441" s="121"/>
      <c r="E441" s="107"/>
      <c r="F441" s="122"/>
      <c r="G441" s="22"/>
      <c r="H441" s="123"/>
      <c r="I441" s="126"/>
      <c r="J441" s="130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>
      <c r="A442" s="107"/>
      <c r="B442" s="131"/>
      <c r="C442" s="120"/>
      <c r="D442" s="121"/>
      <c r="E442" s="107"/>
      <c r="F442" s="122"/>
      <c r="G442" s="22"/>
      <c r="H442" s="123"/>
      <c r="I442" s="126"/>
      <c r="J442" s="130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>
      <c r="A443" s="107"/>
      <c r="B443" s="131"/>
      <c r="C443" s="120"/>
      <c r="D443" s="121"/>
      <c r="E443" s="107"/>
      <c r="F443" s="122"/>
      <c r="G443" s="22"/>
      <c r="H443" s="123"/>
      <c r="I443" s="126"/>
      <c r="J443" s="130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>
      <c r="A444" s="107"/>
      <c r="B444" s="131"/>
      <c r="C444" s="120"/>
      <c r="D444" s="121"/>
      <c r="E444" s="107"/>
      <c r="F444" s="122"/>
      <c r="G444" s="22"/>
      <c r="H444" s="123"/>
      <c r="I444" s="126"/>
      <c r="J444" s="130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>
      <c r="A445" s="107"/>
      <c r="B445" s="131"/>
      <c r="C445" s="120"/>
      <c r="D445" s="121"/>
      <c r="E445" s="107"/>
      <c r="F445" s="122"/>
      <c r="G445" s="22"/>
      <c r="H445" s="123"/>
      <c r="I445" s="126"/>
      <c r="J445" s="130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>
      <c r="A446" s="107"/>
      <c r="B446" s="131"/>
      <c r="C446" s="120"/>
      <c r="D446" s="121"/>
      <c r="E446" s="107"/>
      <c r="F446" s="122"/>
      <c r="G446" s="22"/>
      <c r="H446" s="123"/>
      <c r="I446" s="126"/>
      <c r="J446" s="130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>
      <c r="A447" s="107"/>
      <c r="B447" s="131"/>
      <c r="C447" s="120"/>
      <c r="D447" s="121"/>
      <c r="E447" s="107"/>
      <c r="F447" s="122"/>
      <c r="G447" s="22"/>
      <c r="H447" s="123"/>
      <c r="I447" s="126"/>
      <c r="J447" s="130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>
      <c r="A448" s="107"/>
      <c r="B448" s="131"/>
      <c r="C448" s="120"/>
      <c r="D448" s="121"/>
      <c r="E448" s="107"/>
      <c r="F448" s="122"/>
      <c r="G448" s="22"/>
      <c r="H448" s="123"/>
      <c r="I448" s="126"/>
      <c r="J448" s="130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>
      <c r="A449" s="107"/>
      <c r="B449" s="131"/>
      <c r="C449" s="120"/>
      <c r="D449" s="121"/>
      <c r="E449" s="107"/>
      <c r="F449" s="122"/>
      <c r="G449" s="22"/>
      <c r="H449" s="123"/>
      <c r="I449" s="126"/>
      <c r="J449" s="130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>
      <c r="A450" s="107"/>
      <c r="B450" s="131"/>
      <c r="C450" s="120"/>
      <c r="D450" s="121"/>
      <c r="E450" s="107"/>
      <c r="F450" s="122"/>
      <c r="G450" s="22"/>
      <c r="H450" s="123"/>
      <c r="I450" s="126"/>
      <c r="J450" s="130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>
      <c r="A451" s="107"/>
      <c r="B451" s="131"/>
      <c r="C451" s="120"/>
      <c r="D451" s="121"/>
      <c r="E451" s="107"/>
      <c r="F451" s="122"/>
      <c r="G451" s="22"/>
      <c r="H451" s="123"/>
      <c r="I451" s="126"/>
      <c r="J451" s="130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>
      <c r="A452" s="107"/>
      <c r="B452" s="131"/>
      <c r="C452" s="120"/>
      <c r="D452" s="121"/>
      <c r="E452" s="107"/>
      <c r="F452" s="122"/>
      <c r="G452" s="22"/>
      <c r="H452" s="123"/>
      <c r="I452" s="126"/>
      <c r="J452" s="130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>
      <c r="A453" s="107"/>
      <c r="B453" s="131"/>
      <c r="C453" s="120"/>
      <c r="D453" s="121"/>
      <c r="E453" s="107"/>
      <c r="F453" s="122"/>
      <c r="G453" s="22"/>
      <c r="H453" s="123"/>
      <c r="I453" s="126"/>
      <c r="J453" s="130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>
      <c r="A454" s="107"/>
      <c r="B454" s="131"/>
      <c r="C454" s="120"/>
      <c r="D454" s="121"/>
      <c r="E454" s="107"/>
      <c r="F454" s="122"/>
      <c r="G454" s="22"/>
      <c r="H454" s="123"/>
      <c r="I454" s="126"/>
      <c r="J454" s="130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>
      <c r="A455" s="107"/>
      <c r="B455" s="131"/>
      <c r="C455" s="120"/>
      <c r="D455" s="121"/>
      <c r="E455" s="107"/>
      <c r="F455" s="122"/>
      <c r="G455" s="22"/>
      <c r="H455" s="123"/>
      <c r="I455" s="126"/>
      <c r="J455" s="130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>
      <c r="A456" s="107"/>
      <c r="B456" s="131"/>
      <c r="C456" s="120"/>
      <c r="D456" s="121"/>
      <c r="E456" s="107"/>
      <c r="F456" s="122"/>
      <c r="G456" s="22"/>
      <c r="H456" s="123"/>
      <c r="I456" s="126"/>
      <c r="J456" s="130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>
      <c r="A457" s="107"/>
      <c r="B457" s="131"/>
      <c r="C457" s="120"/>
      <c r="D457" s="121"/>
      <c r="E457" s="107"/>
      <c r="F457" s="122"/>
      <c r="G457" s="22"/>
      <c r="H457" s="123"/>
      <c r="I457" s="126"/>
      <c r="J457" s="130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>
      <c r="A458" s="107"/>
      <c r="B458" s="131"/>
      <c r="C458" s="120"/>
      <c r="D458" s="121"/>
      <c r="E458" s="107"/>
      <c r="F458" s="122"/>
      <c r="G458" s="22"/>
      <c r="H458" s="123"/>
      <c r="I458" s="126"/>
      <c r="J458" s="130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>
      <c r="A459" s="107"/>
      <c r="B459" s="131"/>
      <c r="C459" s="120"/>
      <c r="D459" s="121"/>
      <c r="E459" s="107"/>
      <c r="F459" s="122"/>
      <c r="G459" s="22"/>
      <c r="H459" s="123"/>
      <c r="I459" s="126"/>
      <c r="J459" s="130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>
      <c r="A460" s="107"/>
      <c r="B460" s="131"/>
      <c r="C460" s="120"/>
      <c r="D460" s="121"/>
      <c r="E460" s="107"/>
      <c r="F460" s="122"/>
      <c r="G460" s="22"/>
      <c r="H460" s="123"/>
      <c r="I460" s="126"/>
      <c r="J460" s="130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>
      <c r="A461" s="107"/>
      <c r="B461" s="131"/>
      <c r="C461" s="120"/>
      <c r="D461" s="121"/>
      <c r="E461" s="107"/>
      <c r="F461" s="122"/>
      <c r="G461" s="22"/>
      <c r="H461" s="123"/>
      <c r="I461" s="126"/>
      <c r="J461" s="130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>
      <c r="A462" s="107"/>
      <c r="B462" s="131"/>
      <c r="C462" s="120"/>
      <c r="D462" s="121"/>
      <c r="E462" s="107"/>
      <c r="F462" s="122"/>
      <c r="G462" s="22"/>
      <c r="H462" s="123"/>
      <c r="I462" s="126"/>
      <c r="J462" s="130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>
      <c r="A463" s="107"/>
      <c r="B463" s="131"/>
      <c r="C463" s="120"/>
      <c r="D463" s="121"/>
      <c r="E463" s="107"/>
      <c r="F463" s="122"/>
      <c r="G463" s="22"/>
      <c r="H463" s="123"/>
      <c r="I463" s="126"/>
      <c r="J463" s="130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>
      <c r="A464" s="107"/>
      <c r="B464" s="131"/>
      <c r="C464" s="120"/>
      <c r="D464" s="121"/>
      <c r="E464" s="107"/>
      <c r="F464" s="122"/>
      <c r="G464" s="22"/>
      <c r="H464" s="123"/>
      <c r="I464" s="126"/>
      <c r="J464" s="130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>
      <c r="A465" s="107"/>
      <c r="B465" s="131"/>
      <c r="C465" s="120"/>
      <c r="D465" s="121"/>
      <c r="E465" s="107"/>
      <c r="F465" s="122"/>
      <c r="G465" s="22"/>
      <c r="H465" s="123"/>
      <c r="I465" s="126"/>
      <c r="J465" s="130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>
      <c r="A466" s="107"/>
      <c r="B466" s="131"/>
      <c r="C466" s="120"/>
      <c r="D466" s="121"/>
      <c r="E466" s="107"/>
      <c r="F466" s="122"/>
      <c r="G466" s="22"/>
      <c r="H466" s="123"/>
      <c r="I466" s="126"/>
      <c r="J466" s="130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>
      <c r="A467" s="107"/>
      <c r="B467" s="131"/>
      <c r="C467" s="120"/>
      <c r="D467" s="121"/>
      <c r="E467" s="107"/>
      <c r="F467" s="122"/>
      <c r="G467" s="22"/>
      <c r="H467" s="123"/>
      <c r="I467" s="126"/>
      <c r="J467" s="130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>
      <c r="A468" s="107"/>
      <c r="B468" s="131"/>
      <c r="C468" s="120"/>
      <c r="D468" s="121"/>
      <c r="E468" s="107"/>
      <c r="F468" s="122"/>
      <c r="G468" s="22"/>
      <c r="H468" s="123"/>
      <c r="I468" s="126"/>
      <c r="J468" s="130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>
      <c r="A469" s="107"/>
      <c r="B469" s="131"/>
      <c r="C469" s="120"/>
      <c r="D469" s="121"/>
      <c r="E469" s="107"/>
      <c r="F469" s="122"/>
      <c r="G469" s="22"/>
      <c r="H469" s="123"/>
      <c r="I469" s="126"/>
      <c r="J469" s="130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>
      <c r="A470" s="107"/>
      <c r="B470" s="131"/>
      <c r="C470" s="120"/>
      <c r="D470" s="121"/>
      <c r="E470" s="107"/>
      <c r="F470" s="122"/>
      <c r="G470" s="22"/>
      <c r="H470" s="123"/>
      <c r="I470" s="126"/>
      <c r="J470" s="130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>
      <c r="A471" s="107"/>
      <c r="B471" s="131"/>
      <c r="C471" s="120"/>
      <c r="D471" s="121"/>
      <c r="E471" s="107"/>
      <c r="F471" s="122"/>
      <c r="G471" s="22"/>
      <c r="H471" s="123"/>
      <c r="I471" s="126"/>
      <c r="J471" s="130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>
      <c r="A472" s="107"/>
      <c r="B472" s="131"/>
      <c r="C472" s="120"/>
      <c r="D472" s="121"/>
      <c r="E472" s="107"/>
      <c r="F472" s="122"/>
      <c r="G472" s="22"/>
      <c r="H472" s="123"/>
      <c r="I472" s="126"/>
      <c r="J472" s="130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>
      <c r="A473" s="107"/>
      <c r="B473" s="131"/>
      <c r="C473" s="120"/>
      <c r="D473" s="121"/>
      <c r="E473" s="107"/>
      <c r="F473" s="122"/>
      <c r="G473" s="22"/>
      <c r="H473" s="123"/>
      <c r="I473" s="126"/>
      <c r="J473" s="130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>
      <c r="A474" s="107"/>
      <c r="B474" s="131"/>
      <c r="C474" s="120"/>
      <c r="D474" s="121"/>
      <c r="E474" s="107"/>
      <c r="F474" s="122"/>
      <c r="G474" s="22"/>
      <c r="H474" s="123"/>
      <c r="I474" s="126"/>
      <c r="J474" s="130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>
      <c r="A475" s="107"/>
      <c r="B475" s="131"/>
      <c r="C475" s="120"/>
      <c r="D475" s="121"/>
      <c r="E475" s="107"/>
      <c r="F475" s="122"/>
      <c r="G475" s="22"/>
      <c r="H475" s="123"/>
      <c r="I475" s="126"/>
      <c r="J475" s="130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>
      <c r="A476" s="107"/>
      <c r="B476" s="131"/>
      <c r="C476" s="120"/>
      <c r="D476" s="121"/>
      <c r="E476" s="107"/>
      <c r="F476" s="122"/>
      <c r="G476" s="22"/>
      <c r="H476" s="123"/>
      <c r="I476" s="126"/>
      <c r="J476" s="130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>
      <c r="A477" s="107"/>
      <c r="B477" s="131"/>
      <c r="C477" s="120"/>
      <c r="D477" s="121"/>
      <c r="E477" s="107"/>
      <c r="F477" s="122"/>
      <c r="G477" s="22"/>
      <c r="H477" s="123"/>
      <c r="I477" s="126"/>
      <c r="J477" s="130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>
      <c r="A478" s="107"/>
      <c r="B478" s="131"/>
      <c r="C478" s="120"/>
      <c r="D478" s="121"/>
      <c r="E478" s="107"/>
      <c r="F478" s="122"/>
      <c r="G478" s="22"/>
      <c r="H478" s="123"/>
      <c r="I478" s="126"/>
      <c r="J478" s="130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>
      <c r="A479" s="107"/>
      <c r="B479" s="131"/>
      <c r="C479" s="120"/>
      <c r="D479" s="121"/>
      <c r="E479" s="107"/>
      <c r="F479" s="122"/>
      <c r="G479" s="22"/>
      <c r="H479" s="123"/>
      <c r="I479" s="126"/>
      <c r="J479" s="130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>
      <c r="A480" s="107"/>
      <c r="B480" s="131"/>
      <c r="C480" s="120"/>
      <c r="D480" s="121"/>
      <c r="E480" s="107"/>
      <c r="F480" s="122"/>
      <c r="G480" s="22"/>
      <c r="H480" s="123"/>
      <c r="I480" s="126"/>
      <c r="J480" s="130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>
      <c r="A481" s="107"/>
      <c r="B481" s="131"/>
      <c r="C481" s="120"/>
      <c r="D481" s="121"/>
      <c r="E481" s="107"/>
      <c r="F481" s="122"/>
      <c r="G481" s="22"/>
      <c r="H481" s="123"/>
      <c r="I481" s="126"/>
      <c r="J481" s="130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>
      <c r="A482" s="107"/>
      <c r="B482" s="131"/>
      <c r="C482" s="120"/>
      <c r="D482" s="121"/>
      <c r="E482" s="107"/>
      <c r="F482" s="122"/>
      <c r="G482" s="22"/>
      <c r="H482" s="123"/>
      <c r="I482" s="126"/>
      <c r="J482" s="130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>
      <c r="A483" s="107"/>
      <c r="B483" s="131"/>
      <c r="C483" s="120"/>
      <c r="D483" s="121"/>
      <c r="E483" s="107"/>
      <c r="F483" s="122"/>
      <c r="G483" s="22"/>
      <c r="H483" s="123"/>
      <c r="I483" s="126"/>
      <c r="J483" s="130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>
      <c r="A484" s="107"/>
      <c r="B484" s="131"/>
      <c r="C484" s="120"/>
      <c r="D484" s="121"/>
      <c r="E484" s="107"/>
      <c r="F484" s="122"/>
      <c r="G484" s="22"/>
      <c r="H484" s="123"/>
      <c r="I484" s="126"/>
      <c r="J484" s="130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>
      <c r="A485" s="107"/>
      <c r="B485" s="131"/>
      <c r="C485" s="120"/>
      <c r="D485" s="121"/>
      <c r="E485" s="107"/>
      <c r="F485" s="122"/>
      <c r="G485" s="22"/>
      <c r="H485" s="123"/>
      <c r="I485" s="126"/>
      <c r="J485" s="130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>
      <c r="A486" s="107"/>
      <c r="B486" s="131"/>
      <c r="C486" s="120"/>
      <c r="D486" s="121"/>
      <c r="E486" s="107"/>
      <c r="F486" s="122"/>
      <c r="G486" s="22"/>
      <c r="H486" s="123"/>
      <c r="I486" s="126"/>
      <c r="J486" s="130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>
      <c r="A487" s="107"/>
      <c r="B487" s="131"/>
      <c r="C487" s="120"/>
      <c r="D487" s="121"/>
      <c r="E487" s="107"/>
      <c r="F487" s="122"/>
      <c r="G487" s="22"/>
      <c r="H487" s="123"/>
      <c r="I487" s="126"/>
      <c r="J487" s="130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>
      <c r="A488" s="107"/>
      <c r="B488" s="131"/>
      <c r="C488" s="120"/>
      <c r="D488" s="121"/>
      <c r="E488" s="107"/>
      <c r="F488" s="122"/>
      <c r="G488" s="22"/>
      <c r="H488" s="123"/>
      <c r="I488" s="126"/>
      <c r="J488" s="130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>
      <c r="A489" s="107"/>
      <c r="B489" s="131"/>
      <c r="C489" s="120"/>
      <c r="D489" s="121"/>
      <c r="E489" s="107"/>
      <c r="F489" s="122"/>
      <c r="G489" s="22"/>
      <c r="H489" s="123"/>
      <c r="I489" s="126"/>
      <c r="J489" s="130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>
      <c r="A490" s="107"/>
      <c r="B490" s="131"/>
      <c r="C490" s="120"/>
      <c r="D490" s="121"/>
      <c r="E490" s="107"/>
      <c r="F490" s="122"/>
      <c r="G490" s="22"/>
      <c r="H490" s="123"/>
      <c r="I490" s="126"/>
      <c r="J490" s="130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>
      <c r="A491" s="107"/>
      <c r="B491" s="131"/>
      <c r="C491" s="120"/>
      <c r="D491" s="121"/>
      <c r="E491" s="107"/>
      <c r="F491" s="122"/>
      <c r="G491" s="22"/>
      <c r="H491" s="123"/>
      <c r="I491" s="126"/>
      <c r="J491" s="130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>
      <c r="A492" s="107"/>
      <c r="B492" s="131"/>
      <c r="C492" s="120"/>
      <c r="D492" s="121"/>
      <c r="E492" s="107"/>
      <c r="F492" s="122"/>
      <c r="G492" s="22"/>
      <c r="H492" s="123"/>
      <c r="I492" s="126"/>
      <c r="J492" s="130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>
      <c r="A493" s="107"/>
      <c r="B493" s="131"/>
      <c r="C493" s="120"/>
      <c r="D493" s="121"/>
      <c r="E493" s="107"/>
      <c r="F493" s="122"/>
      <c r="G493" s="22"/>
      <c r="H493" s="123"/>
      <c r="I493" s="126"/>
      <c r="J493" s="130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>
      <c r="A494" s="107"/>
      <c r="B494" s="131"/>
      <c r="C494" s="120"/>
      <c r="D494" s="121"/>
      <c r="E494" s="107"/>
      <c r="F494" s="122"/>
      <c r="G494" s="22"/>
      <c r="H494" s="123"/>
      <c r="I494" s="126"/>
      <c r="J494" s="130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>
      <c r="A495" s="107"/>
      <c r="B495" s="131"/>
      <c r="C495" s="120"/>
      <c r="D495" s="121"/>
      <c r="E495" s="107"/>
      <c r="F495" s="122"/>
      <c r="G495" s="22"/>
      <c r="H495" s="123"/>
      <c r="I495" s="126"/>
      <c r="J495" s="130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>
      <c r="A496" s="107"/>
      <c r="B496" s="131"/>
      <c r="C496" s="120"/>
      <c r="D496" s="121"/>
      <c r="E496" s="107"/>
      <c r="F496" s="122"/>
      <c r="G496" s="22"/>
      <c r="H496" s="123"/>
      <c r="I496" s="126"/>
      <c r="J496" s="130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>
      <c r="A497" s="107"/>
      <c r="B497" s="131"/>
      <c r="C497" s="120"/>
      <c r="D497" s="121"/>
      <c r="E497" s="107"/>
      <c r="F497" s="122"/>
      <c r="G497" s="22"/>
      <c r="H497" s="123"/>
      <c r="I497" s="126"/>
      <c r="J497" s="130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>
      <c r="A498" s="107"/>
      <c r="B498" s="131"/>
      <c r="C498" s="120"/>
      <c r="D498" s="121"/>
      <c r="E498" s="107"/>
      <c r="F498" s="122"/>
      <c r="G498" s="22"/>
      <c r="H498" s="123"/>
      <c r="I498" s="126"/>
      <c r="J498" s="130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>
      <c r="A499" s="107"/>
      <c r="B499" s="131"/>
      <c r="C499" s="120"/>
      <c r="D499" s="121"/>
      <c r="E499" s="107"/>
      <c r="F499" s="122"/>
      <c r="G499" s="22"/>
      <c r="H499" s="123"/>
      <c r="I499" s="126"/>
      <c r="J499" s="130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>
      <c r="A500" s="107"/>
      <c r="B500" s="131"/>
      <c r="C500" s="120"/>
      <c r="D500" s="121"/>
      <c r="E500" s="107"/>
      <c r="F500" s="122"/>
      <c r="G500" s="22"/>
      <c r="H500" s="123"/>
      <c r="I500" s="126"/>
      <c r="J500" s="130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>
      <c r="A501" s="107"/>
      <c r="B501" s="131"/>
      <c r="C501" s="120"/>
      <c r="D501" s="121"/>
      <c r="E501" s="107"/>
      <c r="F501" s="122"/>
      <c r="G501" s="22"/>
      <c r="H501" s="123"/>
      <c r="I501" s="126"/>
      <c r="J501" s="130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>
      <c r="A502" s="107"/>
      <c r="B502" s="131"/>
      <c r="C502" s="120"/>
      <c r="D502" s="121"/>
      <c r="E502" s="107"/>
      <c r="F502" s="122"/>
      <c r="G502" s="22"/>
      <c r="H502" s="123"/>
      <c r="I502" s="126"/>
      <c r="J502" s="130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>
      <c r="A503" s="107"/>
      <c r="B503" s="131"/>
      <c r="C503" s="120"/>
      <c r="D503" s="121"/>
      <c r="E503" s="107"/>
      <c r="F503" s="122"/>
      <c r="G503" s="22"/>
      <c r="H503" s="123"/>
      <c r="I503" s="126"/>
      <c r="J503" s="130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>
      <c r="A504" s="107"/>
      <c r="B504" s="131"/>
      <c r="C504" s="120"/>
      <c r="D504" s="121"/>
      <c r="E504" s="107"/>
      <c r="F504" s="122"/>
      <c r="G504" s="22"/>
      <c r="H504" s="123"/>
      <c r="I504" s="126"/>
      <c r="J504" s="130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>
      <c r="A505" s="107"/>
      <c r="B505" s="131"/>
      <c r="C505" s="120"/>
      <c r="D505" s="121"/>
      <c r="E505" s="107"/>
      <c r="F505" s="122"/>
      <c r="G505" s="22"/>
      <c r="H505" s="123"/>
      <c r="I505" s="126"/>
      <c r="J505" s="130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>
      <c r="A506" s="107"/>
      <c r="B506" s="131"/>
      <c r="C506" s="120"/>
      <c r="D506" s="121"/>
      <c r="E506" s="107"/>
      <c r="F506" s="122"/>
      <c r="G506" s="22"/>
      <c r="H506" s="123"/>
      <c r="I506" s="126"/>
      <c r="J506" s="130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>
      <c r="A507" s="107"/>
      <c r="B507" s="131"/>
      <c r="C507" s="120"/>
      <c r="D507" s="121"/>
      <c r="E507" s="107"/>
      <c r="F507" s="122"/>
      <c r="G507" s="22"/>
      <c r="H507" s="123"/>
      <c r="I507" s="126"/>
      <c r="J507" s="130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>
      <c r="A508" s="107"/>
      <c r="B508" s="131"/>
      <c r="C508" s="120"/>
      <c r="D508" s="121"/>
      <c r="E508" s="107"/>
      <c r="F508" s="122"/>
      <c r="G508" s="22"/>
      <c r="H508" s="123"/>
      <c r="I508" s="126"/>
      <c r="J508" s="130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>
      <c r="A509" s="107"/>
      <c r="B509" s="131"/>
      <c r="C509" s="120"/>
      <c r="D509" s="121"/>
      <c r="E509" s="107"/>
      <c r="F509" s="122"/>
      <c r="G509" s="22"/>
      <c r="H509" s="123"/>
      <c r="I509" s="126"/>
      <c r="J509" s="130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>
      <c r="A510" s="107"/>
      <c r="B510" s="131"/>
      <c r="C510" s="120"/>
      <c r="D510" s="121"/>
      <c r="E510" s="107"/>
      <c r="F510" s="122"/>
      <c r="G510" s="22"/>
      <c r="H510" s="123"/>
      <c r="I510" s="126"/>
      <c r="J510" s="130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>
      <c r="A511" s="107"/>
      <c r="B511" s="131"/>
      <c r="C511" s="120"/>
      <c r="D511" s="121"/>
      <c r="E511" s="107"/>
      <c r="F511" s="122"/>
      <c r="G511" s="22"/>
      <c r="H511" s="123"/>
      <c r="I511" s="126"/>
      <c r="J511" s="130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>
      <c r="A512" s="107"/>
      <c r="B512" s="131"/>
      <c r="C512" s="120"/>
      <c r="D512" s="121"/>
      <c r="E512" s="107"/>
      <c r="F512" s="122"/>
      <c r="G512" s="22"/>
      <c r="H512" s="123"/>
      <c r="I512" s="126"/>
      <c r="J512" s="130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>
      <c r="A513" s="107"/>
      <c r="B513" s="131"/>
      <c r="C513" s="120"/>
      <c r="D513" s="121"/>
      <c r="E513" s="107"/>
      <c r="F513" s="122"/>
      <c r="G513" s="22"/>
      <c r="H513" s="123"/>
      <c r="I513" s="126"/>
      <c r="J513" s="130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>
      <c r="A514" s="107"/>
      <c r="B514" s="131"/>
      <c r="C514" s="120"/>
      <c r="D514" s="121"/>
      <c r="E514" s="107"/>
      <c r="F514" s="122"/>
      <c r="G514" s="22"/>
      <c r="H514" s="123"/>
      <c r="I514" s="126"/>
      <c r="J514" s="130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>
      <c r="A515" s="107"/>
      <c r="B515" s="131"/>
      <c r="C515" s="120"/>
      <c r="D515" s="121"/>
      <c r="E515" s="107"/>
      <c r="F515" s="122"/>
      <c r="G515" s="22"/>
      <c r="H515" s="123"/>
      <c r="I515" s="126"/>
      <c r="J515" s="130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>
      <c r="A516" s="107"/>
      <c r="B516" s="131"/>
      <c r="C516" s="120"/>
      <c r="D516" s="121"/>
      <c r="E516" s="107"/>
      <c r="F516" s="122"/>
      <c r="G516" s="22"/>
      <c r="H516" s="123"/>
      <c r="I516" s="126"/>
      <c r="J516" s="130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>
      <c r="A517" s="107"/>
      <c r="B517" s="131"/>
      <c r="C517" s="120"/>
      <c r="D517" s="121"/>
      <c r="E517" s="107"/>
      <c r="F517" s="122"/>
      <c r="G517" s="22"/>
      <c r="H517" s="123"/>
      <c r="I517" s="126"/>
      <c r="J517" s="130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>
      <c r="A518" s="107"/>
      <c r="B518" s="131"/>
      <c r="C518" s="120"/>
      <c r="D518" s="121"/>
      <c r="E518" s="107"/>
      <c r="F518" s="122"/>
      <c r="G518" s="22"/>
      <c r="H518" s="123"/>
      <c r="I518" s="126"/>
      <c r="J518" s="130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>
      <c r="A519" s="107"/>
      <c r="B519" s="131"/>
      <c r="C519" s="120"/>
      <c r="D519" s="121"/>
      <c r="E519" s="107"/>
      <c r="F519" s="122"/>
      <c r="G519" s="22"/>
      <c r="H519" s="123"/>
      <c r="I519" s="126"/>
      <c r="J519" s="130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>
      <c r="A520" s="107"/>
      <c r="B520" s="131"/>
      <c r="C520" s="120"/>
      <c r="D520" s="121"/>
      <c r="E520" s="107"/>
      <c r="F520" s="122"/>
      <c r="G520" s="22"/>
      <c r="H520" s="123"/>
      <c r="I520" s="126"/>
      <c r="J520" s="130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>
      <c r="A521" s="107"/>
      <c r="B521" s="131"/>
      <c r="C521" s="120"/>
      <c r="D521" s="121"/>
      <c r="E521" s="107"/>
      <c r="F521" s="122"/>
      <c r="G521" s="22"/>
      <c r="H521" s="123"/>
      <c r="I521" s="126"/>
      <c r="J521" s="130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>
      <c r="A522" s="107"/>
      <c r="B522" s="131"/>
      <c r="C522" s="120"/>
      <c r="D522" s="121"/>
      <c r="E522" s="107"/>
      <c r="F522" s="122"/>
      <c r="G522" s="22"/>
      <c r="H522" s="123"/>
      <c r="I522" s="126"/>
      <c r="J522" s="130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>
      <c r="A523" s="107"/>
      <c r="B523" s="131"/>
      <c r="C523" s="120"/>
      <c r="D523" s="121"/>
      <c r="E523" s="107"/>
      <c r="F523" s="122"/>
      <c r="G523" s="22"/>
      <c r="H523" s="123"/>
      <c r="I523" s="126"/>
      <c r="J523" s="130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>
      <c r="A524" s="107"/>
      <c r="B524" s="131"/>
      <c r="C524" s="120"/>
      <c r="D524" s="121"/>
      <c r="E524" s="107"/>
      <c r="F524" s="122"/>
      <c r="G524" s="22"/>
      <c r="H524" s="123"/>
      <c r="I524" s="126"/>
      <c r="J524" s="130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>
      <c r="A525" s="107"/>
      <c r="B525" s="131"/>
      <c r="C525" s="120"/>
      <c r="D525" s="121"/>
      <c r="E525" s="107"/>
      <c r="F525" s="122"/>
      <c r="G525" s="22"/>
      <c r="H525" s="123"/>
      <c r="I525" s="126"/>
      <c r="J525" s="130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>
      <c r="A526" s="107"/>
      <c r="B526" s="131"/>
      <c r="C526" s="120"/>
      <c r="D526" s="121"/>
      <c r="E526" s="107"/>
      <c r="F526" s="122"/>
      <c r="G526" s="22"/>
      <c r="H526" s="123"/>
      <c r="I526" s="126"/>
      <c r="J526" s="130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>
      <c r="A527" s="107"/>
      <c r="B527" s="131"/>
      <c r="C527" s="120"/>
      <c r="D527" s="121"/>
      <c r="E527" s="107"/>
      <c r="F527" s="122"/>
      <c r="G527" s="22"/>
      <c r="H527" s="123"/>
      <c r="I527" s="126"/>
      <c r="J527" s="130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>
      <c r="A528" s="107"/>
      <c r="B528" s="131"/>
      <c r="C528" s="120"/>
      <c r="D528" s="121"/>
      <c r="E528" s="107"/>
      <c r="F528" s="122"/>
      <c r="G528" s="22"/>
      <c r="H528" s="123"/>
      <c r="I528" s="126"/>
      <c r="J528" s="130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>
      <c r="A529" s="107"/>
      <c r="B529" s="131"/>
      <c r="C529" s="120"/>
      <c r="D529" s="121"/>
      <c r="E529" s="107"/>
      <c r="F529" s="122"/>
      <c r="G529" s="22"/>
      <c r="H529" s="123"/>
      <c r="I529" s="126"/>
      <c r="J529" s="130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>
      <c r="A530" s="107"/>
      <c r="B530" s="131"/>
      <c r="C530" s="120"/>
      <c r="D530" s="121"/>
      <c r="E530" s="107"/>
      <c r="F530" s="122"/>
      <c r="G530" s="22"/>
      <c r="H530" s="123"/>
      <c r="I530" s="126"/>
      <c r="J530" s="130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>
      <c r="A531" s="107"/>
      <c r="B531" s="131"/>
      <c r="C531" s="120"/>
      <c r="D531" s="121"/>
      <c r="E531" s="107"/>
      <c r="F531" s="122"/>
      <c r="G531" s="22"/>
      <c r="H531" s="123"/>
      <c r="I531" s="126"/>
      <c r="J531" s="130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>
      <c r="A532" s="107"/>
      <c r="B532" s="131"/>
      <c r="C532" s="120"/>
      <c r="D532" s="121"/>
      <c r="E532" s="107"/>
      <c r="F532" s="122"/>
      <c r="G532" s="22"/>
      <c r="H532" s="123"/>
      <c r="I532" s="126"/>
      <c r="J532" s="130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>
      <c r="A533" s="107"/>
      <c r="B533" s="131"/>
      <c r="C533" s="120"/>
      <c r="D533" s="121"/>
      <c r="E533" s="107"/>
      <c r="F533" s="122"/>
      <c r="G533" s="22"/>
      <c r="H533" s="123"/>
      <c r="I533" s="126"/>
      <c r="J533" s="130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>
      <c r="A534" s="107"/>
      <c r="B534" s="131"/>
      <c r="C534" s="120"/>
      <c r="D534" s="121"/>
      <c r="E534" s="107"/>
      <c r="F534" s="122"/>
      <c r="G534" s="22"/>
      <c r="H534" s="123"/>
      <c r="I534" s="126"/>
      <c r="J534" s="130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>
      <c r="A535" s="107"/>
      <c r="B535" s="131"/>
      <c r="C535" s="120"/>
      <c r="D535" s="121"/>
      <c r="E535" s="107"/>
      <c r="F535" s="122"/>
      <c r="G535" s="22"/>
      <c r="H535" s="123"/>
      <c r="I535" s="126"/>
      <c r="J535" s="130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>
      <c r="A536" s="107"/>
      <c r="B536" s="131"/>
      <c r="C536" s="120"/>
      <c r="D536" s="121"/>
      <c r="E536" s="107"/>
      <c r="F536" s="122"/>
      <c r="G536" s="22"/>
      <c r="H536" s="123"/>
      <c r="I536" s="126"/>
      <c r="J536" s="130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>
      <c r="A537" s="107"/>
      <c r="B537" s="131"/>
      <c r="C537" s="120"/>
      <c r="D537" s="121"/>
      <c r="E537" s="107"/>
      <c r="F537" s="122"/>
      <c r="G537" s="22"/>
      <c r="H537" s="123"/>
      <c r="I537" s="126"/>
      <c r="J537" s="130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>
      <c r="A538" s="107"/>
      <c r="B538" s="131"/>
      <c r="C538" s="120"/>
      <c r="D538" s="121"/>
      <c r="E538" s="107"/>
      <c r="F538" s="122"/>
      <c r="G538" s="22"/>
      <c r="H538" s="123"/>
      <c r="I538" s="126"/>
      <c r="J538" s="130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>
      <c r="A539" s="107"/>
      <c r="B539" s="131"/>
      <c r="C539" s="120"/>
      <c r="D539" s="121"/>
      <c r="E539" s="107"/>
      <c r="F539" s="122"/>
      <c r="G539" s="22"/>
      <c r="H539" s="123"/>
      <c r="I539" s="126"/>
      <c r="J539" s="130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>
      <c r="A540" s="107"/>
      <c r="B540" s="131"/>
      <c r="C540" s="120"/>
      <c r="D540" s="121"/>
      <c r="E540" s="107"/>
      <c r="F540" s="122"/>
      <c r="G540" s="22"/>
      <c r="H540" s="123"/>
      <c r="I540" s="126"/>
      <c r="J540" s="130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>
      <c r="A541" s="107"/>
      <c r="B541" s="131"/>
      <c r="C541" s="120"/>
      <c r="D541" s="121"/>
      <c r="E541" s="107"/>
      <c r="F541" s="122"/>
      <c r="G541" s="22"/>
      <c r="H541" s="123"/>
      <c r="I541" s="126"/>
      <c r="J541" s="130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>
      <c r="A542" s="107"/>
      <c r="B542" s="131"/>
      <c r="C542" s="120"/>
      <c r="D542" s="121"/>
      <c r="E542" s="107"/>
      <c r="F542" s="122"/>
      <c r="G542" s="22"/>
      <c r="H542" s="123"/>
      <c r="I542" s="126"/>
      <c r="J542" s="130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>
      <c r="A543" s="107"/>
      <c r="B543" s="131"/>
      <c r="C543" s="120"/>
      <c r="D543" s="121"/>
      <c r="E543" s="107"/>
      <c r="F543" s="122"/>
      <c r="G543" s="22"/>
      <c r="H543" s="123"/>
      <c r="I543" s="126"/>
      <c r="J543" s="130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>
      <c r="A544" s="107"/>
      <c r="B544" s="131"/>
      <c r="C544" s="120"/>
      <c r="D544" s="121"/>
      <c r="E544" s="107"/>
      <c r="F544" s="122"/>
      <c r="G544" s="22"/>
      <c r="H544" s="123"/>
      <c r="I544" s="126"/>
      <c r="J544" s="130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>
      <c r="A545" s="107"/>
      <c r="B545" s="131"/>
      <c r="C545" s="120"/>
      <c r="D545" s="121"/>
      <c r="E545" s="107"/>
      <c r="F545" s="122"/>
      <c r="G545" s="22"/>
      <c r="H545" s="123"/>
      <c r="I545" s="126"/>
      <c r="J545" s="130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>
      <c r="A546" s="107"/>
      <c r="B546" s="131"/>
      <c r="C546" s="120"/>
      <c r="D546" s="121"/>
      <c r="E546" s="107"/>
      <c r="F546" s="122"/>
      <c r="G546" s="22"/>
      <c r="H546" s="123"/>
      <c r="I546" s="126"/>
      <c r="J546" s="130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>
      <c r="A547" s="107"/>
      <c r="B547" s="131"/>
      <c r="C547" s="120"/>
      <c r="D547" s="121"/>
      <c r="E547" s="107"/>
      <c r="F547" s="122"/>
      <c r="G547" s="22"/>
      <c r="H547" s="123"/>
      <c r="I547" s="126"/>
      <c r="J547" s="130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>
      <c r="A548" s="107"/>
      <c r="B548" s="131"/>
      <c r="C548" s="120"/>
      <c r="D548" s="121"/>
      <c r="E548" s="107"/>
      <c r="F548" s="122"/>
      <c r="G548" s="22"/>
      <c r="H548" s="123"/>
      <c r="I548" s="126"/>
      <c r="J548" s="130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>
      <c r="A549" s="107"/>
      <c r="B549" s="131"/>
      <c r="C549" s="120"/>
      <c r="D549" s="121"/>
      <c r="E549" s="107"/>
      <c r="F549" s="122"/>
      <c r="G549" s="22"/>
      <c r="H549" s="123"/>
      <c r="I549" s="126"/>
      <c r="J549" s="130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>
      <c r="A550" s="107"/>
      <c r="B550" s="131"/>
      <c r="C550" s="120"/>
      <c r="D550" s="121"/>
      <c r="E550" s="107"/>
      <c r="F550" s="122"/>
      <c r="G550" s="22"/>
      <c r="H550" s="123"/>
      <c r="I550" s="126"/>
      <c r="J550" s="130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>
      <c r="A551" s="107"/>
      <c r="B551" s="131"/>
      <c r="C551" s="120"/>
      <c r="D551" s="121"/>
      <c r="E551" s="107"/>
      <c r="F551" s="122"/>
      <c r="G551" s="22"/>
      <c r="H551" s="123"/>
      <c r="I551" s="126"/>
      <c r="J551" s="130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>
      <c r="A552" s="107"/>
      <c r="B552" s="131"/>
      <c r="C552" s="120"/>
      <c r="D552" s="121"/>
      <c r="E552" s="107"/>
      <c r="F552" s="122"/>
      <c r="G552" s="22"/>
      <c r="H552" s="123"/>
      <c r="I552" s="126"/>
      <c r="J552" s="130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>
      <c r="A553" s="107"/>
      <c r="B553" s="131"/>
      <c r="C553" s="120"/>
      <c r="D553" s="121"/>
      <c r="E553" s="107"/>
      <c r="F553" s="122"/>
      <c r="G553" s="22"/>
      <c r="H553" s="123"/>
      <c r="I553" s="126"/>
      <c r="J553" s="130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>
      <c r="A554" s="107"/>
      <c r="B554" s="131"/>
      <c r="C554" s="120"/>
      <c r="D554" s="121"/>
      <c r="E554" s="107"/>
      <c r="F554" s="122"/>
      <c r="G554" s="22"/>
      <c r="H554" s="123"/>
      <c r="I554" s="126"/>
      <c r="J554" s="130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>
      <c r="A555" s="107"/>
      <c r="B555" s="131"/>
      <c r="C555" s="120"/>
      <c r="D555" s="121"/>
      <c r="E555" s="107"/>
      <c r="F555" s="122"/>
      <c r="G555" s="22"/>
      <c r="H555" s="123"/>
      <c r="I555" s="126"/>
      <c r="J555" s="130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>
      <c r="A556" s="107"/>
      <c r="B556" s="131"/>
      <c r="C556" s="120"/>
      <c r="D556" s="121"/>
      <c r="E556" s="107"/>
      <c r="F556" s="122"/>
      <c r="G556" s="22"/>
      <c r="H556" s="123"/>
      <c r="I556" s="126"/>
      <c r="J556" s="130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>
      <c r="A557" s="107"/>
      <c r="B557" s="131"/>
      <c r="C557" s="120"/>
      <c r="D557" s="121"/>
      <c r="E557" s="107"/>
      <c r="F557" s="122"/>
      <c r="G557" s="22"/>
      <c r="H557" s="123"/>
      <c r="I557" s="126"/>
      <c r="J557" s="130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>
      <c r="A558" s="107"/>
      <c r="B558" s="131"/>
      <c r="C558" s="120"/>
      <c r="D558" s="121"/>
      <c r="E558" s="107"/>
      <c r="F558" s="122"/>
      <c r="G558" s="22"/>
      <c r="H558" s="123"/>
      <c r="I558" s="126"/>
      <c r="J558" s="130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>
      <c r="A559" s="107"/>
      <c r="B559" s="131"/>
      <c r="C559" s="120"/>
      <c r="D559" s="121"/>
      <c r="E559" s="107"/>
      <c r="F559" s="122"/>
      <c r="G559" s="22"/>
      <c r="H559" s="123"/>
      <c r="I559" s="126"/>
      <c r="J559" s="130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>
      <c r="A560" s="107"/>
      <c r="B560" s="131"/>
      <c r="C560" s="120"/>
      <c r="D560" s="121"/>
      <c r="E560" s="107"/>
      <c r="F560" s="122"/>
      <c r="G560" s="22"/>
      <c r="H560" s="123"/>
      <c r="I560" s="126"/>
      <c r="J560" s="130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>
      <c r="A561" s="107"/>
      <c r="B561" s="131"/>
      <c r="C561" s="120"/>
      <c r="D561" s="121"/>
      <c r="E561" s="107"/>
      <c r="F561" s="122"/>
      <c r="G561" s="22"/>
      <c r="H561" s="123"/>
      <c r="I561" s="126"/>
      <c r="J561" s="130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>
      <c r="A562" s="107"/>
      <c r="B562" s="131"/>
      <c r="C562" s="120"/>
      <c r="D562" s="121"/>
      <c r="E562" s="107"/>
      <c r="F562" s="122"/>
      <c r="G562" s="22"/>
      <c r="H562" s="123"/>
      <c r="I562" s="126"/>
      <c r="J562" s="130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>
      <c r="A563" s="107"/>
      <c r="B563" s="131"/>
      <c r="C563" s="120"/>
      <c r="D563" s="121"/>
      <c r="E563" s="107"/>
      <c r="F563" s="122"/>
      <c r="G563" s="22"/>
      <c r="H563" s="123"/>
      <c r="I563" s="126"/>
      <c r="J563" s="130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>
      <c r="A564" s="107"/>
      <c r="B564" s="131"/>
      <c r="C564" s="120"/>
      <c r="D564" s="121"/>
      <c r="E564" s="107"/>
      <c r="F564" s="122"/>
      <c r="G564" s="22"/>
      <c r="H564" s="123"/>
      <c r="I564" s="126"/>
      <c r="J564" s="130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>
      <c r="A565" s="107"/>
      <c r="B565" s="131"/>
      <c r="C565" s="120"/>
      <c r="D565" s="121"/>
      <c r="E565" s="107"/>
      <c r="F565" s="122"/>
      <c r="G565" s="22"/>
      <c r="H565" s="123"/>
      <c r="I565" s="126"/>
      <c r="J565" s="130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>
      <c r="A566" s="107"/>
      <c r="B566" s="131"/>
      <c r="C566" s="120"/>
      <c r="D566" s="121"/>
      <c r="E566" s="107"/>
      <c r="F566" s="122"/>
      <c r="G566" s="22"/>
      <c r="H566" s="123"/>
      <c r="I566" s="126"/>
      <c r="J566" s="130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>
      <c r="A567" s="107"/>
      <c r="B567" s="131"/>
      <c r="C567" s="120"/>
      <c r="D567" s="121"/>
      <c r="E567" s="107"/>
      <c r="F567" s="122"/>
      <c r="G567" s="22"/>
      <c r="H567" s="123"/>
      <c r="I567" s="126"/>
      <c r="J567" s="130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>
      <c r="A568" s="107"/>
      <c r="B568" s="131"/>
      <c r="C568" s="120"/>
      <c r="D568" s="121"/>
      <c r="E568" s="107"/>
      <c r="F568" s="122"/>
      <c r="G568" s="22"/>
      <c r="H568" s="123"/>
      <c r="I568" s="126"/>
      <c r="J568" s="130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>
      <c r="A569" s="107"/>
      <c r="B569" s="131"/>
      <c r="C569" s="120"/>
      <c r="D569" s="121"/>
      <c r="E569" s="107"/>
      <c r="F569" s="122"/>
      <c r="G569" s="22"/>
      <c r="H569" s="123"/>
      <c r="I569" s="126"/>
      <c r="J569" s="130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>
      <c r="A570" s="107"/>
      <c r="B570" s="131"/>
      <c r="C570" s="120"/>
      <c r="D570" s="121"/>
      <c r="E570" s="107"/>
      <c r="F570" s="122"/>
      <c r="G570" s="22"/>
      <c r="H570" s="123"/>
      <c r="I570" s="126"/>
      <c r="J570" s="130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>
      <c r="A571" s="107"/>
      <c r="B571" s="131"/>
      <c r="C571" s="120"/>
      <c r="D571" s="121"/>
      <c r="E571" s="107"/>
      <c r="F571" s="122"/>
      <c r="G571" s="22"/>
      <c r="H571" s="123"/>
      <c r="I571" s="126"/>
      <c r="J571" s="130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>
      <c r="A572" s="107"/>
      <c r="B572" s="131"/>
      <c r="C572" s="120"/>
      <c r="D572" s="121"/>
      <c r="E572" s="107"/>
      <c r="F572" s="122"/>
      <c r="G572" s="22"/>
      <c r="H572" s="123"/>
      <c r="I572" s="126"/>
      <c r="J572" s="130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>
      <c r="A573" s="107"/>
      <c r="B573" s="131"/>
      <c r="C573" s="120"/>
      <c r="D573" s="121"/>
      <c r="E573" s="107"/>
      <c r="F573" s="122"/>
      <c r="G573" s="22"/>
      <c r="H573" s="123"/>
      <c r="I573" s="126"/>
      <c r="J573" s="130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>
      <c r="A574" s="107"/>
      <c r="B574" s="131"/>
      <c r="C574" s="120"/>
      <c r="D574" s="121"/>
      <c r="E574" s="107"/>
      <c r="F574" s="122"/>
      <c r="G574" s="22"/>
      <c r="H574" s="123"/>
      <c r="I574" s="126"/>
      <c r="J574" s="130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>
      <c r="A575" s="107"/>
      <c r="B575" s="131"/>
      <c r="C575" s="120"/>
      <c r="D575" s="121"/>
      <c r="E575" s="107"/>
      <c r="F575" s="122"/>
      <c r="G575" s="22"/>
      <c r="H575" s="123"/>
      <c r="I575" s="126"/>
      <c r="J575" s="130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>
      <c r="A576" s="107"/>
      <c r="B576" s="131"/>
      <c r="C576" s="120"/>
      <c r="D576" s="121"/>
      <c r="E576" s="107"/>
      <c r="F576" s="122"/>
      <c r="G576" s="22"/>
      <c r="H576" s="123"/>
      <c r="I576" s="126"/>
      <c r="J576" s="130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>
      <c r="A577" s="107"/>
      <c r="B577" s="131"/>
      <c r="C577" s="120"/>
      <c r="D577" s="121"/>
      <c r="E577" s="107"/>
      <c r="F577" s="122"/>
      <c r="G577" s="22"/>
      <c r="H577" s="123"/>
      <c r="I577" s="126"/>
      <c r="J577" s="130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>
      <c r="A578" s="107"/>
      <c r="B578" s="131"/>
      <c r="C578" s="120"/>
      <c r="D578" s="121"/>
      <c r="E578" s="107"/>
      <c r="F578" s="122"/>
      <c r="G578" s="22"/>
      <c r="H578" s="123"/>
      <c r="I578" s="126"/>
      <c r="J578" s="130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>
      <c r="A579" s="107"/>
      <c r="B579" s="131"/>
      <c r="C579" s="120"/>
      <c r="D579" s="121"/>
      <c r="E579" s="107"/>
      <c r="F579" s="122"/>
      <c r="G579" s="22"/>
      <c r="H579" s="123"/>
      <c r="I579" s="126"/>
      <c r="J579" s="130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>
      <c r="A580" s="107"/>
      <c r="B580" s="131"/>
      <c r="C580" s="120"/>
      <c r="D580" s="121"/>
      <c r="E580" s="107"/>
      <c r="F580" s="122"/>
      <c r="G580" s="22"/>
      <c r="H580" s="123"/>
      <c r="I580" s="126"/>
      <c r="J580" s="130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>
      <c r="A581" s="107"/>
      <c r="B581" s="131"/>
      <c r="C581" s="120"/>
      <c r="D581" s="121"/>
      <c r="E581" s="107"/>
      <c r="F581" s="122"/>
      <c r="G581" s="22"/>
      <c r="H581" s="123"/>
      <c r="I581" s="126"/>
      <c r="J581" s="130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>
      <c r="A582" s="107"/>
      <c r="B582" s="131"/>
      <c r="C582" s="120"/>
      <c r="D582" s="121"/>
      <c r="E582" s="107"/>
      <c r="F582" s="122"/>
      <c r="G582" s="22"/>
      <c r="H582" s="123"/>
      <c r="I582" s="126"/>
      <c r="J582" s="130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>
      <c r="A583" s="107"/>
      <c r="B583" s="131"/>
      <c r="C583" s="120"/>
      <c r="D583" s="121"/>
      <c r="E583" s="107"/>
      <c r="F583" s="122"/>
      <c r="G583" s="22"/>
      <c r="H583" s="123"/>
      <c r="I583" s="126"/>
      <c r="J583" s="130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>
      <c r="A584" s="107"/>
      <c r="B584" s="131"/>
      <c r="C584" s="120"/>
      <c r="D584" s="121"/>
      <c r="E584" s="107"/>
      <c r="F584" s="122"/>
      <c r="G584" s="22"/>
      <c r="H584" s="123"/>
      <c r="I584" s="126"/>
      <c r="J584" s="130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>
      <c r="A585" s="107"/>
      <c r="B585" s="131"/>
      <c r="C585" s="120"/>
      <c r="D585" s="121"/>
      <c r="E585" s="107"/>
      <c r="F585" s="122"/>
      <c r="G585" s="22"/>
      <c r="H585" s="123"/>
      <c r="I585" s="126"/>
      <c r="J585" s="130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>
      <c r="A586" s="107"/>
      <c r="B586" s="131"/>
      <c r="C586" s="120"/>
      <c r="D586" s="121"/>
      <c r="E586" s="107"/>
      <c r="F586" s="122"/>
      <c r="G586" s="22"/>
      <c r="H586" s="123"/>
      <c r="I586" s="126"/>
      <c r="J586" s="130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>
      <c r="A587" s="107"/>
      <c r="B587" s="131"/>
      <c r="C587" s="120"/>
      <c r="D587" s="121"/>
      <c r="E587" s="107"/>
      <c r="F587" s="122"/>
      <c r="G587" s="22"/>
      <c r="H587" s="123"/>
      <c r="I587" s="126"/>
      <c r="J587" s="130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>
      <c r="A588" s="107"/>
      <c r="B588" s="131"/>
      <c r="C588" s="120"/>
      <c r="D588" s="121"/>
      <c r="E588" s="107"/>
      <c r="F588" s="122"/>
      <c r="G588" s="22"/>
      <c r="H588" s="123"/>
      <c r="I588" s="126"/>
      <c r="J588" s="130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>
      <c r="A589" s="107"/>
      <c r="B589" s="131"/>
      <c r="C589" s="120"/>
      <c r="D589" s="121"/>
      <c r="E589" s="107"/>
      <c r="F589" s="122"/>
      <c r="G589" s="22"/>
      <c r="H589" s="123"/>
      <c r="I589" s="126"/>
      <c r="J589" s="130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>
      <c r="A590" s="107"/>
      <c r="B590" s="131"/>
      <c r="C590" s="120"/>
      <c r="D590" s="121"/>
      <c r="E590" s="107"/>
      <c r="F590" s="122"/>
      <c r="G590" s="22"/>
      <c r="H590" s="123"/>
      <c r="I590" s="126"/>
      <c r="J590" s="130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>
      <c r="A591" s="107"/>
      <c r="B591" s="131"/>
      <c r="C591" s="120"/>
      <c r="D591" s="121"/>
      <c r="E591" s="107"/>
      <c r="F591" s="122"/>
      <c r="G591" s="22"/>
      <c r="H591" s="123"/>
      <c r="I591" s="126"/>
      <c r="J591" s="130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>
      <c r="A592" s="107"/>
      <c r="B592" s="131"/>
      <c r="C592" s="120"/>
      <c r="D592" s="121"/>
      <c r="E592" s="107"/>
      <c r="F592" s="122"/>
      <c r="G592" s="22"/>
      <c r="H592" s="123"/>
      <c r="I592" s="126"/>
      <c r="J592" s="130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>
      <c r="A593" s="107"/>
      <c r="B593" s="131"/>
      <c r="C593" s="120"/>
      <c r="D593" s="121"/>
      <c r="E593" s="107"/>
      <c r="F593" s="122"/>
      <c r="G593" s="22"/>
      <c r="H593" s="123"/>
      <c r="I593" s="126"/>
      <c r="J593" s="130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>
      <c r="A594" s="107"/>
      <c r="B594" s="131"/>
      <c r="C594" s="120"/>
      <c r="D594" s="121"/>
      <c r="E594" s="107"/>
      <c r="F594" s="122"/>
      <c r="G594" s="22"/>
      <c r="H594" s="123"/>
      <c r="I594" s="126"/>
      <c r="J594" s="130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>
      <c r="A595" s="107"/>
      <c r="B595" s="131"/>
      <c r="C595" s="120"/>
      <c r="D595" s="121"/>
      <c r="E595" s="107"/>
      <c r="F595" s="122"/>
      <c r="G595" s="22"/>
      <c r="H595" s="123"/>
      <c r="I595" s="126"/>
      <c r="J595" s="130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>
      <c r="A596" s="107"/>
      <c r="B596" s="131"/>
      <c r="C596" s="120"/>
      <c r="D596" s="121"/>
      <c r="E596" s="107"/>
      <c r="F596" s="122"/>
      <c r="G596" s="22"/>
      <c r="H596" s="123"/>
      <c r="I596" s="126"/>
      <c r="J596" s="130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>
      <c r="A597" s="107"/>
      <c r="B597" s="131"/>
      <c r="C597" s="120"/>
      <c r="D597" s="121"/>
      <c r="E597" s="107"/>
      <c r="F597" s="122"/>
      <c r="G597" s="22"/>
      <c r="H597" s="123"/>
      <c r="I597" s="126"/>
      <c r="J597" s="130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>
      <c r="A598" s="107"/>
      <c r="B598" s="131"/>
      <c r="C598" s="120"/>
      <c r="D598" s="121"/>
      <c r="E598" s="107"/>
      <c r="F598" s="122"/>
      <c r="G598" s="22"/>
      <c r="H598" s="123"/>
      <c r="I598" s="126"/>
      <c r="J598" s="130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>
      <c r="A599" s="107"/>
      <c r="B599" s="131"/>
      <c r="C599" s="120"/>
      <c r="D599" s="121"/>
      <c r="E599" s="107"/>
      <c r="F599" s="122"/>
      <c r="G599" s="22"/>
      <c r="H599" s="123"/>
      <c r="I599" s="126"/>
      <c r="J599" s="130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>
      <c r="A600" s="107"/>
      <c r="B600" s="131"/>
      <c r="C600" s="120"/>
      <c r="D600" s="121"/>
      <c r="E600" s="107"/>
      <c r="F600" s="122"/>
      <c r="G600" s="22"/>
      <c r="H600" s="123"/>
      <c r="I600" s="126"/>
      <c r="J600" s="130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>
      <c r="A601" s="107"/>
      <c r="B601" s="131"/>
      <c r="C601" s="120"/>
      <c r="D601" s="121"/>
      <c r="E601" s="107"/>
      <c r="F601" s="122"/>
      <c r="G601" s="22"/>
      <c r="H601" s="123"/>
      <c r="I601" s="126"/>
      <c r="J601" s="130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>
      <c r="A602" s="107"/>
      <c r="B602" s="131"/>
      <c r="C602" s="120"/>
      <c r="D602" s="121"/>
      <c r="E602" s="107"/>
      <c r="F602" s="122"/>
      <c r="G602" s="22"/>
      <c r="H602" s="123"/>
      <c r="I602" s="126"/>
      <c r="J602" s="130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>
      <c r="A603" s="107"/>
      <c r="B603" s="131"/>
      <c r="C603" s="120"/>
      <c r="D603" s="121"/>
      <c r="E603" s="107"/>
      <c r="F603" s="122"/>
      <c r="G603" s="22"/>
      <c r="H603" s="123"/>
      <c r="I603" s="126"/>
      <c r="J603" s="130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>
      <c r="A604" s="107"/>
      <c r="B604" s="131"/>
      <c r="C604" s="120"/>
      <c r="D604" s="121"/>
      <c r="E604" s="107"/>
      <c r="F604" s="122"/>
      <c r="G604" s="22"/>
      <c r="H604" s="123"/>
      <c r="I604" s="126"/>
      <c r="J604" s="130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>
      <c r="A605" s="107"/>
      <c r="B605" s="131"/>
      <c r="C605" s="120"/>
      <c r="D605" s="121"/>
      <c r="E605" s="107"/>
      <c r="F605" s="122"/>
      <c r="G605" s="22"/>
      <c r="H605" s="123"/>
      <c r="I605" s="126"/>
      <c r="J605" s="130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>
      <c r="A606" s="107"/>
      <c r="B606" s="131"/>
      <c r="C606" s="120"/>
      <c r="D606" s="121"/>
      <c r="E606" s="107"/>
      <c r="F606" s="122"/>
      <c r="G606" s="22"/>
      <c r="H606" s="123"/>
      <c r="I606" s="126"/>
      <c r="J606" s="130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>
      <c r="A607" s="107"/>
      <c r="B607" s="131"/>
      <c r="C607" s="120"/>
      <c r="D607" s="121"/>
      <c r="E607" s="107"/>
      <c r="F607" s="122"/>
      <c r="G607" s="22"/>
      <c r="H607" s="123"/>
      <c r="I607" s="126"/>
      <c r="J607" s="130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>
      <c r="A608" s="107"/>
      <c r="B608" s="131"/>
      <c r="C608" s="120"/>
      <c r="D608" s="121"/>
      <c r="E608" s="107"/>
      <c r="F608" s="122"/>
      <c r="G608" s="22"/>
      <c r="H608" s="123"/>
      <c r="I608" s="126"/>
      <c r="J608" s="130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>
      <c r="A609" s="107"/>
      <c r="B609" s="131"/>
      <c r="C609" s="120"/>
      <c r="D609" s="121"/>
      <c r="E609" s="107"/>
      <c r="F609" s="122"/>
      <c r="G609" s="22"/>
      <c r="H609" s="123"/>
      <c r="I609" s="126"/>
      <c r="J609" s="130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>
      <c r="A610" s="107"/>
      <c r="B610" s="131"/>
      <c r="C610" s="120"/>
      <c r="D610" s="121"/>
      <c r="E610" s="107"/>
      <c r="F610" s="122"/>
      <c r="G610" s="22"/>
      <c r="H610" s="123"/>
      <c r="I610" s="126"/>
      <c r="J610" s="130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>
      <c r="A611" s="107"/>
      <c r="B611" s="131"/>
      <c r="C611" s="120"/>
      <c r="D611" s="121"/>
      <c r="E611" s="107"/>
      <c r="F611" s="122"/>
      <c r="G611" s="22"/>
      <c r="H611" s="123"/>
      <c r="I611" s="126"/>
      <c r="J611" s="130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>
      <c r="A612" s="107"/>
      <c r="B612" s="131"/>
      <c r="C612" s="120"/>
      <c r="D612" s="121"/>
      <c r="E612" s="107"/>
      <c r="F612" s="122"/>
      <c r="G612" s="22"/>
      <c r="H612" s="123"/>
      <c r="I612" s="126"/>
      <c r="J612" s="130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>
      <c r="A613" s="107"/>
      <c r="B613" s="131"/>
      <c r="C613" s="120"/>
      <c r="D613" s="121"/>
      <c r="E613" s="107"/>
      <c r="F613" s="122"/>
      <c r="G613" s="22"/>
      <c r="H613" s="123"/>
      <c r="I613" s="126"/>
      <c r="J613" s="130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>
      <c r="A614" s="107"/>
      <c r="B614" s="131"/>
      <c r="C614" s="120"/>
      <c r="D614" s="121"/>
      <c r="E614" s="107"/>
      <c r="F614" s="122"/>
      <c r="G614" s="22"/>
      <c r="H614" s="123"/>
      <c r="I614" s="126"/>
      <c r="J614" s="130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>
      <c r="A615" s="107"/>
      <c r="B615" s="131"/>
      <c r="C615" s="120"/>
      <c r="D615" s="121"/>
      <c r="E615" s="107"/>
      <c r="F615" s="122"/>
      <c r="G615" s="22"/>
      <c r="H615" s="123"/>
      <c r="I615" s="126"/>
      <c r="J615" s="130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>
      <c r="A616" s="107"/>
      <c r="B616" s="131"/>
      <c r="C616" s="120"/>
      <c r="D616" s="121"/>
      <c r="E616" s="107"/>
      <c r="F616" s="122"/>
      <c r="G616" s="22"/>
      <c r="H616" s="123"/>
      <c r="I616" s="126"/>
      <c r="J616" s="130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>
      <c r="A617" s="107"/>
      <c r="B617" s="131"/>
      <c r="C617" s="120"/>
      <c r="D617" s="121"/>
      <c r="E617" s="107"/>
      <c r="F617" s="122"/>
      <c r="G617" s="22"/>
      <c r="H617" s="123"/>
      <c r="I617" s="126"/>
      <c r="J617" s="130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>
      <c r="A618" s="107"/>
      <c r="B618" s="131"/>
      <c r="C618" s="120"/>
      <c r="D618" s="121"/>
      <c r="E618" s="107"/>
      <c r="F618" s="122"/>
      <c r="G618" s="22"/>
      <c r="H618" s="123"/>
      <c r="I618" s="126"/>
      <c r="J618" s="130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>
      <c r="A619" s="107"/>
      <c r="B619" s="131"/>
      <c r="C619" s="120"/>
      <c r="D619" s="121"/>
      <c r="E619" s="107"/>
      <c r="F619" s="122"/>
      <c r="G619" s="22"/>
      <c r="H619" s="123"/>
      <c r="I619" s="126"/>
      <c r="J619" s="130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>
      <c r="A620" s="107"/>
      <c r="B620" s="131"/>
      <c r="C620" s="120"/>
      <c r="D620" s="121"/>
      <c r="E620" s="107"/>
      <c r="F620" s="122"/>
      <c r="G620" s="22"/>
      <c r="H620" s="123"/>
      <c r="I620" s="126"/>
      <c r="J620" s="130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>
      <c r="A621" s="107"/>
      <c r="B621" s="131"/>
      <c r="C621" s="120"/>
      <c r="D621" s="121"/>
      <c r="E621" s="107"/>
      <c r="F621" s="122"/>
      <c r="G621" s="22"/>
      <c r="H621" s="123"/>
      <c r="I621" s="126"/>
      <c r="J621" s="130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>
      <c r="A622" s="107"/>
      <c r="B622" s="131"/>
      <c r="C622" s="120"/>
      <c r="D622" s="121"/>
      <c r="E622" s="107"/>
      <c r="F622" s="122"/>
      <c r="G622" s="22"/>
      <c r="H622" s="123"/>
      <c r="I622" s="126"/>
      <c r="J622" s="130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>
      <c r="A623" s="107"/>
      <c r="B623" s="131"/>
      <c r="C623" s="120"/>
      <c r="D623" s="121"/>
      <c r="E623" s="107"/>
      <c r="F623" s="122"/>
      <c r="G623" s="22"/>
      <c r="H623" s="123"/>
      <c r="I623" s="126"/>
      <c r="J623" s="130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>
      <c r="A624" s="107"/>
      <c r="B624" s="131"/>
      <c r="C624" s="120"/>
      <c r="D624" s="121"/>
      <c r="E624" s="107"/>
      <c r="F624" s="122"/>
      <c r="G624" s="22"/>
      <c r="H624" s="123"/>
      <c r="I624" s="126"/>
      <c r="J624" s="130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>
      <c r="A625" s="107"/>
      <c r="B625" s="131"/>
      <c r="C625" s="120"/>
      <c r="D625" s="121"/>
      <c r="E625" s="107"/>
      <c r="F625" s="122"/>
      <c r="G625" s="22"/>
      <c r="H625" s="123"/>
      <c r="I625" s="126"/>
      <c r="J625" s="130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>
      <c r="A626" s="107"/>
      <c r="B626" s="131"/>
      <c r="C626" s="120"/>
      <c r="D626" s="121"/>
      <c r="E626" s="107"/>
      <c r="F626" s="122"/>
      <c r="G626" s="22"/>
      <c r="H626" s="123"/>
      <c r="I626" s="126"/>
      <c r="J626" s="130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>
      <c r="A627" s="107"/>
      <c r="B627" s="131"/>
      <c r="C627" s="120"/>
      <c r="D627" s="121"/>
      <c r="E627" s="107"/>
      <c r="F627" s="122"/>
      <c r="G627" s="22"/>
      <c r="H627" s="123"/>
      <c r="I627" s="126"/>
      <c r="J627" s="130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>
      <c r="A628" s="107"/>
      <c r="B628" s="131"/>
      <c r="C628" s="120"/>
      <c r="D628" s="121"/>
      <c r="E628" s="107"/>
      <c r="F628" s="122"/>
      <c r="G628" s="22"/>
      <c r="H628" s="123"/>
      <c r="I628" s="126"/>
      <c r="J628" s="130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>
      <c r="A629" s="107"/>
      <c r="B629" s="131"/>
      <c r="C629" s="120"/>
      <c r="D629" s="121"/>
      <c r="E629" s="107"/>
      <c r="F629" s="122"/>
      <c r="G629" s="22"/>
      <c r="H629" s="123"/>
      <c r="I629" s="126"/>
      <c r="J629" s="130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>
      <c r="A630" s="107"/>
      <c r="B630" s="131"/>
      <c r="C630" s="120"/>
      <c r="D630" s="121"/>
      <c r="E630" s="107"/>
      <c r="F630" s="122"/>
      <c r="G630" s="22"/>
      <c r="H630" s="123"/>
      <c r="I630" s="126"/>
      <c r="J630" s="130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>
      <c r="A631" s="107"/>
      <c r="B631" s="131"/>
      <c r="C631" s="120"/>
      <c r="D631" s="121"/>
      <c r="E631" s="107"/>
      <c r="F631" s="122"/>
      <c r="G631" s="22"/>
      <c r="H631" s="123"/>
      <c r="I631" s="126"/>
      <c r="J631" s="130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>
      <c r="A632" s="107"/>
      <c r="B632" s="131"/>
      <c r="C632" s="120"/>
      <c r="D632" s="121"/>
      <c r="E632" s="107"/>
      <c r="F632" s="122"/>
      <c r="G632" s="22"/>
      <c r="H632" s="123"/>
      <c r="I632" s="126"/>
      <c r="J632" s="130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>
      <c r="A633" s="107"/>
      <c r="B633" s="131"/>
      <c r="C633" s="120"/>
      <c r="D633" s="121"/>
      <c r="E633" s="107"/>
      <c r="F633" s="122"/>
      <c r="G633" s="22"/>
      <c r="H633" s="123"/>
      <c r="I633" s="126"/>
      <c r="J633" s="130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>
      <c r="A634" s="107"/>
      <c r="B634" s="131"/>
      <c r="C634" s="120"/>
      <c r="D634" s="121"/>
      <c r="E634" s="107"/>
      <c r="F634" s="122"/>
      <c r="G634" s="22"/>
      <c r="H634" s="123"/>
      <c r="I634" s="126"/>
      <c r="J634" s="130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>
      <c r="A635" s="107"/>
      <c r="B635" s="131"/>
      <c r="C635" s="120"/>
      <c r="D635" s="121"/>
      <c r="E635" s="107"/>
      <c r="F635" s="122"/>
      <c r="G635" s="22"/>
      <c r="H635" s="123"/>
      <c r="I635" s="126"/>
      <c r="J635" s="130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>
      <c r="A636" s="107"/>
      <c r="B636" s="131"/>
      <c r="C636" s="120"/>
      <c r="D636" s="121"/>
      <c r="E636" s="107"/>
      <c r="F636" s="122"/>
      <c r="G636" s="22"/>
      <c r="H636" s="123"/>
      <c r="I636" s="126"/>
      <c r="J636" s="130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>
      <c r="A637" s="107"/>
      <c r="B637" s="131"/>
      <c r="C637" s="120"/>
      <c r="D637" s="121"/>
      <c r="E637" s="107"/>
      <c r="F637" s="122"/>
      <c r="G637" s="22"/>
      <c r="H637" s="123"/>
      <c r="I637" s="126"/>
      <c r="J637" s="130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>
      <c r="A638" s="107"/>
      <c r="B638" s="131"/>
      <c r="C638" s="120"/>
      <c r="D638" s="121"/>
      <c r="E638" s="107"/>
      <c r="F638" s="122"/>
      <c r="G638" s="22"/>
      <c r="H638" s="123"/>
      <c r="I638" s="126"/>
      <c r="J638" s="130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>
      <c r="A639" s="107"/>
      <c r="B639" s="131"/>
      <c r="C639" s="120"/>
      <c r="D639" s="121"/>
      <c r="E639" s="107"/>
      <c r="F639" s="122"/>
      <c r="G639" s="22"/>
      <c r="H639" s="123"/>
      <c r="I639" s="126"/>
      <c r="J639" s="130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>
      <c r="A640" s="107"/>
      <c r="B640" s="131"/>
      <c r="C640" s="120"/>
      <c r="D640" s="121"/>
      <c r="E640" s="107"/>
      <c r="F640" s="122"/>
      <c r="G640" s="22"/>
      <c r="H640" s="123"/>
      <c r="I640" s="126"/>
      <c r="J640" s="130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>
      <c r="A641" s="107"/>
      <c r="B641" s="131"/>
      <c r="C641" s="120"/>
      <c r="D641" s="121"/>
      <c r="E641" s="107"/>
      <c r="F641" s="122"/>
      <c r="G641" s="22"/>
      <c r="H641" s="123"/>
      <c r="I641" s="126"/>
      <c r="J641" s="130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>
      <c r="A642" s="107"/>
      <c r="B642" s="131"/>
      <c r="C642" s="120"/>
      <c r="D642" s="121"/>
      <c r="E642" s="107"/>
      <c r="F642" s="122"/>
      <c r="G642" s="22"/>
      <c r="H642" s="123"/>
      <c r="I642" s="126"/>
      <c r="J642" s="130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>
      <c r="A643" s="107"/>
      <c r="B643" s="131"/>
      <c r="C643" s="120"/>
      <c r="D643" s="121"/>
      <c r="E643" s="107"/>
      <c r="F643" s="122"/>
      <c r="G643" s="22"/>
      <c r="H643" s="123"/>
      <c r="I643" s="126"/>
      <c r="J643" s="130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>
      <c r="A644" s="107"/>
      <c r="B644" s="131"/>
      <c r="C644" s="120"/>
      <c r="D644" s="121"/>
      <c r="E644" s="107"/>
      <c r="F644" s="122"/>
      <c r="G644" s="22"/>
      <c r="H644" s="123"/>
      <c r="I644" s="126"/>
      <c r="J644" s="130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>
      <c r="A645" s="107"/>
      <c r="B645" s="131"/>
      <c r="C645" s="120"/>
      <c r="D645" s="121"/>
      <c r="E645" s="107"/>
      <c r="F645" s="122"/>
      <c r="G645" s="22"/>
      <c r="H645" s="123"/>
      <c r="I645" s="126"/>
      <c r="J645" s="130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>
      <c r="A646" s="107"/>
      <c r="B646" s="131"/>
      <c r="C646" s="120"/>
      <c r="D646" s="121"/>
      <c r="E646" s="107"/>
      <c r="F646" s="122"/>
      <c r="G646" s="22"/>
      <c r="H646" s="123"/>
      <c r="I646" s="126"/>
      <c r="J646" s="130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>
      <c r="A647" s="107"/>
      <c r="B647" s="131"/>
      <c r="C647" s="120"/>
      <c r="D647" s="121"/>
      <c r="E647" s="107"/>
      <c r="F647" s="122"/>
      <c r="G647" s="22"/>
      <c r="H647" s="123"/>
      <c r="I647" s="126"/>
      <c r="J647" s="130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>
      <c r="A648" s="107"/>
      <c r="B648" s="131"/>
      <c r="C648" s="120"/>
      <c r="D648" s="121"/>
      <c r="E648" s="107"/>
      <c r="F648" s="122"/>
      <c r="G648" s="22"/>
      <c r="H648" s="123"/>
      <c r="I648" s="126"/>
      <c r="J648" s="130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>
      <c r="A649" s="107"/>
      <c r="B649" s="131"/>
      <c r="C649" s="120"/>
      <c r="D649" s="121"/>
      <c r="E649" s="107"/>
      <c r="F649" s="122"/>
      <c r="G649" s="22"/>
      <c r="H649" s="123"/>
      <c r="I649" s="126"/>
      <c r="J649" s="130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>
      <c r="A650" s="107"/>
      <c r="B650" s="131"/>
      <c r="C650" s="120"/>
      <c r="D650" s="121"/>
      <c r="E650" s="107"/>
      <c r="F650" s="122"/>
      <c r="G650" s="22"/>
      <c r="H650" s="123"/>
      <c r="I650" s="126"/>
      <c r="J650" s="130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>
      <c r="A651" s="107"/>
      <c r="B651" s="131"/>
      <c r="C651" s="120"/>
      <c r="D651" s="121"/>
      <c r="E651" s="107"/>
      <c r="F651" s="122"/>
      <c r="G651" s="22"/>
      <c r="H651" s="123"/>
      <c r="I651" s="126"/>
      <c r="J651" s="130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>
      <c r="A652" s="107"/>
      <c r="B652" s="131"/>
      <c r="C652" s="120"/>
      <c r="D652" s="121"/>
      <c r="E652" s="107"/>
      <c r="F652" s="122"/>
      <c r="G652" s="22"/>
      <c r="H652" s="123"/>
      <c r="I652" s="126"/>
      <c r="J652" s="130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>
      <c r="A653" s="107"/>
      <c r="B653" s="131"/>
      <c r="C653" s="120"/>
      <c r="D653" s="121"/>
      <c r="E653" s="107"/>
      <c r="F653" s="122"/>
      <c r="G653" s="22"/>
      <c r="H653" s="123"/>
      <c r="I653" s="126"/>
      <c r="J653" s="130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>
      <c r="A654" s="107"/>
      <c r="B654" s="131"/>
      <c r="C654" s="120"/>
      <c r="D654" s="121"/>
      <c r="E654" s="107"/>
      <c r="F654" s="122"/>
      <c r="G654" s="22"/>
      <c r="H654" s="123"/>
      <c r="I654" s="126"/>
      <c r="J654" s="130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>
      <c r="A655" s="107"/>
      <c r="B655" s="131"/>
      <c r="C655" s="120"/>
      <c r="D655" s="121"/>
      <c r="E655" s="107"/>
      <c r="F655" s="122"/>
      <c r="G655" s="22"/>
      <c r="H655" s="123"/>
      <c r="I655" s="126"/>
      <c r="J655" s="130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>
      <c r="A656" s="107"/>
      <c r="B656" s="131"/>
      <c r="C656" s="120"/>
      <c r="D656" s="121"/>
      <c r="E656" s="107"/>
      <c r="F656" s="122"/>
      <c r="G656" s="22"/>
      <c r="H656" s="123"/>
      <c r="I656" s="126"/>
      <c r="J656" s="130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>
      <c r="A657" s="107"/>
      <c r="B657" s="131"/>
      <c r="C657" s="120"/>
      <c r="D657" s="121"/>
      <c r="E657" s="107"/>
      <c r="F657" s="122"/>
      <c r="G657" s="22"/>
      <c r="H657" s="123"/>
      <c r="I657" s="126"/>
      <c r="J657" s="130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>
      <c r="A658" s="107"/>
      <c r="B658" s="131"/>
      <c r="C658" s="120"/>
      <c r="D658" s="121"/>
      <c r="E658" s="107"/>
      <c r="F658" s="122"/>
      <c r="G658" s="22"/>
      <c r="H658" s="123"/>
      <c r="I658" s="126"/>
      <c r="J658" s="130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>
      <c r="A659" s="107"/>
      <c r="B659" s="131"/>
      <c r="C659" s="120"/>
      <c r="D659" s="121"/>
      <c r="E659" s="107"/>
      <c r="F659" s="122"/>
      <c r="G659" s="22"/>
      <c r="H659" s="123"/>
      <c r="I659" s="126"/>
      <c r="J659" s="130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>
      <c r="A660" s="107"/>
      <c r="B660" s="131"/>
      <c r="C660" s="120"/>
      <c r="D660" s="121"/>
      <c r="E660" s="107"/>
      <c r="F660" s="122"/>
      <c r="G660" s="22"/>
      <c r="H660" s="123"/>
      <c r="I660" s="126"/>
      <c r="J660" s="130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>
      <c r="A661" s="107"/>
      <c r="B661" s="131"/>
      <c r="C661" s="120"/>
      <c r="D661" s="121"/>
      <c r="E661" s="107"/>
      <c r="F661" s="122"/>
      <c r="G661" s="22"/>
      <c r="H661" s="123"/>
      <c r="I661" s="126"/>
      <c r="J661" s="130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>
      <c r="A662" s="107"/>
      <c r="B662" s="131"/>
      <c r="C662" s="120"/>
      <c r="D662" s="121"/>
      <c r="E662" s="107"/>
      <c r="F662" s="122"/>
      <c r="G662" s="22"/>
      <c r="H662" s="123"/>
      <c r="I662" s="126"/>
      <c r="J662" s="130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>
      <c r="A663" s="107"/>
      <c r="B663" s="131"/>
      <c r="C663" s="120"/>
      <c r="D663" s="121"/>
      <c r="E663" s="107"/>
      <c r="F663" s="122"/>
      <c r="G663" s="22"/>
      <c r="H663" s="123"/>
      <c r="I663" s="126"/>
      <c r="J663" s="130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>
      <c r="A664" s="107"/>
      <c r="B664" s="131"/>
      <c r="C664" s="120"/>
      <c r="D664" s="121"/>
      <c r="E664" s="107"/>
      <c r="F664" s="122"/>
      <c r="G664" s="22"/>
      <c r="H664" s="123"/>
      <c r="I664" s="126"/>
      <c r="J664" s="130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>
      <c r="A665" s="107"/>
      <c r="B665" s="131"/>
      <c r="C665" s="120"/>
      <c r="D665" s="121"/>
      <c r="E665" s="107"/>
      <c r="F665" s="122"/>
      <c r="G665" s="22"/>
      <c r="H665" s="123"/>
      <c r="I665" s="126"/>
      <c r="J665" s="130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>
      <c r="A666" s="107"/>
      <c r="B666" s="131"/>
      <c r="C666" s="120"/>
      <c r="D666" s="121"/>
      <c r="E666" s="107"/>
      <c r="F666" s="122"/>
      <c r="G666" s="22"/>
      <c r="H666" s="123"/>
      <c r="I666" s="126"/>
      <c r="J666" s="130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>
      <c r="A667" s="107"/>
      <c r="B667" s="131"/>
      <c r="C667" s="120"/>
      <c r="D667" s="121"/>
      <c r="E667" s="107"/>
      <c r="F667" s="122"/>
      <c r="G667" s="22"/>
      <c r="H667" s="123"/>
      <c r="I667" s="126"/>
      <c r="J667" s="130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>
      <c r="A668" s="107"/>
      <c r="B668" s="131"/>
      <c r="C668" s="120"/>
      <c r="D668" s="121"/>
      <c r="E668" s="107"/>
      <c r="F668" s="122"/>
      <c r="G668" s="22"/>
      <c r="H668" s="123"/>
      <c r="I668" s="126"/>
      <c r="J668" s="130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>
      <c r="A669" s="107"/>
      <c r="B669" s="131"/>
      <c r="C669" s="120"/>
      <c r="D669" s="121"/>
      <c r="E669" s="107"/>
      <c r="F669" s="122"/>
      <c r="G669" s="22"/>
      <c r="H669" s="123"/>
      <c r="I669" s="126"/>
      <c r="J669" s="130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>
      <c r="A670" s="107"/>
      <c r="B670" s="131"/>
      <c r="C670" s="120"/>
      <c r="D670" s="121"/>
      <c r="E670" s="107"/>
      <c r="F670" s="122"/>
      <c r="G670" s="22"/>
      <c r="H670" s="123"/>
      <c r="I670" s="126"/>
      <c r="J670" s="130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>
      <c r="A671" s="107"/>
      <c r="B671" s="131"/>
      <c r="C671" s="120"/>
      <c r="D671" s="121"/>
      <c r="E671" s="107"/>
      <c r="F671" s="122"/>
      <c r="G671" s="22"/>
      <c r="H671" s="123"/>
      <c r="I671" s="126"/>
      <c r="J671" s="130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>
      <c r="A672" s="107"/>
      <c r="B672" s="131"/>
      <c r="C672" s="120"/>
      <c r="D672" s="121"/>
      <c r="E672" s="107"/>
      <c r="F672" s="122"/>
      <c r="G672" s="22"/>
      <c r="H672" s="123"/>
      <c r="I672" s="126"/>
      <c r="J672" s="130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>
      <c r="A673" s="107"/>
      <c r="B673" s="131"/>
      <c r="C673" s="120"/>
      <c r="D673" s="121"/>
      <c r="E673" s="107"/>
      <c r="F673" s="122"/>
      <c r="G673" s="22"/>
      <c r="H673" s="123"/>
      <c r="I673" s="126"/>
      <c r="J673" s="130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>
      <c r="A674" s="107"/>
      <c r="B674" s="131"/>
      <c r="C674" s="120"/>
      <c r="D674" s="121"/>
      <c r="E674" s="107"/>
      <c r="F674" s="122"/>
      <c r="G674" s="22"/>
      <c r="H674" s="123"/>
      <c r="I674" s="126"/>
      <c r="J674" s="130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>
      <c r="A675" s="107"/>
      <c r="B675" s="131"/>
      <c r="C675" s="120"/>
      <c r="D675" s="121"/>
      <c r="E675" s="107"/>
      <c r="F675" s="122"/>
      <c r="G675" s="22"/>
      <c r="H675" s="123"/>
      <c r="I675" s="126"/>
      <c r="J675" s="130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>
      <c r="A676" s="107"/>
      <c r="B676" s="131"/>
      <c r="C676" s="120"/>
      <c r="D676" s="121"/>
      <c r="E676" s="107"/>
      <c r="F676" s="122"/>
      <c r="G676" s="22"/>
      <c r="H676" s="123"/>
      <c r="I676" s="126"/>
      <c r="J676" s="130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>
      <c r="A677" s="107"/>
      <c r="B677" s="131"/>
      <c r="C677" s="120"/>
      <c r="D677" s="121"/>
      <c r="E677" s="107"/>
      <c r="F677" s="122"/>
      <c r="G677" s="22"/>
      <c r="H677" s="123"/>
      <c r="I677" s="126"/>
      <c r="J677" s="130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>
      <c r="A678" s="107"/>
      <c r="B678" s="131"/>
      <c r="C678" s="120"/>
      <c r="D678" s="121"/>
      <c r="E678" s="107"/>
      <c r="F678" s="122"/>
      <c r="G678" s="22"/>
      <c r="H678" s="123"/>
      <c r="I678" s="126"/>
      <c r="J678" s="130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>
      <c r="A679" s="107"/>
      <c r="B679" s="131"/>
      <c r="C679" s="120"/>
      <c r="D679" s="121"/>
      <c r="E679" s="107"/>
      <c r="F679" s="122"/>
      <c r="G679" s="22"/>
      <c r="H679" s="123"/>
      <c r="I679" s="126"/>
      <c r="J679" s="130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>
      <c r="A680" s="107"/>
      <c r="B680" s="131"/>
      <c r="C680" s="120"/>
      <c r="D680" s="121"/>
      <c r="E680" s="107"/>
      <c r="F680" s="122"/>
      <c r="G680" s="22"/>
      <c r="H680" s="123"/>
      <c r="I680" s="126"/>
      <c r="J680" s="130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>
      <c r="A681" s="107"/>
      <c r="B681" s="131"/>
      <c r="C681" s="120"/>
      <c r="D681" s="121"/>
      <c r="E681" s="107"/>
      <c r="F681" s="122"/>
      <c r="G681" s="22"/>
      <c r="H681" s="123"/>
      <c r="I681" s="126"/>
      <c r="J681" s="130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>
      <c r="A682" s="107"/>
      <c r="B682" s="131"/>
      <c r="C682" s="120"/>
      <c r="D682" s="121"/>
      <c r="E682" s="107"/>
      <c r="F682" s="122"/>
      <c r="G682" s="22"/>
      <c r="H682" s="123"/>
      <c r="I682" s="126"/>
      <c r="J682" s="130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>
      <c r="A683" s="107"/>
      <c r="B683" s="131"/>
      <c r="C683" s="120"/>
      <c r="D683" s="121"/>
      <c r="E683" s="107"/>
      <c r="F683" s="122"/>
      <c r="G683" s="22"/>
      <c r="H683" s="123"/>
      <c r="I683" s="126"/>
      <c r="J683" s="130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>
      <c r="A684" s="107"/>
      <c r="B684" s="131"/>
      <c r="C684" s="120"/>
      <c r="D684" s="121"/>
      <c r="E684" s="107"/>
      <c r="F684" s="122"/>
      <c r="G684" s="22"/>
      <c r="H684" s="123"/>
      <c r="I684" s="126"/>
      <c r="J684" s="130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>
      <c r="A685" s="107"/>
      <c r="B685" s="131"/>
      <c r="C685" s="120"/>
      <c r="D685" s="121"/>
      <c r="E685" s="107"/>
      <c r="F685" s="122"/>
      <c r="G685" s="22"/>
      <c r="H685" s="123"/>
      <c r="I685" s="126"/>
      <c r="J685" s="130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>
      <c r="A686" s="107"/>
      <c r="B686" s="131"/>
      <c r="C686" s="120"/>
      <c r="D686" s="121"/>
      <c r="E686" s="107"/>
      <c r="F686" s="122"/>
      <c r="G686" s="22"/>
      <c r="H686" s="123"/>
      <c r="I686" s="126"/>
      <c r="J686" s="130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>
      <c r="A687" s="107"/>
      <c r="B687" s="131"/>
      <c r="C687" s="120"/>
      <c r="D687" s="121"/>
      <c r="E687" s="107"/>
      <c r="F687" s="122"/>
      <c r="G687" s="22"/>
      <c r="H687" s="123"/>
      <c r="I687" s="126"/>
      <c r="J687" s="130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>
      <c r="A688" s="107"/>
      <c r="B688" s="131"/>
      <c r="C688" s="120"/>
      <c r="D688" s="121"/>
      <c r="E688" s="107"/>
      <c r="F688" s="122"/>
      <c r="G688" s="22"/>
      <c r="H688" s="123"/>
      <c r="I688" s="126"/>
      <c r="J688" s="130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>
      <c r="A689" s="107"/>
      <c r="B689" s="131"/>
      <c r="C689" s="120"/>
      <c r="D689" s="121"/>
      <c r="E689" s="107"/>
      <c r="F689" s="122"/>
      <c r="G689" s="22"/>
      <c r="H689" s="123"/>
      <c r="I689" s="126"/>
      <c r="J689" s="130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>
      <c r="A690" s="107"/>
      <c r="B690" s="131"/>
      <c r="C690" s="120"/>
      <c r="D690" s="121"/>
      <c r="E690" s="107"/>
      <c r="F690" s="122"/>
      <c r="G690" s="22"/>
      <c r="H690" s="123"/>
      <c r="I690" s="126"/>
      <c r="J690" s="130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>
      <c r="A691" s="107"/>
      <c r="B691" s="131"/>
      <c r="C691" s="120"/>
      <c r="D691" s="121"/>
      <c r="E691" s="107"/>
      <c r="F691" s="122"/>
      <c r="G691" s="22"/>
      <c r="H691" s="123"/>
      <c r="I691" s="126"/>
      <c r="J691" s="130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>
      <c r="A692" s="107"/>
      <c r="B692" s="131"/>
      <c r="C692" s="120"/>
      <c r="D692" s="121"/>
      <c r="E692" s="107"/>
      <c r="F692" s="122"/>
      <c r="G692" s="22"/>
      <c r="H692" s="123"/>
      <c r="I692" s="126"/>
      <c r="J692" s="130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>
      <c r="A693" s="107"/>
      <c r="B693" s="131"/>
      <c r="C693" s="120"/>
      <c r="D693" s="121"/>
      <c r="E693" s="107"/>
      <c r="F693" s="122"/>
      <c r="G693" s="22"/>
      <c r="H693" s="123"/>
      <c r="I693" s="126"/>
      <c r="J693" s="130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>
      <c r="A694" s="107"/>
      <c r="B694" s="131"/>
      <c r="C694" s="120"/>
      <c r="D694" s="121"/>
      <c r="E694" s="107"/>
      <c r="F694" s="122"/>
      <c r="G694" s="22"/>
      <c r="H694" s="123"/>
      <c r="I694" s="126"/>
      <c r="J694" s="130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>
      <c r="A695" s="107"/>
      <c r="B695" s="131"/>
      <c r="C695" s="120"/>
      <c r="D695" s="121"/>
      <c r="E695" s="107"/>
      <c r="F695" s="122"/>
      <c r="G695" s="22"/>
      <c r="H695" s="123"/>
      <c r="I695" s="126"/>
      <c r="J695" s="130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>
      <c r="A696" s="107"/>
      <c r="B696" s="131"/>
      <c r="C696" s="120"/>
      <c r="D696" s="121"/>
      <c r="E696" s="107"/>
      <c r="F696" s="122"/>
      <c r="G696" s="22"/>
      <c r="H696" s="123"/>
      <c r="I696" s="126"/>
      <c r="J696" s="130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>
      <c r="A697" s="107"/>
      <c r="B697" s="131"/>
      <c r="C697" s="120"/>
      <c r="D697" s="121"/>
      <c r="E697" s="107"/>
      <c r="F697" s="122"/>
      <c r="G697" s="22"/>
      <c r="H697" s="123"/>
      <c r="I697" s="126"/>
      <c r="J697" s="130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>
      <c r="A698" s="107"/>
      <c r="B698" s="131"/>
      <c r="C698" s="120"/>
      <c r="D698" s="121"/>
      <c r="E698" s="107"/>
      <c r="F698" s="122"/>
      <c r="G698" s="22"/>
      <c r="H698" s="123"/>
      <c r="I698" s="126"/>
      <c r="J698" s="130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>
      <c r="A699" s="107"/>
      <c r="B699" s="131"/>
      <c r="C699" s="120"/>
      <c r="D699" s="121"/>
      <c r="E699" s="107"/>
      <c r="F699" s="122"/>
      <c r="G699" s="22"/>
      <c r="H699" s="123"/>
      <c r="I699" s="126"/>
      <c r="J699" s="130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>
      <c r="A700" s="107"/>
      <c r="B700" s="131"/>
      <c r="C700" s="120"/>
      <c r="D700" s="121"/>
      <c r="E700" s="107"/>
      <c r="F700" s="122"/>
      <c r="G700" s="22"/>
      <c r="H700" s="123"/>
      <c r="I700" s="126"/>
      <c r="J700" s="130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>
      <c r="A701" s="107"/>
      <c r="B701" s="131"/>
      <c r="C701" s="120"/>
      <c r="D701" s="121"/>
      <c r="E701" s="107"/>
      <c r="F701" s="122"/>
      <c r="G701" s="22"/>
      <c r="H701" s="123"/>
      <c r="I701" s="126"/>
      <c r="J701" s="130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>
      <c r="A702" s="107"/>
      <c r="B702" s="131"/>
      <c r="C702" s="120"/>
      <c r="D702" s="121"/>
      <c r="E702" s="107"/>
      <c r="F702" s="122"/>
      <c r="G702" s="22"/>
      <c r="H702" s="123"/>
      <c r="I702" s="126"/>
      <c r="J702" s="130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>
      <c r="A703" s="107"/>
      <c r="B703" s="131"/>
      <c r="C703" s="120"/>
      <c r="D703" s="121"/>
      <c r="E703" s="107"/>
      <c r="F703" s="122"/>
      <c r="G703" s="22"/>
      <c r="H703" s="123"/>
      <c r="I703" s="126"/>
      <c r="J703" s="130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>
      <c r="A704" s="107"/>
      <c r="B704" s="131"/>
      <c r="C704" s="120"/>
      <c r="D704" s="121"/>
      <c r="E704" s="107"/>
      <c r="F704" s="122"/>
      <c r="G704" s="22"/>
      <c r="H704" s="123"/>
      <c r="I704" s="126"/>
      <c r="J704" s="130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>
      <c r="A705" s="107"/>
      <c r="B705" s="131"/>
      <c r="C705" s="120"/>
      <c r="D705" s="121"/>
      <c r="E705" s="107"/>
      <c r="F705" s="122"/>
      <c r="G705" s="22"/>
      <c r="H705" s="123"/>
      <c r="I705" s="126"/>
      <c r="J705" s="130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>
      <c r="A706" s="107"/>
      <c r="B706" s="131"/>
      <c r="C706" s="120"/>
      <c r="D706" s="121"/>
      <c r="E706" s="107"/>
      <c r="F706" s="122"/>
      <c r="G706" s="22"/>
      <c r="H706" s="123"/>
      <c r="I706" s="126"/>
      <c r="J706" s="130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>
      <c r="A707" s="107"/>
      <c r="B707" s="131"/>
      <c r="C707" s="120"/>
      <c r="D707" s="121"/>
      <c r="E707" s="107"/>
      <c r="F707" s="122"/>
      <c r="G707" s="22"/>
      <c r="H707" s="123"/>
      <c r="I707" s="126"/>
      <c r="J707" s="130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>
      <c r="A708" s="107"/>
      <c r="B708" s="131"/>
      <c r="C708" s="120"/>
      <c r="D708" s="121"/>
      <c r="E708" s="107"/>
      <c r="F708" s="122"/>
      <c r="G708" s="22"/>
      <c r="H708" s="123"/>
      <c r="I708" s="126"/>
      <c r="J708" s="130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>
      <c r="A709" s="107"/>
      <c r="B709" s="131"/>
      <c r="C709" s="120"/>
      <c r="D709" s="121"/>
      <c r="E709" s="107"/>
      <c r="F709" s="122"/>
      <c r="G709" s="22"/>
      <c r="H709" s="123"/>
      <c r="I709" s="126"/>
      <c r="J709" s="130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>
      <c r="A710" s="107"/>
      <c r="B710" s="131"/>
      <c r="C710" s="120"/>
      <c r="D710" s="121"/>
      <c r="E710" s="107"/>
      <c r="F710" s="122"/>
      <c r="G710" s="22"/>
      <c r="H710" s="123"/>
      <c r="I710" s="126"/>
      <c r="J710" s="130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>
      <c r="A711" s="107"/>
      <c r="B711" s="131"/>
      <c r="C711" s="120"/>
      <c r="D711" s="121"/>
      <c r="E711" s="107"/>
      <c r="F711" s="122"/>
      <c r="G711" s="22"/>
      <c r="H711" s="123"/>
      <c r="I711" s="126"/>
      <c r="J711" s="130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>
      <c r="A712" s="107"/>
      <c r="B712" s="131"/>
      <c r="C712" s="120"/>
      <c r="D712" s="121"/>
      <c r="E712" s="107"/>
      <c r="F712" s="122"/>
      <c r="G712" s="22"/>
      <c r="H712" s="123"/>
      <c r="I712" s="126"/>
      <c r="J712" s="130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>
      <c r="A713" s="107"/>
      <c r="B713" s="131"/>
      <c r="C713" s="120"/>
      <c r="D713" s="121"/>
      <c r="E713" s="107"/>
      <c r="F713" s="122"/>
      <c r="G713" s="22"/>
      <c r="H713" s="123"/>
      <c r="I713" s="126"/>
      <c r="J713" s="130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>
      <c r="A714" s="107"/>
      <c r="B714" s="131"/>
      <c r="C714" s="120"/>
      <c r="D714" s="121"/>
      <c r="E714" s="107"/>
      <c r="F714" s="122"/>
      <c r="G714" s="22"/>
      <c r="H714" s="123"/>
      <c r="I714" s="126"/>
      <c r="J714" s="130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>
      <c r="A715" s="107"/>
      <c r="B715" s="131"/>
      <c r="C715" s="120"/>
      <c r="D715" s="121"/>
      <c r="E715" s="107"/>
      <c r="F715" s="122"/>
      <c r="G715" s="22"/>
      <c r="H715" s="123"/>
      <c r="I715" s="126"/>
      <c r="J715" s="130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>
      <c r="A716" s="107"/>
      <c r="B716" s="131"/>
      <c r="C716" s="120"/>
      <c r="D716" s="121"/>
      <c r="E716" s="107"/>
      <c r="F716" s="122"/>
      <c r="G716" s="22"/>
      <c r="H716" s="123"/>
      <c r="I716" s="126"/>
      <c r="J716" s="130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>
      <c r="A717" s="107"/>
      <c r="B717" s="131"/>
      <c r="C717" s="120"/>
      <c r="D717" s="121"/>
      <c r="E717" s="107"/>
      <c r="F717" s="122"/>
      <c r="G717" s="22"/>
      <c r="H717" s="123"/>
      <c r="I717" s="126"/>
      <c r="J717" s="130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>
      <c r="A718" s="107"/>
      <c r="B718" s="131"/>
      <c r="C718" s="120"/>
      <c r="D718" s="121"/>
      <c r="E718" s="107"/>
      <c r="F718" s="122"/>
      <c r="G718" s="22"/>
      <c r="H718" s="123"/>
      <c r="I718" s="126"/>
      <c r="J718" s="130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>
      <c r="A719" s="107"/>
      <c r="B719" s="131"/>
      <c r="C719" s="120"/>
      <c r="D719" s="121"/>
      <c r="E719" s="107"/>
      <c r="F719" s="122"/>
      <c r="G719" s="22"/>
      <c r="H719" s="123"/>
      <c r="I719" s="126"/>
      <c r="J719" s="130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>
      <c r="A720" s="107"/>
      <c r="B720" s="131"/>
      <c r="C720" s="120"/>
      <c r="D720" s="121"/>
      <c r="E720" s="107"/>
      <c r="F720" s="122"/>
      <c r="G720" s="22"/>
      <c r="H720" s="123"/>
      <c r="I720" s="126"/>
      <c r="J720" s="130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>
      <c r="A721" s="107"/>
      <c r="B721" s="131"/>
      <c r="C721" s="120"/>
      <c r="D721" s="121"/>
      <c r="E721" s="107"/>
      <c r="F721" s="122"/>
      <c r="G721" s="22"/>
      <c r="H721" s="123"/>
      <c r="I721" s="126"/>
      <c r="J721" s="130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>
      <c r="A722" s="107"/>
      <c r="B722" s="131"/>
      <c r="C722" s="120"/>
      <c r="D722" s="121"/>
      <c r="E722" s="107"/>
      <c r="F722" s="122"/>
      <c r="G722" s="22"/>
      <c r="H722" s="123"/>
      <c r="I722" s="126"/>
      <c r="J722" s="130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>
      <c r="A723" s="107"/>
      <c r="B723" s="131"/>
      <c r="C723" s="120"/>
      <c r="D723" s="121"/>
      <c r="E723" s="107"/>
      <c r="F723" s="122"/>
      <c r="G723" s="22"/>
      <c r="H723" s="123"/>
      <c r="I723" s="126"/>
      <c r="J723" s="130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>
      <c r="A724" s="107"/>
      <c r="B724" s="131"/>
      <c r="C724" s="120"/>
      <c r="D724" s="121"/>
      <c r="E724" s="107"/>
      <c r="F724" s="122"/>
      <c r="G724" s="22"/>
      <c r="H724" s="123"/>
      <c r="I724" s="126"/>
      <c r="J724" s="130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>
      <c r="A725" s="107"/>
      <c r="B725" s="131"/>
      <c r="C725" s="120"/>
      <c r="D725" s="121"/>
      <c r="E725" s="107"/>
      <c r="F725" s="122"/>
      <c r="G725" s="22"/>
      <c r="H725" s="123"/>
      <c r="I725" s="126"/>
      <c r="J725" s="130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>
      <c r="A726" s="107"/>
      <c r="B726" s="131"/>
      <c r="C726" s="120"/>
      <c r="D726" s="121"/>
      <c r="E726" s="107"/>
      <c r="F726" s="122"/>
      <c r="G726" s="22"/>
      <c r="H726" s="123"/>
      <c r="I726" s="126"/>
      <c r="J726" s="130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>
      <c r="A727" s="107"/>
      <c r="B727" s="131"/>
      <c r="C727" s="120"/>
      <c r="D727" s="121"/>
      <c r="E727" s="107"/>
      <c r="F727" s="122"/>
      <c r="G727" s="22"/>
      <c r="H727" s="123"/>
      <c r="I727" s="126"/>
      <c r="J727" s="130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>
      <c r="A728" s="107"/>
      <c r="B728" s="131"/>
      <c r="C728" s="120"/>
      <c r="D728" s="121"/>
      <c r="E728" s="107"/>
      <c r="F728" s="122"/>
      <c r="G728" s="22"/>
      <c r="H728" s="123"/>
      <c r="I728" s="126"/>
      <c r="J728" s="130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>
      <c r="A729" s="107"/>
      <c r="B729" s="131"/>
      <c r="C729" s="120"/>
      <c r="D729" s="121"/>
      <c r="E729" s="107"/>
      <c r="F729" s="122"/>
      <c r="G729" s="22"/>
      <c r="H729" s="123"/>
      <c r="I729" s="126"/>
      <c r="J729" s="130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>
      <c r="A730" s="107"/>
      <c r="B730" s="131"/>
      <c r="C730" s="120"/>
      <c r="D730" s="121"/>
      <c r="E730" s="107"/>
      <c r="F730" s="122"/>
      <c r="G730" s="22"/>
      <c r="H730" s="123"/>
      <c r="I730" s="126"/>
      <c r="J730" s="130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>
      <c r="A731" s="107"/>
      <c r="B731" s="131"/>
      <c r="C731" s="120"/>
      <c r="D731" s="121"/>
      <c r="E731" s="107"/>
      <c r="F731" s="122"/>
      <c r="G731" s="22"/>
      <c r="H731" s="123"/>
      <c r="I731" s="126"/>
      <c r="J731" s="130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>
      <c r="A732" s="107"/>
      <c r="B732" s="131"/>
      <c r="C732" s="120"/>
      <c r="D732" s="121"/>
      <c r="E732" s="107"/>
      <c r="F732" s="122"/>
      <c r="G732" s="22"/>
      <c r="H732" s="123"/>
      <c r="I732" s="126"/>
      <c r="J732" s="130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>
      <c r="A733" s="107"/>
      <c r="B733" s="131"/>
      <c r="C733" s="120"/>
      <c r="D733" s="121"/>
      <c r="E733" s="107"/>
      <c r="F733" s="122"/>
      <c r="G733" s="22"/>
      <c r="H733" s="123"/>
      <c r="I733" s="126"/>
      <c r="J733" s="130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>
      <c r="A734" s="107"/>
      <c r="B734" s="131"/>
      <c r="C734" s="120"/>
      <c r="D734" s="121"/>
      <c r="E734" s="107"/>
      <c r="F734" s="122"/>
      <c r="G734" s="22"/>
      <c r="H734" s="123"/>
      <c r="I734" s="126"/>
      <c r="J734" s="130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>
      <c r="A735" s="107"/>
      <c r="B735" s="131"/>
      <c r="C735" s="120"/>
      <c r="D735" s="121"/>
      <c r="E735" s="107"/>
      <c r="F735" s="122"/>
      <c r="G735" s="22"/>
      <c r="H735" s="123"/>
      <c r="I735" s="126"/>
      <c r="J735" s="130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>
      <c r="A736" s="107"/>
      <c r="B736" s="131"/>
      <c r="C736" s="120"/>
      <c r="D736" s="121"/>
      <c r="E736" s="107"/>
      <c r="F736" s="122"/>
      <c r="G736" s="22"/>
      <c r="H736" s="123"/>
      <c r="I736" s="126"/>
      <c r="J736" s="130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>
      <c r="A737" s="107"/>
      <c r="B737" s="131"/>
      <c r="C737" s="120"/>
      <c r="D737" s="121"/>
      <c r="E737" s="107"/>
      <c r="F737" s="122"/>
      <c r="G737" s="22"/>
      <c r="H737" s="123"/>
      <c r="I737" s="126"/>
      <c r="J737" s="130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>
      <c r="A738" s="107"/>
      <c r="B738" s="131"/>
      <c r="C738" s="120"/>
      <c r="D738" s="121"/>
      <c r="E738" s="107"/>
      <c r="F738" s="122"/>
      <c r="G738" s="22"/>
      <c r="H738" s="123"/>
      <c r="I738" s="126"/>
      <c r="J738" s="130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>
      <c r="A739" s="107"/>
      <c r="B739" s="131"/>
      <c r="C739" s="120"/>
      <c r="D739" s="121"/>
      <c r="E739" s="107"/>
      <c r="F739" s="122"/>
      <c r="G739" s="22"/>
      <c r="H739" s="123"/>
      <c r="I739" s="126"/>
      <c r="J739" s="130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>
      <c r="A740" s="107"/>
      <c r="B740" s="131"/>
      <c r="C740" s="120"/>
      <c r="D740" s="121"/>
      <c r="E740" s="107"/>
      <c r="F740" s="122"/>
      <c r="G740" s="22"/>
      <c r="H740" s="123"/>
      <c r="I740" s="126"/>
      <c r="J740" s="130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>
      <c r="A741" s="107"/>
      <c r="B741" s="131"/>
      <c r="C741" s="120"/>
      <c r="D741" s="121"/>
      <c r="E741" s="107"/>
      <c r="F741" s="122"/>
      <c r="G741" s="22"/>
      <c r="H741" s="123"/>
      <c r="I741" s="126"/>
      <c r="J741" s="130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>
      <c r="A742" s="107"/>
      <c r="B742" s="131"/>
      <c r="C742" s="120"/>
      <c r="D742" s="121"/>
      <c r="E742" s="107"/>
      <c r="F742" s="122"/>
      <c r="G742" s="22"/>
      <c r="H742" s="123"/>
      <c r="I742" s="126"/>
      <c r="J742" s="130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>
      <c r="A743" s="107"/>
      <c r="B743" s="131"/>
      <c r="C743" s="120"/>
      <c r="D743" s="121"/>
      <c r="E743" s="107"/>
      <c r="F743" s="122"/>
      <c r="G743" s="22"/>
      <c r="H743" s="123"/>
      <c r="I743" s="126"/>
      <c r="J743" s="130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>
      <c r="A744" s="107"/>
      <c r="B744" s="131"/>
      <c r="C744" s="120"/>
      <c r="D744" s="121"/>
      <c r="E744" s="107"/>
      <c r="F744" s="122"/>
      <c r="G744" s="22"/>
      <c r="H744" s="123"/>
      <c r="I744" s="126"/>
      <c r="J744" s="130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>
      <c r="A745" s="107"/>
      <c r="B745" s="131"/>
      <c r="C745" s="120"/>
      <c r="D745" s="121"/>
      <c r="E745" s="107"/>
      <c r="F745" s="122"/>
      <c r="G745" s="22"/>
      <c r="H745" s="123"/>
      <c r="I745" s="126"/>
      <c r="J745" s="130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>
      <c r="A746" s="107"/>
      <c r="B746" s="131"/>
      <c r="C746" s="120"/>
      <c r="D746" s="121"/>
      <c r="E746" s="107"/>
      <c r="F746" s="122"/>
      <c r="G746" s="22"/>
      <c r="H746" s="123"/>
      <c r="I746" s="126"/>
      <c r="J746" s="130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>
      <c r="A747" s="107"/>
      <c r="B747" s="131"/>
      <c r="C747" s="120"/>
      <c r="D747" s="121"/>
      <c r="E747" s="107"/>
      <c r="F747" s="122"/>
      <c r="G747" s="22"/>
      <c r="H747" s="123"/>
      <c r="I747" s="126"/>
      <c r="J747" s="130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>
      <c r="A748" s="107"/>
      <c r="B748" s="131"/>
      <c r="C748" s="120"/>
      <c r="D748" s="121"/>
      <c r="E748" s="107"/>
      <c r="F748" s="122"/>
      <c r="G748" s="22"/>
      <c r="H748" s="123"/>
      <c r="I748" s="126"/>
      <c r="J748" s="130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>
      <c r="A749" s="107"/>
      <c r="B749" s="131"/>
      <c r="C749" s="120"/>
      <c r="D749" s="121"/>
      <c r="E749" s="107"/>
      <c r="F749" s="122"/>
      <c r="G749" s="22"/>
      <c r="H749" s="123"/>
      <c r="I749" s="126"/>
      <c r="J749" s="130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>
      <c r="A750" s="107"/>
      <c r="B750" s="131"/>
      <c r="C750" s="120"/>
      <c r="D750" s="121"/>
      <c r="E750" s="107"/>
      <c r="F750" s="122"/>
      <c r="G750" s="22"/>
      <c r="H750" s="123"/>
      <c r="I750" s="126"/>
      <c r="J750" s="130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>
      <c r="A751" s="107"/>
      <c r="B751" s="131"/>
      <c r="C751" s="120"/>
      <c r="D751" s="121"/>
      <c r="E751" s="107"/>
      <c r="F751" s="122"/>
      <c r="G751" s="22"/>
      <c r="H751" s="123"/>
      <c r="I751" s="126"/>
      <c r="J751" s="130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>
      <c r="A752" s="107"/>
      <c r="B752" s="131"/>
      <c r="C752" s="120"/>
      <c r="D752" s="121"/>
      <c r="E752" s="107"/>
      <c r="F752" s="122"/>
      <c r="G752" s="22"/>
      <c r="H752" s="123"/>
      <c r="I752" s="126"/>
      <c r="J752" s="130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>
      <c r="A753" s="107"/>
      <c r="B753" s="131"/>
      <c r="C753" s="120"/>
      <c r="D753" s="121"/>
      <c r="E753" s="107"/>
      <c r="F753" s="122"/>
      <c r="G753" s="22"/>
      <c r="H753" s="123"/>
      <c r="I753" s="126"/>
      <c r="J753" s="130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>
      <c r="A754" s="107"/>
      <c r="B754" s="131"/>
      <c r="C754" s="120"/>
      <c r="D754" s="121"/>
      <c r="E754" s="107"/>
      <c r="F754" s="122"/>
      <c r="G754" s="22"/>
      <c r="H754" s="123"/>
      <c r="I754" s="126"/>
      <c r="J754" s="130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>
      <c r="A755" s="107"/>
      <c r="B755" s="131"/>
      <c r="C755" s="120"/>
      <c r="D755" s="121"/>
      <c r="E755" s="107"/>
      <c r="F755" s="122"/>
      <c r="G755" s="22"/>
      <c r="H755" s="123"/>
      <c r="I755" s="126"/>
      <c r="J755" s="130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>
      <c r="A756" s="107"/>
      <c r="B756" s="131"/>
      <c r="C756" s="120"/>
      <c r="D756" s="121"/>
      <c r="E756" s="107"/>
      <c r="F756" s="122"/>
      <c r="G756" s="22"/>
      <c r="H756" s="123"/>
      <c r="I756" s="126"/>
      <c r="J756" s="130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>
      <c r="A757" s="107"/>
      <c r="B757" s="131"/>
      <c r="C757" s="120"/>
      <c r="D757" s="121"/>
      <c r="E757" s="107"/>
      <c r="F757" s="122"/>
      <c r="G757" s="22"/>
      <c r="H757" s="123"/>
      <c r="I757" s="126"/>
      <c r="J757" s="130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>
      <c r="A758" s="107"/>
      <c r="B758" s="131"/>
      <c r="C758" s="120"/>
      <c r="D758" s="121"/>
      <c r="E758" s="107"/>
      <c r="F758" s="122"/>
      <c r="G758" s="22"/>
      <c r="H758" s="123"/>
      <c r="I758" s="126"/>
      <c r="J758" s="130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>
      <c r="A759" s="107"/>
      <c r="B759" s="131"/>
      <c r="C759" s="120"/>
      <c r="D759" s="121"/>
      <c r="E759" s="107"/>
      <c r="F759" s="122"/>
      <c r="G759" s="22"/>
      <c r="H759" s="123"/>
      <c r="I759" s="126"/>
      <c r="J759" s="130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>
      <c r="A760" s="107"/>
      <c r="B760" s="131"/>
      <c r="C760" s="120"/>
      <c r="D760" s="121"/>
      <c r="E760" s="107"/>
      <c r="F760" s="122"/>
      <c r="G760" s="22"/>
      <c r="H760" s="123"/>
      <c r="I760" s="126"/>
      <c r="J760" s="130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>
      <c r="A761" s="107"/>
      <c r="B761" s="131"/>
      <c r="C761" s="120"/>
      <c r="D761" s="121"/>
      <c r="E761" s="107"/>
      <c r="F761" s="122"/>
      <c r="G761" s="22"/>
      <c r="H761" s="123"/>
      <c r="I761" s="126"/>
      <c r="J761" s="130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>
      <c r="A762" s="107"/>
      <c r="B762" s="131"/>
      <c r="C762" s="120"/>
      <c r="D762" s="121"/>
      <c r="E762" s="107"/>
      <c r="F762" s="122"/>
      <c r="G762" s="22"/>
      <c r="H762" s="123"/>
      <c r="I762" s="126"/>
      <c r="J762" s="130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>
      <c r="A763" s="107"/>
      <c r="B763" s="131"/>
      <c r="C763" s="120"/>
      <c r="D763" s="121"/>
      <c r="E763" s="107"/>
      <c r="F763" s="122"/>
      <c r="G763" s="22"/>
      <c r="H763" s="123"/>
      <c r="I763" s="126"/>
      <c r="J763" s="130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>
      <c r="A764" s="107"/>
      <c r="B764" s="131"/>
      <c r="C764" s="120"/>
      <c r="D764" s="121"/>
      <c r="E764" s="107"/>
      <c r="F764" s="122"/>
      <c r="G764" s="22"/>
      <c r="H764" s="123"/>
      <c r="I764" s="126"/>
      <c r="J764" s="130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>
      <c r="A765" s="107"/>
      <c r="B765" s="131"/>
      <c r="C765" s="120"/>
      <c r="D765" s="121"/>
      <c r="E765" s="107"/>
      <c r="F765" s="122"/>
      <c r="G765" s="22"/>
      <c r="H765" s="123"/>
      <c r="I765" s="126"/>
      <c r="J765" s="130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>
      <c r="A766" s="107"/>
      <c r="B766" s="131"/>
      <c r="C766" s="120"/>
      <c r="D766" s="121"/>
      <c r="E766" s="107"/>
      <c r="F766" s="122"/>
      <c r="G766" s="22"/>
      <c r="H766" s="123"/>
      <c r="I766" s="126"/>
      <c r="J766" s="130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>
      <c r="A767" s="107"/>
      <c r="B767" s="131"/>
      <c r="C767" s="120"/>
      <c r="D767" s="121"/>
      <c r="E767" s="107"/>
      <c r="F767" s="122"/>
      <c r="G767" s="22"/>
      <c r="H767" s="123"/>
      <c r="I767" s="126"/>
      <c r="J767" s="130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>
      <c r="A768" s="107"/>
      <c r="B768" s="131"/>
      <c r="C768" s="120"/>
      <c r="D768" s="121"/>
      <c r="E768" s="107"/>
      <c r="F768" s="122"/>
      <c r="G768" s="22"/>
      <c r="H768" s="123"/>
      <c r="I768" s="126"/>
      <c r="J768" s="130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>
      <c r="A769" s="107"/>
      <c r="B769" s="131"/>
      <c r="C769" s="120"/>
      <c r="D769" s="121"/>
      <c r="E769" s="107"/>
      <c r="F769" s="122"/>
      <c r="G769" s="22"/>
      <c r="H769" s="123"/>
      <c r="I769" s="126"/>
      <c r="J769" s="130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>
      <c r="A770" s="107"/>
      <c r="B770" s="131"/>
      <c r="C770" s="120"/>
      <c r="D770" s="121"/>
      <c r="E770" s="107"/>
      <c r="F770" s="122"/>
      <c r="G770" s="22"/>
      <c r="H770" s="123"/>
      <c r="I770" s="126"/>
      <c r="J770" s="130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>
      <c r="A771" s="107"/>
      <c r="B771" s="131"/>
      <c r="C771" s="120"/>
      <c r="D771" s="121"/>
      <c r="E771" s="107"/>
      <c r="F771" s="122"/>
      <c r="G771" s="22"/>
      <c r="H771" s="123"/>
      <c r="I771" s="126"/>
      <c r="J771" s="130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>
      <c r="A772" s="107"/>
      <c r="B772" s="131"/>
      <c r="C772" s="120"/>
      <c r="D772" s="121"/>
      <c r="E772" s="107"/>
      <c r="F772" s="122"/>
      <c r="G772" s="22"/>
      <c r="H772" s="123"/>
      <c r="I772" s="126"/>
      <c r="J772" s="130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>
      <c r="A773" s="107"/>
      <c r="B773" s="131"/>
      <c r="C773" s="120"/>
      <c r="D773" s="121"/>
      <c r="E773" s="107"/>
      <c r="F773" s="122"/>
      <c r="G773" s="22"/>
      <c r="H773" s="123"/>
      <c r="I773" s="126"/>
      <c r="J773" s="130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>
      <c r="A774" s="107"/>
      <c r="B774" s="131"/>
      <c r="C774" s="120"/>
      <c r="D774" s="121"/>
      <c r="E774" s="107"/>
      <c r="F774" s="122"/>
      <c r="G774" s="22"/>
      <c r="H774" s="123"/>
      <c r="I774" s="126"/>
      <c r="J774" s="130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>
      <c r="A775" s="107"/>
      <c r="B775" s="131"/>
      <c r="C775" s="120"/>
      <c r="D775" s="121"/>
      <c r="E775" s="107"/>
      <c r="F775" s="122"/>
      <c r="G775" s="22"/>
      <c r="H775" s="123"/>
      <c r="I775" s="126"/>
      <c r="J775" s="130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>
      <c r="A776" s="107"/>
      <c r="B776" s="131"/>
      <c r="C776" s="120"/>
      <c r="D776" s="121"/>
      <c r="E776" s="107"/>
      <c r="F776" s="122"/>
      <c r="G776" s="22"/>
      <c r="H776" s="123"/>
      <c r="I776" s="126"/>
      <c r="J776" s="130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>
      <c r="A777" s="107"/>
      <c r="B777" s="131"/>
      <c r="C777" s="120"/>
      <c r="D777" s="121"/>
      <c r="E777" s="107"/>
      <c r="F777" s="122"/>
      <c r="G777" s="22"/>
      <c r="H777" s="123"/>
      <c r="I777" s="126"/>
      <c r="J777" s="130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>
      <c r="A778" s="107"/>
      <c r="B778" s="131"/>
      <c r="C778" s="120"/>
      <c r="D778" s="121"/>
      <c r="E778" s="107"/>
      <c r="F778" s="122"/>
      <c r="G778" s="22"/>
      <c r="H778" s="123"/>
      <c r="I778" s="126"/>
      <c r="J778" s="130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>
      <c r="A779" s="107"/>
      <c r="B779" s="131"/>
      <c r="C779" s="120"/>
      <c r="D779" s="121"/>
      <c r="E779" s="107"/>
      <c r="F779" s="122"/>
      <c r="G779" s="22"/>
      <c r="H779" s="123"/>
      <c r="I779" s="126"/>
      <c r="J779" s="130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>
      <c r="A780" s="107"/>
      <c r="B780" s="131"/>
      <c r="C780" s="120"/>
      <c r="D780" s="121"/>
      <c r="E780" s="107"/>
      <c r="F780" s="122"/>
      <c r="G780" s="22"/>
      <c r="H780" s="123"/>
      <c r="I780" s="126"/>
      <c r="J780" s="130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>
      <c r="A781" s="107"/>
      <c r="B781" s="131"/>
      <c r="C781" s="120"/>
      <c r="D781" s="121"/>
      <c r="E781" s="107"/>
      <c r="F781" s="122"/>
      <c r="G781" s="22"/>
      <c r="H781" s="123"/>
      <c r="I781" s="126"/>
      <c r="J781" s="130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>
      <c r="A782" s="107"/>
      <c r="B782" s="131"/>
      <c r="C782" s="120"/>
      <c r="D782" s="121"/>
      <c r="E782" s="107"/>
      <c r="F782" s="122"/>
      <c r="G782" s="22"/>
      <c r="H782" s="123"/>
      <c r="I782" s="126"/>
      <c r="J782" s="130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>
      <c r="A783" s="107"/>
      <c r="B783" s="131"/>
      <c r="C783" s="120"/>
      <c r="D783" s="121"/>
      <c r="E783" s="107"/>
      <c r="F783" s="122"/>
      <c r="G783" s="22"/>
      <c r="H783" s="123"/>
      <c r="I783" s="126"/>
      <c r="J783" s="130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>
      <c r="A784" s="107"/>
      <c r="B784" s="131"/>
      <c r="C784" s="120"/>
      <c r="D784" s="121"/>
      <c r="E784" s="107"/>
      <c r="F784" s="122"/>
      <c r="G784" s="22"/>
      <c r="H784" s="123"/>
      <c r="I784" s="126"/>
      <c r="J784" s="130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>
      <c r="A785" s="107"/>
      <c r="B785" s="131"/>
      <c r="C785" s="120"/>
      <c r="D785" s="121"/>
      <c r="E785" s="107"/>
      <c r="F785" s="122"/>
      <c r="G785" s="22"/>
      <c r="H785" s="123"/>
      <c r="I785" s="126"/>
      <c r="J785" s="130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>
      <c r="A786" s="107"/>
      <c r="B786" s="131"/>
      <c r="C786" s="120"/>
      <c r="D786" s="121"/>
      <c r="E786" s="107"/>
      <c r="F786" s="122"/>
      <c r="G786" s="22"/>
      <c r="H786" s="123"/>
      <c r="I786" s="126"/>
      <c r="J786" s="130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>
      <c r="A787" s="107"/>
      <c r="B787" s="131"/>
      <c r="C787" s="120"/>
      <c r="D787" s="121"/>
      <c r="E787" s="107"/>
      <c r="F787" s="122"/>
      <c r="G787" s="22"/>
      <c r="H787" s="123"/>
      <c r="I787" s="126"/>
      <c r="J787" s="130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>
      <c r="A788" s="107"/>
      <c r="B788" s="131"/>
      <c r="C788" s="120"/>
      <c r="D788" s="121"/>
      <c r="E788" s="107"/>
      <c r="F788" s="122"/>
      <c r="G788" s="22"/>
      <c r="H788" s="123"/>
      <c r="I788" s="126"/>
      <c r="J788" s="130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>
      <c r="A789" s="107"/>
      <c r="B789" s="131"/>
      <c r="C789" s="120"/>
      <c r="D789" s="121"/>
      <c r="E789" s="107"/>
      <c r="F789" s="122"/>
      <c r="G789" s="22"/>
      <c r="H789" s="123"/>
      <c r="I789" s="126"/>
      <c r="J789" s="130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>
      <c r="A790" s="107"/>
      <c r="B790" s="131"/>
      <c r="C790" s="120"/>
      <c r="D790" s="121"/>
      <c r="E790" s="107"/>
      <c r="F790" s="122"/>
      <c r="G790" s="22"/>
      <c r="H790" s="123"/>
      <c r="I790" s="126"/>
      <c r="J790" s="130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>
      <c r="A791" s="107"/>
      <c r="B791" s="131"/>
      <c r="C791" s="120"/>
      <c r="D791" s="121"/>
      <c r="E791" s="107"/>
      <c r="F791" s="122"/>
      <c r="G791" s="22"/>
      <c r="H791" s="123"/>
      <c r="I791" s="126"/>
      <c r="J791" s="130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>
      <c r="A792" s="107"/>
      <c r="B792" s="131"/>
      <c r="C792" s="120"/>
      <c r="D792" s="121"/>
      <c r="E792" s="107"/>
      <c r="F792" s="122"/>
      <c r="G792" s="22"/>
      <c r="H792" s="123"/>
      <c r="I792" s="126"/>
      <c r="J792" s="130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>
      <c r="A793" s="107"/>
      <c r="B793" s="131"/>
      <c r="C793" s="120"/>
      <c r="D793" s="121"/>
      <c r="E793" s="107"/>
      <c r="F793" s="122"/>
      <c r="G793" s="22"/>
      <c r="H793" s="123"/>
      <c r="I793" s="126"/>
      <c r="J793" s="130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>
      <c r="A794" s="107"/>
      <c r="B794" s="131"/>
      <c r="C794" s="120"/>
      <c r="D794" s="121"/>
      <c r="E794" s="107"/>
      <c r="F794" s="122"/>
      <c r="G794" s="22"/>
      <c r="H794" s="123"/>
      <c r="I794" s="126"/>
      <c r="J794" s="130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>
      <c r="A795" s="107"/>
      <c r="B795" s="131"/>
      <c r="C795" s="120"/>
      <c r="D795" s="121"/>
      <c r="E795" s="107"/>
      <c r="F795" s="122"/>
      <c r="G795" s="22"/>
      <c r="H795" s="123"/>
      <c r="I795" s="126"/>
      <c r="J795" s="130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>
      <c r="A796" s="107"/>
      <c r="B796" s="131"/>
      <c r="C796" s="120"/>
      <c r="D796" s="121"/>
      <c r="E796" s="107"/>
      <c r="F796" s="122"/>
      <c r="G796" s="22"/>
      <c r="H796" s="123"/>
      <c r="I796" s="126"/>
      <c r="J796" s="130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>
      <c r="A797" s="107"/>
      <c r="B797" s="131"/>
      <c r="C797" s="120"/>
      <c r="D797" s="121"/>
      <c r="E797" s="107"/>
      <c r="F797" s="122"/>
      <c r="G797" s="22"/>
      <c r="H797" s="123"/>
      <c r="I797" s="126"/>
      <c r="J797" s="130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>
      <c r="A798" s="107"/>
      <c r="B798" s="131"/>
      <c r="C798" s="120"/>
      <c r="D798" s="121"/>
      <c r="E798" s="107"/>
      <c r="F798" s="122"/>
      <c r="G798" s="22"/>
      <c r="H798" s="123"/>
      <c r="I798" s="126"/>
      <c r="J798" s="130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>
      <c r="A799" s="107"/>
      <c r="B799" s="131"/>
      <c r="C799" s="120"/>
      <c r="D799" s="121"/>
      <c r="E799" s="107"/>
      <c r="F799" s="122"/>
      <c r="G799" s="22"/>
      <c r="H799" s="123"/>
      <c r="I799" s="126"/>
      <c r="J799" s="130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>
      <c r="A800" s="107"/>
      <c r="B800" s="131"/>
      <c r="C800" s="120"/>
      <c r="D800" s="121"/>
      <c r="E800" s="107"/>
      <c r="F800" s="122"/>
      <c r="G800" s="22"/>
      <c r="H800" s="123"/>
      <c r="I800" s="126"/>
      <c r="J800" s="130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>
      <c r="A801" s="107"/>
      <c r="B801" s="131"/>
      <c r="C801" s="120"/>
      <c r="D801" s="121"/>
      <c r="E801" s="107"/>
      <c r="F801" s="122"/>
      <c r="G801" s="22"/>
      <c r="H801" s="123"/>
      <c r="I801" s="126"/>
      <c r="J801" s="130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>
      <c r="A802" s="107"/>
      <c r="B802" s="131"/>
      <c r="C802" s="120"/>
      <c r="D802" s="121"/>
      <c r="E802" s="107"/>
      <c r="F802" s="122"/>
      <c r="G802" s="22"/>
      <c r="H802" s="123"/>
      <c r="I802" s="126"/>
      <c r="J802" s="130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>
      <c r="A803" s="107"/>
      <c r="B803" s="131"/>
      <c r="C803" s="120"/>
      <c r="D803" s="121"/>
      <c r="E803" s="107"/>
      <c r="F803" s="122"/>
      <c r="G803" s="22"/>
      <c r="H803" s="123"/>
      <c r="I803" s="126"/>
      <c r="J803" s="130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>
      <c r="A804" s="107"/>
      <c r="B804" s="131"/>
      <c r="C804" s="120"/>
      <c r="D804" s="121"/>
      <c r="E804" s="107"/>
      <c r="F804" s="122"/>
      <c r="G804" s="22"/>
      <c r="H804" s="123"/>
      <c r="I804" s="126"/>
      <c r="J804" s="130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>
      <c r="A805" s="107"/>
      <c r="B805" s="131"/>
      <c r="C805" s="120"/>
      <c r="D805" s="121"/>
      <c r="E805" s="107"/>
      <c r="F805" s="122"/>
      <c r="G805" s="22"/>
      <c r="H805" s="123"/>
      <c r="I805" s="126"/>
      <c r="J805" s="130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>
      <c r="A806" s="107"/>
      <c r="B806" s="131"/>
      <c r="C806" s="120"/>
      <c r="D806" s="121"/>
      <c r="E806" s="107"/>
      <c r="F806" s="122"/>
      <c r="G806" s="22"/>
      <c r="H806" s="123"/>
      <c r="I806" s="126"/>
      <c r="J806" s="130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>
      <c r="A807" s="107"/>
      <c r="B807" s="131"/>
      <c r="C807" s="120"/>
      <c r="D807" s="121"/>
      <c r="E807" s="107"/>
      <c r="F807" s="122"/>
      <c r="G807" s="22"/>
      <c r="H807" s="123"/>
      <c r="I807" s="126"/>
      <c r="J807" s="130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>
      <c r="A808" s="107"/>
      <c r="B808" s="131"/>
      <c r="C808" s="120"/>
      <c r="D808" s="121"/>
      <c r="E808" s="107"/>
      <c r="F808" s="122"/>
      <c r="G808" s="22"/>
      <c r="H808" s="123"/>
      <c r="I808" s="126"/>
      <c r="J808" s="130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>
      <c r="A809" s="107"/>
      <c r="B809" s="131"/>
      <c r="C809" s="120"/>
      <c r="D809" s="121"/>
      <c r="E809" s="107"/>
      <c r="F809" s="122"/>
      <c r="G809" s="22"/>
      <c r="H809" s="123"/>
      <c r="I809" s="126"/>
      <c r="J809" s="130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>
      <c r="A810" s="107"/>
      <c r="B810" s="131"/>
      <c r="C810" s="120"/>
      <c r="D810" s="121"/>
      <c r="E810" s="107"/>
      <c r="F810" s="122"/>
      <c r="G810" s="22"/>
      <c r="H810" s="123"/>
      <c r="I810" s="126"/>
      <c r="J810" s="130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>
      <c r="A811" s="107"/>
      <c r="B811" s="131"/>
      <c r="C811" s="120"/>
      <c r="D811" s="121"/>
      <c r="E811" s="107"/>
      <c r="F811" s="122"/>
      <c r="G811" s="22"/>
      <c r="H811" s="123"/>
      <c r="I811" s="126"/>
      <c r="J811" s="130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>
      <c r="A812" s="107"/>
      <c r="B812" s="131"/>
      <c r="C812" s="120"/>
      <c r="D812" s="121"/>
      <c r="E812" s="107"/>
      <c r="F812" s="122"/>
      <c r="G812" s="22"/>
      <c r="H812" s="123"/>
      <c r="I812" s="126"/>
      <c r="J812" s="130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>
      <c r="A813" s="107"/>
      <c r="B813" s="131"/>
      <c r="C813" s="120"/>
      <c r="D813" s="121"/>
      <c r="E813" s="107"/>
      <c r="F813" s="122"/>
      <c r="G813" s="22"/>
      <c r="H813" s="123"/>
      <c r="I813" s="126"/>
      <c r="J813" s="130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>
      <c r="A814" s="107"/>
      <c r="B814" s="131"/>
      <c r="C814" s="120"/>
      <c r="D814" s="121"/>
      <c r="E814" s="107"/>
      <c r="F814" s="122"/>
      <c r="G814" s="22"/>
      <c r="H814" s="123"/>
      <c r="I814" s="126"/>
      <c r="J814" s="130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>
      <c r="A815" s="107"/>
      <c r="B815" s="131"/>
      <c r="C815" s="120"/>
      <c r="D815" s="121"/>
      <c r="E815" s="107"/>
      <c r="F815" s="122"/>
      <c r="G815" s="22"/>
      <c r="H815" s="123"/>
      <c r="I815" s="126"/>
      <c r="J815" s="130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>
      <c r="A816" s="107"/>
      <c r="B816" s="131"/>
      <c r="C816" s="120"/>
      <c r="D816" s="121"/>
      <c r="E816" s="107"/>
      <c r="F816" s="122"/>
      <c r="G816" s="22"/>
      <c r="H816" s="123"/>
      <c r="I816" s="126"/>
      <c r="J816" s="130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>
      <c r="A817" s="107"/>
      <c r="B817" s="131"/>
      <c r="C817" s="120"/>
      <c r="D817" s="121"/>
      <c r="E817" s="107"/>
      <c r="F817" s="122"/>
      <c r="G817" s="22"/>
      <c r="H817" s="123"/>
      <c r="I817" s="126"/>
      <c r="J817" s="130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>
      <c r="A818" s="107"/>
      <c r="B818" s="131"/>
      <c r="C818" s="120"/>
      <c r="D818" s="121"/>
      <c r="E818" s="107"/>
      <c r="F818" s="122"/>
      <c r="G818" s="22"/>
      <c r="H818" s="123"/>
      <c r="I818" s="126"/>
      <c r="J818" s="130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>
      <c r="A819" s="107"/>
      <c r="B819" s="131"/>
      <c r="C819" s="120"/>
      <c r="D819" s="121"/>
      <c r="E819" s="107"/>
      <c r="F819" s="122"/>
      <c r="G819" s="22"/>
      <c r="H819" s="123"/>
      <c r="I819" s="126"/>
      <c r="J819" s="130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>
      <c r="A820" s="107"/>
      <c r="B820" s="131"/>
      <c r="C820" s="120"/>
      <c r="D820" s="121"/>
      <c r="E820" s="107"/>
      <c r="F820" s="122"/>
      <c r="G820" s="22"/>
      <c r="H820" s="123"/>
      <c r="I820" s="126"/>
      <c r="J820" s="130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>
      <c r="A821" s="107"/>
      <c r="B821" s="131"/>
      <c r="C821" s="120"/>
      <c r="D821" s="121"/>
      <c r="E821" s="107"/>
      <c r="F821" s="122"/>
      <c r="G821" s="22"/>
      <c r="H821" s="123"/>
      <c r="I821" s="126"/>
      <c r="J821" s="130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>
      <c r="A822" s="107"/>
      <c r="B822" s="131"/>
      <c r="C822" s="120"/>
      <c r="D822" s="121"/>
      <c r="E822" s="107"/>
      <c r="F822" s="122"/>
      <c r="G822" s="22"/>
      <c r="H822" s="123"/>
      <c r="I822" s="126"/>
      <c r="J822" s="130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>
      <c r="A823" s="107"/>
      <c r="B823" s="131"/>
      <c r="C823" s="120"/>
      <c r="D823" s="121"/>
      <c r="E823" s="107"/>
      <c r="F823" s="122"/>
      <c r="G823" s="22"/>
      <c r="H823" s="123"/>
      <c r="I823" s="126"/>
      <c r="J823" s="130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>
      <c r="A824" s="107"/>
      <c r="B824" s="131"/>
      <c r="C824" s="120"/>
      <c r="D824" s="121"/>
      <c r="E824" s="107"/>
      <c r="F824" s="122"/>
      <c r="G824" s="22"/>
      <c r="H824" s="123"/>
      <c r="I824" s="126"/>
      <c r="J824" s="130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>
      <c r="A825" s="107"/>
      <c r="B825" s="131"/>
      <c r="C825" s="120"/>
      <c r="D825" s="121"/>
      <c r="E825" s="107"/>
      <c r="F825" s="122"/>
      <c r="G825" s="22"/>
      <c r="H825" s="123"/>
      <c r="I825" s="126"/>
      <c r="J825" s="130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>
      <c r="A826" s="107"/>
      <c r="B826" s="131"/>
      <c r="C826" s="120"/>
      <c r="D826" s="121"/>
      <c r="E826" s="107"/>
      <c r="F826" s="122"/>
      <c r="G826" s="22"/>
      <c r="H826" s="123"/>
      <c r="I826" s="126"/>
      <c r="J826" s="130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>
      <c r="A827" s="107"/>
      <c r="B827" s="131"/>
      <c r="C827" s="120"/>
      <c r="D827" s="121"/>
      <c r="E827" s="107"/>
      <c r="F827" s="122"/>
      <c r="G827" s="22"/>
      <c r="H827" s="123"/>
      <c r="I827" s="126"/>
      <c r="J827" s="130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>
      <c r="A828" s="107"/>
      <c r="B828" s="131"/>
      <c r="C828" s="120"/>
      <c r="D828" s="121"/>
      <c r="E828" s="107"/>
      <c r="F828" s="122"/>
      <c r="G828" s="22"/>
      <c r="H828" s="123"/>
      <c r="I828" s="126"/>
      <c r="J828" s="130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>
      <c r="A829" s="107"/>
      <c r="B829" s="131"/>
      <c r="C829" s="120"/>
      <c r="D829" s="121"/>
      <c r="E829" s="107"/>
      <c r="F829" s="122"/>
      <c r="G829" s="22"/>
      <c r="H829" s="123"/>
      <c r="I829" s="126"/>
      <c r="J829" s="130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>
      <c r="A830" s="107"/>
      <c r="B830" s="131"/>
      <c r="C830" s="120"/>
      <c r="D830" s="121"/>
      <c r="E830" s="107"/>
      <c r="F830" s="122"/>
      <c r="G830" s="22"/>
      <c r="H830" s="123"/>
      <c r="I830" s="126"/>
      <c r="J830" s="130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>
      <c r="A831" s="107"/>
      <c r="B831" s="131"/>
      <c r="C831" s="120"/>
      <c r="D831" s="121"/>
      <c r="E831" s="107"/>
      <c r="F831" s="122"/>
      <c r="G831" s="22"/>
      <c r="H831" s="123"/>
      <c r="I831" s="126"/>
      <c r="J831" s="130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>
      <c r="A832" s="107"/>
      <c r="B832" s="131"/>
      <c r="C832" s="120"/>
      <c r="D832" s="121"/>
      <c r="E832" s="107"/>
      <c r="F832" s="122"/>
      <c r="G832" s="22"/>
      <c r="H832" s="123"/>
      <c r="I832" s="126"/>
      <c r="J832" s="130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>
      <c r="A833" s="107"/>
      <c r="B833" s="131"/>
      <c r="C833" s="120"/>
      <c r="D833" s="121"/>
      <c r="E833" s="107"/>
      <c r="F833" s="122"/>
      <c r="G833" s="22"/>
      <c r="H833" s="123"/>
      <c r="I833" s="126"/>
      <c r="J833" s="130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>
      <c r="A834" s="107"/>
      <c r="B834" s="131"/>
      <c r="C834" s="120"/>
      <c r="D834" s="121"/>
      <c r="E834" s="107"/>
      <c r="F834" s="122"/>
      <c r="G834" s="22"/>
      <c r="H834" s="123"/>
      <c r="I834" s="126"/>
      <c r="J834" s="130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>
      <c r="A835" s="107"/>
      <c r="B835" s="131"/>
      <c r="C835" s="120"/>
      <c r="D835" s="121"/>
      <c r="E835" s="107"/>
      <c r="F835" s="122"/>
      <c r="G835" s="22"/>
      <c r="H835" s="123"/>
      <c r="I835" s="126"/>
      <c r="J835" s="130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>
      <c r="A836" s="107"/>
      <c r="B836" s="131"/>
      <c r="C836" s="120"/>
      <c r="D836" s="121"/>
      <c r="E836" s="107"/>
      <c r="F836" s="122"/>
      <c r="G836" s="22"/>
      <c r="H836" s="123"/>
      <c r="I836" s="126"/>
      <c r="J836" s="130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>
      <c r="A837" s="107"/>
      <c r="B837" s="131"/>
      <c r="C837" s="120"/>
      <c r="D837" s="121"/>
      <c r="E837" s="107"/>
      <c r="F837" s="122"/>
      <c r="G837" s="22"/>
      <c r="H837" s="123"/>
      <c r="I837" s="126"/>
      <c r="J837" s="130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>
      <c r="A838" s="107"/>
      <c r="B838" s="131"/>
      <c r="C838" s="120"/>
      <c r="D838" s="121"/>
      <c r="E838" s="107"/>
      <c r="F838" s="122"/>
      <c r="G838" s="22"/>
      <c r="H838" s="123"/>
      <c r="I838" s="126"/>
      <c r="J838" s="130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>
      <c r="A839" s="107"/>
      <c r="B839" s="131"/>
      <c r="C839" s="120"/>
      <c r="D839" s="121"/>
      <c r="E839" s="107"/>
      <c r="F839" s="122"/>
      <c r="G839" s="22"/>
      <c r="H839" s="123"/>
      <c r="I839" s="126"/>
      <c r="J839" s="130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>
      <c r="A840" s="107"/>
      <c r="B840" s="131"/>
      <c r="C840" s="120"/>
      <c r="D840" s="121"/>
      <c r="E840" s="107"/>
      <c r="F840" s="122"/>
      <c r="G840" s="22"/>
      <c r="H840" s="123"/>
      <c r="I840" s="126"/>
      <c r="J840" s="130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>
      <c r="A841" s="107"/>
      <c r="B841" s="131"/>
      <c r="C841" s="120"/>
      <c r="D841" s="121"/>
      <c r="E841" s="107"/>
      <c r="F841" s="122"/>
      <c r="G841" s="22"/>
      <c r="H841" s="123"/>
      <c r="I841" s="126"/>
      <c r="J841" s="130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>
      <c r="A842" s="107"/>
      <c r="B842" s="131"/>
      <c r="C842" s="120"/>
      <c r="D842" s="121"/>
      <c r="E842" s="107"/>
      <c r="F842" s="122"/>
      <c r="G842" s="22"/>
      <c r="H842" s="123"/>
      <c r="I842" s="126"/>
      <c r="J842" s="130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>
      <c r="A843" s="107"/>
      <c r="B843" s="131"/>
      <c r="C843" s="120"/>
      <c r="D843" s="121"/>
      <c r="E843" s="107"/>
      <c r="F843" s="122"/>
      <c r="G843" s="22"/>
      <c r="H843" s="123"/>
      <c r="I843" s="126"/>
      <c r="J843" s="130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>
      <c r="A844" s="107"/>
      <c r="B844" s="131"/>
      <c r="C844" s="120"/>
      <c r="D844" s="121"/>
      <c r="E844" s="107"/>
      <c r="F844" s="122"/>
      <c r="G844" s="22"/>
      <c r="H844" s="123"/>
      <c r="I844" s="126"/>
      <c r="J844" s="130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>
      <c r="A845" s="107"/>
      <c r="B845" s="131"/>
      <c r="C845" s="120"/>
      <c r="D845" s="121"/>
      <c r="E845" s="107"/>
      <c r="F845" s="122"/>
      <c r="G845" s="22"/>
      <c r="H845" s="123"/>
      <c r="I845" s="126"/>
      <c r="J845" s="130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>
      <c r="A846" s="107"/>
      <c r="B846" s="131"/>
      <c r="C846" s="120"/>
      <c r="D846" s="121"/>
      <c r="E846" s="107"/>
      <c r="F846" s="122"/>
      <c r="G846" s="22"/>
      <c r="H846" s="123"/>
      <c r="I846" s="126"/>
      <c r="J846" s="130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>
      <c r="A847" s="107"/>
      <c r="B847" s="131"/>
      <c r="C847" s="120"/>
      <c r="D847" s="121"/>
      <c r="E847" s="107"/>
      <c r="F847" s="122"/>
      <c r="G847" s="22"/>
      <c r="H847" s="123"/>
      <c r="I847" s="126"/>
      <c r="J847" s="130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>
      <c r="A848" s="107"/>
      <c r="B848" s="131"/>
      <c r="C848" s="120"/>
      <c r="D848" s="121"/>
      <c r="E848" s="107"/>
      <c r="F848" s="122"/>
      <c r="G848" s="22"/>
      <c r="H848" s="123"/>
      <c r="I848" s="126"/>
      <c r="J848" s="130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>
      <c r="A849" s="107"/>
      <c r="B849" s="131"/>
      <c r="C849" s="120"/>
      <c r="D849" s="121"/>
      <c r="E849" s="107"/>
      <c r="F849" s="122"/>
      <c r="G849" s="22"/>
      <c r="H849" s="123"/>
      <c r="I849" s="126"/>
      <c r="J849" s="130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>
      <c r="A850" s="107"/>
      <c r="B850" s="131"/>
      <c r="C850" s="120"/>
      <c r="D850" s="121"/>
      <c r="E850" s="107"/>
      <c r="F850" s="122"/>
      <c r="G850" s="22"/>
      <c r="H850" s="123"/>
      <c r="I850" s="126"/>
      <c r="J850" s="130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>
      <c r="A851" s="107"/>
      <c r="B851" s="131"/>
      <c r="C851" s="120"/>
      <c r="D851" s="121"/>
      <c r="E851" s="107"/>
      <c r="F851" s="122"/>
      <c r="G851" s="22"/>
      <c r="H851" s="123"/>
      <c r="I851" s="126"/>
      <c r="J851" s="130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>
      <c r="A852" s="107"/>
      <c r="B852" s="131"/>
      <c r="C852" s="120"/>
      <c r="D852" s="121"/>
      <c r="E852" s="107"/>
      <c r="F852" s="122"/>
      <c r="G852" s="22"/>
      <c r="H852" s="123"/>
      <c r="I852" s="126"/>
      <c r="J852" s="130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>
      <c r="A853" s="107"/>
      <c r="B853" s="131"/>
      <c r="C853" s="120"/>
      <c r="D853" s="121"/>
      <c r="E853" s="107"/>
      <c r="F853" s="122"/>
      <c r="G853" s="22"/>
      <c r="H853" s="123"/>
      <c r="I853" s="126"/>
      <c r="J853" s="130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>
      <c r="A854" s="107"/>
      <c r="B854" s="131"/>
      <c r="C854" s="120"/>
      <c r="D854" s="121"/>
      <c r="E854" s="107"/>
      <c r="F854" s="122"/>
      <c r="G854" s="22"/>
      <c r="H854" s="123"/>
      <c r="I854" s="126"/>
      <c r="J854" s="130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>
      <c r="A855" s="107"/>
      <c r="B855" s="131"/>
      <c r="C855" s="120"/>
      <c r="D855" s="121"/>
      <c r="E855" s="107"/>
      <c r="F855" s="122"/>
      <c r="G855" s="22"/>
      <c r="H855" s="123"/>
      <c r="I855" s="126"/>
      <c r="J855" s="130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>
      <c r="A856" s="107"/>
      <c r="B856" s="131"/>
      <c r="C856" s="120"/>
      <c r="D856" s="121"/>
      <c r="E856" s="107"/>
      <c r="F856" s="122"/>
      <c r="G856" s="22"/>
      <c r="H856" s="123"/>
      <c r="I856" s="126"/>
      <c r="J856" s="130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>
      <c r="A857" s="107"/>
      <c r="B857" s="131"/>
      <c r="C857" s="120"/>
      <c r="D857" s="121"/>
      <c r="E857" s="107"/>
      <c r="F857" s="122"/>
      <c r="G857" s="22"/>
      <c r="H857" s="123"/>
      <c r="I857" s="126"/>
      <c r="J857" s="130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>
      <c r="A858" s="107"/>
      <c r="B858" s="131"/>
      <c r="C858" s="120"/>
      <c r="D858" s="121"/>
      <c r="E858" s="107"/>
      <c r="F858" s="122"/>
      <c r="G858" s="22"/>
      <c r="H858" s="123"/>
      <c r="I858" s="126"/>
      <c r="J858" s="130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>
      <c r="A859" s="107"/>
      <c r="B859" s="131"/>
      <c r="C859" s="120"/>
      <c r="D859" s="121"/>
      <c r="E859" s="107"/>
      <c r="F859" s="122"/>
      <c r="G859" s="22"/>
      <c r="H859" s="123"/>
      <c r="I859" s="126"/>
      <c r="J859" s="130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>
      <c r="A860" s="107"/>
      <c r="B860" s="131"/>
      <c r="C860" s="120"/>
      <c r="D860" s="121"/>
      <c r="E860" s="107"/>
      <c r="F860" s="122"/>
      <c r="G860" s="22"/>
      <c r="H860" s="123"/>
      <c r="I860" s="126"/>
      <c r="J860" s="130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>
      <c r="A861" s="107"/>
      <c r="B861" s="131"/>
      <c r="C861" s="120"/>
      <c r="D861" s="121"/>
      <c r="E861" s="107"/>
      <c r="F861" s="122"/>
      <c r="G861" s="22"/>
      <c r="H861" s="123"/>
      <c r="I861" s="126"/>
      <c r="J861" s="130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>
      <c r="A862" s="107"/>
      <c r="B862" s="131"/>
      <c r="C862" s="120"/>
      <c r="D862" s="121"/>
      <c r="E862" s="107"/>
      <c r="F862" s="122"/>
      <c r="G862" s="22"/>
      <c r="H862" s="123"/>
      <c r="I862" s="126"/>
      <c r="J862" s="130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>
      <c r="A863" s="107"/>
      <c r="B863" s="131"/>
      <c r="C863" s="120"/>
      <c r="D863" s="121"/>
      <c r="E863" s="107"/>
      <c r="F863" s="122"/>
      <c r="G863" s="22"/>
      <c r="H863" s="123"/>
      <c r="I863" s="126"/>
      <c r="J863" s="130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>
      <c r="A864" s="107"/>
      <c r="B864" s="131"/>
      <c r="C864" s="120"/>
      <c r="D864" s="121"/>
      <c r="E864" s="107"/>
      <c r="F864" s="122"/>
      <c r="G864" s="22"/>
      <c r="H864" s="123"/>
      <c r="I864" s="126"/>
      <c r="J864" s="130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>
      <c r="A865" s="107"/>
      <c r="B865" s="131"/>
      <c r="C865" s="120"/>
      <c r="D865" s="121"/>
      <c r="E865" s="107"/>
      <c r="F865" s="122"/>
      <c r="G865" s="22"/>
      <c r="H865" s="123"/>
      <c r="I865" s="126"/>
      <c r="J865" s="130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>
      <c r="A866" s="107"/>
      <c r="B866" s="131"/>
      <c r="C866" s="120"/>
      <c r="D866" s="121"/>
      <c r="E866" s="107"/>
      <c r="F866" s="122"/>
      <c r="G866" s="22"/>
      <c r="H866" s="123"/>
      <c r="I866" s="126"/>
      <c r="J866" s="130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>
      <c r="A867" s="107"/>
      <c r="B867" s="131"/>
      <c r="C867" s="120"/>
      <c r="D867" s="121"/>
      <c r="E867" s="107"/>
      <c r="F867" s="122"/>
      <c r="G867" s="22"/>
      <c r="H867" s="123"/>
      <c r="I867" s="126"/>
      <c r="J867" s="130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>
      <c r="A868" s="107"/>
      <c r="B868" s="131"/>
      <c r="C868" s="120"/>
      <c r="D868" s="121"/>
      <c r="E868" s="107"/>
      <c r="F868" s="122"/>
      <c r="G868" s="22"/>
      <c r="H868" s="123"/>
      <c r="I868" s="126"/>
      <c r="J868" s="130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>
      <c r="A869" s="107"/>
      <c r="B869" s="131"/>
      <c r="C869" s="120"/>
      <c r="D869" s="121"/>
      <c r="E869" s="107"/>
      <c r="F869" s="122"/>
      <c r="G869" s="22"/>
      <c r="H869" s="123"/>
      <c r="I869" s="126"/>
      <c r="J869" s="130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>
      <c r="A870" s="107"/>
      <c r="B870" s="131"/>
      <c r="C870" s="120"/>
      <c r="D870" s="121"/>
      <c r="E870" s="107"/>
      <c r="F870" s="122"/>
      <c r="G870" s="22"/>
      <c r="H870" s="123"/>
      <c r="I870" s="126"/>
      <c r="J870" s="130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>
      <c r="A871" s="107"/>
      <c r="B871" s="131"/>
      <c r="C871" s="120"/>
      <c r="D871" s="121"/>
      <c r="E871" s="107"/>
      <c r="F871" s="122"/>
      <c r="G871" s="22"/>
      <c r="H871" s="123"/>
      <c r="I871" s="126"/>
      <c r="J871" s="130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>
      <c r="A872" s="107"/>
      <c r="B872" s="131"/>
      <c r="C872" s="120"/>
      <c r="D872" s="121"/>
      <c r="E872" s="107"/>
      <c r="F872" s="122"/>
      <c r="G872" s="22"/>
      <c r="H872" s="123"/>
      <c r="I872" s="126"/>
      <c r="J872" s="130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>
      <c r="A873" s="107"/>
      <c r="B873" s="131"/>
      <c r="C873" s="120"/>
      <c r="D873" s="121"/>
      <c r="E873" s="107"/>
      <c r="F873" s="122"/>
      <c r="G873" s="22"/>
      <c r="H873" s="123"/>
      <c r="I873" s="126"/>
      <c r="J873" s="130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>
      <c r="A874" s="107"/>
      <c r="B874" s="131"/>
      <c r="C874" s="120"/>
      <c r="D874" s="121"/>
      <c r="E874" s="107"/>
      <c r="F874" s="122"/>
      <c r="G874" s="22"/>
      <c r="H874" s="123"/>
      <c r="I874" s="126"/>
      <c r="J874" s="130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>
      <c r="A875" s="107"/>
      <c r="B875" s="131"/>
      <c r="C875" s="120"/>
      <c r="D875" s="121"/>
      <c r="E875" s="107"/>
      <c r="F875" s="122"/>
      <c r="G875" s="22"/>
      <c r="H875" s="123"/>
      <c r="I875" s="126"/>
      <c r="J875" s="130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>
      <c r="A876" s="107"/>
      <c r="B876" s="131"/>
      <c r="C876" s="120"/>
      <c r="D876" s="121"/>
      <c r="E876" s="107"/>
      <c r="F876" s="122"/>
      <c r="G876" s="22"/>
      <c r="H876" s="123"/>
      <c r="I876" s="126"/>
      <c r="J876" s="130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>
      <c r="A877" s="107"/>
      <c r="B877" s="131"/>
      <c r="C877" s="120"/>
      <c r="D877" s="121"/>
      <c r="E877" s="107"/>
      <c r="F877" s="122"/>
      <c r="G877" s="22"/>
      <c r="H877" s="123"/>
      <c r="I877" s="126"/>
      <c r="J877" s="130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>
      <c r="A878" s="107"/>
      <c r="B878" s="131"/>
      <c r="C878" s="120"/>
      <c r="D878" s="121"/>
      <c r="E878" s="107"/>
      <c r="F878" s="122"/>
      <c r="G878" s="22"/>
      <c r="H878" s="123"/>
      <c r="I878" s="126"/>
      <c r="J878" s="130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>
      <c r="A879" s="107"/>
      <c r="B879" s="131"/>
      <c r="C879" s="120"/>
      <c r="D879" s="121"/>
      <c r="E879" s="107"/>
      <c r="F879" s="122"/>
      <c r="G879" s="22"/>
      <c r="H879" s="123"/>
      <c r="I879" s="126"/>
      <c r="J879" s="130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>
      <c r="A880" s="107"/>
      <c r="B880" s="131"/>
      <c r="C880" s="120"/>
      <c r="D880" s="121"/>
      <c r="E880" s="107"/>
      <c r="F880" s="122"/>
      <c r="G880" s="22"/>
      <c r="H880" s="123"/>
      <c r="I880" s="126"/>
      <c r="J880" s="130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>
      <c r="A881" s="107"/>
      <c r="B881" s="131"/>
      <c r="C881" s="120"/>
      <c r="D881" s="121"/>
      <c r="E881" s="107"/>
      <c r="F881" s="122"/>
      <c r="G881" s="22"/>
      <c r="H881" s="123"/>
      <c r="I881" s="126"/>
      <c r="J881" s="130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>
      <c r="A882" s="107"/>
      <c r="B882" s="131"/>
      <c r="C882" s="120"/>
      <c r="D882" s="121"/>
      <c r="E882" s="107"/>
      <c r="F882" s="122"/>
      <c r="G882" s="22"/>
      <c r="H882" s="123"/>
      <c r="I882" s="126"/>
      <c r="J882" s="130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>
      <c r="A883" s="107"/>
      <c r="B883" s="131"/>
      <c r="C883" s="120"/>
      <c r="D883" s="121"/>
      <c r="E883" s="107"/>
      <c r="F883" s="122"/>
      <c r="G883" s="22"/>
      <c r="H883" s="123"/>
      <c r="I883" s="126"/>
      <c r="J883" s="130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>
      <c r="A884" s="107"/>
      <c r="B884" s="131"/>
      <c r="C884" s="120"/>
      <c r="D884" s="121"/>
      <c r="E884" s="107"/>
      <c r="F884" s="122"/>
      <c r="G884" s="22"/>
      <c r="H884" s="123"/>
      <c r="I884" s="126"/>
      <c r="J884" s="130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>
      <c r="A885" s="107"/>
      <c r="B885" s="131"/>
      <c r="C885" s="120"/>
      <c r="D885" s="121"/>
      <c r="E885" s="107"/>
      <c r="F885" s="122"/>
      <c r="G885" s="22"/>
      <c r="H885" s="123"/>
      <c r="I885" s="126"/>
      <c r="J885" s="130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>
      <c r="A886" s="107"/>
      <c r="B886" s="131"/>
      <c r="C886" s="120"/>
      <c r="D886" s="121"/>
      <c r="E886" s="107"/>
      <c r="F886" s="122"/>
      <c r="G886" s="22"/>
      <c r="H886" s="123"/>
      <c r="I886" s="126"/>
      <c r="J886" s="130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>
      <c r="A887" s="107"/>
      <c r="B887" s="131"/>
      <c r="C887" s="120"/>
      <c r="D887" s="121"/>
      <c r="E887" s="107"/>
      <c r="F887" s="122"/>
      <c r="G887" s="22"/>
      <c r="H887" s="123"/>
      <c r="I887" s="126"/>
      <c r="J887" s="130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>
      <c r="A888" s="107"/>
      <c r="B888" s="131"/>
      <c r="C888" s="120"/>
      <c r="D888" s="121"/>
      <c r="E888" s="107"/>
      <c r="F888" s="122"/>
      <c r="G888" s="22"/>
      <c r="H888" s="123"/>
      <c r="I888" s="126"/>
      <c r="J888" s="130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>
      <c r="A889" s="107"/>
      <c r="B889" s="131"/>
      <c r="C889" s="120"/>
      <c r="D889" s="121"/>
      <c r="E889" s="107"/>
      <c r="F889" s="122"/>
      <c r="G889" s="22"/>
      <c r="H889" s="123"/>
      <c r="I889" s="126"/>
      <c r="J889" s="130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>
      <c r="A890" s="107"/>
      <c r="B890" s="131"/>
      <c r="C890" s="120"/>
      <c r="D890" s="121"/>
      <c r="E890" s="107"/>
      <c r="F890" s="122"/>
      <c r="G890" s="22"/>
      <c r="H890" s="123"/>
      <c r="I890" s="126"/>
      <c r="J890" s="130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>
      <c r="A891" s="107"/>
      <c r="B891" s="131"/>
      <c r="C891" s="120"/>
      <c r="D891" s="121"/>
      <c r="E891" s="107"/>
      <c r="F891" s="122"/>
      <c r="G891" s="22"/>
      <c r="H891" s="123"/>
      <c r="I891" s="126"/>
      <c r="J891" s="130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>
      <c r="A892" s="107"/>
      <c r="B892" s="131"/>
      <c r="C892" s="120"/>
      <c r="D892" s="121"/>
      <c r="E892" s="107"/>
      <c r="F892" s="122"/>
      <c r="G892" s="22"/>
      <c r="H892" s="123"/>
      <c r="I892" s="126"/>
      <c r="J892" s="130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>
      <c r="A893" s="107"/>
      <c r="B893" s="131"/>
      <c r="C893" s="120"/>
      <c r="D893" s="121"/>
      <c r="E893" s="107"/>
      <c r="F893" s="122"/>
      <c r="G893" s="22"/>
      <c r="H893" s="123"/>
      <c r="I893" s="126"/>
      <c r="J893" s="130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>
      <c r="A894" s="107"/>
      <c r="B894" s="131"/>
      <c r="C894" s="120"/>
      <c r="D894" s="121"/>
      <c r="E894" s="107"/>
      <c r="F894" s="122"/>
      <c r="G894" s="22"/>
      <c r="H894" s="123"/>
      <c r="I894" s="126"/>
      <c r="J894" s="130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>
      <c r="A895" s="107"/>
      <c r="B895" s="131"/>
      <c r="C895" s="120"/>
      <c r="D895" s="121"/>
      <c r="E895" s="107"/>
      <c r="F895" s="122"/>
      <c r="G895" s="22"/>
      <c r="H895" s="123"/>
      <c r="I895" s="126"/>
      <c r="J895" s="130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>
      <c r="A896" s="107"/>
      <c r="B896" s="131"/>
      <c r="C896" s="120"/>
      <c r="D896" s="121"/>
      <c r="E896" s="107"/>
      <c r="F896" s="122"/>
      <c r="G896" s="22"/>
      <c r="H896" s="123"/>
      <c r="I896" s="126"/>
      <c r="J896" s="130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>
      <c r="A897" s="107"/>
      <c r="B897" s="131"/>
      <c r="C897" s="120"/>
      <c r="D897" s="121"/>
      <c r="E897" s="107"/>
      <c r="F897" s="122"/>
      <c r="G897" s="22"/>
      <c r="H897" s="123"/>
      <c r="I897" s="126"/>
      <c r="J897" s="130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>
      <c r="A898" s="107"/>
      <c r="B898" s="131"/>
      <c r="C898" s="120"/>
      <c r="D898" s="121"/>
      <c r="E898" s="107"/>
      <c r="F898" s="122"/>
      <c r="G898" s="22"/>
      <c r="H898" s="123"/>
      <c r="I898" s="126"/>
      <c r="J898" s="130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>
      <c r="A899" s="107"/>
      <c r="B899" s="131"/>
      <c r="C899" s="120"/>
      <c r="D899" s="121"/>
      <c r="E899" s="107"/>
      <c r="F899" s="122"/>
      <c r="G899" s="22"/>
      <c r="H899" s="123"/>
      <c r="I899" s="126"/>
      <c r="J899" s="130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>
      <c r="A900" s="107"/>
      <c r="B900" s="131"/>
      <c r="C900" s="120"/>
      <c r="D900" s="121"/>
      <c r="E900" s="107"/>
      <c r="F900" s="122"/>
      <c r="G900" s="22"/>
      <c r="H900" s="123"/>
      <c r="I900" s="126"/>
      <c r="J900" s="130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>
      <c r="A901" s="107"/>
      <c r="B901" s="131"/>
      <c r="C901" s="120"/>
      <c r="D901" s="121"/>
      <c r="E901" s="107"/>
      <c r="F901" s="122"/>
      <c r="G901" s="22"/>
      <c r="H901" s="123"/>
      <c r="I901" s="126"/>
      <c r="J901" s="130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>
      <c r="A902" s="107"/>
      <c r="B902" s="131"/>
      <c r="C902" s="120"/>
      <c r="D902" s="121"/>
      <c r="E902" s="107"/>
      <c r="F902" s="122"/>
      <c r="G902" s="22"/>
      <c r="H902" s="123"/>
      <c r="I902" s="126"/>
      <c r="J902" s="130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>
      <c r="A903" s="107"/>
      <c r="B903" s="131"/>
      <c r="C903" s="120"/>
      <c r="D903" s="121"/>
      <c r="E903" s="107"/>
      <c r="F903" s="122"/>
      <c r="G903" s="22"/>
      <c r="H903" s="123"/>
      <c r="I903" s="126"/>
      <c r="J903" s="130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>
      <c r="A904" s="107"/>
      <c r="B904" s="131"/>
      <c r="C904" s="120"/>
      <c r="D904" s="121"/>
      <c r="E904" s="107"/>
      <c r="F904" s="122"/>
      <c r="G904" s="22"/>
      <c r="H904" s="123"/>
      <c r="I904" s="126"/>
      <c r="J904" s="130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>
      <c r="A905" s="107"/>
      <c r="B905" s="131"/>
      <c r="C905" s="120"/>
      <c r="D905" s="121"/>
      <c r="E905" s="107"/>
      <c r="F905" s="122"/>
      <c r="G905" s="22"/>
      <c r="H905" s="123"/>
      <c r="I905" s="126"/>
      <c r="J905" s="130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>
      <c r="A906" s="107"/>
      <c r="B906" s="131"/>
      <c r="C906" s="120"/>
      <c r="D906" s="121"/>
      <c r="E906" s="107"/>
      <c r="F906" s="122"/>
      <c r="G906" s="22"/>
      <c r="H906" s="123"/>
      <c r="I906" s="126"/>
      <c r="J906" s="130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>
      <c r="A907" s="107"/>
      <c r="B907" s="131"/>
      <c r="C907" s="120"/>
      <c r="D907" s="121"/>
      <c r="E907" s="107"/>
      <c r="F907" s="122"/>
      <c r="G907" s="22"/>
      <c r="H907" s="123"/>
      <c r="I907" s="126"/>
      <c r="J907" s="130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>
      <c r="A908" s="107"/>
      <c r="B908" s="131"/>
      <c r="C908" s="120"/>
      <c r="D908" s="121"/>
      <c r="E908" s="107"/>
      <c r="F908" s="122"/>
      <c r="G908" s="22"/>
      <c r="H908" s="123"/>
      <c r="I908" s="126"/>
      <c r="J908" s="130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>
      <c r="A909" s="107"/>
      <c r="B909" s="131"/>
      <c r="C909" s="120"/>
      <c r="D909" s="121"/>
      <c r="E909" s="107"/>
      <c r="F909" s="122"/>
      <c r="G909" s="22"/>
      <c r="H909" s="123"/>
      <c r="I909" s="126"/>
      <c r="J909" s="130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>
      <c r="A910" s="107"/>
      <c r="B910" s="131"/>
      <c r="C910" s="120"/>
      <c r="D910" s="121"/>
      <c r="E910" s="107"/>
      <c r="F910" s="122"/>
      <c r="G910" s="22"/>
      <c r="H910" s="123"/>
      <c r="I910" s="126"/>
      <c r="J910" s="130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>
      <c r="A911" s="107"/>
      <c r="B911" s="131"/>
      <c r="C911" s="120"/>
      <c r="D911" s="121"/>
      <c r="E911" s="107"/>
      <c r="F911" s="122"/>
      <c r="G911" s="22"/>
      <c r="H911" s="123"/>
      <c r="I911" s="126"/>
      <c r="J911" s="130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>
      <c r="A912" s="107"/>
      <c r="B912" s="131"/>
      <c r="C912" s="120"/>
      <c r="D912" s="121"/>
      <c r="E912" s="107"/>
      <c r="F912" s="122"/>
      <c r="G912" s="22"/>
      <c r="H912" s="123"/>
      <c r="I912" s="126"/>
      <c r="J912" s="130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>
      <c r="A913" s="107"/>
      <c r="B913" s="131"/>
      <c r="C913" s="120"/>
      <c r="D913" s="121"/>
      <c r="E913" s="107"/>
      <c r="F913" s="122"/>
      <c r="G913" s="22"/>
      <c r="H913" s="123"/>
      <c r="I913" s="126"/>
      <c r="J913" s="130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>
      <c r="A914" s="107"/>
      <c r="B914" s="131"/>
      <c r="C914" s="120"/>
      <c r="D914" s="121"/>
      <c r="E914" s="107"/>
      <c r="F914" s="122"/>
      <c r="G914" s="22"/>
      <c r="H914" s="123"/>
      <c r="I914" s="126"/>
      <c r="J914" s="130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>
      <c r="A915" s="107"/>
      <c r="B915" s="131"/>
      <c r="C915" s="120"/>
      <c r="D915" s="121"/>
      <c r="E915" s="107"/>
      <c r="F915" s="122"/>
      <c r="G915" s="22"/>
      <c r="H915" s="123"/>
      <c r="I915" s="126"/>
      <c r="J915" s="130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>
      <c r="A916" s="107"/>
      <c r="B916" s="131"/>
      <c r="C916" s="120"/>
      <c r="D916" s="121"/>
      <c r="E916" s="107"/>
      <c r="F916" s="122"/>
      <c r="G916" s="22"/>
      <c r="H916" s="123"/>
      <c r="I916" s="126"/>
      <c r="J916" s="130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>
      <c r="A917" s="107"/>
      <c r="B917" s="131"/>
      <c r="C917" s="120"/>
      <c r="D917" s="121"/>
      <c r="E917" s="107"/>
      <c r="F917" s="122"/>
      <c r="G917" s="22"/>
      <c r="H917" s="123"/>
      <c r="I917" s="126"/>
      <c r="J917" s="130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>
      <c r="A918" s="107"/>
      <c r="B918" s="131"/>
      <c r="C918" s="120"/>
      <c r="D918" s="121"/>
      <c r="E918" s="107"/>
      <c r="F918" s="122"/>
      <c r="G918" s="22"/>
      <c r="H918" s="123"/>
      <c r="I918" s="126"/>
      <c r="J918" s="130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>
      <c r="A919" s="107"/>
      <c r="B919" s="131"/>
      <c r="C919" s="120"/>
      <c r="D919" s="121"/>
      <c r="E919" s="107"/>
      <c r="F919" s="122"/>
      <c r="G919" s="22"/>
      <c r="H919" s="123"/>
      <c r="I919" s="126"/>
      <c r="J919" s="130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>
      <c r="A920" s="107"/>
      <c r="B920" s="131"/>
      <c r="C920" s="120"/>
      <c r="D920" s="121"/>
      <c r="E920" s="107"/>
      <c r="F920" s="122"/>
      <c r="G920" s="22"/>
      <c r="H920" s="123"/>
      <c r="I920" s="126"/>
      <c r="J920" s="130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>
      <c r="A921" s="107"/>
      <c r="B921" s="131"/>
      <c r="C921" s="120"/>
      <c r="D921" s="121"/>
      <c r="E921" s="107"/>
      <c r="F921" s="122"/>
      <c r="G921" s="22"/>
      <c r="H921" s="123"/>
      <c r="I921" s="126"/>
      <c r="J921" s="130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>
      <c r="A922" s="107"/>
      <c r="B922" s="131"/>
      <c r="C922" s="120"/>
      <c r="D922" s="121"/>
      <c r="E922" s="107"/>
      <c r="F922" s="122"/>
      <c r="G922" s="22"/>
      <c r="H922" s="123"/>
      <c r="I922" s="126"/>
      <c r="J922" s="130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>
      <c r="A923" s="107"/>
      <c r="B923" s="131"/>
      <c r="C923" s="120"/>
      <c r="D923" s="121"/>
      <c r="E923" s="107"/>
      <c r="F923" s="122"/>
      <c r="G923" s="22"/>
      <c r="H923" s="123"/>
      <c r="I923" s="126"/>
      <c r="J923" s="130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>
      <c r="A924" s="107"/>
      <c r="B924" s="131"/>
      <c r="C924" s="120"/>
      <c r="D924" s="121"/>
      <c r="E924" s="107"/>
      <c r="F924" s="122"/>
      <c r="G924" s="22"/>
      <c r="H924" s="123"/>
      <c r="I924" s="126"/>
      <c r="J924" s="130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>
      <c r="A925" s="107"/>
      <c r="B925" s="131"/>
      <c r="C925" s="120"/>
      <c r="D925" s="121"/>
      <c r="E925" s="107"/>
      <c r="F925" s="122"/>
      <c r="G925" s="22"/>
      <c r="H925" s="123"/>
      <c r="I925" s="126"/>
      <c r="J925" s="130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>
      <c r="A926" s="107"/>
      <c r="B926" s="131"/>
      <c r="C926" s="120"/>
      <c r="D926" s="121"/>
      <c r="E926" s="107"/>
      <c r="F926" s="122"/>
      <c r="G926" s="22"/>
      <c r="H926" s="123"/>
      <c r="I926" s="126"/>
      <c r="J926" s="130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>
      <c r="A927" s="107"/>
      <c r="B927" s="131"/>
      <c r="C927" s="120"/>
      <c r="D927" s="121"/>
      <c r="E927" s="107"/>
      <c r="F927" s="122"/>
      <c r="G927" s="22"/>
      <c r="H927" s="123"/>
      <c r="I927" s="126"/>
      <c r="J927" s="130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>
      <c r="A928" s="107"/>
      <c r="B928" s="131"/>
      <c r="C928" s="120"/>
      <c r="D928" s="121"/>
      <c r="E928" s="107"/>
      <c r="F928" s="122"/>
      <c r="G928" s="22"/>
      <c r="H928" s="123"/>
      <c r="I928" s="126"/>
      <c r="J928" s="130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>
      <c r="A929" s="107"/>
      <c r="B929" s="131"/>
      <c r="C929" s="120"/>
      <c r="D929" s="121"/>
      <c r="E929" s="107"/>
      <c r="F929" s="122"/>
      <c r="G929" s="22"/>
      <c r="H929" s="123"/>
      <c r="I929" s="126"/>
      <c r="J929" s="130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>
      <c r="A930" s="107"/>
      <c r="B930" s="131"/>
      <c r="C930" s="120"/>
      <c r="D930" s="121"/>
      <c r="E930" s="107"/>
      <c r="F930" s="122"/>
      <c r="G930" s="22"/>
      <c r="H930" s="123"/>
      <c r="I930" s="126"/>
      <c r="J930" s="130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>
      <c r="A931" s="107"/>
      <c r="B931" s="131"/>
      <c r="C931" s="120"/>
      <c r="D931" s="121"/>
      <c r="E931" s="107"/>
      <c r="F931" s="122"/>
      <c r="G931" s="22"/>
      <c r="H931" s="123"/>
      <c r="I931" s="126"/>
      <c r="J931" s="130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>
      <c r="A932" s="107"/>
      <c r="B932" s="131"/>
      <c r="C932" s="120"/>
      <c r="D932" s="121"/>
      <c r="E932" s="107"/>
      <c r="F932" s="122"/>
      <c r="G932" s="22"/>
      <c r="H932" s="123"/>
      <c r="I932" s="126"/>
      <c r="J932" s="130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>
      <c r="A933" s="107"/>
      <c r="B933" s="131"/>
      <c r="C933" s="120"/>
      <c r="D933" s="121"/>
      <c r="E933" s="107"/>
      <c r="F933" s="122"/>
      <c r="G933" s="22"/>
      <c r="H933" s="123"/>
      <c r="I933" s="126"/>
      <c r="J933" s="130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>
      <c r="A934" s="107"/>
      <c r="B934" s="131"/>
      <c r="C934" s="120"/>
      <c r="D934" s="121"/>
      <c r="E934" s="107"/>
      <c r="F934" s="122"/>
      <c r="G934" s="22"/>
      <c r="H934" s="123"/>
      <c r="I934" s="126"/>
      <c r="J934" s="130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>
      <c r="A935" s="107"/>
      <c r="B935" s="131"/>
      <c r="C935" s="120"/>
      <c r="D935" s="121"/>
      <c r="E935" s="107"/>
      <c r="F935" s="122"/>
      <c r="G935" s="22"/>
      <c r="H935" s="123"/>
      <c r="I935" s="126"/>
      <c r="J935" s="130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>
      <c r="A936" s="107"/>
      <c r="B936" s="131"/>
      <c r="C936" s="120"/>
      <c r="D936" s="121"/>
      <c r="E936" s="107"/>
      <c r="F936" s="122"/>
      <c r="G936" s="22"/>
      <c r="H936" s="123"/>
      <c r="I936" s="126"/>
      <c r="J936" s="130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>
      <c r="A937" s="107"/>
      <c r="B937" s="131"/>
      <c r="C937" s="120"/>
      <c r="D937" s="121"/>
      <c r="E937" s="107"/>
      <c r="F937" s="122"/>
      <c r="G937" s="22"/>
      <c r="H937" s="123"/>
      <c r="I937" s="126"/>
      <c r="J937" s="130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>
      <c r="A938" s="107"/>
      <c r="B938" s="131"/>
      <c r="C938" s="120"/>
      <c r="D938" s="121"/>
      <c r="E938" s="107"/>
      <c r="F938" s="122"/>
      <c r="G938" s="22"/>
      <c r="H938" s="123"/>
      <c r="I938" s="126"/>
      <c r="J938" s="130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>
      <c r="A939" s="107"/>
      <c r="B939" s="131"/>
      <c r="C939" s="120"/>
      <c r="D939" s="121"/>
      <c r="E939" s="107"/>
      <c r="F939" s="122"/>
      <c r="G939" s="22"/>
      <c r="H939" s="123"/>
      <c r="I939" s="126"/>
      <c r="J939" s="130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>
      <c r="A940" s="107"/>
      <c r="B940" s="131"/>
      <c r="C940" s="120"/>
      <c r="D940" s="121"/>
      <c r="E940" s="107"/>
      <c r="F940" s="122"/>
      <c r="G940" s="22"/>
      <c r="H940" s="123"/>
      <c r="I940" s="126"/>
      <c r="J940" s="130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>
      <c r="A941" s="107"/>
      <c r="B941" s="131"/>
      <c r="C941" s="120"/>
      <c r="D941" s="121"/>
      <c r="E941" s="107"/>
      <c r="F941" s="122"/>
      <c r="G941" s="22"/>
      <c r="H941" s="123"/>
      <c r="I941" s="126"/>
      <c r="J941" s="130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>
      <c r="A942" s="107"/>
      <c r="B942" s="131"/>
      <c r="C942" s="120"/>
      <c r="D942" s="121"/>
      <c r="E942" s="107"/>
      <c r="F942" s="122"/>
      <c r="G942" s="22"/>
      <c r="H942" s="123"/>
      <c r="I942" s="126"/>
      <c r="J942" s="130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>
      <c r="A943" s="107"/>
      <c r="B943" s="131"/>
      <c r="C943" s="120"/>
      <c r="D943" s="121"/>
      <c r="E943" s="107"/>
      <c r="F943" s="122"/>
      <c r="G943" s="22"/>
      <c r="H943" s="123"/>
      <c r="I943" s="126"/>
      <c r="J943" s="130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>
      <c r="A944" s="107"/>
      <c r="B944" s="131"/>
      <c r="C944" s="120"/>
      <c r="D944" s="121"/>
      <c r="E944" s="107"/>
      <c r="F944" s="122"/>
      <c r="G944" s="22"/>
      <c r="H944" s="123"/>
      <c r="I944" s="126"/>
      <c r="J944" s="130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>
      <c r="A945" s="107"/>
      <c r="B945" s="131"/>
      <c r="C945" s="120"/>
      <c r="D945" s="121"/>
      <c r="E945" s="107"/>
      <c r="F945" s="122"/>
      <c r="G945" s="22"/>
      <c r="H945" s="123"/>
      <c r="I945" s="126"/>
      <c r="J945" s="130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>
      <c r="A946" s="107"/>
      <c r="B946" s="131"/>
      <c r="C946" s="120"/>
      <c r="D946" s="121"/>
      <c r="E946" s="107"/>
      <c r="F946" s="122"/>
      <c r="G946" s="22"/>
      <c r="H946" s="123"/>
      <c r="I946" s="126"/>
      <c r="J946" s="130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>
      <c r="A947" s="107"/>
      <c r="B947" s="131"/>
      <c r="C947" s="120"/>
      <c r="D947" s="121"/>
      <c r="E947" s="107"/>
      <c r="F947" s="122"/>
      <c r="G947" s="22"/>
      <c r="H947" s="123"/>
      <c r="I947" s="126"/>
      <c r="J947" s="130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>
      <c r="A948" s="107"/>
      <c r="B948" s="131"/>
      <c r="C948" s="120"/>
      <c r="D948" s="121"/>
      <c r="E948" s="107"/>
      <c r="F948" s="122"/>
      <c r="G948" s="22"/>
      <c r="H948" s="123"/>
      <c r="I948" s="126"/>
      <c r="J948" s="130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>
      <c r="A949" s="107"/>
      <c r="B949" s="131"/>
      <c r="C949" s="120"/>
      <c r="D949" s="121"/>
      <c r="E949" s="107"/>
      <c r="F949" s="122"/>
      <c r="G949" s="22"/>
      <c r="H949" s="123"/>
      <c r="I949" s="126"/>
      <c r="J949" s="130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>
      <c r="A950" s="107"/>
      <c r="B950" s="131"/>
      <c r="C950" s="120"/>
      <c r="D950" s="121"/>
      <c r="E950" s="107"/>
      <c r="F950" s="122"/>
      <c r="G950" s="22"/>
      <c r="H950" s="123"/>
      <c r="I950" s="126"/>
      <c r="J950" s="130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>
      <c r="A951" s="107"/>
      <c r="B951" s="131"/>
      <c r="C951" s="120"/>
      <c r="D951" s="121"/>
      <c r="E951" s="107"/>
      <c r="F951" s="122"/>
      <c r="G951" s="22"/>
      <c r="H951" s="123"/>
      <c r="I951" s="126"/>
      <c r="J951" s="130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>
      <c r="A952" s="107"/>
      <c r="B952" s="131"/>
      <c r="C952" s="120"/>
      <c r="D952" s="121"/>
      <c r="E952" s="107"/>
      <c r="F952" s="122"/>
      <c r="G952" s="22"/>
      <c r="H952" s="123"/>
      <c r="I952" s="126"/>
      <c r="J952" s="130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>
      <c r="A953" s="107"/>
      <c r="B953" s="131"/>
      <c r="C953" s="120"/>
      <c r="D953" s="121"/>
      <c r="E953" s="107"/>
      <c r="F953" s="122"/>
      <c r="G953" s="22"/>
      <c r="H953" s="123"/>
      <c r="I953" s="126"/>
      <c r="J953" s="130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>
      <c r="A954" s="107"/>
      <c r="B954" s="131"/>
      <c r="C954" s="120"/>
      <c r="D954" s="121"/>
      <c r="E954" s="107"/>
      <c r="F954" s="122"/>
      <c r="G954" s="22"/>
      <c r="H954" s="123"/>
      <c r="I954" s="126"/>
      <c r="J954" s="130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>
      <c r="A955" s="107"/>
      <c r="B955" s="131"/>
      <c r="C955" s="120"/>
      <c r="D955" s="121"/>
      <c r="E955" s="107"/>
      <c r="F955" s="122"/>
      <c r="G955" s="22"/>
      <c r="H955" s="123"/>
      <c r="I955" s="126"/>
      <c r="J955" s="130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>
      <c r="A956" s="107"/>
      <c r="B956" s="131"/>
      <c r="C956" s="120"/>
      <c r="D956" s="121"/>
      <c r="E956" s="107"/>
      <c r="F956" s="122"/>
      <c r="G956" s="22"/>
      <c r="H956" s="123"/>
      <c r="I956" s="126"/>
      <c r="J956" s="130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>
      <c r="A957" s="107"/>
      <c r="B957" s="131"/>
      <c r="C957" s="120"/>
      <c r="D957" s="121"/>
      <c r="E957" s="107"/>
      <c r="F957" s="122"/>
      <c r="G957" s="22"/>
      <c r="H957" s="123"/>
      <c r="I957" s="126"/>
      <c r="J957" s="130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>
      <c r="A958" s="107"/>
      <c r="B958" s="131"/>
      <c r="C958" s="120"/>
      <c r="D958" s="121"/>
      <c r="E958" s="107"/>
      <c r="F958" s="122"/>
      <c r="G958" s="22"/>
      <c r="H958" s="123"/>
      <c r="I958" s="126"/>
      <c r="J958" s="130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>
      <c r="A959" s="107"/>
      <c r="B959" s="131"/>
      <c r="C959" s="120"/>
      <c r="D959" s="121"/>
      <c r="E959" s="107"/>
      <c r="F959" s="122"/>
      <c r="G959" s="22"/>
      <c r="H959" s="123"/>
      <c r="I959" s="126"/>
      <c r="J959" s="130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>
      <c r="A960" s="107"/>
      <c r="B960" s="131"/>
      <c r="C960" s="120"/>
      <c r="D960" s="121"/>
      <c r="E960" s="107"/>
      <c r="F960" s="122"/>
      <c r="G960" s="22"/>
      <c r="H960" s="123"/>
      <c r="I960" s="126"/>
      <c r="J960" s="130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>
      <c r="A961" s="107"/>
      <c r="B961" s="131"/>
      <c r="C961" s="120"/>
      <c r="D961" s="121"/>
      <c r="E961" s="107"/>
      <c r="F961" s="122"/>
      <c r="G961" s="22"/>
      <c r="H961" s="123"/>
      <c r="I961" s="126"/>
      <c r="J961" s="130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>
      <c r="A962" s="107"/>
      <c r="B962" s="131"/>
      <c r="C962" s="120"/>
      <c r="D962" s="121"/>
      <c r="E962" s="107"/>
      <c r="F962" s="122"/>
      <c r="G962" s="22"/>
      <c r="H962" s="123"/>
      <c r="I962" s="126"/>
      <c r="J962" s="130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>
      <c r="A963" s="107"/>
      <c r="B963" s="131"/>
      <c r="C963" s="120"/>
      <c r="D963" s="121"/>
      <c r="E963" s="107"/>
      <c r="F963" s="122"/>
      <c r="G963" s="22"/>
      <c r="H963" s="123"/>
      <c r="I963" s="126"/>
      <c r="J963" s="130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>
      <c r="A964" s="107"/>
      <c r="B964" s="131"/>
      <c r="C964" s="120"/>
      <c r="D964" s="121"/>
      <c r="E964" s="107"/>
      <c r="F964" s="122"/>
      <c r="G964" s="22"/>
      <c r="H964" s="123"/>
      <c r="I964" s="126"/>
      <c r="J964" s="130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>
      <c r="A965" s="107"/>
      <c r="B965" s="131"/>
      <c r="C965" s="120"/>
      <c r="D965" s="121"/>
      <c r="E965" s="107"/>
      <c r="F965" s="122"/>
      <c r="G965" s="22"/>
      <c r="H965" s="123"/>
      <c r="I965" s="126"/>
      <c r="J965" s="130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>
      <c r="A966" s="107"/>
      <c r="B966" s="131"/>
      <c r="C966" s="120"/>
      <c r="D966" s="121"/>
      <c r="E966" s="107"/>
      <c r="F966" s="122"/>
      <c r="G966" s="22"/>
      <c r="H966" s="123"/>
      <c r="I966" s="126"/>
      <c r="J966" s="130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>
      <c r="A967" s="107"/>
      <c r="B967" s="131"/>
      <c r="C967" s="120"/>
      <c r="D967" s="121"/>
      <c r="E967" s="107"/>
      <c r="F967" s="122"/>
      <c r="G967" s="22"/>
      <c r="H967" s="123"/>
      <c r="I967" s="126"/>
      <c r="J967" s="130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>
      <c r="A968" s="107"/>
      <c r="B968" s="131"/>
      <c r="C968" s="120"/>
      <c r="D968" s="121"/>
      <c r="E968" s="107"/>
      <c r="F968" s="122"/>
      <c r="G968" s="22"/>
      <c r="H968" s="123"/>
      <c r="I968" s="126"/>
      <c r="J968" s="130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>
      <c r="A969" s="107"/>
      <c r="B969" s="131"/>
      <c r="C969" s="120"/>
      <c r="D969" s="121"/>
      <c r="E969" s="107"/>
      <c r="F969" s="122"/>
      <c r="G969" s="22"/>
      <c r="H969" s="123"/>
      <c r="I969" s="126"/>
      <c r="J969" s="130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>
      <c r="A970" s="107"/>
      <c r="B970" s="131"/>
      <c r="C970" s="120"/>
      <c r="D970" s="121"/>
      <c r="E970" s="107"/>
      <c r="F970" s="122"/>
      <c r="G970" s="22"/>
      <c r="H970" s="123"/>
      <c r="I970" s="126"/>
      <c r="J970" s="130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>
      <c r="A971" s="107"/>
      <c r="B971" s="131"/>
      <c r="C971" s="120"/>
      <c r="D971" s="121"/>
      <c r="E971" s="107"/>
      <c r="F971" s="122"/>
      <c r="G971" s="22"/>
      <c r="H971" s="123"/>
      <c r="I971" s="126"/>
      <c r="J971" s="130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>
      <c r="A972" s="107"/>
      <c r="B972" s="131"/>
      <c r="C972" s="120"/>
      <c r="D972" s="121"/>
      <c r="E972" s="107"/>
      <c r="F972" s="122"/>
      <c r="G972" s="22"/>
      <c r="H972" s="123"/>
      <c r="I972" s="126"/>
      <c r="J972" s="130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>
      <c r="A973" s="107"/>
      <c r="B973" s="131"/>
      <c r="C973" s="120"/>
      <c r="D973" s="121"/>
      <c r="E973" s="107"/>
      <c r="F973" s="122"/>
      <c r="G973" s="22"/>
      <c r="H973" s="123"/>
      <c r="I973" s="126"/>
      <c r="J973" s="130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>
      <c r="A974" s="107"/>
      <c r="B974" s="131"/>
      <c r="C974" s="120"/>
      <c r="D974" s="121"/>
      <c r="E974" s="107"/>
      <c r="F974" s="122"/>
      <c r="G974" s="22"/>
      <c r="H974" s="123"/>
      <c r="I974" s="126"/>
      <c r="J974" s="130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>
      <c r="A975" s="107"/>
      <c r="B975" s="131"/>
      <c r="C975" s="120"/>
      <c r="D975" s="121"/>
      <c r="E975" s="107"/>
      <c r="F975" s="122"/>
      <c r="G975" s="22"/>
      <c r="H975" s="123"/>
      <c r="I975" s="126"/>
      <c r="J975" s="130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>
      <c r="A976" s="107"/>
      <c r="B976" s="131"/>
      <c r="C976" s="120"/>
      <c r="D976" s="121"/>
      <c r="E976" s="107"/>
      <c r="F976" s="122"/>
      <c r="G976" s="22"/>
      <c r="H976" s="123"/>
      <c r="I976" s="126"/>
      <c r="J976" s="130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>
      <c r="A977" s="107"/>
      <c r="B977" s="131"/>
      <c r="C977" s="120"/>
      <c r="D977" s="121"/>
      <c r="E977" s="107"/>
      <c r="F977" s="122"/>
      <c r="G977" s="22"/>
      <c r="H977" s="123"/>
      <c r="I977" s="126"/>
      <c r="J977" s="130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>
      <c r="A978" s="107"/>
      <c r="B978" s="131"/>
      <c r="C978" s="120"/>
      <c r="D978" s="121"/>
      <c r="E978" s="107"/>
      <c r="F978" s="122"/>
      <c r="G978" s="22"/>
      <c r="H978" s="123"/>
      <c r="I978" s="126"/>
      <c r="J978" s="130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>
      <c r="A979" s="107"/>
      <c r="B979" s="131"/>
      <c r="C979" s="120"/>
      <c r="D979" s="121"/>
      <c r="E979" s="107"/>
      <c r="F979" s="122"/>
      <c r="G979" s="22"/>
      <c r="H979" s="123"/>
      <c r="I979" s="126"/>
      <c r="J979" s="130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>
      <c r="A980" s="107"/>
      <c r="B980" s="131"/>
      <c r="C980" s="120"/>
      <c r="D980" s="121"/>
      <c r="E980" s="107"/>
      <c r="F980" s="122"/>
      <c r="G980" s="22"/>
      <c r="H980" s="123"/>
      <c r="I980" s="126"/>
      <c r="J980" s="130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>
      <c r="A981" s="107"/>
      <c r="B981" s="131"/>
      <c r="C981" s="120"/>
      <c r="D981" s="121"/>
      <c r="E981" s="107"/>
      <c r="F981" s="122"/>
      <c r="G981" s="22"/>
      <c r="H981" s="123"/>
      <c r="I981" s="126"/>
      <c r="J981" s="130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>
      <c r="A982" s="107"/>
      <c r="B982" s="131"/>
      <c r="C982" s="120"/>
      <c r="D982" s="121"/>
      <c r="E982" s="107"/>
      <c r="F982" s="122"/>
      <c r="G982" s="22"/>
      <c r="H982" s="123"/>
      <c r="I982" s="126"/>
      <c r="J982" s="130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>
      <c r="A983" s="107"/>
      <c r="B983" s="131"/>
      <c r="C983" s="120"/>
      <c r="D983" s="121"/>
      <c r="E983" s="107"/>
      <c r="F983" s="122"/>
      <c r="G983" s="22"/>
      <c r="H983" s="123"/>
      <c r="I983" s="126"/>
      <c r="J983" s="130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>
      <c r="A984" s="107"/>
      <c r="B984" s="131"/>
      <c r="C984" s="120"/>
      <c r="D984" s="121"/>
      <c r="E984" s="107"/>
      <c r="F984" s="122"/>
      <c r="G984" s="22"/>
      <c r="H984" s="123"/>
      <c r="I984" s="126"/>
      <c r="J984" s="130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>
      <c r="A985" s="107"/>
      <c r="B985" s="131"/>
      <c r="C985" s="120"/>
      <c r="D985" s="121"/>
      <c r="E985" s="107"/>
      <c r="F985" s="122"/>
      <c r="G985" s="22"/>
      <c r="H985" s="123"/>
      <c r="I985" s="126"/>
      <c r="J985" s="130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>
      <c r="A986" s="107"/>
      <c r="B986" s="131"/>
      <c r="C986" s="120"/>
      <c r="D986" s="121"/>
      <c r="E986" s="107"/>
      <c r="F986" s="122"/>
      <c r="G986" s="22"/>
      <c r="H986" s="123"/>
      <c r="I986" s="126"/>
      <c r="J986" s="130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>
      <c r="A987" s="107"/>
      <c r="B987" s="131"/>
      <c r="C987" s="120"/>
      <c r="D987" s="121"/>
      <c r="E987" s="107"/>
      <c r="F987" s="122"/>
      <c r="G987" s="22"/>
      <c r="H987" s="123"/>
      <c r="I987" s="126"/>
      <c r="J987" s="130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>
      <c r="A988" s="107"/>
      <c r="B988" s="131"/>
      <c r="C988" s="120"/>
      <c r="D988" s="121"/>
      <c r="E988" s="107"/>
      <c r="F988" s="122"/>
      <c r="G988" s="22"/>
      <c r="H988" s="123"/>
      <c r="I988" s="126"/>
      <c r="J988" s="130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>
      <c r="A989" s="107"/>
      <c r="B989" s="131"/>
      <c r="C989" s="120"/>
      <c r="D989" s="121"/>
      <c r="E989" s="107"/>
      <c r="F989" s="122"/>
      <c r="G989" s="22"/>
      <c r="H989" s="123"/>
      <c r="I989" s="126"/>
      <c r="J989" s="130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>
      <c r="A990" s="107"/>
      <c r="B990" s="131"/>
      <c r="C990" s="120"/>
      <c r="D990" s="121"/>
      <c r="E990" s="107"/>
      <c r="F990" s="122"/>
      <c r="G990" s="22"/>
      <c r="H990" s="123"/>
      <c r="I990" s="126"/>
      <c r="J990" s="130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>
      <c r="A991" s="107"/>
      <c r="B991" s="131"/>
      <c r="C991" s="120"/>
      <c r="D991" s="121"/>
      <c r="E991" s="107"/>
      <c r="F991" s="122"/>
      <c r="G991" s="22"/>
      <c r="H991" s="123"/>
      <c r="I991" s="126"/>
      <c r="J991" s="130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>
      <c r="A992" s="107"/>
      <c r="B992" s="131"/>
      <c r="C992" s="120"/>
      <c r="D992" s="121"/>
      <c r="E992" s="107"/>
      <c r="F992" s="122"/>
      <c r="G992" s="22"/>
      <c r="H992" s="123"/>
      <c r="I992" s="126"/>
      <c r="J992" s="130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>
      <c r="A993" s="107"/>
      <c r="B993" s="131"/>
      <c r="C993" s="120"/>
      <c r="D993" s="121"/>
      <c r="E993" s="107"/>
      <c r="F993" s="122"/>
      <c r="G993" s="22"/>
      <c r="H993" s="123"/>
      <c r="I993" s="126"/>
      <c r="J993" s="130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>
      <c r="A994" s="107"/>
      <c r="B994" s="131"/>
      <c r="C994" s="120"/>
      <c r="D994" s="121"/>
      <c r="E994" s="107"/>
      <c r="F994" s="122"/>
      <c r="G994" s="22"/>
      <c r="H994" s="123"/>
      <c r="I994" s="126"/>
      <c r="J994" s="130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>
      <c r="A995" s="107"/>
      <c r="B995" s="131"/>
      <c r="C995" s="120"/>
      <c r="D995" s="121"/>
      <c r="E995" s="107"/>
      <c r="F995" s="122"/>
      <c r="G995" s="22"/>
      <c r="H995" s="123"/>
      <c r="I995" s="126"/>
      <c r="J995" s="130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>
      <c r="A996" s="107"/>
      <c r="B996" s="131"/>
      <c r="C996" s="120"/>
      <c r="D996" s="121"/>
      <c r="E996" s="107"/>
      <c r="F996" s="122"/>
      <c r="G996" s="22"/>
      <c r="H996" s="123"/>
      <c r="I996" s="126"/>
      <c r="J996" s="130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>
      <c r="A997" s="107"/>
      <c r="B997" s="131"/>
      <c r="C997" s="120"/>
      <c r="D997" s="121"/>
      <c r="E997" s="107"/>
      <c r="F997" s="122"/>
      <c r="G997" s="22"/>
      <c r="H997" s="123"/>
      <c r="I997" s="126"/>
      <c r="J997" s="130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>
      <c r="A998" s="107"/>
      <c r="B998" s="131"/>
      <c r="C998" s="120"/>
      <c r="D998" s="121"/>
      <c r="E998" s="107"/>
      <c r="F998" s="122"/>
      <c r="G998" s="22"/>
      <c r="H998" s="123"/>
      <c r="I998" s="126"/>
      <c r="J998" s="130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>
      <c r="A999" s="107"/>
      <c r="B999" s="131"/>
      <c r="C999" s="120"/>
      <c r="D999" s="121"/>
      <c r="E999" s="107"/>
      <c r="F999" s="122"/>
      <c r="G999" s="22"/>
      <c r="H999" s="123"/>
      <c r="I999" s="126"/>
      <c r="J999" s="130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>
      <c r="A1000" s="107"/>
      <c r="B1000" s="131"/>
      <c r="C1000" s="120"/>
      <c r="D1000" s="121"/>
      <c r="E1000" s="107"/>
      <c r="F1000" s="122"/>
      <c r="G1000" s="22"/>
      <c r="H1000" s="123"/>
      <c r="I1000" s="126"/>
      <c r="J1000" s="130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  <row r="1001">
      <c r="A1001" s="107"/>
      <c r="B1001" s="131"/>
      <c r="C1001" s="120"/>
      <c r="D1001" s="121"/>
      <c r="E1001" s="107"/>
      <c r="F1001" s="122"/>
      <c r="G1001" s="22"/>
      <c r="H1001" s="123"/>
      <c r="I1001" s="126"/>
      <c r="J1001" s="130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</row>
    <row r="1002">
      <c r="A1002" s="107"/>
      <c r="B1002" s="131"/>
      <c r="C1002" s="120"/>
      <c r="D1002" s="121"/>
      <c r="E1002" s="107"/>
      <c r="F1002" s="122"/>
      <c r="G1002" s="22"/>
      <c r="H1002" s="123"/>
      <c r="I1002" s="126"/>
      <c r="J1002" s="130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</row>
    <row r="1003">
      <c r="A1003" s="107"/>
      <c r="B1003" s="131"/>
      <c r="C1003" s="120"/>
      <c r="D1003" s="121"/>
      <c r="E1003" s="107"/>
      <c r="F1003" s="122"/>
      <c r="G1003" s="22"/>
      <c r="H1003" s="123"/>
      <c r="I1003" s="126"/>
      <c r="J1003" s="130"/>
      <c r="K1003" s="28"/>
      <c r="L1003" s="28"/>
      <c r="M1003" s="28"/>
      <c r="N1003" s="28"/>
      <c r="O1003" s="28"/>
      <c r="P1003" s="28"/>
      <c r="Q1003" s="28"/>
      <c r="R1003" s="28"/>
      <c r="S1003" s="28"/>
      <c r="T1003" s="28"/>
      <c r="U1003" s="28"/>
      <c r="V1003" s="28"/>
      <c r="W1003" s="28"/>
      <c r="X1003" s="28"/>
      <c r="Y1003" s="28"/>
      <c r="Z1003" s="28"/>
    </row>
  </sheetData>
  <mergeCells count="2">
    <mergeCell ref="A1:F1"/>
    <mergeCell ref="E2:F2"/>
  </mergeCells>
  <dataValidations>
    <dataValidation type="list" allowBlank="1" sqref="H4:H1003">
      <formula1>"CHECKED (OK),CHECKED  (NOT OK)"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.88"/>
    <col customWidth="1" min="2" max="2" width="9.63"/>
    <col customWidth="1" min="3" max="3" width="23.0"/>
    <col customWidth="1" min="4" max="4" width="30.63"/>
    <col customWidth="1" min="5" max="5" width="7.63"/>
    <col customWidth="1" min="7" max="7" width="3.5"/>
    <col customWidth="1" min="8" max="8" width="18.63"/>
    <col customWidth="1" min="9" max="9" width="21.63"/>
  </cols>
  <sheetData>
    <row r="1">
      <c r="A1" s="105" t="s">
        <v>367</v>
      </c>
      <c r="G1" s="111"/>
      <c r="I1" s="112" t="s">
        <v>368</v>
      </c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106" t="s">
        <v>1</v>
      </c>
      <c r="B2" s="106" t="s">
        <v>11</v>
      </c>
      <c r="C2" s="106" t="s">
        <v>12</v>
      </c>
      <c r="D2" s="114" t="s">
        <v>13</v>
      </c>
      <c r="E2" s="115" t="s">
        <v>14</v>
      </c>
      <c r="G2" s="116"/>
      <c r="H2" s="111"/>
      <c r="I2" s="11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106"/>
      <c r="B3" s="106"/>
      <c r="C3" s="106"/>
      <c r="D3" s="114"/>
      <c r="E3" s="115" t="s">
        <v>15</v>
      </c>
      <c r="F3" s="117" t="s">
        <v>5</v>
      </c>
      <c r="G3" s="116"/>
      <c r="H3" s="118" t="s">
        <v>6</v>
      </c>
      <c r="I3" s="119" t="s">
        <v>7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>
      <c r="A4" s="107">
        <v>1.0</v>
      </c>
      <c r="B4" s="107">
        <v>1013189.0</v>
      </c>
      <c r="C4" s="120" t="str">
        <f>vlookup(B4,'Crew Data'!C:G,5,0)</f>
        <v>Supakrit Khongvittaya</v>
      </c>
      <c r="D4" s="121" t="s">
        <v>369</v>
      </c>
      <c r="E4" s="107">
        <v>2.0</v>
      </c>
      <c r="F4" s="122">
        <f t="shared" ref="F4:F70" si="1">E4*400</f>
        <v>800</v>
      </c>
      <c r="G4" s="22">
        <f t="shared" ref="G4:G70" si="2">COUNTIF(B:B,B4)</f>
        <v>1</v>
      </c>
      <c r="H4" s="123" t="s">
        <v>20</v>
      </c>
      <c r="I4" s="124" t="s">
        <v>370</v>
      </c>
      <c r="J4" s="127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A5" s="107">
        <v>2.0</v>
      </c>
      <c r="B5" s="107">
        <v>1004683.0</v>
      </c>
      <c r="C5" s="120" t="str">
        <f>vlookup(B5,'Crew Data'!C:G,5,0)</f>
        <v>Prok Lartham</v>
      </c>
      <c r="D5" s="121" t="s">
        <v>366</v>
      </c>
      <c r="E5" s="107">
        <v>31.0</v>
      </c>
      <c r="F5" s="122">
        <f t="shared" si="1"/>
        <v>12400</v>
      </c>
      <c r="G5" s="22">
        <f t="shared" si="2"/>
        <v>1</v>
      </c>
      <c r="H5" s="123" t="s">
        <v>20</v>
      </c>
      <c r="I5" s="124" t="s">
        <v>370</v>
      </c>
      <c r="J5" s="127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>
      <c r="A6" s="107">
        <v>3.0</v>
      </c>
      <c r="B6" s="107">
        <v>1012193.0</v>
      </c>
      <c r="C6" s="120" t="str">
        <f>vlookup(B6,'Crew Data'!C:G,5,0)</f>
        <v>Phoemsakun Phongpradist</v>
      </c>
      <c r="D6" s="121" t="s">
        <v>353</v>
      </c>
      <c r="E6" s="107">
        <v>2.0</v>
      </c>
      <c r="F6" s="122">
        <f t="shared" si="1"/>
        <v>800</v>
      </c>
      <c r="G6" s="22">
        <f t="shared" si="2"/>
        <v>1</v>
      </c>
      <c r="H6" s="123" t="s">
        <v>20</v>
      </c>
      <c r="I6" s="124" t="s">
        <v>370</v>
      </c>
      <c r="J6" s="127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>
      <c r="A7" s="107">
        <v>4.0</v>
      </c>
      <c r="B7" s="107">
        <v>1005762.0</v>
      </c>
      <c r="C7" s="120" t="str">
        <f>vlookup(B7,'Crew Data'!C:G,5,0)</f>
        <v>Photchara Srisuk</v>
      </c>
      <c r="D7" s="121" t="s">
        <v>371</v>
      </c>
      <c r="E7" s="107">
        <v>24.0</v>
      </c>
      <c r="F7" s="122">
        <f t="shared" si="1"/>
        <v>9600</v>
      </c>
      <c r="G7" s="22">
        <f t="shared" si="2"/>
        <v>1</v>
      </c>
      <c r="H7" s="123" t="s">
        <v>20</v>
      </c>
      <c r="I7" s="124" t="s">
        <v>370</v>
      </c>
      <c r="J7" s="127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>
      <c r="A8" s="107">
        <v>5.0</v>
      </c>
      <c r="B8" s="107">
        <v>1012975.0</v>
      </c>
      <c r="C8" s="120" t="str">
        <f>vlookup(B8,'Crew Data'!C:G,5,0)</f>
        <v>Chalintara Chinaratana</v>
      </c>
      <c r="D8" s="121" t="s">
        <v>372</v>
      </c>
      <c r="E8" s="107">
        <v>2.0</v>
      </c>
      <c r="F8" s="122">
        <f t="shared" si="1"/>
        <v>800</v>
      </c>
      <c r="G8" s="22">
        <f t="shared" si="2"/>
        <v>1</v>
      </c>
      <c r="H8" s="123" t="s">
        <v>20</v>
      </c>
      <c r="I8" s="124" t="s">
        <v>370</v>
      </c>
      <c r="J8" s="127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>
      <c r="A9" s="107">
        <v>6.0</v>
      </c>
      <c r="B9" s="107">
        <v>1007207.0</v>
      </c>
      <c r="C9" s="120" t="str">
        <f>vlookup(B9,'Crew Data'!C:G,5,0)</f>
        <v>Sasiwan Nakate</v>
      </c>
      <c r="D9" s="121" t="s">
        <v>373</v>
      </c>
      <c r="E9" s="107">
        <v>6.0</v>
      </c>
      <c r="F9" s="122">
        <f t="shared" si="1"/>
        <v>2400</v>
      </c>
      <c r="G9" s="22">
        <f t="shared" si="2"/>
        <v>1</v>
      </c>
      <c r="H9" s="123" t="s">
        <v>20</v>
      </c>
      <c r="I9" s="124"/>
      <c r="J9" s="127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>
      <c r="A10" s="107">
        <v>7.0</v>
      </c>
      <c r="B10" s="107">
        <v>1011844.0</v>
      </c>
      <c r="C10" s="120" t="str">
        <f>vlookup(B10,'Crew Data'!C:G,5,0)</f>
        <v>Thanyaporn Vaivattana</v>
      </c>
      <c r="D10" s="121" t="s">
        <v>374</v>
      </c>
      <c r="E10" s="107">
        <v>2.0</v>
      </c>
      <c r="F10" s="122">
        <f t="shared" si="1"/>
        <v>800</v>
      </c>
      <c r="G10" s="22">
        <f t="shared" si="2"/>
        <v>1</v>
      </c>
      <c r="H10" s="123" t="s">
        <v>20</v>
      </c>
      <c r="I10" s="124"/>
      <c r="J10" s="127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>
      <c r="A11" s="107">
        <v>8.0</v>
      </c>
      <c r="B11" s="129">
        <v>1005769.0</v>
      </c>
      <c r="C11" s="120" t="str">
        <f>vlookup(B11,'Crew Data'!C:G,5,0)</f>
        <v>Thanicha Noodee</v>
      </c>
      <c r="D11" s="121" t="s">
        <v>375</v>
      </c>
      <c r="E11" s="107">
        <v>2.0</v>
      </c>
      <c r="F11" s="122">
        <f t="shared" si="1"/>
        <v>800</v>
      </c>
      <c r="G11" s="22">
        <f t="shared" si="2"/>
        <v>1</v>
      </c>
      <c r="H11" s="123" t="s">
        <v>20</v>
      </c>
      <c r="I11" s="124"/>
      <c r="J11" s="127"/>
      <c r="K11" s="31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>
      <c r="A12" s="107">
        <v>9.0</v>
      </c>
      <c r="B12" s="131">
        <v>1002202.0</v>
      </c>
      <c r="C12" s="120" t="str">
        <f>vlookup(B12,'Crew Data'!C:G,5,0)</f>
        <v>Nithipkan Damrongpongkhajorn</v>
      </c>
      <c r="D12" s="121" t="s">
        <v>375</v>
      </c>
      <c r="E12" s="107">
        <v>2.0</v>
      </c>
      <c r="F12" s="122">
        <f t="shared" si="1"/>
        <v>800</v>
      </c>
      <c r="G12" s="22">
        <f t="shared" si="2"/>
        <v>1</v>
      </c>
      <c r="H12" s="123" t="s">
        <v>20</v>
      </c>
      <c r="I12" s="126"/>
      <c r="J12" s="127"/>
      <c r="K12" s="31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107">
        <v>10.0</v>
      </c>
      <c r="B13" s="131">
        <v>1012368.0</v>
      </c>
      <c r="C13" s="120" t="str">
        <f>vlookup(B13,'Crew Data'!C:G,5,0)</f>
        <v>#N/A</v>
      </c>
      <c r="D13" s="121" t="s">
        <v>376</v>
      </c>
      <c r="E13" s="107">
        <v>2.0</v>
      </c>
      <c r="F13" s="122">
        <f t="shared" si="1"/>
        <v>800</v>
      </c>
      <c r="G13" s="22">
        <f t="shared" si="2"/>
        <v>1</v>
      </c>
      <c r="H13" s="123" t="s">
        <v>20</v>
      </c>
      <c r="I13" s="126"/>
      <c r="J13" s="127"/>
      <c r="K13" s="31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>
      <c r="A14" s="107">
        <v>11.0</v>
      </c>
      <c r="B14" s="107">
        <v>1004292.0</v>
      </c>
      <c r="C14" s="120" t="str">
        <f>vlookup(B14,'Crew Data'!C:G,5,0)</f>
        <v>Darunee Anumat</v>
      </c>
      <c r="D14" s="121" t="s">
        <v>375</v>
      </c>
      <c r="E14" s="107">
        <v>2.0</v>
      </c>
      <c r="F14" s="122">
        <f t="shared" si="1"/>
        <v>800</v>
      </c>
      <c r="G14" s="22">
        <f t="shared" si="2"/>
        <v>1</v>
      </c>
      <c r="H14" s="123" t="s">
        <v>20</v>
      </c>
      <c r="I14" s="126"/>
      <c r="J14" s="127"/>
      <c r="K14" s="31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107">
        <v>12.0</v>
      </c>
      <c r="B15" s="107">
        <v>1014665.0</v>
      </c>
      <c r="C15" s="120" t="str">
        <f>vlookup(B15,'Crew Data'!C:G,5,0)</f>
        <v>Jaruwan Charoenratanapirom</v>
      </c>
      <c r="D15" s="121" t="s">
        <v>377</v>
      </c>
      <c r="E15" s="107">
        <v>2.0</v>
      </c>
      <c r="F15" s="122">
        <f t="shared" si="1"/>
        <v>800</v>
      </c>
      <c r="G15" s="22">
        <f t="shared" si="2"/>
        <v>1</v>
      </c>
      <c r="H15" s="123" t="s">
        <v>20</v>
      </c>
      <c r="I15" s="126"/>
      <c r="J15" s="127"/>
      <c r="K15" s="31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107">
        <v>13.0</v>
      </c>
      <c r="B16" s="131">
        <v>1011513.0</v>
      </c>
      <c r="C16" s="120" t="str">
        <f>vlookup(B16,'Crew Data'!C:G,5,0)</f>
        <v>Rawitnat Marayat</v>
      </c>
      <c r="D16" s="121" t="s">
        <v>377</v>
      </c>
      <c r="E16" s="107">
        <v>2.0</v>
      </c>
      <c r="F16" s="122">
        <f t="shared" si="1"/>
        <v>800</v>
      </c>
      <c r="G16" s="22">
        <f t="shared" si="2"/>
        <v>1</v>
      </c>
      <c r="H16" s="123" t="s">
        <v>20</v>
      </c>
      <c r="I16" s="126"/>
      <c r="J16" s="127"/>
      <c r="K16" s="31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107">
        <v>14.0</v>
      </c>
      <c r="B17" s="129">
        <v>1010904.0</v>
      </c>
      <c r="C17" s="120" t="str">
        <f>vlookup(B17,'Crew Data'!C:G,5,0)</f>
        <v>Phadoongkiat Phanwilai</v>
      </c>
      <c r="D17" s="121" t="s">
        <v>377</v>
      </c>
      <c r="E17" s="107">
        <v>2.0</v>
      </c>
      <c r="F17" s="122">
        <f t="shared" si="1"/>
        <v>800</v>
      </c>
      <c r="G17" s="22">
        <f t="shared" si="2"/>
        <v>1</v>
      </c>
      <c r="H17" s="123" t="s">
        <v>20</v>
      </c>
      <c r="I17" s="126"/>
      <c r="J17" s="127"/>
      <c r="K17" s="31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107">
        <v>15.0</v>
      </c>
      <c r="B18" s="131">
        <v>1014662.0</v>
      </c>
      <c r="C18" s="120" t="str">
        <f>vlookup(B18,'Crew Data'!C:G,5,0)</f>
        <v>Duangkamon Wongjareanyong</v>
      </c>
      <c r="D18" s="121" t="s">
        <v>378</v>
      </c>
      <c r="E18" s="107">
        <v>2.0</v>
      </c>
      <c r="F18" s="122">
        <f t="shared" si="1"/>
        <v>800</v>
      </c>
      <c r="G18" s="22">
        <f t="shared" si="2"/>
        <v>1</v>
      </c>
      <c r="H18" s="123" t="s">
        <v>20</v>
      </c>
      <c r="I18" s="126"/>
      <c r="J18" s="127"/>
      <c r="K18" s="31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107">
        <v>16.0</v>
      </c>
      <c r="B19" s="131">
        <v>1005444.0</v>
      </c>
      <c r="C19" s="120" t="str">
        <f>vlookup(B19,'Crew Data'!C:G,5,0)</f>
        <v>Rassarin Weerathammavit</v>
      </c>
      <c r="D19" s="121" t="s">
        <v>376</v>
      </c>
      <c r="E19" s="107">
        <v>2.0</v>
      </c>
      <c r="F19" s="122">
        <f t="shared" si="1"/>
        <v>800</v>
      </c>
      <c r="G19" s="22">
        <f t="shared" si="2"/>
        <v>1</v>
      </c>
      <c r="H19" s="123" t="s">
        <v>20</v>
      </c>
      <c r="I19" s="126"/>
      <c r="J19" s="127"/>
      <c r="K19" s="31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107">
        <v>17.0</v>
      </c>
      <c r="B20" s="131">
        <v>1016385.0</v>
      </c>
      <c r="C20" s="120" t="str">
        <f>vlookup(B20,'Crew Data'!C:G,5,0)</f>
        <v>Raweewan Sritong</v>
      </c>
      <c r="D20" s="121" t="s">
        <v>377</v>
      </c>
      <c r="E20" s="107">
        <v>2.0</v>
      </c>
      <c r="F20" s="122">
        <f t="shared" si="1"/>
        <v>800</v>
      </c>
      <c r="G20" s="22">
        <f t="shared" si="2"/>
        <v>1</v>
      </c>
      <c r="H20" s="123" t="s">
        <v>20</v>
      </c>
      <c r="I20" s="126"/>
      <c r="J20" s="127"/>
      <c r="K20" s="31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107">
        <v>18.0</v>
      </c>
      <c r="B21" s="131">
        <v>1014080.0</v>
      </c>
      <c r="C21" s="120" t="str">
        <f>vlookup(B21,'Crew Data'!C:G,5,0)</f>
        <v>Phalinsu Angsunakul</v>
      </c>
      <c r="D21" s="121" t="s">
        <v>378</v>
      </c>
      <c r="E21" s="107">
        <v>2.0</v>
      </c>
      <c r="F21" s="122">
        <f t="shared" si="1"/>
        <v>800</v>
      </c>
      <c r="G21" s="22">
        <f t="shared" si="2"/>
        <v>1</v>
      </c>
      <c r="H21" s="123" t="s">
        <v>20</v>
      </c>
      <c r="I21" s="126"/>
      <c r="J21" s="127"/>
      <c r="K21" s="31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>
      <c r="A22" s="107">
        <v>19.0</v>
      </c>
      <c r="B22" s="131">
        <v>1011741.0</v>
      </c>
      <c r="C22" s="120" t="str">
        <f>vlookup(B22,'Crew Data'!C:G,5,0)</f>
        <v>Naphak Aussanon</v>
      </c>
      <c r="D22" s="121" t="s">
        <v>379</v>
      </c>
      <c r="E22" s="107">
        <v>2.0</v>
      </c>
      <c r="F22" s="122">
        <f t="shared" si="1"/>
        <v>800</v>
      </c>
      <c r="G22" s="22">
        <f t="shared" si="2"/>
        <v>1</v>
      </c>
      <c r="H22" s="123" t="s">
        <v>20</v>
      </c>
      <c r="I22" s="126"/>
      <c r="J22" s="127"/>
      <c r="K22" s="31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>
      <c r="A23" s="107">
        <v>20.0</v>
      </c>
      <c r="B23" s="131">
        <v>1003418.0</v>
      </c>
      <c r="C23" s="120" t="str">
        <f>vlookup(B23,'Crew Data'!C:G,5,0)</f>
        <v>Chiravitch Kittiphongsathaporn</v>
      </c>
      <c r="D23" s="121" t="s">
        <v>380</v>
      </c>
      <c r="E23" s="107">
        <v>2.0</v>
      </c>
      <c r="F23" s="122">
        <f t="shared" si="1"/>
        <v>800</v>
      </c>
      <c r="G23" s="22">
        <f t="shared" si="2"/>
        <v>1</v>
      </c>
      <c r="H23" s="123" t="s">
        <v>20</v>
      </c>
      <c r="I23" s="126"/>
      <c r="J23" s="127"/>
      <c r="K23" s="31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>
      <c r="A24" s="107">
        <v>21.0</v>
      </c>
      <c r="B24" s="131">
        <v>1009306.0</v>
      </c>
      <c r="C24" s="120" t="str">
        <f>vlookup(B24,'Crew Data'!C:G,5,0)</f>
        <v>Noppawan Yoosamran</v>
      </c>
      <c r="D24" s="121" t="s">
        <v>378</v>
      </c>
      <c r="E24" s="107">
        <v>2.0</v>
      </c>
      <c r="F24" s="122">
        <f t="shared" si="1"/>
        <v>800</v>
      </c>
      <c r="G24" s="22">
        <f t="shared" si="2"/>
        <v>1</v>
      </c>
      <c r="H24" s="123" t="s">
        <v>20</v>
      </c>
      <c r="I24" s="126"/>
      <c r="J24" s="127"/>
      <c r="K24" s="31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>
      <c r="A25" s="107">
        <v>22.0</v>
      </c>
      <c r="B25" s="131">
        <v>1012895.0</v>
      </c>
      <c r="C25" s="120" t="str">
        <f>vlookup(B25,'Crew Data'!C:G,5,0)</f>
        <v>Pannawach Kiatmethinpol</v>
      </c>
      <c r="D25" s="121" t="s">
        <v>381</v>
      </c>
      <c r="E25" s="107">
        <v>2.0</v>
      </c>
      <c r="F25" s="122">
        <f t="shared" si="1"/>
        <v>800</v>
      </c>
      <c r="G25" s="22">
        <f t="shared" si="2"/>
        <v>1</v>
      </c>
      <c r="H25" s="123" t="s">
        <v>20</v>
      </c>
      <c r="I25" s="126"/>
      <c r="J25" s="127"/>
      <c r="K25" s="31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>
      <c r="A26" s="107">
        <v>23.0</v>
      </c>
      <c r="B26" s="131">
        <v>1006324.0</v>
      </c>
      <c r="C26" s="120" t="str">
        <f>vlookup(B26,'Crew Data'!C:G,5,0)</f>
        <v>Pimpas Ruangtragul</v>
      </c>
      <c r="D26" s="121" t="s">
        <v>381</v>
      </c>
      <c r="E26" s="107">
        <v>2.0</v>
      </c>
      <c r="F26" s="122">
        <f t="shared" si="1"/>
        <v>800</v>
      </c>
      <c r="G26" s="22">
        <f t="shared" si="2"/>
        <v>1</v>
      </c>
      <c r="H26" s="123" t="s">
        <v>20</v>
      </c>
      <c r="I26" s="126"/>
      <c r="J26" s="127"/>
      <c r="K26" s="31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>
      <c r="A27" s="107">
        <v>24.0</v>
      </c>
      <c r="B27" s="131">
        <v>1004541.0</v>
      </c>
      <c r="C27" s="120" t="str">
        <f>vlookup(B27,'Crew Data'!C:G,5,0)</f>
        <v>Varaporn Rattanamahasalchai</v>
      </c>
      <c r="D27" s="121" t="s">
        <v>382</v>
      </c>
      <c r="E27" s="107">
        <v>2.0</v>
      </c>
      <c r="F27" s="122">
        <f t="shared" si="1"/>
        <v>800</v>
      </c>
      <c r="G27" s="22">
        <f t="shared" si="2"/>
        <v>1</v>
      </c>
      <c r="H27" s="123" t="s">
        <v>20</v>
      </c>
      <c r="I27" s="126"/>
      <c r="J27" s="127"/>
      <c r="K27" s="31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>
      <c r="A28" s="107">
        <v>25.0</v>
      </c>
      <c r="B28" s="131">
        <v>1026213.0</v>
      </c>
      <c r="C28" s="120" t="str">
        <f>vlookup(B28,'Crew Data'!C:G,5,0)</f>
        <v>Yossapon Pankham</v>
      </c>
      <c r="D28" s="121" t="s">
        <v>382</v>
      </c>
      <c r="E28" s="107">
        <v>2.0</v>
      </c>
      <c r="F28" s="122">
        <f t="shared" si="1"/>
        <v>800</v>
      </c>
      <c r="G28" s="22">
        <f t="shared" si="2"/>
        <v>1</v>
      </c>
      <c r="H28" s="123" t="s">
        <v>20</v>
      </c>
      <c r="I28" s="126"/>
      <c r="J28" s="127"/>
      <c r="K28" s="31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>
      <c r="A29" s="107">
        <v>26.0</v>
      </c>
      <c r="B29" s="131">
        <v>1019518.0</v>
      </c>
      <c r="C29" s="120" t="str">
        <f>vlookup(B29,'Crew Data'!C:G,5,0)</f>
        <v>Naratip Dumrongthai</v>
      </c>
      <c r="D29" s="121" t="s">
        <v>382</v>
      </c>
      <c r="E29" s="107">
        <v>2.0</v>
      </c>
      <c r="F29" s="122">
        <f t="shared" si="1"/>
        <v>800</v>
      </c>
      <c r="G29" s="22">
        <f t="shared" si="2"/>
        <v>1</v>
      </c>
      <c r="H29" s="123" t="s">
        <v>20</v>
      </c>
      <c r="I29" s="126"/>
      <c r="J29" s="127"/>
      <c r="K29" s="31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>
      <c r="A30" s="107">
        <v>27.0</v>
      </c>
      <c r="B30" s="131">
        <v>1005301.0</v>
      </c>
      <c r="C30" s="120" t="str">
        <f>vlookup(B30,'Crew Data'!C:G,5,0)</f>
        <v>Pimpaporn Sittitanggoon</v>
      </c>
      <c r="D30" s="121" t="s">
        <v>381</v>
      </c>
      <c r="E30" s="107">
        <v>2.0</v>
      </c>
      <c r="F30" s="122">
        <f t="shared" si="1"/>
        <v>800</v>
      </c>
      <c r="G30" s="22">
        <f t="shared" si="2"/>
        <v>1</v>
      </c>
      <c r="H30" s="123" t="s">
        <v>20</v>
      </c>
      <c r="I30" s="126"/>
      <c r="J30" s="127"/>
      <c r="K30" s="31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>
      <c r="A31" s="107">
        <v>28.0</v>
      </c>
      <c r="B31" s="133">
        <v>1006858.0</v>
      </c>
      <c r="C31" s="120" t="str">
        <f>vlookup(B31,'Crew Data'!C:G,5,0)</f>
        <v>Wachiraphong Wangphisit</v>
      </c>
      <c r="D31" s="121" t="s">
        <v>383</v>
      </c>
      <c r="E31" s="107">
        <v>2.0</v>
      </c>
      <c r="F31" s="122">
        <f t="shared" si="1"/>
        <v>800</v>
      </c>
      <c r="G31" s="22">
        <f t="shared" si="2"/>
        <v>1</v>
      </c>
      <c r="H31" s="123" t="s">
        <v>20</v>
      </c>
      <c r="I31" s="126"/>
      <c r="J31" s="127"/>
      <c r="K31" s="31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>
      <c r="A32" s="107">
        <v>29.0</v>
      </c>
      <c r="B32" s="131">
        <v>1001301.0</v>
      </c>
      <c r="C32" s="120" t="str">
        <f>vlookup(B32,'Crew Data'!C:G,5,0)</f>
        <v>Burin Buarapha</v>
      </c>
      <c r="D32" s="121" t="s">
        <v>382</v>
      </c>
      <c r="E32" s="107">
        <v>2.0</v>
      </c>
      <c r="F32" s="122">
        <f t="shared" si="1"/>
        <v>800</v>
      </c>
      <c r="G32" s="22">
        <f t="shared" si="2"/>
        <v>1</v>
      </c>
      <c r="H32" s="123" t="s">
        <v>20</v>
      </c>
      <c r="I32" s="126"/>
      <c r="J32" s="127"/>
      <c r="K32" s="31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>
      <c r="A33" s="107">
        <v>30.0</v>
      </c>
      <c r="B33" s="134">
        <v>1005906.0</v>
      </c>
      <c r="C33" s="120" t="str">
        <f>vlookup(B33,'Crew Data'!C:G,5,0)</f>
        <v>Supatra Pokkhabut</v>
      </c>
      <c r="D33" s="121" t="s">
        <v>384</v>
      </c>
      <c r="E33" s="107">
        <v>2.0</v>
      </c>
      <c r="F33" s="122">
        <f t="shared" si="1"/>
        <v>800</v>
      </c>
      <c r="G33" s="22">
        <f t="shared" si="2"/>
        <v>1</v>
      </c>
      <c r="H33" s="123" t="s">
        <v>20</v>
      </c>
      <c r="I33" s="126"/>
      <c r="J33" s="127"/>
      <c r="K33" s="31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>
      <c r="A34" s="107">
        <v>31.0</v>
      </c>
      <c r="B34" s="134">
        <v>1039130.0</v>
      </c>
      <c r="C34" s="120" t="str">
        <f>vlookup(B34,'Crew Data'!C:G,5,0)</f>
        <v>Narisara Phumsawarng</v>
      </c>
      <c r="D34" s="121" t="s">
        <v>385</v>
      </c>
      <c r="E34" s="107">
        <v>4.0</v>
      </c>
      <c r="F34" s="122">
        <f t="shared" si="1"/>
        <v>1600</v>
      </c>
      <c r="G34" s="22">
        <f t="shared" si="2"/>
        <v>1</v>
      </c>
      <c r="H34" s="123" t="s">
        <v>20</v>
      </c>
      <c r="I34" s="126"/>
      <c r="J34" s="127"/>
      <c r="K34" s="31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>
      <c r="A35" s="107">
        <v>32.0</v>
      </c>
      <c r="B35" s="131">
        <v>1001286.0</v>
      </c>
      <c r="C35" s="120" t="str">
        <f>vlookup(B35,'Crew Data'!C:G,5,0)</f>
        <v>Sirinart Auypornbusyakom</v>
      </c>
      <c r="D35" s="121" t="s">
        <v>386</v>
      </c>
      <c r="E35" s="107">
        <v>2.0</v>
      </c>
      <c r="F35" s="122">
        <f t="shared" si="1"/>
        <v>800</v>
      </c>
      <c r="G35" s="22">
        <f t="shared" si="2"/>
        <v>1</v>
      </c>
      <c r="H35" s="123" t="s">
        <v>20</v>
      </c>
      <c r="I35" s="126"/>
      <c r="J35" s="127"/>
      <c r="K35" s="31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>
      <c r="A36" s="107">
        <v>33.0</v>
      </c>
      <c r="B36" s="131">
        <v>1009811.0</v>
      </c>
      <c r="C36" s="120" t="str">
        <f>vlookup(B36,'Crew Data'!C:G,5,0)</f>
        <v>Natchanan Pena Viegas</v>
      </c>
      <c r="D36" s="121" t="s">
        <v>387</v>
      </c>
      <c r="E36" s="107">
        <v>2.0</v>
      </c>
      <c r="F36" s="122">
        <f t="shared" si="1"/>
        <v>800</v>
      </c>
      <c r="G36" s="22">
        <f t="shared" si="2"/>
        <v>1</v>
      </c>
      <c r="H36" s="123" t="s">
        <v>20</v>
      </c>
      <c r="I36" s="126"/>
      <c r="J36" s="127"/>
      <c r="K36" s="31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>
      <c r="A37" s="107">
        <v>34.0</v>
      </c>
      <c r="B37" s="131">
        <v>1002207.0</v>
      </c>
      <c r="C37" s="120" t="str">
        <f>vlookup(B37,'Crew Data'!C:G,5,0)</f>
        <v>Phakaon Chaiwong</v>
      </c>
      <c r="D37" s="121" t="s">
        <v>388</v>
      </c>
      <c r="E37" s="107">
        <v>4.0</v>
      </c>
      <c r="F37" s="122">
        <f t="shared" si="1"/>
        <v>1600</v>
      </c>
      <c r="G37" s="22">
        <f t="shared" si="2"/>
        <v>1</v>
      </c>
      <c r="H37" s="123" t="s">
        <v>20</v>
      </c>
      <c r="I37" s="126"/>
      <c r="J37" s="127"/>
      <c r="K37" s="31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>
      <c r="A38" s="107">
        <v>35.0</v>
      </c>
      <c r="B38" s="131">
        <v>1019307.0</v>
      </c>
      <c r="C38" s="120" t="str">
        <f>vlookup(B38,'Crew Data'!C:G,5,0)</f>
        <v>Thanyathorn Krisanayanyong</v>
      </c>
      <c r="D38" s="121" t="s">
        <v>389</v>
      </c>
      <c r="E38" s="107">
        <v>2.0</v>
      </c>
      <c r="F38" s="122">
        <f t="shared" si="1"/>
        <v>800</v>
      </c>
      <c r="G38" s="22">
        <f t="shared" si="2"/>
        <v>1</v>
      </c>
      <c r="H38" s="123" t="s">
        <v>20</v>
      </c>
      <c r="I38" s="126"/>
      <c r="J38" s="127"/>
      <c r="K38" s="31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>
      <c r="A39" s="107">
        <v>36.0</v>
      </c>
      <c r="B39" s="131">
        <v>1010731.0</v>
      </c>
      <c r="C39" s="120" t="str">
        <f>vlookup(B39,'Crew Data'!C:G,5,0)</f>
        <v>Samatikan Boonket</v>
      </c>
      <c r="D39" s="121" t="s">
        <v>384</v>
      </c>
      <c r="E39" s="107">
        <v>2.0</v>
      </c>
      <c r="F39" s="122">
        <f t="shared" si="1"/>
        <v>800</v>
      </c>
      <c r="G39" s="22">
        <f t="shared" si="2"/>
        <v>1</v>
      </c>
      <c r="H39" s="123" t="s">
        <v>20</v>
      </c>
      <c r="I39" s="126"/>
      <c r="J39" s="127"/>
      <c r="K39" s="31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>
      <c r="A40" s="107">
        <v>37.0</v>
      </c>
      <c r="B40" s="131">
        <v>1012170.0</v>
      </c>
      <c r="C40" s="120" t="str">
        <f>vlookup(B40,'Crew Data'!C:G,5,0)</f>
        <v>Natchanapatch Sakunsmithikorn </v>
      </c>
      <c r="D40" s="121" t="s">
        <v>381</v>
      </c>
      <c r="E40" s="107">
        <v>2.0</v>
      </c>
      <c r="F40" s="122">
        <f t="shared" si="1"/>
        <v>800</v>
      </c>
      <c r="G40" s="22">
        <f t="shared" si="2"/>
        <v>1</v>
      </c>
      <c r="H40" s="123" t="s">
        <v>20</v>
      </c>
      <c r="I40" s="126"/>
      <c r="J40" s="127"/>
      <c r="K40" s="31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>
      <c r="A41" s="107">
        <v>38.0</v>
      </c>
      <c r="B41" s="131">
        <v>1004531.0</v>
      </c>
      <c r="C41" s="120" t="str">
        <f>vlookup(B41,'Crew Data'!C:G,5,0)</f>
        <v>Nattakan Kanokpantarakorn </v>
      </c>
      <c r="D41" s="121" t="s">
        <v>390</v>
      </c>
      <c r="E41" s="107">
        <v>2.0</v>
      </c>
      <c r="F41" s="122">
        <f t="shared" si="1"/>
        <v>800</v>
      </c>
      <c r="G41" s="22">
        <f t="shared" si="2"/>
        <v>1</v>
      </c>
      <c r="H41" s="123" t="s">
        <v>20</v>
      </c>
      <c r="I41" s="126"/>
      <c r="J41" s="127"/>
      <c r="K41" s="31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>
      <c r="A42" s="107">
        <v>39.0</v>
      </c>
      <c r="B42" s="131">
        <v>1008211.0</v>
      </c>
      <c r="C42" s="120" t="str">
        <f>vlookup(B42,'Crew Data'!C:G,5,0)</f>
        <v>Jinnanat Buree</v>
      </c>
      <c r="D42" s="121" t="s">
        <v>375</v>
      </c>
      <c r="E42" s="107">
        <v>2.0</v>
      </c>
      <c r="F42" s="122">
        <f t="shared" si="1"/>
        <v>800</v>
      </c>
      <c r="G42" s="22">
        <f t="shared" si="2"/>
        <v>1</v>
      </c>
      <c r="H42" s="123" t="s">
        <v>20</v>
      </c>
      <c r="I42" s="126"/>
      <c r="J42" s="127"/>
      <c r="K42" s="31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>
      <c r="A43" s="107">
        <v>40.0</v>
      </c>
      <c r="B43" s="131">
        <v>1004213.0</v>
      </c>
      <c r="C43" s="120" t="str">
        <f>vlookup(B43,'Crew Data'!C:G,5,0)</f>
        <v>Worapada Suetrongmunkong</v>
      </c>
      <c r="D43" s="121" t="s">
        <v>391</v>
      </c>
      <c r="E43" s="107">
        <v>4.0</v>
      </c>
      <c r="F43" s="122">
        <f t="shared" si="1"/>
        <v>1600</v>
      </c>
      <c r="G43" s="22">
        <f t="shared" si="2"/>
        <v>1</v>
      </c>
      <c r="H43" s="123" t="s">
        <v>20</v>
      </c>
      <c r="I43" s="126"/>
      <c r="J43" s="127"/>
      <c r="K43" s="31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>
      <c r="A44" s="107">
        <v>41.0</v>
      </c>
      <c r="B44" s="131">
        <v>1004526.0</v>
      </c>
      <c r="C44" s="120" t="str">
        <f>vlookup(B44,'Crew Data'!C:G,5,0)</f>
        <v>Karita Champaphan</v>
      </c>
      <c r="D44" s="121" t="s">
        <v>392</v>
      </c>
      <c r="E44" s="107">
        <v>2.0</v>
      </c>
      <c r="F44" s="122">
        <f t="shared" si="1"/>
        <v>800</v>
      </c>
      <c r="G44" s="22">
        <f t="shared" si="2"/>
        <v>1</v>
      </c>
      <c r="H44" s="123" t="s">
        <v>20</v>
      </c>
      <c r="I44" s="126"/>
      <c r="J44" s="127"/>
      <c r="K44" s="31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>
      <c r="A45" s="107">
        <v>42.0</v>
      </c>
      <c r="B45" s="131">
        <v>1012904.0</v>
      </c>
      <c r="C45" s="120" t="str">
        <f>vlookup(B45,'Crew Data'!C:G,5,0)</f>
        <v>Suteerapong Sawangwong</v>
      </c>
      <c r="D45" s="121" t="s">
        <v>393</v>
      </c>
      <c r="E45" s="107">
        <v>2.0</v>
      </c>
      <c r="F45" s="122">
        <f t="shared" si="1"/>
        <v>800</v>
      </c>
      <c r="G45" s="22">
        <f t="shared" si="2"/>
        <v>1</v>
      </c>
      <c r="H45" s="123" t="s">
        <v>20</v>
      </c>
      <c r="I45" s="126"/>
      <c r="J45" s="127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>
      <c r="A46" s="107">
        <v>43.0</v>
      </c>
      <c r="B46" s="131">
        <v>1005964.0</v>
      </c>
      <c r="C46" s="120" t="str">
        <f>vlookup(B46,'Crew Data'!C:G,5,0)</f>
        <v>Sawitri Siribunrueangwong</v>
      </c>
      <c r="D46" s="121" t="s">
        <v>392</v>
      </c>
      <c r="E46" s="107">
        <v>2.0</v>
      </c>
      <c r="F46" s="122">
        <f t="shared" si="1"/>
        <v>800</v>
      </c>
      <c r="G46" s="22">
        <f t="shared" si="2"/>
        <v>1</v>
      </c>
      <c r="H46" s="123" t="s">
        <v>20</v>
      </c>
      <c r="I46" s="126"/>
      <c r="J46" s="127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>
      <c r="A47" s="107">
        <v>44.0</v>
      </c>
      <c r="B47" s="131">
        <v>1012906.0</v>
      </c>
      <c r="C47" s="120" t="str">
        <f>vlookup(B47,'Crew Data'!C:G,5,0)</f>
        <v>Thanametth Wachiradatsathien</v>
      </c>
      <c r="D47" s="121" t="s">
        <v>393</v>
      </c>
      <c r="E47" s="107">
        <v>2.0</v>
      </c>
      <c r="F47" s="122">
        <f t="shared" si="1"/>
        <v>800</v>
      </c>
      <c r="G47" s="22">
        <f t="shared" si="2"/>
        <v>1</v>
      </c>
      <c r="H47" s="123" t="s">
        <v>20</v>
      </c>
      <c r="I47" s="126"/>
      <c r="J47" s="127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>
      <c r="A48" s="107">
        <v>45.0</v>
      </c>
      <c r="B48" s="131">
        <v>1007266.0</v>
      </c>
      <c r="C48" s="120" t="str">
        <f>vlookup(B48,'Crew Data'!C:G,5,0)</f>
        <v>Nattayanee Junnont</v>
      </c>
      <c r="D48" s="121" t="s">
        <v>380</v>
      </c>
      <c r="E48" s="107">
        <v>2.0</v>
      </c>
      <c r="F48" s="122">
        <f t="shared" si="1"/>
        <v>800</v>
      </c>
      <c r="G48" s="22">
        <f t="shared" si="2"/>
        <v>1</v>
      </c>
      <c r="H48" s="123" t="s">
        <v>20</v>
      </c>
      <c r="I48" s="126"/>
      <c r="J48" s="127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>
      <c r="A49" s="107">
        <v>46.0</v>
      </c>
      <c r="B49" s="131">
        <v>1004197.0</v>
      </c>
      <c r="C49" s="120" t="str">
        <f>vlookup(B49,'Crew Data'!C:G,5,0)</f>
        <v>Kultharin Kijbamrunglab</v>
      </c>
      <c r="D49" s="121" t="s">
        <v>384</v>
      </c>
      <c r="E49" s="107">
        <v>2.0</v>
      </c>
      <c r="F49" s="122">
        <f t="shared" si="1"/>
        <v>800</v>
      </c>
      <c r="G49" s="22">
        <f t="shared" si="2"/>
        <v>1</v>
      </c>
      <c r="H49" s="123" t="s">
        <v>20</v>
      </c>
      <c r="I49" s="126"/>
      <c r="J49" s="127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>
      <c r="A50" s="107">
        <v>47.0</v>
      </c>
      <c r="B50" s="131">
        <v>1007181.0</v>
      </c>
      <c r="C50" s="120" t="str">
        <f>vlookup(B50,'Crew Data'!C:G,5,0)</f>
        <v>Warisara Sutta</v>
      </c>
      <c r="D50" s="121" t="s">
        <v>394</v>
      </c>
      <c r="E50" s="107">
        <v>4.0</v>
      </c>
      <c r="F50" s="122">
        <f t="shared" si="1"/>
        <v>1600</v>
      </c>
      <c r="G50" s="22">
        <f t="shared" si="2"/>
        <v>1</v>
      </c>
      <c r="H50" s="123" t="s">
        <v>20</v>
      </c>
      <c r="I50" s="126"/>
      <c r="J50" s="127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>
      <c r="A51" s="107">
        <v>48.0</v>
      </c>
      <c r="B51" s="131">
        <v>1004016.0</v>
      </c>
      <c r="C51" s="120" t="str">
        <f>vlookup(B51,'Crew Data'!C:G,5,0)</f>
        <v>Khamkhun Thapnoo</v>
      </c>
      <c r="D51" s="121" t="s">
        <v>395</v>
      </c>
      <c r="E51" s="107">
        <v>30.0</v>
      </c>
      <c r="F51" s="122">
        <f t="shared" si="1"/>
        <v>12000</v>
      </c>
      <c r="G51" s="22">
        <f t="shared" si="2"/>
        <v>1</v>
      </c>
      <c r="H51" s="123" t="s">
        <v>20</v>
      </c>
      <c r="I51" s="126"/>
      <c r="J51" s="127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>
      <c r="A52" s="107">
        <v>49.0</v>
      </c>
      <c r="B52" s="131">
        <v>1004298.0</v>
      </c>
      <c r="C52" s="120" t="str">
        <f>vlookup(B52,'Crew Data'!C:G,5,0)</f>
        <v>Teerapat Kasemphongsakorn</v>
      </c>
      <c r="D52" s="121" t="s">
        <v>396</v>
      </c>
      <c r="E52" s="107">
        <v>2.0</v>
      </c>
      <c r="F52" s="122">
        <f t="shared" si="1"/>
        <v>800</v>
      </c>
      <c r="G52" s="22">
        <f t="shared" si="2"/>
        <v>1</v>
      </c>
      <c r="H52" s="123" t="s">
        <v>20</v>
      </c>
      <c r="I52" s="126"/>
      <c r="J52" s="127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>
      <c r="A53" s="107">
        <v>50.0</v>
      </c>
      <c r="B53" s="131">
        <v>1005972.0</v>
      </c>
      <c r="C53" s="120" t="str">
        <f>vlookup(B53,'Crew Data'!C:G,5,0)</f>
        <v>Wuttipon Onpuns</v>
      </c>
      <c r="D53" s="121" t="s">
        <v>395</v>
      </c>
      <c r="E53" s="107">
        <v>30.0</v>
      </c>
      <c r="F53" s="122">
        <f t="shared" si="1"/>
        <v>12000</v>
      </c>
      <c r="G53" s="22">
        <f t="shared" si="2"/>
        <v>1</v>
      </c>
      <c r="H53" s="123" t="s">
        <v>20</v>
      </c>
      <c r="I53" s="126"/>
      <c r="J53" s="127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>
      <c r="A54" s="107">
        <v>51.0</v>
      </c>
      <c r="B54" s="131">
        <v>1013186.0</v>
      </c>
      <c r="C54" s="120" t="str">
        <f>vlookup(B54,'Crew Data'!C:G,5,0)</f>
        <v>Pornthiwa Promthong</v>
      </c>
      <c r="D54" s="121" t="s">
        <v>397</v>
      </c>
      <c r="E54" s="107">
        <v>24.0</v>
      </c>
      <c r="F54" s="122">
        <f t="shared" si="1"/>
        <v>9600</v>
      </c>
      <c r="G54" s="22">
        <f t="shared" si="2"/>
        <v>1</v>
      </c>
      <c r="H54" s="123" t="s">
        <v>20</v>
      </c>
      <c r="I54" s="126"/>
      <c r="J54" s="127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>
      <c r="A55" s="107">
        <v>52.0</v>
      </c>
      <c r="B55" s="131">
        <v>1011308.0</v>
      </c>
      <c r="C55" s="120" t="str">
        <f>vlookup(B55,'Crew Data'!C:G,5,0)</f>
        <v>Narisa Jotikasathira</v>
      </c>
      <c r="D55" s="121" t="s">
        <v>395</v>
      </c>
      <c r="E55" s="107">
        <v>30.0</v>
      </c>
      <c r="F55" s="122">
        <f t="shared" si="1"/>
        <v>12000</v>
      </c>
      <c r="G55" s="22">
        <f t="shared" si="2"/>
        <v>1</v>
      </c>
      <c r="H55" s="123" t="s">
        <v>20</v>
      </c>
      <c r="I55" s="126"/>
      <c r="J55" s="127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>
      <c r="A56" s="107">
        <v>53.0</v>
      </c>
      <c r="B56" s="131">
        <v>1012362.0</v>
      </c>
      <c r="C56" s="120" t="str">
        <f>vlookup(B56,'Crew Data'!C:G,5,0)</f>
        <v>Patcharagorn Chankhong</v>
      </c>
      <c r="D56" s="121" t="s">
        <v>398</v>
      </c>
      <c r="E56" s="107">
        <v>27.0</v>
      </c>
      <c r="F56" s="122">
        <f t="shared" si="1"/>
        <v>10800</v>
      </c>
      <c r="G56" s="22">
        <f t="shared" si="2"/>
        <v>1</v>
      </c>
      <c r="H56" s="123" t="s">
        <v>20</v>
      </c>
      <c r="I56" s="126"/>
      <c r="J56" s="127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>
      <c r="A57" s="107">
        <v>54.0</v>
      </c>
      <c r="B57" s="131">
        <v>1040341.0</v>
      </c>
      <c r="C57" s="120" t="str">
        <f>vlookup(B57,'Crew Data'!C:G,5,0)</f>
        <v>Adipa Nilachart</v>
      </c>
      <c r="D57" s="121" t="s">
        <v>380</v>
      </c>
      <c r="E57" s="107">
        <v>2.0</v>
      </c>
      <c r="F57" s="122">
        <f t="shared" si="1"/>
        <v>800</v>
      </c>
      <c r="G57" s="22">
        <f t="shared" si="2"/>
        <v>1</v>
      </c>
      <c r="H57" s="123" t="s">
        <v>20</v>
      </c>
      <c r="I57" s="126"/>
      <c r="J57" s="127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>
      <c r="A58" s="107">
        <v>55.0</v>
      </c>
      <c r="B58" s="131">
        <v>1018532.0</v>
      </c>
      <c r="C58" s="120" t="str">
        <f>vlookup(B58,'Crew Data'!C:G,5,0)</f>
        <v>Kantachet Boonserm</v>
      </c>
      <c r="D58" s="121" t="s">
        <v>399</v>
      </c>
      <c r="E58" s="107">
        <v>25.0</v>
      </c>
      <c r="F58" s="122">
        <f t="shared" si="1"/>
        <v>10000</v>
      </c>
      <c r="G58" s="22">
        <f t="shared" si="2"/>
        <v>1</v>
      </c>
      <c r="H58" s="123" t="s">
        <v>20</v>
      </c>
      <c r="I58" s="126"/>
      <c r="J58" s="127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>
      <c r="A59" s="107">
        <v>56.0</v>
      </c>
      <c r="B59" s="131">
        <v>1014359.0</v>
      </c>
      <c r="C59" s="120" t="str">
        <f>vlookup(B59,'Crew Data'!C:G,5,0)</f>
        <v>Rattiporn Thongarch</v>
      </c>
      <c r="D59" s="121" t="s">
        <v>392</v>
      </c>
      <c r="E59" s="107">
        <v>2.0</v>
      </c>
      <c r="F59" s="122">
        <f t="shared" si="1"/>
        <v>800</v>
      </c>
      <c r="G59" s="22">
        <f t="shared" si="2"/>
        <v>1</v>
      </c>
      <c r="H59" s="123" t="s">
        <v>20</v>
      </c>
      <c r="I59" s="126"/>
      <c r="J59" s="127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>
      <c r="A60" s="107">
        <v>57.0</v>
      </c>
      <c r="B60" s="131">
        <v>1014666.0</v>
      </c>
      <c r="C60" s="120" t="str">
        <f>vlookup(B60,'Crew Data'!C:G,5,0)</f>
        <v>Kanatsanan Wichitthararak</v>
      </c>
      <c r="D60" s="121" t="s">
        <v>400</v>
      </c>
      <c r="E60" s="107">
        <v>2.0</v>
      </c>
      <c r="F60" s="122">
        <f t="shared" si="1"/>
        <v>800</v>
      </c>
      <c r="G60" s="22">
        <f t="shared" si="2"/>
        <v>1</v>
      </c>
      <c r="H60" s="123" t="s">
        <v>20</v>
      </c>
      <c r="I60" s="126"/>
      <c r="J60" s="127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>
      <c r="A61" s="107">
        <v>58.0</v>
      </c>
      <c r="B61" s="131">
        <v>1005824.0</v>
      </c>
      <c r="C61" s="120" t="str">
        <f>vlookup(B61,'Crew Data'!C:G,5,0)</f>
        <v>Panchita Swangarom</v>
      </c>
      <c r="D61" s="121" t="s">
        <v>401</v>
      </c>
      <c r="E61" s="107">
        <v>2.0</v>
      </c>
      <c r="F61" s="122">
        <f t="shared" si="1"/>
        <v>800</v>
      </c>
      <c r="G61" s="22">
        <f t="shared" si="2"/>
        <v>1</v>
      </c>
      <c r="H61" s="123" t="s">
        <v>20</v>
      </c>
      <c r="I61" s="126"/>
      <c r="J61" s="127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>
      <c r="A62" s="107">
        <v>59.0</v>
      </c>
      <c r="B62" s="131">
        <v>1012902.0</v>
      </c>
      <c r="C62" s="120" t="str">
        <f>vlookup(B62,'Crew Data'!C:G,5,0)</f>
        <v>Saowarat Sowa</v>
      </c>
      <c r="D62" s="125">
        <v>45777.0</v>
      </c>
      <c r="E62" s="107">
        <v>1.0</v>
      </c>
      <c r="F62" s="122">
        <f t="shared" si="1"/>
        <v>400</v>
      </c>
      <c r="G62" s="22">
        <f t="shared" si="2"/>
        <v>1</v>
      </c>
      <c r="H62" s="123" t="s">
        <v>20</v>
      </c>
      <c r="I62" s="126"/>
      <c r="J62" s="127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>
      <c r="A63" s="107">
        <v>60.0</v>
      </c>
      <c r="B63" s="131">
        <v>1006995.0</v>
      </c>
      <c r="C63" s="120" t="str">
        <f>vlookup(B63,'Crew Data'!C:G,5,0)</f>
        <v>Kornrumpha Wongsing</v>
      </c>
      <c r="D63" s="121" t="s">
        <v>393</v>
      </c>
      <c r="E63" s="107">
        <v>2.0</v>
      </c>
      <c r="F63" s="122">
        <f t="shared" si="1"/>
        <v>800</v>
      </c>
      <c r="G63" s="22">
        <f t="shared" si="2"/>
        <v>1</v>
      </c>
      <c r="H63" s="123" t="s">
        <v>20</v>
      </c>
      <c r="I63" s="126"/>
      <c r="J63" s="127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>
      <c r="A64" s="107">
        <v>61.0</v>
      </c>
      <c r="B64" s="131">
        <v>1009001.0</v>
      </c>
      <c r="C64" s="120" t="str">
        <f>vlookup(B64,'Crew Data'!C:G,5,0)</f>
        <v>Suphachok Pannakitchakul</v>
      </c>
      <c r="D64" s="121" t="s">
        <v>395</v>
      </c>
      <c r="E64" s="107">
        <v>30.0</v>
      </c>
      <c r="F64" s="122">
        <f t="shared" si="1"/>
        <v>12000</v>
      </c>
      <c r="G64" s="22">
        <f t="shared" si="2"/>
        <v>1</v>
      </c>
      <c r="H64" s="123" t="s">
        <v>20</v>
      </c>
      <c r="I64" s="126"/>
      <c r="J64" s="130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>
      <c r="A65" s="107">
        <v>62.0</v>
      </c>
      <c r="B65" s="131">
        <v>1025144.0</v>
      </c>
      <c r="C65" s="120" t="str">
        <f>vlookup(B65,'Crew Data'!C:G,5,0)</f>
        <v>Maythawee Krabuansri</v>
      </c>
      <c r="D65" s="121" t="s">
        <v>376</v>
      </c>
      <c r="E65" s="107">
        <v>2.0</v>
      </c>
      <c r="F65" s="122">
        <f t="shared" si="1"/>
        <v>800</v>
      </c>
      <c r="G65" s="22">
        <f t="shared" si="2"/>
        <v>1</v>
      </c>
      <c r="H65" s="123" t="s">
        <v>20</v>
      </c>
      <c r="I65" s="126"/>
      <c r="J65" s="130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>
      <c r="A66" s="107">
        <v>63.0</v>
      </c>
      <c r="B66" s="131">
        <v>1002909.0</v>
      </c>
      <c r="C66" s="120" t="str">
        <f>vlookup(B66,'Crew Data'!C:G,5,0)</f>
        <v>Panodpol Yensuong</v>
      </c>
      <c r="D66" s="121" t="s">
        <v>401</v>
      </c>
      <c r="E66" s="107">
        <v>2.0</v>
      </c>
      <c r="F66" s="122">
        <f t="shared" si="1"/>
        <v>800</v>
      </c>
      <c r="G66" s="22">
        <f t="shared" si="2"/>
        <v>1</v>
      </c>
      <c r="H66" s="123" t="s">
        <v>20</v>
      </c>
      <c r="I66" s="126"/>
      <c r="J66" s="130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>
      <c r="A67" s="107">
        <v>64.0</v>
      </c>
      <c r="B67" s="131">
        <v>1040354.0</v>
      </c>
      <c r="C67" s="120" t="str">
        <f>vlookup(B67,'Crew Data'!C:G,5,0)</f>
        <v>#N/A</v>
      </c>
      <c r="D67" s="121" t="s">
        <v>386</v>
      </c>
      <c r="E67" s="107">
        <v>2.0</v>
      </c>
      <c r="F67" s="122">
        <f t="shared" si="1"/>
        <v>800</v>
      </c>
      <c r="G67" s="22">
        <f t="shared" si="2"/>
        <v>1</v>
      </c>
      <c r="H67" s="123" t="s">
        <v>20</v>
      </c>
      <c r="I67" s="126"/>
      <c r="J67" s="130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>
      <c r="A68" s="107">
        <v>65.0</v>
      </c>
      <c r="B68" s="131">
        <v>1006844.0</v>
      </c>
      <c r="C68" s="120" t="str">
        <f>vlookup(B68,'Crew Data'!C:G,5,0)</f>
        <v>Rada Nilyam</v>
      </c>
      <c r="D68" s="121" t="s">
        <v>383</v>
      </c>
      <c r="E68" s="107">
        <v>2.0</v>
      </c>
      <c r="F68" s="122">
        <f t="shared" si="1"/>
        <v>800</v>
      </c>
      <c r="G68" s="22">
        <f t="shared" si="2"/>
        <v>1</v>
      </c>
      <c r="H68" s="123" t="s">
        <v>20</v>
      </c>
      <c r="I68" s="126"/>
      <c r="J68" s="130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>
      <c r="A69" s="107">
        <v>66.0</v>
      </c>
      <c r="B69" s="129">
        <v>1012369.0</v>
      </c>
      <c r="C69" s="120" t="str">
        <f>vlookup(B69,'Crew Data'!C:G,5,0)</f>
        <v>Savitree Sukprakop</v>
      </c>
      <c r="D69" s="121" t="s">
        <v>383</v>
      </c>
      <c r="E69" s="107">
        <v>2.0</v>
      </c>
      <c r="F69" s="122">
        <f t="shared" si="1"/>
        <v>800</v>
      </c>
      <c r="G69" s="22">
        <f t="shared" si="2"/>
        <v>1</v>
      </c>
      <c r="H69" s="123" t="s">
        <v>20</v>
      </c>
      <c r="I69" s="126"/>
      <c r="J69" s="130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>
      <c r="A70" s="107">
        <v>67.0</v>
      </c>
      <c r="B70" s="131">
        <v>1044217.0</v>
      </c>
      <c r="C70" s="120" t="str">
        <f>vlookup(B70,'Crew Data'!C:G,5,0)</f>
        <v>Tanayaporn Sombatboriboon</v>
      </c>
      <c r="D70" s="125">
        <v>45777.0</v>
      </c>
      <c r="E70" s="107">
        <v>1.0</v>
      </c>
      <c r="F70" s="122">
        <f t="shared" si="1"/>
        <v>400</v>
      </c>
      <c r="G70" s="22">
        <f t="shared" si="2"/>
        <v>1</v>
      </c>
      <c r="H70" s="123" t="s">
        <v>20</v>
      </c>
      <c r="I70" s="126"/>
      <c r="J70" s="130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>
      <c r="A71" s="107"/>
      <c r="B71" s="131"/>
      <c r="C71" s="120"/>
      <c r="D71" s="125"/>
      <c r="E71" s="135" t="s">
        <v>402</v>
      </c>
      <c r="F71" s="136">
        <f>sum(F4:F70)</f>
        <v>150800</v>
      </c>
      <c r="G71" s="22"/>
      <c r="H71" s="123"/>
      <c r="I71" s="126"/>
      <c r="J71" s="130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>
      <c r="A72" s="107"/>
      <c r="B72" s="131"/>
      <c r="C72" s="120"/>
      <c r="D72" s="125"/>
      <c r="E72" s="107"/>
      <c r="F72" s="122"/>
      <c r="G72" s="22"/>
      <c r="H72" s="123"/>
      <c r="I72" s="126"/>
      <c r="J72" s="130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>
      <c r="A73" s="107"/>
      <c r="B73" s="131"/>
      <c r="C73" s="120"/>
      <c r="D73" s="125"/>
      <c r="E73" s="107"/>
      <c r="F73" s="122"/>
      <c r="G73" s="22"/>
      <c r="H73" s="123"/>
      <c r="I73" s="126"/>
      <c r="J73" s="130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>
      <c r="A74" s="107"/>
      <c r="B74" s="131"/>
      <c r="C74" s="120"/>
      <c r="D74" s="125"/>
      <c r="E74" s="107"/>
      <c r="F74" s="122"/>
      <c r="G74" s="22"/>
      <c r="H74" s="123"/>
      <c r="I74" s="126"/>
      <c r="J74" s="130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>
      <c r="A75" s="107"/>
      <c r="B75" s="131"/>
      <c r="C75" s="120"/>
      <c r="D75" s="125"/>
      <c r="E75" s="107"/>
      <c r="F75" s="122"/>
      <c r="G75" s="22"/>
      <c r="H75" s="123"/>
      <c r="I75" s="126"/>
      <c r="J75" s="130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>
      <c r="A76" s="107"/>
      <c r="B76" s="131"/>
      <c r="C76" s="120"/>
      <c r="D76" s="125"/>
      <c r="E76" s="107"/>
      <c r="F76" s="122"/>
      <c r="G76" s="22"/>
      <c r="H76" s="123"/>
      <c r="I76" s="126"/>
      <c r="J76" s="130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>
      <c r="A77" s="107"/>
      <c r="B77" s="131"/>
      <c r="C77" s="120"/>
      <c r="D77" s="125"/>
      <c r="E77" s="107"/>
      <c r="F77" s="122"/>
      <c r="G77" s="22"/>
      <c r="H77" s="123"/>
      <c r="I77" s="126"/>
      <c r="J77" s="130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>
      <c r="A78" s="107"/>
      <c r="B78" s="131"/>
      <c r="C78" s="120"/>
      <c r="D78" s="125"/>
      <c r="E78" s="107"/>
      <c r="F78" s="122"/>
      <c r="G78" s="22"/>
      <c r="H78" s="123"/>
      <c r="I78" s="126"/>
      <c r="J78" s="130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>
      <c r="A79" s="107"/>
      <c r="B79" s="131"/>
      <c r="C79" s="120"/>
      <c r="D79" s="125"/>
      <c r="E79" s="107"/>
      <c r="F79" s="122"/>
      <c r="G79" s="22"/>
      <c r="H79" s="123"/>
      <c r="I79" s="126"/>
      <c r="J79" s="130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>
      <c r="A80" s="107"/>
      <c r="B80" s="131"/>
      <c r="C80" s="120"/>
      <c r="D80" s="125"/>
      <c r="E80" s="107"/>
      <c r="F80" s="122"/>
      <c r="G80" s="22"/>
      <c r="H80" s="123"/>
      <c r="I80" s="126"/>
      <c r="J80" s="130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>
      <c r="A81" s="107"/>
      <c r="B81" s="131"/>
      <c r="C81" s="120"/>
      <c r="D81" s="125"/>
      <c r="E81" s="107"/>
      <c r="F81" s="122"/>
      <c r="G81" s="22"/>
      <c r="H81" s="123"/>
      <c r="I81" s="126"/>
      <c r="J81" s="130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>
      <c r="A82" s="107"/>
      <c r="B82" s="131"/>
      <c r="C82" s="120"/>
      <c r="D82" s="125"/>
      <c r="E82" s="107"/>
      <c r="F82" s="122"/>
      <c r="G82" s="22"/>
      <c r="H82" s="123"/>
      <c r="I82" s="126"/>
      <c r="J82" s="130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>
      <c r="A83" s="107"/>
      <c r="B83" s="131"/>
      <c r="C83" s="120"/>
      <c r="D83" s="125"/>
      <c r="E83" s="107"/>
      <c r="F83" s="122"/>
      <c r="G83" s="22"/>
      <c r="H83" s="123"/>
      <c r="I83" s="126"/>
      <c r="J83" s="130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>
      <c r="A84" s="107"/>
      <c r="B84" s="131"/>
      <c r="C84" s="120"/>
      <c r="D84" s="125"/>
      <c r="E84" s="107"/>
      <c r="F84" s="122"/>
      <c r="G84" s="22"/>
      <c r="H84" s="123"/>
      <c r="I84" s="126"/>
      <c r="J84" s="130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>
      <c r="A85" s="107"/>
      <c r="B85" s="131"/>
      <c r="C85" s="120"/>
      <c r="D85" s="125"/>
      <c r="E85" s="107"/>
      <c r="F85" s="122"/>
      <c r="G85" s="22"/>
      <c r="H85" s="123"/>
      <c r="I85" s="126"/>
      <c r="J85" s="130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>
      <c r="A86" s="107"/>
      <c r="B86" s="131"/>
      <c r="C86" s="120"/>
      <c r="D86" s="125"/>
      <c r="E86" s="107"/>
      <c r="F86" s="122"/>
      <c r="G86" s="22"/>
      <c r="H86" s="123"/>
      <c r="I86" s="126"/>
      <c r="J86" s="130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>
      <c r="A87" s="107"/>
      <c r="B87" s="131"/>
      <c r="C87" s="120"/>
      <c r="D87" s="125"/>
      <c r="E87" s="107"/>
      <c r="F87" s="122"/>
      <c r="G87" s="22"/>
      <c r="H87" s="123"/>
      <c r="I87" s="126"/>
      <c r="J87" s="130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>
      <c r="A88" s="107"/>
      <c r="B88" s="131"/>
      <c r="C88" s="120"/>
      <c r="D88" s="125"/>
      <c r="E88" s="107"/>
      <c r="F88" s="122"/>
      <c r="G88" s="22"/>
      <c r="H88" s="123"/>
      <c r="I88" s="126"/>
      <c r="J88" s="130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>
      <c r="A89" s="107"/>
      <c r="B89" s="131"/>
      <c r="C89" s="120"/>
      <c r="D89" s="125"/>
      <c r="E89" s="107"/>
      <c r="F89" s="122"/>
      <c r="G89" s="22"/>
      <c r="H89" s="123"/>
      <c r="I89" s="126"/>
      <c r="J89" s="130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>
      <c r="A90" s="107"/>
      <c r="B90" s="131"/>
      <c r="C90" s="120"/>
      <c r="D90" s="125"/>
      <c r="E90" s="107"/>
      <c r="F90" s="122"/>
      <c r="G90" s="22"/>
      <c r="H90" s="123"/>
      <c r="I90" s="126"/>
      <c r="J90" s="130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>
      <c r="A91" s="107"/>
      <c r="B91" s="131"/>
      <c r="C91" s="120"/>
      <c r="D91" s="125"/>
      <c r="E91" s="107"/>
      <c r="F91" s="122"/>
      <c r="G91" s="22"/>
      <c r="H91" s="123"/>
      <c r="I91" s="126"/>
      <c r="J91" s="130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>
      <c r="A92" s="107"/>
      <c r="B92" s="131"/>
      <c r="C92" s="120"/>
      <c r="D92" s="125"/>
      <c r="E92" s="107"/>
      <c r="F92" s="122"/>
      <c r="G92" s="22"/>
      <c r="H92" s="123"/>
      <c r="I92" s="126"/>
      <c r="J92" s="130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>
      <c r="A93" s="107"/>
      <c r="B93" s="131"/>
      <c r="C93" s="120"/>
      <c r="D93" s="125"/>
      <c r="E93" s="107"/>
      <c r="F93" s="122"/>
      <c r="G93" s="22"/>
      <c r="H93" s="123"/>
      <c r="I93" s="126"/>
      <c r="J93" s="130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>
      <c r="A94" s="107"/>
      <c r="B94" s="131"/>
      <c r="C94" s="120"/>
      <c r="D94" s="125"/>
      <c r="E94" s="107"/>
      <c r="F94" s="122"/>
      <c r="G94" s="22"/>
      <c r="H94" s="123"/>
      <c r="I94" s="126"/>
      <c r="J94" s="130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>
      <c r="A95" s="107"/>
      <c r="B95" s="131"/>
      <c r="C95" s="120"/>
      <c r="D95" s="125"/>
      <c r="E95" s="107"/>
      <c r="F95" s="122"/>
      <c r="G95" s="22"/>
      <c r="H95" s="123"/>
      <c r="I95" s="126"/>
      <c r="J95" s="130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>
      <c r="A96" s="107"/>
      <c r="B96" s="131"/>
      <c r="C96" s="120"/>
      <c r="D96" s="125"/>
      <c r="E96" s="107"/>
      <c r="F96" s="122"/>
      <c r="G96" s="22"/>
      <c r="H96" s="123"/>
      <c r="I96" s="126"/>
      <c r="J96" s="130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>
      <c r="A97" s="107"/>
      <c r="B97" s="131"/>
      <c r="C97" s="120"/>
      <c r="D97" s="125"/>
      <c r="E97" s="107"/>
      <c r="F97" s="122"/>
      <c r="G97" s="22"/>
      <c r="H97" s="123"/>
      <c r="I97" s="126"/>
      <c r="J97" s="130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>
      <c r="A98" s="107"/>
      <c r="B98" s="131"/>
      <c r="C98" s="120"/>
      <c r="D98" s="125"/>
      <c r="E98" s="107"/>
      <c r="F98" s="122"/>
      <c r="G98" s="22"/>
      <c r="H98" s="123"/>
      <c r="I98" s="126"/>
      <c r="J98" s="130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>
      <c r="A99" s="107"/>
      <c r="B99" s="131"/>
      <c r="C99" s="120"/>
      <c r="D99" s="125"/>
      <c r="E99" s="107"/>
      <c r="F99" s="122"/>
      <c r="G99" s="22"/>
      <c r="H99" s="123"/>
      <c r="I99" s="126"/>
      <c r="J99" s="130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>
      <c r="A100" s="107"/>
      <c r="B100" s="131"/>
      <c r="C100" s="120"/>
      <c r="D100" s="125"/>
      <c r="E100" s="107"/>
      <c r="F100" s="122"/>
      <c r="G100" s="22"/>
      <c r="H100" s="123"/>
      <c r="I100" s="126"/>
      <c r="J100" s="130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>
      <c r="A101" s="107"/>
      <c r="B101" s="131"/>
      <c r="C101" s="120"/>
      <c r="D101" s="125"/>
      <c r="E101" s="107"/>
      <c r="F101" s="122"/>
      <c r="G101" s="22"/>
      <c r="H101" s="123"/>
      <c r="I101" s="126"/>
      <c r="J101" s="130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>
      <c r="A102" s="107"/>
      <c r="B102" s="131"/>
      <c r="C102" s="120"/>
      <c r="D102" s="125"/>
      <c r="E102" s="107"/>
      <c r="F102" s="122"/>
      <c r="G102" s="22"/>
      <c r="H102" s="123"/>
      <c r="I102" s="126"/>
      <c r="J102" s="130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>
      <c r="A103" s="107"/>
      <c r="B103" s="131"/>
      <c r="C103" s="120"/>
      <c r="D103" s="125"/>
      <c r="E103" s="107"/>
      <c r="F103" s="122"/>
      <c r="G103" s="22"/>
      <c r="H103" s="123"/>
      <c r="I103" s="126"/>
      <c r="J103" s="130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>
      <c r="A104" s="107"/>
      <c r="B104" s="131"/>
      <c r="C104" s="120"/>
      <c r="D104" s="125"/>
      <c r="E104" s="107"/>
      <c r="F104" s="122"/>
      <c r="G104" s="22"/>
      <c r="H104" s="123"/>
      <c r="I104" s="126"/>
      <c r="J104" s="130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>
      <c r="A105" s="107"/>
      <c r="B105" s="131"/>
      <c r="C105" s="120"/>
      <c r="D105" s="125"/>
      <c r="E105" s="107"/>
      <c r="F105" s="122"/>
      <c r="G105" s="22"/>
      <c r="H105" s="123"/>
      <c r="I105" s="126"/>
      <c r="J105" s="130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>
      <c r="A106" s="107"/>
      <c r="B106" s="131"/>
      <c r="C106" s="120"/>
      <c r="D106" s="125"/>
      <c r="E106" s="107"/>
      <c r="F106" s="122"/>
      <c r="G106" s="22"/>
      <c r="H106" s="123"/>
      <c r="I106" s="126"/>
      <c r="J106" s="130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>
      <c r="A107" s="107"/>
      <c r="B107" s="131"/>
      <c r="C107" s="120"/>
      <c r="D107" s="125"/>
      <c r="E107" s="107"/>
      <c r="F107" s="122"/>
      <c r="G107" s="22"/>
      <c r="H107" s="123"/>
      <c r="I107" s="126"/>
      <c r="J107" s="130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>
      <c r="A108" s="107"/>
      <c r="B108" s="131"/>
      <c r="C108" s="120"/>
      <c r="D108" s="125"/>
      <c r="E108" s="107"/>
      <c r="F108" s="122"/>
      <c r="G108" s="22"/>
      <c r="H108" s="123"/>
      <c r="I108" s="126"/>
      <c r="J108" s="130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>
      <c r="A109" s="107"/>
      <c r="B109" s="131"/>
      <c r="C109" s="120"/>
      <c r="D109" s="125"/>
      <c r="E109" s="107"/>
      <c r="F109" s="122"/>
      <c r="G109" s="22"/>
      <c r="H109" s="123"/>
      <c r="I109" s="126"/>
      <c r="J109" s="130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>
      <c r="A110" s="107"/>
      <c r="B110" s="131"/>
      <c r="C110" s="120"/>
      <c r="D110" s="125"/>
      <c r="E110" s="107"/>
      <c r="F110" s="122"/>
      <c r="G110" s="22"/>
      <c r="H110" s="123"/>
      <c r="I110" s="126"/>
      <c r="J110" s="130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>
      <c r="A111" s="107"/>
      <c r="B111" s="131"/>
      <c r="C111" s="120"/>
      <c r="D111" s="125"/>
      <c r="E111" s="107"/>
      <c r="F111" s="122"/>
      <c r="G111" s="22"/>
      <c r="H111" s="123"/>
      <c r="I111" s="126"/>
      <c r="J111" s="130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>
      <c r="A112" s="107"/>
      <c r="B112" s="131"/>
      <c r="C112" s="120"/>
      <c r="D112" s="125"/>
      <c r="E112" s="107"/>
      <c r="F112" s="122"/>
      <c r="G112" s="22"/>
      <c r="H112" s="123"/>
      <c r="I112" s="126"/>
      <c r="J112" s="130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>
      <c r="A113" s="107"/>
      <c r="B113" s="131"/>
      <c r="C113" s="120"/>
      <c r="D113" s="125"/>
      <c r="E113" s="107"/>
      <c r="F113" s="122"/>
      <c r="G113" s="22"/>
      <c r="H113" s="123"/>
      <c r="I113" s="126"/>
      <c r="J113" s="130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>
      <c r="A114" s="107"/>
      <c r="B114" s="131"/>
      <c r="C114" s="120"/>
      <c r="D114" s="125"/>
      <c r="E114" s="107"/>
      <c r="F114" s="122"/>
      <c r="G114" s="22"/>
      <c r="H114" s="123"/>
      <c r="I114" s="126"/>
      <c r="J114" s="130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>
      <c r="A115" s="107"/>
      <c r="B115" s="131"/>
      <c r="C115" s="120"/>
      <c r="D115" s="125"/>
      <c r="E115" s="107"/>
      <c r="F115" s="122"/>
      <c r="G115" s="22"/>
      <c r="H115" s="123"/>
      <c r="I115" s="126"/>
      <c r="J115" s="130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>
      <c r="A116" s="107"/>
      <c r="B116" s="131"/>
      <c r="C116" s="120"/>
      <c r="D116" s="125"/>
      <c r="E116" s="107"/>
      <c r="F116" s="122"/>
      <c r="G116" s="22"/>
      <c r="H116" s="123"/>
      <c r="I116" s="126"/>
      <c r="J116" s="130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>
      <c r="A117" s="107"/>
      <c r="B117" s="131"/>
      <c r="C117" s="120"/>
      <c r="D117" s="125"/>
      <c r="E117" s="107"/>
      <c r="F117" s="122"/>
      <c r="G117" s="22"/>
      <c r="H117" s="123"/>
      <c r="I117" s="126"/>
      <c r="J117" s="130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>
      <c r="A118" s="107"/>
      <c r="B118" s="131"/>
      <c r="C118" s="120"/>
      <c r="D118" s="125"/>
      <c r="E118" s="107"/>
      <c r="F118" s="122"/>
      <c r="G118" s="22"/>
      <c r="H118" s="123"/>
      <c r="I118" s="126"/>
      <c r="J118" s="130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>
      <c r="A119" s="107"/>
      <c r="B119" s="131"/>
      <c r="C119" s="120"/>
      <c r="D119" s="125"/>
      <c r="E119" s="107"/>
      <c r="F119" s="122"/>
      <c r="G119" s="22"/>
      <c r="H119" s="123"/>
      <c r="I119" s="126"/>
      <c r="J119" s="130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>
      <c r="A120" s="107"/>
      <c r="B120" s="131"/>
      <c r="C120" s="120"/>
      <c r="D120" s="125"/>
      <c r="E120" s="107"/>
      <c r="F120" s="122"/>
      <c r="G120" s="22"/>
      <c r="H120" s="123"/>
      <c r="I120" s="126"/>
      <c r="J120" s="130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>
      <c r="A121" s="107"/>
      <c r="B121" s="131"/>
      <c r="C121" s="120"/>
      <c r="D121" s="125"/>
      <c r="E121" s="107"/>
      <c r="F121" s="122"/>
      <c r="G121" s="22"/>
      <c r="H121" s="123"/>
      <c r="I121" s="126"/>
      <c r="J121" s="130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>
      <c r="A122" s="107"/>
      <c r="B122" s="131"/>
      <c r="C122" s="120"/>
      <c r="D122" s="125"/>
      <c r="E122" s="107"/>
      <c r="F122" s="122"/>
      <c r="G122" s="22"/>
      <c r="H122" s="123"/>
      <c r="I122" s="126"/>
      <c r="J122" s="130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>
      <c r="A123" s="107"/>
      <c r="B123" s="131"/>
      <c r="C123" s="120"/>
      <c r="D123" s="125"/>
      <c r="E123" s="107"/>
      <c r="F123" s="122"/>
      <c r="G123" s="22"/>
      <c r="H123" s="123"/>
      <c r="I123" s="126"/>
      <c r="J123" s="130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>
      <c r="A124" s="107"/>
      <c r="B124" s="131"/>
      <c r="C124" s="120"/>
      <c r="D124" s="125"/>
      <c r="E124" s="107"/>
      <c r="F124" s="122"/>
      <c r="G124" s="22"/>
      <c r="H124" s="123"/>
      <c r="I124" s="126"/>
      <c r="J124" s="130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>
      <c r="A125" s="107"/>
      <c r="B125" s="131"/>
      <c r="C125" s="120"/>
      <c r="D125" s="125"/>
      <c r="E125" s="107"/>
      <c r="F125" s="122"/>
      <c r="G125" s="22"/>
      <c r="H125" s="123"/>
      <c r="I125" s="126"/>
      <c r="J125" s="130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>
      <c r="A126" s="107"/>
      <c r="B126" s="131"/>
      <c r="C126" s="120"/>
      <c r="D126" s="125"/>
      <c r="E126" s="107"/>
      <c r="F126" s="122"/>
      <c r="G126" s="22"/>
      <c r="H126" s="123"/>
      <c r="I126" s="126"/>
      <c r="J126" s="130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>
      <c r="A127" s="107"/>
      <c r="B127" s="131"/>
      <c r="C127" s="120"/>
      <c r="D127" s="125"/>
      <c r="E127" s="107"/>
      <c r="F127" s="122"/>
      <c r="G127" s="22"/>
      <c r="H127" s="123"/>
      <c r="I127" s="126"/>
      <c r="J127" s="130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>
      <c r="A128" s="107"/>
      <c r="B128" s="131"/>
      <c r="C128" s="120"/>
      <c r="D128" s="125"/>
      <c r="E128" s="107"/>
      <c r="F128" s="122"/>
      <c r="G128" s="22"/>
      <c r="H128" s="123"/>
      <c r="I128" s="126"/>
      <c r="J128" s="130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>
      <c r="A129" s="107"/>
      <c r="B129" s="131"/>
      <c r="C129" s="120"/>
      <c r="D129" s="125"/>
      <c r="E129" s="107"/>
      <c r="F129" s="122"/>
      <c r="G129" s="22"/>
      <c r="H129" s="123"/>
      <c r="I129" s="126"/>
      <c r="J129" s="130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>
      <c r="A130" s="107"/>
      <c r="B130" s="131"/>
      <c r="C130" s="120"/>
      <c r="D130" s="125"/>
      <c r="E130" s="107"/>
      <c r="F130" s="122"/>
      <c r="G130" s="22"/>
      <c r="H130" s="123"/>
      <c r="I130" s="126"/>
      <c r="J130" s="130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>
      <c r="A131" s="107"/>
      <c r="B131" s="131"/>
      <c r="C131" s="120"/>
      <c r="D131" s="125"/>
      <c r="E131" s="107"/>
      <c r="F131" s="122"/>
      <c r="G131" s="22"/>
      <c r="H131" s="123"/>
      <c r="I131" s="126"/>
      <c r="J131" s="130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>
      <c r="A132" s="107"/>
      <c r="B132" s="131"/>
      <c r="C132" s="120"/>
      <c r="D132" s="125"/>
      <c r="E132" s="107"/>
      <c r="F132" s="122"/>
      <c r="G132" s="22"/>
      <c r="H132" s="123"/>
      <c r="I132" s="126"/>
      <c r="J132" s="130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>
      <c r="A133" s="107"/>
      <c r="B133" s="131"/>
      <c r="C133" s="120"/>
      <c r="D133" s="125"/>
      <c r="E133" s="107"/>
      <c r="F133" s="122"/>
      <c r="G133" s="22"/>
      <c r="H133" s="123"/>
      <c r="I133" s="126"/>
      <c r="J133" s="130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>
      <c r="A134" s="107"/>
      <c r="B134" s="131"/>
      <c r="C134" s="120"/>
      <c r="D134" s="125"/>
      <c r="E134" s="107"/>
      <c r="F134" s="122"/>
      <c r="G134" s="22"/>
      <c r="H134" s="123"/>
      <c r="I134" s="126"/>
      <c r="J134" s="130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>
      <c r="A135" s="107"/>
      <c r="B135" s="131"/>
      <c r="C135" s="120"/>
      <c r="D135" s="125"/>
      <c r="E135" s="107"/>
      <c r="F135" s="122"/>
      <c r="G135" s="22"/>
      <c r="H135" s="123"/>
      <c r="I135" s="126"/>
      <c r="J135" s="130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>
      <c r="A136" s="107"/>
      <c r="B136" s="131"/>
      <c r="C136" s="120"/>
      <c r="D136" s="125"/>
      <c r="E136" s="107"/>
      <c r="F136" s="122"/>
      <c r="G136" s="22"/>
      <c r="H136" s="123"/>
      <c r="I136" s="126"/>
      <c r="J136" s="130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>
      <c r="A137" s="107"/>
      <c r="B137" s="131"/>
      <c r="C137" s="120"/>
      <c r="D137" s="125"/>
      <c r="E137" s="107"/>
      <c r="F137" s="122"/>
      <c r="G137" s="22"/>
      <c r="H137" s="123"/>
      <c r="I137" s="126"/>
      <c r="J137" s="130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>
      <c r="A138" s="107"/>
      <c r="B138" s="131"/>
      <c r="C138" s="120"/>
      <c r="D138" s="125"/>
      <c r="E138" s="107"/>
      <c r="F138" s="122"/>
      <c r="G138" s="22"/>
      <c r="H138" s="123"/>
      <c r="I138" s="126"/>
      <c r="J138" s="130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>
      <c r="A139" s="107"/>
      <c r="B139" s="131"/>
      <c r="C139" s="120"/>
      <c r="D139" s="125"/>
      <c r="E139" s="107"/>
      <c r="F139" s="122"/>
      <c r="G139" s="22"/>
      <c r="H139" s="123"/>
      <c r="I139" s="126"/>
      <c r="J139" s="130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>
      <c r="A140" s="107"/>
      <c r="B140" s="131"/>
      <c r="C140" s="120"/>
      <c r="D140" s="125"/>
      <c r="E140" s="107"/>
      <c r="F140" s="122"/>
      <c r="G140" s="22"/>
      <c r="H140" s="123"/>
      <c r="I140" s="126"/>
      <c r="J140" s="130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>
      <c r="A141" s="107"/>
      <c r="B141" s="131"/>
      <c r="C141" s="120"/>
      <c r="D141" s="125"/>
      <c r="E141" s="107"/>
      <c r="F141" s="122"/>
      <c r="G141" s="22"/>
      <c r="H141" s="123"/>
      <c r="I141" s="126"/>
      <c r="J141" s="130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>
      <c r="A142" s="107"/>
      <c r="B142" s="131"/>
      <c r="C142" s="120"/>
      <c r="D142" s="125"/>
      <c r="E142" s="107"/>
      <c r="F142" s="122"/>
      <c r="G142" s="22"/>
      <c r="H142" s="123"/>
      <c r="I142" s="126"/>
      <c r="J142" s="130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>
      <c r="A143" s="107"/>
      <c r="B143" s="131"/>
      <c r="C143" s="120"/>
      <c r="D143" s="125"/>
      <c r="E143" s="107"/>
      <c r="F143" s="122"/>
      <c r="G143" s="22"/>
      <c r="H143" s="123"/>
      <c r="I143" s="126"/>
      <c r="J143" s="130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>
      <c r="A144" s="107"/>
      <c r="B144" s="131"/>
      <c r="C144" s="120"/>
      <c r="D144" s="125"/>
      <c r="E144" s="107"/>
      <c r="F144" s="122"/>
      <c r="G144" s="22"/>
      <c r="H144" s="123"/>
      <c r="I144" s="126"/>
      <c r="J144" s="130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>
      <c r="A145" s="107"/>
      <c r="B145" s="131"/>
      <c r="C145" s="120"/>
      <c r="D145" s="125"/>
      <c r="E145" s="107"/>
      <c r="F145" s="122"/>
      <c r="G145" s="22"/>
      <c r="H145" s="123"/>
      <c r="I145" s="126"/>
      <c r="J145" s="130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>
      <c r="A146" s="107"/>
      <c r="B146" s="131"/>
      <c r="C146" s="120"/>
      <c r="D146" s="125"/>
      <c r="E146" s="107"/>
      <c r="F146" s="122"/>
      <c r="G146" s="22"/>
      <c r="H146" s="123"/>
      <c r="I146" s="126"/>
      <c r="J146" s="130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>
      <c r="A147" s="107"/>
      <c r="B147" s="131"/>
      <c r="C147" s="120"/>
      <c r="D147" s="125"/>
      <c r="E147" s="107"/>
      <c r="F147" s="122"/>
      <c r="G147" s="22"/>
      <c r="H147" s="123"/>
      <c r="I147" s="126"/>
      <c r="J147" s="130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>
      <c r="A148" s="107"/>
      <c r="B148" s="131"/>
      <c r="C148" s="120"/>
      <c r="D148" s="125"/>
      <c r="E148" s="107"/>
      <c r="F148" s="122"/>
      <c r="G148" s="22"/>
      <c r="H148" s="123"/>
      <c r="I148" s="126"/>
      <c r="J148" s="130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>
      <c r="A149" s="107"/>
      <c r="B149" s="131"/>
      <c r="C149" s="120"/>
      <c r="D149" s="125"/>
      <c r="E149" s="107"/>
      <c r="F149" s="122"/>
      <c r="G149" s="22"/>
      <c r="H149" s="123"/>
      <c r="I149" s="126"/>
      <c r="J149" s="130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>
      <c r="A150" s="107"/>
      <c r="B150" s="131"/>
      <c r="C150" s="120"/>
      <c r="D150" s="125"/>
      <c r="E150" s="107"/>
      <c r="F150" s="122"/>
      <c r="G150" s="22"/>
      <c r="H150" s="123"/>
      <c r="I150" s="126"/>
      <c r="J150" s="130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>
      <c r="A151" s="107"/>
      <c r="B151" s="131"/>
      <c r="C151" s="120"/>
      <c r="D151" s="125"/>
      <c r="E151" s="107"/>
      <c r="F151" s="122"/>
      <c r="G151" s="22"/>
      <c r="H151" s="123"/>
      <c r="I151" s="126"/>
      <c r="J151" s="130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>
      <c r="A152" s="107"/>
      <c r="B152" s="131"/>
      <c r="C152" s="120"/>
      <c r="D152" s="125"/>
      <c r="E152" s="107"/>
      <c r="F152" s="122"/>
      <c r="G152" s="22"/>
      <c r="H152" s="123"/>
      <c r="I152" s="126"/>
      <c r="J152" s="130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>
      <c r="A153" s="107"/>
      <c r="B153" s="131"/>
      <c r="C153" s="120"/>
      <c r="D153" s="125"/>
      <c r="E153" s="107"/>
      <c r="F153" s="122"/>
      <c r="G153" s="22"/>
      <c r="H153" s="123"/>
      <c r="I153" s="126"/>
      <c r="J153" s="130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>
      <c r="A154" s="107"/>
      <c r="B154" s="131"/>
      <c r="C154" s="120"/>
      <c r="D154" s="125"/>
      <c r="E154" s="107"/>
      <c r="F154" s="122"/>
      <c r="G154" s="22"/>
      <c r="H154" s="123"/>
      <c r="I154" s="126"/>
      <c r="J154" s="130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>
      <c r="A155" s="107"/>
      <c r="B155" s="131"/>
      <c r="C155" s="120"/>
      <c r="D155" s="125"/>
      <c r="E155" s="107"/>
      <c r="F155" s="122"/>
      <c r="G155" s="22"/>
      <c r="H155" s="123"/>
      <c r="I155" s="126"/>
      <c r="J155" s="130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>
      <c r="A156" s="107"/>
      <c r="B156" s="131"/>
      <c r="C156" s="120"/>
      <c r="D156" s="125"/>
      <c r="E156" s="107"/>
      <c r="F156" s="122"/>
      <c r="G156" s="22"/>
      <c r="H156" s="123"/>
      <c r="I156" s="126"/>
      <c r="J156" s="130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>
      <c r="A157" s="107"/>
      <c r="B157" s="131"/>
      <c r="C157" s="120"/>
      <c r="D157" s="125"/>
      <c r="E157" s="107"/>
      <c r="F157" s="122"/>
      <c r="G157" s="22"/>
      <c r="H157" s="123"/>
      <c r="I157" s="126"/>
      <c r="J157" s="130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>
      <c r="A158" s="107"/>
      <c r="B158" s="131"/>
      <c r="C158" s="120"/>
      <c r="D158" s="125"/>
      <c r="E158" s="107"/>
      <c r="F158" s="122"/>
      <c r="G158" s="22"/>
      <c r="H158" s="123"/>
      <c r="I158" s="126"/>
      <c r="J158" s="130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>
      <c r="A159" s="107"/>
      <c r="B159" s="131"/>
      <c r="C159" s="120"/>
      <c r="D159" s="125"/>
      <c r="E159" s="107"/>
      <c r="F159" s="122"/>
      <c r="G159" s="22"/>
      <c r="H159" s="123"/>
      <c r="I159" s="126"/>
      <c r="J159" s="130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>
      <c r="A160" s="107"/>
      <c r="B160" s="131"/>
      <c r="C160" s="120"/>
      <c r="D160" s="125"/>
      <c r="E160" s="107"/>
      <c r="F160" s="122"/>
      <c r="G160" s="22"/>
      <c r="H160" s="123"/>
      <c r="I160" s="126"/>
      <c r="J160" s="130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>
      <c r="A161" s="107"/>
      <c r="B161" s="131"/>
      <c r="C161" s="120"/>
      <c r="D161" s="125"/>
      <c r="E161" s="107"/>
      <c r="F161" s="122"/>
      <c r="G161" s="22"/>
      <c r="H161" s="123"/>
      <c r="I161" s="126"/>
      <c r="J161" s="130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>
      <c r="A162" s="107"/>
      <c r="B162" s="131"/>
      <c r="C162" s="120"/>
      <c r="D162" s="125"/>
      <c r="E162" s="107"/>
      <c r="F162" s="122"/>
      <c r="G162" s="22"/>
      <c r="H162" s="123"/>
      <c r="I162" s="126"/>
      <c r="J162" s="130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>
      <c r="A163" s="107"/>
      <c r="B163" s="131"/>
      <c r="C163" s="120"/>
      <c r="D163" s="125"/>
      <c r="E163" s="107"/>
      <c r="F163" s="122"/>
      <c r="G163" s="22"/>
      <c r="H163" s="123"/>
      <c r="I163" s="126"/>
      <c r="J163" s="130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>
      <c r="A164" s="107"/>
      <c r="B164" s="131"/>
      <c r="C164" s="120"/>
      <c r="D164" s="125"/>
      <c r="E164" s="107"/>
      <c r="F164" s="122"/>
      <c r="G164" s="22"/>
      <c r="H164" s="123"/>
      <c r="I164" s="126"/>
      <c r="J164" s="130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>
      <c r="A165" s="107"/>
      <c r="B165" s="131"/>
      <c r="C165" s="120"/>
      <c r="D165" s="125"/>
      <c r="E165" s="107"/>
      <c r="F165" s="122"/>
      <c r="G165" s="22"/>
      <c r="H165" s="123"/>
      <c r="I165" s="126"/>
      <c r="J165" s="130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>
      <c r="A166" s="107"/>
      <c r="B166" s="131"/>
      <c r="C166" s="120"/>
      <c r="D166" s="125"/>
      <c r="E166" s="107"/>
      <c r="F166" s="122"/>
      <c r="G166" s="22"/>
      <c r="H166" s="123"/>
      <c r="I166" s="126"/>
      <c r="J166" s="130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>
      <c r="A167" s="107"/>
      <c r="B167" s="131"/>
      <c r="C167" s="120"/>
      <c r="D167" s="125"/>
      <c r="E167" s="107"/>
      <c r="F167" s="122"/>
      <c r="G167" s="22"/>
      <c r="H167" s="123"/>
      <c r="I167" s="126"/>
      <c r="J167" s="130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>
      <c r="A168" s="107"/>
      <c r="B168" s="131"/>
      <c r="C168" s="120"/>
      <c r="D168" s="125"/>
      <c r="E168" s="107"/>
      <c r="F168" s="122"/>
      <c r="G168" s="22"/>
      <c r="H168" s="123"/>
      <c r="I168" s="126"/>
      <c r="J168" s="130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>
      <c r="A169" s="107"/>
      <c r="B169" s="131"/>
      <c r="C169" s="120"/>
      <c r="D169" s="125"/>
      <c r="E169" s="107"/>
      <c r="F169" s="122"/>
      <c r="G169" s="22"/>
      <c r="H169" s="123"/>
      <c r="I169" s="126"/>
      <c r="J169" s="130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>
      <c r="A170" s="107"/>
      <c r="B170" s="131"/>
      <c r="C170" s="120"/>
      <c r="D170" s="125"/>
      <c r="E170" s="107"/>
      <c r="F170" s="122"/>
      <c r="G170" s="22"/>
      <c r="H170" s="123"/>
      <c r="I170" s="126"/>
      <c r="J170" s="130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>
      <c r="A171" s="107"/>
      <c r="B171" s="131"/>
      <c r="C171" s="120"/>
      <c r="D171" s="125"/>
      <c r="E171" s="107"/>
      <c r="F171" s="122"/>
      <c r="G171" s="22"/>
      <c r="H171" s="123"/>
      <c r="I171" s="126"/>
      <c r="J171" s="130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>
      <c r="A172" s="107"/>
      <c r="B172" s="131"/>
      <c r="C172" s="120"/>
      <c r="D172" s="125"/>
      <c r="E172" s="107"/>
      <c r="F172" s="122"/>
      <c r="G172" s="22"/>
      <c r="H172" s="123"/>
      <c r="I172" s="126"/>
      <c r="J172" s="130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>
      <c r="A173" s="107"/>
      <c r="B173" s="131"/>
      <c r="C173" s="120"/>
      <c r="D173" s="125"/>
      <c r="E173" s="107"/>
      <c r="F173" s="122"/>
      <c r="G173" s="22"/>
      <c r="H173" s="123"/>
      <c r="I173" s="126"/>
      <c r="J173" s="130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>
      <c r="A174" s="107"/>
      <c r="B174" s="131"/>
      <c r="C174" s="120"/>
      <c r="D174" s="125"/>
      <c r="E174" s="107"/>
      <c r="F174" s="122"/>
      <c r="G174" s="22"/>
      <c r="H174" s="123"/>
      <c r="I174" s="126"/>
      <c r="J174" s="130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>
      <c r="A175" s="107"/>
      <c r="B175" s="131"/>
      <c r="C175" s="120"/>
      <c r="D175" s="125"/>
      <c r="E175" s="107"/>
      <c r="F175" s="122"/>
      <c r="G175" s="22"/>
      <c r="H175" s="123"/>
      <c r="I175" s="126"/>
      <c r="J175" s="130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>
      <c r="A176" s="107"/>
      <c r="B176" s="131"/>
      <c r="C176" s="120"/>
      <c r="D176" s="125"/>
      <c r="E176" s="107"/>
      <c r="F176" s="122"/>
      <c r="G176" s="22"/>
      <c r="H176" s="123"/>
      <c r="I176" s="126"/>
      <c r="J176" s="130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>
      <c r="A177" s="107"/>
      <c r="B177" s="131"/>
      <c r="C177" s="120"/>
      <c r="D177" s="125"/>
      <c r="E177" s="107"/>
      <c r="F177" s="122"/>
      <c r="G177" s="22"/>
      <c r="H177" s="123"/>
      <c r="I177" s="126"/>
      <c r="J177" s="130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>
      <c r="A178" s="107"/>
      <c r="B178" s="131"/>
      <c r="C178" s="120"/>
      <c r="D178" s="125"/>
      <c r="E178" s="107"/>
      <c r="F178" s="122"/>
      <c r="G178" s="22"/>
      <c r="H178" s="123"/>
      <c r="I178" s="126"/>
      <c r="J178" s="130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>
      <c r="A179" s="107"/>
      <c r="B179" s="131"/>
      <c r="C179" s="120"/>
      <c r="D179" s="125"/>
      <c r="E179" s="107"/>
      <c r="F179" s="122"/>
      <c r="G179" s="22"/>
      <c r="H179" s="123"/>
      <c r="I179" s="126"/>
      <c r="J179" s="130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>
      <c r="A180" s="107"/>
      <c r="B180" s="131"/>
      <c r="C180" s="120"/>
      <c r="D180" s="125"/>
      <c r="E180" s="107"/>
      <c r="F180" s="122"/>
      <c r="G180" s="22"/>
      <c r="H180" s="123"/>
      <c r="I180" s="126"/>
      <c r="J180" s="130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>
      <c r="A181" s="107"/>
      <c r="B181" s="131"/>
      <c r="C181" s="120"/>
      <c r="D181" s="125"/>
      <c r="E181" s="107"/>
      <c r="F181" s="122"/>
      <c r="G181" s="22"/>
      <c r="H181" s="123"/>
      <c r="I181" s="126"/>
      <c r="J181" s="130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>
      <c r="A182" s="107"/>
      <c r="B182" s="131"/>
      <c r="C182" s="120"/>
      <c r="D182" s="125"/>
      <c r="E182" s="107"/>
      <c r="F182" s="122"/>
      <c r="G182" s="22"/>
      <c r="H182" s="123"/>
      <c r="I182" s="126"/>
      <c r="J182" s="130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>
      <c r="A183" s="107"/>
      <c r="B183" s="131"/>
      <c r="C183" s="120"/>
      <c r="D183" s="125"/>
      <c r="E183" s="107"/>
      <c r="F183" s="122"/>
      <c r="G183" s="22"/>
      <c r="H183" s="123"/>
      <c r="I183" s="126"/>
      <c r="J183" s="130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>
      <c r="A184" s="107"/>
      <c r="B184" s="131"/>
      <c r="C184" s="120"/>
      <c r="D184" s="125"/>
      <c r="E184" s="107"/>
      <c r="F184" s="122"/>
      <c r="G184" s="22"/>
      <c r="H184" s="123"/>
      <c r="I184" s="126"/>
      <c r="J184" s="130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>
      <c r="A185" s="107"/>
      <c r="B185" s="131"/>
      <c r="C185" s="120"/>
      <c r="D185" s="125"/>
      <c r="E185" s="107"/>
      <c r="F185" s="122"/>
      <c r="G185" s="22"/>
      <c r="H185" s="123"/>
      <c r="I185" s="126"/>
      <c r="J185" s="130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>
      <c r="A186" s="107"/>
      <c r="B186" s="131"/>
      <c r="C186" s="120"/>
      <c r="D186" s="125"/>
      <c r="E186" s="107"/>
      <c r="F186" s="122"/>
      <c r="G186" s="22"/>
      <c r="H186" s="123"/>
      <c r="I186" s="126"/>
      <c r="J186" s="130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>
      <c r="A187" s="107"/>
      <c r="B187" s="131"/>
      <c r="C187" s="120"/>
      <c r="D187" s="125"/>
      <c r="E187" s="107"/>
      <c r="F187" s="122"/>
      <c r="G187" s="22"/>
      <c r="H187" s="123"/>
      <c r="I187" s="126"/>
      <c r="J187" s="130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>
      <c r="A188" s="107"/>
      <c r="B188" s="131"/>
      <c r="C188" s="120"/>
      <c r="D188" s="125"/>
      <c r="E188" s="107"/>
      <c r="F188" s="122"/>
      <c r="G188" s="22"/>
      <c r="H188" s="123"/>
      <c r="I188" s="126"/>
      <c r="J188" s="130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>
      <c r="A189" s="107"/>
      <c r="B189" s="131"/>
      <c r="C189" s="120"/>
      <c r="D189" s="125"/>
      <c r="E189" s="107"/>
      <c r="F189" s="122"/>
      <c r="G189" s="22"/>
      <c r="H189" s="123"/>
      <c r="I189" s="126"/>
      <c r="J189" s="130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>
      <c r="A190" s="107"/>
      <c r="B190" s="131"/>
      <c r="C190" s="120"/>
      <c r="D190" s="125"/>
      <c r="E190" s="107"/>
      <c r="F190" s="122"/>
      <c r="G190" s="22"/>
      <c r="H190" s="123"/>
      <c r="I190" s="126"/>
      <c r="J190" s="130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>
      <c r="A191" s="107"/>
      <c r="B191" s="131"/>
      <c r="C191" s="120"/>
      <c r="D191" s="125"/>
      <c r="E191" s="107"/>
      <c r="F191" s="122"/>
      <c r="G191" s="22"/>
      <c r="H191" s="123"/>
      <c r="I191" s="126"/>
      <c r="J191" s="130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>
      <c r="A192" s="107"/>
      <c r="B192" s="131"/>
      <c r="C192" s="120"/>
      <c r="D192" s="125"/>
      <c r="E192" s="107"/>
      <c r="F192" s="122"/>
      <c r="G192" s="22"/>
      <c r="H192" s="123"/>
      <c r="I192" s="126"/>
      <c r="J192" s="130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>
      <c r="A193" s="107"/>
      <c r="B193" s="131"/>
      <c r="C193" s="120"/>
      <c r="D193" s="125"/>
      <c r="E193" s="107"/>
      <c r="F193" s="122"/>
      <c r="G193" s="22"/>
      <c r="H193" s="123"/>
      <c r="I193" s="126"/>
      <c r="J193" s="130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>
      <c r="A194" s="107"/>
      <c r="B194" s="131"/>
      <c r="C194" s="120"/>
      <c r="D194" s="125"/>
      <c r="E194" s="107"/>
      <c r="F194" s="122"/>
      <c r="G194" s="22"/>
      <c r="H194" s="123"/>
      <c r="I194" s="126"/>
      <c r="J194" s="130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>
      <c r="A195" s="107"/>
      <c r="B195" s="131"/>
      <c r="C195" s="120"/>
      <c r="D195" s="125"/>
      <c r="E195" s="107"/>
      <c r="F195" s="122"/>
      <c r="G195" s="22"/>
      <c r="H195" s="123"/>
      <c r="I195" s="126"/>
      <c r="J195" s="130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>
      <c r="A196" s="107"/>
      <c r="B196" s="131"/>
      <c r="C196" s="120"/>
      <c r="D196" s="125"/>
      <c r="E196" s="107"/>
      <c r="F196" s="122"/>
      <c r="G196" s="22"/>
      <c r="H196" s="123"/>
      <c r="I196" s="126"/>
      <c r="J196" s="130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>
      <c r="A197" s="107"/>
      <c r="B197" s="131"/>
      <c r="C197" s="120"/>
      <c r="D197" s="125"/>
      <c r="E197" s="107"/>
      <c r="F197" s="122"/>
      <c r="G197" s="22"/>
      <c r="H197" s="123"/>
      <c r="I197" s="126"/>
      <c r="J197" s="130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>
      <c r="A198" s="107"/>
      <c r="B198" s="131"/>
      <c r="C198" s="120"/>
      <c r="D198" s="125"/>
      <c r="E198" s="107"/>
      <c r="F198" s="122"/>
      <c r="G198" s="22"/>
      <c r="H198" s="123"/>
      <c r="I198" s="126"/>
      <c r="J198" s="130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>
      <c r="A199" s="107"/>
      <c r="B199" s="131"/>
      <c r="C199" s="120"/>
      <c r="D199" s="125"/>
      <c r="E199" s="107"/>
      <c r="F199" s="122"/>
      <c r="G199" s="22"/>
      <c r="H199" s="123"/>
      <c r="I199" s="126"/>
      <c r="J199" s="130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>
      <c r="A200" s="107"/>
      <c r="B200" s="131"/>
      <c r="C200" s="120"/>
      <c r="D200" s="125"/>
      <c r="E200" s="107"/>
      <c r="F200" s="122"/>
      <c r="G200" s="22"/>
      <c r="H200" s="123"/>
      <c r="I200" s="126"/>
      <c r="J200" s="130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>
      <c r="A201" s="107"/>
      <c r="B201" s="131"/>
      <c r="C201" s="120"/>
      <c r="D201" s="125"/>
      <c r="E201" s="107"/>
      <c r="F201" s="122"/>
      <c r="G201" s="22"/>
      <c r="H201" s="123"/>
      <c r="I201" s="126"/>
      <c r="J201" s="130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>
      <c r="A202" s="107"/>
      <c r="B202" s="131"/>
      <c r="C202" s="120"/>
      <c r="D202" s="125"/>
      <c r="E202" s="107"/>
      <c r="F202" s="122"/>
      <c r="G202" s="22"/>
      <c r="H202" s="123"/>
      <c r="I202" s="126"/>
      <c r="J202" s="130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>
      <c r="A203" s="107"/>
      <c r="B203" s="131"/>
      <c r="C203" s="120"/>
      <c r="D203" s="125"/>
      <c r="E203" s="107"/>
      <c r="F203" s="122"/>
      <c r="G203" s="22"/>
      <c r="H203" s="123"/>
      <c r="I203" s="126"/>
      <c r="J203" s="130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>
      <c r="A204" s="107"/>
      <c r="B204" s="131"/>
      <c r="C204" s="120"/>
      <c r="D204" s="125"/>
      <c r="E204" s="107"/>
      <c r="F204" s="122"/>
      <c r="G204" s="22"/>
      <c r="H204" s="123"/>
      <c r="I204" s="126"/>
      <c r="J204" s="130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>
      <c r="A205" s="107"/>
      <c r="B205" s="131"/>
      <c r="C205" s="120"/>
      <c r="D205" s="125"/>
      <c r="E205" s="107"/>
      <c r="F205" s="122"/>
      <c r="G205" s="22"/>
      <c r="H205" s="123"/>
      <c r="I205" s="126"/>
      <c r="J205" s="130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>
      <c r="A206" s="107"/>
      <c r="B206" s="131"/>
      <c r="C206" s="120"/>
      <c r="D206" s="125"/>
      <c r="E206" s="107"/>
      <c r="F206" s="122"/>
      <c r="G206" s="22"/>
      <c r="H206" s="123"/>
      <c r="I206" s="126"/>
      <c r="J206" s="130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>
      <c r="A207" s="107"/>
      <c r="B207" s="131"/>
      <c r="C207" s="120"/>
      <c r="D207" s="125"/>
      <c r="E207" s="107"/>
      <c r="F207" s="122"/>
      <c r="G207" s="22"/>
      <c r="H207" s="123"/>
      <c r="I207" s="126"/>
      <c r="J207" s="130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>
      <c r="A208" s="107"/>
      <c r="B208" s="131"/>
      <c r="C208" s="120"/>
      <c r="D208" s="125"/>
      <c r="E208" s="107"/>
      <c r="F208" s="122"/>
      <c r="G208" s="22"/>
      <c r="H208" s="123"/>
      <c r="I208" s="126"/>
      <c r="J208" s="130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>
      <c r="A209" s="107"/>
      <c r="B209" s="131"/>
      <c r="C209" s="120"/>
      <c r="D209" s="125"/>
      <c r="E209" s="107"/>
      <c r="F209" s="122"/>
      <c r="G209" s="22"/>
      <c r="H209" s="123"/>
      <c r="I209" s="126"/>
      <c r="J209" s="130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>
      <c r="A210" s="107"/>
      <c r="B210" s="131"/>
      <c r="C210" s="120"/>
      <c r="D210" s="125"/>
      <c r="E210" s="107"/>
      <c r="F210" s="122"/>
      <c r="G210" s="22"/>
      <c r="H210" s="123"/>
      <c r="I210" s="126"/>
      <c r="J210" s="130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>
      <c r="A211" s="107"/>
      <c r="B211" s="131"/>
      <c r="C211" s="120"/>
      <c r="D211" s="125"/>
      <c r="E211" s="107"/>
      <c r="F211" s="122"/>
      <c r="G211" s="22"/>
      <c r="H211" s="123"/>
      <c r="I211" s="126"/>
      <c r="J211" s="130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>
      <c r="A212" s="107"/>
      <c r="B212" s="131"/>
      <c r="C212" s="120"/>
      <c r="D212" s="125"/>
      <c r="E212" s="107"/>
      <c r="F212" s="122"/>
      <c r="G212" s="22"/>
      <c r="H212" s="123"/>
      <c r="I212" s="126"/>
      <c r="J212" s="130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>
      <c r="A213" s="107"/>
      <c r="B213" s="131"/>
      <c r="C213" s="120"/>
      <c r="D213" s="125"/>
      <c r="E213" s="107"/>
      <c r="F213" s="122"/>
      <c r="G213" s="22"/>
      <c r="H213" s="123"/>
      <c r="I213" s="126"/>
      <c r="J213" s="130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>
      <c r="A214" s="107"/>
      <c r="B214" s="131"/>
      <c r="C214" s="120"/>
      <c r="D214" s="125"/>
      <c r="E214" s="107"/>
      <c r="F214" s="122"/>
      <c r="G214" s="22"/>
      <c r="H214" s="123"/>
      <c r="I214" s="126"/>
      <c r="J214" s="130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>
      <c r="A215" s="107"/>
      <c r="B215" s="131"/>
      <c r="C215" s="120"/>
      <c r="D215" s="125"/>
      <c r="E215" s="107"/>
      <c r="F215" s="122"/>
      <c r="G215" s="22"/>
      <c r="H215" s="123"/>
      <c r="I215" s="126"/>
      <c r="J215" s="130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>
      <c r="A216" s="107"/>
      <c r="B216" s="131"/>
      <c r="C216" s="120"/>
      <c r="D216" s="125"/>
      <c r="E216" s="107"/>
      <c r="F216" s="122"/>
      <c r="G216" s="22"/>
      <c r="H216" s="123"/>
      <c r="I216" s="126"/>
      <c r="J216" s="130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>
      <c r="A217" s="107"/>
      <c r="B217" s="131"/>
      <c r="C217" s="120"/>
      <c r="D217" s="125"/>
      <c r="E217" s="107"/>
      <c r="F217" s="122"/>
      <c r="G217" s="22"/>
      <c r="H217" s="123"/>
      <c r="I217" s="126"/>
      <c r="J217" s="130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>
      <c r="A218" s="107"/>
      <c r="B218" s="131"/>
      <c r="C218" s="120"/>
      <c r="D218" s="125"/>
      <c r="E218" s="107"/>
      <c r="F218" s="122"/>
      <c r="G218" s="22"/>
      <c r="H218" s="123"/>
      <c r="I218" s="126"/>
      <c r="J218" s="130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>
      <c r="A219" s="107"/>
      <c r="B219" s="131"/>
      <c r="C219" s="120"/>
      <c r="D219" s="125"/>
      <c r="E219" s="107"/>
      <c r="F219" s="122"/>
      <c r="G219" s="22"/>
      <c r="H219" s="123"/>
      <c r="I219" s="126"/>
      <c r="J219" s="130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>
      <c r="A220" s="107"/>
      <c r="B220" s="131"/>
      <c r="C220" s="120"/>
      <c r="D220" s="125"/>
      <c r="E220" s="107"/>
      <c r="F220" s="122"/>
      <c r="G220" s="22"/>
      <c r="H220" s="123"/>
      <c r="I220" s="126"/>
      <c r="J220" s="130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>
      <c r="A221" s="107"/>
      <c r="B221" s="131"/>
      <c r="C221" s="120"/>
      <c r="D221" s="125"/>
      <c r="E221" s="107"/>
      <c r="F221" s="122"/>
      <c r="G221" s="22"/>
      <c r="H221" s="123"/>
      <c r="I221" s="126"/>
      <c r="J221" s="130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>
      <c r="A222" s="107"/>
      <c r="B222" s="131"/>
      <c r="C222" s="120"/>
      <c r="D222" s="125"/>
      <c r="E222" s="107"/>
      <c r="F222" s="122"/>
      <c r="G222" s="22"/>
      <c r="H222" s="123"/>
      <c r="I222" s="126"/>
      <c r="J222" s="130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>
      <c r="A223" s="107"/>
      <c r="B223" s="131"/>
      <c r="C223" s="120"/>
      <c r="D223" s="125"/>
      <c r="E223" s="107"/>
      <c r="F223" s="122"/>
      <c r="G223" s="22"/>
      <c r="H223" s="123"/>
      <c r="I223" s="126"/>
      <c r="J223" s="130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>
      <c r="A224" s="107"/>
      <c r="B224" s="131"/>
      <c r="C224" s="120"/>
      <c r="D224" s="125"/>
      <c r="E224" s="107"/>
      <c r="F224" s="122"/>
      <c r="G224" s="22"/>
      <c r="H224" s="123"/>
      <c r="I224" s="126"/>
      <c r="J224" s="130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>
      <c r="A225" s="107"/>
      <c r="B225" s="131"/>
      <c r="C225" s="120"/>
      <c r="D225" s="125"/>
      <c r="E225" s="107"/>
      <c r="F225" s="122"/>
      <c r="G225" s="22"/>
      <c r="H225" s="123"/>
      <c r="I225" s="126"/>
      <c r="J225" s="130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>
      <c r="A226" s="107"/>
      <c r="B226" s="131"/>
      <c r="C226" s="120"/>
      <c r="D226" s="125"/>
      <c r="E226" s="107"/>
      <c r="F226" s="122"/>
      <c r="G226" s="22"/>
      <c r="H226" s="123"/>
      <c r="I226" s="126"/>
      <c r="J226" s="130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>
      <c r="A227" s="107"/>
      <c r="B227" s="131"/>
      <c r="C227" s="120"/>
      <c r="D227" s="125"/>
      <c r="E227" s="107"/>
      <c r="F227" s="122"/>
      <c r="G227" s="22"/>
      <c r="H227" s="123"/>
      <c r="I227" s="126"/>
      <c r="J227" s="130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>
      <c r="A228" s="107"/>
      <c r="B228" s="131"/>
      <c r="C228" s="120"/>
      <c r="D228" s="125"/>
      <c r="E228" s="107"/>
      <c r="F228" s="122"/>
      <c r="G228" s="22"/>
      <c r="H228" s="123"/>
      <c r="I228" s="126"/>
      <c r="J228" s="130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>
      <c r="A229" s="107"/>
      <c r="B229" s="131"/>
      <c r="C229" s="120"/>
      <c r="D229" s="125"/>
      <c r="E229" s="107"/>
      <c r="F229" s="122"/>
      <c r="G229" s="22"/>
      <c r="H229" s="123"/>
      <c r="I229" s="126"/>
      <c r="J229" s="130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>
      <c r="A230" s="107"/>
      <c r="B230" s="131"/>
      <c r="C230" s="120"/>
      <c r="D230" s="125"/>
      <c r="E230" s="107"/>
      <c r="F230" s="122"/>
      <c r="G230" s="22"/>
      <c r="H230" s="123"/>
      <c r="I230" s="126"/>
      <c r="J230" s="130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>
      <c r="A231" s="107"/>
      <c r="B231" s="131"/>
      <c r="C231" s="120"/>
      <c r="D231" s="125"/>
      <c r="E231" s="107"/>
      <c r="F231" s="122"/>
      <c r="G231" s="22"/>
      <c r="H231" s="123"/>
      <c r="I231" s="126"/>
      <c r="J231" s="130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>
      <c r="A232" s="107"/>
      <c r="B232" s="131"/>
      <c r="C232" s="120"/>
      <c r="D232" s="125"/>
      <c r="E232" s="107"/>
      <c r="F232" s="122"/>
      <c r="G232" s="22"/>
      <c r="H232" s="123"/>
      <c r="I232" s="126"/>
      <c r="J232" s="130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>
      <c r="A233" s="107"/>
      <c r="B233" s="131"/>
      <c r="C233" s="120"/>
      <c r="D233" s="125"/>
      <c r="E233" s="107"/>
      <c r="F233" s="122"/>
      <c r="G233" s="22"/>
      <c r="H233" s="123"/>
      <c r="I233" s="126"/>
      <c r="J233" s="130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>
      <c r="A234" s="107"/>
      <c r="B234" s="131"/>
      <c r="C234" s="120"/>
      <c r="D234" s="125"/>
      <c r="E234" s="107"/>
      <c r="F234" s="122"/>
      <c r="G234" s="22"/>
      <c r="H234" s="123"/>
      <c r="I234" s="126"/>
      <c r="J234" s="130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>
      <c r="A235" s="107"/>
      <c r="B235" s="131"/>
      <c r="C235" s="120"/>
      <c r="D235" s="125"/>
      <c r="E235" s="107"/>
      <c r="F235" s="122"/>
      <c r="G235" s="22"/>
      <c r="H235" s="123"/>
      <c r="I235" s="126"/>
      <c r="J235" s="130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>
      <c r="A236" s="107"/>
      <c r="B236" s="131"/>
      <c r="C236" s="120"/>
      <c r="D236" s="125"/>
      <c r="E236" s="107"/>
      <c r="F236" s="122"/>
      <c r="G236" s="22"/>
      <c r="H236" s="123"/>
      <c r="I236" s="126"/>
      <c r="J236" s="130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>
      <c r="A237" s="107"/>
      <c r="B237" s="131"/>
      <c r="C237" s="120"/>
      <c r="D237" s="125"/>
      <c r="E237" s="107"/>
      <c r="F237" s="122"/>
      <c r="G237" s="22"/>
      <c r="H237" s="123"/>
      <c r="I237" s="126"/>
      <c r="J237" s="130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>
      <c r="A238" s="107"/>
      <c r="B238" s="131"/>
      <c r="C238" s="120"/>
      <c r="D238" s="125"/>
      <c r="E238" s="107"/>
      <c r="F238" s="122"/>
      <c r="G238" s="22"/>
      <c r="H238" s="123"/>
      <c r="I238" s="126"/>
      <c r="J238" s="130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>
      <c r="A239" s="107"/>
      <c r="B239" s="131"/>
      <c r="C239" s="120"/>
      <c r="D239" s="125"/>
      <c r="E239" s="107"/>
      <c r="F239" s="122"/>
      <c r="G239" s="22"/>
      <c r="H239" s="123"/>
      <c r="I239" s="126"/>
      <c r="J239" s="130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>
      <c r="A240" s="107"/>
      <c r="B240" s="131"/>
      <c r="C240" s="120"/>
      <c r="D240" s="125"/>
      <c r="E240" s="107"/>
      <c r="F240" s="122"/>
      <c r="G240" s="22"/>
      <c r="H240" s="123"/>
      <c r="I240" s="126"/>
      <c r="J240" s="130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>
      <c r="A241" s="107"/>
      <c r="B241" s="131"/>
      <c r="C241" s="120"/>
      <c r="D241" s="125"/>
      <c r="E241" s="107"/>
      <c r="F241" s="122"/>
      <c r="G241" s="22"/>
      <c r="H241" s="123"/>
      <c r="I241" s="126"/>
      <c r="J241" s="130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>
      <c r="A242" s="107"/>
      <c r="B242" s="131"/>
      <c r="C242" s="120"/>
      <c r="D242" s="125"/>
      <c r="E242" s="107"/>
      <c r="F242" s="122"/>
      <c r="G242" s="22"/>
      <c r="H242" s="123"/>
      <c r="I242" s="126"/>
      <c r="J242" s="130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>
      <c r="A243" s="107"/>
      <c r="B243" s="131"/>
      <c r="C243" s="120"/>
      <c r="D243" s="125"/>
      <c r="E243" s="107"/>
      <c r="F243" s="122"/>
      <c r="G243" s="22"/>
      <c r="H243" s="123"/>
      <c r="I243" s="126"/>
      <c r="J243" s="130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>
      <c r="A244" s="107"/>
      <c r="B244" s="131"/>
      <c r="C244" s="120"/>
      <c r="D244" s="125"/>
      <c r="E244" s="107"/>
      <c r="F244" s="122"/>
      <c r="G244" s="22"/>
      <c r="H244" s="123"/>
      <c r="I244" s="126"/>
      <c r="J244" s="130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>
      <c r="A245" s="107"/>
      <c r="B245" s="131"/>
      <c r="C245" s="120"/>
      <c r="D245" s="125"/>
      <c r="E245" s="107"/>
      <c r="F245" s="122"/>
      <c r="G245" s="22"/>
      <c r="H245" s="123"/>
      <c r="I245" s="126"/>
      <c r="J245" s="130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>
      <c r="A246" s="107"/>
      <c r="B246" s="131"/>
      <c r="C246" s="120"/>
      <c r="D246" s="125"/>
      <c r="E246" s="107"/>
      <c r="F246" s="122"/>
      <c r="G246" s="22"/>
      <c r="H246" s="123"/>
      <c r="I246" s="126"/>
      <c r="J246" s="130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>
      <c r="A247" s="107"/>
      <c r="B247" s="131"/>
      <c r="C247" s="120"/>
      <c r="D247" s="125"/>
      <c r="E247" s="107"/>
      <c r="F247" s="122"/>
      <c r="G247" s="22"/>
      <c r="H247" s="123"/>
      <c r="I247" s="126"/>
      <c r="J247" s="130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>
      <c r="A248" s="107"/>
      <c r="B248" s="131"/>
      <c r="C248" s="120"/>
      <c r="D248" s="125"/>
      <c r="E248" s="107"/>
      <c r="F248" s="122"/>
      <c r="G248" s="22"/>
      <c r="H248" s="123"/>
      <c r="I248" s="126"/>
      <c r="J248" s="130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>
      <c r="A249" s="107"/>
      <c r="B249" s="131"/>
      <c r="C249" s="120"/>
      <c r="D249" s="125"/>
      <c r="E249" s="107"/>
      <c r="F249" s="122"/>
      <c r="G249" s="22"/>
      <c r="H249" s="123"/>
      <c r="I249" s="126"/>
      <c r="J249" s="130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>
      <c r="A250" s="107"/>
      <c r="B250" s="131"/>
      <c r="C250" s="120"/>
      <c r="D250" s="125"/>
      <c r="E250" s="107"/>
      <c r="F250" s="122"/>
      <c r="G250" s="22"/>
      <c r="H250" s="123"/>
      <c r="I250" s="126"/>
      <c r="J250" s="130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>
      <c r="A251" s="107"/>
      <c r="B251" s="131"/>
      <c r="C251" s="120"/>
      <c r="D251" s="125"/>
      <c r="E251" s="107"/>
      <c r="F251" s="122"/>
      <c r="G251" s="22"/>
      <c r="H251" s="123"/>
      <c r="I251" s="126"/>
      <c r="J251" s="130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>
      <c r="A252" s="107"/>
      <c r="B252" s="131"/>
      <c r="C252" s="120"/>
      <c r="D252" s="125"/>
      <c r="E252" s="107"/>
      <c r="F252" s="122"/>
      <c r="G252" s="22"/>
      <c r="H252" s="123"/>
      <c r="I252" s="126"/>
      <c r="J252" s="130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>
      <c r="A253" s="107"/>
      <c r="B253" s="131"/>
      <c r="C253" s="120"/>
      <c r="D253" s="125"/>
      <c r="E253" s="107"/>
      <c r="F253" s="122"/>
      <c r="G253" s="22"/>
      <c r="H253" s="123"/>
      <c r="I253" s="126"/>
      <c r="J253" s="130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>
      <c r="A254" s="107"/>
      <c r="B254" s="131"/>
      <c r="C254" s="120"/>
      <c r="D254" s="125"/>
      <c r="E254" s="107"/>
      <c r="F254" s="122"/>
      <c r="G254" s="22"/>
      <c r="H254" s="123"/>
      <c r="I254" s="126"/>
      <c r="J254" s="130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>
      <c r="A255" s="107"/>
      <c r="B255" s="131"/>
      <c r="C255" s="120"/>
      <c r="D255" s="125"/>
      <c r="E255" s="107"/>
      <c r="F255" s="122"/>
      <c r="G255" s="22"/>
      <c r="H255" s="123"/>
      <c r="I255" s="126"/>
      <c r="J255" s="130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>
      <c r="A256" s="107"/>
      <c r="B256" s="131"/>
      <c r="C256" s="120"/>
      <c r="D256" s="125"/>
      <c r="E256" s="107"/>
      <c r="F256" s="122"/>
      <c r="G256" s="22"/>
      <c r="H256" s="123"/>
      <c r="I256" s="126"/>
      <c r="J256" s="130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>
      <c r="A257" s="107"/>
      <c r="B257" s="131"/>
      <c r="C257" s="120"/>
      <c r="D257" s="125"/>
      <c r="E257" s="107"/>
      <c r="F257" s="122"/>
      <c r="G257" s="22"/>
      <c r="H257" s="123"/>
      <c r="I257" s="126"/>
      <c r="J257" s="130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>
      <c r="A258" s="107"/>
      <c r="B258" s="131"/>
      <c r="C258" s="120"/>
      <c r="D258" s="125"/>
      <c r="E258" s="107"/>
      <c r="F258" s="122"/>
      <c r="G258" s="22"/>
      <c r="H258" s="123"/>
      <c r="I258" s="126"/>
      <c r="J258" s="130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>
      <c r="A259" s="107"/>
      <c r="B259" s="131"/>
      <c r="C259" s="120"/>
      <c r="D259" s="125"/>
      <c r="E259" s="107"/>
      <c r="F259" s="122"/>
      <c r="G259" s="22"/>
      <c r="H259" s="123"/>
      <c r="I259" s="126"/>
      <c r="J259" s="130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>
      <c r="A260" s="107"/>
      <c r="B260" s="131"/>
      <c r="C260" s="120"/>
      <c r="D260" s="125"/>
      <c r="E260" s="107"/>
      <c r="F260" s="122"/>
      <c r="G260" s="22"/>
      <c r="H260" s="123"/>
      <c r="I260" s="126"/>
      <c r="J260" s="130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>
      <c r="A261" s="107"/>
      <c r="B261" s="131"/>
      <c r="C261" s="120"/>
      <c r="D261" s="125"/>
      <c r="E261" s="107"/>
      <c r="F261" s="122"/>
      <c r="G261" s="22"/>
      <c r="H261" s="123"/>
      <c r="I261" s="126"/>
      <c r="J261" s="130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>
      <c r="A262" s="107"/>
      <c r="B262" s="131"/>
      <c r="C262" s="120"/>
      <c r="D262" s="125"/>
      <c r="E262" s="107"/>
      <c r="F262" s="122"/>
      <c r="G262" s="22"/>
      <c r="H262" s="123"/>
      <c r="I262" s="126"/>
      <c r="J262" s="130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>
      <c r="A263" s="107"/>
      <c r="B263" s="131"/>
      <c r="C263" s="120"/>
      <c r="D263" s="125"/>
      <c r="E263" s="107"/>
      <c r="F263" s="122"/>
      <c r="G263" s="22"/>
      <c r="H263" s="123"/>
      <c r="I263" s="126"/>
      <c r="J263" s="130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>
      <c r="A264" s="107"/>
      <c r="B264" s="131"/>
      <c r="C264" s="120"/>
      <c r="D264" s="125"/>
      <c r="E264" s="107"/>
      <c r="F264" s="122"/>
      <c r="G264" s="22"/>
      <c r="H264" s="123"/>
      <c r="I264" s="126"/>
      <c r="J264" s="130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>
      <c r="A265" s="107"/>
      <c r="B265" s="131"/>
      <c r="C265" s="120"/>
      <c r="D265" s="125"/>
      <c r="E265" s="107"/>
      <c r="F265" s="122"/>
      <c r="G265" s="22"/>
      <c r="H265" s="123"/>
      <c r="I265" s="126"/>
      <c r="J265" s="130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>
      <c r="A266" s="107"/>
      <c r="B266" s="131"/>
      <c r="C266" s="120"/>
      <c r="D266" s="125"/>
      <c r="E266" s="107"/>
      <c r="F266" s="122"/>
      <c r="G266" s="22"/>
      <c r="H266" s="123"/>
      <c r="I266" s="126"/>
      <c r="J266" s="130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>
      <c r="A267" s="107"/>
      <c r="B267" s="131"/>
      <c r="C267" s="120"/>
      <c r="D267" s="125"/>
      <c r="E267" s="107"/>
      <c r="F267" s="122"/>
      <c r="G267" s="22"/>
      <c r="H267" s="123"/>
      <c r="I267" s="126"/>
      <c r="J267" s="130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>
      <c r="A268" s="107"/>
      <c r="B268" s="131"/>
      <c r="C268" s="120"/>
      <c r="D268" s="125"/>
      <c r="E268" s="107"/>
      <c r="F268" s="122"/>
      <c r="G268" s="22"/>
      <c r="H268" s="123"/>
      <c r="I268" s="126"/>
      <c r="J268" s="130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>
      <c r="A269" s="107"/>
      <c r="B269" s="131"/>
      <c r="C269" s="120"/>
      <c r="D269" s="125"/>
      <c r="E269" s="107"/>
      <c r="F269" s="122"/>
      <c r="G269" s="22"/>
      <c r="H269" s="123"/>
      <c r="I269" s="126"/>
      <c r="J269" s="130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>
      <c r="A270" s="107"/>
      <c r="B270" s="131"/>
      <c r="C270" s="120"/>
      <c r="D270" s="125"/>
      <c r="E270" s="107"/>
      <c r="F270" s="122"/>
      <c r="G270" s="22"/>
      <c r="H270" s="123"/>
      <c r="I270" s="126"/>
      <c r="J270" s="130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>
      <c r="A271" s="107"/>
      <c r="B271" s="131"/>
      <c r="C271" s="120"/>
      <c r="D271" s="125"/>
      <c r="E271" s="107"/>
      <c r="F271" s="122"/>
      <c r="G271" s="22"/>
      <c r="H271" s="123"/>
      <c r="I271" s="126"/>
      <c r="J271" s="130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>
      <c r="A272" s="107"/>
      <c r="B272" s="131"/>
      <c r="C272" s="120"/>
      <c r="D272" s="125"/>
      <c r="E272" s="107"/>
      <c r="F272" s="122"/>
      <c r="G272" s="22"/>
      <c r="H272" s="123"/>
      <c r="I272" s="126"/>
      <c r="J272" s="130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>
      <c r="A273" s="107"/>
      <c r="B273" s="131"/>
      <c r="C273" s="120"/>
      <c r="D273" s="125"/>
      <c r="E273" s="107"/>
      <c r="F273" s="122"/>
      <c r="G273" s="22"/>
      <c r="H273" s="123"/>
      <c r="I273" s="126"/>
      <c r="J273" s="130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>
      <c r="A274" s="107"/>
      <c r="B274" s="131"/>
      <c r="C274" s="120"/>
      <c r="D274" s="125"/>
      <c r="E274" s="107"/>
      <c r="F274" s="122"/>
      <c r="G274" s="22"/>
      <c r="H274" s="123"/>
      <c r="I274" s="126"/>
      <c r="J274" s="130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>
      <c r="A275" s="107"/>
      <c r="B275" s="131"/>
      <c r="C275" s="120"/>
      <c r="D275" s="125"/>
      <c r="E275" s="107"/>
      <c r="F275" s="122"/>
      <c r="G275" s="22"/>
      <c r="H275" s="123"/>
      <c r="I275" s="126"/>
      <c r="J275" s="130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>
      <c r="A276" s="107"/>
      <c r="B276" s="131"/>
      <c r="C276" s="120"/>
      <c r="D276" s="125"/>
      <c r="E276" s="107"/>
      <c r="F276" s="122"/>
      <c r="G276" s="22"/>
      <c r="H276" s="123"/>
      <c r="I276" s="126"/>
      <c r="J276" s="130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>
      <c r="A277" s="107"/>
      <c r="B277" s="131"/>
      <c r="C277" s="120"/>
      <c r="D277" s="125"/>
      <c r="E277" s="107"/>
      <c r="F277" s="122"/>
      <c r="G277" s="22"/>
      <c r="H277" s="123"/>
      <c r="I277" s="126"/>
      <c r="J277" s="130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>
      <c r="A278" s="107"/>
      <c r="B278" s="131"/>
      <c r="C278" s="120"/>
      <c r="D278" s="125"/>
      <c r="E278" s="107"/>
      <c r="F278" s="122"/>
      <c r="G278" s="22"/>
      <c r="H278" s="123"/>
      <c r="I278" s="126"/>
      <c r="J278" s="130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>
      <c r="A279" s="107"/>
      <c r="B279" s="131"/>
      <c r="C279" s="120"/>
      <c r="D279" s="125"/>
      <c r="E279" s="107"/>
      <c r="F279" s="122"/>
      <c r="G279" s="22"/>
      <c r="H279" s="123"/>
      <c r="I279" s="126"/>
      <c r="J279" s="130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>
      <c r="A280" s="107"/>
      <c r="B280" s="131"/>
      <c r="C280" s="120"/>
      <c r="D280" s="125"/>
      <c r="E280" s="107"/>
      <c r="F280" s="122"/>
      <c r="G280" s="22"/>
      <c r="H280" s="123"/>
      <c r="I280" s="126"/>
      <c r="J280" s="130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>
      <c r="A281" s="107"/>
      <c r="B281" s="131"/>
      <c r="C281" s="120"/>
      <c r="D281" s="125"/>
      <c r="E281" s="107"/>
      <c r="F281" s="122"/>
      <c r="G281" s="22"/>
      <c r="H281" s="123"/>
      <c r="I281" s="126"/>
      <c r="J281" s="130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>
      <c r="A282" s="107"/>
      <c r="B282" s="131"/>
      <c r="C282" s="120"/>
      <c r="D282" s="125"/>
      <c r="E282" s="107"/>
      <c r="F282" s="122"/>
      <c r="G282" s="22"/>
      <c r="H282" s="123"/>
      <c r="I282" s="126"/>
      <c r="J282" s="130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>
      <c r="A283" s="107"/>
      <c r="B283" s="131"/>
      <c r="C283" s="120"/>
      <c r="D283" s="125"/>
      <c r="E283" s="107"/>
      <c r="F283" s="122"/>
      <c r="G283" s="22"/>
      <c r="H283" s="123"/>
      <c r="I283" s="126"/>
      <c r="J283" s="130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>
      <c r="A284" s="107"/>
      <c r="B284" s="131"/>
      <c r="C284" s="120"/>
      <c r="D284" s="125"/>
      <c r="E284" s="107"/>
      <c r="F284" s="122"/>
      <c r="G284" s="22"/>
      <c r="H284" s="123"/>
      <c r="I284" s="126"/>
      <c r="J284" s="130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>
      <c r="A285" s="107"/>
      <c r="B285" s="131"/>
      <c r="C285" s="120"/>
      <c r="D285" s="125"/>
      <c r="E285" s="107"/>
      <c r="F285" s="122"/>
      <c r="G285" s="22"/>
      <c r="H285" s="123"/>
      <c r="I285" s="126"/>
      <c r="J285" s="130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>
      <c r="A286" s="107"/>
      <c r="B286" s="131"/>
      <c r="C286" s="120"/>
      <c r="D286" s="125"/>
      <c r="E286" s="107"/>
      <c r="F286" s="122"/>
      <c r="G286" s="22"/>
      <c r="H286" s="123"/>
      <c r="I286" s="126"/>
      <c r="J286" s="130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>
      <c r="A287" s="107"/>
      <c r="B287" s="131"/>
      <c r="C287" s="120"/>
      <c r="D287" s="125"/>
      <c r="E287" s="107"/>
      <c r="F287" s="122"/>
      <c r="G287" s="22"/>
      <c r="H287" s="123"/>
      <c r="I287" s="126"/>
      <c r="J287" s="130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>
      <c r="A288" s="107"/>
      <c r="B288" s="131"/>
      <c r="C288" s="120"/>
      <c r="D288" s="125"/>
      <c r="E288" s="107"/>
      <c r="F288" s="122"/>
      <c r="G288" s="22"/>
      <c r="H288" s="123"/>
      <c r="I288" s="126"/>
      <c r="J288" s="130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>
      <c r="A289" s="107"/>
      <c r="B289" s="131"/>
      <c r="C289" s="120"/>
      <c r="D289" s="125"/>
      <c r="E289" s="107"/>
      <c r="F289" s="122"/>
      <c r="G289" s="22"/>
      <c r="H289" s="123"/>
      <c r="I289" s="126"/>
      <c r="J289" s="130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>
      <c r="A290" s="107"/>
      <c r="B290" s="131"/>
      <c r="C290" s="120"/>
      <c r="D290" s="125"/>
      <c r="E290" s="107"/>
      <c r="F290" s="122"/>
      <c r="G290" s="22"/>
      <c r="H290" s="123"/>
      <c r="I290" s="126"/>
      <c r="J290" s="130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>
      <c r="A291" s="107"/>
      <c r="B291" s="131"/>
      <c r="C291" s="120"/>
      <c r="D291" s="125"/>
      <c r="E291" s="107"/>
      <c r="F291" s="122"/>
      <c r="G291" s="22"/>
      <c r="H291" s="123"/>
      <c r="I291" s="126"/>
      <c r="J291" s="130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>
      <c r="A292" s="107"/>
      <c r="B292" s="131"/>
      <c r="C292" s="120"/>
      <c r="D292" s="125"/>
      <c r="E292" s="107"/>
      <c r="F292" s="122"/>
      <c r="G292" s="22"/>
      <c r="H292" s="123"/>
      <c r="I292" s="126"/>
      <c r="J292" s="130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>
      <c r="A293" s="107"/>
      <c r="B293" s="131"/>
      <c r="C293" s="120"/>
      <c r="D293" s="125"/>
      <c r="E293" s="107"/>
      <c r="F293" s="122"/>
      <c r="G293" s="22"/>
      <c r="H293" s="123"/>
      <c r="I293" s="126"/>
      <c r="J293" s="130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>
      <c r="A294" s="107"/>
      <c r="B294" s="131"/>
      <c r="C294" s="120"/>
      <c r="D294" s="125"/>
      <c r="E294" s="107"/>
      <c r="F294" s="122"/>
      <c r="G294" s="22"/>
      <c r="H294" s="123"/>
      <c r="I294" s="126"/>
      <c r="J294" s="130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>
      <c r="A295" s="107"/>
      <c r="B295" s="131"/>
      <c r="C295" s="120"/>
      <c r="D295" s="125"/>
      <c r="E295" s="107"/>
      <c r="F295" s="122"/>
      <c r="G295" s="22"/>
      <c r="H295" s="123"/>
      <c r="I295" s="126"/>
      <c r="J295" s="130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>
      <c r="A296" s="107"/>
      <c r="B296" s="131"/>
      <c r="C296" s="120"/>
      <c r="D296" s="125"/>
      <c r="E296" s="107"/>
      <c r="F296" s="122"/>
      <c r="G296" s="22"/>
      <c r="H296" s="123"/>
      <c r="I296" s="126"/>
      <c r="J296" s="130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>
      <c r="A297" s="107"/>
      <c r="B297" s="131"/>
      <c r="C297" s="120"/>
      <c r="D297" s="125"/>
      <c r="E297" s="107"/>
      <c r="F297" s="122"/>
      <c r="G297" s="22"/>
      <c r="H297" s="123"/>
      <c r="I297" s="126"/>
      <c r="J297" s="130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>
      <c r="A298" s="107"/>
      <c r="B298" s="131"/>
      <c r="C298" s="120"/>
      <c r="D298" s="125"/>
      <c r="E298" s="107"/>
      <c r="F298" s="122"/>
      <c r="G298" s="22"/>
      <c r="H298" s="123"/>
      <c r="I298" s="126"/>
      <c r="J298" s="130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>
      <c r="A299" s="107"/>
      <c r="B299" s="131"/>
      <c r="C299" s="120"/>
      <c r="D299" s="125"/>
      <c r="E299" s="107"/>
      <c r="F299" s="122"/>
      <c r="G299" s="22"/>
      <c r="H299" s="123"/>
      <c r="I299" s="126"/>
      <c r="J299" s="130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>
      <c r="A300" s="107"/>
      <c r="B300" s="131"/>
      <c r="C300" s="120"/>
      <c r="D300" s="125"/>
      <c r="E300" s="107"/>
      <c r="F300" s="122"/>
      <c r="G300" s="22"/>
      <c r="H300" s="123"/>
      <c r="I300" s="126"/>
      <c r="J300" s="130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>
      <c r="A301" s="107"/>
      <c r="B301" s="131"/>
      <c r="C301" s="120"/>
      <c r="D301" s="125"/>
      <c r="E301" s="107"/>
      <c r="F301" s="122"/>
      <c r="G301" s="22"/>
      <c r="H301" s="123"/>
      <c r="I301" s="126"/>
      <c r="J301" s="130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>
      <c r="A302" s="107"/>
      <c r="B302" s="131"/>
      <c r="C302" s="120"/>
      <c r="D302" s="125"/>
      <c r="E302" s="107"/>
      <c r="F302" s="122"/>
      <c r="G302" s="22"/>
      <c r="H302" s="123"/>
      <c r="I302" s="126"/>
      <c r="J302" s="130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>
      <c r="A303" s="107"/>
      <c r="B303" s="131"/>
      <c r="C303" s="120"/>
      <c r="D303" s="125"/>
      <c r="E303" s="107"/>
      <c r="F303" s="122"/>
      <c r="G303" s="22"/>
      <c r="H303" s="123"/>
      <c r="I303" s="126"/>
      <c r="J303" s="130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>
      <c r="A304" s="107"/>
      <c r="B304" s="131"/>
      <c r="C304" s="120"/>
      <c r="D304" s="125"/>
      <c r="E304" s="107"/>
      <c r="F304" s="122"/>
      <c r="G304" s="22"/>
      <c r="H304" s="123"/>
      <c r="I304" s="126"/>
      <c r="J304" s="130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>
      <c r="A305" s="107"/>
      <c r="B305" s="131"/>
      <c r="C305" s="120"/>
      <c r="D305" s="125"/>
      <c r="E305" s="107"/>
      <c r="F305" s="122"/>
      <c r="G305" s="22"/>
      <c r="H305" s="123"/>
      <c r="I305" s="126"/>
      <c r="J305" s="130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>
      <c r="A306" s="107"/>
      <c r="B306" s="131"/>
      <c r="C306" s="120"/>
      <c r="D306" s="125"/>
      <c r="E306" s="107"/>
      <c r="F306" s="122"/>
      <c r="G306" s="22"/>
      <c r="H306" s="123"/>
      <c r="I306" s="126"/>
      <c r="J306" s="130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>
      <c r="A307" s="107"/>
      <c r="B307" s="131"/>
      <c r="C307" s="120"/>
      <c r="D307" s="125"/>
      <c r="E307" s="107"/>
      <c r="F307" s="122"/>
      <c r="G307" s="22"/>
      <c r="H307" s="123"/>
      <c r="I307" s="126"/>
      <c r="J307" s="130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>
      <c r="A308" s="107"/>
      <c r="B308" s="131"/>
      <c r="C308" s="120"/>
      <c r="D308" s="125"/>
      <c r="E308" s="107"/>
      <c r="F308" s="122"/>
      <c r="G308" s="22"/>
      <c r="H308" s="123"/>
      <c r="I308" s="126"/>
      <c r="J308" s="130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>
      <c r="A309" s="107"/>
      <c r="B309" s="131"/>
      <c r="C309" s="120"/>
      <c r="D309" s="125"/>
      <c r="E309" s="107"/>
      <c r="F309" s="122"/>
      <c r="G309" s="22"/>
      <c r="H309" s="123"/>
      <c r="I309" s="126"/>
      <c r="J309" s="130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>
      <c r="A310" s="107"/>
      <c r="B310" s="131"/>
      <c r="C310" s="120"/>
      <c r="D310" s="125"/>
      <c r="E310" s="107"/>
      <c r="F310" s="122"/>
      <c r="G310" s="22"/>
      <c r="H310" s="123"/>
      <c r="I310" s="126"/>
      <c r="J310" s="130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>
      <c r="A311" s="107"/>
      <c r="B311" s="131"/>
      <c r="C311" s="120"/>
      <c r="D311" s="125"/>
      <c r="E311" s="107"/>
      <c r="F311" s="122"/>
      <c r="G311" s="22"/>
      <c r="H311" s="123"/>
      <c r="I311" s="126"/>
      <c r="J311" s="130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>
      <c r="A312" s="107"/>
      <c r="B312" s="131"/>
      <c r="C312" s="120"/>
      <c r="D312" s="125"/>
      <c r="E312" s="107"/>
      <c r="F312" s="122"/>
      <c r="G312" s="22"/>
      <c r="H312" s="123"/>
      <c r="I312" s="126"/>
      <c r="J312" s="130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>
      <c r="A313" s="107"/>
      <c r="B313" s="131"/>
      <c r="C313" s="120"/>
      <c r="D313" s="125"/>
      <c r="E313" s="107"/>
      <c r="F313" s="122"/>
      <c r="G313" s="22"/>
      <c r="H313" s="123"/>
      <c r="I313" s="126"/>
      <c r="J313" s="130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>
      <c r="A314" s="107"/>
      <c r="B314" s="131"/>
      <c r="C314" s="120"/>
      <c r="D314" s="125"/>
      <c r="E314" s="107"/>
      <c r="F314" s="122"/>
      <c r="G314" s="22"/>
      <c r="H314" s="123"/>
      <c r="I314" s="126"/>
      <c r="J314" s="130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>
      <c r="A315" s="107"/>
      <c r="B315" s="131"/>
      <c r="C315" s="120"/>
      <c r="D315" s="125"/>
      <c r="E315" s="107"/>
      <c r="F315" s="122"/>
      <c r="G315" s="22"/>
      <c r="H315" s="123"/>
      <c r="I315" s="126"/>
      <c r="J315" s="130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>
      <c r="A316" s="107"/>
      <c r="B316" s="131"/>
      <c r="C316" s="120"/>
      <c r="D316" s="125"/>
      <c r="E316" s="107"/>
      <c r="F316" s="122"/>
      <c r="G316" s="22"/>
      <c r="H316" s="123"/>
      <c r="I316" s="126"/>
      <c r="J316" s="130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>
      <c r="A317" s="107"/>
      <c r="B317" s="131"/>
      <c r="C317" s="120"/>
      <c r="D317" s="125"/>
      <c r="E317" s="107"/>
      <c r="F317" s="122"/>
      <c r="G317" s="22"/>
      <c r="H317" s="123"/>
      <c r="I317" s="126"/>
      <c r="J317" s="130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>
      <c r="A318" s="107"/>
      <c r="B318" s="131"/>
      <c r="C318" s="120"/>
      <c r="D318" s="125"/>
      <c r="E318" s="107"/>
      <c r="F318" s="122"/>
      <c r="G318" s="22"/>
      <c r="H318" s="123"/>
      <c r="I318" s="126"/>
      <c r="J318" s="130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>
      <c r="A319" s="107"/>
      <c r="B319" s="131"/>
      <c r="C319" s="120"/>
      <c r="D319" s="125"/>
      <c r="E319" s="107"/>
      <c r="F319" s="122"/>
      <c r="G319" s="22"/>
      <c r="H319" s="123"/>
      <c r="I319" s="126"/>
      <c r="J319" s="130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>
      <c r="A320" s="107"/>
      <c r="B320" s="131"/>
      <c r="C320" s="120"/>
      <c r="D320" s="125"/>
      <c r="E320" s="107"/>
      <c r="F320" s="122"/>
      <c r="G320" s="22"/>
      <c r="H320" s="123"/>
      <c r="I320" s="126"/>
      <c r="J320" s="130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>
      <c r="A321" s="107"/>
      <c r="B321" s="131"/>
      <c r="C321" s="120"/>
      <c r="D321" s="125"/>
      <c r="E321" s="107"/>
      <c r="F321" s="122"/>
      <c r="G321" s="22"/>
      <c r="H321" s="123"/>
      <c r="I321" s="126"/>
      <c r="J321" s="130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>
      <c r="A322" s="107"/>
      <c r="B322" s="131"/>
      <c r="C322" s="120"/>
      <c r="D322" s="125"/>
      <c r="E322" s="107"/>
      <c r="F322" s="122"/>
      <c r="G322" s="22"/>
      <c r="H322" s="123"/>
      <c r="I322" s="126"/>
      <c r="J322" s="130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>
      <c r="A323" s="107"/>
      <c r="B323" s="131"/>
      <c r="C323" s="120"/>
      <c r="D323" s="125"/>
      <c r="E323" s="107"/>
      <c r="F323" s="122"/>
      <c r="G323" s="22"/>
      <c r="H323" s="123"/>
      <c r="I323" s="126"/>
      <c r="J323" s="130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>
      <c r="A324" s="107"/>
      <c r="B324" s="131"/>
      <c r="C324" s="120"/>
      <c r="D324" s="125"/>
      <c r="E324" s="107"/>
      <c r="F324" s="122"/>
      <c r="G324" s="22"/>
      <c r="H324" s="123"/>
      <c r="I324" s="126"/>
      <c r="J324" s="130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>
      <c r="A325" s="107"/>
      <c r="B325" s="131"/>
      <c r="C325" s="120"/>
      <c r="D325" s="125"/>
      <c r="E325" s="107"/>
      <c r="F325" s="122"/>
      <c r="G325" s="22"/>
      <c r="H325" s="123"/>
      <c r="I325" s="126"/>
      <c r="J325" s="130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>
      <c r="A326" s="107"/>
      <c r="B326" s="131"/>
      <c r="C326" s="120"/>
      <c r="D326" s="125"/>
      <c r="E326" s="107"/>
      <c r="F326" s="122"/>
      <c r="G326" s="22"/>
      <c r="H326" s="123"/>
      <c r="I326" s="126"/>
      <c r="J326" s="130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>
      <c r="A327" s="107"/>
      <c r="B327" s="131"/>
      <c r="C327" s="120"/>
      <c r="D327" s="125"/>
      <c r="E327" s="107"/>
      <c r="F327" s="122"/>
      <c r="G327" s="22"/>
      <c r="H327" s="123"/>
      <c r="I327" s="126"/>
      <c r="J327" s="130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>
      <c r="A328" s="107"/>
      <c r="B328" s="131"/>
      <c r="C328" s="120"/>
      <c r="D328" s="125"/>
      <c r="E328" s="107"/>
      <c r="F328" s="122"/>
      <c r="G328" s="22"/>
      <c r="H328" s="123"/>
      <c r="I328" s="126"/>
      <c r="J328" s="130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>
      <c r="A329" s="107"/>
      <c r="B329" s="131"/>
      <c r="C329" s="120"/>
      <c r="D329" s="125"/>
      <c r="E329" s="107"/>
      <c r="F329" s="122"/>
      <c r="G329" s="22"/>
      <c r="H329" s="123"/>
      <c r="I329" s="126"/>
      <c r="J329" s="130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>
      <c r="A330" s="107"/>
      <c r="B330" s="131"/>
      <c r="C330" s="120"/>
      <c r="D330" s="125"/>
      <c r="E330" s="107"/>
      <c r="F330" s="122"/>
      <c r="G330" s="22"/>
      <c r="H330" s="123"/>
      <c r="I330" s="126"/>
      <c r="J330" s="130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>
      <c r="A331" s="107"/>
      <c r="B331" s="131"/>
      <c r="C331" s="120"/>
      <c r="D331" s="125"/>
      <c r="E331" s="107"/>
      <c r="F331" s="122"/>
      <c r="G331" s="22"/>
      <c r="H331" s="123"/>
      <c r="I331" s="126"/>
      <c r="J331" s="130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>
      <c r="A332" s="107"/>
      <c r="B332" s="131"/>
      <c r="C332" s="120"/>
      <c r="D332" s="125"/>
      <c r="E332" s="107"/>
      <c r="F332" s="122"/>
      <c r="G332" s="22"/>
      <c r="H332" s="123"/>
      <c r="I332" s="126"/>
      <c r="J332" s="130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>
      <c r="A333" s="107"/>
      <c r="B333" s="131"/>
      <c r="C333" s="120"/>
      <c r="D333" s="125"/>
      <c r="E333" s="107"/>
      <c r="F333" s="122"/>
      <c r="G333" s="22"/>
      <c r="H333" s="123"/>
      <c r="I333" s="126"/>
      <c r="J333" s="130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>
      <c r="A334" s="107"/>
      <c r="B334" s="131"/>
      <c r="C334" s="120"/>
      <c r="D334" s="125"/>
      <c r="E334" s="107"/>
      <c r="F334" s="122"/>
      <c r="G334" s="22"/>
      <c r="H334" s="123"/>
      <c r="I334" s="126"/>
      <c r="J334" s="130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>
      <c r="A335" s="107"/>
      <c r="B335" s="131"/>
      <c r="C335" s="120"/>
      <c r="D335" s="125"/>
      <c r="E335" s="107"/>
      <c r="F335" s="122"/>
      <c r="G335" s="22"/>
      <c r="H335" s="123"/>
      <c r="I335" s="126"/>
      <c r="J335" s="130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>
      <c r="A336" s="107"/>
      <c r="B336" s="131"/>
      <c r="C336" s="120"/>
      <c r="D336" s="125"/>
      <c r="E336" s="107"/>
      <c r="F336" s="122"/>
      <c r="G336" s="22"/>
      <c r="H336" s="123"/>
      <c r="I336" s="126"/>
      <c r="J336" s="130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>
      <c r="A337" s="107"/>
      <c r="B337" s="131"/>
      <c r="C337" s="120"/>
      <c r="D337" s="125"/>
      <c r="E337" s="107"/>
      <c r="F337" s="122"/>
      <c r="G337" s="22"/>
      <c r="H337" s="123"/>
      <c r="I337" s="126"/>
      <c r="J337" s="130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>
      <c r="A338" s="107"/>
      <c r="B338" s="131"/>
      <c r="C338" s="120"/>
      <c r="D338" s="125"/>
      <c r="E338" s="107"/>
      <c r="F338" s="122"/>
      <c r="G338" s="22"/>
      <c r="H338" s="123"/>
      <c r="I338" s="126"/>
      <c r="J338" s="130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>
      <c r="A339" s="107"/>
      <c r="B339" s="131"/>
      <c r="C339" s="120"/>
      <c r="D339" s="125"/>
      <c r="E339" s="107"/>
      <c r="F339" s="122"/>
      <c r="G339" s="22"/>
      <c r="H339" s="123"/>
      <c r="I339" s="126"/>
      <c r="J339" s="130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>
      <c r="A340" s="107"/>
      <c r="B340" s="131"/>
      <c r="C340" s="120"/>
      <c r="D340" s="125"/>
      <c r="E340" s="107"/>
      <c r="F340" s="122"/>
      <c r="G340" s="22"/>
      <c r="H340" s="123"/>
      <c r="I340" s="126"/>
      <c r="J340" s="130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>
      <c r="A341" s="107"/>
      <c r="B341" s="131"/>
      <c r="C341" s="120"/>
      <c r="D341" s="125"/>
      <c r="E341" s="107"/>
      <c r="F341" s="122"/>
      <c r="G341" s="22"/>
      <c r="H341" s="123"/>
      <c r="I341" s="126"/>
      <c r="J341" s="130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>
      <c r="A342" s="107"/>
      <c r="B342" s="131"/>
      <c r="C342" s="120"/>
      <c r="D342" s="125"/>
      <c r="E342" s="107"/>
      <c r="F342" s="122"/>
      <c r="G342" s="22"/>
      <c r="H342" s="123"/>
      <c r="I342" s="126"/>
      <c r="J342" s="130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>
      <c r="A343" s="107"/>
      <c r="B343" s="131"/>
      <c r="C343" s="120"/>
      <c r="D343" s="125"/>
      <c r="E343" s="107"/>
      <c r="F343" s="122"/>
      <c r="G343" s="22"/>
      <c r="H343" s="123"/>
      <c r="I343" s="126"/>
      <c r="J343" s="130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>
      <c r="A344" s="107"/>
      <c r="B344" s="131"/>
      <c r="C344" s="120"/>
      <c r="D344" s="125"/>
      <c r="E344" s="107"/>
      <c r="F344" s="122"/>
      <c r="G344" s="22"/>
      <c r="H344" s="123"/>
      <c r="I344" s="126"/>
      <c r="J344" s="130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>
      <c r="A345" s="107"/>
      <c r="B345" s="131"/>
      <c r="C345" s="120"/>
      <c r="D345" s="125"/>
      <c r="E345" s="107"/>
      <c r="F345" s="122"/>
      <c r="G345" s="22"/>
      <c r="H345" s="123"/>
      <c r="I345" s="126"/>
      <c r="J345" s="130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>
      <c r="A346" s="107"/>
      <c r="B346" s="131"/>
      <c r="C346" s="120"/>
      <c r="D346" s="125"/>
      <c r="E346" s="107"/>
      <c r="F346" s="122"/>
      <c r="G346" s="22"/>
      <c r="H346" s="123"/>
      <c r="I346" s="126"/>
      <c r="J346" s="130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>
      <c r="A347" s="107"/>
      <c r="B347" s="131"/>
      <c r="C347" s="120"/>
      <c r="D347" s="125"/>
      <c r="E347" s="107"/>
      <c r="F347" s="122"/>
      <c r="G347" s="22"/>
      <c r="H347" s="123"/>
      <c r="I347" s="126"/>
      <c r="J347" s="130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>
      <c r="A348" s="107"/>
      <c r="B348" s="131"/>
      <c r="C348" s="120"/>
      <c r="D348" s="125"/>
      <c r="E348" s="107"/>
      <c r="F348" s="122"/>
      <c r="G348" s="22"/>
      <c r="H348" s="123"/>
      <c r="I348" s="126"/>
      <c r="J348" s="130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>
      <c r="A349" s="107"/>
      <c r="B349" s="131"/>
      <c r="C349" s="120"/>
      <c r="D349" s="125"/>
      <c r="E349" s="107"/>
      <c r="F349" s="122"/>
      <c r="G349" s="22"/>
      <c r="H349" s="123"/>
      <c r="I349" s="126"/>
      <c r="J349" s="130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>
      <c r="A350" s="107"/>
      <c r="B350" s="131"/>
      <c r="C350" s="120"/>
      <c r="D350" s="125"/>
      <c r="E350" s="107"/>
      <c r="F350" s="122"/>
      <c r="G350" s="22"/>
      <c r="H350" s="123"/>
      <c r="I350" s="126"/>
      <c r="J350" s="130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>
      <c r="A351" s="107"/>
      <c r="B351" s="131"/>
      <c r="C351" s="120"/>
      <c r="D351" s="125"/>
      <c r="E351" s="107"/>
      <c r="F351" s="122"/>
      <c r="G351" s="22"/>
      <c r="H351" s="123"/>
      <c r="I351" s="126"/>
      <c r="J351" s="130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>
      <c r="A352" s="107"/>
      <c r="B352" s="131"/>
      <c r="C352" s="120"/>
      <c r="D352" s="125"/>
      <c r="E352" s="107"/>
      <c r="F352" s="122"/>
      <c r="G352" s="22"/>
      <c r="H352" s="123"/>
      <c r="I352" s="126"/>
      <c r="J352" s="130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>
      <c r="A353" s="107"/>
      <c r="B353" s="131"/>
      <c r="C353" s="120"/>
      <c r="D353" s="125"/>
      <c r="E353" s="107"/>
      <c r="F353" s="122"/>
      <c r="G353" s="22"/>
      <c r="H353" s="123"/>
      <c r="I353" s="126"/>
      <c r="J353" s="130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>
      <c r="A354" s="107"/>
      <c r="B354" s="131"/>
      <c r="C354" s="120"/>
      <c r="D354" s="125"/>
      <c r="E354" s="107"/>
      <c r="F354" s="122"/>
      <c r="G354" s="22"/>
      <c r="H354" s="123"/>
      <c r="I354" s="126"/>
      <c r="J354" s="130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>
      <c r="A355" s="107"/>
      <c r="B355" s="131"/>
      <c r="C355" s="120"/>
      <c r="D355" s="125"/>
      <c r="E355" s="107"/>
      <c r="F355" s="122"/>
      <c r="G355" s="22"/>
      <c r="H355" s="123"/>
      <c r="I355" s="126"/>
      <c r="J355" s="130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>
      <c r="A356" s="107"/>
      <c r="B356" s="131"/>
      <c r="C356" s="120"/>
      <c r="D356" s="125"/>
      <c r="E356" s="107"/>
      <c r="F356" s="122"/>
      <c r="G356" s="22"/>
      <c r="H356" s="123"/>
      <c r="I356" s="126"/>
      <c r="J356" s="130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>
      <c r="A357" s="107"/>
      <c r="B357" s="131"/>
      <c r="C357" s="120"/>
      <c r="D357" s="125"/>
      <c r="E357" s="107"/>
      <c r="F357" s="122"/>
      <c r="G357" s="22"/>
      <c r="H357" s="123"/>
      <c r="I357" s="126"/>
      <c r="J357" s="130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>
      <c r="A358" s="107"/>
      <c r="B358" s="131"/>
      <c r="C358" s="120"/>
      <c r="D358" s="125"/>
      <c r="E358" s="107"/>
      <c r="F358" s="122"/>
      <c r="G358" s="22"/>
      <c r="H358" s="123"/>
      <c r="I358" s="126"/>
      <c r="J358" s="130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>
      <c r="A359" s="107"/>
      <c r="B359" s="131"/>
      <c r="C359" s="120"/>
      <c r="D359" s="125"/>
      <c r="E359" s="107"/>
      <c r="F359" s="122"/>
      <c r="G359" s="22"/>
      <c r="H359" s="123"/>
      <c r="I359" s="126"/>
      <c r="J359" s="130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>
      <c r="A360" s="107"/>
      <c r="B360" s="131"/>
      <c r="C360" s="120"/>
      <c r="D360" s="125"/>
      <c r="E360" s="107"/>
      <c r="F360" s="122"/>
      <c r="G360" s="22"/>
      <c r="H360" s="123"/>
      <c r="I360" s="126"/>
      <c r="J360" s="130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>
      <c r="A361" s="107"/>
      <c r="B361" s="131"/>
      <c r="C361" s="120"/>
      <c r="D361" s="125"/>
      <c r="E361" s="107"/>
      <c r="F361" s="122"/>
      <c r="G361" s="22"/>
      <c r="H361" s="123"/>
      <c r="I361" s="126"/>
      <c r="J361" s="130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>
      <c r="A362" s="107"/>
      <c r="B362" s="131"/>
      <c r="C362" s="120"/>
      <c r="D362" s="125"/>
      <c r="E362" s="107"/>
      <c r="F362" s="122"/>
      <c r="G362" s="22"/>
      <c r="H362" s="123"/>
      <c r="I362" s="126"/>
      <c r="J362" s="130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>
      <c r="A363" s="107"/>
      <c r="B363" s="131"/>
      <c r="C363" s="120"/>
      <c r="D363" s="125"/>
      <c r="E363" s="107"/>
      <c r="F363" s="122"/>
      <c r="G363" s="22"/>
      <c r="H363" s="123"/>
      <c r="I363" s="126"/>
      <c r="J363" s="130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>
      <c r="A364" s="107"/>
      <c r="B364" s="131"/>
      <c r="C364" s="120"/>
      <c r="D364" s="125"/>
      <c r="E364" s="107"/>
      <c r="F364" s="122"/>
      <c r="G364" s="22"/>
      <c r="H364" s="123"/>
      <c r="I364" s="126"/>
      <c r="J364" s="130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>
      <c r="A365" s="107"/>
      <c r="B365" s="131"/>
      <c r="C365" s="120"/>
      <c r="D365" s="125"/>
      <c r="E365" s="107"/>
      <c r="F365" s="122"/>
      <c r="G365" s="22"/>
      <c r="H365" s="123"/>
      <c r="I365" s="126"/>
      <c r="J365" s="130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>
      <c r="A366" s="107"/>
      <c r="B366" s="131"/>
      <c r="C366" s="120"/>
      <c r="D366" s="125"/>
      <c r="E366" s="107"/>
      <c r="F366" s="122"/>
      <c r="G366" s="22"/>
      <c r="H366" s="123"/>
      <c r="I366" s="126"/>
      <c r="J366" s="130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>
      <c r="A367" s="107"/>
      <c r="B367" s="131"/>
      <c r="C367" s="120"/>
      <c r="D367" s="125"/>
      <c r="E367" s="107"/>
      <c r="F367" s="122"/>
      <c r="G367" s="22"/>
      <c r="H367" s="123"/>
      <c r="I367" s="126"/>
      <c r="J367" s="130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>
      <c r="A368" s="107"/>
      <c r="B368" s="131"/>
      <c r="C368" s="120"/>
      <c r="D368" s="125"/>
      <c r="E368" s="107"/>
      <c r="F368" s="122"/>
      <c r="G368" s="22"/>
      <c r="H368" s="123"/>
      <c r="I368" s="126"/>
      <c r="J368" s="130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>
      <c r="A369" s="107"/>
      <c r="B369" s="131"/>
      <c r="C369" s="120"/>
      <c r="D369" s="125"/>
      <c r="E369" s="107"/>
      <c r="F369" s="122"/>
      <c r="G369" s="22"/>
      <c r="H369" s="123"/>
      <c r="I369" s="126"/>
      <c r="J369" s="130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>
      <c r="A370" s="107"/>
      <c r="B370" s="131"/>
      <c r="C370" s="120"/>
      <c r="D370" s="125"/>
      <c r="E370" s="107"/>
      <c r="F370" s="122"/>
      <c r="G370" s="22"/>
      <c r="H370" s="123"/>
      <c r="I370" s="126"/>
      <c r="J370" s="130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>
      <c r="A371" s="107"/>
      <c r="B371" s="131"/>
      <c r="C371" s="120"/>
      <c r="D371" s="125"/>
      <c r="E371" s="107"/>
      <c r="F371" s="122"/>
      <c r="G371" s="22"/>
      <c r="H371" s="123"/>
      <c r="I371" s="126"/>
      <c r="J371" s="130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>
      <c r="A372" s="107"/>
      <c r="B372" s="131"/>
      <c r="C372" s="120"/>
      <c r="D372" s="125"/>
      <c r="E372" s="107"/>
      <c r="F372" s="122"/>
      <c r="G372" s="22"/>
      <c r="H372" s="123"/>
      <c r="I372" s="126"/>
      <c r="J372" s="130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>
      <c r="A373" s="107"/>
      <c r="B373" s="131"/>
      <c r="C373" s="120"/>
      <c r="D373" s="125"/>
      <c r="E373" s="107"/>
      <c r="F373" s="122"/>
      <c r="G373" s="22"/>
      <c r="H373" s="123"/>
      <c r="I373" s="126"/>
      <c r="J373" s="130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>
      <c r="A374" s="107"/>
      <c r="B374" s="131"/>
      <c r="C374" s="120"/>
      <c r="D374" s="125"/>
      <c r="E374" s="107"/>
      <c r="F374" s="122"/>
      <c r="G374" s="22"/>
      <c r="H374" s="123"/>
      <c r="I374" s="126"/>
      <c r="J374" s="130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>
      <c r="A375" s="107"/>
      <c r="B375" s="131"/>
      <c r="C375" s="120"/>
      <c r="D375" s="125"/>
      <c r="E375" s="107"/>
      <c r="F375" s="122"/>
      <c r="G375" s="22"/>
      <c r="H375" s="123"/>
      <c r="I375" s="126"/>
      <c r="J375" s="130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>
      <c r="A376" s="107"/>
      <c r="B376" s="131"/>
      <c r="C376" s="120"/>
      <c r="D376" s="125"/>
      <c r="E376" s="107"/>
      <c r="F376" s="122"/>
      <c r="G376" s="22"/>
      <c r="H376" s="123"/>
      <c r="I376" s="126"/>
      <c r="J376" s="130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>
      <c r="A377" s="107"/>
      <c r="B377" s="131"/>
      <c r="C377" s="120"/>
      <c r="D377" s="125"/>
      <c r="E377" s="107"/>
      <c r="F377" s="122"/>
      <c r="G377" s="22"/>
      <c r="H377" s="123"/>
      <c r="I377" s="126"/>
      <c r="J377" s="130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>
      <c r="A378" s="107"/>
      <c r="B378" s="131"/>
      <c r="C378" s="120"/>
      <c r="D378" s="125"/>
      <c r="E378" s="107"/>
      <c r="F378" s="122"/>
      <c r="G378" s="22"/>
      <c r="H378" s="123"/>
      <c r="I378" s="126"/>
      <c r="J378" s="130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>
      <c r="A379" s="107"/>
      <c r="B379" s="131"/>
      <c r="C379" s="120"/>
      <c r="D379" s="125"/>
      <c r="E379" s="107"/>
      <c r="F379" s="122"/>
      <c r="G379" s="22"/>
      <c r="H379" s="123"/>
      <c r="I379" s="126"/>
      <c r="J379" s="130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>
      <c r="A380" s="107"/>
      <c r="B380" s="131"/>
      <c r="C380" s="120"/>
      <c r="D380" s="125"/>
      <c r="E380" s="107"/>
      <c r="F380" s="122"/>
      <c r="G380" s="22"/>
      <c r="H380" s="123"/>
      <c r="I380" s="126"/>
      <c r="J380" s="130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>
      <c r="A381" s="107"/>
      <c r="B381" s="131"/>
      <c r="C381" s="120"/>
      <c r="D381" s="125"/>
      <c r="E381" s="107"/>
      <c r="F381" s="122"/>
      <c r="G381" s="22"/>
      <c r="H381" s="123"/>
      <c r="I381" s="126"/>
      <c r="J381" s="130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>
      <c r="A382" s="107"/>
      <c r="B382" s="131"/>
      <c r="C382" s="120"/>
      <c r="D382" s="125"/>
      <c r="E382" s="107"/>
      <c r="F382" s="122"/>
      <c r="G382" s="22"/>
      <c r="H382" s="123"/>
      <c r="I382" s="126"/>
      <c r="J382" s="130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>
      <c r="A383" s="107"/>
      <c r="B383" s="131"/>
      <c r="C383" s="120"/>
      <c r="D383" s="125"/>
      <c r="E383" s="107"/>
      <c r="F383" s="122"/>
      <c r="G383" s="22"/>
      <c r="H383" s="123"/>
      <c r="I383" s="126"/>
      <c r="J383" s="130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>
      <c r="A384" s="107"/>
      <c r="B384" s="131"/>
      <c r="C384" s="120"/>
      <c r="D384" s="125"/>
      <c r="E384" s="107"/>
      <c r="F384" s="122"/>
      <c r="G384" s="22"/>
      <c r="H384" s="123"/>
      <c r="I384" s="126"/>
      <c r="J384" s="130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>
      <c r="A385" s="107"/>
      <c r="B385" s="131"/>
      <c r="C385" s="120"/>
      <c r="D385" s="125"/>
      <c r="E385" s="107"/>
      <c r="F385" s="122"/>
      <c r="G385" s="22"/>
      <c r="H385" s="123"/>
      <c r="I385" s="126"/>
      <c r="J385" s="130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>
      <c r="A386" s="107"/>
      <c r="B386" s="131"/>
      <c r="C386" s="120"/>
      <c r="D386" s="125"/>
      <c r="E386" s="107"/>
      <c r="F386" s="122"/>
      <c r="G386" s="22"/>
      <c r="H386" s="123"/>
      <c r="I386" s="126"/>
      <c r="J386" s="130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>
      <c r="A387" s="107"/>
      <c r="B387" s="131"/>
      <c r="C387" s="120"/>
      <c r="D387" s="125"/>
      <c r="E387" s="107"/>
      <c r="F387" s="122"/>
      <c r="G387" s="22"/>
      <c r="H387" s="123"/>
      <c r="I387" s="126"/>
      <c r="J387" s="130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>
      <c r="A388" s="107"/>
      <c r="B388" s="131"/>
      <c r="C388" s="120"/>
      <c r="D388" s="125"/>
      <c r="E388" s="107"/>
      <c r="F388" s="122"/>
      <c r="G388" s="22"/>
      <c r="H388" s="123"/>
      <c r="I388" s="126"/>
      <c r="J388" s="130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>
      <c r="A389" s="107"/>
      <c r="B389" s="131"/>
      <c r="C389" s="120"/>
      <c r="D389" s="125"/>
      <c r="E389" s="107"/>
      <c r="F389" s="122"/>
      <c r="G389" s="22"/>
      <c r="H389" s="123"/>
      <c r="I389" s="126"/>
      <c r="J389" s="130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>
      <c r="A390" s="107"/>
      <c r="B390" s="131"/>
      <c r="C390" s="120"/>
      <c r="D390" s="125"/>
      <c r="E390" s="107"/>
      <c r="F390" s="122"/>
      <c r="G390" s="22"/>
      <c r="H390" s="123"/>
      <c r="I390" s="126"/>
      <c r="J390" s="130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>
      <c r="A391" s="107"/>
      <c r="B391" s="131"/>
      <c r="C391" s="120"/>
      <c r="D391" s="125"/>
      <c r="E391" s="107"/>
      <c r="F391" s="122"/>
      <c r="G391" s="22"/>
      <c r="H391" s="123"/>
      <c r="I391" s="126"/>
      <c r="J391" s="130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>
      <c r="A392" s="107"/>
      <c r="B392" s="131"/>
      <c r="C392" s="120"/>
      <c r="D392" s="125"/>
      <c r="E392" s="107"/>
      <c r="F392" s="122"/>
      <c r="G392" s="22"/>
      <c r="H392" s="123"/>
      <c r="I392" s="126"/>
      <c r="J392" s="130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>
      <c r="A393" s="107"/>
      <c r="B393" s="131"/>
      <c r="C393" s="120"/>
      <c r="D393" s="125"/>
      <c r="E393" s="107"/>
      <c r="F393" s="122"/>
      <c r="G393" s="22"/>
      <c r="H393" s="123"/>
      <c r="I393" s="126"/>
      <c r="J393" s="130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>
      <c r="A394" s="107"/>
      <c r="B394" s="131"/>
      <c r="C394" s="120"/>
      <c r="D394" s="125"/>
      <c r="E394" s="107"/>
      <c r="F394" s="122"/>
      <c r="G394" s="22"/>
      <c r="H394" s="123"/>
      <c r="I394" s="126"/>
      <c r="J394" s="130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>
      <c r="A395" s="107"/>
      <c r="B395" s="131"/>
      <c r="C395" s="120"/>
      <c r="D395" s="125"/>
      <c r="E395" s="107"/>
      <c r="F395" s="122"/>
      <c r="G395" s="22"/>
      <c r="H395" s="123"/>
      <c r="I395" s="126"/>
      <c r="J395" s="130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>
      <c r="A396" s="107"/>
      <c r="B396" s="131"/>
      <c r="C396" s="120"/>
      <c r="D396" s="125"/>
      <c r="E396" s="107"/>
      <c r="F396" s="122"/>
      <c r="G396" s="22"/>
      <c r="H396" s="123"/>
      <c r="I396" s="126"/>
      <c r="J396" s="130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>
      <c r="A397" s="107"/>
      <c r="B397" s="131"/>
      <c r="C397" s="120"/>
      <c r="D397" s="125"/>
      <c r="E397" s="107"/>
      <c r="F397" s="122"/>
      <c r="G397" s="22"/>
      <c r="H397" s="123"/>
      <c r="I397" s="126"/>
      <c r="J397" s="130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>
      <c r="A398" s="107"/>
      <c r="B398" s="131"/>
      <c r="C398" s="120"/>
      <c r="D398" s="125"/>
      <c r="E398" s="107"/>
      <c r="F398" s="122"/>
      <c r="G398" s="22"/>
      <c r="H398" s="123"/>
      <c r="I398" s="126"/>
      <c r="J398" s="130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>
      <c r="A399" s="107"/>
      <c r="B399" s="131"/>
      <c r="C399" s="120"/>
      <c r="D399" s="125"/>
      <c r="E399" s="107"/>
      <c r="F399" s="122"/>
      <c r="G399" s="22"/>
      <c r="H399" s="123"/>
      <c r="I399" s="126"/>
      <c r="J399" s="130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>
      <c r="A400" s="107"/>
      <c r="B400" s="131"/>
      <c r="C400" s="120"/>
      <c r="D400" s="125"/>
      <c r="E400" s="107"/>
      <c r="F400" s="122"/>
      <c r="G400" s="22"/>
      <c r="H400" s="123"/>
      <c r="I400" s="126"/>
      <c r="J400" s="130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>
      <c r="A401" s="107"/>
      <c r="B401" s="131"/>
      <c r="C401" s="120"/>
      <c r="D401" s="125"/>
      <c r="E401" s="107"/>
      <c r="F401" s="122"/>
      <c r="G401" s="22"/>
      <c r="H401" s="123"/>
      <c r="I401" s="126"/>
      <c r="J401" s="130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>
      <c r="A402" s="107"/>
      <c r="B402" s="131"/>
      <c r="C402" s="120"/>
      <c r="D402" s="125"/>
      <c r="E402" s="107"/>
      <c r="F402" s="122"/>
      <c r="G402" s="22"/>
      <c r="H402" s="123"/>
      <c r="I402" s="126"/>
      <c r="J402" s="130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>
      <c r="A403" s="107"/>
      <c r="B403" s="131"/>
      <c r="C403" s="120"/>
      <c r="D403" s="125"/>
      <c r="E403" s="107"/>
      <c r="F403" s="122"/>
      <c r="G403" s="22"/>
      <c r="H403" s="123"/>
      <c r="I403" s="126"/>
      <c r="J403" s="130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>
      <c r="A404" s="107"/>
      <c r="B404" s="131"/>
      <c r="C404" s="120"/>
      <c r="D404" s="125"/>
      <c r="E404" s="107"/>
      <c r="F404" s="122"/>
      <c r="G404" s="22"/>
      <c r="H404" s="123"/>
      <c r="I404" s="126"/>
      <c r="J404" s="130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>
      <c r="A405" s="107"/>
      <c r="B405" s="131"/>
      <c r="C405" s="120"/>
      <c r="D405" s="125"/>
      <c r="E405" s="107"/>
      <c r="F405" s="122"/>
      <c r="G405" s="22"/>
      <c r="H405" s="123"/>
      <c r="I405" s="126"/>
      <c r="J405" s="130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>
      <c r="A406" s="107"/>
      <c r="B406" s="131"/>
      <c r="C406" s="120"/>
      <c r="D406" s="125"/>
      <c r="E406" s="107"/>
      <c r="F406" s="122"/>
      <c r="G406" s="22"/>
      <c r="H406" s="123"/>
      <c r="I406" s="126"/>
      <c r="J406" s="130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>
      <c r="A407" s="107"/>
      <c r="B407" s="131"/>
      <c r="C407" s="120"/>
      <c r="D407" s="125"/>
      <c r="E407" s="107"/>
      <c r="F407" s="122"/>
      <c r="G407" s="22"/>
      <c r="H407" s="123"/>
      <c r="I407" s="126"/>
      <c r="J407" s="130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>
      <c r="A408" s="107"/>
      <c r="B408" s="131"/>
      <c r="C408" s="120"/>
      <c r="D408" s="125"/>
      <c r="E408" s="107"/>
      <c r="F408" s="122"/>
      <c r="G408" s="22"/>
      <c r="H408" s="123"/>
      <c r="I408" s="126"/>
      <c r="J408" s="130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>
      <c r="A409" s="107"/>
      <c r="B409" s="131"/>
      <c r="C409" s="120"/>
      <c r="D409" s="125"/>
      <c r="E409" s="107"/>
      <c r="F409" s="122"/>
      <c r="G409" s="22"/>
      <c r="H409" s="123"/>
      <c r="I409" s="126"/>
      <c r="J409" s="130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>
      <c r="A410" s="107"/>
      <c r="B410" s="131"/>
      <c r="C410" s="120"/>
      <c r="D410" s="125"/>
      <c r="E410" s="107"/>
      <c r="F410" s="122"/>
      <c r="G410" s="22"/>
      <c r="H410" s="123"/>
      <c r="I410" s="126"/>
      <c r="J410" s="130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>
      <c r="A411" s="107"/>
      <c r="B411" s="131"/>
      <c r="C411" s="120"/>
      <c r="D411" s="125"/>
      <c r="E411" s="107"/>
      <c r="F411" s="122"/>
      <c r="G411" s="22"/>
      <c r="H411" s="123"/>
      <c r="I411" s="126"/>
      <c r="J411" s="130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>
      <c r="A412" s="107"/>
      <c r="B412" s="131"/>
      <c r="C412" s="120"/>
      <c r="D412" s="125"/>
      <c r="E412" s="107"/>
      <c r="F412" s="122"/>
      <c r="G412" s="22"/>
      <c r="H412" s="123"/>
      <c r="I412" s="126"/>
      <c r="J412" s="130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>
      <c r="A413" s="107"/>
      <c r="B413" s="131"/>
      <c r="C413" s="120"/>
      <c r="D413" s="125"/>
      <c r="E413" s="107"/>
      <c r="F413" s="122"/>
      <c r="G413" s="22"/>
      <c r="H413" s="123"/>
      <c r="I413" s="126"/>
      <c r="J413" s="130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>
      <c r="A414" s="107"/>
      <c r="B414" s="131"/>
      <c r="C414" s="120"/>
      <c r="D414" s="125"/>
      <c r="E414" s="107"/>
      <c r="F414" s="122"/>
      <c r="G414" s="22"/>
      <c r="H414" s="123"/>
      <c r="I414" s="126"/>
      <c r="J414" s="130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>
      <c r="A415" s="107"/>
      <c r="B415" s="131"/>
      <c r="C415" s="120"/>
      <c r="D415" s="125"/>
      <c r="E415" s="107"/>
      <c r="F415" s="122"/>
      <c r="G415" s="22"/>
      <c r="H415" s="123"/>
      <c r="I415" s="126"/>
      <c r="J415" s="130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>
      <c r="A416" s="107"/>
      <c r="B416" s="131"/>
      <c r="C416" s="120"/>
      <c r="D416" s="125"/>
      <c r="E416" s="107"/>
      <c r="F416" s="122"/>
      <c r="G416" s="22"/>
      <c r="H416" s="123"/>
      <c r="I416" s="126"/>
      <c r="J416" s="130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>
      <c r="A417" s="107"/>
      <c r="B417" s="131"/>
      <c r="C417" s="120"/>
      <c r="D417" s="125"/>
      <c r="E417" s="107"/>
      <c r="F417" s="122"/>
      <c r="G417" s="22"/>
      <c r="H417" s="123"/>
      <c r="I417" s="126"/>
      <c r="J417" s="130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>
      <c r="A418" s="107"/>
      <c r="B418" s="131"/>
      <c r="C418" s="120"/>
      <c r="D418" s="125"/>
      <c r="E418" s="107"/>
      <c r="F418" s="122"/>
      <c r="G418" s="22"/>
      <c r="H418" s="123"/>
      <c r="I418" s="126"/>
      <c r="J418" s="130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>
      <c r="A419" s="107"/>
      <c r="B419" s="131"/>
      <c r="C419" s="120"/>
      <c r="D419" s="125"/>
      <c r="E419" s="107"/>
      <c r="F419" s="122"/>
      <c r="G419" s="22"/>
      <c r="H419" s="123"/>
      <c r="I419" s="126"/>
      <c r="J419" s="130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>
      <c r="A420" s="107"/>
      <c r="B420" s="131"/>
      <c r="C420" s="120"/>
      <c r="D420" s="125"/>
      <c r="E420" s="107"/>
      <c r="F420" s="122"/>
      <c r="G420" s="22"/>
      <c r="H420" s="123"/>
      <c r="I420" s="126"/>
      <c r="J420" s="130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>
      <c r="A421" s="107"/>
      <c r="B421" s="131"/>
      <c r="C421" s="120"/>
      <c r="D421" s="125"/>
      <c r="E421" s="107"/>
      <c r="F421" s="122"/>
      <c r="G421" s="22"/>
      <c r="H421" s="123"/>
      <c r="I421" s="126"/>
      <c r="J421" s="130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>
      <c r="A422" s="107"/>
      <c r="B422" s="131"/>
      <c r="C422" s="120"/>
      <c r="D422" s="125"/>
      <c r="E422" s="107"/>
      <c r="F422" s="122"/>
      <c r="G422" s="22"/>
      <c r="H422" s="123"/>
      <c r="I422" s="126"/>
      <c r="J422" s="130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>
      <c r="A423" s="107"/>
      <c r="B423" s="131"/>
      <c r="C423" s="120"/>
      <c r="D423" s="125"/>
      <c r="E423" s="107"/>
      <c r="F423" s="122"/>
      <c r="G423" s="22"/>
      <c r="H423" s="123"/>
      <c r="I423" s="126"/>
      <c r="J423" s="130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>
      <c r="A424" s="107"/>
      <c r="B424" s="131"/>
      <c r="C424" s="120"/>
      <c r="D424" s="125"/>
      <c r="E424" s="107"/>
      <c r="F424" s="122"/>
      <c r="G424" s="22"/>
      <c r="H424" s="123"/>
      <c r="I424" s="126"/>
      <c r="J424" s="130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>
      <c r="A425" s="107"/>
      <c r="B425" s="131"/>
      <c r="C425" s="120"/>
      <c r="D425" s="125"/>
      <c r="E425" s="107"/>
      <c r="F425" s="122"/>
      <c r="G425" s="22"/>
      <c r="H425" s="123"/>
      <c r="I425" s="126"/>
      <c r="J425" s="130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>
      <c r="A426" s="107"/>
      <c r="B426" s="131"/>
      <c r="C426" s="120"/>
      <c r="D426" s="125"/>
      <c r="E426" s="107"/>
      <c r="F426" s="122"/>
      <c r="G426" s="22"/>
      <c r="H426" s="123"/>
      <c r="I426" s="126"/>
      <c r="J426" s="130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>
      <c r="A427" s="107"/>
      <c r="B427" s="131"/>
      <c r="C427" s="120"/>
      <c r="D427" s="125"/>
      <c r="E427" s="107"/>
      <c r="F427" s="122"/>
      <c r="G427" s="22"/>
      <c r="H427" s="123"/>
      <c r="I427" s="126"/>
      <c r="J427" s="130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>
      <c r="A428" s="107"/>
      <c r="B428" s="131"/>
      <c r="C428" s="120"/>
      <c r="D428" s="125"/>
      <c r="E428" s="107"/>
      <c r="F428" s="122"/>
      <c r="G428" s="22"/>
      <c r="H428" s="123"/>
      <c r="I428" s="126"/>
      <c r="J428" s="130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>
      <c r="A429" s="107"/>
      <c r="B429" s="131"/>
      <c r="C429" s="120"/>
      <c r="D429" s="125"/>
      <c r="E429" s="107"/>
      <c r="F429" s="122"/>
      <c r="G429" s="22"/>
      <c r="H429" s="123"/>
      <c r="I429" s="126"/>
      <c r="J429" s="130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>
      <c r="A430" s="107"/>
      <c r="B430" s="131"/>
      <c r="C430" s="120"/>
      <c r="D430" s="125"/>
      <c r="E430" s="107"/>
      <c r="F430" s="122"/>
      <c r="G430" s="22"/>
      <c r="H430" s="123"/>
      <c r="I430" s="126"/>
      <c r="J430" s="130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>
      <c r="A431" s="107"/>
      <c r="B431" s="131"/>
      <c r="C431" s="120"/>
      <c r="D431" s="125"/>
      <c r="E431" s="107"/>
      <c r="F431" s="122"/>
      <c r="G431" s="22"/>
      <c r="H431" s="123"/>
      <c r="I431" s="126"/>
      <c r="J431" s="130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>
      <c r="A432" s="107"/>
      <c r="B432" s="131"/>
      <c r="C432" s="120"/>
      <c r="D432" s="125"/>
      <c r="E432" s="107"/>
      <c r="F432" s="122"/>
      <c r="G432" s="22"/>
      <c r="H432" s="123"/>
      <c r="I432" s="126"/>
      <c r="J432" s="130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>
      <c r="A433" s="107"/>
      <c r="B433" s="131"/>
      <c r="C433" s="120"/>
      <c r="D433" s="125"/>
      <c r="E433" s="107"/>
      <c r="F433" s="122"/>
      <c r="G433" s="22"/>
      <c r="H433" s="123"/>
      <c r="I433" s="126"/>
      <c r="J433" s="130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>
      <c r="A434" s="107"/>
      <c r="B434" s="131"/>
      <c r="C434" s="120"/>
      <c r="D434" s="125"/>
      <c r="E434" s="107"/>
      <c r="F434" s="122"/>
      <c r="G434" s="22"/>
      <c r="H434" s="123"/>
      <c r="I434" s="126"/>
      <c r="J434" s="130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>
      <c r="A435" s="107"/>
      <c r="B435" s="131"/>
      <c r="C435" s="120"/>
      <c r="D435" s="125"/>
      <c r="E435" s="107"/>
      <c r="F435" s="122"/>
      <c r="G435" s="22"/>
      <c r="H435" s="123"/>
      <c r="I435" s="126"/>
      <c r="J435" s="130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>
      <c r="A436" s="107"/>
      <c r="B436" s="131"/>
      <c r="C436" s="120"/>
      <c r="D436" s="125"/>
      <c r="E436" s="107"/>
      <c r="F436" s="122"/>
      <c r="G436" s="22"/>
      <c r="H436" s="123"/>
      <c r="I436" s="126"/>
      <c r="J436" s="130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>
      <c r="A437" s="107"/>
      <c r="B437" s="131"/>
      <c r="C437" s="120"/>
      <c r="D437" s="125"/>
      <c r="E437" s="107"/>
      <c r="F437" s="122"/>
      <c r="G437" s="22"/>
      <c r="H437" s="123"/>
      <c r="I437" s="126"/>
      <c r="J437" s="130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>
      <c r="A438" s="107"/>
      <c r="B438" s="131"/>
      <c r="C438" s="120"/>
      <c r="D438" s="125"/>
      <c r="E438" s="107"/>
      <c r="F438" s="122"/>
      <c r="G438" s="22"/>
      <c r="H438" s="123"/>
      <c r="I438" s="126"/>
      <c r="J438" s="130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>
      <c r="A439" s="107"/>
      <c r="B439" s="131"/>
      <c r="C439" s="120"/>
      <c r="D439" s="125"/>
      <c r="E439" s="107"/>
      <c r="F439" s="122"/>
      <c r="G439" s="22"/>
      <c r="H439" s="123"/>
      <c r="I439" s="126"/>
      <c r="J439" s="130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>
      <c r="A440" s="107"/>
      <c r="B440" s="131"/>
      <c r="C440" s="120"/>
      <c r="D440" s="125"/>
      <c r="E440" s="107"/>
      <c r="F440" s="122"/>
      <c r="G440" s="22"/>
      <c r="H440" s="123"/>
      <c r="I440" s="126"/>
      <c r="J440" s="130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>
      <c r="A441" s="107"/>
      <c r="B441" s="131"/>
      <c r="C441" s="120"/>
      <c r="D441" s="125"/>
      <c r="E441" s="107"/>
      <c r="F441" s="122"/>
      <c r="G441" s="22"/>
      <c r="H441" s="123"/>
      <c r="I441" s="126"/>
      <c r="J441" s="130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>
      <c r="A442" s="107"/>
      <c r="B442" s="131"/>
      <c r="C442" s="120"/>
      <c r="D442" s="125"/>
      <c r="E442" s="107"/>
      <c r="F442" s="122"/>
      <c r="G442" s="22"/>
      <c r="H442" s="123"/>
      <c r="I442" s="126"/>
      <c r="J442" s="130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>
      <c r="A443" s="107"/>
      <c r="B443" s="131"/>
      <c r="C443" s="120"/>
      <c r="D443" s="125"/>
      <c r="E443" s="107"/>
      <c r="F443" s="122"/>
      <c r="G443" s="22"/>
      <c r="H443" s="123"/>
      <c r="I443" s="126"/>
      <c r="J443" s="130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>
      <c r="A444" s="107"/>
      <c r="B444" s="131"/>
      <c r="C444" s="120"/>
      <c r="D444" s="125"/>
      <c r="E444" s="107"/>
      <c r="F444" s="122"/>
      <c r="G444" s="22"/>
      <c r="H444" s="123"/>
      <c r="I444" s="126"/>
      <c r="J444" s="130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>
      <c r="A445" s="107"/>
      <c r="B445" s="131"/>
      <c r="C445" s="120"/>
      <c r="D445" s="125"/>
      <c r="E445" s="107"/>
      <c r="F445" s="122"/>
      <c r="G445" s="22"/>
      <c r="H445" s="123"/>
      <c r="I445" s="126"/>
      <c r="J445" s="130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>
      <c r="A446" s="107"/>
      <c r="B446" s="131"/>
      <c r="C446" s="120"/>
      <c r="D446" s="125"/>
      <c r="E446" s="107"/>
      <c r="F446" s="122"/>
      <c r="G446" s="22"/>
      <c r="H446" s="123"/>
      <c r="I446" s="126"/>
      <c r="J446" s="130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>
      <c r="A447" s="107"/>
      <c r="B447" s="131"/>
      <c r="C447" s="120"/>
      <c r="D447" s="125"/>
      <c r="E447" s="107"/>
      <c r="F447" s="122"/>
      <c r="G447" s="22"/>
      <c r="H447" s="123"/>
      <c r="I447" s="126"/>
      <c r="J447" s="130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>
      <c r="A448" s="107"/>
      <c r="B448" s="131"/>
      <c r="C448" s="120"/>
      <c r="D448" s="125"/>
      <c r="E448" s="107"/>
      <c r="F448" s="122"/>
      <c r="G448" s="22"/>
      <c r="H448" s="123"/>
      <c r="I448" s="126"/>
      <c r="J448" s="130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>
      <c r="A449" s="107"/>
      <c r="B449" s="131"/>
      <c r="C449" s="120"/>
      <c r="D449" s="125"/>
      <c r="E449" s="107"/>
      <c r="F449" s="122"/>
      <c r="G449" s="22"/>
      <c r="H449" s="123"/>
      <c r="I449" s="126"/>
      <c r="J449" s="130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>
      <c r="A450" s="107"/>
      <c r="B450" s="131"/>
      <c r="C450" s="120"/>
      <c r="D450" s="125"/>
      <c r="E450" s="107"/>
      <c r="F450" s="122"/>
      <c r="G450" s="22"/>
      <c r="H450" s="123"/>
      <c r="I450" s="126"/>
      <c r="J450" s="130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>
      <c r="A451" s="107"/>
      <c r="B451" s="131"/>
      <c r="C451" s="120"/>
      <c r="D451" s="125"/>
      <c r="E451" s="107"/>
      <c r="F451" s="122"/>
      <c r="G451" s="22"/>
      <c r="H451" s="123"/>
      <c r="I451" s="126"/>
      <c r="J451" s="130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>
      <c r="A452" s="107"/>
      <c r="B452" s="131"/>
      <c r="C452" s="120"/>
      <c r="D452" s="125"/>
      <c r="E452" s="107"/>
      <c r="F452" s="122"/>
      <c r="G452" s="22"/>
      <c r="H452" s="123"/>
      <c r="I452" s="126"/>
      <c r="J452" s="130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>
      <c r="A453" s="107"/>
      <c r="B453" s="131"/>
      <c r="C453" s="120"/>
      <c r="D453" s="125"/>
      <c r="E453" s="107"/>
      <c r="F453" s="122"/>
      <c r="G453" s="22"/>
      <c r="H453" s="123"/>
      <c r="I453" s="126"/>
      <c r="J453" s="130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>
      <c r="A454" s="107"/>
      <c r="B454" s="131"/>
      <c r="C454" s="120"/>
      <c r="D454" s="125"/>
      <c r="E454" s="107"/>
      <c r="F454" s="122"/>
      <c r="G454" s="22"/>
      <c r="H454" s="123"/>
      <c r="I454" s="126"/>
      <c r="J454" s="130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>
      <c r="A455" s="107"/>
      <c r="B455" s="131"/>
      <c r="C455" s="120"/>
      <c r="D455" s="125"/>
      <c r="E455" s="107"/>
      <c r="F455" s="122"/>
      <c r="G455" s="22"/>
      <c r="H455" s="123"/>
      <c r="I455" s="126"/>
      <c r="J455" s="130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>
      <c r="A456" s="107"/>
      <c r="B456" s="131"/>
      <c r="C456" s="120"/>
      <c r="D456" s="125"/>
      <c r="E456" s="107"/>
      <c r="F456" s="122"/>
      <c r="G456" s="22"/>
      <c r="H456" s="123"/>
      <c r="I456" s="126"/>
      <c r="J456" s="130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>
      <c r="A457" s="107"/>
      <c r="B457" s="131"/>
      <c r="C457" s="120"/>
      <c r="D457" s="125"/>
      <c r="E457" s="107"/>
      <c r="F457" s="122"/>
      <c r="G457" s="22"/>
      <c r="H457" s="123"/>
      <c r="I457" s="126"/>
      <c r="J457" s="130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>
      <c r="A458" s="107"/>
      <c r="B458" s="131"/>
      <c r="C458" s="120"/>
      <c r="D458" s="125"/>
      <c r="E458" s="107"/>
      <c r="F458" s="122"/>
      <c r="G458" s="22"/>
      <c r="H458" s="123"/>
      <c r="I458" s="126"/>
      <c r="J458" s="130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>
      <c r="A459" s="107"/>
      <c r="B459" s="131"/>
      <c r="C459" s="120"/>
      <c r="D459" s="125"/>
      <c r="E459" s="107"/>
      <c r="F459" s="122"/>
      <c r="G459" s="22"/>
      <c r="H459" s="123"/>
      <c r="I459" s="126"/>
      <c r="J459" s="130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>
      <c r="A460" s="107"/>
      <c r="B460" s="131"/>
      <c r="C460" s="120"/>
      <c r="D460" s="125"/>
      <c r="E460" s="107"/>
      <c r="F460" s="122"/>
      <c r="G460" s="22"/>
      <c r="H460" s="123"/>
      <c r="I460" s="126"/>
      <c r="J460" s="130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>
      <c r="A461" s="107"/>
      <c r="B461" s="131"/>
      <c r="C461" s="120"/>
      <c r="D461" s="125"/>
      <c r="E461" s="107"/>
      <c r="F461" s="122"/>
      <c r="G461" s="22"/>
      <c r="H461" s="123"/>
      <c r="I461" s="126"/>
      <c r="J461" s="130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>
      <c r="A462" s="107"/>
      <c r="B462" s="131"/>
      <c r="C462" s="120"/>
      <c r="D462" s="125"/>
      <c r="E462" s="107"/>
      <c r="F462" s="122"/>
      <c r="G462" s="22"/>
      <c r="H462" s="123"/>
      <c r="I462" s="126"/>
      <c r="J462" s="130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>
      <c r="A463" s="107"/>
      <c r="B463" s="131"/>
      <c r="C463" s="120"/>
      <c r="D463" s="125"/>
      <c r="E463" s="107"/>
      <c r="F463" s="122"/>
      <c r="G463" s="22"/>
      <c r="H463" s="123"/>
      <c r="I463" s="126"/>
      <c r="J463" s="130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>
      <c r="A464" s="107"/>
      <c r="B464" s="131"/>
      <c r="C464" s="120"/>
      <c r="D464" s="125"/>
      <c r="E464" s="107"/>
      <c r="F464" s="122"/>
      <c r="G464" s="22"/>
      <c r="H464" s="123"/>
      <c r="I464" s="126"/>
      <c r="J464" s="130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>
      <c r="A465" s="107"/>
      <c r="B465" s="131"/>
      <c r="C465" s="120"/>
      <c r="D465" s="125"/>
      <c r="E465" s="107"/>
      <c r="F465" s="122"/>
      <c r="G465" s="22"/>
      <c r="H465" s="123"/>
      <c r="I465" s="126"/>
      <c r="J465" s="130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>
      <c r="A466" s="107"/>
      <c r="B466" s="131"/>
      <c r="C466" s="120"/>
      <c r="D466" s="125"/>
      <c r="E466" s="107"/>
      <c r="F466" s="122"/>
      <c r="G466" s="22"/>
      <c r="H466" s="123"/>
      <c r="I466" s="126"/>
      <c r="J466" s="130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>
      <c r="A467" s="107"/>
      <c r="B467" s="131"/>
      <c r="C467" s="120"/>
      <c r="D467" s="125"/>
      <c r="E467" s="107"/>
      <c r="F467" s="122"/>
      <c r="G467" s="22"/>
      <c r="H467" s="123"/>
      <c r="I467" s="126"/>
      <c r="J467" s="130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>
      <c r="A468" s="107"/>
      <c r="B468" s="131"/>
      <c r="C468" s="120"/>
      <c r="D468" s="125"/>
      <c r="E468" s="107"/>
      <c r="F468" s="122"/>
      <c r="G468" s="22"/>
      <c r="H468" s="123"/>
      <c r="I468" s="126"/>
      <c r="J468" s="130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>
      <c r="A469" s="107"/>
      <c r="B469" s="131"/>
      <c r="C469" s="120"/>
      <c r="D469" s="125"/>
      <c r="E469" s="107"/>
      <c r="F469" s="122"/>
      <c r="G469" s="22"/>
      <c r="H469" s="123"/>
      <c r="I469" s="126"/>
      <c r="J469" s="130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>
      <c r="A470" s="107"/>
      <c r="B470" s="131"/>
      <c r="C470" s="120"/>
      <c r="D470" s="125"/>
      <c r="E470" s="107"/>
      <c r="F470" s="122"/>
      <c r="G470" s="22"/>
      <c r="H470" s="123"/>
      <c r="I470" s="126"/>
      <c r="J470" s="130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>
      <c r="A471" s="107"/>
      <c r="B471" s="131"/>
      <c r="C471" s="120"/>
      <c r="D471" s="125"/>
      <c r="E471" s="107"/>
      <c r="F471" s="122"/>
      <c r="G471" s="22"/>
      <c r="H471" s="123"/>
      <c r="I471" s="126"/>
      <c r="J471" s="130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>
      <c r="A472" s="107"/>
      <c r="B472" s="131"/>
      <c r="C472" s="120"/>
      <c r="D472" s="125"/>
      <c r="E472" s="107"/>
      <c r="F472" s="122"/>
      <c r="G472" s="22"/>
      <c r="H472" s="123"/>
      <c r="I472" s="126"/>
      <c r="J472" s="130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>
      <c r="A473" s="107"/>
      <c r="B473" s="131"/>
      <c r="C473" s="120"/>
      <c r="D473" s="125"/>
      <c r="E473" s="107"/>
      <c r="F473" s="122"/>
      <c r="G473" s="22"/>
      <c r="H473" s="123"/>
      <c r="I473" s="126"/>
      <c r="J473" s="130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>
      <c r="A474" s="107"/>
      <c r="B474" s="131"/>
      <c r="C474" s="120"/>
      <c r="D474" s="125"/>
      <c r="E474" s="107"/>
      <c r="F474" s="122"/>
      <c r="G474" s="22"/>
      <c r="H474" s="123"/>
      <c r="I474" s="126"/>
      <c r="J474" s="130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>
      <c r="A475" s="107"/>
      <c r="B475" s="131"/>
      <c r="C475" s="120"/>
      <c r="D475" s="125"/>
      <c r="E475" s="107"/>
      <c r="F475" s="122"/>
      <c r="G475" s="22"/>
      <c r="H475" s="123"/>
      <c r="I475" s="126"/>
      <c r="J475" s="130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>
      <c r="A476" s="107"/>
      <c r="B476" s="131"/>
      <c r="C476" s="120"/>
      <c r="D476" s="125"/>
      <c r="E476" s="107"/>
      <c r="F476" s="122"/>
      <c r="G476" s="22"/>
      <c r="H476" s="123"/>
      <c r="I476" s="126"/>
      <c r="J476" s="130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>
      <c r="A477" s="107"/>
      <c r="B477" s="131"/>
      <c r="C477" s="120"/>
      <c r="D477" s="125"/>
      <c r="E477" s="107"/>
      <c r="F477" s="122"/>
      <c r="G477" s="22"/>
      <c r="H477" s="123"/>
      <c r="I477" s="126"/>
      <c r="J477" s="130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>
      <c r="A478" s="107"/>
      <c r="B478" s="131"/>
      <c r="C478" s="120"/>
      <c r="D478" s="125"/>
      <c r="E478" s="107"/>
      <c r="F478" s="122"/>
      <c r="G478" s="22"/>
      <c r="H478" s="123"/>
      <c r="I478" s="126"/>
      <c r="J478" s="130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>
      <c r="A479" s="107"/>
      <c r="B479" s="131"/>
      <c r="C479" s="120"/>
      <c r="D479" s="125"/>
      <c r="E479" s="107"/>
      <c r="F479" s="122"/>
      <c r="G479" s="22"/>
      <c r="H479" s="123"/>
      <c r="I479" s="126"/>
      <c r="J479" s="130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>
      <c r="A480" s="107"/>
      <c r="B480" s="131"/>
      <c r="C480" s="120"/>
      <c r="D480" s="125"/>
      <c r="E480" s="107"/>
      <c r="F480" s="122"/>
      <c r="G480" s="22"/>
      <c r="H480" s="123"/>
      <c r="I480" s="126"/>
      <c r="J480" s="130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>
      <c r="A481" s="107"/>
      <c r="B481" s="131"/>
      <c r="C481" s="120"/>
      <c r="D481" s="125"/>
      <c r="E481" s="107"/>
      <c r="F481" s="122"/>
      <c r="G481" s="22"/>
      <c r="H481" s="123"/>
      <c r="I481" s="126"/>
      <c r="J481" s="130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>
      <c r="A482" s="107"/>
      <c r="B482" s="131"/>
      <c r="C482" s="120"/>
      <c r="D482" s="125"/>
      <c r="E482" s="107"/>
      <c r="F482" s="122"/>
      <c r="G482" s="22"/>
      <c r="H482" s="123"/>
      <c r="I482" s="126"/>
      <c r="J482" s="130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>
      <c r="A483" s="107"/>
      <c r="B483" s="131"/>
      <c r="C483" s="120"/>
      <c r="D483" s="125"/>
      <c r="E483" s="107"/>
      <c r="F483" s="122"/>
      <c r="G483" s="22"/>
      <c r="H483" s="123"/>
      <c r="I483" s="126"/>
      <c r="J483" s="130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>
      <c r="A484" s="107"/>
      <c r="B484" s="131"/>
      <c r="C484" s="120"/>
      <c r="D484" s="125"/>
      <c r="E484" s="107"/>
      <c r="F484" s="122"/>
      <c r="G484" s="22"/>
      <c r="H484" s="123"/>
      <c r="I484" s="126"/>
      <c r="J484" s="130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>
      <c r="A485" s="107"/>
      <c r="B485" s="131"/>
      <c r="C485" s="120"/>
      <c r="D485" s="125"/>
      <c r="E485" s="107"/>
      <c r="F485" s="122"/>
      <c r="G485" s="22"/>
      <c r="H485" s="123"/>
      <c r="I485" s="126"/>
      <c r="J485" s="130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>
      <c r="A486" s="107"/>
      <c r="B486" s="131"/>
      <c r="C486" s="120"/>
      <c r="D486" s="125"/>
      <c r="E486" s="107"/>
      <c r="F486" s="122"/>
      <c r="G486" s="22"/>
      <c r="H486" s="123"/>
      <c r="I486" s="126"/>
      <c r="J486" s="130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>
      <c r="A487" s="107"/>
      <c r="B487" s="131"/>
      <c r="C487" s="120"/>
      <c r="D487" s="125"/>
      <c r="E487" s="107"/>
      <c r="F487" s="122"/>
      <c r="G487" s="22"/>
      <c r="H487" s="123"/>
      <c r="I487" s="126"/>
      <c r="J487" s="130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>
      <c r="A488" s="107"/>
      <c r="B488" s="131"/>
      <c r="C488" s="120"/>
      <c r="D488" s="125"/>
      <c r="E488" s="107"/>
      <c r="F488" s="122"/>
      <c r="G488" s="22"/>
      <c r="H488" s="123"/>
      <c r="I488" s="126"/>
      <c r="J488" s="130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>
      <c r="A489" s="107"/>
      <c r="B489" s="131"/>
      <c r="C489" s="120"/>
      <c r="D489" s="125"/>
      <c r="E489" s="107"/>
      <c r="F489" s="122"/>
      <c r="G489" s="22"/>
      <c r="H489" s="123"/>
      <c r="I489" s="126"/>
      <c r="J489" s="130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>
      <c r="A490" s="107"/>
      <c r="B490" s="131"/>
      <c r="C490" s="120"/>
      <c r="D490" s="125"/>
      <c r="E490" s="107"/>
      <c r="F490" s="122"/>
      <c r="G490" s="22"/>
      <c r="H490" s="123"/>
      <c r="I490" s="126"/>
      <c r="J490" s="130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>
      <c r="A491" s="107"/>
      <c r="B491" s="131"/>
      <c r="C491" s="120"/>
      <c r="D491" s="125"/>
      <c r="E491" s="107"/>
      <c r="F491" s="122"/>
      <c r="G491" s="22"/>
      <c r="H491" s="123"/>
      <c r="I491" s="126"/>
      <c r="J491" s="130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>
      <c r="A492" s="107"/>
      <c r="B492" s="131"/>
      <c r="C492" s="120"/>
      <c r="D492" s="125"/>
      <c r="E492" s="107"/>
      <c r="F492" s="122"/>
      <c r="G492" s="22"/>
      <c r="H492" s="123"/>
      <c r="I492" s="126"/>
      <c r="J492" s="130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>
      <c r="A493" s="107"/>
      <c r="B493" s="131"/>
      <c r="C493" s="120"/>
      <c r="D493" s="125"/>
      <c r="E493" s="107"/>
      <c r="F493" s="122"/>
      <c r="G493" s="22"/>
      <c r="H493" s="123"/>
      <c r="I493" s="126"/>
      <c r="J493" s="130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>
      <c r="A494" s="107"/>
      <c r="B494" s="131"/>
      <c r="C494" s="120"/>
      <c r="D494" s="125"/>
      <c r="E494" s="107"/>
      <c r="F494" s="122"/>
      <c r="G494" s="22"/>
      <c r="H494" s="123"/>
      <c r="I494" s="126"/>
      <c r="J494" s="130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>
      <c r="A495" s="107"/>
      <c r="B495" s="131"/>
      <c r="C495" s="120"/>
      <c r="D495" s="125"/>
      <c r="E495" s="107"/>
      <c r="F495" s="122"/>
      <c r="G495" s="22"/>
      <c r="H495" s="123"/>
      <c r="I495" s="126"/>
      <c r="J495" s="130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>
      <c r="A496" s="107"/>
      <c r="B496" s="131"/>
      <c r="C496" s="120"/>
      <c r="D496" s="125"/>
      <c r="E496" s="107"/>
      <c r="F496" s="122"/>
      <c r="G496" s="22"/>
      <c r="H496" s="123"/>
      <c r="I496" s="126"/>
      <c r="J496" s="130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>
      <c r="A497" s="107"/>
      <c r="B497" s="131"/>
      <c r="C497" s="120"/>
      <c r="D497" s="125"/>
      <c r="E497" s="107"/>
      <c r="F497" s="122"/>
      <c r="G497" s="22"/>
      <c r="H497" s="123"/>
      <c r="I497" s="126"/>
      <c r="J497" s="130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>
      <c r="A498" s="107"/>
      <c r="B498" s="131"/>
      <c r="C498" s="120"/>
      <c r="D498" s="125"/>
      <c r="E498" s="107"/>
      <c r="F498" s="122"/>
      <c r="G498" s="22"/>
      <c r="H498" s="123"/>
      <c r="I498" s="126"/>
      <c r="J498" s="130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>
      <c r="A499" s="107"/>
      <c r="B499" s="131"/>
      <c r="C499" s="120"/>
      <c r="D499" s="125"/>
      <c r="E499" s="107"/>
      <c r="F499" s="122"/>
      <c r="G499" s="22"/>
      <c r="H499" s="123"/>
      <c r="I499" s="126"/>
      <c r="J499" s="130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>
      <c r="A500" s="107"/>
      <c r="B500" s="131"/>
      <c r="C500" s="120"/>
      <c r="D500" s="125"/>
      <c r="E500" s="107"/>
      <c r="F500" s="122"/>
      <c r="G500" s="22"/>
      <c r="H500" s="123"/>
      <c r="I500" s="126"/>
      <c r="J500" s="130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>
      <c r="A501" s="107"/>
      <c r="B501" s="131"/>
      <c r="C501" s="120"/>
      <c r="D501" s="125"/>
      <c r="E501" s="107"/>
      <c r="F501" s="122"/>
      <c r="G501" s="22"/>
      <c r="H501" s="123"/>
      <c r="I501" s="126"/>
      <c r="J501" s="130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>
      <c r="A502" s="107"/>
      <c r="B502" s="131"/>
      <c r="C502" s="120"/>
      <c r="D502" s="125"/>
      <c r="E502" s="107"/>
      <c r="F502" s="122"/>
      <c r="G502" s="22"/>
      <c r="H502" s="123"/>
      <c r="I502" s="126"/>
      <c r="J502" s="130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>
      <c r="A503" s="107"/>
      <c r="B503" s="131"/>
      <c r="C503" s="120"/>
      <c r="D503" s="125"/>
      <c r="E503" s="107"/>
      <c r="F503" s="122"/>
      <c r="G503" s="22"/>
      <c r="H503" s="123"/>
      <c r="I503" s="126"/>
      <c r="J503" s="130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>
      <c r="A504" s="107"/>
      <c r="B504" s="131"/>
      <c r="C504" s="120"/>
      <c r="D504" s="125"/>
      <c r="E504" s="107"/>
      <c r="F504" s="122"/>
      <c r="G504" s="22"/>
      <c r="H504" s="123"/>
      <c r="I504" s="126"/>
      <c r="J504" s="130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>
      <c r="A505" s="107"/>
      <c r="B505" s="131"/>
      <c r="C505" s="120"/>
      <c r="D505" s="125"/>
      <c r="E505" s="107"/>
      <c r="F505" s="122"/>
      <c r="G505" s="22"/>
      <c r="H505" s="123"/>
      <c r="I505" s="126"/>
      <c r="J505" s="130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>
      <c r="A506" s="107"/>
      <c r="B506" s="131"/>
      <c r="C506" s="120"/>
      <c r="D506" s="125"/>
      <c r="E506" s="107"/>
      <c r="F506" s="122"/>
      <c r="G506" s="22"/>
      <c r="H506" s="123"/>
      <c r="I506" s="126"/>
      <c r="J506" s="130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>
      <c r="A507" s="107"/>
      <c r="B507" s="131"/>
      <c r="C507" s="120"/>
      <c r="D507" s="125"/>
      <c r="E507" s="107"/>
      <c r="F507" s="122"/>
      <c r="G507" s="22"/>
      <c r="H507" s="123"/>
      <c r="I507" s="126"/>
      <c r="J507" s="130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>
      <c r="A508" s="107"/>
      <c r="B508" s="131"/>
      <c r="C508" s="120"/>
      <c r="D508" s="125"/>
      <c r="E508" s="107"/>
      <c r="F508" s="122"/>
      <c r="G508" s="22"/>
      <c r="H508" s="123"/>
      <c r="I508" s="126"/>
      <c r="J508" s="130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>
      <c r="A509" s="107"/>
      <c r="B509" s="131"/>
      <c r="C509" s="120"/>
      <c r="D509" s="125"/>
      <c r="E509" s="107"/>
      <c r="F509" s="122"/>
      <c r="G509" s="22"/>
      <c r="H509" s="123"/>
      <c r="I509" s="126"/>
      <c r="J509" s="130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>
      <c r="A510" s="107"/>
      <c r="B510" s="131"/>
      <c r="C510" s="120"/>
      <c r="D510" s="125"/>
      <c r="E510" s="107"/>
      <c r="F510" s="122"/>
      <c r="G510" s="22"/>
      <c r="H510" s="123"/>
      <c r="I510" s="126"/>
      <c r="J510" s="130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>
      <c r="A511" s="107"/>
      <c r="B511" s="131"/>
      <c r="C511" s="120"/>
      <c r="D511" s="125"/>
      <c r="E511" s="107"/>
      <c r="F511" s="122"/>
      <c r="G511" s="22"/>
      <c r="H511" s="123"/>
      <c r="I511" s="126"/>
      <c r="J511" s="130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>
      <c r="A512" s="107"/>
      <c r="B512" s="131"/>
      <c r="C512" s="120"/>
      <c r="D512" s="125"/>
      <c r="E512" s="107"/>
      <c r="F512" s="122"/>
      <c r="G512" s="22"/>
      <c r="H512" s="123"/>
      <c r="I512" s="126"/>
      <c r="J512" s="130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>
      <c r="A513" s="107"/>
      <c r="B513" s="131"/>
      <c r="C513" s="120"/>
      <c r="D513" s="125"/>
      <c r="E513" s="107"/>
      <c r="F513" s="122"/>
      <c r="G513" s="22"/>
      <c r="H513" s="123"/>
      <c r="I513" s="126"/>
      <c r="J513" s="130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>
      <c r="A514" s="107"/>
      <c r="B514" s="131"/>
      <c r="C514" s="120"/>
      <c r="D514" s="125"/>
      <c r="E514" s="107"/>
      <c r="F514" s="122"/>
      <c r="G514" s="22"/>
      <c r="H514" s="123"/>
      <c r="I514" s="126"/>
      <c r="J514" s="130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>
      <c r="A515" s="107"/>
      <c r="B515" s="131"/>
      <c r="C515" s="120"/>
      <c r="D515" s="125"/>
      <c r="E515" s="107"/>
      <c r="F515" s="122"/>
      <c r="G515" s="22"/>
      <c r="H515" s="123"/>
      <c r="I515" s="126"/>
      <c r="J515" s="130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>
      <c r="A516" s="107"/>
      <c r="B516" s="131"/>
      <c r="C516" s="120"/>
      <c r="D516" s="125"/>
      <c r="E516" s="107"/>
      <c r="F516" s="122"/>
      <c r="G516" s="22"/>
      <c r="H516" s="123"/>
      <c r="I516" s="126"/>
      <c r="J516" s="130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>
      <c r="A517" s="107"/>
      <c r="B517" s="131"/>
      <c r="C517" s="120"/>
      <c r="D517" s="125"/>
      <c r="E517" s="107"/>
      <c r="F517" s="122"/>
      <c r="G517" s="22"/>
      <c r="H517" s="123"/>
      <c r="I517" s="126"/>
      <c r="J517" s="130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>
      <c r="A518" s="107"/>
      <c r="B518" s="131"/>
      <c r="C518" s="120"/>
      <c r="D518" s="125"/>
      <c r="E518" s="107"/>
      <c r="F518" s="122"/>
      <c r="G518" s="22"/>
      <c r="H518" s="123"/>
      <c r="I518" s="126"/>
      <c r="J518" s="130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>
      <c r="A519" s="107"/>
      <c r="B519" s="131"/>
      <c r="C519" s="120"/>
      <c r="D519" s="125"/>
      <c r="E519" s="107"/>
      <c r="F519" s="122"/>
      <c r="G519" s="22"/>
      <c r="H519" s="123"/>
      <c r="I519" s="126"/>
      <c r="J519" s="130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>
      <c r="A520" s="107"/>
      <c r="B520" s="131"/>
      <c r="C520" s="120"/>
      <c r="D520" s="125"/>
      <c r="E520" s="107"/>
      <c r="F520" s="122"/>
      <c r="G520" s="22"/>
      <c r="H520" s="123"/>
      <c r="I520" s="126"/>
      <c r="J520" s="130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>
      <c r="A521" s="107"/>
      <c r="B521" s="131"/>
      <c r="C521" s="120"/>
      <c r="D521" s="125"/>
      <c r="E521" s="107"/>
      <c r="F521" s="122"/>
      <c r="G521" s="22"/>
      <c r="H521" s="123"/>
      <c r="I521" s="126"/>
      <c r="J521" s="130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>
      <c r="A522" s="107"/>
      <c r="B522" s="131"/>
      <c r="C522" s="120"/>
      <c r="D522" s="125"/>
      <c r="E522" s="107"/>
      <c r="F522" s="122"/>
      <c r="G522" s="22"/>
      <c r="H522" s="123"/>
      <c r="I522" s="126"/>
      <c r="J522" s="130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>
      <c r="A523" s="107"/>
      <c r="B523" s="131"/>
      <c r="C523" s="120"/>
      <c r="D523" s="125"/>
      <c r="E523" s="107"/>
      <c r="F523" s="122"/>
      <c r="G523" s="22"/>
      <c r="H523" s="123"/>
      <c r="I523" s="126"/>
      <c r="J523" s="130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>
      <c r="A524" s="107"/>
      <c r="B524" s="131"/>
      <c r="C524" s="120"/>
      <c r="D524" s="125"/>
      <c r="E524" s="107"/>
      <c r="F524" s="122"/>
      <c r="G524" s="22"/>
      <c r="H524" s="123"/>
      <c r="I524" s="126"/>
      <c r="J524" s="130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>
      <c r="A525" s="107"/>
      <c r="B525" s="131"/>
      <c r="C525" s="120"/>
      <c r="D525" s="125"/>
      <c r="E525" s="107"/>
      <c r="F525" s="122"/>
      <c r="G525" s="22"/>
      <c r="H525" s="123"/>
      <c r="I525" s="126"/>
      <c r="J525" s="130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>
      <c r="A526" s="107"/>
      <c r="B526" s="131"/>
      <c r="C526" s="120"/>
      <c r="D526" s="125"/>
      <c r="E526" s="107"/>
      <c r="F526" s="122"/>
      <c r="G526" s="22"/>
      <c r="H526" s="123"/>
      <c r="I526" s="126"/>
      <c r="J526" s="130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>
      <c r="A527" s="107"/>
      <c r="B527" s="131"/>
      <c r="C527" s="120"/>
      <c r="D527" s="125"/>
      <c r="E527" s="107"/>
      <c r="F527" s="122"/>
      <c r="G527" s="22"/>
      <c r="H527" s="123"/>
      <c r="I527" s="126"/>
      <c r="J527" s="130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>
      <c r="A528" s="107"/>
      <c r="B528" s="131"/>
      <c r="C528" s="120"/>
      <c r="D528" s="125"/>
      <c r="E528" s="107"/>
      <c r="F528" s="122"/>
      <c r="G528" s="22"/>
      <c r="H528" s="123"/>
      <c r="I528" s="126"/>
      <c r="J528" s="130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>
      <c r="A529" s="107"/>
      <c r="B529" s="131"/>
      <c r="C529" s="120"/>
      <c r="D529" s="125"/>
      <c r="E529" s="107"/>
      <c r="F529" s="122"/>
      <c r="G529" s="22"/>
      <c r="H529" s="123"/>
      <c r="I529" s="126"/>
      <c r="J529" s="130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>
      <c r="A530" s="107"/>
      <c r="B530" s="131"/>
      <c r="C530" s="120"/>
      <c r="D530" s="125"/>
      <c r="E530" s="107"/>
      <c r="F530" s="122"/>
      <c r="G530" s="22"/>
      <c r="H530" s="123"/>
      <c r="I530" s="126"/>
      <c r="J530" s="130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>
      <c r="A531" s="107"/>
      <c r="B531" s="131"/>
      <c r="C531" s="120"/>
      <c r="D531" s="125"/>
      <c r="E531" s="107"/>
      <c r="F531" s="122"/>
      <c r="G531" s="22"/>
      <c r="H531" s="123"/>
      <c r="I531" s="126"/>
      <c r="J531" s="130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>
      <c r="A532" s="107"/>
      <c r="B532" s="131"/>
      <c r="C532" s="120"/>
      <c r="D532" s="125"/>
      <c r="E532" s="107"/>
      <c r="F532" s="122"/>
      <c r="G532" s="22"/>
      <c r="H532" s="123"/>
      <c r="I532" s="126"/>
      <c r="J532" s="130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>
      <c r="A533" s="107"/>
      <c r="B533" s="131"/>
      <c r="C533" s="120"/>
      <c r="D533" s="125"/>
      <c r="E533" s="107"/>
      <c r="F533" s="122"/>
      <c r="G533" s="22"/>
      <c r="H533" s="123"/>
      <c r="I533" s="126"/>
      <c r="J533" s="130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>
      <c r="A534" s="107"/>
      <c r="B534" s="131"/>
      <c r="C534" s="120"/>
      <c r="D534" s="125"/>
      <c r="E534" s="107"/>
      <c r="F534" s="122"/>
      <c r="G534" s="22"/>
      <c r="H534" s="123"/>
      <c r="I534" s="126"/>
      <c r="J534" s="130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>
      <c r="A535" s="107"/>
      <c r="B535" s="131"/>
      <c r="C535" s="120"/>
      <c r="D535" s="125"/>
      <c r="E535" s="107"/>
      <c r="F535" s="122"/>
      <c r="G535" s="22"/>
      <c r="H535" s="123"/>
      <c r="I535" s="126"/>
      <c r="J535" s="130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>
      <c r="A536" s="107"/>
      <c r="B536" s="131"/>
      <c r="C536" s="120"/>
      <c r="D536" s="125"/>
      <c r="E536" s="107"/>
      <c r="F536" s="122"/>
      <c r="G536" s="22"/>
      <c r="H536" s="123"/>
      <c r="I536" s="126"/>
      <c r="J536" s="130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>
      <c r="A537" s="107"/>
      <c r="B537" s="131"/>
      <c r="C537" s="120"/>
      <c r="D537" s="125"/>
      <c r="E537" s="107"/>
      <c r="F537" s="122"/>
      <c r="G537" s="22"/>
      <c r="H537" s="123"/>
      <c r="I537" s="126"/>
      <c r="J537" s="130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>
      <c r="A538" s="107"/>
      <c r="B538" s="131"/>
      <c r="C538" s="120"/>
      <c r="D538" s="125"/>
      <c r="E538" s="107"/>
      <c r="F538" s="122"/>
      <c r="G538" s="22"/>
      <c r="H538" s="123"/>
      <c r="I538" s="126"/>
      <c r="J538" s="130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>
      <c r="A539" s="107"/>
      <c r="B539" s="131"/>
      <c r="C539" s="120"/>
      <c r="D539" s="125"/>
      <c r="E539" s="107"/>
      <c r="F539" s="122"/>
      <c r="G539" s="22"/>
      <c r="H539" s="123"/>
      <c r="I539" s="126"/>
      <c r="J539" s="130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>
      <c r="A540" s="107"/>
      <c r="B540" s="131"/>
      <c r="C540" s="120"/>
      <c r="D540" s="125"/>
      <c r="E540" s="107"/>
      <c r="F540" s="122"/>
      <c r="G540" s="22"/>
      <c r="H540" s="123"/>
      <c r="I540" s="126"/>
      <c r="J540" s="130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>
      <c r="A541" s="107"/>
      <c r="B541" s="131"/>
      <c r="C541" s="120"/>
      <c r="D541" s="125"/>
      <c r="E541" s="107"/>
      <c r="F541" s="122"/>
      <c r="G541" s="22"/>
      <c r="H541" s="123"/>
      <c r="I541" s="126"/>
      <c r="J541" s="130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>
      <c r="A542" s="107"/>
      <c r="B542" s="131"/>
      <c r="C542" s="120"/>
      <c r="D542" s="125"/>
      <c r="E542" s="107"/>
      <c r="F542" s="122"/>
      <c r="G542" s="22"/>
      <c r="H542" s="123"/>
      <c r="I542" s="126"/>
      <c r="J542" s="130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>
      <c r="A543" s="107"/>
      <c r="B543" s="131"/>
      <c r="C543" s="120"/>
      <c r="D543" s="125"/>
      <c r="E543" s="107"/>
      <c r="F543" s="122"/>
      <c r="G543" s="22"/>
      <c r="H543" s="123"/>
      <c r="I543" s="126"/>
      <c r="J543" s="130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>
      <c r="A544" s="107"/>
      <c r="B544" s="131"/>
      <c r="C544" s="120"/>
      <c r="D544" s="125"/>
      <c r="E544" s="107"/>
      <c r="F544" s="122"/>
      <c r="G544" s="22"/>
      <c r="H544" s="123"/>
      <c r="I544" s="126"/>
      <c r="J544" s="130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>
      <c r="A545" s="107"/>
      <c r="B545" s="131"/>
      <c r="C545" s="120"/>
      <c r="D545" s="125"/>
      <c r="E545" s="107"/>
      <c r="F545" s="122"/>
      <c r="G545" s="22"/>
      <c r="H545" s="123"/>
      <c r="I545" s="126"/>
      <c r="J545" s="130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>
      <c r="A546" s="107"/>
      <c r="B546" s="131"/>
      <c r="C546" s="120"/>
      <c r="D546" s="125"/>
      <c r="E546" s="107"/>
      <c r="F546" s="122"/>
      <c r="G546" s="22"/>
      <c r="H546" s="123"/>
      <c r="I546" s="126"/>
      <c r="J546" s="130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>
      <c r="A547" s="107"/>
      <c r="B547" s="131"/>
      <c r="C547" s="120"/>
      <c r="D547" s="125"/>
      <c r="E547" s="107"/>
      <c r="F547" s="122"/>
      <c r="G547" s="22"/>
      <c r="H547" s="123"/>
      <c r="I547" s="126"/>
      <c r="J547" s="130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>
      <c r="A548" s="107"/>
      <c r="B548" s="131"/>
      <c r="C548" s="120"/>
      <c r="D548" s="125"/>
      <c r="E548" s="107"/>
      <c r="F548" s="122"/>
      <c r="G548" s="22"/>
      <c r="H548" s="123"/>
      <c r="I548" s="126"/>
      <c r="J548" s="130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>
      <c r="A549" s="107"/>
      <c r="B549" s="131"/>
      <c r="C549" s="120"/>
      <c r="D549" s="125"/>
      <c r="E549" s="107"/>
      <c r="F549" s="122"/>
      <c r="G549" s="22"/>
      <c r="H549" s="123"/>
      <c r="I549" s="126"/>
      <c r="J549" s="130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>
      <c r="A550" s="107"/>
      <c r="B550" s="131"/>
      <c r="C550" s="120"/>
      <c r="D550" s="125"/>
      <c r="E550" s="107"/>
      <c r="F550" s="122"/>
      <c r="G550" s="22"/>
      <c r="H550" s="123"/>
      <c r="I550" s="126"/>
      <c r="J550" s="130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>
      <c r="A551" s="107"/>
      <c r="B551" s="131"/>
      <c r="C551" s="120"/>
      <c r="D551" s="125"/>
      <c r="E551" s="107"/>
      <c r="F551" s="122"/>
      <c r="G551" s="22"/>
      <c r="H551" s="123"/>
      <c r="I551" s="126"/>
      <c r="J551" s="130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>
      <c r="A552" s="107"/>
      <c r="B552" s="131"/>
      <c r="C552" s="120"/>
      <c r="D552" s="125"/>
      <c r="E552" s="107"/>
      <c r="F552" s="122"/>
      <c r="G552" s="22"/>
      <c r="H552" s="123"/>
      <c r="I552" s="126"/>
      <c r="J552" s="130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>
      <c r="A553" s="107"/>
      <c r="B553" s="131"/>
      <c r="C553" s="120"/>
      <c r="D553" s="125"/>
      <c r="E553" s="107"/>
      <c r="F553" s="122"/>
      <c r="G553" s="22"/>
      <c r="H553" s="123"/>
      <c r="I553" s="126"/>
      <c r="J553" s="130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>
      <c r="A554" s="107"/>
      <c r="B554" s="131"/>
      <c r="C554" s="120"/>
      <c r="D554" s="125"/>
      <c r="E554" s="107"/>
      <c r="F554" s="122"/>
      <c r="G554" s="22"/>
      <c r="H554" s="123"/>
      <c r="I554" s="126"/>
      <c r="J554" s="130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>
      <c r="A555" s="107"/>
      <c r="B555" s="131"/>
      <c r="C555" s="120"/>
      <c r="D555" s="125"/>
      <c r="E555" s="107"/>
      <c r="F555" s="122"/>
      <c r="G555" s="22"/>
      <c r="H555" s="123"/>
      <c r="I555" s="126"/>
      <c r="J555" s="130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>
      <c r="A556" s="107"/>
      <c r="B556" s="131"/>
      <c r="C556" s="120"/>
      <c r="D556" s="125"/>
      <c r="E556" s="107"/>
      <c r="F556" s="122"/>
      <c r="G556" s="22"/>
      <c r="H556" s="123"/>
      <c r="I556" s="126"/>
      <c r="J556" s="130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>
      <c r="A557" s="107"/>
      <c r="B557" s="131"/>
      <c r="C557" s="120"/>
      <c r="D557" s="125"/>
      <c r="E557" s="107"/>
      <c r="F557" s="122"/>
      <c r="G557" s="22"/>
      <c r="H557" s="123"/>
      <c r="I557" s="126"/>
      <c r="J557" s="130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>
      <c r="A558" s="107"/>
      <c r="B558" s="131"/>
      <c r="C558" s="120"/>
      <c r="D558" s="125"/>
      <c r="E558" s="107"/>
      <c r="F558" s="122"/>
      <c r="G558" s="22"/>
      <c r="H558" s="123"/>
      <c r="I558" s="126"/>
      <c r="J558" s="130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>
      <c r="A559" s="107"/>
      <c r="B559" s="131"/>
      <c r="C559" s="120"/>
      <c r="D559" s="125"/>
      <c r="E559" s="107"/>
      <c r="F559" s="122"/>
      <c r="G559" s="22"/>
      <c r="H559" s="123"/>
      <c r="I559" s="126"/>
      <c r="J559" s="130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>
      <c r="A560" s="107"/>
      <c r="B560" s="131"/>
      <c r="C560" s="120"/>
      <c r="D560" s="125"/>
      <c r="E560" s="107"/>
      <c r="F560" s="122"/>
      <c r="G560" s="22"/>
      <c r="H560" s="123"/>
      <c r="I560" s="126"/>
      <c r="J560" s="130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>
      <c r="A561" s="107"/>
      <c r="B561" s="131"/>
      <c r="C561" s="120"/>
      <c r="D561" s="125"/>
      <c r="E561" s="107"/>
      <c r="F561" s="122"/>
      <c r="G561" s="22"/>
      <c r="H561" s="123"/>
      <c r="I561" s="126"/>
      <c r="J561" s="130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>
      <c r="A562" s="107"/>
      <c r="B562" s="131"/>
      <c r="C562" s="120"/>
      <c r="D562" s="125"/>
      <c r="E562" s="107"/>
      <c r="F562" s="122"/>
      <c r="G562" s="22"/>
      <c r="H562" s="123"/>
      <c r="I562" s="126"/>
      <c r="J562" s="130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>
      <c r="A563" s="107"/>
      <c r="B563" s="131"/>
      <c r="C563" s="120"/>
      <c r="D563" s="125"/>
      <c r="E563" s="107"/>
      <c r="F563" s="122"/>
      <c r="G563" s="22"/>
      <c r="H563" s="123"/>
      <c r="I563" s="126"/>
      <c r="J563" s="130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>
      <c r="A564" s="107"/>
      <c r="B564" s="131"/>
      <c r="C564" s="120"/>
      <c r="D564" s="125"/>
      <c r="E564" s="107"/>
      <c r="F564" s="122"/>
      <c r="G564" s="22"/>
      <c r="H564" s="123"/>
      <c r="I564" s="126"/>
      <c r="J564" s="130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>
      <c r="A565" s="107"/>
      <c r="B565" s="131"/>
      <c r="C565" s="120"/>
      <c r="D565" s="125"/>
      <c r="E565" s="107"/>
      <c r="F565" s="122"/>
      <c r="G565" s="22"/>
      <c r="H565" s="123"/>
      <c r="I565" s="126"/>
      <c r="J565" s="130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>
      <c r="A566" s="107"/>
      <c r="B566" s="131"/>
      <c r="C566" s="120"/>
      <c r="D566" s="125"/>
      <c r="E566" s="107"/>
      <c r="F566" s="122"/>
      <c r="G566" s="22"/>
      <c r="H566" s="123"/>
      <c r="I566" s="126"/>
      <c r="J566" s="130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>
      <c r="A567" s="107"/>
      <c r="B567" s="131"/>
      <c r="C567" s="120"/>
      <c r="D567" s="125"/>
      <c r="E567" s="107"/>
      <c r="F567" s="122"/>
      <c r="G567" s="22"/>
      <c r="H567" s="123"/>
      <c r="I567" s="126"/>
      <c r="J567" s="130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>
      <c r="A568" s="107"/>
      <c r="B568" s="131"/>
      <c r="C568" s="120"/>
      <c r="D568" s="125"/>
      <c r="E568" s="107"/>
      <c r="F568" s="122"/>
      <c r="G568" s="22"/>
      <c r="H568" s="123"/>
      <c r="I568" s="126"/>
      <c r="J568" s="130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>
      <c r="A569" s="107"/>
      <c r="B569" s="131"/>
      <c r="C569" s="120"/>
      <c r="D569" s="125"/>
      <c r="E569" s="107"/>
      <c r="F569" s="122"/>
      <c r="G569" s="22"/>
      <c r="H569" s="123"/>
      <c r="I569" s="126"/>
      <c r="J569" s="130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>
      <c r="A570" s="107"/>
      <c r="B570" s="131"/>
      <c r="C570" s="120"/>
      <c r="D570" s="125"/>
      <c r="E570" s="107"/>
      <c r="F570" s="122"/>
      <c r="G570" s="22"/>
      <c r="H570" s="123"/>
      <c r="I570" s="126"/>
      <c r="J570" s="130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>
      <c r="A571" s="107"/>
      <c r="B571" s="131"/>
      <c r="C571" s="120"/>
      <c r="D571" s="125"/>
      <c r="E571" s="107"/>
      <c r="F571" s="122"/>
      <c r="G571" s="22"/>
      <c r="H571" s="123"/>
      <c r="I571" s="126"/>
      <c r="J571" s="130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>
      <c r="A572" s="107"/>
      <c r="B572" s="131"/>
      <c r="C572" s="120"/>
      <c r="D572" s="125"/>
      <c r="E572" s="107"/>
      <c r="F572" s="122"/>
      <c r="G572" s="22"/>
      <c r="H572" s="123"/>
      <c r="I572" s="126"/>
      <c r="J572" s="130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>
      <c r="A573" s="107"/>
      <c r="B573" s="131"/>
      <c r="C573" s="120"/>
      <c r="D573" s="125"/>
      <c r="E573" s="107"/>
      <c r="F573" s="122"/>
      <c r="G573" s="22"/>
      <c r="H573" s="123"/>
      <c r="I573" s="126"/>
      <c r="J573" s="130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>
      <c r="A574" s="107"/>
      <c r="B574" s="131"/>
      <c r="C574" s="120"/>
      <c r="D574" s="125"/>
      <c r="E574" s="107"/>
      <c r="F574" s="122"/>
      <c r="G574" s="22"/>
      <c r="H574" s="123"/>
      <c r="I574" s="126"/>
      <c r="J574" s="130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>
      <c r="A575" s="107"/>
      <c r="B575" s="131"/>
      <c r="C575" s="120"/>
      <c r="D575" s="125"/>
      <c r="E575" s="107"/>
      <c r="F575" s="122"/>
      <c r="G575" s="22"/>
      <c r="H575" s="123"/>
      <c r="I575" s="126"/>
      <c r="J575" s="130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>
      <c r="A576" s="107"/>
      <c r="B576" s="131"/>
      <c r="C576" s="120"/>
      <c r="D576" s="125"/>
      <c r="E576" s="107"/>
      <c r="F576" s="122"/>
      <c r="G576" s="22"/>
      <c r="H576" s="123"/>
      <c r="I576" s="126"/>
      <c r="J576" s="130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>
      <c r="A577" s="107"/>
      <c r="B577" s="131"/>
      <c r="C577" s="120"/>
      <c r="D577" s="125"/>
      <c r="E577" s="107"/>
      <c r="F577" s="122"/>
      <c r="G577" s="22"/>
      <c r="H577" s="123"/>
      <c r="I577" s="126"/>
      <c r="J577" s="130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>
      <c r="A578" s="107"/>
      <c r="B578" s="131"/>
      <c r="C578" s="120"/>
      <c r="D578" s="125"/>
      <c r="E578" s="107"/>
      <c r="F578" s="122"/>
      <c r="G578" s="22"/>
      <c r="H578" s="123"/>
      <c r="I578" s="126"/>
      <c r="J578" s="130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>
      <c r="A579" s="107"/>
      <c r="B579" s="131"/>
      <c r="C579" s="120"/>
      <c r="D579" s="125"/>
      <c r="E579" s="107"/>
      <c r="F579" s="122"/>
      <c r="G579" s="22"/>
      <c r="H579" s="123"/>
      <c r="I579" s="126"/>
      <c r="J579" s="130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>
      <c r="A580" s="107"/>
      <c r="B580" s="131"/>
      <c r="C580" s="120"/>
      <c r="D580" s="125"/>
      <c r="E580" s="107"/>
      <c r="F580" s="122"/>
      <c r="G580" s="22"/>
      <c r="H580" s="123"/>
      <c r="I580" s="126"/>
      <c r="J580" s="130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>
      <c r="A581" s="107"/>
      <c r="B581" s="131"/>
      <c r="C581" s="120"/>
      <c r="D581" s="125"/>
      <c r="E581" s="107"/>
      <c r="F581" s="122"/>
      <c r="G581" s="22"/>
      <c r="H581" s="123"/>
      <c r="I581" s="126"/>
      <c r="J581" s="130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>
      <c r="A582" s="107"/>
      <c r="B582" s="131"/>
      <c r="C582" s="120"/>
      <c r="D582" s="125"/>
      <c r="E582" s="107"/>
      <c r="F582" s="122"/>
      <c r="G582" s="22"/>
      <c r="H582" s="123"/>
      <c r="I582" s="126"/>
      <c r="J582" s="130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>
      <c r="A583" s="107"/>
      <c r="B583" s="131"/>
      <c r="C583" s="120"/>
      <c r="D583" s="125"/>
      <c r="E583" s="107"/>
      <c r="F583" s="122"/>
      <c r="G583" s="22"/>
      <c r="H583" s="123"/>
      <c r="I583" s="126"/>
      <c r="J583" s="130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>
      <c r="A584" s="107"/>
      <c r="B584" s="131"/>
      <c r="C584" s="120"/>
      <c r="D584" s="125"/>
      <c r="E584" s="107"/>
      <c r="F584" s="122"/>
      <c r="G584" s="22"/>
      <c r="H584" s="123"/>
      <c r="I584" s="126"/>
      <c r="J584" s="130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>
      <c r="A585" s="107"/>
      <c r="B585" s="131"/>
      <c r="C585" s="120"/>
      <c r="D585" s="125"/>
      <c r="E585" s="107"/>
      <c r="F585" s="122"/>
      <c r="G585" s="22"/>
      <c r="H585" s="123"/>
      <c r="I585" s="126"/>
      <c r="J585" s="130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>
      <c r="A586" s="107"/>
      <c r="B586" s="131"/>
      <c r="C586" s="120"/>
      <c r="D586" s="125"/>
      <c r="E586" s="107"/>
      <c r="F586" s="122"/>
      <c r="G586" s="22"/>
      <c r="H586" s="123"/>
      <c r="I586" s="126"/>
      <c r="J586" s="130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>
      <c r="A587" s="107"/>
      <c r="B587" s="131"/>
      <c r="C587" s="120"/>
      <c r="D587" s="125"/>
      <c r="E587" s="107"/>
      <c r="F587" s="122"/>
      <c r="G587" s="22"/>
      <c r="H587" s="123"/>
      <c r="I587" s="126"/>
      <c r="J587" s="130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>
      <c r="A588" s="107"/>
      <c r="B588" s="131"/>
      <c r="C588" s="120"/>
      <c r="D588" s="125"/>
      <c r="E588" s="107"/>
      <c r="F588" s="122"/>
      <c r="G588" s="22"/>
      <c r="H588" s="123"/>
      <c r="I588" s="126"/>
      <c r="J588" s="130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>
      <c r="A589" s="107"/>
      <c r="B589" s="131"/>
      <c r="C589" s="120"/>
      <c r="D589" s="125"/>
      <c r="E589" s="107"/>
      <c r="F589" s="122"/>
      <c r="G589" s="22"/>
      <c r="H589" s="123"/>
      <c r="I589" s="126"/>
      <c r="J589" s="130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>
      <c r="A590" s="107"/>
      <c r="B590" s="131"/>
      <c r="C590" s="120"/>
      <c r="D590" s="125"/>
      <c r="E590" s="107"/>
      <c r="F590" s="122"/>
      <c r="G590" s="22"/>
      <c r="H590" s="123"/>
      <c r="I590" s="126"/>
      <c r="J590" s="130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>
      <c r="A591" s="107"/>
      <c r="B591" s="131"/>
      <c r="C591" s="120"/>
      <c r="D591" s="125"/>
      <c r="E591" s="107"/>
      <c r="F591" s="122"/>
      <c r="G591" s="22"/>
      <c r="H591" s="123"/>
      <c r="I591" s="126"/>
      <c r="J591" s="130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>
      <c r="A592" s="107"/>
      <c r="B592" s="131"/>
      <c r="C592" s="120"/>
      <c r="D592" s="125"/>
      <c r="E592" s="107"/>
      <c r="F592" s="122"/>
      <c r="G592" s="22"/>
      <c r="H592" s="123"/>
      <c r="I592" s="126"/>
      <c r="J592" s="130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>
      <c r="A593" s="107"/>
      <c r="B593" s="131"/>
      <c r="C593" s="120"/>
      <c r="D593" s="125"/>
      <c r="E593" s="107"/>
      <c r="F593" s="122"/>
      <c r="G593" s="22"/>
      <c r="H593" s="123"/>
      <c r="I593" s="126"/>
      <c r="J593" s="130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>
      <c r="A594" s="107"/>
      <c r="B594" s="131"/>
      <c r="C594" s="120"/>
      <c r="D594" s="125"/>
      <c r="E594" s="107"/>
      <c r="F594" s="122"/>
      <c r="G594" s="22"/>
      <c r="H594" s="123"/>
      <c r="I594" s="126"/>
      <c r="J594" s="130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>
      <c r="A595" s="107"/>
      <c r="B595" s="131"/>
      <c r="C595" s="120"/>
      <c r="D595" s="125"/>
      <c r="E595" s="107"/>
      <c r="F595" s="122"/>
      <c r="G595" s="22"/>
      <c r="H595" s="123"/>
      <c r="I595" s="126"/>
      <c r="J595" s="130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>
      <c r="A596" s="107"/>
      <c r="B596" s="131"/>
      <c r="C596" s="120"/>
      <c r="D596" s="125"/>
      <c r="E596" s="107"/>
      <c r="F596" s="122"/>
      <c r="G596" s="22"/>
      <c r="H596" s="123"/>
      <c r="I596" s="126"/>
      <c r="J596" s="130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>
      <c r="A597" s="107"/>
      <c r="B597" s="131"/>
      <c r="C597" s="120"/>
      <c r="D597" s="125"/>
      <c r="E597" s="107"/>
      <c r="F597" s="122"/>
      <c r="G597" s="22"/>
      <c r="H597" s="123"/>
      <c r="I597" s="126"/>
      <c r="J597" s="130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>
      <c r="A598" s="107"/>
      <c r="B598" s="131"/>
      <c r="C598" s="120"/>
      <c r="D598" s="125"/>
      <c r="E598" s="107"/>
      <c r="F598" s="122"/>
      <c r="G598" s="22"/>
      <c r="H598" s="123"/>
      <c r="I598" s="126"/>
      <c r="J598" s="130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>
      <c r="A599" s="107"/>
      <c r="B599" s="131"/>
      <c r="C599" s="120"/>
      <c r="D599" s="125"/>
      <c r="E599" s="107"/>
      <c r="F599" s="122"/>
      <c r="G599" s="22"/>
      <c r="H599" s="123"/>
      <c r="I599" s="126"/>
      <c r="J599" s="130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>
      <c r="A600" s="107"/>
      <c r="B600" s="131"/>
      <c r="C600" s="120"/>
      <c r="D600" s="125"/>
      <c r="E600" s="107"/>
      <c r="F600" s="122"/>
      <c r="G600" s="22"/>
      <c r="H600" s="123"/>
      <c r="I600" s="126"/>
      <c r="J600" s="130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>
      <c r="A601" s="107"/>
      <c r="B601" s="131"/>
      <c r="C601" s="120"/>
      <c r="D601" s="125"/>
      <c r="E601" s="107"/>
      <c r="F601" s="122"/>
      <c r="G601" s="22"/>
      <c r="H601" s="123"/>
      <c r="I601" s="126"/>
      <c r="J601" s="130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>
      <c r="A602" s="107"/>
      <c r="B602" s="131"/>
      <c r="C602" s="120"/>
      <c r="D602" s="125"/>
      <c r="E602" s="107"/>
      <c r="F602" s="122"/>
      <c r="G602" s="22"/>
      <c r="H602" s="123"/>
      <c r="I602" s="126"/>
      <c r="J602" s="130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>
      <c r="A603" s="107"/>
      <c r="B603" s="131"/>
      <c r="C603" s="120"/>
      <c r="D603" s="125"/>
      <c r="E603" s="107"/>
      <c r="F603" s="122"/>
      <c r="G603" s="22"/>
      <c r="H603" s="123"/>
      <c r="I603" s="126"/>
      <c r="J603" s="130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>
      <c r="A604" s="107"/>
      <c r="B604" s="131"/>
      <c r="C604" s="120"/>
      <c r="D604" s="125"/>
      <c r="E604" s="107"/>
      <c r="F604" s="122"/>
      <c r="G604" s="22"/>
      <c r="H604" s="123"/>
      <c r="I604" s="126"/>
      <c r="J604" s="130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>
      <c r="A605" s="107"/>
      <c r="B605" s="131"/>
      <c r="C605" s="120"/>
      <c r="D605" s="125"/>
      <c r="E605" s="107"/>
      <c r="F605" s="122"/>
      <c r="G605" s="22"/>
      <c r="H605" s="123"/>
      <c r="I605" s="126"/>
      <c r="J605" s="130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>
      <c r="A606" s="107"/>
      <c r="B606" s="131"/>
      <c r="C606" s="120"/>
      <c r="D606" s="125"/>
      <c r="E606" s="107"/>
      <c r="F606" s="122"/>
      <c r="G606" s="22"/>
      <c r="H606" s="123"/>
      <c r="I606" s="126"/>
      <c r="J606" s="130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>
      <c r="A607" s="107"/>
      <c r="B607" s="131"/>
      <c r="C607" s="120"/>
      <c r="D607" s="125"/>
      <c r="E607" s="107"/>
      <c r="F607" s="122"/>
      <c r="G607" s="22"/>
      <c r="H607" s="123"/>
      <c r="I607" s="126"/>
      <c r="J607" s="130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>
      <c r="A608" s="107"/>
      <c r="B608" s="131"/>
      <c r="C608" s="120"/>
      <c r="D608" s="125"/>
      <c r="E608" s="107"/>
      <c r="F608" s="122"/>
      <c r="G608" s="22"/>
      <c r="H608" s="123"/>
      <c r="I608" s="126"/>
      <c r="J608" s="130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>
      <c r="A609" s="107"/>
      <c r="B609" s="131"/>
      <c r="C609" s="120"/>
      <c r="D609" s="125"/>
      <c r="E609" s="107"/>
      <c r="F609" s="122"/>
      <c r="G609" s="22"/>
      <c r="H609" s="123"/>
      <c r="I609" s="126"/>
      <c r="J609" s="130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>
      <c r="A610" s="107"/>
      <c r="B610" s="131"/>
      <c r="C610" s="120"/>
      <c r="D610" s="125"/>
      <c r="E610" s="107"/>
      <c r="F610" s="122"/>
      <c r="G610" s="22"/>
      <c r="H610" s="123"/>
      <c r="I610" s="126"/>
      <c r="J610" s="130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>
      <c r="A611" s="107"/>
      <c r="B611" s="131"/>
      <c r="C611" s="120"/>
      <c r="D611" s="125"/>
      <c r="E611" s="107"/>
      <c r="F611" s="122"/>
      <c r="G611" s="22"/>
      <c r="H611" s="123"/>
      <c r="I611" s="126"/>
      <c r="J611" s="130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>
      <c r="A612" s="107"/>
      <c r="B612" s="131"/>
      <c r="C612" s="120"/>
      <c r="D612" s="125"/>
      <c r="E612" s="107"/>
      <c r="F612" s="122"/>
      <c r="G612" s="22"/>
      <c r="H612" s="123"/>
      <c r="I612" s="126"/>
      <c r="J612" s="130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>
      <c r="A613" s="107"/>
      <c r="B613" s="131"/>
      <c r="C613" s="120"/>
      <c r="D613" s="125"/>
      <c r="E613" s="107"/>
      <c r="F613" s="122"/>
      <c r="G613" s="22"/>
      <c r="H613" s="123"/>
      <c r="I613" s="126"/>
      <c r="J613" s="130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>
      <c r="A614" s="107"/>
      <c r="B614" s="131"/>
      <c r="C614" s="120"/>
      <c r="D614" s="125"/>
      <c r="E614" s="107"/>
      <c r="F614" s="122"/>
      <c r="G614" s="22"/>
      <c r="H614" s="123"/>
      <c r="I614" s="126"/>
      <c r="J614" s="130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>
      <c r="A615" s="107"/>
      <c r="B615" s="131"/>
      <c r="C615" s="120"/>
      <c r="D615" s="125"/>
      <c r="E615" s="107"/>
      <c r="F615" s="122"/>
      <c r="G615" s="22"/>
      <c r="H615" s="123"/>
      <c r="I615" s="126"/>
      <c r="J615" s="130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>
      <c r="A616" s="107"/>
      <c r="B616" s="131"/>
      <c r="C616" s="120"/>
      <c r="D616" s="125"/>
      <c r="E616" s="107"/>
      <c r="F616" s="122"/>
      <c r="G616" s="22"/>
      <c r="H616" s="123"/>
      <c r="I616" s="126"/>
      <c r="J616" s="130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>
      <c r="A617" s="107"/>
      <c r="B617" s="131"/>
      <c r="C617" s="120"/>
      <c r="D617" s="125"/>
      <c r="E617" s="107"/>
      <c r="F617" s="122"/>
      <c r="G617" s="22"/>
      <c r="H617" s="123"/>
      <c r="I617" s="126"/>
      <c r="J617" s="130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>
      <c r="A618" s="107"/>
      <c r="B618" s="131"/>
      <c r="C618" s="120"/>
      <c r="D618" s="125"/>
      <c r="E618" s="107"/>
      <c r="F618" s="122"/>
      <c r="G618" s="22"/>
      <c r="H618" s="123"/>
      <c r="I618" s="126"/>
      <c r="J618" s="130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>
      <c r="A619" s="107"/>
      <c r="B619" s="131"/>
      <c r="C619" s="120"/>
      <c r="D619" s="125"/>
      <c r="E619" s="107"/>
      <c r="F619" s="122"/>
      <c r="G619" s="22"/>
      <c r="H619" s="123"/>
      <c r="I619" s="126"/>
      <c r="J619" s="130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>
      <c r="A620" s="107"/>
      <c r="B620" s="131"/>
      <c r="C620" s="120"/>
      <c r="D620" s="125"/>
      <c r="E620" s="107"/>
      <c r="F620" s="122"/>
      <c r="G620" s="22"/>
      <c r="H620" s="123"/>
      <c r="I620" s="126"/>
      <c r="J620" s="130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>
      <c r="A621" s="107"/>
      <c r="B621" s="131"/>
      <c r="C621" s="120"/>
      <c r="D621" s="125"/>
      <c r="E621" s="107"/>
      <c r="F621" s="122"/>
      <c r="G621" s="22"/>
      <c r="H621" s="123"/>
      <c r="I621" s="126"/>
      <c r="J621" s="130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>
      <c r="A622" s="107"/>
      <c r="B622" s="131"/>
      <c r="C622" s="120"/>
      <c r="D622" s="125"/>
      <c r="E622" s="107"/>
      <c r="F622" s="122"/>
      <c r="G622" s="22"/>
      <c r="H622" s="123"/>
      <c r="I622" s="126"/>
      <c r="J622" s="130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>
      <c r="A623" s="107"/>
      <c r="B623" s="131"/>
      <c r="C623" s="120"/>
      <c r="D623" s="125"/>
      <c r="E623" s="107"/>
      <c r="F623" s="122"/>
      <c r="G623" s="22"/>
      <c r="H623" s="123"/>
      <c r="I623" s="126"/>
      <c r="J623" s="130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>
      <c r="A624" s="107"/>
      <c r="B624" s="131"/>
      <c r="C624" s="120"/>
      <c r="D624" s="125"/>
      <c r="E624" s="107"/>
      <c r="F624" s="122"/>
      <c r="G624" s="22"/>
      <c r="H624" s="123"/>
      <c r="I624" s="126"/>
      <c r="J624" s="130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>
      <c r="A625" s="107"/>
      <c r="B625" s="131"/>
      <c r="C625" s="120"/>
      <c r="D625" s="125"/>
      <c r="E625" s="107"/>
      <c r="F625" s="122"/>
      <c r="G625" s="22"/>
      <c r="H625" s="123"/>
      <c r="I625" s="126"/>
      <c r="J625" s="130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>
      <c r="A626" s="107"/>
      <c r="B626" s="131"/>
      <c r="C626" s="120"/>
      <c r="D626" s="125"/>
      <c r="E626" s="107"/>
      <c r="F626" s="122"/>
      <c r="G626" s="22"/>
      <c r="H626" s="123"/>
      <c r="I626" s="126"/>
      <c r="J626" s="130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>
      <c r="A627" s="107"/>
      <c r="B627" s="131"/>
      <c r="C627" s="120"/>
      <c r="D627" s="125"/>
      <c r="E627" s="107"/>
      <c r="F627" s="122"/>
      <c r="G627" s="22"/>
      <c r="H627" s="123"/>
      <c r="I627" s="126"/>
      <c r="J627" s="130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>
      <c r="A628" s="107"/>
      <c r="B628" s="131"/>
      <c r="C628" s="120"/>
      <c r="D628" s="125"/>
      <c r="E628" s="107"/>
      <c r="F628" s="122"/>
      <c r="G628" s="22"/>
      <c r="H628" s="123"/>
      <c r="I628" s="126"/>
      <c r="J628" s="130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>
      <c r="A629" s="107"/>
      <c r="B629" s="131"/>
      <c r="C629" s="120"/>
      <c r="D629" s="125"/>
      <c r="E629" s="107"/>
      <c r="F629" s="122"/>
      <c r="G629" s="22"/>
      <c r="H629" s="123"/>
      <c r="I629" s="126"/>
      <c r="J629" s="130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>
      <c r="A630" s="107"/>
      <c r="B630" s="131"/>
      <c r="C630" s="120"/>
      <c r="D630" s="125"/>
      <c r="E630" s="107"/>
      <c r="F630" s="122"/>
      <c r="G630" s="22"/>
      <c r="H630" s="123"/>
      <c r="I630" s="126"/>
      <c r="J630" s="130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>
      <c r="A631" s="107"/>
      <c r="B631" s="131"/>
      <c r="C631" s="120"/>
      <c r="D631" s="125"/>
      <c r="E631" s="107"/>
      <c r="F631" s="122"/>
      <c r="G631" s="22"/>
      <c r="H631" s="123"/>
      <c r="I631" s="126"/>
      <c r="J631" s="130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>
      <c r="A632" s="107"/>
      <c r="B632" s="131"/>
      <c r="C632" s="120"/>
      <c r="D632" s="125"/>
      <c r="E632" s="107"/>
      <c r="F632" s="122"/>
      <c r="G632" s="22"/>
      <c r="H632" s="123"/>
      <c r="I632" s="126"/>
      <c r="J632" s="130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>
      <c r="A633" s="107"/>
      <c r="B633" s="131"/>
      <c r="C633" s="120"/>
      <c r="D633" s="125"/>
      <c r="E633" s="107"/>
      <c r="F633" s="122"/>
      <c r="G633" s="22"/>
      <c r="H633" s="123"/>
      <c r="I633" s="126"/>
      <c r="J633" s="130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>
      <c r="A634" s="107"/>
      <c r="B634" s="131"/>
      <c r="C634" s="120"/>
      <c r="D634" s="125"/>
      <c r="E634" s="107"/>
      <c r="F634" s="122"/>
      <c r="G634" s="22"/>
      <c r="H634" s="123"/>
      <c r="I634" s="126"/>
      <c r="J634" s="130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>
      <c r="A635" s="107"/>
      <c r="B635" s="131"/>
      <c r="C635" s="120"/>
      <c r="D635" s="125"/>
      <c r="E635" s="107"/>
      <c r="F635" s="122"/>
      <c r="G635" s="22"/>
      <c r="H635" s="123"/>
      <c r="I635" s="126"/>
      <c r="J635" s="130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>
      <c r="A636" s="107"/>
      <c r="B636" s="131"/>
      <c r="C636" s="120"/>
      <c r="D636" s="125"/>
      <c r="E636" s="107"/>
      <c r="F636" s="122"/>
      <c r="G636" s="22"/>
      <c r="H636" s="123"/>
      <c r="I636" s="126"/>
      <c r="J636" s="130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>
      <c r="A637" s="107"/>
      <c r="B637" s="131"/>
      <c r="C637" s="120"/>
      <c r="D637" s="125"/>
      <c r="E637" s="107"/>
      <c r="F637" s="122"/>
      <c r="G637" s="22"/>
      <c r="H637" s="123"/>
      <c r="I637" s="126"/>
      <c r="J637" s="130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>
      <c r="A638" s="107"/>
      <c r="B638" s="131"/>
      <c r="C638" s="120"/>
      <c r="D638" s="125"/>
      <c r="E638" s="107"/>
      <c r="F638" s="122"/>
      <c r="G638" s="22"/>
      <c r="H638" s="123"/>
      <c r="I638" s="126"/>
      <c r="J638" s="130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>
      <c r="A639" s="107"/>
      <c r="B639" s="131"/>
      <c r="C639" s="120"/>
      <c r="D639" s="125"/>
      <c r="E639" s="107"/>
      <c r="F639" s="122"/>
      <c r="G639" s="22"/>
      <c r="H639" s="123"/>
      <c r="I639" s="126"/>
      <c r="J639" s="130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>
      <c r="A640" s="107"/>
      <c r="B640" s="131"/>
      <c r="C640" s="120"/>
      <c r="D640" s="125"/>
      <c r="E640" s="107"/>
      <c r="F640" s="122"/>
      <c r="G640" s="22"/>
      <c r="H640" s="123"/>
      <c r="I640" s="126"/>
      <c r="J640" s="130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>
      <c r="A641" s="107"/>
      <c r="B641" s="131"/>
      <c r="C641" s="120"/>
      <c r="D641" s="125"/>
      <c r="E641" s="107"/>
      <c r="F641" s="122"/>
      <c r="G641" s="22"/>
      <c r="H641" s="123"/>
      <c r="I641" s="126"/>
      <c r="J641" s="130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>
      <c r="A642" s="107"/>
      <c r="B642" s="131"/>
      <c r="C642" s="120"/>
      <c r="D642" s="125"/>
      <c r="E642" s="107"/>
      <c r="F642" s="122"/>
      <c r="G642" s="22"/>
      <c r="H642" s="123"/>
      <c r="I642" s="126"/>
      <c r="J642" s="130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>
      <c r="A643" s="107"/>
      <c r="B643" s="131"/>
      <c r="C643" s="120"/>
      <c r="D643" s="125"/>
      <c r="E643" s="107"/>
      <c r="F643" s="122"/>
      <c r="G643" s="22"/>
      <c r="H643" s="123"/>
      <c r="I643" s="126"/>
      <c r="J643" s="130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>
      <c r="A644" s="107"/>
      <c r="B644" s="131"/>
      <c r="C644" s="120"/>
      <c r="D644" s="125"/>
      <c r="E644" s="107"/>
      <c r="F644" s="122"/>
      <c r="G644" s="22"/>
      <c r="H644" s="123"/>
      <c r="I644" s="126"/>
      <c r="J644" s="130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>
      <c r="A645" s="107"/>
      <c r="B645" s="131"/>
      <c r="C645" s="120"/>
      <c r="D645" s="125"/>
      <c r="E645" s="107"/>
      <c r="F645" s="122"/>
      <c r="G645" s="22"/>
      <c r="H645" s="123"/>
      <c r="I645" s="126"/>
      <c r="J645" s="130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>
      <c r="A646" s="107"/>
      <c r="B646" s="131"/>
      <c r="C646" s="120"/>
      <c r="D646" s="125"/>
      <c r="E646" s="107"/>
      <c r="F646" s="122"/>
      <c r="G646" s="22"/>
      <c r="H646" s="123"/>
      <c r="I646" s="126"/>
      <c r="J646" s="130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>
      <c r="A647" s="107"/>
      <c r="B647" s="131"/>
      <c r="C647" s="120"/>
      <c r="D647" s="125"/>
      <c r="E647" s="107"/>
      <c r="F647" s="122"/>
      <c r="G647" s="22"/>
      <c r="H647" s="123"/>
      <c r="I647" s="126"/>
      <c r="J647" s="130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>
      <c r="A648" s="107"/>
      <c r="B648" s="131"/>
      <c r="C648" s="120"/>
      <c r="D648" s="125"/>
      <c r="E648" s="107"/>
      <c r="F648" s="122"/>
      <c r="G648" s="22"/>
      <c r="H648" s="123"/>
      <c r="I648" s="126"/>
      <c r="J648" s="130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>
      <c r="A649" s="107"/>
      <c r="B649" s="131"/>
      <c r="C649" s="120"/>
      <c r="D649" s="125"/>
      <c r="E649" s="107"/>
      <c r="F649" s="122"/>
      <c r="G649" s="22"/>
      <c r="H649" s="123"/>
      <c r="I649" s="126"/>
      <c r="J649" s="130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>
      <c r="A650" s="107"/>
      <c r="B650" s="131"/>
      <c r="C650" s="120"/>
      <c r="D650" s="125"/>
      <c r="E650" s="107"/>
      <c r="F650" s="122"/>
      <c r="G650" s="22"/>
      <c r="H650" s="123"/>
      <c r="I650" s="126"/>
      <c r="J650" s="130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>
      <c r="A651" s="107"/>
      <c r="B651" s="131"/>
      <c r="C651" s="120"/>
      <c r="D651" s="125"/>
      <c r="E651" s="107"/>
      <c r="F651" s="122"/>
      <c r="G651" s="22"/>
      <c r="H651" s="123"/>
      <c r="I651" s="126"/>
      <c r="J651" s="130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>
      <c r="A652" s="107"/>
      <c r="B652" s="131"/>
      <c r="C652" s="120"/>
      <c r="D652" s="125"/>
      <c r="E652" s="107"/>
      <c r="F652" s="122"/>
      <c r="G652" s="22"/>
      <c r="H652" s="123"/>
      <c r="I652" s="126"/>
      <c r="J652" s="130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>
      <c r="A653" s="107"/>
      <c r="B653" s="131"/>
      <c r="C653" s="120"/>
      <c r="D653" s="125"/>
      <c r="E653" s="107"/>
      <c r="F653" s="122"/>
      <c r="G653" s="22"/>
      <c r="H653" s="123"/>
      <c r="I653" s="126"/>
      <c r="J653" s="130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>
      <c r="A654" s="107"/>
      <c r="B654" s="131"/>
      <c r="C654" s="120"/>
      <c r="D654" s="125"/>
      <c r="E654" s="107"/>
      <c r="F654" s="122"/>
      <c r="G654" s="22"/>
      <c r="H654" s="123"/>
      <c r="I654" s="126"/>
      <c r="J654" s="130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>
      <c r="A655" s="107"/>
      <c r="B655" s="131"/>
      <c r="C655" s="120"/>
      <c r="D655" s="125"/>
      <c r="E655" s="107"/>
      <c r="F655" s="122"/>
      <c r="G655" s="22"/>
      <c r="H655" s="123"/>
      <c r="I655" s="126"/>
      <c r="J655" s="130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>
      <c r="A656" s="107"/>
      <c r="B656" s="131"/>
      <c r="C656" s="120"/>
      <c r="D656" s="125"/>
      <c r="E656" s="107"/>
      <c r="F656" s="122"/>
      <c r="G656" s="22"/>
      <c r="H656" s="123"/>
      <c r="I656" s="126"/>
      <c r="J656" s="130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>
      <c r="A657" s="107"/>
      <c r="B657" s="131"/>
      <c r="C657" s="120"/>
      <c r="D657" s="125"/>
      <c r="E657" s="107"/>
      <c r="F657" s="122"/>
      <c r="G657" s="22"/>
      <c r="H657" s="123"/>
      <c r="I657" s="126"/>
      <c r="J657" s="130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>
      <c r="A658" s="107"/>
      <c r="B658" s="131"/>
      <c r="C658" s="120"/>
      <c r="D658" s="125"/>
      <c r="E658" s="107"/>
      <c r="F658" s="122"/>
      <c r="G658" s="22"/>
      <c r="H658" s="123"/>
      <c r="I658" s="126"/>
      <c r="J658" s="130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>
      <c r="A659" s="107"/>
      <c r="B659" s="131"/>
      <c r="C659" s="120"/>
      <c r="D659" s="125"/>
      <c r="E659" s="107"/>
      <c r="F659" s="122"/>
      <c r="G659" s="22"/>
      <c r="H659" s="123"/>
      <c r="I659" s="126"/>
      <c r="J659" s="130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>
      <c r="A660" s="107"/>
      <c r="B660" s="131"/>
      <c r="C660" s="120"/>
      <c r="D660" s="125"/>
      <c r="E660" s="107"/>
      <c r="F660" s="122"/>
      <c r="G660" s="22"/>
      <c r="H660" s="123"/>
      <c r="I660" s="126"/>
      <c r="J660" s="130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>
      <c r="A661" s="107"/>
      <c r="B661" s="131"/>
      <c r="C661" s="120"/>
      <c r="D661" s="125"/>
      <c r="E661" s="107"/>
      <c r="F661" s="122"/>
      <c r="G661" s="22"/>
      <c r="H661" s="123"/>
      <c r="I661" s="126"/>
      <c r="J661" s="130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>
      <c r="A662" s="107"/>
      <c r="B662" s="131"/>
      <c r="C662" s="120"/>
      <c r="D662" s="125"/>
      <c r="E662" s="107"/>
      <c r="F662" s="122"/>
      <c r="G662" s="22"/>
      <c r="H662" s="123"/>
      <c r="I662" s="126"/>
      <c r="J662" s="130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>
      <c r="A663" s="107"/>
      <c r="B663" s="131"/>
      <c r="C663" s="120"/>
      <c r="D663" s="125"/>
      <c r="E663" s="107"/>
      <c r="F663" s="122"/>
      <c r="G663" s="22"/>
      <c r="H663" s="123"/>
      <c r="I663" s="126"/>
      <c r="J663" s="130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>
      <c r="A664" s="107"/>
      <c r="B664" s="131"/>
      <c r="C664" s="120"/>
      <c r="D664" s="125"/>
      <c r="E664" s="107"/>
      <c r="F664" s="122"/>
      <c r="G664" s="22"/>
      <c r="H664" s="123"/>
      <c r="I664" s="126"/>
      <c r="J664" s="130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>
      <c r="A665" s="107"/>
      <c r="B665" s="131"/>
      <c r="C665" s="120"/>
      <c r="D665" s="125"/>
      <c r="E665" s="107"/>
      <c r="F665" s="122"/>
      <c r="G665" s="22"/>
      <c r="H665" s="123"/>
      <c r="I665" s="126"/>
      <c r="J665" s="130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>
      <c r="A666" s="107"/>
      <c r="B666" s="131"/>
      <c r="C666" s="120"/>
      <c r="D666" s="125"/>
      <c r="E666" s="107"/>
      <c r="F666" s="122"/>
      <c r="G666" s="22"/>
      <c r="H666" s="123"/>
      <c r="I666" s="126"/>
      <c r="J666" s="130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>
      <c r="A667" s="107"/>
      <c r="B667" s="131"/>
      <c r="C667" s="120"/>
      <c r="D667" s="125"/>
      <c r="E667" s="107"/>
      <c r="F667" s="122"/>
      <c r="G667" s="22"/>
      <c r="H667" s="123"/>
      <c r="I667" s="126"/>
      <c r="J667" s="130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>
      <c r="A668" s="107"/>
      <c r="B668" s="131"/>
      <c r="C668" s="120"/>
      <c r="D668" s="125"/>
      <c r="E668" s="107"/>
      <c r="F668" s="122"/>
      <c r="G668" s="22"/>
      <c r="H668" s="123"/>
      <c r="I668" s="126"/>
      <c r="J668" s="130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>
      <c r="A669" s="107"/>
      <c r="B669" s="131"/>
      <c r="C669" s="120"/>
      <c r="D669" s="125"/>
      <c r="E669" s="107"/>
      <c r="F669" s="122"/>
      <c r="G669" s="22"/>
      <c r="H669" s="123"/>
      <c r="I669" s="126"/>
      <c r="J669" s="130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>
      <c r="A670" s="107"/>
      <c r="B670" s="131"/>
      <c r="C670" s="120"/>
      <c r="D670" s="125"/>
      <c r="E670" s="107"/>
      <c r="F670" s="122"/>
      <c r="G670" s="22"/>
      <c r="H670" s="123"/>
      <c r="I670" s="126"/>
      <c r="J670" s="130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>
      <c r="A671" s="107"/>
      <c r="B671" s="131"/>
      <c r="C671" s="120"/>
      <c r="D671" s="125"/>
      <c r="E671" s="107"/>
      <c r="F671" s="122"/>
      <c r="G671" s="22"/>
      <c r="H671" s="123"/>
      <c r="I671" s="126"/>
      <c r="J671" s="130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>
      <c r="A672" s="107"/>
      <c r="B672" s="131"/>
      <c r="C672" s="120"/>
      <c r="D672" s="125"/>
      <c r="E672" s="107"/>
      <c r="F672" s="122"/>
      <c r="G672" s="22"/>
      <c r="H672" s="123"/>
      <c r="I672" s="126"/>
      <c r="J672" s="130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>
      <c r="A673" s="107"/>
      <c r="B673" s="131"/>
      <c r="C673" s="120"/>
      <c r="D673" s="125"/>
      <c r="E673" s="107"/>
      <c r="F673" s="122"/>
      <c r="G673" s="22"/>
      <c r="H673" s="123"/>
      <c r="I673" s="126"/>
      <c r="J673" s="130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>
      <c r="A674" s="107"/>
      <c r="B674" s="131"/>
      <c r="C674" s="120"/>
      <c r="D674" s="125"/>
      <c r="E674" s="107"/>
      <c r="F674" s="122"/>
      <c r="G674" s="22"/>
      <c r="H674" s="123"/>
      <c r="I674" s="126"/>
      <c r="J674" s="130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>
      <c r="A675" s="107"/>
      <c r="B675" s="131"/>
      <c r="C675" s="120"/>
      <c r="D675" s="125"/>
      <c r="E675" s="107"/>
      <c r="F675" s="122"/>
      <c r="G675" s="22"/>
      <c r="H675" s="123"/>
      <c r="I675" s="126"/>
      <c r="J675" s="130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>
      <c r="A676" s="107"/>
      <c r="B676" s="131"/>
      <c r="C676" s="120"/>
      <c r="D676" s="125"/>
      <c r="E676" s="107"/>
      <c r="F676" s="122"/>
      <c r="G676" s="22"/>
      <c r="H676" s="123"/>
      <c r="I676" s="126"/>
      <c r="J676" s="130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>
      <c r="A677" s="107"/>
      <c r="B677" s="131"/>
      <c r="C677" s="120"/>
      <c r="D677" s="125"/>
      <c r="E677" s="107"/>
      <c r="F677" s="122"/>
      <c r="G677" s="22"/>
      <c r="H677" s="123"/>
      <c r="I677" s="126"/>
      <c r="J677" s="130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>
      <c r="A678" s="107"/>
      <c r="B678" s="131"/>
      <c r="C678" s="120"/>
      <c r="D678" s="125"/>
      <c r="E678" s="107"/>
      <c r="F678" s="122"/>
      <c r="G678" s="22"/>
      <c r="H678" s="123"/>
      <c r="I678" s="126"/>
      <c r="J678" s="130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>
      <c r="A679" s="107"/>
      <c r="B679" s="131"/>
      <c r="C679" s="120"/>
      <c r="D679" s="125"/>
      <c r="E679" s="107"/>
      <c r="F679" s="122"/>
      <c r="G679" s="22"/>
      <c r="H679" s="123"/>
      <c r="I679" s="126"/>
      <c r="J679" s="130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>
      <c r="A680" s="107"/>
      <c r="B680" s="131"/>
      <c r="C680" s="120"/>
      <c r="D680" s="125"/>
      <c r="E680" s="107"/>
      <c r="F680" s="122"/>
      <c r="G680" s="22"/>
      <c r="H680" s="123"/>
      <c r="I680" s="126"/>
      <c r="J680" s="130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>
      <c r="A681" s="107"/>
      <c r="B681" s="131"/>
      <c r="C681" s="120"/>
      <c r="D681" s="125"/>
      <c r="E681" s="107"/>
      <c r="F681" s="122"/>
      <c r="G681" s="22"/>
      <c r="H681" s="123"/>
      <c r="I681" s="126"/>
      <c r="J681" s="130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>
      <c r="A682" s="107"/>
      <c r="B682" s="131"/>
      <c r="C682" s="120"/>
      <c r="D682" s="125"/>
      <c r="E682" s="107"/>
      <c r="F682" s="122"/>
      <c r="G682" s="22"/>
      <c r="H682" s="123"/>
      <c r="I682" s="126"/>
      <c r="J682" s="130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>
      <c r="A683" s="107"/>
      <c r="B683" s="131"/>
      <c r="C683" s="120"/>
      <c r="D683" s="125"/>
      <c r="E683" s="107"/>
      <c r="F683" s="122"/>
      <c r="G683" s="22"/>
      <c r="H683" s="123"/>
      <c r="I683" s="126"/>
      <c r="J683" s="130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>
      <c r="A684" s="107"/>
      <c r="B684" s="131"/>
      <c r="C684" s="120"/>
      <c r="D684" s="125"/>
      <c r="E684" s="107"/>
      <c r="F684" s="122"/>
      <c r="G684" s="22"/>
      <c r="H684" s="123"/>
      <c r="I684" s="126"/>
      <c r="J684" s="130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>
      <c r="A685" s="107"/>
      <c r="B685" s="131"/>
      <c r="C685" s="120"/>
      <c r="D685" s="125"/>
      <c r="E685" s="107"/>
      <c r="F685" s="122"/>
      <c r="G685" s="22"/>
      <c r="H685" s="123"/>
      <c r="I685" s="126"/>
      <c r="J685" s="130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>
      <c r="A686" s="107"/>
      <c r="B686" s="131"/>
      <c r="C686" s="120"/>
      <c r="D686" s="125"/>
      <c r="E686" s="107"/>
      <c r="F686" s="122"/>
      <c r="G686" s="22"/>
      <c r="H686" s="123"/>
      <c r="I686" s="126"/>
      <c r="J686" s="130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>
      <c r="A687" s="107"/>
      <c r="B687" s="131"/>
      <c r="C687" s="120"/>
      <c r="D687" s="125"/>
      <c r="E687" s="107"/>
      <c r="F687" s="122"/>
      <c r="G687" s="22"/>
      <c r="H687" s="123"/>
      <c r="I687" s="126"/>
      <c r="J687" s="130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>
      <c r="A688" s="107"/>
      <c r="B688" s="131"/>
      <c r="C688" s="120"/>
      <c r="D688" s="125"/>
      <c r="E688" s="107"/>
      <c r="F688" s="122"/>
      <c r="G688" s="22"/>
      <c r="H688" s="123"/>
      <c r="I688" s="126"/>
      <c r="J688" s="130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>
      <c r="A689" s="107"/>
      <c r="B689" s="131"/>
      <c r="C689" s="120"/>
      <c r="D689" s="125"/>
      <c r="E689" s="107"/>
      <c r="F689" s="122"/>
      <c r="G689" s="22"/>
      <c r="H689" s="123"/>
      <c r="I689" s="126"/>
      <c r="J689" s="130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>
      <c r="A690" s="107"/>
      <c r="B690" s="131"/>
      <c r="C690" s="120"/>
      <c r="D690" s="125"/>
      <c r="E690" s="107"/>
      <c r="F690" s="122"/>
      <c r="G690" s="22"/>
      <c r="H690" s="123"/>
      <c r="I690" s="126"/>
      <c r="J690" s="130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>
      <c r="A691" s="107"/>
      <c r="B691" s="131"/>
      <c r="C691" s="120"/>
      <c r="D691" s="125"/>
      <c r="E691" s="107"/>
      <c r="F691" s="122"/>
      <c r="G691" s="22"/>
      <c r="H691" s="123"/>
      <c r="I691" s="126"/>
      <c r="J691" s="130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>
      <c r="A692" s="107"/>
      <c r="B692" s="131"/>
      <c r="C692" s="120"/>
      <c r="D692" s="125"/>
      <c r="E692" s="107"/>
      <c r="F692" s="122"/>
      <c r="G692" s="22"/>
      <c r="H692" s="123"/>
      <c r="I692" s="126"/>
      <c r="J692" s="130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>
      <c r="A693" s="107"/>
      <c r="B693" s="131"/>
      <c r="C693" s="120"/>
      <c r="D693" s="125"/>
      <c r="E693" s="107"/>
      <c r="F693" s="122"/>
      <c r="G693" s="22"/>
      <c r="H693" s="123"/>
      <c r="I693" s="126"/>
      <c r="J693" s="130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>
      <c r="A694" s="107"/>
      <c r="B694" s="131"/>
      <c r="C694" s="120"/>
      <c r="D694" s="125"/>
      <c r="E694" s="107"/>
      <c r="F694" s="122"/>
      <c r="G694" s="22"/>
      <c r="H694" s="123"/>
      <c r="I694" s="126"/>
      <c r="J694" s="130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>
      <c r="A695" s="107"/>
      <c r="B695" s="131"/>
      <c r="C695" s="120"/>
      <c r="D695" s="125"/>
      <c r="E695" s="107"/>
      <c r="F695" s="122"/>
      <c r="G695" s="22"/>
      <c r="H695" s="123"/>
      <c r="I695" s="126"/>
      <c r="J695" s="130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>
      <c r="A696" s="107"/>
      <c r="B696" s="131"/>
      <c r="C696" s="120"/>
      <c r="D696" s="125"/>
      <c r="E696" s="107"/>
      <c r="F696" s="122"/>
      <c r="G696" s="22"/>
      <c r="H696" s="123"/>
      <c r="I696" s="126"/>
      <c r="J696" s="130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>
      <c r="A697" s="107"/>
      <c r="B697" s="131"/>
      <c r="C697" s="120"/>
      <c r="D697" s="125"/>
      <c r="E697" s="107"/>
      <c r="F697" s="122"/>
      <c r="G697" s="22"/>
      <c r="H697" s="123"/>
      <c r="I697" s="126"/>
      <c r="J697" s="130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>
      <c r="A698" s="107"/>
      <c r="B698" s="131"/>
      <c r="C698" s="120"/>
      <c r="D698" s="125"/>
      <c r="E698" s="107"/>
      <c r="F698" s="122"/>
      <c r="G698" s="22"/>
      <c r="H698" s="123"/>
      <c r="I698" s="126"/>
      <c r="J698" s="130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>
      <c r="A699" s="107"/>
      <c r="B699" s="131"/>
      <c r="C699" s="120"/>
      <c r="D699" s="125"/>
      <c r="E699" s="107"/>
      <c r="F699" s="122"/>
      <c r="G699" s="22"/>
      <c r="H699" s="123"/>
      <c r="I699" s="126"/>
      <c r="J699" s="130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>
      <c r="A700" s="107"/>
      <c r="B700" s="131"/>
      <c r="C700" s="120"/>
      <c r="D700" s="125"/>
      <c r="E700" s="107"/>
      <c r="F700" s="122"/>
      <c r="G700" s="22"/>
      <c r="H700" s="123"/>
      <c r="I700" s="126"/>
      <c r="J700" s="130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>
      <c r="A701" s="107"/>
      <c r="B701" s="131"/>
      <c r="C701" s="120"/>
      <c r="D701" s="125"/>
      <c r="E701" s="107"/>
      <c r="F701" s="122"/>
      <c r="G701" s="22"/>
      <c r="H701" s="123"/>
      <c r="I701" s="126"/>
      <c r="J701" s="130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>
      <c r="A702" s="107"/>
      <c r="B702" s="131"/>
      <c r="C702" s="120"/>
      <c r="D702" s="125"/>
      <c r="E702" s="107"/>
      <c r="F702" s="122"/>
      <c r="G702" s="22"/>
      <c r="H702" s="123"/>
      <c r="I702" s="126"/>
      <c r="J702" s="130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>
      <c r="A703" s="107"/>
      <c r="B703" s="131"/>
      <c r="C703" s="120"/>
      <c r="D703" s="125"/>
      <c r="E703" s="107"/>
      <c r="F703" s="122"/>
      <c r="G703" s="22"/>
      <c r="H703" s="123"/>
      <c r="I703" s="126"/>
      <c r="J703" s="130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>
      <c r="A704" s="107"/>
      <c r="B704" s="131"/>
      <c r="C704" s="120"/>
      <c r="D704" s="125"/>
      <c r="E704" s="107"/>
      <c r="F704" s="122"/>
      <c r="G704" s="22"/>
      <c r="H704" s="123"/>
      <c r="I704" s="126"/>
      <c r="J704" s="130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>
      <c r="A705" s="107"/>
      <c r="B705" s="131"/>
      <c r="C705" s="120"/>
      <c r="D705" s="125"/>
      <c r="E705" s="107"/>
      <c r="F705" s="122"/>
      <c r="G705" s="22"/>
      <c r="H705" s="123"/>
      <c r="I705" s="126"/>
      <c r="J705" s="130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>
      <c r="A706" s="107"/>
      <c r="B706" s="131"/>
      <c r="C706" s="120"/>
      <c r="D706" s="125"/>
      <c r="E706" s="107"/>
      <c r="F706" s="122"/>
      <c r="G706" s="22"/>
      <c r="H706" s="123"/>
      <c r="I706" s="126"/>
      <c r="J706" s="130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>
      <c r="A707" s="107"/>
      <c r="B707" s="131"/>
      <c r="C707" s="120"/>
      <c r="D707" s="125"/>
      <c r="E707" s="107"/>
      <c r="F707" s="122"/>
      <c r="G707" s="22"/>
      <c r="H707" s="123"/>
      <c r="I707" s="126"/>
      <c r="J707" s="130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>
      <c r="A708" s="107"/>
      <c r="B708" s="131"/>
      <c r="C708" s="120"/>
      <c r="D708" s="125"/>
      <c r="E708" s="107"/>
      <c r="F708" s="122"/>
      <c r="G708" s="22"/>
      <c r="H708" s="123"/>
      <c r="I708" s="126"/>
      <c r="J708" s="130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>
      <c r="A709" s="107"/>
      <c r="B709" s="131"/>
      <c r="C709" s="120"/>
      <c r="D709" s="125"/>
      <c r="E709" s="107"/>
      <c r="F709" s="122"/>
      <c r="G709" s="22"/>
      <c r="H709" s="123"/>
      <c r="I709" s="126"/>
      <c r="J709" s="130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>
      <c r="A710" s="107"/>
      <c r="B710" s="131"/>
      <c r="C710" s="120"/>
      <c r="D710" s="125"/>
      <c r="E710" s="107"/>
      <c r="F710" s="122"/>
      <c r="G710" s="22"/>
      <c r="H710" s="123"/>
      <c r="I710" s="126"/>
      <c r="J710" s="130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>
      <c r="A711" s="107"/>
      <c r="B711" s="131"/>
      <c r="C711" s="120"/>
      <c r="D711" s="125"/>
      <c r="E711" s="107"/>
      <c r="F711" s="122"/>
      <c r="G711" s="22"/>
      <c r="H711" s="123"/>
      <c r="I711" s="126"/>
      <c r="J711" s="130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>
      <c r="A712" s="107"/>
      <c r="B712" s="131"/>
      <c r="C712" s="120"/>
      <c r="D712" s="125"/>
      <c r="E712" s="107"/>
      <c r="F712" s="122"/>
      <c r="G712" s="22"/>
      <c r="H712" s="123"/>
      <c r="I712" s="126"/>
      <c r="J712" s="130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>
      <c r="A713" s="107"/>
      <c r="B713" s="131"/>
      <c r="C713" s="120"/>
      <c r="D713" s="125"/>
      <c r="E713" s="107"/>
      <c r="F713" s="122"/>
      <c r="G713" s="22"/>
      <c r="H713" s="123"/>
      <c r="I713" s="126"/>
      <c r="J713" s="130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>
      <c r="A714" s="107"/>
      <c r="B714" s="131"/>
      <c r="C714" s="120"/>
      <c r="D714" s="125"/>
      <c r="E714" s="107"/>
      <c r="F714" s="122"/>
      <c r="G714" s="22"/>
      <c r="H714" s="123"/>
      <c r="I714" s="126"/>
      <c r="J714" s="130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>
      <c r="A715" s="107"/>
      <c r="B715" s="131"/>
      <c r="C715" s="120"/>
      <c r="D715" s="125"/>
      <c r="E715" s="107"/>
      <c r="F715" s="122"/>
      <c r="G715" s="22"/>
      <c r="H715" s="123"/>
      <c r="I715" s="126"/>
      <c r="J715" s="130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>
      <c r="A716" s="107"/>
      <c r="B716" s="131"/>
      <c r="C716" s="120"/>
      <c r="D716" s="125"/>
      <c r="E716" s="107"/>
      <c r="F716" s="122"/>
      <c r="G716" s="22"/>
      <c r="H716" s="123"/>
      <c r="I716" s="126"/>
      <c r="J716" s="130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>
      <c r="A717" s="107"/>
      <c r="B717" s="131"/>
      <c r="C717" s="120"/>
      <c r="D717" s="125"/>
      <c r="E717" s="107"/>
      <c r="F717" s="122"/>
      <c r="G717" s="22"/>
      <c r="H717" s="123"/>
      <c r="I717" s="126"/>
      <c r="J717" s="130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>
      <c r="A718" s="107"/>
      <c r="B718" s="131"/>
      <c r="C718" s="120"/>
      <c r="D718" s="125"/>
      <c r="E718" s="107"/>
      <c r="F718" s="122"/>
      <c r="G718" s="22"/>
      <c r="H718" s="123"/>
      <c r="I718" s="126"/>
      <c r="J718" s="130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>
      <c r="A719" s="107"/>
      <c r="B719" s="131"/>
      <c r="C719" s="120"/>
      <c r="D719" s="125"/>
      <c r="E719" s="107"/>
      <c r="F719" s="122"/>
      <c r="G719" s="22"/>
      <c r="H719" s="123"/>
      <c r="I719" s="126"/>
      <c r="J719" s="130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>
      <c r="A720" s="107"/>
      <c r="B720" s="131"/>
      <c r="C720" s="120"/>
      <c r="D720" s="125"/>
      <c r="E720" s="107"/>
      <c r="F720" s="122"/>
      <c r="G720" s="22"/>
      <c r="H720" s="123"/>
      <c r="I720" s="126"/>
      <c r="J720" s="130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>
      <c r="A721" s="107"/>
      <c r="B721" s="131"/>
      <c r="C721" s="120"/>
      <c r="D721" s="125"/>
      <c r="E721" s="107"/>
      <c r="F721" s="122"/>
      <c r="G721" s="22"/>
      <c r="H721" s="123"/>
      <c r="I721" s="126"/>
      <c r="J721" s="130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>
      <c r="A722" s="107"/>
      <c r="B722" s="131"/>
      <c r="C722" s="120"/>
      <c r="D722" s="125"/>
      <c r="E722" s="107"/>
      <c r="F722" s="122"/>
      <c r="G722" s="22"/>
      <c r="H722" s="123"/>
      <c r="I722" s="126"/>
      <c r="J722" s="130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>
      <c r="A723" s="107"/>
      <c r="B723" s="131"/>
      <c r="C723" s="120"/>
      <c r="D723" s="125"/>
      <c r="E723" s="107"/>
      <c r="F723" s="122"/>
      <c r="G723" s="22"/>
      <c r="H723" s="123"/>
      <c r="I723" s="126"/>
      <c r="J723" s="130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>
      <c r="A724" s="107"/>
      <c r="B724" s="131"/>
      <c r="C724" s="120"/>
      <c r="D724" s="125"/>
      <c r="E724" s="107"/>
      <c r="F724" s="122"/>
      <c r="G724" s="22"/>
      <c r="H724" s="123"/>
      <c r="I724" s="126"/>
      <c r="J724" s="130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>
      <c r="A725" s="107"/>
      <c r="B725" s="131"/>
      <c r="C725" s="120"/>
      <c r="D725" s="125"/>
      <c r="E725" s="107"/>
      <c r="F725" s="122"/>
      <c r="G725" s="22"/>
      <c r="H725" s="123"/>
      <c r="I725" s="126"/>
      <c r="J725" s="130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>
      <c r="A726" s="107"/>
      <c r="B726" s="131"/>
      <c r="C726" s="120"/>
      <c r="D726" s="125"/>
      <c r="E726" s="107"/>
      <c r="F726" s="122"/>
      <c r="G726" s="22"/>
      <c r="H726" s="123"/>
      <c r="I726" s="126"/>
      <c r="J726" s="130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>
      <c r="A727" s="107"/>
      <c r="B727" s="131"/>
      <c r="C727" s="120"/>
      <c r="D727" s="125"/>
      <c r="E727" s="107"/>
      <c r="F727" s="122"/>
      <c r="G727" s="22"/>
      <c r="H727" s="123"/>
      <c r="I727" s="126"/>
      <c r="J727" s="130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>
      <c r="A728" s="107"/>
      <c r="B728" s="131"/>
      <c r="C728" s="120"/>
      <c r="D728" s="125"/>
      <c r="E728" s="107"/>
      <c r="F728" s="122"/>
      <c r="G728" s="22"/>
      <c r="H728" s="123"/>
      <c r="I728" s="126"/>
      <c r="J728" s="130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>
      <c r="A729" s="107"/>
      <c r="B729" s="131"/>
      <c r="C729" s="120"/>
      <c r="D729" s="125"/>
      <c r="E729" s="107"/>
      <c r="F729" s="122"/>
      <c r="G729" s="22"/>
      <c r="H729" s="123"/>
      <c r="I729" s="126"/>
      <c r="J729" s="130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>
      <c r="A730" s="107"/>
      <c r="B730" s="131"/>
      <c r="C730" s="120"/>
      <c r="D730" s="125"/>
      <c r="E730" s="107"/>
      <c r="F730" s="122"/>
      <c r="G730" s="22"/>
      <c r="H730" s="123"/>
      <c r="I730" s="126"/>
      <c r="J730" s="130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>
      <c r="A731" s="107"/>
      <c r="B731" s="131"/>
      <c r="C731" s="120"/>
      <c r="D731" s="125"/>
      <c r="E731" s="107"/>
      <c r="F731" s="122"/>
      <c r="G731" s="22"/>
      <c r="H731" s="123"/>
      <c r="I731" s="126"/>
      <c r="J731" s="130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>
      <c r="A732" s="107"/>
      <c r="B732" s="131"/>
      <c r="C732" s="120"/>
      <c r="D732" s="125"/>
      <c r="E732" s="107"/>
      <c r="F732" s="122"/>
      <c r="G732" s="22"/>
      <c r="H732" s="123"/>
      <c r="I732" s="126"/>
      <c r="J732" s="130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>
      <c r="A733" s="107"/>
      <c r="B733" s="131"/>
      <c r="C733" s="120"/>
      <c r="D733" s="125"/>
      <c r="E733" s="107"/>
      <c r="F733" s="122"/>
      <c r="G733" s="22"/>
      <c r="H733" s="123"/>
      <c r="I733" s="126"/>
      <c r="J733" s="130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>
      <c r="A734" s="107"/>
      <c r="B734" s="131"/>
      <c r="C734" s="120"/>
      <c r="D734" s="125"/>
      <c r="E734" s="107"/>
      <c r="F734" s="122"/>
      <c r="G734" s="22"/>
      <c r="H734" s="123"/>
      <c r="I734" s="126"/>
      <c r="J734" s="130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>
      <c r="A735" s="107"/>
      <c r="B735" s="131"/>
      <c r="C735" s="120"/>
      <c r="D735" s="125"/>
      <c r="E735" s="107"/>
      <c r="F735" s="122"/>
      <c r="G735" s="22"/>
      <c r="H735" s="123"/>
      <c r="I735" s="126"/>
      <c r="J735" s="130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>
      <c r="A736" s="107"/>
      <c r="B736" s="131"/>
      <c r="C736" s="120"/>
      <c r="D736" s="125"/>
      <c r="E736" s="107"/>
      <c r="F736" s="122"/>
      <c r="G736" s="22"/>
      <c r="H736" s="123"/>
      <c r="I736" s="126"/>
      <c r="J736" s="130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>
      <c r="A737" s="107"/>
      <c r="B737" s="131"/>
      <c r="C737" s="120"/>
      <c r="D737" s="125"/>
      <c r="E737" s="107"/>
      <c r="F737" s="122"/>
      <c r="G737" s="22"/>
      <c r="H737" s="123"/>
      <c r="I737" s="126"/>
      <c r="J737" s="130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>
      <c r="A738" s="107"/>
      <c r="B738" s="131"/>
      <c r="C738" s="120"/>
      <c r="D738" s="125"/>
      <c r="E738" s="107"/>
      <c r="F738" s="122"/>
      <c r="G738" s="22"/>
      <c r="H738" s="123"/>
      <c r="I738" s="126"/>
      <c r="J738" s="130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>
      <c r="A739" s="107"/>
      <c r="B739" s="131"/>
      <c r="C739" s="120"/>
      <c r="D739" s="125"/>
      <c r="E739" s="107"/>
      <c r="F739" s="122"/>
      <c r="G739" s="22"/>
      <c r="H739" s="123"/>
      <c r="I739" s="126"/>
      <c r="J739" s="130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>
      <c r="A740" s="107"/>
      <c r="B740" s="131"/>
      <c r="C740" s="120"/>
      <c r="D740" s="125"/>
      <c r="E740" s="107"/>
      <c r="F740" s="122"/>
      <c r="G740" s="22"/>
      <c r="H740" s="123"/>
      <c r="I740" s="126"/>
      <c r="J740" s="130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>
      <c r="A741" s="107"/>
      <c r="B741" s="131"/>
      <c r="C741" s="120"/>
      <c r="D741" s="125"/>
      <c r="E741" s="107"/>
      <c r="F741" s="122"/>
      <c r="G741" s="22"/>
      <c r="H741" s="123"/>
      <c r="I741" s="126"/>
      <c r="J741" s="130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>
      <c r="A742" s="107"/>
      <c r="B742" s="131"/>
      <c r="C742" s="120"/>
      <c r="D742" s="125"/>
      <c r="E742" s="107"/>
      <c r="F742" s="122"/>
      <c r="G742" s="22"/>
      <c r="H742" s="123"/>
      <c r="I742" s="126"/>
      <c r="J742" s="130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>
      <c r="A743" s="107"/>
      <c r="B743" s="131"/>
      <c r="C743" s="120"/>
      <c r="D743" s="125"/>
      <c r="E743" s="107"/>
      <c r="F743" s="122"/>
      <c r="G743" s="22"/>
      <c r="H743" s="123"/>
      <c r="I743" s="126"/>
      <c r="J743" s="130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>
      <c r="A744" s="107"/>
      <c r="B744" s="131"/>
      <c r="C744" s="120"/>
      <c r="D744" s="125"/>
      <c r="E744" s="107"/>
      <c r="F744" s="122"/>
      <c r="G744" s="22"/>
      <c r="H744" s="123"/>
      <c r="I744" s="126"/>
      <c r="J744" s="130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>
      <c r="A745" s="107"/>
      <c r="B745" s="131"/>
      <c r="C745" s="120"/>
      <c r="D745" s="125"/>
      <c r="E745" s="107"/>
      <c r="F745" s="122"/>
      <c r="G745" s="22"/>
      <c r="H745" s="123"/>
      <c r="I745" s="126"/>
      <c r="J745" s="130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>
      <c r="A746" s="107"/>
      <c r="B746" s="131"/>
      <c r="C746" s="120"/>
      <c r="D746" s="125"/>
      <c r="E746" s="107"/>
      <c r="F746" s="122"/>
      <c r="G746" s="22"/>
      <c r="H746" s="123"/>
      <c r="I746" s="126"/>
      <c r="J746" s="130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>
      <c r="A747" s="107"/>
      <c r="B747" s="131"/>
      <c r="C747" s="120"/>
      <c r="D747" s="125"/>
      <c r="E747" s="107"/>
      <c r="F747" s="122"/>
      <c r="G747" s="22"/>
      <c r="H747" s="123"/>
      <c r="I747" s="126"/>
      <c r="J747" s="130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>
      <c r="A748" s="107"/>
      <c r="B748" s="131"/>
      <c r="C748" s="120"/>
      <c r="D748" s="125"/>
      <c r="E748" s="107"/>
      <c r="F748" s="122"/>
      <c r="G748" s="22"/>
      <c r="H748" s="123"/>
      <c r="I748" s="126"/>
      <c r="J748" s="130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>
      <c r="A749" s="107"/>
      <c r="B749" s="131"/>
      <c r="C749" s="120"/>
      <c r="D749" s="125"/>
      <c r="E749" s="107"/>
      <c r="F749" s="122"/>
      <c r="G749" s="22"/>
      <c r="H749" s="123"/>
      <c r="I749" s="126"/>
      <c r="J749" s="130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>
      <c r="A750" s="107"/>
      <c r="B750" s="131"/>
      <c r="C750" s="120"/>
      <c r="D750" s="125"/>
      <c r="E750" s="107"/>
      <c r="F750" s="122"/>
      <c r="G750" s="22"/>
      <c r="H750" s="123"/>
      <c r="I750" s="126"/>
      <c r="J750" s="130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>
      <c r="A751" s="107"/>
      <c r="B751" s="131"/>
      <c r="C751" s="120"/>
      <c r="D751" s="125"/>
      <c r="E751" s="107"/>
      <c r="F751" s="122"/>
      <c r="G751" s="22"/>
      <c r="H751" s="123"/>
      <c r="I751" s="126"/>
      <c r="J751" s="130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>
      <c r="A752" s="107"/>
      <c r="B752" s="131"/>
      <c r="C752" s="120"/>
      <c r="D752" s="125"/>
      <c r="E752" s="107"/>
      <c r="F752" s="122"/>
      <c r="G752" s="22"/>
      <c r="H752" s="123"/>
      <c r="I752" s="126"/>
      <c r="J752" s="130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>
      <c r="A753" s="107"/>
      <c r="B753" s="131"/>
      <c r="C753" s="120"/>
      <c r="D753" s="125"/>
      <c r="E753" s="107"/>
      <c r="F753" s="122"/>
      <c r="G753" s="22"/>
      <c r="H753" s="123"/>
      <c r="I753" s="126"/>
      <c r="J753" s="130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>
      <c r="A754" s="107"/>
      <c r="B754" s="131"/>
      <c r="C754" s="120"/>
      <c r="D754" s="125"/>
      <c r="E754" s="107"/>
      <c r="F754" s="122"/>
      <c r="G754" s="22"/>
      <c r="H754" s="123"/>
      <c r="I754" s="126"/>
      <c r="J754" s="130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>
      <c r="A755" s="107"/>
      <c r="B755" s="131"/>
      <c r="C755" s="120"/>
      <c r="D755" s="125"/>
      <c r="E755" s="107"/>
      <c r="F755" s="122"/>
      <c r="G755" s="22"/>
      <c r="H755" s="123"/>
      <c r="I755" s="126"/>
      <c r="J755" s="130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>
      <c r="A756" s="107"/>
      <c r="B756" s="131"/>
      <c r="C756" s="120"/>
      <c r="D756" s="125"/>
      <c r="E756" s="107"/>
      <c r="F756" s="122"/>
      <c r="G756" s="22"/>
      <c r="H756" s="123"/>
      <c r="I756" s="126"/>
      <c r="J756" s="130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>
      <c r="A757" s="107"/>
      <c r="B757" s="131"/>
      <c r="C757" s="120"/>
      <c r="D757" s="125"/>
      <c r="E757" s="107"/>
      <c r="F757" s="122"/>
      <c r="G757" s="22"/>
      <c r="H757" s="123"/>
      <c r="I757" s="126"/>
      <c r="J757" s="130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>
      <c r="A758" s="107"/>
      <c r="B758" s="131"/>
      <c r="C758" s="120"/>
      <c r="D758" s="125"/>
      <c r="E758" s="107"/>
      <c r="F758" s="122"/>
      <c r="G758" s="22"/>
      <c r="H758" s="123"/>
      <c r="I758" s="126"/>
      <c r="J758" s="130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>
      <c r="A759" s="107"/>
      <c r="B759" s="131"/>
      <c r="C759" s="120"/>
      <c r="D759" s="125"/>
      <c r="E759" s="107"/>
      <c r="F759" s="122"/>
      <c r="G759" s="22"/>
      <c r="H759" s="123"/>
      <c r="I759" s="126"/>
      <c r="J759" s="130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>
      <c r="A760" s="107"/>
      <c r="B760" s="131"/>
      <c r="C760" s="120"/>
      <c r="D760" s="125"/>
      <c r="E760" s="107"/>
      <c r="F760" s="122"/>
      <c r="G760" s="22"/>
      <c r="H760" s="123"/>
      <c r="I760" s="126"/>
      <c r="J760" s="130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>
      <c r="A761" s="107"/>
      <c r="B761" s="131"/>
      <c r="C761" s="120"/>
      <c r="D761" s="125"/>
      <c r="E761" s="107"/>
      <c r="F761" s="122"/>
      <c r="G761" s="22"/>
      <c r="H761" s="123"/>
      <c r="I761" s="126"/>
      <c r="J761" s="130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>
      <c r="A762" s="107"/>
      <c r="B762" s="131"/>
      <c r="C762" s="120"/>
      <c r="D762" s="125"/>
      <c r="E762" s="107"/>
      <c r="F762" s="122"/>
      <c r="G762" s="22"/>
      <c r="H762" s="123"/>
      <c r="I762" s="126"/>
      <c r="J762" s="130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>
      <c r="A763" s="107"/>
      <c r="B763" s="131"/>
      <c r="C763" s="120"/>
      <c r="D763" s="125"/>
      <c r="E763" s="107"/>
      <c r="F763" s="122"/>
      <c r="G763" s="22"/>
      <c r="H763" s="123"/>
      <c r="I763" s="126"/>
      <c r="J763" s="130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>
      <c r="A764" s="107"/>
      <c r="B764" s="131"/>
      <c r="C764" s="120"/>
      <c r="D764" s="125"/>
      <c r="E764" s="107"/>
      <c r="F764" s="122"/>
      <c r="G764" s="22"/>
      <c r="H764" s="123"/>
      <c r="I764" s="126"/>
      <c r="J764" s="130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>
      <c r="A765" s="107"/>
      <c r="B765" s="131"/>
      <c r="C765" s="120"/>
      <c r="D765" s="125"/>
      <c r="E765" s="107"/>
      <c r="F765" s="122"/>
      <c r="G765" s="22"/>
      <c r="H765" s="123"/>
      <c r="I765" s="126"/>
      <c r="J765" s="130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>
      <c r="A766" s="107"/>
      <c r="B766" s="131"/>
      <c r="C766" s="120"/>
      <c r="D766" s="125"/>
      <c r="E766" s="107"/>
      <c r="F766" s="122"/>
      <c r="G766" s="22"/>
      <c r="H766" s="123"/>
      <c r="I766" s="126"/>
      <c r="J766" s="130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>
      <c r="A767" s="107"/>
      <c r="B767" s="131"/>
      <c r="C767" s="120"/>
      <c r="D767" s="125"/>
      <c r="E767" s="107"/>
      <c r="F767" s="122"/>
      <c r="G767" s="22"/>
      <c r="H767" s="123"/>
      <c r="I767" s="126"/>
      <c r="J767" s="130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>
      <c r="A768" s="107"/>
      <c r="B768" s="131"/>
      <c r="C768" s="120"/>
      <c r="D768" s="125"/>
      <c r="E768" s="107"/>
      <c r="F768" s="122"/>
      <c r="G768" s="22"/>
      <c r="H768" s="123"/>
      <c r="I768" s="126"/>
      <c r="J768" s="130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>
      <c r="A769" s="107"/>
      <c r="B769" s="131"/>
      <c r="C769" s="120"/>
      <c r="D769" s="125"/>
      <c r="E769" s="107"/>
      <c r="F769" s="122"/>
      <c r="G769" s="22"/>
      <c r="H769" s="123"/>
      <c r="I769" s="126"/>
      <c r="J769" s="130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>
      <c r="A770" s="107"/>
      <c r="B770" s="131"/>
      <c r="C770" s="120"/>
      <c r="D770" s="125"/>
      <c r="E770" s="107"/>
      <c r="F770" s="122"/>
      <c r="G770" s="22"/>
      <c r="H770" s="123"/>
      <c r="I770" s="126"/>
      <c r="J770" s="130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>
      <c r="A771" s="107"/>
      <c r="B771" s="131"/>
      <c r="C771" s="120"/>
      <c r="D771" s="125"/>
      <c r="E771" s="107"/>
      <c r="F771" s="122"/>
      <c r="G771" s="22"/>
      <c r="H771" s="123"/>
      <c r="I771" s="126"/>
      <c r="J771" s="130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>
      <c r="A772" s="107"/>
      <c r="B772" s="131"/>
      <c r="C772" s="120"/>
      <c r="D772" s="125"/>
      <c r="E772" s="107"/>
      <c r="F772" s="122"/>
      <c r="G772" s="22"/>
      <c r="H772" s="123"/>
      <c r="I772" s="126"/>
      <c r="J772" s="130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>
      <c r="A773" s="107"/>
      <c r="B773" s="131"/>
      <c r="C773" s="120"/>
      <c r="D773" s="125"/>
      <c r="E773" s="107"/>
      <c r="F773" s="122"/>
      <c r="G773" s="22"/>
      <c r="H773" s="123"/>
      <c r="I773" s="126"/>
      <c r="J773" s="130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>
      <c r="A774" s="107"/>
      <c r="B774" s="131"/>
      <c r="C774" s="120"/>
      <c r="D774" s="125"/>
      <c r="E774" s="107"/>
      <c r="F774" s="122"/>
      <c r="G774" s="22"/>
      <c r="H774" s="123"/>
      <c r="I774" s="126"/>
      <c r="J774" s="130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>
      <c r="A775" s="107"/>
      <c r="B775" s="131"/>
      <c r="C775" s="120"/>
      <c r="D775" s="125"/>
      <c r="E775" s="107"/>
      <c r="F775" s="122"/>
      <c r="G775" s="22"/>
      <c r="H775" s="123"/>
      <c r="I775" s="126"/>
      <c r="J775" s="130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>
      <c r="A776" s="107"/>
      <c r="B776" s="131"/>
      <c r="C776" s="120"/>
      <c r="D776" s="125"/>
      <c r="E776" s="107"/>
      <c r="F776" s="122"/>
      <c r="G776" s="22"/>
      <c r="H776" s="123"/>
      <c r="I776" s="126"/>
      <c r="J776" s="130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>
      <c r="A777" s="107"/>
      <c r="B777" s="131"/>
      <c r="C777" s="120"/>
      <c r="D777" s="125"/>
      <c r="E777" s="107"/>
      <c r="F777" s="122"/>
      <c r="G777" s="22"/>
      <c r="H777" s="123"/>
      <c r="I777" s="126"/>
      <c r="J777" s="130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>
      <c r="A778" s="107"/>
      <c r="B778" s="131"/>
      <c r="C778" s="120"/>
      <c r="D778" s="125"/>
      <c r="E778" s="107"/>
      <c r="F778" s="122"/>
      <c r="G778" s="22"/>
      <c r="H778" s="123"/>
      <c r="I778" s="126"/>
      <c r="J778" s="130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>
      <c r="A779" s="107"/>
      <c r="B779" s="131"/>
      <c r="C779" s="120"/>
      <c r="D779" s="125"/>
      <c r="E779" s="107"/>
      <c r="F779" s="122"/>
      <c r="G779" s="22"/>
      <c r="H779" s="123"/>
      <c r="I779" s="126"/>
      <c r="J779" s="130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>
      <c r="A780" s="107"/>
      <c r="B780" s="131"/>
      <c r="C780" s="120"/>
      <c r="D780" s="125"/>
      <c r="E780" s="107"/>
      <c r="F780" s="122"/>
      <c r="G780" s="22"/>
      <c r="H780" s="123"/>
      <c r="I780" s="126"/>
      <c r="J780" s="130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>
      <c r="A781" s="107"/>
      <c r="B781" s="131"/>
      <c r="C781" s="120"/>
      <c r="D781" s="125"/>
      <c r="E781" s="107"/>
      <c r="F781" s="122"/>
      <c r="G781" s="22"/>
      <c r="H781" s="123"/>
      <c r="I781" s="126"/>
      <c r="J781" s="130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>
      <c r="A782" s="107"/>
      <c r="B782" s="131"/>
      <c r="C782" s="120"/>
      <c r="D782" s="125"/>
      <c r="E782" s="107"/>
      <c r="F782" s="122"/>
      <c r="G782" s="22"/>
      <c r="H782" s="123"/>
      <c r="I782" s="126"/>
      <c r="J782" s="130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>
      <c r="A783" s="107"/>
      <c r="B783" s="131"/>
      <c r="C783" s="120"/>
      <c r="D783" s="125"/>
      <c r="E783" s="107"/>
      <c r="F783" s="122"/>
      <c r="G783" s="22"/>
      <c r="H783" s="123"/>
      <c r="I783" s="126"/>
      <c r="J783" s="130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>
      <c r="A784" s="107"/>
      <c r="B784" s="131"/>
      <c r="C784" s="120"/>
      <c r="D784" s="125"/>
      <c r="E784" s="107"/>
      <c r="F784" s="122"/>
      <c r="G784" s="22"/>
      <c r="H784" s="123"/>
      <c r="I784" s="126"/>
      <c r="J784" s="130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>
      <c r="A785" s="107"/>
      <c r="B785" s="131"/>
      <c r="C785" s="120"/>
      <c r="D785" s="125"/>
      <c r="E785" s="107"/>
      <c r="F785" s="122"/>
      <c r="G785" s="22"/>
      <c r="H785" s="123"/>
      <c r="I785" s="126"/>
      <c r="J785" s="130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>
      <c r="A786" s="107"/>
      <c r="B786" s="131"/>
      <c r="C786" s="120"/>
      <c r="D786" s="125"/>
      <c r="E786" s="107"/>
      <c r="F786" s="122"/>
      <c r="G786" s="22"/>
      <c r="H786" s="123"/>
      <c r="I786" s="126"/>
      <c r="J786" s="130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>
      <c r="A787" s="107"/>
      <c r="B787" s="131"/>
      <c r="C787" s="120"/>
      <c r="D787" s="125"/>
      <c r="E787" s="107"/>
      <c r="F787" s="122"/>
      <c r="G787" s="22"/>
      <c r="H787" s="123"/>
      <c r="I787" s="126"/>
      <c r="J787" s="130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>
      <c r="A788" s="107"/>
      <c r="B788" s="131"/>
      <c r="C788" s="120"/>
      <c r="D788" s="125"/>
      <c r="E788" s="107"/>
      <c r="F788" s="122"/>
      <c r="G788" s="22"/>
      <c r="H788" s="123"/>
      <c r="I788" s="126"/>
      <c r="J788" s="130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>
      <c r="A789" s="107"/>
      <c r="B789" s="131"/>
      <c r="C789" s="120"/>
      <c r="D789" s="125"/>
      <c r="E789" s="107"/>
      <c r="F789" s="122"/>
      <c r="G789" s="22"/>
      <c r="H789" s="123"/>
      <c r="I789" s="126"/>
      <c r="J789" s="130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>
      <c r="A790" s="107"/>
      <c r="B790" s="131"/>
      <c r="C790" s="120"/>
      <c r="D790" s="125"/>
      <c r="E790" s="107"/>
      <c r="F790" s="122"/>
      <c r="G790" s="22"/>
      <c r="H790" s="123"/>
      <c r="I790" s="126"/>
      <c r="J790" s="130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>
      <c r="A791" s="107"/>
      <c r="B791" s="131"/>
      <c r="C791" s="120"/>
      <c r="D791" s="125"/>
      <c r="E791" s="107"/>
      <c r="F791" s="122"/>
      <c r="G791" s="22"/>
      <c r="H791" s="123"/>
      <c r="I791" s="126"/>
      <c r="J791" s="130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>
      <c r="A792" s="107"/>
      <c r="B792" s="131"/>
      <c r="C792" s="120"/>
      <c r="D792" s="125"/>
      <c r="E792" s="107"/>
      <c r="F792" s="122"/>
      <c r="G792" s="22"/>
      <c r="H792" s="123"/>
      <c r="I792" s="126"/>
      <c r="J792" s="130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>
      <c r="A793" s="107"/>
      <c r="B793" s="131"/>
      <c r="C793" s="120"/>
      <c r="D793" s="125"/>
      <c r="E793" s="107"/>
      <c r="F793" s="122"/>
      <c r="G793" s="22"/>
      <c r="H793" s="123"/>
      <c r="I793" s="126"/>
      <c r="J793" s="130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>
      <c r="A794" s="107"/>
      <c r="B794" s="131"/>
      <c r="C794" s="120"/>
      <c r="D794" s="125"/>
      <c r="E794" s="107"/>
      <c r="F794" s="122"/>
      <c r="G794" s="22"/>
      <c r="H794" s="123"/>
      <c r="I794" s="126"/>
      <c r="J794" s="130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>
      <c r="A795" s="107"/>
      <c r="B795" s="131"/>
      <c r="C795" s="120"/>
      <c r="D795" s="125"/>
      <c r="E795" s="107"/>
      <c r="F795" s="122"/>
      <c r="G795" s="22"/>
      <c r="H795" s="123"/>
      <c r="I795" s="126"/>
      <c r="J795" s="130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>
      <c r="A796" s="107"/>
      <c r="B796" s="131"/>
      <c r="C796" s="120"/>
      <c r="D796" s="125"/>
      <c r="E796" s="107"/>
      <c r="F796" s="122"/>
      <c r="G796" s="22"/>
      <c r="H796" s="123"/>
      <c r="I796" s="126"/>
      <c r="J796" s="130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>
      <c r="A797" s="107"/>
      <c r="B797" s="131"/>
      <c r="C797" s="120"/>
      <c r="D797" s="125"/>
      <c r="E797" s="107"/>
      <c r="F797" s="122"/>
      <c r="G797" s="22"/>
      <c r="H797" s="123"/>
      <c r="I797" s="126"/>
      <c r="J797" s="130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>
      <c r="A798" s="107"/>
      <c r="B798" s="131"/>
      <c r="C798" s="120"/>
      <c r="D798" s="125"/>
      <c r="E798" s="107"/>
      <c r="F798" s="122"/>
      <c r="G798" s="22"/>
      <c r="H798" s="123"/>
      <c r="I798" s="126"/>
      <c r="J798" s="130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>
      <c r="A799" s="107"/>
      <c r="B799" s="131"/>
      <c r="C799" s="120"/>
      <c r="D799" s="125"/>
      <c r="E799" s="107"/>
      <c r="F799" s="122"/>
      <c r="G799" s="22"/>
      <c r="H799" s="123"/>
      <c r="I799" s="126"/>
      <c r="J799" s="130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>
      <c r="A800" s="107"/>
      <c r="B800" s="131"/>
      <c r="C800" s="120"/>
      <c r="D800" s="125"/>
      <c r="E800" s="107"/>
      <c r="F800" s="122"/>
      <c r="G800" s="22"/>
      <c r="H800" s="123"/>
      <c r="I800" s="126"/>
      <c r="J800" s="130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>
      <c r="A801" s="107"/>
      <c r="B801" s="131"/>
      <c r="C801" s="120"/>
      <c r="D801" s="125"/>
      <c r="E801" s="107"/>
      <c r="F801" s="122"/>
      <c r="G801" s="22"/>
      <c r="H801" s="123"/>
      <c r="I801" s="126"/>
      <c r="J801" s="130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>
      <c r="A802" s="107"/>
      <c r="B802" s="131"/>
      <c r="C802" s="120"/>
      <c r="D802" s="125"/>
      <c r="E802" s="107"/>
      <c r="F802" s="122"/>
      <c r="G802" s="22"/>
      <c r="H802" s="123"/>
      <c r="I802" s="126"/>
      <c r="J802" s="130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>
      <c r="A803" s="107"/>
      <c r="B803" s="131"/>
      <c r="C803" s="120"/>
      <c r="D803" s="125"/>
      <c r="E803" s="107"/>
      <c r="F803" s="122"/>
      <c r="G803" s="22"/>
      <c r="H803" s="123"/>
      <c r="I803" s="126"/>
      <c r="J803" s="130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>
      <c r="A804" s="107"/>
      <c r="B804" s="131"/>
      <c r="C804" s="120"/>
      <c r="D804" s="125"/>
      <c r="E804" s="107"/>
      <c r="F804" s="122"/>
      <c r="G804" s="22"/>
      <c r="H804" s="123"/>
      <c r="I804" s="126"/>
      <c r="J804" s="130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>
      <c r="A805" s="107"/>
      <c r="B805" s="131"/>
      <c r="C805" s="120"/>
      <c r="D805" s="125"/>
      <c r="E805" s="107"/>
      <c r="F805" s="122"/>
      <c r="G805" s="22"/>
      <c r="H805" s="123"/>
      <c r="I805" s="126"/>
      <c r="J805" s="130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>
      <c r="A806" s="107"/>
      <c r="B806" s="131"/>
      <c r="C806" s="120"/>
      <c r="D806" s="125"/>
      <c r="E806" s="107"/>
      <c r="F806" s="122"/>
      <c r="G806" s="22"/>
      <c r="H806" s="123"/>
      <c r="I806" s="126"/>
      <c r="J806" s="130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>
      <c r="A807" s="107"/>
      <c r="B807" s="131"/>
      <c r="C807" s="120"/>
      <c r="D807" s="125"/>
      <c r="E807" s="107"/>
      <c r="F807" s="122"/>
      <c r="G807" s="22"/>
      <c r="H807" s="123"/>
      <c r="I807" s="126"/>
      <c r="J807" s="130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>
      <c r="A808" s="107"/>
      <c r="B808" s="131"/>
      <c r="C808" s="120"/>
      <c r="D808" s="125"/>
      <c r="E808" s="107"/>
      <c r="F808" s="122"/>
      <c r="G808" s="22"/>
      <c r="H808" s="123"/>
      <c r="I808" s="126"/>
      <c r="J808" s="130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>
      <c r="A809" s="107"/>
      <c r="B809" s="131"/>
      <c r="C809" s="120"/>
      <c r="D809" s="125"/>
      <c r="E809" s="107"/>
      <c r="F809" s="122"/>
      <c r="G809" s="22"/>
      <c r="H809" s="123"/>
      <c r="I809" s="126"/>
      <c r="J809" s="130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>
      <c r="A810" s="107"/>
      <c r="B810" s="131"/>
      <c r="C810" s="120"/>
      <c r="D810" s="125"/>
      <c r="E810" s="107"/>
      <c r="F810" s="122"/>
      <c r="G810" s="22"/>
      <c r="H810" s="123"/>
      <c r="I810" s="126"/>
      <c r="J810" s="130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>
      <c r="A811" s="107"/>
      <c r="B811" s="131"/>
      <c r="C811" s="120"/>
      <c r="D811" s="125"/>
      <c r="E811" s="107"/>
      <c r="F811" s="122"/>
      <c r="G811" s="22"/>
      <c r="H811" s="123"/>
      <c r="I811" s="126"/>
      <c r="J811" s="130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>
      <c r="A812" s="107"/>
      <c r="B812" s="131"/>
      <c r="C812" s="120"/>
      <c r="D812" s="125"/>
      <c r="E812" s="107"/>
      <c r="F812" s="122"/>
      <c r="G812" s="22"/>
      <c r="H812" s="123"/>
      <c r="I812" s="126"/>
      <c r="J812" s="130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>
      <c r="A813" s="107"/>
      <c r="B813" s="131"/>
      <c r="C813" s="120"/>
      <c r="D813" s="125"/>
      <c r="E813" s="107"/>
      <c r="F813" s="122"/>
      <c r="G813" s="22"/>
      <c r="H813" s="123"/>
      <c r="I813" s="126"/>
      <c r="J813" s="130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>
      <c r="A814" s="107"/>
      <c r="B814" s="131"/>
      <c r="C814" s="120"/>
      <c r="D814" s="125"/>
      <c r="E814" s="107"/>
      <c r="F814" s="122"/>
      <c r="G814" s="22"/>
      <c r="H814" s="123"/>
      <c r="I814" s="126"/>
      <c r="J814" s="130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>
      <c r="A815" s="107"/>
      <c r="B815" s="131"/>
      <c r="C815" s="120"/>
      <c r="D815" s="125"/>
      <c r="E815" s="107"/>
      <c r="F815" s="122"/>
      <c r="G815" s="22"/>
      <c r="H815" s="123"/>
      <c r="I815" s="126"/>
      <c r="J815" s="130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>
      <c r="A816" s="107"/>
      <c r="B816" s="131"/>
      <c r="C816" s="120"/>
      <c r="D816" s="125"/>
      <c r="E816" s="107"/>
      <c r="F816" s="122"/>
      <c r="G816" s="22"/>
      <c r="H816" s="123"/>
      <c r="I816" s="126"/>
      <c r="J816" s="130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>
      <c r="A817" s="107"/>
      <c r="B817" s="131"/>
      <c r="C817" s="120"/>
      <c r="D817" s="125"/>
      <c r="E817" s="107"/>
      <c r="F817" s="122"/>
      <c r="G817" s="22"/>
      <c r="H817" s="123"/>
      <c r="I817" s="126"/>
      <c r="J817" s="130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>
      <c r="A818" s="107"/>
      <c r="B818" s="131"/>
      <c r="C818" s="120"/>
      <c r="D818" s="125"/>
      <c r="E818" s="107"/>
      <c r="F818" s="122"/>
      <c r="G818" s="22"/>
      <c r="H818" s="123"/>
      <c r="I818" s="126"/>
      <c r="J818" s="130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>
      <c r="A819" s="107"/>
      <c r="B819" s="131"/>
      <c r="C819" s="120"/>
      <c r="D819" s="125"/>
      <c r="E819" s="107"/>
      <c r="F819" s="122"/>
      <c r="G819" s="22"/>
      <c r="H819" s="123"/>
      <c r="I819" s="126"/>
      <c r="J819" s="130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>
      <c r="A820" s="107"/>
      <c r="B820" s="131"/>
      <c r="C820" s="120"/>
      <c r="D820" s="125"/>
      <c r="E820" s="107"/>
      <c r="F820" s="122"/>
      <c r="G820" s="22"/>
      <c r="H820" s="123"/>
      <c r="I820" s="126"/>
      <c r="J820" s="130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>
      <c r="A821" s="107"/>
      <c r="B821" s="131"/>
      <c r="C821" s="120"/>
      <c r="D821" s="125"/>
      <c r="E821" s="107"/>
      <c r="F821" s="122"/>
      <c r="G821" s="22"/>
      <c r="H821" s="123"/>
      <c r="I821" s="126"/>
      <c r="J821" s="130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>
      <c r="A822" s="107"/>
      <c r="B822" s="131"/>
      <c r="C822" s="120"/>
      <c r="D822" s="125"/>
      <c r="E822" s="107"/>
      <c r="F822" s="122"/>
      <c r="G822" s="22"/>
      <c r="H822" s="123"/>
      <c r="I822" s="126"/>
      <c r="J822" s="130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>
      <c r="A823" s="107"/>
      <c r="B823" s="131"/>
      <c r="C823" s="120"/>
      <c r="D823" s="125"/>
      <c r="E823" s="107"/>
      <c r="F823" s="122"/>
      <c r="G823" s="22"/>
      <c r="H823" s="123"/>
      <c r="I823" s="126"/>
      <c r="J823" s="130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>
      <c r="A824" s="107"/>
      <c r="B824" s="131"/>
      <c r="C824" s="120"/>
      <c r="D824" s="125"/>
      <c r="E824" s="107"/>
      <c r="F824" s="122"/>
      <c r="G824" s="22"/>
      <c r="H824" s="123"/>
      <c r="I824" s="126"/>
      <c r="J824" s="130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>
      <c r="A825" s="107"/>
      <c r="B825" s="131"/>
      <c r="C825" s="120"/>
      <c r="D825" s="125"/>
      <c r="E825" s="107"/>
      <c r="F825" s="122"/>
      <c r="G825" s="22"/>
      <c r="H825" s="123"/>
      <c r="I825" s="126"/>
      <c r="J825" s="130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>
      <c r="A826" s="107"/>
      <c r="B826" s="131"/>
      <c r="C826" s="120"/>
      <c r="D826" s="125"/>
      <c r="E826" s="107"/>
      <c r="F826" s="122"/>
      <c r="G826" s="22"/>
      <c r="H826" s="123"/>
      <c r="I826" s="126"/>
      <c r="J826" s="130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>
      <c r="A827" s="107"/>
      <c r="B827" s="131"/>
      <c r="C827" s="120"/>
      <c r="D827" s="125"/>
      <c r="E827" s="107"/>
      <c r="F827" s="122"/>
      <c r="G827" s="22"/>
      <c r="H827" s="123"/>
      <c r="I827" s="126"/>
      <c r="J827" s="130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>
      <c r="A828" s="107"/>
      <c r="B828" s="131"/>
      <c r="C828" s="120"/>
      <c r="D828" s="125"/>
      <c r="E828" s="107"/>
      <c r="F828" s="122"/>
      <c r="G828" s="22"/>
      <c r="H828" s="123"/>
      <c r="I828" s="126"/>
      <c r="J828" s="130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>
      <c r="A829" s="107"/>
      <c r="B829" s="131"/>
      <c r="C829" s="120"/>
      <c r="D829" s="125"/>
      <c r="E829" s="107"/>
      <c r="F829" s="122"/>
      <c r="G829" s="22"/>
      <c r="H829" s="123"/>
      <c r="I829" s="126"/>
      <c r="J829" s="130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>
      <c r="A830" s="107"/>
      <c r="B830" s="131"/>
      <c r="C830" s="120"/>
      <c r="D830" s="125"/>
      <c r="E830" s="107"/>
      <c r="F830" s="122"/>
      <c r="G830" s="22"/>
      <c r="H830" s="123"/>
      <c r="I830" s="126"/>
      <c r="J830" s="130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>
      <c r="A831" s="107"/>
      <c r="B831" s="131"/>
      <c r="C831" s="120"/>
      <c r="D831" s="125"/>
      <c r="E831" s="107"/>
      <c r="F831" s="122"/>
      <c r="G831" s="22"/>
      <c r="H831" s="123"/>
      <c r="I831" s="126"/>
      <c r="J831" s="130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>
      <c r="A832" s="107"/>
      <c r="B832" s="131"/>
      <c r="C832" s="120"/>
      <c r="D832" s="125"/>
      <c r="E832" s="107"/>
      <c r="F832" s="122"/>
      <c r="G832" s="22"/>
      <c r="H832" s="123"/>
      <c r="I832" s="126"/>
      <c r="J832" s="130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>
      <c r="A833" s="107"/>
      <c r="B833" s="131"/>
      <c r="C833" s="120"/>
      <c r="D833" s="125"/>
      <c r="E833" s="107"/>
      <c r="F833" s="122"/>
      <c r="G833" s="22"/>
      <c r="H833" s="123"/>
      <c r="I833" s="126"/>
      <c r="J833" s="130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>
      <c r="A834" s="107"/>
      <c r="B834" s="131"/>
      <c r="C834" s="120"/>
      <c r="D834" s="125"/>
      <c r="E834" s="107"/>
      <c r="F834" s="122"/>
      <c r="G834" s="22"/>
      <c r="H834" s="123"/>
      <c r="I834" s="126"/>
      <c r="J834" s="130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>
      <c r="A835" s="107"/>
      <c r="B835" s="131"/>
      <c r="C835" s="120"/>
      <c r="D835" s="125"/>
      <c r="E835" s="107"/>
      <c r="F835" s="122"/>
      <c r="G835" s="22"/>
      <c r="H835" s="123"/>
      <c r="I835" s="126"/>
      <c r="J835" s="130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>
      <c r="A836" s="107"/>
      <c r="B836" s="131"/>
      <c r="C836" s="120"/>
      <c r="D836" s="125"/>
      <c r="E836" s="107"/>
      <c r="F836" s="122"/>
      <c r="G836" s="22"/>
      <c r="H836" s="123"/>
      <c r="I836" s="126"/>
      <c r="J836" s="130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>
      <c r="A837" s="107"/>
      <c r="B837" s="131"/>
      <c r="C837" s="120"/>
      <c r="D837" s="125"/>
      <c r="E837" s="107"/>
      <c r="F837" s="122"/>
      <c r="G837" s="22"/>
      <c r="H837" s="123"/>
      <c r="I837" s="126"/>
      <c r="J837" s="130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>
      <c r="A838" s="107"/>
      <c r="B838" s="131"/>
      <c r="C838" s="120"/>
      <c r="D838" s="125"/>
      <c r="E838" s="107"/>
      <c r="F838" s="122"/>
      <c r="G838" s="22"/>
      <c r="H838" s="123"/>
      <c r="I838" s="126"/>
      <c r="J838" s="130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>
      <c r="A839" s="107"/>
      <c r="B839" s="131"/>
      <c r="C839" s="120"/>
      <c r="D839" s="125"/>
      <c r="E839" s="107"/>
      <c r="F839" s="122"/>
      <c r="G839" s="22"/>
      <c r="H839" s="123"/>
      <c r="I839" s="126"/>
      <c r="J839" s="130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>
      <c r="A840" s="107"/>
      <c r="B840" s="131"/>
      <c r="C840" s="120"/>
      <c r="D840" s="125"/>
      <c r="E840" s="107"/>
      <c r="F840" s="122"/>
      <c r="G840" s="22"/>
      <c r="H840" s="123"/>
      <c r="I840" s="126"/>
      <c r="J840" s="130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>
      <c r="A841" s="107"/>
      <c r="B841" s="131"/>
      <c r="C841" s="120"/>
      <c r="D841" s="125"/>
      <c r="E841" s="107"/>
      <c r="F841" s="122"/>
      <c r="G841" s="22"/>
      <c r="H841" s="123"/>
      <c r="I841" s="126"/>
      <c r="J841" s="130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>
      <c r="A842" s="107"/>
      <c r="B842" s="131"/>
      <c r="C842" s="120"/>
      <c r="D842" s="125"/>
      <c r="E842" s="107"/>
      <c r="F842" s="122"/>
      <c r="G842" s="22"/>
      <c r="H842" s="123"/>
      <c r="I842" s="126"/>
      <c r="J842" s="130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>
      <c r="A843" s="107"/>
      <c r="B843" s="131"/>
      <c r="C843" s="120"/>
      <c r="D843" s="125"/>
      <c r="E843" s="107"/>
      <c r="F843" s="122"/>
      <c r="G843" s="22"/>
      <c r="H843" s="123"/>
      <c r="I843" s="126"/>
      <c r="J843" s="130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>
      <c r="A844" s="107"/>
      <c r="B844" s="131"/>
      <c r="C844" s="120"/>
      <c r="D844" s="125"/>
      <c r="E844" s="107"/>
      <c r="F844" s="122"/>
      <c r="G844" s="22"/>
      <c r="H844" s="123"/>
      <c r="I844" s="126"/>
      <c r="J844" s="130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>
      <c r="A845" s="107"/>
      <c r="B845" s="131"/>
      <c r="C845" s="120"/>
      <c r="D845" s="125"/>
      <c r="E845" s="107"/>
      <c r="F845" s="122"/>
      <c r="G845" s="22"/>
      <c r="H845" s="123"/>
      <c r="I845" s="126"/>
      <c r="J845" s="130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>
      <c r="A846" s="107"/>
      <c r="B846" s="131"/>
      <c r="C846" s="120"/>
      <c r="D846" s="125"/>
      <c r="E846" s="107"/>
      <c r="F846" s="122"/>
      <c r="G846" s="22"/>
      <c r="H846" s="123"/>
      <c r="I846" s="126"/>
      <c r="J846" s="130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>
      <c r="A847" s="107"/>
      <c r="B847" s="131"/>
      <c r="C847" s="120"/>
      <c r="D847" s="125"/>
      <c r="E847" s="107"/>
      <c r="F847" s="122"/>
      <c r="G847" s="22"/>
      <c r="H847" s="123"/>
      <c r="I847" s="126"/>
      <c r="J847" s="130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>
      <c r="A848" s="107"/>
      <c r="B848" s="131"/>
      <c r="C848" s="120"/>
      <c r="D848" s="125"/>
      <c r="E848" s="107"/>
      <c r="F848" s="122"/>
      <c r="G848" s="22"/>
      <c r="H848" s="123"/>
      <c r="I848" s="126"/>
      <c r="J848" s="130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>
      <c r="A849" s="107"/>
      <c r="B849" s="131"/>
      <c r="C849" s="120"/>
      <c r="D849" s="125"/>
      <c r="E849" s="107"/>
      <c r="F849" s="122"/>
      <c r="G849" s="22"/>
      <c r="H849" s="123"/>
      <c r="I849" s="126"/>
      <c r="J849" s="130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>
      <c r="A850" s="107"/>
      <c r="B850" s="131"/>
      <c r="C850" s="120"/>
      <c r="D850" s="125"/>
      <c r="E850" s="107"/>
      <c r="F850" s="122"/>
      <c r="G850" s="22"/>
      <c r="H850" s="123"/>
      <c r="I850" s="126"/>
      <c r="J850" s="130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>
      <c r="A851" s="107"/>
      <c r="B851" s="131"/>
      <c r="C851" s="120"/>
      <c r="D851" s="125"/>
      <c r="E851" s="107"/>
      <c r="F851" s="122"/>
      <c r="G851" s="22"/>
      <c r="H851" s="123"/>
      <c r="I851" s="126"/>
      <c r="J851" s="130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>
      <c r="A852" s="107"/>
      <c r="B852" s="131"/>
      <c r="C852" s="120"/>
      <c r="D852" s="125"/>
      <c r="E852" s="107"/>
      <c r="F852" s="122"/>
      <c r="G852" s="22"/>
      <c r="H852" s="123"/>
      <c r="I852" s="126"/>
      <c r="J852" s="130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>
      <c r="A853" s="107"/>
      <c r="B853" s="131"/>
      <c r="C853" s="120"/>
      <c r="D853" s="125"/>
      <c r="E853" s="107"/>
      <c r="F853" s="122"/>
      <c r="G853" s="22"/>
      <c r="H853" s="123"/>
      <c r="I853" s="126"/>
      <c r="J853" s="130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>
      <c r="A854" s="107"/>
      <c r="B854" s="131"/>
      <c r="C854" s="120"/>
      <c r="D854" s="125"/>
      <c r="E854" s="107"/>
      <c r="F854" s="122"/>
      <c r="G854" s="22"/>
      <c r="H854" s="123"/>
      <c r="I854" s="126"/>
      <c r="J854" s="130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>
      <c r="A855" s="107"/>
      <c r="B855" s="131"/>
      <c r="C855" s="120"/>
      <c r="D855" s="125"/>
      <c r="E855" s="107"/>
      <c r="F855" s="122"/>
      <c r="G855" s="22"/>
      <c r="H855" s="123"/>
      <c r="I855" s="126"/>
      <c r="J855" s="130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>
      <c r="A856" s="107"/>
      <c r="B856" s="131"/>
      <c r="C856" s="120"/>
      <c r="D856" s="125"/>
      <c r="E856" s="107"/>
      <c r="F856" s="122"/>
      <c r="G856" s="22"/>
      <c r="H856" s="123"/>
      <c r="I856" s="126"/>
      <c r="J856" s="130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>
      <c r="A857" s="107"/>
      <c r="B857" s="131"/>
      <c r="C857" s="120"/>
      <c r="D857" s="125"/>
      <c r="E857" s="107"/>
      <c r="F857" s="122"/>
      <c r="G857" s="22"/>
      <c r="H857" s="123"/>
      <c r="I857" s="126"/>
      <c r="J857" s="130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>
      <c r="A858" s="107"/>
      <c r="B858" s="131"/>
      <c r="C858" s="120"/>
      <c r="D858" s="125"/>
      <c r="E858" s="107"/>
      <c r="F858" s="122"/>
      <c r="G858" s="22"/>
      <c r="H858" s="123"/>
      <c r="I858" s="126"/>
      <c r="J858" s="130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>
      <c r="A859" s="107"/>
      <c r="B859" s="131"/>
      <c r="C859" s="120"/>
      <c r="D859" s="125"/>
      <c r="E859" s="107"/>
      <c r="F859" s="122"/>
      <c r="G859" s="22"/>
      <c r="H859" s="123"/>
      <c r="I859" s="126"/>
      <c r="J859" s="130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>
      <c r="A860" s="107"/>
      <c r="B860" s="131"/>
      <c r="C860" s="120"/>
      <c r="D860" s="125"/>
      <c r="E860" s="107"/>
      <c r="F860" s="122"/>
      <c r="G860" s="22"/>
      <c r="H860" s="123"/>
      <c r="I860" s="126"/>
      <c r="J860" s="130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>
      <c r="A861" s="107"/>
      <c r="B861" s="131"/>
      <c r="C861" s="120"/>
      <c r="D861" s="125"/>
      <c r="E861" s="107"/>
      <c r="F861" s="122"/>
      <c r="G861" s="22"/>
      <c r="H861" s="123"/>
      <c r="I861" s="126"/>
      <c r="J861" s="130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>
      <c r="A862" s="107"/>
      <c r="B862" s="131"/>
      <c r="C862" s="120"/>
      <c r="D862" s="125"/>
      <c r="E862" s="107"/>
      <c r="F862" s="122"/>
      <c r="G862" s="22"/>
      <c r="H862" s="123"/>
      <c r="I862" s="126"/>
      <c r="J862" s="130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>
      <c r="A863" s="107"/>
      <c r="B863" s="131"/>
      <c r="C863" s="120"/>
      <c r="D863" s="125"/>
      <c r="E863" s="107"/>
      <c r="F863" s="122"/>
      <c r="G863" s="22"/>
      <c r="H863" s="123"/>
      <c r="I863" s="126"/>
      <c r="J863" s="130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>
      <c r="A864" s="107"/>
      <c r="B864" s="131"/>
      <c r="C864" s="120"/>
      <c r="D864" s="125"/>
      <c r="E864" s="107"/>
      <c r="F864" s="122"/>
      <c r="G864" s="22"/>
      <c r="H864" s="123"/>
      <c r="I864" s="126"/>
      <c r="J864" s="130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>
      <c r="A865" s="107"/>
      <c r="B865" s="131"/>
      <c r="C865" s="120"/>
      <c r="D865" s="125"/>
      <c r="E865" s="107"/>
      <c r="F865" s="122"/>
      <c r="G865" s="22"/>
      <c r="H865" s="123"/>
      <c r="I865" s="126"/>
      <c r="J865" s="130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>
      <c r="A866" s="107"/>
      <c r="B866" s="131"/>
      <c r="C866" s="120"/>
      <c r="D866" s="125"/>
      <c r="E866" s="107"/>
      <c r="F866" s="122"/>
      <c r="G866" s="22"/>
      <c r="H866" s="123"/>
      <c r="I866" s="126"/>
      <c r="J866" s="130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>
      <c r="A867" s="107"/>
      <c r="B867" s="131"/>
      <c r="C867" s="120"/>
      <c r="D867" s="125"/>
      <c r="E867" s="107"/>
      <c r="F867" s="122"/>
      <c r="G867" s="22"/>
      <c r="H867" s="123"/>
      <c r="I867" s="126"/>
      <c r="J867" s="130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>
      <c r="A868" s="107"/>
      <c r="B868" s="131"/>
      <c r="C868" s="120"/>
      <c r="D868" s="125"/>
      <c r="E868" s="107"/>
      <c r="F868" s="122"/>
      <c r="G868" s="22"/>
      <c r="H868" s="123"/>
      <c r="I868" s="126"/>
      <c r="J868" s="130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>
      <c r="A869" s="107"/>
      <c r="B869" s="131"/>
      <c r="C869" s="120"/>
      <c r="D869" s="125"/>
      <c r="E869" s="107"/>
      <c r="F869" s="122"/>
      <c r="G869" s="22"/>
      <c r="H869" s="123"/>
      <c r="I869" s="126"/>
      <c r="J869" s="130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>
      <c r="A870" s="107"/>
      <c r="B870" s="131"/>
      <c r="C870" s="120"/>
      <c r="D870" s="125"/>
      <c r="E870" s="107"/>
      <c r="F870" s="122"/>
      <c r="G870" s="22"/>
      <c r="H870" s="123"/>
      <c r="I870" s="126"/>
      <c r="J870" s="130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>
      <c r="A871" s="107"/>
      <c r="B871" s="131"/>
      <c r="C871" s="120"/>
      <c r="D871" s="125"/>
      <c r="E871" s="107"/>
      <c r="F871" s="122"/>
      <c r="G871" s="22"/>
      <c r="H871" s="123"/>
      <c r="I871" s="126"/>
      <c r="J871" s="130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>
      <c r="A872" s="107"/>
      <c r="B872" s="131"/>
      <c r="C872" s="120"/>
      <c r="D872" s="125"/>
      <c r="E872" s="107"/>
      <c r="F872" s="122"/>
      <c r="G872" s="22"/>
      <c r="H872" s="123"/>
      <c r="I872" s="126"/>
      <c r="J872" s="130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>
      <c r="A873" s="107"/>
      <c r="B873" s="131"/>
      <c r="C873" s="120"/>
      <c r="D873" s="125"/>
      <c r="E873" s="107"/>
      <c r="F873" s="122"/>
      <c r="G873" s="22"/>
      <c r="H873" s="123"/>
      <c r="I873" s="126"/>
      <c r="J873" s="130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>
      <c r="A874" s="107"/>
      <c r="B874" s="131"/>
      <c r="C874" s="120"/>
      <c r="D874" s="125"/>
      <c r="E874" s="107"/>
      <c r="F874" s="122"/>
      <c r="G874" s="22"/>
      <c r="H874" s="123"/>
      <c r="I874" s="126"/>
      <c r="J874" s="130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>
      <c r="A875" s="107"/>
      <c r="B875" s="131"/>
      <c r="C875" s="120"/>
      <c r="D875" s="125"/>
      <c r="E875" s="107"/>
      <c r="F875" s="122"/>
      <c r="G875" s="22"/>
      <c r="H875" s="123"/>
      <c r="I875" s="126"/>
      <c r="J875" s="130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>
      <c r="A876" s="107"/>
      <c r="B876" s="131"/>
      <c r="C876" s="120"/>
      <c r="D876" s="125"/>
      <c r="E876" s="107"/>
      <c r="F876" s="122"/>
      <c r="G876" s="22"/>
      <c r="H876" s="123"/>
      <c r="I876" s="126"/>
      <c r="J876" s="130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>
      <c r="A877" s="107"/>
      <c r="B877" s="131"/>
      <c r="C877" s="120"/>
      <c r="D877" s="125"/>
      <c r="E877" s="107"/>
      <c r="F877" s="122"/>
      <c r="G877" s="22"/>
      <c r="H877" s="123"/>
      <c r="I877" s="126"/>
      <c r="J877" s="130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>
      <c r="A878" s="107"/>
      <c r="B878" s="131"/>
      <c r="C878" s="120"/>
      <c r="D878" s="125"/>
      <c r="E878" s="107"/>
      <c r="F878" s="122"/>
      <c r="G878" s="22"/>
      <c r="H878" s="123"/>
      <c r="I878" s="126"/>
      <c r="J878" s="130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>
      <c r="A879" s="107"/>
      <c r="B879" s="131"/>
      <c r="C879" s="120"/>
      <c r="D879" s="125"/>
      <c r="E879" s="107"/>
      <c r="F879" s="122"/>
      <c r="G879" s="22"/>
      <c r="H879" s="123"/>
      <c r="I879" s="126"/>
      <c r="J879" s="130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>
      <c r="A880" s="107"/>
      <c r="B880" s="131"/>
      <c r="C880" s="120"/>
      <c r="D880" s="125"/>
      <c r="E880" s="107"/>
      <c r="F880" s="122"/>
      <c r="G880" s="22"/>
      <c r="H880" s="123"/>
      <c r="I880" s="126"/>
      <c r="J880" s="130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>
      <c r="A881" s="107"/>
      <c r="B881" s="131"/>
      <c r="C881" s="120"/>
      <c r="D881" s="125"/>
      <c r="E881" s="107"/>
      <c r="F881" s="122"/>
      <c r="G881" s="22"/>
      <c r="H881" s="123"/>
      <c r="I881" s="126"/>
      <c r="J881" s="130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>
      <c r="A882" s="107"/>
      <c r="B882" s="131"/>
      <c r="C882" s="120"/>
      <c r="D882" s="125"/>
      <c r="E882" s="107"/>
      <c r="F882" s="122"/>
      <c r="G882" s="22"/>
      <c r="H882" s="123"/>
      <c r="I882" s="126"/>
      <c r="J882" s="130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>
      <c r="A883" s="107"/>
      <c r="B883" s="131"/>
      <c r="C883" s="120"/>
      <c r="D883" s="125"/>
      <c r="E883" s="107"/>
      <c r="F883" s="122"/>
      <c r="G883" s="22"/>
      <c r="H883" s="123"/>
      <c r="I883" s="126"/>
      <c r="J883" s="130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>
      <c r="A884" s="107"/>
      <c r="B884" s="131"/>
      <c r="C884" s="120"/>
      <c r="D884" s="125"/>
      <c r="E884" s="107"/>
      <c r="F884" s="122"/>
      <c r="G884" s="22"/>
      <c r="H884" s="123"/>
      <c r="I884" s="126"/>
      <c r="J884" s="130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>
      <c r="A885" s="107"/>
      <c r="B885" s="131"/>
      <c r="C885" s="120"/>
      <c r="D885" s="125"/>
      <c r="E885" s="107"/>
      <c r="F885" s="122"/>
      <c r="G885" s="22"/>
      <c r="H885" s="123"/>
      <c r="I885" s="126"/>
      <c r="J885" s="130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>
      <c r="A886" s="107"/>
      <c r="B886" s="131"/>
      <c r="C886" s="120"/>
      <c r="D886" s="125"/>
      <c r="E886" s="107"/>
      <c r="F886" s="122"/>
      <c r="G886" s="22"/>
      <c r="H886" s="123"/>
      <c r="I886" s="126"/>
      <c r="J886" s="130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>
      <c r="A887" s="107"/>
      <c r="B887" s="131"/>
      <c r="C887" s="120"/>
      <c r="D887" s="125"/>
      <c r="E887" s="107"/>
      <c r="F887" s="122"/>
      <c r="G887" s="22"/>
      <c r="H887" s="123"/>
      <c r="I887" s="126"/>
      <c r="J887" s="130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>
      <c r="A888" s="107"/>
      <c r="B888" s="131"/>
      <c r="C888" s="120"/>
      <c r="D888" s="125"/>
      <c r="E888" s="107"/>
      <c r="F888" s="122"/>
      <c r="G888" s="22"/>
      <c r="H888" s="123"/>
      <c r="I888" s="126"/>
      <c r="J888" s="130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>
      <c r="A889" s="107"/>
      <c r="B889" s="131"/>
      <c r="C889" s="120"/>
      <c r="D889" s="125"/>
      <c r="E889" s="107"/>
      <c r="F889" s="122"/>
      <c r="G889" s="22"/>
      <c r="H889" s="123"/>
      <c r="I889" s="126"/>
      <c r="J889" s="130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>
      <c r="A890" s="107"/>
      <c r="B890" s="131"/>
      <c r="C890" s="120"/>
      <c r="D890" s="125"/>
      <c r="E890" s="107"/>
      <c r="F890" s="122"/>
      <c r="G890" s="22"/>
      <c r="H890" s="123"/>
      <c r="I890" s="126"/>
      <c r="J890" s="130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>
      <c r="A891" s="107"/>
      <c r="B891" s="131"/>
      <c r="C891" s="120"/>
      <c r="D891" s="125"/>
      <c r="E891" s="107"/>
      <c r="F891" s="122"/>
      <c r="G891" s="22"/>
      <c r="H891" s="123"/>
      <c r="I891" s="126"/>
      <c r="J891" s="130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>
      <c r="A892" s="107"/>
      <c r="B892" s="131"/>
      <c r="C892" s="120"/>
      <c r="D892" s="125"/>
      <c r="E892" s="107"/>
      <c r="F892" s="122"/>
      <c r="G892" s="22"/>
      <c r="H892" s="123"/>
      <c r="I892" s="126"/>
      <c r="J892" s="130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>
      <c r="A893" s="107"/>
      <c r="B893" s="131"/>
      <c r="C893" s="120"/>
      <c r="D893" s="125"/>
      <c r="E893" s="107"/>
      <c r="F893" s="122"/>
      <c r="G893" s="22"/>
      <c r="H893" s="123"/>
      <c r="I893" s="126"/>
      <c r="J893" s="130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>
      <c r="A894" s="107"/>
      <c r="B894" s="131"/>
      <c r="C894" s="120"/>
      <c r="D894" s="125"/>
      <c r="E894" s="107"/>
      <c r="F894" s="122"/>
      <c r="G894" s="22"/>
      <c r="H894" s="123"/>
      <c r="I894" s="126"/>
      <c r="J894" s="130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>
      <c r="A895" s="107"/>
      <c r="B895" s="131"/>
      <c r="C895" s="120"/>
      <c r="D895" s="125"/>
      <c r="E895" s="107"/>
      <c r="F895" s="122"/>
      <c r="G895" s="22"/>
      <c r="H895" s="123"/>
      <c r="I895" s="126"/>
      <c r="J895" s="130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>
      <c r="A896" s="107"/>
      <c r="B896" s="131"/>
      <c r="C896" s="120"/>
      <c r="D896" s="125"/>
      <c r="E896" s="107"/>
      <c r="F896" s="122"/>
      <c r="G896" s="22"/>
      <c r="H896" s="123"/>
      <c r="I896" s="126"/>
      <c r="J896" s="130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>
      <c r="A897" s="107"/>
      <c r="B897" s="131"/>
      <c r="C897" s="120"/>
      <c r="D897" s="125"/>
      <c r="E897" s="107"/>
      <c r="F897" s="122"/>
      <c r="G897" s="22"/>
      <c r="H897" s="123"/>
      <c r="I897" s="126"/>
      <c r="J897" s="130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>
      <c r="A898" s="107"/>
      <c r="B898" s="131"/>
      <c r="C898" s="120"/>
      <c r="D898" s="125"/>
      <c r="E898" s="107"/>
      <c r="F898" s="122"/>
      <c r="G898" s="22"/>
      <c r="H898" s="123"/>
      <c r="I898" s="126"/>
      <c r="J898" s="130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>
      <c r="A899" s="107"/>
      <c r="B899" s="131"/>
      <c r="C899" s="120"/>
      <c r="D899" s="125"/>
      <c r="E899" s="107"/>
      <c r="F899" s="122"/>
      <c r="G899" s="22"/>
      <c r="H899" s="123"/>
      <c r="I899" s="126"/>
      <c r="J899" s="130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>
      <c r="A900" s="107"/>
      <c r="B900" s="131"/>
      <c r="C900" s="120"/>
      <c r="D900" s="125"/>
      <c r="E900" s="107"/>
      <c r="F900" s="122"/>
      <c r="G900" s="22"/>
      <c r="H900" s="123"/>
      <c r="I900" s="126"/>
      <c r="J900" s="130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>
      <c r="A901" s="107"/>
      <c r="B901" s="131"/>
      <c r="C901" s="120"/>
      <c r="D901" s="125"/>
      <c r="E901" s="107"/>
      <c r="F901" s="122"/>
      <c r="G901" s="22"/>
      <c r="H901" s="123"/>
      <c r="I901" s="126"/>
      <c r="J901" s="130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>
      <c r="A902" s="107"/>
      <c r="B902" s="131"/>
      <c r="C902" s="120"/>
      <c r="D902" s="125"/>
      <c r="E902" s="107"/>
      <c r="F902" s="122"/>
      <c r="G902" s="22"/>
      <c r="H902" s="123"/>
      <c r="I902" s="126"/>
      <c r="J902" s="130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>
      <c r="A903" s="107"/>
      <c r="B903" s="131"/>
      <c r="C903" s="120"/>
      <c r="D903" s="125"/>
      <c r="E903" s="107"/>
      <c r="F903" s="122"/>
      <c r="G903" s="22"/>
      <c r="H903" s="123"/>
      <c r="I903" s="126"/>
      <c r="J903" s="130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>
      <c r="A904" s="107"/>
      <c r="B904" s="131"/>
      <c r="C904" s="120"/>
      <c r="D904" s="125"/>
      <c r="E904" s="107"/>
      <c r="F904" s="122"/>
      <c r="G904" s="22"/>
      <c r="H904" s="123"/>
      <c r="I904" s="126"/>
      <c r="J904" s="130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>
      <c r="A905" s="107"/>
      <c r="B905" s="131"/>
      <c r="C905" s="120"/>
      <c r="D905" s="125"/>
      <c r="E905" s="107"/>
      <c r="F905" s="122"/>
      <c r="G905" s="22"/>
      <c r="H905" s="123"/>
      <c r="I905" s="126"/>
      <c r="J905" s="130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>
      <c r="A906" s="107"/>
      <c r="B906" s="131"/>
      <c r="C906" s="120"/>
      <c r="D906" s="125"/>
      <c r="E906" s="107"/>
      <c r="F906" s="122"/>
      <c r="G906" s="22"/>
      <c r="H906" s="123"/>
      <c r="I906" s="126"/>
      <c r="J906" s="130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>
      <c r="A907" s="107"/>
      <c r="B907" s="131"/>
      <c r="C907" s="120"/>
      <c r="D907" s="125"/>
      <c r="E907" s="107"/>
      <c r="F907" s="122"/>
      <c r="G907" s="22"/>
      <c r="H907" s="123"/>
      <c r="I907" s="126"/>
      <c r="J907" s="130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>
      <c r="A908" s="107"/>
      <c r="B908" s="131"/>
      <c r="C908" s="120"/>
      <c r="D908" s="125"/>
      <c r="E908" s="107"/>
      <c r="F908" s="122"/>
      <c r="G908" s="22"/>
      <c r="H908" s="123"/>
      <c r="I908" s="126"/>
      <c r="J908" s="130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>
      <c r="A909" s="107"/>
      <c r="B909" s="131"/>
      <c r="C909" s="120"/>
      <c r="D909" s="125"/>
      <c r="E909" s="107"/>
      <c r="F909" s="122"/>
      <c r="G909" s="22"/>
      <c r="H909" s="123"/>
      <c r="I909" s="126"/>
      <c r="J909" s="130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>
      <c r="A910" s="107"/>
      <c r="B910" s="131"/>
      <c r="C910" s="120"/>
      <c r="D910" s="125"/>
      <c r="E910" s="107"/>
      <c r="F910" s="122"/>
      <c r="G910" s="22"/>
      <c r="H910" s="123"/>
      <c r="I910" s="126"/>
      <c r="J910" s="130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>
      <c r="A911" s="107"/>
      <c r="B911" s="131"/>
      <c r="C911" s="120"/>
      <c r="D911" s="125"/>
      <c r="E911" s="107"/>
      <c r="F911" s="122"/>
      <c r="G911" s="22"/>
      <c r="H911" s="123"/>
      <c r="I911" s="126"/>
      <c r="J911" s="130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>
      <c r="A912" s="107"/>
      <c r="B912" s="131"/>
      <c r="C912" s="120"/>
      <c r="D912" s="125"/>
      <c r="E912" s="107"/>
      <c r="F912" s="122"/>
      <c r="G912" s="22"/>
      <c r="H912" s="123"/>
      <c r="I912" s="126"/>
      <c r="J912" s="130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>
      <c r="A913" s="107"/>
      <c r="B913" s="131"/>
      <c r="C913" s="120"/>
      <c r="D913" s="125"/>
      <c r="E913" s="107"/>
      <c r="F913" s="122"/>
      <c r="G913" s="22"/>
      <c r="H913" s="123"/>
      <c r="I913" s="126"/>
      <c r="J913" s="130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>
      <c r="A914" s="107"/>
      <c r="B914" s="131"/>
      <c r="C914" s="120"/>
      <c r="D914" s="125"/>
      <c r="E914" s="107"/>
      <c r="F914" s="122"/>
      <c r="G914" s="22"/>
      <c r="H914" s="123"/>
      <c r="I914" s="126"/>
      <c r="J914" s="130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>
      <c r="A915" s="107"/>
      <c r="B915" s="131"/>
      <c r="C915" s="120"/>
      <c r="D915" s="125"/>
      <c r="E915" s="107"/>
      <c r="F915" s="122"/>
      <c r="G915" s="22"/>
      <c r="H915" s="123"/>
      <c r="I915" s="126"/>
      <c r="J915" s="130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>
      <c r="A916" s="107"/>
      <c r="B916" s="131"/>
      <c r="C916" s="120"/>
      <c r="D916" s="125"/>
      <c r="E916" s="107"/>
      <c r="F916" s="122"/>
      <c r="G916" s="22"/>
      <c r="H916" s="123"/>
      <c r="I916" s="126"/>
      <c r="J916" s="130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>
      <c r="A917" s="107"/>
      <c r="B917" s="131"/>
      <c r="C917" s="120"/>
      <c r="D917" s="125"/>
      <c r="E917" s="107"/>
      <c r="F917" s="122"/>
      <c r="G917" s="22"/>
      <c r="H917" s="123"/>
      <c r="I917" s="126"/>
      <c r="J917" s="130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>
      <c r="A918" s="107"/>
      <c r="B918" s="131"/>
      <c r="C918" s="120"/>
      <c r="D918" s="125"/>
      <c r="E918" s="107"/>
      <c r="F918" s="122"/>
      <c r="G918" s="22"/>
      <c r="H918" s="123"/>
      <c r="I918" s="126"/>
      <c r="J918" s="130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>
      <c r="A919" s="107"/>
      <c r="B919" s="131"/>
      <c r="C919" s="120"/>
      <c r="D919" s="125"/>
      <c r="E919" s="107"/>
      <c r="F919" s="122"/>
      <c r="G919" s="22"/>
      <c r="H919" s="123"/>
      <c r="I919" s="126"/>
      <c r="J919" s="130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>
      <c r="A920" s="107"/>
      <c r="B920" s="131"/>
      <c r="C920" s="120"/>
      <c r="D920" s="125"/>
      <c r="E920" s="107"/>
      <c r="F920" s="122"/>
      <c r="G920" s="22"/>
      <c r="H920" s="123"/>
      <c r="I920" s="126"/>
      <c r="J920" s="130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>
      <c r="A921" s="107"/>
      <c r="B921" s="131"/>
      <c r="C921" s="120"/>
      <c r="D921" s="125"/>
      <c r="E921" s="107"/>
      <c r="F921" s="122"/>
      <c r="G921" s="22"/>
      <c r="H921" s="123"/>
      <c r="I921" s="126"/>
      <c r="J921" s="130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>
      <c r="A922" s="107"/>
      <c r="B922" s="131"/>
      <c r="C922" s="120"/>
      <c r="D922" s="125"/>
      <c r="E922" s="107"/>
      <c r="F922" s="122"/>
      <c r="G922" s="22"/>
      <c r="H922" s="123"/>
      <c r="I922" s="126"/>
      <c r="J922" s="130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>
      <c r="A923" s="107"/>
      <c r="B923" s="131"/>
      <c r="C923" s="120"/>
      <c r="D923" s="125"/>
      <c r="E923" s="107"/>
      <c r="F923" s="122"/>
      <c r="G923" s="22"/>
      <c r="H923" s="123"/>
      <c r="I923" s="126"/>
      <c r="J923" s="130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>
      <c r="A924" s="107"/>
      <c r="B924" s="131"/>
      <c r="C924" s="120"/>
      <c r="D924" s="125"/>
      <c r="E924" s="107"/>
      <c r="F924" s="122"/>
      <c r="G924" s="22"/>
      <c r="H924" s="123"/>
      <c r="I924" s="126"/>
      <c r="J924" s="130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>
      <c r="A925" s="107"/>
      <c r="B925" s="131"/>
      <c r="C925" s="120"/>
      <c r="D925" s="125"/>
      <c r="E925" s="107"/>
      <c r="F925" s="122"/>
      <c r="G925" s="22"/>
      <c r="H925" s="123"/>
      <c r="I925" s="126"/>
      <c r="J925" s="130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>
      <c r="A926" s="107"/>
      <c r="B926" s="131"/>
      <c r="C926" s="120"/>
      <c r="D926" s="125"/>
      <c r="E926" s="107"/>
      <c r="F926" s="122"/>
      <c r="G926" s="22"/>
      <c r="H926" s="123"/>
      <c r="I926" s="126"/>
      <c r="J926" s="130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>
      <c r="A927" s="107"/>
      <c r="B927" s="131"/>
      <c r="C927" s="120"/>
      <c r="D927" s="125"/>
      <c r="E927" s="107"/>
      <c r="F927" s="122"/>
      <c r="G927" s="22"/>
      <c r="H927" s="123"/>
      <c r="I927" s="126"/>
      <c r="J927" s="130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>
      <c r="A928" s="107"/>
      <c r="B928" s="131"/>
      <c r="C928" s="120"/>
      <c r="D928" s="125"/>
      <c r="E928" s="107"/>
      <c r="F928" s="122"/>
      <c r="G928" s="22"/>
      <c r="H928" s="123"/>
      <c r="I928" s="126"/>
      <c r="J928" s="130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>
      <c r="A929" s="107"/>
      <c r="B929" s="131"/>
      <c r="C929" s="120"/>
      <c r="D929" s="125"/>
      <c r="E929" s="107"/>
      <c r="F929" s="122"/>
      <c r="G929" s="22"/>
      <c r="H929" s="123"/>
      <c r="I929" s="126"/>
      <c r="J929" s="130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>
      <c r="A930" s="107"/>
      <c r="B930" s="131"/>
      <c r="C930" s="120"/>
      <c r="D930" s="125"/>
      <c r="E930" s="107"/>
      <c r="F930" s="122"/>
      <c r="G930" s="22"/>
      <c r="H930" s="123"/>
      <c r="I930" s="126"/>
      <c r="J930" s="130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>
      <c r="A931" s="107"/>
      <c r="B931" s="131"/>
      <c r="C931" s="120"/>
      <c r="D931" s="125"/>
      <c r="E931" s="107"/>
      <c r="F931" s="122"/>
      <c r="G931" s="22"/>
      <c r="H931" s="123"/>
      <c r="I931" s="126"/>
      <c r="J931" s="130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>
      <c r="A932" s="107"/>
      <c r="B932" s="131"/>
      <c r="C932" s="120"/>
      <c r="D932" s="125"/>
      <c r="E932" s="107"/>
      <c r="F932" s="122"/>
      <c r="G932" s="22"/>
      <c r="H932" s="123"/>
      <c r="I932" s="126"/>
      <c r="J932" s="130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>
      <c r="A933" s="107"/>
      <c r="B933" s="131"/>
      <c r="C933" s="120"/>
      <c r="D933" s="125"/>
      <c r="E933" s="107"/>
      <c r="F933" s="122"/>
      <c r="G933" s="22"/>
      <c r="H933" s="123"/>
      <c r="I933" s="126"/>
      <c r="J933" s="130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>
      <c r="A934" s="107"/>
      <c r="B934" s="131"/>
      <c r="C934" s="120"/>
      <c r="D934" s="125"/>
      <c r="E934" s="107"/>
      <c r="F934" s="122"/>
      <c r="G934" s="22"/>
      <c r="H934" s="123"/>
      <c r="I934" s="126"/>
      <c r="J934" s="130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>
      <c r="A935" s="107"/>
      <c r="B935" s="131"/>
      <c r="C935" s="120"/>
      <c r="D935" s="125"/>
      <c r="E935" s="107"/>
      <c r="F935" s="122"/>
      <c r="G935" s="22"/>
      <c r="H935" s="123"/>
      <c r="I935" s="126"/>
      <c r="J935" s="130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>
      <c r="A936" s="107"/>
      <c r="B936" s="131"/>
      <c r="C936" s="120"/>
      <c r="D936" s="125"/>
      <c r="E936" s="107"/>
      <c r="F936" s="122"/>
      <c r="G936" s="22"/>
      <c r="H936" s="123"/>
      <c r="I936" s="126"/>
      <c r="J936" s="130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>
      <c r="A937" s="107"/>
      <c r="B937" s="131"/>
      <c r="C937" s="120"/>
      <c r="D937" s="125"/>
      <c r="E937" s="107"/>
      <c r="F937" s="122"/>
      <c r="G937" s="22"/>
      <c r="H937" s="123"/>
      <c r="I937" s="126"/>
      <c r="J937" s="130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>
      <c r="A938" s="107"/>
      <c r="B938" s="131"/>
      <c r="C938" s="120"/>
      <c r="D938" s="125"/>
      <c r="E938" s="107"/>
      <c r="F938" s="122"/>
      <c r="G938" s="22"/>
      <c r="H938" s="123"/>
      <c r="I938" s="126"/>
      <c r="J938" s="130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>
      <c r="A939" s="107"/>
      <c r="B939" s="131"/>
      <c r="C939" s="120"/>
      <c r="D939" s="125"/>
      <c r="E939" s="107"/>
      <c r="F939" s="122"/>
      <c r="G939" s="22"/>
      <c r="H939" s="123"/>
      <c r="I939" s="126"/>
      <c r="J939" s="130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>
      <c r="A940" s="107"/>
      <c r="B940" s="131"/>
      <c r="C940" s="120"/>
      <c r="D940" s="125"/>
      <c r="E940" s="107"/>
      <c r="F940" s="122"/>
      <c r="G940" s="22"/>
      <c r="H940" s="123"/>
      <c r="I940" s="126"/>
      <c r="J940" s="130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>
      <c r="A941" s="107"/>
      <c r="B941" s="131"/>
      <c r="C941" s="120"/>
      <c r="D941" s="125"/>
      <c r="E941" s="107"/>
      <c r="F941" s="122"/>
      <c r="G941" s="22"/>
      <c r="H941" s="123"/>
      <c r="I941" s="126"/>
      <c r="J941" s="130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>
      <c r="A942" s="107"/>
      <c r="B942" s="131"/>
      <c r="C942" s="120"/>
      <c r="D942" s="125"/>
      <c r="E942" s="107"/>
      <c r="F942" s="122"/>
      <c r="G942" s="22"/>
      <c r="H942" s="123"/>
      <c r="I942" s="126"/>
      <c r="J942" s="130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>
      <c r="A943" s="107"/>
      <c r="B943" s="131"/>
      <c r="C943" s="120"/>
      <c r="D943" s="125"/>
      <c r="E943" s="107"/>
      <c r="F943" s="122"/>
      <c r="G943" s="22"/>
      <c r="H943" s="123"/>
      <c r="I943" s="126"/>
      <c r="J943" s="130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>
      <c r="A944" s="107"/>
      <c r="B944" s="131"/>
      <c r="C944" s="120"/>
      <c r="D944" s="125"/>
      <c r="E944" s="107"/>
      <c r="F944" s="122"/>
      <c r="G944" s="22"/>
      <c r="H944" s="123"/>
      <c r="I944" s="126"/>
      <c r="J944" s="130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>
      <c r="A945" s="107"/>
      <c r="B945" s="131"/>
      <c r="C945" s="120"/>
      <c r="D945" s="125"/>
      <c r="E945" s="107"/>
      <c r="F945" s="122"/>
      <c r="G945" s="22"/>
      <c r="H945" s="123"/>
      <c r="I945" s="126"/>
      <c r="J945" s="130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>
      <c r="A946" s="107"/>
      <c r="B946" s="131"/>
      <c r="C946" s="120"/>
      <c r="D946" s="125"/>
      <c r="E946" s="107"/>
      <c r="F946" s="122"/>
      <c r="G946" s="22"/>
      <c r="H946" s="123"/>
      <c r="I946" s="126"/>
      <c r="J946" s="130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>
      <c r="A947" s="107"/>
      <c r="B947" s="131"/>
      <c r="C947" s="120"/>
      <c r="D947" s="125"/>
      <c r="E947" s="107"/>
      <c r="F947" s="122"/>
      <c r="G947" s="22"/>
      <c r="H947" s="123"/>
      <c r="I947" s="126"/>
      <c r="J947" s="130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>
      <c r="A948" s="107"/>
      <c r="B948" s="131"/>
      <c r="C948" s="120"/>
      <c r="D948" s="125"/>
      <c r="E948" s="107"/>
      <c r="F948" s="122"/>
      <c r="G948" s="22"/>
      <c r="H948" s="123"/>
      <c r="I948" s="126"/>
      <c r="J948" s="130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>
      <c r="A949" s="107"/>
      <c r="B949" s="131"/>
      <c r="C949" s="120"/>
      <c r="D949" s="125"/>
      <c r="E949" s="107"/>
      <c r="F949" s="122"/>
      <c r="G949" s="22"/>
      <c r="H949" s="123"/>
      <c r="I949" s="126"/>
      <c r="J949" s="130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>
      <c r="A950" s="107"/>
      <c r="B950" s="131"/>
      <c r="C950" s="120"/>
      <c r="D950" s="125"/>
      <c r="E950" s="107"/>
      <c r="F950" s="122"/>
      <c r="G950" s="22"/>
      <c r="H950" s="123"/>
      <c r="I950" s="126"/>
      <c r="J950" s="130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>
      <c r="A951" s="107"/>
      <c r="B951" s="131"/>
      <c r="C951" s="120"/>
      <c r="D951" s="125"/>
      <c r="E951" s="107"/>
      <c r="F951" s="122"/>
      <c r="G951" s="22"/>
      <c r="H951" s="123"/>
      <c r="I951" s="126"/>
      <c r="J951" s="130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>
      <c r="A952" s="107"/>
      <c r="B952" s="131"/>
      <c r="C952" s="120"/>
      <c r="D952" s="125"/>
      <c r="E952" s="107"/>
      <c r="F952" s="122"/>
      <c r="G952" s="22"/>
      <c r="H952" s="123"/>
      <c r="I952" s="126"/>
      <c r="J952" s="130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>
      <c r="A953" s="107"/>
      <c r="B953" s="131"/>
      <c r="C953" s="120"/>
      <c r="D953" s="125"/>
      <c r="E953" s="107"/>
      <c r="F953" s="122"/>
      <c r="G953" s="22"/>
      <c r="H953" s="123"/>
      <c r="I953" s="126"/>
      <c r="J953" s="130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>
      <c r="A954" s="107"/>
      <c r="B954" s="131"/>
      <c r="C954" s="120"/>
      <c r="D954" s="125"/>
      <c r="E954" s="107"/>
      <c r="F954" s="122"/>
      <c r="G954" s="22"/>
      <c r="H954" s="123"/>
      <c r="I954" s="126"/>
      <c r="J954" s="130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>
      <c r="A955" s="107"/>
      <c r="B955" s="131"/>
      <c r="C955" s="120"/>
      <c r="D955" s="125"/>
      <c r="E955" s="107"/>
      <c r="F955" s="122"/>
      <c r="G955" s="22"/>
      <c r="H955" s="123"/>
      <c r="I955" s="126"/>
      <c r="J955" s="130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>
      <c r="A956" s="107"/>
      <c r="B956" s="131"/>
      <c r="C956" s="120"/>
      <c r="D956" s="125"/>
      <c r="E956" s="107"/>
      <c r="F956" s="122"/>
      <c r="G956" s="22"/>
      <c r="H956" s="123"/>
      <c r="I956" s="126"/>
      <c r="J956" s="130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>
      <c r="A957" s="107"/>
      <c r="B957" s="131"/>
      <c r="C957" s="120"/>
      <c r="D957" s="125"/>
      <c r="E957" s="107"/>
      <c r="F957" s="122"/>
      <c r="G957" s="22"/>
      <c r="H957" s="123"/>
      <c r="I957" s="126"/>
      <c r="J957" s="130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>
      <c r="A958" s="107"/>
      <c r="B958" s="131"/>
      <c r="C958" s="120"/>
      <c r="D958" s="125"/>
      <c r="E958" s="107"/>
      <c r="F958" s="122"/>
      <c r="G958" s="22"/>
      <c r="H958" s="123"/>
      <c r="I958" s="126"/>
      <c r="J958" s="130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>
      <c r="A959" s="107"/>
      <c r="B959" s="131"/>
      <c r="C959" s="120"/>
      <c r="D959" s="125"/>
      <c r="E959" s="107"/>
      <c r="F959" s="122"/>
      <c r="G959" s="22"/>
      <c r="H959" s="123"/>
      <c r="I959" s="126"/>
      <c r="J959" s="130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>
      <c r="A960" s="107"/>
      <c r="B960" s="131"/>
      <c r="C960" s="120"/>
      <c r="D960" s="125"/>
      <c r="E960" s="107"/>
      <c r="F960" s="122"/>
      <c r="G960" s="22"/>
      <c r="H960" s="123"/>
      <c r="I960" s="126"/>
      <c r="J960" s="130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>
      <c r="A961" s="107"/>
      <c r="B961" s="131"/>
      <c r="C961" s="120"/>
      <c r="D961" s="125"/>
      <c r="E961" s="107"/>
      <c r="F961" s="122"/>
      <c r="G961" s="22"/>
      <c r="H961" s="123"/>
      <c r="I961" s="126"/>
      <c r="J961" s="130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>
      <c r="A962" s="107"/>
      <c r="B962" s="131"/>
      <c r="C962" s="120"/>
      <c r="D962" s="125"/>
      <c r="E962" s="107"/>
      <c r="F962" s="122"/>
      <c r="G962" s="22"/>
      <c r="H962" s="123"/>
      <c r="I962" s="126"/>
      <c r="J962" s="130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>
      <c r="A963" s="107"/>
      <c r="B963" s="131"/>
      <c r="C963" s="120"/>
      <c r="D963" s="125"/>
      <c r="E963" s="107"/>
      <c r="F963" s="122"/>
      <c r="G963" s="22"/>
      <c r="H963" s="123"/>
      <c r="I963" s="126"/>
      <c r="J963" s="130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>
      <c r="A964" s="107"/>
      <c r="B964" s="131"/>
      <c r="C964" s="120"/>
      <c r="D964" s="125"/>
      <c r="E964" s="107"/>
      <c r="F964" s="122"/>
      <c r="G964" s="22"/>
      <c r="H964" s="123"/>
      <c r="I964" s="126"/>
      <c r="J964" s="130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>
      <c r="A965" s="107"/>
      <c r="B965" s="131"/>
      <c r="C965" s="120"/>
      <c r="D965" s="125"/>
      <c r="E965" s="107"/>
      <c r="F965" s="122"/>
      <c r="G965" s="22"/>
      <c r="H965" s="123"/>
      <c r="I965" s="126"/>
      <c r="J965" s="130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>
      <c r="A966" s="107"/>
      <c r="B966" s="131"/>
      <c r="C966" s="120"/>
      <c r="D966" s="125"/>
      <c r="E966" s="107"/>
      <c r="F966" s="122"/>
      <c r="G966" s="22"/>
      <c r="H966" s="123"/>
      <c r="I966" s="126"/>
      <c r="J966" s="130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>
      <c r="A967" s="107"/>
      <c r="B967" s="131"/>
      <c r="C967" s="120"/>
      <c r="D967" s="125"/>
      <c r="E967" s="107"/>
      <c r="F967" s="122"/>
      <c r="G967" s="22"/>
      <c r="H967" s="123"/>
      <c r="I967" s="126"/>
      <c r="J967" s="130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>
      <c r="A968" s="107"/>
      <c r="B968" s="131"/>
      <c r="C968" s="120"/>
      <c r="D968" s="125"/>
      <c r="E968" s="107"/>
      <c r="F968" s="122"/>
      <c r="G968" s="22"/>
      <c r="H968" s="123"/>
      <c r="I968" s="126"/>
      <c r="J968" s="130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>
      <c r="A969" s="107"/>
      <c r="B969" s="131"/>
      <c r="C969" s="120"/>
      <c r="D969" s="125"/>
      <c r="E969" s="107"/>
      <c r="F969" s="122"/>
      <c r="G969" s="22"/>
      <c r="H969" s="123"/>
      <c r="I969" s="126"/>
      <c r="J969" s="130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>
      <c r="A970" s="107"/>
      <c r="B970" s="131"/>
      <c r="C970" s="120"/>
      <c r="D970" s="125"/>
      <c r="E970" s="107"/>
      <c r="F970" s="122"/>
      <c r="G970" s="22"/>
      <c r="H970" s="123"/>
      <c r="I970" s="126"/>
      <c r="J970" s="130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>
      <c r="A971" s="107"/>
      <c r="B971" s="131"/>
      <c r="C971" s="120"/>
      <c r="D971" s="125"/>
      <c r="E971" s="107"/>
      <c r="F971" s="122"/>
      <c r="G971" s="22"/>
      <c r="H971" s="123"/>
      <c r="I971" s="126"/>
      <c r="J971" s="130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>
      <c r="A972" s="107"/>
      <c r="B972" s="131"/>
      <c r="C972" s="120"/>
      <c r="D972" s="125"/>
      <c r="E972" s="107"/>
      <c r="F972" s="122"/>
      <c r="G972" s="22"/>
      <c r="H972" s="123"/>
      <c r="I972" s="126"/>
      <c r="J972" s="130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>
      <c r="A973" s="107"/>
      <c r="B973" s="131"/>
      <c r="C973" s="120"/>
      <c r="D973" s="125"/>
      <c r="E973" s="107"/>
      <c r="F973" s="122"/>
      <c r="G973" s="22"/>
      <c r="H973" s="123"/>
      <c r="I973" s="126"/>
      <c r="J973" s="130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>
      <c r="A974" s="107"/>
      <c r="B974" s="131"/>
      <c r="C974" s="120"/>
      <c r="D974" s="125"/>
      <c r="E974" s="107"/>
      <c r="F974" s="122"/>
      <c r="G974" s="22"/>
      <c r="H974" s="123"/>
      <c r="I974" s="126"/>
      <c r="J974" s="130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>
      <c r="A975" s="107"/>
      <c r="B975" s="131"/>
      <c r="C975" s="120"/>
      <c r="D975" s="125"/>
      <c r="E975" s="107"/>
      <c r="F975" s="122"/>
      <c r="G975" s="22"/>
      <c r="H975" s="123"/>
      <c r="I975" s="126"/>
      <c r="J975" s="130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>
      <c r="A976" s="107"/>
      <c r="B976" s="131"/>
      <c r="C976" s="120"/>
      <c r="D976" s="125"/>
      <c r="E976" s="107"/>
      <c r="F976" s="122"/>
      <c r="G976" s="22"/>
      <c r="H976" s="123"/>
      <c r="I976" s="126"/>
      <c r="J976" s="130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>
      <c r="A977" s="107"/>
      <c r="B977" s="131"/>
      <c r="C977" s="120"/>
      <c r="D977" s="125"/>
      <c r="E977" s="107"/>
      <c r="F977" s="122"/>
      <c r="G977" s="22"/>
      <c r="H977" s="123"/>
      <c r="I977" s="126"/>
      <c r="J977" s="130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>
      <c r="A978" s="107"/>
      <c r="B978" s="131"/>
      <c r="C978" s="120"/>
      <c r="D978" s="125"/>
      <c r="E978" s="107"/>
      <c r="F978" s="122"/>
      <c r="G978" s="22"/>
      <c r="H978" s="123"/>
      <c r="I978" s="126"/>
      <c r="J978" s="130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>
      <c r="A979" s="107"/>
      <c r="B979" s="131"/>
      <c r="C979" s="120"/>
      <c r="D979" s="125"/>
      <c r="E979" s="107"/>
      <c r="F979" s="122"/>
      <c r="G979" s="22"/>
      <c r="H979" s="123"/>
      <c r="I979" s="126"/>
      <c r="J979" s="130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>
      <c r="A980" s="107"/>
      <c r="B980" s="131"/>
      <c r="C980" s="120"/>
      <c r="D980" s="125"/>
      <c r="E980" s="107"/>
      <c r="F980" s="122"/>
      <c r="G980" s="22"/>
      <c r="H980" s="123"/>
      <c r="I980" s="126"/>
      <c r="J980" s="130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>
      <c r="A981" s="107"/>
      <c r="B981" s="131"/>
      <c r="C981" s="120"/>
      <c r="D981" s="125"/>
      <c r="E981" s="107"/>
      <c r="F981" s="122"/>
      <c r="G981" s="22"/>
      <c r="H981" s="123"/>
      <c r="I981" s="126"/>
      <c r="J981" s="130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>
      <c r="A982" s="107"/>
      <c r="B982" s="131"/>
      <c r="C982" s="120"/>
      <c r="D982" s="125"/>
      <c r="E982" s="107"/>
      <c r="F982" s="122"/>
      <c r="G982" s="22"/>
      <c r="H982" s="123"/>
      <c r="I982" s="126"/>
      <c r="J982" s="130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>
      <c r="A983" s="107"/>
      <c r="B983" s="131"/>
      <c r="C983" s="120"/>
      <c r="D983" s="125"/>
      <c r="E983" s="107"/>
      <c r="F983" s="122"/>
      <c r="G983" s="22"/>
      <c r="H983" s="123"/>
      <c r="I983" s="126"/>
      <c r="J983" s="130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>
      <c r="A984" s="107"/>
      <c r="B984" s="131"/>
      <c r="C984" s="120"/>
      <c r="D984" s="125"/>
      <c r="E984" s="107"/>
      <c r="F984" s="122"/>
      <c r="G984" s="22"/>
      <c r="H984" s="123"/>
      <c r="I984" s="126"/>
      <c r="J984" s="130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>
      <c r="A985" s="107"/>
      <c r="B985" s="131"/>
      <c r="C985" s="120"/>
      <c r="D985" s="125"/>
      <c r="E985" s="107"/>
      <c r="F985" s="122"/>
      <c r="G985" s="22"/>
      <c r="H985" s="123"/>
      <c r="I985" s="126"/>
      <c r="J985" s="130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>
      <c r="A986" s="107"/>
      <c r="B986" s="131"/>
      <c r="C986" s="120"/>
      <c r="D986" s="125"/>
      <c r="E986" s="107"/>
      <c r="F986" s="122"/>
      <c r="G986" s="22"/>
      <c r="H986" s="123"/>
      <c r="I986" s="126"/>
      <c r="J986" s="130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>
      <c r="A987" s="107"/>
      <c r="B987" s="131"/>
      <c r="C987" s="120"/>
      <c r="D987" s="125"/>
      <c r="E987" s="107"/>
      <c r="F987" s="122"/>
      <c r="G987" s="22"/>
      <c r="H987" s="123"/>
      <c r="I987" s="126"/>
      <c r="J987" s="130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>
      <c r="A988" s="107"/>
      <c r="B988" s="131"/>
      <c r="C988" s="120"/>
      <c r="D988" s="125"/>
      <c r="E988" s="107"/>
      <c r="F988" s="122"/>
      <c r="G988" s="22"/>
      <c r="H988" s="123"/>
      <c r="I988" s="126"/>
      <c r="J988" s="130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>
      <c r="A989" s="107"/>
      <c r="B989" s="131"/>
      <c r="C989" s="120"/>
      <c r="D989" s="125"/>
      <c r="E989" s="107"/>
      <c r="F989" s="122"/>
      <c r="G989" s="22"/>
      <c r="H989" s="123"/>
      <c r="I989" s="126"/>
      <c r="J989" s="130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>
      <c r="A990" s="107"/>
      <c r="B990" s="131"/>
      <c r="C990" s="120"/>
      <c r="D990" s="125"/>
      <c r="E990" s="107"/>
      <c r="F990" s="122"/>
      <c r="G990" s="22"/>
      <c r="H990" s="123"/>
      <c r="I990" s="126"/>
      <c r="J990" s="130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>
      <c r="A991" s="107"/>
      <c r="B991" s="131"/>
      <c r="C991" s="120"/>
      <c r="D991" s="125"/>
      <c r="E991" s="107"/>
      <c r="F991" s="122"/>
      <c r="G991" s="22"/>
      <c r="H991" s="123"/>
      <c r="I991" s="126"/>
      <c r="J991" s="130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>
      <c r="A992" s="107"/>
      <c r="B992" s="131"/>
      <c r="C992" s="120"/>
      <c r="D992" s="125"/>
      <c r="E992" s="107"/>
      <c r="F992" s="122"/>
      <c r="G992" s="22"/>
      <c r="H992" s="123"/>
      <c r="I992" s="126"/>
      <c r="J992" s="130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>
      <c r="A993" s="107"/>
      <c r="B993" s="131"/>
      <c r="C993" s="120"/>
      <c r="D993" s="125"/>
      <c r="E993" s="107"/>
      <c r="F993" s="122"/>
      <c r="G993" s="22"/>
      <c r="H993" s="123"/>
      <c r="I993" s="126"/>
      <c r="J993" s="130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>
      <c r="A994" s="107"/>
      <c r="B994" s="131"/>
      <c r="C994" s="120"/>
      <c r="D994" s="125"/>
      <c r="E994" s="107"/>
      <c r="F994" s="122"/>
      <c r="G994" s="22"/>
      <c r="H994" s="123"/>
      <c r="I994" s="126"/>
      <c r="J994" s="130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>
      <c r="A995" s="107"/>
      <c r="B995" s="131"/>
      <c r="C995" s="120"/>
      <c r="D995" s="125"/>
      <c r="E995" s="107"/>
      <c r="F995" s="122"/>
      <c r="G995" s="22"/>
      <c r="H995" s="123"/>
      <c r="I995" s="126"/>
      <c r="J995" s="130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>
      <c r="A996" s="107"/>
      <c r="B996" s="131"/>
      <c r="C996" s="120"/>
      <c r="D996" s="125"/>
      <c r="E996" s="107"/>
      <c r="F996" s="122"/>
      <c r="G996" s="22"/>
      <c r="H996" s="123"/>
      <c r="I996" s="126"/>
      <c r="J996" s="130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>
      <c r="A997" s="107"/>
      <c r="B997" s="131"/>
      <c r="C997" s="120"/>
      <c r="D997" s="125"/>
      <c r="E997" s="107"/>
      <c r="F997" s="122"/>
      <c r="G997" s="22"/>
      <c r="H997" s="123"/>
      <c r="I997" s="126"/>
      <c r="J997" s="130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>
      <c r="A998" s="107"/>
      <c r="B998" s="131"/>
      <c r="C998" s="120"/>
      <c r="D998" s="125"/>
      <c r="E998" s="107"/>
      <c r="F998" s="122"/>
      <c r="G998" s="22"/>
      <c r="H998" s="123"/>
      <c r="I998" s="126"/>
      <c r="J998" s="130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>
      <c r="A999" s="107"/>
      <c r="B999" s="131"/>
      <c r="C999" s="120"/>
      <c r="D999" s="125"/>
      <c r="E999" s="107"/>
      <c r="F999" s="122"/>
      <c r="G999" s="22"/>
      <c r="H999" s="123"/>
      <c r="I999" s="126"/>
      <c r="J999" s="130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>
      <c r="A1000" s="107"/>
      <c r="B1000" s="131"/>
      <c r="C1000" s="120"/>
      <c r="D1000" s="125"/>
      <c r="E1000" s="107"/>
      <c r="F1000" s="122"/>
      <c r="G1000" s="22"/>
      <c r="H1000" s="123"/>
      <c r="I1000" s="126"/>
      <c r="J1000" s="130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  <row r="1001">
      <c r="A1001" s="107"/>
      <c r="B1001" s="131"/>
      <c r="C1001" s="120"/>
      <c r="D1001" s="125"/>
      <c r="E1001" s="107"/>
      <c r="F1001" s="122"/>
      <c r="G1001" s="22"/>
      <c r="H1001" s="123"/>
      <c r="I1001" s="126"/>
      <c r="J1001" s="130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</row>
    <row r="1002">
      <c r="A1002" s="107"/>
      <c r="B1002" s="131"/>
      <c r="C1002" s="120"/>
      <c r="D1002" s="125"/>
      <c r="E1002" s="107"/>
      <c r="F1002" s="122"/>
      <c r="G1002" s="22"/>
      <c r="H1002" s="123"/>
      <c r="I1002" s="126"/>
      <c r="J1002" s="130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</row>
    <row r="1003">
      <c r="A1003" s="107"/>
      <c r="B1003" s="131"/>
      <c r="C1003" s="120"/>
      <c r="D1003" s="125"/>
      <c r="E1003" s="107"/>
      <c r="F1003" s="122"/>
      <c r="G1003" s="22"/>
      <c r="H1003" s="123"/>
      <c r="I1003" s="126"/>
      <c r="J1003" s="130"/>
      <c r="K1003" s="28"/>
      <c r="L1003" s="28"/>
      <c r="M1003" s="28"/>
      <c r="N1003" s="28"/>
      <c r="O1003" s="28"/>
      <c r="P1003" s="28"/>
      <c r="Q1003" s="28"/>
      <c r="R1003" s="28"/>
      <c r="S1003" s="28"/>
      <c r="T1003" s="28"/>
      <c r="U1003" s="28"/>
      <c r="V1003" s="28"/>
      <c r="W1003" s="28"/>
      <c r="X1003" s="28"/>
      <c r="Y1003" s="28"/>
      <c r="Z1003" s="28"/>
    </row>
    <row r="1004">
      <c r="A1004" s="107"/>
      <c r="B1004" s="131"/>
      <c r="C1004" s="120"/>
      <c r="D1004" s="125"/>
      <c r="E1004" s="107"/>
      <c r="F1004" s="122"/>
      <c r="G1004" s="22"/>
      <c r="H1004" s="123"/>
      <c r="I1004" s="126"/>
      <c r="J1004" s="130"/>
      <c r="K1004" s="28"/>
      <c r="L1004" s="28"/>
      <c r="M1004" s="28"/>
      <c r="N1004" s="28"/>
      <c r="O1004" s="28"/>
      <c r="P1004" s="28"/>
      <c r="Q1004" s="28"/>
      <c r="R1004" s="28"/>
      <c r="S1004" s="28"/>
      <c r="T1004" s="28"/>
      <c r="U1004" s="28"/>
      <c r="V1004" s="28"/>
      <c r="W1004" s="28"/>
      <c r="X1004" s="28"/>
      <c r="Y1004" s="28"/>
      <c r="Z1004" s="28"/>
    </row>
    <row r="1005">
      <c r="A1005" s="107"/>
      <c r="B1005" s="131"/>
      <c r="C1005" s="120"/>
      <c r="D1005" s="125"/>
      <c r="E1005" s="107"/>
      <c r="F1005" s="122"/>
      <c r="G1005" s="22"/>
      <c r="H1005" s="123"/>
      <c r="I1005" s="126"/>
      <c r="J1005" s="130"/>
      <c r="K1005" s="28"/>
      <c r="L1005" s="28"/>
      <c r="M1005" s="28"/>
      <c r="N1005" s="28"/>
      <c r="O1005" s="28"/>
      <c r="P1005" s="28"/>
      <c r="Q1005" s="28"/>
      <c r="R1005" s="28"/>
      <c r="S1005" s="28"/>
      <c r="T1005" s="28"/>
      <c r="U1005" s="28"/>
      <c r="V1005" s="28"/>
      <c r="W1005" s="28"/>
      <c r="X1005" s="28"/>
      <c r="Y1005" s="28"/>
      <c r="Z1005" s="28"/>
    </row>
    <row r="1006">
      <c r="A1006" s="107"/>
      <c r="B1006" s="131"/>
      <c r="C1006" s="120"/>
      <c r="D1006" s="125"/>
      <c r="E1006" s="107"/>
      <c r="F1006" s="122"/>
      <c r="G1006" s="22"/>
      <c r="H1006" s="123"/>
      <c r="I1006" s="126"/>
      <c r="J1006" s="130"/>
      <c r="K1006" s="28"/>
      <c r="L1006" s="28"/>
      <c r="M1006" s="28"/>
      <c r="N1006" s="28"/>
      <c r="O1006" s="28"/>
      <c r="P1006" s="28"/>
      <c r="Q1006" s="28"/>
      <c r="R1006" s="28"/>
      <c r="S1006" s="28"/>
      <c r="T1006" s="28"/>
      <c r="U1006" s="28"/>
      <c r="V1006" s="28"/>
      <c r="W1006" s="28"/>
      <c r="X1006" s="28"/>
      <c r="Y1006" s="28"/>
      <c r="Z1006" s="28"/>
    </row>
    <row r="1007">
      <c r="A1007" s="107"/>
      <c r="B1007" s="131"/>
      <c r="C1007" s="120"/>
      <c r="D1007" s="125"/>
      <c r="E1007" s="107"/>
      <c r="F1007" s="122"/>
      <c r="G1007" s="22"/>
      <c r="H1007" s="123"/>
      <c r="I1007" s="126"/>
      <c r="J1007" s="130"/>
      <c r="K1007" s="28"/>
      <c r="L1007" s="28"/>
      <c r="M1007" s="28"/>
      <c r="N1007" s="28"/>
      <c r="O1007" s="28"/>
      <c r="P1007" s="28"/>
      <c r="Q1007" s="28"/>
      <c r="R1007" s="28"/>
      <c r="S1007" s="28"/>
      <c r="T1007" s="28"/>
      <c r="U1007" s="28"/>
      <c r="V1007" s="28"/>
      <c r="W1007" s="28"/>
      <c r="X1007" s="28"/>
      <c r="Y1007" s="28"/>
      <c r="Z1007" s="28"/>
    </row>
    <row r="1008">
      <c r="A1008" s="107"/>
      <c r="B1008" s="131"/>
      <c r="C1008" s="120"/>
      <c r="D1008" s="125"/>
      <c r="E1008" s="107"/>
      <c r="F1008" s="122"/>
      <c r="G1008" s="22"/>
      <c r="H1008" s="123"/>
      <c r="I1008" s="126"/>
      <c r="J1008" s="130"/>
      <c r="K1008" s="28"/>
      <c r="L1008" s="28"/>
      <c r="M1008" s="28"/>
      <c r="N1008" s="28"/>
      <c r="O1008" s="28"/>
      <c r="P1008" s="28"/>
      <c r="Q1008" s="28"/>
      <c r="R1008" s="28"/>
      <c r="S1008" s="28"/>
      <c r="T1008" s="28"/>
      <c r="U1008" s="28"/>
      <c r="V1008" s="28"/>
      <c r="W1008" s="28"/>
      <c r="X1008" s="28"/>
      <c r="Y1008" s="28"/>
      <c r="Z1008" s="28"/>
    </row>
    <row r="1009">
      <c r="A1009" s="107"/>
      <c r="B1009" s="131"/>
      <c r="C1009" s="120"/>
      <c r="D1009" s="125"/>
      <c r="E1009" s="107"/>
      <c r="F1009" s="122"/>
      <c r="G1009" s="22"/>
      <c r="H1009" s="123"/>
      <c r="I1009" s="126"/>
      <c r="J1009" s="130"/>
      <c r="K1009" s="28"/>
      <c r="L1009" s="28"/>
      <c r="M1009" s="28"/>
      <c r="N1009" s="28"/>
      <c r="O1009" s="28"/>
      <c r="P1009" s="28"/>
      <c r="Q1009" s="28"/>
      <c r="R1009" s="28"/>
      <c r="S1009" s="28"/>
      <c r="T1009" s="28"/>
      <c r="U1009" s="28"/>
      <c r="V1009" s="28"/>
      <c r="W1009" s="28"/>
      <c r="X1009" s="28"/>
      <c r="Y1009" s="28"/>
      <c r="Z1009" s="28"/>
    </row>
    <row r="1010">
      <c r="A1010" s="107"/>
      <c r="B1010" s="131"/>
      <c r="C1010" s="120"/>
      <c r="D1010" s="125"/>
      <c r="E1010" s="107"/>
      <c r="F1010" s="122"/>
      <c r="G1010" s="22"/>
      <c r="H1010" s="123"/>
      <c r="I1010" s="126"/>
      <c r="J1010" s="130"/>
      <c r="K1010" s="28"/>
      <c r="L1010" s="28"/>
      <c r="M1010" s="28"/>
      <c r="N1010" s="28"/>
      <c r="O1010" s="28"/>
      <c r="P1010" s="28"/>
      <c r="Q1010" s="28"/>
      <c r="R1010" s="28"/>
      <c r="S1010" s="28"/>
      <c r="T1010" s="28"/>
      <c r="U1010" s="28"/>
      <c r="V1010" s="28"/>
      <c r="W1010" s="28"/>
      <c r="X1010" s="28"/>
      <c r="Y1010" s="28"/>
      <c r="Z1010" s="28"/>
    </row>
    <row r="1011">
      <c r="A1011" s="107"/>
      <c r="B1011" s="131"/>
      <c r="C1011" s="120"/>
      <c r="D1011" s="125"/>
      <c r="E1011" s="107"/>
      <c r="F1011" s="122"/>
      <c r="G1011" s="22"/>
      <c r="H1011" s="123"/>
      <c r="I1011" s="126"/>
      <c r="J1011" s="130"/>
      <c r="K1011" s="28"/>
      <c r="L1011" s="28"/>
      <c r="M1011" s="28"/>
      <c r="N1011" s="28"/>
      <c r="O1011" s="28"/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28"/>
    </row>
    <row r="1012">
      <c r="A1012" s="107"/>
      <c r="B1012" s="131"/>
      <c r="C1012" s="120"/>
      <c r="D1012" s="125"/>
      <c r="E1012" s="107"/>
      <c r="F1012" s="122"/>
      <c r="G1012" s="22"/>
      <c r="H1012" s="123"/>
      <c r="I1012" s="126"/>
      <c r="J1012" s="130"/>
      <c r="K1012" s="28"/>
      <c r="L1012" s="28"/>
      <c r="M1012" s="28"/>
      <c r="N1012" s="28"/>
      <c r="O1012" s="28"/>
      <c r="P1012" s="28"/>
      <c r="Q1012" s="28"/>
      <c r="R1012" s="28"/>
      <c r="S1012" s="28"/>
      <c r="T1012" s="28"/>
      <c r="U1012" s="28"/>
      <c r="V1012" s="28"/>
      <c r="W1012" s="28"/>
      <c r="X1012" s="28"/>
      <c r="Y1012" s="28"/>
      <c r="Z1012" s="28"/>
    </row>
    <row r="1013">
      <c r="A1013" s="107"/>
      <c r="B1013" s="131"/>
      <c r="C1013" s="120"/>
      <c r="D1013" s="125"/>
      <c r="E1013" s="107"/>
      <c r="F1013" s="122"/>
      <c r="G1013" s="22"/>
      <c r="H1013" s="123"/>
      <c r="I1013" s="126"/>
      <c r="J1013" s="130"/>
      <c r="K1013" s="28"/>
      <c r="L1013" s="28"/>
      <c r="M1013" s="28"/>
      <c r="N1013" s="28"/>
      <c r="O1013" s="28"/>
      <c r="P1013" s="28"/>
      <c r="Q1013" s="28"/>
      <c r="R1013" s="28"/>
      <c r="S1013" s="28"/>
      <c r="T1013" s="28"/>
      <c r="U1013" s="28"/>
      <c r="V1013" s="28"/>
      <c r="W1013" s="28"/>
      <c r="X1013" s="28"/>
      <c r="Y1013" s="28"/>
      <c r="Z1013" s="28"/>
    </row>
    <row r="1014">
      <c r="A1014" s="107"/>
      <c r="B1014" s="131"/>
      <c r="C1014" s="120"/>
      <c r="D1014" s="125"/>
      <c r="E1014" s="107"/>
      <c r="F1014" s="122"/>
      <c r="G1014" s="22"/>
      <c r="H1014" s="123"/>
      <c r="I1014" s="126"/>
      <c r="J1014" s="130"/>
      <c r="K1014" s="28"/>
      <c r="L1014" s="28"/>
      <c r="M1014" s="28"/>
      <c r="N1014" s="28"/>
      <c r="O1014" s="28"/>
      <c r="P1014" s="28"/>
      <c r="Q1014" s="28"/>
      <c r="R1014" s="28"/>
      <c r="S1014" s="28"/>
      <c r="T1014" s="28"/>
      <c r="U1014" s="28"/>
      <c r="V1014" s="28"/>
      <c r="W1014" s="28"/>
      <c r="X1014" s="28"/>
      <c r="Y1014" s="28"/>
      <c r="Z1014" s="28"/>
    </row>
    <row r="1015">
      <c r="A1015" s="107"/>
      <c r="B1015" s="131"/>
      <c r="C1015" s="120"/>
      <c r="D1015" s="125"/>
      <c r="E1015" s="107"/>
      <c r="F1015" s="122"/>
      <c r="G1015" s="22"/>
      <c r="H1015" s="123"/>
      <c r="I1015" s="126"/>
      <c r="J1015" s="130"/>
      <c r="K1015" s="28"/>
      <c r="L1015" s="28"/>
      <c r="M1015" s="28"/>
      <c r="N1015" s="28"/>
      <c r="O1015" s="28"/>
      <c r="P1015" s="28"/>
      <c r="Q1015" s="28"/>
      <c r="R1015" s="28"/>
      <c r="S1015" s="28"/>
      <c r="T1015" s="28"/>
      <c r="U1015" s="28"/>
      <c r="V1015" s="28"/>
      <c r="W1015" s="28"/>
      <c r="X1015" s="28"/>
      <c r="Y1015" s="28"/>
      <c r="Z1015" s="28"/>
    </row>
    <row r="1016">
      <c r="A1016" s="107"/>
      <c r="B1016" s="131"/>
      <c r="C1016" s="120"/>
      <c r="D1016" s="125"/>
      <c r="E1016" s="107"/>
      <c r="F1016" s="122"/>
      <c r="G1016" s="22"/>
      <c r="H1016" s="123"/>
      <c r="I1016" s="126"/>
      <c r="J1016" s="130"/>
      <c r="K1016" s="28"/>
      <c r="L1016" s="28"/>
      <c r="M1016" s="28"/>
      <c r="N1016" s="28"/>
      <c r="O1016" s="28"/>
      <c r="P1016" s="28"/>
      <c r="Q1016" s="28"/>
      <c r="R1016" s="28"/>
      <c r="S1016" s="28"/>
      <c r="T1016" s="28"/>
      <c r="U1016" s="28"/>
      <c r="V1016" s="28"/>
      <c r="W1016" s="28"/>
      <c r="X1016" s="28"/>
      <c r="Y1016" s="28"/>
      <c r="Z1016" s="28"/>
    </row>
    <row r="1017">
      <c r="A1017" s="107"/>
      <c r="B1017" s="131"/>
      <c r="C1017" s="120"/>
      <c r="D1017" s="125"/>
      <c r="E1017" s="107"/>
      <c r="F1017" s="122"/>
      <c r="G1017" s="22"/>
      <c r="H1017" s="123"/>
      <c r="I1017" s="126"/>
      <c r="J1017" s="130"/>
      <c r="K1017" s="28"/>
      <c r="L1017" s="28"/>
      <c r="M1017" s="28"/>
      <c r="N1017" s="28"/>
      <c r="O1017" s="28"/>
      <c r="P1017" s="28"/>
      <c r="Q1017" s="28"/>
      <c r="R1017" s="28"/>
      <c r="S1017" s="28"/>
      <c r="T1017" s="28"/>
      <c r="U1017" s="28"/>
      <c r="V1017" s="28"/>
      <c r="W1017" s="28"/>
      <c r="X1017" s="28"/>
      <c r="Y1017" s="28"/>
      <c r="Z1017" s="28"/>
    </row>
    <row r="1018">
      <c r="A1018" s="107"/>
      <c r="B1018" s="131"/>
      <c r="C1018" s="120"/>
      <c r="D1018" s="125"/>
      <c r="E1018" s="107"/>
      <c r="F1018" s="122"/>
      <c r="G1018" s="22"/>
      <c r="H1018" s="123"/>
      <c r="I1018" s="126"/>
      <c r="J1018" s="130"/>
      <c r="K1018" s="28"/>
      <c r="L1018" s="28"/>
      <c r="M1018" s="28"/>
      <c r="N1018" s="28"/>
      <c r="O1018" s="28"/>
      <c r="P1018" s="28"/>
      <c r="Q1018" s="28"/>
      <c r="R1018" s="28"/>
      <c r="S1018" s="28"/>
      <c r="T1018" s="28"/>
      <c r="U1018" s="28"/>
      <c r="V1018" s="28"/>
      <c r="W1018" s="28"/>
      <c r="X1018" s="28"/>
      <c r="Y1018" s="28"/>
      <c r="Z1018" s="28"/>
    </row>
    <row r="1019">
      <c r="A1019" s="107"/>
      <c r="B1019" s="131"/>
      <c r="C1019" s="120"/>
      <c r="D1019" s="125"/>
      <c r="E1019" s="107"/>
      <c r="F1019" s="122"/>
      <c r="G1019" s="22"/>
      <c r="H1019" s="123"/>
      <c r="I1019" s="126"/>
      <c r="J1019" s="130"/>
      <c r="K1019" s="28"/>
      <c r="L1019" s="28"/>
      <c r="M1019" s="28"/>
      <c r="N1019" s="28"/>
      <c r="O1019" s="28"/>
      <c r="P1019" s="28"/>
      <c r="Q1019" s="28"/>
      <c r="R1019" s="28"/>
      <c r="S1019" s="28"/>
      <c r="T1019" s="28"/>
      <c r="U1019" s="28"/>
      <c r="V1019" s="28"/>
      <c r="W1019" s="28"/>
      <c r="X1019" s="28"/>
      <c r="Y1019" s="28"/>
      <c r="Z1019" s="28"/>
    </row>
    <row r="1020">
      <c r="A1020" s="107"/>
      <c r="B1020" s="131"/>
      <c r="C1020" s="120"/>
      <c r="D1020" s="125"/>
      <c r="E1020" s="107"/>
      <c r="F1020" s="122"/>
      <c r="G1020" s="22"/>
      <c r="H1020" s="123"/>
      <c r="I1020" s="126"/>
      <c r="J1020" s="130"/>
      <c r="K1020" s="28"/>
      <c r="L1020" s="28"/>
      <c r="M1020" s="28"/>
      <c r="N1020" s="28"/>
      <c r="O1020" s="28"/>
      <c r="P1020" s="28"/>
      <c r="Q1020" s="28"/>
      <c r="R1020" s="28"/>
      <c r="S1020" s="28"/>
      <c r="T1020" s="28"/>
      <c r="U1020" s="28"/>
      <c r="V1020" s="28"/>
      <c r="W1020" s="28"/>
      <c r="X1020" s="28"/>
      <c r="Y1020" s="28"/>
      <c r="Z1020" s="28"/>
    </row>
    <row r="1021">
      <c r="A1021" s="107"/>
      <c r="B1021" s="131"/>
      <c r="C1021" s="120"/>
      <c r="D1021" s="125"/>
      <c r="E1021" s="107"/>
      <c r="F1021" s="122"/>
      <c r="G1021" s="22"/>
      <c r="H1021" s="123"/>
      <c r="I1021" s="126"/>
      <c r="J1021" s="130"/>
      <c r="K1021" s="28"/>
      <c r="L1021" s="28"/>
      <c r="M1021" s="28"/>
      <c r="N1021" s="28"/>
      <c r="O1021" s="28"/>
      <c r="P1021" s="28"/>
      <c r="Q1021" s="28"/>
      <c r="R1021" s="28"/>
      <c r="S1021" s="28"/>
      <c r="T1021" s="28"/>
      <c r="U1021" s="28"/>
      <c r="V1021" s="28"/>
      <c r="W1021" s="28"/>
      <c r="X1021" s="28"/>
      <c r="Y1021" s="28"/>
      <c r="Z1021" s="28"/>
    </row>
    <row r="1022">
      <c r="A1022" s="107"/>
      <c r="B1022" s="131"/>
      <c r="C1022" s="120"/>
      <c r="D1022" s="125"/>
      <c r="E1022" s="107"/>
      <c r="F1022" s="122"/>
      <c r="G1022" s="22"/>
      <c r="H1022" s="123"/>
      <c r="I1022" s="126"/>
      <c r="J1022" s="130"/>
      <c r="K1022" s="28"/>
      <c r="L1022" s="28"/>
      <c r="M1022" s="28"/>
      <c r="N1022" s="28"/>
      <c r="O1022" s="28"/>
      <c r="P1022" s="28"/>
      <c r="Q1022" s="28"/>
      <c r="R1022" s="28"/>
      <c r="S1022" s="28"/>
      <c r="T1022" s="28"/>
      <c r="U1022" s="28"/>
      <c r="V1022" s="28"/>
      <c r="W1022" s="28"/>
      <c r="X1022" s="28"/>
      <c r="Y1022" s="28"/>
      <c r="Z1022" s="28"/>
    </row>
    <row r="1023">
      <c r="A1023" s="107"/>
      <c r="B1023" s="131"/>
      <c r="C1023" s="120"/>
      <c r="D1023" s="125"/>
      <c r="E1023" s="107"/>
      <c r="F1023" s="122"/>
      <c r="G1023" s="22"/>
      <c r="H1023" s="123"/>
      <c r="I1023" s="126"/>
      <c r="J1023" s="130"/>
      <c r="K1023" s="28"/>
      <c r="L1023" s="28"/>
      <c r="M1023" s="28"/>
      <c r="N1023" s="28"/>
      <c r="O1023" s="28"/>
      <c r="P1023" s="28"/>
      <c r="Q1023" s="28"/>
      <c r="R1023" s="28"/>
      <c r="S1023" s="28"/>
      <c r="T1023" s="28"/>
      <c r="U1023" s="28"/>
      <c r="V1023" s="28"/>
      <c r="W1023" s="28"/>
      <c r="X1023" s="28"/>
      <c r="Y1023" s="28"/>
      <c r="Z1023" s="28"/>
    </row>
    <row r="1024">
      <c r="A1024" s="107"/>
      <c r="B1024" s="131"/>
      <c r="C1024" s="120"/>
      <c r="D1024" s="125"/>
      <c r="E1024" s="107"/>
      <c r="F1024" s="122"/>
      <c r="G1024" s="22"/>
      <c r="H1024" s="123"/>
      <c r="I1024" s="126"/>
      <c r="J1024" s="130"/>
      <c r="K1024" s="28"/>
      <c r="L1024" s="28"/>
      <c r="M1024" s="28"/>
      <c r="N1024" s="28"/>
      <c r="O1024" s="28"/>
      <c r="P1024" s="28"/>
      <c r="Q1024" s="28"/>
      <c r="R1024" s="28"/>
      <c r="S1024" s="28"/>
      <c r="T1024" s="28"/>
      <c r="U1024" s="28"/>
      <c r="V1024" s="28"/>
      <c r="W1024" s="28"/>
      <c r="X1024" s="28"/>
      <c r="Y1024" s="28"/>
      <c r="Z1024" s="28"/>
    </row>
    <row r="1025">
      <c r="A1025" s="107"/>
      <c r="B1025" s="131"/>
      <c r="C1025" s="120"/>
      <c r="D1025" s="125"/>
      <c r="E1025" s="107"/>
      <c r="F1025" s="122"/>
      <c r="G1025" s="22"/>
      <c r="H1025" s="123"/>
      <c r="I1025" s="126"/>
      <c r="J1025" s="130"/>
      <c r="K1025" s="28"/>
      <c r="L1025" s="28"/>
      <c r="M1025" s="28"/>
      <c r="N1025" s="28"/>
      <c r="O1025" s="28"/>
      <c r="P1025" s="28"/>
      <c r="Q1025" s="28"/>
      <c r="R1025" s="28"/>
      <c r="S1025" s="28"/>
      <c r="T1025" s="28"/>
      <c r="U1025" s="28"/>
      <c r="V1025" s="28"/>
      <c r="W1025" s="28"/>
      <c r="X1025" s="28"/>
      <c r="Y1025" s="28"/>
      <c r="Z1025" s="28"/>
    </row>
    <row r="1026">
      <c r="A1026" s="107"/>
      <c r="B1026" s="131"/>
      <c r="C1026" s="120"/>
      <c r="D1026" s="125"/>
      <c r="E1026" s="107"/>
      <c r="F1026" s="122"/>
      <c r="G1026" s="22"/>
      <c r="H1026" s="123"/>
      <c r="I1026" s="126"/>
      <c r="J1026" s="130"/>
      <c r="K1026" s="28"/>
      <c r="L1026" s="28"/>
      <c r="M1026" s="28"/>
      <c r="N1026" s="28"/>
      <c r="O1026" s="28"/>
      <c r="P1026" s="28"/>
      <c r="Q1026" s="28"/>
      <c r="R1026" s="28"/>
      <c r="S1026" s="28"/>
      <c r="T1026" s="28"/>
      <c r="U1026" s="28"/>
      <c r="V1026" s="28"/>
      <c r="W1026" s="28"/>
      <c r="X1026" s="28"/>
      <c r="Y1026" s="28"/>
      <c r="Z1026" s="28"/>
    </row>
    <row r="1027">
      <c r="A1027" s="107"/>
      <c r="B1027" s="131"/>
      <c r="C1027" s="120"/>
      <c r="D1027" s="125"/>
      <c r="E1027" s="107"/>
      <c r="F1027" s="122"/>
      <c r="G1027" s="22"/>
      <c r="H1027" s="123"/>
      <c r="I1027" s="126"/>
      <c r="J1027" s="130"/>
      <c r="K1027" s="28"/>
      <c r="L1027" s="28"/>
      <c r="M1027" s="28"/>
      <c r="N1027" s="28"/>
      <c r="O1027" s="28"/>
      <c r="P1027" s="28"/>
      <c r="Q1027" s="28"/>
      <c r="R1027" s="28"/>
      <c r="S1027" s="28"/>
      <c r="T1027" s="28"/>
      <c r="U1027" s="28"/>
      <c r="V1027" s="28"/>
      <c r="W1027" s="28"/>
      <c r="X1027" s="28"/>
      <c r="Y1027" s="28"/>
      <c r="Z1027" s="28"/>
    </row>
    <row r="1028">
      <c r="A1028" s="107"/>
      <c r="B1028" s="131"/>
      <c r="C1028" s="120"/>
      <c r="D1028" s="125"/>
      <c r="E1028" s="107"/>
      <c r="F1028" s="122"/>
      <c r="G1028" s="22"/>
      <c r="H1028" s="123"/>
      <c r="I1028" s="126"/>
      <c r="J1028" s="130"/>
      <c r="K1028" s="28"/>
      <c r="L1028" s="28"/>
      <c r="M1028" s="28"/>
      <c r="N1028" s="28"/>
      <c r="O1028" s="28"/>
      <c r="P1028" s="28"/>
      <c r="Q1028" s="28"/>
      <c r="R1028" s="28"/>
      <c r="S1028" s="28"/>
      <c r="T1028" s="28"/>
      <c r="U1028" s="28"/>
      <c r="V1028" s="28"/>
      <c r="W1028" s="28"/>
      <c r="X1028" s="28"/>
      <c r="Y1028" s="28"/>
      <c r="Z1028" s="28"/>
    </row>
    <row r="1029">
      <c r="A1029" s="107"/>
      <c r="B1029" s="131"/>
      <c r="C1029" s="120"/>
      <c r="D1029" s="125"/>
      <c r="E1029" s="107"/>
      <c r="F1029" s="122"/>
      <c r="G1029" s="22"/>
      <c r="H1029" s="123"/>
      <c r="I1029" s="126"/>
      <c r="J1029" s="130"/>
      <c r="K1029" s="28"/>
      <c r="L1029" s="28"/>
      <c r="M1029" s="28"/>
      <c r="N1029" s="28"/>
      <c r="O1029" s="28"/>
      <c r="P1029" s="28"/>
      <c r="Q1029" s="28"/>
      <c r="R1029" s="28"/>
      <c r="S1029" s="28"/>
      <c r="T1029" s="28"/>
      <c r="U1029" s="28"/>
      <c r="V1029" s="28"/>
      <c r="W1029" s="28"/>
      <c r="X1029" s="28"/>
      <c r="Y1029" s="28"/>
      <c r="Z1029" s="28"/>
    </row>
    <row r="1030">
      <c r="A1030" s="107"/>
      <c r="B1030" s="131"/>
      <c r="C1030" s="120"/>
      <c r="D1030" s="125"/>
      <c r="E1030" s="107"/>
      <c r="F1030" s="122"/>
      <c r="G1030" s="22"/>
      <c r="H1030" s="123"/>
      <c r="I1030" s="126"/>
      <c r="J1030" s="130"/>
      <c r="K1030" s="28"/>
      <c r="L1030" s="28"/>
      <c r="M1030" s="28"/>
      <c r="N1030" s="28"/>
      <c r="O1030" s="28"/>
      <c r="P1030" s="28"/>
      <c r="Q1030" s="28"/>
      <c r="R1030" s="28"/>
      <c r="S1030" s="28"/>
      <c r="T1030" s="28"/>
      <c r="U1030" s="28"/>
      <c r="V1030" s="28"/>
      <c r="W1030" s="28"/>
      <c r="X1030" s="28"/>
      <c r="Y1030" s="28"/>
      <c r="Z1030" s="28"/>
    </row>
    <row r="1031">
      <c r="A1031" s="107"/>
      <c r="B1031" s="131"/>
      <c r="C1031" s="120"/>
      <c r="D1031" s="125"/>
      <c r="E1031" s="107"/>
      <c r="F1031" s="122"/>
      <c r="G1031" s="22"/>
      <c r="H1031" s="123"/>
      <c r="I1031" s="126"/>
      <c r="J1031" s="130"/>
      <c r="K1031" s="28"/>
      <c r="L1031" s="28"/>
      <c r="M1031" s="28"/>
      <c r="N1031" s="28"/>
      <c r="O1031" s="28"/>
      <c r="P1031" s="28"/>
      <c r="Q1031" s="28"/>
      <c r="R1031" s="28"/>
      <c r="S1031" s="28"/>
      <c r="T1031" s="28"/>
      <c r="U1031" s="28"/>
      <c r="V1031" s="28"/>
      <c r="W1031" s="28"/>
      <c r="X1031" s="28"/>
      <c r="Y1031" s="28"/>
      <c r="Z1031" s="28"/>
    </row>
    <row r="1032">
      <c r="A1032" s="107"/>
      <c r="B1032" s="131"/>
      <c r="C1032" s="120"/>
      <c r="D1032" s="125"/>
      <c r="E1032" s="107"/>
      <c r="F1032" s="122"/>
      <c r="G1032" s="22"/>
      <c r="H1032" s="123"/>
      <c r="I1032" s="126"/>
      <c r="J1032" s="130"/>
      <c r="K1032" s="28"/>
      <c r="L1032" s="28"/>
      <c r="M1032" s="28"/>
      <c r="N1032" s="28"/>
      <c r="O1032" s="28"/>
      <c r="P1032" s="28"/>
      <c r="Q1032" s="28"/>
      <c r="R1032" s="28"/>
      <c r="S1032" s="28"/>
      <c r="T1032" s="28"/>
      <c r="U1032" s="28"/>
      <c r="V1032" s="28"/>
      <c r="W1032" s="28"/>
      <c r="X1032" s="28"/>
      <c r="Y1032" s="28"/>
      <c r="Z1032" s="28"/>
    </row>
    <row r="1033">
      <c r="A1033" s="107"/>
      <c r="B1033" s="131"/>
      <c r="C1033" s="120"/>
      <c r="D1033" s="125"/>
      <c r="E1033" s="107"/>
      <c r="F1033" s="122"/>
      <c r="G1033" s="22"/>
      <c r="H1033" s="123"/>
      <c r="I1033" s="126"/>
      <c r="J1033" s="130"/>
      <c r="K1033" s="28"/>
      <c r="L1033" s="28"/>
      <c r="M1033" s="28"/>
      <c r="N1033" s="28"/>
      <c r="O1033" s="28"/>
      <c r="P1033" s="28"/>
      <c r="Q1033" s="28"/>
      <c r="R1033" s="28"/>
      <c r="S1033" s="28"/>
      <c r="T1033" s="28"/>
      <c r="U1033" s="28"/>
      <c r="V1033" s="28"/>
      <c r="W1033" s="28"/>
      <c r="X1033" s="28"/>
      <c r="Y1033" s="28"/>
      <c r="Z1033" s="28"/>
    </row>
    <row r="1034">
      <c r="A1034" s="107"/>
      <c r="B1034" s="131"/>
      <c r="C1034" s="120"/>
      <c r="D1034" s="125"/>
      <c r="E1034" s="107"/>
      <c r="F1034" s="122"/>
      <c r="G1034" s="22"/>
      <c r="H1034" s="123"/>
      <c r="I1034" s="126"/>
      <c r="J1034" s="130"/>
      <c r="K1034" s="28"/>
      <c r="L1034" s="28"/>
      <c r="M1034" s="28"/>
      <c r="N1034" s="28"/>
      <c r="O1034" s="28"/>
      <c r="P1034" s="28"/>
      <c r="Q1034" s="28"/>
      <c r="R1034" s="28"/>
      <c r="S1034" s="28"/>
      <c r="T1034" s="28"/>
      <c r="U1034" s="28"/>
      <c r="V1034" s="28"/>
      <c r="W1034" s="28"/>
      <c r="X1034" s="28"/>
      <c r="Y1034" s="28"/>
      <c r="Z1034" s="28"/>
    </row>
    <row r="1035">
      <c r="A1035" s="107"/>
      <c r="B1035" s="131"/>
      <c r="C1035" s="120"/>
      <c r="D1035" s="125"/>
      <c r="E1035" s="107"/>
      <c r="F1035" s="122"/>
      <c r="G1035" s="22"/>
      <c r="H1035" s="123"/>
      <c r="I1035" s="126"/>
      <c r="J1035" s="130"/>
      <c r="K1035" s="28"/>
      <c r="L1035" s="28"/>
      <c r="M1035" s="28"/>
      <c r="N1035" s="28"/>
      <c r="O1035" s="28"/>
      <c r="P1035" s="28"/>
      <c r="Q1035" s="28"/>
      <c r="R1035" s="28"/>
      <c r="S1035" s="28"/>
      <c r="T1035" s="28"/>
      <c r="U1035" s="28"/>
      <c r="V1035" s="28"/>
      <c r="W1035" s="28"/>
      <c r="X1035" s="28"/>
      <c r="Y1035" s="28"/>
      <c r="Z1035" s="28"/>
    </row>
    <row r="1036">
      <c r="A1036" s="107"/>
      <c r="B1036" s="131"/>
      <c r="C1036" s="120"/>
      <c r="D1036" s="125"/>
      <c r="E1036" s="107"/>
      <c r="F1036" s="122"/>
      <c r="G1036" s="22"/>
      <c r="H1036" s="123"/>
      <c r="I1036" s="126"/>
      <c r="J1036" s="130"/>
      <c r="K1036" s="28"/>
      <c r="L1036" s="28"/>
      <c r="M1036" s="28"/>
      <c r="N1036" s="28"/>
      <c r="O1036" s="28"/>
      <c r="P1036" s="28"/>
      <c r="Q1036" s="28"/>
      <c r="R1036" s="28"/>
      <c r="S1036" s="28"/>
      <c r="T1036" s="28"/>
      <c r="U1036" s="28"/>
      <c r="V1036" s="28"/>
      <c r="W1036" s="28"/>
      <c r="X1036" s="28"/>
      <c r="Y1036" s="28"/>
      <c r="Z1036" s="28"/>
    </row>
    <row r="1037">
      <c r="A1037" s="107"/>
      <c r="B1037" s="131"/>
      <c r="C1037" s="120"/>
      <c r="D1037" s="125"/>
      <c r="E1037" s="107"/>
      <c r="F1037" s="122"/>
      <c r="G1037" s="22"/>
      <c r="H1037" s="123"/>
      <c r="I1037" s="126"/>
      <c r="J1037" s="130"/>
      <c r="K1037" s="28"/>
      <c r="L1037" s="28"/>
      <c r="M1037" s="28"/>
      <c r="N1037" s="28"/>
      <c r="O1037" s="28"/>
      <c r="P1037" s="28"/>
      <c r="Q1037" s="28"/>
      <c r="R1037" s="28"/>
      <c r="S1037" s="28"/>
      <c r="T1037" s="28"/>
      <c r="U1037" s="28"/>
      <c r="V1037" s="28"/>
      <c r="W1037" s="28"/>
      <c r="X1037" s="28"/>
      <c r="Y1037" s="28"/>
      <c r="Z1037" s="28"/>
    </row>
    <row r="1038">
      <c r="A1038" s="107"/>
      <c r="B1038" s="131"/>
      <c r="C1038" s="120"/>
      <c r="D1038" s="125"/>
      <c r="E1038" s="107"/>
      <c r="F1038" s="122"/>
      <c r="G1038" s="22"/>
      <c r="H1038" s="123"/>
      <c r="I1038" s="126"/>
      <c r="J1038" s="130"/>
      <c r="K1038" s="28"/>
      <c r="L1038" s="28"/>
      <c r="M1038" s="28"/>
      <c r="N1038" s="28"/>
      <c r="O1038" s="28"/>
      <c r="P1038" s="28"/>
      <c r="Q1038" s="28"/>
      <c r="R1038" s="28"/>
      <c r="S1038" s="28"/>
      <c r="T1038" s="28"/>
      <c r="U1038" s="28"/>
      <c r="V1038" s="28"/>
      <c r="W1038" s="28"/>
      <c r="X1038" s="28"/>
      <c r="Y1038" s="28"/>
      <c r="Z1038" s="28"/>
    </row>
    <row r="1039">
      <c r="A1039" s="107"/>
      <c r="B1039" s="131"/>
      <c r="C1039" s="120"/>
      <c r="D1039" s="125"/>
      <c r="E1039" s="107"/>
      <c r="F1039" s="122"/>
      <c r="G1039" s="22"/>
      <c r="H1039" s="123"/>
      <c r="I1039" s="126"/>
      <c r="J1039" s="130"/>
      <c r="K1039" s="28"/>
      <c r="L1039" s="28"/>
      <c r="M1039" s="28"/>
      <c r="N1039" s="28"/>
      <c r="O1039" s="28"/>
      <c r="P1039" s="28"/>
      <c r="Q1039" s="28"/>
      <c r="R1039" s="28"/>
      <c r="S1039" s="28"/>
      <c r="T1039" s="28"/>
      <c r="U1039" s="28"/>
      <c r="V1039" s="28"/>
      <c r="W1039" s="28"/>
      <c r="X1039" s="28"/>
      <c r="Y1039" s="28"/>
      <c r="Z1039" s="28"/>
    </row>
    <row r="1040">
      <c r="A1040" s="107"/>
      <c r="B1040" s="131"/>
      <c r="C1040" s="120"/>
      <c r="D1040" s="125"/>
      <c r="E1040" s="107"/>
      <c r="F1040" s="122"/>
      <c r="G1040" s="22"/>
      <c r="H1040" s="123"/>
      <c r="I1040" s="126"/>
      <c r="J1040" s="130"/>
      <c r="K1040" s="28"/>
      <c r="L1040" s="28"/>
      <c r="M1040" s="28"/>
      <c r="N1040" s="28"/>
      <c r="O1040" s="28"/>
      <c r="P1040" s="28"/>
      <c r="Q1040" s="28"/>
      <c r="R1040" s="28"/>
      <c r="S1040" s="28"/>
      <c r="T1040" s="28"/>
      <c r="U1040" s="28"/>
      <c r="V1040" s="28"/>
      <c r="W1040" s="28"/>
      <c r="X1040" s="28"/>
      <c r="Y1040" s="28"/>
      <c r="Z1040" s="28"/>
    </row>
    <row r="1041">
      <c r="A1041" s="107"/>
      <c r="B1041" s="131"/>
      <c r="C1041" s="120"/>
      <c r="D1041" s="125"/>
      <c r="E1041" s="107"/>
      <c r="F1041" s="122"/>
      <c r="G1041" s="22"/>
      <c r="H1041" s="123"/>
      <c r="I1041" s="126"/>
      <c r="J1041" s="130"/>
      <c r="K1041" s="28"/>
      <c r="L1041" s="28"/>
      <c r="M1041" s="28"/>
      <c r="N1041" s="28"/>
      <c r="O1041" s="28"/>
      <c r="P1041" s="28"/>
      <c r="Q1041" s="28"/>
      <c r="R1041" s="28"/>
      <c r="S1041" s="28"/>
      <c r="T1041" s="28"/>
      <c r="U1041" s="28"/>
      <c r="V1041" s="28"/>
      <c r="W1041" s="28"/>
      <c r="X1041" s="28"/>
      <c r="Y1041" s="28"/>
      <c r="Z1041" s="28"/>
    </row>
    <row r="1042">
      <c r="A1042" s="107"/>
      <c r="B1042" s="131"/>
      <c r="C1042" s="120"/>
      <c r="D1042" s="125"/>
      <c r="E1042" s="107"/>
      <c r="F1042" s="122"/>
      <c r="G1042" s="22"/>
      <c r="H1042" s="123"/>
      <c r="I1042" s="126"/>
      <c r="J1042" s="130"/>
      <c r="K1042" s="28"/>
      <c r="L1042" s="28"/>
      <c r="M1042" s="28"/>
      <c r="N1042" s="28"/>
      <c r="O1042" s="28"/>
      <c r="P1042" s="28"/>
      <c r="Q1042" s="28"/>
      <c r="R1042" s="28"/>
      <c r="S1042" s="28"/>
      <c r="T1042" s="28"/>
      <c r="U1042" s="28"/>
      <c r="V1042" s="28"/>
      <c r="W1042" s="28"/>
      <c r="X1042" s="28"/>
      <c r="Y1042" s="28"/>
      <c r="Z1042" s="28"/>
    </row>
    <row r="1043">
      <c r="A1043" s="107"/>
      <c r="B1043" s="131"/>
      <c r="C1043" s="120"/>
      <c r="D1043" s="125"/>
      <c r="E1043" s="107"/>
      <c r="F1043" s="122"/>
      <c r="G1043" s="22"/>
      <c r="H1043" s="123"/>
      <c r="I1043" s="126"/>
      <c r="J1043" s="130"/>
      <c r="K1043" s="28"/>
      <c r="L1043" s="28"/>
      <c r="M1043" s="28"/>
      <c r="N1043" s="28"/>
      <c r="O1043" s="28"/>
      <c r="P1043" s="28"/>
      <c r="Q1043" s="28"/>
      <c r="R1043" s="28"/>
      <c r="S1043" s="28"/>
      <c r="T1043" s="28"/>
      <c r="U1043" s="28"/>
      <c r="V1043" s="28"/>
      <c r="W1043" s="28"/>
      <c r="X1043" s="28"/>
      <c r="Y1043" s="28"/>
      <c r="Z1043" s="28"/>
    </row>
    <row r="1044">
      <c r="A1044" s="107"/>
      <c r="B1044" s="131"/>
      <c r="C1044" s="120"/>
      <c r="D1044" s="125"/>
      <c r="E1044" s="107"/>
      <c r="F1044" s="122"/>
      <c r="G1044" s="22"/>
      <c r="H1044" s="123"/>
      <c r="I1044" s="126"/>
      <c r="J1044" s="130"/>
      <c r="K1044" s="28"/>
      <c r="L1044" s="28"/>
      <c r="M1044" s="28"/>
      <c r="N1044" s="28"/>
      <c r="O1044" s="28"/>
      <c r="P1044" s="28"/>
      <c r="Q1044" s="28"/>
      <c r="R1044" s="28"/>
      <c r="S1044" s="28"/>
      <c r="T1044" s="28"/>
      <c r="U1044" s="28"/>
      <c r="V1044" s="28"/>
      <c r="W1044" s="28"/>
      <c r="X1044" s="28"/>
      <c r="Y1044" s="28"/>
      <c r="Z1044" s="28"/>
    </row>
    <row r="1045">
      <c r="A1045" s="107"/>
      <c r="B1045" s="131"/>
      <c r="C1045" s="120"/>
      <c r="D1045" s="125"/>
      <c r="E1045" s="107"/>
      <c r="F1045" s="122"/>
      <c r="G1045" s="22"/>
      <c r="H1045" s="123"/>
      <c r="I1045" s="126"/>
      <c r="J1045" s="130"/>
      <c r="K1045" s="28"/>
      <c r="L1045" s="28"/>
      <c r="M1045" s="28"/>
      <c r="N1045" s="28"/>
      <c r="O1045" s="28"/>
      <c r="P1045" s="28"/>
      <c r="Q1045" s="28"/>
      <c r="R1045" s="28"/>
      <c r="S1045" s="28"/>
      <c r="T1045" s="28"/>
      <c r="U1045" s="28"/>
      <c r="V1045" s="28"/>
      <c r="W1045" s="28"/>
      <c r="X1045" s="28"/>
      <c r="Y1045" s="28"/>
      <c r="Z1045" s="28"/>
    </row>
    <row r="1046">
      <c r="A1046" s="107"/>
      <c r="B1046" s="131"/>
      <c r="C1046" s="120"/>
      <c r="D1046" s="125"/>
      <c r="E1046" s="107"/>
      <c r="F1046" s="122"/>
      <c r="G1046" s="22"/>
      <c r="H1046" s="123"/>
      <c r="I1046" s="126"/>
      <c r="J1046" s="130"/>
      <c r="K1046" s="28"/>
      <c r="L1046" s="28"/>
      <c r="M1046" s="28"/>
      <c r="N1046" s="28"/>
      <c r="O1046" s="28"/>
      <c r="P1046" s="28"/>
      <c r="Q1046" s="28"/>
      <c r="R1046" s="28"/>
      <c r="S1046" s="28"/>
      <c r="T1046" s="28"/>
      <c r="U1046" s="28"/>
      <c r="V1046" s="28"/>
      <c r="W1046" s="28"/>
      <c r="X1046" s="28"/>
      <c r="Y1046" s="28"/>
      <c r="Z1046" s="28"/>
    </row>
    <row r="1047">
      <c r="A1047" s="107"/>
      <c r="B1047" s="131"/>
      <c r="C1047" s="120"/>
      <c r="D1047" s="125"/>
      <c r="E1047" s="107"/>
      <c r="F1047" s="122"/>
      <c r="G1047" s="22"/>
      <c r="H1047" s="123"/>
      <c r="I1047" s="126"/>
      <c r="J1047" s="130"/>
      <c r="K1047" s="28"/>
      <c r="L1047" s="28"/>
      <c r="M1047" s="28"/>
      <c r="N1047" s="28"/>
      <c r="O1047" s="28"/>
      <c r="P1047" s="28"/>
      <c r="Q1047" s="28"/>
      <c r="R1047" s="28"/>
      <c r="S1047" s="28"/>
      <c r="T1047" s="28"/>
      <c r="U1047" s="28"/>
      <c r="V1047" s="28"/>
      <c r="W1047" s="28"/>
      <c r="X1047" s="28"/>
      <c r="Y1047" s="28"/>
      <c r="Z1047" s="28"/>
    </row>
    <row r="1048">
      <c r="A1048" s="107"/>
      <c r="B1048" s="131"/>
      <c r="C1048" s="120"/>
      <c r="D1048" s="125"/>
      <c r="E1048" s="107"/>
      <c r="F1048" s="122"/>
      <c r="G1048" s="22"/>
      <c r="H1048" s="123"/>
      <c r="I1048" s="126"/>
      <c r="J1048" s="130"/>
      <c r="K1048" s="28"/>
      <c r="L1048" s="28"/>
      <c r="M1048" s="28"/>
      <c r="N1048" s="28"/>
      <c r="O1048" s="28"/>
      <c r="P1048" s="28"/>
      <c r="Q1048" s="28"/>
      <c r="R1048" s="28"/>
      <c r="S1048" s="28"/>
      <c r="T1048" s="28"/>
      <c r="U1048" s="28"/>
      <c r="V1048" s="28"/>
      <c r="W1048" s="28"/>
      <c r="X1048" s="28"/>
      <c r="Y1048" s="28"/>
      <c r="Z1048" s="28"/>
    </row>
    <row r="1049">
      <c r="A1049" s="107"/>
      <c r="B1049" s="131"/>
      <c r="C1049" s="120"/>
      <c r="D1049" s="125"/>
      <c r="E1049" s="107"/>
      <c r="F1049" s="122"/>
      <c r="G1049" s="22"/>
      <c r="H1049" s="123"/>
      <c r="I1049" s="126"/>
      <c r="J1049" s="130"/>
      <c r="K1049" s="28"/>
      <c r="L1049" s="28"/>
      <c r="M1049" s="28"/>
      <c r="N1049" s="28"/>
      <c r="O1049" s="28"/>
      <c r="P1049" s="28"/>
      <c r="Q1049" s="28"/>
      <c r="R1049" s="28"/>
      <c r="S1049" s="28"/>
      <c r="T1049" s="28"/>
      <c r="U1049" s="28"/>
      <c r="V1049" s="28"/>
      <c r="W1049" s="28"/>
      <c r="X1049" s="28"/>
      <c r="Y1049" s="28"/>
      <c r="Z1049" s="28"/>
    </row>
    <row r="1050">
      <c r="A1050" s="107"/>
      <c r="B1050" s="131"/>
      <c r="C1050" s="120"/>
      <c r="D1050" s="125"/>
      <c r="E1050" s="107"/>
      <c r="F1050" s="122"/>
      <c r="G1050" s="22"/>
      <c r="H1050" s="123"/>
      <c r="I1050" s="126"/>
      <c r="J1050" s="130"/>
      <c r="K1050" s="28"/>
      <c r="L1050" s="28"/>
      <c r="M1050" s="28"/>
      <c r="N1050" s="28"/>
      <c r="O1050" s="28"/>
      <c r="P1050" s="28"/>
      <c r="Q1050" s="28"/>
      <c r="R1050" s="28"/>
      <c r="S1050" s="28"/>
      <c r="T1050" s="28"/>
      <c r="U1050" s="28"/>
      <c r="V1050" s="28"/>
      <c r="W1050" s="28"/>
      <c r="X1050" s="28"/>
      <c r="Y1050" s="28"/>
      <c r="Z1050" s="28"/>
    </row>
    <row r="1051">
      <c r="A1051" s="107"/>
      <c r="B1051" s="131"/>
      <c r="C1051" s="120"/>
      <c r="D1051" s="125"/>
      <c r="E1051" s="107"/>
      <c r="F1051" s="122"/>
      <c r="G1051" s="22"/>
      <c r="H1051" s="123"/>
      <c r="I1051" s="126"/>
      <c r="J1051" s="130"/>
      <c r="K1051" s="28"/>
      <c r="L1051" s="28"/>
      <c r="M1051" s="28"/>
      <c r="N1051" s="28"/>
      <c r="O1051" s="28"/>
      <c r="P1051" s="28"/>
      <c r="Q1051" s="28"/>
      <c r="R1051" s="28"/>
      <c r="S1051" s="28"/>
      <c r="T1051" s="28"/>
      <c r="U1051" s="28"/>
      <c r="V1051" s="28"/>
      <c r="W1051" s="28"/>
      <c r="X1051" s="28"/>
      <c r="Y1051" s="28"/>
      <c r="Z1051" s="28"/>
    </row>
    <row r="1052">
      <c r="A1052" s="107"/>
      <c r="B1052" s="131"/>
      <c r="C1052" s="120"/>
      <c r="D1052" s="125"/>
      <c r="E1052" s="107"/>
      <c r="F1052" s="122"/>
      <c r="G1052" s="22"/>
      <c r="H1052" s="123"/>
      <c r="I1052" s="126"/>
      <c r="J1052" s="130"/>
      <c r="K1052" s="28"/>
      <c r="L1052" s="28"/>
      <c r="M1052" s="28"/>
      <c r="N1052" s="28"/>
      <c r="O1052" s="28"/>
      <c r="P1052" s="28"/>
      <c r="Q1052" s="28"/>
      <c r="R1052" s="28"/>
      <c r="S1052" s="28"/>
      <c r="T1052" s="28"/>
      <c r="U1052" s="28"/>
      <c r="V1052" s="28"/>
      <c r="W1052" s="28"/>
      <c r="X1052" s="28"/>
      <c r="Y1052" s="28"/>
      <c r="Z1052" s="28"/>
    </row>
    <row r="1053">
      <c r="A1053" s="107"/>
      <c r="B1053" s="131"/>
      <c r="C1053" s="120"/>
      <c r="D1053" s="125"/>
      <c r="E1053" s="107"/>
      <c r="F1053" s="122"/>
      <c r="G1053" s="22"/>
      <c r="H1053" s="123"/>
      <c r="I1053" s="126"/>
      <c r="J1053" s="130"/>
      <c r="K1053" s="28"/>
      <c r="L1053" s="28"/>
      <c r="M1053" s="28"/>
      <c r="N1053" s="28"/>
      <c r="O1053" s="28"/>
      <c r="P1053" s="28"/>
      <c r="Q1053" s="28"/>
      <c r="R1053" s="28"/>
      <c r="S1053" s="28"/>
      <c r="T1053" s="28"/>
      <c r="U1053" s="28"/>
      <c r="V1053" s="28"/>
      <c r="W1053" s="28"/>
      <c r="X1053" s="28"/>
      <c r="Y1053" s="28"/>
      <c r="Z1053" s="28"/>
    </row>
    <row r="1054">
      <c r="A1054" s="107"/>
      <c r="B1054" s="131"/>
      <c r="C1054" s="120"/>
      <c r="D1054" s="125"/>
      <c r="E1054" s="107"/>
      <c r="F1054" s="122"/>
      <c r="G1054" s="22"/>
      <c r="H1054" s="123"/>
      <c r="I1054" s="126"/>
      <c r="J1054" s="130"/>
      <c r="K1054" s="28"/>
      <c r="L1054" s="28"/>
      <c r="M1054" s="28"/>
      <c r="N1054" s="28"/>
      <c r="O1054" s="28"/>
      <c r="P1054" s="28"/>
      <c r="Q1054" s="28"/>
      <c r="R1054" s="28"/>
      <c r="S1054" s="28"/>
      <c r="T1054" s="28"/>
      <c r="U1054" s="28"/>
      <c r="V1054" s="28"/>
      <c r="W1054" s="28"/>
      <c r="X1054" s="28"/>
      <c r="Y1054" s="28"/>
      <c r="Z1054" s="28"/>
    </row>
    <row r="1055">
      <c r="A1055" s="107"/>
      <c r="B1055" s="131"/>
      <c r="C1055" s="120"/>
      <c r="D1055" s="125"/>
      <c r="E1055" s="107"/>
      <c r="F1055" s="122"/>
      <c r="G1055" s="22"/>
      <c r="H1055" s="123"/>
      <c r="I1055" s="126"/>
      <c r="J1055" s="130"/>
      <c r="K1055" s="28"/>
      <c r="L1055" s="28"/>
      <c r="M1055" s="28"/>
      <c r="N1055" s="28"/>
      <c r="O1055" s="28"/>
      <c r="P1055" s="28"/>
      <c r="Q1055" s="28"/>
      <c r="R1055" s="28"/>
      <c r="S1055" s="28"/>
      <c r="T1055" s="28"/>
      <c r="U1055" s="28"/>
      <c r="V1055" s="28"/>
      <c r="W1055" s="28"/>
      <c r="X1055" s="28"/>
      <c r="Y1055" s="28"/>
      <c r="Z1055" s="28"/>
    </row>
    <row r="1056">
      <c r="A1056" s="107"/>
      <c r="B1056" s="131"/>
      <c r="C1056" s="120"/>
      <c r="D1056" s="125"/>
      <c r="E1056" s="107"/>
      <c r="F1056" s="122"/>
      <c r="G1056" s="22"/>
      <c r="H1056" s="123"/>
      <c r="I1056" s="126"/>
      <c r="J1056" s="130"/>
      <c r="K1056" s="28"/>
      <c r="L1056" s="28"/>
      <c r="M1056" s="28"/>
      <c r="N1056" s="28"/>
      <c r="O1056" s="28"/>
      <c r="P1056" s="28"/>
      <c r="Q1056" s="28"/>
      <c r="R1056" s="28"/>
      <c r="S1056" s="28"/>
      <c r="T1056" s="28"/>
      <c r="U1056" s="28"/>
      <c r="V1056" s="28"/>
      <c r="W1056" s="28"/>
      <c r="X1056" s="28"/>
      <c r="Y1056" s="28"/>
      <c r="Z1056" s="28"/>
    </row>
    <row r="1057">
      <c r="A1057" s="107"/>
      <c r="B1057" s="131"/>
      <c r="C1057" s="120"/>
      <c r="D1057" s="125"/>
      <c r="E1057" s="107"/>
      <c r="F1057" s="122"/>
      <c r="G1057" s="22"/>
      <c r="H1057" s="123"/>
      <c r="I1057" s="126"/>
      <c r="J1057" s="130"/>
      <c r="K1057" s="28"/>
      <c r="L1057" s="28"/>
      <c r="M1057" s="28"/>
      <c r="N1057" s="28"/>
      <c r="O1057" s="28"/>
      <c r="P1057" s="28"/>
      <c r="Q1057" s="28"/>
      <c r="R1057" s="28"/>
      <c r="S1057" s="28"/>
      <c r="T1057" s="28"/>
      <c r="U1057" s="28"/>
      <c r="V1057" s="28"/>
      <c r="W1057" s="28"/>
      <c r="X1057" s="28"/>
      <c r="Y1057" s="28"/>
      <c r="Z1057" s="28"/>
    </row>
    <row r="1058">
      <c r="A1058" s="107"/>
      <c r="B1058" s="131"/>
      <c r="C1058" s="120"/>
      <c r="D1058" s="125"/>
      <c r="E1058" s="107"/>
      <c r="F1058" s="122"/>
      <c r="G1058" s="22"/>
      <c r="H1058" s="123"/>
      <c r="I1058" s="126"/>
      <c r="J1058" s="130"/>
      <c r="K1058" s="28"/>
      <c r="L1058" s="28"/>
      <c r="M1058" s="28"/>
      <c r="N1058" s="28"/>
      <c r="O1058" s="28"/>
      <c r="P1058" s="28"/>
      <c r="Q1058" s="28"/>
      <c r="R1058" s="28"/>
      <c r="S1058" s="28"/>
      <c r="T1058" s="28"/>
      <c r="U1058" s="28"/>
      <c r="V1058" s="28"/>
      <c r="W1058" s="28"/>
      <c r="X1058" s="28"/>
      <c r="Y1058" s="28"/>
      <c r="Z1058" s="28"/>
    </row>
    <row r="1059">
      <c r="A1059" s="107"/>
      <c r="B1059" s="131"/>
      <c r="C1059" s="120"/>
      <c r="D1059" s="125"/>
      <c r="E1059" s="107"/>
      <c r="F1059" s="122"/>
      <c r="G1059" s="22"/>
      <c r="H1059" s="123"/>
      <c r="I1059" s="126"/>
      <c r="J1059" s="130"/>
      <c r="K1059" s="28"/>
      <c r="L1059" s="28"/>
      <c r="M1059" s="28"/>
      <c r="N1059" s="28"/>
      <c r="O1059" s="28"/>
      <c r="P1059" s="28"/>
      <c r="Q1059" s="28"/>
      <c r="R1059" s="28"/>
      <c r="S1059" s="28"/>
      <c r="T1059" s="28"/>
      <c r="U1059" s="28"/>
      <c r="V1059" s="28"/>
      <c r="W1059" s="28"/>
      <c r="X1059" s="28"/>
      <c r="Y1059" s="28"/>
      <c r="Z1059" s="28"/>
    </row>
    <row r="1060">
      <c r="A1060" s="107"/>
      <c r="B1060" s="131"/>
      <c r="C1060" s="120"/>
      <c r="D1060" s="125"/>
      <c r="E1060" s="107"/>
      <c r="F1060" s="122"/>
      <c r="G1060" s="22"/>
      <c r="H1060" s="123"/>
      <c r="I1060" s="126"/>
      <c r="J1060" s="130"/>
      <c r="K1060" s="28"/>
      <c r="L1060" s="28"/>
      <c r="M1060" s="28"/>
      <c r="N1060" s="28"/>
      <c r="O1060" s="28"/>
      <c r="P1060" s="28"/>
      <c r="Q1060" s="28"/>
      <c r="R1060" s="28"/>
      <c r="S1060" s="28"/>
      <c r="T1060" s="28"/>
      <c r="U1060" s="28"/>
      <c r="V1060" s="28"/>
      <c r="W1060" s="28"/>
      <c r="X1060" s="28"/>
      <c r="Y1060" s="28"/>
      <c r="Z1060" s="28"/>
    </row>
    <row r="1061">
      <c r="A1061" s="107"/>
      <c r="B1061" s="131"/>
      <c r="C1061" s="120"/>
      <c r="D1061" s="125"/>
      <c r="E1061" s="107"/>
      <c r="F1061" s="122"/>
      <c r="G1061" s="22"/>
      <c r="H1061" s="123"/>
      <c r="I1061" s="126"/>
      <c r="J1061" s="130"/>
      <c r="K1061" s="28"/>
      <c r="L1061" s="28"/>
      <c r="M1061" s="28"/>
      <c r="N1061" s="28"/>
      <c r="O1061" s="28"/>
      <c r="P1061" s="28"/>
      <c r="Q1061" s="28"/>
      <c r="R1061" s="28"/>
      <c r="S1061" s="28"/>
      <c r="T1061" s="28"/>
      <c r="U1061" s="28"/>
      <c r="V1061" s="28"/>
      <c r="W1061" s="28"/>
      <c r="X1061" s="28"/>
      <c r="Y1061" s="28"/>
      <c r="Z1061" s="28"/>
    </row>
    <row r="1062">
      <c r="A1062" s="107"/>
      <c r="B1062" s="131"/>
      <c r="C1062" s="120"/>
      <c r="D1062" s="125"/>
      <c r="E1062" s="107"/>
      <c r="F1062" s="122"/>
      <c r="G1062" s="22"/>
      <c r="H1062" s="123"/>
      <c r="I1062" s="126"/>
      <c r="J1062" s="130"/>
      <c r="K1062" s="28"/>
      <c r="L1062" s="28"/>
      <c r="M1062" s="28"/>
      <c r="N1062" s="28"/>
      <c r="O1062" s="28"/>
      <c r="P1062" s="28"/>
      <c r="Q1062" s="28"/>
      <c r="R1062" s="28"/>
      <c r="S1062" s="28"/>
      <c r="T1062" s="28"/>
      <c r="U1062" s="28"/>
      <c r="V1062" s="28"/>
      <c r="W1062" s="28"/>
      <c r="X1062" s="28"/>
      <c r="Y1062" s="28"/>
      <c r="Z1062" s="28"/>
    </row>
    <row r="1063">
      <c r="A1063" s="107"/>
      <c r="B1063" s="131"/>
      <c r="C1063" s="120"/>
      <c r="D1063" s="125"/>
      <c r="E1063" s="107"/>
      <c r="F1063" s="122"/>
      <c r="G1063" s="22"/>
      <c r="H1063" s="123"/>
      <c r="I1063" s="126"/>
      <c r="J1063" s="130"/>
      <c r="K1063" s="28"/>
      <c r="L1063" s="28"/>
      <c r="M1063" s="28"/>
      <c r="N1063" s="28"/>
      <c r="O1063" s="28"/>
      <c r="P1063" s="28"/>
      <c r="Q1063" s="28"/>
      <c r="R1063" s="28"/>
      <c r="S1063" s="28"/>
      <c r="T1063" s="28"/>
      <c r="U1063" s="28"/>
      <c r="V1063" s="28"/>
      <c r="W1063" s="28"/>
      <c r="X1063" s="28"/>
      <c r="Y1063" s="28"/>
      <c r="Z1063" s="28"/>
    </row>
    <row r="1064">
      <c r="A1064" s="107"/>
      <c r="B1064" s="131"/>
      <c r="C1064" s="120"/>
      <c r="D1064" s="125"/>
      <c r="E1064" s="107"/>
      <c r="F1064" s="122"/>
      <c r="G1064" s="22"/>
      <c r="H1064" s="123"/>
      <c r="I1064" s="126"/>
      <c r="J1064" s="130"/>
      <c r="K1064" s="28"/>
      <c r="L1064" s="28"/>
      <c r="M1064" s="28"/>
      <c r="N1064" s="28"/>
      <c r="O1064" s="28"/>
      <c r="P1064" s="28"/>
      <c r="Q1064" s="28"/>
      <c r="R1064" s="28"/>
      <c r="S1064" s="28"/>
      <c r="T1064" s="28"/>
      <c r="U1064" s="28"/>
      <c r="V1064" s="28"/>
      <c r="W1064" s="28"/>
      <c r="X1064" s="28"/>
      <c r="Y1064" s="28"/>
      <c r="Z1064" s="28"/>
    </row>
    <row r="1065">
      <c r="A1065" s="107"/>
      <c r="B1065" s="131"/>
      <c r="C1065" s="120"/>
      <c r="D1065" s="125"/>
      <c r="E1065" s="107"/>
      <c r="F1065" s="122"/>
      <c r="G1065" s="22"/>
      <c r="H1065" s="123"/>
      <c r="I1065" s="126"/>
      <c r="J1065" s="130"/>
      <c r="K1065" s="28"/>
      <c r="L1065" s="28"/>
      <c r="M1065" s="28"/>
      <c r="N1065" s="28"/>
      <c r="O1065" s="28"/>
      <c r="P1065" s="28"/>
      <c r="Q1065" s="28"/>
      <c r="R1065" s="28"/>
      <c r="S1065" s="28"/>
      <c r="T1065" s="28"/>
      <c r="U1065" s="28"/>
      <c r="V1065" s="28"/>
      <c r="W1065" s="28"/>
      <c r="X1065" s="28"/>
      <c r="Y1065" s="28"/>
      <c r="Z1065" s="28"/>
    </row>
    <row r="1066">
      <c r="A1066" s="107"/>
      <c r="B1066" s="131"/>
      <c r="C1066" s="120"/>
      <c r="D1066" s="125"/>
      <c r="E1066" s="107"/>
      <c r="F1066" s="122"/>
      <c r="G1066" s="22"/>
      <c r="H1066" s="123"/>
      <c r="I1066" s="126"/>
      <c r="J1066" s="130"/>
      <c r="K1066" s="28"/>
      <c r="L1066" s="28"/>
      <c r="M1066" s="28"/>
      <c r="N1066" s="28"/>
      <c r="O1066" s="28"/>
      <c r="P1066" s="28"/>
      <c r="Q1066" s="28"/>
      <c r="R1066" s="28"/>
      <c r="S1066" s="28"/>
      <c r="T1066" s="28"/>
      <c r="U1066" s="28"/>
      <c r="V1066" s="28"/>
      <c r="W1066" s="28"/>
      <c r="X1066" s="28"/>
      <c r="Y1066" s="28"/>
      <c r="Z1066" s="28"/>
    </row>
    <row r="1067">
      <c r="A1067" s="107"/>
      <c r="B1067" s="131"/>
      <c r="C1067" s="120"/>
      <c r="D1067" s="125"/>
      <c r="E1067" s="107"/>
      <c r="F1067" s="122"/>
      <c r="G1067" s="22"/>
      <c r="H1067" s="123"/>
      <c r="I1067" s="126"/>
      <c r="J1067" s="130"/>
      <c r="K1067" s="28"/>
      <c r="L1067" s="28"/>
      <c r="M1067" s="28"/>
      <c r="N1067" s="28"/>
      <c r="O1067" s="28"/>
      <c r="P1067" s="28"/>
      <c r="Q1067" s="28"/>
      <c r="R1067" s="28"/>
      <c r="S1067" s="28"/>
      <c r="T1067" s="28"/>
      <c r="U1067" s="28"/>
      <c r="V1067" s="28"/>
      <c r="W1067" s="28"/>
      <c r="X1067" s="28"/>
      <c r="Y1067" s="28"/>
      <c r="Z1067" s="28"/>
    </row>
    <row r="1068">
      <c r="A1068" s="107"/>
      <c r="B1068" s="131"/>
      <c r="C1068" s="120"/>
      <c r="D1068" s="125"/>
      <c r="E1068" s="107"/>
      <c r="F1068" s="122"/>
      <c r="G1068" s="22"/>
      <c r="H1068" s="123"/>
      <c r="I1068" s="126"/>
      <c r="J1068" s="130"/>
      <c r="K1068" s="28"/>
      <c r="L1068" s="28"/>
      <c r="M1068" s="28"/>
      <c r="N1068" s="28"/>
      <c r="O1068" s="28"/>
      <c r="P1068" s="28"/>
      <c r="Q1068" s="28"/>
      <c r="R1068" s="28"/>
      <c r="S1068" s="28"/>
      <c r="T1068" s="28"/>
      <c r="U1068" s="28"/>
      <c r="V1068" s="28"/>
      <c r="W1068" s="28"/>
      <c r="X1068" s="28"/>
      <c r="Y1068" s="28"/>
      <c r="Z1068" s="28"/>
    </row>
    <row r="1069">
      <c r="A1069" s="107"/>
      <c r="B1069" s="131"/>
      <c r="C1069" s="120"/>
      <c r="D1069" s="125"/>
      <c r="E1069" s="107"/>
      <c r="F1069" s="122"/>
      <c r="G1069" s="22"/>
      <c r="H1069" s="123"/>
      <c r="I1069" s="126"/>
      <c r="J1069" s="130"/>
      <c r="K1069" s="28"/>
      <c r="L1069" s="28"/>
      <c r="M1069" s="28"/>
      <c r="N1069" s="28"/>
      <c r="O1069" s="28"/>
      <c r="P1069" s="28"/>
      <c r="Q1069" s="28"/>
      <c r="R1069" s="28"/>
      <c r="S1069" s="28"/>
      <c r="T1069" s="28"/>
      <c r="U1069" s="28"/>
      <c r="V1069" s="28"/>
      <c r="W1069" s="28"/>
      <c r="X1069" s="28"/>
      <c r="Y1069" s="28"/>
      <c r="Z1069" s="28"/>
    </row>
  </sheetData>
  <mergeCells count="2">
    <mergeCell ref="A1:F1"/>
    <mergeCell ref="E2:F2"/>
  </mergeCells>
  <dataValidations>
    <dataValidation type="list" allowBlank="1" sqref="H4:H1069">
      <formula1>"CHECKED (OK),CHECKED  (NOT OK)"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.88"/>
    <col customWidth="1" min="2" max="2" width="9.63"/>
    <col customWidth="1" min="3" max="3" width="23.0"/>
    <col customWidth="1" min="4" max="4" width="30.63"/>
    <col customWidth="1" min="5" max="5" width="7.63"/>
    <col customWidth="1" min="7" max="7" width="3.5"/>
    <col customWidth="1" min="8" max="8" width="18.63"/>
    <col customWidth="1" min="9" max="9" width="21.63"/>
  </cols>
  <sheetData>
    <row r="1">
      <c r="A1" s="105" t="s">
        <v>403</v>
      </c>
      <c r="G1" s="111"/>
      <c r="I1" s="112" t="s">
        <v>404</v>
      </c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106" t="s">
        <v>1</v>
      </c>
      <c r="B2" s="137" t="s">
        <v>11</v>
      </c>
      <c r="C2" s="106" t="s">
        <v>12</v>
      </c>
      <c r="D2" s="114" t="s">
        <v>13</v>
      </c>
      <c r="E2" s="115" t="s">
        <v>14</v>
      </c>
      <c r="G2" s="116"/>
      <c r="H2" s="111"/>
      <c r="I2" s="11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106"/>
      <c r="B3" s="137"/>
      <c r="C3" s="106"/>
      <c r="D3" s="114"/>
      <c r="E3" s="115" t="s">
        <v>15</v>
      </c>
      <c r="F3" s="117" t="s">
        <v>5</v>
      </c>
      <c r="G3" s="116"/>
      <c r="H3" s="118" t="s">
        <v>6</v>
      </c>
      <c r="I3" s="119" t="s">
        <v>7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>
      <c r="A4" s="107">
        <v>1.0</v>
      </c>
      <c r="B4" s="138">
        <v>1040506.0</v>
      </c>
      <c r="C4" s="120" t="str">
        <f>vlookup(B4,'Crew Data'!C:G,5,0)</f>
        <v>Chomphunut Detdutsadee</v>
      </c>
      <c r="D4" s="121" t="s">
        <v>405</v>
      </c>
      <c r="E4" s="107">
        <v>4.0</v>
      </c>
      <c r="F4" s="122">
        <f t="shared" ref="F4:F108" si="1">E4*400</f>
        <v>1600</v>
      </c>
      <c r="G4" s="22">
        <f t="shared" ref="G4:G108" si="2">COUNTIF(B:B,B4)</f>
        <v>1</v>
      </c>
      <c r="H4" s="123" t="s">
        <v>20</v>
      </c>
      <c r="I4" s="124" t="s">
        <v>406</v>
      </c>
      <c r="J4" s="127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A5" s="107">
        <v>2.0</v>
      </c>
      <c r="B5" s="138">
        <v>1002910.0</v>
      </c>
      <c r="C5" s="120" t="str">
        <f>vlookup(B5,'Crew Data'!C:G,5,0)</f>
        <v>Patsita Patchararujirathchot</v>
      </c>
      <c r="D5" s="121" t="s">
        <v>407</v>
      </c>
      <c r="E5" s="107">
        <v>27.0</v>
      </c>
      <c r="F5" s="122">
        <f t="shared" si="1"/>
        <v>10800</v>
      </c>
      <c r="G5" s="22">
        <f t="shared" si="2"/>
        <v>1</v>
      </c>
      <c r="H5" s="123" t="s">
        <v>20</v>
      </c>
      <c r="I5" s="124" t="s">
        <v>406</v>
      </c>
      <c r="J5" s="127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>
      <c r="A6" s="107">
        <v>3.0</v>
      </c>
      <c r="B6" s="138">
        <v>1000736.0</v>
      </c>
      <c r="C6" s="120" t="str">
        <f>vlookup(B6,'Crew Data'!C:G,5,0)</f>
        <v>Ekkachai Moolla</v>
      </c>
      <c r="D6" s="121" t="s">
        <v>408</v>
      </c>
      <c r="E6" s="107">
        <v>2.0</v>
      </c>
      <c r="F6" s="122">
        <f t="shared" si="1"/>
        <v>800</v>
      </c>
      <c r="G6" s="22">
        <f t="shared" si="2"/>
        <v>1</v>
      </c>
      <c r="H6" s="123" t="s">
        <v>20</v>
      </c>
      <c r="I6" s="124" t="s">
        <v>406</v>
      </c>
      <c r="J6" s="127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>
      <c r="A7" s="107">
        <v>4.0</v>
      </c>
      <c r="B7" s="138">
        <v>1011719.0</v>
      </c>
      <c r="C7" s="120" t="str">
        <f>vlookup(B7,'Crew Data'!C:G,5,0)</f>
        <v>Chiraporn Suriwan</v>
      </c>
      <c r="D7" s="121" t="s">
        <v>390</v>
      </c>
      <c r="E7" s="107">
        <v>2.0</v>
      </c>
      <c r="F7" s="122">
        <f t="shared" si="1"/>
        <v>800</v>
      </c>
      <c r="G7" s="22">
        <f t="shared" si="2"/>
        <v>1</v>
      </c>
      <c r="H7" s="123" t="s">
        <v>20</v>
      </c>
      <c r="I7" s="124" t="s">
        <v>406</v>
      </c>
      <c r="J7" s="127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>
      <c r="A8" s="107">
        <v>5.0</v>
      </c>
      <c r="B8" s="138">
        <v>1011762.0</v>
      </c>
      <c r="C8" s="120" t="str">
        <f>vlookup(B8,'Crew Data'!C:G,5,0)</f>
        <v>Tritotsaporn Ketudat</v>
      </c>
      <c r="D8" s="121" t="s">
        <v>390</v>
      </c>
      <c r="E8" s="107">
        <v>2.0</v>
      </c>
      <c r="F8" s="122">
        <f t="shared" si="1"/>
        <v>800</v>
      </c>
      <c r="G8" s="22">
        <f t="shared" si="2"/>
        <v>1</v>
      </c>
      <c r="H8" s="123" t="s">
        <v>20</v>
      </c>
      <c r="I8" s="124" t="s">
        <v>406</v>
      </c>
      <c r="J8" s="127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>
      <c r="A9" s="107">
        <v>6.0</v>
      </c>
      <c r="B9" s="138">
        <v>1015406.0</v>
      </c>
      <c r="C9" s="120" t="str">
        <f>vlookup(B9,'Crew Data'!C:G,5,0)</f>
        <v>Perati Ardwong</v>
      </c>
      <c r="D9" s="121" t="s">
        <v>393</v>
      </c>
      <c r="E9" s="107">
        <v>2.0</v>
      </c>
      <c r="F9" s="122">
        <f t="shared" si="1"/>
        <v>800</v>
      </c>
      <c r="G9" s="22">
        <f t="shared" si="2"/>
        <v>1</v>
      </c>
      <c r="H9" s="123" t="s">
        <v>20</v>
      </c>
      <c r="I9" s="124" t="s">
        <v>406</v>
      </c>
      <c r="J9" s="127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>
      <c r="A10" s="107">
        <v>7.0</v>
      </c>
      <c r="B10" s="138">
        <v>1006752.0</v>
      </c>
      <c r="C10" s="120" t="str">
        <f>vlookup(B10,'Crew Data'!C:G,5,0)</f>
        <v>Tanyada Charoenpong</v>
      </c>
      <c r="D10" s="121" t="s">
        <v>400</v>
      </c>
      <c r="E10" s="107">
        <v>2.0</v>
      </c>
      <c r="F10" s="122">
        <f t="shared" si="1"/>
        <v>800</v>
      </c>
      <c r="G10" s="22">
        <f t="shared" si="2"/>
        <v>1</v>
      </c>
      <c r="H10" s="123" t="s">
        <v>20</v>
      </c>
      <c r="I10" s="124" t="s">
        <v>406</v>
      </c>
      <c r="J10" s="127"/>
      <c r="K10" s="31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107">
        <v>8.0</v>
      </c>
      <c r="B11" s="138">
        <v>1017919.0</v>
      </c>
      <c r="C11" s="120" t="str">
        <f>vlookup(B11,'Crew Data'!C:G,5,0)</f>
        <v>Asanlaya Choomit</v>
      </c>
      <c r="D11" s="121" t="s">
        <v>359</v>
      </c>
      <c r="E11" s="107">
        <v>2.0</v>
      </c>
      <c r="F11" s="122">
        <f t="shared" si="1"/>
        <v>800</v>
      </c>
      <c r="G11" s="22">
        <f t="shared" si="2"/>
        <v>1</v>
      </c>
      <c r="H11" s="123" t="s">
        <v>20</v>
      </c>
      <c r="I11" s="124" t="s">
        <v>370</v>
      </c>
      <c r="J11" s="127"/>
      <c r="K11" s="31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>
      <c r="A12" s="107">
        <v>9.0</v>
      </c>
      <c r="B12" s="138">
        <v>1040517.0</v>
      </c>
      <c r="C12" s="120" t="str">
        <f>vlookup(B12,'Crew Data'!C:G,5,0)</f>
        <v>#N/A</v>
      </c>
      <c r="D12" s="121" t="s">
        <v>379</v>
      </c>
      <c r="E12" s="107">
        <v>2.0</v>
      </c>
      <c r="F12" s="122">
        <f t="shared" si="1"/>
        <v>800</v>
      </c>
      <c r="G12" s="22">
        <f t="shared" si="2"/>
        <v>1</v>
      </c>
      <c r="H12" s="123" t="s">
        <v>20</v>
      </c>
      <c r="I12" s="124" t="s">
        <v>406</v>
      </c>
      <c r="J12" s="127"/>
      <c r="K12" s="31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107">
        <v>10.0</v>
      </c>
      <c r="B13" s="138">
        <v>1010934.0</v>
      </c>
      <c r="C13" s="120" t="str">
        <f>vlookup(B13,'Crew Data'!C:G,5,0)</f>
        <v>Werawat Sittipachaikul</v>
      </c>
      <c r="D13" s="121" t="s">
        <v>383</v>
      </c>
      <c r="E13" s="107">
        <v>2.0</v>
      </c>
      <c r="F13" s="122">
        <f t="shared" si="1"/>
        <v>800</v>
      </c>
      <c r="G13" s="22">
        <f t="shared" si="2"/>
        <v>1</v>
      </c>
      <c r="H13" s="123" t="s">
        <v>20</v>
      </c>
      <c r="I13" s="124" t="s">
        <v>406</v>
      </c>
      <c r="J13" s="127"/>
      <c r="K13" s="31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>
      <c r="A14" s="107">
        <v>11.0</v>
      </c>
      <c r="B14" s="138">
        <v>1011322.0</v>
      </c>
      <c r="C14" s="120" t="str">
        <f>vlookup(B14,'Crew Data'!C:G,5,0)</f>
        <v>Thanaporn Thong-In</v>
      </c>
      <c r="D14" s="121" t="s">
        <v>386</v>
      </c>
      <c r="E14" s="107">
        <v>2.0</v>
      </c>
      <c r="F14" s="122">
        <f t="shared" si="1"/>
        <v>800</v>
      </c>
      <c r="G14" s="22">
        <f t="shared" si="2"/>
        <v>1</v>
      </c>
      <c r="H14" s="123" t="s">
        <v>20</v>
      </c>
      <c r="I14" s="124" t="s">
        <v>406</v>
      </c>
      <c r="J14" s="127"/>
      <c r="K14" s="31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107">
        <v>12.0</v>
      </c>
      <c r="B15" s="138">
        <v>1012357.0</v>
      </c>
      <c r="C15" s="120" t="str">
        <f>vlookup(B15,'Crew Data'!C:G,5,0)</f>
        <v>Ekkaphon Mengchuai</v>
      </c>
      <c r="D15" s="121" t="s">
        <v>409</v>
      </c>
      <c r="E15" s="107">
        <v>4.0</v>
      </c>
      <c r="F15" s="122">
        <f t="shared" si="1"/>
        <v>1600</v>
      </c>
      <c r="G15" s="22">
        <f t="shared" si="2"/>
        <v>1</v>
      </c>
      <c r="H15" s="123" t="s">
        <v>20</v>
      </c>
      <c r="I15" s="124" t="s">
        <v>406</v>
      </c>
      <c r="J15" s="127"/>
      <c r="K15" s="31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107">
        <v>13.0</v>
      </c>
      <c r="B16" s="139">
        <v>1002065.0</v>
      </c>
      <c r="C16" s="120" t="str">
        <f>vlookup(B16,'Crew Data'!C:G,5,0)</f>
        <v>Pattaramon Phunsook</v>
      </c>
      <c r="D16" s="121" t="s">
        <v>389</v>
      </c>
      <c r="E16" s="107">
        <v>2.0</v>
      </c>
      <c r="F16" s="122">
        <f t="shared" si="1"/>
        <v>800</v>
      </c>
      <c r="G16" s="22">
        <f t="shared" si="2"/>
        <v>1</v>
      </c>
      <c r="H16" s="123" t="s">
        <v>20</v>
      </c>
      <c r="I16" s="124" t="s">
        <v>406</v>
      </c>
      <c r="J16" s="127"/>
      <c r="K16" s="31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107">
        <v>14.0</v>
      </c>
      <c r="B17" s="139">
        <v>1028029.0</v>
      </c>
      <c r="C17" s="120" t="str">
        <f>vlookup(B17,'Crew Data'!C:G,5,0)</f>
        <v>Atima Tanapat</v>
      </c>
      <c r="D17" s="121" t="s">
        <v>396</v>
      </c>
      <c r="E17" s="107">
        <v>2.0</v>
      </c>
      <c r="F17" s="122">
        <f t="shared" si="1"/>
        <v>800</v>
      </c>
      <c r="G17" s="22">
        <f t="shared" si="2"/>
        <v>1</v>
      </c>
      <c r="H17" s="123" t="s">
        <v>20</v>
      </c>
      <c r="I17" s="124" t="s">
        <v>406</v>
      </c>
      <c r="J17" s="127"/>
      <c r="K17" s="31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107">
        <v>15.0</v>
      </c>
      <c r="B18" s="139">
        <v>1013033.0</v>
      </c>
      <c r="C18" s="120" t="str">
        <f>vlookup(B18,'Crew Data'!C:G,5,0)</f>
        <v>Sirirat Thampipat</v>
      </c>
      <c r="D18" s="121" t="s">
        <v>389</v>
      </c>
      <c r="E18" s="107">
        <v>2.0</v>
      </c>
      <c r="F18" s="122">
        <f t="shared" si="1"/>
        <v>800</v>
      </c>
      <c r="G18" s="22">
        <f t="shared" si="2"/>
        <v>1</v>
      </c>
      <c r="H18" s="123" t="s">
        <v>20</v>
      </c>
      <c r="I18" s="124" t="s">
        <v>406</v>
      </c>
      <c r="J18" s="127"/>
      <c r="K18" s="31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107">
        <v>16.0</v>
      </c>
      <c r="B19" s="139">
        <v>1027120.0</v>
      </c>
      <c r="C19" s="120" t="str">
        <f>vlookup(B19,'Crew Data'!C:G,5,0)</f>
        <v>Tanchanok Muangwattanakun</v>
      </c>
      <c r="D19" s="121" t="s">
        <v>396</v>
      </c>
      <c r="E19" s="107">
        <v>2.0</v>
      </c>
      <c r="F19" s="122">
        <f t="shared" si="1"/>
        <v>800</v>
      </c>
      <c r="G19" s="22">
        <f t="shared" si="2"/>
        <v>1</v>
      </c>
      <c r="H19" s="123" t="s">
        <v>20</v>
      </c>
      <c r="I19" s="124" t="s">
        <v>406</v>
      </c>
      <c r="J19" s="127"/>
      <c r="K19" s="31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107">
        <v>17.0</v>
      </c>
      <c r="B20" s="139">
        <v>1013025.0</v>
      </c>
      <c r="C20" s="120" t="str">
        <f>vlookup(B20,'Crew Data'!C:G,5,0)</f>
        <v>Pirawan Sarobol</v>
      </c>
      <c r="D20" s="121" t="s">
        <v>362</v>
      </c>
      <c r="E20" s="107">
        <v>2.0</v>
      </c>
      <c r="F20" s="122">
        <f t="shared" si="1"/>
        <v>800</v>
      </c>
      <c r="G20" s="22">
        <f t="shared" si="2"/>
        <v>1</v>
      </c>
      <c r="H20" s="123" t="s">
        <v>20</v>
      </c>
      <c r="I20" s="124" t="s">
        <v>370</v>
      </c>
      <c r="J20" s="127"/>
      <c r="K20" s="31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107">
        <v>18.0</v>
      </c>
      <c r="B21" s="139">
        <v>1012182.0</v>
      </c>
      <c r="C21" s="120" t="str">
        <f>vlookup(B21,'Crew Data'!C:G,5,0)</f>
        <v>Soikamol Phonakhon</v>
      </c>
      <c r="D21" s="121" t="s">
        <v>400</v>
      </c>
      <c r="E21" s="107">
        <v>2.0</v>
      </c>
      <c r="F21" s="122">
        <f t="shared" si="1"/>
        <v>800</v>
      </c>
      <c r="G21" s="22">
        <f t="shared" si="2"/>
        <v>1</v>
      </c>
      <c r="H21" s="123" t="s">
        <v>20</v>
      </c>
      <c r="I21" s="124" t="s">
        <v>406</v>
      </c>
      <c r="J21" s="127"/>
      <c r="K21" s="31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>
      <c r="A22" s="107">
        <v>19.0</v>
      </c>
      <c r="B22" s="138">
        <v>1005805.0</v>
      </c>
      <c r="C22" s="120" t="str">
        <f>vlookup(B22,'Crew Data'!C:G,5,0)</f>
        <v>Kunaporn Rittichart</v>
      </c>
      <c r="D22" s="121" t="s">
        <v>410</v>
      </c>
      <c r="E22" s="107">
        <v>2.0</v>
      </c>
      <c r="F22" s="122">
        <f t="shared" si="1"/>
        <v>800</v>
      </c>
      <c r="G22" s="22">
        <f t="shared" si="2"/>
        <v>1</v>
      </c>
      <c r="H22" s="123" t="s">
        <v>20</v>
      </c>
      <c r="I22" s="126"/>
      <c r="J22" s="127"/>
      <c r="K22" s="31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>
      <c r="A23" s="107">
        <v>20.0</v>
      </c>
      <c r="B23" s="138">
        <v>1040352.0</v>
      </c>
      <c r="C23" s="120" t="str">
        <f>vlookup(B23,'Crew Data'!C:G,5,0)</f>
        <v>Jaksananapa Yingprayoon</v>
      </c>
      <c r="D23" s="121" t="s">
        <v>411</v>
      </c>
      <c r="E23" s="107">
        <v>2.0</v>
      </c>
      <c r="F23" s="122">
        <f t="shared" si="1"/>
        <v>800</v>
      </c>
      <c r="G23" s="22">
        <f t="shared" si="2"/>
        <v>1</v>
      </c>
      <c r="H23" s="123" t="s">
        <v>20</v>
      </c>
      <c r="I23" s="126"/>
      <c r="J23" s="127"/>
      <c r="K23" s="31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>
      <c r="A24" s="107">
        <v>21.0</v>
      </c>
      <c r="B24" s="138">
        <v>1004329.0</v>
      </c>
      <c r="C24" s="120" t="str">
        <f>vlookup(B24,'Crew Data'!C:G,5,0)</f>
        <v>Supattra Narattaraksa</v>
      </c>
      <c r="D24" s="121" t="s">
        <v>410</v>
      </c>
      <c r="E24" s="107">
        <v>2.0</v>
      </c>
      <c r="F24" s="122">
        <f t="shared" si="1"/>
        <v>800</v>
      </c>
      <c r="G24" s="22">
        <f t="shared" si="2"/>
        <v>1</v>
      </c>
      <c r="H24" s="123" t="s">
        <v>20</v>
      </c>
      <c r="I24" s="126"/>
      <c r="J24" s="127"/>
      <c r="K24" s="31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>
      <c r="A25" s="107">
        <v>22.0</v>
      </c>
      <c r="B25" s="138">
        <v>1012158.0</v>
      </c>
      <c r="C25" s="120" t="str">
        <f>vlookup(B25,'Crew Data'!C:G,5,0)</f>
        <v>Itthipong Khanthonglor</v>
      </c>
      <c r="D25" s="121" t="s">
        <v>410</v>
      </c>
      <c r="E25" s="107">
        <v>2.0</v>
      </c>
      <c r="F25" s="122">
        <f t="shared" si="1"/>
        <v>800</v>
      </c>
      <c r="G25" s="22">
        <f t="shared" si="2"/>
        <v>1</v>
      </c>
      <c r="H25" s="123" t="s">
        <v>20</v>
      </c>
      <c r="I25" s="126"/>
      <c r="J25" s="127"/>
      <c r="K25" s="31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>
      <c r="A26" s="107">
        <v>23.0</v>
      </c>
      <c r="B26" s="139">
        <v>1007006.0</v>
      </c>
      <c r="C26" s="120" t="str">
        <f>vlookup(B26,'Crew Data'!C:G,5,0)</f>
        <v>Wipaporn Prasertsom</v>
      </c>
      <c r="D26" s="121" t="s">
        <v>411</v>
      </c>
      <c r="E26" s="107">
        <v>2.0</v>
      </c>
      <c r="F26" s="122">
        <f t="shared" si="1"/>
        <v>800</v>
      </c>
      <c r="G26" s="22">
        <f t="shared" si="2"/>
        <v>1</v>
      </c>
      <c r="H26" s="123" t="s">
        <v>20</v>
      </c>
      <c r="I26" s="126"/>
      <c r="J26" s="127"/>
      <c r="K26" s="31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>
      <c r="A27" s="107">
        <v>24.0</v>
      </c>
      <c r="B27" s="139">
        <v>1012362.0</v>
      </c>
      <c r="C27" s="120" t="str">
        <f>vlookup(B27,'Crew Data'!C:G,5,0)</f>
        <v>Patcharagorn Chankhong</v>
      </c>
      <c r="D27" s="125">
        <v>45778.0</v>
      </c>
      <c r="E27" s="107">
        <v>1.0</v>
      </c>
      <c r="F27" s="122">
        <f t="shared" si="1"/>
        <v>400</v>
      </c>
      <c r="G27" s="22">
        <f t="shared" si="2"/>
        <v>1</v>
      </c>
      <c r="H27" s="123" t="s">
        <v>20</v>
      </c>
      <c r="I27" s="126"/>
      <c r="J27" s="127"/>
      <c r="K27" s="31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>
      <c r="A28" s="107">
        <v>25.0</v>
      </c>
      <c r="B28" s="138">
        <v>1040509.0</v>
      </c>
      <c r="C28" s="120" t="str">
        <f>vlookup(B28,'Crew Data'!C:G,5,0)</f>
        <v>Namita Sukanan</v>
      </c>
      <c r="D28" s="121" t="s">
        <v>412</v>
      </c>
      <c r="E28" s="107">
        <v>2.0</v>
      </c>
      <c r="F28" s="122">
        <f t="shared" si="1"/>
        <v>800</v>
      </c>
      <c r="G28" s="22">
        <f t="shared" si="2"/>
        <v>1</v>
      </c>
      <c r="H28" s="123" t="s">
        <v>20</v>
      </c>
      <c r="I28" s="126"/>
      <c r="J28" s="127"/>
      <c r="K28" s="31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>
      <c r="A29" s="107">
        <v>26.0</v>
      </c>
      <c r="B29" s="138">
        <v>1003302.0</v>
      </c>
      <c r="C29" s="120" t="str">
        <f>vlookup(B29,'Crew Data'!C:G,5,0)</f>
        <v>Panwad Thongkham</v>
      </c>
      <c r="D29" s="121" t="s">
        <v>413</v>
      </c>
      <c r="E29" s="107">
        <v>2.0</v>
      </c>
      <c r="F29" s="122">
        <f t="shared" si="1"/>
        <v>800</v>
      </c>
      <c r="G29" s="22">
        <f t="shared" si="2"/>
        <v>1</v>
      </c>
      <c r="H29" s="123" t="s">
        <v>20</v>
      </c>
      <c r="I29" s="126"/>
      <c r="J29" s="127"/>
      <c r="K29" s="31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>
      <c r="A30" s="107">
        <v>27.0</v>
      </c>
      <c r="B30" s="138">
        <v>1001615.0</v>
      </c>
      <c r="C30" s="120" t="str">
        <f>vlookup(B30,'Crew Data'!C:G,5,0)</f>
        <v>Sansanee Chittiboonruan</v>
      </c>
      <c r="D30" s="121" t="s">
        <v>414</v>
      </c>
      <c r="E30" s="107">
        <v>2.0</v>
      </c>
      <c r="F30" s="122">
        <f t="shared" si="1"/>
        <v>800</v>
      </c>
      <c r="G30" s="22">
        <f t="shared" si="2"/>
        <v>1</v>
      </c>
      <c r="H30" s="123" t="s">
        <v>20</v>
      </c>
      <c r="I30" s="126"/>
      <c r="J30" s="127"/>
      <c r="K30" s="31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>
      <c r="A31" s="107">
        <v>28.0</v>
      </c>
      <c r="B31" s="138">
        <v>1010731.0</v>
      </c>
      <c r="C31" s="120" t="str">
        <f>vlookup(B31,'Crew Data'!C:G,5,0)</f>
        <v>Samatikan Boonket</v>
      </c>
      <c r="D31" s="121" t="s">
        <v>414</v>
      </c>
      <c r="E31" s="107">
        <v>2.0</v>
      </c>
      <c r="F31" s="122">
        <f t="shared" si="1"/>
        <v>800</v>
      </c>
      <c r="G31" s="22">
        <f t="shared" si="2"/>
        <v>1</v>
      </c>
      <c r="H31" s="123" t="s">
        <v>20</v>
      </c>
      <c r="I31" s="126"/>
      <c r="J31" s="127"/>
      <c r="K31" s="31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>
      <c r="A32" s="107">
        <v>29.0</v>
      </c>
      <c r="B32" s="138">
        <v>1011308.0</v>
      </c>
      <c r="C32" s="120" t="str">
        <f>vlookup(B32,'Crew Data'!C:G,5,0)</f>
        <v>Narisa Jotikasathira</v>
      </c>
      <c r="D32" s="121" t="s">
        <v>415</v>
      </c>
      <c r="E32" s="107">
        <v>4.0</v>
      </c>
      <c r="F32" s="122">
        <f t="shared" si="1"/>
        <v>1600</v>
      </c>
      <c r="G32" s="22">
        <f t="shared" si="2"/>
        <v>1</v>
      </c>
      <c r="H32" s="123" t="s">
        <v>20</v>
      </c>
      <c r="I32" s="126"/>
      <c r="J32" s="127"/>
      <c r="K32" s="31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>
      <c r="A33" s="107">
        <v>30.0</v>
      </c>
      <c r="B33" s="138">
        <v>1009001.0</v>
      </c>
      <c r="C33" s="120" t="str">
        <f>vlookup(B33,'Crew Data'!C:G,5,0)</f>
        <v>Suphachok Pannakitchakul</v>
      </c>
      <c r="D33" s="121" t="s">
        <v>416</v>
      </c>
      <c r="E33" s="107">
        <v>7.0</v>
      </c>
      <c r="F33" s="122">
        <f t="shared" si="1"/>
        <v>2800</v>
      </c>
      <c r="G33" s="22">
        <f t="shared" si="2"/>
        <v>1</v>
      </c>
      <c r="H33" s="123" t="s">
        <v>20</v>
      </c>
      <c r="I33" s="126"/>
      <c r="J33" s="127"/>
      <c r="K33" s="31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>
      <c r="A34" s="107">
        <v>31.0</v>
      </c>
      <c r="B34" s="138">
        <v>1019518.0</v>
      </c>
      <c r="C34" s="120" t="str">
        <f>vlookup(B34,'Crew Data'!C:G,5,0)</f>
        <v>Naratip Dumrongthai</v>
      </c>
      <c r="D34" s="121" t="s">
        <v>417</v>
      </c>
      <c r="E34" s="107">
        <v>2.0</v>
      </c>
      <c r="F34" s="122">
        <f t="shared" si="1"/>
        <v>800</v>
      </c>
      <c r="G34" s="22">
        <f t="shared" si="2"/>
        <v>1</v>
      </c>
      <c r="H34" s="123" t="s">
        <v>20</v>
      </c>
      <c r="I34" s="126"/>
      <c r="J34" s="127"/>
      <c r="K34" s="31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>
      <c r="A35" s="107">
        <v>32.0</v>
      </c>
      <c r="B35" s="138">
        <v>1011824.0</v>
      </c>
      <c r="C35" s="120" t="str">
        <f>vlookup(B35,'Crew Data'!C:G,5,0)</f>
        <v>Pimnipa Limpatawonpong</v>
      </c>
      <c r="D35" s="121" t="s">
        <v>417</v>
      </c>
      <c r="E35" s="107">
        <v>2.0</v>
      </c>
      <c r="F35" s="122">
        <f t="shared" si="1"/>
        <v>800</v>
      </c>
      <c r="G35" s="22">
        <f t="shared" si="2"/>
        <v>1</v>
      </c>
      <c r="H35" s="123" t="s">
        <v>20</v>
      </c>
      <c r="I35" s="126"/>
      <c r="J35" s="127"/>
      <c r="K35" s="31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>
      <c r="A36" s="107">
        <v>33.0</v>
      </c>
      <c r="B36" s="138">
        <v>1003392.0</v>
      </c>
      <c r="C36" s="120" t="str">
        <f>vlookup(B36,'Crew Data'!C:G,5,0)</f>
        <v>Punnaphas Tawornpanmanee</v>
      </c>
      <c r="D36" s="121" t="s">
        <v>418</v>
      </c>
      <c r="E36" s="107">
        <v>2.0</v>
      </c>
      <c r="F36" s="122">
        <f t="shared" si="1"/>
        <v>800</v>
      </c>
      <c r="G36" s="22">
        <f t="shared" si="2"/>
        <v>1</v>
      </c>
      <c r="H36" s="123" t="s">
        <v>20</v>
      </c>
      <c r="I36" s="126"/>
      <c r="J36" s="127"/>
      <c r="K36" s="31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>
      <c r="A37" s="107">
        <v>34.0</v>
      </c>
      <c r="B37" s="138">
        <v>1004531.0</v>
      </c>
      <c r="C37" s="120" t="str">
        <f>vlookup(B37,'Crew Data'!C:G,5,0)</f>
        <v>Nattakan Kanokpantarakorn </v>
      </c>
      <c r="D37" s="121" t="s">
        <v>417</v>
      </c>
      <c r="E37" s="107">
        <v>2.0</v>
      </c>
      <c r="F37" s="122">
        <f t="shared" si="1"/>
        <v>800</v>
      </c>
      <c r="G37" s="22">
        <f t="shared" si="2"/>
        <v>1</v>
      </c>
      <c r="H37" s="123" t="s">
        <v>20</v>
      </c>
      <c r="I37" s="126"/>
      <c r="J37" s="127"/>
      <c r="K37" s="31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>
      <c r="A38" s="107">
        <v>35.0</v>
      </c>
      <c r="B38" s="138">
        <v>1003418.0</v>
      </c>
      <c r="C38" s="120" t="str">
        <f>vlookup(B38,'Crew Data'!C:G,5,0)</f>
        <v>Chiravitch Kittiphongsathaporn</v>
      </c>
      <c r="D38" s="121" t="s">
        <v>418</v>
      </c>
      <c r="E38" s="107">
        <v>2.0</v>
      </c>
      <c r="F38" s="122">
        <f t="shared" si="1"/>
        <v>800</v>
      </c>
      <c r="G38" s="22">
        <f t="shared" si="2"/>
        <v>1</v>
      </c>
      <c r="H38" s="123" t="s">
        <v>20</v>
      </c>
      <c r="I38" s="126"/>
      <c r="J38" s="127"/>
      <c r="K38" s="31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>
      <c r="A39" s="107">
        <v>36.0</v>
      </c>
      <c r="B39" s="138">
        <v>1007020.0</v>
      </c>
      <c r="C39" s="120" t="str">
        <f>vlookup(B39,'Crew Data'!C:G,5,0)</f>
        <v>Thamonwan Chinnarukbumrung</v>
      </c>
      <c r="D39" s="121" t="s">
        <v>419</v>
      </c>
      <c r="E39" s="107">
        <v>2.0</v>
      </c>
      <c r="F39" s="122">
        <f t="shared" si="1"/>
        <v>800</v>
      </c>
      <c r="G39" s="22">
        <f t="shared" si="2"/>
        <v>1</v>
      </c>
      <c r="H39" s="123" t="s">
        <v>20</v>
      </c>
      <c r="I39" s="126"/>
      <c r="J39" s="127"/>
      <c r="K39" s="31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>
      <c r="A40" s="107">
        <v>37.0</v>
      </c>
      <c r="B40" s="138">
        <v>1019193.0</v>
      </c>
      <c r="C40" s="120" t="str">
        <f>vlookup(B40,'Crew Data'!C:G,5,0)</f>
        <v>Nattaporn Pattarasiriwong</v>
      </c>
      <c r="D40" s="121" t="s">
        <v>420</v>
      </c>
      <c r="E40" s="107">
        <v>2.0</v>
      </c>
      <c r="F40" s="122">
        <f t="shared" si="1"/>
        <v>800</v>
      </c>
      <c r="G40" s="22">
        <f t="shared" si="2"/>
        <v>1</v>
      </c>
      <c r="H40" s="123" t="s">
        <v>20</v>
      </c>
      <c r="I40" s="126"/>
      <c r="J40" s="127"/>
      <c r="K40" s="31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>
      <c r="A41" s="107">
        <v>38.0</v>
      </c>
      <c r="B41" s="140">
        <v>1002207.0</v>
      </c>
      <c r="C41" s="120" t="str">
        <f>vlookup(B41,'Crew Data'!C:G,5,0)</f>
        <v>Phakaon Chaiwong</v>
      </c>
      <c r="D41" s="121" t="s">
        <v>413</v>
      </c>
      <c r="E41" s="107">
        <v>2.0</v>
      </c>
      <c r="F41" s="122">
        <f t="shared" si="1"/>
        <v>800</v>
      </c>
      <c r="G41" s="22">
        <f t="shared" si="2"/>
        <v>1</v>
      </c>
      <c r="H41" s="123" t="s">
        <v>20</v>
      </c>
      <c r="I41" s="126"/>
      <c r="J41" s="127"/>
      <c r="K41" s="31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>
      <c r="A42" s="107">
        <v>39.0</v>
      </c>
      <c r="B42" s="138">
        <v>1010925.0</v>
      </c>
      <c r="C42" s="120" t="str">
        <f>vlookup(B42,'Crew Data'!C:G,5,0)</f>
        <v>Thanatdanai Kaewchusen</v>
      </c>
      <c r="D42" s="121" t="s">
        <v>421</v>
      </c>
      <c r="E42" s="107">
        <v>2.0</v>
      </c>
      <c r="F42" s="122">
        <f t="shared" si="1"/>
        <v>800</v>
      </c>
      <c r="G42" s="22">
        <f t="shared" si="2"/>
        <v>1</v>
      </c>
      <c r="H42" s="123" t="s">
        <v>20</v>
      </c>
      <c r="I42" s="126"/>
      <c r="J42" s="127"/>
      <c r="K42" s="31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>
      <c r="A43" s="107">
        <v>40.0</v>
      </c>
      <c r="B43" s="141">
        <v>1040861.0</v>
      </c>
      <c r="C43" s="120" t="str">
        <f>vlookup(B43,'Crew Data'!C:G,5,0)</f>
        <v>Chanikan Naktongkaew</v>
      </c>
      <c r="D43" s="121" t="s">
        <v>413</v>
      </c>
      <c r="E43" s="107">
        <v>2.0</v>
      </c>
      <c r="F43" s="122">
        <f t="shared" si="1"/>
        <v>800</v>
      </c>
      <c r="G43" s="22">
        <f t="shared" si="2"/>
        <v>1</v>
      </c>
      <c r="H43" s="123" t="s">
        <v>20</v>
      </c>
      <c r="I43" s="126"/>
      <c r="J43" s="127"/>
      <c r="K43" s="31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>
      <c r="A44" s="107">
        <v>41.0</v>
      </c>
      <c r="B44" s="141">
        <v>1011516.0</v>
      </c>
      <c r="C44" s="120" t="str">
        <f>vlookup(B44,'Crew Data'!C:G,5,0)</f>
        <v>Thitipol Soontorn-Anantakul</v>
      </c>
      <c r="D44" s="121" t="s">
        <v>421</v>
      </c>
      <c r="E44" s="107">
        <v>2.0</v>
      </c>
      <c r="F44" s="122">
        <f t="shared" si="1"/>
        <v>800</v>
      </c>
      <c r="G44" s="22">
        <f t="shared" si="2"/>
        <v>1</v>
      </c>
      <c r="H44" s="123" t="s">
        <v>20</v>
      </c>
      <c r="I44" s="126"/>
      <c r="J44" s="127"/>
      <c r="K44" s="31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>
      <c r="A45" s="107">
        <v>42.0</v>
      </c>
      <c r="B45" s="138">
        <v>1010915.0</v>
      </c>
      <c r="C45" s="120" t="str">
        <f>vlookup(B45,'Crew Data'!C:G,5,0)</f>
        <v>Sirirut Ruasomboon</v>
      </c>
      <c r="D45" s="121" t="s">
        <v>422</v>
      </c>
      <c r="E45" s="107">
        <v>2.0</v>
      </c>
      <c r="F45" s="122">
        <f t="shared" si="1"/>
        <v>800</v>
      </c>
      <c r="G45" s="22">
        <f t="shared" si="2"/>
        <v>1</v>
      </c>
      <c r="H45" s="123" t="s">
        <v>20</v>
      </c>
      <c r="I45" s="126"/>
      <c r="J45" s="127"/>
      <c r="K45" s="31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>
      <c r="A46" s="107">
        <v>43.0</v>
      </c>
      <c r="B46" s="138">
        <v>1040354.0</v>
      </c>
      <c r="C46" s="120" t="str">
        <f>vlookup(B46,'Crew Data'!C:G,5,0)</f>
        <v>#N/A</v>
      </c>
      <c r="D46" s="121" t="s">
        <v>423</v>
      </c>
      <c r="E46" s="107">
        <v>4.0</v>
      </c>
      <c r="F46" s="122">
        <f t="shared" si="1"/>
        <v>1600</v>
      </c>
      <c r="G46" s="22">
        <f t="shared" si="2"/>
        <v>1</v>
      </c>
      <c r="H46" s="123" t="s">
        <v>20</v>
      </c>
      <c r="I46" s="126"/>
      <c r="J46" s="127"/>
      <c r="K46" s="31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>
      <c r="A47" s="107">
        <v>44.0</v>
      </c>
      <c r="B47" s="138">
        <v>1039105.0</v>
      </c>
      <c r="C47" s="120" t="str">
        <f>vlookup(B47,'Crew Data'!C:G,5,0)</f>
        <v>Nutarika Muangpho</v>
      </c>
      <c r="D47" s="121" t="s">
        <v>413</v>
      </c>
      <c r="E47" s="107">
        <v>2.0</v>
      </c>
      <c r="F47" s="122">
        <f t="shared" si="1"/>
        <v>800</v>
      </c>
      <c r="G47" s="22">
        <f t="shared" si="2"/>
        <v>1</v>
      </c>
      <c r="H47" s="123" t="s">
        <v>20</v>
      </c>
      <c r="I47" s="126"/>
      <c r="J47" s="127"/>
      <c r="K47" s="31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>
      <c r="A48" s="107">
        <v>45.0</v>
      </c>
      <c r="B48" s="138">
        <v>1040505.0</v>
      </c>
      <c r="C48" s="120" t="str">
        <f>vlookup(B48,'Crew Data'!C:G,5,0)</f>
        <v>Atchamaporn Pimrin</v>
      </c>
      <c r="D48" s="121" t="s">
        <v>421</v>
      </c>
      <c r="E48" s="107">
        <v>2.0</v>
      </c>
      <c r="F48" s="122">
        <f t="shared" si="1"/>
        <v>800</v>
      </c>
      <c r="G48" s="22">
        <f t="shared" si="2"/>
        <v>1</v>
      </c>
      <c r="H48" s="123" t="s">
        <v>20</v>
      </c>
      <c r="I48" s="126"/>
      <c r="J48" s="127"/>
      <c r="K48" s="31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>
      <c r="A49" s="107">
        <v>46.0</v>
      </c>
      <c r="B49" s="138">
        <v>1011513.0</v>
      </c>
      <c r="C49" s="120" t="str">
        <f>vlookup(B49,'Crew Data'!C:G,5,0)</f>
        <v>Rawitnat Marayat</v>
      </c>
      <c r="D49" s="121" t="s">
        <v>424</v>
      </c>
      <c r="E49" s="107">
        <v>2.0</v>
      </c>
      <c r="F49" s="122">
        <f t="shared" si="1"/>
        <v>800</v>
      </c>
      <c r="G49" s="22">
        <f t="shared" si="2"/>
        <v>1</v>
      </c>
      <c r="H49" s="123" t="s">
        <v>20</v>
      </c>
      <c r="I49" s="126"/>
      <c r="J49" s="127"/>
      <c r="K49" s="31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>
      <c r="A50" s="107">
        <v>47.0</v>
      </c>
      <c r="B50" s="138">
        <v>1019556.0</v>
      </c>
      <c r="C50" s="120" t="str">
        <f>vlookup(B50,'Crew Data'!C:G,5,0)</f>
        <v>Warintorn Rachanikorn</v>
      </c>
      <c r="D50" s="121" t="s">
        <v>422</v>
      </c>
      <c r="E50" s="107">
        <v>2.0</v>
      </c>
      <c r="F50" s="122">
        <f t="shared" si="1"/>
        <v>800</v>
      </c>
      <c r="G50" s="22">
        <f t="shared" si="2"/>
        <v>1</v>
      </c>
      <c r="H50" s="123" t="s">
        <v>20</v>
      </c>
      <c r="I50" s="126"/>
      <c r="J50" s="127"/>
      <c r="K50" s="31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>
      <c r="A51" s="107">
        <v>48.0</v>
      </c>
      <c r="B51" s="138">
        <v>1007153.0</v>
      </c>
      <c r="C51" s="120" t="str">
        <f>vlookup(B51,'Crew Data'!C:G,5,0)</f>
        <v>Pannathat Chuchuaisuwan</v>
      </c>
      <c r="D51" s="121" t="s">
        <v>424</v>
      </c>
      <c r="E51" s="107">
        <v>2.0</v>
      </c>
      <c r="F51" s="122">
        <f t="shared" si="1"/>
        <v>800</v>
      </c>
      <c r="G51" s="22">
        <f t="shared" si="2"/>
        <v>1</v>
      </c>
      <c r="H51" s="123" t="s">
        <v>20</v>
      </c>
      <c r="I51" s="126"/>
      <c r="J51" s="127"/>
      <c r="K51" s="31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>
      <c r="A52" s="107">
        <v>49.0</v>
      </c>
      <c r="B52" s="138">
        <v>1022663.0</v>
      </c>
      <c r="C52" s="120" t="str">
        <f>vlookup(B52,'Crew Data'!C:G,5,0)</f>
        <v>Parunya Poonsuk</v>
      </c>
      <c r="D52" s="121" t="s">
        <v>424</v>
      </c>
      <c r="E52" s="107">
        <v>2.0</v>
      </c>
      <c r="F52" s="122">
        <f t="shared" si="1"/>
        <v>800</v>
      </c>
      <c r="G52" s="22">
        <f t="shared" si="2"/>
        <v>1</v>
      </c>
      <c r="H52" s="123" t="s">
        <v>20</v>
      </c>
      <c r="I52" s="126"/>
      <c r="J52" s="127"/>
      <c r="K52" s="31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>
      <c r="A53" s="107">
        <v>50.0</v>
      </c>
      <c r="B53" s="138">
        <v>1023607.0</v>
      </c>
      <c r="C53" s="120" t="str">
        <f>vlookup(B53,'Crew Data'!C:G,5,0)</f>
        <v>Kanes Boonyapanachoti</v>
      </c>
      <c r="D53" s="121" t="s">
        <v>424</v>
      </c>
      <c r="E53" s="107">
        <v>2.0</v>
      </c>
      <c r="F53" s="122">
        <f t="shared" si="1"/>
        <v>800</v>
      </c>
      <c r="G53" s="22">
        <f t="shared" si="2"/>
        <v>1</v>
      </c>
      <c r="H53" s="123" t="s">
        <v>20</v>
      </c>
      <c r="I53" s="126"/>
      <c r="J53" s="127"/>
      <c r="K53" s="31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>
      <c r="A54" s="107">
        <v>51.0</v>
      </c>
      <c r="B54" s="138">
        <v>1007005.0</v>
      </c>
      <c r="C54" s="120" t="str">
        <f>vlookup(B54,'Crew Data'!C:G,5,0)</f>
        <v>#N/A</v>
      </c>
      <c r="D54" s="121" t="s">
        <v>425</v>
      </c>
      <c r="E54" s="107">
        <v>4.0</v>
      </c>
      <c r="F54" s="122">
        <f t="shared" si="1"/>
        <v>1600</v>
      </c>
      <c r="G54" s="22">
        <f t="shared" si="2"/>
        <v>1</v>
      </c>
      <c r="H54" s="123" t="s">
        <v>20</v>
      </c>
      <c r="I54" s="126"/>
      <c r="J54" s="127"/>
      <c r="K54" s="31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>
      <c r="A55" s="107">
        <v>52.0</v>
      </c>
      <c r="B55" s="138">
        <v>1019394.0</v>
      </c>
      <c r="C55" s="120" t="str">
        <f>vlookup(B55,'Crew Data'!C:G,5,0)</f>
        <v>#N/A</v>
      </c>
      <c r="D55" s="121" t="s">
        <v>414</v>
      </c>
      <c r="E55" s="107">
        <v>2.0</v>
      </c>
      <c r="F55" s="122">
        <f t="shared" si="1"/>
        <v>800</v>
      </c>
      <c r="G55" s="22">
        <f t="shared" si="2"/>
        <v>1</v>
      </c>
      <c r="H55" s="123" t="s">
        <v>20</v>
      </c>
      <c r="I55" s="126"/>
      <c r="J55" s="127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>
      <c r="A56" s="107">
        <v>53.0</v>
      </c>
      <c r="B56" s="138">
        <v>1019409.0</v>
      </c>
      <c r="C56" s="120" t="str">
        <f>vlookup(B56,'Crew Data'!C:G,5,0)</f>
        <v>Chitipat Thananitdullayaphak</v>
      </c>
      <c r="D56" s="121" t="s">
        <v>414</v>
      </c>
      <c r="E56" s="107">
        <v>2.0</v>
      </c>
      <c r="F56" s="122">
        <f t="shared" si="1"/>
        <v>800</v>
      </c>
      <c r="G56" s="22">
        <f t="shared" si="2"/>
        <v>1</v>
      </c>
      <c r="H56" s="123" t="s">
        <v>20</v>
      </c>
      <c r="I56" s="126"/>
      <c r="J56" s="127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>
      <c r="A57" s="107">
        <v>54.0</v>
      </c>
      <c r="B57" s="138">
        <v>1022223.0</v>
      </c>
      <c r="C57" s="120" t="str">
        <f>vlookup(B57,'Crew Data'!C:G,5,0)</f>
        <v>Nantapak Benjasiriporn</v>
      </c>
      <c r="D57" s="121" t="s">
        <v>426</v>
      </c>
      <c r="E57" s="107">
        <v>2.0</v>
      </c>
      <c r="F57" s="122">
        <f t="shared" si="1"/>
        <v>800</v>
      </c>
      <c r="G57" s="22">
        <f t="shared" si="2"/>
        <v>1</v>
      </c>
      <c r="H57" s="123" t="s">
        <v>20</v>
      </c>
      <c r="I57" s="126"/>
      <c r="J57" s="127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>
      <c r="A58" s="107">
        <v>55.0</v>
      </c>
      <c r="B58" s="138">
        <v>1006899.0</v>
      </c>
      <c r="C58" s="120" t="str">
        <f>vlookup(B58,'Crew Data'!C:G,5,0)</f>
        <v>Phakchira Charoensuk</v>
      </c>
      <c r="D58" s="121" t="s">
        <v>426</v>
      </c>
      <c r="E58" s="107">
        <v>2.0</v>
      </c>
      <c r="F58" s="122">
        <f t="shared" si="1"/>
        <v>800</v>
      </c>
      <c r="G58" s="22">
        <f t="shared" si="2"/>
        <v>1</v>
      </c>
      <c r="H58" s="123" t="s">
        <v>20</v>
      </c>
      <c r="I58" s="126"/>
      <c r="J58" s="127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>
      <c r="A59" s="107">
        <v>56.0</v>
      </c>
      <c r="B59" s="138">
        <v>1012975.0</v>
      </c>
      <c r="C59" s="120" t="str">
        <f>vlookup(B59,'Crew Data'!C:G,5,0)</f>
        <v>Chalintara Chinaratana</v>
      </c>
      <c r="D59" s="121" t="s">
        <v>427</v>
      </c>
      <c r="E59" s="107">
        <v>2.0</v>
      </c>
      <c r="F59" s="122">
        <f t="shared" si="1"/>
        <v>800</v>
      </c>
      <c r="G59" s="22">
        <f t="shared" si="2"/>
        <v>1</v>
      </c>
      <c r="H59" s="123" t="s">
        <v>20</v>
      </c>
      <c r="I59" s="126"/>
      <c r="J59" s="127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>
      <c r="A60" s="107">
        <v>57.0</v>
      </c>
      <c r="B60" s="138">
        <v>1004850.0</v>
      </c>
      <c r="C60" s="120" t="str">
        <f>vlookup(B60,'Crew Data'!C:G,5,0)</f>
        <v>Nantawan Siripanich</v>
      </c>
      <c r="D60" s="121" t="s">
        <v>428</v>
      </c>
      <c r="E60" s="107">
        <v>2.0</v>
      </c>
      <c r="F60" s="122">
        <f t="shared" si="1"/>
        <v>800</v>
      </c>
      <c r="G60" s="22">
        <f t="shared" si="2"/>
        <v>1</v>
      </c>
      <c r="H60" s="123" t="s">
        <v>20</v>
      </c>
      <c r="I60" s="126"/>
      <c r="J60" s="127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>
      <c r="A61" s="107">
        <v>58.0</v>
      </c>
      <c r="B61" s="138">
        <v>1018977.0</v>
      </c>
      <c r="C61" s="120" t="str">
        <f>vlookup(B61,'Crew Data'!C:G,5,0)</f>
        <v>Ploypailin Chuntawong</v>
      </c>
      <c r="D61" s="121" t="s">
        <v>426</v>
      </c>
      <c r="E61" s="107">
        <v>2.0</v>
      </c>
      <c r="F61" s="122">
        <f t="shared" si="1"/>
        <v>800</v>
      </c>
      <c r="G61" s="22">
        <f t="shared" si="2"/>
        <v>1</v>
      </c>
      <c r="H61" s="123" t="s">
        <v>20</v>
      </c>
      <c r="I61" s="126"/>
      <c r="J61" s="127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>
      <c r="A62" s="107">
        <v>59.0</v>
      </c>
      <c r="B62" s="138">
        <v>1025318.0</v>
      </c>
      <c r="C62" s="120" t="str">
        <f>vlookup(B62,'Crew Data'!C:G,5,0)</f>
        <v>Jetsada Sutthiniam</v>
      </c>
      <c r="D62" s="121" t="s">
        <v>429</v>
      </c>
      <c r="E62" s="107">
        <v>2.0</v>
      </c>
      <c r="F62" s="122">
        <f t="shared" si="1"/>
        <v>800</v>
      </c>
      <c r="G62" s="22">
        <f t="shared" si="2"/>
        <v>1</v>
      </c>
      <c r="H62" s="123" t="s">
        <v>20</v>
      </c>
      <c r="I62" s="126"/>
      <c r="J62" s="127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>
      <c r="A63" s="107">
        <v>60.0</v>
      </c>
      <c r="B63" s="138">
        <v>1001286.0</v>
      </c>
      <c r="C63" s="120" t="str">
        <f>vlookup(B63,'Crew Data'!C:G,5,0)</f>
        <v>Sirinart Auypornbusyakom</v>
      </c>
      <c r="D63" s="121" t="s">
        <v>427</v>
      </c>
      <c r="E63" s="107">
        <v>2.0</v>
      </c>
      <c r="F63" s="122">
        <f t="shared" si="1"/>
        <v>800</v>
      </c>
      <c r="G63" s="22">
        <f t="shared" si="2"/>
        <v>1</v>
      </c>
      <c r="H63" s="123" t="s">
        <v>20</v>
      </c>
      <c r="I63" s="126"/>
      <c r="J63" s="127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>
      <c r="A64" s="107">
        <v>61.0</v>
      </c>
      <c r="B64" s="138">
        <v>1011307.0</v>
      </c>
      <c r="C64" s="120" t="str">
        <f>vlookup(B64,'Crew Data'!C:G,5,0)</f>
        <v>Munnanicha Sarakong</v>
      </c>
      <c r="D64" s="121" t="s">
        <v>422</v>
      </c>
      <c r="E64" s="107">
        <v>2.0</v>
      </c>
      <c r="F64" s="122">
        <f t="shared" si="1"/>
        <v>800</v>
      </c>
      <c r="G64" s="22">
        <f t="shared" si="2"/>
        <v>1</v>
      </c>
      <c r="H64" s="123" t="s">
        <v>20</v>
      </c>
      <c r="I64" s="126"/>
      <c r="J64" s="127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>
      <c r="A65" s="107">
        <v>62.0</v>
      </c>
      <c r="B65" s="138">
        <v>1006086.0</v>
      </c>
      <c r="C65" s="120" t="str">
        <f>vlookup(B65,'Crew Data'!C:G,5,0)</f>
        <v>Tanaporn Wongviboonkul</v>
      </c>
      <c r="D65" s="121" t="s">
        <v>429</v>
      </c>
      <c r="E65" s="107">
        <v>2.0</v>
      </c>
      <c r="F65" s="122">
        <f t="shared" si="1"/>
        <v>800</v>
      </c>
      <c r="G65" s="22">
        <f t="shared" si="2"/>
        <v>1</v>
      </c>
      <c r="H65" s="123" t="s">
        <v>20</v>
      </c>
      <c r="I65" s="126"/>
      <c r="J65" s="127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>
      <c r="A66" s="107">
        <v>63.0</v>
      </c>
      <c r="B66" s="138">
        <v>1009156.0</v>
      </c>
      <c r="C66" s="120" t="str">
        <f>vlookup(B66,'Crew Data'!C:G,5,0)</f>
        <v>Peamkate Kullasit</v>
      </c>
      <c r="D66" s="121" t="s">
        <v>426</v>
      </c>
      <c r="E66" s="107">
        <v>2.0</v>
      </c>
      <c r="F66" s="122">
        <f t="shared" si="1"/>
        <v>800</v>
      </c>
      <c r="G66" s="22">
        <f t="shared" si="2"/>
        <v>1</v>
      </c>
      <c r="H66" s="123" t="s">
        <v>20</v>
      </c>
      <c r="I66" s="126"/>
      <c r="J66" s="127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>
      <c r="A67" s="107">
        <v>64.0</v>
      </c>
      <c r="B67" s="138">
        <v>1025323.0</v>
      </c>
      <c r="C67" s="120" t="str">
        <f>vlookup(B67,'Crew Data'!C:G,5,0)</f>
        <v>Jariya Tangmahamek</v>
      </c>
      <c r="D67" s="121" t="s">
        <v>430</v>
      </c>
      <c r="E67" s="107">
        <v>2.0</v>
      </c>
      <c r="F67" s="122">
        <f t="shared" si="1"/>
        <v>800</v>
      </c>
      <c r="G67" s="22">
        <f t="shared" si="2"/>
        <v>1</v>
      </c>
      <c r="H67" s="123" t="s">
        <v>20</v>
      </c>
      <c r="I67" s="126"/>
      <c r="J67" s="127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>
      <c r="A68" s="107">
        <v>65.0</v>
      </c>
      <c r="B68" s="138">
        <v>1012907.0</v>
      </c>
      <c r="C68" s="120" t="str">
        <f>vlookup(B68,'Crew Data'!C:G,5,0)</f>
        <v>Thiranuch Chantavarin</v>
      </c>
      <c r="D68" s="121" t="s">
        <v>419</v>
      </c>
      <c r="E68" s="107">
        <v>2.0</v>
      </c>
      <c r="F68" s="122">
        <f t="shared" si="1"/>
        <v>800</v>
      </c>
      <c r="G68" s="22">
        <f t="shared" si="2"/>
        <v>1</v>
      </c>
      <c r="H68" s="123" t="s">
        <v>20</v>
      </c>
      <c r="I68" s="126"/>
      <c r="J68" s="127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>
      <c r="A69" s="107">
        <v>66.0</v>
      </c>
      <c r="B69" s="138">
        <v>1006987.0</v>
      </c>
      <c r="C69" s="120" t="str">
        <f>vlookup(B69,'Crew Data'!C:G,5,0)</f>
        <v>Ailada Arjsiri</v>
      </c>
      <c r="D69" s="121" t="s">
        <v>431</v>
      </c>
      <c r="E69" s="107">
        <v>2.0</v>
      </c>
      <c r="F69" s="122">
        <f t="shared" si="1"/>
        <v>800</v>
      </c>
      <c r="G69" s="22">
        <f t="shared" si="2"/>
        <v>1</v>
      </c>
      <c r="H69" s="123" t="s">
        <v>20</v>
      </c>
      <c r="I69" s="126"/>
      <c r="J69" s="127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>
      <c r="A70" s="107">
        <v>67.0</v>
      </c>
      <c r="B70" s="138">
        <v>1004536.0</v>
      </c>
      <c r="C70" s="120" t="str">
        <f>vlookup(B70,'Crew Data'!C:G,5,0)</f>
        <v>Rathawit Vachirasittapong</v>
      </c>
      <c r="D70" s="121" t="s">
        <v>432</v>
      </c>
      <c r="E70" s="107">
        <v>2.0</v>
      </c>
      <c r="F70" s="122">
        <f t="shared" si="1"/>
        <v>800</v>
      </c>
      <c r="G70" s="22">
        <f t="shared" si="2"/>
        <v>1</v>
      </c>
      <c r="H70" s="123" t="s">
        <v>20</v>
      </c>
      <c r="I70" s="126"/>
      <c r="J70" s="127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>
      <c r="A71" s="107">
        <v>68.0</v>
      </c>
      <c r="B71" s="138">
        <v>1038743.0</v>
      </c>
      <c r="C71" s="120" t="str">
        <f>vlookup(B71,'Crew Data'!C:G,5,0)</f>
        <v>Patsara Panlers</v>
      </c>
      <c r="D71" s="121" t="s">
        <v>428</v>
      </c>
      <c r="E71" s="107">
        <v>2.0</v>
      </c>
      <c r="F71" s="122">
        <f t="shared" si="1"/>
        <v>800</v>
      </c>
      <c r="G71" s="22">
        <f t="shared" si="2"/>
        <v>1</v>
      </c>
      <c r="H71" s="123" t="s">
        <v>20</v>
      </c>
      <c r="I71" s="126"/>
      <c r="J71" s="127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>
      <c r="A72" s="107">
        <v>69.0</v>
      </c>
      <c r="B72" s="138">
        <v>1007016.0</v>
      </c>
      <c r="C72" s="120" t="str">
        <f>vlookup(B72,'Crew Data'!C:G,5,0)</f>
        <v>Sathita Pongsomran</v>
      </c>
      <c r="D72" s="121" t="s">
        <v>433</v>
      </c>
      <c r="E72" s="107">
        <v>3.0</v>
      </c>
      <c r="F72" s="122">
        <f t="shared" si="1"/>
        <v>1200</v>
      </c>
      <c r="G72" s="22">
        <f t="shared" si="2"/>
        <v>1</v>
      </c>
      <c r="H72" s="123" t="s">
        <v>20</v>
      </c>
      <c r="I72" s="126"/>
      <c r="J72" s="127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>
      <c r="A73" s="107">
        <v>70.0</v>
      </c>
      <c r="B73" s="138">
        <v>1007009.0</v>
      </c>
      <c r="C73" s="120" t="str">
        <f>vlookup(B73,'Crew Data'!C:G,5,0)</f>
        <v>Busayarat Pongratanakul</v>
      </c>
      <c r="D73" s="121" t="s">
        <v>434</v>
      </c>
      <c r="E73" s="107">
        <v>2.0</v>
      </c>
      <c r="F73" s="122">
        <f t="shared" si="1"/>
        <v>800</v>
      </c>
      <c r="G73" s="22">
        <f t="shared" si="2"/>
        <v>1</v>
      </c>
      <c r="H73" s="123" t="s">
        <v>20</v>
      </c>
      <c r="I73" s="126"/>
      <c r="J73" s="127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>
      <c r="A74" s="107">
        <v>71.0</v>
      </c>
      <c r="B74" s="138">
        <v>1001837.0</v>
      </c>
      <c r="C74" s="120" t="str">
        <f>vlookup(B74,'Crew Data'!C:G,5,0)</f>
        <v>Taralan Jareemuk</v>
      </c>
      <c r="D74" s="121" t="s">
        <v>429</v>
      </c>
      <c r="E74" s="107">
        <v>2.0</v>
      </c>
      <c r="F74" s="122">
        <f t="shared" si="1"/>
        <v>800</v>
      </c>
      <c r="G74" s="22">
        <f t="shared" si="2"/>
        <v>1</v>
      </c>
      <c r="H74" s="123" t="s">
        <v>20</v>
      </c>
      <c r="I74" s="126"/>
      <c r="J74" s="130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>
      <c r="A75" s="107">
        <v>72.0</v>
      </c>
      <c r="B75" s="138">
        <v>1010880.0</v>
      </c>
      <c r="C75" s="120" t="str">
        <f>vlookup(B75,'Crew Data'!C:G,5,0)</f>
        <v>Chutima Thitisantikhun</v>
      </c>
      <c r="D75" s="121" t="s">
        <v>435</v>
      </c>
      <c r="E75" s="107">
        <v>2.0</v>
      </c>
      <c r="F75" s="122">
        <f t="shared" si="1"/>
        <v>800</v>
      </c>
      <c r="G75" s="22">
        <f t="shared" si="2"/>
        <v>1</v>
      </c>
      <c r="H75" s="123" t="s">
        <v>20</v>
      </c>
      <c r="I75" s="126"/>
      <c r="J75" s="130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>
      <c r="A76" s="107">
        <v>73.0</v>
      </c>
      <c r="B76" s="138">
        <v>1007030.0</v>
      </c>
      <c r="C76" s="120" t="str">
        <f>vlookup(B76,'Crew Data'!C:G,5,0)</f>
        <v>Poramate Rattanaseksun</v>
      </c>
      <c r="D76" s="121" t="s">
        <v>436</v>
      </c>
      <c r="E76" s="107">
        <v>2.0</v>
      </c>
      <c r="F76" s="122">
        <f t="shared" si="1"/>
        <v>800</v>
      </c>
      <c r="G76" s="22">
        <f t="shared" si="2"/>
        <v>1</v>
      </c>
      <c r="H76" s="123" t="s">
        <v>20</v>
      </c>
      <c r="I76" s="126"/>
      <c r="J76" s="130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>
      <c r="A77" s="107">
        <v>74.0</v>
      </c>
      <c r="B77" s="138">
        <v>1006344.0</v>
      </c>
      <c r="C77" s="120" t="str">
        <f>vlookup(B77,'Crew Data'!C:G,5,0)</f>
        <v>Rungnapa Sawaruk</v>
      </c>
      <c r="D77" s="121" t="s">
        <v>431</v>
      </c>
      <c r="E77" s="107">
        <v>2.0</v>
      </c>
      <c r="F77" s="122">
        <f t="shared" si="1"/>
        <v>800</v>
      </c>
      <c r="G77" s="22">
        <f t="shared" si="2"/>
        <v>1</v>
      </c>
      <c r="H77" s="123" t="s">
        <v>20</v>
      </c>
      <c r="I77" s="126"/>
      <c r="J77" s="130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>
      <c r="A78" s="107">
        <v>75.0</v>
      </c>
      <c r="B78" s="138">
        <v>1011053.0</v>
      </c>
      <c r="C78" s="120" t="str">
        <f>vlookup(B78,'Crew Data'!C:G,5,0)</f>
        <v>Athit Sornsiriwong</v>
      </c>
      <c r="D78" s="121" t="s">
        <v>436</v>
      </c>
      <c r="E78" s="107">
        <v>2.0</v>
      </c>
      <c r="F78" s="122">
        <f t="shared" si="1"/>
        <v>800</v>
      </c>
      <c r="G78" s="22">
        <f t="shared" si="2"/>
        <v>1</v>
      </c>
      <c r="H78" s="123" t="s">
        <v>20</v>
      </c>
      <c r="I78" s="126"/>
      <c r="J78" s="130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>
      <c r="A79" s="107">
        <v>76.0</v>
      </c>
      <c r="B79" s="139">
        <v>1006897.0</v>
      </c>
      <c r="C79" s="120" t="str">
        <f>vlookup(B79,'Crew Data'!C:G,5,0)</f>
        <v>Padejkarn Hanta</v>
      </c>
      <c r="D79" s="121" t="s">
        <v>427</v>
      </c>
      <c r="E79" s="107">
        <v>2.0</v>
      </c>
      <c r="F79" s="122">
        <f t="shared" si="1"/>
        <v>800</v>
      </c>
      <c r="G79" s="22">
        <f t="shared" si="2"/>
        <v>1</v>
      </c>
      <c r="H79" s="123" t="s">
        <v>20</v>
      </c>
      <c r="I79" s="126"/>
      <c r="J79" s="130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>
      <c r="A80" s="107">
        <v>77.0</v>
      </c>
      <c r="B80" s="138">
        <v>1005312.0</v>
      </c>
      <c r="C80" s="120" t="str">
        <f>vlookup(B80,'Crew Data'!C:G,5,0)</f>
        <v>Khemika Thnonchaikul</v>
      </c>
      <c r="D80" s="121" t="s">
        <v>437</v>
      </c>
      <c r="E80" s="107">
        <v>2.0</v>
      </c>
      <c r="F80" s="122">
        <f t="shared" si="1"/>
        <v>800</v>
      </c>
      <c r="G80" s="22">
        <f t="shared" si="2"/>
        <v>1</v>
      </c>
      <c r="H80" s="123" t="s">
        <v>20</v>
      </c>
      <c r="I80" s="126"/>
      <c r="J80" s="130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>
      <c r="A81" s="107">
        <v>78.0</v>
      </c>
      <c r="B81" s="138">
        <v>1004016.0</v>
      </c>
      <c r="C81" s="120" t="str">
        <f>vlookup(B81,'Crew Data'!C:G,5,0)</f>
        <v>Khamkhun Thapnoo</v>
      </c>
      <c r="D81" s="121" t="s">
        <v>438</v>
      </c>
      <c r="E81" s="107">
        <v>31.0</v>
      </c>
      <c r="F81" s="122">
        <f t="shared" si="1"/>
        <v>12400</v>
      </c>
      <c r="G81" s="22">
        <f t="shared" si="2"/>
        <v>1</v>
      </c>
      <c r="H81" s="123" t="s">
        <v>20</v>
      </c>
      <c r="I81" s="126"/>
      <c r="J81" s="130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>
      <c r="A82" s="107">
        <v>79.0</v>
      </c>
      <c r="B82" s="138">
        <v>1005972.0</v>
      </c>
      <c r="C82" s="120" t="str">
        <f>vlookup(B82,'Crew Data'!C:G,5,0)</f>
        <v>Wuttipon Onpuns</v>
      </c>
      <c r="D82" s="121" t="s">
        <v>438</v>
      </c>
      <c r="E82" s="107">
        <v>31.0</v>
      </c>
      <c r="F82" s="122">
        <f t="shared" si="1"/>
        <v>12400</v>
      </c>
      <c r="G82" s="22">
        <f t="shared" si="2"/>
        <v>1</v>
      </c>
      <c r="H82" s="123" t="s">
        <v>20</v>
      </c>
      <c r="I82" s="126"/>
      <c r="J82" s="130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>
      <c r="A83" s="107">
        <v>80.0</v>
      </c>
      <c r="B83" s="138">
        <v>1008952.0</v>
      </c>
      <c r="C83" s="120" t="str">
        <f>vlookup(B83,'Crew Data'!C:G,5,0)</f>
        <v>Chatdanai Insawang</v>
      </c>
      <c r="D83" s="121" t="s">
        <v>439</v>
      </c>
      <c r="E83" s="107">
        <v>27.0</v>
      </c>
      <c r="F83" s="122">
        <f t="shared" si="1"/>
        <v>10800</v>
      </c>
      <c r="G83" s="22">
        <f t="shared" si="2"/>
        <v>1</v>
      </c>
      <c r="H83" s="123" t="s">
        <v>20</v>
      </c>
      <c r="I83" s="126"/>
      <c r="J83" s="130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>
      <c r="A84" s="107">
        <v>81.0</v>
      </c>
      <c r="B84" s="138">
        <v>1004196.0</v>
      </c>
      <c r="C84" s="120" t="str">
        <f>vlookup(B84,'Crew Data'!C:G,5,0)</f>
        <v>Kanyarat Boonthanawat</v>
      </c>
      <c r="D84" s="121" t="s">
        <v>438</v>
      </c>
      <c r="E84" s="107">
        <v>31.0</v>
      </c>
      <c r="F84" s="122">
        <f t="shared" si="1"/>
        <v>12400</v>
      </c>
      <c r="G84" s="22">
        <f t="shared" si="2"/>
        <v>1</v>
      </c>
      <c r="H84" s="123" t="s">
        <v>20</v>
      </c>
      <c r="I84" s="126"/>
      <c r="J84" s="130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>
      <c r="A85" s="107">
        <v>82.0</v>
      </c>
      <c r="B85" s="138">
        <v>1013194.0</v>
      </c>
      <c r="C85" s="120" t="str">
        <f>vlookup(B85,'Crew Data'!C:G,5,0)</f>
        <v>Touch Meechamnan</v>
      </c>
      <c r="D85" s="121" t="s">
        <v>438</v>
      </c>
      <c r="E85" s="107">
        <v>31.0</v>
      </c>
      <c r="F85" s="122">
        <f t="shared" si="1"/>
        <v>12400</v>
      </c>
      <c r="G85" s="22">
        <f t="shared" si="2"/>
        <v>1</v>
      </c>
      <c r="H85" s="123" t="s">
        <v>20</v>
      </c>
      <c r="I85" s="126"/>
      <c r="J85" s="130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>
      <c r="A86" s="107">
        <v>83.0</v>
      </c>
      <c r="B86" s="138">
        <v>1025306.0</v>
      </c>
      <c r="C86" s="120" t="str">
        <f>vlookup(B86,'Crew Data'!C:G,5,0)</f>
        <v>Soravis Kissanaviparkporn</v>
      </c>
      <c r="D86" s="121" t="s">
        <v>440</v>
      </c>
      <c r="E86" s="107">
        <v>28.0</v>
      </c>
      <c r="F86" s="122">
        <f t="shared" si="1"/>
        <v>11200</v>
      </c>
      <c r="G86" s="22">
        <f t="shared" si="2"/>
        <v>1</v>
      </c>
      <c r="H86" s="123" t="s">
        <v>20</v>
      </c>
      <c r="I86" s="126"/>
      <c r="J86" s="130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>
      <c r="A87" s="107">
        <v>84.0</v>
      </c>
      <c r="B87" s="138">
        <v>1039129.0</v>
      </c>
      <c r="C87" s="120" t="str">
        <f>vlookup(B87,'Crew Data'!C:G,5,0)</f>
        <v>Thitikan Bubphachuen</v>
      </c>
      <c r="D87" s="121" t="s">
        <v>441</v>
      </c>
      <c r="E87" s="107">
        <v>4.0</v>
      </c>
      <c r="F87" s="122">
        <f t="shared" si="1"/>
        <v>1600</v>
      </c>
      <c r="G87" s="22">
        <f t="shared" si="2"/>
        <v>1</v>
      </c>
      <c r="H87" s="123" t="s">
        <v>20</v>
      </c>
      <c r="I87" s="126"/>
      <c r="J87" s="130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>
      <c r="A88" s="107">
        <v>85.0</v>
      </c>
      <c r="B88" s="138">
        <v>1011509.0</v>
      </c>
      <c r="C88" s="120" t="str">
        <f>vlookup(B88,'Crew Data'!C:G,5,0)</f>
        <v>Natcha Supakhong</v>
      </c>
      <c r="D88" s="125">
        <v>45808.0</v>
      </c>
      <c r="E88" s="107">
        <v>1.0</v>
      </c>
      <c r="F88" s="122">
        <f t="shared" si="1"/>
        <v>400</v>
      </c>
      <c r="G88" s="22">
        <f t="shared" si="2"/>
        <v>1</v>
      </c>
      <c r="H88" s="123" t="s">
        <v>20</v>
      </c>
      <c r="I88" s="126"/>
      <c r="J88" s="130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>
      <c r="A89" s="107">
        <v>86.0</v>
      </c>
      <c r="B89" s="138">
        <v>1005762.0</v>
      </c>
      <c r="C89" s="120" t="str">
        <f>vlookup(B89,'Crew Data'!C:G,5,0)</f>
        <v>Photchara Srisuk</v>
      </c>
      <c r="D89" s="121" t="s">
        <v>442</v>
      </c>
      <c r="E89" s="107">
        <v>28.0</v>
      </c>
      <c r="F89" s="122">
        <f t="shared" si="1"/>
        <v>11200</v>
      </c>
      <c r="G89" s="22">
        <f t="shared" si="2"/>
        <v>1</v>
      </c>
      <c r="H89" s="123" t="s">
        <v>20</v>
      </c>
      <c r="I89" s="126"/>
      <c r="J89" s="130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>
      <c r="A90" s="107">
        <v>87.0</v>
      </c>
      <c r="B90" s="138">
        <v>1011323.0</v>
      </c>
      <c r="C90" s="120" t="str">
        <f>vlookup(B90,'Crew Data'!C:G,5,0)</f>
        <v>Yommana Arunrat</v>
      </c>
      <c r="D90" s="121" t="s">
        <v>420</v>
      </c>
      <c r="E90" s="107">
        <v>2.0</v>
      </c>
      <c r="F90" s="122">
        <f t="shared" si="1"/>
        <v>800</v>
      </c>
      <c r="G90" s="22">
        <f t="shared" si="2"/>
        <v>1</v>
      </c>
      <c r="H90" s="123" t="s">
        <v>20</v>
      </c>
      <c r="I90" s="126"/>
      <c r="J90" s="130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>
      <c r="A91" s="107">
        <v>88.0</v>
      </c>
      <c r="B91" s="138">
        <v>1025144.0</v>
      </c>
      <c r="C91" s="120" t="str">
        <f>vlookup(B91,'Crew Data'!C:G,5,0)</f>
        <v>Maythawee Krabuansri</v>
      </c>
      <c r="D91" s="121" t="s">
        <v>443</v>
      </c>
      <c r="E91" s="107">
        <v>3.0</v>
      </c>
      <c r="F91" s="122">
        <f t="shared" si="1"/>
        <v>1200</v>
      </c>
      <c r="G91" s="22">
        <f t="shared" si="2"/>
        <v>1</v>
      </c>
      <c r="H91" s="123" t="s">
        <v>20</v>
      </c>
      <c r="I91" s="126"/>
      <c r="J91" s="130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>
      <c r="A92" s="107">
        <v>89.0</v>
      </c>
      <c r="B92" s="138">
        <v>1018532.0</v>
      </c>
      <c r="C92" s="120" t="str">
        <f>vlookup(B92,'Crew Data'!C:G,5,0)</f>
        <v>Kantachet Boonserm</v>
      </c>
      <c r="D92" s="121" t="s">
        <v>444</v>
      </c>
      <c r="E92" s="107">
        <v>4.0</v>
      </c>
      <c r="F92" s="122">
        <f t="shared" si="1"/>
        <v>1600</v>
      </c>
      <c r="G92" s="22">
        <f t="shared" si="2"/>
        <v>1</v>
      </c>
      <c r="H92" s="123" t="s">
        <v>20</v>
      </c>
      <c r="I92" s="126"/>
      <c r="J92" s="130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>
      <c r="A93" s="107">
        <v>81.0</v>
      </c>
      <c r="B93" s="138">
        <v>1003368.0</v>
      </c>
      <c r="C93" s="120" t="str">
        <f>vlookup(B93,'Crew Data'!C:G,5,0)</f>
        <v>Woradaluck Lerdthanapaijit</v>
      </c>
      <c r="D93" s="121" t="s">
        <v>437</v>
      </c>
      <c r="E93" s="107">
        <v>2.0</v>
      </c>
      <c r="F93" s="122">
        <f t="shared" si="1"/>
        <v>800</v>
      </c>
      <c r="G93" s="22">
        <f t="shared" si="2"/>
        <v>1</v>
      </c>
      <c r="H93" s="123" t="s">
        <v>20</v>
      </c>
      <c r="I93" s="126"/>
      <c r="J93" s="130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>
      <c r="A94" s="107">
        <v>82.0</v>
      </c>
      <c r="B94" s="138">
        <v>1001209.0</v>
      </c>
      <c r="C94" s="120" t="str">
        <f>vlookup(B94,'Crew Data'!C:G,5,0)</f>
        <v>Chadchaya Sinloy</v>
      </c>
      <c r="D94" s="121" t="s">
        <v>428</v>
      </c>
      <c r="E94" s="107">
        <v>2.0</v>
      </c>
      <c r="F94" s="122">
        <f t="shared" si="1"/>
        <v>800</v>
      </c>
      <c r="G94" s="22">
        <f t="shared" si="2"/>
        <v>1</v>
      </c>
      <c r="H94" s="123" t="s">
        <v>20</v>
      </c>
      <c r="I94" s="126"/>
      <c r="J94" s="130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>
      <c r="A95" s="107">
        <v>83.0</v>
      </c>
      <c r="B95" s="138">
        <v>1018535.0</v>
      </c>
      <c r="C95" s="120" t="str">
        <f>vlookup(B95,'Crew Data'!C:G,5,0)</f>
        <v>Nawapu Dontaolek</v>
      </c>
      <c r="D95" s="121" t="s">
        <v>445</v>
      </c>
      <c r="E95" s="107">
        <v>2.0</v>
      </c>
      <c r="F95" s="122">
        <f t="shared" si="1"/>
        <v>800</v>
      </c>
      <c r="G95" s="22">
        <f t="shared" si="2"/>
        <v>1</v>
      </c>
      <c r="H95" s="123" t="s">
        <v>20</v>
      </c>
      <c r="I95" s="126"/>
      <c r="J95" s="130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>
      <c r="A96" s="107">
        <v>84.0</v>
      </c>
      <c r="B96" s="138">
        <v>1011800.0</v>
      </c>
      <c r="C96" s="120" t="str">
        <f>vlookup(B96,'Crew Data'!C:G,5,0)</f>
        <v>Arisa Witthawaskul</v>
      </c>
      <c r="D96" s="121" t="s">
        <v>445</v>
      </c>
      <c r="E96" s="107">
        <v>2.0</v>
      </c>
      <c r="F96" s="122">
        <f t="shared" si="1"/>
        <v>800</v>
      </c>
      <c r="G96" s="22">
        <f t="shared" si="2"/>
        <v>1</v>
      </c>
      <c r="H96" s="123" t="s">
        <v>20</v>
      </c>
      <c r="I96" s="126"/>
      <c r="J96" s="130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>
      <c r="A97" s="107">
        <v>85.0</v>
      </c>
      <c r="B97" s="138">
        <v>1025545.0</v>
      </c>
      <c r="C97" s="120" t="str">
        <f>vlookup(B97,'Crew Data'!C:G,5,0)</f>
        <v>Pattanan Joompadong</v>
      </c>
      <c r="D97" s="121" t="s">
        <v>428</v>
      </c>
      <c r="E97" s="107">
        <v>2.0</v>
      </c>
      <c r="F97" s="122">
        <f t="shared" si="1"/>
        <v>800</v>
      </c>
      <c r="G97" s="22">
        <f t="shared" si="2"/>
        <v>1</v>
      </c>
      <c r="H97" s="123" t="s">
        <v>20</v>
      </c>
      <c r="I97" s="126"/>
      <c r="J97" s="130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>
      <c r="A98" s="107">
        <v>86.0</v>
      </c>
      <c r="B98" s="138">
        <v>1017639.0</v>
      </c>
      <c r="C98" s="120" t="str">
        <f>vlookup(B98,'Crew Data'!C:G,5,0)</f>
        <v>Dhanupol Sagulsukhmongkol</v>
      </c>
      <c r="D98" s="121" t="s">
        <v>412</v>
      </c>
      <c r="E98" s="107">
        <v>2.0</v>
      </c>
      <c r="F98" s="122">
        <f t="shared" si="1"/>
        <v>800</v>
      </c>
      <c r="G98" s="22">
        <f t="shared" si="2"/>
        <v>1</v>
      </c>
      <c r="H98" s="123" t="s">
        <v>20</v>
      </c>
      <c r="I98" s="126"/>
      <c r="J98" s="130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>
      <c r="A99" s="107">
        <v>87.0</v>
      </c>
      <c r="B99" s="138">
        <v>1001684.0</v>
      </c>
      <c r="C99" s="120" t="str">
        <f>vlookup(B99,'Crew Data'!C:G,5,0)</f>
        <v>Smita Kittisastra</v>
      </c>
      <c r="D99" s="121" t="s">
        <v>420</v>
      </c>
      <c r="E99" s="107">
        <v>2.0</v>
      </c>
      <c r="F99" s="122">
        <f t="shared" si="1"/>
        <v>800</v>
      </c>
      <c r="G99" s="22">
        <f t="shared" si="2"/>
        <v>1</v>
      </c>
      <c r="H99" s="123" t="s">
        <v>20</v>
      </c>
      <c r="I99" s="126"/>
      <c r="J99" s="130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>
      <c r="A100" s="107">
        <v>88.0</v>
      </c>
      <c r="B100" s="138">
        <v>1000735.0</v>
      </c>
      <c r="C100" s="120" t="str">
        <f>vlookup(B100,'Crew Data'!C:G,5,0)</f>
        <v>Darunee Duangdara</v>
      </c>
      <c r="D100" s="121" t="s">
        <v>434</v>
      </c>
      <c r="E100" s="107">
        <v>2.0</v>
      </c>
      <c r="F100" s="122">
        <f t="shared" si="1"/>
        <v>800</v>
      </c>
      <c r="G100" s="22">
        <f t="shared" si="2"/>
        <v>1</v>
      </c>
      <c r="H100" s="123" t="s">
        <v>20</v>
      </c>
      <c r="I100" s="126"/>
      <c r="J100" s="130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>
      <c r="A101" s="107">
        <v>89.0</v>
      </c>
      <c r="B101" s="138">
        <v>1007273.0</v>
      </c>
      <c r="C101" s="120" t="str">
        <f>vlookup(B101,'Crew Data'!C:G,5,0)</f>
        <v>Sarinya Phontong</v>
      </c>
      <c r="D101" s="121" t="s">
        <v>446</v>
      </c>
      <c r="E101" s="107">
        <v>4.0</v>
      </c>
      <c r="F101" s="122">
        <f t="shared" si="1"/>
        <v>1600</v>
      </c>
      <c r="G101" s="22">
        <f t="shared" si="2"/>
        <v>1</v>
      </c>
      <c r="H101" s="123" t="s">
        <v>20</v>
      </c>
      <c r="I101" s="126"/>
      <c r="J101" s="130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>
      <c r="A102" s="107">
        <v>90.0</v>
      </c>
      <c r="B102" s="138">
        <v>1025574.0</v>
      </c>
      <c r="C102" s="120" t="str">
        <f>vlookup(B102,'Crew Data'!C:G,5,0)</f>
        <v>Ravinnipa Hamid</v>
      </c>
      <c r="D102" s="121" t="s">
        <v>419</v>
      </c>
      <c r="E102" s="107">
        <v>2.0</v>
      </c>
      <c r="F102" s="122">
        <f t="shared" si="1"/>
        <v>800</v>
      </c>
      <c r="G102" s="22">
        <f t="shared" si="2"/>
        <v>1</v>
      </c>
      <c r="H102" s="123" t="s">
        <v>20</v>
      </c>
      <c r="I102" s="126"/>
      <c r="J102" s="130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>
      <c r="A103" s="107">
        <v>91.0</v>
      </c>
      <c r="B103" s="138">
        <v>1004038.0</v>
      </c>
      <c r="C103" s="120" t="str">
        <f>vlookup(B103,'Crew Data'!C:G,5,0)</f>
        <v>Piracha Hongsakul</v>
      </c>
      <c r="D103" s="121" t="s">
        <v>447</v>
      </c>
      <c r="E103" s="107">
        <v>2.0</v>
      </c>
      <c r="F103" s="122">
        <f t="shared" si="1"/>
        <v>800</v>
      </c>
      <c r="G103" s="22">
        <f t="shared" si="2"/>
        <v>1</v>
      </c>
      <c r="H103" s="123" t="s">
        <v>20</v>
      </c>
      <c r="I103" s="126"/>
      <c r="J103" s="130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>
      <c r="A104" s="107">
        <v>92.0</v>
      </c>
      <c r="B104" s="138">
        <v>1027515.0</v>
      </c>
      <c r="C104" s="120" t="str">
        <f>vlookup(B104,'Crew Data'!C:G,5,0)</f>
        <v>Kantaporn Dechchu</v>
      </c>
      <c r="D104" s="121" t="s">
        <v>445</v>
      </c>
      <c r="E104" s="107">
        <v>2.0</v>
      </c>
      <c r="F104" s="122">
        <f t="shared" si="1"/>
        <v>800</v>
      </c>
      <c r="G104" s="22">
        <f t="shared" si="2"/>
        <v>1</v>
      </c>
      <c r="H104" s="123" t="s">
        <v>20</v>
      </c>
      <c r="I104" s="126"/>
      <c r="J104" s="130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idden="1">
      <c r="A105" s="107">
        <v>93.0</v>
      </c>
      <c r="B105" s="138"/>
      <c r="C105" s="120" t="str">
        <f>vlookup(B105,'Crew Data'!C:G,5,0)</f>
        <v>#N/A</v>
      </c>
      <c r="D105" s="121"/>
      <c r="E105" s="107"/>
      <c r="F105" s="122">
        <f t="shared" si="1"/>
        <v>0</v>
      </c>
      <c r="G105" s="22">
        <f t="shared" si="2"/>
        <v>0</v>
      </c>
      <c r="H105" s="123" t="s">
        <v>20</v>
      </c>
      <c r="I105" s="126"/>
      <c r="J105" s="130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idden="1">
      <c r="A106" s="107">
        <v>94.0</v>
      </c>
      <c r="B106" s="138"/>
      <c r="C106" s="120" t="str">
        <f>vlookup(B106,'Crew Data'!C:G,5,0)</f>
        <v>#N/A</v>
      </c>
      <c r="D106" s="121"/>
      <c r="E106" s="107"/>
      <c r="F106" s="122">
        <f t="shared" si="1"/>
        <v>0</v>
      </c>
      <c r="G106" s="22">
        <f t="shared" si="2"/>
        <v>0</v>
      </c>
      <c r="H106" s="123" t="s">
        <v>20</v>
      </c>
      <c r="I106" s="126"/>
      <c r="J106" s="130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idden="1">
      <c r="A107" s="107">
        <v>95.0</v>
      </c>
      <c r="B107" s="138"/>
      <c r="C107" s="120" t="str">
        <f>vlookup(B107,'Crew Data'!C:G,5,0)</f>
        <v>#N/A</v>
      </c>
      <c r="D107" s="121"/>
      <c r="E107" s="107"/>
      <c r="F107" s="122">
        <f t="shared" si="1"/>
        <v>0</v>
      </c>
      <c r="G107" s="22">
        <f t="shared" si="2"/>
        <v>0</v>
      </c>
      <c r="H107" s="123" t="s">
        <v>20</v>
      </c>
      <c r="I107" s="126"/>
      <c r="J107" s="130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idden="1">
      <c r="A108" s="107">
        <v>96.0</v>
      </c>
      <c r="B108" s="138"/>
      <c r="C108" s="120" t="str">
        <f>vlookup(B108,'Crew Data'!C:G,5,0)</f>
        <v>#N/A</v>
      </c>
      <c r="D108" s="121"/>
      <c r="E108" s="107"/>
      <c r="F108" s="122">
        <f t="shared" si="1"/>
        <v>0</v>
      </c>
      <c r="G108" s="22">
        <f t="shared" si="2"/>
        <v>0</v>
      </c>
      <c r="H108" s="123" t="s">
        <v>20</v>
      </c>
      <c r="I108" s="126"/>
      <c r="J108" s="130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idden="1">
      <c r="A109" s="107">
        <v>97.0</v>
      </c>
      <c r="B109" s="138"/>
      <c r="C109" s="120"/>
      <c r="D109" s="121"/>
      <c r="E109" s="107"/>
      <c r="F109" s="122"/>
      <c r="G109" s="22"/>
      <c r="H109" s="123" t="s">
        <v>20</v>
      </c>
      <c r="I109" s="126"/>
      <c r="J109" s="130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idden="1">
      <c r="A110" s="107">
        <v>98.0</v>
      </c>
      <c r="B110" s="138"/>
      <c r="C110" s="120"/>
      <c r="D110" s="121"/>
      <c r="E110" s="107"/>
      <c r="F110" s="122"/>
      <c r="G110" s="22"/>
      <c r="H110" s="123" t="s">
        <v>20</v>
      </c>
      <c r="I110" s="126"/>
      <c r="J110" s="130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idden="1">
      <c r="A111" s="107">
        <v>99.0</v>
      </c>
      <c r="B111" s="138"/>
      <c r="C111" s="120"/>
      <c r="D111" s="121"/>
      <c r="E111" s="107"/>
      <c r="F111" s="122"/>
      <c r="G111" s="22"/>
      <c r="H111" s="123" t="s">
        <v>20</v>
      </c>
      <c r="I111" s="126"/>
      <c r="J111" s="130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idden="1">
      <c r="A112" s="107">
        <v>100.0</v>
      </c>
      <c r="B112" s="138"/>
      <c r="C112" s="120"/>
      <c r="D112" s="121"/>
      <c r="E112" s="107"/>
      <c r="F112" s="122"/>
      <c r="G112" s="22"/>
      <c r="H112" s="123" t="s">
        <v>20</v>
      </c>
      <c r="I112" s="126"/>
      <c r="J112" s="130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idden="1">
      <c r="A113" s="107">
        <v>101.0</v>
      </c>
      <c r="B113" s="138"/>
      <c r="C113" s="120"/>
      <c r="D113" s="121"/>
      <c r="E113" s="107"/>
      <c r="F113" s="122"/>
      <c r="G113" s="22"/>
      <c r="H113" s="123" t="s">
        <v>20</v>
      </c>
      <c r="I113" s="126"/>
      <c r="J113" s="130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idden="1">
      <c r="A114" s="107">
        <v>102.0</v>
      </c>
      <c r="B114" s="138"/>
      <c r="C114" s="120"/>
      <c r="D114" s="121"/>
      <c r="E114" s="107"/>
      <c r="F114" s="122"/>
      <c r="G114" s="22"/>
      <c r="H114" s="123" t="s">
        <v>20</v>
      </c>
      <c r="I114" s="126"/>
      <c r="J114" s="130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idden="1">
      <c r="A115" s="107">
        <v>103.0</v>
      </c>
      <c r="B115" s="138"/>
      <c r="C115" s="120"/>
      <c r="D115" s="121"/>
      <c r="E115" s="107"/>
      <c r="F115" s="122"/>
      <c r="G115" s="22"/>
      <c r="H115" s="123" t="s">
        <v>20</v>
      </c>
      <c r="I115" s="126"/>
      <c r="J115" s="130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idden="1">
      <c r="A116" s="107">
        <v>104.0</v>
      </c>
      <c r="B116" s="138"/>
      <c r="C116" s="120"/>
      <c r="D116" s="121"/>
      <c r="E116" s="107"/>
      <c r="F116" s="122"/>
      <c r="G116" s="22"/>
      <c r="H116" s="123" t="s">
        <v>20</v>
      </c>
      <c r="I116" s="126"/>
      <c r="J116" s="130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idden="1">
      <c r="A117" s="107">
        <v>105.0</v>
      </c>
      <c r="B117" s="138"/>
      <c r="C117" s="120"/>
      <c r="D117" s="121"/>
      <c r="E117" s="107"/>
      <c r="F117" s="122"/>
      <c r="G117" s="22"/>
      <c r="H117" s="123" t="s">
        <v>20</v>
      </c>
      <c r="I117" s="126"/>
      <c r="J117" s="130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idden="1">
      <c r="A118" s="107">
        <v>106.0</v>
      </c>
      <c r="B118" s="138"/>
      <c r="C118" s="120"/>
      <c r="D118" s="121"/>
      <c r="E118" s="107"/>
      <c r="F118" s="122"/>
      <c r="G118" s="22"/>
      <c r="H118" s="123" t="s">
        <v>20</v>
      </c>
      <c r="I118" s="126"/>
      <c r="J118" s="130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idden="1">
      <c r="A119" s="107">
        <v>107.0</v>
      </c>
      <c r="B119" s="138"/>
      <c r="C119" s="120"/>
      <c r="D119" s="121"/>
      <c r="E119" s="107"/>
      <c r="F119" s="122"/>
      <c r="G119" s="22"/>
      <c r="H119" s="123" t="s">
        <v>20</v>
      </c>
      <c r="I119" s="126"/>
      <c r="J119" s="130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idden="1">
      <c r="A120" s="107">
        <v>108.0</v>
      </c>
      <c r="B120" s="138"/>
      <c r="C120" s="120"/>
      <c r="D120" s="121"/>
      <c r="E120" s="107"/>
      <c r="F120" s="122"/>
      <c r="G120" s="22"/>
      <c r="H120" s="123"/>
      <c r="I120" s="126"/>
      <c r="J120" s="130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idden="1">
      <c r="A121" s="107">
        <v>109.0</v>
      </c>
      <c r="B121" s="138"/>
      <c r="C121" s="120"/>
      <c r="D121" s="121"/>
      <c r="E121" s="107"/>
      <c r="F121" s="122"/>
      <c r="G121" s="22"/>
      <c r="H121" s="123"/>
      <c r="I121" s="126"/>
      <c r="J121" s="130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idden="1">
      <c r="A122" s="107">
        <v>110.0</v>
      </c>
      <c r="B122" s="138"/>
      <c r="C122" s="120"/>
      <c r="D122" s="121"/>
      <c r="E122" s="107"/>
      <c r="F122" s="122"/>
      <c r="G122" s="22"/>
      <c r="H122" s="123"/>
      <c r="I122" s="126"/>
      <c r="J122" s="130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idden="1">
      <c r="A123" s="107">
        <v>111.0</v>
      </c>
      <c r="B123" s="138"/>
      <c r="C123" s="120"/>
      <c r="D123" s="121"/>
      <c r="E123" s="107"/>
      <c r="F123" s="122"/>
      <c r="G123" s="22"/>
      <c r="H123" s="123"/>
      <c r="I123" s="126"/>
      <c r="J123" s="130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idden="1">
      <c r="A124" s="107">
        <v>112.0</v>
      </c>
      <c r="B124" s="138"/>
      <c r="C124" s="120"/>
      <c r="D124" s="121"/>
      <c r="E124" s="107"/>
      <c r="F124" s="122"/>
      <c r="G124" s="22"/>
      <c r="H124" s="123"/>
      <c r="I124" s="126"/>
      <c r="J124" s="130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idden="1">
      <c r="A125" s="107">
        <v>113.0</v>
      </c>
      <c r="B125" s="138"/>
      <c r="C125" s="120"/>
      <c r="D125" s="121"/>
      <c r="E125" s="107"/>
      <c r="F125" s="122"/>
      <c r="G125" s="22"/>
      <c r="H125" s="123"/>
      <c r="I125" s="126"/>
      <c r="J125" s="130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idden="1">
      <c r="A126" s="107">
        <v>114.0</v>
      </c>
      <c r="B126" s="138"/>
      <c r="C126" s="120"/>
      <c r="D126" s="121"/>
      <c r="E126" s="107"/>
      <c r="F126" s="122"/>
      <c r="G126" s="22"/>
      <c r="H126" s="123"/>
      <c r="I126" s="126"/>
      <c r="J126" s="130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idden="1">
      <c r="A127" s="107">
        <v>115.0</v>
      </c>
      <c r="B127" s="138"/>
      <c r="C127" s="120"/>
      <c r="D127" s="121"/>
      <c r="E127" s="107"/>
      <c r="F127" s="122"/>
      <c r="G127" s="22"/>
      <c r="H127" s="123"/>
      <c r="I127" s="126"/>
      <c r="J127" s="130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idden="1">
      <c r="A128" s="107">
        <v>116.0</v>
      </c>
      <c r="B128" s="138"/>
      <c r="C128" s="120"/>
      <c r="D128" s="121"/>
      <c r="E128" s="107"/>
      <c r="F128" s="122"/>
      <c r="G128" s="22"/>
      <c r="H128" s="123"/>
      <c r="I128" s="126"/>
      <c r="J128" s="130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idden="1">
      <c r="A129" s="107">
        <v>117.0</v>
      </c>
      <c r="B129" s="138"/>
      <c r="C129" s="120"/>
      <c r="D129" s="121"/>
      <c r="E129" s="107"/>
      <c r="F129" s="122"/>
      <c r="G129" s="22"/>
      <c r="H129" s="123"/>
      <c r="I129" s="126"/>
      <c r="J129" s="130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idden="1">
      <c r="A130" s="107">
        <v>118.0</v>
      </c>
      <c r="B130" s="138"/>
      <c r="C130" s="120"/>
      <c r="D130" s="121"/>
      <c r="E130" s="107"/>
      <c r="F130" s="122"/>
      <c r="G130" s="22"/>
      <c r="H130" s="123"/>
      <c r="I130" s="126"/>
      <c r="J130" s="130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idden="1">
      <c r="A131" s="107">
        <v>119.0</v>
      </c>
      <c r="B131" s="138"/>
      <c r="C131" s="120"/>
      <c r="D131" s="121"/>
      <c r="E131" s="107"/>
      <c r="F131" s="122"/>
      <c r="G131" s="22"/>
      <c r="H131" s="123"/>
      <c r="I131" s="126"/>
      <c r="J131" s="130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idden="1">
      <c r="A132" s="107">
        <v>120.0</v>
      </c>
      <c r="B132" s="138"/>
      <c r="C132" s="120"/>
      <c r="D132" s="121"/>
      <c r="E132" s="107"/>
      <c r="F132" s="122"/>
      <c r="G132" s="22"/>
      <c r="H132" s="123"/>
      <c r="I132" s="126"/>
      <c r="J132" s="130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idden="1">
      <c r="A133" s="107">
        <v>121.0</v>
      </c>
      <c r="B133" s="138"/>
      <c r="C133" s="120"/>
      <c r="D133" s="121"/>
      <c r="E133" s="107"/>
      <c r="F133" s="122"/>
      <c r="G133" s="22"/>
      <c r="H133" s="123"/>
      <c r="I133" s="126"/>
      <c r="J133" s="130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idden="1">
      <c r="A134" s="107">
        <v>122.0</v>
      </c>
      <c r="B134" s="138"/>
      <c r="C134" s="120"/>
      <c r="D134" s="121"/>
      <c r="E134" s="107"/>
      <c r="F134" s="122"/>
      <c r="G134" s="22"/>
      <c r="H134" s="123"/>
      <c r="I134" s="126"/>
      <c r="J134" s="130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idden="1">
      <c r="A135" s="107">
        <v>123.0</v>
      </c>
      <c r="B135" s="138"/>
      <c r="C135" s="120"/>
      <c r="D135" s="121"/>
      <c r="E135" s="107"/>
      <c r="F135" s="122"/>
      <c r="G135" s="22"/>
      <c r="H135" s="123"/>
      <c r="I135" s="126"/>
      <c r="J135" s="130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idden="1">
      <c r="A136" s="107">
        <v>124.0</v>
      </c>
      <c r="B136" s="138"/>
      <c r="C136" s="120"/>
      <c r="D136" s="121"/>
      <c r="E136" s="107"/>
      <c r="F136" s="122"/>
      <c r="G136" s="22"/>
      <c r="H136" s="123"/>
      <c r="I136" s="126"/>
      <c r="J136" s="130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idden="1">
      <c r="A137" s="107">
        <v>125.0</v>
      </c>
      <c r="B137" s="138"/>
      <c r="C137" s="120"/>
      <c r="D137" s="121"/>
      <c r="E137" s="107"/>
      <c r="F137" s="122"/>
      <c r="G137" s="22"/>
      <c r="H137" s="123"/>
      <c r="I137" s="126"/>
      <c r="J137" s="130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idden="1">
      <c r="A138" s="107">
        <v>126.0</v>
      </c>
      <c r="B138" s="138"/>
      <c r="C138" s="120"/>
      <c r="D138" s="121"/>
      <c r="E138" s="107"/>
      <c r="F138" s="122"/>
      <c r="G138" s="22"/>
      <c r="H138" s="123"/>
      <c r="I138" s="126"/>
      <c r="J138" s="130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idden="1">
      <c r="A139" s="107">
        <v>127.0</v>
      </c>
      <c r="B139" s="138"/>
      <c r="C139" s="120"/>
      <c r="D139" s="121"/>
      <c r="E139" s="107"/>
      <c r="F139" s="122"/>
      <c r="G139" s="22"/>
      <c r="H139" s="123"/>
      <c r="I139" s="126"/>
      <c r="J139" s="130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idden="1">
      <c r="A140" s="107">
        <v>128.0</v>
      </c>
      <c r="B140" s="138"/>
      <c r="C140" s="120"/>
      <c r="D140" s="121"/>
      <c r="E140" s="107"/>
      <c r="F140" s="122"/>
      <c r="G140" s="22"/>
      <c r="H140" s="123"/>
      <c r="I140" s="126"/>
      <c r="J140" s="130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idden="1">
      <c r="A141" s="107">
        <v>129.0</v>
      </c>
      <c r="B141" s="138"/>
      <c r="C141" s="120"/>
      <c r="D141" s="121"/>
      <c r="E141" s="107"/>
      <c r="F141" s="122"/>
      <c r="G141" s="22"/>
      <c r="H141" s="123"/>
      <c r="I141" s="126"/>
      <c r="J141" s="130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idden="1">
      <c r="A142" s="107">
        <v>130.0</v>
      </c>
      <c r="B142" s="138"/>
      <c r="C142" s="120"/>
      <c r="D142" s="121"/>
      <c r="E142" s="107"/>
      <c r="F142" s="122"/>
      <c r="G142" s="22"/>
      <c r="H142" s="123"/>
      <c r="I142" s="126"/>
      <c r="J142" s="130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idden="1">
      <c r="A143" s="107">
        <v>131.0</v>
      </c>
      <c r="B143" s="138"/>
      <c r="C143" s="120"/>
      <c r="D143" s="121"/>
      <c r="E143" s="107"/>
      <c r="F143" s="122"/>
      <c r="G143" s="22"/>
      <c r="H143" s="123"/>
      <c r="I143" s="126"/>
      <c r="J143" s="130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idden="1">
      <c r="A144" s="107">
        <v>132.0</v>
      </c>
      <c r="B144" s="138"/>
      <c r="C144" s="120"/>
      <c r="D144" s="121"/>
      <c r="E144" s="107"/>
      <c r="F144" s="122"/>
      <c r="G144" s="22"/>
      <c r="H144" s="123"/>
      <c r="I144" s="126"/>
      <c r="J144" s="130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idden="1">
      <c r="A145" s="107">
        <v>133.0</v>
      </c>
      <c r="B145" s="138"/>
      <c r="C145" s="120"/>
      <c r="D145" s="121"/>
      <c r="E145" s="107"/>
      <c r="F145" s="122"/>
      <c r="G145" s="22"/>
      <c r="H145" s="123"/>
      <c r="I145" s="126"/>
      <c r="J145" s="130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idden="1">
      <c r="A146" s="107">
        <v>134.0</v>
      </c>
      <c r="B146" s="138"/>
      <c r="C146" s="120"/>
      <c r="D146" s="121"/>
      <c r="E146" s="107"/>
      <c r="F146" s="122"/>
      <c r="G146" s="22"/>
      <c r="H146" s="123"/>
      <c r="I146" s="126"/>
      <c r="J146" s="130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idden="1">
      <c r="A147" s="107">
        <v>135.0</v>
      </c>
      <c r="B147" s="138"/>
      <c r="C147" s="120"/>
      <c r="D147" s="121"/>
      <c r="E147" s="107"/>
      <c r="F147" s="122"/>
      <c r="G147" s="22"/>
      <c r="H147" s="123"/>
      <c r="I147" s="126"/>
      <c r="J147" s="130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idden="1">
      <c r="A148" s="107">
        <v>136.0</v>
      </c>
      <c r="B148" s="138"/>
      <c r="C148" s="120"/>
      <c r="D148" s="121"/>
      <c r="E148" s="107"/>
      <c r="F148" s="122"/>
      <c r="G148" s="22"/>
      <c r="H148" s="123"/>
      <c r="I148" s="126"/>
      <c r="J148" s="130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idden="1">
      <c r="A149" s="107"/>
      <c r="B149" s="138"/>
      <c r="C149" s="120"/>
      <c r="D149" s="121"/>
      <c r="E149" s="107"/>
      <c r="F149" s="122"/>
      <c r="G149" s="22"/>
      <c r="H149" s="123"/>
      <c r="I149" s="126"/>
      <c r="J149" s="130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idden="1">
      <c r="A150" s="107"/>
      <c r="B150" s="138"/>
      <c r="C150" s="120"/>
      <c r="D150" s="121"/>
      <c r="E150" s="107"/>
      <c r="F150" s="122"/>
      <c r="G150" s="22"/>
      <c r="H150" s="123"/>
      <c r="I150" s="126"/>
      <c r="J150" s="130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idden="1">
      <c r="A151" s="107"/>
      <c r="B151" s="138"/>
      <c r="C151" s="120"/>
      <c r="D151" s="121"/>
      <c r="E151" s="107"/>
      <c r="F151" s="122"/>
      <c r="G151" s="22"/>
      <c r="H151" s="123"/>
      <c r="I151" s="126"/>
      <c r="J151" s="130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idden="1">
      <c r="A152" s="107"/>
      <c r="B152" s="138"/>
      <c r="C152" s="120"/>
      <c r="D152" s="121"/>
      <c r="E152" s="107"/>
      <c r="F152" s="122"/>
      <c r="G152" s="22"/>
      <c r="H152" s="123"/>
      <c r="I152" s="126"/>
      <c r="J152" s="130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idden="1">
      <c r="A153" s="107"/>
      <c r="B153" s="138"/>
      <c r="C153" s="120"/>
      <c r="D153" s="121"/>
      <c r="E153" s="107"/>
      <c r="F153" s="122"/>
      <c r="G153" s="22"/>
      <c r="H153" s="123"/>
      <c r="I153" s="126"/>
      <c r="J153" s="130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idden="1">
      <c r="A154" s="107"/>
      <c r="B154" s="138"/>
      <c r="C154" s="120"/>
      <c r="D154" s="121"/>
      <c r="E154" s="107"/>
      <c r="F154" s="122"/>
      <c r="G154" s="22"/>
      <c r="H154" s="123"/>
      <c r="I154" s="126"/>
      <c r="J154" s="130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idden="1">
      <c r="A155" s="107"/>
      <c r="B155" s="138"/>
      <c r="C155" s="120"/>
      <c r="D155" s="121"/>
      <c r="E155" s="107"/>
      <c r="F155" s="122"/>
      <c r="G155" s="22"/>
      <c r="H155" s="123"/>
      <c r="I155" s="126"/>
      <c r="J155" s="130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idden="1">
      <c r="A156" s="107"/>
      <c r="B156" s="138"/>
      <c r="C156" s="120"/>
      <c r="D156" s="121"/>
      <c r="E156" s="107"/>
      <c r="F156" s="122"/>
      <c r="G156" s="22"/>
      <c r="H156" s="123"/>
      <c r="I156" s="126"/>
      <c r="J156" s="130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idden="1">
      <c r="A157" s="107"/>
      <c r="B157" s="138"/>
      <c r="C157" s="120"/>
      <c r="D157" s="121"/>
      <c r="E157" s="107"/>
      <c r="F157" s="122"/>
      <c r="G157" s="22"/>
      <c r="H157" s="123"/>
      <c r="I157" s="126"/>
      <c r="J157" s="130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idden="1">
      <c r="A158" s="107"/>
      <c r="B158" s="138"/>
      <c r="C158" s="120"/>
      <c r="D158" s="121"/>
      <c r="E158" s="107"/>
      <c r="F158" s="122"/>
      <c r="G158" s="22"/>
      <c r="H158" s="123"/>
      <c r="I158" s="126"/>
      <c r="J158" s="130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idden="1">
      <c r="A159" s="107"/>
      <c r="B159" s="138"/>
      <c r="C159" s="120"/>
      <c r="D159" s="121"/>
      <c r="E159" s="107"/>
      <c r="F159" s="122"/>
      <c r="G159" s="22"/>
      <c r="H159" s="123"/>
      <c r="I159" s="126"/>
      <c r="J159" s="130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idden="1">
      <c r="A160" s="107"/>
      <c r="B160" s="138"/>
      <c r="C160" s="120"/>
      <c r="D160" s="121"/>
      <c r="E160" s="107"/>
      <c r="F160" s="122"/>
      <c r="G160" s="22"/>
      <c r="H160" s="123"/>
      <c r="I160" s="126"/>
      <c r="J160" s="130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idden="1">
      <c r="A161" s="107"/>
      <c r="B161" s="138"/>
      <c r="C161" s="120"/>
      <c r="D161" s="121"/>
      <c r="E161" s="107"/>
      <c r="F161" s="122"/>
      <c r="G161" s="22"/>
      <c r="H161" s="123"/>
      <c r="I161" s="126"/>
      <c r="J161" s="130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idden="1">
      <c r="A162" s="107"/>
      <c r="B162" s="138"/>
      <c r="C162" s="120"/>
      <c r="D162" s="121"/>
      <c r="E162" s="107"/>
      <c r="F162" s="122"/>
      <c r="G162" s="22"/>
      <c r="H162" s="123"/>
      <c r="I162" s="126"/>
      <c r="J162" s="130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idden="1">
      <c r="A163" s="107"/>
      <c r="B163" s="138"/>
      <c r="C163" s="120"/>
      <c r="D163" s="121"/>
      <c r="E163" s="107"/>
      <c r="F163" s="122"/>
      <c r="G163" s="22"/>
      <c r="H163" s="123"/>
      <c r="I163" s="126"/>
      <c r="J163" s="130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idden="1">
      <c r="A164" s="107"/>
      <c r="B164" s="138"/>
      <c r="C164" s="120"/>
      <c r="D164" s="121"/>
      <c r="E164" s="107"/>
      <c r="F164" s="122"/>
      <c r="G164" s="22"/>
      <c r="H164" s="123"/>
      <c r="I164" s="126"/>
      <c r="J164" s="130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idden="1">
      <c r="A165" s="107"/>
      <c r="B165" s="138"/>
      <c r="C165" s="120"/>
      <c r="D165" s="121"/>
      <c r="E165" s="107"/>
      <c r="F165" s="122"/>
      <c r="G165" s="22"/>
      <c r="H165" s="123"/>
      <c r="I165" s="126"/>
      <c r="J165" s="130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idden="1">
      <c r="A166" s="107"/>
      <c r="B166" s="138"/>
      <c r="C166" s="120"/>
      <c r="D166" s="121"/>
      <c r="E166" s="107"/>
      <c r="F166" s="122"/>
      <c r="G166" s="22"/>
      <c r="H166" s="123"/>
      <c r="I166" s="126"/>
      <c r="J166" s="130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idden="1">
      <c r="A167" s="107"/>
      <c r="B167" s="138"/>
      <c r="C167" s="120"/>
      <c r="D167" s="121"/>
      <c r="E167" s="107"/>
      <c r="F167" s="122"/>
      <c r="G167" s="22"/>
      <c r="H167" s="123"/>
      <c r="I167" s="126"/>
      <c r="J167" s="130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idden="1">
      <c r="A168" s="107"/>
      <c r="B168" s="138"/>
      <c r="C168" s="120"/>
      <c r="D168" s="121"/>
      <c r="E168" s="107"/>
      <c r="F168" s="122"/>
      <c r="G168" s="22"/>
      <c r="H168" s="123"/>
      <c r="I168" s="126"/>
      <c r="J168" s="130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idden="1">
      <c r="A169" s="107"/>
      <c r="B169" s="138"/>
      <c r="C169" s="120"/>
      <c r="D169" s="121"/>
      <c r="E169" s="107"/>
      <c r="F169" s="122"/>
      <c r="G169" s="22"/>
      <c r="H169" s="123"/>
      <c r="I169" s="126"/>
      <c r="J169" s="130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idden="1">
      <c r="A170" s="107"/>
      <c r="B170" s="138"/>
      <c r="C170" s="120"/>
      <c r="D170" s="121"/>
      <c r="E170" s="107"/>
      <c r="F170" s="122"/>
      <c r="G170" s="22"/>
      <c r="H170" s="123"/>
      <c r="I170" s="126"/>
      <c r="J170" s="130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idden="1">
      <c r="A171" s="107"/>
      <c r="B171" s="138"/>
      <c r="C171" s="120"/>
      <c r="D171" s="121"/>
      <c r="E171" s="107"/>
      <c r="F171" s="122"/>
      <c r="G171" s="22"/>
      <c r="H171" s="123"/>
      <c r="I171" s="126"/>
      <c r="J171" s="130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idden="1">
      <c r="A172" s="107"/>
      <c r="B172" s="138"/>
      <c r="C172" s="120"/>
      <c r="D172" s="121"/>
      <c r="E172" s="107"/>
      <c r="F172" s="122"/>
      <c r="G172" s="22"/>
      <c r="H172" s="123"/>
      <c r="I172" s="126"/>
      <c r="J172" s="130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idden="1">
      <c r="A173" s="107"/>
      <c r="B173" s="138"/>
      <c r="C173" s="120"/>
      <c r="D173" s="121"/>
      <c r="E173" s="107"/>
      <c r="F173" s="122"/>
      <c r="G173" s="22"/>
      <c r="H173" s="123"/>
      <c r="I173" s="126"/>
      <c r="J173" s="130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idden="1">
      <c r="A174" s="107"/>
      <c r="B174" s="138"/>
      <c r="C174" s="120"/>
      <c r="D174" s="121"/>
      <c r="E174" s="107"/>
      <c r="F174" s="122"/>
      <c r="G174" s="22"/>
      <c r="H174" s="123"/>
      <c r="I174" s="126"/>
      <c r="J174" s="130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idden="1">
      <c r="A175" s="107"/>
      <c r="B175" s="138"/>
      <c r="C175" s="120"/>
      <c r="D175" s="121"/>
      <c r="E175" s="107"/>
      <c r="F175" s="122"/>
      <c r="G175" s="22"/>
      <c r="H175" s="123"/>
      <c r="I175" s="126"/>
      <c r="J175" s="130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idden="1">
      <c r="A176" s="107"/>
      <c r="B176" s="138"/>
      <c r="C176" s="120"/>
      <c r="D176" s="121"/>
      <c r="E176" s="107"/>
      <c r="F176" s="122"/>
      <c r="G176" s="22"/>
      <c r="H176" s="123"/>
      <c r="I176" s="126"/>
      <c r="J176" s="130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idden="1">
      <c r="A177" s="107"/>
      <c r="B177" s="138"/>
      <c r="C177" s="120"/>
      <c r="D177" s="121"/>
      <c r="E177" s="107"/>
      <c r="F177" s="122"/>
      <c r="G177" s="22"/>
      <c r="H177" s="123"/>
      <c r="I177" s="126"/>
      <c r="J177" s="130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idden="1">
      <c r="A178" s="107"/>
      <c r="B178" s="138"/>
      <c r="C178" s="120"/>
      <c r="D178" s="121"/>
      <c r="E178" s="107"/>
      <c r="F178" s="122"/>
      <c r="G178" s="22"/>
      <c r="H178" s="123"/>
      <c r="I178" s="126"/>
      <c r="J178" s="130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idden="1">
      <c r="A179" s="107"/>
      <c r="B179" s="138"/>
      <c r="C179" s="120"/>
      <c r="D179" s="121"/>
      <c r="E179" s="107"/>
      <c r="F179" s="122"/>
      <c r="G179" s="22"/>
      <c r="H179" s="123"/>
      <c r="I179" s="126"/>
      <c r="J179" s="130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idden="1">
      <c r="A180" s="107"/>
      <c r="B180" s="138"/>
      <c r="C180" s="120"/>
      <c r="D180" s="121"/>
      <c r="E180" s="107"/>
      <c r="F180" s="122"/>
      <c r="G180" s="22"/>
      <c r="H180" s="123"/>
      <c r="I180" s="126"/>
      <c r="J180" s="130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idden="1">
      <c r="A181" s="107"/>
      <c r="B181" s="138"/>
      <c r="C181" s="120"/>
      <c r="D181" s="121"/>
      <c r="E181" s="107"/>
      <c r="F181" s="122"/>
      <c r="G181" s="22"/>
      <c r="H181" s="123"/>
      <c r="I181" s="126"/>
      <c r="J181" s="130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idden="1">
      <c r="A182" s="107"/>
      <c r="B182" s="138"/>
      <c r="C182" s="120"/>
      <c r="D182" s="121"/>
      <c r="E182" s="107"/>
      <c r="F182" s="122"/>
      <c r="G182" s="22"/>
      <c r="H182" s="123"/>
      <c r="I182" s="126"/>
      <c r="J182" s="130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idden="1">
      <c r="A183" s="107"/>
      <c r="B183" s="138"/>
      <c r="C183" s="120"/>
      <c r="D183" s="121"/>
      <c r="E183" s="107"/>
      <c r="F183" s="122"/>
      <c r="G183" s="22"/>
      <c r="H183" s="123"/>
      <c r="I183" s="126"/>
      <c r="J183" s="130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idden="1">
      <c r="A184" s="107"/>
      <c r="B184" s="138"/>
      <c r="C184" s="120"/>
      <c r="D184" s="121"/>
      <c r="E184" s="107"/>
      <c r="F184" s="122"/>
      <c r="G184" s="22"/>
      <c r="H184" s="123"/>
      <c r="I184" s="126"/>
      <c r="J184" s="130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idden="1">
      <c r="A185" s="107"/>
      <c r="B185" s="138"/>
      <c r="C185" s="120"/>
      <c r="D185" s="121"/>
      <c r="E185" s="107"/>
      <c r="F185" s="122"/>
      <c r="G185" s="22"/>
      <c r="H185" s="123"/>
      <c r="I185" s="126"/>
      <c r="J185" s="130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idden="1">
      <c r="A186" s="107"/>
      <c r="B186" s="138"/>
      <c r="C186" s="120"/>
      <c r="D186" s="121"/>
      <c r="E186" s="107"/>
      <c r="F186" s="122"/>
      <c r="G186" s="22"/>
      <c r="H186" s="123"/>
      <c r="I186" s="126"/>
      <c r="J186" s="130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idden="1">
      <c r="A187" s="107"/>
      <c r="B187" s="138"/>
      <c r="C187" s="120"/>
      <c r="D187" s="121"/>
      <c r="E187" s="107"/>
      <c r="F187" s="122"/>
      <c r="G187" s="22"/>
      <c r="H187" s="123"/>
      <c r="I187" s="126"/>
      <c r="J187" s="130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idden="1">
      <c r="A188" s="107"/>
      <c r="B188" s="138"/>
      <c r="C188" s="120"/>
      <c r="D188" s="121"/>
      <c r="E188" s="107"/>
      <c r="F188" s="122"/>
      <c r="G188" s="22"/>
      <c r="H188" s="123"/>
      <c r="I188" s="126"/>
      <c r="J188" s="130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idden="1">
      <c r="A189" s="107"/>
      <c r="B189" s="138"/>
      <c r="C189" s="120"/>
      <c r="D189" s="121"/>
      <c r="E189" s="107"/>
      <c r="F189" s="122"/>
      <c r="G189" s="22"/>
      <c r="H189" s="123"/>
      <c r="I189" s="126"/>
      <c r="J189" s="130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idden="1">
      <c r="A190" s="107"/>
      <c r="B190" s="138"/>
      <c r="C190" s="120"/>
      <c r="D190" s="121"/>
      <c r="E190" s="107"/>
      <c r="F190" s="122"/>
      <c r="G190" s="22"/>
      <c r="H190" s="123"/>
      <c r="I190" s="126"/>
      <c r="J190" s="130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idden="1">
      <c r="A191" s="107"/>
      <c r="B191" s="138"/>
      <c r="C191" s="120"/>
      <c r="D191" s="121"/>
      <c r="E191" s="107"/>
      <c r="F191" s="122"/>
      <c r="G191" s="22"/>
      <c r="H191" s="123"/>
      <c r="I191" s="126"/>
      <c r="J191" s="130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idden="1">
      <c r="A192" s="107"/>
      <c r="B192" s="138"/>
      <c r="C192" s="120"/>
      <c r="D192" s="121"/>
      <c r="E192" s="107"/>
      <c r="F192" s="122"/>
      <c r="G192" s="22"/>
      <c r="H192" s="123"/>
      <c r="I192" s="126"/>
      <c r="J192" s="130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idden="1">
      <c r="A193" s="107"/>
      <c r="B193" s="138"/>
      <c r="C193" s="120"/>
      <c r="D193" s="121"/>
      <c r="E193" s="107"/>
      <c r="F193" s="122"/>
      <c r="G193" s="22"/>
      <c r="H193" s="123"/>
      <c r="I193" s="126"/>
      <c r="J193" s="130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idden="1">
      <c r="A194" s="107"/>
      <c r="B194" s="138"/>
      <c r="C194" s="120"/>
      <c r="D194" s="121"/>
      <c r="E194" s="107"/>
      <c r="F194" s="122"/>
      <c r="G194" s="22"/>
      <c r="H194" s="123"/>
      <c r="I194" s="126"/>
      <c r="J194" s="130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idden="1">
      <c r="A195" s="107"/>
      <c r="B195" s="138"/>
      <c r="C195" s="120"/>
      <c r="D195" s="121"/>
      <c r="E195" s="107"/>
      <c r="F195" s="122"/>
      <c r="G195" s="22"/>
      <c r="H195" s="123"/>
      <c r="I195" s="126"/>
      <c r="J195" s="130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idden="1">
      <c r="A196" s="107"/>
      <c r="B196" s="138"/>
      <c r="C196" s="120"/>
      <c r="D196" s="121"/>
      <c r="E196" s="107"/>
      <c r="F196" s="122"/>
      <c r="G196" s="22"/>
      <c r="H196" s="123"/>
      <c r="I196" s="126"/>
      <c r="J196" s="130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idden="1">
      <c r="A197" s="107"/>
      <c r="B197" s="138"/>
      <c r="C197" s="120"/>
      <c r="D197" s="121"/>
      <c r="E197" s="107"/>
      <c r="F197" s="122"/>
      <c r="G197" s="22"/>
      <c r="H197" s="123"/>
      <c r="I197" s="126"/>
      <c r="J197" s="130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idden="1">
      <c r="A198" s="107"/>
      <c r="B198" s="138"/>
      <c r="C198" s="120"/>
      <c r="D198" s="121"/>
      <c r="E198" s="107"/>
      <c r="F198" s="122"/>
      <c r="G198" s="22"/>
      <c r="H198" s="123"/>
      <c r="I198" s="126"/>
      <c r="J198" s="130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idden="1">
      <c r="A199" s="107"/>
      <c r="B199" s="138"/>
      <c r="C199" s="120"/>
      <c r="D199" s="121"/>
      <c r="E199" s="107"/>
      <c r="F199" s="122"/>
      <c r="G199" s="22"/>
      <c r="H199" s="123"/>
      <c r="I199" s="126"/>
      <c r="J199" s="130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idden="1">
      <c r="A200" s="107"/>
      <c r="B200" s="138"/>
      <c r="C200" s="120"/>
      <c r="D200" s="121"/>
      <c r="E200" s="107"/>
      <c r="F200" s="122"/>
      <c r="G200" s="22"/>
      <c r="H200" s="123"/>
      <c r="I200" s="126"/>
      <c r="J200" s="130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idden="1">
      <c r="A201" s="107"/>
      <c r="B201" s="138"/>
      <c r="C201" s="120"/>
      <c r="D201" s="121"/>
      <c r="E201" s="107"/>
      <c r="F201" s="122"/>
      <c r="G201" s="22"/>
      <c r="H201" s="123"/>
      <c r="I201" s="126"/>
      <c r="J201" s="130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idden="1">
      <c r="A202" s="107"/>
      <c r="B202" s="138"/>
      <c r="C202" s="120"/>
      <c r="D202" s="121"/>
      <c r="E202" s="107"/>
      <c r="F202" s="122"/>
      <c r="G202" s="22"/>
      <c r="H202" s="123"/>
      <c r="I202" s="126"/>
      <c r="J202" s="130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idden="1">
      <c r="A203" s="107"/>
      <c r="B203" s="138"/>
      <c r="C203" s="120"/>
      <c r="D203" s="121"/>
      <c r="E203" s="107"/>
      <c r="F203" s="122"/>
      <c r="G203" s="22"/>
      <c r="H203" s="123"/>
      <c r="I203" s="126"/>
      <c r="J203" s="130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idden="1">
      <c r="A204" s="107"/>
      <c r="B204" s="138"/>
      <c r="C204" s="120"/>
      <c r="D204" s="121"/>
      <c r="E204" s="107"/>
      <c r="F204" s="122"/>
      <c r="G204" s="22"/>
      <c r="H204" s="123"/>
      <c r="I204" s="126"/>
      <c r="J204" s="130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idden="1">
      <c r="A205" s="107"/>
      <c r="B205" s="138"/>
      <c r="C205" s="120"/>
      <c r="D205" s="121"/>
      <c r="E205" s="107"/>
      <c r="F205" s="122"/>
      <c r="G205" s="22"/>
      <c r="H205" s="123"/>
      <c r="I205" s="126"/>
      <c r="J205" s="130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idden="1">
      <c r="A206" s="107"/>
      <c r="B206" s="138"/>
      <c r="C206" s="120"/>
      <c r="D206" s="121"/>
      <c r="E206" s="107"/>
      <c r="F206" s="122"/>
      <c r="G206" s="22"/>
      <c r="H206" s="123"/>
      <c r="I206" s="126"/>
      <c r="J206" s="130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idden="1">
      <c r="A207" s="107"/>
      <c r="B207" s="138"/>
      <c r="C207" s="120"/>
      <c r="D207" s="121"/>
      <c r="E207" s="107"/>
      <c r="F207" s="122"/>
      <c r="G207" s="22"/>
      <c r="H207" s="123"/>
      <c r="I207" s="126"/>
      <c r="J207" s="130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idden="1">
      <c r="A208" s="107"/>
      <c r="B208" s="138"/>
      <c r="C208" s="120"/>
      <c r="D208" s="121"/>
      <c r="E208" s="107"/>
      <c r="F208" s="122"/>
      <c r="G208" s="22"/>
      <c r="H208" s="123"/>
      <c r="I208" s="126"/>
      <c r="J208" s="130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idden="1">
      <c r="A209" s="107"/>
      <c r="B209" s="138"/>
      <c r="C209" s="120"/>
      <c r="D209" s="121"/>
      <c r="E209" s="107"/>
      <c r="F209" s="122"/>
      <c r="G209" s="22"/>
      <c r="H209" s="123"/>
      <c r="I209" s="126"/>
      <c r="J209" s="130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idden="1">
      <c r="A210" s="107"/>
      <c r="B210" s="138"/>
      <c r="C210" s="120"/>
      <c r="D210" s="121"/>
      <c r="E210" s="107"/>
      <c r="F210" s="122"/>
      <c r="G210" s="22"/>
      <c r="H210" s="123"/>
      <c r="I210" s="126"/>
      <c r="J210" s="130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idden="1">
      <c r="A211" s="107"/>
      <c r="B211" s="138"/>
      <c r="C211" s="120"/>
      <c r="D211" s="121"/>
      <c r="E211" s="107"/>
      <c r="F211" s="122"/>
      <c r="G211" s="22"/>
      <c r="H211" s="123"/>
      <c r="I211" s="126"/>
      <c r="J211" s="130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idden="1">
      <c r="A212" s="107"/>
      <c r="B212" s="138"/>
      <c r="C212" s="120"/>
      <c r="D212" s="121"/>
      <c r="E212" s="107"/>
      <c r="F212" s="122"/>
      <c r="G212" s="22"/>
      <c r="H212" s="123"/>
      <c r="I212" s="126"/>
      <c r="J212" s="130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idden="1">
      <c r="A213" s="107"/>
      <c r="B213" s="138"/>
      <c r="C213" s="120"/>
      <c r="D213" s="121"/>
      <c r="E213" s="107"/>
      <c r="F213" s="122"/>
      <c r="G213" s="22"/>
      <c r="H213" s="123"/>
      <c r="I213" s="126"/>
      <c r="J213" s="130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idden="1">
      <c r="A214" s="107"/>
      <c r="B214" s="138"/>
      <c r="C214" s="120"/>
      <c r="D214" s="121"/>
      <c r="E214" s="107"/>
      <c r="F214" s="122"/>
      <c r="G214" s="22"/>
      <c r="H214" s="123"/>
      <c r="I214" s="126"/>
      <c r="J214" s="130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idden="1">
      <c r="A215" s="107"/>
      <c r="B215" s="138"/>
      <c r="C215" s="120"/>
      <c r="D215" s="121"/>
      <c r="E215" s="107"/>
      <c r="F215" s="122"/>
      <c r="G215" s="22"/>
      <c r="H215" s="123"/>
      <c r="I215" s="126"/>
      <c r="J215" s="130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idden="1">
      <c r="A216" s="107"/>
      <c r="B216" s="138"/>
      <c r="C216" s="120"/>
      <c r="D216" s="121"/>
      <c r="E216" s="107"/>
      <c r="F216" s="122"/>
      <c r="G216" s="22"/>
      <c r="H216" s="123"/>
      <c r="I216" s="126"/>
      <c r="J216" s="130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idden="1">
      <c r="A217" s="107"/>
      <c r="B217" s="138"/>
      <c r="C217" s="120"/>
      <c r="D217" s="121"/>
      <c r="E217" s="107"/>
      <c r="F217" s="122"/>
      <c r="G217" s="22"/>
      <c r="H217" s="123"/>
      <c r="I217" s="126"/>
      <c r="J217" s="130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idden="1">
      <c r="A218" s="107"/>
      <c r="B218" s="138"/>
      <c r="C218" s="120"/>
      <c r="D218" s="121"/>
      <c r="E218" s="107"/>
      <c r="F218" s="122"/>
      <c r="G218" s="22"/>
      <c r="H218" s="123"/>
      <c r="I218" s="126"/>
      <c r="J218" s="130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hidden="1">
      <c r="A219" s="107"/>
      <c r="B219" s="138"/>
      <c r="C219" s="120"/>
      <c r="D219" s="121"/>
      <c r="E219" s="107"/>
      <c r="F219" s="122"/>
      <c r="G219" s="22"/>
      <c r="H219" s="123"/>
      <c r="I219" s="126"/>
      <c r="J219" s="130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hidden="1">
      <c r="A220" s="107"/>
      <c r="B220" s="138"/>
      <c r="C220" s="120"/>
      <c r="D220" s="121"/>
      <c r="E220" s="107"/>
      <c r="F220" s="122"/>
      <c r="G220" s="22"/>
      <c r="H220" s="123"/>
      <c r="I220" s="126"/>
      <c r="J220" s="130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hidden="1">
      <c r="A221" s="107"/>
      <c r="B221" s="138"/>
      <c r="C221" s="120"/>
      <c r="D221" s="121"/>
      <c r="E221" s="107"/>
      <c r="F221" s="122"/>
      <c r="G221" s="22"/>
      <c r="H221" s="123"/>
      <c r="I221" s="126"/>
      <c r="J221" s="130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hidden="1">
      <c r="A222" s="107"/>
      <c r="B222" s="138"/>
      <c r="C222" s="120"/>
      <c r="D222" s="121"/>
      <c r="E222" s="107"/>
      <c r="F222" s="122"/>
      <c r="G222" s="22"/>
      <c r="H222" s="123"/>
      <c r="I222" s="126"/>
      <c r="J222" s="130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hidden="1">
      <c r="A223" s="107"/>
      <c r="B223" s="138"/>
      <c r="C223" s="120"/>
      <c r="D223" s="121"/>
      <c r="E223" s="107"/>
      <c r="F223" s="122"/>
      <c r="G223" s="22"/>
      <c r="H223" s="123"/>
      <c r="I223" s="126"/>
      <c r="J223" s="130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hidden="1">
      <c r="A224" s="107"/>
      <c r="B224" s="138"/>
      <c r="C224" s="120"/>
      <c r="D224" s="121"/>
      <c r="E224" s="107"/>
      <c r="F224" s="122"/>
      <c r="G224" s="22"/>
      <c r="H224" s="123"/>
      <c r="I224" s="126"/>
      <c r="J224" s="130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hidden="1">
      <c r="A225" s="107"/>
      <c r="B225" s="138"/>
      <c r="C225" s="120"/>
      <c r="D225" s="121"/>
      <c r="E225" s="107"/>
      <c r="F225" s="122"/>
      <c r="G225" s="22"/>
      <c r="H225" s="123"/>
      <c r="I225" s="126"/>
      <c r="J225" s="130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hidden="1">
      <c r="A226" s="107"/>
      <c r="B226" s="138"/>
      <c r="C226" s="120"/>
      <c r="D226" s="121"/>
      <c r="E226" s="107"/>
      <c r="F226" s="122"/>
      <c r="G226" s="22"/>
      <c r="H226" s="123"/>
      <c r="I226" s="126"/>
      <c r="J226" s="130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hidden="1">
      <c r="A227" s="107"/>
      <c r="B227" s="138"/>
      <c r="C227" s="120"/>
      <c r="D227" s="121"/>
      <c r="E227" s="107"/>
      <c r="F227" s="122"/>
      <c r="G227" s="22"/>
      <c r="H227" s="123"/>
      <c r="I227" s="126"/>
      <c r="J227" s="130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hidden="1">
      <c r="A228" s="107"/>
      <c r="B228" s="138"/>
      <c r="C228" s="120"/>
      <c r="D228" s="121"/>
      <c r="E228" s="107"/>
      <c r="F228" s="122"/>
      <c r="G228" s="22"/>
      <c r="H228" s="123"/>
      <c r="I228" s="126"/>
      <c r="J228" s="130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hidden="1">
      <c r="A229" s="107"/>
      <c r="B229" s="138"/>
      <c r="C229" s="120"/>
      <c r="D229" s="121"/>
      <c r="E229" s="107"/>
      <c r="F229" s="122"/>
      <c r="G229" s="22"/>
      <c r="H229" s="123"/>
      <c r="I229" s="126"/>
      <c r="J229" s="130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hidden="1">
      <c r="A230" s="107"/>
      <c r="B230" s="138"/>
      <c r="C230" s="120"/>
      <c r="D230" s="121"/>
      <c r="E230" s="107"/>
      <c r="F230" s="122"/>
      <c r="G230" s="22"/>
      <c r="H230" s="123"/>
      <c r="I230" s="126"/>
      <c r="J230" s="130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hidden="1">
      <c r="A231" s="107"/>
      <c r="B231" s="138"/>
      <c r="C231" s="120"/>
      <c r="D231" s="121"/>
      <c r="E231" s="107"/>
      <c r="F231" s="122"/>
      <c r="G231" s="22"/>
      <c r="H231" s="123"/>
      <c r="I231" s="126"/>
      <c r="J231" s="130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hidden="1">
      <c r="A232" s="107"/>
      <c r="B232" s="138"/>
      <c r="C232" s="120"/>
      <c r="D232" s="121"/>
      <c r="E232" s="107"/>
      <c r="F232" s="122"/>
      <c r="G232" s="22"/>
      <c r="H232" s="123"/>
      <c r="I232" s="126"/>
      <c r="J232" s="130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hidden="1">
      <c r="A233" s="107"/>
      <c r="B233" s="138"/>
      <c r="C233" s="120"/>
      <c r="D233" s="121"/>
      <c r="E233" s="107"/>
      <c r="F233" s="122"/>
      <c r="G233" s="22"/>
      <c r="H233" s="123"/>
      <c r="I233" s="126"/>
      <c r="J233" s="130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hidden="1">
      <c r="A234" s="107"/>
      <c r="B234" s="138"/>
      <c r="C234" s="120"/>
      <c r="D234" s="121"/>
      <c r="E234" s="107"/>
      <c r="F234" s="122"/>
      <c r="G234" s="22"/>
      <c r="H234" s="123"/>
      <c r="I234" s="126"/>
      <c r="J234" s="130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hidden="1">
      <c r="A235" s="107"/>
      <c r="B235" s="138"/>
      <c r="C235" s="120"/>
      <c r="D235" s="121"/>
      <c r="E235" s="107"/>
      <c r="F235" s="122"/>
      <c r="G235" s="22"/>
      <c r="H235" s="123"/>
      <c r="I235" s="126"/>
      <c r="J235" s="130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hidden="1">
      <c r="A236" s="107"/>
      <c r="B236" s="138"/>
      <c r="C236" s="120"/>
      <c r="D236" s="121"/>
      <c r="E236" s="107"/>
      <c r="F236" s="122"/>
      <c r="G236" s="22"/>
      <c r="H236" s="123"/>
      <c r="I236" s="126"/>
      <c r="J236" s="130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hidden="1">
      <c r="A237" s="107"/>
      <c r="B237" s="138"/>
      <c r="C237" s="120"/>
      <c r="D237" s="121"/>
      <c r="E237" s="107"/>
      <c r="F237" s="122"/>
      <c r="G237" s="22"/>
      <c r="H237" s="123"/>
      <c r="I237" s="126"/>
      <c r="J237" s="130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hidden="1">
      <c r="A238" s="107"/>
      <c r="B238" s="138"/>
      <c r="C238" s="120"/>
      <c r="D238" s="121"/>
      <c r="E238" s="107"/>
      <c r="F238" s="122"/>
      <c r="G238" s="22"/>
      <c r="H238" s="123"/>
      <c r="I238" s="126"/>
      <c r="J238" s="130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hidden="1">
      <c r="A239" s="107"/>
      <c r="B239" s="138"/>
      <c r="C239" s="120"/>
      <c r="D239" s="121"/>
      <c r="E239" s="107"/>
      <c r="F239" s="122"/>
      <c r="G239" s="22"/>
      <c r="H239" s="123"/>
      <c r="I239" s="126"/>
      <c r="J239" s="130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hidden="1">
      <c r="A240" s="107"/>
      <c r="B240" s="138"/>
      <c r="C240" s="120"/>
      <c r="D240" s="121"/>
      <c r="E240" s="107"/>
      <c r="F240" s="122"/>
      <c r="G240" s="22"/>
      <c r="H240" s="123"/>
      <c r="I240" s="126"/>
      <c r="J240" s="130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hidden="1">
      <c r="A241" s="107"/>
      <c r="B241" s="138"/>
      <c r="C241" s="120"/>
      <c r="D241" s="121"/>
      <c r="E241" s="107"/>
      <c r="F241" s="122"/>
      <c r="G241" s="22"/>
      <c r="H241" s="123"/>
      <c r="I241" s="126"/>
      <c r="J241" s="130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hidden="1">
      <c r="A242" s="107"/>
      <c r="B242" s="138"/>
      <c r="C242" s="120"/>
      <c r="D242" s="121"/>
      <c r="E242" s="107"/>
      <c r="F242" s="122"/>
      <c r="G242" s="22"/>
      <c r="H242" s="123"/>
      <c r="I242" s="126"/>
      <c r="J242" s="130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hidden="1">
      <c r="A243" s="107"/>
      <c r="B243" s="138"/>
      <c r="C243" s="120"/>
      <c r="D243" s="121"/>
      <c r="E243" s="107"/>
      <c r="F243" s="122"/>
      <c r="G243" s="22"/>
      <c r="H243" s="123"/>
      <c r="I243" s="126"/>
      <c r="J243" s="130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hidden="1">
      <c r="A244" s="107"/>
      <c r="B244" s="138"/>
      <c r="C244" s="120"/>
      <c r="D244" s="121"/>
      <c r="E244" s="107"/>
      <c r="F244" s="122"/>
      <c r="G244" s="22"/>
      <c r="H244" s="123"/>
      <c r="I244" s="126"/>
      <c r="J244" s="130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hidden="1">
      <c r="A245" s="107"/>
      <c r="B245" s="138"/>
      <c r="C245" s="120"/>
      <c r="D245" s="121"/>
      <c r="E245" s="107"/>
      <c r="F245" s="122"/>
      <c r="G245" s="22"/>
      <c r="H245" s="123"/>
      <c r="I245" s="126"/>
      <c r="J245" s="130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hidden="1">
      <c r="A246" s="107"/>
      <c r="B246" s="138"/>
      <c r="C246" s="120"/>
      <c r="D246" s="121"/>
      <c r="E246" s="107"/>
      <c r="F246" s="122"/>
      <c r="G246" s="22"/>
      <c r="H246" s="123"/>
      <c r="I246" s="126"/>
      <c r="J246" s="130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hidden="1">
      <c r="A247" s="107"/>
      <c r="B247" s="138"/>
      <c r="C247" s="120"/>
      <c r="D247" s="121"/>
      <c r="E247" s="107"/>
      <c r="F247" s="122"/>
      <c r="G247" s="22"/>
      <c r="H247" s="123"/>
      <c r="I247" s="126"/>
      <c r="J247" s="130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hidden="1">
      <c r="A248" s="107"/>
      <c r="B248" s="138"/>
      <c r="C248" s="120"/>
      <c r="D248" s="121"/>
      <c r="E248" s="107"/>
      <c r="F248" s="122"/>
      <c r="G248" s="22"/>
      <c r="H248" s="123"/>
      <c r="I248" s="126"/>
      <c r="J248" s="130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hidden="1">
      <c r="A249" s="107"/>
      <c r="B249" s="138"/>
      <c r="C249" s="120"/>
      <c r="D249" s="121"/>
      <c r="E249" s="107"/>
      <c r="F249" s="122"/>
      <c r="G249" s="22"/>
      <c r="H249" s="123"/>
      <c r="I249" s="126"/>
      <c r="J249" s="130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hidden="1">
      <c r="A250" s="107"/>
      <c r="B250" s="138"/>
      <c r="C250" s="120"/>
      <c r="D250" s="121"/>
      <c r="E250" s="107"/>
      <c r="F250" s="122"/>
      <c r="G250" s="22"/>
      <c r="H250" s="123"/>
      <c r="I250" s="126"/>
      <c r="J250" s="130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hidden="1">
      <c r="A251" s="107"/>
      <c r="B251" s="138"/>
      <c r="C251" s="120"/>
      <c r="D251" s="121"/>
      <c r="E251" s="107"/>
      <c r="F251" s="122"/>
      <c r="G251" s="22"/>
      <c r="H251" s="123"/>
      <c r="I251" s="126"/>
      <c r="J251" s="130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hidden="1">
      <c r="A252" s="107"/>
      <c r="B252" s="138"/>
      <c r="C252" s="120"/>
      <c r="D252" s="121"/>
      <c r="E252" s="107"/>
      <c r="F252" s="122"/>
      <c r="G252" s="22"/>
      <c r="H252" s="123"/>
      <c r="I252" s="126"/>
      <c r="J252" s="130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hidden="1">
      <c r="A253" s="107"/>
      <c r="B253" s="138"/>
      <c r="C253" s="120"/>
      <c r="D253" s="121"/>
      <c r="E253" s="107"/>
      <c r="F253" s="122"/>
      <c r="G253" s="22"/>
      <c r="H253" s="123"/>
      <c r="I253" s="126"/>
      <c r="J253" s="130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hidden="1">
      <c r="A254" s="107"/>
      <c r="B254" s="138"/>
      <c r="C254" s="120"/>
      <c r="D254" s="121"/>
      <c r="E254" s="107"/>
      <c r="F254" s="122"/>
      <c r="G254" s="22"/>
      <c r="H254" s="123"/>
      <c r="I254" s="126"/>
      <c r="J254" s="130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hidden="1">
      <c r="A255" s="107"/>
      <c r="B255" s="138"/>
      <c r="C255" s="120"/>
      <c r="D255" s="121"/>
      <c r="E255" s="107"/>
      <c r="F255" s="122"/>
      <c r="G255" s="22"/>
      <c r="H255" s="123"/>
      <c r="I255" s="126"/>
      <c r="J255" s="130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hidden="1">
      <c r="A256" s="107"/>
      <c r="B256" s="138"/>
      <c r="C256" s="120"/>
      <c r="D256" s="121"/>
      <c r="E256" s="107"/>
      <c r="F256" s="122"/>
      <c r="G256" s="22"/>
      <c r="H256" s="123"/>
      <c r="I256" s="126"/>
      <c r="J256" s="130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hidden="1">
      <c r="A257" s="107"/>
      <c r="B257" s="138"/>
      <c r="C257" s="120"/>
      <c r="D257" s="121"/>
      <c r="E257" s="107"/>
      <c r="F257" s="122"/>
      <c r="G257" s="22"/>
      <c r="H257" s="123"/>
      <c r="I257" s="126"/>
      <c r="J257" s="130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hidden="1">
      <c r="A258" s="107"/>
      <c r="B258" s="138"/>
      <c r="C258" s="120"/>
      <c r="D258" s="121"/>
      <c r="E258" s="107"/>
      <c r="F258" s="122"/>
      <c r="G258" s="22"/>
      <c r="H258" s="123"/>
      <c r="I258" s="126"/>
      <c r="J258" s="130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hidden="1">
      <c r="A259" s="107"/>
      <c r="B259" s="138"/>
      <c r="C259" s="120"/>
      <c r="D259" s="121"/>
      <c r="E259" s="107"/>
      <c r="F259" s="122"/>
      <c r="G259" s="22"/>
      <c r="H259" s="123"/>
      <c r="I259" s="126"/>
      <c r="J259" s="130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hidden="1">
      <c r="A260" s="107"/>
      <c r="B260" s="138"/>
      <c r="C260" s="120"/>
      <c r="D260" s="121"/>
      <c r="E260" s="107"/>
      <c r="F260" s="122"/>
      <c r="G260" s="22"/>
      <c r="H260" s="123"/>
      <c r="I260" s="126"/>
      <c r="J260" s="130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hidden="1">
      <c r="A261" s="107"/>
      <c r="B261" s="138"/>
      <c r="C261" s="120"/>
      <c r="D261" s="121"/>
      <c r="E261" s="107"/>
      <c r="F261" s="122"/>
      <c r="G261" s="22"/>
      <c r="H261" s="123"/>
      <c r="I261" s="126"/>
      <c r="J261" s="130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hidden="1">
      <c r="A262" s="107"/>
      <c r="B262" s="138"/>
      <c r="C262" s="120"/>
      <c r="D262" s="121"/>
      <c r="E262" s="107"/>
      <c r="F262" s="122"/>
      <c r="G262" s="22"/>
      <c r="H262" s="123"/>
      <c r="I262" s="126"/>
      <c r="J262" s="130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hidden="1">
      <c r="A263" s="107"/>
      <c r="B263" s="138"/>
      <c r="C263" s="120"/>
      <c r="D263" s="121"/>
      <c r="E263" s="107"/>
      <c r="F263" s="122"/>
      <c r="G263" s="22"/>
      <c r="H263" s="123"/>
      <c r="I263" s="126"/>
      <c r="J263" s="130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hidden="1">
      <c r="A264" s="107"/>
      <c r="B264" s="138"/>
      <c r="C264" s="120"/>
      <c r="D264" s="121"/>
      <c r="E264" s="107"/>
      <c r="F264" s="122"/>
      <c r="G264" s="22"/>
      <c r="H264" s="123"/>
      <c r="I264" s="126"/>
      <c r="J264" s="130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hidden="1">
      <c r="A265" s="107"/>
      <c r="B265" s="138"/>
      <c r="C265" s="120"/>
      <c r="D265" s="121"/>
      <c r="E265" s="107"/>
      <c r="F265" s="122"/>
      <c r="G265" s="22"/>
      <c r="H265" s="123"/>
      <c r="I265" s="126"/>
      <c r="J265" s="130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hidden="1">
      <c r="A266" s="107"/>
      <c r="B266" s="138"/>
      <c r="C266" s="120"/>
      <c r="D266" s="121"/>
      <c r="E266" s="107"/>
      <c r="F266" s="122"/>
      <c r="G266" s="22"/>
      <c r="H266" s="123"/>
      <c r="I266" s="126"/>
      <c r="J266" s="130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hidden="1">
      <c r="A267" s="107"/>
      <c r="B267" s="138"/>
      <c r="C267" s="120"/>
      <c r="D267" s="121"/>
      <c r="E267" s="107"/>
      <c r="F267" s="122"/>
      <c r="G267" s="22"/>
      <c r="H267" s="123"/>
      <c r="I267" s="126"/>
      <c r="J267" s="130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hidden="1">
      <c r="A268" s="107"/>
      <c r="B268" s="138"/>
      <c r="C268" s="120"/>
      <c r="D268" s="121"/>
      <c r="E268" s="107"/>
      <c r="F268" s="122"/>
      <c r="G268" s="22"/>
      <c r="H268" s="123"/>
      <c r="I268" s="126"/>
      <c r="J268" s="130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hidden="1">
      <c r="A269" s="107"/>
      <c r="B269" s="138"/>
      <c r="C269" s="120"/>
      <c r="D269" s="121"/>
      <c r="E269" s="107"/>
      <c r="F269" s="122"/>
      <c r="G269" s="22"/>
      <c r="H269" s="123"/>
      <c r="I269" s="126"/>
      <c r="J269" s="130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hidden="1">
      <c r="A270" s="107"/>
      <c r="B270" s="138"/>
      <c r="C270" s="120"/>
      <c r="D270" s="121"/>
      <c r="E270" s="107"/>
      <c r="F270" s="122"/>
      <c r="G270" s="22"/>
      <c r="H270" s="123"/>
      <c r="I270" s="126"/>
      <c r="J270" s="130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hidden="1">
      <c r="A271" s="107"/>
      <c r="B271" s="138"/>
      <c r="C271" s="120"/>
      <c r="D271" s="121"/>
      <c r="E271" s="107"/>
      <c r="F271" s="122"/>
      <c r="G271" s="22"/>
      <c r="H271" s="123"/>
      <c r="I271" s="126"/>
      <c r="J271" s="130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hidden="1">
      <c r="A272" s="107"/>
      <c r="B272" s="138"/>
      <c r="C272" s="120"/>
      <c r="D272" s="121"/>
      <c r="E272" s="107"/>
      <c r="F272" s="122"/>
      <c r="G272" s="22"/>
      <c r="H272" s="123"/>
      <c r="I272" s="126"/>
      <c r="J272" s="130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hidden="1">
      <c r="A273" s="107"/>
      <c r="B273" s="138"/>
      <c r="C273" s="120"/>
      <c r="D273" s="121"/>
      <c r="E273" s="107"/>
      <c r="F273" s="122"/>
      <c r="G273" s="22"/>
      <c r="H273" s="123"/>
      <c r="I273" s="126"/>
      <c r="J273" s="130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hidden="1">
      <c r="A274" s="107"/>
      <c r="B274" s="138"/>
      <c r="C274" s="120"/>
      <c r="D274" s="121"/>
      <c r="E274" s="107"/>
      <c r="F274" s="122"/>
      <c r="G274" s="22"/>
      <c r="H274" s="123"/>
      <c r="I274" s="126"/>
      <c r="J274" s="130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hidden="1">
      <c r="A275" s="107"/>
      <c r="B275" s="138"/>
      <c r="C275" s="120"/>
      <c r="D275" s="121"/>
      <c r="E275" s="107"/>
      <c r="F275" s="122"/>
      <c r="G275" s="22"/>
      <c r="H275" s="123"/>
      <c r="I275" s="126"/>
      <c r="J275" s="130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hidden="1">
      <c r="A276" s="107"/>
      <c r="B276" s="138"/>
      <c r="C276" s="120"/>
      <c r="D276" s="121"/>
      <c r="E276" s="107"/>
      <c r="F276" s="122"/>
      <c r="G276" s="22"/>
      <c r="H276" s="123"/>
      <c r="I276" s="126"/>
      <c r="J276" s="130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hidden="1">
      <c r="A277" s="107"/>
      <c r="B277" s="138"/>
      <c r="C277" s="120"/>
      <c r="D277" s="121"/>
      <c r="E277" s="107"/>
      <c r="F277" s="122"/>
      <c r="G277" s="22"/>
      <c r="H277" s="123"/>
      <c r="I277" s="126"/>
      <c r="J277" s="130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hidden="1">
      <c r="A278" s="107"/>
      <c r="B278" s="138"/>
      <c r="C278" s="120"/>
      <c r="D278" s="121"/>
      <c r="E278" s="107"/>
      <c r="F278" s="122"/>
      <c r="G278" s="22"/>
      <c r="H278" s="123"/>
      <c r="I278" s="126"/>
      <c r="J278" s="130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hidden="1">
      <c r="A279" s="107"/>
      <c r="B279" s="138"/>
      <c r="C279" s="120"/>
      <c r="D279" s="121"/>
      <c r="E279" s="107"/>
      <c r="F279" s="122"/>
      <c r="G279" s="22"/>
      <c r="H279" s="123"/>
      <c r="I279" s="126"/>
      <c r="J279" s="130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hidden="1">
      <c r="A280" s="107"/>
      <c r="B280" s="138"/>
      <c r="C280" s="120"/>
      <c r="D280" s="121"/>
      <c r="E280" s="107"/>
      <c r="F280" s="122"/>
      <c r="G280" s="22"/>
      <c r="H280" s="123"/>
      <c r="I280" s="126"/>
      <c r="J280" s="130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hidden="1">
      <c r="A281" s="107"/>
      <c r="B281" s="138"/>
      <c r="C281" s="120"/>
      <c r="D281" s="121"/>
      <c r="E281" s="107"/>
      <c r="F281" s="122"/>
      <c r="G281" s="22"/>
      <c r="H281" s="123"/>
      <c r="I281" s="126"/>
      <c r="J281" s="130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hidden="1">
      <c r="A282" s="107"/>
      <c r="B282" s="138"/>
      <c r="C282" s="120"/>
      <c r="D282" s="121"/>
      <c r="E282" s="107"/>
      <c r="F282" s="122"/>
      <c r="G282" s="22"/>
      <c r="H282" s="123"/>
      <c r="I282" s="126"/>
      <c r="J282" s="130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hidden="1">
      <c r="A283" s="107"/>
      <c r="B283" s="138"/>
      <c r="C283" s="120"/>
      <c r="D283" s="121"/>
      <c r="E283" s="107"/>
      <c r="F283" s="122"/>
      <c r="G283" s="22"/>
      <c r="H283" s="123"/>
      <c r="I283" s="126"/>
      <c r="J283" s="130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hidden="1">
      <c r="A284" s="107"/>
      <c r="B284" s="138"/>
      <c r="C284" s="120"/>
      <c r="D284" s="121"/>
      <c r="E284" s="107"/>
      <c r="F284" s="122"/>
      <c r="G284" s="22"/>
      <c r="H284" s="123"/>
      <c r="I284" s="126"/>
      <c r="J284" s="130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hidden="1">
      <c r="A285" s="107"/>
      <c r="B285" s="138"/>
      <c r="C285" s="120"/>
      <c r="D285" s="121"/>
      <c r="E285" s="107"/>
      <c r="F285" s="122"/>
      <c r="G285" s="22"/>
      <c r="H285" s="123"/>
      <c r="I285" s="126"/>
      <c r="J285" s="130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hidden="1">
      <c r="A286" s="107"/>
      <c r="B286" s="138"/>
      <c r="C286" s="120"/>
      <c r="D286" s="121"/>
      <c r="E286" s="107"/>
      <c r="F286" s="122"/>
      <c r="G286" s="22"/>
      <c r="H286" s="123"/>
      <c r="I286" s="126"/>
      <c r="J286" s="130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hidden="1">
      <c r="A287" s="107"/>
      <c r="B287" s="138"/>
      <c r="C287" s="120"/>
      <c r="D287" s="121"/>
      <c r="E287" s="107"/>
      <c r="F287" s="122"/>
      <c r="G287" s="22"/>
      <c r="H287" s="123"/>
      <c r="I287" s="126"/>
      <c r="J287" s="130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hidden="1">
      <c r="A288" s="107"/>
      <c r="B288" s="138"/>
      <c r="C288" s="120"/>
      <c r="D288" s="121"/>
      <c r="E288" s="107"/>
      <c r="F288" s="122"/>
      <c r="G288" s="22"/>
      <c r="H288" s="123"/>
      <c r="I288" s="126"/>
      <c r="J288" s="130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hidden="1">
      <c r="A289" s="107"/>
      <c r="B289" s="138"/>
      <c r="C289" s="120"/>
      <c r="D289" s="121"/>
      <c r="E289" s="107"/>
      <c r="F289" s="122"/>
      <c r="G289" s="22"/>
      <c r="H289" s="123"/>
      <c r="I289" s="126"/>
      <c r="J289" s="130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hidden="1">
      <c r="A290" s="107"/>
      <c r="B290" s="138"/>
      <c r="C290" s="120"/>
      <c r="D290" s="121"/>
      <c r="E290" s="107"/>
      <c r="F290" s="122"/>
      <c r="G290" s="22"/>
      <c r="H290" s="123"/>
      <c r="I290" s="126"/>
      <c r="J290" s="130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hidden="1">
      <c r="A291" s="107"/>
      <c r="B291" s="138"/>
      <c r="C291" s="120"/>
      <c r="D291" s="121"/>
      <c r="E291" s="107"/>
      <c r="F291" s="122"/>
      <c r="G291" s="22"/>
      <c r="H291" s="123"/>
      <c r="I291" s="126"/>
      <c r="J291" s="130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hidden="1">
      <c r="A292" s="107"/>
      <c r="B292" s="138"/>
      <c r="C292" s="120"/>
      <c r="D292" s="121"/>
      <c r="E292" s="107"/>
      <c r="F292" s="122"/>
      <c r="G292" s="22"/>
      <c r="H292" s="123"/>
      <c r="I292" s="126"/>
      <c r="J292" s="130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hidden="1">
      <c r="A293" s="107"/>
      <c r="B293" s="138"/>
      <c r="C293" s="120"/>
      <c r="D293" s="121"/>
      <c r="E293" s="107"/>
      <c r="F293" s="122"/>
      <c r="G293" s="22"/>
      <c r="H293" s="123"/>
      <c r="I293" s="126"/>
      <c r="J293" s="130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hidden="1">
      <c r="A294" s="107"/>
      <c r="B294" s="138"/>
      <c r="C294" s="120"/>
      <c r="D294" s="121"/>
      <c r="E294" s="107"/>
      <c r="F294" s="122"/>
      <c r="G294" s="22"/>
      <c r="H294" s="123"/>
      <c r="I294" s="126"/>
      <c r="J294" s="130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hidden="1">
      <c r="A295" s="107"/>
      <c r="B295" s="138"/>
      <c r="C295" s="120"/>
      <c r="D295" s="121"/>
      <c r="E295" s="107"/>
      <c r="F295" s="122"/>
      <c r="G295" s="22"/>
      <c r="H295" s="123"/>
      <c r="I295" s="126"/>
      <c r="J295" s="130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hidden="1">
      <c r="A296" s="107"/>
      <c r="B296" s="138"/>
      <c r="C296" s="120"/>
      <c r="D296" s="121"/>
      <c r="E296" s="107"/>
      <c r="F296" s="122"/>
      <c r="G296" s="22"/>
      <c r="H296" s="123"/>
      <c r="I296" s="126"/>
      <c r="J296" s="130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hidden="1">
      <c r="A297" s="107"/>
      <c r="B297" s="138"/>
      <c r="C297" s="120"/>
      <c r="D297" s="121"/>
      <c r="E297" s="107"/>
      <c r="F297" s="122"/>
      <c r="G297" s="22"/>
      <c r="H297" s="123"/>
      <c r="I297" s="126"/>
      <c r="J297" s="130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hidden="1">
      <c r="A298" s="107"/>
      <c r="B298" s="138"/>
      <c r="C298" s="120"/>
      <c r="D298" s="121"/>
      <c r="E298" s="107"/>
      <c r="F298" s="122"/>
      <c r="G298" s="22"/>
      <c r="H298" s="123"/>
      <c r="I298" s="126"/>
      <c r="J298" s="130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hidden="1">
      <c r="A299" s="107"/>
      <c r="B299" s="138"/>
      <c r="C299" s="120"/>
      <c r="D299" s="121"/>
      <c r="E299" s="107"/>
      <c r="F299" s="122"/>
      <c r="G299" s="22"/>
      <c r="H299" s="123"/>
      <c r="I299" s="126"/>
      <c r="J299" s="130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hidden="1">
      <c r="A300" s="107"/>
      <c r="B300" s="138"/>
      <c r="C300" s="120"/>
      <c r="D300" s="121"/>
      <c r="E300" s="107"/>
      <c r="F300" s="122"/>
      <c r="G300" s="22"/>
      <c r="H300" s="123"/>
      <c r="I300" s="126"/>
      <c r="J300" s="130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hidden="1">
      <c r="A301" s="107"/>
      <c r="B301" s="138"/>
      <c r="C301" s="120"/>
      <c r="D301" s="121"/>
      <c r="E301" s="107"/>
      <c r="F301" s="122"/>
      <c r="G301" s="22"/>
      <c r="H301" s="123"/>
      <c r="I301" s="126"/>
      <c r="J301" s="130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hidden="1">
      <c r="A302" s="107"/>
      <c r="B302" s="138"/>
      <c r="C302" s="120"/>
      <c r="D302" s="121"/>
      <c r="E302" s="107"/>
      <c r="F302" s="122"/>
      <c r="G302" s="22"/>
      <c r="H302" s="123"/>
      <c r="I302" s="126"/>
      <c r="J302" s="130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hidden="1">
      <c r="A303" s="107"/>
      <c r="B303" s="138"/>
      <c r="C303" s="120"/>
      <c r="D303" s="121"/>
      <c r="E303" s="107"/>
      <c r="F303" s="122"/>
      <c r="G303" s="22"/>
      <c r="H303" s="123"/>
      <c r="I303" s="126"/>
      <c r="J303" s="130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hidden="1">
      <c r="A304" s="107"/>
      <c r="B304" s="138"/>
      <c r="C304" s="120"/>
      <c r="D304" s="121"/>
      <c r="E304" s="107"/>
      <c r="F304" s="122"/>
      <c r="G304" s="22"/>
      <c r="H304" s="123"/>
      <c r="I304" s="126"/>
      <c r="J304" s="130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hidden="1">
      <c r="A305" s="107"/>
      <c r="B305" s="138"/>
      <c r="C305" s="120"/>
      <c r="D305" s="121"/>
      <c r="E305" s="107"/>
      <c r="F305" s="122"/>
      <c r="G305" s="22"/>
      <c r="H305" s="123"/>
      <c r="I305" s="126"/>
      <c r="J305" s="130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hidden="1">
      <c r="A306" s="107"/>
      <c r="B306" s="138"/>
      <c r="C306" s="120"/>
      <c r="D306" s="121"/>
      <c r="E306" s="107"/>
      <c r="F306" s="122"/>
      <c r="G306" s="22"/>
      <c r="H306" s="123"/>
      <c r="I306" s="126"/>
      <c r="J306" s="130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hidden="1">
      <c r="A307" s="107"/>
      <c r="B307" s="138"/>
      <c r="C307" s="120"/>
      <c r="D307" s="121"/>
      <c r="E307" s="107"/>
      <c r="F307" s="122"/>
      <c r="G307" s="22"/>
      <c r="H307" s="123"/>
      <c r="I307" s="126"/>
      <c r="J307" s="130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hidden="1">
      <c r="A308" s="107"/>
      <c r="B308" s="138"/>
      <c r="C308" s="120"/>
      <c r="D308" s="121"/>
      <c r="E308" s="107"/>
      <c r="F308" s="122"/>
      <c r="G308" s="22"/>
      <c r="H308" s="123"/>
      <c r="I308" s="126"/>
      <c r="J308" s="130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hidden="1">
      <c r="A309" s="107"/>
      <c r="B309" s="138"/>
      <c r="C309" s="120"/>
      <c r="D309" s="121"/>
      <c r="E309" s="107"/>
      <c r="F309" s="122"/>
      <c r="G309" s="22"/>
      <c r="H309" s="123"/>
      <c r="I309" s="126"/>
      <c r="J309" s="130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hidden="1">
      <c r="A310" s="107"/>
      <c r="B310" s="138"/>
      <c r="C310" s="120"/>
      <c r="D310" s="121"/>
      <c r="E310" s="107"/>
      <c r="F310" s="122"/>
      <c r="G310" s="22"/>
      <c r="H310" s="123"/>
      <c r="I310" s="126"/>
      <c r="J310" s="130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hidden="1">
      <c r="A311" s="107"/>
      <c r="B311" s="138"/>
      <c r="C311" s="120"/>
      <c r="D311" s="121"/>
      <c r="E311" s="107"/>
      <c r="F311" s="122"/>
      <c r="G311" s="22"/>
      <c r="H311" s="123"/>
      <c r="I311" s="126"/>
      <c r="J311" s="130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hidden="1">
      <c r="A312" s="107"/>
      <c r="B312" s="138"/>
      <c r="C312" s="120"/>
      <c r="D312" s="121"/>
      <c r="E312" s="107"/>
      <c r="F312" s="122"/>
      <c r="G312" s="22"/>
      <c r="H312" s="123"/>
      <c r="I312" s="126"/>
      <c r="J312" s="130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hidden="1">
      <c r="A313" s="107"/>
      <c r="B313" s="138"/>
      <c r="C313" s="120"/>
      <c r="D313" s="121"/>
      <c r="E313" s="107"/>
      <c r="F313" s="122"/>
      <c r="G313" s="22"/>
      <c r="H313" s="123"/>
      <c r="I313" s="126"/>
      <c r="J313" s="130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hidden="1">
      <c r="A314" s="107"/>
      <c r="B314" s="138"/>
      <c r="C314" s="120"/>
      <c r="D314" s="121"/>
      <c r="E314" s="107"/>
      <c r="F314" s="122"/>
      <c r="G314" s="22"/>
      <c r="H314" s="123"/>
      <c r="I314" s="126"/>
      <c r="J314" s="130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hidden="1">
      <c r="A315" s="107"/>
      <c r="B315" s="138"/>
      <c r="C315" s="120"/>
      <c r="D315" s="121"/>
      <c r="E315" s="107"/>
      <c r="F315" s="122"/>
      <c r="G315" s="22"/>
      <c r="H315" s="123"/>
      <c r="I315" s="126"/>
      <c r="J315" s="130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hidden="1">
      <c r="A316" s="107"/>
      <c r="B316" s="138"/>
      <c r="C316" s="120"/>
      <c r="D316" s="121"/>
      <c r="E316" s="107"/>
      <c r="F316" s="122"/>
      <c r="G316" s="22"/>
      <c r="H316" s="123"/>
      <c r="I316" s="126"/>
      <c r="J316" s="130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hidden="1">
      <c r="A317" s="107"/>
      <c r="B317" s="138"/>
      <c r="C317" s="120"/>
      <c r="D317" s="121"/>
      <c r="E317" s="107"/>
      <c r="F317" s="122"/>
      <c r="G317" s="22"/>
      <c r="H317" s="123"/>
      <c r="I317" s="126"/>
      <c r="J317" s="130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hidden="1">
      <c r="A318" s="107"/>
      <c r="B318" s="138"/>
      <c r="C318" s="120"/>
      <c r="D318" s="121"/>
      <c r="E318" s="107"/>
      <c r="F318" s="122"/>
      <c r="G318" s="22"/>
      <c r="H318" s="123"/>
      <c r="I318" s="126"/>
      <c r="J318" s="130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hidden="1">
      <c r="A319" s="107"/>
      <c r="B319" s="138"/>
      <c r="C319" s="120"/>
      <c r="D319" s="121"/>
      <c r="E319" s="107"/>
      <c r="F319" s="122"/>
      <c r="G319" s="22"/>
      <c r="H319" s="123"/>
      <c r="I319" s="126"/>
      <c r="J319" s="130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hidden="1">
      <c r="A320" s="107"/>
      <c r="B320" s="138"/>
      <c r="C320" s="120"/>
      <c r="D320" s="121"/>
      <c r="E320" s="107"/>
      <c r="F320" s="122"/>
      <c r="G320" s="22"/>
      <c r="H320" s="123"/>
      <c r="I320" s="126"/>
      <c r="J320" s="130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hidden="1">
      <c r="A321" s="107"/>
      <c r="B321" s="138"/>
      <c r="C321" s="120"/>
      <c r="D321" s="121"/>
      <c r="E321" s="107"/>
      <c r="F321" s="122"/>
      <c r="G321" s="22"/>
      <c r="H321" s="123"/>
      <c r="I321" s="126"/>
      <c r="J321" s="130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hidden="1">
      <c r="A322" s="107"/>
      <c r="B322" s="138"/>
      <c r="C322" s="120"/>
      <c r="D322" s="121"/>
      <c r="E322" s="107"/>
      <c r="F322" s="122"/>
      <c r="G322" s="22"/>
      <c r="H322" s="123"/>
      <c r="I322" s="126"/>
      <c r="J322" s="130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hidden="1">
      <c r="A323" s="107"/>
      <c r="B323" s="138"/>
      <c r="C323" s="120"/>
      <c r="D323" s="121"/>
      <c r="E323" s="107"/>
      <c r="F323" s="122"/>
      <c r="G323" s="22"/>
      <c r="H323" s="123"/>
      <c r="I323" s="126"/>
      <c r="J323" s="130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hidden="1">
      <c r="A324" s="107"/>
      <c r="B324" s="138"/>
      <c r="C324" s="120"/>
      <c r="D324" s="121"/>
      <c r="E324" s="107"/>
      <c r="F324" s="122"/>
      <c r="G324" s="22"/>
      <c r="H324" s="123"/>
      <c r="I324" s="126"/>
      <c r="J324" s="130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hidden="1">
      <c r="A325" s="107"/>
      <c r="B325" s="138"/>
      <c r="C325" s="120"/>
      <c r="D325" s="121"/>
      <c r="E325" s="107"/>
      <c r="F325" s="122"/>
      <c r="G325" s="22"/>
      <c r="H325" s="123"/>
      <c r="I325" s="126"/>
      <c r="J325" s="130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hidden="1">
      <c r="A326" s="107"/>
      <c r="B326" s="138"/>
      <c r="C326" s="120"/>
      <c r="D326" s="121"/>
      <c r="E326" s="107"/>
      <c r="F326" s="122"/>
      <c r="G326" s="22"/>
      <c r="H326" s="123"/>
      <c r="I326" s="126"/>
      <c r="J326" s="130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hidden="1">
      <c r="A327" s="107"/>
      <c r="B327" s="138"/>
      <c r="C327" s="120"/>
      <c r="D327" s="121"/>
      <c r="E327" s="107"/>
      <c r="F327" s="122"/>
      <c r="G327" s="22"/>
      <c r="H327" s="123"/>
      <c r="I327" s="126"/>
      <c r="J327" s="130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hidden="1">
      <c r="A328" s="107"/>
      <c r="B328" s="138"/>
      <c r="C328" s="120"/>
      <c r="D328" s="121"/>
      <c r="E328" s="107"/>
      <c r="F328" s="122"/>
      <c r="G328" s="22"/>
      <c r="H328" s="123"/>
      <c r="I328" s="126"/>
      <c r="J328" s="130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hidden="1">
      <c r="A329" s="107"/>
      <c r="B329" s="138"/>
      <c r="C329" s="120"/>
      <c r="D329" s="121"/>
      <c r="E329" s="107"/>
      <c r="F329" s="122"/>
      <c r="G329" s="22"/>
      <c r="H329" s="123"/>
      <c r="I329" s="126"/>
      <c r="J329" s="130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hidden="1">
      <c r="A330" s="107"/>
      <c r="B330" s="138"/>
      <c r="C330" s="120"/>
      <c r="D330" s="121"/>
      <c r="E330" s="107"/>
      <c r="F330" s="122"/>
      <c r="G330" s="22"/>
      <c r="H330" s="123"/>
      <c r="I330" s="126"/>
      <c r="J330" s="130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hidden="1">
      <c r="A331" s="107"/>
      <c r="B331" s="138"/>
      <c r="C331" s="120"/>
      <c r="D331" s="121"/>
      <c r="E331" s="107"/>
      <c r="F331" s="122"/>
      <c r="G331" s="22"/>
      <c r="H331" s="123"/>
      <c r="I331" s="126"/>
      <c r="J331" s="130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hidden="1">
      <c r="A332" s="107"/>
      <c r="B332" s="138"/>
      <c r="C332" s="120"/>
      <c r="D332" s="121"/>
      <c r="E332" s="107"/>
      <c r="F332" s="122"/>
      <c r="G332" s="22"/>
      <c r="H332" s="123"/>
      <c r="I332" s="126"/>
      <c r="J332" s="130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hidden="1">
      <c r="A333" s="107"/>
      <c r="B333" s="138"/>
      <c r="C333" s="120"/>
      <c r="D333" s="121"/>
      <c r="E333" s="107"/>
      <c r="F333" s="122"/>
      <c r="G333" s="22"/>
      <c r="H333" s="123"/>
      <c r="I333" s="126"/>
      <c r="J333" s="130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hidden="1">
      <c r="A334" s="107"/>
      <c r="B334" s="138"/>
      <c r="C334" s="120"/>
      <c r="D334" s="121"/>
      <c r="E334" s="107"/>
      <c r="F334" s="122"/>
      <c r="G334" s="22"/>
      <c r="H334" s="123"/>
      <c r="I334" s="126"/>
      <c r="J334" s="130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hidden="1">
      <c r="A335" s="107"/>
      <c r="B335" s="138"/>
      <c r="C335" s="120"/>
      <c r="D335" s="121"/>
      <c r="E335" s="107"/>
      <c r="F335" s="122"/>
      <c r="G335" s="22"/>
      <c r="H335" s="123"/>
      <c r="I335" s="126"/>
      <c r="J335" s="130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hidden="1">
      <c r="A336" s="107"/>
      <c r="B336" s="138"/>
      <c r="C336" s="120"/>
      <c r="D336" s="121"/>
      <c r="E336" s="107"/>
      <c r="F336" s="122"/>
      <c r="G336" s="22"/>
      <c r="H336" s="123"/>
      <c r="I336" s="126"/>
      <c r="J336" s="130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hidden="1">
      <c r="A337" s="107"/>
      <c r="B337" s="138"/>
      <c r="C337" s="120"/>
      <c r="D337" s="121"/>
      <c r="E337" s="107"/>
      <c r="F337" s="122"/>
      <c r="G337" s="22"/>
      <c r="H337" s="123"/>
      <c r="I337" s="126"/>
      <c r="J337" s="130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hidden="1">
      <c r="A338" s="107"/>
      <c r="B338" s="138"/>
      <c r="C338" s="120"/>
      <c r="D338" s="121"/>
      <c r="E338" s="107"/>
      <c r="F338" s="122"/>
      <c r="G338" s="22"/>
      <c r="H338" s="123"/>
      <c r="I338" s="126"/>
      <c r="J338" s="130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hidden="1">
      <c r="A339" s="107"/>
      <c r="B339" s="138"/>
      <c r="C339" s="120"/>
      <c r="D339" s="121"/>
      <c r="E339" s="107"/>
      <c r="F339" s="122"/>
      <c r="G339" s="22"/>
      <c r="H339" s="123"/>
      <c r="I339" s="126"/>
      <c r="J339" s="130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hidden="1">
      <c r="A340" s="107"/>
      <c r="B340" s="138"/>
      <c r="C340" s="120"/>
      <c r="D340" s="121"/>
      <c r="E340" s="107"/>
      <c r="F340" s="122"/>
      <c r="G340" s="22"/>
      <c r="H340" s="123"/>
      <c r="I340" s="126"/>
      <c r="J340" s="130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hidden="1">
      <c r="A341" s="107"/>
      <c r="B341" s="138"/>
      <c r="C341" s="120"/>
      <c r="D341" s="121"/>
      <c r="E341" s="107"/>
      <c r="F341" s="122"/>
      <c r="G341" s="22"/>
      <c r="H341" s="123"/>
      <c r="I341" s="126"/>
      <c r="J341" s="130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hidden="1">
      <c r="A342" s="107"/>
      <c r="B342" s="138"/>
      <c r="C342" s="120"/>
      <c r="D342" s="121"/>
      <c r="E342" s="107"/>
      <c r="F342" s="122"/>
      <c r="G342" s="22"/>
      <c r="H342" s="123"/>
      <c r="I342" s="126"/>
      <c r="J342" s="130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hidden="1">
      <c r="A343" s="107"/>
      <c r="B343" s="138"/>
      <c r="C343" s="120"/>
      <c r="D343" s="121"/>
      <c r="E343" s="107"/>
      <c r="F343" s="122"/>
      <c r="G343" s="22"/>
      <c r="H343" s="123"/>
      <c r="I343" s="126"/>
      <c r="J343" s="130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hidden="1">
      <c r="A344" s="107"/>
      <c r="B344" s="138"/>
      <c r="C344" s="120"/>
      <c r="D344" s="121"/>
      <c r="E344" s="107"/>
      <c r="F344" s="122"/>
      <c r="G344" s="22"/>
      <c r="H344" s="123"/>
      <c r="I344" s="126"/>
      <c r="J344" s="130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hidden="1">
      <c r="A345" s="107"/>
      <c r="B345" s="138"/>
      <c r="C345" s="120"/>
      <c r="D345" s="121"/>
      <c r="E345" s="107"/>
      <c r="F345" s="122"/>
      <c r="G345" s="22"/>
      <c r="H345" s="123"/>
      <c r="I345" s="126"/>
      <c r="J345" s="130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hidden="1">
      <c r="A346" s="107"/>
      <c r="B346" s="138"/>
      <c r="C346" s="120"/>
      <c r="D346" s="121"/>
      <c r="E346" s="107"/>
      <c r="F346" s="122"/>
      <c r="G346" s="22"/>
      <c r="H346" s="123"/>
      <c r="I346" s="126"/>
      <c r="J346" s="130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hidden="1">
      <c r="A347" s="107"/>
      <c r="B347" s="138"/>
      <c r="C347" s="120"/>
      <c r="D347" s="121"/>
      <c r="E347" s="107"/>
      <c r="F347" s="122"/>
      <c r="G347" s="22"/>
      <c r="H347" s="123"/>
      <c r="I347" s="126"/>
      <c r="J347" s="130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hidden="1">
      <c r="A348" s="107"/>
      <c r="B348" s="138"/>
      <c r="C348" s="120"/>
      <c r="D348" s="121"/>
      <c r="E348" s="107"/>
      <c r="F348" s="122"/>
      <c r="G348" s="22"/>
      <c r="H348" s="123"/>
      <c r="I348" s="126"/>
      <c r="J348" s="130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hidden="1">
      <c r="A349" s="107"/>
      <c r="B349" s="138"/>
      <c r="C349" s="120"/>
      <c r="D349" s="121"/>
      <c r="E349" s="107"/>
      <c r="F349" s="122"/>
      <c r="G349" s="22"/>
      <c r="H349" s="123"/>
      <c r="I349" s="126"/>
      <c r="J349" s="130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hidden="1">
      <c r="A350" s="107"/>
      <c r="B350" s="138"/>
      <c r="C350" s="120"/>
      <c r="D350" s="121"/>
      <c r="E350" s="107"/>
      <c r="F350" s="122"/>
      <c r="G350" s="22"/>
      <c r="H350" s="123"/>
      <c r="I350" s="126"/>
      <c r="J350" s="130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hidden="1">
      <c r="A351" s="107"/>
      <c r="B351" s="138"/>
      <c r="C351" s="120"/>
      <c r="D351" s="121"/>
      <c r="E351" s="107"/>
      <c r="F351" s="122"/>
      <c r="G351" s="22"/>
      <c r="H351" s="123"/>
      <c r="I351" s="126"/>
      <c r="J351" s="130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hidden="1">
      <c r="A352" s="107"/>
      <c r="B352" s="138"/>
      <c r="C352" s="120"/>
      <c r="D352" s="121"/>
      <c r="E352" s="107"/>
      <c r="F352" s="122"/>
      <c r="G352" s="22"/>
      <c r="H352" s="123"/>
      <c r="I352" s="126"/>
      <c r="J352" s="130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hidden="1">
      <c r="A353" s="107"/>
      <c r="B353" s="138"/>
      <c r="C353" s="120"/>
      <c r="D353" s="121"/>
      <c r="E353" s="107"/>
      <c r="F353" s="122"/>
      <c r="G353" s="22"/>
      <c r="H353" s="123"/>
      <c r="I353" s="126"/>
      <c r="J353" s="130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hidden="1">
      <c r="A354" s="107"/>
      <c r="B354" s="138"/>
      <c r="C354" s="120"/>
      <c r="D354" s="121"/>
      <c r="E354" s="107"/>
      <c r="F354" s="122"/>
      <c r="G354" s="22"/>
      <c r="H354" s="123"/>
      <c r="I354" s="126"/>
      <c r="J354" s="130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hidden="1">
      <c r="A355" s="107"/>
      <c r="B355" s="138"/>
      <c r="C355" s="120"/>
      <c r="D355" s="121"/>
      <c r="E355" s="107"/>
      <c r="F355" s="122"/>
      <c r="G355" s="22"/>
      <c r="H355" s="123"/>
      <c r="I355" s="126"/>
      <c r="J355" s="130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hidden="1">
      <c r="A356" s="107"/>
      <c r="B356" s="138"/>
      <c r="C356" s="120"/>
      <c r="D356" s="121"/>
      <c r="E356" s="107"/>
      <c r="F356" s="122"/>
      <c r="G356" s="22"/>
      <c r="H356" s="123"/>
      <c r="I356" s="126"/>
      <c r="J356" s="130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hidden="1">
      <c r="A357" s="107"/>
      <c r="B357" s="138"/>
      <c r="C357" s="120"/>
      <c r="D357" s="121"/>
      <c r="E357" s="107"/>
      <c r="F357" s="122"/>
      <c r="G357" s="22"/>
      <c r="H357" s="123"/>
      <c r="I357" s="126"/>
      <c r="J357" s="130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hidden="1">
      <c r="A358" s="107"/>
      <c r="B358" s="138"/>
      <c r="C358" s="120"/>
      <c r="D358" s="121"/>
      <c r="E358" s="107"/>
      <c r="F358" s="122"/>
      <c r="G358" s="22"/>
      <c r="H358" s="123"/>
      <c r="I358" s="126"/>
      <c r="J358" s="130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hidden="1">
      <c r="A359" s="107"/>
      <c r="B359" s="138"/>
      <c r="C359" s="120"/>
      <c r="D359" s="121"/>
      <c r="E359" s="107"/>
      <c r="F359" s="122"/>
      <c r="G359" s="22"/>
      <c r="H359" s="123"/>
      <c r="I359" s="126"/>
      <c r="J359" s="130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hidden="1">
      <c r="A360" s="107"/>
      <c r="B360" s="138"/>
      <c r="C360" s="120"/>
      <c r="D360" s="121"/>
      <c r="E360" s="107"/>
      <c r="F360" s="122"/>
      <c r="G360" s="22"/>
      <c r="H360" s="123"/>
      <c r="I360" s="126"/>
      <c r="J360" s="130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hidden="1">
      <c r="A361" s="107"/>
      <c r="B361" s="138"/>
      <c r="C361" s="120"/>
      <c r="D361" s="121"/>
      <c r="E361" s="107"/>
      <c r="F361" s="122"/>
      <c r="G361" s="22"/>
      <c r="H361" s="123"/>
      <c r="I361" s="126"/>
      <c r="J361" s="130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hidden="1">
      <c r="A362" s="107"/>
      <c r="B362" s="138"/>
      <c r="C362" s="120"/>
      <c r="D362" s="121"/>
      <c r="E362" s="107"/>
      <c r="F362" s="122"/>
      <c r="G362" s="22"/>
      <c r="H362" s="123"/>
      <c r="I362" s="126"/>
      <c r="J362" s="130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hidden="1">
      <c r="A363" s="107"/>
      <c r="B363" s="138"/>
      <c r="C363" s="120"/>
      <c r="D363" s="121"/>
      <c r="E363" s="107"/>
      <c r="F363" s="122"/>
      <c r="G363" s="22"/>
      <c r="H363" s="123"/>
      <c r="I363" s="126"/>
      <c r="J363" s="130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hidden="1">
      <c r="A364" s="107"/>
      <c r="B364" s="138"/>
      <c r="C364" s="120"/>
      <c r="D364" s="121"/>
      <c r="E364" s="107"/>
      <c r="F364" s="122"/>
      <c r="G364" s="22"/>
      <c r="H364" s="123"/>
      <c r="I364" s="126"/>
      <c r="J364" s="130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hidden="1">
      <c r="A365" s="107"/>
      <c r="B365" s="138"/>
      <c r="C365" s="120"/>
      <c r="D365" s="121"/>
      <c r="E365" s="107"/>
      <c r="F365" s="122"/>
      <c r="G365" s="22"/>
      <c r="H365" s="123"/>
      <c r="I365" s="126"/>
      <c r="J365" s="130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hidden="1">
      <c r="A366" s="107"/>
      <c r="B366" s="138"/>
      <c r="C366" s="120"/>
      <c r="D366" s="121"/>
      <c r="E366" s="107"/>
      <c r="F366" s="122"/>
      <c r="G366" s="22"/>
      <c r="H366" s="123"/>
      <c r="I366" s="126"/>
      <c r="J366" s="130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hidden="1">
      <c r="A367" s="107"/>
      <c r="B367" s="138"/>
      <c r="C367" s="120"/>
      <c r="D367" s="121"/>
      <c r="E367" s="107"/>
      <c r="F367" s="122"/>
      <c r="G367" s="22"/>
      <c r="H367" s="123"/>
      <c r="I367" s="126"/>
      <c r="J367" s="130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hidden="1">
      <c r="A368" s="107"/>
      <c r="B368" s="138"/>
      <c r="C368" s="120"/>
      <c r="D368" s="121"/>
      <c r="E368" s="107"/>
      <c r="F368" s="122"/>
      <c r="G368" s="22"/>
      <c r="H368" s="123"/>
      <c r="I368" s="126"/>
      <c r="J368" s="130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hidden="1">
      <c r="A369" s="107"/>
      <c r="B369" s="138"/>
      <c r="C369" s="120"/>
      <c r="D369" s="121"/>
      <c r="E369" s="107"/>
      <c r="F369" s="122"/>
      <c r="G369" s="22"/>
      <c r="H369" s="123"/>
      <c r="I369" s="126"/>
      <c r="J369" s="130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hidden="1">
      <c r="A370" s="107"/>
      <c r="B370" s="138"/>
      <c r="C370" s="120"/>
      <c r="D370" s="121"/>
      <c r="E370" s="107"/>
      <c r="F370" s="122"/>
      <c r="G370" s="22"/>
      <c r="H370" s="123"/>
      <c r="I370" s="126"/>
      <c r="J370" s="130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hidden="1">
      <c r="A371" s="107"/>
      <c r="B371" s="138"/>
      <c r="C371" s="120"/>
      <c r="D371" s="121"/>
      <c r="E371" s="107"/>
      <c r="F371" s="122"/>
      <c r="G371" s="22"/>
      <c r="H371" s="123"/>
      <c r="I371" s="126"/>
      <c r="J371" s="130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hidden="1">
      <c r="A372" s="107"/>
      <c r="B372" s="138"/>
      <c r="C372" s="120"/>
      <c r="D372" s="121"/>
      <c r="E372" s="107"/>
      <c r="F372" s="122"/>
      <c r="G372" s="22"/>
      <c r="H372" s="123"/>
      <c r="I372" s="126"/>
      <c r="J372" s="130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hidden="1">
      <c r="A373" s="107"/>
      <c r="B373" s="138"/>
      <c r="C373" s="120"/>
      <c r="D373" s="121"/>
      <c r="E373" s="107"/>
      <c r="F373" s="122"/>
      <c r="G373" s="22"/>
      <c r="H373" s="123"/>
      <c r="I373" s="126"/>
      <c r="J373" s="130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hidden="1">
      <c r="A374" s="107"/>
      <c r="B374" s="138"/>
      <c r="C374" s="120"/>
      <c r="D374" s="121"/>
      <c r="E374" s="107"/>
      <c r="F374" s="122"/>
      <c r="G374" s="22"/>
      <c r="H374" s="123"/>
      <c r="I374" s="126"/>
      <c r="J374" s="130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hidden="1">
      <c r="A375" s="107"/>
      <c r="B375" s="138"/>
      <c r="C375" s="120"/>
      <c r="D375" s="121"/>
      <c r="E375" s="107"/>
      <c r="F375" s="122"/>
      <c r="G375" s="22"/>
      <c r="H375" s="123"/>
      <c r="I375" s="126"/>
      <c r="J375" s="130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hidden="1">
      <c r="A376" s="107"/>
      <c r="B376" s="138"/>
      <c r="C376" s="120"/>
      <c r="D376" s="121"/>
      <c r="E376" s="107"/>
      <c r="F376" s="122"/>
      <c r="G376" s="22"/>
      <c r="H376" s="123"/>
      <c r="I376" s="126"/>
      <c r="J376" s="130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hidden="1">
      <c r="A377" s="107"/>
      <c r="B377" s="138"/>
      <c r="C377" s="120"/>
      <c r="D377" s="121"/>
      <c r="E377" s="107"/>
      <c r="F377" s="122"/>
      <c r="G377" s="22"/>
      <c r="H377" s="123"/>
      <c r="I377" s="126"/>
      <c r="J377" s="130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hidden="1">
      <c r="A378" s="107"/>
      <c r="B378" s="138"/>
      <c r="C378" s="120"/>
      <c r="D378" s="121"/>
      <c r="E378" s="107"/>
      <c r="F378" s="122"/>
      <c r="G378" s="22"/>
      <c r="H378" s="123"/>
      <c r="I378" s="126"/>
      <c r="J378" s="130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hidden="1">
      <c r="A379" s="107"/>
      <c r="B379" s="138"/>
      <c r="C379" s="120"/>
      <c r="D379" s="121"/>
      <c r="E379" s="107"/>
      <c r="F379" s="122"/>
      <c r="G379" s="22"/>
      <c r="H379" s="123"/>
      <c r="I379" s="126"/>
      <c r="J379" s="130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hidden="1">
      <c r="A380" s="107"/>
      <c r="B380" s="138"/>
      <c r="C380" s="120"/>
      <c r="D380" s="121"/>
      <c r="E380" s="107"/>
      <c r="F380" s="122"/>
      <c r="G380" s="22"/>
      <c r="H380" s="123"/>
      <c r="I380" s="126"/>
      <c r="J380" s="130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hidden="1">
      <c r="A381" s="107"/>
      <c r="B381" s="138"/>
      <c r="C381" s="120"/>
      <c r="D381" s="121"/>
      <c r="E381" s="107"/>
      <c r="F381" s="122"/>
      <c r="G381" s="22"/>
      <c r="H381" s="123"/>
      <c r="I381" s="126"/>
      <c r="J381" s="130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hidden="1">
      <c r="A382" s="107"/>
      <c r="B382" s="138"/>
      <c r="C382" s="120"/>
      <c r="D382" s="121"/>
      <c r="E382" s="107"/>
      <c r="F382" s="122"/>
      <c r="G382" s="22"/>
      <c r="H382" s="123"/>
      <c r="I382" s="126"/>
      <c r="J382" s="130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hidden="1">
      <c r="A383" s="107"/>
      <c r="B383" s="138"/>
      <c r="C383" s="120"/>
      <c r="D383" s="121"/>
      <c r="E383" s="107"/>
      <c r="F383" s="122"/>
      <c r="G383" s="22"/>
      <c r="H383" s="123"/>
      <c r="I383" s="126"/>
      <c r="J383" s="130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hidden="1">
      <c r="A384" s="107"/>
      <c r="B384" s="138"/>
      <c r="C384" s="120"/>
      <c r="D384" s="121"/>
      <c r="E384" s="107"/>
      <c r="F384" s="122"/>
      <c r="G384" s="22"/>
      <c r="H384" s="123"/>
      <c r="I384" s="126"/>
      <c r="J384" s="130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hidden="1">
      <c r="A385" s="107"/>
      <c r="B385" s="138"/>
      <c r="C385" s="120"/>
      <c r="D385" s="121"/>
      <c r="E385" s="107"/>
      <c r="F385" s="122"/>
      <c r="G385" s="22"/>
      <c r="H385" s="123"/>
      <c r="I385" s="126"/>
      <c r="J385" s="130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hidden="1">
      <c r="A386" s="107"/>
      <c r="B386" s="138"/>
      <c r="C386" s="120"/>
      <c r="D386" s="121"/>
      <c r="E386" s="107"/>
      <c r="F386" s="122"/>
      <c r="G386" s="22"/>
      <c r="H386" s="123"/>
      <c r="I386" s="126"/>
      <c r="J386" s="130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hidden="1">
      <c r="A387" s="107"/>
      <c r="B387" s="138"/>
      <c r="C387" s="120"/>
      <c r="D387" s="121"/>
      <c r="E387" s="107"/>
      <c r="F387" s="122"/>
      <c r="G387" s="22"/>
      <c r="H387" s="123"/>
      <c r="I387" s="126"/>
      <c r="J387" s="130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hidden="1">
      <c r="A388" s="107"/>
      <c r="B388" s="138"/>
      <c r="C388" s="120"/>
      <c r="D388" s="121"/>
      <c r="E388" s="107"/>
      <c r="F388" s="122"/>
      <c r="G388" s="22"/>
      <c r="H388" s="123"/>
      <c r="I388" s="126"/>
      <c r="J388" s="130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hidden="1">
      <c r="A389" s="107"/>
      <c r="B389" s="138"/>
      <c r="C389" s="120"/>
      <c r="D389" s="121"/>
      <c r="E389" s="107"/>
      <c r="F389" s="122"/>
      <c r="G389" s="22"/>
      <c r="H389" s="123"/>
      <c r="I389" s="126"/>
      <c r="J389" s="130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hidden="1">
      <c r="A390" s="107"/>
      <c r="B390" s="138"/>
      <c r="C390" s="120"/>
      <c r="D390" s="121"/>
      <c r="E390" s="107"/>
      <c r="F390" s="122"/>
      <c r="G390" s="22"/>
      <c r="H390" s="123"/>
      <c r="I390" s="126"/>
      <c r="J390" s="130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hidden="1">
      <c r="A391" s="107"/>
      <c r="B391" s="138"/>
      <c r="C391" s="120"/>
      <c r="D391" s="121"/>
      <c r="E391" s="107"/>
      <c r="F391" s="122"/>
      <c r="G391" s="22"/>
      <c r="H391" s="123"/>
      <c r="I391" s="126"/>
      <c r="J391" s="130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hidden="1">
      <c r="A392" s="107"/>
      <c r="B392" s="138"/>
      <c r="C392" s="120"/>
      <c r="D392" s="121"/>
      <c r="E392" s="107"/>
      <c r="F392" s="122"/>
      <c r="G392" s="22"/>
      <c r="H392" s="123"/>
      <c r="I392" s="126"/>
      <c r="J392" s="130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hidden="1">
      <c r="A393" s="107"/>
      <c r="B393" s="138"/>
      <c r="C393" s="120"/>
      <c r="D393" s="121"/>
      <c r="E393" s="107"/>
      <c r="F393" s="122"/>
      <c r="G393" s="22"/>
      <c r="H393" s="123"/>
      <c r="I393" s="126"/>
      <c r="J393" s="130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hidden="1">
      <c r="A394" s="107"/>
      <c r="B394" s="138"/>
      <c r="C394" s="120"/>
      <c r="D394" s="121"/>
      <c r="E394" s="107"/>
      <c r="F394" s="122"/>
      <c r="G394" s="22"/>
      <c r="H394" s="123"/>
      <c r="I394" s="126"/>
      <c r="J394" s="130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hidden="1">
      <c r="A395" s="107"/>
      <c r="B395" s="138"/>
      <c r="C395" s="120"/>
      <c r="D395" s="121"/>
      <c r="E395" s="107"/>
      <c r="F395" s="122"/>
      <c r="G395" s="22"/>
      <c r="H395" s="123"/>
      <c r="I395" s="126"/>
      <c r="J395" s="130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hidden="1">
      <c r="A396" s="107"/>
      <c r="B396" s="138"/>
      <c r="C396" s="120"/>
      <c r="D396" s="121"/>
      <c r="E396" s="107"/>
      <c r="F396" s="122"/>
      <c r="G396" s="22"/>
      <c r="H396" s="123"/>
      <c r="I396" s="126"/>
      <c r="J396" s="130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hidden="1">
      <c r="A397" s="107"/>
      <c r="B397" s="138"/>
      <c r="C397" s="120"/>
      <c r="D397" s="121"/>
      <c r="E397" s="107"/>
      <c r="F397" s="122"/>
      <c r="G397" s="22"/>
      <c r="H397" s="123"/>
      <c r="I397" s="126"/>
      <c r="J397" s="130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hidden="1">
      <c r="A398" s="107"/>
      <c r="B398" s="138"/>
      <c r="C398" s="120"/>
      <c r="D398" s="121"/>
      <c r="E398" s="107"/>
      <c r="F398" s="122"/>
      <c r="G398" s="22"/>
      <c r="H398" s="123"/>
      <c r="I398" s="126"/>
      <c r="J398" s="130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hidden="1">
      <c r="A399" s="107"/>
      <c r="B399" s="138"/>
      <c r="C399" s="120"/>
      <c r="D399" s="121"/>
      <c r="E399" s="107"/>
      <c r="F399" s="122"/>
      <c r="G399" s="22"/>
      <c r="H399" s="123"/>
      <c r="I399" s="126"/>
      <c r="J399" s="130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hidden="1">
      <c r="A400" s="107"/>
      <c r="B400" s="138"/>
      <c r="C400" s="120"/>
      <c r="D400" s="121"/>
      <c r="E400" s="107"/>
      <c r="F400" s="122"/>
      <c r="G400" s="22"/>
      <c r="H400" s="123"/>
      <c r="I400" s="126"/>
      <c r="J400" s="130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hidden="1">
      <c r="A401" s="107"/>
      <c r="B401" s="138"/>
      <c r="C401" s="120"/>
      <c r="D401" s="121"/>
      <c r="E401" s="107"/>
      <c r="F401" s="122"/>
      <c r="G401" s="22"/>
      <c r="H401" s="123"/>
      <c r="I401" s="126"/>
      <c r="J401" s="130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hidden="1">
      <c r="A402" s="107"/>
      <c r="B402" s="138"/>
      <c r="C402" s="120"/>
      <c r="D402" s="121"/>
      <c r="E402" s="107"/>
      <c r="F402" s="122"/>
      <c r="G402" s="22"/>
      <c r="H402" s="123"/>
      <c r="I402" s="126"/>
      <c r="J402" s="130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hidden="1">
      <c r="A403" s="107"/>
      <c r="B403" s="138"/>
      <c r="C403" s="120"/>
      <c r="D403" s="121"/>
      <c r="E403" s="107"/>
      <c r="F403" s="122"/>
      <c r="G403" s="22"/>
      <c r="H403" s="123"/>
      <c r="I403" s="126"/>
      <c r="J403" s="130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hidden="1">
      <c r="A404" s="107"/>
      <c r="B404" s="138"/>
      <c r="C404" s="120"/>
      <c r="D404" s="121"/>
      <c r="E404" s="107"/>
      <c r="F404" s="122"/>
      <c r="G404" s="22"/>
      <c r="H404" s="123"/>
      <c r="I404" s="126"/>
      <c r="J404" s="130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hidden="1">
      <c r="A405" s="107"/>
      <c r="B405" s="138"/>
      <c r="C405" s="120"/>
      <c r="D405" s="121"/>
      <c r="E405" s="107"/>
      <c r="F405" s="122"/>
      <c r="G405" s="22"/>
      <c r="H405" s="123"/>
      <c r="I405" s="126"/>
      <c r="J405" s="130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hidden="1">
      <c r="A406" s="107"/>
      <c r="B406" s="138"/>
      <c r="C406" s="120"/>
      <c r="D406" s="121"/>
      <c r="E406" s="107"/>
      <c r="F406" s="122"/>
      <c r="G406" s="22"/>
      <c r="H406" s="123"/>
      <c r="I406" s="126"/>
      <c r="J406" s="130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hidden="1">
      <c r="A407" s="107"/>
      <c r="B407" s="138"/>
      <c r="C407" s="120"/>
      <c r="D407" s="121"/>
      <c r="E407" s="107"/>
      <c r="F407" s="122"/>
      <c r="G407" s="22"/>
      <c r="H407" s="123"/>
      <c r="I407" s="126"/>
      <c r="J407" s="130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hidden="1">
      <c r="A408" s="107"/>
      <c r="B408" s="138"/>
      <c r="C408" s="120"/>
      <c r="D408" s="121"/>
      <c r="E408" s="107"/>
      <c r="F408" s="122"/>
      <c r="G408" s="22"/>
      <c r="H408" s="123"/>
      <c r="I408" s="126"/>
      <c r="J408" s="130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hidden="1">
      <c r="A409" s="107"/>
      <c r="B409" s="138"/>
      <c r="C409" s="120"/>
      <c r="D409" s="121"/>
      <c r="E409" s="107"/>
      <c r="F409" s="122"/>
      <c r="G409" s="22"/>
      <c r="H409" s="123"/>
      <c r="I409" s="126"/>
      <c r="J409" s="130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hidden="1">
      <c r="A410" s="107"/>
      <c r="B410" s="138"/>
      <c r="C410" s="120"/>
      <c r="D410" s="121"/>
      <c r="E410" s="107"/>
      <c r="F410" s="122"/>
      <c r="G410" s="22"/>
      <c r="H410" s="123"/>
      <c r="I410" s="126"/>
      <c r="J410" s="130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hidden="1">
      <c r="A411" s="107"/>
      <c r="B411" s="138"/>
      <c r="C411" s="120"/>
      <c r="D411" s="121"/>
      <c r="E411" s="107"/>
      <c r="F411" s="122"/>
      <c r="G411" s="22"/>
      <c r="H411" s="123"/>
      <c r="I411" s="126"/>
      <c r="J411" s="130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hidden="1">
      <c r="A412" s="107"/>
      <c r="B412" s="138"/>
      <c r="C412" s="120"/>
      <c r="D412" s="121"/>
      <c r="E412" s="107"/>
      <c r="F412" s="122"/>
      <c r="G412" s="22"/>
      <c r="H412" s="123"/>
      <c r="I412" s="126"/>
      <c r="J412" s="130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hidden="1">
      <c r="A413" s="107"/>
      <c r="B413" s="138"/>
      <c r="C413" s="120"/>
      <c r="D413" s="121"/>
      <c r="E413" s="107"/>
      <c r="F413" s="122"/>
      <c r="G413" s="22"/>
      <c r="H413" s="123"/>
      <c r="I413" s="126"/>
      <c r="J413" s="130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hidden="1">
      <c r="A414" s="107"/>
      <c r="B414" s="138"/>
      <c r="C414" s="120"/>
      <c r="D414" s="121"/>
      <c r="E414" s="107"/>
      <c r="F414" s="122"/>
      <c r="G414" s="22"/>
      <c r="H414" s="123"/>
      <c r="I414" s="126"/>
      <c r="J414" s="130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hidden="1">
      <c r="A415" s="107"/>
      <c r="B415" s="138"/>
      <c r="C415" s="120"/>
      <c r="D415" s="121"/>
      <c r="E415" s="107"/>
      <c r="F415" s="122"/>
      <c r="G415" s="22"/>
      <c r="H415" s="123"/>
      <c r="I415" s="126"/>
      <c r="J415" s="130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hidden="1">
      <c r="A416" s="107"/>
      <c r="B416" s="138"/>
      <c r="C416" s="120"/>
      <c r="D416" s="121"/>
      <c r="E416" s="107"/>
      <c r="F416" s="122"/>
      <c r="G416" s="22"/>
      <c r="H416" s="123"/>
      <c r="I416" s="126"/>
      <c r="J416" s="130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hidden="1">
      <c r="A417" s="107"/>
      <c r="B417" s="138"/>
      <c r="C417" s="120"/>
      <c r="D417" s="121"/>
      <c r="E417" s="107"/>
      <c r="F417" s="122"/>
      <c r="G417" s="22"/>
      <c r="H417" s="123"/>
      <c r="I417" s="126"/>
      <c r="J417" s="130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hidden="1">
      <c r="A418" s="107"/>
      <c r="B418" s="138"/>
      <c r="C418" s="120"/>
      <c r="D418" s="121"/>
      <c r="E418" s="107"/>
      <c r="F418" s="122"/>
      <c r="G418" s="22"/>
      <c r="H418" s="123"/>
      <c r="I418" s="126"/>
      <c r="J418" s="130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hidden="1">
      <c r="A419" s="107"/>
      <c r="B419" s="138"/>
      <c r="C419" s="120"/>
      <c r="D419" s="121"/>
      <c r="E419" s="107"/>
      <c r="F419" s="122"/>
      <c r="G419" s="22"/>
      <c r="H419" s="123"/>
      <c r="I419" s="126"/>
      <c r="J419" s="130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hidden="1">
      <c r="A420" s="107"/>
      <c r="B420" s="138"/>
      <c r="C420" s="120"/>
      <c r="D420" s="121"/>
      <c r="E420" s="107"/>
      <c r="F420" s="122"/>
      <c r="G420" s="22"/>
      <c r="H420" s="123"/>
      <c r="I420" s="126"/>
      <c r="J420" s="130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hidden="1">
      <c r="A421" s="107"/>
      <c r="B421" s="138"/>
      <c r="C421" s="120"/>
      <c r="D421" s="121"/>
      <c r="E421" s="107"/>
      <c r="F421" s="122"/>
      <c r="G421" s="22"/>
      <c r="H421" s="123"/>
      <c r="I421" s="126"/>
      <c r="J421" s="130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hidden="1">
      <c r="A422" s="107"/>
      <c r="B422" s="138"/>
      <c r="C422" s="120"/>
      <c r="D422" s="121"/>
      <c r="E422" s="107"/>
      <c r="F422" s="122"/>
      <c r="G422" s="22"/>
      <c r="H422" s="123"/>
      <c r="I422" s="126"/>
      <c r="J422" s="130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hidden="1">
      <c r="A423" s="107"/>
      <c r="B423" s="138"/>
      <c r="C423" s="120"/>
      <c r="D423" s="121"/>
      <c r="E423" s="107"/>
      <c r="F423" s="122"/>
      <c r="G423" s="22"/>
      <c r="H423" s="123"/>
      <c r="I423" s="126"/>
      <c r="J423" s="130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hidden="1">
      <c r="A424" s="107"/>
      <c r="B424" s="138"/>
      <c r="C424" s="120"/>
      <c r="D424" s="121"/>
      <c r="E424" s="107"/>
      <c r="F424" s="122"/>
      <c r="G424" s="22"/>
      <c r="H424" s="123"/>
      <c r="I424" s="126"/>
      <c r="J424" s="130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hidden="1">
      <c r="A425" s="107"/>
      <c r="B425" s="138"/>
      <c r="C425" s="120"/>
      <c r="D425" s="121"/>
      <c r="E425" s="107"/>
      <c r="F425" s="122"/>
      <c r="G425" s="22"/>
      <c r="H425" s="123"/>
      <c r="I425" s="126"/>
      <c r="J425" s="130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hidden="1">
      <c r="A426" s="107"/>
      <c r="B426" s="138"/>
      <c r="C426" s="120"/>
      <c r="D426" s="121"/>
      <c r="E426" s="107"/>
      <c r="F426" s="122"/>
      <c r="G426" s="22"/>
      <c r="H426" s="123"/>
      <c r="I426" s="126"/>
      <c r="J426" s="130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hidden="1">
      <c r="A427" s="107"/>
      <c r="B427" s="138"/>
      <c r="C427" s="120"/>
      <c r="D427" s="121"/>
      <c r="E427" s="107"/>
      <c r="F427" s="122"/>
      <c r="G427" s="22"/>
      <c r="H427" s="123"/>
      <c r="I427" s="126"/>
      <c r="J427" s="130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hidden="1">
      <c r="A428" s="107"/>
      <c r="B428" s="138"/>
      <c r="C428" s="120"/>
      <c r="D428" s="121"/>
      <c r="E428" s="107"/>
      <c r="F428" s="122"/>
      <c r="G428" s="22"/>
      <c r="H428" s="123"/>
      <c r="I428" s="126"/>
      <c r="J428" s="130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hidden="1">
      <c r="A429" s="107"/>
      <c r="B429" s="138"/>
      <c r="C429" s="120"/>
      <c r="D429" s="121"/>
      <c r="E429" s="107"/>
      <c r="F429" s="122"/>
      <c r="G429" s="22"/>
      <c r="H429" s="123"/>
      <c r="I429" s="126"/>
      <c r="J429" s="130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hidden="1">
      <c r="A430" s="107"/>
      <c r="B430" s="138"/>
      <c r="C430" s="120"/>
      <c r="D430" s="121"/>
      <c r="E430" s="107"/>
      <c r="F430" s="122"/>
      <c r="G430" s="22"/>
      <c r="H430" s="123"/>
      <c r="I430" s="126"/>
      <c r="J430" s="130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hidden="1">
      <c r="A431" s="107"/>
      <c r="B431" s="138"/>
      <c r="C431" s="120"/>
      <c r="D431" s="121"/>
      <c r="E431" s="107"/>
      <c r="F431" s="122"/>
      <c r="G431" s="22"/>
      <c r="H431" s="123"/>
      <c r="I431" s="126"/>
      <c r="J431" s="130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hidden="1">
      <c r="A432" s="107"/>
      <c r="B432" s="138"/>
      <c r="C432" s="120"/>
      <c r="D432" s="121"/>
      <c r="E432" s="107"/>
      <c r="F432" s="122"/>
      <c r="G432" s="22"/>
      <c r="H432" s="123"/>
      <c r="I432" s="126"/>
      <c r="J432" s="130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hidden="1">
      <c r="A433" s="107"/>
      <c r="B433" s="138"/>
      <c r="C433" s="120"/>
      <c r="D433" s="121"/>
      <c r="E433" s="107"/>
      <c r="F433" s="122"/>
      <c r="G433" s="22"/>
      <c r="H433" s="123"/>
      <c r="I433" s="126"/>
      <c r="J433" s="130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hidden="1">
      <c r="A434" s="107"/>
      <c r="B434" s="138"/>
      <c r="C434" s="120"/>
      <c r="D434" s="121"/>
      <c r="E434" s="107"/>
      <c r="F434" s="122"/>
      <c r="G434" s="22"/>
      <c r="H434" s="123"/>
      <c r="I434" s="126"/>
      <c r="J434" s="130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hidden="1">
      <c r="A435" s="107"/>
      <c r="B435" s="138"/>
      <c r="C435" s="120"/>
      <c r="D435" s="121"/>
      <c r="E435" s="107"/>
      <c r="F435" s="122"/>
      <c r="G435" s="22"/>
      <c r="H435" s="123"/>
      <c r="I435" s="126"/>
      <c r="J435" s="130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hidden="1">
      <c r="A436" s="107"/>
      <c r="B436" s="138"/>
      <c r="C436" s="120"/>
      <c r="D436" s="121"/>
      <c r="E436" s="107"/>
      <c r="F436" s="122"/>
      <c r="G436" s="22"/>
      <c r="H436" s="123"/>
      <c r="I436" s="126"/>
      <c r="J436" s="130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hidden="1">
      <c r="A437" s="107"/>
      <c r="B437" s="138"/>
      <c r="C437" s="120"/>
      <c r="D437" s="121"/>
      <c r="E437" s="107"/>
      <c r="F437" s="122"/>
      <c r="G437" s="22"/>
      <c r="H437" s="123"/>
      <c r="I437" s="126"/>
      <c r="J437" s="130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hidden="1">
      <c r="A438" s="107"/>
      <c r="B438" s="138"/>
      <c r="C438" s="120"/>
      <c r="D438" s="121"/>
      <c r="E438" s="107"/>
      <c r="F438" s="122"/>
      <c r="G438" s="22"/>
      <c r="H438" s="123"/>
      <c r="I438" s="126"/>
      <c r="J438" s="130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hidden="1">
      <c r="A439" s="107"/>
      <c r="B439" s="138"/>
      <c r="C439" s="120"/>
      <c r="D439" s="121"/>
      <c r="E439" s="107"/>
      <c r="F439" s="122"/>
      <c r="G439" s="22"/>
      <c r="H439" s="123"/>
      <c r="I439" s="126"/>
      <c r="J439" s="130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hidden="1">
      <c r="A440" s="107"/>
      <c r="B440" s="138"/>
      <c r="C440" s="120"/>
      <c r="D440" s="121"/>
      <c r="E440" s="107"/>
      <c r="F440" s="122"/>
      <c r="G440" s="22"/>
      <c r="H440" s="123"/>
      <c r="I440" s="126"/>
      <c r="J440" s="130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hidden="1">
      <c r="A441" s="107"/>
      <c r="B441" s="138"/>
      <c r="C441" s="120"/>
      <c r="D441" s="121"/>
      <c r="E441" s="107"/>
      <c r="F441" s="122"/>
      <c r="G441" s="22"/>
      <c r="H441" s="123"/>
      <c r="I441" s="126"/>
      <c r="J441" s="130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hidden="1">
      <c r="A442" s="107"/>
      <c r="B442" s="138"/>
      <c r="C442" s="120"/>
      <c r="D442" s="121"/>
      <c r="E442" s="107"/>
      <c r="F442" s="122"/>
      <c r="G442" s="22"/>
      <c r="H442" s="123"/>
      <c r="I442" s="126"/>
      <c r="J442" s="130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hidden="1">
      <c r="A443" s="107"/>
      <c r="B443" s="138"/>
      <c r="C443" s="120"/>
      <c r="D443" s="121"/>
      <c r="E443" s="107"/>
      <c r="F443" s="122"/>
      <c r="G443" s="22"/>
      <c r="H443" s="123"/>
      <c r="I443" s="126"/>
      <c r="J443" s="130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hidden="1">
      <c r="A444" s="107"/>
      <c r="B444" s="138"/>
      <c r="C444" s="120"/>
      <c r="D444" s="121"/>
      <c r="E444" s="107"/>
      <c r="F444" s="122"/>
      <c r="G444" s="22"/>
      <c r="H444" s="123"/>
      <c r="I444" s="126"/>
      <c r="J444" s="130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hidden="1">
      <c r="A445" s="107"/>
      <c r="B445" s="138"/>
      <c r="C445" s="120"/>
      <c r="D445" s="121"/>
      <c r="E445" s="107"/>
      <c r="F445" s="122"/>
      <c r="G445" s="22"/>
      <c r="H445" s="123"/>
      <c r="I445" s="126"/>
      <c r="J445" s="130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hidden="1">
      <c r="A446" s="107"/>
      <c r="B446" s="138"/>
      <c r="C446" s="120"/>
      <c r="D446" s="121"/>
      <c r="E446" s="107"/>
      <c r="F446" s="122"/>
      <c r="G446" s="22"/>
      <c r="H446" s="123"/>
      <c r="I446" s="126"/>
      <c r="J446" s="130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hidden="1">
      <c r="A447" s="107"/>
      <c r="B447" s="138"/>
      <c r="C447" s="120"/>
      <c r="D447" s="121"/>
      <c r="E447" s="107"/>
      <c r="F447" s="122"/>
      <c r="G447" s="22"/>
      <c r="H447" s="123"/>
      <c r="I447" s="126"/>
      <c r="J447" s="130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hidden="1">
      <c r="A448" s="107"/>
      <c r="B448" s="138"/>
      <c r="C448" s="120"/>
      <c r="D448" s="121"/>
      <c r="E448" s="107"/>
      <c r="F448" s="122"/>
      <c r="G448" s="22"/>
      <c r="H448" s="123"/>
      <c r="I448" s="126"/>
      <c r="J448" s="130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hidden="1">
      <c r="A449" s="107"/>
      <c r="B449" s="138"/>
      <c r="C449" s="120"/>
      <c r="D449" s="121"/>
      <c r="E449" s="107"/>
      <c r="F449" s="122"/>
      <c r="G449" s="22"/>
      <c r="H449" s="123"/>
      <c r="I449" s="126"/>
      <c r="J449" s="130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hidden="1">
      <c r="A450" s="107"/>
      <c r="B450" s="138"/>
      <c r="C450" s="120"/>
      <c r="D450" s="121"/>
      <c r="E450" s="107"/>
      <c r="F450" s="122"/>
      <c r="G450" s="22"/>
      <c r="H450" s="123"/>
      <c r="I450" s="126"/>
      <c r="J450" s="130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hidden="1">
      <c r="A451" s="107"/>
      <c r="B451" s="138"/>
      <c r="C451" s="120"/>
      <c r="D451" s="121"/>
      <c r="E451" s="107"/>
      <c r="F451" s="122"/>
      <c r="G451" s="22"/>
      <c r="H451" s="123"/>
      <c r="I451" s="126"/>
      <c r="J451" s="130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hidden="1">
      <c r="A452" s="107"/>
      <c r="B452" s="138"/>
      <c r="C452" s="120"/>
      <c r="D452" s="121"/>
      <c r="E452" s="107"/>
      <c r="F452" s="122"/>
      <c r="G452" s="22"/>
      <c r="H452" s="123"/>
      <c r="I452" s="126"/>
      <c r="J452" s="130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hidden="1">
      <c r="A453" s="107"/>
      <c r="B453" s="138"/>
      <c r="C453" s="120"/>
      <c r="D453" s="121"/>
      <c r="E453" s="107"/>
      <c r="F453" s="122"/>
      <c r="G453" s="22"/>
      <c r="H453" s="123"/>
      <c r="I453" s="126"/>
      <c r="J453" s="130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hidden="1">
      <c r="A454" s="107"/>
      <c r="B454" s="138"/>
      <c r="C454" s="120"/>
      <c r="D454" s="121"/>
      <c r="E454" s="107"/>
      <c r="F454" s="122"/>
      <c r="G454" s="22"/>
      <c r="H454" s="123"/>
      <c r="I454" s="126"/>
      <c r="J454" s="130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hidden="1">
      <c r="A455" s="107"/>
      <c r="B455" s="138"/>
      <c r="C455" s="120"/>
      <c r="D455" s="121"/>
      <c r="E455" s="107"/>
      <c r="F455" s="122"/>
      <c r="G455" s="22"/>
      <c r="H455" s="123"/>
      <c r="I455" s="126"/>
      <c r="J455" s="130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hidden="1">
      <c r="A456" s="107"/>
      <c r="B456" s="138"/>
      <c r="C456" s="120"/>
      <c r="D456" s="121"/>
      <c r="E456" s="107"/>
      <c r="F456" s="122"/>
      <c r="G456" s="22"/>
      <c r="H456" s="123"/>
      <c r="I456" s="126"/>
      <c r="J456" s="130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hidden="1">
      <c r="A457" s="107"/>
      <c r="B457" s="138"/>
      <c r="C457" s="120"/>
      <c r="D457" s="121"/>
      <c r="E457" s="107"/>
      <c r="F457" s="122"/>
      <c r="G457" s="22"/>
      <c r="H457" s="123"/>
      <c r="I457" s="126"/>
      <c r="J457" s="130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hidden="1">
      <c r="A458" s="107"/>
      <c r="B458" s="138"/>
      <c r="C458" s="120"/>
      <c r="D458" s="121"/>
      <c r="E458" s="107"/>
      <c r="F458" s="122"/>
      <c r="G458" s="22"/>
      <c r="H458" s="123"/>
      <c r="I458" s="126"/>
      <c r="J458" s="130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hidden="1">
      <c r="A459" s="107"/>
      <c r="B459" s="138"/>
      <c r="C459" s="120"/>
      <c r="D459" s="121"/>
      <c r="E459" s="107"/>
      <c r="F459" s="122"/>
      <c r="G459" s="22"/>
      <c r="H459" s="123"/>
      <c r="I459" s="126"/>
      <c r="J459" s="130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hidden="1">
      <c r="A460" s="107"/>
      <c r="B460" s="138"/>
      <c r="C460" s="120"/>
      <c r="D460" s="121"/>
      <c r="E460" s="107"/>
      <c r="F460" s="122"/>
      <c r="G460" s="22"/>
      <c r="H460" s="123"/>
      <c r="I460" s="126"/>
      <c r="J460" s="130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hidden="1">
      <c r="A461" s="107"/>
      <c r="B461" s="138"/>
      <c r="C461" s="120"/>
      <c r="D461" s="121"/>
      <c r="E461" s="107"/>
      <c r="F461" s="122"/>
      <c r="G461" s="22"/>
      <c r="H461" s="123"/>
      <c r="I461" s="126"/>
      <c r="J461" s="130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hidden="1">
      <c r="A462" s="107"/>
      <c r="B462" s="138"/>
      <c r="C462" s="120"/>
      <c r="D462" s="121"/>
      <c r="E462" s="107"/>
      <c r="F462" s="122"/>
      <c r="G462" s="22"/>
      <c r="H462" s="123"/>
      <c r="I462" s="126"/>
      <c r="J462" s="130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hidden="1">
      <c r="A463" s="107"/>
      <c r="B463" s="138"/>
      <c r="C463" s="120"/>
      <c r="D463" s="121"/>
      <c r="E463" s="107"/>
      <c r="F463" s="122"/>
      <c r="G463" s="22"/>
      <c r="H463" s="123"/>
      <c r="I463" s="126"/>
      <c r="J463" s="130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hidden="1">
      <c r="A464" s="107"/>
      <c r="B464" s="138"/>
      <c r="C464" s="120"/>
      <c r="D464" s="121"/>
      <c r="E464" s="107"/>
      <c r="F464" s="122"/>
      <c r="G464" s="22"/>
      <c r="H464" s="123"/>
      <c r="I464" s="126"/>
      <c r="J464" s="130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hidden="1">
      <c r="A465" s="107"/>
      <c r="B465" s="138"/>
      <c r="C465" s="120"/>
      <c r="D465" s="121"/>
      <c r="E465" s="107"/>
      <c r="F465" s="122"/>
      <c r="G465" s="22"/>
      <c r="H465" s="123"/>
      <c r="I465" s="126"/>
      <c r="J465" s="130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hidden="1">
      <c r="A466" s="107"/>
      <c r="B466" s="138"/>
      <c r="C466" s="120"/>
      <c r="D466" s="121"/>
      <c r="E466" s="107"/>
      <c r="F466" s="122"/>
      <c r="G466" s="22"/>
      <c r="H466" s="123"/>
      <c r="I466" s="126"/>
      <c r="J466" s="130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hidden="1">
      <c r="A467" s="107"/>
      <c r="B467" s="138"/>
      <c r="C467" s="120"/>
      <c r="D467" s="121"/>
      <c r="E467" s="107"/>
      <c r="F467" s="122"/>
      <c r="G467" s="22"/>
      <c r="H467" s="123"/>
      <c r="I467" s="126"/>
      <c r="J467" s="130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hidden="1">
      <c r="A468" s="107"/>
      <c r="B468" s="138"/>
      <c r="C468" s="120"/>
      <c r="D468" s="121"/>
      <c r="E468" s="107"/>
      <c r="F468" s="122"/>
      <c r="G468" s="22"/>
      <c r="H468" s="123"/>
      <c r="I468" s="126"/>
      <c r="J468" s="130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hidden="1">
      <c r="A469" s="107"/>
      <c r="B469" s="138"/>
      <c r="C469" s="120"/>
      <c r="D469" s="121"/>
      <c r="E469" s="107"/>
      <c r="F469" s="122"/>
      <c r="G469" s="22"/>
      <c r="H469" s="123"/>
      <c r="I469" s="126"/>
      <c r="J469" s="130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hidden="1">
      <c r="A470" s="107"/>
      <c r="B470" s="138"/>
      <c r="C470" s="120"/>
      <c r="D470" s="121"/>
      <c r="E470" s="107"/>
      <c r="F470" s="122"/>
      <c r="G470" s="22"/>
      <c r="H470" s="123"/>
      <c r="I470" s="126"/>
      <c r="J470" s="130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hidden="1">
      <c r="A471" s="107"/>
      <c r="B471" s="138"/>
      <c r="C471" s="120"/>
      <c r="D471" s="121"/>
      <c r="E471" s="107"/>
      <c r="F471" s="122"/>
      <c r="G471" s="22"/>
      <c r="H471" s="123"/>
      <c r="I471" s="126"/>
      <c r="J471" s="130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hidden="1">
      <c r="A472" s="107"/>
      <c r="B472" s="138"/>
      <c r="C472" s="120"/>
      <c r="D472" s="121"/>
      <c r="E472" s="107"/>
      <c r="F472" s="122"/>
      <c r="G472" s="22"/>
      <c r="H472" s="123"/>
      <c r="I472" s="126"/>
      <c r="J472" s="130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hidden="1">
      <c r="A473" s="107"/>
      <c r="B473" s="138"/>
      <c r="C473" s="120"/>
      <c r="D473" s="121"/>
      <c r="E473" s="107"/>
      <c r="F473" s="122"/>
      <c r="G473" s="22"/>
      <c r="H473" s="123"/>
      <c r="I473" s="126"/>
      <c r="J473" s="130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hidden="1">
      <c r="A474" s="107"/>
      <c r="B474" s="138"/>
      <c r="C474" s="120"/>
      <c r="D474" s="121"/>
      <c r="E474" s="107"/>
      <c r="F474" s="122"/>
      <c r="G474" s="22"/>
      <c r="H474" s="123"/>
      <c r="I474" s="126"/>
      <c r="J474" s="130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hidden="1">
      <c r="A475" s="107"/>
      <c r="B475" s="138"/>
      <c r="C475" s="120"/>
      <c r="D475" s="121"/>
      <c r="E475" s="107"/>
      <c r="F475" s="122"/>
      <c r="G475" s="22"/>
      <c r="H475" s="123"/>
      <c r="I475" s="126"/>
      <c r="J475" s="130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hidden="1">
      <c r="A476" s="107"/>
      <c r="B476" s="138"/>
      <c r="C476" s="120"/>
      <c r="D476" s="121"/>
      <c r="E476" s="107"/>
      <c r="F476" s="122"/>
      <c r="G476" s="22"/>
      <c r="H476" s="123"/>
      <c r="I476" s="126"/>
      <c r="J476" s="130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hidden="1">
      <c r="A477" s="107"/>
      <c r="B477" s="138"/>
      <c r="C477" s="120"/>
      <c r="D477" s="121"/>
      <c r="E477" s="107"/>
      <c r="F477" s="122"/>
      <c r="G477" s="22"/>
      <c r="H477" s="123"/>
      <c r="I477" s="126"/>
      <c r="J477" s="130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hidden="1">
      <c r="A478" s="107"/>
      <c r="B478" s="138"/>
      <c r="C478" s="120"/>
      <c r="D478" s="121"/>
      <c r="E478" s="107"/>
      <c r="F478" s="122"/>
      <c r="G478" s="22"/>
      <c r="H478" s="123"/>
      <c r="I478" s="126"/>
      <c r="J478" s="130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hidden="1">
      <c r="A479" s="107"/>
      <c r="B479" s="138"/>
      <c r="C479" s="120"/>
      <c r="D479" s="121"/>
      <c r="E479" s="107"/>
      <c r="F479" s="122"/>
      <c r="G479" s="22"/>
      <c r="H479" s="123"/>
      <c r="I479" s="126"/>
      <c r="J479" s="130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hidden="1">
      <c r="A480" s="107"/>
      <c r="B480" s="138"/>
      <c r="C480" s="120"/>
      <c r="D480" s="121"/>
      <c r="E480" s="107"/>
      <c r="F480" s="122"/>
      <c r="G480" s="22"/>
      <c r="H480" s="123"/>
      <c r="I480" s="126"/>
      <c r="J480" s="130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hidden="1">
      <c r="A481" s="107"/>
      <c r="B481" s="138"/>
      <c r="C481" s="120"/>
      <c r="D481" s="121"/>
      <c r="E481" s="107"/>
      <c r="F481" s="122"/>
      <c r="G481" s="22"/>
      <c r="H481" s="123"/>
      <c r="I481" s="126"/>
      <c r="J481" s="130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hidden="1">
      <c r="A482" s="107"/>
      <c r="B482" s="138"/>
      <c r="C482" s="120"/>
      <c r="D482" s="121"/>
      <c r="E482" s="107"/>
      <c r="F482" s="122"/>
      <c r="G482" s="22"/>
      <c r="H482" s="123"/>
      <c r="I482" s="126"/>
      <c r="J482" s="130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hidden="1">
      <c r="A483" s="107"/>
      <c r="B483" s="138"/>
      <c r="C483" s="120"/>
      <c r="D483" s="121"/>
      <c r="E483" s="107"/>
      <c r="F483" s="122"/>
      <c r="G483" s="22"/>
      <c r="H483" s="123"/>
      <c r="I483" s="126"/>
      <c r="J483" s="130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hidden="1">
      <c r="A484" s="107"/>
      <c r="B484" s="138"/>
      <c r="C484" s="120"/>
      <c r="D484" s="121"/>
      <c r="E484" s="107"/>
      <c r="F484" s="122"/>
      <c r="G484" s="22"/>
      <c r="H484" s="123"/>
      <c r="I484" s="126"/>
      <c r="J484" s="130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hidden="1">
      <c r="A485" s="107"/>
      <c r="B485" s="138"/>
      <c r="C485" s="120"/>
      <c r="D485" s="121"/>
      <c r="E485" s="107"/>
      <c r="F485" s="122"/>
      <c r="G485" s="22"/>
      <c r="H485" s="123"/>
      <c r="I485" s="126"/>
      <c r="J485" s="130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hidden="1">
      <c r="A486" s="107"/>
      <c r="B486" s="138"/>
      <c r="C486" s="120"/>
      <c r="D486" s="121"/>
      <c r="E486" s="107"/>
      <c r="F486" s="122"/>
      <c r="G486" s="22"/>
      <c r="H486" s="123"/>
      <c r="I486" s="126"/>
      <c r="J486" s="130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hidden="1">
      <c r="A487" s="107"/>
      <c r="B487" s="138"/>
      <c r="C487" s="120"/>
      <c r="D487" s="121"/>
      <c r="E487" s="107"/>
      <c r="F487" s="122"/>
      <c r="G487" s="22"/>
      <c r="H487" s="123"/>
      <c r="I487" s="126"/>
      <c r="J487" s="130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hidden="1">
      <c r="A488" s="107"/>
      <c r="B488" s="138"/>
      <c r="C488" s="120"/>
      <c r="D488" s="121"/>
      <c r="E488" s="107"/>
      <c r="F488" s="122"/>
      <c r="G488" s="22"/>
      <c r="H488" s="123"/>
      <c r="I488" s="126"/>
      <c r="J488" s="130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hidden="1">
      <c r="A489" s="107"/>
      <c r="B489" s="138"/>
      <c r="C489" s="120"/>
      <c r="D489" s="121"/>
      <c r="E489" s="107"/>
      <c r="F489" s="122"/>
      <c r="G489" s="22"/>
      <c r="H489" s="123"/>
      <c r="I489" s="126"/>
      <c r="J489" s="130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hidden="1">
      <c r="A490" s="107"/>
      <c r="B490" s="138"/>
      <c r="C490" s="120"/>
      <c r="D490" s="121"/>
      <c r="E490" s="107"/>
      <c r="F490" s="122"/>
      <c r="G490" s="22"/>
      <c r="H490" s="123"/>
      <c r="I490" s="126"/>
      <c r="J490" s="130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hidden="1">
      <c r="A491" s="107"/>
      <c r="B491" s="138"/>
      <c r="C491" s="120"/>
      <c r="D491" s="121"/>
      <c r="E491" s="107"/>
      <c r="F491" s="122"/>
      <c r="G491" s="22"/>
      <c r="H491" s="123"/>
      <c r="I491" s="126"/>
      <c r="J491" s="130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hidden="1">
      <c r="A492" s="107"/>
      <c r="B492" s="138"/>
      <c r="C492" s="120"/>
      <c r="D492" s="121"/>
      <c r="E492" s="107"/>
      <c r="F492" s="122"/>
      <c r="G492" s="22"/>
      <c r="H492" s="123"/>
      <c r="I492" s="126"/>
      <c r="J492" s="130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hidden="1">
      <c r="A493" s="107"/>
      <c r="B493" s="138"/>
      <c r="C493" s="120"/>
      <c r="D493" s="121"/>
      <c r="E493" s="107"/>
      <c r="F493" s="122"/>
      <c r="G493" s="22"/>
      <c r="H493" s="123"/>
      <c r="I493" s="126"/>
      <c r="J493" s="130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hidden="1">
      <c r="A494" s="107"/>
      <c r="B494" s="138"/>
      <c r="C494" s="120"/>
      <c r="D494" s="121"/>
      <c r="E494" s="107"/>
      <c r="F494" s="122"/>
      <c r="G494" s="22"/>
      <c r="H494" s="123"/>
      <c r="I494" s="126"/>
      <c r="J494" s="130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hidden="1">
      <c r="A495" s="107"/>
      <c r="B495" s="138"/>
      <c r="C495" s="120"/>
      <c r="D495" s="121"/>
      <c r="E495" s="107"/>
      <c r="F495" s="122"/>
      <c r="G495" s="22"/>
      <c r="H495" s="123"/>
      <c r="I495" s="126"/>
      <c r="J495" s="130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hidden="1">
      <c r="A496" s="107"/>
      <c r="B496" s="138"/>
      <c r="C496" s="120"/>
      <c r="D496" s="121"/>
      <c r="E496" s="107"/>
      <c r="F496" s="122"/>
      <c r="G496" s="22"/>
      <c r="H496" s="123"/>
      <c r="I496" s="126"/>
      <c r="J496" s="130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hidden="1">
      <c r="A497" s="107"/>
      <c r="B497" s="138"/>
      <c r="C497" s="120"/>
      <c r="D497" s="121"/>
      <c r="E497" s="107"/>
      <c r="F497" s="122"/>
      <c r="G497" s="22"/>
      <c r="H497" s="123"/>
      <c r="I497" s="126"/>
      <c r="J497" s="130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hidden="1">
      <c r="A498" s="107"/>
      <c r="B498" s="138"/>
      <c r="C498" s="120"/>
      <c r="D498" s="121"/>
      <c r="E498" s="107"/>
      <c r="F498" s="122"/>
      <c r="G498" s="22"/>
      <c r="H498" s="123"/>
      <c r="I498" s="126"/>
      <c r="J498" s="130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hidden="1">
      <c r="A499" s="107"/>
      <c r="B499" s="138"/>
      <c r="C499" s="120"/>
      <c r="D499" s="121"/>
      <c r="E499" s="107"/>
      <c r="F499" s="122"/>
      <c r="G499" s="22"/>
      <c r="H499" s="123"/>
      <c r="I499" s="126"/>
      <c r="J499" s="130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hidden="1">
      <c r="A500" s="107"/>
      <c r="B500" s="138"/>
      <c r="C500" s="120"/>
      <c r="D500" s="121"/>
      <c r="E500" s="107"/>
      <c r="F500" s="122"/>
      <c r="G500" s="22"/>
      <c r="H500" s="123"/>
      <c r="I500" s="126"/>
      <c r="J500" s="130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hidden="1">
      <c r="A501" s="107"/>
      <c r="B501" s="138"/>
      <c r="C501" s="120"/>
      <c r="D501" s="121"/>
      <c r="E501" s="107"/>
      <c r="F501" s="122"/>
      <c r="G501" s="22"/>
      <c r="H501" s="123"/>
      <c r="I501" s="126"/>
      <c r="J501" s="130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hidden="1">
      <c r="A502" s="107"/>
      <c r="B502" s="138"/>
      <c r="C502" s="120"/>
      <c r="D502" s="121"/>
      <c r="E502" s="107"/>
      <c r="F502" s="122"/>
      <c r="G502" s="22"/>
      <c r="H502" s="123"/>
      <c r="I502" s="126"/>
      <c r="J502" s="130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hidden="1">
      <c r="A503" s="107"/>
      <c r="B503" s="138"/>
      <c r="C503" s="120"/>
      <c r="D503" s="121"/>
      <c r="E503" s="107"/>
      <c r="F503" s="122"/>
      <c r="G503" s="22"/>
      <c r="H503" s="123"/>
      <c r="I503" s="126"/>
      <c r="J503" s="130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hidden="1">
      <c r="A504" s="107"/>
      <c r="B504" s="138"/>
      <c r="C504" s="120"/>
      <c r="D504" s="121"/>
      <c r="E504" s="107"/>
      <c r="F504" s="122"/>
      <c r="G504" s="22"/>
      <c r="H504" s="123"/>
      <c r="I504" s="126"/>
      <c r="J504" s="130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hidden="1">
      <c r="A505" s="107"/>
      <c r="B505" s="138"/>
      <c r="C505" s="120"/>
      <c r="D505" s="121"/>
      <c r="E505" s="107"/>
      <c r="F505" s="122"/>
      <c r="G505" s="22"/>
      <c r="H505" s="123"/>
      <c r="I505" s="126"/>
      <c r="J505" s="130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hidden="1">
      <c r="A506" s="107"/>
      <c r="B506" s="138"/>
      <c r="C506" s="120"/>
      <c r="D506" s="121"/>
      <c r="E506" s="107"/>
      <c r="F506" s="122"/>
      <c r="G506" s="22"/>
      <c r="H506" s="123"/>
      <c r="I506" s="126"/>
      <c r="J506" s="130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hidden="1">
      <c r="A507" s="107"/>
      <c r="B507" s="138"/>
      <c r="C507" s="120"/>
      <c r="D507" s="121"/>
      <c r="E507" s="107"/>
      <c r="F507" s="122"/>
      <c r="G507" s="22"/>
      <c r="H507" s="123"/>
      <c r="I507" s="126"/>
      <c r="J507" s="130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hidden="1">
      <c r="A508" s="107"/>
      <c r="B508" s="138"/>
      <c r="C508" s="120"/>
      <c r="D508" s="121"/>
      <c r="E508" s="107"/>
      <c r="F508" s="122"/>
      <c r="G508" s="22"/>
      <c r="H508" s="123"/>
      <c r="I508" s="126"/>
      <c r="J508" s="130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hidden="1">
      <c r="A509" s="107"/>
      <c r="B509" s="138"/>
      <c r="C509" s="120"/>
      <c r="D509" s="121"/>
      <c r="E509" s="107"/>
      <c r="F509" s="122"/>
      <c r="G509" s="22"/>
      <c r="H509" s="123"/>
      <c r="I509" s="126"/>
      <c r="J509" s="130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hidden="1">
      <c r="A510" s="107"/>
      <c r="B510" s="138"/>
      <c r="C510" s="120"/>
      <c r="D510" s="121"/>
      <c r="E510" s="107"/>
      <c r="F510" s="122"/>
      <c r="G510" s="22"/>
      <c r="H510" s="123"/>
      <c r="I510" s="126"/>
      <c r="J510" s="130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hidden="1">
      <c r="A511" s="107"/>
      <c r="B511" s="138"/>
      <c r="C511" s="120"/>
      <c r="D511" s="121"/>
      <c r="E511" s="107"/>
      <c r="F511" s="122"/>
      <c r="G511" s="22"/>
      <c r="H511" s="123"/>
      <c r="I511" s="126"/>
      <c r="J511" s="130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hidden="1">
      <c r="A512" s="107"/>
      <c r="B512" s="138"/>
      <c r="C512" s="120"/>
      <c r="D512" s="121"/>
      <c r="E512" s="107"/>
      <c r="F512" s="122"/>
      <c r="G512" s="22"/>
      <c r="H512" s="123"/>
      <c r="I512" s="126"/>
      <c r="J512" s="130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hidden="1">
      <c r="A513" s="107"/>
      <c r="B513" s="138"/>
      <c r="C513" s="120"/>
      <c r="D513" s="121"/>
      <c r="E513" s="107"/>
      <c r="F513" s="122"/>
      <c r="G513" s="22"/>
      <c r="H513" s="123"/>
      <c r="I513" s="126"/>
      <c r="J513" s="130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hidden="1">
      <c r="A514" s="107"/>
      <c r="B514" s="138"/>
      <c r="C514" s="120"/>
      <c r="D514" s="121"/>
      <c r="E514" s="107"/>
      <c r="F514" s="122"/>
      <c r="G514" s="22"/>
      <c r="H514" s="123"/>
      <c r="I514" s="126"/>
      <c r="J514" s="130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hidden="1">
      <c r="A515" s="107"/>
      <c r="B515" s="138"/>
      <c r="C515" s="120"/>
      <c r="D515" s="121"/>
      <c r="E515" s="107"/>
      <c r="F515" s="122"/>
      <c r="G515" s="22"/>
      <c r="H515" s="123"/>
      <c r="I515" s="126"/>
      <c r="J515" s="130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hidden="1">
      <c r="A516" s="107"/>
      <c r="B516" s="138"/>
      <c r="C516" s="120"/>
      <c r="D516" s="121"/>
      <c r="E516" s="107"/>
      <c r="F516" s="122"/>
      <c r="G516" s="22"/>
      <c r="H516" s="123"/>
      <c r="I516" s="126"/>
      <c r="J516" s="130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hidden="1">
      <c r="A517" s="107"/>
      <c r="B517" s="138"/>
      <c r="C517" s="120"/>
      <c r="D517" s="121"/>
      <c r="E517" s="107"/>
      <c r="F517" s="122"/>
      <c r="G517" s="22"/>
      <c r="H517" s="123"/>
      <c r="I517" s="126"/>
      <c r="J517" s="130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hidden="1">
      <c r="A518" s="107"/>
      <c r="B518" s="138"/>
      <c r="C518" s="120"/>
      <c r="D518" s="121"/>
      <c r="E518" s="107"/>
      <c r="F518" s="122"/>
      <c r="G518" s="22"/>
      <c r="H518" s="123"/>
      <c r="I518" s="126"/>
      <c r="J518" s="130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hidden="1">
      <c r="A519" s="107"/>
      <c r="B519" s="138"/>
      <c r="C519" s="120"/>
      <c r="D519" s="121"/>
      <c r="E519" s="107"/>
      <c r="F519" s="122"/>
      <c r="G519" s="22"/>
      <c r="H519" s="123"/>
      <c r="I519" s="126"/>
      <c r="J519" s="130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hidden="1">
      <c r="A520" s="107"/>
      <c r="B520" s="138"/>
      <c r="C520" s="120"/>
      <c r="D520" s="121"/>
      <c r="E520" s="107"/>
      <c r="F520" s="122"/>
      <c r="G520" s="22"/>
      <c r="H520" s="123"/>
      <c r="I520" s="126"/>
      <c r="J520" s="130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hidden="1">
      <c r="A521" s="107"/>
      <c r="B521" s="138"/>
      <c r="C521" s="120"/>
      <c r="D521" s="121"/>
      <c r="E521" s="107"/>
      <c r="F521" s="122"/>
      <c r="G521" s="22"/>
      <c r="H521" s="123"/>
      <c r="I521" s="126"/>
      <c r="J521" s="130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hidden="1">
      <c r="A522" s="107"/>
      <c r="B522" s="138"/>
      <c r="C522" s="120"/>
      <c r="D522" s="121"/>
      <c r="E522" s="107"/>
      <c r="F522" s="122"/>
      <c r="G522" s="22"/>
      <c r="H522" s="123"/>
      <c r="I522" s="126"/>
      <c r="J522" s="130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hidden="1">
      <c r="A523" s="107"/>
      <c r="B523" s="138"/>
      <c r="C523" s="120"/>
      <c r="D523" s="121"/>
      <c r="E523" s="107"/>
      <c r="F523" s="122"/>
      <c r="G523" s="22"/>
      <c r="H523" s="123"/>
      <c r="I523" s="126"/>
      <c r="J523" s="130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hidden="1">
      <c r="A524" s="107"/>
      <c r="B524" s="138"/>
      <c r="C524" s="120"/>
      <c r="D524" s="121"/>
      <c r="E524" s="107"/>
      <c r="F524" s="122"/>
      <c r="G524" s="22"/>
      <c r="H524" s="123"/>
      <c r="I524" s="126"/>
      <c r="J524" s="130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hidden="1">
      <c r="A525" s="107"/>
      <c r="B525" s="138"/>
      <c r="C525" s="120"/>
      <c r="D525" s="121"/>
      <c r="E525" s="107"/>
      <c r="F525" s="122"/>
      <c r="G525" s="22"/>
      <c r="H525" s="123"/>
      <c r="I525" s="126"/>
      <c r="J525" s="130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hidden="1">
      <c r="A526" s="107"/>
      <c r="B526" s="138"/>
      <c r="C526" s="120"/>
      <c r="D526" s="121"/>
      <c r="E526" s="107"/>
      <c r="F526" s="122"/>
      <c r="G526" s="22"/>
      <c r="H526" s="123"/>
      <c r="I526" s="126"/>
      <c r="J526" s="130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hidden="1">
      <c r="A527" s="107"/>
      <c r="B527" s="138"/>
      <c r="C527" s="120"/>
      <c r="D527" s="121"/>
      <c r="E527" s="107"/>
      <c r="F527" s="122"/>
      <c r="G527" s="22"/>
      <c r="H527" s="123"/>
      <c r="I527" s="126"/>
      <c r="J527" s="130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hidden="1">
      <c r="A528" s="107"/>
      <c r="B528" s="138"/>
      <c r="C528" s="120"/>
      <c r="D528" s="121"/>
      <c r="E528" s="107"/>
      <c r="F528" s="122"/>
      <c r="G528" s="22"/>
      <c r="H528" s="123"/>
      <c r="I528" s="126"/>
      <c r="J528" s="130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hidden="1">
      <c r="A529" s="107"/>
      <c r="B529" s="138"/>
      <c r="C529" s="120"/>
      <c r="D529" s="121"/>
      <c r="E529" s="107"/>
      <c r="F529" s="122"/>
      <c r="G529" s="22"/>
      <c r="H529" s="123"/>
      <c r="I529" s="126"/>
      <c r="J529" s="130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hidden="1">
      <c r="A530" s="107"/>
      <c r="B530" s="138"/>
      <c r="C530" s="120"/>
      <c r="D530" s="121"/>
      <c r="E530" s="107"/>
      <c r="F530" s="122"/>
      <c r="G530" s="22"/>
      <c r="H530" s="123"/>
      <c r="I530" s="126"/>
      <c r="J530" s="130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hidden="1">
      <c r="A531" s="107"/>
      <c r="B531" s="138"/>
      <c r="C531" s="120"/>
      <c r="D531" s="121"/>
      <c r="E531" s="107"/>
      <c r="F531" s="122"/>
      <c r="G531" s="22"/>
      <c r="H531" s="123"/>
      <c r="I531" s="126"/>
      <c r="J531" s="130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hidden="1">
      <c r="A532" s="107"/>
      <c r="B532" s="138"/>
      <c r="C532" s="120"/>
      <c r="D532" s="121"/>
      <c r="E532" s="107"/>
      <c r="F532" s="122"/>
      <c r="G532" s="22"/>
      <c r="H532" s="123"/>
      <c r="I532" s="126"/>
      <c r="J532" s="130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hidden="1">
      <c r="A533" s="107"/>
      <c r="B533" s="138"/>
      <c r="C533" s="120"/>
      <c r="D533" s="121"/>
      <c r="E533" s="107"/>
      <c r="F533" s="122"/>
      <c r="G533" s="22"/>
      <c r="H533" s="123"/>
      <c r="I533" s="126"/>
      <c r="J533" s="130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hidden="1">
      <c r="A534" s="107"/>
      <c r="B534" s="138"/>
      <c r="C534" s="120"/>
      <c r="D534" s="121"/>
      <c r="E534" s="107"/>
      <c r="F534" s="122"/>
      <c r="G534" s="22"/>
      <c r="H534" s="123"/>
      <c r="I534" s="126"/>
      <c r="J534" s="130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hidden="1">
      <c r="A535" s="107"/>
      <c r="B535" s="138"/>
      <c r="C535" s="120"/>
      <c r="D535" s="121"/>
      <c r="E535" s="107"/>
      <c r="F535" s="122"/>
      <c r="G535" s="22"/>
      <c r="H535" s="123"/>
      <c r="I535" s="126"/>
      <c r="J535" s="130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hidden="1">
      <c r="A536" s="107"/>
      <c r="B536" s="138"/>
      <c r="C536" s="120"/>
      <c r="D536" s="121"/>
      <c r="E536" s="107"/>
      <c r="F536" s="122"/>
      <c r="G536" s="22"/>
      <c r="H536" s="123"/>
      <c r="I536" s="126"/>
      <c r="J536" s="130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hidden="1">
      <c r="A537" s="107"/>
      <c r="B537" s="138"/>
      <c r="C537" s="120"/>
      <c r="D537" s="121"/>
      <c r="E537" s="107"/>
      <c r="F537" s="122"/>
      <c r="G537" s="22"/>
      <c r="H537" s="123"/>
      <c r="I537" s="126"/>
      <c r="J537" s="130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hidden="1">
      <c r="A538" s="107"/>
      <c r="B538" s="138"/>
      <c r="C538" s="120"/>
      <c r="D538" s="121"/>
      <c r="E538" s="107"/>
      <c r="F538" s="122"/>
      <c r="G538" s="22"/>
      <c r="H538" s="123"/>
      <c r="I538" s="126"/>
      <c r="J538" s="130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hidden="1">
      <c r="A539" s="107"/>
      <c r="B539" s="138"/>
      <c r="C539" s="120"/>
      <c r="D539" s="121"/>
      <c r="E539" s="107"/>
      <c r="F539" s="122"/>
      <c r="G539" s="22"/>
      <c r="H539" s="123"/>
      <c r="I539" s="126"/>
      <c r="J539" s="130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hidden="1">
      <c r="A540" s="107"/>
      <c r="B540" s="138"/>
      <c r="C540" s="120"/>
      <c r="D540" s="121"/>
      <c r="E540" s="107"/>
      <c r="F540" s="122"/>
      <c r="G540" s="22"/>
      <c r="H540" s="123"/>
      <c r="I540" s="126"/>
      <c r="J540" s="130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hidden="1">
      <c r="A541" s="107"/>
      <c r="B541" s="138"/>
      <c r="C541" s="120"/>
      <c r="D541" s="121"/>
      <c r="E541" s="107"/>
      <c r="F541" s="122"/>
      <c r="G541" s="22"/>
      <c r="H541" s="123"/>
      <c r="I541" s="126"/>
      <c r="J541" s="130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hidden="1">
      <c r="A542" s="107"/>
      <c r="B542" s="138"/>
      <c r="C542" s="120"/>
      <c r="D542" s="121"/>
      <c r="E542" s="107"/>
      <c r="F542" s="122"/>
      <c r="G542" s="22"/>
      <c r="H542" s="123"/>
      <c r="I542" s="126"/>
      <c r="J542" s="130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hidden="1">
      <c r="A543" s="107"/>
      <c r="B543" s="138"/>
      <c r="C543" s="120"/>
      <c r="D543" s="121"/>
      <c r="E543" s="107"/>
      <c r="F543" s="122"/>
      <c r="G543" s="22"/>
      <c r="H543" s="123"/>
      <c r="I543" s="126"/>
      <c r="J543" s="130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hidden="1">
      <c r="A544" s="107"/>
      <c r="B544" s="138"/>
      <c r="C544" s="120"/>
      <c r="D544" s="121"/>
      <c r="E544" s="107"/>
      <c r="F544" s="122"/>
      <c r="G544" s="22"/>
      <c r="H544" s="123"/>
      <c r="I544" s="126"/>
      <c r="J544" s="130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hidden="1">
      <c r="A545" s="107"/>
      <c r="B545" s="138"/>
      <c r="C545" s="120"/>
      <c r="D545" s="121"/>
      <c r="E545" s="107"/>
      <c r="F545" s="122"/>
      <c r="G545" s="22"/>
      <c r="H545" s="123"/>
      <c r="I545" s="126"/>
      <c r="J545" s="130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hidden="1">
      <c r="A546" s="107"/>
      <c r="B546" s="138"/>
      <c r="C546" s="120"/>
      <c r="D546" s="121"/>
      <c r="E546" s="107"/>
      <c r="F546" s="122"/>
      <c r="G546" s="22"/>
      <c r="H546" s="123"/>
      <c r="I546" s="126"/>
      <c r="J546" s="130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hidden="1">
      <c r="A547" s="107"/>
      <c r="B547" s="138"/>
      <c r="C547" s="120"/>
      <c r="D547" s="121"/>
      <c r="E547" s="107"/>
      <c r="F547" s="122"/>
      <c r="G547" s="22"/>
      <c r="H547" s="123"/>
      <c r="I547" s="126"/>
      <c r="J547" s="130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hidden="1">
      <c r="A548" s="107"/>
      <c r="B548" s="138"/>
      <c r="C548" s="120"/>
      <c r="D548" s="121"/>
      <c r="E548" s="107"/>
      <c r="F548" s="122"/>
      <c r="G548" s="22"/>
      <c r="H548" s="123"/>
      <c r="I548" s="126"/>
      <c r="J548" s="130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hidden="1">
      <c r="A549" s="107"/>
      <c r="B549" s="138"/>
      <c r="C549" s="120"/>
      <c r="D549" s="121"/>
      <c r="E549" s="107"/>
      <c r="F549" s="122"/>
      <c r="G549" s="22"/>
      <c r="H549" s="123"/>
      <c r="I549" s="126"/>
      <c r="J549" s="130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hidden="1">
      <c r="A550" s="107"/>
      <c r="B550" s="138"/>
      <c r="C550" s="120"/>
      <c r="D550" s="121"/>
      <c r="E550" s="107"/>
      <c r="F550" s="122"/>
      <c r="G550" s="22"/>
      <c r="H550" s="123"/>
      <c r="I550" s="126"/>
      <c r="J550" s="130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hidden="1">
      <c r="A551" s="107"/>
      <c r="B551" s="138"/>
      <c r="C551" s="120"/>
      <c r="D551" s="121"/>
      <c r="E551" s="107"/>
      <c r="F551" s="122"/>
      <c r="G551" s="22"/>
      <c r="H551" s="123"/>
      <c r="I551" s="126"/>
      <c r="J551" s="130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hidden="1">
      <c r="A552" s="107"/>
      <c r="B552" s="138"/>
      <c r="C552" s="120"/>
      <c r="D552" s="121"/>
      <c r="E552" s="107"/>
      <c r="F552" s="122"/>
      <c r="G552" s="22"/>
      <c r="H552" s="123"/>
      <c r="I552" s="126"/>
      <c r="J552" s="130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hidden="1">
      <c r="A553" s="107"/>
      <c r="B553" s="138"/>
      <c r="C553" s="120"/>
      <c r="D553" s="121"/>
      <c r="E553" s="107"/>
      <c r="F553" s="122"/>
      <c r="G553" s="22"/>
      <c r="H553" s="123"/>
      <c r="I553" s="126"/>
      <c r="J553" s="130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hidden="1">
      <c r="A554" s="107"/>
      <c r="B554" s="138"/>
      <c r="C554" s="120"/>
      <c r="D554" s="121"/>
      <c r="E554" s="107"/>
      <c r="F554" s="122"/>
      <c r="G554" s="22"/>
      <c r="H554" s="123"/>
      <c r="I554" s="126"/>
      <c r="J554" s="130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hidden="1">
      <c r="A555" s="107"/>
      <c r="B555" s="138"/>
      <c r="C555" s="120"/>
      <c r="D555" s="121"/>
      <c r="E555" s="107"/>
      <c r="F555" s="122"/>
      <c r="G555" s="22"/>
      <c r="H555" s="123"/>
      <c r="I555" s="126"/>
      <c r="J555" s="130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hidden="1">
      <c r="A556" s="107"/>
      <c r="B556" s="138"/>
      <c r="C556" s="120"/>
      <c r="D556" s="121"/>
      <c r="E556" s="107"/>
      <c r="F556" s="122"/>
      <c r="G556" s="22"/>
      <c r="H556" s="123"/>
      <c r="I556" s="126"/>
      <c r="J556" s="130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hidden="1">
      <c r="A557" s="107"/>
      <c r="B557" s="138"/>
      <c r="C557" s="120"/>
      <c r="D557" s="121"/>
      <c r="E557" s="107"/>
      <c r="F557" s="122"/>
      <c r="G557" s="22"/>
      <c r="H557" s="123"/>
      <c r="I557" s="126"/>
      <c r="J557" s="130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hidden="1">
      <c r="A558" s="107"/>
      <c r="B558" s="138"/>
      <c r="C558" s="120"/>
      <c r="D558" s="121"/>
      <c r="E558" s="107"/>
      <c r="F558" s="122"/>
      <c r="G558" s="22"/>
      <c r="H558" s="123"/>
      <c r="I558" s="126"/>
      <c r="J558" s="130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hidden="1">
      <c r="A559" s="107"/>
      <c r="B559" s="138"/>
      <c r="C559" s="120"/>
      <c r="D559" s="121"/>
      <c r="E559" s="107"/>
      <c r="F559" s="122"/>
      <c r="G559" s="22"/>
      <c r="H559" s="123"/>
      <c r="I559" s="126"/>
      <c r="J559" s="130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hidden="1">
      <c r="A560" s="107"/>
      <c r="B560" s="138"/>
      <c r="C560" s="120"/>
      <c r="D560" s="121"/>
      <c r="E560" s="107"/>
      <c r="F560" s="122"/>
      <c r="G560" s="22"/>
      <c r="H560" s="123"/>
      <c r="I560" s="126"/>
      <c r="J560" s="130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hidden="1">
      <c r="A561" s="107"/>
      <c r="B561" s="138"/>
      <c r="C561" s="120"/>
      <c r="D561" s="121"/>
      <c r="E561" s="107"/>
      <c r="F561" s="122"/>
      <c r="G561" s="22"/>
      <c r="H561" s="123"/>
      <c r="I561" s="126"/>
      <c r="J561" s="130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hidden="1">
      <c r="A562" s="107"/>
      <c r="B562" s="138"/>
      <c r="C562" s="120"/>
      <c r="D562" s="121"/>
      <c r="E562" s="107"/>
      <c r="F562" s="122"/>
      <c r="G562" s="22"/>
      <c r="H562" s="123"/>
      <c r="I562" s="126"/>
      <c r="J562" s="130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hidden="1">
      <c r="A563" s="107"/>
      <c r="B563" s="138"/>
      <c r="C563" s="120"/>
      <c r="D563" s="121"/>
      <c r="E563" s="107"/>
      <c r="F563" s="122"/>
      <c r="G563" s="22"/>
      <c r="H563" s="123"/>
      <c r="I563" s="126"/>
      <c r="J563" s="130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hidden="1">
      <c r="A564" s="107"/>
      <c r="B564" s="138"/>
      <c r="C564" s="120"/>
      <c r="D564" s="121"/>
      <c r="E564" s="107"/>
      <c r="F564" s="122"/>
      <c r="G564" s="22"/>
      <c r="H564" s="123"/>
      <c r="I564" s="126"/>
      <c r="J564" s="130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hidden="1">
      <c r="A565" s="107"/>
      <c r="B565" s="138"/>
      <c r="C565" s="120"/>
      <c r="D565" s="121"/>
      <c r="E565" s="107"/>
      <c r="F565" s="122"/>
      <c r="G565" s="22"/>
      <c r="H565" s="123"/>
      <c r="I565" s="126"/>
      <c r="J565" s="130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hidden="1">
      <c r="A566" s="107"/>
      <c r="B566" s="138"/>
      <c r="C566" s="120"/>
      <c r="D566" s="121"/>
      <c r="E566" s="107"/>
      <c r="F566" s="122"/>
      <c r="G566" s="22"/>
      <c r="H566" s="123"/>
      <c r="I566" s="126"/>
      <c r="J566" s="130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hidden="1">
      <c r="A567" s="107"/>
      <c r="B567" s="138"/>
      <c r="C567" s="120"/>
      <c r="D567" s="121"/>
      <c r="E567" s="107"/>
      <c r="F567" s="122"/>
      <c r="G567" s="22"/>
      <c r="H567" s="123"/>
      <c r="I567" s="126"/>
      <c r="J567" s="130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hidden="1">
      <c r="A568" s="107"/>
      <c r="B568" s="138"/>
      <c r="C568" s="120"/>
      <c r="D568" s="121"/>
      <c r="E568" s="107"/>
      <c r="F568" s="122"/>
      <c r="G568" s="22"/>
      <c r="H568" s="123"/>
      <c r="I568" s="126"/>
      <c r="J568" s="130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hidden="1">
      <c r="A569" s="107"/>
      <c r="B569" s="138"/>
      <c r="C569" s="120"/>
      <c r="D569" s="121"/>
      <c r="E569" s="107"/>
      <c r="F569" s="122"/>
      <c r="G569" s="22"/>
      <c r="H569" s="123"/>
      <c r="I569" s="126"/>
      <c r="J569" s="130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hidden="1">
      <c r="A570" s="107"/>
      <c r="B570" s="138"/>
      <c r="C570" s="120"/>
      <c r="D570" s="121"/>
      <c r="E570" s="107"/>
      <c r="F570" s="122"/>
      <c r="G570" s="22"/>
      <c r="H570" s="123"/>
      <c r="I570" s="126"/>
      <c r="J570" s="130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hidden="1">
      <c r="A571" s="107"/>
      <c r="B571" s="138"/>
      <c r="C571" s="120"/>
      <c r="D571" s="121"/>
      <c r="E571" s="107"/>
      <c r="F571" s="122"/>
      <c r="G571" s="22"/>
      <c r="H571" s="123"/>
      <c r="I571" s="126"/>
      <c r="J571" s="130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hidden="1">
      <c r="A572" s="107"/>
      <c r="B572" s="138"/>
      <c r="C572" s="120"/>
      <c r="D572" s="121"/>
      <c r="E572" s="107"/>
      <c r="F572" s="122"/>
      <c r="G572" s="22"/>
      <c r="H572" s="123"/>
      <c r="I572" s="126"/>
      <c r="J572" s="130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hidden="1">
      <c r="A573" s="107"/>
      <c r="B573" s="138"/>
      <c r="C573" s="120"/>
      <c r="D573" s="121"/>
      <c r="E573" s="107"/>
      <c r="F573" s="122"/>
      <c r="G573" s="22"/>
      <c r="H573" s="123"/>
      <c r="I573" s="126"/>
      <c r="J573" s="130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hidden="1">
      <c r="A574" s="107"/>
      <c r="B574" s="138"/>
      <c r="C574" s="120"/>
      <c r="D574" s="121"/>
      <c r="E574" s="107"/>
      <c r="F574" s="122"/>
      <c r="G574" s="22"/>
      <c r="H574" s="123"/>
      <c r="I574" s="126"/>
      <c r="J574" s="130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hidden="1">
      <c r="A575" s="107"/>
      <c r="B575" s="138"/>
      <c r="C575" s="120"/>
      <c r="D575" s="121"/>
      <c r="E575" s="107"/>
      <c r="F575" s="122"/>
      <c r="G575" s="22"/>
      <c r="H575" s="123"/>
      <c r="I575" s="126"/>
      <c r="J575" s="130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hidden="1">
      <c r="A576" s="107"/>
      <c r="B576" s="138"/>
      <c r="C576" s="120"/>
      <c r="D576" s="121"/>
      <c r="E576" s="107"/>
      <c r="F576" s="122"/>
      <c r="G576" s="22"/>
      <c r="H576" s="123"/>
      <c r="I576" s="126"/>
      <c r="J576" s="130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hidden="1">
      <c r="A577" s="107"/>
      <c r="B577" s="138"/>
      <c r="C577" s="120"/>
      <c r="D577" s="121"/>
      <c r="E577" s="107"/>
      <c r="F577" s="122"/>
      <c r="G577" s="22"/>
      <c r="H577" s="123"/>
      <c r="I577" s="126"/>
      <c r="J577" s="130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hidden="1">
      <c r="A578" s="107"/>
      <c r="B578" s="138"/>
      <c r="C578" s="120"/>
      <c r="D578" s="121"/>
      <c r="E578" s="107"/>
      <c r="F578" s="122"/>
      <c r="G578" s="22"/>
      <c r="H578" s="123"/>
      <c r="I578" s="126"/>
      <c r="J578" s="130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hidden="1">
      <c r="A579" s="107"/>
      <c r="B579" s="138"/>
      <c r="C579" s="120"/>
      <c r="D579" s="121"/>
      <c r="E579" s="107"/>
      <c r="F579" s="122"/>
      <c r="G579" s="22"/>
      <c r="H579" s="123"/>
      <c r="I579" s="126"/>
      <c r="J579" s="130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hidden="1">
      <c r="A580" s="107"/>
      <c r="B580" s="138"/>
      <c r="C580" s="120"/>
      <c r="D580" s="121"/>
      <c r="E580" s="107"/>
      <c r="F580" s="122"/>
      <c r="G580" s="22"/>
      <c r="H580" s="123"/>
      <c r="I580" s="126"/>
      <c r="J580" s="130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hidden="1">
      <c r="A581" s="107"/>
      <c r="B581" s="138"/>
      <c r="C581" s="120"/>
      <c r="D581" s="121"/>
      <c r="E581" s="107"/>
      <c r="F581" s="122"/>
      <c r="G581" s="22"/>
      <c r="H581" s="123"/>
      <c r="I581" s="126"/>
      <c r="J581" s="130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hidden="1">
      <c r="A582" s="107"/>
      <c r="B582" s="138"/>
      <c r="C582" s="120"/>
      <c r="D582" s="121"/>
      <c r="E582" s="107"/>
      <c r="F582" s="122"/>
      <c r="G582" s="22"/>
      <c r="H582" s="123"/>
      <c r="I582" s="126"/>
      <c r="J582" s="130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hidden="1">
      <c r="A583" s="107"/>
      <c r="B583" s="138"/>
      <c r="C583" s="120"/>
      <c r="D583" s="121"/>
      <c r="E583" s="107"/>
      <c r="F583" s="122"/>
      <c r="G583" s="22"/>
      <c r="H583" s="123"/>
      <c r="I583" s="126"/>
      <c r="J583" s="130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hidden="1">
      <c r="A584" s="107"/>
      <c r="B584" s="138"/>
      <c r="C584" s="120"/>
      <c r="D584" s="121"/>
      <c r="E584" s="107"/>
      <c r="F584" s="122"/>
      <c r="G584" s="22"/>
      <c r="H584" s="123"/>
      <c r="I584" s="126"/>
      <c r="J584" s="130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hidden="1">
      <c r="A585" s="107"/>
      <c r="B585" s="138"/>
      <c r="C585" s="120"/>
      <c r="D585" s="121"/>
      <c r="E585" s="107"/>
      <c r="F585" s="122"/>
      <c r="G585" s="22"/>
      <c r="H585" s="123"/>
      <c r="I585" s="126"/>
      <c r="J585" s="130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hidden="1">
      <c r="A586" s="107"/>
      <c r="B586" s="138"/>
      <c r="C586" s="120"/>
      <c r="D586" s="121"/>
      <c r="E586" s="107"/>
      <c r="F586" s="122"/>
      <c r="G586" s="22"/>
      <c r="H586" s="123"/>
      <c r="I586" s="126"/>
      <c r="J586" s="130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hidden="1">
      <c r="A587" s="107"/>
      <c r="B587" s="138"/>
      <c r="C587" s="120"/>
      <c r="D587" s="121"/>
      <c r="E587" s="107"/>
      <c r="F587" s="122"/>
      <c r="G587" s="22"/>
      <c r="H587" s="123"/>
      <c r="I587" s="126"/>
      <c r="J587" s="130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hidden="1">
      <c r="A588" s="107"/>
      <c r="B588" s="138"/>
      <c r="C588" s="120"/>
      <c r="D588" s="121"/>
      <c r="E588" s="107"/>
      <c r="F588" s="122"/>
      <c r="G588" s="22"/>
      <c r="H588" s="123"/>
      <c r="I588" s="126"/>
      <c r="J588" s="130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hidden="1">
      <c r="A589" s="107"/>
      <c r="B589" s="138"/>
      <c r="C589" s="120"/>
      <c r="D589" s="121"/>
      <c r="E589" s="107"/>
      <c r="F589" s="122"/>
      <c r="G589" s="22"/>
      <c r="H589" s="123"/>
      <c r="I589" s="126"/>
      <c r="J589" s="130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hidden="1">
      <c r="A590" s="107"/>
      <c r="B590" s="138"/>
      <c r="C590" s="120"/>
      <c r="D590" s="121"/>
      <c r="E590" s="107"/>
      <c r="F590" s="122"/>
      <c r="G590" s="22"/>
      <c r="H590" s="123"/>
      <c r="I590" s="126"/>
      <c r="J590" s="130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hidden="1">
      <c r="A591" s="107"/>
      <c r="B591" s="138"/>
      <c r="C591" s="120"/>
      <c r="D591" s="121"/>
      <c r="E591" s="107"/>
      <c r="F591" s="122"/>
      <c r="G591" s="22"/>
      <c r="H591" s="123"/>
      <c r="I591" s="126"/>
      <c r="J591" s="130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hidden="1">
      <c r="A592" s="107"/>
      <c r="B592" s="138"/>
      <c r="C592" s="120"/>
      <c r="D592" s="121"/>
      <c r="E592" s="107"/>
      <c r="F592" s="122"/>
      <c r="G592" s="22"/>
      <c r="H592" s="123"/>
      <c r="I592" s="126"/>
      <c r="J592" s="130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hidden="1">
      <c r="A593" s="107"/>
      <c r="B593" s="138"/>
      <c r="C593" s="120"/>
      <c r="D593" s="121"/>
      <c r="E593" s="107"/>
      <c r="F593" s="122"/>
      <c r="G593" s="22"/>
      <c r="H593" s="123"/>
      <c r="I593" s="126"/>
      <c r="J593" s="130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hidden="1">
      <c r="A594" s="107"/>
      <c r="B594" s="138"/>
      <c r="C594" s="120"/>
      <c r="D594" s="121"/>
      <c r="E594" s="107"/>
      <c r="F594" s="122"/>
      <c r="G594" s="22"/>
      <c r="H594" s="123"/>
      <c r="I594" s="126"/>
      <c r="J594" s="130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hidden="1">
      <c r="A595" s="107"/>
      <c r="B595" s="138"/>
      <c r="C595" s="120"/>
      <c r="D595" s="121"/>
      <c r="E595" s="107"/>
      <c r="F595" s="122"/>
      <c r="G595" s="22"/>
      <c r="H595" s="123"/>
      <c r="I595" s="126"/>
      <c r="J595" s="130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hidden="1">
      <c r="A596" s="107"/>
      <c r="B596" s="138"/>
      <c r="C596" s="120"/>
      <c r="D596" s="121"/>
      <c r="E596" s="107"/>
      <c r="F596" s="122"/>
      <c r="G596" s="22"/>
      <c r="H596" s="123"/>
      <c r="I596" s="126"/>
      <c r="J596" s="130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hidden="1">
      <c r="A597" s="107"/>
      <c r="B597" s="138"/>
      <c r="C597" s="120"/>
      <c r="D597" s="121"/>
      <c r="E597" s="107"/>
      <c r="F597" s="122"/>
      <c r="G597" s="22"/>
      <c r="H597" s="123"/>
      <c r="I597" s="126"/>
      <c r="J597" s="130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hidden="1">
      <c r="A598" s="107"/>
      <c r="B598" s="138"/>
      <c r="C598" s="120"/>
      <c r="D598" s="121"/>
      <c r="E598" s="107"/>
      <c r="F598" s="122"/>
      <c r="G598" s="22"/>
      <c r="H598" s="123"/>
      <c r="I598" s="126"/>
      <c r="J598" s="130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hidden="1">
      <c r="A599" s="107"/>
      <c r="B599" s="138"/>
      <c r="C599" s="120"/>
      <c r="D599" s="121"/>
      <c r="E599" s="107"/>
      <c r="F599" s="122"/>
      <c r="G599" s="22"/>
      <c r="H599" s="123"/>
      <c r="I599" s="126"/>
      <c r="J599" s="130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hidden="1">
      <c r="A600" s="107"/>
      <c r="B600" s="138"/>
      <c r="C600" s="120"/>
      <c r="D600" s="121"/>
      <c r="E600" s="107"/>
      <c r="F600" s="122"/>
      <c r="G600" s="22"/>
      <c r="H600" s="123"/>
      <c r="I600" s="126"/>
      <c r="J600" s="130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hidden="1">
      <c r="A601" s="107"/>
      <c r="B601" s="138"/>
      <c r="C601" s="120"/>
      <c r="D601" s="121"/>
      <c r="E601" s="107"/>
      <c r="F601" s="122"/>
      <c r="G601" s="22"/>
      <c r="H601" s="123"/>
      <c r="I601" s="126"/>
      <c r="J601" s="130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hidden="1">
      <c r="A602" s="107"/>
      <c r="B602" s="138"/>
      <c r="C602" s="120"/>
      <c r="D602" s="121"/>
      <c r="E602" s="107"/>
      <c r="F602" s="122"/>
      <c r="G602" s="22"/>
      <c r="H602" s="123"/>
      <c r="I602" s="126"/>
      <c r="J602" s="130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hidden="1">
      <c r="A603" s="107"/>
      <c r="B603" s="138"/>
      <c r="C603" s="120"/>
      <c r="D603" s="121"/>
      <c r="E603" s="107"/>
      <c r="F603" s="122"/>
      <c r="G603" s="22"/>
      <c r="H603" s="123"/>
      <c r="I603" s="126"/>
      <c r="J603" s="130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hidden="1">
      <c r="A604" s="107"/>
      <c r="B604" s="138"/>
      <c r="C604" s="120"/>
      <c r="D604" s="121"/>
      <c r="E604" s="107"/>
      <c r="F604" s="122"/>
      <c r="G604" s="22"/>
      <c r="H604" s="123"/>
      <c r="I604" s="126"/>
      <c r="J604" s="130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hidden="1">
      <c r="A605" s="107"/>
      <c r="B605" s="138"/>
      <c r="C605" s="120"/>
      <c r="D605" s="121"/>
      <c r="E605" s="107"/>
      <c r="F605" s="122"/>
      <c r="G605" s="22"/>
      <c r="H605" s="123"/>
      <c r="I605" s="126"/>
      <c r="J605" s="130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hidden="1">
      <c r="A606" s="107"/>
      <c r="B606" s="138"/>
      <c r="C606" s="120"/>
      <c r="D606" s="121"/>
      <c r="E606" s="107"/>
      <c r="F606" s="122"/>
      <c r="G606" s="22"/>
      <c r="H606" s="123"/>
      <c r="I606" s="126"/>
      <c r="J606" s="130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hidden="1">
      <c r="A607" s="107"/>
      <c r="B607" s="138"/>
      <c r="C607" s="120"/>
      <c r="D607" s="121"/>
      <c r="E607" s="107"/>
      <c r="F607" s="122"/>
      <c r="G607" s="22"/>
      <c r="H607" s="123"/>
      <c r="I607" s="126"/>
      <c r="J607" s="130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hidden="1">
      <c r="A608" s="107"/>
      <c r="B608" s="138"/>
      <c r="C608" s="120"/>
      <c r="D608" s="121"/>
      <c r="E608" s="107"/>
      <c r="F608" s="122"/>
      <c r="G608" s="22"/>
      <c r="H608" s="123"/>
      <c r="I608" s="126"/>
      <c r="J608" s="130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hidden="1">
      <c r="A609" s="107"/>
      <c r="B609" s="138"/>
      <c r="C609" s="120"/>
      <c r="D609" s="121"/>
      <c r="E609" s="107"/>
      <c r="F609" s="122"/>
      <c r="G609" s="22"/>
      <c r="H609" s="123"/>
      <c r="I609" s="126"/>
      <c r="J609" s="130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hidden="1">
      <c r="A610" s="107"/>
      <c r="B610" s="138"/>
      <c r="C610" s="120"/>
      <c r="D610" s="121"/>
      <c r="E610" s="107"/>
      <c r="F610" s="122"/>
      <c r="G610" s="22"/>
      <c r="H610" s="123"/>
      <c r="I610" s="126"/>
      <c r="J610" s="130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hidden="1">
      <c r="A611" s="107"/>
      <c r="B611" s="138"/>
      <c r="C611" s="120"/>
      <c r="D611" s="121"/>
      <c r="E611" s="107"/>
      <c r="F611" s="122"/>
      <c r="G611" s="22"/>
      <c r="H611" s="123"/>
      <c r="I611" s="126"/>
      <c r="J611" s="130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hidden="1">
      <c r="A612" s="107"/>
      <c r="B612" s="138"/>
      <c r="C612" s="120"/>
      <c r="D612" s="121"/>
      <c r="E612" s="107"/>
      <c r="F612" s="122"/>
      <c r="G612" s="22"/>
      <c r="H612" s="123"/>
      <c r="I612" s="126"/>
      <c r="J612" s="130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hidden="1">
      <c r="A613" s="107"/>
      <c r="B613" s="138"/>
      <c r="C613" s="120"/>
      <c r="D613" s="121"/>
      <c r="E613" s="107"/>
      <c r="F613" s="122"/>
      <c r="G613" s="22"/>
      <c r="H613" s="123"/>
      <c r="I613" s="126"/>
      <c r="J613" s="130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hidden="1">
      <c r="A614" s="107"/>
      <c r="B614" s="138"/>
      <c r="C614" s="120"/>
      <c r="D614" s="121"/>
      <c r="E614" s="107"/>
      <c r="F614" s="122"/>
      <c r="G614" s="22"/>
      <c r="H614" s="123"/>
      <c r="I614" s="126"/>
      <c r="J614" s="130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hidden="1">
      <c r="A615" s="107"/>
      <c r="B615" s="138"/>
      <c r="C615" s="120"/>
      <c r="D615" s="121"/>
      <c r="E615" s="107"/>
      <c r="F615" s="122"/>
      <c r="G615" s="22"/>
      <c r="H615" s="123"/>
      <c r="I615" s="126"/>
      <c r="J615" s="130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hidden="1">
      <c r="A616" s="107"/>
      <c r="B616" s="138"/>
      <c r="C616" s="120"/>
      <c r="D616" s="121"/>
      <c r="E616" s="107"/>
      <c r="F616" s="122"/>
      <c r="G616" s="22"/>
      <c r="H616" s="123"/>
      <c r="I616" s="126"/>
      <c r="J616" s="130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hidden="1">
      <c r="A617" s="107"/>
      <c r="B617" s="138"/>
      <c r="C617" s="120"/>
      <c r="D617" s="121"/>
      <c r="E617" s="107"/>
      <c r="F617" s="122"/>
      <c r="G617" s="22"/>
      <c r="H617" s="123"/>
      <c r="I617" s="126"/>
      <c r="J617" s="130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hidden="1">
      <c r="A618" s="107"/>
      <c r="B618" s="138"/>
      <c r="C618" s="120"/>
      <c r="D618" s="121"/>
      <c r="E618" s="107"/>
      <c r="F618" s="122"/>
      <c r="G618" s="22"/>
      <c r="H618" s="123"/>
      <c r="I618" s="126"/>
      <c r="J618" s="130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hidden="1">
      <c r="A619" s="107"/>
      <c r="B619" s="138"/>
      <c r="C619" s="120"/>
      <c r="D619" s="121"/>
      <c r="E619" s="107"/>
      <c r="F619" s="122"/>
      <c r="G619" s="22"/>
      <c r="H619" s="123"/>
      <c r="I619" s="126"/>
      <c r="J619" s="130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hidden="1">
      <c r="A620" s="107"/>
      <c r="B620" s="138"/>
      <c r="C620" s="120"/>
      <c r="D620" s="121"/>
      <c r="E620" s="107"/>
      <c r="F620" s="122"/>
      <c r="G620" s="22"/>
      <c r="H620" s="123"/>
      <c r="I620" s="126"/>
      <c r="J620" s="130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hidden="1">
      <c r="A621" s="107"/>
      <c r="B621" s="138"/>
      <c r="C621" s="120"/>
      <c r="D621" s="121"/>
      <c r="E621" s="107"/>
      <c r="F621" s="122"/>
      <c r="G621" s="22"/>
      <c r="H621" s="123"/>
      <c r="I621" s="126"/>
      <c r="J621" s="130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hidden="1">
      <c r="A622" s="107"/>
      <c r="B622" s="138"/>
      <c r="C622" s="120"/>
      <c r="D622" s="121"/>
      <c r="E622" s="107"/>
      <c r="F622" s="122"/>
      <c r="G622" s="22"/>
      <c r="H622" s="123"/>
      <c r="I622" s="126"/>
      <c r="J622" s="130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hidden="1">
      <c r="A623" s="107"/>
      <c r="B623" s="138"/>
      <c r="C623" s="120"/>
      <c r="D623" s="121"/>
      <c r="E623" s="107"/>
      <c r="F623" s="122"/>
      <c r="G623" s="22"/>
      <c r="H623" s="123"/>
      <c r="I623" s="126"/>
      <c r="J623" s="130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hidden="1">
      <c r="A624" s="107"/>
      <c r="B624" s="138"/>
      <c r="C624" s="120"/>
      <c r="D624" s="121"/>
      <c r="E624" s="107"/>
      <c r="F624" s="122"/>
      <c r="G624" s="22"/>
      <c r="H624" s="123"/>
      <c r="I624" s="126"/>
      <c r="J624" s="130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hidden="1">
      <c r="A625" s="107"/>
      <c r="B625" s="138"/>
      <c r="C625" s="120"/>
      <c r="D625" s="121"/>
      <c r="E625" s="107"/>
      <c r="F625" s="122"/>
      <c r="G625" s="22"/>
      <c r="H625" s="123"/>
      <c r="I625" s="126"/>
      <c r="J625" s="130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hidden="1">
      <c r="A626" s="107"/>
      <c r="B626" s="138"/>
      <c r="C626" s="120"/>
      <c r="D626" s="121"/>
      <c r="E626" s="107"/>
      <c r="F626" s="122"/>
      <c r="G626" s="22"/>
      <c r="H626" s="123"/>
      <c r="I626" s="126"/>
      <c r="J626" s="130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hidden="1">
      <c r="A627" s="107"/>
      <c r="B627" s="138"/>
      <c r="C627" s="120"/>
      <c r="D627" s="121"/>
      <c r="E627" s="107"/>
      <c r="F627" s="122"/>
      <c r="G627" s="22"/>
      <c r="H627" s="123"/>
      <c r="I627" s="126"/>
      <c r="J627" s="130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hidden="1">
      <c r="A628" s="107"/>
      <c r="B628" s="138"/>
      <c r="C628" s="120"/>
      <c r="D628" s="121"/>
      <c r="E628" s="107"/>
      <c r="F628" s="122"/>
      <c r="G628" s="22"/>
      <c r="H628" s="123"/>
      <c r="I628" s="126"/>
      <c r="J628" s="130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hidden="1">
      <c r="A629" s="107"/>
      <c r="B629" s="138"/>
      <c r="C629" s="120"/>
      <c r="D629" s="121"/>
      <c r="E629" s="107"/>
      <c r="F629" s="122"/>
      <c r="G629" s="22"/>
      <c r="H629" s="123"/>
      <c r="I629" s="126"/>
      <c r="J629" s="130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hidden="1">
      <c r="A630" s="107"/>
      <c r="B630" s="138"/>
      <c r="C630" s="120"/>
      <c r="D630" s="121"/>
      <c r="E630" s="107"/>
      <c r="F630" s="122"/>
      <c r="G630" s="22"/>
      <c r="H630" s="123"/>
      <c r="I630" s="126"/>
      <c r="J630" s="130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hidden="1">
      <c r="A631" s="107"/>
      <c r="B631" s="138"/>
      <c r="C631" s="120"/>
      <c r="D631" s="121"/>
      <c r="E631" s="107"/>
      <c r="F631" s="122"/>
      <c r="G631" s="22"/>
      <c r="H631" s="123"/>
      <c r="I631" s="126"/>
      <c r="J631" s="130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hidden="1">
      <c r="A632" s="107"/>
      <c r="B632" s="138"/>
      <c r="C632" s="120"/>
      <c r="D632" s="121"/>
      <c r="E632" s="107"/>
      <c r="F632" s="122"/>
      <c r="G632" s="22"/>
      <c r="H632" s="123"/>
      <c r="I632" s="126"/>
      <c r="J632" s="130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hidden="1">
      <c r="A633" s="107"/>
      <c r="B633" s="138"/>
      <c r="C633" s="120"/>
      <c r="D633" s="121"/>
      <c r="E633" s="107"/>
      <c r="F633" s="122"/>
      <c r="G633" s="22"/>
      <c r="H633" s="123"/>
      <c r="I633" s="126"/>
      <c r="J633" s="130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hidden="1">
      <c r="A634" s="107"/>
      <c r="B634" s="138"/>
      <c r="C634" s="120"/>
      <c r="D634" s="121"/>
      <c r="E634" s="107"/>
      <c r="F634" s="122"/>
      <c r="G634" s="22"/>
      <c r="H634" s="123"/>
      <c r="I634" s="126"/>
      <c r="J634" s="130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hidden="1">
      <c r="A635" s="107"/>
      <c r="B635" s="138"/>
      <c r="C635" s="120"/>
      <c r="D635" s="121"/>
      <c r="E635" s="107"/>
      <c r="F635" s="122"/>
      <c r="G635" s="22"/>
      <c r="H635" s="123"/>
      <c r="I635" s="126"/>
      <c r="J635" s="130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hidden="1">
      <c r="A636" s="107"/>
      <c r="B636" s="138"/>
      <c r="C636" s="120"/>
      <c r="D636" s="121"/>
      <c r="E636" s="107"/>
      <c r="F636" s="122"/>
      <c r="G636" s="22"/>
      <c r="H636" s="123"/>
      <c r="I636" s="126"/>
      <c r="J636" s="130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hidden="1">
      <c r="A637" s="107"/>
      <c r="B637" s="138"/>
      <c r="C637" s="120"/>
      <c r="D637" s="121"/>
      <c r="E637" s="107"/>
      <c r="F637" s="122"/>
      <c r="G637" s="22"/>
      <c r="H637" s="123"/>
      <c r="I637" s="126"/>
      <c r="J637" s="130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hidden="1">
      <c r="A638" s="107"/>
      <c r="B638" s="138"/>
      <c r="C638" s="120"/>
      <c r="D638" s="121"/>
      <c r="E638" s="107"/>
      <c r="F638" s="122"/>
      <c r="G638" s="22"/>
      <c r="H638" s="123"/>
      <c r="I638" s="126"/>
      <c r="J638" s="130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hidden="1">
      <c r="A639" s="107"/>
      <c r="B639" s="138"/>
      <c r="C639" s="120"/>
      <c r="D639" s="121"/>
      <c r="E639" s="107"/>
      <c r="F639" s="122"/>
      <c r="G639" s="22"/>
      <c r="H639" s="123"/>
      <c r="I639" s="126"/>
      <c r="J639" s="130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hidden="1">
      <c r="A640" s="107"/>
      <c r="B640" s="138"/>
      <c r="C640" s="120"/>
      <c r="D640" s="121"/>
      <c r="E640" s="107"/>
      <c r="F640" s="122"/>
      <c r="G640" s="22"/>
      <c r="H640" s="123"/>
      <c r="I640" s="126"/>
      <c r="J640" s="130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hidden="1">
      <c r="A641" s="107"/>
      <c r="B641" s="138"/>
      <c r="C641" s="120"/>
      <c r="D641" s="121"/>
      <c r="E641" s="107"/>
      <c r="F641" s="122"/>
      <c r="G641" s="22"/>
      <c r="H641" s="123"/>
      <c r="I641" s="126"/>
      <c r="J641" s="130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hidden="1">
      <c r="A642" s="107"/>
      <c r="B642" s="138"/>
      <c r="C642" s="120"/>
      <c r="D642" s="121"/>
      <c r="E642" s="107"/>
      <c r="F642" s="122"/>
      <c r="G642" s="22"/>
      <c r="H642" s="123"/>
      <c r="I642" s="126"/>
      <c r="J642" s="130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hidden="1">
      <c r="A643" s="107"/>
      <c r="B643" s="138"/>
      <c r="C643" s="120"/>
      <c r="D643" s="121"/>
      <c r="E643" s="107"/>
      <c r="F643" s="122"/>
      <c r="G643" s="22"/>
      <c r="H643" s="123"/>
      <c r="I643" s="126"/>
      <c r="J643" s="130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hidden="1">
      <c r="A644" s="107"/>
      <c r="B644" s="138"/>
      <c r="C644" s="120"/>
      <c r="D644" s="121"/>
      <c r="E644" s="107"/>
      <c r="F644" s="122"/>
      <c r="G644" s="22"/>
      <c r="H644" s="123"/>
      <c r="I644" s="126"/>
      <c r="J644" s="130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hidden="1">
      <c r="A645" s="107"/>
      <c r="B645" s="138"/>
      <c r="C645" s="120"/>
      <c r="D645" s="121"/>
      <c r="E645" s="107"/>
      <c r="F645" s="122"/>
      <c r="G645" s="22"/>
      <c r="H645" s="123"/>
      <c r="I645" s="126"/>
      <c r="J645" s="130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hidden="1">
      <c r="A646" s="107"/>
      <c r="B646" s="138"/>
      <c r="C646" s="120"/>
      <c r="D646" s="121"/>
      <c r="E646" s="107"/>
      <c r="F646" s="122"/>
      <c r="G646" s="22"/>
      <c r="H646" s="123"/>
      <c r="I646" s="126"/>
      <c r="J646" s="130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hidden="1">
      <c r="A647" s="107"/>
      <c r="B647" s="138"/>
      <c r="C647" s="120"/>
      <c r="D647" s="121"/>
      <c r="E647" s="107"/>
      <c r="F647" s="122"/>
      <c r="G647" s="22"/>
      <c r="H647" s="123"/>
      <c r="I647" s="126"/>
      <c r="J647" s="130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hidden="1">
      <c r="A648" s="107"/>
      <c r="B648" s="138"/>
      <c r="C648" s="120"/>
      <c r="D648" s="121"/>
      <c r="E648" s="107"/>
      <c r="F648" s="122"/>
      <c r="G648" s="22"/>
      <c r="H648" s="123"/>
      <c r="I648" s="126"/>
      <c r="J648" s="130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hidden="1">
      <c r="A649" s="107"/>
      <c r="B649" s="138"/>
      <c r="C649" s="120"/>
      <c r="D649" s="121"/>
      <c r="E649" s="107"/>
      <c r="F649" s="122"/>
      <c r="G649" s="22"/>
      <c r="H649" s="123"/>
      <c r="I649" s="126"/>
      <c r="J649" s="130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hidden="1">
      <c r="A650" s="107"/>
      <c r="B650" s="138"/>
      <c r="C650" s="120"/>
      <c r="D650" s="121"/>
      <c r="E650" s="107"/>
      <c r="F650" s="122"/>
      <c r="G650" s="22"/>
      <c r="H650" s="123"/>
      <c r="I650" s="126"/>
      <c r="J650" s="130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hidden="1">
      <c r="A651" s="107"/>
      <c r="B651" s="138"/>
      <c r="C651" s="120"/>
      <c r="D651" s="121"/>
      <c r="E651" s="107"/>
      <c r="F651" s="122"/>
      <c r="G651" s="22"/>
      <c r="H651" s="123"/>
      <c r="I651" s="126"/>
      <c r="J651" s="130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hidden="1">
      <c r="A652" s="107"/>
      <c r="B652" s="138"/>
      <c r="C652" s="120"/>
      <c r="D652" s="121"/>
      <c r="E652" s="107"/>
      <c r="F652" s="122"/>
      <c r="G652" s="22"/>
      <c r="H652" s="123"/>
      <c r="I652" s="126"/>
      <c r="J652" s="130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hidden="1">
      <c r="A653" s="107"/>
      <c r="B653" s="138"/>
      <c r="C653" s="120"/>
      <c r="D653" s="121"/>
      <c r="E653" s="107"/>
      <c r="F653" s="122"/>
      <c r="G653" s="22"/>
      <c r="H653" s="123"/>
      <c r="I653" s="126"/>
      <c r="J653" s="130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hidden="1">
      <c r="A654" s="107"/>
      <c r="B654" s="138"/>
      <c r="C654" s="120"/>
      <c r="D654" s="121"/>
      <c r="E654" s="107"/>
      <c r="F654" s="122"/>
      <c r="G654" s="22"/>
      <c r="H654" s="123"/>
      <c r="I654" s="126"/>
      <c r="J654" s="130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hidden="1">
      <c r="A655" s="107"/>
      <c r="B655" s="138"/>
      <c r="C655" s="120"/>
      <c r="D655" s="121"/>
      <c r="E655" s="107"/>
      <c r="F655" s="122"/>
      <c r="G655" s="22"/>
      <c r="H655" s="123"/>
      <c r="I655" s="126"/>
      <c r="J655" s="130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hidden="1">
      <c r="A656" s="107"/>
      <c r="B656" s="138"/>
      <c r="C656" s="120"/>
      <c r="D656" s="121"/>
      <c r="E656" s="107"/>
      <c r="F656" s="122"/>
      <c r="G656" s="22"/>
      <c r="H656" s="123"/>
      <c r="I656" s="126"/>
      <c r="J656" s="130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hidden="1">
      <c r="A657" s="107"/>
      <c r="B657" s="138"/>
      <c r="C657" s="120"/>
      <c r="D657" s="121"/>
      <c r="E657" s="107"/>
      <c r="F657" s="122"/>
      <c r="G657" s="22"/>
      <c r="H657" s="123"/>
      <c r="I657" s="126"/>
      <c r="J657" s="130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hidden="1">
      <c r="A658" s="107"/>
      <c r="B658" s="138"/>
      <c r="C658" s="120"/>
      <c r="D658" s="121"/>
      <c r="E658" s="107"/>
      <c r="F658" s="122"/>
      <c r="G658" s="22"/>
      <c r="H658" s="123"/>
      <c r="I658" s="126"/>
      <c r="J658" s="130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hidden="1">
      <c r="A659" s="107"/>
      <c r="B659" s="138"/>
      <c r="C659" s="120"/>
      <c r="D659" s="121"/>
      <c r="E659" s="107"/>
      <c r="F659" s="122"/>
      <c r="G659" s="22"/>
      <c r="H659" s="123"/>
      <c r="I659" s="126"/>
      <c r="J659" s="130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hidden="1">
      <c r="A660" s="107"/>
      <c r="B660" s="138"/>
      <c r="C660" s="120"/>
      <c r="D660" s="121"/>
      <c r="E660" s="107"/>
      <c r="F660" s="122"/>
      <c r="G660" s="22"/>
      <c r="H660" s="123"/>
      <c r="I660" s="126"/>
      <c r="J660" s="130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hidden="1">
      <c r="A661" s="107"/>
      <c r="B661" s="138"/>
      <c r="C661" s="120"/>
      <c r="D661" s="121"/>
      <c r="E661" s="107"/>
      <c r="F661" s="122"/>
      <c r="G661" s="22"/>
      <c r="H661" s="123"/>
      <c r="I661" s="126"/>
      <c r="J661" s="130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hidden="1">
      <c r="A662" s="107"/>
      <c r="B662" s="138"/>
      <c r="C662" s="120"/>
      <c r="D662" s="121"/>
      <c r="E662" s="107"/>
      <c r="F662" s="122"/>
      <c r="G662" s="22"/>
      <c r="H662" s="123"/>
      <c r="I662" s="126"/>
      <c r="J662" s="130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hidden="1">
      <c r="A663" s="107"/>
      <c r="B663" s="138"/>
      <c r="C663" s="120"/>
      <c r="D663" s="121"/>
      <c r="E663" s="107"/>
      <c r="F663" s="122"/>
      <c r="G663" s="22"/>
      <c r="H663" s="123"/>
      <c r="I663" s="126"/>
      <c r="J663" s="130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hidden="1">
      <c r="A664" s="107"/>
      <c r="B664" s="138"/>
      <c r="C664" s="120"/>
      <c r="D664" s="121"/>
      <c r="E664" s="107"/>
      <c r="F664" s="122"/>
      <c r="G664" s="22"/>
      <c r="H664" s="123"/>
      <c r="I664" s="126"/>
      <c r="J664" s="130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hidden="1">
      <c r="A665" s="107"/>
      <c r="B665" s="138"/>
      <c r="C665" s="120"/>
      <c r="D665" s="121"/>
      <c r="E665" s="107"/>
      <c r="F665" s="122"/>
      <c r="G665" s="22"/>
      <c r="H665" s="123"/>
      <c r="I665" s="126"/>
      <c r="J665" s="130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hidden="1">
      <c r="A666" s="107"/>
      <c r="B666" s="138"/>
      <c r="C666" s="120"/>
      <c r="D666" s="121"/>
      <c r="E666" s="107"/>
      <c r="F666" s="122"/>
      <c r="G666" s="22"/>
      <c r="H666" s="123"/>
      <c r="I666" s="126"/>
      <c r="J666" s="130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hidden="1">
      <c r="A667" s="107"/>
      <c r="B667" s="138"/>
      <c r="C667" s="120"/>
      <c r="D667" s="121"/>
      <c r="E667" s="107"/>
      <c r="F667" s="122"/>
      <c r="G667" s="22"/>
      <c r="H667" s="123"/>
      <c r="I667" s="126"/>
      <c r="J667" s="130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hidden="1">
      <c r="A668" s="107"/>
      <c r="B668" s="138"/>
      <c r="C668" s="120"/>
      <c r="D668" s="121"/>
      <c r="E668" s="107"/>
      <c r="F668" s="122"/>
      <c r="G668" s="22"/>
      <c r="H668" s="123"/>
      <c r="I668" s="126"/>
      <c r="J668" s="130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hidden="1">
      <c r="A669" s="107"/>
      <c r="B669" s="138"/>
      <c r="C669" s="120"/>
      <c r="D669" s="121"/>
      <c r="E669" s="107"/>
      <c r="F669" s="122"/>
      <c r="G669" s="22"/>
      <c r="H669" s="123"/>
      <c r="I669" s="126"/>
      <c r="J669" s="130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hidden="1">
      <c r="A670" s="107"/>
      <c r="B670" s="138"/>
      <c r="C670" s="120"/>
      <c r="D670" s="121"/>
      <c r="E670" s="107"/>
      <c r="F670" s="122"/>
      <c r="G670" s="22"/>
      <c r="H670" s="123"/>
      <c r="I670" s="126"/>
      <c r="J670" s="130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hidden="1">
      <c r="A671" s="107"/>
      <c r="B671" s="138"/>
      <c r="C671" s="120"/>
      <c r="D671" s="121"/>
      <c r="E671" s="107"/>
      <c r="F671" s="122"/>
      <c r="G671" s="22"/>
      <c r="H671" s="123"/>
      <c r="I671" s="126"/>
      <c r="J671" s="130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hidden="1">
      <c r="A672" s="107"/>
      <c r="B672" s="138"/>
      <c r="C672" s="120"/>
      <c r="D672" s="121"/>
      <c r="E672" s="107"/>
      <c r="F672" s="122"/>
      <c r="G672" s="22"/>
      <c r="H672" s="123"/>
      <c r="I672" s="126"/>
      <c r="J672" s="130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hidden="1">
      <c r="A673" s="107"/>
      <c r="B673" s="138"/>
      <c r="C673" s="120"/>
      <c r="D673" s="121"/>
      <c r="E673" s="107"/>
      <c r="F673" s="122"/>
      <c r="G673" s="22"/>
      <c r="H673" s="123"/>
      <c r="I673" s="126"/>
      <c r="J673" s="130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hidden="1">
      <c r="A674" s="107"/>
      <c r="B674" s="138"/>
      <c r="C674" s="120"/>
      <c r="D674" s="121"/>
      <c r="E674" s="107"/>
      <c r="F674" s="122"/>
      <c r="G674" s="22"/>
      <c r="H674" s="123"/>
      <c r="I674" s="126"/>
      <c r="J674" s="130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hidden="1">
      <c r="A675" s="107"/>
      <c r="B675" s="138"/>
      <c r="C675" s="120"/>
      <c r="D675" s="121"/>
      <c r="E675" s="107"/>
      <c r="F675" s="122"/>
      <c r="G675" s="22"/>
      <c r="H675" s="123"/>
      <c r="I675" s="126"/>
      <c r="J675" s="130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hidden="1">
      <c r="A676" s="107"/>
      <c r="B676" s="138"/>
      <c r="C676" s="120"/>
      <c r="D676" s="121"/>
      <c r="E676" s="107"/>
      <c r="F676" s="122"/>
      <c r="G676" s="22"/>
      <c r="H676" s="123"/>
      <c r="I676" s="126"/>
      <c r="J676" s="130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hidden="1">
      <c r="A677" s="107"/>
      <c r="B677" s="138"/>
      <c r="C677" s="120"/>
      <c r="D677" s="121"/>
      <c r="E677" s="107"/>
      <c r="F677" s="122"/>
      <c r="G677" s="22"/>
      <c r="H677" s="123"/>
      <c r="I677" s="126"/>
      <c r="J677" s="130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hidden="1">
      <c r="A678" s="107"/>
      <c r="B678" s="138"/>
      <c r="C678" s="120"/>
      <c r="D678" s="121"/>
      <c r="E678" s="107"/>
      <c r="F678" s="122"/>
      <c r="G678" s="22"/>
      <c r="H678" s="123"/>
      <c r="I678" s="126"/>
      <c r="J678" s="130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hidden="1">
      <c r="A679" s="107"/>
      <c r="B679" s="138"/>
      <c r="C679" s="120"/>
      <c r="D679" s="121"/>
      <c r="E679" s="107"/>
      <c r="F679" s="122"/>
      <c r="G679" s="22"/>
      <c r="H679" s="123"/>
      <c r="I679" s="126"/>
      <c r="J679" s="130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hidden="1">
      <c r="A680" s="107"/>
      <c r="B680" s="138"/>
      <c r="C680" s="120"/>
      <c r="D680" s="121"/>
      <c r="E680" s="107"/>
      <c r="F680" s="122"/>
      <c r="G680" s="22"/>
      <c r="H680" s="123"/>
      <c r="I680" s="126"/>
      <c r="J680" s="130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hidden="1">
      <c r="A681" s="107"/>
      <c r="B681" s="138"/>
      <c r="C681" s="120"/>
      <c r="D681" s="121"/>
      <c r="E681" s="107"/>
      <c r="F681" s="122"/>
      <c r="G681" s="22"/>
      <c r="H681" s="123"/>
      <c r="I681" s="126"/>
      <c r="J681" s="130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hidden="1">
      <c r="A682" s="107"/>
      <c r="B682" s="138"/>
      <c r="C682" s="120"/>
      <c r="D682" s="121"/>
      <c r="E682" s="107"/>
      <c r="F682" s="122"/>
      <c r="G682" s="22"/>
      <c r="H682" s="123"/>
      <c r="I682" s="126"/>
      <c r="J682" s="130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hidden="1">
      <c r="A683" s="107"/>
      <c r="B683" s="138"/>
      <c r="C683" s="120"/>
      <c r="D683" s="121"/>
      <c r="E683" s="107"/>
      <c r="F683" s="122"/>
      <c r="G683" s="22"/>
      <c r="H683" s="123"/>
      <c r="I683" s="126"/>
      <c r="J683" s="130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hidden="1">
      <c r="A684" s="107"/>
      <c r="B684" s="138"/>
      <c r="C684" s="120"/>
      <c r="D684" s="121"/>
      <c r="E684" s="107"/>
      <c r="F684" s="122"/>
      <c r="G684" s="22"/>
      <c r="H684" s="123"/>
      <c r="I684" s="126"/>
      <c r="J684" s="130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hidden="1">
      <c r="A685" s="107"/>
      <c r="B685" s="138"/>
      <c r="C685" s="120"/>
      <c r="D685" s="121"/>
      <c r="E685" s="107"/>
      <c r="F685" s="122"/>
      <c r="G685" s="22"/>
      <c r="H685" s="123"/>
      <c r="I685" s="126"/>
      <c r="J685" s="130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hidden="1">
      <c r="A686" s="107"/>
      <c r="B686" s="138"/>
      <c r="C686" s="120"/>
      <c r="D686" s="121"/>
      <c r="E686" s="107"/>
      <c r="F686" s="122"/>
      <c r="G686" s="22"/>
      <c r="H686" s="123"/>
      <c r="I686" s="126"/>
      <c r="J686" s="130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hidden="1">
      <c r="A687" s="107"/>
      <c r="B687" s="138"/>
      <c r="C687" s="120"/>
      <c r="D687" s="121"/>
      <c r="E687" s="107"/>
      <c r="F687" s="122"/>
      <c r="G687" s="22"/>
      <c r="H687" s="123"/>
      <c r="I687" s="126"/>
      <c r="J687" s="130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hidden="1">
      <c r="A688" s="107"/>
      <c r="B688" s="138"/>
      <c r="C688" s="120"/>
      <c r="D688" s="121"/>
      <c r="E688" s="107"/>
      <c r="F688" s="122"/>
      <c r="G688" s="22"/>
      <c r="H688" s="123"/>
      <c r="I688" s="126"/>
      <c r="J688" s="130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hidden="1">
      <c r="A689" s="107"/>
      <c r="B689" s="138"/>
      <c r="C689" s="120"/>
      <c r="D689" s="121"/>
      <c r="E689" s="107"/>
      <c r="F689" s="122"/>
      <c r="G689" s="22"/>
      <c r="H689" s="123"/>
      <c r="I689" s="126"/>
      <c r="J689" s="130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hidden="1">
      <c r="A690" s="107"/>
      <c r="B690" s="138"/>
      <c r="C690" s="120"/>
      <c r="D690" s="121"/>
      <c r="E690" s="107"/>
      <c r="F690" s="122"/>
      <c r="G690" s="22"/>
      <c r="H690" s="123"/>
      <c r="I690" s="126"/>
      <c r="J690" s="130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hidden="1">
      <c r="A691" s="107"/>
      <c r="B691" s="138"/>
      <c r="C691" s="120"/>
      <c r="D691" s="121"/>
      <c r="E691" s="107"/>
      <c r="F691" s="122"/>
      <c r="G691" s="22"/>
      <c r="H691" s="123"/>
      <c r="I691" s="126"/>
      <c r="J691" s="130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hidden="1">
      <c r="A692" s="107"/>
      <c r="B692" s="138"/>
      <c r="C692" s="120"/>
      <c r="D692" s="121"/>
      <c r="E692" s="107"/>
      <c r="F692" s="122"/>
      <c r="G692" s="22"/>
      <c r="H692" s="123"/>
      <c r="I692" s="126"/>
      <c r="J692" s="130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hidden="1">
      <c r="A693" s="107"/>
      <c r="B693" s="138"/>
      <c r="C693" s="120"/>
      <c r="D693" s="121"/>
      <c r="E693" s="107"/>
      <c r="F693" s="122"/>
      <c r="G693" s="22"/>
      <c r="H693" s="123"/>
      <c r="I693" s="126"/>
      <c r="J693" s="130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hidden="1">
      <c r="A694" s="107"/>
      <c r="B694" s="138"/>
      <c r="C694" s="120"/>
      <c r="D694" s="121"/>
      <c r="E694" s="107"/>
      <c r="F694" s="122"/>
      <c r="G694" s="22"/>
      <c r="H694" s="123"/>
      <c r="I694" s="126"/>
      <c r="J694" s="130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hidden="1">
      <c r="A695" s="107"/>
      <c r="B695" s="138"/>
      <c r="C695" s="120"/>
      <c r="D695" s="121"/>
      <c r="E695" s="107"/>
      <c r="F695" s="122"/>
      <c r="G695" s="22"/>
      <c r="H695" s="123"/>
      <c r="I695" s="126"/>
      <c r="J695" s="130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hidden="1">
      <c r="A696" s="107"/>
      <c r="B696" s="138"/>
      <c r="C696" s="120"/>
      <c r="D696" s="121"/>
      <c r="E696" s="107"/>
      <c r="F696" s="122"/>
      <c r="G696" s="22"/>
      <c r="H696" s="123"/>
      <c r="I696" s="126"/>
      <c r="J696" s="130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hidden="1">
      <c r="A697" s="107"/>
      <c r="B697" s="138"/>
      <c r="C697" s="120"/>
      <c r="D697" s="121"/>
      <c r="E697" s="107"/>
      <c r="F697" s="122"/>
      <c r="G697" s="22"/>
      <c r="H697" s="123"/>
      <c r="I697" s="126"/>
      <c r="J697" s="130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hidden="1">
      <c r="A698" s="107"/>
      <c r="B698" s="138"/>
      <c r="C698" s="120"/>
      <c r="D698" s="121"/>
      <c r="E698" s="107"/>
      <c r="F698" s="122"/>
      <c r="G698" s="22"/>
      <c r="H698" s="123"/>
      <c r="I698" s="126"/>
      <c r="J698" s="130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hidden="1">
      <c r="A699" s="107"/>
      <c r="B699" s="138"/>
      <c r="C699" s="120"/>
      <c r="D699" s="121"/>
      <c r="E699" s="107"/>
      <c r="F699" s="122"/>
      <c r="G699" s="22"/>
      <c r="H699" s="123"/>
      <c r="I699" s="126"/>
      <c r="J699" s="130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hidden="1">
      <c r="A700" s="107"/>
      <c r="B700" s="138"/>
      <c r="C700" s="120"/>
      <c r="D700" s="121"/>
      <c r="E700" s="107"/>
      <c r="F700" s="122"/>
      <c r="G700" s="22"/>
      <c r="H700" s="123"/>
      <c r="I700" s="126"/>
      <c r="J700" s="130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hidden="1">
      <c r="A701" s="107"/>
      <c r="B701" s="138"/>
      <c r="C701" s="120"/>
      <c r="D701" s="121"/>
      <c r="E701" s="107"/>
      <c r="F701" s="122"/>
      <c r="G701" s="22"/>
      <c r="H701" s="123"/>
      <c r="I701" s="126"/>
      <c r="J701" s="130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hidden="1">
      <c r="A702" s="107"/>
      <c r="B702" s="138"/>
      <c r="C702" s="120"/>
      <c r="D702" s="121"/>
      <c r="E702" s="107"/>
      <c r="F702" s="122"/>
      <c r="G702" s="22"/>
      <c r="H702" s="123"/>
      <c r="I702" s="126"/>
      <c r="J702" s="130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hidden="1">
      <c r="A703" s="107"/>
      <c r="B703" s="138"/>
      <c r="C703" s="120"/>
      <c r="D703" s="121"/>
      <c r="E703" s="107"/>
      <c r="F703" s="122"/>
      <c r="G703" s="22"/>
      <c r="H703" s="123"/>
      <c r="I703" s="126"/>
      <c r="J703" s="130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hidden="1">
      <c r="A704" s="107"/>
      <c r="B704" s="138"/>
      <c r="C704" s="120"/>
      <c r="D704" s="121"/>
      <c r="E704" s="107"/>
      <c r="F704" s="122"/>
      <c r="G704" s="22"/>
      <c r="H704" s="123"/>
      <c r="I704" s="126"/>
      <c r="J704" s="130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hidden="1">
      <c r="A705" s="107"/>
      <c r="B705" s="138"/>
      <c r="C705" s="120"/>
      <c r="D705" s="121"/>
      <c r="E705" s="107"/>
      <c r="F705" s="122"/>
      <c r="G705" s="22"/>
      <c r="H705" s="123"/>
      <c r="I705" s="126"/>
      <c r="J705" s="130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hidden="1">
      <c r="A706" s="107"/>
      <c r="B706" s="138"/>
      <c r="C706" s="120"/>
      <c r="D706" s="121"/>
      <c r="E706" s="107"/>
      <c r="F706" s="122"/>
      <c r="G706" s="22"/>
      <c r="H706" s="123"/>
      <c r="I706" s="126"/>
      <c r="J706" s="130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hidden="1">
      <c r="A707" s="107"/>
      <c r="B707" s="138"/>
      <c r="C707" s="120"/>
      <c r="D707" s="121"/>
      <c r="E707" s="107"/>
      <c r="F707" s="122"/>
      <c r="G707" s="22"/>
      <c r="H707" s="123"/>
      <c r="I707" s="126"/>
      <c r="J707" s="130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hidden="1">
      <c r="A708" s="107"/>
      <c r="B708" s="138"/>
      <c r="C708" s="120"/>
      <c r="D708" s="121"/>
      <c r="E708" s="107"/>
      <c r="F708" s="122"/>
      <c r="G708" s="22"/>
      <c r="H708" s="123"/>
      <c r="I708" s="126"/>
      <c r="J708" s="130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hidden="1">
      <c r="A709" s="107"/>
      <c r="B709" s="138"/>
      <c r="C709" s="120"/>
      <c r="D709" s="121"/>
      <c r="E709" s="107"/>
      <c r="F709" s="122"/>
      <c r="G709" s="22"/>
      <c r="H709" s="123"/>
      <c r="I709" s="126"/>
      <c r="J709" s="130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hidden="1">
      <c r="A710" s="107"/>
      <c r="B710" s="138"/>
      <c r="C710" s="120"/>
      <c r="D710" s="121"/>
      <c r="E710" s="107"/>
      <c r="F710" s="122"/>
      <c r="G710" s="22"/>
      <c r="H710" s="123"/>
      <c r="I710" s="126"/>
      <c r="J710" s="130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hidden="1">
      <c r="A711" s="107"/>
      <c r="B711" s="138"/>
      <c r="C711" s="120"/>
      <c r="D711" s="121"/>
      <c r="E711" s="107"/>
      <c r="F711" s="122"/>
      <c r="G711" s="22"/>
      <c r="H711" s="123"/>
      <c r="I711" s="126"/>
      <c r="J711" s="130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hidden="1">
      <c r="A712" s="107"/>
      <c r="B712" s="138"/>
      <c r="C712" s="120"/>
      <c r="D712" s="121"/>
      <c r="E712" s="107"/>
      <c r="F712" s="122"/>
      <c r="G712" s="22"/>
      <c r="H712" s="123"/>
      <c r="I712" s="126"/>
      <c r="J712" s="130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hidden="1">
      <c r="A713" s="107"/>
      <c r="B713" s="138"/>
      <c r="C713" s="120"/>
      <c r="D713" s="121"/>
      <c r="E713" s="107"/>
      <c r="F713" s="122"/>
      <c r="G713" s="22"/>
      <c r="H713" s="123"/>
      <c r="I713" s="126"/>
      <c r="J713" s="130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hidden="1">
      <c r="A714" s="107"/>
      <c r="B714" s="138"/>
      <c r="C714" s="120"/>
      <c r="D714" s="121"/>
      <c r="E714" s="107"/>
      <c r="F714" s="122"/>
      <c r="G714" s="22"/>
      <c r="H714" s="123"/>
      <c r="I714" s="126"/>
      <c r="J714" s="130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hidden="1">
      <c r="A715" s="107"/>
      <c r="B715" s="138"/>
      <c r="C715" s="120"/>
      <c r="D715" s="121"/>
      <c r="E715" s="107"/>
      <c r="F715" s="122"/>
      <c r="G715" s="22"/>
      <c r="H715" s="123"/>
      <c r="I715" s="126"/>
      <c r="J715" s="130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hidden="1">
      <c r="A716" s="107"/>
      <c r="B716" s="138"/>
      <c r="C716" s="120"/>
      <c r="D716" s="121"/>
      <c r="E716" s="107"/>
      <c r="F716" s="122"/>
      <c r="G716" s="22"/>
      <c r="H716" s="123"/>
      <c r="I716" s="126"/>
      <c r="J716" s="130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hidden="1">
      <c r="A717" s="107"/>
      <c r="B717" s="138"/>
      <c r="C717" s="120"/>
      <c r="D717" s="121"/>
      <c r="E717" s="107"/>
      <c r="F717" s="122"/>
      <c r="G717" s="22"/>
      <c r="H717" s="123"/>
      <c r="I717" s="126"/>
      <c r="J717" s="130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hidden="1">
      <c r="A718" s="107"/>
      <c r="B718" s="138"/>
      <c r="C718" s="120"/>
      <c r="D718" s="121"/>
      <c r="E718" s="107"/>
      <c r="F718" s="122"/>
      <c r="G718" s="22"/>
      <c r="H718" s="123"/>
      <c r="I718" s="126"/>
      <c r="J718" s="130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hidden="1">
      <c r="A719" s="107"/>
      <c r="B719" s="138"/>
      <c r="C719" s="120"/>
      <c r="D719" s="121"/>
      <c r="E719" s="107"/>
      <c r="F719" s="122"/>
      <c r="G719" s="22"/>
      <c r="H719" s="123"/>
      <c r="I719" s="126"/>
      <c r="J719" s="130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hidden="1">
      <c r="A720" s="107"/>
      <c r="B720" s="138"/>
      <c r="C720" s="120"/>
      <c r="D720" s="121"/>
      <c r="E720" s="107"/>
      <c r="F720" s="122"/>
      <c r="G720" s="22"/>
      <c r="H720" s="123"/>
      <c r="I720" s="126"/>
      <c r="J720" s="130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hidden="1">
      <c r="A721" s="107"/>
      <c r="B721" s="138"/>
      <c r="C721" s="120"/>
      <c r="D721" s="121"/>
      <c r="E721" s="107"/>
      <c r="F721" s="122"/>
      <c r="G721" s="22"/>
      <c r="H721" s="123"/>
      <c r="I721" s="126"/>
      <c r="J721" s="130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hidden="1">
      <c r="A722" s="107"/>
      <c r="B722" s="138"/>
      <c r="C722" s="120"/>
      <c r="D722" s="121"/>
      <c r="E722" s="107"/>
      <c r="F722" s="122"/>
      <c r="G722" s="22"/>
      <c r="H722" s="123"/>
      <c r="I722" s="126"/>
      <c r="J722" s="130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hidden="1">
      <c r="A723" s="107"/>
      <c r="B723" s="138"/>
      <c r="C723" s="120"/>
      <c r="D723" s="121"/>
      <c r="E723" s="107"/>
      <c r="F723" s="122"/>
      <c r="G723" s="22"/>
      <c r="H723" s="123"/>
      <c r="I723" s="126"/>
      <c r="J723" s="130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hidden="1">
      <c r="A724" s="107"/>
      <c r="B724" s="138"/>
      <c r="C724" s="120"/>
      <c r="D724" s="121"/>
      <c r="E724" s="107"/>
      <c r="F724" s="122"/>
      <c r="G724" s="22"/>
      <c r="H724" s="123"/>
      <c r="I724" s="126"/>
      <c r="J724" s="130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hidden="1">
      <c r="A725" s="107"/>
      <c r="B725" s="138"/>
      <c r="C725" s="120"/>
      <c r="D725" s="121"/>
      <c r="E725" s="107"/>
      <c r="F725" s="122"/>
      <c r="G725" s="22"/>
      <c r="H725" s="123"/>
      <c r="I725" s="126"/>
      <c r="J725" s="130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hidden="1">
      <c r="A726" s="107"/>
      <c r="B726" s="138"/>
      <c r="C726" s="120"/>
      <c r="D726" s="121"/>
      <c r="E726" s="107"/>
      <c r="F726" s="122"/>
      <c r="G726" s="22"/>
      <c r="H726" s="123"/>
      <c r="I726" s="126"/>
      <c r="J726" s="130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hidden="1">
      <c r="A727" s="107"/>
      <c r="B727" s="138"/>
      <c r="C727" s="120"/>
      <c r="D727" s="121"/>
      <c r="E727" s="107"/>
      <c r="F727" s="122"/>
      <c r="G727" s="22"/>
      <c r="H727" s="123"/>
      <c r="I727" s="126"/>
      <c r="J727" s="130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hidden="1">
      <c r="A728" s="107"/>
      <c r="B728" s="138"/>
      <c r="C728" s="120"/>
      <c r="D728" s="121"/>
      <c r="E728" s="107"/>
      <c r="F728" s="122"/>
      <c r="G728" s="22"/>
      <c r="H728" s="123"/>
      <c r="I728" s="126"/>
      <c r="J728" s="130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hidden="1">
      <c r="A729" s="107"/>
      <c r="B729" s="138"/>
      <c r="C729" s="120"/>
      <c r="D729" s="121"/>
      <c r="E729" s="107"/>
      <c r="F729" s="122"/>
      <c r="G729" s="22"/>
      <c r="H729" s="123"/>
      <c r="I729" s="126"/>
      <c r="J729" s="130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hidden="1">
      <c r="A730" s="107"/>
      <c r="B730" s="138"/>
      <c r="C730" s="120"/>
      <c r="D730" s="121"/>
      <c r="E730" s="107"/>
      <c r="F730" s="122"/>
      <c r="G730" s="22"/>
      <c r="H730" s="123"/>
      <c r="I730" s="126"/>
      <c r="J730" s="130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hidden="1">
      <c r="A731" s="107"/>
      <c r="B731" s="138"/>
      <c r="C731" s="120"/>
      <c r="D731" s="121"/>
      <c r="E731" s="107"/>
      <c r="F731" s="122"/>
      <c r="G731" s="22"/>
      <c r="H731" s="123"/>
      <c r="I731" s="126"/>
      <c r="J731" s="130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hidden="1">
      <c r="A732" s="107"/>
      <c r="B732" s="138"/>
      <c r="C732" s="120"/>
      <c r="D732" s="121"/>
      <c r="E732" s="107"/>
      <c r="F732" s="122"/>
      <c r="G732" s="22"/>
      <c r="H732" s="123"/>
      <c r="I732" s="126"/>
      <c r="J732" s="130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hidden="1">
      <c r="A733" s="107"/>
      <c r="B733" s="138"/>
      <c r="C733" s="120"/>
      <c r="D733" s="121"/>
      <c r="E733" s="107"/>
      <c r="F733" s="122"/>
      <c r="G733" s="22"/>
      <c r="H733" s="123"/>
      <c r="I733" s="126"/>
      <c r="J733" s="130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hidden="1">
      <c r="A734" s="107"/>
      <c r="B734" s="138"/>
      <c r="C734" s="120"/>
      <c r="D734" s="121"/>
      <c r="E734" s="107"/>
      <c r="F734" s="122"/>
      <c r="G734" s="22"/>
      <c r="H734" s="123"/>
      <c r="I734" s="126"/>
      <c r="J734" s="130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hidden="1">
      <c r="A735" s="107"/>
      <c r="B735" s="138"/>
      <c r="C735" s="120"/>
      <c r="D735" s="121"/>
      <c r="E735" s="107"/>
      <c r="F735" s="122"/>
      <c r="G735" s="22"/>
      <c r="H735" s="123"/>
      <c r="I735" s="126"/>
      <c r="J735" s="130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hidden="1">
      <c r="A736" s="107"/>
      <c r="B736" s="138"/>
      <c r="C736" s="120"/>
      <c r="D736" s="121"/>
      <c r="E736" s="107"/>
      <c r="F736" s="122"/>
      <c r="G736" s="22"/>
      <c r="H736" s="123"/>
      <c r="I736" s="126"/>
      <c r="J736" s="130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hidden="1">
      <c r="A737" s="107"/>
      <c r="B737" s="138"/>
      <c r="C737" s="120"/>
      <c r="D737" s="121"/>
      <c r="E737" s="107"/>
      <c r="F737" s="122"/>
      <c r="G737" s="22"/>
      <c r="H737" s="123"/>
      <c r="I737" s="126"/>
      <c r="J737" s="130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hidden="1">
      <c r="A738" s="107"/>
      <c r="B738" s="138"/>
      <c r="C738" s="120"/>
      <c r="D738" s="121"/>
      <c r="E738" s="107"/>
      <c r="F738" s="122"/>
      <c r="G738" s="22"/>
      <c r="H738" s="123"/>
      <c r="I738" s="126"/>
      <c r="J738" s="130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hidden="1">
      <c r="A739" s="107"/>
      <c r="B739" s="138"/>
      <c r="C739" s="120"/>
      <c r="D739" s="121"/>
      <c r="E739" s="107"/>
      <c r="F739" s="122"/>
      <c r="G739" s="22"/>
      <c r="H739" s="123"/>
      <c r="I739" s="126"/>
      <c r="J739" s="130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hidden="1">
      <c r="A740" s="107"/>
      <c r="B740" s="138"/>
      <c r="C740" s="120"/>
      <c r="D740" s="121"/>
      <c r="E740" s="107"/>
      <c r="F740" s="122"/>
      <c r="G740" s="22"/>
      <c r="H740" s="123"/>
      <c r="I740" s="126"/>
      <c r="J740" s="130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hidden="1">
      <c r="A741" s="107"/>
      <c r="B741" s="138"/>
      <c r="C741" s="120"/>
      <c r="D741" s="121"/>
      <c r="E741" s="107"/>
      <c r="F741" s="122"/>
      <c r="G741" s="22"/>
      <c r="H741" s="123"/>
      <c r="I741" s="126"/>
      <c r="J741" s="130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hidden="1">
      <c r="A742" s="107"/>
      <c r="B742" s="138"/>
      <c r="C742" s="120"/>
      <c r="D742" s="121"/>
      <c r="E742" s="107"/>
      <c r="F742" s="122"/>
      <c r="G742" s="22"/>
      <c r="H742" s="123"/>
      <c r="I742" s="126"/>
      <c r="J742" s="130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hidden="1">
      <c r="A743" s="107"/>
      <c r="B743" s="138"/>
      <c r="C743" s="120"/>
      <c r="D743" s="121"/>
      <c r="E743" s="107"/>
      <c r="F743" s="122"/>
      <c r="G743" s="22"/>
      <c r="H743" s="123"/>
      <c r="I743" s="126"/>
      <c r="J743" s="130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hidden="1">
      <c r="A744" s="107"/>
      <c r="B744" s="138"/>
      <c r="C744" s="120"/>
      <c r="D744" s="121"/>
      <c r="E744" s="107"/>
      <c r="F744" s="122"/>
      <c r="G744" s="22"/>
      <c r="H744" s="123"/>
      <c r="I744" s="126"/>
      <c r="J744" s="130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hidden="1">
      <c r="A745" s="107"/>
      <c r="B745" s="138"/>
      <c r="C745" s="120"/>
      <c r="D745" s="121"/>
      <c r="E745" s="107"/>
      <c r="F745" s="122"/>
      <c r="G745" s="22"/>
      <c r="H745" s="123"/>
      <c r="I745" s="126"/>
      <c r="J745" s="130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hidden="1">
      <c r="A746" s="107"/>
      <c r="B746" s="138"/>
      <c r="C746" s="120"/>
      <c r="D746" s="121"/>
      <c r="E746" s="107"/>
      <c r="F746" s="122"/>
      <c r="G746" s="22"/>
      <c r="H746" s="123"/>
      <c r="I746" s="126"/>
      <c r="J746" s="130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hidden="1">
      <c r="A747" s="107"/>
      <c r="B747" s="138"/>
      <c r="C747" s="120"/>
      <c r="D747" s="121"/>
      <c r="E747" s="107"/>
      <c r="F747" s="122"/>
      <c r="G747" s="22"/>
      <c r="H747" s="123"/>
      <c r="I747" s="126"/>
      <c r="J747" s="130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hidden="1">
      <c r="A748" s="107"/>
      <c r="B748" s="138"/>
      <c r="C748" s="120"/>
      <c r="D748" s="121"/>
      <c r="E748" s="107"/>
      <c r="F748" s="122"/>
      <c r="G748" s="22"/>
      <c r="H748" s="123"/>
      <c r="I748" s="126"/>
      <c r="J748" s="130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hidden="1">
      <c r="A749" s="107"/>
      <c r="B749" s="138"/>
      <c r="C749" s="120"/>
      <c r="D749" s="121"/>
      <c r="E749" s="107"/>
      <c r="F749" s="122"/>
      <c r="G749" s="22"/>
      <c r="H749" s="123"/>
      <c r="I749" s="126"/>
      <c r="J749" s="130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hidden="1">
      <c r="A750" s="107"/>
      <c r="B750" s="138"/>
      <c r="C750" s="120"/>
      <c r="D750" s="121"/>
      <c r="E750" s="107"/>
      <c r="F750" s="122"/>
      <c r="G750" s="22"/>
      <c r="H750" s="123"/>
      <c r="I750" s="126"/>
      <c r="J750" s="130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hidden="1">
      <c r="A751" s="107"/>
      <c r="B751" s="138"/>
      <c r="C751" s="120"/>
      <c r="D751" s="121"/>
      <c r="E751" s="107"/>
      <c r="F751" s="122"/>
      <c r="G751" s="22"/>
      <c r="H751" s="123"/>
      <c r="I751" s="126"/>
      <c r="J751" s="130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hidden="1">
      <c r="A752" s="107"/>
      <c r="B752" s="138"/>
      <c r="C752" s="120"/>
      <c r="D752" s="121"/>
      <c r="E752" s="107"/>
      <c r="F752" s="122"/>
      <c r="G752" s="22"/>
      <c r="H752" s="123"/>
      <c r="I752" s="126"/>
      <c r="J752" s="130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hidden="1">
      <c r="A753" s="107"/>
      <c r="B753" s="138"/>
      <c r="C753" s="120"/>
      <c r="D753" s="121"/>
      <c r="E753" s="107"/>
      <c r="F753" s="122"/>
      <c r="G753" s="22"/>
      <c r="H753" s="123"/>
      <c r="I753" s="126"/>
      <c r="J753" s="130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hidden="1">
      <c r="A754" s="107"/>
      <c r="B754" s="138"/>
      <c r="C754" s="120"/>
      <c r="D754" s="121"/>
      <c r="E754" s="107"/>
      <c r="F754" s="122"/>
      <c r="G754" s="22"/>
      <c r="H754" s="123"/>
      <c r="I754" s="126"/>
      <c r="J754" s="130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hidden="1">
      <c r="A755" s="107"/>
      <c r="B755" s="138"/>
      <c r="C755" s="120"/>
      <c r="D755" s="121"/>
      <c r="E755" s="107"/>
      <c r="F755" s="122"/>
      <c r="G755" s="22"/>
      <c r="H755" s="123"/>
      <c r="I755" s="126"/>
      <c r="J755" s="130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hidden="1">
      <c r="A756" s="107"/>
      <c r="B756" s="138"/>
      <c r="C756" s="120"/>
      <c r="D756" s="121"/>
      <c r="E756" s="107"/>
      <c r="F756" s="122"/>
      <c r="G756" s="22"/>
      <c r="H756" s="123"/>
      <c r="I756" s="126"/>
      <c r="J756" s="130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hidden="1">
      <c r="A757" s="107"/>
      <c r="B757" s="138"/>
      <c r="C757" s="120"/>
      <c r="D757" s="121"/>
      <c r="E757" s="107"/>
      <c r="F757" s="122"/>
      <c r="G757" s="22"/>
      <c r="H757" s="123"/>
      <c r="I757" s="126"/>
      <c r="J757" s="130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hidden="1">
      <c r="A758" s="107"/>
      <c r="B758" s="138"/>
      <c r="C758" s="120"/>
      <c r="D758" s="121"/>
      <c r="E758" s="107"/>
      <c r="F758" s="122"/>
      <c r="G758" s="22"/>
      <c r="H758" s="123"/>
      <c r="I758" s="126"/>
      <c r="J758" s="130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hidden="1">
      <c r="A759" s="107"/>
      <c r="B759" s="138"/>
      <c r="C759" s="120"/>
      <c r="D759" s="121"/>
      <c r="E759" s="107"/>
      <c r="F759" s="122"/>
      <c r="G759" s="22"/>
      <c r="H759" s="123"/>
      <c r="I759" s="126"/>
      <c r="J759" s="130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hidden="1">
      <c r="A760" s="107"/>
      <c r="B760" s="138"/>
      <c r="C760" s="120"/>
      <c r="D760" s="121"/>
      <c r="E760" s="107"/>
      <c r="F760" s="122"/>
      <c r="G760" s="22"/>
      <c r="H760" s="123"/>
      <c r="I760" s="126"/>
      <c r="J760" s="130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hidden="1">
      <c r="A761" s="107"/>
      <c r="B761" s="138"/>
      <c r="C761" s="120"/>
      <c r="D761" s="121"/>
      <c r="E761" s="107"/>
      <c r="F761" s="122"/>
      <c r="G761" s="22"/>
      <c r="H761" s="123"/>
      <c r="I761" s="126"/>
      <c r="J761" s="130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hidden="1">
      <c r="A762" s="107"/>
      <c r="B762" s="138"/>
      <c r="C762" s="120"/>
      <c r="D762" s="121"/>
      <c r="E762" s="107"/>
      <c r="F762" s="122"/>
      <c r="G762" s="22"/>
      <c r="H762" s="123"/>
      <c r="I762" s="126"/>
      <c r="J762" s="130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hidden="1">
      <c r="A763" s="107"/>
      <c r="B763" s="138"/>
      <c r="C763" s="120"/>
      <c r="D763" s="121"/>
      <c r="E763" s="107"/>
      <c r="F763" s="122"/>
      <c r="G763" s="22"/>
      <c r="H763" s="123"/>
      <c r="I763" s="126"/>
      <c r="J763" s="130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hidden="1">
      <c r="A764" s="107"/>
      <c r="B764" s="138"/>
      <c r="C764" s="120"/>
      <c r="D764" s="121"/>
      <c r="E764" s="107"/>
      <c r="F764" s="122"/>
      <c r="G764" s="22"/>
      <c r="H764" s="123"/>
      <c r="I764" s="126"/>
      <c r="J764" s="130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hidden="1">
      <c r="A765" s="107"/>
      <c r="B765" s="138"/>
      <c r="C765" s="120"/>
      <c r="D765" s="121"/>
      <c r="E765" s="107"/>
      <c r="F765" s="122"/>
      <c r="G765" s="22"/>
      <c r="H765" s="123"/>
      <c r="I765" s="126"/>
      <c r="J765" s="130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hidden="1">
      <c r="A766" s="107"/>
      <c r="B766" s="138"/>
      <c r="C766" s="120"/>
      <c r="D766" s="121"/>
      <c r="E766" s="107"/>
      <c r="F766" s="122"/>
      <c r="G766" s="22"/>
      <c r="H766" s="123"/>
      <c r="I766" s="126"/>
      <c r="J766" s="130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hidden="1">
      <c r="A767" s="107"/>
      <c r="B767" s="138"/>
      <c r="C767" s="120"/>
      <c r="D767" s="121"/>
      <c r="E767" s="107"/>
      <c r="F767" s="122"/>
      <c r="G767" s="22"/>
      <c r="H767" s="123"/>
      <c r="I767" s="126"/>
      <c r="J767" s="130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hidden="1">
      <c r="A768" s="107"/>
      <c r="B768" s="138"/>
      <c r="C768" s="120"/>
      <c r="D768" s="121"/>
      <c r="E768" s="107"/>
      <c r="F768" s="122"/>
      <c r="G768" s="22"/>
      <c r="H768" s="123"/>
      <c r="I768" s="126"/>
      <c r="J768" s="130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hidden="1">
      <c r="A769" s="107"/>
      <c r="B769" s="138"/>
      <c r="C769" s="120"/>
      <c r="D769" s="121"/>
      <c r="E769" s="107"/>
      <c r="F769" s="122"/>
      <c r="G769" s="22"/>
      <c r="H769" s="123"/>
      <c r="I769" s="126"/>
      <c r="J769" s="130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hidden="1">
      <c r="A770" s="107"/>
      <c r="B770" s="138"/>
      <c r="C770" s="120"/>
      <c r="D770" s="121"/>
      <c r="E770" s="107"/>
      <c r="F770" s="122"/>
      <c r="G770" s="22"/>
      <c r="H770" s="123"/>
      <c r="I770" s="126"/>
      <c r="J770" s="130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hidden="1">
      <c r="A771" s="107"/>
      <c r="B771" s="138"/>
      <c r="C771" s="120"/>
      <c r="D771" s="121"/>
      <c r="E771" s="107"/>
      <c r="F771" s="122"/>
      <c r="G771" s="22"/>
      <c r="H771" s="123"/>
      <c r="I771" s="126"/>
      <c r="J771" s="130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hidden="1">
      <c r="A772" s="107"/>
      <c r="B772" s="138"/>
      <c r="C772" s="120"/>
      <c r="D772" s="121"/>
      <c r="E772" s="107"/>
      <c r="F772" s="122"/>
      <c r="G772" s="22"/>
      <c r="H772" s="123"/>
      <c r="I772" s="126"/>
      <c r="J772" s="130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hidden="1">
      <c r="A773" s="107"/>
      <c r="B773" s="138"/>
      <c r="C773" s="120"/>
      <c r="D773" s="121"/>
      <c r="E773" s="107"/>
      <c r="F773" s="122"/>
      <c r="G773" s="22"/>
      <c r="H773" s="123"/>
      <c r="I773" s="126"/>
      <c r="J773" s="130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hidden="1">
      <c r="A774" s="107"/>
      <c r="B774" s="138"/>
      <c r="C774" s="120"/>
      <c r="D774" s="121"/>
      <c r="E774" s="107"/>
      <c r="F774" s="122"/>
      <c r="G774" s="22"/>
      <c r="H774" s="123"/>
      <c r="I774" s="126"/>
      <c r="J774" s="130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hidden="1">
      <c r="A775" s="107"/>
      <c r="B775" s="138"/>
      <c r="C775" s="120"/>
      <c r="D775" s="121"/>
      <c r="E775" s="107"/>
      <c r="F775" s="122"/>
      <c r="G775" s="22"/>
      <c r="H775" s="123"/>
      <c r="I775" s="126"/>
      <c r="J775" s="130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hidden="1">
      <c r="A776" s="107"/>
      <c r="B776" s="138"/>
      <c r="C776" s="120"/>
      <c r="D776" s="121"/>
      <c r="E776" s="107"/>
      <c r="F776" s="122"/>
      <c r="G776" s="22"/>
      <c r="H776" s="123"/>
      <c r="I776" s="126"/>
      <c r="J776" s="130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hidden="1">
      <c r="A777" s="107"/>
      <c r="B777" s="138"/>
      <c r="C777" s="120"/>
      <c r="D777" s="121"/>
      <c r="E777" s="107"/>
      <c r="F777" s="122"/>
      <c r="G777" s="22"/>
      <c r="H777" s="123"/>
      <c r="I777" s="126"/>
      <c r="J777" s="130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hidden="1">
      <c r="A778" s="107"/>
      <c r="B778" s="138"/>
      <c r="C778" s="120"/>
      <c r="D778" s="121"/>
      <c r="E778" s="107"/>
      <c r="F778" s="122"/>
      <c r="G778" s="22"/>
      <c r="H778" s="123"/>
      <c r="I778" s="126"/>
      <c r="J778" s="130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hidden="1">
      <c r="A779" s="107"/>
      <c r="B779" s="138"/>
      <c r="C779" s="120"/>
      <c r="D779" s="121"/>
      <c r="E779" s="107"/>
      <c r="F779" s="122"/>
      <c r="G779" s="22"/>
      <c r="H779" s="123"/>
      <c r="I779" s="126"/>
      <c r="J779" s="130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hidden="1">
      <c r="A780" s="107"/>
      <c r="B780" s="138"/>
      <c r="C780" s="120"/>
      <c r="D780" s="121"/>
      <c r="E780" s="107"/>
      <c r="F780" s="122"/>
      <c r="G780" s="22"/>
      <c r="H780" s="123"/>
      <c r="I780" s="126"/>
      <c r="J780" s="130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hidden="1">
      <c r="A781" s="107"/>
      <c r="B781" s="138"/>
      <c r="C781" s="120"/>
      <c r="D781" s="121"/>
      <c r="E781" s="107"/>
      <c r="F781" s="122"/>
      <c r="G781" s="22"/>
      <c r="H781" s="123"/>
      <c r="I781" s="126"/>
      <c r="J781" s="130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hidden="1">
      <c r="A782" s="107"/>
      <c r="B782" s="138"/>
      <c r="C782" s="120"/>
      <c r="D782" s="121"/>
      <c r="E782" s="107"/>
      <c r="F782" s="122"/>
      <c r="G782" s="22"/>
      <c r="H782" s="123"/>
      <c r="I782" s="126"/>
      <c r="J782" s="130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hidden="1">
      <c r="A783" s="107"/>
      <c r="B783" s="138"/>
      <c r="C783" s="120"/>
      <c r="D783" s="121"/>
      <c r="E783" s="107"/>
      <c r="F783" s="122"/>
      <c r="G783" s="22"/>
      <c r="H783" s="123"/>
      <c r="I783" s="126"/>
      <c r="J783" s="130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hidden="1">
      <c r="A784" s="107"/>
      <c r="B784" s="138"/>
      <c r="C784" s="120"/>
      <c r="D784" s="121"/>
      <c r="E784" s="107"/>
      <c r="F784" s="122"/>
      <c r="G784" s="22"/>
      <c r="H784" s="123"/>
      <c r="I784" s="126"/>
      <c r="J784" s="130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hidden="1">
      <c r="A785" s="107"/>
      <c r="B785" s="138"/>
      <c r="C785" s="120"/>
      <c r="D785" s="121"/>
      <c r="E785" s="107"/>
      <c r="F785" s="122"/>
      <c r="G785" s="22"/>
      <c r="H785" s="123"/>
      <c r="I785" s="126"/>
      <c r="J785" s="130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hidden="1">
      <c r="A786" s="107"/>
      <c r="B786" s="138"/>
      <c r="C786" s="120"/>
      <c r="D786" s="121"/>
      <c r="E786" s="107"/>
      <c r="F786" s="122"/>
      <c r="G786" s="22"/>
      <c r="H786" s="123"/>
      <c r="I786" s="126"/>
      <c r="J786" s="130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hidden="1">
      <c r="A787" s="107"/>
      <c r="B787" s="138"/>
      <c r="C787" s="120"/>
      <c r="D787" s="121"/>
      <c r="E787" s="107"/>
      <c r="F787" s="122"/>
      <c r="G787" s="22"/>
      <c r="H787" s="123"/>
      <c r="I787" s="126"/>
      <c r="J787" s="130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hidden="1">
      <c r="A788" s="107"/>
      <c r="B788" s="138"/>
      <c r="C788" s="120"/>
      <c r="D788" s="121"/>
      <c r="E788" s="107"/>
      <c r="F788" s="122"/>
      <c r="G788" s="22"/>
      <c r="H788" s="123"/>
      <c r="I788" s="126"/>
      <c r="J788" s="130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hidden="1">
      <c r="A789" s="107"/>
      <c r="B789" s="138"/>
      <c r="C789" s="120"/>
      <c r="D789" s="121"/>
      <c r="E789" s="107"/>
      <c r="F789" s="122"/>
      <c r="G789" s="22"/>
      <c r="H789" s="123"/>
      <c r="I789" s="126"/>
      <c r="J789" s="130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hidden="1">
      <c r="A790" s="107"/>
      <c r="B790" s="138"/>
      <c r="C790" s="120"/>
      <c r="D790" s="121"/>
      <c r="E790" s="107"/>
      <c r="F790" s="122"/>
      <c r="G790" s="22"/>
      <c r="H790" s="123"/>
      <c r="I790" s="126"/>
      <c r="J790" s="130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hidden="1">
      <c r="A791" s="107"/>
      <c r="B791" s="138"/>
      <c r="C791" s="120"/>
      <c r="D791" s="121"/>
      <c r="E791" s="107"/>
      <c r="F791" s="122"/>
      <c r="G791" s="22"/>
      <c r="H791" s="123"/>
      <c r="I791" s="126"/>
      <c r="J791" s="130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hidden="1">
      <c r="A792" s="107"/>
      <c r="B792" s="138"/>
      <c r="C792" s="120"/>
      <c r="D792" s="121"/>
      <c r="E792" s="107"/>
      <c r="F792" s="122"/>
      <c r="G792" s="22"/>
      <c r="H792" s="123"/>
      <c r="I792" s="126"/>
      <c r="J792" s="130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hidden="1">
      <c r="A793" s="107"/>
      <c r="B793" s="138"/>
      <c r="C793" s="120"/>
      <c r="D793" s="121"/>
      <c r="E793" s="107"/>
      <c r="F793" s="122"/>
      <c r="G793" s="22"/>
      <c r="H793" s="123"/>
      <c r="I793" s="126"/>
      <c r="J793" s="130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hidden="1">
      <c r="A794" s="107"/>
      <c r="B794" s="138"/>
      <c r="C794" s="120"/>
      <c r="D794" s="121"/>
      <c r="E794" s="107"/>
      <c r="F794" s="122"/>
      <c r="G794" s="22"/>
      <c r="H794" s="123"/>
      <c r="I794" s="126"/>
      <c r="J794" s="130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hidden="1">
      <c r="A795" s="107"/>
      <c r="B795" s="138"/>
      <c r="C795" s="120"/>
      <c r="D795" s="121"/>
      <c r="E795" s="107"/>
      <c r="F795" s="122"/>
      <c r="G795" s="22"/>
      <c r="H795" s="123"/>
      <c r="I795" s="126"/>
      <c r="J795" s="130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hidden="1">
      <c r="A796" s="107"/>
      <c r="B796" s="138"/>
      <c r="C796" s="120"/>
      <c r="D796" s="121"/>
      <c r="E796" s="107"/>
      <c r="F796" s="122"/>
      <c r="G796" s="22"/>
      <c r="H796" s="123"/>
      <c r="I796" s="126"/>
      <c r="J796" s="130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hidden="1">
      <c r="A797" s="107"/>
      <c r="B797" s="138"/>
      <c r="C797" s="120"/>
      <c r="D797" s="121"/>
      <c r="E797" s="107"/>
      <c r="F797" s="122"/>
      <c r="G797" s="22"/>
      <c r="H797" s="123"/>
      <c r="I797" s="126"/>
      <c r="J797" s="130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hidden="1">
      <c r="A798" s="107"/>
      <c r="B798" s="138"/>
      <c r="C798" s="120"/>
      <c r="D798" s="121"/>
      <c r="E798" s="107"/>
      <c r="F798" s="122"/>
      <c r="G798" s="22"/>
      <c r="H798" s="123"/>
      <c r="I798" s="126"/>
      <c r="J798" s="130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hidden="1">
      <c r="A799" s="107"/>
      <c r="B799" s="138"/>
      <c r="C799" s="120"/>
      <c r="D799" s="121"/>
      <c r="E799" s="107"/>
      <c r="F799" s="122"/>
      <c r="G799" s="22"/>
      <c r="H799" s="123"/>
      <c r="I799" s="126"/>
      <c r="J799" s="130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hidden="1">
      <c r="A800" s="107"/>
      <c r="B800" s="138"/>
      <c r="C800" s="120"/>
      <c r="D800" s="121"/>
      <c r="E800" s="107"/>
      <c r="F800" s="122"/>
      <c r="G800" s="22"/>
      <c r="H800" s="123"/>
      <c r="I800" s="126"/>
      <c r="J800" s="130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hidden="1">
      <c r="A801" s="107"/>
      <c r="B801" s="138"/>
      <c r="C801" s="120"/>
      <c r="D801" s="121"/>
      <c r="E801" s="107"/>
      <c r="F801" s="122"/>
      <c r="G801" s="22"/>
      <c r="H801" s="123"/>
      <c r="I801" s="126"/>
      <c r="J801" s="130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hidden="1">
      <c r="A802" s="107"/>
      <c r="B802" s="138"/>
      <c r="C802" s="120"/>
      <c r="D802" s="121"/>
      <c r="E802" s="107"/>
      <c r="F802" s="122"/>
      <c r="G802" s="22"/>
      <c r="H802" s="123"/>
      <c r="I802" s="126"/>
      <c r="J802" s="130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hidden="1">
      <c r="A803" s="107"/>
      <c r="B803" s="138"/>
      <c r="C803" s="120"/>
      <c r="D803" s="121"/>
      <c r="E803" s="107"/>
      <c r="F803" s="122"/>
      <c r="G803" s="22"/>
      <c r="H803" s="123"/>
      <c r="I803" s="126"/>
      <c r="J803" s="130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hidden="1">
      <c r="A804" s="107"/>
      <c r="B804" s="138"/>
      <c r="C804" s="120"/>
      <c r="D804" s="121"/>
      <c r="E804" s="107"/>
      <c r="F804" s="122"/>
      <c r="G804" s="22"/>
      <c r="H804" s="123"/>
      <c r="I804" s="126"/>
      <c r="J804" s="130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hidden="1">
      <c r="A805" s="107"/>
      <c r="B805" s="138"/>
      <c r="C805" s="120"/>
      <c r="D805" s="121"/>
      <c r="E805" s="107"/>
      <c r="F805" s="122"/>
      <c r="G805" s="22"/>
      <c r="H805" s="123"/>
      <c r="I805" s="126"/>
      <c r="J805" s="130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hidden="1">
      <c r="A806" s="107"/>
      <c r="B806" s="138"/>
      <c r="C806" s="120"/>
      <c r="D806" s="121"/>
      <c r="E806" s="107"/>
      <c r="F806" s="122"/>
      <c r="G806" s="22"/>
      <c r="H806" s="123"/>
      <c r="I806" s="126"/>
      <c r="J806" s="130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hidden="1">
      <c r="A807" s="107"/>
      <c r="B807" s="138"/>
      <c r="C807" s="120"/>
      <c r="D807" s="121"/>
      <c r="E807" s="107"/>
      <c r="F807" s="122"/>
      <c r="G807" s="22"/>
      <c r="H807" s="123"/>
      <c r="I807" s="126"/>
      <c r="J807" s="130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hidden="1">
      <c r="A808" s="107"/>
      <c r="B808" s="138"/>
      <c r="C808" s="120"/>
      <c r="D808" s="121"/>
      <c r="E808" s="107"/>
      <c r="F808" s="122"/>
      <c r="G808" s="22"/>
      <c r="H808" s="123"/>
      <c r="I808" s="126"/>
      <c r="J808" s="130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hidden="1">
      <c r="A809" s="107"/>
      <c r="B809" s="138"/>
      <c r="C809" s="120"/>
      <c r="D809" s="121"/>
      <c r="E809" s="107"/>
      <c r="F809" s="122"/>
      <c r="G809" s="22"/>
      <c r="H809" s="123"/>
      <c r="I809" s="126"/>
      <c r="J809" s="130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hidden="1">
      <c r="A810" s="107"/>
      <c r="B810" s="138"/>
      <c r="C810" s="120"/>
      <c r="D810" s="121"/>
      <c r="E810" s="107"/>
      <c r="F810" s="122"/>
      <c r="G810" s="22"/>
      <c r="H810" s="123"/>
      <c r="I810" s="126"/>
      <c r="J810" s="130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hidden="1">
      <c r="A811" s="107"/>
      <c r="B811" s="138"/>
      <c r="C811" s="120"/>
      <c r="D811" s="121"/>
      <c r="E811" s="107"/>
      <c r="F811" s="122"/>
      <c r="G811" s="22"/>
      <c r="H811" s="123"/>
      <c r="I811" s="126"/>
      <c r="J811" s="130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hidden="1">
      <c r="A812" s="107"/>
      <c r="B812" s="138"/>
      <c r="C812" s="120"/>
      <c r="D812" s="121"/>
      <c r="E812" s="107"/>
      <c r="F812" s="122"/>
      <c r="G812" s="22"/>
      <c r="H812" s="123"/>
      <c r="I812" s="126"/>
      <c r="J812" s="130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hidden="1">
      <c r="A813" s="107"/>
      <c r="B813" s="138"/>
      <c r="C813" s="120"/>
      <c r="D813" s="121"/>
      <c r="E813" s="107"/>
      <c r="F813" s="122"/>
      <c r="G813" s="22"/>
      <c r="H813" s="123"/>
      <c r="I813" s="126"/>
      <c r="J813" s="130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hidden="1">
      <c r="A814" s="107"/>
      <c r="B814" s="138"/>
      <c r="C814" s="120"/>
      <c r="D814" s="121"/>
      <c r="E814" s="107"/>
      <c r="F814" s="122"/>
      <c r="G814" s="22"/>
      <c r="H814" s="123"/>
      <c r="I814" s="126"/>
      <c r="J814" s="130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hidden="1">
      <c r="A815" s="107"/>
      <c r="B815" s="138"/>
      <c r="C815" s="120"/>
      <c r="D815" s="121"/>
      <c r="E815" s="107"/>
      <c r="F815" s="122"/>
      <c r="G815" s="22"/>
      <c r="H815" s="123"/>
      <c r="I815" s="126"/>
      <c r="J815" s="130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hidden="1">
      <c r="A816" s="107"/>
      <c r="B816" s="138"/>
      <c r="C816" s="120"/>
      <c r="D816" s="121"/>
      <c r="E816" s="107"/>
      <c r="F816" s="122"/>
      <c r="G816" s="22"/>
      <c r="H816" s="123"/>
      <c r="I816" s="126"/>
      <c r="J816" s="130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hidden="1">
      <c r="A817" s="107"/>
      <c r="B817" s="138"/>
      <c r="C817" s="120"/>
      <c r="D817" s="121"/>
      <c r="E817" s="107"/>
      <c r="F817" s="122"/>
      <c r="G817" s="22"/>
      <c r="H817" s="123"/>
      <c r="I817" s="126"/>
      <c r="J817" s="130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hidden="1">
      <c r="A818" s="107"/>
      <c r="B818" s="138"/>
      <c r="C818" s="120"/>
      <c r="D818" s="121"/>
      <c r="E818" s="107"/>
      <c r="F818" s="122"/>
      <c r="G818" s="22"/>
      <c r="H818" s="123"/>
      <c r="I818" s="126"/>
      <c r="J818" s="130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hidden="1">
      <c r="A819" s="107"/>
      <c r="B819" s="138"/>
      <c r="C819" s="120"/>
      <c r="D819" s="121"/>
      <c r="E819" s="107"/>
      <c r="F819" s="122"/>
      <c r="G819" s="22"/>
      <c r="H819" s="123"/>
      <c r="I819" s="126"/>
      <c r="J819" s="130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hidden="1">
      <c r="A820" s="107"/>
      <c r="B820" s="138"/>
      <c r="C820" s="120"/>
      <c r="D820" s="121"/>
      <c r="E820" s="107"/>
      <c r="F820" s="122"/>
      <c r="G820" s="22"/>
      <c r="H820" s="123"/>
      <c r="I820" s="126"/>
      <c r="J820" s="130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hidden="1">
      <c r="A821" s="107"/>
      <c r="B821" s="138"/>
      <c r="C821" s="120"/>
      <c r="D821" s="121"/>
      <c r="E821" s="107"/>
      <c r="F821" s="122"/>
      <c r="G821" s="22"/>
      <c r="H821" s="123"/>
      <c r="I821" s="126"/>
      <c r="J821" s="130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hidden="1">
      <c r="A822" s="107"/>
      <c r="B822" s="138"/>
      <c r="C822" s="120"/>
      <c r="D822" s="121"/>
      <c r="E822" s="107"/>
      <c r="F822" s="122"/>
      <c r="G822" s="22"/>
      <c r="H822" s="123"/>
      <c r="I822" s="126"/>
      <c r="J822" s="130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hidden="1">
      <c r="A823" s="107"/>
      <c r="B823" s="138"/>
      <c r="C823" s="120"/>
      <c r="D823" s="121"/>
      <c r="E823" s="107"/>
      <c r="F823" s="122"/>
      <c r="G823" s="22"/>
      <c r="H823" s="123"/>
      <c r="I823" s="126"/>
      <c r="J823" s="130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hidden="1">
      <c r="A824" s="107"/>
      <c r="B824" s="138"/>
      <c r="C824" s="120"/>
      <c r="D824" s="121"/>
      <c r="E824" s="107"/>
      <c r="F824" s="122"/>
      <c r="G824" s="22"/>
      <c r="H824" s="123"/>
      <c r="I824" s="126"/>
      <c r="J824" s="130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hidden="1">
      <c r="A825" s="107"/>
      <c r="B825" s="138"/>
      <c r="C825" s="120"/>
      <c r="D825" s="121"/>
      <c r="E825" s="107"/>
      <c r="F825" s="122"/>
      <c r="G825" s="22"/>
      <c r="H825" s="123"/>
      <c r="I825" s="126"/>
      <c r="J825" s="130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hidden="1">
      <c r="A826" s="107"/>
      <c r="B826" s="138"/>
      <c r="C826" s="120"/>
      <c r="D826" s="121"/>
      <c r="E826" s="107"/>
      <c r="F826" s="122"/>
      <c r="G826" s="22"/>
      <c r="H826" s="123"/>
      <c r="I826" s="126"/>
      <c r="J826" s="130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hidden="1">
      <c r="A827" s="107"/>
      <c r="B827" s="138"/>
      <c r="C827" s="120"/>
      <c r="D827" s="121"/>
      <c r="E827" s="107"/>
      <c r="F827" s="122"/>
      <c r="G827" s="22"/>
      <c r="H827" s="123"/>
      <c r="I827" s="126"/>
      <c r="J827" s="130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hidden="1">
      <c r="A828" s="107"/>
      <c r="B828" s="138"/>
      <c r="C828" s="120"/>
      <c r="D828" s="121"/>
      <c r="E828" s="107"/>
      <c r="F828" s="122"/>
      <c r="G828" s="22"/>
      <c r="H828" s="123"/>
      <c r="I828" s="126"/>
      <c r="J828" s="130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hidden="1">
      <c r="A829" s="107"/>
      <c r="B829" s="138"/>
      <c r="C829" s="120"/>
      <c r="D829" s="121"/>
      <c r="E829" s="107"/>
      <c r="F829" s="122"/>
      <c r="G829" s="22"/>
      <c r="H829" s="123"/>
      <c r="I829" s="126"/>
      <c r="J829" s="130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hidden="1">
      <c r="A830" s="107"/>
      <c r="B830" s="138"/>
      <c r="C830" s="120"/>
      <c r="D830" s="121"/>
      <c r="E830" s="107"/>
      <c r="F830" s="122"/>
      <c r="G830" s="22"/>
      <c r="H830" s="123"/>
      <c r="I830" s="126"/>
      <c r="J830" s="130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hidden="1">
      <c r="A831" s="107"/>
      <c r="B831" s="138"/>
      <c r="C831" s="120"/>
      <c r="D831" s="121"/>
      <c r="E831" s="107"/>
      <c r="F831" s="122"/>
      <c r="G831" s="22"/>
      <c r="H831" s="123"/>
      <c r="I831" s="126"/>
      <c r="J831" s="130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hidden="1">
      <c r="A832" s="107"/>
      <c r="B832" s="138"/>
      <c r="C832" s="120"/>
      <c r="D832" s="121"/>
      <c r="E832" s="107"/>
      <c r="F832" s="122"/>
      <c r="G832" s="22"/>
      <c r="H832" s="123"/>
      <c r="I832" s="126"/>
      <c r="J832" s="130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hidden="1">
      <c r="A833" s="107"/>
      <c r="B833" s="138"/>
      <c r="C833" s="120"/>
      <c r="D833" s="121"/>
      <c r="E833" s="107"/>
      <c r="F833" s="122"/>
      <c r="G833" s="22"/>
      <c r="H833" s="123"/>
      <c r="I833" s="126"/>
      <c r="J833" s="130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hidden="1">
      <c r="A834" s="107"/>
      <c r="B834" s="138"/>
      <c r="C834" s="120"/>
      <c r="D834" s="121"/>
      <c r="E834" s="107"/>
      <c r="F834" s="122"/>
      <c r="G834" s="22"/>
      <c r="H834" s="123"/>
      <c r="I834" s="126"/>
      <c r="J834" s="130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hidden="1">
      <c r="A835" s="107"/>
      <c r="B835" s="138"/>
      <c r="C835" s="120"/>
      <c r="D835" s="121"/>
      <c r="E835" s="107"/>
      <c r="F835" s="122"/>
      <c r="G835" s="22"/>
      <c r="H835" s="123"/>
      <c r="I835" s="126"/>
      <c r="J835" s="130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hidden="1">
      <c r="A836" s="107"/>
      <c r="B836" s="138"/>
      <c r="C836" s="120"/>
      <c r="D836" s="121"/>
      <c r="E836" s="107"/>
      <c r="F836" s="122"/>
      <c r="G836" s="22"/>
      <c r="H836" s="123"/>
      <c r="I836" s="126"/>
      <c r="J836" s="130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hidden="1">
      <c r="A837" s="107"/>
      <c r="B837" s="138"/>
      <c r="C837" s="120"/>
      <c r="D837" s="121"/>
      <c r="E837" s="107"/>
      <c r="F837" s="122"/>
      <c r="G837" s="22"/>
      <c r="H837" s="123"/>
      <c r="I837" s="126"/>
      <c r="J837" s="130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hidden="1">
      <c r="A838" s="107"/>
      <c r="B838" s="138"/>
      <c r="C838" s="120"/>
      <c r="D838" s="121"/>
      <c r="E838" s="107"/>
      <c r="F838" s="122"/>
      <c r="G838" s="22"/>
      <c r="H838" s="123"/>
      <c r="I838" s="126"/>
      <c r="J838" s="130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hidden="1">
      <c r="A839" s="107"/>
      <c r="B839" s="138"/>
      <c r="C839" s="120"/>
      <c r="D839" s="121"/>
      <c r="E839" s="107"/>
      <c r="F839" s="122"/>
      <c r="G839" s="22"/>
      <c r="H839" s="123"/>
      <c r="I839" s="126"/>
      <c r="J839" s="130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hidden="1">
      <c r="A840" s="107"/>
      <c r="B840" s="138"/>
      <c r="C840" s="120"/>
      <c r="D840" s="121"/>
      <c r="E840" s="107"/>
      <c r="F840" s="122"/>
      <c r="G840" s="22"/>
      <c r="H840" s="123"/>
      <c r="I840" s="126"/>
      <c r="J840" s="130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hidden="1">
      <c r="A841" s="107"/>
      <c r="B841" s="138"/>
      <c r="C841" s="120"/>
      <c r="D841" s="121"/>
      <c r="E841" s="107"/>
      <c r="F841" s="122"/>
      <c r="G841" s="22"/>
      <c r="H841" s="123"/>
      <c r="I841" s="126"/>
      <c r="J841" s="130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hidden="1">
      <c r="A842" s="107"/>
      <c r="B842" s="138"/>
      <c r="C842" s="120"/>
      <c r="D842" s="121"/>
      <c r="E842" s="107"/>
      <c r="F842" s="122"/>
      <c r="G842" s="22"/>
      <c r="H842" s="123"/>
      <c r="I842" s="126"/>
      <c r="J842" s="130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hidden="1">
      <c r="A843" s="107"/>
      <c r="B843" s="138"/>
      <c r="C843" s="120"/>
      <c r="D843" s="121"/>
      <c r="E843" s="107"/>
      <c r="F843" s="122"/>
      <c r="G843" s="22"/>
      <c r="H843" s="123"/>
      <c r="I843" s="126"/>
      <c r="J843" s="130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hidden="1">
      <c r="A844" s="107"/>
      <c r="B844" s="138"/>
      <c r="C844" s="120"/>
      <c r="D844" s="121"/>
      <c r="E844" s="107"/>
      <c r="F844" s="122"/>
      <c r="G844" s="22"/>
      <c r="H844" s="123"/>
      <c r="I844" s="126"/>
      <c r="J844" s="130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hidden="1">
      <c r="A845" s="107"/>
      <c r="B845" s="138"/>
      <c r="C845" s="120"/>
      <c r="D845" s="121"/>
      <c r="E845" s="107"/>
      <c r="F845" s="122"/>
      <c r="G845" s="22"/>
      <c r="H845" s="123"/>
      <c r="I845" s="126"/>
      <c r="J845" s="130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hidden="1">
      <c r="A846" s="107"/>
      <c r="B846" s="138"/>
      <c r="C846" s="120"/>
      <c r="D846" s="121"/>
      <c r="E846" s="107"/>
      <c r="F846" s="122"/>
      <c r="G846" s="22"/>
      <c r="H846" s="123"/>
      <c r="I846" s="126"/>
      <c r="J846" s="130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hidden="1">
      <c r="A847" s="107"/>
      <c r="B847" s="138"/>
      <c r="C847" s="120"/>
      <c r="D847" s="121"/>
      <c r="E847" s="107"/>
      <c r="F847" s="122"/>
      <c r="G847" s="22"/>
      <c r="H847" s="123"/>
      <c r="I847" s="126"/>
      <c r="J847" s="130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hidden="1">
      <c r="A848" s="107"/>
      <c r="B848" s="138"/>
      <c r="C848" s="120"/>
      <c r="D848" s="121"/>
      <c r="E848" s="107"/>
      <c r="F848" s="122"/>
      <c r="G848" s="22"/>
      <c r="H848" s="123"/>
      <c r="I848" s="126"/>
      <c r="J848" s="130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hidden="1">
      <c r="A849" s="107"/>
      <c r="B849" s="138"/>
      <c r="C849" s="120"/>
      <c r="D849" s="121"/>
      <c r="E849" s="107"/>
      <c r="F849" s="122"/>
      <c r="G849" s="22"/>
      <c r="H849" s="123"/>
      <c r="I849" s="126"/>
      <c r="J849" s="130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hidden="1">
      <c r="A850" s="107"/>
      <c r="B850" s="138"/>
      <c r="C850" s="120"/>
      <c r="D850" s="121"/>
      <c r="E850" s="107"/>
      <c r="F850" s="122"/>
      <c r="G850" s="22"/>
      <c r="H850" s="123"/>
      <c r="I850" s="126"/>
      <c r="J850" s="130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hidden="1">
      <c r="A851" s="107"/>
      <c r="B851" s="138"/>
      <c r="C851" s="120"/>
      <c r="D851" s="121"/>
      <c r="E851" s="107"/>
      <c r="F851" s="122"/>
      <c r="G851" s="22"/>
      <c r="H851" s="123"/>
      <c r="I851" s="126"/>
      <c r="J851" s="130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hidden="1">
      <c r="A852" s="107"/>
      <c r="B852" s="138"/>
      <c r="C852" s="120"/>
      <c r="D852" s="121"/>
      <c r="E852" s="107"/>
      <c r="F852" s="122"/>
      <c r="G852" s="22"/>
      <c r="H852" s="123"/>
      <c r="I852" s="126"/>
      <c r="J852" s="130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hidden="1">
      <c r="A853" s="107"/>
      <c r="B853" s="138"/>
      <c r="C853" s="120"/>
      <c r="D853" s="121"/>
      <c r="E853" s="107"/>
      <c r="F853" s="122"/>
      <c r="G853" s="22"/>
      <c r="H853" s="123"/>
      <c r="I853" s="126"/>
      <c r="J853" s="130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hidden="1">
      <c r="A854" s="107"/>
      <c r="B854" s="138"/>
      <c r="C854" s="120"/>
      <c r="D854" s="121"/>
      <c r="E854" s="107"/>
      <c r="F854" s="122"/>
      <c r="G854" s="22"/>
      <c r="H854" s="123"/>
      <c r="I854" s="126"/>
      <c r="J854" s="130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hidden="1">
      <c r="A855" s="107"/>
      <c r="B855" s="138"/>
      <c r="C855" s="120"/>
      <c r="D855" s="121"/>
      <c r="E855" s="107"/>
      <c r="F855" s="122"/>
      <c r="G855" s="22"/>
      <c r="H855" s="123"/>
      <c r="I855" s="126"/>
      <c r="J855" s="130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hidden="1">
      <c r="A856" s="107"/>
      <c r="B856" s="138"/>
      <c r="C856" s="120"/>
      <c r="D856" s="121"/>
      <c r="E856" s="107"/>
      <c r="F856" s="122"/>
      <c r="G856" s="22"/>
      <c r="H856" s="123"/>
      <c r="I856" s="126"/>
      <c r="J856" s="130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hidden="1">
      <c r="A857" s="107"/>
      <c r="B857" s="138"/>
      <c r="C857" s="120"/>
      <c r="D857" s="121"/>
      <c r="E857" s="107"/>
      <c r="F857" s="122"/>
      <c r="G857" s="22"/>
      <c r="H857" s="123"/>
      <c r="I857" s="126"/>
      <c r="J857" s="130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hidden="1">
      <c r="A858" s="107"/>
      <c r="B858" s="138"/>
      <c r="C858" s="120"/>
      <c r="D858" s="121"/>
      <c r="E858" s="107"/>
      <c r="F858" s="122"/>
      <c r="G858" s="22"/>
      <c r="H858" s="123"/>
      <c r="I858" s="126"/>
      <c r="J858" s="130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hidden="1">
      <c r="A859" s="107"/>
      <c r="B859" s="138"/>
      <c r="C859" s="120"/>
      <c r="D859" s="121"/>
      <c r="E859" s="107"/>
      <c r="F859" s="122"/>
      <c r="G859" s="22"/>
      <c r="H859" s="123"/>
      <c r="I859" s="126"/>
      <c r="J859" s="130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hidden="1">
      <c r="A860" s="107"/>
      <c r="B860" s="138"/>
      <c r="C860" s="120"/>
      <c r="D860" s="121"/>
      <c r="E860" s="107"/>
      <c r="F860" s="122"/>
      <c r="G860" s="22"/>
      <c r="H860" s="123"/>
      <c r="I860" s="126"/>
      <c r="J860" s="130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hidden="1">
      <c r="A861" s="107"/>
      <c r="B861" s="138"/>
      <c r="C861" s="120"/>
      <c r="D861" s="121"/>
      <c r="E861" s="107"/>
      <c r="F861" s="122"/>
      <c r="G861" s="22"/>
      <c r="H861" s="123"/>
      <c r="I861" s="126"/>
      <c r="J861" s="130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hidden="1">
      <c r="A862" s="107"/>
      <c r="B862" s="138"/>
      <c r="C862" s="120"/>
      <c r="D862" s="121"/>
      <c r="E862" s="107"/>
      <c r="F862" s="122"/>
      <c r="G862" s="22"/>
      <c r="H862" s="123"/>
      <c r="I862" s="126"/>
      <c r="J862" s="130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hidden="1">
      <c r="A863" s="107"/>
      <c r="B863" s="138"/>
      <c r="C863" s="120"/>
      <c r="D863" s="121"/>
      <c r="E863" s="107"/>
      <c r="F863" s="122"/>
      <c r="G863" s="22"/>
      <c r="H863" s="123"/>
      <c r="I863" s="126"/>
      <c r="J863" s="130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hidden="1">
      <c r="A864" s="107"/>
      <c r="B864" s="138"/>
      <c r="C864" s="120"/>
      <c r="D864" s="121"/>
      <c r="E864" s="107"/>
      <c r="F864" s="122"/>
      <c r="G864" s="22"/>
      <c r="H864" s="123"/>
      <c r="I864" s="126"/>
      <c r="J864" s="130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hidden="1">
      <c r="A865" s="107"/>
      <c r="B865" s="138"/>
      <c r="C865" s="120"/>
      <c r="D865" s="121"/>
      <c r="E865" s="107"/>
      <c r="F865" s="122"/>
      <c r="G865" s="22"/>
      <c r="H865" s="123"/>
      <c r="I865" s="126"/>
      <c r="J865" s="130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hidden="1">
      <c r="A866" s="107"/>
      <c r="B866" s="138"/>
      <c r="C866" s="120"/>
      <c r="D866" s="121"/>
      <c r="E866" s="107"/>
      <c r="F866" s="122"/>
      <c r="G866" s="22"/>
      <c r="H866" s="123"/>
      <c r="I866" s="126"/>
      <c r="J866" s="130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hidden="1">
      <c r="A867" s="107"/>
      <c r="B867" s="138"/>
      <c r="C867" s="120"/>
      <c r="D867" s="121"/>
      <c r="E867" s="107"/>
      <c r="F867" s="122"/>
      <c r="G867" s="22"/>
      <c r="H867" s="123"/>
      <c r="I867" s="126"/>
      <c r="J867" s="130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hidden="1">
      <c r="A868" s="107"/>
      <c r="B868" s="138"/>
      <c r="C868" s="120"/>
      <c r="D868" s="121"/>
      <c r="E868" s="107"/>
      <c r="F868" s="122"/>
      <c r="G868" s="22"/>
      <c r="H868" s="123"/>
      <c r="I868" s="126"/>
      <c r="J868" s="130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hidden="1">
      <c r="A869" s="107"/>
      <c r="B869" s="138"/>
      <c r="C869" s="120"/>
      <c r="D869" s="121"/>
      <c r="E869" s="107"/>
      <c r="F869" s="122"/>
      <c r="G869" s="22"/>
      <c r="H869" s="123"/>
      <c r="I869" s="126"/>
      <c r="J869" s="130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hidden="1">
      <c r="A870" s="107"/>
      <c r="B870" s="138"/>
      <c r="C870" s="120"/>
      <c r="D870" s="121"/>
      <c r="E870" s="107"/>
      <c r="F870" s="122"/>
      <c r="G870" s="22"/>
      <c r="H870" s="123"/>
      <c r="I870" s="126"/>
      <c r="J870" s="130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hidden="1">
      <c r="A871" s="107"/>
      <c r="B871" s="138"/>
      <c r="C871" s="120"/>
      <c r="D871" s="121"/>
      <c r="E871" s="107"/>
      <c r="F871" s="122"/>
      <c r="G871" s="22"/>
      <c r="H871" s="123"/>
      <c r="I871" s="126"/>
      <c r="J871" s="130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hidden="1">
      <c r="A872" s="107"/>
      <c r="B872" s="138"/>
      <c r="C872" s="120"/>
      <c r="D872" s="121"/>
      <c r="E872" s="107"/>
      <c r="F872" s="122"/>
      <c r="G872" s="22"/>
      <c r="H872" s="123"/>
      <c r="I872" s="126"/>
      <c r="J872" s="130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hidden="1">
      <c r="A873" s="107"/>
      <c r="B873" s="138"/>
      <c r="C873" s="120"/>
      <c r="D873" s="121"/>
      <c r="E873" s="107"/>
      <c r="F873" s="122"/>
      <c r="G873" s="22"/>
      <c r="H873" s="123"/>
      <c r="I873" s="126"/>
      <c r="J873" s="130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hidden="1">
      <c r="A874" s="107"/>
      <c r="B874" s="138"/>
      <c r="C874" s="120"/>
      <c r="D874" s="121"/>
      <c r="E874" s="107"/>
      <c r="F874" s="122"/>
      <c r="G874" s="22"/>
      <c r="H874" s="123"/>
      <c r="I874" s="126"/>
      <c r="J874" s="130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hidden="1">
      <c r="A875" s="107"/>
      <c r="B875" s="138"/>
      <c r="C875" s="120"/>
      <c r="D875" s="121"/>
      <c r="E875" s="107"/>
      <c r="F875" s="122"/>
      <c r="G875" s="22"/>
      <c r="H875" s="123"/>
      <c r="I875" s="126"/>
      <c r="J875" s="130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hidden="1">
      <c r="A876" s="107"/>
      <c r="B876" s="138"/>
      <c r="C876" s="120"/>
      <c r="D876" s="121"/>
      <c r="E876" s="107"/>
      <c r="F876" s="122"/>
      <c r="G876" s="22"/>
      <c r="H876" s="123"/>
      <c r="I876" s="126"/>
      <c r="J876" s="130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hidden="1">
      <c r="A877" s="107"/>
      <c r="B877" s="138"/>
      <c r="C877" s="120"/>
      <c r="D877" s="121"/>
      <c r="E877" s="107"/>
      <c r="F877" s="122"/>
      <c r="G877" s="22"/>
      <c r="H877" s="123"/>
      <c r="I877" s="126"/>
      <c r="J877" s="130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hidden="1">
      <c r="A878" s="107"/>
      <c r="B878" s="138"/>
      <c r="C878" s="120"/>
      <c r="D878" s="121"/>
      <c r="E878" s="107"/>
      <c r="F878" s="122"/>
      <c r="G878" s="22"/>
      <c r="H878" s="123"/>
      <c r="I878" s="126"/>
      <c r="J878" s="130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hidden="1">
      <c r="A879" s="107"/>
      <c r="B879" s="138"/>
      <c r="C879" s="120"/>
      <c r="D879" s="121"/>
      <c r="E879" s="107"/>
      <c r="F879" s="122"/>
      <c r="G879" s="22"/>
      <c r="H879" s="123"/>
      <c r="I879" s="126"/>
      <c r="J879" s="130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hidden="1">
      <c r="A880" s="107"/>
      <c r="B880" s="138"/>
      <c r="C880" s="120"/>
      <c r="D880" s="121"/>
      <c r="E880" s="107"/>
      <c r="F880" s="122"/>
      <c r="G880" s="22"/>
      <c r="H880" s="123"/>
      <c r="I880" s="126"/>
      <c r="J880" s="130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hidden="1">
      <c r="A881" s="107"/>
      <c r="B881" s="138"/>
      <c r="C881" s="120"/>
      <c r="D881" s="121"/>
      <c r="E881" s="107"/>
      <c r="F881" s="122"/>
      <c r="G881" s="22"/>
      <c r="H881" s="123"/>
      <c r="I881" s="126"/>
      <c r="J881" s="130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hidden="1">
      <c r="A882" s="107"/>
      <c r="B882" s="138"/>
      <c r="C882" s="120"/>
      <c r="D882" s="121"/>
      <c r="E882" s="107"/>
      <c r="F882" s="122"/>
      <c r="G882" s="22"/>
      <c r="H882" s="123"/>
      <c r="I882" s="126"/>
      <c r="J882" s="130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hidden="1">
      <c r="A883" s="107"/>
      <c r="B883" s="138"/>
      <c r="C883" s="120"/>
      <c r="D883" s="121"/>
      <c r="E883" s="107"/>
      <c r="F883" s="122"/>
      <c r="G883" s="22"/>
      <c r="H883" s="123"/>
      <c r="I883" s="126"/>
      <c r="J883" s="130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hidden="1">
      <c r="A884" s="107"/>
      <c r="B884" s="138"/>
      <c r="C884" s="120"/>
      <c r="D884" s="121"/>
      <c r="E884" s="107"/>
      <c r="F884" s="122"/>
      <c r="G884" s="22"/>
      <c r="H884" s="123"/>
      <c r="I884" s="126"/>
      <c r="J884" s="130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hidden="1">
      <c r="A885" s="107"/>
      <c r="B885" s="138"/>
      <c r="C885" s="120"/>
      <c r="D885" s="121"/>
      <c r="E885" s="107"/>
      <c r="F885" s="122"/>
      <c r="G885" s="22"/>
      <c r="H885" s="123"/>
      <c r="I885" s="126"/>
      <c r="J885" s="130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hidden="1">
      <c r="A886" s="107"/>
      <c r="B886" s="138"/>
      <c r="C886" s="120"/>
      <c r="D886" s="121"/>
      <c r="E886" s="107"/>
      <c r="F886" s="122"/>
      <c r="G886" s="22"/>
      <c r="H886" s="123"/>
      <c r="I886" s="126"/>
      <c r="J886" s="130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hidden="1">
      <c r="A887" s="107"/>
      <c r="B887" s="138"/>
      <c r="C887" s="120"/>
      <c r="D887" s="121"/>
      <c r="E887" s="107"/>
      <c r="F887" s="122"/>
      <c r="G887" s="22"/>
      <c r="H887" s="123"/>
      <c r="I887" s="126"/>
      <c r="J887" s="130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hidden="1">
      <c r="A888" s="107"/>
      <c r="B888" s="138"/>
      <c r="C888" s="120"/>
      <c r="D888" s="121"/>
      <c r="E888" s="107"/>
      <c r="F888" s="122"/>
      <c r="G888" s="22"/>
      <c r="H888" s="123"/>
      <c r="I888" s="126"/>
      <c r="J888" s="130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hidden="1">
      <c r="A889" s="107"/>
      <c r="B889" s="138"/>
      <c r="C889" s="120"/>
      <c r="D889" s="121"/>
      <c r="E889" s="107"/>
      <c r="F889" s="122"/>
      <c r="G889" s="22"/>
      <c r="H889" s="123"/>
      <c r="I889" s="126"/>
      <c r="J889" s="130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hidden="1">
      <c r="A890" s="107"/>
      <c r="B890" s="138"/>
      <c r="C890" s="120"/>
      <c r="D890" s="121"/>
      <c r="E890" s="107"/>
      <c r="F890" s="122"/>
      <c r="G890" s="22"/>
      <c r="H890" s="123"/>
      <c r="I890" s="126"/>
      <c r="J890" s="130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hidden="1">
      <c r="A891" s="107"/>
      <c r="B891" s="138"/>
      <c r="C891" s="120"/>
      <c r="D891" s="121"/>
      <c r="E891" s="107"/>
      <c r="F891" s="122"/>
      <c r="G891" s="22"/>
      <c r="H891" s="123"/>
      <c r="I891" s="126"/>
      <c r="J891" s="130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hidden="1">
      <c r="A892" s="107"/>
      <c r="B892" s="138"/>
      <c r="C892" s="120"/>
      <c r="D892" s="121"/>
      <c r="E892" s="107"/>
      <c r="F892" s="122"/>
      <c r="G892" s="22"/>
      <c r="H892" s="123"/>
      <c r="I892" s="126"/>
      <c r="J892" s="130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hidden="1">
      <c r="A893" s="107"/>
      <c r="B893" s="138"/>
      <c r="C893" s="120"/>
      <c r="D893" s="121"/>
      <c r="E893" s="107"/>
      <c r="F893" s="122"/>
      <c r="G893" s="22"/>
      <c r="H893" s="123"/>
      <c r="I893" s="126"/>
      <c r="J893" s="130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hidden="1">
      <c r="A894" s="107"/>
      <c r="B894" s="138"/>
      <c r="C894" s="120"/>
      <c r="D894" s="121"/>
      <c r="E894" s="107"/>
      <c r="F894" s="122"/>
      <c r="G894" s="22"/>
      <c r="H894" s="123"/>
      <c r="I894" s="126"/>
      <c r="J894" s="130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hidden="1">
      <c r="A895" s="107"/>
      <c r="B895" s="138"/>
      <c r="C895" s="120"/>
      <c r="D895" s="121"/>
      <c r="E895" s="107"/>
      <c r="F895" s="122"/>
      <c r="G895" s="22"/>
      <c r="H895" s="123"/>
      <c r="I895" s="126"/>
      <c r="J895" s="130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hidden="1">
      <c r="A896" s="107"/>
      <c r="B896" s="138"/>
      <c r="C896" s="120"/>
      <c r="D896" s="121"/>
      <c r="E896" s="107"/>
      <c r="F896" s="122"/>
      <c r="G896" s="22"/>
      <c r="H896" s="123"/>
      <c r="I896" s="126"/>
      <c r="J896" s="130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hidden="1">
      <c r="A897" s="107"/>
      <c r="B897" s="138"/>
      <c r="C897" s="120"/>
      <c r="D897" s="121"/>
      <c r="E897" s="107"/>
      <c r="F897" s="122"/>
      <c r="G897" s="22"/>
      <c r="H897" s="123"/>
      <c r="I897" s="126"/>
      <c r="J897" s="130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hidden="1">
      <c r="A898" s="107"/>
      <c r="B898" s="138"/>
      <c r="C898" s="120"/>
      <c r="D898" s="121"/>
      <c r="E898" s="107"/>
      <c r="F898" s="122"/>
      <c r="G898" s="22"/>
      <c r="H898" s="123"/>
      <c r="I898" s="126"/>
      <c r="J898" s="130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hidden="1">
      <c r="A899" s="107"/>
      <c r="B899" s="138"/>
      <c r="C899" s="120"/>
      <c r="D899" s="121"/>
      <c r="E899" s="107"/>
      <c r="F899" s="122"/>
      <c r="G899" s="22"/>
      <c r="H899" s="123"/>
      <c r="I899" s="126"/>
      <c r="J899" s="130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hidden="1">
      <c r="A900" s="107"/>
      <c r="B900" s="138"/>
      <c r="C900" s="120"/>
      <c r="D900" s="121"/>
      <c r="E900" s="107"/>
      <c r="F900" s="122"/>
      <c r="G900" s="22"/>
      <c r="H900" s="123"/>
      <c r="I900" s="126"/>
      <c r="J900" s="130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hidden="1">
      <c r="A901" s="107"/>
      <c r="B901" s="138"/>
      <c r="C901" s="120"/>
      <c r="D901" s="121"/>
      <c r="E901" s="107"/>
      <c r="F901" s="122"/>
      <c r="G901" s="22"/>
      <c r="H901" s="123"/>
      <c r="I901" s="126"/>
      <c r="J901" s="130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hidden="1">
      <c r="A902" s="107"/>
      <c r="B902" s="138"/>
      <c r="C902" s="120"/>
      <c r="D902" s="121"/>
      <c r="E902" s="107"/>
      <c r="F902" s="122"/>
      <c r="G902" s="22"/>
      <c r="H902" s="123"/>
      <c r="I902" s="126"/>
      <c r="J902" s="130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hidden="1">
      <c r="A903" s="107"/>
      <c r="B903" s="138"/>
      <c r="C903" s="120"/>
      <c r="D903" s="121"/>
      <c r="E903" s="107"/>
      <c r="F903" s="122"/>
      <c r="G903" s="22"/>
      <c r="H903" s="123"/>
      <c r="I903" s="126"/>
      <c r="J903" s="130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hidden="1">
      <c r="A904" s="107"/>
      <c r="B904" s="138"/>
      <c r="C904" s="120"/>
      <c r="D904" s="121"/>
      <c r="E904" s="107"/>
      <c r="F904" s="122"/>
      <c r="G904" s="22"/>
      <c r="H904" s="123"/>
      <c r="I904" s="126"/>
      <c r="J904" s="130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hidden="1">
      <c r="A905" s="107"/>
      <c r="B905" s="138"/>
      <c r="C905" s="120"/>
      <c r="D905" s="121"/>
      <c r="E905" s="107"/>
      <c r="F905" s="122"/>
      <c r="G905" s="22"/>
      <c r="H905" s="123"/>
      <c r="I905" s="126"/>
      <c r="J905" s="130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hidden="1">
      <c r="A906" s="107"/>
      <c r="B906" s="138"/>
      <c r="C906" s="120"/>
      <c r="D906" s="121"/>
      <c r="E906" s="107"/>
      <c r="F906" s="122"/>
      <c r="G906" s="22"/>
      <c r="H906" s="123"/>
      <c r="I906" s="126"/>
      <c r="J906" s="130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hidden="1">
      <c r="A907" s="107"/>
      <c r="B907" s="138"/>
      <c r="C907" s="120"/>
      <c r="D907" s="121"/>
      <c r="E907" s="107"/>
      <c r="F907" s="122"/>
      <c r="G907" s="22"/>
      <c r="H907" s="123"/>
      <c r="I907" s="126"/>
      <c r="J907" s="130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hidden="1">
      <c r="A908" s="107"/>
      <c r="B908" s="138"/>
      <c r="C908" s="120"/>
      <c r="D908" s="121"/>
      <c r="E908" s="107"/>
      <c r="F908" s="122"/>
      <c r="G908" s="22"/>
      <c r="H908" s="123"/>
      <c r="I908" s="126"/>
      <c r="J908" s="130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hidden="1">
      <c r="A909" s="107"/>
      <c r="B909" s="138"/>
      <c r="C909" s="120"/>
      <c r="D909" s="121"/>
      <c r="E909" s="107"/>
      <c r="F909" s="122"/>
      <c r="G909" s="22"/>
      <c r="H909" s="123"/>
      <c r="I909" s="126"/>
      <c r="J909" s="130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hidden="1">
      <c r="A910" s="107"/>
      <c r="B910" s="138"/>
      <c r="C910" s="120"/>
      <c r="D910" s="121"/>
      <c r="E910" s="107"/>
      <c r="F910" s="122"/>
      <c r="G910" s="22"/>
      <c r="H910" s="123"/>
      <c r="I910" s="126"/>
      <c r="J910" s="130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hidden="1">
      <c r="A911" s="107"/>
      <c r="B911" s="138"/>
      <c r="C911" s="120"/>
      <c r="D911" s="121"/>
      <c r="E911" s="107"/>
      <c r="F911" s="122"/>
      <c r="G911" s="22"/>
      <c r="H911" s="123"/>
      <c r="I911" s="126"/>
      <c r="J911" s="130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hidden="1">
      <c r="A912" s="107"/>
      <c r="B912" s="138"/>
      <c r="C912" s="120"/>
      <c r="D912" s="121"/>
      <c r="E912" s="107"/>
      <c r="F912" s="122"/>
      <c r="G912" s="22"/>
      <c r="H912" s="123"/>
      <c r="I912" s="126"/>
      <c r="J912" s="130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hidden="1">
      <c r="A913" s="107"/>
      <c r="B913" s="138"/>
      <c r="C913" s="120"/>
      <c r="D913" s="121"/>
      <c r="E913" s="107"/>
      <c r="F913" s="122"/>
      <c r="G913" s="22"/>
      <c r="H913" s="123"/>
      <c r="I913" s="126"/>
      <c r="J913" s="130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hidden="1">
      <c r="A914" s="107"/>
      <c r="B914" s="138"/>
      <c r="C914" s="120"/>
      <c r="D914" s="121"/>
      <c r="E914" s="107"/>
      <c r="F914" s="122"/>
      <c r="G914" s="22"/>
      <c r="H914" s="123"/>
      <c r="I914" s="126"/>
      <c r="J914" s="130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hidden="1">
      <c r="A915" s="107"/>
      <c r="B915" s="138"/>
      <c r="C915" s="120"/>
      <c r="D915" s="121"/>
      <c r="E915" s="107"/>
      <c r="F915" s="122"/>
      <c r="G915" s="22"/>
      <c r="H915" s="123"/>
      <c r="I915" s="126"/>
      <c r="J915" s="130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hidden="1">
      <c r="A916" s="107"/>
      <c r="B916" s="138"/>
      <c r="C916" s="120"/>
      <c r="D916" s="121"/>
      <c r="E916" s="107"/>
      <c r="F916" s="122"/>
      <c r="G916" s="22"/>
      <c r="H916" s="123"/>
      <c r="I916" s="126"/>
      <c r="J916" s="130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hidden="1">
      <c r="A917" s="107"/>
      <c r="B917" s="138"/>
      <c r="C917" s="120"/>
      <c r="D917" s="121"/>
      <c r="E917" s="107"/>
      <c r="F917" s="122"/>
      <c r="G917" s="22"/>
      <c r="H917" s="123"/>
      <c r="I917" s="126"/>
      <c r="J917" s="130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hidden="1">
      <c r="A918" s="107"/>
      <c r="B918" s="138"/>
      <c r="C918" s="120"/>
      <c r="D918" s="121"/>
      <c r="E918" s="107"/>
      <c r="F918" s="122"/>
      <c r="G918" s="22"/>
      <c r="H918" s="123"/>
      <c r="I918" s="126"/>
      <c r="J918" s="130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</sheetData>
  <mergeCells count="2">
    <mergeCell ref="A1:F1"/>
    <mergeCell ref="E2:F2"/>
  </mergeCells>
  <dataValidations>
    <dataValidation type="list" allowBlank="1" sqref="H4:H918">
      <formula1>"CHECKED (OK),CHECKED  (NOT OK)"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2">
        <f>IFERROR(__xludf.DUMMYFUNCTION("IMPORTRANGE(""https://docs.google.com/spreadsheets/d/1mjARqxqic6swTCIrvlefIcbTXKfzscQXizcudD61xDk/edit?gid=0#gid=0"",""Crew Data!C:AD"")"),3.0)</f>
        <v>3</v>
      </c>
      <c r="B1">
        <f>IFERROR(__xludf.DUMMYFUNCTION("""COMPUTED_VALUE"""),4.0)</f>
        <v>4</v>
      </c>
      <c r="C1" s="142">
        <f>IFERROR(__xludf.DUMMYFUNCTION("""COMPUTED_VALUE"""),5.0)</f>
        <v>5</v>
      </c>
      <c r="D1">
        <f>IFERROR(__xludf.DUMMYFUNCTION("""COMPUTED_VALUE"""),6.0)</f>
        <v>6</v>
      </c>
      <c r="F1">
        <f>IFERROR(__xludf.DUMMYFUNCTION("""COMPUTED_VALUE"""),8.0)</f>
        <v>8</v>
      </c>
      <c r="G1" s="142">
        <f>IFERROR(__xludf.DUMMYFUNCTION("""COMPUTED_VALUE"""),9.0)</f>
        <v>9</v>
      </c>
      <c r="H1">
        <f>IFERROR(__xludf.DUMMYFUNCTION("""COMPUTED_VALUE"""),10.0)</f>
        <v>10</v>
      </c>
      <c r="I1" s="142">
        <f>IFERROR(__xludf.DUMMYFUNCTION("""COMPUTED_VALUE"""),11.0)</f>
        <v>11</v>
      </c>
      <c r="J1">
        <f>IFERROR(__xludf.DUMMYFUNCTION("""COMPUTED_VALUE"""),12.0)</f>
        <v>12</v>
      </c>
      <c r="K1" s="142">
        <f>IFERROR(__xludf.DUMMYFUNCTION("""COMPUTED_VALUE"""),13.0)</f>
        <v>13</v>
      </c>
      <c r="L1">
        <f>IFERROR(__xludf.DUMMYFUNCTION("""COMPUTED_VALUE"""),14.0)</f>
        <v>14</v>
      </c>
      <c r="M1" s="142">
        <f>IFERROR(__xludf.DUMMYFUNCTION("""COMPUTED_VALUE"""),15.0)</f>
        <v>15</v>
      </c>
      <c r="N1">
        <f>IFERROR(__xludf.DUMMYFUNCTION("""COMPUTED_VALUE"""),16.0)</f>
        <v>16</v>
      </c>
      <c r="O1" s="142">
        <f>IFERROR(__xludf.DUMMYFUNCTION("""COMPUTED_VALUE"""),17.0)</f>
        <v>17</v>
      </c>
      <c r="P1">
        <f>IFERROR(__xludf.DUMMYFUNCTION("""COMPUTED_VALUE"""),18.0)</f>
        <v>18</v>
      </c>
      <c r="Q1" s="142">
        <f>IFERROR(__xludf.DUMMYFUNCTION("""COMPUTED_VALUE"""),19.0)</f>
        <v>19</v>
      </c>
      <c r="R1">
        <f>IFERROR(__xludf.DUMMYFUNCTION("""COMPUTED_VALUE"""),20.0)</f>
        <v>20</v>
      </c>
      <c r="S1" s="142">
        <f>IFERROR(__xludf.DUMMYFUNCTION("""COMPUTED_VALUE"""),21.0)</f>
        <v>21</v>
      </c>
      <c r="T1">
        <f>IFERROR(__xludf.DUMMYFUNCTION("""COMPUTED_VALUE"""),22.0)</f>
        <v>22</v>
      </c>
      <c r="U1" s="142">
        <f>IFERROR(__xludf.DUMMYFUNCTION("""COMPUTED_VALUE"""),23.0)</f>
        <v>23</v>
      </c>
      <c r="V1">
        <f>IFERROR(__xludf.DUMMYFUNCTION("""COMPUTED_VALUE"""),24.0)</f>
        <v>24</v>
      </c>
      <c r="W1" s="142">
        <f>IFERROR(__xludf.DUMMYFUNCTION("""COMPUTED_VALUE"""),25.0)</f>
        <v>25</v>
      </c>
      <c r="X1">
        <f>IFERROR(__xludf.DUMMYFUNCTION("""COMPUTED_VALUE"""),26.0)</f>
        <v>26</v>
      </c>
      <c r="Y1" s="142">
        <f>IFERROR(__xludf.DUMMYFUNCTION("""COMPUTED_VALUE"""),27.0)</f>
        <v>27</v>
      </c>
      <c r="Z1">
        <f>IFERROR(__xludf.DUMMYFUNCTION("""COMPUTED_VALUE"""),28.0)</f>
        <v>28</v>
      </c>
      <c r="AA1" s="142">
        <f>IFERROR(__xludf.DUMMYFUNCTION("""COMPUTED_VALUE"""),29.0)</f>
        <v>29</v>
      </c>
      <c r="AB1">
        <f>IFERROR(__xludf.DUMMYFUNCTION("""COMPUTED_VALUE"""),30.0)</f>
        <v>30</v>
      </c>
    </row>
    <row r="2">
      <c r="B2" t="str">
        <f>IFERROR(__xludf.DUMMYFUNCTION("""COMPUTED_VALUE"""),"ณ ปัจจุบันรายงานวันที่")</f>
        <v>ณ ปัจจุบันรายงานวันที่</v>
      </c>
      <c r="D2" s="143">
        <f>IFERROR(__xludf.DUMMYFUNCTION("""COMPUTED_VALUE"""),46166.0)</f>
        <v>46166</v>
      </c>
      <c r="J2" s="144">
        <f>IFERROR(__xludf.DUMMYFUNCTION("""COMPUTED_VALUE"""),46166.0)</f>
        <v>46166</v>
      </c>
      <c r="K2" s="143">
        <f>IFERROR(__xludf.DUMMYFUNCTION("""COMPUTED_VALUE"""),46166.0)</f>
        <v>46166</v>
      </c>
    </row>
    <row r="4">
      <c r="A4" t="str">
        <f>IFERROR(__xludf.DUMMYFUNCTION("""COMPUTED_VALUE"""),"New ID")</f>
        <v>New ID</v>
      </c>
      <c r="B4" t="str">
        <f>IFERROR(__xludf.DUMMYFUNCTION("""COMPUTED_VALUE"""),"Person
PrefixEng")</f>
        <v>Person
PrefixEng</v>
      </c>
      <c r="C4" t="str">
        <f>IFERROR(__xludf.DUMMYFUNCTION("""COMPUTED_VALUE"""),"PersonFNameEng")</f>
        <v>PersonFNameEng</v>
      </c>
      <c r="D4" t="str">
        <f>IFERROR(__xludf.DUMMYFUNCTION("""COMPUTED_VALUE"""),"PersonLNameEng")</f>
        <v>PersonLNameEng</v>
      </c>
      <c r="E4" t="str">
        <f>IFERROR(__xludf.DUMMYFUNCTION("""COMPUTED_VALUE"""),"FullNameENG")</f>
        <v>FullNameENG</v>
      </c>
      <c r="F4" t="str">
        <f>IFERROR(__xludf.DUMMYFUNCTION("""COMPUTED_VALUE"""),"PersonPrefix")</f>
        <v>PersonPrefix</v>
      </c>
      <c r="G4" t="str">
        <f>IFERROR(__xludf.DUMMYFUNCTION("""COMPUTED_VALUE"""),"PersonFNameThai")</f>
        <v>PersonFNameThai</v>
      </c>
      <c r="H4" t="str">
        <f>IFERROR(__xludf.DUMMYFUNCTION("""COMPUTED_VALUE"""),"PersonLNameThai")</f>
        <v>PersonLNameThai</v>
      </c>
      <c r="I4" t="str">
        <f>IFERROR(__xludf.DUMMYFUNCTION("""COMPUTED_VALUE"""),"FullNameTHA")</f>
        <v>FullNameTHA</v>
      </c>
      <c r="J4" t="str">
        <f>IFERROR(__xludf.DUMMYFUNCTION("""COMPUTED_VALUE"""),"Nick Name")</f>
        <v>Nick Name</v>
      </c>
      <c r="K4" t="str">
        <f>IFERROR(__xludf.DUMMYFUNCTION("""COMPUTED_VALUE"""),"Position")</f>
        <v>Position</v>
      </c>
      <c r="L4" t="str">
        <f>IFERROR(__xludf.DUMMYFUNCTION("""COMPUTED_VALUE"""),"Base")</f>
        <v>Base</v>
      </c>
      <c r="M4" s="145" t="str">
        <f>IFERROR(__xludf.DUMMYFUNCTION("""COMPUTED_VALUE"""),"NEW HOME")</f>
        <v>NEW HOME</v>
      </c>
      <c r="N4" t="str">
        <f>IFERROR(__xludf.DUMMYFUNCTION("""COMPUTED_VALUE"""),"WorkStatus")</f>
        <v>WorkStatus</v>
      </c>
      <c r="O4" t="str">
        <f>IFERROR(__xludf.DUMMYFUNCTION("""COMPUTED_VALUE"""),"Special Title")</f>
        <v>Special Title</v>
      </c>
      <c r="P4" t="str">
        <f>IFERROR(__xludf.DUMMYFUNCTION("""COMPUTED_VALUE"""),"DOB")</f>
        <v>DOB</v>
      </c>
      <c r="Q4" s="146" t="str">
        <f>IFERROR(__xludf.DUMMYFUNCTION("""COMPUTED_VALUE"""),"PrimaryContact")</f>
        <v>PrimaryContact</v>
      </c>
      <c r="R4" s="147" t="str">
        <f>IFERROR(__xludf.DUMMYFUNCTION("""COMPUTED_VALUE"""),"SocialSecurityID")</f>
        <v>SocialSecurityID</v>
      </c>
      <c r="S4" t="str">
        <f>IFERROR(__xludf.DUMMYFUNCTION("""COMPUTED_VALUE"""),"Passport")</f>
        <v>Passport</v>
      </c>
      <c r="T4" s="148" t="str">
        <f>IFERROR(__xludf.DUMMYFUNCTION("""COMPUTED_VALUE"""),"IssueDate")</f>
        <v>IssueDate</v>
      </c>
      <c r="U4" s="148" t="str">
        <f>IFERROR(__xludf.DUMMYFUNCTION("""COMPUTED_VALUE"""),"ExpiryDate")</f>
        <v>ExpiryDate</v>
      </c>
      <c r="V4" t="str">
        <f>IFERROR(__xludf.DUMMYFUNCTION("""COMPUTED_VALUE"""),"6 Months Exp. Alert")</f>
        <v>6 Months Exp. Alert</v>
      </c>
      <c r="W4" t="str">
        <f>IFERROR(__xludf.DUMMYFUNCTION("""COMPUTED_VALUE"""),"Alert Passport")</f>
        <v>Alert Passport</v>
      </c>
      <c r="X4" t="str">
        <f>IFERROR(__xludf.DUMMYFUNCTION("""COMPUTED_VALUE"""),"PlaceOfBirth")</f>
        <v>PlaceOfBirth</v>
      </c>
      <c r="Y4" t="str">
        <f>IFERROR(__xludf.DUMMYFUNCTION("""COMPUTED_VALUE"""),"Living Area")</f>
        <v>Living Area</v>
      </c>
      <c r="Z4" t="str">
        <f>IFERROR(__xludf.DUMMYFUNCTION("""COMPUTED_VALUE"""),"EmergencyCall")</f>
        <v>EmergencyCall</v>
      </c>
      <c r="AA4" t="str">
        <f>IFERROR(__xludf.DUMMYFUNCTION("""COMPUTED_VALUE"""),"PersonContact")</f>
        <v>PersonContact</v>
      </c>
      <c r="AB4" t="str">
        <f>IFERROR(__xludf.DUMMYFUNCTION("""COMPUTED_VALUE"""),"EmailAddress")</f>
        <v>EmailAddress</v>
      </c>
    </row>
    <row r="5">
      <c r="A5">
        <f>IFERROR(__xludf.DUMMYFUNCTION("""COMPUTED_VALUE"""),1000224.0)</f>
        <v>1000224</v>
      </c>
      <c r="B5" t="str">
        <f>IFERROR(__xludf.DUMMYFUNCTION("""COMPUTED_VALUE"""),"Mrs.")</f>
        <v>Mrs.</v>
      </c>
      <c r="C5" t="str">
        <f>IFERROR(__xludf.DUMMYFUNCTION("""COMPUTED_VALUE"""),"Angkhana")</f>
        <v>Angkhana</v>
      </c>
      <c r="D5" t="str">
        <f>IFERROR(__xludf.DUMMYFUNCTION("""COMPUTED_VALUE"""),"Juraiphong")</f>
        <v>Juraiphong</v>
      </c>
      <c r="E5" t="str">
        <f>IFERROR(__xludf.DUMMYFUNCTION("""COMPUTED_VALUE"""),"Angkhana Juraiphong")</f>
        <v>Angkhana Juraiphong</v>
      </c>
      <c r="F5" t="str">
        <f>IFERROR(__xludf.DUMMYFUNCTION("""COMPUTED_VALUE"""),"นางสาว")</f>
        <v>นางสาว</v>
      </c>
      <c r="G5" t="str">
        <f>IFERROR(__xludf.DUMMYFUNCTION("""COMPUTED_VALUE"""),"อังคนา")</f>
        <v>อังคนา</v>
      </c>
      <c r="H5" t="str">
        <f>IFERROR(__xludf.DUMMYFUNCTION("""COMPUTED_VALUE"""),"จุไรพงศ์")</f>
        <v>จุไรพงศ์</v>
      </c>
      <c r="I5" t="str">
        <f>IFERROR(__xludf.DUMMYFUNCTION("""COMPUTED_VALUE"""),"อังคนา จุไรพงศ์")</f>
        <v>อังคนา จุไรพงศ์</v>
      </c>
      <c r="J5" t="str">
        <f>IFERROR(__xludf.DUMMYFUNCTION("""COMPUTED_VALUE"""),"Poo")</f>
        <v>Poo</v>
      </c>
      <c r="K5" t="str">
        <f>IFERROR(__xludf.DUMMYFUNCTION("""COMPUTED_VALUE"""),"Senior Cabin Crew")</f>
        <v>Senior Cabin Crew</v>
      </c>
      <c r="L5" t="str">
        <f>IFERROR(__xludf.DUMMYFUNCTION("""COMPUTED_VALUE"""),"DMK")</f>
        <v>DMK</v>
      </c>
      <c r="M5" s="145" t="str">
        <f>IFERROR(__xludf.DUMMYFUNCTION("""COMPUTED_VALUE"""),"Namfon Home")</f>
        <v>Namfon Home</v>
      </c>
      <c r="N5" t="str">
        <f>IFERROR(__xludf.DUMMYFUNCTION("""COMPUTED_VALUE"""),"Active")</f>
        <v>Active</v>
      </c>
      <c r="O5" t="str">
        <f>IFERROR(__xludf.DUMMYFUNCTION("""COMPUTED_VALUE"""),"SCC Line Checker 2025")</f>
        <v>SCC Line Checker 2025</v>
      </c>
      <c r="P5" s="143">
        <f>IFERROR(__xludf.DUMMYFUNCTION("""COMPUTED_VALUE"""),28406.0)</f>
        <v>28406</v>
      </c>
      <c r="Q5" s="146" t="str">
        <f>IFERROR(__xludf.DUMMYFUNCTION("""COMPUTED_VALUE"""),"087 785 3961")</f>
        <v>087 785 3961</v>
      </c>
      <c r="R5" s="147" t="str">
        <f>IFERROR(__xludf.DUMMYFUNCTION("""COMPUTED_VALUE"""),"3500900-60-5464")</f>
        <v>3500900-60-5464</v>
      </c>
      <c r="S5" t="str">
        <f>IFERROR(__xludf.DUMMYFUNCTION("""COMPUTED_VALUE"""),"AC2669861")</f>
        <v>AC2669861</v>
      </c>
      <c r="T5" s="148">
        <f>IFERROR(__xludf.DUMMYFUNCTION("""COMPUTED_VALUE"""),45035.0)</f>
        <v>45035</v>
      </c>
      <c r="U5" s="148">
        <f>IFERROR(__xludf.DUMMYFUNCTION("""COMPUTED_VALUE"""),48687.0)</f>
        <v>48687</v>
      </c>
      <c r="V5" s="149">
        <f>IFERROR(__xludf.DUMMYFUNCTION("""COMPUTED_VALUE"""),48505.0)</f>
        <v>48505</v>
      </c>
      <c r="W5" t="str">
        <f>IFERROR(__xludf.DUMMYFUNCTION("""COMPUTED_VALUE"""),"ปลอดภัย")</f>
        <v>ปลอดภัย</v>
      </c>
      <c r="X5" t="str">
        <f>IFERROR(__xludf.DUMMYFUNCTION("""COMPUTED_VALUE"""),"Chiang Mai Province")</f>
        <v>Chiang Mai Province</v>
      </c>
      <c r="Y5" t="str">
        <f>IFERROR(__xludf.DUMMYFUNCTION("""COMPUTED_VALUE"""),"ลาดปลาเค้า")</f>
        <v>ลาดปลาเค้า</v>
      </c>
      <c r="Z5" t="str">
        <f>IFERROR(__xludf.DUMMYFUNCTION("""COMPUTED_VALUE"""),"087 779 9981")</f>
        <v>087 779 9981</v>
      </c>
      <c r="AA5" t="str">
        <f>IFERROR(__xludf.DUMMYFUNCTION("""COMPUTED_VALUE"""),"สามี")</f>
        <v>สามี</v>
      </c>
      <c r="AB5" t="str">
        <f>IFERROR(__xludf.DUMMYFUNCTION("""COMPUTED_VALUE"""),"angkhanaj@airasia.com")</f>
        <v>angkhanaj@airasia.com</v>
      </c>
    </row>
    <row r="6">
      <c r="A6">
        <f>IFERROR(__xludf.DUMMYFUNCTION("""COMPUTED_VALUE"""),1000229.0)</f>
        <v>1000229</v>
      </c>
      <c r="B6" t="str">
        <f>IFERROR(__xludf.DUMMYFUNCTION("""COMPUTED_VALUE"""),"Ms.")</f>
        <v>Ms.</v>
      </c>
      <c r="C6" t="str">
        <f>IFERROR(__xludf.DUMMYFUNCTION("""COMPUTED_VALUE"""),"Kunyarpast (Thalatchanan)")</f>
        <v>Kunyarpast (Thalatchanan)</v>
      </c>
      <c r="D6" t="str">
        <f>IFERROR(__xludf.DUMMYFUNCTION("""COMPUTED_VALUE"""),"Toyingsirikul")</f>
        <v>Toyingsirikul</v>
      </c>
      <c r="E6" t="str">
        <f>IFERROR(__xludf.DUMMYFUNCTION("""COMPUTED_VALUE"""),"Kunyarpast Toyingsirikul")</f>
        <v>Kunyarpast Toyingsirikul</v>
      </c>
      <c r="F6" t="str">
        <f>IFERROR(__xludf.DUMMYFUNCTION("""COMPUTED_VALUE"""),"นางสาว")</f>
        <v>นางสาว</v>
      </c>
      <c r="G6" t="str">
        <f>IFERROR(__xludf.DUMMYFUNCTION("""COMPUTED_VALUE"""),"กัญภัสสร์ (ถลัชนันท์)")</f>
        <v>กัญภัสสร์ (ถลัชนันท์)</v>
      </c>
      <c r="H6" t="str">
        <f>IFERROR(__xludf.DUMMYFUNCTION("""COMPUTED_VALUE""")," โตยิ่งสิริกุล")</f>
        <v> โตยิ่งสิริกุล</v>
      </c>
      <c r="I6" t="str">
        <f>IFERROR(__xludf.DUMMYFUNCTION("""COMPUTED_VALUE"""),"กัญภัสสร์ โตยิ่งสิริกุล")</f>
        <v>กัญภัสสร์ โตยิ่งสิริกุล</v>
      </c>
      <c r="J6" t="str">
        <f>IFERROR(__xludf.DUMMYFUNCTION("""COMPUTED_VALUE"""),"TookTa")</f>
        <v>TookTa</v>
      </c>
      <c r="K6" t="str">
        <f>IFERROR(__xludf.DUMMYFUNCTION("""COMPUTED_VALUE"""),"Cabin Crew Engagement Lead")</f>
        <v>Cabin Crew Engagement Lead</v>
      </c>
      <c r="L6" t="str">
        <f>IFERROR(__xludf.DUMMYFUNCTION("""COMPUTED_VALUE"""),"DMK")</f>
        <v>DMK</v>
      </c>
      <c r="M6" s="145" t="str">
        <f>IFERROR(__xludf.DUMMYFUNCTION("""COMPUTED_VALUE"""),"Ward Monitor")</f>
        <v>Ward Monitor</v>
      </c>
      <c r="N6" t="str">
        <f>IFERROR(__xludf.DUMMYFUNCTION("""COMPUTED_VALUE"""),"CCEL")</f>
        <v>CCEL</v>
      </c>
      <c r="P6" s="143">
        <f>IFERROR(__xludf.DUMMYFUNCTION("""COMPUTED_VALUE"""),28401.0)</f>
        <v>28401</v>
      </c>
      <c r="Q6" s="146">
        <f>IFERROR(__xludf.DUMMYFUNCTION("""COMPUTED_VALUE"""),8.19004442E8)</f>
        <v>819004442</v>
      </c>
      <c r="R6" s="147" t="str">
        <f>IFERROR(__xludf.DUMMYFUNCTION("""COMPUTED_VALUE"""),"3101500-08-2451")</f>
        <v>3101500-08-2451</v>
      </c>
      <c r="S6" t="str">
        <f>IFERROR(__xludf.DUMMYFUNCTION("""COMPUTED_VALUE"""),"AD09607741")</f>
        <v>AD09607741</v>
      </c>
      <c r="T6" s="148">
        <f>IFERROR(__xludf.DUMMYFUNCTION("""COMPUTED_VALUE"""),44936.0)</f>
        <v>44936</v>
      </c>
      <c r="U6" s="148">
        <f>IFERROR(__xludf.DUMMYFUNCTION("""COMPUTED_VALUE"""),48588.0)</f>
        <v>48588</v>
      </c>
      <c r="V6" s="149">
        <f>IFERROR(__xludf.DUMMYFUNCTION("""COMPUTED_VALUE"""),48404.0)</f>
        <v>48404</v>
      </c>
      <c r="W6" t="str">
        <f>IFERROR(__xludf.DUMMYFUNCTION("""COMPUTED_VALUE"""),"ปลอดภัย")</f>
        <v>ปลอดภัย</v>
      </c>
      <c r="X6" t="str">
        <f>IFERROR(__xludf.DUMMYFUNCTION("""COMPUTED_VALUE"""),"Bangkok")</f>
        <v>Bangkok</v>
      </c>
      <c r="Y6" t="str">
        <f>IFERROR(__xludf.DUMMYFUNCTION("""COMPUTED_VALUE"""),"ดอนเมือง")</f>
        <v>ดอนเมือง</v>
      </c>
      <c r="Z6" t="str">
        <f>IFERROR(__xludf.DUMMYFUNCTION("""COMPUTED_VALUE"""),"081 401 6213")</f>
        <v>081 401 6213</v>
      </c>
      <c r="AA6" t="str">
        <f>IFERROR(__xludf.DUMMYFUNCTION("""COMPUTED_VALUE"""),"พ่อ")</f>
        <v>พ่อ</v>
      </c>
      <c r="AB6" t="str">
        <f>IFERROR(__xludf.DUMMYFUNCTION("""COMPUTED_VALUE"""),"kanyarpastt@airasia.com")</f>
        <v>kanyarpastt@airasia.com</v>
      </c>
    </row>
    <row r="7">
      <c r="AB7" t="str">
        <f>IFERROR(__xludf.DUMMYFUNCTION("""COMPUTED_VALUE"""),"")</f>
        <v/>
      </c>
    </row>
    <row r="8">
      <c r="A8">
        <f>IFERROR(__xludf.DUMMYFUNCTION("""COMPUTED_VALUE"""),1000233.0)</f>
        <v>1000233</v>
      </c>
      <c r="B8" t="str">
        <f>IFERROR(__xludf.DUMMYFUNCTION("""COMPUTED_VALUE"""),"Ms.")</f>
        <v>Ms.</v>
      </c>
      <c r="C8" t="str">
        <f>IFERROR(__xludf.DUMMYFUNCTION("""COMPUTED_VALUE"""),"Rawiga")</f>
        <v>Rawiga</v>
      </c>
      <c r="D8" t="str">
        <f>IFERROR(__xludf.DUMMYFUNCTION("""COMPUTED_VALUE"""),"Kuawong")</f>
        <v>Kuawong</v>
      </c>
      <c r="E8" t="str">
        <f>IFERROR(__xludf.DUMMYFUNCTION("""COMPUTED_VALUE"""),"Rawiga Kuawong")</f>
        <v>Rawiga Kuawong</v>
      </c>
      <c r="F8" t="str">
        <f>IFERROR(__xludf.DUMMYFUNCTION("""COMPUTED_VALUE"""),"นางสาว")</f>
        <v>นางสาว</v>
      </c>
      <c r="G8" t="str">
        <f>IFERROR(__xludf.DUMMYFUNCTION("""COMPUTED_VALUE"""),"รวิกา")</f>
        <v>รวิกา</v>
      </c>
      <c r="H8" t="str">
        <f>IFERROR(__xludf.DUMMYFUNCTION("""COMPUTED_VALUE"""),"กัววงศ์")</f>
        <v>กัววงศ์</v>
      </c>
      <c r="I8" t="str">
        <f>IFERROR(__xludf.DUMMYFUNCTION("""COMPUTED_VALUE"""),"รวิกา กัววงศ์")</f>
        <v>รวิกา กัววงศ์</v>
      </c>
      <c r="J8" t="str">
        <f>IFERROR(__xludf.DUMMYFUNCTION("""COMPUTED_VALUE"""),"Aof")</f>
        <v>Aof</v>
      </c>
      <c r="K8" t="str">
        <f>IFERROR(__xludf.DUMMYFUNCTION("""COMPUTED_VALUE"""),"Senior Cabin Crew")</f>
        <v>Senior Cabin Crew</v>
      </c>
      <c r="L8" t="str">
        <f>IFERROR(__xludf.DUMMYFUNCTION("""COMPUTED_VALUE"""),"DMK")</f>
        <v>DMK</v>
      </c>
      <c r="M8" s="145" t="str">
        <f>IFERROR(__xludf.DUMMYFUNCTION("""COMPUTED_VALUE"""),"Kor Home")</f>
        <v>Kor Home</v>
      </c>
      <c r="N8" t="str">
        <f>IFERROR(__xludf.DUMMYFUNCTION("""COMPUTED_VALUE"""),"Active")</f>
        <v>Active</v>
      </c>
      <c r="O8" t="str">
        <f>IFERROR(__xludf.DUMMYFUNCTION("""COMPUTED_VALUE"""),"SCC Line Checker 2025")</f>
        <v>SCC Line Checker 2025</v>
      </c>
      <c r="P8" s="143">
        <f>IFERROR(__xludf.DUMMYFUNCTION("""COMPUTED_VALUE"""),27377.0)</f>
        <v>27377</v>
      </c>
      <c r="Q8" s="146" t="str">
        <f>IFERROR(__xludf.DUMMYFUNCTION("""COMPUTED_VALUE"""),"089 585 6556")</f>
        <v>089 585 6556</v>
      </c>
      <c r="R8" s="147" t="str">
        <f>IFERROR(__xludf.DUMMYFUNCTION("""COMPUTED_VALUE"""),"3101600-62-7491")</f>
        <v>3101600-62-7491</v>
      </c>
      <c r="S8" t="str">
        <f>IFERROR(__xludf.DUMMYFUNCTION("""COMPUTED_VALUE"""),"AC5654915")</f>
        <v>AC5654915</v>
      </c>
      <c r="T8" s="148">
        <f>IFERROR(__xludf.DUMMYFUNCTION("""COMPUTED_VALUE"""),45176.0)</f>
        <v>45176</v>
      </c>
      <c r="U8" s="148">
        <f>IFERROR(__xludf.DUMMYFUNCTION("""COMPUTED_VALUE"""),48828.0)</f>
        <v>48828</v>
      </c>
      <c r="V8" s="149">
        <f>IFERROR(__xludf.DUMMYFUNCTION("""COMPUTED_VALUE"""),48644.0)</f>
        <v>48644</v>
      </c>
      <c r="W8" t="str">
        <f>IFERROR(__xludf.DUMMYFUNCTION("""COMPUTED_VALUE"""),"ปลอดภัย")</f>
        <v>ปลอดภัย</v>
      </c>
      <c r="X8" t="str">
        <f>IFERROR(__xludf.DUMMYFUNCTION("""COMPUTED_VALUE"""),"Bangkok")</f>
        <v>Bangkok</v>
      </c>
      <c r="Y8" t="str">
        <f>IFERROR(__xludf.DUMMYFUNCTION("""COMPUTED_VALUE"""),"ภูเก็ต")</f>
        <v>ภูเก็ต</v>
      </c>
      <c r="Z8" t="str">
        <f>IFERROR(__xludf.DUMMYFUNCTION("""COMPUTED_VALUE"""),"! Update !")</f>
        <v>! Update !</v>
      </c>
      <c r="AA8" t="str">
        <f>IFERROR(__xludf.DUMMYFUNCTION("""COMPUTED_VALUE"""),"! Update !")</f>
        <v>! Update !</v>
      </c>
      <c r="AB8" t="str">
        <f>IFERROR(__xludf.DUMMYFUNCTION("""COMPUTED_VALUE"""),"rawigak@airasia.com")</f>
        <v>rawigak@airasia.com</v>
      </c>
    </row>
    <row r="9">
      <c r="A9">
        <f>IFERROR(__xludf.DUMMYFUNCTION("""COMPUTED_VALUE"""),1000240.0)</f>
        <v>1000240</v>
      </c>
      <c r="B9" t="str">
        <f>IFERROR(__xludf.DUMMYFUNCTION("""COMPUTED_VALUE"""),"Mr.")</f>
        <v>Mr.</v>
      </c>
      <c r="C9" t="str">
        <f>IFERROR(__xludf.DUMMYFUNCTION("""COMPUTED_VALUE"""),"Thanisorn")</f>
        <v>Thanisorn</v>
      </c>
      <c r="D9" t="str">
        <f>IFERROR(__xludf.DUMMYFUNCTION("""COMPUTED_VALUE"""),"Lenavat")</f>
        <v>Lenavat</v>
      </c>
      <c r="E9" t="str">
        <f>IFERROR(__xludf.DUMMYFUNCTION("""COMPUTED_VALUE"""),"Thanisorn Lenavat")</f>
        <v>Thanisorn Lenavat</v>
      </c>
      <c r="F9" t="str">
        <f>IFERROR(__xludf.DUMMYFUNCTION("""COMPUTED_VALUE"""),"นาย")</f>
        <v>นาย</v>
      </c>
      <c r="G9" t="str">
        <f>IFERROR(__xludf.DUMMYFUNCTION("""COMPUTED_VALUE"""),"ธนิสร")</f>
        <v>ธนิสร</v>
      </c>
      <c r="H9" t="str">
        <f>IFERROR(__xludf.DUMMYFUNCTION("""COMPUTED_VALUE"""),"ลีนะวัต")</f>
        <v>ลีนะวัต</v>
      </c>
      <c r="I9" t="str">
        <f>IFERROR(__xludf.DUMMYFUNCTION("""COMPUTED_VALUE"""),"ธนิสร ลีนะวัต")</f>
        <v>ธนิสร ลีนะวัต</v>
      </c>
      <c r="J9" t="str">
        <f>IFERROR(__xludf.DUMMYFUNCTION("""COMPUTED_VALUE"""),"Um")</f>
        <v>Um</v>
      </c>
      <c r="K9" t="str">
        <f>IFERROR(__xludf.DUMMYFUNCTION("""COMPUTED_VALUE"""),"Cabin Crew Engagement Lead")</f>
        <v>Cabin Crew Engagement Lead</v>
      </c>
      <c r="L9" t="str">
        <f>IFERROR(__xludf.DUMMYFUNCTION("""COMPUTED_VALUE"""),"DMK")</f>
        <v>DMK</v>
      </c>
      <c r="M9" s="145" t="str">
        <f>IFERROR(__xludf.DUMMYFUNCTION("""COMPUTED_VALUE"""),"Ward Monitor")</f>
        <v>Ward Monitor</v>
      </c>
      <c r="N9" t="str">
        <f>IFERROR(__xludf.DUMMYFUNCTION("""COMPUTED_VALUE"""),"CCEL")</f>
        <v>CCEL</v>
      </c>
      <c r="P9" s="143">
        <f>IFERROR(__xludf.DUMMYFUNCTION("""COMPUTED_VALUE"""),29005.0)</f>
        <v>29005</v>
      </c>
      <c r="Q9" s="146" t="str">
        <f>IFERROR(__xludf.DUMMYFUNCTION("""COMPUTED_VALUE"""),"094 798 9241")</f>
        <v>094 798 9241</v>
      </c>
      <c r="R9" s="147" t="str">
        <f>IFERROR(__xludf.DUMMYFUNCTION("""COMPUTED_VALUE"""),"3100903-50-7165")</f>
        <v>3100903-50-7165</v>
      </c>
      <c r="S9" t="str">
        <f>IFERROR(__xludf.DUMMYFUNCTION("""COMPUTED_VALUE"""),"AC2253555")</f>
        <v>AC2253555</v>
      </c>
      <c r="T9" s="148">
        <f>IFERROR(__xludf.DUMMYFUNCTION("""COMPUTED_VALUE"""),44307.0)</f>
        <v>44307</v>
      </c>
      <c r="U9" s="148">
        <f>IFERROR(__xludf.DUMMYFUNCTION("""COMPUTED_VALUE"""),47958.0)</f>
        <v>47958</v>
      </c>
      <c r="V9" s="149">
        <f>IFERROR(__xludf.DUMMYFUNCTION("""COMPUTED_VALUE"""),47776.0)</f>
        <v>47776</v>
      </c>
      <c r="W9" t="str">
        <f>IFERROR(__xludf.DUMMYFUNCTION("""COMPUTED_VALUE"""),"ปลอดภัย")</f>
        <v>ปลอดภัย</v>
      </c>
      <c r="X9" t="str">
        <f>IFERROR(__xludf.DUMMYFUNCTION("""COMPUTED_VALUE"""),"Chiang Mai Province")</f>
        <v>Chiang Mai Province</v>
      </c>
      <c r="Y9" t="str">
        <f>IFERROR(__xludf.DUMMYFUNCTION("""COMPUTED_VALUE"""),"บางนา")</f>
        <v>บางนา</v>
      </c>
      <c r="Z9" t="str">
        <f>IFERROR(__xludf.DUMMYFUNCTION("""COMPUTED_VALUE"""),"02 396 1599")</f>
        <v>02 396 1599</v>
      </c>
      <c r="AA9" t="str">
        <f>IFERROR(__xludf.DUMMYFUNCTION("""COMPUTED_VALUE"""),"บ้าน")</f>
        <v>บ้าน</v>
      </c>
      <c r="AB9" t="str">
        <f>IFERROR(__xludf.DUMMYFUNCTION("""COMPUTED_VALUE"""),"thanisornl@airasia.com")</f>
        <v>thanisornl@airasia.com</v>
      </c>
    </row>
    <row r="10">
      <c r="G10" t="str">
        <f>IFERROR(__xludf.DUMMYFUNCTION("""COMPUTED_VALUE"""),"F")</f>
        <v>F</v>
      </c>
      <c r="AB10" t="str">
        <f>IFERROR(__xludf.DUMMYFUNCTION("""COMPUTED_VALUE"""),"")</f>
        <v/>
      </c>
    </row>
    <row r="11">
      <c r="A11">
        <f>IFERROR(__xludf.DUMMYFUNCTION("""COMPUTED_VALUE"""),1000369.0)</f>
        <v>1000369</v>
      </c>
      <c r="B11" t="str">
        <f>IFERROR(__xludf.DUMMYFUNCTION("""COMPUTED_VALUE"""),"Ms.")</f>
        <v>Ms.</v>
      </c>
      <c r="C11" t="str">
        <f>IFERROR(__xludf.DUMMYFUNCTION("""COMPUTED_VALUE"""),"Bussayarangsri")</f>
        <v>Bussayarangsri</v>
      </c>
      <c r="D11" t="str">
        <f>IFERROR(__xludf.DUMMYFUNCTION("""COMPUTED_VALUE"""),"Saringkaphaiboon")</f>
        <v>Saringkaphaiboon</v>
      </c>
      <c r="E11" t="str">
        <f>IFERROR(__xludf.DUMMYFUNCTION("""COMPUTED_VALUE"""),"Bussayarangsri Saringkaphaiboon")</f>
        <v>Bussayarangsri Saringkaphaiboon</v>
      </c>
      <c r="F11" t="str">
        <f>IFERROR(__xludf.DUMMYFUNCTION("""COMPUTED_VALUE"""),"นางสาว")</f>
        <v>นางสาว</v>
      </c>
      <c r="G11" t="str">
        <f>IFERROR(__xludf.DUMMYFUNCTION("""COMPUTED_VALUE"""),"บุษยรังษี")</f>
        <v>บุษยรังษี</v>
      </c>
      <c r="H11" t="str">
        <f>IFERROR(__xludf.DUMMYFUNCTION("""COMPUTED_VALUE"""),"ศฤงฆไพบูลย์")</f>
        <v>ศฤงฆไพบูลย์</v>
      </c>
      <c r="I11" t="str">
        <f>IFERROR(__xludf.DUMMYFUNCTION("""COMPUTED_VALUE"""),"บุษยรังษี ศฤงฆไพบูลย์")</f>
        <v>บุษยรังษี ศฤงฆไพบูลย์</v>
      </c>
      <c r="J11" t="str">
        <f>IFERROR(__xludf.DUMMYFUNCTION("""COMPUTED_VALUE"""),"Phueng")</f>
        <v>Phueng</v>
      </c>
      <c r="K11" t="str">
        <f>IFERROR(__xludf.DUMMYFUNCTION("""COMPUTED_VALUE"""),"Senior Cabin Crew")</f>
        <v>Senior Cabin Crew</v>
      </c>
      <c r="L11" t="str">
        <f>IFERROR(__xludf.DUMMYFUNCTION("""COMPUTED_VALUE"""),"DMK")</f>
        <v>DMK</v>
      </c>
      <c r="M11" s="145" t="str">
        <f>IFERROR(__xludf.DUMMYFUNCTION("""COMPUTED_VALUE"""),"Por+ Home")</f>
        <v>Por+ Home</v>
      </c>
      <c r="N11" t="str">
        <f>IFERROR(__xludf.DUMMYFUNCTION("""COMPUTED_VALUE"""),"Active")</f>
        <v>Active</v>
      </c>
      <c r="O11" t="str">
        <f>IFERROR(__xludf.DUMMYFUNCTION("""COMPUTED_VALUE"""),"SCC Line Checker 2025")</f>
        <v>SCC Line Checker 2025</v>
      </c>
      <c r="P11" s="143">
        <f>IFERROR(__xludf.DUMMYFUNCTION("""COMPUTED_VALUE"""),24946.0)</f>
        <v>24946</v>
      </c>
      <c r="Q11" s="146" t="str">
        <f>IFERROR(__xludf.DUMMYFUNCTION("""COMPUTED_VALUE"""),"081 867 8441")</f>
        <v>081 867 8441</v>
      </c>
      <c r="R11" s="147" t="str">
        <f>IFERROR(__xludf.DUMMYFUNCTION("""COMPUTED_VALUE"""),"3101900-42-5975")</f>
        <v>3101900-42-5975</v>
      </c>
      <c r="S11" t="str">
        <f>IFERROR(__xludf.DUMMYFUNCTION("""COMPUTED_VALUE"""),"AD1745030")</f>
        <v>AD1745030</v>
      </c>
      <c r="T11" s="148">
        <f>IFERROR(__xludf.DUMMYFUNCTION("""COMPUTED_VALUE"""),45439.0)</f>
        <v>45439</v>
      </c>
      <c r="U11" s="148">
        <f>IFERROR(__xludf.DUMMYFUNCTION("""COMPUTED_VALUE"""),49090.0)</f>
        <v>49090</v>
      </c>
      <c r="V11" s="149">
        <f>IFERROR(__xludf.DUMMYFUNCTION("""COMPUTED_VALUE"""),48909.0)</f>
        <v>48909</v>
      </c>
      <c r="W11" t="str">
        <f>IFERROR(__xludf.DUMMYFUNCTION("""COMPUTED_VALUE"""),"ปลอดภัย")</f>
        <v>ปลอดภัย</v>
      </c>
      <c r="X11" t="str">
        <f>IFERROR(__xludf.DUMMYFUNCTION("""COMPUTED_VALUE"""),"Bangkok")</f>
        <v>Bangkok</v>
      </c>
      <c r="Y11" t="str">
        <f>IFERROR(__xludf.DUMMYFUNCTION("""COMPUTED_VALUE"""),"ตลิ่งชัน")</f>
        <v>ตลิ่งชัน</v>
      </c>
      <c r="Z11" t="str">
        <f>IFERROR(__xludf.DUMMYFUNCTION("""COMPUTED_VALUE"""),"081 867 8408")</f>
        <v>081 867 8408</v>
      </c>
      <c r="AA11" t="str">
        <f>IFERROR(__xludf.DUMMYFUNCTION("""COMPUTED_VALUE"""),"-")</f>
        <v>-</v>
      </c>
      <c r="AB11" t="str">
        <f>IFERROR(__xludf.DUMMYFUNCTION("""COMPUTED_VALUE"""),"bussayarangsris@airasia.com")</f>
        <v>bussayarangsris@airasia.com</v>
      </c>
    </row>
    <row r="12">
      <c r="A12">
        <f>IFERROR(__xludf.DUMMYFUNCTION("""COMPUTED_VALUE"""),1000374.0)</f>
        <v>1000374</v>
      </c>
      <c r="B12" t="str">
        <f>IFERROR(__xludf.DUMMYFUNCTION("""COMPUTED_VALUE"""),"Ms.")</f>
        <v>Ms.</v>
      </c>
      <c r="C12" t="str">
        <f>IFERROR(__xludf.DUMMYFUNCTION("""COMPUTED_VALUE"""),"Onwijit")</f>
        <v>Onwijit</v>
      </c>
      <c r="D12" t="str">
        <f>IFERROR(__xludf.DUMMYFUNCTION("""COMPUTED_VALUE"""),"Rinthaphol")</f>
        <v>Rinthaphol</v>
      </c>
      <c r="E12" t="str">
        <f>IFERROR(__xludf.DUMMYFUNCTION("""COMPUTED_VALUE"""),"Onwijit Rinthaphol")</f>
        <v>Onwijit Rinthaphol</v>
      </c>
      <c r="F12" t="str">
        <f>IFERROR(__xludf.DUMMYFUNCTION("""COMPUTED_VALUE"""),"นางสาว")</f>
        <v>นางสาว</v>
      </c>
      <c r="G12" t="str">
        <f>IFERROR(__xludf.DUMMYFUNCTION("""COMPUTED_VALUE"""),"อรวิจิตร")</f>
        <v>อรวิจิตร</v>
      </c>
      <c r="H12" t="str">
        <f>IFERROR(__xludf.DUMMYFUNCTION("""COMPUTED_VALUE"""),"รินทพล")</f>
        <v>รินทพล</v>
      </c>
      <c r="I12" t="str">
        <f>IFERROR(__xludf.DUMMYFUNCTION("""COMPUTED_VALUE"""),"อรวิจิตร รินทพล")</f>
        <v>อรวิจิตร รินทพล</v>
      </c>
      <c r="J12" t="str">
        <f>IFERROR(__xludf.DUMMYFUNCTION("""COMPUTED_VALUE"""),"Aon")</f>
        <v>Aon</v>
      </c>
      <c r="K12" t="str">
        <f>IFERROR(__xludf.DUMMYFUNCTION("""COMPUTED_VALUE"""),"Senior Cabin Crew")</f>
        <v>Senior Cabin Crew</v>
      </c>
      <c r="L12" t="str">
        <f>IFERROR(__xludf.DUMMYFUNCTION("""COMPUTED_VALUE"""),"DMK")</f>
        <v>DMK</v>
      </c>
      <c r="M12" s="145" t="str">
        <f>IFERROR(__xludf.DUMMYFUNCTION("""COMPUTED_VALUE"""),"Por+ Home")</f>
        <v>Por+ Home</v>
      </c>
      <c r="N12" t="str">
        <f>IFERROR(__xludf.DUMMYFUNCTION("""COMPUTED_VALUE"""),"Active")</f>
        <v>Active</v>
      </c>
      <c r="P12" s="143">
        <f>IFERROR(__xludf.DUMMYFUNCTION("""COMPUTED_VALUE"""),28680.0)</f>
        <v>28680</v>
      </c>
      <c r="Q12" s="146" t="str">
        <f>IFERROR(__xludf.DUMMYFUNCTION("""COMPUTED_VALUE"""),"081 205 1896")</f>
        <v>081 205 1896</v>
      </c>
      <c r="R12" s="147" t="str">
        <f>IFERROR(__xludf.DUMMYFUNCTION("""COMPUTED_VALUE"""),"3120101-71-5971")</f>
        <v>3120101-71-5971</v>
      </c>
      <c r="S12" t="str">
        <f>IFERROR(__xludf.DUMMYFUNCTION("""COMPUTED_VALUE"""),"AC3440289")</f>
        <v>AC3440289</v>
      </c>
      <c r="T12" s="148">
        <f>IFERROR(__xludf.DUMMYFUNCTION("""COMPUTED_VALUE"""),44739.0)</f>
        <v>44739</v>
      </c>
      <c r="U12" s="148">
        <f>IFERROR(__xludf.DUMMYFUNCTION("""COMPUTED_VALUE"""),48391.0)</f>
        <v>48391</v>
      </c>
      <c r="V12" s="149">
        <f>IFERROR(__xludf.DUMMYFUNCTION("""COMPUTED_VALUE"""),48208.0)</f>
        <v>48208</v>
      </c>
      <c r="W12" t="str">
        <f>IFERROR(__xludf.DUMMYFUNCTION("""COMPUTED_VALUE"""),"ปลอดภัย")</f>
        <v>ปลอดภัย</v>
      </c>
      <c r="X12" t="str">
        <f>IFERROR(__xludf.DUMMYFUNCTION("""COMPUTED_VALUE"""),"Bangkok")</f>
        <v>Bangkok</v>
      </c>
      <c r="Y12" t="str">
        <f>IFERROR(__xludf.DUMMYFUNCTION("""COMPUTED_VALUE"""),"บางพลี")</f>
        <v>บางพลี</v>
      </c>
      <c r="Z12" t="str">
        <f>IFERROR(__xludf.DUMMYFUNCTION("""COMPUTED_VALUE"""),"02 987 5045")</f>
        <v>02 987 5045</v>
      </c>
      <c r="AA12" t="str">
        <f>IFERROR(__xludf.DUMMYFUNCTION("""COMPUTED_VALUE"""),"บ้าน")</f>
        <v>บ้าน</v>
      </c>
      <c r="AB12" t="str">
        <f>IFERROR(__xludf.DUMMYFUNCTION("""COMPUTED_VALUE"""),"onwijitr@airasia.com")</f>
        <v>onwijitr@airasia.com</v>
      </c>
    </row>
    <row r="13">
      <c r="AB13" t="str">
        <f>IFERROR(__xludf.DUMMYFUNCTION("""COMPUTED_VALUE"""),"")</f>
        <v/>
      </c>
    </row>
    <row r="14">
      <c r="A14">
        <f>IFERROR(__xludf.DUMMYFUNCTION("""COMPUTED_VALUE"""),1000429.0)</f>
        <v>1000429</v>
      </c>
      <c r="B14" t="str">
        <f>IFERROR(__xludf.DUMMYFUNCTION("""COMPUTED_VALUE"""),"Ms.")</f>
        <v>Ms.</v>
      </c>
      <c r="C14" t="str">
        <f>IFERROR(__xludf.DUMMYFUNCTION("""COMPUTED_VALUE"""),"Thatchada")</f>
        <v>Thatchada</v>
      </c>
      <c r="D14" t="str">
        <f>IFERROR(__xludf.DUMMYFUNCTION("""COMPUTED_VALUE"""),"Sakulthep")</f>
        <v>Sakulthep</v>
      </c>
      <c r="E14" t="str">
        <f>IFERROR(__xludf.DUMMYFUNCTION("""COMPUTED_VALUE"""),"Thatchada Sakulthep")</f>
        <v>Thatchada Sakulthep</v>
      </c>
      <c r="F14" t="str">
        <f>IFERROR(__xludf.DUMMYFUNCTION("""COMPUTED_VALUE"""),"นางสาว")</f>
        <v>นางสาว</v>
      </c>
      <c r="G14" t="str">
        <f>IFERROR(__xludf.DUMMYFUNCTION("""COMPUTED_VALUE"""),"ธัชดา")</f>
        <v>ธัชดา</v>
      </c>
      <c r="H14" t="str">
        <f>IFERROR(__xludf.DUMMYFUNCTION("""COMPUTED_VALUE"""),"สกุลเทพ")</f>
        <v>สกุลเทพ</v>
      </c>
      <c r="I14" t="str">
        <f>IFERROR(__xludf.DUMMYFUNCTION("""COMPUTED_VALUE"""),"ธัชดา สกุลเทพ")</f>
        <v>ธัชดา สกุลเทพ</v>
      </c>
      <c r="J14" t="str">
        <f>IFERROR(__xludf.DUMMYFUNCTION("""COMPUTED_VALUE"""),"Jah")</f>
        <v>Jah</v>
      </c>
      <c r="K14" t="str">
        <f>IFERROR(__xludf.DUMMYFUNCTION("""COMPUTED_VALUE"""),"Senior Cabin Crew - HKT")</f>
        <v>Senior Cabin Crew - HKT</v>
      </c>
      <c r="L14" t="str">
        <f>IFERROR(__xludf.DUMMYFUNCTION("""COMPUTED_VALUE"""),"HKT")</f>
        <v>HKT</v>
      </c>
      <c r="M14" s="145" t="str">
        <f>IFERROR(__xludf.DUMMYFUNCTION("""COMPUTED_VALUE"""),"Kor Home")</f>
        <v>Kor Home</v>
      </c>
      <c r="N14" t="str">
        <f>IFERROR(__xludf.DUMMYFUNCTION("""COMPUTED_VALUE"""),"Active")</f>
        <v>Active</v>
      </c>
      <c r="P14" s="143">
        <f>IFERROR(__xludf.DUMMYFUNCTION("""COMPUTED_VALUE"""),29270.0)</f>
        <v>29270</v>
      </c>
      <c r="Q14" s="146" t="str">
        <f>IFERROR(__xludf.DUMMYFUNCTION("""COMPUTED_VALUE"""),"081 424 6593")</f>
        <v>081 424 6593</v>
      </c>
      <c r="R14" s="147" t="str">
        <f>IFERROR(__xludf.DUMMYFUNCTION("""COMPUTED_VALUE"""),"3830100-30-8462")</f>
        <v>3830100-30-8462</v>
      </c>
      <c r="S14" t="str">
        <f>IFERROR(__xludf.DUMMYFUNCTION("""COMPUTED_VALUE"""),"AC7682414")</f>
        <v>AC7682414</v>
      </c>
      <c r="T14" s="148">
        <f>IFERROR(__xludf.DUMMYFUNCTION("""COMPUTED_VALUE"""),45817.0)</f>
        <v>45817</v>
      </c>
      <c r="U14" s="148">
        <f>IFERROR(__xludf.DUMMYFUNCTION("""COMPUTED_VALUE"""),49468.0)</f>
        <v>49468</v>
      </c>
      <c r="V14" s="149">
        <f>IFERROR(__xludf.DUMMYFUNCTION("""COMPUTED_VALUE"""),49286.0)</f>
        <v>49286</v>
      </c>
      <c r="W14" t="str">
        <f>IFERROR(__xludf.DUMMYFUNCTION("""COMPUTED_VALUE"""),"ปลอดภัย")</f>
        <v>ปลอดภัย</v>
      </c>
      <c r="X14" t="str">
        <f>IFERROR(__xludf.DUMMYFUNCTION("""COMPUTED_VALUE"""),"Bangkok")</f>
        <v>Bangkok</v>
      </c>
      <c r="Y14" t="str">
        <f>IFERROR(__xludf.DUMMYFUNCTION("""COMPUTED_VALUE"""),"ลำลูกกา")</f>
        <v>ลำลูกกา</v>
      </c>
      <c r="Z14" t="str">
        <f>IFERROR(__xludf.DUMMYFUNCTION("""COMPUTED_VALUE"""),"086 993 9131")</f>
        <v>086 993 9131</v>
      </c>
      <c r="AA14" t="str">
        <f>IFERROR(__xludf.DUMMYFUNCTION("""COMPUTED_VALUE"""),"น้อง")</f>
        <v>น้อง</v>
      </c>
      <c r="AB14" t="str">
        <f>IFERROR(__xludf.DUMMYFUNCTION("""COMPUTED_VALUE"""),"thatchadas@airasia.com")</f>
        <v>thatchadas@airasia.com</v>
      </c>
    </row>
    <row r="15">
      <c r="AB15" t="str">
        <f>IFERROR(__xludf.DUMMYFUNCTION("""COMPUTED_VALUE"""),"")</f>
        <v/>
      </c>
    </row>
    <row r="16">
      <c r="A16">
        <f>IFERROR(__xludf.DUMMYFUNCTION("""COMPUTED_VALUE"""),1000539.0)</f>
        <v>1000539</v>
      </c>
      <c r="B16" t="str">
        <f>IFERROR(__xludf.DUMMYFUNCTION("""COMPUTED_VALUE"""),"Ms.")</f>
        <v>Ms.</v>
      </c>
      <c r="C16" t="str">
        <f>IFERROR(__xludf.DUMMYFUNCTION("""COMPUTED_VALUE"""),"Nuttakarn")</f>
        <v>Nuttakarn</v>
      </c>
      <c r="D16" t="str">
        <f>IFERROR(__xludf.DUMMYFUNCTION("""COMPUTED_VALUE"""),"Sirasarun")</f>
        <v>Sirasarun</v>
      </c>
      <c r="E16" t="str">
        <f>IFERROR(__xludf.DUMMYFUNCTION("""COMPUTED_VALUE"""),"Nuttakarn Sirasarun")</f>
        <v>Nuttakarn Sirasarun</v>
      </c>
      <c r="F16" t="str">
        <f>IFERROR(__xludf.DUMMYFUNCTION("""COMPUTED_VALUE"""),"นางสาว")</f>
        <v>นางสาว</v>
      </c>
      <c r="G16" t="str">
        <f>IFERROR(__xludf.DUMMYFUNCTION("""COMPUTED_VALUE"""),"ณัฐกานต์")</f>
        <v>ณัฐกานต์</v>
      </c>
      <c r="H16" t="str">
        <f>IFERROR(__xludf.DUMMYFUNCTION("""COMPUTED_VALUE"""),"ศิรศรัณย์")</f>
        <v>ศิรศรัณย์</v>
      </c>
      <c r="I16" t="str">
        <f>IFERROR(__xludf.DUMMYFUNCTION("""COMPUTED_VALUE"""),"ณัฐกานต์ ศิรศรัณย์")</f>
        <v>ณัฐกานต์ ศิรศรัณย์</v>
      </c>
      <c r="J16" t="str">
        <f>IFERROR(__xludf.DUMMYFUNCTION("""COMPUTED_VALUE"""),"Pat")</f>
        <v>Pat</v>
      </c>
      <c r="K16" t="str">
        <f>IFERROR(__xludf.DUMMYFUNCTION("""COMPUTED_VALUE"""),"Senior Cabin Crew")</f>
        <v>Senior Cabin Crew</v>
      </c>
      <c r="L16" t="str">
        <f>IFERROR(__xludf.DUMMYFUNCTION("""COMPUTED_VALUE"""),"DMK")</f>
        <v>DMK</v>
      </c>
      <c r="M16" s="145" t="str">
        <f>IFERROR(__xludf.DUMMYFUNCTION("""COMPUTED_VALUE"""),"Por+ Home")</f>
        <v>Por+ Home</v>
      </c>
      <c r="N16" t="str">
        <f>IFERROR(__xludf.DUMMYFUNCTION("""COMPUTED_VALUE"""),"Active")</f>
        <v>Active</v>
      </c>
      <c r="P16" s="143">
        <f>IFERROR(__xludf.DUMMYFUNCTION("""COMPUTED_VALUE"""),28380.0)</f>
        <v>28380</v>
      </c>
      <c r="Q16" s="146" t="str">
        <f>IFERROR(__xludf.DUMMYFUNCTION("""COMPUTED_VALUE"""),"081 257 9557")</f>
        <v>081 257 9557</v>
      </c>
      <c r="R16" s="147" t="str">
        <f>IFERROR(__xludf.DUMMYFUNCTION("""COMPUTED_VALUE"""),"3100502-39-1689")</f>
        <v>3100502-39-1689</v>
      </c>
      <c r="S16" t="str">
        <f>IFERROR(__xludf.DUMMYFUNCTION("""COMPUTED_VALUE"""),"AD0607552")</f>
        <v>AD0607552</v>
      </c>
      <c r="T16" s="148">
        <f>IFERROR(__xludf.DUMMYFUNCTION("""COMPUTED_VALUE"""),44932.0)</f>
        <v>44932</v>
      </c>
      <c r="U16" s="148">
        <f>IFERROR(__xludf.DUMMYFUNCTION("""COMPUTED_VALUE"""),48584.0)</f>
        <v>48584</v>
      </c>
      <c r="V16" s="149">
        <f>IFERROR(__xludf.DUMMYFUNCTION("""COMPUTED_VALUE"""),48400.0)</f>
        <v>48400</v>
      </c>
      <c r="W16" t="str">
        <f>IFERROR(__xludf.DUMMYFUNCTION("""COMPUTED_VALUE"""),"ปลอดภัย")</f>
        <v>ปลอดภัย</v>
      </c>
      <c r="X16" t="str">
        <f>IFERROR(__xludf.DUMMYFUNCTION("""COMPUTED_VALUE"""),"Bangkok")</f>
        <v>Bangkok</v>
      </c>
      <c r="Y16" t="str">
        <f>IFERROR(__xludf.DUMMYFUNCTION("""COMPUTED_VALUE"""),"ลาดพร้าว")</f>
        <v>ลาดพร้าว</v>
      </c>
      <c r="Z16" t="str">
        <f>IFERROR(__xludf.DUMMYFUNCTION("""COMPUTED_VALUE"""),"084 323 4883")</f>
        <v>084 323 4883</v>
      </c>
      <c r="AA16" t="str">
        <f>IFERROR(__xludf.DUMMYFUNCTION("""COMPUTED_VALUE"""),"สามี")</f>
        <v>สามี</v>
      </c>
      <c r="AB16" t="str">
        <f>IFERROR(__xludf.DUMMYFUNCTION("""COMPUTED_VALUE"""),"nuttakarns@airasia.com")</f>
        <v>nuttakarns@airasia.com</v>
      </c>
    </row>
    <row r="17">
      <c r="AB17" t="str">
        <f>IFERROR(__xludf.DUMMYFUNCTION("""COMPUTED_VALUE"""),"")</f>
        <v/>
      </c>
    </row>
    <row r="18">
      <c r="A18">
        <f>IFERROR(__xludf.DUMMYFUNCTION("""COMPUTED_VALUE"""),1000636.0)</f>
        <v>1000636</v>
      </c>
      <c r="B18" t="str">
        <f>IFERROR(__xludf.DUMMYFUNCTION("""COMPUTED_VALUE"""),"Ms.")</f>
        <v>Ms.</v>
      </c>
      <c r="C18" t="str">
        <f>IFERROR(__xludf.DUMMYFUNCTION("""COMPUTED_VALUE"""),"Phitsita")</f>
        <v>Phitsita</v>
      </c>
      <c r="D18" t="str">
        <f>IFERROR(__xludf.DUMMYFUNCTION("""COMPUTED_VALUE"""),"Tungasvasti")</f>
        <v>Tungasvasti</v>
      </c>
      <c r="E18" t="str">
        <f>IFERROR(__xludf.DUMMYFUNCTION("""COMPUTED_VALUE"""),"Phitsita Tungasvasti")</f>
        <v>Phitsita Tungasvasti</v>
      </c>
      <c r="F18" t="str">
        <f>IFERROR(__xludf.DUMMYFUNCTION("""COMPUTED_VALUE"""),"นางสาว")</f>
        <v>นางสาว</v>
      </c>
      <c r="G18" t="str">
        <f>IFERROR(__xludf.DUMMYFUNCTION("""COMPUTED_VALUE"""),"พิชญ์สิตา")</f>
        <v>พิชญ์สิตา</v>
      </c>
      <c r="H18" t="str">
        <f>IFERROR(__xludf.DUMMYFUNCTION("""COMPUTED_VALUE"""),"ตุงคสวัสดิ์")</f>
        <v>ตุงคสวัสดิ์</v>
      </c>
      <c r="I18" t="str">
        <f>IFERROR(__xludf.DUMMYFUNCTION("""COMPUTED_VALUE"""),"พิชญ์สิตา ตุงคสวัสดิ์")</f>
        <v>พิชญ์สิตา ตุงคสวัสดิ์</v>
      </c>
      <c r="J18" t="str">
        <f>IFERROR(__xludf.DUMMYFUNCTION("""COMPUTED_VALUE"""),"Gade")</f>
        <v>Gade</v>
      </c>
      <c r="K18" t="str">
        <f>IFERROR(__xludf.DUMMYFUNCTION("""COMPUTED_VALUE"""),"Senior Cabin Crew - HKT")</f>
        <v>Senior Cabin Crew - HKT</v>
      </c>
      <c r="L18" t="str">
        <f>IFERROR(__xludf.DUMMYFUNCTION("""COMPUTED_VALUE"""),"HKT")</f>
        <v>HKT</v>
      </c>
      <c r="M18" s="145" t="str">
        <f>IFERROR(__xludf.DUMMYFUNCTION("""COMPUTED_VALUE"""),"Kor Home")</f>
        <v>Kor Home</v>
      </c>
      <c r="N18" t="str">
        <f>IFERROR(__xludf.DUMMYFUNCTION("""COMPUTED_VALUE"""),"MATL")</f>
        <v>MATL</v>
      </c>
      <c r="P18" s="143">
        <f>IFERROR(__xludf.DUMMYFUNCTION("""COMPUTED_VALUE"""),28629.0)</f>
        <v>28629</v>
      </c>
      <c r="Q18" s="146" t="str">
        <f>IFERROR(__xludf.DUMMYFUNCTION("""COMPUTED_VALUE"""),"086 545 3263")</f>
        <v>086 545 3263</v>
      </c>
      <c r="R18" s="147" t="str">
        <f>IFERROR(__xludf.DUMMYFUNCTION("""COMPUTED_VALUE"""),"3580400-03-0209")</f>
        <v>3580400-03-0209</v>
      </c>
      <c r="S18" t="str">
        <f>IFERROR(__xludf.DUMMYFUNCTION("""COMPUTED_VALUE"""),"AC2829131")</f>
        <v>AC2829131</v>
      </c>
      <c r="T18" s="148">
        <f>IFERROR(__xludf.DUMMYFUNCTION("""COMPUTED_VALUE"""),44519.0)</f>
        <v>44519</v>
      </c>
      <c r="U18" s="148">
        <f>IFERROR(__xludf.DUMMYFUNCTION("""COMPUTED_VALUE"""),48170.0)</f>
        <v>48170</v>
      </c>
      <c r="V18" s="149">
        <f>IFERROR(__xludf.DUMMYFUNCTION("""COMPUTED_VALUE"""),47986.0)</f>
        <v>47986</v>
      </c>
      <c r="W18" t="str">
        <f>IFERROR(__xludf.DUMMYFUNCTION("""COMPUTED_VALUE"""),"ปลอดภัย")</f>
        <v>ปลอดภัย</v>
      </c>
      <c r="X18" t="str">
        <f>IFERROR(__xludf.DUMMYFUNCTION("""COMPUTED_VALUE"""),"Mae Hong Son Province")</f>
        <v>Mae Hong Son Province</v>
      </c>
      <c r="Y18" t="str">
        <f>IFERROR(__xludf.DUMMYFUNCTION("""COMPUTED_VALUE"""),"บางกะปิ")</f>
        <v>บางกะปิ</v>
      </c>
      <c r="Z18" t="str">
        <f>IFERROR(__xludf.DUMMYFUNCTION("""COMPUTED_VALUE"""),"082 550 5553")</f>
        <v>082 550 5553</v>
      </c>
      <c r="AA18" t="str">
        <f>IFERROR(__xludf.DUMMYFUNCTION("""COMPUTED_VALUE"""),"แฟน")</f>
        <v>แฟน</v>
      </c>
      <c r="AB18" t="str">
        <f>IFERROR(__xludf.DUMMYFUNCTION("""COMPUTED_VALUE"""),"phitsitat@airasia.com")</f>
        <v>phitsitat@airasia.com</v>
      </c>
    </row>
    <row r="19">
      <c r="AB19" t="str">
        <f>IFERROR(__xludf.DUMMYFUNCTION("""COMPUTED_VALUE"""),"")</f>
        <v/>
      </c>
    </row>
    <row r="20">
      <c r="A20">
        <f>IFERROR(__xludf.DUMMYFUNCTION("""COMPUTED_VALUE"""),1000675.0)</f>
        <v>1000675</v>
      </c>
      <c r="B20" t="str">
        <f>IFERROR(__xludf.DUMMYFUNCTION("""COMPUTED_VALUE"""),"Ms.")</f>
        <v>Ms.</v>
      </c>
      <c r="C20" t="str">
        <f>IFERROR(__xludf.DUMMYFUNCTION("""COMPUTED_VALUE"""),"Sivaporn")</f>
        <v>Sivaporn</v>
      </c>
      <c r="D20" t="str">
        <f>IFERROR(__xludf.DUMMYFUNCTION("""COMPUTED_VALUE"""),"Limkanokrat")</f>
        <v>Limkanokrat</v>
      </c>
      <c r="E20" t="str">
        <f>IFERROR(__xludf.DUMMYFUNCTION("""COMPUTED_VALUE"""),"Sivaporn Limkanokrat")</f>
        <v>Sivaporn Limkanokrat</v>
      </c>
      <c r="F20" t="str">
        <f>IFERROR(__xludf.DUMMYFUNCTION("""COMPUTED_VALUE"""),"นางสาว")</f>
        <v>นางสาว</v>
      </c>
      <c r="G20" t="str">
        <f>IFERROR(__xludf.DUMMYFUNCTION("""COMPUTED_VALUE"""),"ศิวาพร")</f>
        <v>ศิวาพร</v>
      </c>
      <c r="H20" t="str">
        <f>IFERROR(__xludf.DUMMYFUNCTION("""COMPUTED_VALUE"""),"ลิ่มกนกรัตน์")</f>
        <v>ลิ่มกนกรัตน์</v>
      </c>
      <c r="I20" t="str">
        <f>IFERROR(__xludf.DUMMYFUNCTION("""COMPUTED_VALUE"""),"ศิวาพร ลิ่มกนกรัตน์")</f>
        <v>ศิวาพร ลิ่มกนกรัตน์</v>
      </c>
      <c r="J20" t="str">
        <f>IFERROR(__xludf.DUMMYFUNCTION("""COMPUTED_VALUE"""),"Earn")</f>
        <v>Earn</v>
      </c>
      <c r="K20" t="str">
        <f>IFERROR(__xludf.DUMMYFUNCTION("""COMPUTED_VALUE"""),"Senior Cabin Crew")</f>
        <v>Senior Cabin Crew</v>
      </c>
      <c r="L20" t="str">
        <f>IFERROR(__xludf.DUMMYFUNCTION("""COMPUTED_VALUE"""),"DMK")</f>
        <v>DMK</v>
      </c>
      <c r="M20" s="145" t="str">
        <f>IFERROR(__xludf.DUMMYFUNCTION("""COMPUTED_VALUE"""),"Um Home")</f>
        <v>Um Home</v>
      </c>
      <c r="N20" t="str">
        <f>IFERROR(__xludf.DUMMYFUNCTION("""COMPUTED_VALUE"""),"Active")</f>
        <v>Active</v>
      </c>
      <c r="P20" s="143">
        <f>IFERROR(__xludf.DUMMYFUNCTION("""COMPUTED_VALUE"""),29150.0)</f>
        <v>29150</v>
      </c>
      <c r="Q20" s="146" t="str">
        <f>IFERROR(__xludf.DUMMYFUNCTION("""COMPUTED_VALUE"""),"090 974 5040")</f>
        <v>090 974 5040</v>
      </c>
      <c r="R20" s="147" t="str">
        <f>IFERROR(__xludf.DUMMYFUNCTION("""COMPUTED_VALUE"""),"3100602-25-9154")</f>
        <v>3100602-25-9154</v>
      </c>
      <c r="S20" t="str">
        <f>IFERROR(__xludf.DUMMYFUNCTION("""COMPUTED_VALUE"""),"AC6813709")</f>
        <v>AC6813709</v>
      </c>
      <c r="T20" s="148">
        <f>IFERROR(__xludf.DUMMYFUNCTION("""COMPUTED_VALUE"""),45449.0)</f>
        <v>45449</v>
      </c>
      <c r="U20" s="148">
        <f>IFERROR(__xludf.DUMMYFUNCTION("""COMPUTED_VALUE"""),49100.0)</f>
        <v>49100</v>
      </c>
      <c r="V20" s="149">
        <f>IFERROR(__xludf.DUMMYFUNCTION("""COMPUTED_VALUE"""),48918.0)</f>
        <v>48918</v>
      </c>
      <c r="W20" t="str">
        <f>IFERROR(__xludf.DUMMYFUNCTION("""COMPUTED_VALUE"""),"ปลอดภัย")</f>
        <v>ปลอดภัย</v>
      </c>
      <c r="X20" t="str">
        <f>IFERROR(__xludf.DUMMYFUNCTION("""COMPUTED_VALUE"""),"Bangkok")</f>
        <v>Bangkok</v>
      </c>
      <c r="Y20" t="str">
        <f>IFERROR(__xludf.DUMMYFUNCTION("""COMPUTED_VALUE"""),"นนทบุรี บางบัวทอง")</f>
        <v>นนทบุรี บางบัวทอง</v>
      </c>
      <c r="Z20" t="str">
        <f>IFERROR(__xludf.DUMMYFUNCTION("""COMPUTED_VALUE"""),"02 7327010 9 # 602")</f>
        <v>02 7327010 9 # 602</v>
      </c>
      <c r="AA20" t="str">
        <f>IFERROR(__xludf.DUMMYFUNCTION("""COMPUTED_VALUE"""),"หอพัก")</f>
        <v>หอพัก</v>
      </c>
      <c r="AB20" t="str">
        <f>IFERROR(__xludf.DUMMYFUNCTION("""COMPUTED_VALUE"""),"sivapornl@airasia.com")</f>
        <v>sivapornl@airasia.com</v>
      </c>
    </row>
    <row r="21">
      <c r="A21">
        <f>IFERROR(__xludf.DUMMYFUNCTION("""COMPUTED_VALUE"""),1000678.0)</f>
        <v>1000678</v>
      </c>
      <c r="B21" t="str">
        <f>IFERROR(__xludf.DUMMYFUNCTION("""COMPUTED_VALUE"""),"Mr.")</f>
        <v>Mr.</v>
      </c>
      <c r="C21" t="str">
        <f>IFERROR(__xludf.DUMMYFUNCTION("""COMPUTED_VALUE"""),"Theppakorn")</f>
        <v>Theppakorn</v>
      </c>
      <c r="D21" t="str">
        <f>IFERROR(__xludf.DUMMYFUNCTION("""COMPUTED_VALUE"""),"Chaichana")</f>
        <v>Chaichana</v>
      </c>
      <c r="E21" t="str">
        <f>IFERROR(__xludf.DUMMYFUNCTION("""COMPUTED_VALUE"""),"Theppakorn Chaichana")</f>
        <v>Theppakorn Chaichana</v>
      </c>
      <c r="F21" t="str">
        <f>IFERROR(__xludf.DUMMYFUNCTION("""COMPUTED_VALUE"""),"นาย")</f>
        <v>นาย</v>
      </c>
      <c r="G21" t="str">
        <f>IFERROR(__xludf.DUMMYFUNCTION("""COMPUTED_VALUE"""),"เทพกร")</f>
        <v>เทพกร</v>
      </c>
      <c r="H21" t="str">
        <f>IFERROR(__xludf.DUMMYFUNCTION("""COMPUTED_VALUE"""),"ไชยชนะ")</f>
        <v>ไชยชนะ</v>
      </c>
      <c r="I21" t="str">
        <f>IFERROR(__xludf.DUMMYFUNCTION("""COMPUTED_VALUE"""),"เทพกร ไชยชนะ")</f>
        <v>เทพกร ไชยชนะ</v>
      </c>
      <c r="J21" t="str">
        <f>IFERROR(__xludf.DUMMYFUNCTION("""COMPUTED_VALUE"""),"Tom")</f>
        <v>Tom</v>
      </c>
      <c r="K21" t="str">
        <f>IFERROR(__xludf.DUMMYFUNCTION("""COMPUTED_VALUE"""),"Senior Cabin Crew - CNX")</f>
        <v>Senior Cabin Crew - CNX</v>
      </c>
      <c r="L21" t="str">
        <f>IFERROR(__xludf.DUMMYFUNCTION("""COMPUTED_VALUE"""),"CNX")</f>
        <v>CNX</v>
      </c>
      <c r="M21" s="145" t="str">
        <f>IFERROR(__xludf.DUMMYFUNCTION("""COMPUTED_VALUE"""),"Up Home")</f>
        <v>Up Home</v>
      </c>
      <c r="N21" t="str">
        <f>IFERROR(__xludf.DUMMYFUNCTION("""COMPUTED_VALUE"""),"Active")</f>
        <v>Active</v>
      </c>
      <c r="P21" s="143">
        <f>IFERROR(__xludf.DUMMYFUNCTION("""COMPUTED_VALUE"""),28357.0)</f>
        <v>28357</v>
      </c>
      <c r="Q21" s="146" t="str">
        <f>IFERROR(__xludf.DUMMYFUNCTION("""COMPUTED_VALUE"""),"063 140 6781")</f>
        <v>063 140 6781</v>
      </c>
      <c r="R21" s="147" t="str">
        <f>IFERROR(__xludf.DUMMYFUNCTION("""COMPUTED_VALUE"""),"3930300-14-8026")</f>
        <v>3930300-14-8026</v>
      </c>
      <c r="S21" t="str">
        <f>IFERROR(__xludf.DUMMYFUNCTION("""COMPUTED_VALUE"""),"AC3633126")</f>
        <v>AC3633126</v>
      </c>
      <c r="T21" s="148">
        <f>IFERROR(__xludf.DUMMYFUNCTION("""COMPUTED_VALUE"""),44760.0)</f>
        <v>44760</v>
      </c>
      <c r="U21" s="148">
        <f>IFERROR(__xludf.DUMMYFUNCTION("""COMPUTED_VALUE"""),48412.0)</f>
        <v>48412</v>
      </c>
      <c r="V21" s="149">
        <f>IFERROR(__xludf.DUMMYFUNCTION("""COMPUTED_VALUE"""),48230.0)</f>
        <v>48230</v>
      </c>
      <c r="W21" t="str">
        <f>IFERROR(__xludf.DUMMYFUNCTION("""COMPUTED_VALUE"""),"ปลอดภัย")</f>
        <v>ปลอดภัย</v>
      </c>
      <c r="X21" t="str">
        <f>IFERROR(__xludf.DUMMYFUNCTION("""COMPUTED_VALUE"""),"Phatthalung Province")</f>
        <v>Phatthalung Province</v>
      </c>
      <c r="Y21" t="str">
        <f>IFERROR(__xludf.DUMMYFUNCTION("""COMPUTED_VALUE"""),"ภูเก็ต")</f>
        <v>ภูเก็ต</v>
      </c>
      <c r="Z21" t="str">
        <f>IFERROR(__xludf.DUMMYFUNCTION("""COMPUTED_VALUE"""),"086 296 5120 / 02 721 1327")</f>
        <v>086 296 5120 / 02 721 1327</v>
      </c>
      <c r="AA21" t="str">
        <f>IFERROR(__xludf.DUMMYFUNCTION("""COMPUTED_VALUE"""),"พี่สาว")</f>
        <v>พี่สาว</v>
      </c>
      <c r="AB21" t="str">
        <f>IFERROR(__xludf.DUMMYFUNCTION("""COMPUTED_VALUE"""),"theppakornc@airasia.com")</f>
        <v>theppakornc@airasia.com</v>
      </c>
    </row>
    <row r="22">
      <c r="D22" t="str">
        <f>IFERROR(__xludf.DUMMYFUNCTION("""COMPUTED_VALUE""")," ")</f>
        <v> </v>
      </c>
      <c r="AB22" t="str">
        <f>IFERROR(__xludf.DUMMYFUNCTION("""COMPUTED_VALUE"""),"")</f>
        <v/>
      </c>
    </row>
    <row r="23">
      <c r="A23">
        <f>IFERROR(__xludf.DUMMYFUNCTION("""COMPUTED_VALUE"""),1000705.0)</f>
        <v>1000705</v>
      </c>
      <c r="B23" t="str">
        <f>IFERROR(__xludf.DUMMYFUNCTION("""COMPUTED_VALUE"""),"Ms.")</f>
        <v>Ms.</v>
      </c>
      <c r="C23" t="str">
        <f>IFERROR(__xludf.DUMMYFUNCTION("""COMPUTED_VALUE"""),"Avisada")</f>
        <v>Avisada</v>
      </c>
      <c r="D23" t="str">
        <f>IFERROR(__xludf.DUMMYFUNCTION("""COMPUTED_VALUE"""),"Jirunyakul")</f>
        <v>Jirunyakul</v>
      </c>
      <c r="E23" t="str">
        <f>IFERROR(__xludf.DUMMYFUNCTION("""COMPUTED_VALUE"""),"Avisada Jirunyakul")</f>
        <v>Avisada Jirunyakul</v>
      </c>
      <c r="F23" t="str">
        <f>IFERROR(__xludf.DUMMYFUNCTION("""COMPUTED_VALUE"""),"นางสาว")</f>
        <v>นางสาว</v>
      </c>
      <c r="G23" t="str">
        <f>IFERROR(__xludf.DUMMYFUNCTION("""COMPUTED_VALUE"""),"อาวิษฎา")</f>
        <v>อาวิษฎา</v>
      </c>
      <c r="H23" t="str">
        <f>IFERROR(__xludf.DUMMYFUNCTION("""COMPUTED_VALUE"""),"จิรัญญกุล")</f>
        <v>จิรัญญกุล</v>
      </c>
      <c r="I23" t="str">
        <f>IFERROR(__xludf.DUMMYFUNCTION("""COMPUTED_VALUE"""),"อาวิษฎา จิรัญญกุล")</f>
        <v>อาวิษฎา จิรัญญกุล</v>
      </c>
      <c r="J23" t="str">
        <f>IFERROR(__xludf.DUMMYFUNCTION("""COMPUTED_VALUE"""),"Ae (Avy)")</f>
        <v>Ae (Avy)</v>
      </c>
      <c r="K23" t="str">
        <f>IFERROR(__xludf.DUMMYFUNCTION("""COMPUTED_VALUE"""),"Senior Cabin Crew - BKK")</f>
        <v>Senior Cabin Crew - BKK</v>
      </c>
      <c r="L23" t="str">
        <f>IFERROR(__xludf.DUMMYFUNCTION("""COMPUTED_VALUE"""),"BKK")</f>
        <v>BKK</v>
      </c>
      <c r="M23" s="145" t="str">
        <f>IFERROR(__xludf.DUMMYFUNCTION("""COMPUTED_VALUE"""),"Nhui Home")</f>
        <v>Nhui Home</v>
      </c>
      <c r="N23" t="str">
        <f>IFERROR(__xludf.DUMMYFUNCTION("""COMPUTED_VALUE"""),"Active")</f>
        <v>Active</v>
      </c>
      <c r="O23" t="str">
        <f>IFERROR(__xludf.DUMMYFUNCTION("""COMPUTED_VALUE"""),"Chinese Speaking")</f>
        <v>Chinese Speaking</v>
      </c>
      <c r="P23" s="143">
        <f>IFERROR(__xludf.DUMMYFUNCTION("""COMPUTED_VALUE"""),26107.0)</f>
        <v>26107</v>
      </c>
      <c r="Q23" s="146" t="str">
        <f>IFERROR(__xludf.DUMMYFUNCTION("""COMPUTED_VALUE"""),"084 265 5962")</f>
        <v>084 265 5962</v>
      </c>
      <c r="R23" s="147" t="str">
        <f>IFERROR(__xludf.DUMMYFUNCTION("""COMPUTED_VALUE"""),"3100400-12-7389")</f>
        <v>3100400-12-7389</v>
      </c>
      <c r="S23" t="str">
        <f>IFERROR(__xludf.DUMMYFUNCTION("""COMPUTED_VALUE"""),"AC6240752")</f>
        <v>AC6240752</v>
      </c>
      <c r="T23" s="148">
        <f>IFERROR(__xludf.DUMMYFUNCTION("""COMPUTED_VALUE"""),45307.0)</f>
        <v>45307</v>
      </c>
      <c r="U23" s="150">
        <f>IFERROR(__xludf.DUMMYFUNCTION("""COMPUTED_VALUE"""),48959.0)</f>
        <v>48959</v>
      </c>
      <c r="V23" s="149">
        <f>IFERROR(__xludf.DUMMYFUNCTION("""COMPUTED_VALUE"""),48775.0)</f>
        <v>48775</v>
      </c>
      <c r="W23" t="str">
        <f>IFERROR(__xludf.DUMMYFUNCTION("""COMPUTED_VALUE"""),"ปลอดภัย")</f>
        <v>ปลอดภัย</v>
      </c>
      <c r="X23" t="str">
        <f>IFERROR(__xludf.DUMMYFUNCTION("""COMPUTED_VALUE"""),"Bangkok")</f>
        <v>Bangkok</v>
      </c>
      <c r="Y23" t="str">
        <f>IFERROR(__xludf.DUMMYFUNCTION("""COMPUTED_VALUE"""),"ลาดกระบัง")</f>
        <v>ลาดกระบัง</v>
      </c>
      <c r="Z23" t="str">
        <f>IFERROR(__xludf.DUMMYFUNCTION("""COMPUTED_VALUE"""),"081 909 1016")</f>
        <v>081 909 1016</v>
      </c>
      <c r="AA23" t="str">
        <f>IFERROR(__xludf.DUMMYFUNCTION("""COMPUTED_VALUE"""),"ยาย")</f>
        <v>ยาย</v>
      </c>
      <c r="AB23" t="str">
        <f>IFERROR(__xludf.DUMMYFUNCTION("""COMPUTED_VALUE"""),"avisadaj@airasia.com")</f>
        <v>avisadaj@airasia.com</v>
      </c>
    </row>
    <row r="24">
      <c r="A24">
        <f>IFERROR(__xludf.DUMMYFUNCTION("""COMPUTED_VALUE"""),1000707.0)</f>
        <v>1000707</v>
      </c>
      <c r="B24" t="str">
        <f>IFERROR(__xludf.DUMMYFUNCTION("""COMPUTED_VALUE"""),"Ms.")</f>
        <v>Ms.</v>
      </c>
      <c r="C24" t="str">
        <f>IFERROR(__xludf.DUMMYFUNCTION("""COMPUTED_VALUE"""),"Lucksnara (Anchalee)")</f>
        <v>Lucksnara (Anchalee)</v>
      </c>
      <c r="D24" t="str">
        <f>IFERROR(__xludf.DUMMYFUNCTION("""COMPUTED_VALUE"""),"Sothiratviroj (Wongdama)")</f>
        <v>Sothiratviroj (Wongdama)</v>
      </c>
      <c r="E24" t="str">
        <f>IFERROR(__xludf.DUMMYFUNCTION("""COMPUTED_VALUE"""),"Lucksnara Sothiratviroj")</f>
        <v>Lucksnara Sothiratviroj</v>
      </c>
      <c r="F24" t="str">
        <f>IFERROR(__xludf.DUMMYFUNCTION("""COMPUTED_VALUE"""),"นางสาว")</f>
        <v>นางสาว</v>
      </c>
      <c r="G24" t="str">
        <f>IFERROR(__xludf.DUMMYFUNCTION("""COMPUTED_VALUE"""),"ลักษณ์นารา")</f>
        <v>ลักษณ์นารา</v>
      </c>
      <c r="H24" t="str">
        <f>IFERROR(__xludf.DUMMYFUNCTION("""COMPUTED_VALUE"""),"โสตถิรัตน์วิโรจน์")</f>
        <v>โสตถิรัตน์วิโรจน์</v>
      </c>
      <c r="I24" t="str">
        <f>IFERROR(__xludf.DUMMYFUNCTION("""COMPUTED_VALUE"""),"ลักษณ์นารา โสตถิรัตน์วิโรจน์")</f>
        <v>ลักษณ์นารา โสตถิรัตน์วิโรจน์</v>
      </c>
      <c r="J24" t="str">
        <f>IFERROR(__xludf.DUMMYFUNCTION("""COMPUTED_VALUE"""),"Yui")</f>
        <v>Yui</v>
      </c>
      <c r="K24" t="str">
        <f>IFERROR(__xludf.DUMMYFUNCTION("""COMPUTED_VALUE"""),"Senior Cabin Crew - BKK")</f>
        <v>Senior Cabin Crew - BKK</v>
      </c>
      <c r="L24" t="str">
        <f>IFERROR(__xludf.DUMMYFUNCTION("""COMPUTED_VALUE"""),"BKK")</f>
        <v>BKK</v>
      </c>
      <c r="M24" s="145" t="str">
        <f>IFERROR(__xludf.DUMMYFUNCTION("""COMPUTED_VALUE"""),"Nhui Home")</f>
        <v>Nhui Home</v>
      </c>
      <c r="N24" t="str">
        <f>IFERROR(__xludf.DUMMYFUNCTION("""COMPUTED_VALUE"""),"Active")</f>
        <v>Active</v>
      </c>
      <c r="O24" t="str">
        <f>IFERROR(__xludf.DUMMYFUNCTION("""COMPUTED_VALUE"""),"Chinese Speaking")</f>
        <v>Chinese Speaking</v>
      </c>
      <c r="P24" s="143">
        <f>IFERROR(__xludf.DUMMYFUNCTION("""COMPUTED_VALUE"""),29579.0)</f>
        <v>29579</v>
      </c>
      <c r="Q24" s="146" t="str">
        <f>IFERROR(__xludf.DUMMYFUNCTION("""COMPUTED_VALUE"""),"089 812 3599")</f>
        <v>089 812 3599</v>
      </c>
      <c r="R24" s="147" t="str">
        <f>IFERROR(__xludf.DUMMYFUNCTION("""COMPUTED_VALUE"""),"3100904-92-7206")</f>
        <v>3100904-92-7206</v>
      </c>
      <c r="S24" t="str">
        <f>IFERROR(__xludf.DUMMYFUNCTION("""COMPUTED_VALUE"""),"AC3084523")</f>
        <v>AC3084523</v>
      </c>
      <c r="T24" s="148">
        <f>IFERROR(__xludf.DUMMYFUNCTION("""COMPUTED_VALUE"""),44686.0)</f>
        <v>44686</v>
      </c>
      <c r="U24" s="148">
        <f>IFERROR(__xludf.DUMMYFUNCTION("""COMPUTED_VALUE"""),48338.0)</f>
        <v>48338</v>
      </c>
      <c r="V24" s="149">
        <f>IFERROR(__xludf.DUMMYFUNCTION("""COMPUTED_VALUE"""),48156.0)</f>
        <v>48156</v>
      </c>
      <c r="W24" t="str">
        <f>IFERROR(__xludf.DUMMYFUNCTION("""COMPUTED_VALUE"""),"ปลอดภัย")</f>
        <v>ปลอดภัย</v>
      </c>
      <c r="X24" t="str">
        <f>IFERROR(__xludf.DUMMYFUNCTION("""COMPUTED_VALUE"""),"Bangkok")</f>
        <v>Bangkok</v>
      </c>
      <c r="Y24" t="str">
        <f>IFERROR(__xludf.DUMMYFUNCTION("""COMPUTED_VALUE"""),"ลาดกระบัง")</f>
        <v>ลาดกระบัง</v>
      </c>
      <c r="Z24" t="str">
        <f>IFERROR(__xludf.DUMMYFUNCTION("""COMPUTED_VALUE"""),"! Update !")</f>
        <v>! Update !</v>
      </c>
      <c r="AA24" t="str">
        <f>IFERROR(__xludf.DUMMYFUNCTION("""COMPUTED_VALUE"""),"! Update !")</f>
        <v>! Update !</v>
      </c>
      <c r="AB24" t="str">
        <f>IFERROR(__xludf.DUMMYFUNCTION("""COMPUTED_VALUE"""),"lucksnaras@airasia.com")</f>
        <v>lucksnaras@airasia.com</v>
      </c>
    </row>
    <row r="25">
      <c r="A25">
        <f>IFERROR(__xludf.DUMMYFUNCTION("""COMPUTED_VALUE"""),1000708.0)</f>
        <v>1000708</v>
      </c>
      <c r="B25" t="str">
        <f>IFERROR(__xludf.DUMMYFUNCTION("""COMPUTED_VALUE"""),"Ms.")</f>
        <v>Ms.</v>
      </c>
      <c r="C25" t="str">
        <f>IFERROR(__xludf.DUMMYFUNCTION("""COMPUTED_VALUE"""),"Panatda")</f>
        <v>Panatda</v>
      </c>
      <c r="D25" t="str">
        <f>IFERROR(__xludf.DUMMYFUNCTION("""COMPUTED_VALUE"""),"Nawakitwiboon")</f>
        <v>Nawakitwiboon</v>
      </c>
      <c r="E25" t="str">
        <f>IFERROR(__xludf.DUMMYFUNCTION("""COMPUTED_VALUE"""),"Panatda Nawakitwiboon")</f>
        <v>Panatda Nawakitwiboon</v>
      </c>
      <c r="F25" t="str">
        <f>IFERROR(__xludf.DUMMYFUNCTION("""COMPUTED_VALUE"""),"นางสาว")</f>
        <v>นางสาว</v>
      </c>
      <c r="G25" t="str">
        <f>IFERROR(__xludf.DUMMYFUNCTION("""COMPUTED_VALUE"""),"ปนัดดา")</f>
        <v>ปนัดดา</v>
      </c>
      <c r="H25" t="str">
        <f>IFERROR(__xludf.DUMMYFUNCTION("""COMPUTED_VALUE"""),"นวกิจวิบูลย์")</f>
        <v>นวกิจวิบูลย์</v>
      </c>
      <c r="I25" t="str">
        <f>IFERROR(__xludf.DUMMYFUNCTION("""COMPUTED_VALUE"""),"ปนัดดา นวกิจวิบูลย์")</f>
        <v>ปนัดดา นวกิจวิบูลย์</v>
      </c>
      <c r="J25" t="str">
        <f>IFERROR(__xludf.DUMMYFUNCTION("""COMPUTED_VALUE"""),"Hiang")</f>
        <v>Hiang</v>
      </c>
      <c r="K25" t="str">
        <f>IFERROR(__xludf.DUMMYFUNCTION("""COMPUTED_VALUE"""),"Senior Cabin Crew - BKK")</f>
        <v>Senior Cabin Crew - BKK</v>
      </c>
      <c r="L25" t="str">
        <f>IFERROR(__xludf.DUMMYFUNCTION("""COMPUTED_VALUE"""),"BKK")</f>
        <v>BKK</v>
      </c>
      <c r="M25" s="145" t="str">
        <f>IFERROR(__xludf.DUMMYFUNCTION("""COMPUTED_VALUE"""),"Nhui Home")</f>
        <v>Nhui Home</v>
      </c>
      <c r="N25" t="str">
        <f>IFERROR(__xludf.DUMMYFUNCTION("""COMPUTED_VALUE"""),"Active/V/DMK")</f>
        <v>Active/V/DMK</v>
      </c>
      <c r="O25" t="str">
        <f>IFERROR(__xludf.DUMMYFUNCTION("""COMPUTED_VALUE"""),"Chinese Speaking")</f>
        <v>Chinese Speaking</v>
      </c>
      <c r="P25" s="143">
        <f>IFERROR(__xludf.DUMMYFUNCTION("""COMPUTED_VALUE"""),29671.0)</f>
        <v>29671</v>
      </c>
      <c r="Q25" s="146" t="str">
        <f>IFERROR(__xludf.DUMMYFUNCTION("""COMPUTED_VALUE"""),"086 832 3883")</f>
        <v>086 832 3883</v>
      </c>
      <c r="R25" s="147" t="str">
        <f>IFERROR(__xludf.DUMMYFUNCTION("""COMPUTED_VALUE"""),"3100600-84-8217")</f>
        <v>3100600-84-8217</v>
      </c>
      <c r="S25" t="str">
        <f>IFERROR(__xludf.DUMMYFUNCTION("""COMPUTED_VALUE"""),"AC2663244")</f>
        <v>AC2663244</v>
      </c>
      <c r="T25" s="148">
        <f>IFERROR(__xludf.DUMMYFUNCTION("""COMPUTED_VALUE"""),44571.0)</f>
        <v>44571</v>
      </c>
      <c r="U25" s="148">
        <f>IFERROR(__xludf.DUMMYFUNCTION("""COMPUTED_VALUE"""),48222.0)</f>
        <v>48222</v>
      </c>
      <c r="V25" s="149">
        <f>IFERROR(__xludf.DUMMYFUNCTION("""COMPUTED_VALUE"""),48038.0)</f>
        <v>48038</v>
      </c>
      <c r="W25" t="str">
        <f>IFERROR(__xludf.DUMMYFUNCTION("""COMPUTED_VALUE"""),"ปลอดภัย")</f>
        <v>ปลอดภัย</v>
      </c>
      <c r="X25" t="str">
        <f>IFERROR(__xludf.DUMMYFUNCTION("""COMPUTED_VALUE"""),"Bangkok")</f>
        <v>Bangkok</v>
      </c>
      <c r="Y25" t="str">
        <f>IFERROR(__xludf.DUMMYFUNCTION("""COMPUTED_VALUE"""),"สะพานสูง")</f>
        <v>สะพานสูง</v>
      </c>
      <c r="Z25" t="str">
        <f>IFERROR(__xludf.DUMMYFUNCTION("""COMPUTED_VALUE"""),"084 111 3030")</f>
        <v>084 111 3030</v>
      </c>
      <c r="AA25" t="str">
        <f>IFERROR(__xludf.DUMMYFUNCTION("""COMPUTED_VALUE"""),"เพื่อน")</f>
        <v>เพื่อน</v>
      </c>
      <c r="AB25" t="str">
        <f>IFERROR(__xludf.DUMMYFUNCTION("""COMPUTED_VALUE"""),"panatdan@airasia.com")</f>
        <v>panatdan@airasia.com</v>
      </c>
    </row>
    <row r="26">
      <c r="A26">
        <f>IFERROR(__xludf.DUMMYFUNCTION("""COMPUTED_VALUE"""),1000709.0)</f>
        <v>1000709</v>
      </c>
      <c r="B26" t="str">
        <f>IFERROR(__xludf.DUMMYFUNCTION("""COMPUTED_VALUE"""),"Mrs.")</f>
        <v>Mrs.</v>
      </c>
      <c r="C26" t="str">
        <f>IFERROR(__xludf.DUMMYFUNCTION("""COMPUTED_VALUE"""),"Preeyaorn")</f>
        <v>Preeyaorn</v>
      </c>
      <c r="D26" t="str">
        <f>IFERROR(__xludf.DUMMYFUNCTION("""COMPUTED_VALUE"""),"Robrou (Ingavanija)")</f>
        <v>Robrou (Ingavanija)</v>
      </c>
      <c r="E26" t="str">
        <f>IFERROR(__xludf.DUMMYFUNCTION("""COMPUTED_VALUE"""),"Preeyaorn Robrou")</f>
        <v>Preeyaorn Robrou</v>
      </c>
      <c r="F26" t="str">
        <f>IFERROR(__xludf.DUMMYFUNCTION("""COMPUTED_VALUE"""),"นาง")</f>
        <v>นาง</v>
      </c>
      <c r="G26" t="str">
        <f>IFERROR(__xludf.DUMMYFUNCTION("""COMPUTED_VALUE"""),"ปรียาอร")</f>
        <v>ปรียาอร</v>
      </c>
      <c r="H26" t="str">
        <f>IFERROR(__xludf.DUMMYFUNCTION("""COMPUTED_VALUE"""),"รอบรู้")</f>
        <v>รอบรู้</v>
      </c>
      <c r="I26" t="str">
        <f>IFERROR(__xludf.DUMMYFUNCTION("""COMPUTED_VALUE"""),"ปรียาอร รอบรู้")</f>
        <v>ปรียาอร รอบรู้</v>
      </c>
      <c r="J26" t="str">
        <f>IFERROR(__xludf.DUMMYFUNCTION("""COMPUTED_VALUE"""),"เหม้ย")</f>
        <v>เหม้ย</v>
      </c>
      <c r="K26" t="str">
        <f>IFERROR(__xludf.DUMMYFUNCTION("""COMPUTED_VALUE"""),"Senior Cabin Crew - BKK")</f>
        <v>Senior Cabin Crew - BKK</v>
      </c>
      <c r="L26" t="str">
        <f>IFERROR(__xludf.DUMMYFUNCTION("""COMPUTED_VALUE"""),"BKK")</f>
        <v>BKK</v>
      </c>
      <c r="M26" s="145" t="str">
        <f>IFERROR(__xludf.DUMMYFUNCTION("""COMPUTED_VALUE"""),"Nhui Home")</f>
        <v>Nhui Home</v>
      </c>
      <c r="N26" t="str">
        <f>IFERROR(__xludf.DUMMYFUNCTION("""COMPUTED_VALUE"""),"Active")</f>
        <v>Active</v>
      </c>
      <c r="O26" t="str">
        <f>IFERROR(__xludf.DUMMYFUNCTION("""COMPUTED_VALUE"""),"Chinese Speaking")</f>
        <v>Chinese Speaking</v>
      </c>
      <c r="P26" s="143">
        <f>IFERROR(__xludf.DUMMYFUNCTION("""COMPUTED_VALUE"""),30424.0)</f>
        <v>30424</v>
      </c>
      <c r="Q26" s="146" t="str">
        <f>IFERROR(__xludf.DUMMYFUNCTION("""COMPUTED_VALUE"""),"081 732 8932")</f>
        <v>081 732 8932</v>
      </c>
      <c r="R26" s="147" t="str">
        <f>IFERROR(__xludf.DUMMYFUNCTION("""COMPUTED_VALUE"""),"3101501-49-3641")</f>
        <v>3101501-49-3641</v>
      </c>
      <c r="S26" t="str">
        <f>IFERROR(__xludf.DUMMYFUNCTION("""COMPUTED_VALUE"""),"AC2368643")</f>
        <v>AC2368643</v>
      </c>
      <c r="T26" s="148">
        <f>IFERROR(__xludf.DUMMYFUNCTION("""COMPUTED_VALUE"""),44287.0)</f>
        <v>44287</v>
      </c>
      <c r="U26" s="148">
        <f>IFERROR(__xludf.DUMMYFUNCTION("""COMPUTED_VALUE"""),47938.0)</f>
        <v>47938</v>
      </c>
      <c r="V26" s="149">
        <f>IFERROR(__xludf.DUMMYFUNCTION("""COMPUTED_VALUE"""),47756.0)</f>
        <v>47756</v>
      </c>
      <c r="W26" t="str">
        <f>IFERROR(__xludf.DUMMYFUNCTION("""COMPUTED_VALUE"""),"ปลอดภัย")</f>
        <v>ปลอดภัย</v>
      </c>
      <c r="X26" t="str">
        <f>IFERROR(__xludf.DUMMYFUNCTION("""COMPUTED_VALUE"""),"Bangkok")</f>
        <v>Bangkok</v>
      </c>
      <c r="Y26" t="str">
        <f>IFERROR(__xludf.DUMMYFUNCTION("""COMPUTED_VALUE"""),"ชลบุรี")</f>
        <v>ชลบุรี</v>
      </c>
      <c r="Z26" t="str">
        <f>IFERROR(__xludf.DUMMYFUNCTION("""COMPUTED_VALUE"""),"02 466 7024")</f>
        <v>02 466 7024</v>
      </c>
      <c r="AA26" t="str">
        <f>IFERROR(__xludf.DUMMYFUNCTION("""COMPUTED_VALUE"""),"บ้าน")</f>
        <v>บ้าน</v>
      </c>
      <c r="AB26" t="str">
        <f>IFERROR(__xludf.DUMMYFUNCTION("""COMPUTED_VALUE"""),"preeyaornr@airasia.com")</f>
        <v>preeyaornr@airasia.com</v>
      </c>
    </row>
    <row r="27">
      <c r="AB27" t="str">
        <f>IFERROR(__xludf.DUMMYFUNCTION("""COMPUTED_VALUE"""),"")</f>
        <v/>
      </c>
    </row>
    <row r="28">
      <c r="A28">
        <f>IFERROR(__xludf.DUMMYFUNCTION("""COMPUTED_VALUE"""),1000735.0)</f>
        <v>1000735</v>
      </c>
      <c r="B28" t="str">
        <f>IFERROR(__xludf.DUMMYFUNCTION("""COMPUTED_VALUE"""),"Ms.")</f>
        <v>Ms.</v>
      </c>
      <c r="C28" t="str">
        <f>IFERROR(__xludf.DUMMYFUNCTION("""COMPUTED_VALUE"""),"Darunee")</f>
        <v>Darunee</v>
      </c>
      <c r="D28" t="str">
        <f>IFERROR(__xludf.DUMMYFUNCTION("""COMPUTED_VALUE"""),"Duangdara")</f>
        <v>Duangdara</v>
      </c>
      <c r="E28" t="str">
        <f>IFERROR(__xludf.DUMMYFUNCTION("""COMPUTED_VALUE"""),"Darunee Duangdara")</f>
        <v>Darunee Duangdara</v>
      </c>
      <c r="F28" t="str">
        <f>IFERROR(__xludf.DUMMYFUNCTION("""COMPUTED_VALUE"""),"นางสาว")</f>
        <v>นางสาว</v>
      </c>
      <c r="G28" t="str">
        <f>IFERROR(__xludf.DUMMYFUNCTION("""COMPUTED_VALUE"""),"ดรุณี")</f>
        <v>ดรุณี</v>
      </c>
      <c r="H28" t="str">
        <f>IFERROR(__xludf.DUMMYFUNCTION("""COMPUTED_VALUE"""),"ดวงดารา")</f>
        <v>ดวงดารา</v>
      </c>
      <c r="I28" t="str">
        <f>IFERROR(__xludf.DUMMYFUNCTION("""COMPUTED_VALUE"""),"ดรุณี ดวงดารา")</f>
        <v>ดรุณี ดวงดารา</v>
      </c>
      <c r="J28" t="str">
        <f>IFERROR(__xludf.DUMMYFUNCTION("""COMPUTED_VALUE"""),"Tom")</f>
        <v>Tom</v>
      </c>
      <c r="K28" t="str">
        <f>IFERROR(__xludf.DUMMYFUNCTION("""COMPUTED_VALUE"""),"Senior Cabin Crew")</f>
        <v>Senior Cabin Crew</v>
      </c>
      <c r="L28" t="str">
        <f>IFERROR(__xludf.DUMMYFUNCTION("""COMPUTED_VALUE"""),"DMK")</f>
        <v>DMK</v>
      </c>
      <c r="M28" s="145" t="str">
        <f>IFERROR(__xludf.DUMMYFUNCTION("""COMPUTED_VALUE"""),"Namfon Home")</f>
        <v>Namfon Home</v>
      </c>
      <c r="N28" t="str">
        <f>IFERROR(__xludf.DUMMYFUNCTION("""COMPUTED_VALUE"""),"Active")</f>
        <v>Active</v>
      </c>
      <c r="P28" s="143">
        <f>IFERROR(__xludf.DUMMYFUNCTION("""COMPUTED_VALUE"""),29567.0)</f>
        <v>29567</v>
      </c>
      <c r="Q28" s="146" t="str">
        <f>IFERROR(__xludf.DUMMYFUNCTION("""COMPUTED_VALUE"""),"089 792 3957")</f>
        <v>089 792 3957</v>
      </c>
      <c r="R28" s="147" t="str">
        <f>IFERROR(__xludf.DUMMYFUNCTION("""COMPUTED_VALUE"""),"5102000-06-4442")</f>
        <v>5102000-06-4442</v>
      </c>
      <c r="S28" t="str">
        <f>IFERROR(__xludf.DUMMYFUNCTION("""COMPUTED_VALUE"""),"AC3752628")</f>
        <v>AC3752628</v>
      </c>
      <c r="T28" s="148">
        <f>IFERROR(__xludf.DUMMYFUNCTION("""COMPUTED_VALUE"""),44781.0)</f>
        <v>44781</v>
      </c>
      <c r="U28" s="148">
        <f>IFERROR(__xludf.DUMMYFUNCTION("""COMPUTED_VALUE"""),48433.0)</f>
        <v>48433</v>
      </c>
      <c r="V28" s="149">
        <f>IFERROR(__xludf.DUMMYFUNCTION("""COMPUTED_VALUE"""),48251.0)</f>
        <v>48251</v>
      </c>
      <c r="W28" t="str">
        <f>IFERROR(__xludf.DUMMYFUNCTION("""COMPUTED_VALUE"""),"ปลอดภัย")</f>
        <v>ปลอดภัย</v>
      </c>
      <c r="X28" t="str">
        <f>IFERROR(__xludf.DUMMYFUNCTION("""COMPUTED_VALUE"""),"Bangkok")</f>
        <v>Bangkok</v>
      </c>
      <c r="Y28" t="str">
        <f>IFERROR(__xludf.DUMMYFUNCTION("""COMPUTED_VALUE"""),"สายไหม")</f>
        <v>สายไหม</v>
      </c>
      <c r="Z28" t="str">
        <f>IFERROR(__xludf.DUMMYFUNCTION("""COMPUTED_VALUE"""),"02 281 4243")</f>
        <v>02 281 4243</v>
      </c>
      <c r="AA28" t="str">
        <f>IFERROR(__xludf.DUMMYFUNCTION("""COMPUTED_VALUE"""),"บ้าน")</f>
        <v>บ้าน</v>
      </c>
      <c r="AB28" t="str">
        <f>IFERROR(__xludf.DUMMYFUNCTION("""COMPUTED_VALUE"""),"daruneed@airasia.com")</f>
        <v>daruneed@airasia.com</v>
      </c>
    </row>
    <row r="29">
      <c r="A29">
        <f>IFERROR(__xludf.DUMMYFUNCTION("""COMPUTED_VALUE"""),1000736.0)</f>
        <v>1000736</v>
      </c>
      <c r="B29" t="str">
        <f>IFERROR(__xludf.DUMMYFUNCTION("""COMPUTED_VALUE"""),"Mr.")</f>
        <v>Mr.</v>
      </c>
      <c r="C29" t="str">
        <f>IFERROR(__xludf.DUMMYFUNCTION("""COMPUTED_VALUE"""),"Ekkachai")</f>
        <v>Ekkachai</v>
      </c>
      <c r="D29" t="str">
        <f>IFERROR(__xludf.DUMMYFUNCTION("""COMPUTED_VALUE"""),"Moolla")</f>
        <v>Moolla</v>
      </c>
      <c r="E29" t="str">
        <f>IFERROR(__xludf.DUMMYFUNCTION("""COMPUTED_VALUE"""),"Ekkachai Moolla")</f>
        <v>Ekkachai Moolla</v>
      </c>
      <c r="F29" t="str">
        <f>IFERROR(__xludf.DUMMYFUNCTION("""COMPUTED_VALUE"""),"นาย")</f>
        <v>นาย</v>
      </c>
      <c r="G29" t="str">
        <f>IFERROR(__xludf.DUMMYFUNCTION("""COMPUTED_VALUE"""),"เอกชัย")</f>
        <v>เอกชัย</v>
      </c>
      <c r="H29" t="str">
        <f>IFERROR(__xludf.DUMMYFUNCTION("""COMPUTED_VALUE"""),"มูลหล้า")</f>
        <v>มูลหล้า</v>
      </c>
      <c r="I29" t="str">
        <f>IFERROR(__xludf.DUMMYFUNCTION("""COMPUTED_VALUE"""),"เอกชัย มูลหล้า")</f>
        <v>เอกชัย มูลหล้า</v>
      </c>
      <c r="J29" t="str">
        <f>IFERROR(__xludf.DUMMYFUNCTION("""COMPUTED_VALUE"""),"Ake (Akeky)")</f>
        <v>Ake (Akeky)</v>
      </c>
      <c r="K29" t="str">
        <f>IFERROR(__xludf.DUMMYFUNCTION("""COMPUTED_VALUE"""),"Senior Cabin Crew")</f>
        <v>Senior Cabin Crew</v>
      </c>
      <c r="L29" t="str">
        <f>IFERROR(__xludf.DUMMYFUNCTION("""COMPUTED_VALUE"""),"DMK")</f>
        <v>DMK</v>
      </c>
      <c r="M29" s="145" t="str">
        <f>IFERROR(__xludf.DUMMYFUNCTION("""COMPUTED_VALUE"""),"Kor Home")</f>
        <v>Kor Home</v>
      </c>
      <c r="N29" t="str">
        <f>IFERROR(__xludf.DUMMYFUNCTION("""COMPUTED_VALUE"""),"Active")</f>
        <v>Active</v>
      </c>
      <c r="P29" s="143">
        <f>IFERROR(__xludf.DUMMYFUNCTION("""COMPUTED_VALUE"""),28680.0)</f>
        <v>28680</v>
      </c>
      <c r="Q29" s="146" t="str">
        <f>IFERROR(__xludf.DUMMYFUNCTION("""COMPUTED_VALUE"""),"093-578-8717")</f>
        <v>093-578-8717</v>
      </c>
      <c r="R29" s="147" t="str">
        <f>IFERROR(__xludf.DUMMYFUNCTION("""COMPUTED_VALUE"""),"3420800-18-9605")</f>
        <v>3420800-18-9605</v>
      </c>
      <c r="S29" t="str">
        <f>IFERROR(__xludf.DUMMYFUNCTION("""COMPUTED_VALUE"""),"AC2601358")</f>
        <v>AC2601358</v>
      </c>
      <c r="T29" s="148">
        <f>IFERROR(__xludf.DUMMYFUNCTION("""COMPUTED_VALUE"""),44898.0)</f>
        <v>44898</v>
      </c>
      <c r="U29" s="148">
        <f>IFERROR(__xludf.DUMMYFUNCTION("""COMPUTED_VALUE"""),48184.0)</f>
        <v>48184</v>
      </c>
      <c r="V29" s="149">
        <f>IFERROR(__xludf.DUMMYFUNCTION("""COMPUTED_VALUE"""),48001.0)</f>
        <v>48001</v>
      </c>
      <c r="W29" t="str">
        <f>IFERROR(__xludf.DUMMYFUNCTION("""COMPUTED_VALUE"""),"ปลอดภัย")</f>
        <v>ปลอดภัย</v>
      </c>
      <c r="X29" t="str">
        <f>IFERROR(__xludf.DUMMYFUNCTION("""COMPUTED_VALUE"""),"Loei Province")</f>
        <v>Loei Province</v>
      </c>
      <c r="Y29" t="str">
        <f>IFERROR(__xludf.DUMMYFUNCTION("""COMPUTED_VALUE"""),"จตุจักร")</f>
        <v>จตุจักร</v>
      </c>
      <c r="Z29" t="str">
        <f>IFERROR(__xludf.DUMMYFUNCTION("""COMPUTED_VALUE"""),"02 938 2587")</f>
        <v>02 938 2587</v>
      </c>
      <c r="AA29" t="str">
        <f>IFERROR(__xludf.DUMMYFUNCTION("""COMPUTED_VALUE"""),"บ้าน")</f>
        <v>บ้าน</v>
      </c>
      <c r="AB29" t="str">
        <f>IFERROR(__xludf.DUMMYFUNCTION("""COMPUTED_VALUE"""),"ekkachaim@airasia.com")</f>
        <v>ekkachaim@airasia.com</v>
      </c>
    </row>
    <row r="30">
      <c r="A30">
        <f>IFERROR(__xludf.DUMMYFUNCTION("""COMPUTED_VALUE"""),1000737.0)</f>
        <v>1000737</v>
      </c>
      <c r="B30" t="str">
        <f>IFERROR(__xludf.DUMMYFUNCTION("""COMPUTED_VALUE"""),"Mr.")</f>
        <v>Mr.</v>
      </c>
      <c r="C30" t="str">
        <f>IFERROR(__xludf.DUMMYFUNCTION("""COMPUTED_VALUE"""),"Pathomporn")</f>
        <v>Pathomporn</v>
      </c>
      <c r="D30" t="str">
        <f>IFERROR(__xludf.DUMMYFUNCTION("""COMPUTED_VALUE"""),"Sukanthong")</f>
        <v>Sukanthong</v>
      </c>
      <c r="E30" t="str">
        <f>IFERROR(__xludf.DUMMYFUNCTION("""COMPUTED_VALUE"""),"Pathomporn Sukanthong")</f>
        <v>Pathomporn Sukanthong</v>
      </c>
      <c r="F30" t="str">
        <f>IFERROR(__xludf.DUMMYFUNCTION("""COMPUTED_VALUE"""),"นาย")</f>
        <v>นาย</v>
      </c>
      <c r="G30" t="str">
        <f>IFERROR(__xludf.DUMMYFUNCTION("""COMPUTED_VALUE"""),"ปฐมพร")</f>
        <v>ปฐมพร</v>
      </c>
      <c r="H30" t="str">
        <f>IFERROR(__xludf.DUMMYFUNCTION("""COMPUTED_VALUE"""),"สุขันทอง")</f>
        <v>สุขันทอง</v>
      </c>
      <c r="I30" t="str">
        <f>IFERROR(__xludf.DUMMYFUNCTION("""COMPUTED_VALUE"""),"ปฐมพร สุขันทอง")</f>
        <v>ปฐมพร สุขันทอง</v>
      </c>
      <c r="J30" t="str">
        <f>IFERROR(__xludf.DUMMYFUNCTION("""COMPUTED_VALUE"""),"Jacky")</f>
        <v>Jacky</v>
      </c>
      <c r="K30" t="str">
        <f>IFERROR(__xludf.DUMMYFUNCTION("""COMPUTED_VALUE"""),"Senior Cabin Crew")</f>
        <v>Senior Cabin Crew</v>
      </c>
      <c r="L30" t="str">
        <f>IFERROR(__xludf.DUMMYFUNCTION("""COMPUTED_VALUE"""),"DMK")</f>
        <v>DMK</v>
      </c>
      <c r="M30" s="145" t="str">
        <f>IFERROR(__xludf.DUMMYFUNCTION("""COMPUTED_VALUE"""),"Por+ Home")</f>
        <v>Por+ Home</v>
      </c>
      <c r="N30" t="str">
        <f>IFERROR(__xludf.DUMMYFUNCTION("""COMPUTED_VALUE"""),"Active")</f>
        <v>Active</v>
      </c>
      <c r="P30" s="143">
        <f>IFERROR(__xludf.DUMMYFUNCTION("""COMPUTED_VALUE"""),30221.0)</f>
        <v>30221</v>
      </c>
      <c r="Q30" s="146" t="str">
        <f>IFERROR(__xludf.DUMMYFUNCTION("""COMPUTED_VALUE"""),"095-997-8946")</f>
        <v>095-997-8946</v>
      </c>
      <c r="R30" s="147" t="str">
        <f>IFERROR(__xludf.DUMMYFUNCTION("""COMPUTED_VALUE"""),"3100602-80-6511")</f>
        <v>3100602-80-6511</v>
      </c>
      <c r="S30" t="str">
        <f>IFERROR(__xludf.DUMMYFUNCTION("""COMPUTED_VALUE"""),"AC2961992")</f>
        <v>AC2961992</v>
      </c>
      <c r="T30" s="148">
        <f>IFERROR(__xludf.DUMMYFUNCTION("""COMPUTED_VALUE"""),44641.0)</f>
        <v>44641</v>
      </c>
      <c r="U30" s="148">
        <f>IFERROR(__xludf.DUMMYFUNCTION("""COMPUTED_VALUE"""),48293.0)</f>
        <v>48293</v>
      </c>
      <c r="V30" s="149">
        <f>IFERROR(__xludf.DUMMYFUNCTION("""COMPUTED_VALUE"""),48111.0)</f>
        <v>48111</v>
      </c>
      <c r="W30" t="str">
        <f>IFERROR(__xludf.DUMMYFUNCTION("""COMPUTED_VALUE"""),"ปลอดภัย")</f>
        <v>ปลอดภัย</v>
      </c>
      <c r="X30" t="str">
        <f>IFERROR(__xludf.DUMMYFUNCTION("""COMPUTED_VALUE"""),"Bangkok")</f>
        <v>Bangkok</v>
      </c>
      <c r="Y30" t="str">
        <f>IFERROR(__xludf.DUMMYFUNCTION("""COMPUTED_VALUE"""),"วังทองหลาง")</f>
        <v>วังทองหลาง</v>
      </c>
      <c r="Z30" t="str">
        <f>IFERROR(__xludf.DUMMYFUNCTION("""COMPUTED_VALUE"""),"081 336 7954")</f>
        <v>081 336 7954</v>
      </c>
      <c r="AA30" t="str">
        <f>IFERROR(__xludf.DUMMYFUNCTION("""COMPUTED_VALUE"""),"แม่")</f>
        <v>แม่</v>
      </c>
      <c r="AB30" t="str">
        <f>IFERROR(__xludf.DUMMYFUNCTION("""COMPUTED_VALUE"""),"pathomporns@airasia.com")</f>
        <v>pathomporns@airasia.com</v>
      </c>
    </row>
    <row r="31">
      <c r="A31">
        <f>IFERROR(__xludf.DUMMYFUNCTION("""COMPUTED_VALUE"""),1000738.0)</f>
        <v>1000738</v>
      </c>
      <c r="B31" t="str">
        <f>IFERROR(__xludf.DUMMYFUNCTION("""COMPUTED_VALUE"""),"Mr.")</f>
        <v>Mr.</v>
      </c>
      <c r="C31" t="str">
        <f>IFERROR(__xludf.DUMMYFUNCTION("""COMPUTED_VALUE"""),"Sompoach")</f>
        <v>Sompoach</v>
      </c>
      <c r="D31" t="str">
        <f>IFERROR(__xludf.DUMMYFUNCTION("""COMPUTED_VALUE"""),"Tahsu")</f>
        <v>Tahsu</v>
      </c>
      <c r="E31" t="str">
        <f>IFERROR(__xludf.DUMMYFUNCTION("""COMPUTED_VALUE"""),"Sompoach Tahsu")</f>
        <v>Sompoach Tahsu</v>
      </c>
      <c r="F31" t="str">
        <f>IFERROR(__xludf.DUMMYFUNCTION("""COMPUTED_VALUE"""),"นาย")</f>
        <v>นาย</v>
      </c>
      <c r="G31" t="str">
        <f>IFERROR(__xludf.DUMMYFUNCTION("""COMPUTED_VALUE"""),"สมโภช")</f>
        <v>สมโภช</v>
      </c>
      <c r="H31" t="str">
        <f>IFERROR(__xludf.DUMMYFUNCTION("""COMPUTED_VALUE"""),"ต๊ะสุ")</f>
        <v>ต๊ะสุ</v>
      </c>
      <c r="I31" t="str">
        <f>IFERROR(__xludf.DUMMYFUNCTION("""COMPUTED_VALUE"""),"สมโภช ต๊ะสุ")</f>
        <v>สมโภช ต๊ะสุ</v>
      </c>
      <c r="J31" t="str">
        <f>IFERROR(__xludf.DUMMYFUNCTION("""COMPUTED_VALUE"""),"Tah")</f>
        <v>Tah</v>
      </c>
      <c r="K31" t="str">
        <f>IFERROR(__xludf.DUMMYFUNCTION("""COMPUTED_VALUE"""),"Senior Cabin Crew - CNX")</f>
        <v>Senior Cabin Crew - CNX</v>
      </c>
      <c r="L31" t="str">
        <f>IFERROR(__xludf.DUMMYFUNCTION("""COMPUTED_VALUE"""),"CNX")</f>
        <v>CNX</v>
      </c>
      <c r="M31" s="145" t="str">
        <f>IFERROR(__xludf.DUMMYFUNCTION("""COMPUTED_VALUE"""),"Up Home")</f>
        <v>Up Home</v>
      </c>
      <c r="N31" t="str">
        <f>IFERROR(__xludf.DUMMYFUNCTION("""COMPUTED_VALUE"""),"Active")</f>
        <v>Active</v>
      </c>
      <c r="P31" s="143">
        <f>IFERROR(__xludf.DUMMYFUNCTION("""COMPUTED_VALUE"""),29128.0)</f>
        <v>29128</v>
      </c>
      <c r="Q31" s="146" t="str">
        <f>IFERROR(__xludf.DUMMYFUNCTION("""COMPUTED_VALUE"""),"083-017-2462")</f>
        <v>083-017-2462</v>
      </c>
      <c r="R31" s="147" t="str">
        <f>IFERROR(__xludf.DUMMYFUNCTION("""COMPUTED_VALUE"""),"3630600-03-2034")</f>
        <v>3630600-03-2034</v>
      </c>
      <c r="S31" t="str">
        <f>IFERROR(__xludf.DUMMYFUNCTION("""COMPUTED_VALUE"""),"AC5943984")</f>
        <v>AC5943984</v>
      </c>
      <c r="T31" s="148">
        <f>IFERROR(__xludf.DUMMYFUNCTION("""COMPUTED_VALUE"""),45245.0)</f>
        <v>45245</v>
      </c>
      <c r="U31" s="148">
        <f>IFERROR(__xludf.DUMMYFUNCTION("""COMPUTED_VALUE"""),48897.0)</f>
        <v>48897</v>
      </c>
      <c r="V31" s="149">
        <f>IFERROR(__xludf.DUMMYFUNCTION("""COMPUTED_VALUE"""),48713.0)</f>
        <v>48713</v>
      </c>
      <c r="W31" t="str">
        <f>IFERROR(__xludf.DUMMYFUNCTION("""COMPUTED_VALUE"""),"ปลอดภัย")</f>
        <v>ปลอดภัย</v>
      </c>
      <c r="X31" t="str">
        <f>IFERROR(__xludf.DUMMYFUNCTION("""COMPUTED_VALUE"""),"Tak Province")</f>
        <v>Tak Province</v>
      </c>
      <c r="Y31" t="str">
        <f>IFERROR(__xludf.DUMMYFUNCTION("""COMPUTED_VALUE"""),"ชิดลม")</f>
        <v>ชิดลม</v>
      </c>
      <c r="Z31" t="str">
        <f>IFERROR(__xludf.DUMMYFUNCTION("""COMPUTED_VALUE"""),"087 851 6060")</f>
        <v>087 851 6060</v>
      </c>
      <c r="AA31" t="str">
        <f>IFERROR(__xludf.DUMMYFUNCTION("""COMPUTED_VALUE"""),"พ่อ")</f>
        <v>พ่อ</v>
      </c>
      <c r="AB31" t="str">
        <f>IFERROR(__xludf.DUMMYFUNCTION("""COMPUTED_VALUE"""),"sompoacht@airasia.com")</f>
        <v>sompoacht@airasia.com</v>
      </c>
    </row>
    <row r="32">
      <c r="AB32" t="str">
        <f>IFERROR(__xludf.DUMMYFUNCTION("""COMPUTED_VALUE"""),"")</f>
        <v/>
      </c>
    </row>
    <row r="33">
      <c r="A33">
        <f>IFERROR(__xludf.DUMMYFUNCTION("""COMPUTED_VALUE"""),1001082.0)</f>
        <v>1001082</v>
      </c>
      <c r="B33" t="str">
        <f>IFERROR(__xludf.DUMMYFUNCTION("""COMPUTED_VALUE"""),"Mr.")</f>
        <v>Mr.</v>
      </c>
      <c r="C33" t="str">
        <f>IFERROR(__xludf.DUMMYFUNCTION("""COMPUTED_VALUE"""),"Pobsaran")</f>
        <v>Pobsaran</v>
      </c>
      <c r="D33" t="str">
        <f>IFERROR(__xludf.DUMMYFUNCTION("""COMPUTED_VALUE"""),"Chantaratim")</f>
        <v>Chantaratim</v>
      </c>
      <c r="E33" t="str">
        <f>IFERROR(__xludf.DUMMYFUNCTION("""COMPUTED_VALUE"""),"Pobsaran Chantaratim")</f>
        <v>Pobsaran Chantaratim</v>
      </c>
      <c r="F33" t="str">
        <f>IFERROR(__xludf.DUMMYFUNCTION("""COMPUTED_VALUE"""),"นาย")</f>
        <v>นาย</v>
      </c>
      <c r="G33" t="str">
        <f>IFERROR(__xludf.DUMMYFUNCTION("""COMPUTED_VALUE"""),"ภพศรันย์")</f>
        <v>ภพศรันย์</v>
      </c>
      <c r="H33" t="str">
        <f>IFERROR(__xludf.DUMMYFUNCTION("""COMPUTED_VALUE"""),"จันทรทิม")</f>
        <v>จันทรทิม</v>
      </c>
      <c r="I33" t="str">
        <f>IFERROR(__xludf.DUMMYFUNCTION("""COMPUTED_VALUE"""),"ภพศรันย์ จันทรทิม")</f>
        <v>ภพศรันย์ จันทรทิม</v>
      </c>
      <c r="J33" t="str">
        <f>IFERROR(__xludf.DUMMYFUNCTION("""COMPUTED_VALUE"""),"Pob")</f>
        <v>Pob</v>
      </c>
      <c r="K33" t="str">
        <f>IFERROR(__xludf.DUMMYFUNCTION("""COMPUTED_VALUE"""),"Senior Cabin Crew")</f>
        <v>Senior Cabin Crew</v>
      </c>
      <c r="L33" t="str">
        <f>IFERROR(__xludf.DUMMYFUNCTION("""COMPUTED_VALUE"""),"DMK")</f>
        <v>DMK</v>
      </c>
      <c r="M33" s="145" t="str">
        <f>IFERROR(__xludf.DUMMYFUNCTION("""COMPUTED_VALUE"""),"Namfon Home")</f>
        <v>Namfon Home</v>
      </c>
      <c r="N33" t="str">
        <f>IFERROR(__xludf.DUMMYFUNCTION("""COMPUTED_VALUE"""),"Active")</f>
        <v>Active</v>
      </c>
      <c r="P33" s="143">
        <f>IFERROR(__xludf.DUMMYFUNCTION("""COMPUTED_VALUE"""),29045.0)</f>
        <v>29045</v>
      </c>
      <c r="Q33" s="146" t="str">
        <f>IFERROR(__xludf.DUMMYFUNCTION("""COMPUTED_VALUE"""),"083 686 3270")</f>
        <v>083 686 3270</v>
      </c>
      <c r="R33" s="147" t="str">
        <f>IFERROR(__xludf.DUMMYFUNCTION("""COMPUTED_VALUE"""),"3149900-45-3020")</f>
        <v>3149900-45-3020</v>
      </c>
      <c r="S33" t="str">
        <f>IFERROR(__xludf.DUMMYFUNCTION("""COMPUTED_VALUE"""),"AD2125784")</f>
        <v>AD2125784</v>
      </c>
      <c r="T33" s="148">
        <f>IFERROR(__xludf.DUMMYFUNCTION("""COMPUTED_VALUE"""),45755.0)</f>
        <v>45755</v>
      </c>
      <c r="U33" s="148">
        <f>IFERROR(__xludf.DUMMYFUNCTION("""COMPUTED_VALUE"""),49406.0)</f>
        <v>49406</v>
      </c>
      <c r="V33" s="149">
        <f>IFERROR(__xludf.DUMMYFUNCTION("""COMPUTED_VALUE"""),49224.0)</f>
        <v>49224</v>
      </c>
      <c r="W33" t="str">
        <f>IFERROR(__xludf.DUMMYFUNCTION("""COMPUTED_VALUE"""),"ปลอดภัย")</f>
        <v>ปลอดภัย</v>
      </c>
      <c r="X33" t="str">
        <f>IFERROR(__xludf.DUMMYFUNCTION("""COMPUTED_VALUE"""),"Bangkok")</f>
        <v>Bangkok</v>
      </c>
      <c r="Y33" t="str">
        <f>IFERROR(__xludf.DUMMYFUNCTION("""COMPUTED_VALUE"""),"แจ้งวัฒนะ")</f>
        <v>แจ้งวัฒนะ</v>
      </c>
      <c r="Z33" t="str">
        <f>IFERROR(__xludf.DUMMYFUNCTION("""COMPUTED_VALUE"""),"081 306 6449")</f>
        <v>081 306 6449</v>
      </c>
      <c r="AA33" t="str">
        <f>IFERROR(__xludf.DUMMYFUNCTION("""COMPUTED_VALUE"""),"พ่อ")</f>
        <v>พ่อ</v>
      </c>
      <c r="AB33" t="str">
        <f>IFERROR(__xludf.DUMMYFUNCTION("""COMPUTED_VALUE"""),"pobsaranc@airasia.com")</f>
        <v>pobsaranc@airasia.com</v>
      </c>
    </row>
    <row r="34">
      <c r="A34">
        <f>IFERROR(__xludf.DUMMYFUNCTION("""COMPUTED_VALUE"""),1001083.0)</f>
        <v>1001083</v>
      </c>
      <c r="B34" t="str">
        <f>IFERROR(__xludf.DUMMYFUNCTION("""COMPUTED_VALUE"""),"Ms.")</f>
        <v>Ms.</v>
      </c>
      <c r="C34" t="str">
        <f>IFERROR(__xludf.DUMMYFUNCTION("""COMPUTED_VALUE"""),"Patchteerat (Pongsupa)")</f>
        <v>Patchteerat (Pongsupa)</v>
      </c>
      <c r="D34" t="str">
        <f>IFERROR(__xludf.DUMMYFUNCTION("""COMPUTED_VALUE"""),"Pongsamart")</f>
        <v>Pongsamart</v>
      </c>
      <c r="E34" t="str">
        <f>IFERROR(__xludf.DUMMYFUNCTION("""COMPUTED_VALUE"""),"Patchteerat Pongsamart")</f>
        <v>Patchteerat Pongsamart</v>
      </c>
      <c r="F34" t="str">
        <f>IFERROR(__xludf.DUMMYFUNCTION("""COMPUTED_VALUE"""),"นางสาว")</f>
        <v>นางสาว</v>
      </c>
      <c r="G34" t="str">
        <f>IFERROR(__xludf.DUMMYFUNCTION("""COMPUTED_VALUE"""),"พัชร์ธีรัตน์ (พงษ์สุภา)")</f>
        <v>พัชร์ธีรัตน์ (พงษ์สุภา)</v>
      </c>
      <c r="H34" t="str">
        <f>IFERROR(__xludf.DUMMYFUNCTION("""COMPUTED_VALUE"""),"พงษ์สามารถ")</f>
        <v>พงษ์สามารถ</v>
      </c>
      <c r="I34" t="str">
        <f>IFERROR(__xludf.DUMMYFUNCTION("""COMPUTED_VALUE"""),"พัชร์ธีรัตน์ พงษ์สามารถ")</f>
        <v>พัชร์ธีรัตน์ พงษ์สามารถ</v>
      </c>
      <c r="J34" t="str">
        <f>IFERROR(__xludf.DUMMYFUNCTION("""COMPUTED_VALUE"""),"Pat")</f>
        <v>Pat</v>
      </c>
      <c r="K34" t="str">
        <f>IFERROR(__xludf.DUMMYFUNCTION("""COMPUTED_VALUE"""),"Senior Cabin Crew")</f>
        <v>Senior Cabin Crew</v>
      </c>
      <c r="L34" t="str">
        <f>IFERROR(__xludf.DUMMYFUNCTION("""COMPUTED_VALUE"""),"DMK")</f>
        <v>DMK</v>
      </c>
      <c r="M34" s="145" t="str">
        <f>IFERROR(__xludf.DUMMYFUNCTION("""COMPUTED_VALUE"""),"Por+ Home")</f>
        <v>Por+ Home</v>
      </c>
      <c r="N34" t="str">
        <f>IFERROR(__xludf.DUMMYFUNCTION("""COMPUTED_VALUE"""),"Active")</f>
        <v>Active</v>
      </c>
      <c r="P34" s="143">
        <f>IFERROR(__xludf.DUMMYFUNCTION("""COMPUTED_VALUE"""),30530.0)</f>
        <v>30530</v>
      </c>
      <c r="Q34" s="146" t="str">
        <f>IFERROR(__xludf.DUMMYFUNCTION("""COMPUTED_VALUE"""),"090-699-4298")</f>
        <v>090-699-4298</v>
      </c>
      <c r="R34" s="147">
        <f>IFERROR(__xludf.DUMMYFUNCTION("""COMPUTED_VALUE"""),3.100503476173E12)</f>
        <v>3100503476173</v>
      </c>
      <c r="S34" t="str">
        <f>IFERROR(__xludf.DUMMYFUNCTION("""COMPUTED_VALUE"""),"AC8176860")</f>
        <v>AC8176860</v>
      </c>
      <c r="T34" s="148">
        <f>IFERROR(__xludf.DUMMYFUNCTION("""COMPUTED_VALUE"""),46006.0)</f>
        <v>46006</v>
      </c>
      <c r="U34" s="148">
        <f>IFERROR(__xludf.DUMMYFUNCTION("""COMPUTED_VALUE"""),49657.0)</f>
        <v>49657</v>
      </c>
      <c r="V34" s="149">
        <f>IFERROR(__xludf.DUMMYFUNCTION("""COMPUTED_VALUE"""),49474.0)</f>
        <v>49474</v>
      </c>
      <c r="W34" t="str">
        <f>IFERROR(__xludf.DUMMYFUNCTION("""COMPUTED_VALUE"""),"ปลอดภัย")</f>
        <v>ปลอดภัย</v>
      </c>
      <c r="X34" t="str">
        <f>IFERROR(__xludf.DUMMYFUNCTION("""COMPUTED_VALUE"""),"Bangkok")</f>
        <v>Bangkok</v>
      </c>
      <c r="Y34" t="str">
        <f>IFERROR(__xludf.DUMMYFUNCTION("""COMPUTED_VALUE"""),"บางเขน")</f>
        <v>บางเขน</v>
      </c>
      <c r="Z34" t="str">
        <f>IFERROR(__xludf.DUMMYFUNCTION("""COMPUTED_VALUE"""),"086 577 6144")</f>
        <v>086 577 6144</v>
      </c>
      <c r="AA34" t="str">
        <f>IFERROR(__xludf.DUMMYFUNCTION("""COMPUTED_VALUE"""),"แม่")</f>
        <v>แม่</v>
      </c>
      <c r="AB34" t="str">
        <f>IFERROR(__xludf.DUMMYFUNCTION("""COMPUTED_VALUE"""),"patchteeratpong@airasia.com")</f>
        <v>patchteeratpong@airasia.com</v>
      </c>
    </row>
    <row r="35">
      <c r="A35">
        <f>IFERROR(__xludf.DUMMYFUNCTION("""COMPUTED_VALUE"""),1001084.0)</f>
        <v>1001084</v>
      </c>
      <c r="B35" t="str">
        <f>IFERROR(__xludf.DUMMYFUNCTION("""COMPUTED_VALUE"""),"Ms.")</f>
        <v>Ms.</v>
      </c>
      <c r="C35" t="str">
        <f>IFERROR(__xludf.DUMMYFUNCTION("""COMPUTED_VALUE"""),"Sowapan")</f>
        <v>Sowapan</v>
      </c>
      <c r="D35" t="str">
        <f>IFERROR(__xludf.DUMMYFUNCTION("""COMPUTED_VALUE"""),"Chartwuthanon")</f>
        <v>Chartwuthanon</v>
      </c>
      <c r="E35" t="str">
        <f>IFERROR(__xludf.DUMMYFUNCTION("""COMPUTED_VALUE"""),"Sowapan Chartwuthanon")</f>
        <v>Sowapan Chartwuthanon</v>
      </c>
      <c r="F35" t="str">
        <f>IFERROR(__xludf.DUMMYFUNCTION("""COMPUTED_VALUE"""),"นางสาว")</f>
        <v>นางสาว</v>
      </c>
      <c r="G35" t="str">
        <f>IFERROR(__xludf.DUMMYFUNCTION("""COMPUTED_VALUE"""),"โสวพันธุ์")</f>
        <v>โสวพันธุ์</v>
      </c>
      <c r="H35" t="str">
        <f>IFERROR(__xludf.DUMMYFUNCTION("""COMPUTED_VALUE"""),"ชาติวุฒานนท์")</f>
        <v>ชาติวุฒานนท์</v>
      </c>
      <c r="I35" t="str">
        <f>IFERROR(__xludf.DUMMYFUNCTION("""COMPUTED_VALUE"""),"โสวพันธุ์ ชาติวุฒานนท์")</f>
        <v>โสวพันธุ์ ชาติวุฒานนท์</v>
      </c>
      <c r="J35" t="str">
        <f>IFERROR(__xludf.DUMMYFUNCTION("""COMPUTED_VALUE"""),"JJ")</f>
        <v>JJ</v>
      </c>
      <c r="K35" t="str">
        <f>IFERROR(__xludf.DUMMYFUNCTION("""COMPUTED_VALUE"""),"Senior Cabin Crew - CNX")</f>
        <v>Senior Cabin Crew - CNX</v>
      </c>
      <c r="L35" t="str">
        <f>IFERROR(__xludf.DUMMYFUNCTION("""COMPUTED_VALUE"""),"CNX")</f>
        <v>CNX</v>
      </c>
      <c r="M35" s="145" t="str">
        <f>IFERROR(__xludf.DUMMYFUNCTION("""COMPUTED_VALUE"""),"Up Home")</f>
        <v>Up Home</v>
      </c>
      <c r="N35" t="str">
        <f>IFERROR(__xludf.DUMMYFUNCTION("""COMPUTED_VALUE"""),"Active")</f>
        <v>Active</v>
      </c>
      <c r="P35" s="143">
        <f>IFERROR(__xludf.DUMMYFUNCTION("""COMPUTED_VALUE"""),28882.0)</f>
        <v>28882</v>
      </c>
      <c r="Q35" s="146" t="str">
        <f>IFERROR(__xludf.DUMMYFUNCTION("""COMPUTED_VALUE"""),"063 260 6277 ")</f>
        <v>063 260 6277 </v>
      </c>
      <c r="R35" s="147" t="str">
        <f>IFERROR(__xludf.DUMMYFUNCTION("""COMPUTED_VALUE"""),"3569900-21-0743")</f>
        <v>3569900-21-0743</v>
      </c>
      <c r="S35" t="str">
        <f>IFERROR(__xludf.DUMMYFUNCTION("""COMPUTED_VALUE"""),"AC5396117")</f>
        <v>AC5396117</v>
      </c>
      <c r="T35" s="148">
        <f>IFERROR(__xludf.DUMMYFUNCTION("""COMPUTED_VALUE"""),45147.0)</f>
        <v>45147</v>
      </c>
      <c r="U35" s="148">
        <f>IFERROR(__xludf.DUMMYFUNCTION("""COMPUTED_VALUE"""),48799.0)</f>
        <v>48799</v>
      </c>
      <c r="V35" s="149">
        <f>IFERROR(__xludf.DUMMYFUNCTION("""COMPUTED_VALUE"""),48618.0)</f>
        <v>48618</v>
      </c>
      <c r="W35" t="str">
        <f>IFERROR(__xludf.DUMMYFUNCTION("""COMPUTED_VALUE"""),"ปลอดภัย")</f>
        <v>ปลอดภัย</v>
      </c>
      <c r="X35" t="str">
        <f>IFERROR(__xludf.DUMMYFUNCTION("""COMPUTED_VALUE"""),"Prachuap Khiri Khan Province")</f>
        <v>Prachuap Khiri Khan Province</v>
      </c>
      <c r="Y35" t="str">
        <f>IFERROR(__xludf.DUMMYFUNCTION("""COMPUTED_VALUE"""),"ลาดกระบัง")</f>
        <v>ลาดกระบัง</v>
      </c>
      <c r="Z35" t="str">
        <f>IFERROR(__xludf.DUMMYFUNCTION("""COMPUTED_VALUE"""),"084 1506513")</f>
        <v>084 1506513</v>
      </c>
      <c r="AA35" t="str">
        <f>IFERROR(__xludf.DUMMYFUNCTION("""COMPUTED_VALUE"""),"ไม่ระบุ")</f>
        <v>ไม่ระบุ</v>
      </c>
      <c r="AB35" t="str">
        <f>IFERROR(__xludf.DUMMYFUNCTION("""COMPUTED_VALUE"""),"sowapanc@airasia.com")</f>
        <v>sowapanc@airasia.com</v>
      </c>
    </row>
    <row r="36">
      <c r="AB36" t="str">
        <f>IFERROR(__xludf.DUMMYFUNCTION("""COMPUTED_VALUE"""),"")</f>
        <v/>
      </c>
    </row>
    <row r="37">
      <c r="A37">
        <f>IFERROR(__xludf.DUMMYFUNCTION("""COMPUTED_VALUE"""),1001122.0)</f>
        <v>1001122</v>
      </c>
      <c r="B37" t="str">
        <f>IFERROR(__xludf.DUMMYFUNCTION("""COMPUTED_VALUE"""),"Ms.")</f>
        <v>Ms.</v>
      </c>
      <c r="C37" t="str">
        <f>IFERROR(__xludf.DUMMYFUNCTION("""COMPUTED_VALUE"""),"Supanya")</f>
        <v>Supanya</v>
      </c>
      <c r="D37" t="str">
        <f>IFERROR(__xludf.DUMMYFUNCTION("""COMPUTED_VALUE"""),"Kareepet")</f>
        <v>Kareepet</v>
      </c>
      <c r="E37" t="str">
        <f>IFERROR(__xludf.DUMMYFUNCTION("""COMPUTED_VALUE"""),"Supanya Kareepet")</f>
        <v>Supanya Kareepet</v>
      </c>
      <c r="F37" t="str">
        <f>IFERROR(__xludf.DUMMYFUNCTION("""COMPUTED_VALUE"""),"นางสาว")</f>
        <v>นางสาว</v>
      </c>
      <c r="G37" t="str">
        <f>IFERROR(__xludf.DUMMYFUNCTION("""COMPUTED_VALUE"""),"สุปัญญา")</f>
        <v>สุปัญญา</v>
      </c>
      <c r="H37" t="str">
        <f>IFERROR(__xludf.DUMMYFUNCTION("""COMPUTED_VALUE"""),"การีเพ็ชร์")</f>
        <v>การีเพ็ชร์</v>
      </c>
      <c r="I37" t="str">
        <f>IFERROR(__xludf.DUMMYFUNCTION("""COMPUTED_VALUE"""),"สุปัญญา การีเพ็ชร์")</f>
        <v>สุปัญญา การีเพ็ชร์</v>
      </c>
      <c r="J37" t="str">
        <f>IFERROR(__xludf.DUMMYFUNCTION("""COMPUTED_VALUE"""),"Cartoon")</f>
        <v>Cartoon</v>
      </c>
      <c r="K37" t="str">
        <f>IFERROR(__xludf.DUMMYFUNCTION("""COMPUTED_VALUE"""),"Senior Cabin Crew - BKK")</f>
        <v>Senior Cabin Crew - BKK</v>
      </c>
      <c r="L37" t="str">
        <f>IFERROR(__xludf.DUMMYFUNCTION("""COMPUTED_VALUE"""),"BKK")</f>
        <v>BKK</v>
      </c>
      <c r="M37" s="145" t="str">
        <f>IFERROR(__xludf.DUMMYFUNCTION("""COMPUTED_VALUE"""),"Nhui Home")</f>
        <v>Nhui Home</v>
      </c>
      <c r="N37" t="str">
        <f>IFERROR(__xludf.DUMMYFUNCTION("""COMPUTED_VALUE"""),"Active")</f>
        <v>Active</v>
      </c>
      <c r="P37" s="143">
        <f>IFERROR(__xludf.DUMMYFUNCTION("""COMPUTED_VALUE"""),30408.0)</f>
        <v>30408</v>
      </c>
      <c r="Q37" s="146" t="str">
        <f>IFERROR(__xludf.DUMMYFUNCTION("""COMPUTED_VALUE"""),"082-295-5636")</f>
        <v>082-295-5636</v>
      </c>
      <c r="R37" s="147" t="str">
        <f>IFERROR(__xludf.DUMMYFUNCTION("""COMPUTED_VALUE"""),"3101500-63-4437")</f>
        <v>3101500-63-4437</v>
      </c>
      <c r="S37" t="str">
        <f>IFERROR(__xludf.DUMMYFUNCTION("""COMPUTED_VALUE"""),"AC3160549")</f>
        <v>AC3160549</v>
      </c>
      <c r="T37" s="148">
        <f>IFERROR(__xludf.DUMMYFUNCTION("""COMPUTED_VALUE"""),44700.0)</f>
        <v>44700</v>
      </c>
      <c r="U37" s="148">
        <f>IFERROR(__xludf.DUMMYFUNCTION("""COMPUTED_VALUE"""),48352.0)</f>
        <v>48352</v>
      </c>
      <c r="V37" s="149">
        <f>IFERROR(__xludf.DUMMYFUNCTION("""COMPUTED_VALUE"""),48170.0)</f>
        <v>48170</v>
      </c>
      <c r="W37" t="str">
        <f>IFERROR(__xludf.DUMMYFUNCTION("""COMPUTED_VALUE"""),"ปลอดภัย")</f>
        <v>ปลอดภัย</v>
      </c>
      <c r="X37" t="str">
        <f>IFERROR(__xludf.DUMMYFUNCTION("""COMPUTED_VALUE"""),"Bangkok")</f>
        <v>Bangkok</v>
      </c>
      <c r="Y37" t="str">
        <f>IFERROR(__xludf.DUMMYFUNCTION("""COMPUTED_VALUE"""),"บางเสาธง")</f>
        <v>บางเสาธง</v>
      </c>
      <c r="Z37" t="str">
        <f>IFERROR(__xludf.DUMMYFUNCTION("""COMPUTED_VALUE"""),"085 812 4258")</f>
        <v>085 812 4258</v>
      </c>
      <c r="AA37" t="str">
        <f>IFERROR(__xludf.DUMMYFUNCTION("""COMPUTED_VALUE"""),"แฟน")</f>
        <v>แฟน</v>
      </c>
      <c r="AB37" t="str">
        <f>IFERROR(__xludf.DUMMYFUNCTION("""COMPUTED_VALUE"""),"supanyak@airasia.com")</f>
        <v>supanyak@airasia.com</v>
      </c>
    </row>
    <row r="38">
      <c r="A38">
        <f>IFERROR(__xludf.DUMMYFUNCTION("""COMPUTED_VALUE"""),1001124.0)</f>
        <v>1001124</v>
      </c>
      <c r="B38" t="str">
        <f>IFERROR(__xludf.DUMMYFUNCTION("""COMPUTED_VALUE"""),"Ms.")</f>
        <v>Ms.</v>
      </c>
      <c r="C38" t="str">
        <f>IFERROR(__xludf.DUMMYFUNCTION("""COMPUTED_VALUE"""),"Worapanit")</f>
        <v>Worapanit</v>
      </c>
      <c r="D38" t="str">
        <f>IFERROR(__xludf.DUMMYFUNCTION("""COMPUTED_VALUE"""),"Puangwong")</f>
        <v>Puangwong</v>
      </c>
      <c r="E38" t="str">
        <f>IFERROR(__xludf.DUMMYFUNCTION("""COMPUTED_VALUE"""),"Worapanit Puangwong")</f>
        <v>Worapanit Puangwong</v>
      </c>
      <c r="F38" t="str">
        <f>IFERROR(__xludf.DUMMYFUNCTION("""COMPUTED_VALUE"""),"นางสาว")</f>
        <v>นางสาว</v>
      </c>
      <c r="G38" t="str">
        <f>IFERROR(__xludf.DUMMYFUNCTION("""COMPUTED_VALUE"""),"วรพนิต")</f>
        <v>วรพนิต</v>
      </c>
      <c r="H38" t="str">
        <f>IFERROR(__xludf.DUMMYFUNCTION("""COMPUTED_VALUE"""),"พวงวงศ์")</f>
        <v>พวงวงศ์</v>
      </c>
      <c r="I38" t="str">
        <f>IFERROR(__xludf.DUMMYFUNCTION("""COMPUTED_VALUE"""),"วรพนิต พวงวงศ์")</f>
        <v>วรพนิต พวงวงศ์</v>
      </c>
      <c r="J38" t="str">
        <f>IFERROR(__xludf.DUMMYFUNCTION("""COMPUTED_VALUE"""),"Jane")</f>
        <v>Jane</v>
      </c>
      <c r="K38" t="str">
        <f>IFERROR(__xludf.DUMMYFUNCTION("""COMPUTED_VALUE"""),"Cabin Crew - CNX")</f>
        <v>Cabin Crew - CNX</v>
      </c>
      <c r="L38" t="str">
        <f>IFERROR(__xludf.DUMMYFUNCTION("""COMPUTED_VALUE"""),"CNX")</f>
        <v>CNX</v>
      </c>
      <c r="M38" s="145" t="str">
        <f>IFERROR(__xludf.DUMMYFUNCTION("""COMPUTED_VALUE"""),"Up Home")</f>
        <v>Up Home</v>
      </c>
      <c r="N38" t="str">
        <f>IFERROR(__xludf.DUMMYFUNCTION("""COMPUTED_VALUE"""),"Active")</f>
        <v>Active</v>
      </c>
      <c r="P38" s="143">
        <f>IFERROR(__xludf.DUMMYFUNCTION("""COMPUTED_VALUE"""),30333.0)</f>
        <v>30333</v>
      </c>
      <c r="Q38" s="146" t="str">
        <f>IFERROR(__xludf.DUMMYFUNCTION("""COMPUTED_VALUE"""),"081-7415979")</f>
        <v>081-7415979</v>
      </c>
      <c r="R38" s="147" t="str">
        <f>IFERROR(__xludf.DUMMYFUNCTION("""COMPUTED_VALUE"""),"3509900-99-3837")</f>
        <v>3509900-99-3837</v>
      </c>
      <c r="S38" t="str">
        <f>IFERROR(__xludf.DUMMYFUNCTION("""COMPUTED_VALUE"""),"AC5213167")</f>
        <v>AC5213167</v>
      </c>
      <c r="T38" s="148">
        <f>IFERROR(__xludf.DUMMYFUNCTION("""COMPUTED_VALUE"""),45117.0)</f>
        <v>45117</v>
      </c>
      <c r="U38" s="148">
        <f>IFERROR(__xludf.DUMMYFUNCTION("""COMPUTED_VALUE"""),48769.0)</f>
        <v>48769</v>
      </c>
      <c r="V38" s="149">
        <f>IFERROR(__xludf.DUMMYFUNCTION("""COMPUTED_VALUE"""),48588.0)</f>
        <v>48588</v>
      </c>
      <c r="W38" t="str">
        <f>IFERROR(__xludf.DUMMYFUNCTION("""COMPUTED_VALUE"""),"ปลอดภัย")</f>
        <v>ปลอดภัย</v>
      </c>
      <c r="X38" t="str">
        <f>IFERROR(__xludf.DUMMYFUNCTION("""COMPUTED_VALUE"""),"Chiang Mai Province")</f>
        <v>Chiang Mai Province</v>
      </c>
      <c r="Y38" t="str">
        <f>IFERROR(__xludf.DUMMYFUNCTION("""COMPUTED_VALUE"""),"พระราม 3")</f>
        <v>พระราม 3</v>
      </c>
      <c r="Z38" t="str">
        <f>IFERROR(__xludf.DUMMYFUNCTION("""COMPUTED_VALUE"""),"089 667 3005")</f>
        <v>089 667 3005</v>
      </c>
      <c r="AA38" t="str">
        <f>IFERROR(__xludf.DUMMYFUNCTION("""COMPUTED_VALUE"""),"แฟน")</f>
        <v>แฟน</v>
      </c>
      <c r="AB38" t="str">
        <f>IFERROR(__xludf.DUMMYFUNCTION("""COMPUTED_VALUE"""),"worapanitp@airasia.com")</f>
        <v>worapanitp@airasia.com</v>
      </c>
    </row>
    <row r="39">
      <c r="AB39" t="str">
        <f>IFERROR(__xludf.DUMMYFUNCTION("""COMPUTED_VALUE"""),"")</f>
        <v/>
      </c>
    </row>
    <row r="40">
      <c r="A40">
        <f>IFERROR(__xludf.DUMMYFUNCTION("""COMPUTED_VALUE"""),1001227.0)</f>
        <v>1001227</v>
      </c>
      <c r="B40" t="str">
        <f>IFERROR(__xludf.DUMMYFUNCTION("""COMPUTED_VALUE"""),"Ms.")</f>
        <v>Ms.</v>
      </c>
      <c r="C40" t="str">
        <f>IFERROR(__xludf.DUMMYFUNCTION("""COMPUTED_VALUE"""),"Dara")</f>
        <v>Dara</v>
      </c>
      <c r="D40" t="str">
        <f>IFERROR(__xludf.DUMMYFUNCTION("""COMPUTED_VALUE"""),"Nomanee")</f>
        <v>Nomanee</v>
      </c>
      <c r="E40" t="str">
        <f>IFERROR(__xludf.DUMMYFUNCTION("""COMPUTED_VALUE"""),"Dara Nomanee")</f>
        <v>Dara Nomanee</v>
      </c>
      <c r="F40" t="str">
        <f>IFERROR(__xludf.DUMMYFUNCTION("""COMPUTED_VALUE"""),"นางสาว")</f>
        <v>นางสาว</v>
      </c>
      <c r="G40" t="str">
        <f>IFERROR(__xludf.DUMMYFUNCTION("""COMPUTED_VALUE"""),"ดารา")</f>
        <v>ดารา</v>
      </c>
      <c r="H40" t="str">
        <f>IFERROR(__xludf.DUMMYFUNCTION("""COMPUTED_VALUE"""),"โนมณี")</f>
        <v>โนมณี</v>
      </c>
      <c r="I40" t="str">
        <f>IFERROR(__xludf.DUMMYFUNCTION("""COMPUTED_VALUE"""),"ดารา โนมณี")</f>
        <v>ดารา โนมณี</v>
      </c>
      <c r="J40" t="str">
        <f>IFERROR(__xludf.DUMMYFUNCTION("""COMPUTED_VALUE"""),"Aoi")</f>
        <v>Aoi</v>
      </c>
      <c r="K40" t="str">
        <f>IFERROR(__xludf.DUMMYFUNCTION("""COMPUTED_VALUE"""),"Senior Cabin Crew - BKK")</f>
        <v>Senior Cabin Crew - BKK</v>
      </c>
      <c r="L40" t="str">
        <f>IFERROR(__xludf.DUMMYFUNCTION("""COMPUTED_VALUE"""),"BKK")</f>
        <v>BKK</v>
      </c>
      <c r="M40" s="145" t="str">
        <f>IFERROR(__xludf.DUMMYFUNCTION("""COMPUTED_VALUE"""),"Nhui Home")</f>
        <v>Nhui Home</v>
      </c>
      <c r="N40" t="str">
        <f>IFERROR(__xludf.DUMMYFUNCTION("""COMPUTED_VALUE"""),"Active/V/DMK")</f>
        <v>Active/V/DMK</v>
      </c>
      <c r="P40" s="143">
        <f>IFERROR(__xludf.DUMMYFUNCTION("""COMPUTED_VALUE"""),30213.0)</f>
        <v>30213</v>
      </c>
      <c r="Q40" s="146" t="str">
        <f>IFERROR(__xludf.DUMMYFUNCTION("""COMPUTED_VALUE"""),"062 690 9242")</f>
        <v>062 690 9242</v>
      </c>
      <c r="R40" s="147" t="str">
        <f>IFERROR(__xludf.DUMMYFUNCTION("""COMPUTED_VALUE"""),"3579900-37-7745")</f>
        <v>3579900-37-7745</v>
      </c>
      <c r="S40" t="str">
        <f>IFERROR(__xludf.DUMMYFUNCTION("""COMPUTED_VALUE"""),"AC5618896")</f>
        <v>AC5618896</v>
      </c>
      <c r="T40" s="148">
        <f>IFERROR(__xludf.DUMMYFUNCTION("""COMPUTED_VALUE"""),45170.0)</f>
        <v>45170</v>
      </c>
      <c r="U40" s="148">
        <f>IFERROR(__xludf.DUMMYFUNCTION("""COMPUTED_VALUE"""),48822.0)</f>
        <v>48822</v>
      </c>
      <c r="V40" s="149">
        <f>IFERROR(__xludf.DUMMYFUNCTION("""COMPUTED_VALUE"""),48638.0)</f>
        <v>48638</v>
      </c>
      <c r="W40" t="str">
        <f>IFERROR(__xludf.DUMMYFUNCTION("""COMPUTED_VALUE"""),"ปลอดภัย")</f>
        <v>ปลอดภัย</v>
      </c>
      <c r="X40" t="str">
        <f>IFERROR(__xludf.DUMMYFUNCTION("""COMPUTED_VALUE"""),"Chiang Rai Province")</f>
        <v>Chiang Rai Province</v>
      </c>
      <c r="Y40" t="str">
        <f>IFERROR(__xludf.DUMMYFUNCTION("""COMPUTED_VALUE"""),"เชียงใหม่")</f>
        <v>เชียงใหม่</v>
      </c>
      <c r="Z40" t="str">
        <f>IFERROR(__xludf.DUMMYFUNCTION("""COMPUTED_VALUE"""),"085 031 3313,0")</f>
        <v>085 031 3313,0</v>
      </c>
      <c r="AA40" t="str">
        <f>IFERROR(__xludf.DUMMYFUNCTION("""COMPUTED_VALUE"""),"ไม่ระบุ")</f>
        <v>ไม่ระบุ</v>
      </c>
      <c r="AB40" t="str">
        <f>IFERROR(__xludf.DUMMYFUNCTION("""COMPUTED_VALUE"""),"daran@airasia.com")</f>
        <v>daran@airasia.com</v>
      </c>
    </row>
    <row r="41">
      <c r="A41">
        <f>IFERROR(__xludf.DUMMYFUNCTION("""COMPUTED_VALUE"""),1001230.0)</f>
        <v>1001230</v>
      </c>
      <c r="B41" t="str">
        <f>IFERROR(__xludf.DUMMYFUNCTION("""COMPUTED_VALUE"""),"Ms.")</f>
        <v>Ms.</v>
      </c>
      <c r="C41" t="str">
        <f>IFERROR(__xludf.DUMMYFUNCTION("""COMPUTED_VALUE"""),"Panithi")</f>
        <v>Panithi</v>
      </c>
      <c r="D41" t="str">
        <f>IFERROR(__xludf.DUMMYFUNCTION("""COMPUTED_VALUE"""),"Singlertsakul")</f>
        <v>Singlertsakul</v>
      </c>
      <c r="E41" t="str">
        <f>IFERROR(__xludf.DUMMYFUNCTION("""COMPUTED_VALUE"""),"Panithi Singlertsakul")</f>
        <v>Panithi Singlertsakul</v>
      </c>
      <c r="F41" t="str">
        <f>IFERROR(__xludf.DUMMYFUNCTION("""COMPUTED_VALUE"""),"นางสาว")</f>
        <v>นางสาว</v>
      </c>
      <c r="G41" t="str">
        <f>IFERROR(__xludf.DUMMYFUNCTION("""COMPUTED_VALUE"""),"ปณิธิ")</f>
        <v>ปณิธิ</v>
      </c>
      <c r="H41" t="str">
        <f>IFERROR(__xludf.DUMMYFUNCTION("""COMPUTED_VALUE"""),"สิงห์เลิศสกุล")</f>
        <v>สิงห์เลิศสกุล</v>
      </c>
      <c r="I41" t="str">
        <f>IFERROR(__xludf.DUMMYFUNCTION("""COMPUTED_VALUE"""),"ปณิธิ สิงห์เลิศสกุล")</f>
        <v>ปณิธิ สิงห์เลิศสกุล</v>
      </c>
      <c r="J41" t="str">
        <f>IFERROR(__xludf.DUMMYFUNCTION("""COMPUTED_VALUE"""),"Pla")</f>
        <v>Pla</v>
      </c>
      <c r="K41" t="str">
        <f>IFERROR(__xludf.DUMMYFUNCTION("""COMPUTED_VALUE"""),"Senior Cabin Crew")</f>
        <v>Senior Cabin Crew</v>
      </c>
      <c r="L41" t="str">
        <f>IFERROR(__xludf.DUMMYFUNCTION("""COMPUTED_VALUE"""),"DMK")</f>
        <v>DMK</v>
      </c>
      <c r="M41" s="145" t="str">
        <f>IFERROR(__xludf.DUMMYFUNCTION("""COMPUTED_VALUE"""),"Kor Home")</f>
        <v>Kor Home</v>
      </c>
      <c r="N41" t="str">
        <f>IFERROR(__xludf.DUMMYFUNCTION("""COMPUTED_VALUE"""),"Active")</f>
        <v>Active</v>
      </c>
      <c r="O41" t="str">
        <f>IFERROR(__xludf.DUMMYFUNCTION("""COMPUTED_VALUE"""),"SCC Line Checker 2025")</f>
        <v>SCC Line Checker 2025</v>
      </c>
      <c r="P41" s="145" t="str">
        <f>IFERROR(__xludf.DUMMYFUNCTION("""COMPUTED_VALUE"""),"17 October 1980")</f>
        <v>17 October 1980</v>
      </c>
      <c r="Q41" s="146" t="str">
        <f>IFERROR(__xludf.DUMMYFUNCTION("""COMPUTED_VALUE"""),"063 225 8792")</f>
        <v>063 225 8792</v>
      </c>
      <c r="R41" s="147" t="str">
        <f>IFERROR(__xludf.DUMMYFUNCTION("""COMPUTED_VALUE"""),"3102101-70-8152")</f>
        <v>3102101-70-8152</v>
      </c>
      <c r="S41" t="str">
        <f>IFERROR(__xludf.DUMMYFUNCTION("""COMPUTED_VALUE"""),"AC7920651")</f>
        <v>AC7920651</v>
      </c>
      <c r="T41" s="148">
        <f>IFERROR(__xludf.DUMMYFUNCTION("""COMPUTED_VALUE"""),45670.0)</f>
        <v>45670</v>
      </c>
      <c r="U41" s="148">
        <f>IFERROR(__xludf.DUMMYFUNCTION("""COMPUTED_VALUE"""),49321.0)</f>
        <v>49321</v>
      </c>
      <c r="V41" s="149">
        <f>IFERROR(__xludf.DUMMYFUNCTION("""COMPUTED_VALUE"""),49137.0)</f>
        <v>49137</v>
      </c>
      <c r="W41" t="str">
        <f>IFERROR(__xludf.DUMMYFUNCTION("""COMPUTED_VALUE"""),"ปลอดภัย")</f>
        <v>ปลอดภัย</v>
      </c>
      <c r="X41" t="str">
        <f>IFERROR(__xludf.DUMMYFUNCTION("""COMPUTED_VALUE"""),"Bangkok")</f>
        <v>Bangkok</v>
      </c>
      <c r="AB41" t="str">
        <f>IFERROR(__xludf.DUMMYFUNCTION("""COMPUTED_VALUE"""),"panithis@airasia.com")</f>
        <v>panithis@airasia.com</v>
      </c>
    </row>
    <row r="42">
      <c r="A42">
        <f>IFERROR(__xludf.DUMMYFUNCTION("""COMPUTED_VALUE"""),1001231.0)</f>
        <v>1001231</v>
      </c>
      <c r="B42" t="str">
        <f>IFERROR(__xludf.DUMMYFUNCTION("""COMPUTED_VALUE"""),"Ms.")</f>
        <v>Ms.</v>
      </c>
      <c r="C42" t="str">
        <f>IFERROR(__xludf.DUMMYFUNCTION("""COMPUTED_VALUE"""),"Pattamavadee")</f>
        <v>Pattamavadee</v>
      </c>
      <c r="D42" t="str">
        <f>IFERROR(__xludf.DUMMYFUNCTION("""COMPUTED_VALUE"""),"Niyomvanich")</f>
        <v>Niyomvanich</v>
      </c>
      <c r="E42" t="str">
        <f>IFERROR(__xludf.DUMMYFUNCTION("""COMPUTED_VALUE"""),"Pattamavadee Niyomvanich")</f>
        <v>Pattamavadee Niyomvanich</v>
      </c>
      <c r="F42" t="str">
        <f>IFERROR(__xludf.DUMMYFUNCTION("""COMPUTED_VALUE"""),"นางสาว")</f>
        <v>นางสาว</v>
      </c>
      <c r="G42" t="str">
        <f>IFERROR(__xludf.DUMMYFUNCTION("""COMPUTED_VALUE"""),"ปัทมาวดี")</f>
        <v>ปัทมาวดี</v>
      </c>
      <c r="H42" t="str">
        <f>IFERROR(__xludf.DUMMYFUNCTION("""COMPUTED_VALUE"""),"นิยมวานิช")</f>
        <v>นิยมวานิช</v>
      </c>
      <c r="I42" t="str">
        <f>IFERROR(__xludf.DUMMYFUNCTION("""COMPUTED_VALUE"""),"ปัทมาวดี นิยมวานิช")</f>
        <v>ปัทมาวดี นิยมวานิช</v>
      </c>
      <c r="J42" t="str">
        <f>IFERROR(__xludf.DUMMYFUNCTION("""COMPUTED_VALUE"""),"LukPad")</f>
        <v>LukPad</v>
      </c>
      <c r="K42" t="str">
        <f>IFERROR(__xludf.DUMMYFUNCTION("""COMPUTED_VALUE"""),"Cabin Crew")</f>
        <v>Cabin Crew</v>
      </c>
      <c r="L42" t="str">
        <f>IFERROR(__xludf.DUMMYFUNCTION("""COMPUTED_VALUE"""),"DMK")</f>
        <v>DMK</v>
      </c>
      <c r="M42" s="145" t="str">
        <f>IFERROR(__xludf.DUMMYFUNCTION("""COMPUTED_VALUE"""),"Um Home")</f>
        <v>Um Home</v>
      </c>
      <c r="N42" t="str">
        <f>IFERROR(__xludf.DUMMYFUNCTION("""COMPUTED_VALUE"""),"V/LWP")</f>
        <v>V/LWP</v>
      </c>
      <c r="P42" s="143">
        <f>IFERROR(__xludf.DUMMYFUNCTION("""COMPUTED_VALUE"""),29979.0)</f>
        <v>29979</v>
      </c>
      <c r="Q42" s="146" t="str">
        <f>IFERROR(__xludf.DUMMYFUNCTION("""COMPUTED_VALUE"""),"084 026 6678")</f>
        <v>084 026 6678</v>
      </c>
      <c r="R42" s="147" t="str">
        <f>IFERROR(__xludf.DUMMYFUNCTION("""COMPUTED_VALUE"""),"3100905-65-8331")</f>
        <v>3100905-65-8331</v>
      </c>
      <c r="S42" t="str">
        <f>IFERROR(__xludf.DUMMYFUNCTION("""COMPUTED_VALUE"""),"AC3894920")</f>
        <v>AC3894920</v>
      </c>
      <c r="T42" s="148">
        <f>IFERROR(__xludf.DUMMYFUNCTION("""COMPUTED_VALUE"""),44796.0)</f>
        <v>44796</v>
      </c>
      <c r="U42" s="148">
        <f>IFERROR(__xludf.DUMMYFUNCTION("""COMPUTED_VALUE"""),48448.0)</f>
        <v>48448</v>
      </c>
      <c r="V42" s="149">
        <f>IFERROR(__xludf.DUMMYFUNCTION("""COMPUTED_VALUE"""),48266.0)</f>
        <v>48266</v>
      </c>
      <c r="W42" t="str">
        <f>IFERROR(__xludf.DUMMYFUNCTION("""COMPUTED_VALUE"""),"ปลอดภัย")</f>
        <v>ปลอดภัย</v>
      </c>
      <c r="X42" t="str">
        <f>IFERROR(__xludf.DUMMYFUNCTION("""COMPUTED_VALUE"""),"Bangkok")</f>
        <v>Bangkok</v>
      </c>
      <c r="Y42" t="str">
        <f>IFERROR(__xludf.DUMMYFUNCTION("""COMPUTED_VALUE"""),"คันนายาว")</f>
        <v>คันนายาว</v>
      </c>
      <c r="Z42" t="str">
        <f>IFERROR(__xludf.DUMMYFUNCTION("""COMPUTED_VALUE"""),"081 844 6248")</f>
        <v>081 844 6248</v>
      </c>
      <c r="AA42" t="str">
        <f>IFERROR(__xludf.DUMMYFUNCTION("""COMPUTED_VALUE"""),"พ่อ")</f>
        <v>พ่อ</v>
      </c>
      <c r="AB42" t="str">
        <f>IFERROR(__xludf.DUMMYFUNCTION("""COMPUTED_VALUE"""),"pattamavadeen@airasia.com")</f>
        <v>pattamavadeen@airasia.com</v>
      </c>
    </row>
    <row r="43">
      <c r="A43">
        <f>IFERROR(__xludf.DUMMYFUNCTION("""COMPUTED_VALUE"""),1001232.0)</f>
        <v>1001232</v>
      </c>
      <c r="B43" t="str">
        <f>IFERROR(__xludf.DUMMYFUNCTION("""COMPUTED_VALUE"""),"Ms.")</f>
        <v>Ms.</v>
      </c>
      <c r="C43" t="str">
        <f>IFERROR(__xludf.DUMMYFUNCTION("""COMPUTED_VALUE"""),"Pornchanun")</f>
        <v>Pornchanun</v>
      </c>
      <c r="D43" t="str">
        <f>IFERROR(__xludf.DUMMYFUNCTION("""COMPUTED_VALUE"""),"Sangmanee")</f>
        <v>Sangmanee</v>
      </c>
      <c r="E43" t="str">
        <f>IFERROR(__xludf.DUMMYFUNCTION("""COMPUTED_VALUE"""),"Pornchanun Sangmanee")</f>
        <v>Pornchanun Sangmanee</v>
      </c>
      <c r="F43" t="str">
        <f>IFERROR(__xludf.DUMMYFUNCTION("""COMPUTED_VALUE"""),"นางสาว")</f>
        <v>นางสาว</v>
      </c>
      <c r="G43" t="str">
        <f>IFERROR(__xludf.DUMMYFUNCTION("""COMPUTED_VALUE"""),"พรชนัน")</f>
        <v>พรชนัน</v>
      </c>
      <c r="H43" t="str">
        <f>IFERROR(__xludf.DUMMYFUNCTION("""COMPUTED_VALUE"""),"แสงมณี")</f>
        <v>แสงมณี</v>
      </c>
      <c r="I43" t="str">
        <f>IFERROR(__xludf.DUMMYFUNCTION("""COMPUTED_VALUE"""),"พรชนัน แสงมณี")</f>
        <v>พรชนัน แสงมณี</v>
      </c>
      <c r="J43" t="str">
        <f>IFERROR(__xludf.DUMMYFUNCTION("""COMPUTED_VALUE"""),"Nun")</f>
        <v>Nun</v>
      </c>
      <c r="K43" t="str">
        <f>IFERROR(__xludf.DUMMYFUNCTION("""COMPUTED_VALUE"""),"Senior Cabin Crew - CNX")</f>
        <v>Senior Cabin Crew - CNX</v>
      </c>
      <c r="L43" t="str">
        <f>IFERROR(__xludf.DUMMYFUNCTION("""COMPUTED_VALUE"""),"CNX")</f>
        <v>CNX</v>
      </c>
      <c r="M43" s="145" t="str">
        <f>IFERROR(__xludf.DUMMYFUNCTION("""COMPUTED_VALUE"""),"Up Home")</f>
        <v>Up Home</v>
      </c>
      <c r="N43" t="str">
        <f>IFERROR(__xludf.DUMMYFUNCTION("""COMPUTED_VALUE"""),"Active")</f>
        <v>Active</v>
      </c>
      <c r="P43" s="143">
        <f>IFERROR(__xludf.DUMMYFUNCTION("""COMPUTED_VALUE"""),29444.0)</f>
        <v>29444</v>
      </c>
      <c r="Q43" s="146" t="str">
        <f>IFERROR(__xludf.DUMMYFUNCTION("""COMPUTED_VALUE"""),"081 174 7475")</f>
        <v>081 174 7475</v>
      </c>
      <c r="R43" s="147" t="str">
        <f>IFERROR(__xludf.DUMMYFUNCTION("""COMPUTED_VALUE"""),"5100200-03-7102")</f>
        <v>5100200-03-7102</v>
      </c>
      <c r="S43" t="str">
        <f>IFERROR(__xludf.DUMMYFUNCTION("""COMPUTED_VALUE"""),"AC6794312")</f>
        <v>AC6794312</v>
      </c>
      <c r="T43" s="148">
        <f>IFERROR(__xludf.DUMMYFUNCTION("""COMPUTED_VALUE"""),45426.0)</f>
        <v>45426</v>
      </c>
      <c r="U43" s="148">
        <f>IFERROR(__xludf.DUMMYFUNCTION("""COMPUTED_VALUE"""),49077.0)</f>
        <v>49077</v>
      </c>
      <c r="V43" s="149">
        <f>IFERROR(__xludf.DUMMYFUNCTION("""COMPUTED_VALUE"""),48896.0)</f>
        <v>48896</v>
      </c>
      <c r="W43" t="str">
        <f>IFERROR(__xludf.DUMMYFUNCTION("""COMPUTED_VALUE"""),"ปลอดภัย")</f>
        <v>ปลอดภัย</v>
      </c>
      <c r="X43" t="str">
        <f>IFERROR(__xludf.DUMMYFUNCTION("""COMPUTED_VALUE"""),"Bangkok")</f>
        <v>Bangkok</v>
      </c>
      <c r="Y43" t="str">
        <f>IFERROR(__xludf.DUMMYFUNCTION("""COMPUTED_VALUE"""),"ลาดกระบัง")</f>
        <v>ลาดกระบัง</v>
      </c>
      <c r="Z43" t="str">
        <f>IFERROR(__xludf.DUMMYFUNCTION("""COMPUTED_VALUE"""),"089 980 1383")</f>
        <v>089 980 1383</v>
      </c>
      <c r="AA43" t="str">
        <f>IFERROR(__xludf.DUMMYFUNCTION("""COMPUTED_VALUE"""),"แม่")</f>
        <v>แม่</v>
      </c>
      <c r="AB43" t="str">
        <f>IFERROR(__xludf.DUMMYFUNCTION("""COMPUTED_VALUE"""),"pornchanuns@airasia.com")</f>
        <v>pornchanuns@airasia.com</v>
      </c>
    </row>
    <row r="44">
      <c r="A44">
        <f>IFERROR(__xludf.DUMMYFUNCTION("""COMPUTED_VALUE"""),1001234.0)</f>
        <v>1001234</v>
      </c>
      <c r="B44" t="str">
        <f>IFERROR(__xludf.DUMMYFUNCTION("""COMPUTED_VALUE"""),"Mrs.")</f>
        <v>Mrs.</v>
      </c>
      <c r="C44" t="str">
        <f>IFERROR(__xludf.DUMMYFUNCTION("""COMPUTED_VALUE"""),"Sirirat")</f>
        <v>Sirirat</v>
      </c>
      <c r="D44" t="str">
        <f>IFERROR(__xludf.DUMMYFUNCTION("""COMPUTED_VALUE"""),"Sanguanwong")</f>
        <v>Sanguanwong</v>
      </c>
      <c r="E44" t="str">
        <f>IFERROR(__xludf.DUMMYFUNCTION("""COMPUTED_VALUE"""),"Sirirat Sanguanwong")</f>
        <v>Sirirat Sanguanwong</v>
      </c>
      <c r="F44" t="str">
        <f>IFERROR(__xludf.DUMMYFUNCTION("""COMPUTED_VALUE"""),"นาง")</f>
        <v>นาง</v>
      </c>
      <c r="G44" t="str">
        <f>IFERROR(__xludf.DUMMYFUNCTION("""COMPUTED_VALUE"""),"ศิริรัตน์")</f>
        <v>ศิริรัตน์</v>
      </c>
      <c r="H44" t="str">
        <f>IFERROR(__xludf.DUMMYFUNCTION("""COMPUTED_VALUE"""),"สงวนวงศ์")</f>
        <v>สงวนวงศ์</v>
      </c>
      <c r="I44" t="str">
        <f>IFERROR(__xludf.DUMMYFUNCTION("""COMPUTED_VALUE"""),"ศิริรัตน์ สงวนวงศ์")</f>
        <v>ศิริรัตน์ สงวนวงศ์</v>
      </c>
      <c r="J44" t="str">
        <f>IFERROR(__xludf.DUMMYFUNCTION("""COMPUTED_VALUE"""),"Amp")</f>
        <v>Amp</v>
      </c>
      <c r="K44" t="str">
        <f>IFERROR(__xludf.DUMMYFUNCTION("""COMPUTED_VALUE"""),"Senior Cabin Crew")</f>
        <v>Senior Cabin Crew</v>
      </c>
      <c r="L44" t="str">
        <f>IFERROR(__xludf.DUMMYFUNCTION("""COMPUTED_VALUE"""),"DMK")</f>
        <v>DMK</v>
      </c>
      <c r="M44" s="145" t="str">
        <f>IFERROR(__xludf.DUMMYFUNCTION("""COMPUTED_VALUE"""),"Namfon Home")</f>
        <v>Namfon Home</v>
      </c>
      <c r="N44" t="str">
        <f>IFERROR(__xludf.DUMMYFUNCTION("""COMPUTED_VALUE"""),"Active")</f>
        <v>Active</v>
      </c>
      <c r="P44" s="145" t="str">
        <f>IFERROR(__xludf.DUMMYFUNCTION("""COMPUTED_VALUE"""),"3 December 1981")</f>
        <v>3 December 1981</v>
      </c>
      <c r="Q44" s="146" t="str">
        <f>IFERROR(__xludf.DUMMYFUNCTION("""COMPUTED_VALUE"""),"084 077 7899")</f>
        <v>084 077 7899</v>
      </c>
      <c r="R44" s="147" t="str">
        <f>IFERROR(__xludf.DUMMYFUNCTION("""COMPUTED_VALUE"""),"3100501-49-0403")</f>
        <v>3100501-49-0403</v>
      </c>
      <c r="S44" t="str">
        <f>IFERROR(__xludf.DUMMYFUNCTION("""COMPUTED_VALUE"""),"AC4007184")</f>
        <v>AC4007184</v>
      </c>
      <c r="T44" s="148">
        <f>IFERROR(__xludf.DUMMYFUNCTION("""COMPUTED_VALUE"""),44813.0)</f>
        <v>44813</v>
      </c>
      <c r="U44" s="148">
        <f>IFERROR(__xludf.DUMMYFUNCTION("""COMPUTED_VALUE"""),48465.0)</f>
        <v>48465</v>
      </c>
      <c r="V44" s="149">
        <f>IFERROR(__xludf.DUMMYFUNCTION("""COMPUTED_VALUE"""),48281.0)</f>
        <v>48281</v>
      </c>
      <c r="W44" t="str">
        <f>IFERROR(__xludf.DUMMYFUNCTION("""COMPUTED_VALUE"""),"ปลอดภัย")</f>
        <v>ปลอดภัย</v>
      </c>
      <c r="X44" t="str">
        <f>IFERROR(__xludf.DUMMYFUNCTION("""COMPUTED_VALUE"""),"Bangkok")</f>
        <v>Bangkok</v>
      </c>
      <c r="AB44" t="str">
        <f>IFERROR(__xludf.DUMMYFUNCTION("""COMPUTED_VALUE"""),"sirirats@airasia.com")</f>
        <v>sirirats@airasia.com</v>
      </c>
    </row>
    <row r="45">
      <c r="A45">
        <f>IFERROR(__xludf.DUMMYFUNCTION("""COMPUTED_VALUE"""),1001235.0)</f>
        <v>1001235</v>
      </c>
      <c r="B45" t="str">
        <f>IFERROR(__xludf.DUMMYFUNCTION("""COMPUTED_VALUE"""),"Ms.")</f>
        <v>Ms.</v>
      </c>
      <c r="C45" t="str">
        <f>IFERROR(__xludf.DUMMYFUNCTION("""COMPUTED_VALUE"""),"Suchada")</f>
        <v>Suchada</v>
      </c>
      <c r="D45" t="str">
        <f>IFERROR(__xludf.DUMMYFUNCTION("""COMPUTED_VALUE"""),"Samakee")</f>
        <v>Samakee</v>
      </c>
      <c r="E45" t="str">
        <f>IFERROR(__xludf.DUMMYFUNCTION("""COMPUTED_VALUE"""),"Suchada Samakee")</f>
        <v>Suchada Samakee</v>
      </c>
      <c r="F45" t="str">
        <f>IFERROR(__xludf.DUMMYFUNCTION("""COMPUTED_VALUE"""),"นางสาว")</f>
        <v>นางสาว</v>
      </c>
      <c r="G45" t="str">
        <f>IFERROR(__xludf.DUMMYFUNCTION("""COMPUTED_VALUE"""),"สุชาดา")</f>
        <v>สุชาดา</v>
      </c>
      <c r="H45" t="str">
        <f>IFERROR(__xludf.DUMMYFUNCTION("""COMPUTED_VALUE"""),"สามัคคี")</f>
        <v>สามัคคี</v>
      </c>
      <c r="I45" t="str">
        <f>IFERROR(__xludf.DUMMYFUNCTION("""COMPUTED_VALUE"""),"สุชาดา สามัคคี")</f>
        <v>สุชาดา สามัคคี</v>
      </c>
      <c r="J45" t="str">
        <f>IFERROR(__xludf.DUMMYFUNCTION("""COMPUTED_VALUE"""),"Poo")</f>
        <v>Poo</v>
      </c>
      <c r="K45" t="str">
        <f>IFERROR(__xludf.DUMMYFUNCTION("""COMPUTED_VALUE"""),"Senior Cabin Crew")</f>
        <v>Senior Cabin Crew</v>
      </c>
      <c r="L45" t="str">
        <f>IFERROR(__xludf.DUMMYFUNCTION("""COMPUTED_VALUE"""),"DMK")</f>
        <v>DMK</v>
      </c>
      <c r="M45" s="145" t="str">
        <f>IFERROR(__xludf.DUMMYFUNCTION("""COMPUTED_VALUE"""),"Toffy Home")</f>
        <v>Toffy Home</v>
      </c>
      <c r="N45" t="str">
        <f>IFERROR(__xludf.DUMMYFUNCTION("""COMPUTED_VALUE"""),"Active")</f>
        <v>Active</v>
      </c>
      <c r="P45" s="143">
        <f>IFERROR(__xludf.DUMMYFUNCTION("""COMPUTED_VALUE"""),28520.0)</f>
        <v>28520</v>
      </c>
      <c r="Q45" s="146" t="str">
        <f>IFERROR(__xludf.DUMMYFUNCTION("""COMPUTED_VALUE"""),"081 440 9311")</f>
        <v>081 440 9311</v>
      </c>
      <c r="R45" s="147" t="str">
        <f>IFERROR(__xludf.DUMMYFUNCTION("""COMPUTED_VALUE"""),"3700700-28-5936")</f>
        <v>3700700-28-5936</v>
      </c>
      <c r="S45" t="str">
        <f>IFERROR(__xludf.DUMMYFUNCTION("""COMPUTED_VALUE"""),"AC4974396")</f>
        <v>AC4974396</v>
      </c>
      <c r="T45" s="148">
        <f>IFERROR(__xludf.DUMMYFUNCTION("""COMPUTED_VALUE"""),45078.0)</f>
        <v>45078</v>
      </c>
      <c r="U45" s="148">
        <f>IFERROR(__xludf.DUMMYFUNCTION("""COMPUTED_VALUE"""),48730.0)</f>
        <v>48730</v>
      </c>
      <c r="V45" s="149">
        <f>IFERROR(__xludf.DUMMYFUNCTION("""COMPUTED_VALUE"""),48548.0)</f>
        <v>48548</v>
      </c>
      <c r="W45" t="str">
        <f>IFERROR(__xludf.DUMMYFUNCTION("""COMPUTED_VALUE"""),"ปลอดภัย")</f>
        <v>ปลอดภัย</v>
      </c>
      <c r="X45" t="str">
        <f>IFERROR(__xludf.DUMMYFUNCTION("""COMPUTED_VALUE"""),"Ratchaburi Province")</f>
        <v>Ratchaburi Province</v>
      </c>
      <c r="Y45" t="str">
        <f>IFERROR(__xludf.DUMMYFUNCTION("""COMPUTED_VALUE"""),"จตุจักร")</f>
        <v>จตุจักร</v>
      </c>
      <c r="Z45" t="str">
        <f>IFERROR(__xludf.DUMMYFUNCTION("""COMPUTED_VALUE"""),"ow")</f>
        <v>ow</v>
      </c>
      <c r="AA45" t="str">
        <f>IFERROR(__xludf.DUMMYFUNCTION("""COMPUTED_VALUE"""),"พี่ชาย")</f>
        <v>พี่ชาย</v>
      </c>
      <c r="AB45" t="str">
        <f>IFERROR(__xludf.DUMMYFUNCTION("""COMPUTED_VALUE"""),"suchadas@airasia.com")</f>
        <v>suchadas@airasia.com</v>
      </c>
    </row>
    <row r="46">
      <c r="A46">
        <f>IFERROR(__xludf.DUMMYFUNCTION("""COMPUTED_VALUE"""),1001238.0)</f>
        <v>1001238</v>
      </c>
      <c r="B46" t="str">
        <f>IFERROR(__xludf.DUMMYFUNCTION("""COMPUTED_VALUE"""),"Ms.")</f>
        <v>Ms.</v>
      </c>
      <c r="C46" t="str">
        <f>IFERROR(__xludf.DUMMYFUNCTION("""COMPUTED_VALUE"""),"Thanyaporn")</f>
        <v>Thanyaporn</v>
      </c>
      <c r="D46" t="str">
        <f>IFERROR(__xludf.DUMMYFUNCTION("""COMPUTED_VALUE"""),"Kemsatidanan")</f>
        <v>Kemsatidanan</v>
      </c>
      <c r="E46" t="str">
        <f>IFERROR(__xludf.DUMMYFUNCTION("""COMPUTED_VALUE"""),"Thanyaporn Kemsatidanan")</f>
        <v>Thanyaporn Kemsatidanan</v>
      </c>
      <c r="F46" t="str">
        <f>IFERROR(__xludf.DUMMYFUNCTION("""COMPUTED_VALUE"""),"นางสาว")</f>
        <v>นางสาว</v>
      </c>
      <c r="G46" t="str">
        <f>IFERROR(__xludf.DUMMYFUNCTION("""COMPUTED_VALUE"""),"ธันยพร")</f>
        <v>ธันยพร</v>
      </c>
      <c r="H46" t="str">
        <f>IFERROR(__xludf.DUMMYFUNCTION("""COMPUTED_VALUE"""),"เขมสถิตย์อนันต์")</f>
        <v>เขมสถิตย์อนันต์</v>
      </c>
      <c r="I46" t="str">
        <f>IFERROR(__xludf.DUMMYFUNCTION("""COMPUTED_VALUE"""),"ธันยพร เขมสถิตย์อนันต์")</f>
        <v>ธันยพร เขมสถิตย์อนันต์</v>
      </c>
      <c r="J46" t="str">
        <f>IFERROR(__xludf.DUMMYFUNCTION("""COMPUTED_VALUE"""),"Beer")</f>
        <v>Beer</v>
      </c>
      <c r="K46" t="str">
        <f>IFERROR(__xludf.DUMMYFUNCTION("""COMPUTED_VALUE"""),"Senior Cabin Crew - CNX")</f>
        <v>Senior Cabin Crew - CNX</v>
      </c>
      <c r="L46" t="str">
        <f>IFERROR(__xludf.DUMMYFUNCTION("""COMPUTED_VALUE"""),"CNX")</f>
        <v>CNX</v>
      </c>
      <c r="M46" s="145" t="str">
        <f>IFERROR(__xludf.DUMMYFUNCTION("""COMPUTED_VALUE"""),"Up Home")</f>
        <v>Up Home</v>
      </c>
      <c r="N46" t="str">
        <f>IFERROR(__xludf.DUMMYFUNCTION("""COMPUTED_VALUE"""),"Active")</f>
        <v>Active</v>
      </c>
      <c r="P46" s="143">
        <f>IFERROR(__xludf.DUMMYFUNCTION("""COMPUTED_VALUE"""),29486.0)</f>
        <v>29486</v>
      </c>
      <c r="Q46" s="146">
        <f>IFERROR(__xludf.DUMMYFUNCTION("""COMPUTED_VALUE"""),9.66426659E8)</f>
        <v>966426659</v>
      </c>
      <c r="R46" s="147" t="str">
        <f>IFERROR(__xludf.DUMMYFUNCTION("""COMPUTED_VALUE"""),"3100600-43-1600")</f>
        <v>3100600-43-1600</v>
      </c>
      <c r="S46" t="str">
        <f>IFERROR(__xludf.DUMMYFUNCTION("""COMPUTED_VALUE"""),"AC2539923")</f>
        <v>AC2539923</v>
      </c>
      <c r="T46" s="148">
        <f>IFERROR(__xludf.DUMMYFUNCTION("""COMPUTED_VALUE"""),44642.0)</f>
        <v>44642</v>
      </c>
      <c r="U46" s="148">
        <f>IFERROR(__xludf.DUMMYFUNCTION("""COMPUTED_VALUE"""),48294.0)</f>
        <v>48294</v>
      </c>
      <c r="V46" s="149">
        <f>IFERROR(__xludf.DUMMYFUNCTION("""COMPUTED_VALUE"""),48112.0)</f>
        <v>48112</v>
      </c>
      <c r="W46" t="str">
        <f>IFERROR(__xludf.DUMMYFUNCTION("""COMPUTED_VALUE"""),"ปลอดภัย")</f>
        <v>ปลอดภัย</v>
      </c>
      <c r="X46" t="str">
        <f>IFERROR(__xludf.DUMMYFUNCTION("""COMPUTED_VALUE"""),"Bangkok")</f>
        <v>Bangkok</v>
      </c>
      <c r="Y46" t="str">
        <f>IFERROR(__xludf.DUMMYFUNCTION("""COMPUTED_VALUE"""),"เชียงใหม่")</f>
        <v>เชียงใหม่</v>
      </c>
      <c r="Z46" t="str">
        <f>IFERROR(__xludf.DUMMYFUNCTION("""COMPUTED_VALUE"""),"081 830 0149")</f>
        <v>081 830 0149</v>
      </c>
      <c r="AA46" t="str">
        <f>IFERROR(__xludf.DUMMYFUNCTION("""COMPUTED_VALUE"""),"พ่อ")</f>
        <v>พ่อ</v>
      </c>
      <c r="AB46" t="str">
        <f>IFERROR(__xludf.DUMMYFUNCTION("""COMPUTED_VALUE"""),"thanyapornk@airasia.com")</f>
        <v>thanyapornk@airasia.com</v>
      </c>
    </row>
    <row r="47">
      <c r="A47">
        <f>IFERROR(__xludf.DUMMYFUNCTION("""COMPUTED_VALUE"""),1001239.0)</f>
        <v>1001239</v>
      </c>
      <c r="B47" t="str">
        <f>IFERROR(__xludf.DUMMYFUNCTION("""COMPUTED_VALUE"""),"Mrs.")</f>
        <v>Mrs.</v>
      </c>
      <c r="C47" t="str">
        <f>IFERROR(__xludf.DUMMYFUNCTION("""COMPUTED_VALUE"""),"Thitiya")</f>
        <v>Thitiya</v>
      </c>
      <c r="D47" t="str">
        <f>IFERROR(__xludf.DUMMYFUNCTION("""COMPUTED_VALUE"""),"Brigstock-Barron (Atsawarangsi)")</f>
        <v>Brigstock-Barron (Atsawarangsi)</v>
      </c>
      <c r="E47" t="str">
        <f>IFERROR(__xludf.DUMMYFUNCTION("""COMPUTED_VALUE"""),"Thitiya Brigstock-Barron")</f>
        <v>Thitiya Brigstock-Barron</v>
      </c>
      <c r="F47" t="str">
        <f>IFERROR(__xludf.DUMMYFUNCTION("""COMPUTED_VALUE"""),"นาง")</f>
        <v>นาง</v>
      </c>
      <c r="G47" t="str">
        <f>IFERROR(__xludf.DUMMYFUNCTION("""COMPUTED_VALUE"""),"ฐิติยา")</f>
        <v>ฐิติยา</v>
      </c>
      <c r="H47" t="str">
        <f>IFERROR(__xludf.DUMMYFUNCTION("""COMPUTED_VALUE"""),"บริจสต็อค บาร์รอน (อัศวรังษี)")</f>
        <v>บริจสต็อค บาร์รอน (อัศวรังษี)</v>
      </c>
      <c r="I47" t="str">
        <f>IFERROR(__xludf.DUMMYFUNCTION("""COMPUTED_VALUE"""),"ฐิติยา บริจสต็อค บาร์รอน")</f>
        <v>ฐิติยา บริจสต็อค บาร์รอน</v>
      </c>
      <c r="J47" t="str">
        <f>IFERROR(__xludf.DUMMYFUNCTION("""COMPUTED_VALUE"""),"BowBoh")</f>
        <v>BowBoh</v>
      </c>
      <c r="K47" t="str">
        <f>IFERROR(__xludf.DUMMYFUNCTION("""COMPUTED_VALUE"""),"Senior Cabin Crew - CNX")</f>
        <v>Senior Cabin Crew - CNX</v>
      </c>
      <c r="L47" t="str">
        <f>IFERROR(__xludf.DUMMYFUNCTION("""COMPUTED_VALUE"""),"CNX")</f>
        <v>CNX</v>
      </c>
      <c r="M47" s="145" t="str">
        <f>IFERROR(__xludf.DUMMYFUNCTION("""COMPUTED_VALUE"""),"Up Home")</f>
        <v>Up Home</v>
      </c>
      <c r="N47" t="str">
        <f>IFERROR(__xludf.DUMMYFUNCTION("""COMPUTED_VALUE"""),"Active")</f>
        <v>Active</v>
      </c>
      <c r="P47" s="143">
        <f>IFERROR(__xludf.DUMMYFUNCTION("""COMPUTED_VALUE"""),30675.0)</f>
        <v>30675</v>
      </c>
      <c r="Q47" s="146" t="str">
        <f>IFERROR(__xludf.DUMMYFUNCTION("""COMPUTED_VALUE"""),"082 090 3336")</f>
        <v>082 090 3336</v>
      </c>
      <c r="R47" s="147" t="str">
        <f>IFERROR(__xludf.DUMMYFUNCTION("""COMPUTED_VALUE"""),"3149900-47-7301")</f>
        <v>3149900-47-7301</v>
      </c>
      <c r="S47" t="str">
        <f>IFERROR(__xludf.DUMMYFUNCTION("""COMPUTED_VALUE"""),"AD2090309")</f>
        <v>AD2090309</v>
      </c>
      <c r="T47" s="148">
        <f>IFERROR(__xludf.DUMMYFUNCTION("""COMPUTED_VALUE"""),45723.0)</f>
        <v>45723</v>
      </c>
      <c r="U47" s="148">
        <f>IFERROR(__xludf.DUMMYFUNCTION("""COMPUTED_VALUE"""),49374.0)</f>
        <v>49374</v>
      </c>
      <c r="V47" s="149">
        <f>IFERROR(__xludf.DUMMYFUNCTION("""COMPUTED_VALUE"""),49193.0)</f>
        <v>49193</v>
      </c>
      <c r="W47" t="str">
        <f>IFERROR(__xludf.DUMMYFUNCTION("""COMPUTED_VALUE"""),"ปลอดภัย")</f>
        <v>ปลอดภัย</v>
      </c>
      <c r="X47" t="str">
        <f>IFERROR(__xludf.DUMMYFUNCTION("""COMPUTED_VALUE"""),"Phra Nakhon Si Ayutthaya Province")</f>
        <v>Phra Nakhon Si Ayutthaya Province</v>
      </c>
      <c r="Y47" t="str">
        <f>IFERROR(__xludf.DUMMYFUNCTION("""COMPUTED_VALUE"""),"บางนา")</f>
        <v>บางนา</v>
      </c>
      <c r="Z47" t="str">
        <f>IFERROR(__xludf.DUMMYFUNCTION("""COMPUTED_VALUE"""),"089 809 7243")</f>
        <v>089 809 7243</v>
      </c>
      <c r="AA47" t="str">
        <f>IFERROR(__xludf.DUMMYFUNCTION("""COMPUTED_VALUE"""),"เพื่อน")</f>
        <v>เพื่อน</v>
      </c>
      <c r="AB47" t="str">
        <f>IFERROR(__xludf.DUMMYFUNCTION("""COMPUTED_VALUE"""),"thitiyab@airasia.com")</f>
        <v>thitiyab@airasia.com</v>
      </c>
    </row>
    <row r="48">
      <c r="AB48" t="str">
        <f>IFERROR(__xludf.DUMMYFUNCTION("""COMPUTED_VALUE"""),"")</f>
        <v/>
      </c>
    </row>
    <row r="49">
      <c r="A49">
        <f>IFERROR(__xludf.DUMMYFUNCTION("""COMPUTED_VALUE"""),1001301.0)</f>
        <v>1001301</v>
      </c>
      <c r="B49" t="str">
        <f>IFERROR(__xludf.DUMMYFUNCTION("""COMPUTED_VALUE"""),"Mr.")</f>
        <v>Mr.</v>
      </c>
      <c r="C49" t="str">
        <f>IFERROR(__xludf.DUMMYFUNCTION("""COMPUTED_VALUE"""),"Burin")</f>
        <v>Burin</v>
      </c>
      <c r="D49" t="str">
        <f>IFERROR(__xludf.DUMMYFUNCTION("""COMPUTED_VALUE"""),"Buarapha")</f>
        <v>Buarapha</v>
      </c>
      <c r="E49" t="str">
        <f>IFERROR(__xludf.DUMMYFUNCTION("""COMPUTED_VALUE"""),"Burin Buarapha")</f>
        <v>Burin Buarapha</v>
      </c>
      <c r="F49" t="str">
        <f>IFERROR(__xludf.DUMMYFUNCTION("""COMPUTED_VALUE"""),"นาย")</f>
        <v>นาย</v>
      </c>
      <c r="G49" t="str">
        <f>IFERROR(__xludf.DUMMYFUNCTION("""COMPUTED_VALUE"""),"บุรินทร์")</f>
        <v>บุรินทร์</v>
      </c>
      <c r="H49" t="str">
        <f>IFERROR(__xludf.DUMMYFUNCTION("""COMPUTED_VALUE"""),"บัวระภา")</f>
        <v>บัวระภา</v>
      </c>
      <c r="I49" t="str">
        <f>IFERROR(__xludf.DUMMYFUNCTION("""COMPUTED_VALUE"""),"บุรินทร์ บัวระภา")</f>
        <v>บุรินทร์ บัวระภา</v>
      </c>
      <c r="J49" t="str">
        <f>IFERROR(__xludf.DUMMYFUNCTION("""COMPUTED_VALUE"""),"Ant (Tony)")</f>
        <v>Ant (Tony)</v>
      </c>
      <c r="K49" t="str">
        <f>IFERROR(__xludf.DUMMYFUNCTION("""COMPUTED_VALUE"""),"Senior Cabin Crew")</f>
        <v>Senior Cabin Crew</v>
      </c>
      <c r="L49" t="str">
        <f>IFERROR(__xludf.DUMMYFUNCTION("""COMPUTED_VALUE"""),"DMK")</f>
        <v>DMK</v>
      </c>
      <c r="M49" s="145" t="str">
        <f>IFERROR(__xludf.DUMMYFUNCTION("""COMPUTED_VALUE"""),"Um Home")</f>
        <v>Um Home</v>
      </c>
      <c r="N49" t="str">
        <f>IFERROR(__xludf.DUMMYFUNCTION("""COMPUTED_VALUE"""),"Active")</f>
        <v>Active</v>
      </c>
      <c r="P49" s="143">
        <f>IFERROR(__xludf.DUMMYFUNCTION("""COMPUTED_VALUE"""),29675.0)</f>
        <v>29675</v>
      </c>
      <c r="Q49" s="146" t="str">
        <f>IFERROR(__xludf.DUMMYFUNCTION("""COMPUTED_VALUE"""),"085 840 6104")</f>
        <v>085 840 6104</v>
      </c>
      <c r="R49" s="147" t="str">
        <f>IFERROR(__xludf.DUMMYFUNCTION("""COMPUTED_VALUE"""),"3420900-40-8538")</f>
        <v>3420900-40-8538</v>
      </c>
      <c r="S49" t="str">
        <f>IFERROR(__xludf.DUMMYFUNCTION("""COMPUTED_VALUE"""),"AD18711375")</f>
        <v>AD18711375</v>
      </c>
      <c r="T49" s="149">
        <f>IFERROR(__xludf.DUMMYFUNCTION("""COMPUTED_VALUE"""),45476.0)</f>
        <v>45476</v>
      </c>
      <c r="U49" s="148">
        <f>IFERROR(__xludf.DUMMYFUNCTION("""COMPUTED_VALUE"""),47301.0)</f>
        <v>47301</v>
      </c>
      <c r="V49" s="149">
        <f>IFERROR(__xludf.DUMMYFUNCTION("""COMPUTED_VALUE"""),47120.0)</f>
        <v>47120</v>
      </c>
      <c r="W49" t="str">
        <f>IFERROR(__xludf.DUMMYFUNCTION("""COMPUTED_VALUE"""),"ปลอดภัย")</f>
        <v>ปลอดภัย</v>
      </c>
      <c r="X49" t="str">
        <f>IFERROR(__xludf.DUMMYFUNCTION("""COMPUTED_VALUE"""),"Loei Province")</f>
        <v>Loei Province</v>
      </c>
      <c r="Y49" t="str">
        <f>IFERROR(__xludf.DUMMYFUNCTION("""COMPUTED_VALUE"""),"บึงกุ่ม")</f>
        <v>บึงกุ่ม</v>
      </c>
      <c r="Z49" t="str">
        <f>IFERROR(__xludf.DUMMYFUNCTION("""COMPUTED_VALUE"""),"089 017 7664")</f>
        <v>089 017 7664</v>
      </c>
      <c r="AA49" t="str">
        <f>IFERROR(__xludf.DUMMYFUNCTION("""COMPUTED_VALUE"""),"เพื่อน")</f>
        <v>เพื่อน</v>
      </c>
      <c r="AB49" t="str">
        <f>IFERROR(__xludf.DUMMYFUNCTION("""COMPUTED_VALUE"""),"burinb@airasia.com")</f>
        <v>burinb@airasia.com</v>
      </c>
    </row>
    <row r="50">
      <c r="A50">
        <f>IFERROR(__xludf.DUMMYFUNCTION("""COMPUTED_VALUE"""),1001303.0)</f>
        <v>1001303</v>
      </c>
      <c r="B50" t="str">
        <f>IFERROR(__xludf.DUMMYFUNCTION("""COMPUTED_VALUE"""),"Ms.")</f>
        <v>Ms.</v>
      </c>
      <c r="C50" t="str">
        <f>IFERROR(__xludf.DUMMYFUNCTION("""COMPUTED_VALUE"""),"Chindarat")</f>
        <v>Chindarat</v>
      </c>
      <c r="D50" t="str">
        <f>IFERROR(__xludf.DUMMYFUNCTION("""COMPUTED_VALUE"""),"Chintanasathien")</f>
        <v>Chintanasathien</v>
      </c>
      <c r="E50" t="str">
        <f>IFERROR(__xludf.DUMMYFUNCTION("""COMPUTED_VALUE"""),"Chindarat Chintanasathien")</f>
        <v>Chindarat Chintanasathien</v>
      </c>
      <c r="F50" t="str">
        <f>IFERROR(__xludf.DUMMYFUNCTION("""COMPUTED_VALUE"""),"นางสาว")</f>
        <v>นางสาว</v>
      </c>
      <c r="G50" t="str">
        <f>IFERROR(__xludf.DUMMYFUNCTION("""COMPUTED_VALUE"""),"จินดารัตน์")</f>
        <v>จินดารัตน์</v>
      </c>
      <c r="H50" t="str">
        <f>IFERROR(__xludf.DUMMYFUNCTION("""COMPUTED_VALUE"""),"จินตนเสฐียร")</f>
        <v>จินตนเสฐียร</v>
      </c>
      <c r="I50" t="str">
        <f>IFERROR(__xludf.DUMMYFUNCTION("""COMPUTED_VALUE"""),"จินดารัตน์ จินตนเสฐียร")</f>
        <v>จินดารัตน์ จินตนเสฐียร</v>
      </c>
      <c r="J50" t="str">
        <f>IFERROR(__xludf.DUMMYFUNCTION("""COMPUTED_VALUE"""),"DaDa")</f>
        <v>DaDa</v>
      </c>
      <c r="K50" t="str">
        <f>IFERROR(__xludf.DUMMYFUNCTION("""COMPUTED_VALUE"""),"Senior Cabin Crew")</f>
        <v>Senior Cabin Crew</v>
      </c>
      <c r="L50" t="str">
        <f>IFERROR(__xludf.DUMMYFUNCTION("""COMPUTED_VALUE"""),"DMK")</f>
        <v>DMK</v>
      </c>
      <c r="M50" s="145" t="str">
        <f>IFERROR(__xludf.DUMMYFUNCTION("""COMPUTED_VALUE"""),"Nhui Home")</f>
        <v>Nhui Home</v>
      </c>
      <c r="N50" t="str">
        <f>IFERROR(__xludf.DUMMYFUNCTION("""COMPUTED_VALUE"""),"Active")</f>
        <v>Active</v>
      </c>
      <c r="O50" t="str">
        <f>IFERROR(__xludf.DUMMYFUNCTION("""COMPUTED_VALUE"""),"Chinese Speaking")</f>
        <v>Chinese Speaking</v>
      </c>
      <c r="P50" s="143">
        <f>IFERROR(__xludf.DUMMYFUNCTION("""COMPUTED_VALUE"""),30226.0)</f>
        <v>30226</v>
      </c>
      <c r="Q50" s="146" t="str">
        <f>IFERROR(__xludf.DUMMYFUNCTION("""COMPUTED_VALUE"""),"086 324 4591")</f>
        <v>086 324 4591</v>
      </c>
      <c r="R50" s="147" t="str">
        <f>IFERROR(__xludf.DUMMYFUNCTION("""COMPUTED_VALUE"""),"3101300-28-9655")</f>
        <v>3101300-28-9655</v>
      </c>
      <c r="S50" t="str">
        <f>IFERROR(__xludf.DUMMYFUNCTION("""COMPUTED_VALUE"""),"AC7921706")</f>
        <v>AC7921706</v>
      </c>
      <c r="T50" s="148">
        <f>IFERROR(__xludf.DUMMYFUNCTION("""COMPUTED_VALUE"""),45673.0)</f>
        <v>45673</v>
      </c>
      <c r="U50" s="148">
        <f>IFERROR(__xludf.DUMMYFUNCTION("""COMPUTED_VALUE"""),49324.0)</f>
        <v>49324</v>
      </c>
      <c r="V50" s="149">
        <f>IFERROR(__xludf.DUMMYFUNCTION("""COMPUTED_VALUE"""),49140.0)</f>
        <v>49140</v>
      </c>
      <c r="W50" t="str">
        <f>IFERROR(__xludf.DUMMYFUNCTION("""COMPUTED_VALUE"""),"ปลอดภัย")</f>
        <v>ปลอดภัย</v>
      </c>
      <c r="X50" t="str">
        <f>IFERROR(__xludf.DUMMYFUNCTION("""COMPUTED_VALUE"""),"Bangkok")</f>
        <v>Bangkok</v>
      </c>
      <c r="Y50" t="str">
        <f>IFERROR(__xludf.DUMMYFUNCTION("""COMPUTED_VALUE"""),"สวนหลวง")</f>
        <v>สวนหลวง</v>
      </c>
      <c r="Z50" t="str">
        <f>IFERROR(__xludf.DUMMYFUNCTION("""COMPUTED_VALUE"""),"098 252 5041")</f>
        <v>098 252 5041</v>
      </c>
      <c r="AA50" t="str">
        <f>IFERROR(__xludf.DUMMYFUNCTION("""COMPUTED_VALUE"""),"ไม่ระบุ")</f>
        <v>ไม่ระบุ</v>
      </c>
      <c r="AB50" t="str">
        <f>IFERROR(__xludf.DUMMYFUNCTION("""COMPUTED_VALUE"""),"chindaratc@airasia.com")</f>
        <v>chindaratc@airasia.com</v>
      </c>
    </row>
    <row r="51">
      <c r="A51">
        <f>IFERROR(__xludf.DUMMYFUNCTION("""COMPUTED_VALUE"""),1001308.0)</f>
        <v>1001308</v>
      </c>
      <c r="B51" t="str">
        <f>IFERROR(__xludf.DUMMYFUNCTION("""COMPUTED_VALUE"""),"Mr.")</f>
        <v>Mr.</v>
      </c>
      <c r="C51" t="str">
        <f>IFERROR(__xludf.DUMMYFUNCTION("""COMPUTED_VALUE"""),"Kittisak")</f>
        <v>Kittisak</v>
      </c>
      <c r="D51" t="str">
        <f>IFERROR(__xludf.DUMMYFUNCTION("""COMPUTED_VALUE"""),"Issaro")</f>
        <v>Issaro</v>
      </c>
      <c r="E51" t="str">
        <f>IFERROR(__xludf.DUMMYFUNCTION("""COMPUTED_VALUE"""),"Kittisak Issaro")</f>
        <v>Kittisak Issaro</v>
      </c>
      <c r="F51" t="str">
        <f>IFERROR(__xludf.DUMMYFUNCTION("""COMPUTED_VALUE"""),"นาย")</f>
        <v>นาย</v>
      </c>
      <c r="G51" t="str">
        <f>IFERROR(__xludf.DUMMYFUNCTION("""COMPUTED_VALUE"""),"กิตติศักดิ์")</f>
        <v>กิตติศักดิ์</v>
      </c>
      <c r="H51" t="str">
        <f>IFERROR(__xludf.DUMMYFUNCTION("""COMPUTED_VALUE"""),"อิสโร")</f>
        <v>อิสโร</v>
      </c>
      <c r="I51" t="str">
        <f>IFERROR(__xludf.DUMMYFUNCTION("""COMPUTED_VALUE"""),"กิตติศักดิ์ อิสโร")</f>
        <v>กิตติศักดิ์ อิสโร</v>
      </c>
      <c r="J51" t="str">
        <f>IFERROR(__xludf.DUMMYFUNCTION("""COMPUTED_VALUE"""),"Por")</f>
        <v>Por</v>
      </c>
      <c r="K51" t="str">
        <f>IFERROR(__xludf.DUMMYFUNCTION("""COMPUTED_VALUE"""),"Cabin Crew Engagement Lead")</f>
        <v>Cabin Crew Engagement Lead</v>
      </c>
      <c r="L51" t="str">
        <f>IFERROR(__xludf.DUMMYFUNCTION("""COMPUTED_VALUE"""),"DMK")</f>
        <v>DMK</v>
      </c>
      <c r="M51" s="145" t="str">
        <f>IFERROR(__xludf.DUMMYFUNCTION("""COMPUTED_VALUE"""),"Ward Monitor")</f>
        <v>Ward Monitor</v>
      </c>
      <c r="N51" t="str">
        <f>IFERROR(__xludf.DUMMYFUNCTION("""COMPUTED_VALUE"""),"CCEL")</f>
        <v>CCEL</v>
      </c>
      <c r="O51" t="str">
        <f>IFERROR(__xludf.DUMMYFUNCTION("""COMPUTED_VALUE"""),"Chinese Speaking")</f>
        <v>Chinese Speaking</v>
      </c>
      <c r="P51" s="143">
        <f>IFERROR(__xludf.DUMMYFUNCTION("""COMPUTED_VALUE"""),30813.0)</f>
        <v>30813</v>
      </c>
      <c r="Q51" s="146" t="str">
        <f>IFERROR(__xludf.DUMMYFUNCTION("""COMPUTED_VALUE"""),"062 569 8942")</f>
        <v>062 569 8942</v>
      </c>
      <c r="R51" s="147" t="str">
        <f>IFERROR(__xludf.DUMMYFUNCTION("""COMPUTED_VALUE"""),"1739900-01-5829")</f>
        <v>1739900-01-5829</v>
      </c>
      <c r="S51" t="str">
        <f>IFERROR(__xludf.DUMMYFUNCTION("""COMPUTED_VALUE"""),"AC47470200")</f>
        <v>AC47470200</v>
      </c>
      <c r="T51" s="148">
        <f>IFERROR(__xludf.DUMMYFUNCTION("""COMPUTED_VALUE"""),45596.0)</f>
        <v>45596</v>
      </c>
      <c r="U51" s="148">
        <f>IFERROR(__xludf.DUMMYFUNCTION("""COMPUTED_VALUE"""),49247.0)</f>
        <v>49247</v>
      </c>
      <c r="V51" s="149">
        <f>IFERROR(__xludf.DUMMYFUNCTION("""COMPUTED_VALUE"""),49064.0)</f>
        <v>49064</v>
      </c>
      <c r="W51" t="str">
        <f>IFERROR(__xludf.DUMMYFUNCTION("""COMPUTED_VALUE"""),"ปลอดภัย")</f>
        <v>ปลอดภัย</v>
      </c>
      <c r="X51" t="str">
        <f>IFERROR(__xludf.DUMMYFUNCTION("""COMPUTED_VALUE"""),"Nakhon Pathom Province")</f>
        <v>Nakhon Pathom Province</v>
      </c>
      <c r="Y51" t="str">
        <f>IFERROR(__xludf.DUMMYFUNCTION("""COMPUTED_VALUE"""),"สวนหลวง")</f>
        <v>สวนหลวง</v>
      </c>
      <c r="Z51" t="str">
        <f>IFERROR(__xludf.DUMMYFUNCTION("""COMPUTED_VALUE"""),"086 795 1527")</f>
        <v>086 795 1527</v>
      </c>
      <c r="AA51" t="str">
        <f>IFERROR(__xludf.DUMMYFUNCTION("""COMPUTED_VALUE"""),"พี่ี่สาว")</f>
        <v>พี่ี่สาว</v>
      </c>
      <c r="AB51" t="str">
        <f>IFERROR(__xludf.DUMMYFUNCTION("""COMPUTED_VALUE"""),"kittisaki@airasia.com")</f>
        <v>kittisaki@airasia.com</v>
      </c>
    </row>
    <row r="52">
      <c r="A52">
        <f>IFERROR(__xludf.DUMMYFUNCTION("""COMPUTED_VALUE"""),1001312.0)</f>
        <v>1001312</v>
      </c>
      <c r="B52" t="str">
        <f>IFERROR(__xludf.DUMMYFUNCTION("""COMPUTED_VALUE"""),"Ms.")</f>
        <v>Ms.</v>
      </c>
      <c r="C52" t="str">
        <f>IFERROR(__xludf.DUMMYFUNCTION("""COMPUTED_VALUE"""),"Rattanapat")</f>
        <v>Rattanapat</v>
      </c>
      <c r="D52" t="str">
        <f>IFERROR(__xludf.DUMMYFUNCTION("""COMPUTED_VALUE"""),"Rattanaviroj")</f>
        <v>Rattanaviroj</v>
      </c>
      <c r="E52" t="str">
        <f>IFERROR(__xludf.DUMMYFUNCTION("""COMPUTED_VALUE"""),"Rattanapat Rattanaviroj")</f>
        <v>Rattanapat Rattanaviroj</v>
      </c>
      <c r="F52" t="str">
        <f>IFERROR(__xludf.DUMMYFUNCTION("""COMPUTED_VALUE"""),"นางสาว")</f>
        <v>นางสาว</v>
      </c>
      <c r="G52" t="str">
        <f>IFERROR(__xludf.DUMMYFUNCTION("""COMPUTED_VALUE"""),"รัตนพรรษ")</f>
        <v>รัตนพรรษ</v>
      </c>
      <c r="H52" t="str">
        <f>IFERROR(__xludf.DUMMYFUNCTION("""COMPUTED_VALUE"""),"รัตนวิโรจน์")</f>
        <v>รัตนวิโรจน์</v>
      </c>
      <c r="I52" t="str">
        <f>IFERROR(__xludf.DUMMYFUNCTION("""COMPUTED_VALUE"""),"รัตนพรรษ รัตนวิโรจน์")</f>
        <v>รัตนพรรษ รัตนวิโรจน์</v>
      </c>
      <c r="J52" t="str">
        <f>IFERROR(__xludf.DUMMYFUNCTION("""COMPUTED_VALUE"""),"Phueng")</f>
        <v>Phueng</v>
      </c>
      <c r="K52" t="str">
        <f>IFERROR(__xludf.DUMMYFUNCTION("""COMPUTED_VALUE"""),"Senior Cabin Crew")</f>
        <v>Senior Cabin Crew</v>
      </c>
      <c r="L52" t="str">
        <f>IFERROR(__xludf.DUMMYFUNCTION("""COMPUTED_VALUE"""),"DMK")</f>
        <v>DMK</v>
      </c>
      <c r="M52" s="145" t="str">
        <f>IFERROR(__xludf.DUMMYFUNCTION("""COMPUTED_VALUE"""),"Kor Home")</f>
        <v>Kor Home</v>
      </c>
      <c r="N52" t="str">
        <f>IFERROR(__xludf.DUMMYFUNCTION("""COMPUTED_VALUE"""),"Active")</f>
        <v>Active</v>
      </c>
      <c r="P52" s="143">
        <f>IFERROR(__xludf.DUMMYFUNCTION("""COMPUTED_VALUE"""),30298.0)</f>
        <v>30298</v>
      </c>
      <c r="Q52" s="146" t="str">
        <f>IFERROR(__xludf.DUMMYFUNCTION("""COMPUTED_VALUE"""),"091 591 4462")</f>
        <v>091 591 4462</v>
      </c>
      <c r="R52" s="147" t="str">
        <f>IFERROR(__xludf.DUMMYFUNCTION("""COMPUTED_VALUE"""),"3101500-13-2121")</f>
        <v>3101500-13-2121</v>
      </c>
      <c r="S52" t="str">
        <f>IFERROR(__xludf.DUMMYFUNCTION("""COMPUTED_VALUE"""),"AC4307227")</f>
        <v>AC4307227</v>
      </c>
      <c r="T52" s="148">
        <f>IFERROR(__xludf.DUMMYFUNCTION("""COMPUTED_VALUE"""),44915.0)</f>
        <v>44915</v>
      </c>
      <c r="U52" s="148">
        <f>IFERROR(__xludf.DUMMYFUNCTION("""COMPUTED_VALUE"""),48567.0)</f>
        <v>48567</v>
      </c>
      <c r="V52" s="149">
        <f>IFERROR(__xludf.DUMMYFUNCTION("""COMPUTED_VALUE"""),48384.0)</f>
        <v>48384</v>
      </c>
      <c r="W52" t="str">
        <f>IFERROR(__xludf.DUMMYFUNCTION("""COMPUTED_VALUE"""),"ปลอดภัย")</f>
        <v>ปลอดภัย</v>
      </c>
      <c r="X52" t="str">
        <f>IFERROR(__xludf.DUMMYFUNCTION("""COMPUTED_VALUE"""),"Bangkok")</f>
        <v>Bangkok</v>
      </c>
      <c r="Y52" t="str">
        <f>IFERROR(__xludf.DUMMYFUNCTION("""COMPUTED_VALUE"""),"บางกะปิ")</f>
        <v>บางกะปิ</v>
      </c>
      <c r="Z52" t="str">
        <f>IFERROR(__xludf.DUMMYFUNCTION("""COMPUTED_VALUE"""),"02 424 1600")</f>
        <v>02 424 1600</v>
      </c>
      <c r="AA52" t="str">
        <f>IFERROR(__xludf.DUMMYFUNCTION("""COMPUTED_VALUE"""),"บ้าน")</f>
        <v>บ้าน</v>
      </c>
      <c r="AB52" t="str">
        <f>IFERROR(__xludf.DUMMYFUNCTION("""COMPUTED_VALUE"""),"rattanapatr@airasia.com")</f>
        <v>rattanapatr@airasia.com</v>
      </c>
    </row>
    <row r="53">
      <c r="A53">
        <f>IFERROR(__xludf.DUMMYFUNCTION("""COMPUTED_VALUE"""),1001317.0)</f>
        <v>1001317</v>
      </c>
      <c r="B53" t="str">
        <f>IFERROR(__xludf.DUMMYFUNCTION("""COMPUTED_VALUE"""),"Ms.")</f>
        <v>Ms.</v>
      </c>
      <c r="C53" t="str">
        <f>IFERROR(__xludf.DUMMYFUNCTION("""COMPUTED_VALUE"""),"Umaporn")</f>
        <v>Umaporn</v>
      </c>
      <c r="D53" t="str">
        <f>IFERROR(__xludf.DUMMYFUNCTION("""COMPUTED_VALUE"""),"Charnond (Laosriwijit)")</f>
        <v>Charnond (Laosriwijit)</v>
      </c>
      <c r="E53" t="str">
        <f>IFERROR(__xludf.DUMMYFUNCTION("""COMPUTED_VALUE"""),"Umaporn Charnond")</f>
        <v>Umaporn Charnond</v>
      </c>
      <c r="F53" t="str">
        <f>IFERROR(__xludf.DUMMYFUNCTION("""COMPUTED_VALUE"""),"นางสาว")</f>
        <v>นางสาว</v>
      </c>
      <c r="G53" t="str">
        <f>IFERROR(__xludf.DUMMYFUNCTION("""COMPUTED_VALUE"""),"อุมาพร")</f>
        <v>อุมาพร</v>
      </c>
      <c r="H53" t="str">
        <f>IFERROR(__xludf.DUMMYFUNCTION("""COMPUTED_VALUE"""),"ชานนท์ (เหล่าศรีวิจิตร)")</f>
        <v>ชานนท์ (เหล่าศรีวิจิตร)</v>
      </c>
      <c r="I53" t="str">
        <f>IFERROR(__xludf.DUMMYFUNCTION("""COMPUTED_VALUE"""),"อุมาพร ชานนท์")</f>
        <v>อุมาพร ชานนท์</v>
      </c>
      <c r="J53" t="str">
        <f>IFERROR(__xludf.DUMMYFUNCTION("""COMPUTED_VALUE"""),"Yokz")</f>
        <v>Yokz</v>
      </c>
      <c r="K53" t="str">
        <f>IFERROR(__xludf.DUMMYFUNCTION("""COMPUTED_VALUE"""),"Senior Cabin Crew")</f>
        <v>Senior Cabin Crew</v>
      </c>
      <c r="L53" t="str">
        <f>IFERROR(__xludf.DUMMYFUNCTION("""COMPUTED_VALUE"""),"DMK")</f>
        <v>DMK</v>
      </c>
      <c r="M53" s="145" t="str">
        <f>IFERROR(__xludf.DUMMYFUNCTION("""COMPUTED_VALUE"""),"Um Home")</f>
        <v>Um Home</v>
      </c>
      <c r="N53" t="str">
        <f>IFERROR(__xludf.DUMMYFUNCTION("""COMPUTED_VALUE"""),"Active")</f>
        <v>Active</v>
      </c>
      <c r="O53" t="str">
        <f>IFERROR(__xludf.DUMMYFUNCTION("""COMPUTED_VALUE"""),"Chinese Speaking")</f>
        <v>Chinese Speaking</v>
      </c>
      <c r="P53" s="143">
        <f>IFERROR(__xludf.DUMMYFUNCTION("""COMPUTED_VALUE"""),29546.0)</f>
        <v>29546</v>
      </c>
      <c r="Q53" s="146" t="str">
        <f>IFERROR(__xludf.DUMMYFUNCTION("""COMPUTED_VALUE"""),"085 993 2323")</f>
        <v>085 993 2323</v>
      </c>
      <c r="R53" s="147" t="str">
        <f>IFERROR(__xludf.DUMMYFUNCTION("""COMPUTED_VALUE"""),"3220100-24-6888")</f>
        <v>3220100-24-6888</v>
      </c>
      <c r="S53" t="str">
        <f>IFERROR(__xludf.DUMMYFUNCTION("""COMPUTED_VALUE"""),"AC6633043")</f>
        <v>AC6633043</v>
      </c>
      <c r="T53" s="148">
        <f>IFERROR(__xludf.DUMMYFUNCTION("""COMPUTED_VALUE"""),45414.0)</f>
        <v>45414</v>
      </c>
      <c r="U53" s="148">
        <f>IFERROR(__xludf.DUMMYFUNCTION("""COMPUTED_VALUE"""),49065.0)</f>
        <v>49065</v>
      </c>
      <c r="V53" s="149">
        <f>IFERROR(__xludf.DUMMYFUNCTION("""COMPUTED_VALUE"""),48884.0)</f>
        <v>48884</v>
      </c>
      <c r="W53" t="str">
        <f>IFERROR(__xludf.DUMMYFUNCTION("""COMPUTED_VALUE"""),"ปลอดภัย")</f>
        <v>ปลอดภัย</v>
      </c>
      <c r="X53" t="str">
        <f>IFERROR(__xludf.DUMMYFUNCTION("""COMPUTED_VALUE"""),"Chanthaburi Province")</f>
        <v>Chanthaburi Province</v>
      </c>
      <c r="Y53" t="str">
        <f>IFERROR(__xludf.DUMMYFUNCTION("""COMPUTED_VALUE"""),"สวนหลวง")</f>
        <v>สวนหลวง</v>
      </c>
      <c r="Z53" t="str">
        <f>IFERROR(__xludf.DUMMYFUNCTION("""COMPUTED_VALUE"""),"! Update !")</f>
        <v>! Update !</v>
      </c>
      <c r="AA53" t="str">
        <f>IFERROR(__xludf.DUMMYFUNCTION("""COMPUTED_VALUE"""),"! Update !")</f>
        <v>! Update !</v>
      </c>
      <c r="AB53" t="str">
        <f>IFERROR(__xludf.DUMMYFUNCTION("""COMPUTED_VALUE"""),"umapornc@airasia.com")</f>
        <v>umapornc@airasia.com</v>
      </c>
    </row>
    <row r="54">
      <c r="A54">
        <f>IFERROR(__xludf.DUMMYFUNCTION("""COMPUTED_VALUE"""),1001319.0)</f>
        <v>1001319</v>
      </c>
      <c r="B54" t="str">
        <f>IFERROR(__xludf.DUMMYFUNCTION("""COMPUTED_VALUE"""),"Mr.")</f>
        <v>Mr.</v>
      </c>
      <c r="C54" t="str">
        <f>IFERROR(__xludf.DUMMYFUNCTION("""COMPUTED_VALUE"""),"Wipat")</f>
        <v>Wipat</v>
      </c>
      <c r="D54" t="str">
        <f>IFERROR(__xludf.DUMMYFUNCTION("""COMPUTED_VALUE"""),"Lurkasemsuk")</f>
        <v>Lurkasemsuk</v>
      </c>
      <c r="E54" t="str">
        <f>IFERROR(__xludf.DUMMYFUNCTION("""COMPUTED_VALUE"""),"Wipat Lurkasemsuk")</f>
        <v>Wipat Lurkasemsuk</v>
      </c>
      <c r="F54" t="str">
        <f>IFERROR(__xludf.DUMMYFUNCTION("""COMPUTED_VALUE"""),"นาย")</f>
        <v>นาย</v>
      </c>
      <c r="G54" t="str">
        <f>IFERROR(__xludf.DUMMYFUNCTION("""COMPUTED_VALUE"""),"วิพัฒน์")</f>
        <v>วิพัฒน์</v>
      </c>
      <c r="H54" t="str">
        <f>IFERROR(__xludf.DUMMYFUNCTION("""COMPUTED_VALUE"""),"ลือเกษมสุข")</f>
        <v>ลือเกษมสุข</v>
      </c>
      <c r="I54" t="str">
        <f>IFERROR(__xludf.DUMMYFUNCTION("""COMPUTED_VALUE"""),"วิพัฒน์ ลือเกษมสุข")</f>
        <v>วิพัฒน์ ลือเกษมสุข</v>
      </c>
      <c r="J54" t="str">
        <f>IFERROR(__xludf.DUMMYFUNCTION("""COMPUTED_VALUE"""),"Kelly")</f>
        <v>Kelly</v>
      </c>
      <c r="K54" t="str">
        <f>IFERROR(__xludf.DUMMYFUNCTION("""COMPUTED_VALUE"""),"Senior Cabin Crew")</f>
        <v>Senior Cabin Crew</v>
      </c>
      <c r="L54" t="str">
        <f>IFERROR(__xludf.DUMMYFUNCTION("""COMPUTED_VALUE"""),"DMK")</f>
        <v>DMK</v>
      </c>
      <c r="M54" s="145" t="str">
        <f>IFERROR(__xludf.DUMMYFUNCTION("""COMPUTED_VALUE"""),"Um Home")</f>
        <v>Um Home</v>
      </c>
      <c r="N54" t="str">
        <f>IFERROR(__xludf.DUMMYFUNCTION("""COMPUTED_VALUE"""),"Active")</f>
        <v>Active</v>
      </c>
      <c r="P54" s="143">
        <f>IFERROR(__xludf.DUMMYFUNCTION("""COMPUTED_VALUE"""),29554.0)</f>
        <v>29554</v>
      </c>
      <c r="Q54" s="146" t="str">
        <f>IFERROR(__xludf.DUMMYFUNCTION("""COMPUTED_VALUE"""),"084 641 1400")</f>
        <v>084 641 1400</v>
      </c>
      <c r="R54" s="147" t="str">
        <f>IFERROR(__xludf.DUMMYFUNCTION("""COMPUTED_VALUE"""),"5950500-00-1084")</f>
        <v>5950500-00-1084</v>
      </c>
      <c r="S54" t="str">
        <f>IFERROR(__xludf.DUMMYFUNCTION("""COMPUTED_VALUE"""),"AD1673882")</f>
        <v>AD1673882</v>
      </c>
      <c r="T54" s="148">
        <f>IFERROR(__xludf.DUMMYFUNCTION("""COMPUTED_VALUE"""),45328.0)</f>
        <v>45328</v>
      </c>
      <c r="U54" s="148">
        <f>IFERROR(__xludf.DUMMYFUNCTION("""COMPUTED_VALUE"""),48980.0)</f>
        <v>48980</v>
      </c>
      <c r="V54" s="149">
        <f>IFERROR(__xludf.DUMMYFUNCTION("""COMPUTED_VALUE"""),48796.0)</f>
        <v>48796</v>
      </c>
      <c r="W54" t="str">
        <f>IFERROR(__xludf.DUMMYFUNCTION("""COMPUTED_VALUE"""),"ปลอดภัย")</f>
        <v>ปลอดภัย</v>
      </c>
      <c r="X54" t="str">
        <f>IFERROR(__xludf.DUMMYFUNCTION("""COMPUTED_VALUE"""),"Yala Province")</f>
        <v>Yala Province</v>
      </c>
      <c r="Y54" t="str">
        <f>IFERROR(__xludf.DUMMYFUNCTION("""COMPUTED_VALUE"""),"สวนหลวง")</f>
        <v>สวนหลวง</v>
      </c>
      <c r="Z54" t="str">
        <f>IFERROR(__xludf.DUMMYFUNCTION("""COMPUTED_VALUE"""),"084 964 2098")</f>
        <v>084 964 2098</v>
      </c>
      <c r="AA54" t="str">
        <f>IFERROR(__xludf.DUMMYFUNCTION("""COMPUTED_VALUE"""),"พี่สาว")</f>
        <v>พี่สาว</v>
      </c>
      <c r="AB54" t="str">
        <f>IFERROR(__xludf.DUMMYFUNCTION("""COMPUTED_VALUE"""),"wipatl@airasia.com")</f>
        <v>wipatl@airasia.com</v>
      </c>
    </row>
    <row r="55">
      <c r="AB55" t="str">
        <f>IFERROR(__xludf.DUMMYFUNCTION("""COMPUTED_VALUE"""),"")</f>
        <v/>
      </c>
    </row>
    <row r="56">
      <c r="A56">
        <f>IFERROR(__xludf.DUMMYFUNCTION("""COMPUTED_VALUE"""),1001391.0)</f>
        <v>1001391</v>
      </c>
      <c r="B56" t="str">
        <f>IFERROR(__xludf.DUMMYFUNCTION("""COMPUTED_VALUE"""),"Ms.")</f>
        <v>Ms.</v>
      </c>
      <c r="C56" t="str">
        <f>IFERROR(__xludf.DUMMYFUNCTION("""COMPUTED_VALUE"""),"Fontip")</f>
        <v>Fontip</v>
      </c>
      <c r="D56" t="str">
        <f>IFERROR(__xludf.DUMMYFUNCTION("""COMPUTED_VALUE"""),"Siriudomseth")</f>
        <v>Siriudomseth</v>
      </c>
      <c r="E56" t="str">
        <f>IFERROR(__xludf.DUMMYFUNCTION("""COMPUTED_VALUE"""),"Fontip Siriudomseth")</f>
        <v>Fontip Siriudomseth</v>
      </c>
      <c r="F56" t="str">
        <f>IFERROR(__xludf.DUMMYFUNCTION("""COMPUTED_VALUE"""),"นางสาว")</f>
        <v>นางสาว</v>
      </c>
      <c r="G56" t="str">
        <f>IFERROR(__xludf.DUMMYFUNCTION("""COMPUTED_VALUE"""),"ฝนทิพย์")</f>
        <v>ฝนทิพย์</v>
      </c>
      <c r="H56" t="str">
        <f>IFERROR(__xludf.DUMMYFUNCTION("""COMPUTED_VALUE"""),"ศิริอุดมเศรษฐ")</f>
        <v>ศิริอุดมเศรษฐ</v>
      </c>
      <c r="I56" t="str">
        <f>IFERROR(__xludf.DUMMYFUNCTION("""COMPUTED_VALUE"""),"ฝนทิพย์ ศิริอุดมเศรษฐ")</f>
        <v>ฝนทิพย์ ศิริอุดมเศรษฐ</v>
      </c>
      <c r="J56" t="str">
        <f>IFERROR(__xludf.DUMMYFUNCTION("""COMPUTED_VALUE"""),"Fon")</f>
        <v>Fon</v>
      </c>
      <c r="K56" t="str">
        <f>IFERROR(__xludf.DUMMYFUNCTION("""COMPUTED_VALUE"""),"Senior Cabin Crew - BKK")</f>
        <v>Senior Cabin Crew - BKK</v>
      </c>
      <c r="L56" t="str">
        <f>IFERROR(__xludf.DUMMYFUNCTION("""COMPUTED_VALUE"""),"BKK")</f>
        <v>BKK</v>
      </c>
      <c r="M56" s="145" t="str">
        <f>IFERROR(__xludf.DUMMYFUNCTION("""COMPUTED_VALUE"""),"Nhui Home")</f>
        <v>Nhui Home</v>
      </c>
      <c r="N56" t="str">
        <f>IFERROR(__xludf.DUMMYFUNCTION("""COMPUTED_VALUE"""),"Active")</f>
        <v>Active</v>
      </c>
      <c r="P56" s="143">
        <f>IFERROR(__xludf.DUMMYFUNCTION("""COMPUTED_VALUE"""),30609.0)</f>
        <v>30609</v>
      </c>
      <c r="Q56" s="146" t="str">
        <f>IFERROR(__xludf.DUMMYFUNCTION("""COMPUTED_VALUE"""),"089 245 2326")</f>
        <v>089 245 2326</v>
      </c>
      <c r="R56" s="147" t="str">
        <f>IFERROR(__xludf.DUMMYFUNCTION("""COMPUTED_VALUE"""),"5101799-02-2544")</f>
        <v>5101799-02-2544</v>
      </c>
      <c r="S56" t="str">
        <f>IFERROR(__xludf.DUMMYFUNCTION("""COMPUTED_VALUE"""),"AC4602208")</f>
        <v>AC4602208</v>
      </c>
      <c r="T56" s="148">
        <f>IFERROR(__xludf.DUMMYFUNCTION("""COMPUTED_VALUE"""),44998.0)</f>
        <v>44998</v>
      </c>
      <c r="U56" s="148">
        <f>IFERROR(__xludf.DUMMYFUNCTION("""COMPUTED_VALUE"""),48650.0)</f>
        <v>48650</v>
      </c>
      <c r="V56" s="149">
        <f>IFERROR(__xludf.DUMMYFUNCTION("""COMPUTED_VALUE"""),48469.0)</f>
        <v>48469</v>
      </c>
      <c r="W56" t="str">
        <f>IFERROR(__xludf.DUMMYFUNCTION("""COMPUTED_VALUE"""),"ปลอดภัย")</f>
        <v>ปลอดภัย</v>
      </c>
      <c r="X56" t="str">
        <f>IFERROR(__xludf.DUMMYFUNCTION("""COMPUTED_VALUE"""),"Bangkok")</f>
        <v>Bangkok</v>
      </c>
      <c r="Y56" t="str">
        <f>IFERROR(__xludf.DUMMYFUNCTION("""COMPUTED_VALUE"""),"บางกะปิ")</f>
        <v>บางกะปิ</v>
      </c>
      <c r="Z56" t="str">
        <f>IFERROR(__xludf.DUMMYFUNCTION("""COMPUTED_VALUE"""),"081 843 6177")</f>
        <v>081 843 6177</v>
      </c>
      <c r="AA56" t="str">
        <f>IFERROR(__xludf.DUMMYFUNCTION("""COMPUTED_VALUE"""),"สามี")</f>
        <v>สามี</v>
      </c>
      <c r="AB56" t="str">
        <f>IFERROR(__xludf.DUMMYFUNCTION("""COMPUTED_VALUE"""),"fontips@airasia.com")</f>
        <v>fontips@airasia.com</v>
      </c>
    </row>
    <row r="57">
      <c r="A57">
        <f>IFERROR(__xludf.DUMMYFUNCTION("""COMPUTED_VALUE"""),1001392.0)</f>
        <v>1001392</v>
      </c>
      <c r="B57" t="str">
        <f>IFERROR(__xludf.DUMMYFUNCTION("""COMPUTED_VALUE"""),"Ms.")</f>
        <v>Ms.</v>
      </c>
      <c r="C57" t="str">
        <f>IFERROR(__xludf.DUMMYFUNCTION("""COMPUTED_VALUE"""),"Hataitip")</f>
        <v>Hataitip</v>
      </c>
      <c r="D57" t="str">
        <f>IFERROR(__xludf.DUMMYFUNCTION("""COMPUTED_VALUE"""),"Chaichana")</f>
        <v>Chaichana</v>
      </c>
      <c r="E57" t="str">
        <f>IFERROR(__xludf.DUMMYFUNCTION("""COMPUTED_VALUE"""),"Hataitip Chaichana")</f>
        <v>Hataitip Chaichana</v>
      </c>
      <c r="F57" t="str">
        <f>IFERROR(__xludf.DUMMYFUNCTION("""COMPUTED_VALUE"""),"นางสาว")</f>
        <v>นางสาว</v>
      </c>
      <c r="G57" t="str">
        <f>IFERROR(__xludf.DUMMYFUNCTION("""COMPUTED_VALUE"""),"หทัยทิพย์")</f>
        <v>หทัยทิพย์</v>
      </c>
      <c r="H57" t="str">
        <f>IFERROR(__xludf.DUMMYFUNCTION("""COMPUTED_VALUE"""),"ชัยชนะ")</f>
        <v>ชัยชนะ</v>
      </c>
      <c r="I57" t="str">
        <f>IFERROR(__xludf.DUMMYFUNCTION("""COMPUTED_VALUE"""),"หทัยทิพย์ ชัยชนะ")</f>
        <v>หทัยทิพย์ ชัยชนะ</v>
      </c>
      <c r="J57" t="str">
        <f>IFERROR(__xludf.DUMMYFUNCTION("""COMPUTED_VALUE"""),"Noon")</f>
        <v>Noon</v>
      </c>
      <c r="K57" t="str">
        <f>IFERROR(__xludf.DUMMYFUNCTION("""COMPUTED_VALUE"""),"Senior Cabin Crew")</f>
        <v>Senior Cabin Crew</v>
      </c>
      <c r="L57" t="str">
        <f>IFERROR(__xludf.DUMMYFUNCTION("""COMPUTED_VALUE"""),"DMK")</f>
        <v>DMK</v>
      </c>
      <c r="M57" s="145" t="str">
        <f>IFERROR(__xludf.DUMMYFUNCTION("""COMPUTED_VALUE"""),"Um Home")</f>
        <v>Um Home</v>
      </c>
      <c r="N57" t="str">
        <f>IFERROR(__xludf.DUMMYFUNCTION("""COMPUTED_VALUE"""),"Active")</f>
        <v>Active</v>
      </c>
      <c r="P57" s="143">
        <f>IFERROR(__xludf.DUMMYFUNCTION("""COMPUTED_VALUE"""),31071.0)</f>
        <v>31071</v>
      </c>
      <c r="Q57" s="146" t="str">
        <f>IFERROR(__xludf.DUMMYFUNCTION("""COMPUTED_VALUE"""),"094 646 2244")</f>
        <v>094 646 2244</v>
      </c>
      <c r="R57" s="147" t="str">
        <f>IFERROR(__xludf.DUMMYFUNCTION("""COMPUTED_VALUE"""),"1509900-15-2771")</f>
        <v>1509900-15-2771</v>
      </c>
      <c r="S57" t="str">
        <f>IFERROR(__xludf.DUMMYFUNCTION("""COMPUTED_VALUE"""),"AC6246980")</f>
        <v>AC6246980</v>
      </c>
      <c r="T57" s="150">
        <f>IFERROR(__xludf.DUMMYFUNCTION("""COMPUTED_VALUE"""),45309.0)</f>
        <v>45309</v>
      </c>
      <c r="U57" s="148">
        <f>IFERROR(__xludf.DUMMYFUNCTION("""COMPUTED_VALUE"""),48961.0)</f>
        <v>48961</v>
      </c>
      <c r="V57" s="149">
        <f>IFERROR(__xludf.DUMMYFUNCTION("""COMPUTED_VALUE"""),48777.0)</f>
        <v>48777</v>
      </c>
      <c r="W57" t="str">
        <f>IFERROR(__xludf.DUMMYFUNCTION("""COMPUTED_VALUE"""),"ปลอดภัย")</f>
        <v>ปลอดภัย</v>
      </c>
      <c r="X57" t="str">
        <f>IFERROR(__xludf.DUMMYFUNCTION("""COMPUTED_VALUE"""),"Chiang Mai Province")</f>
        <v>Chiang Mai Province</v>
      </c>
      <c r="Y57" t="str">
        <f>IFERROR(__xludf.DUMMYFUNCTION("""COMPUTED_VALUE"""),"บางกะปิ")</f>
        <v>บางกะปิ</v>
      </c>
      <c r="Z57" t="str">
        <f>IFERROR(__xludf.DUMMYFUNCTION("""COMPUTED_VALUE"""),"087 516 5665")</f>
        <v>087 516 5665</v>
      </c>
      <c r="AA57" t="str">
        <f>IFERROR(__xludf.DUMMYFUNCTION("""COMPUTED_VALUE"""),"สามี")</f>
        <v>สามี</v>
      </c>
      <c r="AB57" t="str">
        <f>IFERROR(__xludf.DUMMYFUNCTION("""COMPUTED_VALUE"""),"hataitipc@airasia.com")</f>
        <v>hataitipc@airasia.com</v>
      </c>
    </row>
    <row r="58">
      <c r="A58">
        <f>IFERROR(__xludf.DUMMYFUNCTION("""COMPUTED_VALUE"""),1001393.0)</f>
        <v>1001393</v>
      </c>
      <c r="B58" t="str">
        <f>IFERROR(__xludf.DUMMYFUNCTION("""COMPUTED_VALUE"""),"Ms.")</f>
        <v>Ms.</v>
      </c>
      <c r="C58" t="str">
        <f>IFERROR(__xludf.DUMMYFUNCTION("""COMPUTED_VALUE"""),"Natthima")</f>
        <v>Natthima</v>
      </c>
      <c r="D58" t="str">
        <f>IFERROR(__xludf.DUMMYFUNCTION("""COMPUTED_VALUE"""),"Dolchalermkiat")</f>
        <v>Dolchalermkiat</v>
      </c>
      <c r="E58" t="str">
        <f>IFERROR(__xludf.DUMMYFUNCTION("""COMPUTED_VALUE"""),"Natthima Dolchalermkiat")</f>
        <v>Natthima Dolchalermkiat</v>
      </c>
      <c r="F58" t="str">
        <f>IFERROR(__xludf.DUMMYFUNCTION("""COMPUTED_VALUE"""),"นางสาว")</f>
        <v>นางสาว</v>
      </c>
      <c r="G58" t="str">
        <f>IFERROR(__xludf.DUMMYFUNCTION("""COMPUTED_VALUE"""),"ณัฏฐิมา")</f>
        <v>ณัฏฐิมา</v>
      </c>
      <c r="H58" t="str">
        <f>IFERROR(__xludf.DUMMYFUNCTION("""COMPUTED_VALUE"""),"ดลเฉลิมเกียรติ")</f>
        <v>ดลเฉลิมเกียรติ</v>
      </c>
      <c r="I58" t="str">
        <f>IFERROR(__xludf.DUMMYFUNCTION("""COMPUTED_VALUE"""),"ณัฏฐิมา ดลเฉลิมเกียรติ")</f>
        <v>ณัฏฐิมา ดลเฉลิมเกียรติ</v>
      </c>
      <c r="J58" t="str">
        <f>IFERROR(__xludf.DUMMYFUNCTION("""COMPUTED_VALUE"""),"June")</f>
        <v>June</v>
      </c>
      <c r="K58" t="str">
        <f>IFERROR(__xludf.DUMMYFUNCTION("""COMPUTED_VALUE"""),"Senior Cabin Crew")</f>
        <v>Senior Cabin Crew</v>
      </c>
      <c r="L58" t="str">
        <f>IFERROR(__xludf.DUMMYFUNCTION("""COMPUTED_VALUE"""),"DMK")</f>
        <v>DMK</v>
      </c>
      <c r="M58" s="145" t="str">
        <f>IFERROR(__xludf.DUMMYFUNCTION("""COMPUTED_VALUE"""),"Toffy Home")</f>
        <v>Toffy Home</v>
      </c>
      <c r="N58" t="str">
        <f>IFERROR(__xludf.DUMMYFUNCTION("""COMPUTED_VALUE"""),"Active")</f>
        <v>Active</v>
      </c>
      <c r="O58" t="str">
        <f>IFERROR(__xludf.DUMMYFUNCTION("""COMPUTED_VALUE"""),"Chinese Speaking")</f>
        <v>Chinese Speaking</v>
      </c>
      <c r="P58" s="143">
        <f>IFERROR(__xludf.DUMMYFUNCTION("""COMPUTED_VALUE"""),30743.0)</f>
        <v>30743</v>
      </c>
      <c r="Q58" s="146" t="str">
        <f>IFERROR(__xludf.DUMMYFUNCTION("""COMPUTED_VALUE"""),"085 826 9159")</f>
        <v>085 826 9159</v>
      </c>
      <c r="R58" s="147" t="str">
        <f>IFERROR(__xludf.DUMMYFUNCTION("""COMPUTED_VALUE"""),"1100400-01-6149")</f>
        <v>1100400-01-6149</v>
      </c>
      <c r="S58" t="str">
        <f>IFERROR(__xludf.DUMMYFUNCTION("""COMPUTED_VALUE"""),"AC6740504")</f>
        <v>AC6740504</v>
      </c>
      <c r="T58" s="148">
        <f>IFERROR(__xludf.DUMMYFUNCTION("""COMPUTED_VALUE"""),45420.0)</f>
        <v>45420</v>
      </c>
      <c r="U58" s="148">
        <f>IFERROR(__xludf.DUMMYFUNCTION("""COMPUTED_VALUE"""),49071.0)</f>
        <v>49071</v>
      </c>
      <c r="V58" s="149">
        <f>IFERROR(__xludf.DUMMYFUNCTION("""COMPUTED_VALUE"""),48890.0)</f>
        <v>48890</v>
      </c>
      <c r="W58" t="str">
        <f>IFERROR(__xludf.DUMMYFUNCTION("""COMPUTED_VALUE"""),"ปลอดภัย")</f>
        <v>ปลอดภัย</v>
      </c>
      <c r="X58" t="str">
        <f>IFERROR(__xludf.DUMMYFUNCTION("""COMPUTED_VALUE"""),"Bangkok")</f>
        <v>Bangkok</v>
      </c>
      <c r="Y58" t="str">
        <f>IFERROR(__xludf.DUMMYFUNCTION("""COMPUTED_VALUE"""),"สาธร")</f>
        <v>สาธร</v>
      </c>
      <c r="Z58" t="str">
        <f>IFERROR(__xludf.DUMMYFUNCTION("""COMPUTED_VALUE"""),"02 211 4252")</f>
        <v>02 211 4252</v>
      </c>
      <c r="AA58" t="str">
        <f>IFERROR(__xludf.DUMMYFUNCTION("""COMPUTED_VALUE"""),"แม่")</f>
        <v>แม่</v>
      </c>
      <c r="AB58" t="str">
        <f>IFERROR(__xludf.DUMMYFUNCTION("""COMPUTED_VALUE"""),"natthimad@airasia.com")</f>
        <v>natthimad@airasia.com</v>
      </c>
    </row>
    <row r="59">
      <c r="A59">
        <f>IFERROR(__xludf.DUMMYFUNCTION("""COMPUTED_VALUE"""),1001394.0)</f>
        <v>1001394</v>
      </c>
      <c r="B59" t="str">
        <f>IFERROR(__xludf.DUMMYFUNCTION("""COMPUTED_VALUE"""),"Ms.")</f>
        <v>Ms.</v>
      </c>
      <c r="C59" t="str">
        <f>IFERROR(__xludf.DUMMYFUNCTION("""COMPUTED_VALUE"""),"Noppawan")</f>
        <v>Noppawan</v>
      </c>
      <c r="D59" t="str">
        <f>IFERROR(__xludf.DUMMYFUNCTION("""COMPUTED_VALUE"""),"Sangpiroon")</f>
        <v>Sangpiroon</v>
      </c>
      <c r="E59" t="str">
        <f>IFERROR(__xludf.DUMMYFUNCTION("""COMPUTED_VALUE"""),"Noppawan Sangpiroon")</f>
        <v>Noppawan Sangpiroon</v>
      </c>
      <c r="F59" t="str">
        <f>IFERROR(__xludf.DUMMYFUNCTION("""COMPUTED_VALUE"""),"นางสาว")</f>
        <v>นางสาว</v>
      </c>
      <c r="G59" t="str">
        <f>IFERROR(__xludf.DUMMYFUNCTION("""COMPUTED_VALUE"""),"นพวรรณ")</f>
        <v>นพวรรณ</v>
      </c>
      <c r="H59" t="str">
        <f>IFERROR(__xludf.DUMMYFUNCTION("""COMPUTED_VALUE"""),"แสงพิรุณ")</f>
        <v>แสงพิรุณ</v>
      </c>
      <c r="I59" t="str">
        <f>IFERROR(__xludf.DUMMYFUNCTION("""COMPUTED_VALUE"""),"นพวรรณ แสงพิรุณ")</f>
        <v>นพวรรณ แสงพิรุณ</v>
      </c>
      <c r="J59" t="str">
        <f>IFERROR(__xludf.DUMMYFUNCTION("""COMPUTED_VALUE"""),"Nui")</f>
        <v>Nui</v>
      </c>
      <c r="K59" t="str">
        <f>IFERROR(__xludf.DUMMYFUNCTION("""COMPUTED_VALUE"""),"Senior Cabin Crew")</f>
        <v>Senior Cabin Crew</v>
      </c>
      <c r="L59" t="str">
        <f>IFERROR(__xludf.DUMMYFUNCTION("""COMPUTED_VALUE"""),"DMK")</f>
        <v>DMK</v>
      </c>
      <c r="M59" s="145" t="str">
        <f>IFERROR(__xludf.DUMMYFUNCTION("""COMPUTED_VALUE"""),"Toffy Home")</f>
        <v>Toffy Home</v>
      </c>
      <c r="N59" t="str">
        <f>IFERROR(__xludf.DUMMYFUNCTION("""COMPUTED_VALUE"""),"Active")</f>
        <v>Active</v>
      </c>
      <c r="P59" s="143">
        <f>IFERROR(__xludf.DUMMYFUNCTION("""COMPUTED_VALUE"""),30627.0)</f>
        <v>30627</v>
      </c>
      <c r="Q59" s="146" t="str">
        <f>IFERROR(__xludf.DUMMYFUNCTION("""COMPUTED_VALUE"""),"088 241 6944")</f>
        <v>088 241 6944</v>
      </c>
      <c r="R59" s="147" t="str">
        <f>IFERROR(__xludf.DUMMYFUNCTION("""COMPUTED_VALUE"""),"3100501-51-5431")</f>
        <v>3100501-51-5431</v>
      </c>
      <c r="S59" t="str">
        <f>IFERROR(__xludf.DUMMYFUNCTION("""COMPUTED_VALUE"""),"AD1845500")</f>
        <v>AD1845500</v>
      </c>
      <c r="T59" s="148">
        <f>IFERROR(__xludf.DUMMYFUNCTION("""COMPUTED_VALUE"""),45473.0)</f>
        <v>45473</v>
      </c>
      <c r="U59" s="148">
        <f>IFERROR(__xludf.DUMMYFUNCTION("""COMPUTED_VALUE"""),49124.0)</f>
        <v>49124</v>
      </c>
      <c r="V59" s="149">
        <f>IFERROR(__xludf.DUMMYFUNCTION("""COMPUTED_VALUE"""),48942.0)</f>
        <v>48942</v>
      </c>
      <c r="W59" t="str">
        <f>IFERROR(__xludf.DUMMYFUNCTION("""COMPUTED_VALUE"""),"ปลอดภัย")</f>
        <v>ปลอดภัย</v>
      </c>
      <c r="X59" t="str">
        <f>IFERROR(__xludf.DUMMYFUNCTION("""COMPUTED_VALUE"""),"Bangkok")</f>
        <v>Bangkok</v>
      </c>
      <c r="Y59" t="str">
        <f>IFERROR(__xludf.DUMMYFUNCTION("""COMPUTED_VALUE"""),"ลำลูกกา")</f>
        <v>ลำลูกกา</v>
      </c>
      <c r="Z59" t="str">
        <f>IFERROR(__xludf.DUMMYFUNCTION("""COMPUTED_VALUE"""),"081 668 8827")</f>
        <v>081 668 8827</v>
      </c>
      <c r="AA59" t="str">
        <f>IFERROR(__xludf.DUMMYFUNCTION("""COMPUTED_VALUE"""),"แม่")</f>
        <v>แม่</v>
      </c>
      <c r="AB59" t="str">
        <f>IFERROR(__xludf.DUMMYFUNCTION("""COMPUTED_VALUE"""),"noppawans@airasia.com")</f>
        <v>noppawans@airasia.com</v>
      </c>
    </row>
    <row r="60">
      <c r="A60">
        <f>IFERROR(__xludf.DUMMYFUNCTION("""COMPUTED_VALUE"""),1001395.0)</f>
        <v>1001395</v>
      </c>
      <c r="B60" t="str">
        <f>IFERROR(__xludf.DUMMYFUNCTION("""COMPUTED_VALUE"""),"Ms.")</f>
        <v>Ms.</v>
      </c>
      <c r="C60" t="str">
        <f>IFERROR(__xludf.DUMMYFUNCTION("""COMPUTED_VALUE"""),"Phadsawan")</f>
        <v>Phadsawan</v>
      </c>
      <c r="D60" t="str">
        <f>IFERROR(__xludf.DUMMYFUNCTION("""COMPUTED_VALUE"""),"Inthaphun")</f>
        <v>Inthaphun</v>
      </c>
      <c r="E60" t="str">
        <f>IFERROR(__xludf.DUMMYFUNCTION("""COMPUTED_VALUE"""),"Phadsawan Inthaphun")</f>
        <v>Phadsawan Inthaphun</v>
      </c>
      <c r="F60" t="str">
        <f>IFERROR(__xludf.DUMMYFUNCTION("""COMPUTED_VALUE"""),"นางสาว")</f>
        <v>นางสาว</v>
      </c>
      <c r="G60" t="str">
        <f>IFERROR(__xludf.DUMMYFUNCTION("""COMPUTED_VALUE"""),"ภาสวรรณ")</f>
        <v>ภาสวรรณ</v>
      </c>
      <c r="H60" t="str">
        <f>IFERROR(__xludf.DUMMYFUNCTION("""COMPUTED_VALUE"""),"อินทพันธุ์")</f>
        <v>อินทพันธุ์</v>
      </c>
      <c r="I60" t="str">
        <f>IFERROR(__xludf.DUMMYFUNCTION("""COMPUTED_VALUE"""),"ภาสวรรณ อินทพันธุ์")</f>
        <v>ภาสวรรณ อินทพันธุ์</v>
      </c>
      <c r="J60" t="str">
        <f>IFERROR(__xludf.DUMMYFUNCTION("""COMPUTED_VALUE"""),"Yim")</f>
        <v>Yim</v>
      </c>
      <c r="K60" t="str">
        <f>IFERROR(__xludf.DUMMYFUNCTION("""COMPUTED_VALUE"""),"Cabin Crew - HKT")</f>
        <v>Cabin Crew - HKT</v>
      </c>
      <c r="L60" t="str">
        <f>IFERROR(__xludf.DUMMYFUNCTION("""COMPUTED_VALUE"""),"HKT")</f>
        <v>HKT</v>
      </c>
      <c r="M60" s="145" t="str">
        <f>IFERROR(__xludf.DUMMYFUNCTION("""COMPUTED_VALUE"""),"Kor Home")</f>
        <v>Kor Home</v>
      </c>
      <c r="N60" t="str">
        <f>IFERROR(__xludf.DUMMYFUNCTION("""COMPUTED_VALUE"""),"Active")</f>
        <v>Active</v>
      </c>
      <c r="P60" s="143">
        <f>IFERROR(__xludf.DUMMYFUNCTION("""COMPUTED_VALUE"""),30411.0)</f>
        <v>30411</v>
      </c>
      <c r="Q60" s="146" t="str">
        <f>IFERROR(__xludf.DUMMYFUNCTION("""COMPUTED_VALUE"""),"085 241 6969")</f>
        <v>085 241 6969</v>
      </c>
      <c r="R60" s="147" t="str">
        <f>IFERROR(__xludf.DUMMYFUNCTION("""COMPUTED_VALUE"""),"3560600-33-6981")</f>
        <v>3560600-33-6981</v>
      </c>
      <c r="S60" t="str">
        <f>IFERROR(__xludf.DUMMYFUNCTION("""COMPUTED_VALUE"""),"AC4403277")</f>
        <v>AC4403277</v>
      </c>
      <c r="T60" s="148">
        <f>IFERROR(__xludf.DUMMYFUNCTION("""COMPUTED_VALUE"""),44944.0)</f>
        <v>44944</v>
      </c>
      <c r="U60" s="148">
        <f>IFERROR(__xludf.DUMMYFUNCTION("""COMPUTED_VALUE"""),48596.0)</f>
        <v>48596</v>
      </c>
      <c r="V60" s="149">
        <f>IFERROR(__xludf.DUMMYFUNCTION("""COMPUTED_VALUE"""),48412.0)</f>
        <v>48412</v>
      </c>
      <c r="W60" t="str">
        <f>IFERROR(__xludf.DUMMYFUNCTION("""COMPUTED_VALUE"""),"ปลอดภัย")</f>
        <v>ปลอดภัย</v>
      </c>
      <c r="X60" t="str">
        <f>IFERROR(__xludf.DUMMYFUNCTION("""COMPUTED_VALUE"""),"Phayao Province")</f>
        <v>Phayao Province</v>
      </c>
      <c r="Y60" t="str">
        <f>IFERROR(__xludf.DUMMYFUNCTION("""COMPUTED_VALUE"""),"ลาดพร้าว")</f>
        <v>ลาดพร้าว</v>
      </c>
      <c r="Z60" t="str">
        <f>IFERROR(__xludf.DUMMYFUNCTION("""COMPUTED_VALUE"""),"! Update !")</f>
        <v>! Update !</v>
      </c>
      <c r="AA60" t="str">
        <f>IFERROR(__xludf.DUMMYFUNCTION("""COMPUTED_VALUE"""),"! Update !")</f>
        <v>! Update !</v>
      </c>
      <c r="AB60" t="str">
        <f>IFERROR(__xludf.DUMMYFUNCTION("""COMPUTED_VALUE"""),"phadsawani@airasia.com")</f>
        <v>phadsawani@airasia.com</v>
      </c>
    </row>
    <row r="61">
      <c r="A61">
        <f>IFERROR(__xludf.DUMMYFUNCTION("""COMPUTED_VALUE"""),1001397.0)</f>
        <v>1001397</v>
      </c>
      <c r="B61" t="str">
        <f>IFERROR(__xludf.DUMMYFUNCTION("""COMPUTED_VALUE"""),"Ms.")</f>
        <v>Ms.</v>
      </c>
      <c r="C61" t="str">
        <f>IFERROR(__xludf.DUMMYFUNCTION("""COMPUTED_VALUE"""),"Sukanya")</f>
        <v>Sukanya</v>
      </c>
      <c r="D61" t="str">
        <f>IFERROR(__xludf.DUMMYFUNCTION("""COMPUTED_VALUE"""),"Kareepet")</f>
        <v>Kareepet</v>
      </c>
      <c r="E61" t="str">
        <f>IFERROR(__xludf.DUMMYFUNCTION("""COMPUTED_VALUE"""),"Sukanya Kareepet")</f>
        <v>Sukanya Kareepet</v>
      </c>
      <c r="F61" t="str">
        <f>IFERROR(__xludf.DUMMYFUNCTION("""COMPUTED_VALUE"""),"นางสาว")</f>
        <v>นางสาว</v>
      </c>
      <c r="G61" t="str">
        <f>IFERROR(__xludf.DUMMYFUNCTION("""COMPUTED_VALUE"""),"สุกัญญา")</f>
        <v>สุกัญญา</v>
      </c>
      <c r="H61" t="str">
        <f>IFERROR(__xludf.DUMMYFUNCTION("""COMPUTED_VALUE"""),"การีเพ็ชร์")</f>
        <v>การีเพ็ชร์</v>
      </c>
      <c r="I61" t="str">
        <f>IFERROR(__xludf.DUMMYFUNCTION("""COMPUTED_VALUE"""),"สุกัญญา การีเพ็ชร์")</f>
        <v>สุกัญญา การีเพ็ชร์</v>
      </c>
      <c r="J61" t="str">
        <f>IFERROR(__xludf.DUMMYFUNCTION("""COMPUTED_VALUE"""),"Tua")</f>
        <v>Tua</v>
      </c>
      <c r="K61" t="str">
        <f>IFERROR(__xludf.DUMMYFUNCTION("""COMPUTED_VALUE"""),"Senior Cabin Crew")</f>
        <v>Senior Cabin Crew</v>
      </c>
      <c r="L61" t="str">
        <f>IFERROR(__xludf.DUMMYFUNCTION("""COMPUTED_VALUE"""),"DMK")</f>
        <v>DMK</v>
      </c>
      <c r="M61" s="145" t="str">
        <f>IFERROR(__xludf.DUMMYFUNCTION("""COMPUTED_VALUE"""),"Kor Home")</f>
        <v>Kor Home</v>
      </c>
      <c r="N61" t="str">
        <f>IFERROR(__xludf.DUMMYFUNCTION("""COMPUTED_VALUE"""),"Active")</f>
        <v>Active</v>
      </c>
      <c r="P61" s="143">
        <f>IFERROR(__xludf.DUMMYFUNCTION("""COMPUTED_VALUE"""),28426.0)</f>
        <v>28426</v>
      </c>
      <c r="Q61" s="146" t="str">
        <f>IFERROR(__xludf.DUMMYFUNCTION("""COMPUTED_VALUE"""),"089 559 6545")</f>
        <v>089 559 6545</v>
      </c>
      <c r="R61" s="147" t="str">
        <f>IFERROR(__xludf.DUMMYFUNCTION("""COMPUTED_VALUE"""),"3101500-63-4411")</f>
        <v>3101500-63-4411</v>
      </c>
      <c r="S61" t="str">
        <f>IFERROR(__xludf.DUMMYFUNCTION("""COMPUTED_VALUE"""),"AC3160509")</f>
        <v>AC3160509</v>
      </c>
      <c r="T61" s="148">
        <f>IFERROR(__xludf.DUMMYFUNCTION("""COMPUTED_VALUE"""),44700.0)</f>
        <v>44700</v>
      </c>
      <c r="U61" s="148">
        <f>IFERROR(__xludf.DUMMYFUNCTION("""COMPUTED_VALUE"""),48352.0)</f>
        <v>48352</v>
      </c>
      <c r="V61" s="149">
        <f>IFERROR(__xludf.DUMMYFUNCTION("""COMPUTED_VALUE"""),48170.0)</f>
        <v>48170</v>
      </c>
      <c r="W61" t="str">
        <f>IFERROR(__xludf.DUMMYFUNCTION("""COMPUTED_VALUE"""),"ปลอดภัย")</f>
        <v>ปลอดภัย</v>
      </c>
      <c r="X61" t="str">
        <f>IFERROR(__xludf.DUMMYFUNCTION("""COMPUTED_VALUE"""),"Bangkok")</f>
        <v>Bangkok</v>
      </c>
      <c r="Y61" t="str">
        <f>IFERROR(__xludf.DUMMYFUNCTION("""COMPUTED_VALUE"""),"บางเสาธง")</f>
        <v>บางเสาธง</v>
      </c>
      <c r="Z61" t="str">
        <f>IFERROR(__xludf.DUMMYFUNCTION("""COMPUTED_VALUE"""),"083 887 3107")</f>
        <v>083 887 3107</v>
      </c>
      <c r="AA61" t="str">
        <f>IFERROR(__xludf.DUMMYFUNCTION("""COMPUTED_VALUE"""),"แม่")</f>
        <v>แม่</v>
      </c>
      <c r="AB61" t="str">
        <f>IFERROR(__xludf.DUMMYFUNCTION("""COMPUTED_VALUE"""),"sukanyak@airasia.com")</f>
        <v>sukanyak@airasia.com</v>
      </c>
    </row>
    <row r="62">
      <c r="AB62" t="str">
        <f>IFERROR(__xludf.DUMMYFUNCTION("""COMPUTED_VALUE"""),"")</f>
        <v/>
      </c>
    </row>
    <row r="63">
      <c r="A63">
        <f>IFERROR(__xludf.DUMMYFUNCTION("""COMPUTED_VALUE"""),1001609.0)</f>
        <v>1001609</v>
      </c>
      <c r="B63" t="str">
        <f>IFERROR(__xludf.DUMMYFUNCTION("""COMPUTED_VALUE"""),"Ms.")</f>
        <v>Ms.</v>
      </c>
      <c r="C63" t="str">
        <f>IFERROR(__xludf.DUMMYFUNCTION("""COMPUTED_VALUE"""),"Kanya")</f>
        <v>Kanya</v>
      </c>
      <c r="D63" t="str">
        <f>IFERROR(__xludf.DUMMYFUNCTION("""COMPUTED_VALUE"""),"Vivattanatipa")</f>
        <v>Vivattanatipa</v>
      </c>
      <c r="E63" t="str">
        <f>IFERROR(__xludf.DUMMYFUNCTION("""COMPUTED_VALUE"""),"Kanya Vivattanatipa")</f>
        <v>Kanya Vivattanatipa</v>
      </c>
      <c r="F63" t="str">
        <f>IFERROR(__xludf.DUMMYFUNCTION("""COMPUTED_VALUE"""),"นางสาว")</f>
        <v>นางสาว</v>
      </c>
      <c r="G63" t="str">
        <f>IFERROR(__xludf.DUMMYFUNCTION("""COMPUTED_VALUE"""),"กัญญา")</f>
        <v>กัญญา</v>
      </c>
      <c r="H63" t="str">
        <f>IFERROR(__xludf.DUMMYFUNCTION("""COMPUTED_VALUE"""),"วิวัฒนทีปะ")</f>
        <v>วิวัฒนทีปะ</v>
      </c>
      <c r="I63" t="str">
        <f>IFERROR(__xludf.DUMMYFUNCTION("""COMPUTED_VALUE"""),"กัญญา วิวัฒนทีปะ")</f>
        <v>กัญญา วิวัฒนทีปะ</v>
      </c>
      <c r="J63" t="str">
        <f>IFERROR(__xludf.DUMMYFUNCTION("""COMPUTED_VALUE"""),"Kan")</f>
        <v>Kan</v>
      </c>
      <c r="K63" t="str">
        <f>IFERROR(__xludf.DUMMYFUNCTION("""COMPUTED_VALUE"""),"Senior Cabin Crew - BKK")</f>
        <v>Senior Cabin Crew - BKK</v>
      </c>
      <c r="L63" t="str">
        <f>IFERROR(__xludf.DUMMYFUNCTION("""COMPUTED_VALUE"""),"BKK")</f>
        <v>BKK</v>
      </c>
      <c r="M63" s="145" t="str">
        <f>IFERROR(__xludf.DUMMYFUNCTION("""COMPUTED_VALUE"""),"Nhui Home")</f>
        <v>Nhui Home</v>
      </c>
      <c r="N63" t="str">
        <f>IFERROR(__xludf.DUMMYFUNCTION("""COMPUTED_VALUE"""),"Active/V/DMK")</f>
        <v>Active/V/DMK</v>
      </c>
      <c r="O63" t="str">
        <f>IFERROR(__xludf.DUMMYFUNCTION("""COMPUTED_VALUE"""),"Chinese Speaking")</f>
        <v>Chinese Speaking</v>
      </c>
      <c r="P63" s="143">
        <f>IFERROR(__xludf.DUMMYFUNCTION("""COMPUTED_VALUE"""),30040.0)</f>
        <v>30040</v>
      </c>
      <c r="Q63" s="146" t="str">
        <f>IFERROR(__xludf.DUMMYFUNCTION("""COMPUTED_VALUE"""),"092 282 8959")</f>
        <v>092 282 8959</v>
      </c>
      <c r="R63" s="147" t="str">
        <f>IFERROR(__xludf.DUMMYFUNCTION("""COMPUTED_VALUE"""),"5100900-08-5631")</f>
        <v>5100900-08-5631</v>
      </c>
      <c r="S63" t="str">
        <f>IFERROR(__xludf.DUMMYFUNCTION("""COMPUTED_VALUE"""),"AC6207772")</f>
        <v>AC6207772</v>
      </c>
      <c r="T63" s="148">
        <f>IFERROR(__xludf.DUMMYFUNCTION("""COMPUTED_VALUE"""),45295.0)</f>
        <v>45295</v>
      </c>
      <c r="U63" s="148">
        <f>IFERROR(__xludf.DUMMYFUNCTION("""COMPUTED_VALUE"""),48947.0)</f>
        <v>48947</v>
      </c>
      <c r="V63" s="149">
        <f>IFERROR(__xludf.DUMMYFUNCTION("""COMPUTED_VALUE"""),48763.0)</f>
        <v>48763</v>
      </c>
      <c r="W63" t="str">
        <f>IFERROR(__xludf.DUMMYFUNCTION("""COMPUTED_VALUE"""),"ปลอดภัย")</f>
        <v>ปลอดภัย</v>
      </c>
      <c r="X63" t="str">
        <f>IFERROR(__xludf.DUMMYFUNCTION("""COMPUTED_VALUE"""),"Bangkok")</f>
        <v>Bangkok</v>
      </c>
      <c r="Y63" t="str">
        <f>IFERROR(__xludf.DUMMYFUNCTION("""COMPUTED_VALUE"""),"มีนบุรี")</f>
        <v>มีนบุรี</v>
      </c>
      <c r="Z63" t="str">
        <f>IFERROR(__xludf.DUMMYFUNCTION("""COMPUTED_VALUE"""),"02 517 0721")</f>
        <v>02 517 0721</v>
      </c>
      <c r="AA63" t="str">
        <f>IFERROR(__xludf.DUMMYFUNCTION("""COMPUTED_VALUE"""),"บ้าน")</f>
        <v>บ้าน</v>
      </c>
      <c r="AB63" t="str">
        <f>IFERROR(__xludf.DUMMYFUNCTION("""COMPUTED_VALUE"""),"kanyav@airasia.com")</f>
        <v>kanyav@airasia.com</v>
      </c>
    </row>
    <row r="64">
      <c r="A64">
        <f>IFERROR(__xludf.DUMMYFUNCTION("""COMPUTED_VALUE"""),1001611.0)</f>
        <v>1001611</v>
      </c>
      <c r="B64" t="str">
        <f>IFERROR(__xludf.DUMMYFUNCTION("""COMPUTED_VALUE"""),"Mr.")</f>
        <v>Mr.</v>
      </c>
      <c r="C64" t="str">
        <f>IFERROR(__xludf.DUMMYFUNCTION("""COMPUTED_VALUE"""),"Nattaporl")</f>
        <v>Nattaporl</v>
      </c>
      <c r="D64" t="str">
        <f>IFERROR(__xludf.DUMMYFUNCTION("""COMPUTED_VALUE"""),"Suktalordcheep")</f>
        <v>Suktalordcheep</v>
      </c>
      <c r="E64" t="str">
        <f>IFERROR(__xludf.DUMMYFUNCTION("""COMPUTED_VALUE"""),"Nattaporl Suktalordcheep")</f>
        <v>Nattaporl Suktalordcheep</v>
      </c>
      <c r="F64" t="str">
        <f>IFERROR(__xludf.DUMMYFUNCTION("""COMPUTED_VALUE"""),"นาย")</f>
        <v>นาย</v>
      </c>
      <c r="G64" t="str">
        <f>IFERROR(__xludf.DUMMYFUNCTION("""COMPUTED_VALUE"""),"ณัฐพล")</f>
        <v>ณัฐพล</v>
      </c>
      <c r="H64" t="str">
        <f>IFERROR(__xludf.DUMMYFUNCTION("""COMPUTED_VALUE"""),"สุขตลอดชีพ")</f>
        <v>สุขตลอดชีพ</v>
      </c>
      <c r="I64" t="str">
        <f>IFERROR(__xludf.DUMMYFUNCTION("""COMPUTED_VALUE"""),"ณัฐพล สุขตลอดชีพ")</f>
        <v>ณัฐพล สุขตลอดชีพ</v>
      </c>
      <c r="J64" t="str">
        <f>IFERROR(__xludf.DUMMYFUNCTION("""COMPUTED_VALUE"""),"Champ")</f>
        <v>Champ</v>
      </c>
      <c r="K64" t="str">
        <f>IFERROR(__xludf.DUMMYFUNCTION("""COMPUTED_VALUE"""),"Cabin Crew")</f>
        <v>Cabin Crew</v>
      </c>
      <c r="L64" t="str">
        <f>IFERROR(__xludf.DUMMYFUNCTION("""COMPUTED_VALUE"""),"DMK")</f>
        <v>DMK</v>
      </c>
      <c r="M64" s="145" t="str">
        <f>IFERROR(__xludf.DUMMYFUNCTION("""COMPUTED_VALUE"""),"Nhui Home")</f>
        <v>Nhui Home</v>
      </c>
      <c r="N64" t="str">
        <f>IFERROR(__xludf.DUMMYFUNCTION("""COMPUTED_VALUE"""),"Active")</f>
        <v>Active</v>
      </c>
      <c r="P64" s="143">
        <f>IFERROR(__xludf.DUMMYFUNCTION("""COMPUTED_VALUE"""),29843.0)</f>
        <v>29843</v>
      </c>
      <c r="Q64" s="146" t="str">
        <f>IFERROR(__xludf.DUMMYFUNCTION("""COMPUTED_VALUE"""),"081 937 1170")</f>
        <v>081 937 1170</v>
      </c>
      <c r="R64" s="147" t="str">
        <f>IFERROR(__xludf.DUMMYFUNCTION("""COMPUTED_VALUE"""),"3102001-72-4181")</f>
        <v>3102001-72-4181</v>
      </c>
      <c r="S64" t="str">
        <f>IFERROR(__xludf.DUMMYFUNCTION("""COMPUTED_VALUE"""),"AC5442039")</f>
        <v>AC5442039</v>
      </c>
      <c r="T64" s="148">
        <f>IFERROR(__xludf.DUMMYFUNCTION("""COMPUTED_VALUE"""),45132.0)</f>
        <v>45132</v>
      </c>
      <c r="U64" s="148">
        <f>IFERROR(__xludf.DUMMYFUNCTION("""COMPUTED_VALUE"""),48784.0)</f>
        <v>48784</v>
      </c>
      <c r="V64" s="149">
        <f>IFERROR(__xludf.DUMMYFUNCTION("""COMPUTED_VALUE"""),48603.0)</f>
        <v>48603</v>
      </c>
      <c r="W64" t="str">
        <f>IFERROR(__xludf.DUMMYFUNCTION("""COMPUTED_VALUE"""),"ปลอดภัย")</f>
        <v>ปลอดภัย</v>
      </c>
      <c r="X64" t="str">
        <f>IFERROR(__xludf.DUMMYFUNCTION("""COMPUTED_VALUE"""),"Bangkok")</f>
        <v>Bangkok</v>
      </c>
      <c r="Y64" t="str">
        <f>IFERROR(__xludf.DUMMYFUNCTION("""COMPUTED_VALUE"""),"ตลิ่งชัน")</f>
        <v>ตลิ่งชัน</v>
      </c>
      <c r="Z64" t="str">
        <f>IFERROR(__xludf.DUMMYFUNCTION("""COMPUTED_VALUE"""),"02 433 1847")</f>
        <v>02 433 1847</v>
      </c>
      <c r="AA64" t="str">
        <f>IFERROR(__xludf.DUMMYFUNCTION("""COMPUTED_VALUE"""),"บ้าน")</f>
        <v>บ้าน</v>
      </c>
      <c r="AB64" t="str">
        <f>IFERROR(__xludf.DUMMYFUNCTION("""COMPUTED_VALUE"""),"nattaporls@airasia.com")</f>
        <v>nattaporls@airasia.com</v>
      </c>
    </row>
    <row r="65">
      <c r="A65">
        <f>IFERROR(__xludf.DUMMYFUNCTION("""COMPUTED_VALUE"""),1001614.0)</f>
        <v>1001614</v>
      </c>
      <c r="B65" t="str">
        <f>IFERROR(__xludf.DUMMYFUNCTION("""COMPUTED_VALUE"""),"Ms.")</f>
        <v>Ms.</v>
      </c>
      <c r="C65" t="str">
        <f>IFERROR(__xludf.DUMMYFUNCTION("""COMPUTED_VALUE"""),"Sanlaya")</f>
        <v>Sanlaya</v>
      </c>
      <c r="D65" t="str">
        <f>IFERROR(__xludf.DUMMYFUNCTION("""COMPUTED_VALUE"""),"Kanrarat")</f>
        <v>Kanrarat</v>
      </c>
      <c r="E65" t="str">
        <f>IFERROR(__xludf.DUMMYFUNCTION("""COMPUTED_VALUE"""),"Sanlaya Kanrarat")</f>
        <v>Sanlaya Kanrarat</v>
      </c>
      <c r="F65" t="str">
        <f>IFERROR(__xludf.DUMMYFUNCTION("""COMPUTED_VALUE"""),"นางสาว")</f>
        <v>นางสาว</v>
      </c>
      <c r="G65" t="str">
        <f>IFERROR(__xludf.DUMMYFUNCTION("""COMPUTED_VALUE"""),"ศัลยา")</f>
        <v>ศัลยา</v>
      </c>
      <c r="H65" t="str">
        <f>IFERROR(__xludf.DUMMYFUNCTION("""COMPUTED_VALUE"""),"กาฬรัตน์")</f>
        <v>กาฬรัตน์</v>
      </c>
      <c r="I65" t="str">
        <f>IFERROR(__xludf.DUMMYFUNCTION("""COMPUTED_VALUE"""),"ศัลยา กาฬรัตน์")</f>
        <v>ศัลยา กาฬรัตน์</v>
      </c>
      <c r="J65" t="str">
        <f>IFERROR(__xludf.DUMMYFUNCTION("""COMPUTED_VALUE"""),"Jan")</f>
        <v>Jan</v>
      </c>
      <c r="K65" t="str">
        <f>IFERROR(__xludf.DUMMYFUNCTION("""COMPUTED_VALUE"""),"Senior Cabin Crew")</f>
        <v>Senior Cabin Crew</v>
      </c>
      <c r="L65" t="str">
        <f>IFERROR(__xludf.DUMMYFUNCTION("""COMPUTED_VALUE"""),"DMK")</f>
        <v>DMK</v>
      </c>
      <c r="M65" s="145" t="str">
        <f>IFERROR(__xludf.DUMMYFUNCTION("""COMPUTED_VALUE"""),"Toffy Home")</f>
        <v>Toffy Home</v>
      </c>
      <c r="N65" t="str">
        <f>IFERROR(__xludf.DUMMYFUNCTION("""COMPUTED_VALUE"""),"Active")</f>
        <v>Active</v>
      </c>
      <c r="P65" s="143">
        <f>IFERROR(__xludf.DUMMYFUNCTION("""COMPUTED_VALUE"""),29442.0)</f>
        <v>29442</v>
      </c>
      <c r="Q65" s="146" t="str">
        <f>IFERROR(__xludf.DUMMYFUNCTION("""COMPUTED_VALUE"""),"093 536 6451")</f>
        <v>093 536 6451</v>
      </c>
      <c r="R65" s="147" t="str">
        <f>IFERROR(__xludf.DUMMYFUNCTION("""COMPUTED_VALUE"""),"3659900-59-0014")</f>
        <v>3659900-59-0014</v>
      </c>
      <c r="S65" t="str">
        <f>IFERROR(__xludf.DUMMYFUNCTION("""COMPUTED_VALUE"""),"AC2612196")</f>
        <v>AC2612196</v>
      </c>
      <c r="T65" s="148">
        <f>IFERROR(__xludf.DUMMYFUNCTION("""COMPUTED_VALUE"""),44539.0)</f>
        <v>44539</v>
      </c>
      <c r="U65" s="148">
        <f>IFERROR(__xludf.DUMMYFUNCTION("""COMPUTED_VALUE"""),48190.0)</f>
        <v>48190</v>
      </c>
      <c r="V65" s="149">
        <f>IFERROR(__xludf.DUMMYFUNCTION("""COMPUTED_VALUE"""),48007.0)</f>
        <v>48007</v>
      </c>
      <c r="W65" t="str">
        <f>IFERROR(__xludf.DUMMYFUNCTION("""COMPUTED_VALUE"""),"ปลอดภัย")</f>
        <v>ปลอดภัย</v>
      </c>
      <c r="X65" t="str">
        <f>IFERROR(__xludf.DUMMYFUNCTION("""COMPUTED_VALUE"""),"Bangkok")</f>
        <v>Bangkok</v>
      </c>
      <c r="Y65" t="str">
        <f>IFERROR(__xludf.DUMMYFUNCTION("""COMPUTED_VALUE"""),"นนทบุรี ปากเกร็ด")</f>
        <v>นนทบุรี ปากเกร็ด</v>
      </c>
      <c r="Z65" t="str">
        <f>IFERROR(__xludf.DUMMYFUNCTION("""COMPUTED_VALUE"""),"087 656 4447")</f>
        <v>087 656 4447</v>
      </c>
      <c r="AA65" t="str">
        <f>IFERROR(__xludf.DUMMYFUNCTION("""COMPUTED_VALUE"""),"แฟน")</f>
        <v>แฟน</v>
      </c>
      <c r="AB65" t="str">
        <f>IFERROR(__xludf.DUMMYFUNCTION("""COMPUTED_VALUE"""),"sanlayak@airasia.com")</f>
        <v>sanlayak@airasia.com</v>
      </c>
    </row>
    <row r="66">
      <c r="A66">
        <f>IFERROR(__xludf.DUMMYFUNCTION("""COMPUTED_VALUE"""),1001615.0)</f>
        <v>1001615</v>
      </c>
      <c r="B66" t="str">
        <f>IFERROR(__xludf.DUMMYFUNCTION("""COMPUTED_VALUE"""),"Ms.")</f>
        <v>Ms.</v>
      </c>
      <c r="C66" t="str">
        <f>IFERROR(__xludf.DUMMYFUNCTION("""COMPUTED_VALUE"""),"Sansanee")</f>
        <v>Sansanee</v>
      </c>
      <c r="D66" t="str">
        <f>IFERROR(__xludf.DUMMYFUNCTION("""COMPUTED_VALUE"""),"Chittiboonruan")</f>
        <v>Chittiboonruan</v>
      </c>
      <c r="E66" t="str">
        <f>IFERROR(__xludf.DUMMYFUNCTION("""COMPUTED_VALUE"""),"Sansanee Chittiboonruan")</f>
        <v>Sansanee Chittiboonruan</v>
      </c>
      <c r="F66" t="str">
        <f>IFERROR(__xludf.DUMMYFUNCTION("""COMPUTED_VALUE"""),"นางสาว")</f>
        <v>นางสาว</v>
      </c>
      <c r="G66" t="str">
        <f>IFERROR(__xludf.DUMMYFUNCTION("""COMPUTED_VALUE"""),"ศันษณีย์")</f>
        <v>ศันษณีย์</v>
      </c>
      <c r="H66" t="str">
        <f>IFERROR(__xludf.DUMMYFUNCTION("""COMPUTED_VALUE"""),"จิตติบุญเรือน")</f>
        <v>จิตติบุญเรือน</v>
      </c>
      <c r="I66" t="str">
        <f>IFERROR(__xludf.DUMMYFUNCTION("""COMPUTED_VALUE"""),"ศันษณีย์ จิตติบุญเรือน")</f>
        <v>ศันษณีย์ จิตติบุญเรือน</v>
      </c>
      <c r="J66" t="str">
        <f>IFERROR(__xludf.DUMMYFUNCTION("""COMPUTED_VALUE"""),"Yoo Yoo")</f>
        <v>Yoo Yoo</v>
      </c>
      <c r="K66" t="str">
        <f>IFERROR(__xludf.DUMMYFUNCTION("""COMPUTED_VALUE"""),"Senior Cabin Crew")</f>
        <v>Senior Cabin Crew</v>
      </c>
      <c r="L66" t="str">
        <f>IFERROR(__xludf.DUMMYFUNCTION("""COMPUTED_VALUE"""),"DMK")</f>
        <v>DMK</v>
      </c>
      <c r="M66" s="145" t="str">
        <f>IFERROR(__xludf.DUMMYFUNCTION("""COMPUTED_VALUE"""),"Namfon Home")</f>
        <v>Namfon Home</v>
      </c>
      <c r="N66" t="str">
        <f>IFERROR(__xludf.DUMMYFUNCTION("""COMPUTED_VALUE"""),"Active")</f>
        <v>Active</v>
      </c>
      <c r="P66" s="143">
        <f>IFERROR(__xludf.DUMMYFUNCTION("""COMPUTED_VALUE"""),29085.0)</f>
        <v>29085</v>
      </c>
      <c r="Q66" s="146" t="str">
        <f>IFERROR(__xludf.DUMMYFUNCTION("""COMPUTED_VALUE"""),"085 659 5459")</f>
        <v>085 659 5459</v>
      </c>
      <c r="R66" s="147" t="str">
        <f>IFERROR(__xludf.DUMMYFUNCTION("""COMPUTED_VALUE"""),"3100600-77-8448")</f>
        <v>3100600-77-8448</v>
      </c>
      <c r="S66" t="str">
        <f>IFERROR(__xludf.DUMMYFUNCTION("""COMPUTED_VALUE"""),"AC4494462")</f>
        <v>AC4494462</v>
      </c>
      <c r="T66" s="148">
        <f>IFERROR(__xludf.DUMMYFUNCTION("""COMPUTED_VALUE"""),44998.0)</f>
        <v>44998</v>
      </c>
      <c r="U66" s="148">
        <f>IFERROR(__xludf.DUMMYFUNCTION("""COMPUTED_VALUE"""),48650.0)</f>
        <v>48650</v>
      </c>
      <c r="V66" s="149">
        <f>IFERROR(__xludf.DUMMYFUNCTION("""COMPUTED_VALUE"""),48469.0)</f>
        <v>48469</v>
      </c>
      <c r="W66" t="str">
        <f>IFERROR(__xludf.DUMMYFUNCTION("""COMPUTED_VALUE"""),"ปลอดภัย")</f>
        <v>ปลอดภัย</v>
      </c>
      <c r="X66" t="str">
        <f>IFERROR(__xludf.DUMMYFUNCTION("""COMPUTED_VALUE"""),"Bangkok")</f>
        <v>Bangkok</v>
      </c>
      <c r="Y66" t="str">
        <f>IFERROR(__xludf.DUMMYFUNCTION("""COMPUTED_VALUE"""),"วังทองหลาง")</f>
        <v>วังทองหลาง</v>
      </c>
      <c r="Z66" t="str">
        <f>IFERROR(__xludf.DUMMYFUNCTION("""COMPUTED_VALUE"""),"085 174 8798")</f>
        <v>085 174 8798</v>
      </c>
      <c r="AA66" t="str">
        <f>IFERROR(__xludf.DUMMYFUNCTION("""COMPUTED_VALUE"""),"ป้า")</f>
        <v>ป้า</v>
      </c>
      <c r="AB66" t="str">
        <f>IFERROR(__xludf.DUMMYFUNCTION("""COMPUTED_VALUE"""),"sansaneec@airasia.com")</f>
        <v>sansaneec@airasia.com</v>
      </c>
    </row>
    <row r="67">
      <c r="A67">
        <f>IFERROR(__xludf.DUMMYFUNCTION("""COMPUTED_VALUE"""),1001616.0)</f>
        <v>1001616</v>
      </c>
      <c r="B67" t="str">
        <f>IFERROR(__xludf.DUMMYFUNCTION("""COMPUTED_VALUE"""),"Ms.")</f>
        <v>Ms.</v>
      </c>
      <c r="C67" t="str">
        <f>IFERROR(__xludf.DUMMYFUNCTION("""COMPUTED_VALUE"""),"Supaporn")</f>
        <v>Supaporn</v>
      </c>
      <c r="D67" t="str">
        <f>IFERROR(__xludf.DUMMYFUNCTION("""COMPUTED_VALUE"""),"Pringploed")</f>
        <v>Pringploed</v>
      </c>
      <c r="E67" t="str">
        <f>IFERROR(__xludf.DUMMYFUNCTION("""COMPUTED_VALUE"""),"Supaporn Pringploed")</f>
        <v>Supaporn Pringploed</v>
      </c>
      <c r="F67" t="str">
        <f>IFERROR(__xludf.DUMMYFUNCTION("""COMPUTED_VALUE"""),"นางสาว")</f>
        <v>นางสาว</v>
      </c>
      <c r="G67" t="str">
        <f>IFERROR(__xludf.DUMMYFUNCTION("""COMPUTED_VALUE"""),"สุภาพร")</f>
        <v>สุภาพร</v>
      </c>
      <c r="H67" t="str">
        <f>IFERROR(__xludf.DUMMYFUNCTION("""COMPUTED_VALUE"""),"พริ้งเพลิด")</f>
        <v>พริ้งเพลิด</v>
      </c>
      <c r="I67" t="str">
        <f>IFERROR(__xludf.DUMMYFUNCTION("""COMPUTED_VALUE"""),"สุภาพร พริ้งเพลิด")</f>
        <v>สุภาพร พริ้งเพลิด</v>
      </c>
      <c r="J67" t="str">
        <f>IFERROR(__xludf.DUMMYFUNCTION("""COMPUTED_VALUE"""),"Oil (Snail)")</f>
        <v>Oil (Snail)</v>
      </c>
      <c r="K67" t="str">
        <f>IFERROR(__xludf.DUMMYFUNCTION("""COMPUTED_VALUE"""),"Senior Cabin Crew - CNX")</f>
        <v>Senior Cabin Crew - CNX</v>
      </c>
      <c r="L67" t="str">
        <f>IFERROR(__xludf.DUMMYFUNCTION("""COMPUTED_VALUE"""),"CNX")</f>
        <v>CNX</v>
      </c>
      <c r="M67" s="145" t="str">
        <f>IFERROR(__xludf.DUMMYFUNCTION("""COMPUTED_VALUE"""),"Up Home")</f>
        <v>Up Home</v>
      </c>
      <c r="N67" t="str">
        <f>IFERROR(__xludf.DUMMYFUNCTION("""COMPUTED_VALUE"""),"Active")</f>
        <v>Active</v>
      </c>
      <c r="P67" s="143">
        <f>IFERROR(__xludf.DUMMYFUNCTION("""COMPUTED_VALUE"""),29738.0)</f>
        <v>29738</v>
      </c>
      <c r="Q67" s="146" t="str">
        <f>IFERROR(__xludf.DUMMYFUNCTION("""COMPUTED_VALUE"""),"099 235 4246")</f>
        <v>099 235 4246</v>
      </c>
      <c r="R67" s="147" t="str">
        <f>IFERROR(__xludf.DUMMYFUNCTION("""COMPUTED_VALUE"""),"3559900-01-8389")</f>
        <v>3559900-01-8389</v>
      </c>
      <c r="S67" t="str">
        <f>IFERROR(__xludf.DUMMYFUNCTION("""COMPUTED_VALUE"""),"AD2075728")</f>
        <v>AD2075728</v>
      </c>
      <c r="T67" s="148">
        <f>IFERROR(__xludf.DUMMYFUNCTION("""COMPUTED_VALUE"""),45719.0)</f>
        <v>45719</v>
      </c>
      <c r="U67" s="148">
        <f>IFERROR(__xludf.DUMMYFUNCTION("""COMPUTED_VALUE"""),49370.0)</f>
        <v>49370</v>
      </c>
      <c r="V67" s="149">
        <f>IFERROR(__xludf.DUMMYFUNCTION("""COMPUTED_VALUE"""),49189.0)</f>
        <v>49189</v>
      </c>
      <c r="W67" t="str">
        <f>IFERROR(__xludf.DUMMYFUNCTION("""COMPUTED_VALUE"""),"ปลอดภัย")</f>
        <v>ปลอดภัย</v>
      </c>
      <c r="X67" t="str">
        <f>IFERROR(__xludf.DUMMYFUNCTION("""COMPUTED_VALUE"""),"Nan Province")</f>
        <v>Nan Province</v>
      </c>
      <c r="Y67" t="str">
        <f>IFERROR(__xludf.DUMMYFUNCTION("""COMPUTED_VALUE"""),"ดอนเมือง")</f>
        <v>ดอนเมือง</v>
      </c>
      <c r="Z67" t="str">
        <f>IFERROR(__xludf.DUMMYFUNCTION("""COMPUTED_VALUE"""),"02 929 5962")</f>
        <v>02 929 5962</v>
      </c>
      <c r="AA67" t="str">
        <f>IFERROR(__xludf.DUMMYFUNCTION("""COMPUTED_VALUE"""),"บ้าน")</f>
        <v>บ้าน</v>
      </c>
      <c r="AB67" t="str">
        <f>IFERROR(__xludf.DUMMYFUNCTION("""COMPUTED_VALUE"""),"supapornp@airasia.com")</f>
        <v>supapornp@airasia.com</v>
      </c>
    </row>
    <row r="68">
      <c r="A68">
        <f>IFERROR(__xludf.DUMMYFUNCTION("""COMPUTED_VALUE"""),1001617.0)</f>
        <v>1001617</v>
      </c>
      <c r="B68" t="str">
        <f>IFERROR(__xludf.DUMMYFUNCTION("""COMPUTED_VALUE"""),"Ms.")</f>
        <v>Ms.</v>
      </c>
      <c r="C68" t="str">
        <f>IFERROR(__xludf.DUMMYFUNCTION("""COMPUTED_VALUE"""),"Suthida")</f>
        <v>Suthida</v>
      </c>
      <c r="D68" t="str">
        <f>IFERROR(__xludf.DUMMYFUNCTION("""COMPUTED_VALUE"""),"Tanakarn")</f>
        <v>Tanakarn</v>
      </c>
      <c r="E68" t="str">
        <f>IFERROR(__xludf.DUMMYFUNCTION("""COMPUTED_VALUE"""),"Suthida Tanakarn")</f>
        <v>Suthida Tanakarn</v>
      </c>
      <c r="F68" t="str">
        <f>IFERROR(__xludf.DUMMYFUNCTION("""COMPUTED_VALUE"""),"นางสาว")</f>
        <v>นางสาว</v>
      </c>
      <c r="G68" t="str">
        <f>IFERROR(__xludf.DUMMYFUNCTION("""COMPUTED_VALUE"""),"สุธิดา")</f>
        <v>สุธิดา</v>
      </c>
      <c r="H68" t="str">
        <f>IFERROR(__xludf.DUMMYFUNCTION("""COMPUTED_VALUE"""),"ธนกาญจน์")</f>
        <v>ธนกาญจน์</v>
      </c>
      <c r="I68" t="str">
        <f>IFERROR(__xludf.DUMMYFUNCTION("""COMPUTED_VALUE"""),"สุธิดา ธนกาญจน์")</f>
        <v>สุธิดา ธนกาญจน์</v>
      </c>
      <c r="J68" t="str">
        <f>IFERROR(__xludf.DUMMYFUNCTION("""COMPUTED_VALUE"""),"Toey")</f>
        <v>Toey</v>
      </c>
      <c r="K68" t="str">
        <f>IFERROR(__xludf.DUMMYFUNCTION("""COMPUTED_VALUE"""),"Cabin Crew")</f>
        <v>Cabin Crew</v>
      </c>
      <c r="L68" t="str">
        <f>IFERROR(__xludf.DUMMYFUNCTION("""COMPUTED_VALUE"""),"DMK")</f>
        <v>DMK</v>
      </c>
      <c r="M68" s="145" t="str">
        <f>IFERROR(__xludf.DUMMYFUNCTION("""COMPUTED_VALUE"""),"Toffy Home")</f>
        <v>Toffy Home</v>
      </c>
      <c r="N68" t="str">
        <f>IFERROR(__xludf.DUMMYFUNCTION("""COMPUTED_VALUE"""),"Active")</f>
        <v>Active</v>
      </c>
      <c r="P68" s="143">
        <f>IFERROR(__xludf.DUMMYFUNCTION("""COMPUTED_VALUE"""),29862.0)</f>
        <v>29862</v>
      </c>
      <c r="Q68" s="146" t="str">
        <f>IFERROR(__xludf.DUMMYFUNCTION("""COMPUTED_VALUE"""),"098 464 0874")</f>
        <v>098 464 0874</v>
      </c>
      <c r="R68" s="147" t="str">
        <f>IFERROR(__xludf.DUMMYFUNCTION("""COMPUTED_VALUE"""),"3102200-44-2126")</f>
        <v>3102200-44-2126</v>
      </c>
      <c r="S68" t="str">
        <f>IFERROR(__xludf.DUMMYFUNCTION("""COMPUTED_VALUE"""),"AC6629704")</f>
        <v>AC6629704</v>
      </c>
      <c r="T68" s="148">
        <f>IFERROR(__xludf.DUMMYFUNCTION("""COMPUTED_VALUE"""),45411.0)</f>
        <v>45411</v>
      </c>
      <c r="U68" s="148">
        <f>IFERROR(__xludf.DUMMYFUNCTION("""COMPUTED_VALUE"""),49062.0)</f>
        <v>49062</v>
      </c>
      <c r="V68" s="149">
        <f>IFERROR(__xludf.DUMMYFUNCTION("""COMPUTED_VALUE"""),48880.0)</f>
        <v>48880</v>
      </c>
      <c r="W68" t="str">
        <f>IFERROR(__xludf.DUMMYFUNCTION("""COMPUTED_VALUE"""),"ปลอดภัย")</f>
        <v>ปลอดภัย</v>
      </c>
      <c r="X68" t="str">
        <f>IFERROR(__xludf.DUMMYFUNCTION("""COMPUTED_VALUE"""),"Bangkok")</f>
        <v>Bangkok</v>
      </c>
      <c r="Y68" t="str">
        <f>IFERROR(__xludf.DUMMYFUNCTION("""COMPUTED_VALUE"""),"วังทองหลาง")</f>
        <v>วังทองหลาง</v>
      </c>
      <c r="Z68" t="str">
        <f>IFERROR(__xludf.DUMMYFUNCTION("""COMPUTED_VALUE"""),"086 904 3333")</f>
        <v>086 904 3333</v>
      </c>
      <c r="AA68" t="str">
        <f>IFERROR(__xludf.DUMMYFUNCTION("""COMPUTED_VALUE"""),"เพื่อน")</f>
        <v>เพื่อน</v>
      </c>
      <c r="AB68" t="str">
        <f>IFERROR(__xludf.DUMMYFUNCTION("""COMPUTED_VALUE"""),"suthidat@airasia.com")</f>
        <v>suthidat@airasia.com</v>
      </c>
    </row>
    <row r="69">
      <c r="A69">
        <f>IFERROR(__xludf.DUMMYFUNCTION("""COMPUTED_VALUE"""),1001622.0)</f>
        <v>1001622</v>
      </c>
      <c r="B69" t="str">
        <f>IFERROR(__xludf.DUMMYFUNCTION("""COMPUTED_VALUE"""),"Ms.")</f>
        <v>Ms.</v>
      </c>
      <c r="C69" t="str">
        <f>IFERROR(__xludf.DUMMYFUNCTION("""COMPUTED_VALUE"""),"Waraluck")</f>
        <v>Waraluck</v>
      </c>
      <c r="D69" t="str">
        <f>IFERROR(__xludf.DUMMYFUNCTION("""COMPUTED_VALUE"""),"Meksikarin")</f>
        <v>Meksikarin</v>
      </c>
      <c r="E69" t="str">
        <f>IFERROR(__xludf.DUMMYFUNCTION("""COMPUTED_VALUE"""),"Waraluck Meksikarin")</f>
        <v>Waraluck Meksikarin</v>
      </c>
      <c r="F69" t="str">
        <f>IFERROR(__xludf.DUMMYFUNCTION("""COMPUTED_VALUE"""),"นางสาว")</f>
        <v>นางสาว</v>
      </c>
      <c r="G69" t="str">
        <f>IFERROR(__xludf.DUMMYFUNCTION("""COMPUTED_VALUE"""),"วราลักษณ์")</f>
        <v>วราลักษณ์</v>
      </c>
      <c r="H69" t="str">
        <f>IFERROR(__xludf.DUMMYFUNCTION("""COMPUTED_VALUE"""),"เมฆศิขริน")</f>
        <v>เมฆศิขริน</v>
      </c>
      <c r="I69" t="str">
        <f>IFERROR(__xludf.DUMMYFUNCTION("""COMPUTED_VALUE"""),"วราลักษณ์ เมฆศิขริน")</f>
        <v>วราลักษณ์ เมฆศิขริน</v>
      </c>
      <c r="J69" t="str">
        <f>IFERROR(__xludf.DUMMYFUNCTION("""COMPUTED_VALUE"""),"Mickey")</f>
        <v>Mickey</v>
      </c>
      <c r="K69" t="str">
        <f>IFERROR(__xludf.DUMMYFUNCTION("""COMPUTED_VALUE"""),"Senior Cabin Crew - BKK")</f>
        <v>Senior Cabin Crew - BKK</v>
      </c>
      <c r="L69" t="str">
        <f>IFERROR(__xludf.DUMMYFUNCTION("""COMPUTED_VALUE"""),"BKK")</f>
        <v>BKK</v>
      </c>
      <c r="M69" s="145" t="str">
        <f>IFERROR(__xludf.DUMMYFUNCTION("""COMPUTED_VALUE"""),"Nhui Home")</f>
        <v>Nhui Home</v>
      </c>
      <c r="N69" t="str">
        <f>IFERROR(__xludf.DUMMYFUNCTION("""COMPUTED_VALUE"""),"Active")</f>
        <v>Active</v>
      </c>
      <c r="O69" t="str">
        <f>IFERROR(__xludf.DUMMYFUNCTION("""COMPUTED_VALUE"""),"Chinese Speaking / SCC Line Checker 2025")</f>
        <v>Chinese Speaking / SCC Line Checker 2025</v>
      </c>
      <c r="P69" s="143">
        <f>IFERROR(__xludf.DUMMYFUNCTION("""COMPUTED_VALUE"""),28802.0)</f>
        <v>28802</v>
      </c>
      <c r="Q69" s="146" t="str">
        <f>IFERROR(__xludf.DUMMYFUNCTION("""COMPUTED_VALUE"""),"093-4451556")</f>
        <v>093-4451556</v>
      </c>
      <c r="R69" s="147" t="str">
        <f>IFERROR(__xludf.DUMMYFUNCTION("""COMPUTED_VALUE"""),"3959900-17-2457")</f>
        <v>3959900-17-2457</v>
      </c>
      <c r="S69" t="str">
        <f>IFERROR(__xludf.DUMMYFUNCTION("""COMPUTED_VALUE"""),"AC5330759")</f>
        <v>AC5330759</v>
      </c>
      <c r="T69" s="148">
        <f>IFERROR(__xludf.DUMMYFUNCTION("""COMPUTED_VALUE"""),45125.0)</f>
        <v>45125</v>
      </c>
      <c r="U69" s="148">
        <f>IFERROR(__xludf.DUMMYFUNCTION("""COMPUTED_VALUE"""),48777.0)</f>
        <v>48777</v>
      </c>
      <c r="V69" s="149">
        <f>IFERROR(__xludf.DUMMYFUNCTION("""COMPUTED_VALUE"""),48596.0)</f>
        <v>48596</v>
      </c>
      <c r="W69" t="str">
        <f>IFERROR(__xludf.DUMMYFUNCTION("""COMPUTED_VALUE"""),"ปลอดภัย")</f>
        <v>ปลอดภัย</v>
      </c>
      <c r="X69" t="str">
        <f>IFERROR(__xludf.DUMMYFUNCTION("""COMPUTED_VALUE"""),"Yala Province")</f>
        <v>Yala Province</v>
      </c>
      <c r="Y69" t="str">
        <f>IFERROR(__xludf.DUMMYFUNCTION("""COMPUTED_VALUE"""),"บางขุนเทียน")</f>
        <v>บางขุนเทียน</v>
      </c>
      <c r="Z69" t="str">
        <f>IFERROR(__xludf.DUMMYFUNCTION("""COMPUTED_VALUE"""),"! Update !")</f>
        <v>! Update !</v>
      </c>
      <c r="AA69" t="str">
        <f>IFERROR(__xludf.DUMMYFUNCTION("""COMPUTED_VALUE"""),"! Update !")</f>
        <v>! Update !</v>
      </c>
      <c r="AB69" t="str">
        <f>IFERROR(__xludf.DUMMYFUNCTION("""COMPUTED_VALUE"""),"waraluckm@airasia.com")</f>
        <v>waraluckm@airasia.com</v>
      </c>
    </row>
    <row r="70">
      <c r="AB70" t="str">
        <f>IFERROR(__xludf.DUMMYFUNCTION("""COMPUTED_VALUE"""),"")</f>
        <v/>
      </c>
    </row>
    <row r="71">
      <c r="A71">
        <f>IFERROR(__xludf.DUMMYFUNCTION("""COMPUTED_VALUE"""),1001684.0)</f>
        <v>1001684</v>
      </c>
      <c r="B71" t="str">
        <f>IFERROR(__xludf.DUMMYFUNCTION("""COMPUTED_VALUE"""),"Ms.")</f>
        <v>Ms.</v>
      </c>
      <c r="C71" t="str">
        <f>IFERROR(__xludf.DUMMYFUNCTION("""COMPUTED_VALUE"""),"Smita")</f>
        <v>Smita</v>
      </c>
      <c r="D71" t="str">
        <f>IFERROR(__xludf.DUMMYFUNCTION("""COMPUTED_VALUE"""),"Kittisastra")</f>
        <v>Kittisastra</v>
      </c>
      <c r="E71" t="str">
        <f>IFERROR(__xludf.DUMMYFUNCTION("""COMPUTED_VALUE"""),"Smita Kittisastra")</f>
        <v>Smita Kittisastra</v>
      </c>
      <c r="F71" t="str">
        <f>IFERROR(__xludf.DUMMYFUNCTION("""COMPUTED_VALUE"""),"นางสาว")</f>
        <v>นางสาว</v>
      </c>
      <c r="G71" t="str">
        <f>IFERROR(__xludf.DUMMYFUNCTION("""COMPUTED_VALUE"""),"สมิตา")</f>
        <v>สมิตา</v>
      </c>
      <c r="H71" t="str">
        <f>IFERROR(__xludf.DUMMYFUNCTION("""COMPUTED_VALUE"""),"กิตติศาสตรา")</f>
        <v>กิตติศาสตรา</v>
      </c>
      <c r="I71" t="str">
        <f>IFERROR(__xludf.DUMMYFUNCTION("""COMPUTED_VALUE"""),"สมิตา กิตติศาสตรา")</f>
        <v>สมิตา กิตติศาสตรา</v>
      </c>
      <c r="J71" t="str">
        <f>IFERROR(__xludf.DUMMYFUNCTION("""COMPUTED_VALUE"""),"NeNe")</f>
        <v>NeNe</v>
      </c>
      <c r="K71" t="str">
        <f>IFERROR(__xludf.DUMMYFUNCTION("""COMPUTED_VALUE"""),"Senior Cabin Crew")</f>
        <v>Senior Cabin Crew</v>
      </c>
      <c r="L71" t="str">
        <f>IFERROR(__xludf.DUMMYFUNCTION("""COMPUTED_VALUE"""),"DMK")</f>
        <v>DMK</v>
      </c>
      <c r="M71" s="145" t="str">
        <f>IFERROR(__xludf.DUMMYFUNCTION("""COMPUTED_VALUE"""),"Um Home")</f>
        <v>Um Home</v>
      </c>
      <c r="N71" t="str">
        <f>IFERROR(__xludf.DUMMYFUNCTION("""COMPUTED_VALUE"""),"Active")</f>
        <v>Active</v>
      </c>
      <c r="P71" s="143">
        <f>IFERROR(__xludf.DUMMYFUNCTION("""COMPUTED_VALUE"""),29554.0)</f>
        <v>29554</v>
      </c>
      <c r="Q71" s="146" t="str">
        <f>IFERROR(__xludf.DUMMYFUNCTION("""COMPUTED_VALUE"""),"081 988 5188")</f>
        <v>081 988 5188</v>
      </c>
      <c r="R71" s="147" t="str">
        <f>IFERROR(__xludf.DUMMYFUNCTION("""COMPUTED_VALUE"""),"3229800-03-4521")</f>
        <v>3229800-03-4521</v>
      </c>
      <c r="S71" t="str">
        <f>IFERROR(__xludf.DUMMYFUNCTION("""COMPUTED_VALUE"""),"AC7832652")</f>
        <v>AC7832652</v>
      </c>
      <c r="T71" s="148">
        <f>IFERROR(__xludf.DUMMYFUNCTION("""COMPUTED_VALUE"""),45666.0)</f>
        <v>45666</v>
      </c>
      <c r="U71" s="148">
        <f>IFERROR(__xludf.DUMMYFUNCTION("""COMPUTED_VALUE"""),49317.0)</f>
        <v>49317</v>
      </c>
      <c r="V71" s="149">
        <f>IFERROR(__xludf.DUMMYFUNCTION("""COMPUTED_VALUE"""),49133.0)</f>
        <v>49133</v>
      </c>
      <c r="W71" t="str">
        <f>IFERROR(__xludf.DUMMYFUNCTION("""COMPUTED_VALUE"""),"ปลอดภัย")</f>
        <v>ปลอดภัย</v>
      </c>
      <c r="X71" t="str">
        <f>IFERROR(__xludf.DUMMYFUNCTION("""COMPUTED_VALUE"""),"Chanthaburi Province")</f>
        <v>Chanthaburi Province</v>
      </c>
      <c r="Y71" t="str">
        <f>IFERROR(__xludf.DUMMYFUNCTION("""COMPUTED_VALUE"""),"ประเวศ")</f>
        <v>ประเวศ</v>
      </c>
      <c r="Z71" t="str">
        <f>IFERROR(__xludf.DUMMYFUNCTION("""COMPUTED_VALUE"""),"02 967 7740")</f>
        <v>02 967 7740</v>
      </c>
      <c r="AA71" t="str">
        <f>IFERROR(__xludf.DUMMYFUNCTION("""COMPUTED_VALUE"""),"พี่สาว")</f>
        <v>พี่สาว</v>
      </c>
      <c r="AB71" t="str">
        <f>IFERROR(__xludf.DUMMYFUNCTION("""COMPUTED_VALUE"""),"smitak@airasia.com")</f>
        <v>smitak@airasia.com</v>
      </c>
    </row>
    <row r="72">
      <c r="A72">
        <f>IFERROR(__xludf.DUMMYFUNCTION("""COMPUTED_VALUE"""),1001685.0)</f>
        <v>1001685</v>
      </c>
      <c r="B72" t="str">
        <f>IFERROR(__xludf.DUMMYFUNCTION("""COMPUTED_VALUE"""),"Ms.")</f>
        <v>Ms.</v>
      </c>
      <c r="C72" t="str">
        <f>IFERROR(__xludf.DUMMYFUNCTION("""COMPUTED_VALUE"""),"Waree")</f>
        <v>Waree</v>
      </c>
      <c r="D72" t="str">
        <f>IFERROR(__xludf.DUMMYFUNCTION("""COMPUTED_VALUE"""),"Nitikasetpan")</f>
        <v>Nitikasetpan</v>
      </c>
      <c r="E72" t="str">
        <f>IFERROR(__xludf.DUMMYFUNCTION("""COMPUTED_VALUE"""),"Waree Nitikasetpan")</f>
        <v>Waree Nitikasetpan</v>
      </c>
      <c r="F72" t="str">
        <f>IFERROR(__xludf.DUMMYFUNCTION("""COMPUTED_VALUE"""),"นางสาว")</f>
        <v>นางสาว</v>
      </c>
      <c r="G72" t="str">
        <f>IFERROR(__xludf.DUMMYFUNCTION("""COMPUTED_VALUE"""),"วารี")</f>
        <v>วารี</v>
      </c>
      <c r="H72" t="str">
        <f>IFERROR(__xludf.DUMMYFUNCTION("""COMPUTED_VALUE"""),"นิติเกษตรพันธุ์")</f>
        <v>นิติเกษตรพันธุ์</v>
      </c>
      <c r="I72" t="str">
        <f>IFERROR(__xludf.DUMMYFUNCTION("""COMPUTED_VALUE"""),"วารี นิติเกษตรพันธุ์")</f>
        <v>วารี นิติเกษตรพันธุ์</v>
      </c>
      <c r="J72" t="str">
        <f>IFERROR(__xludf.DUMMYFUNCTION("""COMPUTED_VALUE"""),"Wan")</f>
        <v>Wan</v>
      </c>
      <c r="K72" t="str">
        <f>IFERROR(__xludf.DUMMYFUNCTION("""COMPUTED_VALUE"""),"Senior Cabin Crew - BKK")</f>
        <v>Senior Cabin Crew - BKK</v>
      </c>
      <c r="L72" t="str">
        <f>IFERROR(__xludf.DUMMYFUNCTION("""COMPUTED_VALUE"""),"BKK")</f>
        <v>BKK</v>
      </c>
      <c r="M72" s="145" t="str">
        <f>IFERROR(__xludf.DUMMYFUNCTION("""COMPUTED_VALUE"""),"Nhui Home")</f>
        <v>Nhui Home</v>
      </c>
      <c r="N72" t="str">
        <f>IFERROR(__xludf.DUMMYFUNCTION("""COMPUTED_VALUE"""),"Active")</f>
        <v>Active</v>
      </c>
      <c r="P72" s="143">
        <f>IFERROR(__xludf.DUMMYFUNCTION("""COMPUTED_VALUE"""),30578.0)</f>
        <v>30578</v>
      </c>
      <c r="Q72" s="146" t="str">
        <f>IFERROR(__xludf.DUMMYFUNCTION("""COMPUTED_VALUE"""),"062-395-5541")</f>
        <v>062-395-5541</v>
      </c>
      <c r="R72" s="147" t="str">
        <f>IFERROR(__xludf.DUMMYFUNCTION("""COMPUTED_VALUE"""),"3100901-00-1680")</f>
        <v>3100901-00-1680</v>
      </c>
      <c r="S72" t="str">
        <f>IFERROR(__xludf.DUMMYFUNCTION("""COMPUTED_VALUE"""),"AC8033834")</f>
        <v>AC8033834</v>
      </c>
      <c r="T72" s="148">
        <f>IFERROR(__xludf.DUMMYFUNCTION("""COMPUTED_VALUE"""),45705.0)</f>
        <v>45705</v>
      </c>
      <c r="U72" s="148">
        <f>IFERROR(__xludf.DUMMYFUNCTION("""COMPUTED_VALUE"""),49356.0)</f>
        <v>49356</v>
      </c>
      <c r="V72" s="149">
        <f>IFERROR(__xludf.DUMMYFUNCTION("""COMPUTED_VALUE"""),49172.0)</f>
        <v>49172</v>
      </c>
      <c r="W72" t="str">
        <f>IFERROR(__xludf.DUMMYFUNCTION("""COMPUTED_VALUE"""),"ปลอดภัย")</f>
        <v>ปลอดภัย</v>
      </c>
      <c r="X72" t="str">
        <f>IFERROR(__xludf.DUMMYFUNCTION("""COMPUTED_VALUE"""),"Bangkok")</f>
        <v>Bangkok</v>
      </c>
      <c r="Y72" t="str">
        <f>IFERROR(__xludf.DUMMYFUNCTION("""COMPUTED_VALUE"""),"ประเวศ")</f>
        <v>ประเวศ</v>
      </c>
      <c r="Z72" t="str">
        <f>IFERROR(__xludf.DUMMYFUNCTION("""COMPUTED_VALUE"""),"081 734 4453")</f>
        <v>081 734 4453</v>
      </c>
      <c r="AA72" t="str">
        <f>IFERROR(__xludf.DUMMYFUNCTION("""COMPUTED_VALUE"""),"น้องสาว")</f>
        <v>น้องสาว</v>
      </c>
      <c r="AB72" t="str">
        <f>IFERROR(__xludf.DUMMYFUNCTION("""COMPUTED_VALUE"""),"wareen@airasia.com")</f>
        <v>wareen@airasia.com</v>
      </c>
    </row>
    <row r="73">
      <c r="AB73" t="str">
        <f>IFERROR(__xludf.DUMMYFUNCTION("""COMPUTED_VALUE"""),"")</f>
        <v/>
      </c>
    </row>
    <row r="74">
      <c r="A74">
        <f>IFERROR(__xludf.DUMMYFUNCTION("""COMPUTED_VALUE"""),1001818.0)</f>
        <v>1001818</v>
      </c>
      <c r="B74" t="str">
        <f>IFERROR(__xludf.DUMMYFUNCTION("""COMPUTED_VALUE"""),"Ms.")</f>
        <v>Ms.</v>
      </c>
      <c r="C74" t="str">
        <f>IFERROR(__xludf.DUMMYFUNCTION("""COMPUTED_VALUE"""),"Tanyapat (Nattakarn)")</f>
        <v>Tanyapat (Nattakarn)</v>
      </c>
      <c r="D74" t="str">
        <f>IFERROR(__xludf.DUMMYFUNCTION("""COMPUTED_VALUE"""),"Limthananat (Junlaprom)")</f>
        <v>Limthananat (Junlaprom)</v>
      </c>
      <c r="E74" t="str">
        <f>IFERROR(__xludf.DUMMYFUNCTION("""COMPUTED_VALUE"""),"Tanyapat Limthananat")</f>
        <v>Tanyapat Limthananat</v>
      </c>
      <c r="F74" t="str">
        <f>IFERROR(__xludf.DUMMYFUNCTION("""COMPUTED_VALUE"""),"นางสาว")</f>
        <v>นางสาว</v>
      </c>
      <c r="G74" t="str">
        <f>IFERROR(__xludf.DUMMYFUNCTION("""COMPUTED_VALUE"""),"ธัญญภัสร์ (ณัฐกานต์)")</f>
        <v>ธัญญภัสร์ (ณัฐกานต์)</v>
      </c>
      <c r="H74" t="str">
        <f>IFERROR(__xludf.DUMMYFUNCTION("""COMPUTED_VALUE"""),"ลิ้มธนาณัฏฐ์ (จุลพรหม)")</f>
        <v>ลิ้มธนาณัฏฐ์ (จุลพรหม)</v>
      </c>
      <c r="I74" t="str">
        <f>IFERROR(__xludf.DUMMYFUNCTION("""COMPUTED_VALUE"""),"ธัญญภัสร์ ลิ้มธนาณัฏฐ์")</f>
        <v>ธัญญภัสร์ ลิ้มธนาณัฏฐ์</v>
      </c>
      <c r="J74" t="str">
        <f>IFERROR(__xludf.DUMMYFUNCTION("""COMPUTED_VALUE"""),"Dao")</f>
        <v>Dao</v>
      </c>
      <c r="K74" t="str">
        <f>IFERROR(__xludf.DUMMYFUNCTION("""COMPUTED_VALUE"""),"Senior Cabin Crew")</f>
        <v>Senior Cabin Crew</v>
      </c>
      <c r="L74" t="str">
        <f>IFERROR(__xludf.DUMMYFUNCTION("""COMPUTED_VALUE"""),"DMK")</f>
        <v>DMK</v>
      </c>
      <c r="M74" s="145" t="str">
        <f>IFERROR(__xludf.DUMMYFUNCTION("""COMPUTED_VALUE"""),"Namfon Home")</f>
        <v>Namfon Home</v>
      </c>
      <c r="N74" t="str">
        <f>IFERROR(__xludf.DUMMYFUNCTION("""COMPUTED_VALUE"""),"Active")</f>
        <v>Active</v>
      </c>
      <c r="O74" t="str">
        <f>IFERROR(__xludf.DUMMYFUNCTION("""COMPUTED_VALUE"""),"Chinese Speaking")</f>
        <v>Chinese Speaking</v>
      </c>
      <c r="P74" s="143">
        <f>IFERROR(__xludf.DUMMYFUNCTION("""COMPUTED_VALUE"""),30001.0)</f>
        <v>30001</v>
      </c>
      <c r="Q74" s="146" t="str">
        <f>IFERROR(__xludf.DUMMYFUNCTION("""COMPUTED_VALUE"""),"092-615-2496")</f>
        <v>092-615-2496</v>
      </c>
      <c r="R74" s="147" t="str">
        <f>IFERROR(__xludf.DUMMYFUNCTION("""COMPUTED_VALUE"""),"3800700-36-2051")</f>
        <v>3800700-36-2051</v>
      </c>
      <c r="S74" t="str">
        <f>IFERROR(__xludf.DUMMYFUNCTION("""COMPUTED_VALUE"""),"AC6858296")</f>
        <v>AC6858296</v>
      </c>
      <c r="T74" s="148">
        <f>IFERROR(__xludf.DUMMYFUNCTION("""COMPUTED_VALUE"""),45463.0)</f>
        <v>45463</v>
      </c>
      <c r="U74" s="148">
        <f>IFERROR(__xludf.DUMMYFUNCTION("""COMPUTED_VALUE"""),49114.0)</f>
        <v>49114</v>
      </c>
      <c r="V74" s="149">
        <f>IFERROR(__xludf.DUMMYFUNCTION("""COMPUTED_VALUE"""),48932.0)</f>
        <v>48932</v>
      </c>
      <c r="W74" t="str">
        <f>IFERROR(__xludf.DUMMYFUNCTION("""COMPUTED_VALUE"""),"ปลอดภัย")</f>
        <v>ปลอดภัย</v>
      </c>
      <c r="X74" t="str">
        <f>IFERROR(__xludf.DUMMYFUNCTION("""COMPUTED_VALUE"""),"Nakhon Si Thammarat Province")</f>
        <v>Nakhon Si Thammarat Province</v>
      </c>
      <c r="Y74" t="str">
        <f>IFERROR(__xludf.DUMMYFUNCTION("""COMPUTED_VALUE"""),"ลาดกระบัง")</f>
        <v>ลาดกระบัง</v>
      </c>
      <c r="Z74" t="str">
        <f>IFERROR(__xludf.DUMMYFUNCTION("""COMPUTED_VALUE"""),"085 988 7382")</f>
        <v>085 988 7382</v>
      </c>
      <c r="AA74" t="str">
        <f>IFERROR(__xludf.DUMMYFUNCTION("""COMPUTED_VALUE"""),"พี่สาว")</f>
        <v>พี่สาว</v>
      </c>
      <c r="AB74" t="str">
        <f>IFERROR(__xludf.DUMMYFUNCTION("""COMPUTED_VALUE"""),"tanyapatl@airasia.com")</f>
        <v>tanyapatl@airasia.com</v>
      </c>
    </row>
    <row r="75">
      <c r="A75">
        <f>IFERROR(__xludf.DUMMYFUNCTION("""COMPUTED_VALUE"""),1001822.0)</f>
        <v>1001822</v>
      </c>
      <c r="B75" t="str">
        <f>IFERROR(__xludf.DUMMYFUNCTION("""COMPUTED_VALUE"""),"Ms.")</f>
        <v>Ms.</v>
      </c>
      <c r="C75" t="str">
        <f>IFERROR(__xludf.DUMMYFUNCTION("""COMPUTED_VALUE"""),"Wilasinee")</f>
        <v>Wilasinee</v>
      </c>
      <c r="D75" t="str">
        <f>IFERROR(__xludf.DUMMYFUNCTION("""COMPUTED_VALUE"""),"Natenopparat")</f>
        <v>Natenopparat</v>
      </c>
      <c r="E75" t="str">
        <f>IFERROR(__xludf.DUMMYFUNCTION("""COMPUTED_VALUE"""),"Wilasinee Natenopparat")</f>
        <v>Wilasinee Natenopparat</v>
      </c>
      <c r="F75" t="str">
        <f>IFERROR(__xludf.DUMMYFUNCTION("""COMPUTED_VALUE"""),"นางสาว")</f>
        <v>นางสาว</v>
      </c>
      <c r="G75" t="str">
        <f>IFERROR(__xludf.DUMMYFUNCTION("""COMPUTED_VALUE"""),"วิลาสินี")</f>
        <v>วิลาสินี</v>
      </c>
      <c r="H75" t="str">
        <f>IFERROR(__xludf.DUMMYFUNCTION("""COMPUTED_VALUE"""),"เนตรนพรัตน์")</f>
        <v>เนตรนพรัตน์</v>
      </c>
      <c r="I75" t="str">
        <f>IFERROR(__xludf.DUMMYFUNCTION("""COMPUTED_VALUE"""),"วิลาสินี เนตรนพรัตน์")</f>
        <v>วิลาสินี เนตรนพรัตน์</v>
      </c>
      <c r="J75" t="str">
        <f>IFERROR(__xludf.DUMMYFUNCTION("""COMPUTED_VALUE"""),"Waan")</f>
        <v>Waan</v>
      </c>
      <c r="K75" t="str">
        <f>IFERROR(__xludf.DUMMYFUNCTION("""COMPUTED_VALUE"""),"Senior Cabin Crew")</f>
        <v>Senior Cabin Crew</v>
      </c>
      <c r="L75" t="str">
        <f>IFERROR(__xludf.DUMMYFUNCTION("""COMPUTED_VALUE"""),"DMK")</f>
        <v>DMK</v>
      </c>
      <c r="M75" s="145" t="str">
        <f>IFERROR(__xludf.DUMMYFUNCTION("""COMPUTED_VALUE"""),"Namfon Home")</f>
        <v>Namfon Home</v>
      </c>
      <c r="N75" t="str">
        <f>IFERROR(__xludf.DUMMYFUNCTION("""COMPUTED_VALUE"""),"Active")</f>
        <v>Active</v>
      </c>
      <c r="P75" s="143">
        <f>IFERROR(__xludf.DUMMYFUNCTION("""COMPUTED_VALUE"""),29630.0)</f>
        <v>29630</v>
      </c>
      <c r="Q75" s="146" t="str">
        <f>IFERROR(__xludf.DUMMYFUNCTION("""COMPUTED_VALUE"""),"086 563 6264")</f>
        <v>086 563 6264</v>
      </c>
      <c r="R75" s="147" t="str">
        <f>IFERROR(__xludf.DUMMYFUNCTION("""COMPUTED_VALUE"""),"3570101-74-9571")</f>
        <v>3570101-74-9571</v>
      </c>
      <c r="S75" t="str">
        <f>IFERROR(__xludf.DUMMYFUNCTION("""COMPUTED_VALUE"""),"AC4869193")</f>
        <v>AC4869193</v>
      </c>
      <c r="T75" s="148">
        <f>IFERROR(__xludf.DUMMYFUNCTION("""COMPUTED_VALUE"""),45034.0)</f>
        <v>45034</v>
      </c>
      <c r="U75" s="148">
        <f>IFERROR(__xludf.DUMMYFUNCTION("""COMPUTED_VALUE"""),48686.0)</f>
        <v>48686</v>
      </c>
      <c r="V75" s="149">
        <f>IFERROR(__xludf.DUMMYFUNCTION("""COMPUTED_VALUE"""),48504.0)</f>
        <v>48504</v>
      </c>
      <c r="W75" t="str">
        <f>IFERROR(__xludf.DUMMYFUNCTION("""COMPUTED_VALUE"""),"ปลอดภัย")</f>
        <v>ปลอดภัย</v>
      </c>
      <c r="X75" t="str">
        <f>IFERROR(__xludf.DUMMYFUNCTION("""COMPUTED_VALUE"""),"Lampang Province")</f>
        <v>Lampang Province</v>
      </c>
      <c r="Y75" t="str">
        <f>IFERROR(__xludf.DUMMYFUNCTION("""COMPUTED_VALUE"""),"คันนายาว")</f>
        <v>คันนายาว</v>
      </c>
      <c r="Z75" t="str">
        <f>IFERROR(__xludf.DUMMYFUNCTION("""COMPUTED_VALUE"""),"081 279 9576")</f>
        <v>081 279 9576</v>
      </c>
      <c r="AA75" t="str">
        <f>IFERROR(__xludf.DUMMYFUNCTION("""COMPUTED_VALUE"""),"แฟน")</f>
        <v>แฟน</v>
      </c>
      <c r="AB75" t="str">
        <f>IFERROR(__xludf.DUMMYFUNCTION("""COMPUTED_VALUE"""),"wilasineen@airasia.com")</f>
        <v>wilasineen@airasia.com</v>
      </c>
    </row>
    <row r="76">
      <c r="AB76" t="str">
        <f>IFERROR(__xludf.DUMMYFUNCTION("""COMPUTED_VALUE"""),"")</f>
        <v/>
      </c>
    </row>
    <row r="77">
      <c r="A77">
        <f>IFERROR(__xludf.DUMMYFUNCTION("""COMPUTED_VALUE"""),1000992.0)</f>
        <v>1000992</v>
      </c>
      <c r="B77" t="str">
        <f>IFERROR(__xludf.DUMMYFUNCTION("""COMPUTED_VALUE"""),"Ms.")</f>
        <v>Ms.</v>
      </c>
      <c r="C77" t="str">
        <f>IFERROR(__xludf.DUMMYFUNCTION("""COMPUTED_VALUE"""),"Sirinya")</f>
        <v>Sirinya</v>
      </c>
      <c r="D77" t="str">
        <f>IFERROR(__xludf.DUMMYFUNCTION("""COMPUTED_VALUE"""),"Wichaiya")</f>
        <v>Wichaiya</v>
      </c>
      <c r="E77" t="str">
        <f>IFERROR(__xludf.DUMMYFUNCTION("""COMPUTED_VALUE"""),"Sirinya Wichaiya")</f>
        <v>Sirinya Wichaiya</v>
      </c>
      <c r="F77" t="str">
        <f>IFERROR(__xludf.DUMMYFUNCTION("""COMPUTED_VALUE"""),"นางสาว")</f>
        <v>นางสาว</v>
      </c>
      <c r="G77" t="str">
        <f>IFERROR(__xludf.DUMMYFUNCTION("""COMPUTED_VALUE"""),"ศิริญญา")</f>
        <v>ศิริญญา</v>
      </c>
      <c r="H77" t="str">
        <f>IFERROR(__xludf.DUMMYFUNCTION("""COMPUTED_VALUE"""),"วิชัยยา")</f>
        <v>วิชัยยา</v>
      </c>
      <c r="I77" t="str">
        <f>IFERROR(__xludf.DUMMYFUNCTION("""COMPUTED_VALUE"""),"ศิริญญา วิชัยยา")</f>
        <v>ศิริญญา วิชัยยา</v>
      </c>
      <c r="J77" t="str">
        <f>IFERROR(__xludf.DUMMYFUNCTION("""COMPUTED_VALUE"""),"Gift")</f>
        <v>Gift</v>
      </c>
      <c r="K77" t="str">
        <f>IFERROR(__xludf.DUMMYFUNCTION("""COMPUTED_VALUE"""),"Senior Cabin Crew - CNX")</f>
        <v>Senior Cabin Crew - CNX</v>
      </c>
      <c r="L77" t="str">
        <f>IFERROR(__xludf.DUMMYFUNCTION("""COMPUTED_VALUE"""),"CNX")</f>
        <v>CNX</v>
      </c>
      <c r="M77" s="145" t="str">
        <f>IFERROR(__xludf.DUMMYFUNCTION("""COMPUTED_VALUE"""),"Up Home")</f>
        <v>Up Home</v>
      </c>
      <c r="N77" t="str">
        <f>IFERROR(__xludf.DUMMYFUNCTION("""COMPUTED_VALUE"""),"Active")</f>
        <v>Active</v>
      </c>
      <c r="P77" s="143">
        <f>IFERROR(__xludf.DUMMYFUNCTION("""COMPUTED_VALUE"""),29306.0)</f>
        <v>29306</v>
      </c>
      <c r="Q77" s="146" t="str">
        <f>IFERROR(__xludf.DUMMYFUNCTION("""COMPUTED_VALUE"""),"094 635 4289")</f>
        <v>094 635 4289</v>
      </c>
      <c r="R77" s="147" t="str">
        <f>IFERROR(__xludf.DUMMYFUNCTION("""COMPUTED_VALUE"""),"3501300-16-1434")</f>
        <v>3501300-16-1434</v>
      </c>
      <c r="S77" t="str">
        <f>IFERROR(__xludf.DUMMYFUNCTION("""COMPUTED_VALUE"""),"AC6791520")</f>
        <v>AC6791520</v>
      </c>
      <c r="T77" s="148">
        <f>IFERROR(__xludf.DUMMYFUNCTION("""COMPUTED_VALUE"""),45420.0)</f>
        <v>45420</v>
      </c>
      <c r="U77" s="148">
        <f>IFERROR(__xludf.DUMMYFUNCTION("""COMPUTED_VALUE"""),49071.0)</f>
        <v>49071</v>
      </c>
      <c r="V77" s="149">
        <f>IFERROR(__xludf.DUMMYFUNCTION("""COMPUTED_VALUE"""),48890.0)</f>
        <v>48890</v>
      </c>
      <c r="W77" t="str">
        <f>IFERROR(__xludf.DUMMYFUNCTION("""COMPUTED_VALUE"""),"ปลอดภัย")</f>
        <v>ปลอดภัย</v>
      </c>
      <c r="X77" t="str">
        <f>IFERROR(__xludf.DUMMYFUNCTION("""COMPUTED_VALUE"""),"Chiang Mai Province")</f>
        <v>Chiang Mai Province</v>
      </c>
      <c r="Y77" t="str">
        <f>IFERROR(__xludf.DUMMYFUNCTION("""COMPUTED_VALUE"""),"เชียงใหม่")</f>
        <v>เชียงใหม่</v>
      </c>
      <c r="Z77" t="str">
        <f>IFERROR(__xludf.DUMMYFUNCTION("""COMPUTED_VALUE"""),"086 921 0769")</f>
        <v>086 921 0769</v>
      </c>
      <c r="AA77" t="str">
        <f>IFERROR(__xludf.DUMMYFUNCTION("""COMPUTED_VALUE"""),"แม่")</f>
        <v>แม่</v>
      </c>
      <c r="AB77" t="str">
        <f>IFERROR(__xludf.DUMMYFUNCTION("""COMPUTED_VALUE"""),"sirinyaw@airasia.com")</f>
        <v>sirinyaw@airasia.com</v>
      </c>
    </row>
    <row r="78">
      <c r="A78">
        <f>IFERROR(__xludf.DUMMYFUNCTION("""COMPUTED_VALUE"""),1001914.0)</f>
        <v>1001914</v>
      </c>
      <c r="B78" t="str">
        <f>IFERROR(__xludf.DUMMYFUNCTION("""COMPUTED_VALUE"""),"Ms.")</f>
        <v>Ms.</v>
      </c>
      <c r="C78" t="str">
        <f>IFERROR(__xludf.DUMMYFUNCTION("""COMPUTED_VALUE"""),"Arthitaya")</f>
        <v>Arthitaya</v>
      </c>
      <c r="D78" t="str">
        <f>IFERROR(__xludf.DUMMYFUNCTION("""COMPUTED_VALUE"""),"Srisopon")</f>
        <v>Srisopon</v>
      </c>
      <c r="E78" t="str">
        <f>IFERROR(__xludf.DUMMYFUNCTION("""COMPUTED_VALUE"""),"Arthitaya Srisopon")</f>
        <v>Arthitaya Srisopon</v>
      </c>
      <c r="F78" t="str">
        <f>IFERROR(__xludf.DUMMYFUNCTION("""COMPUTED_VALUE"""),"นางสาว")</f>
        <v>นางสาว</v>
      </c>
      <c r="G78" t="str">
        <f>IFERROR(__xludf.DUMMYFUNCTION("""COMPUTED_VALUE"""),"อาทิตยา")</f>
        <v>อาทิตยา</v>
      </c>
      <c r="H78" t="str">
        <f>IFERROR(__xludf.DUMMYFUNCTION("""COMPUTED_VALUE"""),"ศรีโสภณ")</f>
        <v>ศรีโสภณ</v>
      </c>
      <c r="I78" t="str">
        <f>IFERROR(__xludf.DUMMYFUNCTION("""COMPUTED_VALUE"""),"อาทิตยา ศรีโสภณ")</f>
        <v>อาทิตยา ศรีโสภณ</v>
      </c>
      <c r="J78" t="str">
        <f>IFERROR(__xludf.DUMMYFUNCTION("""COMPUTED_VALUE"""),"Cartoon")</f>
        <v>Cartoon</v>
      </c>
      <c r="K78" t="str">
        <f>IFERROR(__xludf.DUMMYFUNCTION("""COMPUTED_VALUE"""),"Senior Cabin Crew")</f>
        <v>Senior Cabin Crew</v>
      </c>
      <c r="L78" t="str">
        <f>IFERROR(__xludf.DUMMYFUNCTION("""COMPUTED_VALUE"""),"DMK")</f>
        <v>DMK</v>
      </c>
      <c r="M78" s="145" t="str">
        <f>IFERROR(__xludf.DUMMYFUNCTION("""COMPUTED_VALUE"""),"Namfon Home")</f>
        <v>Namfon Home</v>
      </c>
      <c r="N78" t="str">
        <f>IFERROR(__xludf.DUMMYFUNCTION("""COMPUTED_VALUE"""),"Active")</f>
        <v>Active</v>
      </c>
      <c r="O78" t="str">
        <f>IFERROR(__xludf.DUMMYFUNCTION("""COMPUTED_VALUE"""),"SCC Line Checker 2025")</f>
        <v>SCC Line Checker 2025</v>
      </c>
      <c r="P78" s="143">
        <f>IFERROR(__xludf.DUMMYFUNCTION("""COMPUTED_VALUE"""),31039.0)</f>
        <v>31039</v>
      </c>
      <c r="Q78" s="146" t="str">
        <f>IFERROR(__xludf.DUMMYFUNCTION("""COMPUTED_VALUE"""),"089 7018814")</f>
        <v>089 7018814</v>
      </c>
      <c r="R78" s="147" t="str">
        <f>IFERROR(__xludf.DUMMYFUNCTION("""COMPUTED_VALUE"""),"1102000-16-5688")</f>
        <v>1102000-16-5688</v>
      </c>
      <c r="S78" t="str">
        <f>IFERROR(__xludf.DUMMYFUNCTION("""COMPUTED_VALUE"""),"AC6218508")</f>
        <v>AC6218508</v>
      </c>
      <c r="T78" s="148">
        <f>IFERROR(__xludf.DUMMYFUNCTION("""COMPUTED_VALUE"""),45296.0)</f>
        <v>45296</v>
      </c>
      <c r="U78" s="148">
        <f>IFERROR(__xludf.DUMMYFUNCTION("""COMPUTED_VALUE"""),48948.0)</f>
        <v>48948</v>
      </c>
      <c r="V78" s="149">
        <f>IFERROR(__xludf.DUMMYFUNCTION("""COMPUTED_VALUE"""),48764.0)</f>
        <v>48764</v>
      </c>
      <c r="W78" t="str">
        <f>IFERROR(__xludf.DUMMYFUNCTION("""COMPUTED_VALUE"""),"ปลอดภัย")</f>
        <v>ปลอดภัย</v>
      </c>
      <c r="X78" t="str">
        <f>IFERROR(__xludf.DUMMYFUNCTION("""COMPUTED_VALUE"""),"Bangkok")</f>
        <v>Bangkok</v>
      </c>
      <c r="Y78" t="str">
        <f>IFERROR(__xludf.DUMMYFUNCTION("""COMPUTED_VALUE"""),"รามคำแหง")</f>
        <v>รามคำแหง</v>
      </c>
      <c r="Z78" t="str">
        <f>IFERROR(__xludf.DUMMYFUNCTION("""COMPUTED_VALUE"""),"081 816 8743")</f>
        <v>081 816 8743</v>
      </c>
      <c r="AA78" t="str">
        <f>IFERROR(__xludf.DUMMYFUNCTION("""COMPUTED_VALUE"""),"แฟน")</f>
        <v>แฟน</v>
      </c>
      <c r="AB78" t="str">
        <f>IFERROR(__xludf.DUMMYFUNCTION("""COMPUTED_VALUE"""),"arthitayas@airasia.com")</f>
        <v>arthitayas@airasia.com</v>
      </c>
    </row>
    <row r="79">
      <c r="A79">
        <f>IFERROR(__xludf.DUMMYFUNCTION("""COMPUTED_VALUE"""),1001917.0)</f>
        <v>1001917</v>
      </c>
      <c r="B79" t="str">
        <f>IFERROR(__xludf.DUMMYFUNCTION("""COMPUTED_VALUE"""),"Ms.")</f>
        <v>Ms.</v>
      </c>
      <c r="C79" t="str">
        <f>IFERROR(__xludf.DUMMYFUNCTION("""COMPUTED_VALUE"""),"Lakkana")</f>
        <v>Lakkana</v>
      </c>
      <c r="D79" t="str">
        <f>IFERROR(__xludf.DUMMYFUNCTION("""COMPUTED_VALUE"""),"Phongtong")</f>
        <v>Phongtong</v>
      </c>
      <c r="E79" t="str">
        <f>IFERROR(__xludf.DUMMYFUNCTION("""COMPUTED_VALUE"""),"Lakkana Phongtong")</f>
        <v>Lakkana Phongtong</v>
      </c>
      <c r="F79" t="str">
        <f>IFERROR(__xludf.DUMMYFUNCTION("""COMPUTED_VALUE"""),"นางสาว")</f>
        <v>นางสาว</v>
      </c>
      <c r="G79" t="str">
        <f>IFERROR(__xludf.DUMMYFUNCTION("""COMPUTED_VALUE"""),"ลักขณา")</f>
        <v>ลักขณา</v>
      </c>
      <c r="H79" t="str">
        <f>IFERROR(__xludf.DUMMYFUNCTION("""COMPUTED_VALUE"""),"พงษ์ทอง")</f>
        <v>พงษ์ทอง</v>
      </c>
      <c r="I79" t="str">
        <f>IFERROR(__xludf.DUMMYFUNCTION("""COMPUTED_VALUE"""),"ลักขณา พงษ์ทอง")</f>
        <v>ลักขณา พงษ์ทอง</v>
      </c>
      <c r="J79" t="str">
        <f>IFERROR(__xludf.DUMMYFUNCTION("""COMPUTED_VALUE"""),"Kook")</f>
        <v>Kook</v>
      </c>
      <c r="K79" t="str">
        <f>IFERROR(__xludf.DUMMYFUNCTION("""COMPUTED_VALUE"""),"Senior Cabin Crew - BKK")</f>
        <v>Senior Cabin Crew - BKK</v>
      </c>
      <c r="L79" t="str">
        <f>IFERROR(__xludf.DUMMYFUNCTION("""COMPUTED_VALUE"""),"BKK")</f>
        <v>BKK</v>
      </c>
      <c r="M79" s="145" t="str">
        <f>IFERROR(__xludf.DUMMYFUNCTION("""COMPUTED_VALUE"""),"Nhui Home")</f>
        <v>Nhui Home</v>
      </c>
      <c r="N79" t="str">
        <f>IFERROR(__xludf.DUMMYFUNCTION("""COMPUTED_VALUE"""),"Active")</f>
        <v>Active</v>
      </c>
      <c r="P79" s="143">
        <f>IFERROR(__xludf.DUMMYFUNCTION("""COMPUTED_VALUE"""),29887.0)</f>
        <v>29887</v>
      </c>
      <c r="Q79" s="146" t="str">
        <f>IFERROR(__xludf.DUMMYFUNCTION("""COMPUTED_VALUE"""),"089 812 0044")</f>
        <v>089 812 0044</v>
      </c>
      <c r="R79" s="147" t="str">
        <f>IFERROR(__xludf.DUMMYFUNCTION("""COMPUTED_VALUE"""),"3101401-32-9539")</f>
        <v>3101401-32-9539</v>
      </c>
      <c r="S79" t="str">
        <f>IFERROR(__xludf.DUMMYFUNCTION("""COMPUTED_VALUE"""),"AC2927275")</f>
        <v>AC2927275</v>
      </c>
      <c r="T79" s="148">
        <f>IFERROR(__xludf.DUMMYFUNCTION("""COMPUTED_VALUE"""),44627.0)</f>
        <v>44627</v>
      </c>
      <c r="U79" s="148">
        <f>IFERROR(__xludf.DUMMYFUNCTION("""COMPUTED_VALUE"""),48279.0)</f>
        <v>48279</v>
      </c>
      <c r="V79" s="149">
        <f>IFERROR(__xludf.DUMMYFUNCTION("""COMPUTED_VALUE"""),48097.0)</f>
        <v>48097</v>
      </c>
      <c r="W79" t="str">
        <f>IFERROR(__xludf.DUMMYFUNCTION("""COMPUTED_VALUE"""),"ปลอดภัย")</f>
        <v>ปลอดภัย</v>
      </c>
      <c r="X79" t="str">
        <f>IFERROR(__xludf.DUMMYFUNCTION("""COMPUTED_VALUE"""),"Bangkok")</f>
        <v>Bangkok</v>
      </c>
      <c r="Y79" t="str">
        <f>IFERROR(__xludf.DUMMYFUNCTION("""COMPUTED_VALUE"""),"ประเวศ")</f>
        <v>ประเวศ</v>
      </c>
      <c r="Z79" t="str">
        <f>IFERROR(__xludf.DUMMYFUNCTION("""COMPUTED_VALUE"""),"081 817 3261")</f>
        <v>081 817 3261</v>
      </c>
      <c r="AA79" t="str">
        <f>IFERROR(__xludf.DUMMYFUNCTION("""COMPUTED_VALUE"""),"พี่")</f>
        <v>พี่</v>
      </c>
      <c r="AB79" t="str">
        <f>IFERROR(__xludf.DUMMYFUNCTION("""COMPUTED_VALUE"""),"lakkanap@airasia.com")</f>
        <v>lakkanap@airasia.com</v>
      </c>
    </row>
    <row r="80">
      <c r="A80">
        <f>IFERROR(__xludf.DUMMYFUNCTION("""COMPUTED_VALUE"""),1001918.0)</f>
        <v>1001918</v>
      </c>
      <c r="B80" t="str">
        <f>IFERROR(__xludf.DUMMYFUNCTION("""COMPUTED_VALUE"""),"Ms.")</f>
        <v>Ms.</v>
      </c>
      <c r="C80" t="str">
        <f>IFERROR(__xludf.DUMMYFUNCTION("""COMPUTED_VALUE"""),"Mint")</f>
        <v>Mint</v>
      </c>
      <c r="D80" t="str">
        <f>IFERROR(__xludf.DUMMYFUNCTION("""COMPUTED_VALUE"""),"Jencheawcharn")</f>
        <v>Jencheawcharn</v>
      </c>
      <c r="E80" t="str">
        <f>IFERROR(__xludf.DUMMYFUNCTION("""COMPUTED_VALUE"""),"Mint Jencheawcharn")</f>
        <v>Mint Jencheawcharn</v>
      </c>
      <c r="F80" t="str">
        <f>IFERROR(__xludf.DUMMYFUNCTION("""COMPUTED_VALUE"""),"นางสาว")</f>
        <v>นางสาว</v>
      </c>
      <c r="G80" t="str">
        <f>IFERROR(__xludf.DUMMYFUNCTION("""COMPUTED_VALUE"""),"มินต์")</f>
        <v>มินต์</v>
      </c>
      <c r="H80" t="str">
        <f>IFERROR(__xludf.DUMMYFUNCTION("""COMPUTED_VALUE"""),"เจนเชี่ยวชาญ")</f>
        <v>เจนเชี่ยวชาญ</v>
      </c>
      <c r="I80" t="str">
        <f>IFERROR(__xludf.DUMMYFUNCTION("""COMPUTED_VALUE"""),"มินต์ เจนเชี่ยวชาญ")</f>
        <v>มินต์ เจนเชี่ยวชาญ</v>
      </c>
      <c r="J80" t="str">
        <f>IFERROR(__xludf.DUMMYFUNCTION("""COMPUTED_VALUE"""),"Mint")</f>
        <v>Mint</v>
      </c>
      <c r="K80" t="str">
        <f>IFERROR(__xludf.DUMMYFUNCTION("""COMPUTED_VALUE"""),"Senior Cabin Crew")</f>
        <v>Senior Cabin Crew</v>
      </c>
      <c r="L80" t="str">
        <f>IFERROR(__xludf.DUMMYFUNCTION("""COMPUTED_VALUE"""),"DMK")</f>
        <v>DMK</v>
      </c>
      <c r="M80" s="145" t="str">
        <f>IFERROR(__xludf.DUMMYFUNCTION("""COMPUTED_VALUE"""),"Um Home")</f>
        <v>Um Home</v>
      </c>
      <c r="N80" t="str">
        <f>IFERROR(__xludf.DUMMYFUNCTION("""COMPUTED_VALUE"""),"Active")</f>
        <v>Active</v>
      </c>
      <c r="O80" t="str">
        <f>IFERROR(__xludf.DUMMYFUNCTION("""COMPUTED_VALUE"""),"SCC Line Checker 2025")</f>
        <v>SCC Line Checker 2025</v>
      </c>
      <c r="P80" s="143">
        <f>IFERROR(__xludf.DUMMYFUNCTION("""COMPUTED_VALUE"""),29488.0)</f>
        <v>29488</v>
      </c>
      <c r="Q80" s="146" t="str">
        <f>IFERROR(__xludf.DUMMYFUNCTION("""COMPUTED_VALUE"""),"089 813 4798")</f>
        <v>089 813 4798</v>
      </c>
      <c r="R80" s="147" t="str">
        <f>IFERROR(__xludf.DUMMYFUNCTION("""COMPUTED_VALUE"""),"3100600-06-2442")</f>
        <v>3100600-06-2442</v>
      </c>
      <c r="S80" t="str">
        <f>IFERROR(__xludf.DUMMYFUNCTION("""COMPUTED_VALUE"""),"AC5654509")</f>
        <v>AC5654509</v>
      </c>
      <c r="T80" s="148">
        <f>IFERROR(__xludf.DUMMYFUNCTION("""COMPUTED_VALUE"""),45176.0)</f>
        <v>45176</v>
      </c>
      <c r="U80" s="148">
        <f>IFERROR(__xludf.DUMMYFUNCTION("""COMPUTED_VALUE"""),48828.0)</f>
        <v>48828</v>
      </c>
      <c r="V80" s="149">
        <f>IFERROR(__xludf.DUMMYFUNCTION("""COMPUTED_VALUE"""),48644.0)</f>
        <v>48644</v>
      </c>
      <c r="W80" t="str">
        <f>IFERROR(__xludf.DUMMYFUNCTION("""COMPUTED_VALUE"""),"ปลอดภัย")</f>
        <v>ปลอดภัย</v>
      </c>
      <c r="X80" t="str">
        <f>IFERROR(__xludf.DUMMYFUNCTION("""COMPUTED_VALUE"""),"Bangkok")</f>
        <v>Bangkok</v>
      </c>
      <c r="Y80" t="str">
        <f>IFERROR(__xludf.DUMMYFUNCTION("""COMPUTED_VALUE"""),"นิมิตรใหม่")</f>
        <v>นิมิตรใหม่</v>
      </c>
      <c r="Z80" t="str">
        <f>IFERROR(__xludf.DUMMYFUNCTION("""COMPUTED_VALUE"""),"081 721 0242")</f>
        <v>081 721 0242</v>
      </c>
      <c r="AA80" t="str">
        <f>IFERROR(__xludf.DUMMYFUNCTION("""COMPUTED_VALUE"""),"แม่")</f>
        <v>แม่</v>
      </c>
      <c r="AB80" t="str">
        <f>IFERROR(__xludf.DUMMYFUNCTION("""COMPUTED_VALUE"""),"mintj@airasia.com")</f>
        <v>mintj@airasia.com</v>
      </c>
    </row>
    <row r="81">
      <c r="A81">
        <f>IFERROR(__xludf.DUMMYFUNCTION("""COMPUTED_VALUE"""),1001921.0)</f>
        <v>1001921</v>
      </c>
      <c r="B81" t="str">
        <f>IFERROR(__xludf.DUMMYFUNCTION("""COMPUTED_VALUE"""),"Ms.")</f>
        <v>Ms.</v>
      </c>
      <c r="C81" t="str">
        <f>IFERROR(__xludf.DUMMYFUNCTION("""COMPUTED_VALUE"""),"Preeyanuch")</f>
        <v>Preeyanuch</v>
      </c>
      <c r="D81" t="str">
        <f>IFERROR(__xludf.DUMMYFUNCTION("""COMPUTED_VALUE"""),"Yuwayongdee")</f>
        <v>Yuwayongdee</v>
      </c>
      <c r="E81" t="str">
        <f>IFERROR(__xludf.DUMMYFUNCTION("""COMPUTED_VALUE"""),"Preeyanuch Yuwayongdee")</f>
        <v>Preeyanuch Yuwayongdee</v>
      </c>
      <c r="F81" t="str">
        <f>IFERROR(__xludf.DUMMYFUNCTION("""COMPUTED_VALUE"""),"นางสาว")</f>
        <v>นางสาว</v>
      </c>
      <c r="G81" t="str">
        <f>IFERROR(__xludf.DUMMYFUNCTION("""COMPUTED_VALUE"""),"ปรียานุช")</f>
        <v>ปรียานุช</v>
      </c>
      <c r="H81" t="str">
        <f>IFERROR(__xludf.DUMMYFUNCTION("""COMPUTED_VALUE"""),"ยุวะยงดี")</f>
        <v>ยุวะยงดี</v>
      </c>
      <c r="I81" t="str">
        <f>IFERROR(__xludf.DUMMYFUNCTION("""COMPUTED_VALUE"""),"ปรียานุช ยุวะยงดี")</f>
        <v>ปรียานุช ยุวะยงดี</v>
      </c>
      <c r="J81" t="str">
        <f>IFERROR(__xludf.DUMMYFUNCTION("""COMPUTED_VALUE"""),"Nuch")</f>
        <v>Nuch</v>
      </c>
      <c r="K81" t="str">
        <f>IFERROR(__xludf.DUMMYFUNCTION("""COMPUTED_VALUE"""),"Senior Cabin Crew")</f>
        <v>Senior Cabin Crew</v>
      </c>
      <c r="L81" t="str">
        <f>IFERROR(__xludf.DUMMYFUNCTION("""COMPUTED_VALUE"""),"DMK")</f>
        <v>DMK</v>
      </c>
      <c r="M81" s="145" t="str">
        <f>IFERROR(__xludf.DUMMYFUNCTION("""COMPUTED_VALUE"""),"Um Home")</f>
        <v>Um Home</v>
      </c>
      <c r="N81" t="str">
        <f>IFERROR(__xludf.DUMMYFUNCTION("""COMPUTED_VALUE"""),"Active")</f>
        <v>Active</v>
      </c>
      <c r="P81" s="143">
        <f>IFERROR(__xludf.DUMMYFUNCTION("""COMPUTED_VALUE"""),31002.0)</f>
        <v>31002</v>
      </c>
      <c r="Q81" s="146" t="str">
        <f>IFERROR(__xludf.DUMMYFUNCTION("""COMPUTED_VALUE"""),"088 649 2456")</f>
        <v>088 649 2456</v>
      </c>
      <c r="R81" s="147" t="str">
        <f>IFERROR(__xludf.DUMMYFUNCTION("""COMPUTED_VALUE"""),"1100400-06-5531")</f>
        <v>1100400-06-5531</v>
      </c>
      <c r="S81" t="str">
        <f>IFERROR(__xludf.DUMMYFUNCTION("""COMPUTED_VALUE"""),"AC2923912")</f>
        <v>AC2923912</v>
      </c>
      <c r="T81" s="148">
        <f>IFERROR(__xludf.DUMMYFUNCTION("""COMPUTED_VALUE"""),44627.0)</f>
        <v>44627</v>
      </c>
      <c r="U81" s="148">
        <f>IFERROR(__xludf.DUMMYFUNCTION("""COMPUTED_VALUE"""),48279.0)</f>
        <v>48279</v>
      </c>
      <c r="V81" s="149">
        <f>IFERROR(__xludf.DUMMYFUNCTION("""COMPUTED_VALUE"""),48097.0)</f>
        <v>48097</v>
      </c>
      <c r="W81" t="str">
        <f>IFERROR(__xludf.DUMMYFUNCTION("""COMPUTED_VALUE"""),"ปลอดภัย")</f>
        <v>ปลอดภัย</v>
      </c>
      <c r="X81" t="str">
        <f>IFERROR(__xludf.DUMMYFUNCTION("""COMPUTED_VALUE"""),"Bangkok")</f>
        <v>Bangkok</v>
      </c>
      <c r="Y81" t="str">
        <f>IFERROR(__xludf.DUMMYFUNCTION("""COMPUTED_VALUE"""),"ป้อมปราบศัตรูพ่าย")</f>
        <v>ป้อมปราบศัตรูพ่าย</v>
      </c>
      <c r="Z81" t="str">
        <f>IFERROR(__xludf.DUMMYFUNCTION("""COMPUTED_VALUE"""),"081 309 7011")</f>
        <v>081 309 7011</v>
      </c>
      <c r="AA81" t="str">
        <f>IFERROR(__xludf.DUMMYFUNCTION("""COMPUTED_VALUE"""),"แม่")</f>
        <v>แม่</v>
      </c>
      <c r="AB81" t="str">
        <f>IFERROR(__xludf.DUMMYFUNCTION("""COMPUTED_VALUE"""),"preeyanuchy@airasia.com")</f>
        <v>preeyanuchy@airasia.com</v>
      </c>
    </row>
    <row r="82">
      <c r="A82">
        <f>IFERROR(__xludf.DUMMYFUNCTION("""COMPUTED_VALUE"""),1001922.0)</f>
        <v>1001922</v>
      </c>
      <c r="B82" t="str">
        <f>IFERROR(__xludf.DUMMYFUNCTION("""COMPUTED_VALUE"""),"Mrs.")</f>
        <v>Mrs.</v>
      </c>
      <c r="C82" t="str">
        <f>IFERROR(__xludf.DUMMYFUNCTION("""COMPUTED_VALUE"""),"Sirisinee")</f>
        <v>Sirisinee</v>
      </c>
      <c r="D82" t="str">
        <f>IFERROR(__xludf.DUMMYFUNCTION("""COMPUTED_VALUE"""),"Wongchanhan (Chaisuwankiree)")</f>
        <v>Wongchanhan (Chaisuwankiree)</v>
      </c>
      <c r="E82" t="str">
        <f>IFERROR(__xludf.DUMMYFUNCTION("""COMPUTED_VALUE"""),"Sirisinee Wongchanhan")</f>
        <v>Sirisinee Wongchanhan</v>
      </c>
      <c r="F82" t="str">
        <f>IFERROR(__xludf.DUMMYFUNCTION("""COMPUTED_VALUE"""),"นาง")</f>
        <v>นาง</v>
      </c>
      <c r="G82" t="str">
        <f>IFERROR(__xludf.DUMMYFUNCTION("""COMPUTED_VALUE"""),"สิริสินีษ์")</f>
        <v>สิริสินีษ์</v>
      </c>
      <c r="H82" t="str">
        <f>IFERROR(__xludf.DUMMYFUNCTION("""COMPUTED_VALUE"""),"วงษ์จันทร์หาญ (ฉายสุวรรณคีรี)")</f>
        <v>วงษ์จันทร์หาญ (ฉายสุวรรณคีรี)</v>
      </c>
      <c r="I82" t="str">
        <f>IFERROR(__xludf.DUMMYFUNCTION("""COMPUTED_VALUE"""),"สิริสินีษ์ วงษ์จันทร์หาญ")</f>
        <v>สิริสินีษ์ วงษ์จันทร์หาญ</v>
      </c>
      <c r="J82" t="str">
        <f>IFERROR(__xludf.DUMMYFUNCTION("""COMPUTED_VALUE"""),"Nam Fon")</f>
        <v>Nam Fon</v>
      </c>
      <c r="K82" t="str">
        <f>IFERROR(__xludf.DUMMYFUNCTION("""COMPUTED_VALUE"""),"Cabin Crew Engagement Lead")</f>
        <v>Cabin Crew Engagement Lead</v>
      </c>
      <c r="L82" t="str">
        <f>IFERROR(__xludf.DUMMYFUNCTION("""COMPUTED_VALUE"""),"DMK")</f>
        <v>DMK</v>
      </c>
      <c r="M82" s="145" t="str">
        <f>IFERROR(__xludf.DUMMYFUNCTION("""COMPUTED_VALUE"""),"Ward Monitor")</f>
        <v>Ward Monitor</v>
      </c>
      <c r="N82" t="str">
        <f>IFERROR(__xludf.DUMMYFUNCTION("""COMPUTED_VALUE"""),"CCEL")</f>
        <v>CCEL</v>
      </c>
      <c r="P82" s="143">
        <f>IFERROR(__xludf.DUMMYFUNCTION("""COMPUTED_VALUE"""),30948.0)</f>
        <v>30948</v>
      </c>
      <c r="Q82" s="146" t="str">
        <f>IFERROR(__xludf.DUMMYFUNCTION("""COMPUTED_VALUE"""),"084 465 4542")</f>
        <v>084 465 4542</v>
      </c>
      <c r="R82" s="147" t="str">
        <f>IFERROR(__xludf.DUMMYFUNCTION("""COMPUTED_VALUE"""),"1100400-05-8364")</f>
        <v>1100400-05-8364</v>
      </c>
      <c r="S82" t="str">
        <f>IFERROR(__xludf.DUMMYFUNCTION("""COMPUTED_VALUE"""),"AD1952756")</f>
        <v>AD1952756</v>
      </c>
      <c r="T82" s="148">
        <f>IFERROR(__xludf.DUMMYFUNCTION("""COMPUTED_VALUE"""),45498.0)</f>
        <v>45498</v>
      </c>
      <c r="U82" s="148">
        <f>IFERROR(__xludf.DUMMYFUNCTION("""COMPUTED_VALUE"""),49149.0)</f>
        <v>49149</v>
      </c>
      <c r="V82" s="149">
        <f>IFERROR(__xludf.DUMMYFUNCTION("""COMPUTED_VALUE"""),48968.0)</f>
        <v>48968</v>
      </c>
      <c r="W82" t="str">
        <f>IFERROR(__xludf.DUMMYFUNCTION("""COMPUTED_VALUE"""),"ปลอดภัย")</f>
        <v>ปลอดภัย</v>
      </c>
      <c r="X82" t="str">
        <f>IFERROR(__xludf.DUMMYFUNCTION("""COMPUTED_VALUE"""),"Bangkok")</f>
        <v>Bangkok</v>
      </c>
      <c r="Y82" t="str">
        <f>IFERROR(__xludf.DUMMYFUNCTION("""COMPUTED_VALUE"""),"บางกะปิ")</f>
        <v>บางกะปิ</v>
      </c>
      <c r="Z82" t="str">
        <f>IFERROR(__xludf.DUMMYFUNCTION("""COMPUTED_VALUE"""),"089 691 4553")</f>
        <v>089 691 4553</v>
      </c>
      <c r="AA82" t="str">
        <f>IFERROR(__xludf.DUMMYFUNCTION("""COMPUTED_VALUE"""),"แม่")</f>
        <v>แม่</v>
      </c>
      <c r="AB82" t="str">
        <f>IFERROR(__xludf.DUMMYFUNCTION("""COMPUTED_VALUE"""),"sirisineew@airasia.com")</f>
        <v>sirisineew@airasia.com</v>
      </c>
    </row>
    <row r="83">
      <c r="AB83" t="str">
        <f>IFERROR(__xludf.DUMMYFUNCTION("""COMPUTED_VALUE"""),"")</f>
        <v/>
      </c>
    </row>
    <row r="84">
      <c r="A84">
        <f>IFERROR(__xludf.DUMMYFUNCTION("""COMPUTED_VALUE"""),1001215.0)</f>
        <v>1001215</v>
      </c>
      <c r="B84" t="str">
        <f>IFERROR(__xludf.DUMMYFUNCTION("""COMPUTED_VALUE"""),"Ms.")</f>
        <v>Ms.</v>
      </c>
      <c r="C84" t="str">
        <f>IFERROR(__xludf.DUMMYFUNCTION("""COMPUTED_VALUE"""),"Sirikwan")</f>
        <v>Sirikwan</v>
      </c>
      <c r="D84" t="str">
        <f>IFERROR(__xludf.DUMMYFUNCTION("""COMPUTED_VALUE"""),"Boonwan (Larmungkun)")</f>
        <v>Boonwan (Larmungkun)</v>
      </c>
      <c r="E84" t="str">
        <f>IFERROR(__xludf.DUMMYFUNCTION("""COMPUTED_VALUE"""),"Sirikwan Boonwan")</f>
        <v>Sirikwan Boonwan</v>
      </c>
      <c r="F84" t="str">
        <f>IFERROR(__xludf.DUMMYFUNCTION("""COMPUTED_VALUE"""),"นางสาว")</f>
        <v>นางสาว</v>
      </c>
      <c r="G84" t="str">
        <f>IFERROR(__xludf.DUMMYFUNCTION("""COMPUTED_VALUE"""),"ศิริขวัญ")</f>
        <v>ศิริขวัญ</v>
      </c>
      <c r="H84" t="str">
        <f>IFERROR(__xludf.DUMMYFUNCTION("""COMPUTED_VALUE"""),"บุญวรรณ (หล้ามุงคุณ)")</f>
        <v>บุญวรรณ (หล้ามุงคุณ)</v>
      </c>
      <c r="I84" t="str">
        <f>IFERROR(__xludf.DUMMYFUNCTION("""COMPUTED_VALUE"""),"ศิริขวัญ บุญวรรณ")</f>
        <v>ศิริขวัญ บุญวรรณ</v>
      </c>
      <c r="J84" t="str">
        <f>IFERROR(__xludf.DUMMYFUNCTION("""COMPUTED_VALUE"""),"Nhui/หนุ่ย")</f>
        <v>Nhui/หนุ่ย</v>
      </c>
      <c r="K84" t="str">
        <f>IFERROR(__xludf.DUMMYFUNCTION("""COMPUTED_VALUE"""),"Cabin Crew Engagement Lead - BKK")</f>
        <v>Cabin Crew Engagement Lead - BKK</v>
      </c>
      <c r="L84" t="str">
        <f>IFERROR(__xludf.DUMMYFUNCTION("""COMPUTED_VALUE"""),"DMK")</f>
        <v>DMK</v>
      </c>
      <c r="M84" s="145" t="str">
        <f>IFERROR(__xludf.DUMMYFUNCTION("""COMPUTED_VALUE"""),"Ward Monitor")</f>
        <v>Ward Monitor</v>
      </c>
      <c r="N84" t="str">
        <f>IFERROR(__xludf.DUMMYFUNCTION("""COMPUTED_VALUE"""),"CCEL")</f>
        <v>CCEL</v>
      </c>
      <c r="P84" s="143">
        <f>IFERROR(__xludf.DUMMYFUNCTION("""COMPUTED_VALUE"""),30302.0)</f>
        <v>30302</v>
      </c>
      <c r="Q84" s="146">
        <f>IFERROR(__xludf.DUMMYFUNCTION("""COMPUTED_VALUE"""),9.96210009E8)</f>
        <v>996210009</v>
      </c>
      <c r="R84" s="147" t="str">
        <f>IFERROR(__xludf.DUMMYFUNCTION("""COMPUTED_VALUE"""),"3480700-12-8973")</f>
        <v>3480700-12-8973</v>
      </c>
      <c r="S84" t="str">
        <f>IFERROR(__xludf.DUMMYFUNCTION("""COMPUTED_VALUE"""),"AD1298528")</f>
        <v>AD1298528</v>
      </c>
      <c r="T84" s="148">
        <f>IFERROR(__xludf.DUMMYFUNCTION("""COMPUTED_VALUE"""),45334.0)</f>
        <v>45334</v>
      </c>
      <c r="U84" s="148">
        <f>IFERROR(__xludf.DUMMYFUNCTION("""COMPUTED_VALUE"""),48986.0)</f>
        <v>48986</v>
      </c>
      <c r="V84" s="149">
        <f>IFERROR(__xludf.DUMMYFUNCTION("""COMPUTED_VALUE"""),48802.0)</f>
        <v>48802</v>
      </c>
      <c r="W84" t="str">
        <f>IFERROR(__xludf.DUMMYFUNCTION("""COMPUTED_VALUE"""),"ปลอดภัย")</f>
        <v>ปลอดภัย</v>
      </c>
      <c r="X84" t="str">
        <f>IFERROR(__xludf.DUMMYFUNCTION("""COMPUTED_VALUE"""),"Nakhon Phanom Province")</f>
        <v>Nakhon Phanom Province</v>
      </c>
      <c r="Y84" t="str">
        <f>IFERROR(__xludf.DUMMYFUNCTION("""COMPUTED_VALUE"""),"ลาดพร้าว")</f>
        <v>ลาดพร้าว</v>
      </c>
      <c r="Z84" t="str">
        <f>IFERROR(__xludf.DUMMYFUNCTION("""COMPUTED_VALUE"""),"087-8978978")</f>
        <v>087-8978978</v>
      </c>
      <c r="AA84" t="str">
        <f>IFERROR(__xludf.DUMMYFUNCTION("""COMPUTED_VALUE"""),"Mr.Witthaya Boonwan (สามี)")</f>
        <v>Mr.Witthaya Boonwan (สามี)</v>
      </c>
      <c r="AB84" t="str">
        <f>IFERROR(__xludf.DUMMYFUNCTION("""COMPUTED_VALUE"""),"sirikwanb@airasia.com")</f>
        <v>sirikwanb@airasia.com</v>
      </c>
    </row>
    <row r="85">
      <c r="A85">
        <f>IFERROR(__xludf.DUMMYFUNCTION("""COMPUTED_VALUE"""),1001692.0)</f>
        <v>1001692</v>
      </c>
      <c r="B85" t="str">
        <f>IFERROR(__xludf.DUMMYFUNCTION("""COMPUTED_VALUE"""),"Ms.")</f>
        <v>Ms.</v>
      </c>
      <c r="C85" t="str">
        <f>IFERROR(__xludf.DUMMYFUNCTION("""COMPUTED_VALUE"""),"Noppawan")</f>
        <v>Noppawan</v>
      </c>
      <c r="D85" t="str">
        <f>IFERROR(__xludf.DUMMYFUNCTION("""COMPUTED_VALUE"""),"Tainvichit")</f>
        <v>Tainvichit</v>
      </c>
      <c r="E85" t="str">
        <f>IFERROR(__xludf.DUMMYFUNCTION("""COMPUTED_VALUE"""),"Noppawan Tainvichit")</f>
        <v>Noppawan Tainvichit</v>
      </c>
      <c r="F85" t="str">
        <f>IFERROR(__xludf.DUMMYFUNCTION("""COMPUTED_VALUE"""),"นางสาว")</f>
        <v>นางสาว</v>
      </c>
      <c r="G85" t="str">
        <f>IFERROR(__xludf.DUMMYFUNCTION("""COMPUTED_VALUE"""),"นพวรรณ")</f>
        <v>นพวรรณ</v>
      </c>
      <c r="H85" t="str">
        <f>IFERROR(__xludf.DUMMYFUNCTION("""COMPUTED_VALUE"""),"เทียนวิจิตร")</f>
        <v>เทียนวิจิตร</v>
      </c>
      <c r="I85" t="str">
        <f>IFERROR(__xludf.DUMMYFUNCTION("""COMPUTED_VALUE"""),"นพวรรณ เทียนวิจิตร")</f>
        <v>นพวรรณ เทียนวิจิตร</v>
      </c>
      <c r="J85" t="str">
        <f>IFERROR(__xludf.DUMMYFUNCTION("""COMPUTED_VALUE"""),"Prae")</f>
        <v>Prae</v>
      </c>
      <c r="K85" t="str">
        <f>IFERROR(__xludf.DUMMYFUNCTION("""COMPUTED_VALUE"""),"Senior Cabin Crew - CNX")</f>
        <v>Senior Cabin Crew - CNX</v>
      </c>
      <c r="L85" t="str">
        <f>IFERROR(__xludf.DUMMYFUNCTION("""COMPUTED_VALUE"""),"CNX")</f>
        <v>CNX</v>
      </c>
      <c r="M85" s="145" t="str">
        <f>IFERROR(__xludf.DUMMYFUNCTION("""COMPUTED_VALUE"""),"Up Home")</f>
        <v>Up Home</v>
      </c>
      <c r="N85" t="str">
        <f>IFERROR(__xludf.DUMMYFUNCTION("""COMPUTED_VALUE"""),"Active")</f>
        <v>Active</v>
      </c>
      <c r="P85" s="143">
        <f>IFERROR(__xludf.DUMMYFUNCTION("""COMPUTED_VALUE"""),32002.0)</f>
        <v>32002</v>
      </c>
      <c r="Q85" s="146" t="str">
        <f>IFERROR(__xludf.DUMMYFUNCTION("""COMPUTED_VALUE"""),"094 463 2644")</f>
        <v>094 463 2644</v>
      </c>
      <c r="R85" s="147" t="str">
        <f>IFERROR(__xludf.DUMMYFUNCTION("""COMPUTED_VALUE"""),"1100800-06-7506")</f>
        <v>1100800-06-7506</v>
      </c>
      <c r="S85" t="str">
        <f>IFERROR(__xludf.DUMMYFUNCTION("""COMPUTED_VALUE"""),"AC4886218")</f>
        <v>AC4886218</v>
      </c>
      <c r="T85" s="148">
        <f>IFERROR(__xludf.DUMMYFUNCTION("""COMPUTED_VALUE"""),45040.0)</f>
        <v>45040</v>
      </c>
      <c r="U85" s="148">
        <f>IFERROR(__xludf.DUMMYFUNCTION("""COMPUTED_VALUE"""),48692.0)</f>
        <v>48692</v>
      </c>
      <c r="V85" s="149">
        <f>IFERROR(__xludf.DUMMYFUNCTION("""COMPUTED_VALUE"""),48510.0)</f>
        <v>48510</v>
      </c>
      <c r="W85" t="str">
        <f>IFERROR(__xludf.DUMMYFUNCTION("""COMPUTED_VALUE"""),"ปลอดภัย")</f>
        <v>ปลอดภัย</v>
      </c>
      <c r="X85" t="str">
        <f>IFERROR(__xludf.DUMMYFUNCTION("""COMPUTED_VALUE"""),"Bangkok")</f>
        <v>Bangkok</v>
      </c>
      <c r="Y85" t="str">
        <f>IFERROR(__xludf.DUMMYFUNCTION("""COMPUTED_VALUE"""),"จอมทอง")</f>
        <v>จอมทอง</v>
      </c>
      <c r="Z85" t="str">
        <f>IFERROR(__xludf.DUMMYFUNCTION("""COMPUTED_VALUE"""),"081 928 1321")</f>
        <v>081 928 1321</v>
      </c>
      <c r="AA85" t="str">
        <f>IFERROR(__xludf.DUMMYFUNCTION("""COMPUTED_VALUE"""),"แม่")</f>
        <v>แม่</v>
      </c>
      <c r="AB85" t="str">
        <f>IFERROR(__xludf.DUMMYFUNCTION("""COMPUTED_VALUE"""),"noppawant@airasia.com")</f>
        <v>noppawant@airasia.com</v>
      </c>
    </row>
    <row r="86">
      <c r="A86">
        <f>IFERROR(__xludf.DUMMYFUNCTION("""COMPUTED_VALUE"""),1002065.0)</f>
        <v>1002065</v>
      </c>
      <c r="B86" t="str">
        <f>IFERROR(__xludf.DUMMYFUNCTION("""COMPUTED_VALUE"""),"Ms.")</f>
        <v>Ms.</v>
      </c>
      <c r="C86" t="str">
        <f>IFERROR(__xludf.DUMMYFUNCTION("""COMPUTED_VALUE"""),"Pattaramon")</f>
        <v>Pattaramon</v>
      </c>
      <c r="D86" t="str">
        <f>IFERROR(__xludf.DUMMYFUNCTION("""COMPUTED_VALUE"""),"Phunsook")</f>
        <v>Phunsook</v>
      </c>
      <c r="E86" t="str">
        <f>IFERROR(__xludf.DUMMYFUNCTION("""COMPUTED_VALUE"""),"Pattaramon Phunsook")</f>
        <v>Pattaramon Phunsook</v>
      </c>
      <c r="F86" t="str">
        <f>IFERROR(__xludf.DUMMYFUNCTION("""COMPUTED_VALUE"""),"นางสาว")</f>
        <v>นางสาว</v>
      </c>
      <c r="G86" t="str">
        <f>IFERROR(__xludf.DUMMYFUNCTION("""COMPUTED_VALUE"""),"ภัทรมน")</f>
        <v>ภัทรมน</v>
      </c>
      <c r="H86" t="str">
        <f>IFERROR(__xludf.DUMMYFUNCTION("""COMPUTED_VALUE"""),"พันธุ์สุข")</f>
        <v>พันธุ์สุข</v>
      </c>
      <c r="I86" t="str">
        <f>IFERROR(__xludf.DUMMYFUNCTION("""COMPUTED_VALUE"""),"ภัทรมน พันธุ์สุข")</f>
        <v>ภัทรมน พันธุ์สุข</v>
      </c>
      <c r="J86" t="str">
        <f>IFERROR(__xludf.DUMMYFUNCTION("""COMPUTED_VALUE"""),"Kra Tai")</f>
        <v>Kra Tai</v>
      </c>
      <c r="K86" t="str">
        <f>IFERROR(__xludf.DUMMYFUNCTION("""COMPUTED_VALUE"""),"Cabin Crew")</f>
        <v>Cabin Crew</v>
      </c>
      <c r="L86" t="str">
        <f>IFERROR(__xludf.DUMMYFUNCTION("""COMPUTED_VALUE"""),"DMK")</f>
        <v>DMK</v>
      </c>
      <c r="M86" s="145" t="str">
        <f>IFERROR(__xludf.DUMMYFUNCTION("""COMPUTED_VALUE"""),"Namfon Home")</f>
        <v>Namfon Home</v>
      </c>
      <c r="N86" t="str">
        <f>IFERROR(__xludf.DUMMYFUNCTION("""COMPUTED_VALUE"""),"Active")</f>
        <v>Active</v>
      </c>
      <c r="P86" s="143">
        <f>IFERROR(__xludf.DUMMYFUNCTION("""COMPUTED_VALUE"""),30585.0)</f>
        <v>30585</v>
      </c>
      <c r="Q86" s="146" t="str">
        <f>IFERROR(__xludf.DUMMYFUNCTION("""COMPUTED_VALUE"""),"094 996 5924")</f>
        <v>094 996 5924</v>
      </c>
      <c r="R86" s="147" t="str">
        <f>IFERROR(__xludf.DUMMYFUNCTION("""COMPUTED_VALUE"""),"3100602-97-2420")</f>
        <v>3100602-97-2420</v>
      </c>
      <c r="S86" t="str">
        <f>IFERROR(__xludf.DUMMYFUNCTION("""COMPUTED_VALUE"""),"AD1299225")</f>
        <v>AD1299225</v>
      </c>
      <c r="T86" s="148">
        <f>IFERROR(__xludf.DUMMYFUNCTION("""COMPUTED_VALUE"""),45334.0)</f>
        <v>45334</v>
      </c>
      <c r="U86" s="148">
        <f>IFERROR(__xludf.DUMMYFUNCTION("""COMPUTED_VALUE"""),48986.0)</f>
        <v>48986</v>
      </c>
      <c r="V86" s="149">
        <f>IFERROR(__xludf.DUMMYFUNCTION("""COMPUTED_VALUE"""),48802.0)</f>
        <v>48802</v>
      </c>
      <c r="W86" t="str">
        <f>IFERROR(__xludf.DUMMYFUNCTION("""COMPUTED_VALUE"""),"ปลอดภัย")</f>
        <v>ปลอดภัย</v>
      </c>
      <c r="X86" t="str">
        <f>IFERROR(__xludf.DUMMYFUNCTION("""COMPUTED_VALUE"""),"Bangkok")</f>
        <v>Bangkok</v>
      </c>
      <c r="Y86" t="str">
        <f>IFERROR(__xludf.DUMMYFUNCTION("""COMPUTED_VALUE"""),"มีนบุรี")</f>
        <v>มีนบุรี</v>
      </c>
      <c r="Z86" t="str">
        <f>IFERROR(__xludf.DUMMYFUNCTION("""COMPUTED_VALUE"""),"089 001 0015")</f>
        <v>089 001 0015</v>
      </c>
      <c r="AA86" t="str">
        <f>IFERROR(__xludf.DUMMYFUNCTION("""COMPUTED_VALUE"""),"พี่")</f>
        <v>พี่</v>
      </c>
      <c r="AB86" t="str">
        <f>IFERROR(__xludf.DUMMYFUNCTION("""COMPUTED_VALUE"""),"pattaramonp@airasia.com")</f>
        <v>pattaramonp@airasia.com</v>
      </c>
    </row>
    <row r="87">
      <c r="AB87" t="str">
        <f>IFERROR(__xludf.DUMMYFUNCTION("""COMPUTED_VALUE"""),"")</f>
        <v/>
      </c>
    </row>
    <row r="88">
      <c r="A88">
        <f>IFERROR(__xludf.DUMMYFUNCTION("""COMPUTED_VALUE"""),1002145.0)</f>
        <v>1002145</v>
      </c>
      <c r="B88" t="str">
        <f>IFERROR(__xludf.DUMMYFUNCTION("""COMPUTED_VALUE"""),"Ms.")</f>
        <v>Ms.</v>
      </c>
      <c r="C88" t="str">
        <f>IFERROR(__xludf.DUMMYFUNCTION("""COMPUTED_VALUE"""),"Panjapat")</f>
        <v>Panjapat</v>
      </c>
      <c r="D88" t="str">
        <f>IFERROR(__xludf.DUMMYFUNCTION("""COMPUTED_VALUE"""),"Intaraprasert")</f>
        <v>Intaraprasert</v>
      </c>
      <c r="E88" t="str">
        <f>IFERROR(__xludf.DUMMYFUNCTION("""COMPUTED_VALUE"""),"Panjapat Intaraprasert")</f>
        <v>Panjapat Intaraprasert</v>
      </c>
      <c r="F88" t="str">
        <f>IFERROR(__xludf.DUMMYFUNCTION("""COMPUTED_VALUE"""),"นางสาว")</f>
        <v>นางสาว</v>
      </c>
      <c r="G88" t="str">
        <f>IFERROR(__xludf.DUMMYFUNCTION("""COMPUTED_VALUE"""),"ปัญจพัชร")</f>
        <v>ปัญจพัชร</v>
      </c>
      <c r="H88" t="str">
        <f>IFERROR(__xludf.DUMMYFUNCTION("""COMPUTED_VALUE"""),"อินทร์ประเสริฐ")</f>
        <v>อินทร์ประเสริฐ</v>
      </c>
      <c r="I88" t="str">
        <f>IFERROR(__xludf.DUMMYFUNCTION("""COMPUTED_VALUE"""),"ปัญจพัชร อินทร์ประเสริฐ")</f>
        <v>ปัญจพัชร อินทร์ประเสริฐ</v>
      </c>
      <c r="J88" t="str">
        <f>IFERROR(__xludf.DUMMYFUNCTION("""COMPUTED_VALUE"""),"Tai")</f>
        <v>Tai</v>
      </c>
      <c r="K88" t="str">
        <f>IFERROR(__xludf.DUMMYFUNCTION("""COMPUTED_VALUE"""),"Senior Cabin Crew")</f>
        <v>Senior Cabin Crew</v>
      </c>
      <c r="L88" t="str">
        <f>IFERROR(__xludf.DUMMYFUNCTION("""COMPUTED_VALUE"""),"DMK")</f>
        <v>DMK</v>
      </c>
      <c r="M88" s="145" t="str">
        <f>IFERROR(__xludf.DUMMYFUNCTION("""COMPUTED_VALUE"""),"Namfon Home")</f>
        <v>Namfon Home</v>
      </c>
      <c r="N88" t="str">
        <f>IFERROR(__xludf.DUMMYFUNCTION("""COMPUTED_VALUE"""),"V/LWP")</f>
        <v>V/LWP</v>
      </c>
      <c r="P88" s="143">
        <f>IFERROR(__xludf.DUMMYFUNCTION("""COMPUTED_VALUE"""),30357.0)</f>
        <v>30357</v>
      </c>
      <c r="Q88" s="146" t="str">
        <f>IFERROR(__xludf.DUMMYFUNCTION("""COMPUTED_VALUE"""),"063-6328956")</f>
        <v>063-6328956</v>
      </c>
      <c r="R88" s="147" t="str">
        <f>IFERROR(__xludf.DUMMYFUNCTION("""COMPUTED_VALUE"""),"3120101-33-4790")</f>
        <v>3120101-33-4790</v>
      </c>
      <c r="S88" t="str">
        <f>IFERROR(__xludf.DUMMYFUNCTION("""COMPUTED_VALUE"""),"AC3817774")</f>
        <v>AC3817774</v>
      </c>
      <c r="T88" s="148">
        <f>IFERROR(__xludf.DUMMYFUNCTION("""COMPUTED_VALUE"""),44820.0)</f>
        <v>44820</v>
      </c>
      <c r="U88" s="148">
        <f>IFERROR(__xludf.DUMMYFUNCTION("""COMPUTED_VALUE"""),48472.0)</f>
        <v>48472</v>
      </c>
      <c r="V88" s="149">
        <f>IFERROR(__xludf.DUMMYFUNCTION("""COMPUTED_VALUE"""),48288.0)</f>
        <v>48288</v>
      </c>
      <c r="W88" t="str">
        <f>IFERROR(__xludf.DUMMYFUNCTION("""COMPUTED_VALUE"""),"ปลอดภัย")</f>
        <v>ปลอดภัย</v>
      </c>
      <c r="X88" t="str">
        <f>IFERROR(__xludf.DUMMYFUNCTION("""COMPUTED_VALUE"""),"Nonthaburi")</f>
        <v>Nonthaburi</v>
      </c>
      <c r="Y88" t="str">
        <f>IFERROR(__xludf.DUMMYFUNCTION("""COMPUTED_VALUE"""),"นนทบุรี ปากเกร็ด")</f>
        <v>นนทบุรี ปากเกร็ด</v>
      </c>
      <c r="Z88" t="str">
        <f>IFERROR(__xludf.DUMMYFUNCTION("""COMPUTED_VALUE"""),"085 1673418")</f>
        <v>085 1673418</v>
      </c>
      <c r="AA88" t="str">
        <f>IFERROR(__xludf.DUMMYFUNCTION("""COMPUTED_VALUE"""),"ไม่ระบุ")</f>
        <v>ไม่ระบุ</v>
      </c>
      <c r="AB88" t="str">
        <f>IFERROR(__xludf.DUMMYFUNCTION("""COMPUTED_VALUE"""),"panjapati@airasia.com")</f>
        <v>panjapati@airasia.com</v>
      </c>
    </row>
    <row r="89">
      <c r="A89">
        <f>IFERROR(__xludf.DUMMYFUNCTION("""COMPUTED_VALUE"""),1002146.0)</f>
        <v>1002146</v>
      </c>
      <c r="B89" t="str">
        <f>IFERROR(__xludf.DUMMYFUNCTION("""COMPUTED_VALUE"""),"Ms.")</f>
        <v>Ms.</v>
      </c>
      <c r="C89" t="str">
        <f>IFERROR(__xludf.DUMMYFUNCTION("""COMPUTED_VALUE"""),"Romrawee")</f>
        <v>Romrawee</v>
      </c>
      <c r="D89" t="str">
        <f>IFERROR(__xludf.DUMMYFUNCTION("""COMPUTED_VALUE"""),"Choeikeewong")</f>
        <v>Choeikeewong</v>
      </c>
      <c r="E89" t="str">
        <f>IFERROR(__xludf.DUMMYFUNCTION("""COMPUTED_VALUE"""),"Romrawee Choeikeewong")</f>
        <v>Romrawee Choeikeewong</v>
      </c>
      <c r="F89" t="str">
        <f>IFERROR(__xludf.DUMMYFUNCTION("""COMPUTED_VALUE"""),"นางสาว")</f>
        <v>นางสาว</v>
      </c>
      <c r="G89" t="str">
        <f>IFERROR(__xludf.DUMMYFUNCTION("""COMPUTED_VALUE"""),"รมย์รวี")</f>
        <v>รมย์รวี</v>
      </c>
      <c r="H89" t="str">
        <f>IFERROR(__xludf.DUMMYFUNCTION("""COMPUTED_VALUE"""),"เชยกีวงษ์")</f>
        <v>เชยกีวงษ์</v>
      </c>
      <c r="I89" t="str">
        <f>IFERROR(__xludf.DUMMYFUNCTION("""COMPUTED_VALUE"""),"รมย์รวี เชยกีวงษ์")</f>
        <v>รมย์รวี เชยกีวงษ์</v>
      </c>
      <c r="J89" t="str">
        <f>IFERROR(__xludf.DUMMYFUNCTION("""COMPUTED_VALUE"""),"Nong")</f>
        <v>Nong</v>
      </c>
      <c r="K89" t="str">
        <f>IFERROR(__xludf.DUMMYFUNCTION("""COMPUTED_VALUE"""),"Cabin Crew")</f>
        <v>Cabin Crew</v>
      </c>
      <c r="L89" t="str">
        <f>IFERROR(__xludf.DUMMYFUNCTION("""COMPUTED_VALUE"""),"DMK")</f>
        <v>DMK</v>
      </c>
      <c r="M89" s="145" t="str">
        <f>IFERROR(__xludf.DUMMYFUNCTION("""COMPUTED_VALUE"""),"Nhui Home")</f>
        <v>Nhui Home</v>
      </c>
      <c r="N89" t="str">
        <f>IFERROR(__xludf.DUMMYFUNCTION("""COMPUTED_VALUE"""),"Active")</f>
        <v>Active</v>
      </c>
      <c r="P89" s="143">
        <f>IFERROR(__xludf.DUMMYFUNCTION("""COMPUTED_VALUE"""),29926.0)</f>
        <v>29926</v>
      </c>
      <c r="Q89" s="146" t="str">
        <f>IFERROR(__xludf.DUMMYFUNCTION("""COMPUTED_VALUE"""),"093 491 4636")</f>
        <v>093 491 4636</v>
      </c>
      <c r="R89" s="147" t="str">
        <f>IFERROR(__xludf.DUMMYFUNCTION("""COMPUTED_VALUE"""),"3130600-35-0812")</f>
        <v>3130600-35-0812</v>
      </c>
      <c r="S89" t="str">
        <f>IFERROR(__xludf.DUMMYFUNCTION("""COMPUTED_VALUE"""),"AD1206294")</f>
        <v>AD1206294</v>
      </c>
      <c r="T89" s="150">
        <f>IFERROR(__xludf.DUMMYFUNCTION("""COMPUTED_VALUE"""),45324.0)</f>
        <v>45324</v>
      </c>
      <c r="U89" s="148">
        <f>IFERROR(__xludf.DUMMYFUNCTION("""COMPUTED_VALUE"""),48976.0)</f>
        <v>48976</v>
      </c>
      <c r="V89" s="149">
        <f>IFERROR(__xludf.DUMMYFUNCTION("""COMPUTED_VALUE"""),48792.0)</f>
        <v>48792</v>
      </c>
      <c r="W89" t="str">
        <f>IFERROR(__xludf.DUMMYFUNCTION("""COMPUTED_VALUE"""),"ปลอดภัย")</f>
        <v>ปลอดภัย</v>
      </c>
      <c r="X89" t="str">
        <f>IFERROR(__xludf.DUMMYFUNCTION("""COMPUTED_VALUE"""),"Pathum Thani Province")</f>
        <v>Pathum Thani Province</v>
      </c>
      <c r="Y89" t="str">
        <f>IFERROR(__xludf.DUMMYFUNCTION("""COMPUTED_VALUE"""),"รังสิต")</f>
        <v>รังสิต</v>
      </c>
      <c r="Z89" t="str">
        <f>IFERROR(__xludf.DUMMYFUNCTION("""COMPUTED_VALUE"""),"089 498 9796")</f>
        <v>089 498 9796</v>
      </c>
      <c r="AA89" t="str">
        <f>IFERROR(__xludf.DUMMYFUNCTION("""COMPUTED_VALUE"""),"พ่อ")</f>
        <v>พ่อ</v>
      </c>
      <c r="AB89" t="str">
        <f>IFERROR(__xludf.DUMMYFUNCTION("""COMPUTED_VALUE"""),"romraweec@airasia.com")</f>
        <v>romraweec@airasia.com</v>
      </c>
    </row>
    <row r="90">
      <c r="AB90" t="str">
        <f>IFERROR(__xludf.DUMMYFUNCTION("""COMPUTED_VALUE"""),"")</f>
        <v/>
      </c>
    </row>
    <row r="91">
      <c r="A91">
        <f>IFERROR(__xludf.DUMMYFUNCTION("""COMPUTED_VALUE"""),1002264.0)</f>
        <v>1002264</v>
      </c>
      <c r="B91" t="str">
        <f>IFERROR(__xludf.DUMMYFUNCTION("""COMPUTED_VALUE"""),"Ms.")</f>
        <v>Ms.</v>
      </c>
      <c r="C91" t="str">
        <f>IFERROR(__xludf.DUMMYFUNCTION("""COMPUTED_VALUE"""),"Anooradee")</f>
        <v>Anooradee</v>
      </c>
      <c r="D91" t="str">
        <f>IFERROR(__xludf.DUMMYFUNCTION("""COMPUTED_VALUE"""),"Wilairot (Puengklan)")</f>
        <v>Wilairot (Puengklan)</v>
      </c>
      <c r="E91" t="str">
        <f>IFERROR(__xludf.DUMMYFUNCTION("""COMPUTED_VALUE"""),"Anooradee Wilairot")</f>
        <v>Anooradee Wilairot</v>
      </c>
      <c r="F91" t="str">
        <f>IFERROR(__xludf.DUMMYFUNCTION("""COMPUTED_VALUE"""),"นางสาว")</f>
        <v>นางสาว</v>
      </c>
      <c r="G91" t="str">
        <f>IFERROR(__xludf.DUMMYFUNCTION("""COMPUTED_VALUE"""),"อนุรดี")</f>
        <v>อนุรดี</v>
      </c>
      <c r="H91" t="str">
        <f>IFERROR(__xludf.DUMMYFUNCTION("""COMPUTED_VALUE"""),"วิไลรส (พึ่งกลั่น)")</f>
        <v>วิไลรส (พึ่งกลั่น)</v>
      </c>
      <c r="I91" t="str">
        <f>IFERROR(__xludf.DUMMYFUNCTION("""COMPUTED_VALUE"""),"อนุรดี วิไลรส")</f>
        <v>อนุรดี วิไลรส</v>
      </c>
      <c r="J91" t="str">
        <f>IFERROR(__xludf.DUMMYFUNCTION("""COMPUTED_VALUE"""),"Mod")</f>
        <v>Mod</v>
      </c>
      <c r="K91" t="str">
        <f>IFERROR(__xludf.DUMMYFUNCTION("""COMPUTED_VALUE"""),"Senior Cabin Crew")</f>
        <v>Senior Cabin Crew</v>
      </c>
      <c r="L91" t="str">
        <f>IFERROR(__xludf.DUMMYFUNCTION("""COMPUTED_VALUE"""),"DMK")</f>
        <v>DMK</v>
      </c>
      <c r="M91" s="145" t="str">
        <f>IFERROR(__xludf.DUMMYFUNCTION("""COMPUTED_VALUE"""),"Toffy Home")</f>
        <v>Toffy Home</v>
      </c>
      <c r="N91" t="str">
        <f>IFERROR(__xludf.DUMMYFUNCTION("""COMPUTED_VALUE"""),"Active")</f>
        <v>Active</v>
      </c>
      <c r="P91" s="143">
        <f>IFERROR(__xludf.DUMMYFUNCTION("""COMPUTED_VALUE"""),30488.0)</f>
        <v>30488</v>
      </c>
      <c r="Q91" s="146" t="str">
        <f>IFERROR(__xludf.DUMMYFUNCTION("""COMPUTED_VALUE"""),"085 969 9666")</f>
        <v>085 969 9666</v>
      </c>
      <c r="R91" s="147" t="str">
        <f>IFERROR(__xludf.DUMMYFUNCTION("""COMPUTED_VALUE"""),"3200400-03-3901")</f>
        <v>3200400-03-3901</v>
      </c>
      <c r="S91" t="str">
        <f>IFERROR(__xludf.DUMMYFUNCTION("""COMPUTED_VALUE"""),"AC2761431")</f>
        <v>AC2761431</v>
      </c>
      <c r="T91" s="148">
        <f>IFERROR(__xludf.DUMMYFUNCTION("""COMPUTED_VALUE"""),44494.0)</f>
        <v>44494</v>
      </c>
      <c r="U91" s="148">
        <f>IFERROR(__xludf.DUMMYFUNCTION("""COMPUTED_VALUE"""),48145.0)</f>
        <v>48145</v>
      </c>
      <c r="V91" s="149">
        <f>IFERROR(__xludf.DUMMYFUNCTION("""COMPUTED_VALUE"""),47962.0)</f>
        <v>47962</v>
      </c>
      <c r="W91" t="str">
        <f>IFERROR(__xludf.DUMMYFUNCTION("""COMPUTED_VALUE"""),"ปลอดภัย")</f>
        <v>ปลอดภัย</v>
      </c>
      <c r="X91" t="str">
        <f>IFERROR(__xludf.DUMMYFUNCTION("""COMPUTED_VALUE"""),"Chonburi Province")</f>
        <v>Chonburi Province</v>
      </c>
      <c r="Y91" t="str">
        <f>IFERROR(__xludf.DUMMYFUNCTION("""COMPUTED_VALUE"""),"บางพลี")</f>
        <v>บางพลี</v>
      </c>
      <c r="Z91" t="str">
        <f>IFERROR(__xludf.DUMMYFUNCTION("""COMPUTED_VALUE"""),"! Update !")</f>
        <v>! Update !</v>
      </c>
      <c r="AA91" t="str">
        <f>IFERROR(__xludf.DUMMYFUNCTION("""COMPUTED_VALUE"""),"! Update !")</f>
        <v>! Update !</v>
      </c>
      <c r="AB91" t="str">
        <f>IFERROR(__xludf.DUMMYFUNCTION("""COMPUTED_VALUE"""),"anooradeew@airasia.com")</f>
        <v>anooradeew@airasia.com</v>
      </c>
    </row>
    <row r="92">
      <c r="A92">
        <f>IFERROR(__xludf.DUMMYFUNCTION("""COMPUTED_VALUE"""),1002265.0)</f>
        <v>1002265</v>
      </c>
      <c r="B92" t="str">
        <f>IFERROR(__xludf.DUMMYFUNCTION("""COMPUTED_VALUE"""),"Ms.")</f>
        <v>Ms.</v>
      </c>
      <c r="C92" t="str">
        <f>IFERROR(__xludf.DUMMYFUNCTION("""COMPUTED_VALUE"""),"Chokaew")</f>
        <v>Chokaew</v>
      </c>
      <c r="D92" t="str">
        <f>IFERROR(__xludf.DUMMYFUNCTION("""COMPUTED_VALUE"""),"Champangoen")</f>
        <v>Champangoen</v>
      </c>
      <c r="E92" t="str">
        <f>IFERROR(__xludf.DUMMYFUNCTION("""COMPUTED_VALUE"""),"Chokaew Champangoen")</f>
        <v>Chokaew Champangoen</v>
      </c>
      <c r="F92" t="str">
        <f>IFERROR(__xludf.DUMMYFUNCTION("""COMPUTED_VALUE"""),"นางสาว")</f>
        <v>นางสาว</v>
      </c>
      <c r="G92" t="str">
        <f>IFERROR(__xludf.DUMMYFUNCTION("""COMPUTED_VALUE"""),"ช่อแก้ว")</f>
        <v>ช่อแก้ว</v>
      </c>
      <c r="H92" t="str">
        <f>IFERROR(__xludf.DUMMYFUNCTION("""COMPUTED_VALUE"""),"จำปาเงิน")</f>
        <v>จำปาเงิน</v>
      </c>
      <c r="I92" t="str">
        <f>IFERROR(__xludf.DUMMYFUNCTION("""COMPUTED_VALUE"""),"ช่อแก้ว จำปาเงิน")</f>
        <v>ช่อแก้ว จำปาเงิน</v>
      </c>
      <c r="J92" t="str">
        <f>IFERROR(__xludf.DUMMYFUNCTION("""COMPUTED_VALUE"""),"Ann")</f>
        <v>Ann</v>
      </c>
      <c r="K92" t="str">
        <f>IFERROR(__xludf.DUMMYFUNCTION("""COMPUTED_VALUE"""),"Cabin Crew")</f>
        <v>Cabin Crew</v>
      </c>
      <c r="L92" t="str">
        <f>IFERROR(__xludf.DUMMYFUNCTION("""COMPUTED_VALUE"""),"DMK")</f>
        <v>DMK</v>
      </c>
      <c r="M92" s="145" t="str">
        <f>IFERROR(__xludf.DUMMYFUNCTION("""COMPUTED_VALUE"""),"Namfon Home")</f>
        <v>Namfon Home</v>
      </c>
      <c r="N92" t="str">
        <f>IFERROR(__xludf.DUMMYFUNCTION("""COMPUTED_VALUE"""),"Active")</f>
        <v>Active</v>
      </c>
      <c r="P92" s="143">
        <f>IFERROR(__xludf.DUMMYFUNCTION("""COMPUTED_VALUE"""),29812.0)</f>
        <v>29812</v>
      </c>
      <c r="Q92" s="146" t="str">
        <f>IFERROR(__xludf.DUMMYFUNCTION("""COMPUTED_VALUE"""),"086 944 6593")</f>
        <v>086 944 6593</v>
      </c>
      <c r="R92" s="147" t="str">
        <f>IFERROR(__xludf.DUMMYFUNCTION("""COMPUTED_VALUE"""),"3720500-06-0329")</f>
        <v>3720500-06-0329</v>
      </c>
      <c r="S92" t="str">
        <f>IFERROR(__xludf.DUMMYFUNCTION("""COMPUTED_VALUE"""),"AC4793654")</f>
        <v>AC4793654</v>
      </c>
      <c r="T92" s="148">
        <f>IFERROR(__xludf.DUMMYFUNCTION("""COMPUTED_VALUE"""),45012.0)</f>
        <v>45012</v>
      </c>
      <c r="U92" s="148">
        <f>IFERROR(__xludf.DUMMYFUNCTION("""COMPUTED_VALUE"""),48664.0)</f>
        <v>48664</v>
      </c>
      <c r="V92" s="149">
        <f>IFERROR(__xludf.DUMMYFUNCTION("""COMPUTED_VALUE"""),48483.0)</f>
        <v>48483</v>
      </c>
      <c r="W92" t="str">
        <f>IFERROR(__xludf.DUMMYFUNCTION("""COMPUTED_VALUE"""),"ปลอดภัย")</f>
        <v>ปลอดภัย</v>
      </c>
      <c r="X92" t="str">
        <f>IFERROR(__xludf.DUMMYFUNCTION("""COMPUTED_VALUE"""),"Bangkok")</f>
        <v>Bangkok</v>
      </c>
      <c r="Y92" t="str">
        <f>IFERROR(__xludf.DUMMYFUNCTION("""COMPUTED_VALUE"""),"เจริญนคร")</f>
        <v>เจริญนคร</v>
      </c>
      <c r="Z92" t="str">
        <f>IFERROR(__xludf.DUMMYFUNCTION("""COMPUTED_VALUE"""),"087 596 5982")</f>
        <v>087 596 5982</v>
      </c>
      <c r="AA92" t="str">
        <f>IFERROR(__xludf.DUMMYFUNCTION("""COMPUTED_VALUE"""),"แฟน")</f>
        <v>แฟน</v>
      </c>
      <c r="AB92" t="str">
        <f>IFERROR(__xludf.DUMMYFUNCTION("""COMPUTED_VALUE"""),"chokaewc@airasia.com")</f>
        <v>chokaewc@airasia.com</v>
      </c>
    </row>
    <row r="93">
      <c r="A93">
        <f>IFERROR(__xludf.DUMMYFUNCTION("""COMPUTED_VALUE"""),1002267.0)</f>
        <v>1002267</v>
      </c>
      <c r="B93" t="str">
        <f>IFERROR(__xludf.DUMMYFUNCTION("""COMPUTED_VALUE"""),"Ms.")</f>
        <v>Ms.</v>
      </c>
      <c r="C93" t="str">
        <f>IFERROR(__xludf.DUMMYFUNCTION("""COMPUTED_VALUE"""),"Doungporn")</f>
        <v>Doungporn</v>
      </c>
      <c r="D93" t="str">
        <f>IFERROR(__xludf.DUMMYFUNCTION("""COMPUTED_VALUE"""),"Satitkune")</f>
        <v>Satitkune</v>
      </c>
      <c r="E93" t="str">
        <f>IFERROR(__xludf.DUMMYFUNCTION("""COMPUTED_VALUE"""),"Doungporn Satitkune")</f>
        <v>Doungporn Satitkune</v>
      </c>
      <c r="F93" t="str">
        <f>IFERROR(__xludf.DUMMYFUNCTION("""COMPUTED_VALUE"""),"นางสาว")</f>
        <v>นางสาว</v>
      </c>
      <c r="G93" t="str">
        <f>IFERROR(__xludf.DUMMYFUNCTION("""COMPUTED_VALUE"""),"ดวงพร")</f>
        <v>ดวงพร</v>
      </c>
      <c r="H93" t="str">
        <f>IFERROR(__xludf.DUMMYFUNCTION("""COMPUTED_VALUE"""),"สาธิตคุณ")</f>
        <v>สาธิตคุณ</v>
      </c>
      <c r="I93" t="str">
        <f>IFERROR(__xludf.DUMMYFUNCTION("""COMPUTED_VALUE"""),"ดวงพร สาธิตคุณ")</f>
        <v>ดวงพร สาธิตคุณ</v>
      </c>
      <c r="J93" t="str">
        <f>IFERROR(__xludf.DUMMYFUNCTION("""COMPUTED_VALUE"""),"Som")</f>
        <v>Som</v>
      </c>
      <c r="K93" t="str">
        <f>IFERROR(__xludf.DUMMYFUNCTION("""COMPUTED_VALUE"""),"Senior Cabin Crew - BKK")</f>
        <v>Senior Cabin Crew - BKK</v>
      </c>
      <c r="L93" t="str">
        <f>IFERROR(__xludf.DUMMYFUNCTION("""COMPUTED_VALUE"""),"BKK")</f>
        <v>BKK</v>
      </c>
      <c r="M93" s="145" t="str">
        <f>IFERROR(__xludf.DUMMYFUNCTION("""COMPUTED_VALUE"""),"Nhui Home")</f>
        <v>Nhui Home</v>
      </c>
      <c r="N93" t="str">
        <f>IFERROR(__xludf.DUMMYFUNCTION("""COMPUTED_VALUE"""),"Active")</f>
        <v>Active</v>
      </c>
      <c r="O93" t="str">
        <f>IFERROR(__xludf.DUMMYFUNCTION("""COMPUTED_VALUE"""),"SCC Line Checker 2025")</f>
        <v>SCC Line Checker 2025</v>
      </c>
      <c r="P93" s="143">
        <f>IFERROR(__xludf.DUMMYFUNCTION("""COMPUTED_VALUE"""),29157.0)</f>
        <v>29157</v>
      </c>
      <c r="Q93" s="146" t="str">
        <f>IFERROR(__xludf.DUMMYFUNCTION("""COMPUTED_VALUE"""),"092 424 1962")</f>
        <v>092 424 1962</v>
      </c>
      <c r="R93" s="147" t="str">
        <f>IFERROR(__xludf.DUMMYFUNCTION("""COMPUTED_VALUE"""),"3100503-74-1781")</f>
        <v>3100503-74-1781</v>
      </c>
      <c r="S93" t="str">
        <f>IFERROR(__xludf.DUMMYFUNCTION("""COMPUTED_VALUE"""),"AD0561078")</f>
        <v>AD0561078</v>
      </c>
      <c r="T93" s="148">
        <f>IFERROR(__xludf.DUMMYFUNCTION("""COMPUTED_VALUE"""),44938.0)</f>
        <v>44938</v>
      </c>
      <c r="U93" s="148">
        <f>IFERROR(__xludf.DUMMYFUNCTION("""COMPUTED_VALUE"""),48590.0)</f>
        <v>48590</v>
      </c>
      <c r="V93" s="149">
        <f>IFERROR(__xludf.DUMMYFUNCTION("""COMPUTED_VALUE"""),48406.0)</f>
        <v>48406</v>
      </c>
      <c r="W93" t="str">
        <f>IFERROR(__xludf.DUMMYFUNCTION("""COMPUTED_VALUE"""),"ปลอดภัย")</f>
        <v>ปลอดภัย</v>
      </c>
      <c r="X93" t="str">
        <f>IFERROR(__xludf.DUMMYFUNCTION("""COMPUTED_VALUE"""),"Bangkok")</f>
        <v>Bangkok</v>
      </c>
      <c r="Y93" t="str">
        <f>IFERROR(__xludf.DUMMYFUNCTION("""COMPUTED_VALUE"""),"ร่มเกล้า")</f>
        <v>ร่มเกล้า</v>
      </c>
      <c r="Z93" t="str">
        <f>IFERROR(__xludf.DUMMYFUNCTION("""COMPUTED_VALUE"""),"084 881 5822")</f>
        <v>084 881 5822</v>
      </c>
      <c r="AA93" t="str">
        <f>IFERROR(__xludf.DUMMYFUNCTION("""COMPUTED_VALUE"""),"ไม่ระบุ")</f>
        <v>ไม่ระบุ</v>
      </c>
      <c r="AB93" t="str">
        <f>IFERROR(__xludf.DUMMYFUNCTION("""COMPUTED_VALUE"""),"doungporns@airasia.com")</f>
        <v>doungporns@airasia.com</v>
      </c>
    </row>
    <row r="94">
      <c r="A94">
        <f>IFERROR(__xludf.DUMMYFUNCTION("""COMPUTED_VALUE"""),1002269.0)</f>
        <v>1002269</v>
      </c>
      <c r="B94" t="str">
        <f>IFERROR(__xludf.DUMMYFUNCTION("""COMPUTED_VALUE"""),"Ms.")</f>
        <v>Ms.</v>
      </c>
      <c r="C94" t="str">
        <f>IFERROR(__xludf.DUMMYFUNCTION("""COMPUTED_VALUE"""),"Khemaporn")</f>
        <v>Khemaporn</v>
      </c>
      <c r="D94" t="str">
        <f>IFERROR(__xludf.DUMMYFUNCTION("""COMPUTED_VALUE"""),"Chotepradit")</f>
        <v>Chotepradit</v>
      </c>
      <c r="E94" t="str">
        <f>IFERROR(__xludf.DUMMYFUNCTION("""COMPUTED_VALUE"""),"Khemaporn Chotepradit")</f>
        <v>Khemaporn Chotepradit</v>
      </c>
      <c r="F94" t="str">
        <f>IFERROR(__xludf.DUMMYFUNCTION("""COMPUTED_VALUE"""),"นางสาว")</f>
        <v>นางสาว</v>
      </c>
      <c r="G94" t="str">
        <f>IFERROR(__xludf.DUMMYFUNCTION("""COMPUTED_VALUE"""),"เขมพร")</f>
        <v>เขมพร</v>
      </c>
      <c r="H94" t="str">
        <f>IFERROR(__xludf.DUMMYFUNCTION("""COMPUTED_VALUE"""),"โชติประดิษฐ์")</f>
        <v>โชติประดิษฐ์</v>
      </c>
      <c r="I94" t="str">
        <f>IFERROR(__xludf.DUMMYFUNCTION("""COMPUTED_VALUE"""),"เขมพร โชติประดิษฐ์")</f>
        <v>เขมพร โชติประดิษฐ์</v>
      </c>
      <c r="J94" t="str">
        <f>IFERROR(__xludf.DUMMYFUNCTION("""COMPUTED_VALUE"""),"Salee")</f>
        <v>Salee</v>
      </c>
      <c r="K94" t="str">
        <f>IFERROR(__xludf.DUMMYFUNCTION("""COMPUTED_VALUE"""),"Senior Cabin Crew - BKK")</f>
        <v>Senior Cabin Crew - BKK</v>
      </c>
      <c r="L94" t="str">
        <f>IFERROR(__xludf.DUMMYFUNCTION("""COMPUTED_VALUE"""),"BKK")</f>
        <v>BKK</v>
      </c>
      <c r="M94" s="145" t="str">
        <f>IFERROR(__xludf.DUMMYFUNCTION("""COMPUTED_VALUE"""),"Nhui Home")</f>
        <v>Nhui Home</v>
      </c>
      <c r="N94" t="str">
        <f>IFERROR(__xludf.DUMMYFUNCTION("""COMPUTED_VALUE"""),"Active")</f>
        <v>Active</v>
      </c>
      <c r="P94" s="143">
        <f>IFERROR(__xludf.DUMMYFUNCTION("""COMPUTED_VALUE"""),30261.0)</f>
        <v>30261</v>
      </c>
      <c r="Q94" s="146" t="str">
        <f>IFERROR(__xludf.DUMMYFUNCTION("""COMPUTED_VALUE"""),"092 593 9922")</f>
        <v>092 593 9922</v>
      </c>
      <c r="R94" s="147" t="str">
        <f>IFERROR(__xludf.DUMMYFUNCTION("""COMPUTED_VALUE"""),"3101202-19-4501")</f>
        <v>3101202-19-4501</v>
      </c>
      <c r="S94" t="str">
        <f>IFERROR(__xludf.DUMMYFUNCTION("""COMPUTED_VALUE"""),"AC2853404")</f>
        <v>AC2853404</v>
      </c>
      <c r="T94" s="148">
        <f>IFERROR(__xludf.DUMMYFUNCTION("""COMPUTED_VALUE"""),44530.0)</f>
        <v>44530</v>
      </c>
      <c r="U94" s="148">
        <f>IFERROR(__xludf.DUMMYFUNCTION("""COMPUTED_VALUE"""),48181.0)</f>
        <v>48181</v>
      </c>
      <c r="V94" s="149">
        <f>IFERROR(__xludf.DUMMYFUNCTION("""COMPUTED_VALUE"""),47997.0)</f>
        <v>47997</v>
      </c>
      <c r="W94" t="str">
        <f>IFERROR(__xludf.DUMMYFUNCTION("""COMPUTED_VALUE"""),"ปลอดภัย")</f>
        <v>ปลอดภัย</v>
      </c>
      <c r="X94" t="str">
        <f>IFERROR(__xludf.DUMMYFUNCTION("""COMPUTED_VALUE"""),"Bangkok")</f>
        <v>Bangkok</v>
      </c>
      <c r="Y94" t="str">
        <f>IFERROR(__xludf.DUMMYFUNCTION("""COMPUTED_VALUE"""),"ประเวศ")</f>
        <v>ประเวศ</v>
      </c>
      <c r="Z94" t="str">
        <f>IFERROR(__xludf.DUMMYFUNCTION("""COMPUTED_VALUE"""),"086 130 0663")</f>
        <v>086 130 0663</v>
      </c>
      <c r="AA94" t="str">
        <f>IFERROR(__xludf.DUMMYFUNCTION("""COMPUTED_VALUE"""),"แม่")</f>
        <v>แม่</v>
      </c>
      <c r="AB94" t="str">
        <f>IFERROR(__xludf.DUMMYFUNCTION("""COMPUTED_VALUE"""),"khemapornc@airasia.com")</f>
        <v>khemapornc@airasia.com</v>
      </c>
    </row>
    <row r="95">
      <c r="A95">
        <f>IFERROR(__xludf.DUMMYFUNCTION("""COMPUTED_VALUE"""),1002271.0)</f>
        <v>1002271</v>
      </c>
      <c r="B95" t="str">
        <f>IFERROR(__xludf.DUMMYFUNCTION("""COMPUTED_VALUE"""),"Ms.")</f>
        <v>Ms.</v>
      </c>
      <c r="C95" t="str">
        <f>IFERROR(__xludf.DUMMYFUNCTION("""COMPUTED_VALUE"""),"Phaphasorn")</f>
        <v>Phaphasorn</v>
      </c>
      <c r="D95" t="str">
        <f>IFERROR(__xludf.DUMMYFUNCTION("""COMPUTED_VALUE"""),"Pawapootanont (Chaturatphatson)")</f>
        <v>Pawapootanont (Chaturatphatson)</v>
      </c>
      <c r="E95" t="str">
        <f>IFERROR(__xludf.DUMMYFUNCTION("""COMPUTED_VALUE"""),"Phaphasorn Pawapootanont")</f>
        <v>Phaphasorn Pawapootanont</v>
      </c>
      <c r="F95" t="str">
        <f>IFERROR(__xludf.DUMMYFUNCTION("""COMPUTED_VALUE"""),"นางสาว")</f>
        <v>นางสาว</v>
      </c>
      <c r="G95" t="str">
        <f>IFERROR(__xludf.DUMMYFUNCTION("""COMPUTED_VALUE"""),"พภัสสรณ์")</f>
        <v>พภัสสรณ์</v>
      </c>
      <c r="H95" t="str">
        <f>IFERROR(__xludf.DUMMYFUNCTION("""COMPUTED_VALUE"""),"ภวภูตานนท์ (จาตุรัตน์ภัสสร)")</f>
        <v>ภวภูตานนท์ (จาตุรัตน์ภัสสร)</v>
      </c>
      <c r="I95" t="str">
        <f>IFERROR(__xludf.DUMMYFUNCTION("""COMPUTED_VALUE"""),"พภัสสรณ์ ภวภูตานนท์")</f>
        <v>พภัสสรณ์ ภวภูตานนท์</v>
      </c>
      <c r="J95" t="str">
        <f>IFERROR(__xludf.DUMMYFUNCTION("""COMPUTED_VALUE"""),"Bow")</f>
        <v>Bow</v>
      </c>
      <c r="K95" t="str">
        <f>IFERROR(__xludf.DUMMYFUNCTION("""COMPUTED_VALUE"""),"Senior Cabin Crew")</f>
        <v>Senior Cabin Crew</v>
      </c>
      <c r="L95" t="str">
        <f>IFERROR(__xludf.DUMMYFUNCTION("""COMPUTED_VALUE"""),"DMK")</f>
        <v>DMK</v>
      </c>
      <c r="M95" s="145" t="str">
        <f>IFERROR(__xludf.DUMMYFUNCTION("""COMPUTED_VALUE"""),"Namfon Home")</f>
        <v>Namfon Home</v>
      </c>
      <c r="N95" t="str">
        <f>IFERROR(__xludf.DUMMYFUNCTION("""COMPUTED_VALUE"""),"Active")</f>
        <v>Active</v>
      </c>
      <c r="P95" s="143">
        <f>IFERROR(__xludf.DUMMYFUNCTION("""COMPUTED_VALUE"""),30943.0)</f>
        <v>30943</v>
      </c>
      <c r="Q95" s="146" t="str">
        <f>IFERROR(__xludf.DUMMYFUNCTION("""COMPUTED_VALUE"""),"097 259 3636")</f>
        <v>097 259 3636</v>
      </c>
      <c r="R95" s="147" t="str">
        <f>IFERROR(__xludf.DUMMYFUNCTION("""COMPUTED_VALUE"""),"1101800-04-1273")</f>
        <v>1101800-04-1273</v>
      </c>
      <c r="S95" t="str">
        <f>IFERROR(__xludf.DUMMYFUNCTION("""COMPUTED_VALUE"""),"AC7590568")</f>
        <v>AC7590568</v>
      </c>
      <c r="T95" s="148">
        <f>IFERROR(__xludf.DUMMYFUNCTION("""COMPUTED_VALUE"""),45945.0)</f>
        <v>45945</v>
      </c>
      <c r="U95" s="148">
        <f>IFERROR(__xludf.DUMMYFUNCTION("""COMPUTED_VALUE"""),49231.0)</f>
        <v>49231</v>
      </c>
      <c r="V95" s="149">
        <f>IFERROR(__xludf.DUMMYFUNCTION("""COMPUTED_VALUE"""),49048.0)</f>
        <v>49048</v>
      </c>
      <c r="W95" t="str">
        <f>IFERROR(__xludf.DUMMYFUNCTION("""COMPUTED_VALUE"""),"ปลอดภัย")</f>
        <v>ปลอดภัย</v>
      </c>
      <c r="X95" t="str">
        <f>IFERROR(__xludf.DUMMYFUNCTION("""COMPUTED_VALUE"""),"Bangkok")</f>
        <v>Bangkok</v>
      </c>
      <c r="Y95" t="str">
        <f>IFERROR(__xludf.DUMMYFUNCTION("""COMPUTED_VALUE"""),"ลาดปลาเค้า")</f>
        <v>ลาดปลาเค้า</v>
      </c>
      <c r="Z95" t="str">
        <f>IFERROR(__xludf.DUMMYFUNCTION("""COMPUTED_VALUE"""),"081 834 1098")</f>
        <v>081 834 1098</v>
      </c>
      <c r="AA95" t="str">
        <f>IFERROR(__xludf.DUMMYFUNCTION("""COMPUTED_VALUE"""),"ไม่ระบุ")</f>
        <v>ไม่ระบุ</v>
      </c>
      <c r="AB95" t="str">
        <f>IFERROR(__xludf.DUMMYFUNCTION("""COMPUTED_VALUE"""),"phaphasornp@airasia.com")</f>
        <v>phaphasornp@airasia.com</v>
      </c>
    </row>
    <row r="96">
      <c r="A96">
        <f>IFERROR(__xludf.DUMMYFUNCTION("""COMPUTED_VALUE"""),1002273.0)</f>
        <v>1002273</v>
      </c>
      <c r="B96" t="str">
        <f>IFERROR(__xludf.DUMMYFUNCTION("""COMPUTED_VALUE"""),"Ms.")</f>
        <v>Ms.</v>
      </c>
      <c r="C96" t="str">
        <f>IFERROR(__xludf.DUMMYFUNCTION("""COMPUTED_VALUE"""),"Sirion")</f>
        <v>Sirion</v>
      </c>
      <c r="D96" t="str">
        <f>IFERROR(__xludf.DUMMYFUNCTION("""COMPUTED_VALUE"""),"Kwanchai")</f>
        <v>Kwanchai</v>
      </c>
      <c r="E96" t="str">
        <f>IFERROR(__xludf.DUMMYFUNCTION("""COMPUTED_VALUE"""),"Sirion Kwanchai")</f>
        <v>Sirion Kwanchai</v>
      </c>
      <c r="F96" t="str">
        <f>IFERROR(__xludf.DUMMYFUNCTION("""COMPUTED_VALUE"""),"นางสาว")</f>
        <v>นางสาว</v>
      </c>
      <c r="G96" t="str">
        <f>IFERROR(__xludf.DUMMYFUNCTION("""COMPUTED_VALUE"""),"สิริอร")</f>
        <v>สิริอร</v>
      </c>
      <c r="H96" t="str">
        <f>IFERROR(__xludf.DUMMYFUNCTION("""COMPUTED_VALUE"""),"ขวัญชัย")</f>
        <v>ขวัญชัย</v>
      </c>
      <c r="I96" t="str">
        <f>IFERROR(__xludf.DUMMYFUNCTION("""COMPUTED_VALUE"""),"สิริอร ขวัญชัย")</f>
        <v>สิริอร ขวัญชัย</v>
      </c>
      <c r="J96" t="str">
        <f>IFERROR(__xludf.DUMMYFUNCTION("""COMPUTED_VALUE"""),"Ching Ching")</f>
        <v>Ching Ching</v>
      </c>
      <c r="K96" t="str">
        <f>IFERROR(__xludf.DUMMYFUNCTION("""COMPUTED_VALUE"""),"Senior Cabin Crew")</f>
        <v>Senior Cabin Crew</v>
      </c>
      <c r="L96" t="str">
        <f>IFERROR(__xludf.DUMMYFUNCTION("""COMPUTED_VALUE"""),"DMK")</f>
        <v>DMK</v>
      </c>
      <c r="M96" s="145" t="str">
        <f>IFERROR(__xludf.DUMMYFUNCTION("""COMPUTED_VALUE"""),"Kor Home")</f>
        <v>Kor Home</v>
      </c>
      <c r="N96" t="str">
        <f>IFERROR(__xludf.DUMMYFUNCTION("""COMPUTED_VALUE"""),"Active")</f>
        <v>Active</v>
      </c>
      <c r="O96" t="str">
        <f>IFERROR(__xludf.DUMMYFUNCTION("""COMPUTED_VALUE"""),"Chinese Speaking")</f>
        <v>Chinese Speaking</v>
      </c>
      <c r="P96" s="143">
        <f>IFERROR(__xludf.DUMMYFUNCTION("""COMPUTED_VALUE"""),30865.0)</f>
        <v>30865</v>
      </c>
      <c r="Q96" s="146" t="str">
        <f>IFERROR(__xludf.DUMMYFUNCTION("""COMPUTED_VALUE"""),"084 040 1262")</f>
        <v>084 040 1262</v>
      </c>
      <c r="R96" s="147" t="str">
        <f>IFERROR(__xludf.DUMMYFUNCTION("""COMPUTED_VALUE"""),"1909800-03-2282")</f>
        <v>1909800-03-2282</v>
      </c>
      <c r="S96" t="str">
        <f>IFERROR(__xludf.DUMMYFUNCTION("""COMPUTED_VALUE"""),"AC5723236")</f>
        <v>AC5723236</v>
      </c>
      <c r="T96" s="148">
        <f>IFERROR(__xludf.DUMMYFUNCTION("""COMPUTED_VALUE"""),45187.0)</f>
        <v>45187</v>
      </c>
      <c r="U96" s="148">
        <f>IFERROR(__xludf.DUMMYFUNCTION("""COMPUTED_VALUE"""),48839.0)</f>
        <v>48839</v>
      </c>
      <c r="V96" s="149">
        <f>IFERROR(__xludf.DUMMYFUNCTION("""COMPUTED_VALUE"""),48655.0)</f>
        <v>48655</v>
      </c>
      <c r="W96" t="str">
        <f>IFERROR(__xludf.DUMMYFUNCTION("""COMPUTED_VALUE"""),"ปลอดภัย")</f>
        <v>ปลอดภัย</v>
      </c>
      <c r="X96" t="str">
        <f>IFERROR(__xludf.DUMMYFUNCTION("""COMPUTED_VALUE"""),"Songkhla Province")</f>
        <v>Songkhla Province</v>
      </c>
      <c r="Y96" t="str">
        <f>IFERROR(__xludf.DUMMYFUNCTION("""COMPUTED_VALUE"""),"กิ่งแก้ว")</f>
        <v>กิ่งแก้ว</v>
      </c>
      <c r="Z96" t="str">
        <f>IFERROR(__xludf.DUMMYFUNCTION("""COMPUTED_VALUE"""),"081 4733275")</f>
        <v>081 4733275</v>
      </c>
      <c r="AA96" t="str">
        <f>IFERROR(__xludf.DUMMYFUNCTION("""COMPUTED_VALUE"""),"ไม่ระบุ")</f>
        <v>ไม่ระบุ</v>
      </c>
      <c r="AB96" t="str">
        <f>IFERROR(__xludf.DUMMYFUNCTION("""COMPUTED_VALUE"""),"sirionk@airasia.com")</f>
        <v>sirionk@airasia.com</v>
      </c>
    </row>
    <row r="97">
      <c r="AB97" t="str">
        <f>IFERROR(__xludf.DUMMYFUNCTION("""COMPUTED_VALUE"""),"")</f>
        <v/>
      </c>
    </row>
    <row r="98">
      <c r="A98">
        <f>IFERROR(__xludf.DUMMYFUNCTION("""COMPUTED_VALUE"""),1001209.0)</f>
        <v>1001209</v>
      </c>
      <c r="B98" t="str">
        <f>IFERROR(__xludf.DUMMYFUNCTION("""COMPUTED_VALUE"""),"Ms.")</f>
        <v>Ms.</v>
      </c>
      <c r="C98" t="str">
        <f>IFERROR(__xludf.DUMMYFUNCTION("""COMPUTED_VALUE"""),"Chadchaya")</f>
        <v>Chadchaya</v>
      </c>
      <c r="D98" t="str">
        <f>IFERROR(__xludf.DUMMYFUNCTION("""COMPUTED_VALUE"""),"Sinloy")</f>
        <v>Sinloy</v>
      </c>
      <c r="E98" t="str">
        <f>IFERROR(__xludf.DUMMYFUNCTION("""COMPUTED_VALUE"""),"Chadchaya Sinloy")</f>
        <v>Chadchaya Sinloy</v>
      </c>
      <c r="F98" t="str">
        <f>IFERROR(__xludf.DUMMYFUNCTION("""COMPUTED_VALUE"""),"นางสาว")</f>
        <v>นางสาว</v>
      </c>
      <c r="G98" t="str">
        <f>IFERROR(__xludf.DUMMYFUNCTION("""COMPUTED_VALUE"""),"ชัชชญา")</f>
        <v>ชัชชญา</v>
      </c>
      <c r="H98" t="str">
        <f>IFERROR(__xludf.DUMMYFUNCTION("""COMPUTED_VALUE"""),"สินลอย")</f>
        <v>สินลอย</v>
      </c>
      <c r="I98" t="str">
        <f>IFERROR(__xludf.DUMMYFUNCTION("""COMPUTED_VALUE"""),"ชัชชญา สินลอย")</f>
        <v>ชัชชญา สินลอย</v>
      </c>
      <c r="J98" t="str">
        <f>IFERROR(__xludf.DUMMYFUNCTION("""COMPUTED_VALUE"""),"Tik")</f>
        <v>Tik</v>
      </c>
      <c r="K98" t="str">
        <f>IFERROR(__xludf.DUMMYFUNCTION("""COMPUTED_VALUE"""),"Cabin Crew")</f>
        <v>Cabin Crew</v>
      </c>
      <c r="L98" t="str">
        <f>IFERROR(__xludf.DUMMYFUNCTION("""COMPUTED_VALUE"""),"DMK")</f>
        <v>DMK</v>
      </c>
      <c r="M98" s="145" t="str">
        <f>IFERROR(__xludf.DUMMYFUNCTION("""COMPUTED_VALUE"""),"Por+ Home")</f>
        <v>Por+ Home</v>
      </c>
      <c r="N98" t="str">
        <f>IFERROR(__xludf.DUMMYFUNCTION("""COMPUTED_VALUE"""),"Active")</f>
        <v>Active</v>
      </c>
      <c r="P98" s="143">
        <f>IFERROR(__xludf.DUMMYFUNCTION("""COMPUTED_VALUE"""),28862.0)</f>
        <v>28862</v>
      </c>
      <c r="Q98" s="146" t="str">
        <f>IFERROR(__xludf.DUMMYFUNCTION("""COMPUTED_VALUE"""),"082 956 4462")</f>
        <v>082 956 4462</v>
      </c>
      <c r="R98" s="147" t="str">
        <f>IFERROR(__xludf.DUMMYFUNCTION("""COMPUTED_VALUE"""),"3120600-61-0598")</f>
        <v>3120600-61-0598</v>
      </c>
      <c r="S98" t="str">
        <f>IFERROR(__xludf.DUMMYFUNCTION("""COMPUTED_VALUE"""),"AD1893581")</f>
        <v>AD1893581</v>
      </c>
      <c r="T98" s="148">
        <f>IFERROR(__xludf.DUMMYFUNCTION("""COMPUTED_VALUE"""),45488.0)</f>
        <v>45488</v>
      </c>
      <c r="U98" s="148">
        <f>IFERROR(__xludf.DUMMYFUNCTION("""COMPUTED_VALUE"""),49139.0)</f>
        <v>49139</v>
      </c>
      <c r="V98" s="149">
        <f>IFERROR(__xludf.DUMMYFUNCTION("""COMPUTED_VALUE"""),48958.0)</f>
        <v>48958</v>
      </c>
      <c r="W98" t="str">
        <f>IFERROR(__xludf.DUMMYFUNCTION("""COMPUTED_VALUE"""),"ปลอดภัย")</f>
        <v>ปลอดภัย</v>
      </c>
      <c r="X98" t="str">
        <f>IFERROR(__xludf.DUMMYFUNCTION("""COMPUTED_VALUE"""),"Nonthaburi Province")</f>
        <v>Nonthaburi Province</v>
      </c>
      <c r="Y98" t="str">
        <f>IFERROR(__xludf.DUMMYFUNCTION("""COMPUTED_VALUE"""),"นนทบุรี ปากเกร็ด")</f>
        <v>นนทบุรี ปากเกร็ด</v>
      </c>
      <c r="Z98" t="str">
        <f>IFERROR(__xludf.DUMMYFUNCTION("""COMPUTED_VALUE"""),"089 923 1818")</f>
        <v>089 923 1818</v>
      </c>
      <c r="AA98" t="str">
        <f>IFERROR(__xludf.DUMMYFUNCTION("""COMPUTED_VALUE"""),"พี่ชาย")</f>
        <v>พี่ชาย</v>
      </c>
      <c r="AB98" t="str">
        <f>IFERROR(__xludf.DUMMYFUNCTION("""COMPUTED_VALUE"""),"chadchayas@airasia.com")</f>
        <v>chadchayas@airasia.com</v>
      </c>
    </row>
    <row r="99">
      <c r="A99">
        <f>IFERROR(__xludf.DUMMYFUNCTION("""COMPUTED_VALUE"""),1002363.0)</f>
        <v>1002363</v>
      </c>
      <c r="B99" t="str">
        <f>IFERROR(__xludf.DUMMYFUNCTION("""COMPUTED_VALUE"""),"Ms.")</f>
        <v>Ms.</v>
      </c>
      <c r="C99" t="str">
        <f>IFERROR(__xludf.DUMMYFUNCTION("""COMPUTED_VALUE"""),"Boondarika")</f>
        <v>Boondarika</v>
      </c>
      <c r="D99" t="str">
        <f>IFERROR(__xludf.DUMMYFUNCTION("""COMPUTED_VALUE"""),"Chaikarn")</f>
        <v>Chaikarn</v>
      </c>
      <c r="E99" t="str">
        <f>IFERROR(__xludf.DUMMYFUNCTION("""COMPUTED_VALUE"""),"Boondarika Chaikarn")</f>
        <v>Boondarika Chaikarn</v>
      </c>
      <c r="F99" t="str">
        <f>IFERROR(__xludf.DUMMYFUNCTION("""COMPUTED_VALUE"""),"นางสาว")</f>
        <v>นางสาว</v>
      </c>
      <c r="G99" t="str">
        <f>IFERROR(__xludf.DUMMYFUNCTION("""COMPUTED_VALUE"""),"บุณฑริกา")</f>
        <v>บุณฑริกา</v>
      </c>
      <c r="H99" t="str">
        <f>IFERROR(__xludf.DUMMYFUNCTION("""COMPUTED_VALUE"""),"ไชยกาฬ")</f>
        <v>ไชยกาฬ</v>
      </c>
      <c r="I99" t="str">
        <f>IFERROR(__xludf.DUMMYFUNCTION("""COMPUTED_VALUE"""),"บุณฑริกา ไชยกาฬ")</f>
        <v>บุณฑริกา ไชยกาฬ</v>
      </c>
      <c r="J99" t="str">
        <f>IFERROR(__xludf.DUMMYFUNCTION("""COMPUTED_VALUE"""),"Gift")</f>
        <v>Gift</v>
      </c>
      <c r="K99" t="str">
        <f>IFERROR(__xludf.DUMMYFUNCTION("""COMPUTED_VALUE"""),"Cabin Crew Engagement Lead")</f>
        <v>Cabin Crew Engagement Lead</v>
      </c>
      <c r="L99" t="str">
        <f>IFERROR(__xludf.DUMMYFUNCTION("""COMPUTED_VALUE"""),"DMK")</f>
        <v>DMK</v>
      </c>
      <c r="M99" s="145" t="str">
        <f>IFERROR(__xludf.DUMMYFUNCTION("""COMPUTED_VALUE"""),"CCD")</f>
        <v>CCD</v>
      </c>
      <c r="N99" t="str">
        <f>IFERROR(__xludf.DUMMYFUNCTION("""COMPUTED_VALUE"""),"CCEL")</f>
        <v>CCEL</v>
      </c>
      <c r="P99" s="143">
        <f>IFERROR(__xludf.DUMMYFUNCTION("""COMPUTED_VALUE"""),30247.0)</f>
        <v>30247</v>
      </c>
      <c r="Q99" s="146" t="str">
        <f>IFERROR(__xludf.DUMMYFUNCTION("""COMPUTED_VALUE"""),"085 121 0079")</f>
        <v>085 121 0079</v>
      </c>
      <c r="R99" s="147" t="str">
        <f>IFERROR(__xludf.DUMMYFUNCTION("""COMPUTED_VALUE"""),"3930100-12-2414")</f>
        <v>3930100-12-2414</v>
      </c>
      <c r="S99" t="str">
        <f>IFERROR(__xludf.DUMMYFUNCTION("""COMPUTED_VALUE"""),"AC5775481")</f>
        <v>AC5775481</v>
      </c>
      <c r="T99" s="148">
        <f>IFERROR(__xludf.DUMMYFUNCTION("""COMPUTED_VALUE"""),45218.0)</f>
        <v>45218</v>
      </c>
      <c r="U99" s="148">
        <f>IFERROR(__xludf.DUMMYFUNCTION("""COMPUTED_VALUE"""),48870.0)</f>
        <v>48870</v>
      </c>
      <c r="V99" s="149">
        <f>IFERROR(__xludf.DUMMYFUNCTION("""COMPUTED_VALUE"""),48687.0)</f>
        <v>48687</v>
      </c>
      <c r="W99" t="str">
        <f>IFERROR(__xludf.DUMMYFUNCTION("""COMPUTED_VALUE"""),"ปลอดภัย")</f>
        <v>ปลอดภัย</v>
      </c>
      <c r="X99" t="str">
        <f>IFERROR(__xludf.DUMMYFUNCTION("""COMPUTED_VALUE"""),"Phatthalung Province")</f>
        <v>Phatthalung Province</v>
      </c>
      <c r="Y99" t="str">
        <f>IFERROR(__xludf.DUMMYFUNCTION("""COMPUTED_VALUE"""),"บางพลี")</f>
        <v>บางพลี</v>
      </c>
      <c r="Z99" t="str">
        <f>IFERROR(__xludf.DUMMYFUNCTION("""COMPUTED_VALUE"""),"085 121 0079")</f>
        <v>085 121 0079</v>
      </c>
      <c r="AA99" t="str">
        <f>IFERROR(__xludf.DUMMYFUNCTION("""COMPUTED_VALUE"""),"ไม่ระบุ")</f>
        <v>ไม่ระบุ</v>
      </c>
      <c r="AB99" t="str">
        <f>IFERROR(__xludf.DUMMYFUNCTION("""COMPUTED_VALUE"""),"boondarikac@airasia.com")</f>
        <v>boondarikac@airasia.com</v>
      </c>
    </row>
    <row r="100">
      <c r="A100">
        <f>IFERROR(__xludf.DUMMYFUNCTION("""COMPUTED_VALUE"""),1002368.0)</f>
        <v>1002368</v>
      </c>
      <c r="B100" t="str">
        <f>IFERROR(__xludf.DUMMYFUNCTION("""COMPUTED_VALUE"""),"Mrs.")</f>
        <v>Mrs.</v>
      </c>
      <c r="C100" t="str">
        <f>IFERROR(__xludf.DUMMYFUNCTION("""COMPUTED_VALUE"""),"Krongjai")</f>
        <v>Krongjai</v>
      </c>
      <c r="D100" t="str">
        <f>IFERROR(__xludf.DUMMYFUNCTION("""COMPUTED_VALUE"""),"Jaturapattarakij")</f>
        <v>Jaturapattarakij</v>
      </c>
      <c r="E100" t="str">
        <f>IFERROR(__xludf.DUMMYFUNCTION("""COMPUTED_VALUE"""),"Krongjai Jaturapattarakij")</f>
        <v>Krongjai Jaturapattarakij</v>
      </c>
      <c r="F100" t="str">
        <f>IFERROR(__xludf.DUMMYFUNCTION("""COMPUTED_VALUE"""),"นาง")</f>
        <v>นาง</v>
      </c>
      <c r="G100" t="str">
        <f>IFERROR(__xludf.DUMMYFUNCTION("""COMPUTED_VALUE"""),"ครองใจ")</f>
        <v>ครองใจ</v>
      </c>
      <c r="H100" t="str">
        <f>IFERROR(__xludf.DUMMYFUNCTION("""COMPUTED_VALUE"""),"จตุรภัทรกิจ")</f>
        <v>จตุรภัทรกิจ</v>
      </c>
      <c r="I100" t="str">
        <f>IFERROR(__xludf.DUMMYFUNCTION("""COMPUTED_VALUE"""),"ครองใจ จตุรภัทรกิจ")</f>
        <v>ครองใจ จตุรภัทรกิจ</v>
      </c>
      <c r="J100" t="str">
        <f>IFERROR(__xludf.DUMMYFUNCTION("""COMPUTED_VALUE"""),"Nong")</f>
        <v>Nong</v>
      </c>
      <c r="K100" t="str">
        <f>IFERROR(__xludf.DUMMYFUNCTION("""COMPUTED_VALUE"""),"Senior Cabin Crew")</f>
        <v>Senior Cabin Crew</v>
      </c>
      <c r="L100" t="str">
        <f>IFERROR(__xludf.DUMMYFUNCTION("""COMPUTED_VALUE"""),"DMK")</f>
        <v>DMK</v>
      </c>
      <c r="M100" s="145" t="str">
        <f>IFERROR(__xludf.DUMMYFUNCTION("""COMPUTED_VALUE"""),"Kor Home")</f>
        <v>Kor Home</v>
      </c>
      <c r="N100" t="str">
        <f>IFERROR(__xludf.DUMMYFUNCTION("""COMPUTED_VALUE"""),"Active")</f>
        <v>Active</v>
      </c>
      <c r="P100" s="143">
        <f>IFERROR(__xludf.DUMMYFUNCTION("""COMPUTED_VALUE"""),28352.0)</f>
        <v>28352</v>
      </c>
      <c r="Q100" s="146" t="str">
        <f>IFERROR(__xludf.DUMMYFUNCTION("""COMPUTED_VALUE"""),"062-394-9653")</f>
        <v>062-394-9653</v>
      </c>
      <c r="R100" s="147" t="str">
        <f>IFERROR(__xludf.DUMMYFUNCTION("""COMPUTED_VALUE"""),"3410102-58-1631")</f>
        <v>3410102-58-1631</v>
      </c>
      <c r="S100" t="str">
        <f>IFERROR(__xludf.DUMMYFUNCTION("""COMPUTED_VALUE"""),"AC2789607")</f>
        <v>AC2789607</v>
      </c>
      <c r="T100" s="148">
        <f>IFERROR(__xludf.DUMMYFUNCTION("""COMPUTED_VALUE"""),44503.0)</f>
        <v>44503</v>
      </c>
      <c r="U100" s="148">
        <f>IFERROR(__xludf.DUMMYFUNCTION("""COMPUTED_VALUE"""),48154.0)</f>
        <v>48154</v>
      </c>
      <c r="V100" s="149">
        <f>IFERROR(__xludf.DUMMYFUNCTION("""COMPUTED_VALUE"""),47970.0)</f>
        <v>47970</v>
      </c>
      <c r="W100" t="str">
        <f>IFERROR(__xludf.DUMMYFUNCTION("""COMPUTED_VALUE"""),"ปลอดภัย")</f>
        <v>ปลอดภัย</v>
      </c>
      <c r="X100" t="str">
        <f>IFERROR(__xludf.DUMMYFUNCTION("""COMPUTED_VALUE"""),"Udon Thani Province")</f>
        <v>Udon Thani Province</v>
      </c>
      <c r="Y100" t="str">
        <f>IFERROR(__xludf.DUMMYFUNCTION("""COMPUTED_VALUE"""),"บางพลี")</f>
        <v>บางพลี</v>
      </c>
      <c r="Z100" t="str">
        <f>IFERROR(__xludf.DUMMYFUNCTION("""COMPUTED_VALUE"""),"081 868 2824")</f>
        <v>081 868 2824</v>
      </c>
      <c r="AA100" t="str">
        <f>IFERROR(__xludf.DUMMYFUNCTION("""COMPUTED_VALUE"""),"สามี")</f>
        <v>สามี</v>
      </c>
      <c r="AB100" t="str">
        <f>IFERROR(__xludf.DUMMYFUNCTION("""COMPUTED_VALUE"""),"krongjaij@airasia.com")</f>
        <v>krongjaij@airasia.com</v>
      </c>
    </row>
    <row r="101">
      <c r="A101">
        <f>IFERROR(__xludf.DUMMYFUNCTION("""COMPUTED_VALUE"""),1002370.0)</f>
        <v>1002370</v>
      </c>
      <c r="B101" t="str">
        <f>IFERROR(__xludf.DUMMYFUNCTION("""COMPUTED_VALUE"""),"Ms.")</f>
        <v>Ms.</v>
      </c>
      <c r="C101" t="str">
        <f>IFERROR(__xludf.DUMMYFUNCTION("""COMPUTED_VALUE"""),"Napaphat")</f>
        <v>Napaphat</v>
      </c>
      <c r="D101" t="str">
        <f>IFERROR(__xludf.DUMMYFUNCTION("""COMPUTED_VALUE"""),"Yuktanan")</f>
        <v>Yuktanan</v>
      </c>
      <c r="E101" t="str">
        <f>IFERROR(__xludf.DUMMYFUNCTION("""COMPUTED_VALUE"""),"Napaphat Yuktanan")</f>
        <v>Napaphat Yuktanan</v>
      </c>
      <c r="F101" t="str">
        <f>IFERROR(__xludf.DUMMYFUNCTION("""COMPUTED_VALUE"""),"นางสาว")</f>
        <v>นางสาว</v>
      </c>
      <c r="G101" t="str">
        <f>IFERROR(__xludf.DUMMYFUNCTION("""COMPUTED_VALUE"""),"ณปภัช")</f>
        <v>ณปภัช</v>
      </c>
      <c r="H101" t="str">
        <f>IFERROR(__xludf.DUMMYFUNCTION("""COMPUTED_VALUE"""),"ยุกตะนันท์")</f>
        <v>ยุกตะนันท์</v>
      </c>
      <c r="I101" t="str">
        <f>IFERROR(__xludf.DUMMYFUNCTION("""COMPUTED_VALUE"""),"ณปภัช ยุกตะนันท์")</f>
        <v>ณปภัช ยุกตะนันท์</v>
      </c>
      <c r="J101" t="str">
        <f>IFERROR(__xludf.DUMMYFUNCTION("""COMPUTED_VALUE"""),"Dao")</f>
        <v>Dao</v>
      </c>
      <c r="K101" t="str">
        <f>IFERROR(__xludf.DUMMYFUNCTION("""COMPUTED_VALUE"""),"Senior Cabin Crew")</f>
        <v>Senior Cabin Crew</v>
      </c>
      <c r="L101" t="str">
        <f>IFERROR(__xludf.DUMMYFUNCTION("""COMPUTED_VALUE"""),"DMK")</f>
        <v>DMK</v>
      </c>
      <c r="M101" s="145" t="str">
        <f>IFERROR(__xludf.DUMMYFUNCTION("""COMPUTED_VALUE"""),"Por+ Home")</f>
        <v>Por+ Home</v>
      </c>
      <c r="N101" t="str">
        <f>IFERROR(__xludf.DUMMYFUNCTION("""COMPUTED_VALUE"""),"Active")</f>
        <v>Active</v>
      </c>
      <c r="P101" s="143">
        <f>IFERROR(__xludf.DUMMYFUNCTION("""COMPUTED_VALUE"""),30204.0)</f>
        <v>30204</v>
      </c>
      <c r="Q101" s="146" t="str">
        <f>IFERROR(__xludf.DUMMYFUNCTION("""COMPUTED_VALUE"""),"081 666 5814")</f>
        <v>081 666 5814</v>
      </c>
      <c r="R101" s="147" t="str">
        <f>IFERROR(__xludf.DUMMYFUNCTION("""COMPUTED_VALUE"""),"3120500-07-3698")</f>
        <v>3120500-07-3698</v>
      </c>
      <c r="S101" t="str">
        <f>IFERROR(__xludf.DUMMYFUNCTION("""COMPUTED_VALUE"""),"AD1699955")</f>
        <v>AD1699955</v>
      </c>
      <c r="T101" s="148">
        <f>IFERROR(__xludf.DUMMYFUNCTION("""COMPUTED_VALUE"""),45330.0)</f>
        <v>45330</v>
      </c>
      <c r="U101" s="148">
        <f>IFERROR(__xludf.DUMMYFUNCTION("""COMPUTED_VALUE"""),48982.0)</f>
        <v>48982</v>
      </c>
      <c r="V101" s="149">
        <f>IFERROR(__xludf.DUMMYFUNCTION("""COMPUTED_VALUE"""),48798.0)</f>
        <v>48798</v>
      </c>
      <c r="W101" t="str">
        <f>IFERROR(__xludf.DUMMYFUNCTION("""COMPUTED_VALUE"""),"ปลอดภัย")</f>
        <v>ปลอดภัย</v>
      </c>
      <c r="X101" t="str">
        <f>IFERROR(__xludf.DUMMYFUNCTION("""COMPUTED_VALUE"""),"Bangkok")</f>
        <v>Bangkok</v>
      </c>
      <c r="Y101" t="str">
        <f>IFERROR(__xludf.DUMMYFUNCTION("""COMPUTED_VALUE"""),"บึงกุ่ม")</f>
        <v>บึงกุ่ม</v>
      </c>
      <c r="Z101" t="str">
        <f>IFERROR(__xludf.DUMMYFUNCTION("""COMPUTED_VALUE"""),"081 583 6293")</f>
        <v>081 583 6293</v>
      </c>
      <c r="AA101" t="str">
        <f>IFERROR(__xludf.DUMMYFUNCTION("""COMPUTED_VALUE"""),"พ่อ")</f>
        <v>พ่อ</v>
      </c>
      <c r="AB101" t="str">
        <f>IFERROR(__xludf.DUMMYFUNCTION("""COMPUTED_VALUE"""),"napaphaty@airasia.com")</f>
        <v>napaphaty@airasia.com</v>
      </c>
    </row>
    <row r="102">
      <c r="A102">
        <f>IFERROR(__xludf.DUMMYFUNCTION("""COMPUTED_VALUE"""),1002371.0)</f>
        <v>1002371</v>
      </c>
      <c r="B102" t="str">
        <f>IFERROR(__xludf.DUMMYFUNCTION("""COMPUTED_VALUE"""),"Ms.")</f>
        <v>Ms.</v>
      </c>
      <c r="C102" t="str">
        <f>IFERROR(__xludf.DUMMYFUNCTION("""COMPUTED_VALUE"""),"Nattee")</f>
        <v>Nattee</v>
      </c>
      <c r="D102" t="str">
        <f>IFERROR(__xludf.DUMMYFUNCTION("""COMPUTED_VALUE"""),"Kittivorachate")</f>
        <v>Kittivorachate</v>
      </c>
      <c r="E102" t="str">
        <f>IFERROR(__xludf.DUMMYFUNCTION("""COMPUTED_VALUE"""),"Nattee Kittivorachate")</f>
        <v>Nattee Kittivorachate</v>
      </c>
      <c r="F102" t="str">
        <f>IFERROR(__xludf.DUMMYFUNCTION("""COMPUTED_VALUE"""),"นางสาว")</f>
        <v>นางสาว</v>
      </c>
      <c r="G102" t="str">
        <f>IFERROR(__xludf.DUMMYFUNCTION("""COMPUTED_VALUE"""),"นัทที")</f>
        <v>นัทที</v>
      </c>
      <c r="H102" t="str">
        <f>IFERROR(__xludf.DUMMYFUNCTION("""COMPUTED_VALUE"""),"กิตติวรเชฏฐ์")</f>
        <v>กิตติวรเชฏฐ์</v>
      </c>
      <c r="I102" t="str">
        <f>IFERROR(__xludf.DUMMYFUNCTION("""COMPUTED_VALUE"""),"นัทที กิตติวรเชฏฐ์")</f>
        <v>นัทที กิตติวรเชฏฐ์</v>
      </c>
      <c r="J102" t="str">
        <f>IFERROR(__xludf.DUMMYFUNCTION("""COMPUTED_VALUE"""),"Fhan")</f>
        <v>Fhan</v>
      </c>
      <c r="K102" t="str">
        <f>IFERROR(__xludf.DUMMYFUNCTION("""COMPUTED_VALUE"""),"Cabin Crew - CNX")</f>
        <v>Cabin Crew - CNX</v>
      </c>
      <c r="L102" t="str">
        <f>IFERROR(__xludf.DUMMYFUNCTION("""COMPUTED_VALUE"""),"CNX")</f>
        <v>CNX</v>
      </c>
      <c r="M102" s="145" t="str">
        <f>IFERROR(__xludf.DUMMYFUNCTION("""COMPUTED_VALUE"""),"Up Home")</f>
        <v>Up Home</v>
      </c>
      <c r="N102" t="str">
        <f>IFERROR(__xludf.DUMMYFUNCTION("""COMPUTED_VALUE"""),"Active")</f>
        <v>Active</v>
      </c>
      <c r="O102" t="str">
        <f>IFERROR(__xludf.DUMMYFUNCTION("""COMPUTED_VALUE"""),"Chinese Speaking")</f>
        <v>Chinese Speaking</v>
      </c>
      <c r="P102" s="143">
        <f>IFERROR(__xludf.DUMMYFUNCTION("""COMPUTED_VALUE"""),29801.0)</f>
        <v>29801</v>
      </c>
      <c r="Q102" s="146" t="str">
        <f>IFERROR(__xludf.DUMMYFUNCTION("""COMPUTED_VALUE"""),"084 002 7547")</f>
        <v>084 002 7547</v>
      </c>
      <c r="R102" s="147" t="str">
        <f>IFERROR(__xludf.DUMMYFUNCTION("""COMPUTED_VALUE"""),"3509901-31-2949")</f>
        <v>3509901-31-2949</v>
      </c>
      <c r="S102" t="str">
        <f>IFERROR(__xludf.DUMMYFUNCTION("""COMPUTED_VALUE"""),"AD1248380")</f>
        <v>AD1248380</v>
      </c>
      <c r="T102" s="148">
        <f>IFERROR(__xludf.DUMMYFUNCTION("""COMPUTED_VALUE"""),45335.0)</f>
        <v>45335</v>
      </c>
      <c r="U102" s="148">
        <f>IFERROR(__xludf.DUMMYFUNCTION("""COMPUTED_VALUE"""),48987.0)</f>
        <v>48987</v>
      </c>
      <c r="V102" s="149">
        <f>IFERROR(__xludf.DUMMYFUNCTION("""COMPUTED_VALUE"""),48803.0)</f>
        <v>48803</v>
      </c>
      <c r="W102" t="str">
        <f>IFERROR(__xludf.DUMMYFUNCTION("""COMPUTED_VALUE"""),"ปลอดภัย")</f>
        <v>ปลอดภัย</v>
      </c>
      <c r="X102" t="str">
        <f>IFERROR(__xludf.DUMMYFUNCTION("""COMPUTED_VALUE"""),"Chiang Mai Province")</f>
        <v>Chiang Mai Province</v>
      </c>
      <c r="Y102" t="str">
        <f>IFERROR(__xludf.DUMMYFUNCTION("""COMPUTED_VALUE"""),"มีนบุรี")</f>
        <v>มีนบุรี</v>
      </c>
      <c r="Z102" t="str">
        <f>IFERROR(__xludf.DUMMYFUNCTION("""COMPUTED_VALUE"""),"086 627 2323")</f>
        <v>086 627 2323</v>
      </c>
      <c r="AA102" t="str">
        <f>IFERROR(__xludf.DUMMYFUNCTION("""COMPUTED_VALUE"""),"สามี")</f>
        <v>สามี</v>
      </c>
      <c r="AB102" t="str">
        <f>IFERROR(__xludf.DUMMYFUNCTION("""COMPUTED_VALUE"""),"natteek@airasia.com")</f>
        <v>natteek@airasia.com</v>
      </c>
    </row>
    <row r="103">
      <c r="A103">
        <f>IFERROR(__xludf.DUMMYFUNCTION("""COMPUTED_VALUE"""),1002374.0)</f>
        <v>1002374</v>
      </c>
      <c r="B103" t="str">
        <f>IFERROR(__xludf.DUMMYFUNCTION("""COMPUTED_VALUE"""),"Ms.")</f>
        <v>Ms.</v>
      </c>
      <c r="C103" t="str">
        <f>IFERROR(__xludf.DUMMYFUNCTION("""COMPUTED_VALUE"""),"Sirilak")</f>
        <v>Sirilak</v>
      </c>
      <c r="D103" t="str">
        <f>IFERROR(__xludf.DUMMYFUNCTION("""COMPUTED_VALUE"""),"Sutanant")</f>
        <v>Sutanant</v>
      </c>
      <c r="E103" t="str">
        <f>IFERROR(__xludf.DUMMYFUNCTION("""COMPUTED_VALUE"""),"Sirilak Sutanant")</f>
        <v>Sirilak Sutanant</v>
      </c>
      <c r="F103" t="str">
        <f>IFERROR(__xludf.DUMMYFUNCTION("""COMPUTED_VALUE"""),"นางสาว")</f>
        <v>นางสาว</v>
      </c>
      <c r="G103" t="str">
        <f>IFERROR(__xludf.DUMMYFUNCTION("""COMPUTED_VALUE"""),"สิริลักษณ์")</f>
        <v>สิริลักษณ์</v>
      </c>
      <c r="H103" t="str">
        <f>IFERROR(__xludf.DUMMYFUNCTION("""COMPUTED_VALUE"""),"สูตรอนันต์")</f>
        <v>สูตรอนันต์</v>
      </c>
      <c r="I103" t="str">
        <f>IFERROR(__xludf.DUMMYFUNCTION("""COMPUTED_VALUE"""),"สิริลักษณ์ สูตรอนันต์")</f>
        <v>สิริลักษณ์ สูตรอนันต์</v>
      </c>
      <c r="J103" t="str">
        <f>IFERROR(__xludf.DUMMYFUNCTION("""COMPUTED_VALUE"""),"Mi")</f>
        <v>Mi</v>
      </c>
      <c r="K103" t="str">
        <f>IFERROR(__xludf.DUMMYFUNCTION("""COMPUTED_VALUE"""),"Senior Cabin Crew")</f>
        <v>Senior Cabin Crew</v>
      </c>
      <c r="L103" t="str">
        <f>IFERROR(__xludf.DUMMYFUNCTION("""COMPUTED_VALUE"""),"DMK")</f>
        <v>DMK</v>
      </c>
      <c r="M103" s="145" t="str">
        <f>IFERROR(__xludf.DUMMYFUNCTION("""COMPUTED_VALUE"""),"Um Home")</f>
        <v>Um Home</v>
      </c>
      <c r="N103" t="str">
        <f>IFERROR(__xludf.DUMMYFUNCTION("""COMPUTED_VALUE"""),"V/LWP")</f>
        <v>V/LWP</v>
      </c>
      <c r="P103" s="143">
        <f>IFERROR(__xludf.DUMMYFUNCTION("""COMPUTED_VALUE"""),30480.0)</f>
        <v>30480</v>
      </c>
      <c r="Q103" s="146" t="str">
        <f>IFERROR(__xludf.DUMMYFUNCTION("""COMPUTED_VALUE"""),"085 140 1865")</f>
        <v>085 140 1865</v>
      </c>
      <c r="R103" s="147" t="str">
        <f>IFERROR(__xludf.DUMMYFUNCTION("""COMPUTED_VALUE"""),"3199900-23-1647")</f>
        <v>3199900-23-1647</v>
      </c>
      <c r="S103" t="str">
        <f>IFERROR(__xludf.DUMMYFUNCTION("""COMPUTED_VALUE"""),"AC2224193")</f>
        <v>AC2224193</v>
      </c>
      <c r="T103" s="148">
        <f>IFERROR(__xludf.DUMMYFUNCTION("""COMPUTED_VALUE"""),44273.0)</f>
        <v>44273</v>
      </c>
      <c r="U103" s="148">
        <f>IFERROR(__xludf.DUMMYFUNCTION("""COMPUTED_VALUE"""),47924.0)</f>
        <v>47924</v>
      </c>
      <c r="V103" s="149">
        <f>IFERROR(__xludf.DUMMYFUNCTION("""COMPUTED_VALUE"""),47743.0)</f>
        <v>47743</v>
      </c>
      <c r="W103" t="str">
        <f>IFERROR(__xludf.DUMMYFUNCTION("""COMPUTED_VALUE"""),"ปลอดภัย")</f>
        <v>ปลอดภัย</v>
      </c>
      <c r="X103" t="str">
        <f>IFERROR(__xludf.DUMMYFUNCTION("""COMPUTED_VALUE"""),"Saraburi Province")</f>
        <v>Saraburi Province</v>
      </c>
      <c r="Y103" t="str">
        <f>IFERROR(__xludf.DUMMYFUNCTION("""COMPUTED_VALUE"""),"บางแค")</f>
        <v>บางแค</v>
      </c>
      <c r="Z103" t="str">
        <f>IFERROR(__xludf.DUMMYFUNCTION("""COMPUTED_VALUE"""),"085 140 1865")</f>
        <v>085 140 1865</v>
      </c>
      <c r="AA103" t="str">
        <f>IFERROR(__xludf.DUMMYFUNCTION("""COMPUTED_VALUE"""),"ไม่ระบุ")</f>
        <v>ไม่ระบุ</v>
      </c>
      <c r="AB103" t="str">
        <f>IFERROR(__xludf.DUMMYFUNCTION("""COMPUTED_VALUE"""),"sirilaku@airasia.com")</f>
        <v>sirilaku@airasia.com</v>
      </c>
    </row>
    <row r="104">
      <c r="AB104" t="str">
        <f>IFERROR(__xludf.DUMMYFUNCTION("""COMPUTED_VALUE"""),"")</f>
        <v/>
      </c>
    </row>
    <row r="105">
      <c r="A105">
        <f>IFERROR(__xludf.DUMMYFUNCTION("""COMPUTED_VALUE"""),1002909.0)</f>
        <v>1002909</v>
      </c>
      <c r="B105" t="str">
        <f>IFERROR(__xludf.DUMMYFUNCTION("""COMPUTED_VALUE"""),"Mr.")</f>
        <v>Mr.</v>
      </c>
      <c r="C105" t="str">
        <f>IFERROR(__xludf.DUMMYFUNCTION("""COMPUTED_VALUE"""),"Panodpol")</f>
        <v>Panodpol</v>
      </c>
      <c r="D105" t="str">
        <f>IFERROR(__xludf.DUMMYFUNCTION("""COMPUTED_VALUE"""),"Yensuong")</f>
        <v>Yensuong</v>
      </c>
      <c r="E105" t="str">
        <f>IFERROR(__xludf.DUMMYFUNCTION("""COMPUTED_VALUE"""),"Panodpol Yensuong")</f>
        <v>Panodpol Yensuong</v>
      </c>
      <c r="F105" t="str">
        <f>IFERROR(__xludf.DUMMYFUNCTION("""COMPUTED_VALUE"""),"นาย")</f>
        <v>นาย</v>
      </c>
      <c r="G105" t="str">
        <f>IFERROR(__xludf.DUMMYFUNCTION("""COMPUTED_VALUE"""),"ปณตพล")</f>
        <v>ปณตพล</v>
      </c>
      <c r="H105" t="str">
        <f>IFERROR(__xludf.DUMMYFUNCTION("""COMPUTED_VALUE"""),"เย็นทรวง")</f>
        <v>เย็นทรวง</v>
      </c>
      <c r="I105" t="str">
        <f>IFERROR(__xludf.DUMMYFUNCTION("""COMPUTED_VALUE"""),"ปณตพล เย็นทรวง")</f>
        <v>ปณตพล เย็นทรวง</v>
      </c>
      <c r="J105" t="str">
        <f>IFERROR(__xludf.DUMMYFUNCTION("""COMPUTED_VALUE"""),"Pol")</f>
        <v>Pol</v>
      </c>
      <c r="K105" t="str">
        <f>IFERROR(__xludf.DUMMYFUNCTION("""COMPUTED_VALUE"""),"Senior Cabin Crew")</f>
        <v>Senior Cabin Crew</v>
      </c>
      <c r="L105" t="str">
        <f>IFERROR(__xludf.DUMMYFUNCTION("""COMPUTED_VALUE"""),"DMK")</f>
        <v>DMK</v>
      </c>
      <c r="M105" s="145" t="str">
        <f>IFERROR(__xludf.DUMMYFUNCTION("""COMPUTED_VALUE"""),"Um Home")</f>
        <v>Um Home</v>
      </c>
      <c r="N105" t="str">
        <f>IFERROR(__xludf.DUMMYFUNCTION("""COMPUTED_VALUE"""),"Active")</f>
        <v>Active</v>
      </c>
      <c r="P105" s="143">
        <f>IFERROR(__xludf.DUMMYFUNCTION("""COMPUTED_VALUE"""),28408.0)</f>
        <v>28408</v>
      </c>
      <c r="Q105" s="146" t="str">
        <f>IFERROR(__xludf.DUMMYFUNCTION("""COMPUTED_VALUE"""),"085 229 2995")</f>
        <v>085 229 2995</v>
      </c>
      <c r="R105" s="147" t="str">
        <f>IFERROR(__xludf.DUMMYFUNCTION("""COMPUTED_VALUE"""),"3100502-18-0165")</f>
        <v>3100502-18-0165</v>
      </c>
      <c r="S105" t="str">
        <f>IFERROR(__xludf.DUMMYFUNCTION("""COMPUTED_VALUE"""),"AC4359579")</f>
        <v>AC4359579</v>
      </c>
      <c r="T105" s="148">
        <f>IFERROR(__xludf.DUMMYFUNCTION("""COMPUTED_VALUE"""),44935.0)</f>
        <v>44935</v>
      </c>
      <c r="U105" s="148">
        <f>IFERROR(__xludf.DUMMYFUNCTION("""COMPUTED_VALUE"""),48587.0)</f>
        <v>48587</v>
      </c>
      <c r="V105" s="149">
        <f>IFERROR(__xludf.DUMMYFUNCTION("""COMPUTED_VALUE"""),48403.0)</f>
        <v>48403</v>
      </c>
      <c r="W105" t="str">
        <f>IFERROR(__xludf.DUMMYFUNCTION("""COMPUTED_VALUE"""),"ปลอดภัย")</f>
        <v>ปลอดภัย</v>
      </c>
      <c r="X105" t="str">
        <f>IFERROR(__xludf.DUMMYFUNCTION("""COMPUTED_VALUE"""),"Bangkok")</f>
        <v>Bangkok</v>
      </c>
      <c r="Y105" t="str">
        <f>IFERROR(__xludf.DUMMYFUNCTION("""COMPUTED_VALUE"""),"จตุจักร")</f>
        <v>จตุจักร</v>
      </c>
      <c r="Z105" t="str">
        <f>IFERROR(__xludf.DUMMYFUNCTION("""COMPUTED_VALUE"""),"087 985 6835")</f>
        <v>087 985 6835</v>
      </c>
      <c r="AA105" t="str">
        <f>IFERROR(__xludf.DUMMYFUNCTION("""COMPUTED_VALUE"""),"แม่")</f>
        <v>แม่</v>
      </c>
      <c r="AB105" t="str">
        <f>IFERROR(__xludf.DUMMYFUNCTION("""COMPUTED_VALUE"""),"panodpoly@airasia.com")</f>
        <v>panodpoly@airasia.com</v>
      </c>
    </row>
    <row r="106">
      <c r="A106">
        <f>IFERROR(__xludf.DUMMYFUNCTION("""COMPUTED_VALUE"""),1002910.0)</f>
        <v>1002910</v>
      </c>
      <c r="B106" t="str">
        <f>IFERROR(__xludf.DUMMYFUNCTION("""COMPUTED_VALUE"""),"Ms.")</f>
        <v>Ms.</v>
      </c>
      <c r="C106" t="str">
        <f>IFERROR(__xludf.DUMMYFUNCTION("""COMPUTED_VALUE"""),"Patsita")</f>
        <v>Patsita</v>
      </c>
      <c r="D106" t="str">
        <f>IFERROR(__xludf.DUMMYFUNCTION("""COMPUTED_VALUE"""),"Patchararujirathchot")</f>
        <v>Patchararujirathchot</v>
      </c>
      <c r="E106" t="str">
        <f>IFERROR(__xludf.DUMMYFUNCTION("""COMPUTED_VALUE"""),"Patsita Patchararujirathchot")</f>
        <v>Patsita Patchararujirathchot</v>
      </c>
      <c r="F106" t="str">
        <f>IFERROR(__xludf.DUMMYFUNCTION("""COMPUTED_VALUE"""),"นางสาว")</f>
        <v>นางสาว</v>
      </c>
      <c r="G106" t="str">
        <f>IFERROR(__xludf.DUMMYFUNCTION("""COMPUTED_VALUE"""),"พัชร์สิตา")</f>
        <v>พัชร์สิตา</v>
      </c>
      <c r="H106" t="str">
        <f>IFERROR(__xludf.DUMMYFUNCTION("""COMPUTED_VALUE"""),"พัชรรุจิรัฐโชติ")</f>
        <v>พัชรรุจิรัฐโชติ</v>
      </c>
      <c r="I106" t="str">
        <f>IFERROR(__xludf.DUMMYFUNCTION("""COMPUTED_VALUE"""),"พัชร์สิตา พัชรรุจิรัฐโชติ")</f>
        <v>พัชร์สิตา พัชรรุจิรัฐโชติ</v>
      </c>
      <c r="J106" t="str">
        <f>IFERROR(__xludf.DUMMYFUNCTION("""COMPUTED_VALUE"""),"Lek")</f>
        <v>Lek</v>
      </c>
      <c r="K106" t="str">
        <f>IFERROR(__xludf.DUMMYFUNCTION("""COMPUTED_VALUE"""),"Senior Cabin Crew - CNX")</f>
        <v>Senior Cabin Crew - CNX</v>
      </c>
      <c r="L106" t="str">
        <f>IFERROR(__xludf.DUMMYFUNCTION("""COMPUTED_VALUE"""),"CNX")</f>
        <v>CNX</v>
      </c>
      <c r="M106" s="145" t="str">
        <f>IFERROR(__xludf.DUMMYFUNCTION("""COMPUTED_VALUE"""),"Up Home")</f>
        <v>Up Home</v>
      </c>
      <c r="N106" t="str">
        <f>IFERROR(__xludf.DUMMYFUNCTION("""COMPUTED_VALUE"""),"Active")</f>
        <v>Active</v>
      </c>
      <c r="P106" s="143">
        <f>IFERROR(__xludf.DUMMYFUNCTION("""COMPUTED_VALUE"""),30182.0)</f>
        <v>30182</v>
      </c>
      <c r="Q106" s="146" t="str">
        <f>IFERROR(__xludf.DUMMYFUNCTION("""COMPUTED_VALUE"""),"086-659-2645")</f>
        <v>086-659-2645</v>
      </c>
      <c r="R106" s="147" t="str">
        <f>IFERROR(__xludf.DUMMYFUNCTION("""COMPUTED_VALUE"""),"3110300-34-0943")</f>
        <v>3110300-34-0943</v>
      </c>
      <c r="S106" t="str">
        <f>IFERROR(__xludf.DUMMYFUNCTION("""COMPUTED_VALUE"""),"AC2694877")</f>
        <v>AC2694877</v>
      </c>
      <c r="T106" s="148">
        <f>IFERROR(__xludf.DUMMYFUNCTION("""COMPUTED_VALUE"""),44585.0)</f>
        <v>44585</v>
      </c>
      <c r="U106" s="148">
        <f>IFERROR(__xludf.DUMMYFUNCTION("""COMPUTED_VALUE"""),48236.0)</f>
        <v>48236</v>
      </c>
      <c r="V106" s="149">
        <f>IFERROR(__xludf.DUMMYFUNCTION("""COMPUTED_VALUE"""),48052.0)</f>
        <v>48052</v>
      </c>
      <c r="W106" t="str">
        <f>IFERROR(__xludf.DUMMYFUNCTION("""COMPUTED_VALUE"""),"ปลอดภัย")</f>
        <v>ปลอดภัย</v>
      </c>
      <c r="X106" t="str">
        <f>IFERROR(__xludf.DUMMYFUNCTION("""COMPUTED_VALUE"""),"Bangkok")</f>
        <v>Bangkok</v>
      </c>
      <c r="Y106" t="str">
        <f>IFERROR(__xludf.DUMMYFUNCTION("""COMPUTED_VALUE"""),"อ่อนนุช")</f>
        <v>อ่อนนุช</v>
      </c>
      <c r="Z106" t="str">
        <f>IFERROR(__xludf.DUMMYFUNCTION("""COMPUTED_VALUE"""),"02 174 0236")</f>
        <v>02 174 0236</v>
      </c>
      <c r="AA106" t="str">
        <f>IFERROR(__xludf.DUMMYFUNCTION("""COMPUTED_VALUE"""),"พ่อ")</f>
        <v>พ่อ</v>
      </c>
      <c r="AB106" t="str">
        <f>IFERROR(__xludf.DUMMYFUNCTION("""COMPUTED_VALUE"""),"patsitap@airasia.com")</f>
        <v>patsitap@airasia.com</v>
      </c>
    </row>
    <row r="107">
      <c r="AB107" t="str">
        <f>IFERROR(__xludf.DUMMYFUNCTION("""COMPUTED_VALUE"""),"")</f>
        <v/>
      </c>
    </row>
    <row r="108">
      <c r="A108">
        <f>IFERROR(__xludf.DUMMYFUNCTION("""COMPUTED_VALUE"""),1001236.0)</f>
        <v>1001236</v>
      </c>
      <c r="B108" t="str">
        <f>IFERROR(__xludf.DUMMYFUNCTION("""COMPUTED_VALUE"""),"Ms.")</f>
        <v>Ms.</v>
      </c>
      <c r="C108" t="str">
        <f>IFERROR(__xludf.DUMMYFUNCTION("""COMPUTED_VALUE"""),"Tananchakorn (Wassamon)")</f>
        <v>Tananchakorn (Wassamon)</v>
      </c>
      <c r="D108" t="str">
        <f>IFERROR(__xludf.DUMMYFUNCTION("""COMPUTED_VALUE"""),"Nonthapak")</f>
        <v>Nonthapak</v>
      </c>
      <c r="E108" t="str">
        <f>IFERROR(__xludf.DUMMYFUNCTION("""COMPUTED_VALUE"""),"Tananchakorn Nonthapak")</f>
        <v>Tananchakorn Nonthapak</v>
      </c>
      <c r="F108" t="str">
        <f>IFERROR(__xludf.DUMMYFUNCTION("""COMPUTED_VALUE"""),"นางสาว")</f>
        <v>นางสาว</v>
      </c>
      <c r="G108" t="str">
        <f>IFERROR(__xludf.DUMMYFUNCTION("""COMPUTED_VALUE"""),"ธนัญชกร(วรรษมน)")</f>
        <v>ธนัญชกร(วรรษมน)</v>
      </c>
      <c r="H108" t="str">
        <f>IFERROR(__xludf.DUMMYFUNCTION("""COMPUTED_VALUE"""),"นนทภักดิ์")</f>
        <v>นนทภักดิ์</v>
      </c>
      <c r="I108" t="str">
        <f>IFERROR(__xludf.DUMMYFUNCTION("""COMPUTED_VALUE"""),"ธนัญชกร นนทภักดิ์")</f>
        <v>ธนัญชกร นนทภักดิ์</v>
      </c>
      <c r="J108" t="str">
        <f>IFERROR(__xludf.DUMMYFUNCTION("""COMPUTED_VALUE"""),"Luk jan")</f>
        <v>Luk jan</v>
      </c>
      <c r="K108" t="str">
        <f>IFERROR(__xludf.DUMMYFUNCTION("""COMPUTED_VALUE"""),"Senior Cabin Crew")</f>
        <v>Senior Cabin Crew</v>
      </c>
      <c r="L108" t="str">
        <f>IFERROR(__xludf.DUMMYFUNCTION("""COMPUTED_VALUE"""),"DMK")</f>
        <v>DMK</v>
      </c>
      <c r="M108" s="145" t="str">
        <f>IFERROR(__xludf.DUMMYFUNCTION("""COMPUTED_VALUE"""),"Um Home")</f>
        <v>Um Home</v>
      </c>
      <c r="N108" t="str">
        <f>IFERROR(__xludf.DUMMYFUNCTION("""COMPUTED_VALUE"""),"Active")</f>
        <v>Active</v>
      </c>
      <c r="P108" s="143">
        <f>IFERROR(__xludf.DUMMYFUNCTION("""COMPUTED_VALUE"""),30648.0)</f>
        <v>30648</v>
      </c>
      <c r="Q108" s="146" t="str">
        <f>IFERROR(__xludf.DUMMYFUNCTION("""COMPUTED_VALUE"""),"093 549 2651")</f>
        <v>093 549 2651</v>
      </c>
      <c r="R108" s="147" t="str">
        <f>IFERROR(__xludf.DUMMYFUNCTION("""COMPUTED_VALUE"""),"3809800-02-2110")</f>
        <v>3809800-02-2110</v>
      </c>
      <c r="S108" t="str">
        <f>IFERROR(__xludf.DUMMYFUNCTION("""COMPUTED_VALUE"""),"AC4962640")</f>
        <v>AC4962640</v>
      </c>
      <c r="T108" s="148">
        <f>IFERROR(__xludf.DUMMYFUNCTION("""COMPUTED_VALUE"""),45075.0)</f>
        <v>45075</v>
      </c>
      <c r="U108" s="148">
        <f>IFERROR(__xludf.DUMMYFUNCTION("""COMPUTED_VALUE"""),48727.0)</f>
        <v>48727</v>
      </c>
      <c r="V108" s="149">
        <f>IFERROR(__xludf.DUMMYFUNCTION("""COMPUTED_VALUE"""),48546.0)</f>
        <v>48546</v>
      </c>
      <c r="W108" t="str">
        <f>IFERROR(__xludf.DUMMYFUNCTION("""COMPUTED_VALUE"""),"ปลอดภัย")</f>
        <v>ปลอดภัย</v>
      </c>
      <c r="X108" t="str">
        <f>IFERROR(__xludf.DUMMYFUNCTION("""COMPUTED_VALUE"""),"Nakhon Si Thammarat Province")</f>
        <v>Nakhon Si Thammarat Province</v>
      </c>
      <c r="Y108" t="str">
        <f>IFERROR(__xludf.DUMMYFUNCTION("""COMPUTED_VALUE"""),"ฉะเชิงเทรา อำเภอเมือง")</f>
        <v>ฉะเชิงเทรา อำเภอเมือง</v>
      </c>
      <c r="Z108" t="str">
        <f>IFERROR(__xludf.DUMMYFUNCTION("""COMPUTED_VALUE"""),"086 538 9203")</f>
        <v>086 538 9203</v>
      </c>
      <c r="AA108" t="str">
        <f>IFERROR(__xludf.DUMMYFUNCTION("""COMPUTED_VALUE"""),"แม่")</f>
        <v>แม่</v>
      </c>
      <c r="AB108" t="str">
        <f>IFERROR(__xludf.DUMMYFUNCTION("""COMPUTED_VALUE"""),"tananchakornn@airasia.com")</f>
        <v>tananchakornn@airasia.com</v>
      </c>
    </row>
    <row r="109">
      <c r="A109">
        <f>IFERROR(__xludf.DUMMYFUNCTION("""COMPUTED_VALUE"""),1001237.0)</f>
        <v>1001237</v>
      </c>
      <c r="B109" t="str">
        <f>IFERROR(__xludf.DUMMYFUNCTION("""COMPUTED_VALUE"""),"Mr.")</f>
        <v>Mr.</v>
      </c>
      <c r="C109" t="str">
        <f>IFERROR(__xludf.DUMMYFUNCTION("""COMPUTED_VALUE"""),"Thanawat")</f>
        <v>Thanawat</v>
      </c>
      <c r="D109" t="str">
        <f>IFERROR(__xludf.DUMMYFUNCTION("""COMPUTED_VALUE"""),"Srisurasub")</f>
        <v>Srisurasub</v>
      </c>
      <c r="E109" t="str">
        <f>IFERROR(__xludf.DUMMYFUNCTION("""COMPUTED_VALUE"""),"Thanawat Srisurasub")</f>
        <v>Thanawat Srisurasub</v>
      </c>
      <c r="F109" t="str">
        <f>IFERROR(__xludf.DUMMYFUNCTION("""COMPUTED_VALUE"""),"นาย")</f>
        <v>นาย</v>
      </c>
      <c r="G109" t="str">
        <f>IFERROR(__xludf.DUMMYFUNCTION("""COMPUTED_VALUE"""),"ธนวัฒน์")</f>
        <v>ธนวัฒน์</v>
      </c>
      <c r="H109" t="str">
        <f>IFERROR(__xludf.DUMMYFUNCTION("""COMPUTED_VALUE"""),"ศรีสุราทรัพย์")</f>
        <v>ศรีสุราทรัพย์</v>
      </c>
      <c r="I109" t="str">
        <f>IFERROR(__xludf.DUMMYFUNCTION("""COMPUTED_VALUE"""),"ธนวัฒน์ ศรีสุราทรัพย์")</f>
        <v>ธนวัฒน์ ศรีสุราทรัพย์</v>
      </c>
      <c r="J109" t="str">
        <f>IFERROR(__xludf.DUMMYFUNCTION("""COMPUTED_VALUE"""),"Top")</f>
        <v>Top</v>
      </c>
      <c r="K109" t="str">
        <f>IFERROR(__xludf.DUMMYFUNCTION("""COMPUTED_VALUE"""),"Cabin Crew Engagement Lead")</f>
        <v>Cabin Crew Engagement Lead</v>
      </c>
      <c r="L109" t="str">
        <f>IFERROR(__xludf.DUMMYFUNCTION("""COMPUTED_VALUE"""),"DMK")</f>
        <v>DMK</v>
      </c>
      <c r="M109" s="145" t="str">
        <f>IFERROR(__xludf.DUMMYFUNCTION("""COMPUTED_VALUE"""),"Ward Monitor")</f>
        <v>Ward Monitor</v>
      </c>
      <c r="N109" t="str">
        <f>IFERROR(__xludf.DUMMYFUNCTION("""COMPUTED_VALUE"""),"CCEL")</f>
        <v>CCEL</v>
      </c>
      <c r="P109" s="143">
        <f>IFERROR(__xludf.DUMMYFUNCTION("""COMPUTED_VALUE"""),30348.0)</f>
        <v>30348</v>
      </c>
      <c r="Q109" s="146" t="str">
        <f>IFERROR(__xludf.DUMMYFUNCTION("""COMPUTED_VALUE"""),"086 901 9919")</f>
        <v>086 901 9919</v>
      </c>
      <c r="R109" s="147" t="str">
        <f>IFERROR(__xludf.DUMMYFUNCTION("""COMPUTED_VALUE"""),"3120100-63-8744")</f>
        <v>3120100-63-8744</v>
      </c>
      <c r="S109" t="str">
        <f>IFERROR(__xludf.DUMMYFUNCTION("""COMPUTED_VALUE"""),"C5618312")</f>
        <v>C5618312</v>
      </c>
      <c r="T109" s="148">
        <f>IFERROR(__xludf.DUMMYFUNCTION("""COMPUTED_VALUE"""),45168.0)</f>
        <v>45168</v>
      </c>
      <c r="U109" s="148">
        <f>IFERROR(__xludf.DUMMYFUNCTION("""COMPUTED_VALUE"""),48820.0)</f>
        <v>48820</v>
      </c>
      <c r="V109" s="149">
        <f>IFERROR(__xludf.DUMMYFUNCTION("""COMPUTED_VALUE"""),48638.0)</f>
        <v>48638</v>
      </c>
      <c r="W109" t="str">
        <f>IFERROR(__xludf.DUMMYFUNCTION("""COMPUTED_VALUE"""),"ปลอดภัย")</f>
        <v>ปลอดภัย</v>
      </c>
      <c r="X109" t="str">
        <f>IFERROR(__xludf.DUMMYFUNCTION("""COMPUTED_VALUE"""),"Bangkok")</f>
        <v>Bangkok</v>
      </c>
      <c r="Y109" t="str">
        <f>IFERROR(__xludf.DUMMYFUNCTION("""COMPUTED_VALUE"""),"นนทบุรี อำเภอเมือง")</f>
        <v>นนทบุรี อำเภอเมือง</v>
      </c>
      <c r="Z109" t="str">
        <f>IFERROR(__xludf.DUMMYFUNCTION("""COMPUTED_VALUE"""),"02 580 5027")</f>
        <v>02 580 5027</v>
      </c>
      <c r="AA109" t="str">
        <f>IFERROR(__xludf.DUMMYFUNCTION("""COMPUTED_VALUE"""),"ที่บ้าน")</f>
        <v>ที่บ้าน</v>
      </c>
      <c r="AB109" t="str">
        <f>IFERROR(__xludf.DUMMYFUNCTION("""COMPUTED_VALUE"""),"thanawats@airasia.com")</f>
        <v>thanawats@airasia.com</v>
      </c>
    </row>
    <row r="110">
      <c r="A110">
        <f>IFERROR(__xludf.DUMMYFUNCTION("""COMPUTED_VALUE"""),1002980.0)</f>
        <v>1002980</v>
      </c>
      <c r="B110" t="str">
        <f>IFERROR(__xludf.DUMMYFUNCTION("""COMPUTED_VALUE"""),"Ms.")</f>
        <v>Ms.</v>
      </c>
      <c r="C110" t="str">
        <f>IFERROR(__xludf.DUMMYFUNCTION("""COMPUTED_VALUE"""),"Boontharig")</f>
        <v>Boontharig</v>
      </c>
      <c r="D110" t="str">
        <f>IFERROR(__xludf.DUMMYFUNCTION("""COMPUTED_VALUE"""),"Krairiksh")</f>
        <v>Krairiksh</v>
      </c>
      <c r="E110" t="str">
        <f>IFERROR(__xludf.DUMMYFUNCTION("""COMPUTED_VALUE"""),"Boontharig Krairiksh")</f>
        <v>Boontharig Krairiksh</v>
      </c>
      <c r="F110" t="str">
        <f>IFERROR(__xludf.DUMMYFUNCTION("""COMPUTED_VALUE"""),"นางสาว")</f>
        <v>นางสาว</v>
      </c>
      <c r="G110" t="str">
        <f>IFERROR(__xludf.DUMMYFUNCTION("""COMPUTED_VALUE"""),"บุณฑริก")</f>
        <v>บุณฑริก</v>
      </c>
      <c r="H110" t="str">
        <f>IFERROR(__xludf.DUMMYFUNCTION("""COMPUTED_VALUE"""),"ไกรฤกษ์")</f>
        <v>ไกรฤกษ์</v>
      </c>
      <c r="I110" t="str">
        <f>IFERROR(__xludf.DUMMYFUNCTION("""COMPUTED_VALUE"""),"บุณฑริก ไกรฤกษ์")</f>
        <v>บุณฑริก ไกรฤกษ์</v>
      </c>
      <c r="J110" t="str">
        <f>IFERROR(__xludf.DUMMYFUNCTION("""COMPUTED_VALUE"""),"Bua")</f>
        <v>Bua</v>
      </c>
      <c r="K110" t="str">
        <f>IFERROR(__xludf.DUMMYFUNCTION("""COMPUTED_VALUE"""),"Senior Cabin Crew")</f>
        <v>Senior Cabin Crew</v>
      </c>
      <c r="L110" t="str">
        <f>IFERROR(__xludf.DUMMYFUNCTION("""COMPUTED_VALUE"""),"DMK")</f>
        <v>DMK</v>
      </c>
      <c r="M110" s="145" t="str">
        <f>IFERROR(__xludf.DUMMYFUNCTION("""COMPUTED_VALUE"""),"Namfon Home")</f>
        <v>Namfon Home</v>
      </c>
      <c r="N110" t="str">
        <f>IFERROR(__xludf.DUMMYFUNCTION("""COMPUTED_VALUE"""),"Active")</f>
        <v>Active</v>
      </c>
      <c r="P110" s="143">
        <f>IFERROR(__xludf.DUMMYFUNCTION("""COMPUTED_VALUE"""),31553.0)</f>
        <v>31553</v>
      </c>
      <c r="Q110" s="146" t="str">
        <f>IFERROR(__xludf.DUMMYFUNCTION("""COMPUTED_VALUE"""),"087 565 9542")</f>
        <v>087 565 9542</v>
      </c>
      <c r="R110" s="147" t="str">
        <f>IFERROR(__xludf.DUMMYFUNCTION("""COMPUTED_VALUE"""),"1101500-15-8973")</f>
        <v>1101500-15-8973</v>
      </c>
      <c r="S110" t="str">
        <f>IFERROR(__xludf.DUMMYFUNCTION("""COMPUTED_VALUE"""),"AC2785189")</f>
        <v>AC2785189</v>
      </c>
      <c r="T110" s="148">
        <f>IFERROR(__xludf.DUMMYFUNCTION("""COMPUTED_VALUE"""),44502.0)</f>
        <v>44502</v>
      </c>
      <c r="U110" s="148">
        <f>IFERROR(__xludf.DUMMYFUNCTION("""COMPUTED_VALUE"""),48153.0)</f>
        <v>48153</v>
      </c>
      <c r="V110" s="149">
        <f>IFERROR(__xludf.DUMMYFUNCTION("""COMPUTED_VALUE"""),47969.0)</f>
        <v>47969</v>
      </c>
      <c r="W110" t="str">
        <f>IFERROR(__xludf.DUMMYFUNCTION("""COMPUTED_VALUE"""),"ปลอดภัย")</f>
        <v>ปลอดภัย</v>
      </c>
      <c r="X110" t="str">
        <f>IFERROR(__xludf.DUMMYFUNCTION("""COMPUTED_VALUE"""),"Bangkok")</f>
        <v>Bangkok</v>
      </c>
      <c r="Y110" t="str">
        <f>IFERROR(__xludf.DUMMYFUNCTION("""COMPUTED_VALUE"""),"นนทบุรี")</f>
        <v>นนทบุรี</v>
      </c>
      <c r="Z110" t="str">
        <f>IFERROR(__xludf.DUMMYFUNCTION("""COMPUTED_VALUE"""),"02 961 6973")</f>
        <v>02 961 6973</v>
      </c>
      <c r="AA110" t="str">
        <f>IFERROR(__xludf.DUMMYFUNCTION("""COMPUTED_VALUE"""),"บ้าน")</f>
        <v>บ้าน</v>
      </c>
      <c r="AB110" t="str">
        <f>IFERROR(__xludf.DUMMYFUNCTION("""COMPUTED_VALUE"""),"boontharigk@airasia.com")</f>
        <v>boontharigk@airasia.com</v>
      </c>
    </row>
    <row r="111">
      <c r="A111">
        <f>IFERROR(__xludf.DUMMYFUNCTION("""COMPUTED_VALUE"""),1002984.0)</f>
        <v>1002984</v>
      </c>
      <c r="B111" t="str">
        <f>IFERROR(__xludf.DUMMYFUNCTION("""COMPUTED_VALUE"""),"Ms.")</f>
        <v>Ms.</v>
      </c>
      <c r="C111" t="str">
        <f>IFERROR(__xludf.DUMMYFUNCTION("""COMPUTED_VALUE"""),"Praepailin")</f>
        <v>Praepailin</v>
      </c>
      <c r="D111" t="str">
        <f>IFERROR(__xludf.DUMMYFUNCTION("""COMPUTED_VALUE"""),"Luckanatin")</f>
        <v>Luckanatin</v>
      </c>
      <c r="E111" t="str">
        <f>IFERROR(__xludf.DUMMYFUNCTION("""COMPUTED_VALUE"""),"Praepailin Luckanatin")</f>
        <v>Praepailin Luckanatin</v>
      </c>
      <c r="F111" t="str">
        <f>IFERROR(__xludf.DUMMYFUNCTION("""COMPUTED_VALUE"""),"นางสาว")</f>
        <v>นางสาว</v>
      </c>
      <c r="G111" t="str">
        <f>IFERROR(__xludf.DUMMYFUNCTION("""COMPUTED_VALUE"""),"แพรไพลิน")</f>
        <v>แพรไพลิน</v>
      </c>
      <c r="H111" t="str">
        <f>IFERROR(__xludf.DUMMYFUNCTION("""COMPUTED_VALUE"""),"ลัคนทิน")</f>
        <v>ลัคนทิน</v>
      </c>
      <c r="I111" t="str">
        <f>IFERROR(__xludf.DUMMYFUNCTION("""COMPUTED_VALUE"""),"แพรไพลิน ลัคนทิน")</f>
        <v>แพรไพลิน ลัคนทิน</v>
      </c>
      <c r="J111" t="str">
        <f>IFERROR(__xludf.DUMMYFUNCTION("""COMPUTED_VALUE"""),"Yim")</f>
        <v>Yim</v>
      </c>
      <c r="K111" t="str">
        <f>IFERROR(__xludf.DUMMYFUNCTION("""COMPUTED_VALUE"""),"Senior Cabin Crew")</f>
        <v>Senior Cabin Crew</v>
      </c>
      <c r="L111" t="str">
        <f>IFERROR(__xludf.DUMMYFUNCTION("""COMPUTED_VALUE"""),"DMK")</f>
        <v>DMK</v>
      </c>
      <c r="M111" s="145" t="str">
        <f>IFERROR(__xludf.DUMMYFUNCTION("""COMPUTED_VALUE"""),"Toffy Home")</f>
        <v>Toffy Home</v>
      </c>
      <c r="N111" t="str">
        <f>IFERROR(__xludf.DUMMYFUNCTION("""COMPUTED_VALUE"""),"Active")</f>
        <v>Active</v>
      </c>
      <c r="P111" s="143">
        <f>IFERROR(__xludf.DUMMYFUNCTION("""COMPUTED_VALUE"""),30725.0)</f>
        <v>30725</v>
      </c>
      <c r="Q111" s="146" t="str">
        <f>IFERROR(__xludf.DUMMYFUNCTION("""COMPUTED_VALUE"""),"089 183 9963")</f>
        <v>089 183 9963</v>
      </c>
      <c r="R111" s="147" t="str">
        <f>IFERROR(__xludf.DUMMYFUNCTION("""COMPUTED_VALUE"""),"1229900-01-0287")</f>
        <v>1229900-01-0287</v>
      </c>
      <c r="S111" t="str">
        <f>IFERROR(__xludf.DUMMYFUNCTION("""COMPUTED_VALUE"""),"AC7111385")</f>
        <v>AC7111385</v>
      </c>
      <c r="T111" s="148">
        <f>IFERROR(__xludf.DUMMYFUNCTION("""COMPUTED_VALUE"""),45608.0)</f>
        <v>45608</v>
      </c>
      <c r="U111" s="148">
        <f>IFERROR(__xludf.DUMMYFUNCTION("""COMPUTED_VALUE"""),49259.0)</f>
        <v>49259</v>
      </c>
      <c r="V111" s="149">
        <f>IFERROR(__xludf.DUMMYFUNCTION("""COMPUTED_VALUE"""),49075.0)</f>
        <v>49075</v>
      </c>
      <c r="W111" t="str">
        <f>IFERROR(__xludf.DUMMYFUNCTION("""COMPUTED_VALUE"""),"ปลอดภัย")</f>
        <v>ปลอดภัย</v>
      </c>
      <c r="X111" t="str">
        <f>IFERROR(__xludf.DUMMYFUNCTION("""COMPUTED_VALUE"""),"Chanthaburi Province")</f>
        <v>Chanthaburi Province</v>
      </c>
      <c r="Y111" t="str">
        <f>IFERROR(__xludf.DUMMYFUNCTION("""COMPUTED_VALUE"""),"ลาดกระบัง")</f>
        <v>ลาดกระบัง</v>
      </c>
      <c r="Z111" t="str">
        <f>IFERROR(__xludf.DUMMYFUNCTION("""COMPUTED_VALUE"""),"086 139 7813")</f>
        <v>086 139 7813</v>
      </c>
      <c r="AA111" t="str">
        <f>IFERROR(__xludf.DUMMYFUNCTION("""COMPUTED_VALUE"""),"แม่")</f>
        <v>แม่</v>
      </c>
      <c r="AB111" t="str">
        <f>IFERROR(__xludf.DUMMYFUNCTION("""COMPUTED_VALUE"""),"praepailinl@airasia.com")</f>
        <v>praepailinl@airasia.com</v>
      </c>
    </row>
    <row r="112">
      <c r="A112">
        <f>IFERROR(__xludf.DUMMYFUNCTION("""COMPUTED_VALUE"""),1002986.0)</f>
        <v>1002986</v>
      </c>
      <c r="B112" t="str">
        <f>IFERROR(__xludf.DUMMYFUNCTION("""COMPUTED_VALUE"""),"Ms.")</f>
        <v>Ms.</v>
      </c>
      <c r="C112" t="str">
        <f>IFERROR(__xludf.DUMMYFUNCTION("""COMPUTED_VALUE"""),"Sirikhwan")</f>
        <v>Sirikhwan</v>
      </c>
      <c r="D112" t="str">
        <f>IFERROR(__xludf.DUMMYFUNCTION("""COMPUTED_VALUE"""),"Siringoen")</f>
        <v>Siringoen</v>
      </c>
      <c r="E112" t="str">
        <f>IFERROR(__xludf.DUMMYFUNCTION("""COMPUTED_VALUE"""),"Sirikhwan Siringoen")</f>
        <v>Sirikhwan Siringoen</v>
      </c>
      <c r="F112" t="str">
        <f>IFERROR(__xludf.DUMMYFUNCTION("""COMPUTED_VALUE"""),"นางสาว")</f>
        <v>นางสาว</v>
      </c>
      <c r="G112" t="str">
        <f>IFERROR(__xludf.DUMMYFUNCTION("""COMPUTED_VALUE"""),"ศิริขวัญ")</f>
        <v>ศิริขวัญ</v>
      </c>
      <c r="H112" t="str">
        <f>IFERROR(__xludf.DUMMYFUNCTION("""COMPUTED_VALUE"""),"ศิริเงิน")</f>
        <v>ศิริเงิน</v>
      </c>
      <c r="I112" t="str">
        <f>IFERROR(__xludf.DUMMYFUNCTION("""COMPUTED_VALUE"""),"ศิริขวัญ ศิริเงิน")</f>
        <v>ศิริขวัญ ศิริเงิน</v>
      </c>
      <c r="J112" t="str">
        <f>IFERROR(__xludf.DUMMYFUNCTION("""COMPUTED_VALUE"""),"Fon")</f>
        <v>Fon</v>
      </c>
      <c r="K112" t="str">
        <f>IFERROR(__xludf.DUMMYFUNCTION("""COMPUTED_VALUE"""),"Senior Cabin Crew")</f>
        <v>Senior Cabin Crew</v>
      </c>
      <c r="L112" t="str">
        <f>IFERROR(__xludf.DUMMYFUNCTION("""COMPUTED_VALUE"""),"DMK")</f>
        <v>DMK</v>
      </c>
      <c r="M112" s="145" t="str">
        <f>IFERROR(__xludf.DUMMYFUNCTION("""COMPUTED_VALUE"""),"Toffy Home")</f>
        <v>Toffy Home</v>
      </c>
      <c r="N112" t="str">
        <f>IFERROR(__xludf.DUMMYFUNCTION("""COMPUTED_VALUE"""),"Active")</f>
        <v>Active</v>
      </c>
      <c r="P112" s="143">
        <f>IFERROR(__xludf.DUMMYFUNCTION("""COMPUTED_VALUE"""),31260.0)</f>
        <v>31260</v>
      </c>
      <c r="Q112" s="146" t="str">
        <f>IFERROR(__xludf.DUMMYFUNCTION("""COMPUTED_VALUE"""),"092 464 4553")</f>
        <v>092 464 4553</v>
      </c>
      <c r="R112" s="147" t="str">
        <f>IFERROR(__xludf.DUMMYFUNCTION("""COMPUTED_VALUE"""),"1100600-03-0978")</f>
        <v>1100600-03-0978</v>
      </c>
      <c r="S112" t="str">
        <f>IFERROR(__xludf.DUMMYFUNCTION("""COMPUTED_VALUE"""),"AC2322857")</f>
        <v>AC2322857</v>
      </c>
      <c r="T112" s="148">
        <f>IFERROR(__xludf.DUMMYFUNCTION("""COMPUTED_VALUE"""),44365.0)</f>
        <v>44365</v>
      </c>
      <c r="U112" s="148">
        <f>IFERROR(__xludf.DUMMYFUNCTION("""COMPUTED_VALUE"""),48016.0)</f>
        <v>48016</v>
      </c>
      <c r="V112" s="149">
        <f>IFERROR(__xludf.DUMMYFUNCTION("""COMPUTED_VALUE"""),47834.0)</f>
        <v>47834</v>
      </c>
      <c r="W112" t="str">
        <f>IFERROR(__xludf.DUMMYFUNCTION("""COMPUTED_VALUE"""),"ปลอดภัย")</f>
        <v>ปลอดภัย</v>
      </c>
      <c r="X112" t="str">
        <f>IFERROR(__xludf.DUMMYFUNCTION("""COMPUTED_VALUE"""),"Bangkok")</f>
        <v>Bangkok</v>
      </c>
      <c r="Y112" t="str">
        <f>IFERROR(__xludf.DUMMYFUNCTION("""COMPUTED_VALUE"""),"หนองจอก")</f>
        <v>หนองจอก</v>
      </c>
      <c r="Z112" t="str">
        <f>IFERROR(__xludf.DUMMYFUNCTION("""COMPUTED_VALUE"""),"! Update !")</f>
        <v>! Update !</v>
      </c>
      <c r="AA112" t="str">
        <f>IFERROR(__xludf.DUMMYFUNCTION("""COMPUTED_VALUE"""),"! Update !")</f>
        <v>! Update !</v>
      </c>
      <c r="AB112" t="str">
        <f>IFERROR(__xludf.DUMMYFUNCTION("""COMPUTED_VALUE"""),"sirikhwans@airasia.com")</f>
        <v>sirikhwans@airasia.com</v>
      </c>
    </row>
    <row r="113">
      <c r="A113">
        <f>IFERROR(__xludf.DUMMYFUNCTION("""COMPUTED_VALUE"""),1002987.0)</f>
        <v>1002987</v>
      </c>
      <c r="B113" t="str">
        <f>IFERROR(__xludf.DUMMYFUNCTION("""COMPUTED_VALUE"""),"Mr.")</f>
        <v>Mr.</v>
      </c>
      <c r="C113" t="str">
        <f>IFERROR(__xludf.DUMMYFUNCTION("""COMPUTED_VALUE"""),"Thanet")</f>
        <v>Thanet</v>
      </c>
      <c r="D113" t="str">
        <f>IFERROR(__xludf.DUMMYFUNCTION("""COMPUTED_VALUE"""),"Ardhan")</f>
        <v>Ardhan</v>
      </c>
      <c r="E113" t="str">
        <f>IFERROR(__xludf.DUMMYFUNCTION("""COMPUTED_VALUE"""),"Thanet Ardhan")</f>
        <v>Thanet Ardhan</v>
      </c>
      <c r="F113" t="str">
        <f>IFERROR(__xludf.DUMMYFUNCTION("""COMPUTED_VALUE"""),"นาย")</f>
        <v>นาย</v>
      </c>
      <c r="G113" t="str">
        <f>IFERROR(__xludf.DUMMYFUNCTION("""COMPUTED_VALUE"""),"ธเนศ")</f>
        <v>ธเนศ</v>
      </c>
      <c r="H113" t="str">
        <f>IFERROR(__xludf.DUMMYFUNCTION("""COMPUTED_VALUE"""),"อาจหาญ")</f>
        <v>อาจหาญ</v>
      </c>
      <c r="I113" t="str">
        <f>IFERROR(__xludf.DUMMYFUNCTION("""COMPUTED_VALUE"""),"ธเนศ อาจหาญ")</f>
        <v>ธเนศ อาจหาญ</v>
      </c>
      <c r="J113" t="str">
        <f>IFERROR(__xludf.DUMMYFUNCTION("""COMPUTED_VALUE"""),"Boh")</f>
        <v>Boh</v>
      </c>
      <c r="K113" t="str">
        <f>IFERROR(__xludf.DUMMYFUNCTION("""COMPUTED_VALUE"""),"Senior Cabin Crew")</f>
        <v>Senior Cabin Crew</v>
      </c>
      <c r="L113" t="str">
        <f>IFERROR(__xludf.DUMMYFUNCTION("""COMPUTED_VALUE"""),"DMK")</f>
        <v>DMK</v>
      </c>
      <c r="M113" s="145" t="str">
        <f>IFERROR(__xludf.DUMMYFUNCTION("""COMPUTED_VALUE"""),"Kor Home")</f>
        <v>Kor Home</v>
      </c>
      <c r="N113" t="str">
        <f>IFERROR(__xludf.DUMMYFUNCTION("""COMPUTED_VALUE"""),"Active")</f>
        <v>Active</v>
      </c>
      <c r="O113" t="str">
        <f>IFERROR(__xludf.DUMMYFUNCTION("""COMPUTED_VALUE"""),"Chinese Speaking")</f>
        <v>Chinese Speaking</v>
      </c>
      <c r="P113" s="143">
        <f>IFERROR(__xludf.DUMMYFUNCTION("""COMPUTED_VALUE"""),30716.0)</f>
        <v>30716</v>
      </c>
      <c r="Q113" s="146" t="str">
        <f>IFERROR(__xludf.DUMMYFUNCTION("""COMPUTED_VALUE"""),"061 821 8176")</f>
        <v>061 821 8176</v>
      </c>
      <c r="R113" s="147" t="str">
        <f>IFERROR(__xludf.DUMMYFUNCTION("""COMPUTED_VALUE"""),"1490500-00-8102")</f>
        <v>1490500-00-8102</v>
      </c>
      <c r="S113" t="str">
        <f>IFERROR(__xludf.DUMMYFUNCTION("""COMPUTED_VALUE"""),"AC4274378")</f>
        <v>AC4274378</v>
      </c>
      <c r="T113" s="148">
        <f>IFERROR(__xludf.DUMMYFUNCTION("""COMPUTED_VALUE"""),44908.0)</f>
        <v>44908</v>
      </c>
      <c r="U113" s="148">
        <f>IFERROR(__xludf.DUMMYFUNCTION("""COMPUTED_VALUE"""),48560.0)</f>
        <v>48560</v>
      </c>
      <c r="V113" s="149">
        <f>IFERROR(__xludf.DUMMYFUNCTION("""COMPUTED_VALUE"""),48377.0)</f>
        <v>48377</v>
      </c>
      <c r="W113" t="str">
        <f>IFERROR(__xludf.DUMMYFUNCTION("""COMPUTED_VALUE"""),"ปลอดภัย")</f>
        <v>ปลอดภัย</v>
      </c>
      <c r="X113" t="str">
        <f>IFERROR(__xludf.DUMMYFUNCTION("""COMPUTED_VALUE"""),"Mukdahan Province")</f>
        <v>Mukdahan Province</v>
      </c>
      <c r="Y113" t="str">
        <f>IFERROR(__xludf.DUMMYFUNCTION("""COMPUTED_VALUE"""),"ห้วยขวาง")</f>
        <v>ห้วยขวาง</v>
      </c>
      <c r="Z113" t="str">
        <f>IFERROR(__xludf.DUMMYFUNCTION("""COMPUTED_VALUE"""),"082 118 8039")</f>
        <v>082 118 8039</v>
      </c>
      <c r="AA113" t="str">
        <f>IFERROR(__xludf.DUMMYFUNCTION("""COMPUTED_VALUE"""),"พ่อ")</f>
        <v>พ่อ</v>
      </c>
      <c r="AB113" t="str">
        <f>IFERROR(__xludf.DUMMYFUNCTION("""COMPUTED_VALUE"""),"thaneta@airasia.com")</f>
        <v>thaneta@airasia.com</v>
      </c>
    </row>
    <row r="114">
      <c r="AB114" t="str">
        <f>IFERROR(__xludf.DUMMYFUNCTION("""COMPUTED_VALUE"""),"")</f>
        <v/>
      </c>
    </row>
    <row r="115">
      <c r="A115">
        <f>IFERROR(__xludf.DUMMYFUNCTION("""COMPUTED_VALUE"""),1003047.0)</f>
        <v>1003047</v>
      </c>
      <c r="B115" t="str">
        <f>IFERROR(__xludf.DUMMYFUNCTION("""COMPUTED_VALUE"""),"Ms.")</f>
        <v>Ms.</v>
      </c>
      <c r="C115" t="str">
        <f>IFERROR(__xludf.DUMMYFUNCTION("""COMPUTED_VALUE"""),"Mananpat (Alisa)")</f>
        <v>Mananpat (Alisa)</v>
      </c>
      <c r="D115" t="str">
        <f>IFERROR(__xludf.DUMMYFUNCTION("""COMPUTED_VALUE"""),"Dechanoppawit (Phiewkhao)")</f>
        <v>Dechanoppawit (Phiewkhao)</v>
      </c>
      <c r="E115" t="str">
        <f>IFERROR(__xludf.DUMMYFUNCTION("""COMPUTED_VALUE"""),"Mananpat Dechanoppawit")</f>
        <v>Mananpat Dechanoppawit</v>
      </c>
      <c r="F115" t="str">
        <f>IFERROR(__xludf.DUMMYFUNCTION("""COMPUTED_VALUE"""),"นางสาว")</f>
        <v>นางสาว</v>
      </c>
      <c r="G115" t="str">
        <f>IFERROR(__xludf.DUMMYFUNCTION("""COMPUTED_VALUE"""),"มนันพัทธ์ (อลิสา)")</f>
        <v>มนันพัทธ์ (อลิสา)</v>
      </c>
      <c r="H115" t="str">
        <f>IFERROR(__xludf.DUMMYFUNCTION("""COMPUTED_VALUE"""),"เดชะนพวิทย์ (ผิวขาว)")</f>
        <v>เดชะนพวิทย์ (ผิวขาว)</v>
      </c>
      <c r="I115" t="str">
        <f>IFERROR(__xludf.DUMMYFUNCTION("""COMPUTED_VALUE"""),"มนันพัทธ์ เดชะนพวิทย์")</f>
        <v>มนันพัทธ์ เดชะนพวิทย์</v>
      </c>
      <c r="J115" t="str">
        <f>IFERROR(__xludf.DUMMYFUNCTION("""COMPUTED_VALUE"""),"Sa")</f>
        <v>Sa</v>
      </c>
      <c r="K115" t="str">
        <f>IFERROR(__xludf.DUMMYFUNCTION("""COMPUTED_VALUE"""),"Senior Cabin Crew")</f>
        <v>Senior Cabin Crew</v>
      </c>
      <c r="L115" t="str">
        <f>IFERROR(__xludf.DUMMYFUNCTION("""COMPUTED_VALUE"""),"DMK")</f>
        <v>DMK</v>
      </c>
      <c r="M115" s="145" t="str">
        <f>IFERROR(__xludf.DUMMYFUNCTION("""COMPUTED_VALUE"""),"Por+ Home")</f>
        <v>Por+ Home</v>
      </c>
      <c r="N115" t="str">
        <f>IFERROR(__xludf.DUMMYFUNCTION("""COMPUTED_VALUE"""),"Active")</f>
        <v>Active</v>
      </c>
      <c r="P115" s="143">
        <f>IFERROR(__xludf.DUMMYFUNCTION("""COMPUTED_VALUE"""),30214.0)</f>
        <v>30214</v>
      </c>
      <c r="Q115" s="146" t="str">
        <f>IFERROR(__xludf.DUMMYFUNCTION("""COMPUTED_VALUE"""),"091 5393626")</f>
        <v>091 5393626</v>
      </c>
      <c r="R115" s="147" t="str">
        <f>IFERROR(__xludf.DUMMYFUNCTION("""COMPUTED_VALUE"""),"3100502-56-1118")</f>
        <v>3100502-56-1118</v>
      </c>
      <c r="S115" t="str">
        <f>IFERROR(__xludf.DUMMYFUNCTION("""COMPUTED_VALUE"""),"AD0978978")</f>
        <v>AD0978978</v>
      </c>
      <c r="T115" s="148">
        <f>IFERROR(__xludf.DUMMYFUNCTION("""COMPUTED_VALUE"""),45041.0)</f>
        <v>45041</v>
      </c>
      <c r="U115" s="148">
        <f>IFERROR(__xludf.DUMMYFUNCTION("""COMPUTED_VALUE"""),48693.0)</f>
        <v>48693</v>
      </c>
      <c r="V115" s="149">
        <f>IFERROR(__xludf.DUMMYFUNCTION("""COMPUTED_VALUE"""),48511.0)</f>
        <v>48511</v>
      </c>
      <c r="W115" t="str">
        <f>IFERROR(__xludf.DUMMYFUNCTION("""COMPUTED_VALUE"""),"ปลอดภัย")</f>
        <v>ปลอดภัย</v>
      </c>
      <c r="X115" t="str">
        <f>IFERROR(__xludf.DUMMYFUNCTION("""COMPUTED_VALUE"""),"Bangkok")</f>
        <v>Bangkok</v>
      </c>
      <c r="Y115" t="str">
        <f>IFERROR(__xludf.DUMMYFUNCTION("""COMPUTED_VALUE"""),"บึงกุ่ม")</f>
        <v>บึงกุ่ม</v>
      </c>
      <c r="Z115" t="str">
        <f>IFERROR(__xludf.DUMMYFUNCTION("""COMPUTED_VALUE"""),"! Update !")</f>
        <v>! Update !</v>
      </c>
      <c r="AA115" t="str">
        <f>IFERROR(__xludf.DUMMYFUNCTION("""COMPUTED_VALUE"""),"! Update !")</f>
        <v>! Update !</v>
      </c>
      <c r="AB115" t="str">
        <f>IFERROR(__xludf.DUMMYFUNCTION("""COMPUTED_VALUE"""),"mananpatd@airasia.com")</f>
        <v>mananpatd@airasia.com</v>
      </c>
    </row>
    <row r="116">
      <c r="A116">
        <f>IFERROR(__xludf.DUMMYFUNCTION("""COMPUTED_VALUE"""),1003054.0)</f>
        <v>1003054</v>
      </c>
      <c r="B116" t="str">
        <f>IFERROR(__xludf.DUMMYFUNCTION("""COMPUTED_VALUE"""),"Ms.")</f>
        <v>Ms.</v>
      </c>
      <c r="C116" t="str">
        <f>IFERROR(__xludf.DUMMYFUNCTION("""COMPUTED_VALUE"""),"Oraphin")</f>
        <v>Oraphin</v>
      </c>
      <c r="D116" t="str">
        <f>IFERROR(__xludf.DUMMYFUNCTION("""COMPUTED_VALUE"""),"Suwongjit")</f>
        <v>Suwongjit</v>
      </c>
      <c r="E116" t="str">
        <f>IFERROR(__xludf.DUMMYFUNCTION("""COMPUTED_VALUE"""),"Oraphin Suwongjit")</f>
        <v>Oraphin Suwongjit</v>
      </c>
      <c r="F116" t="str">
        <f>IFERROR(__xludf.DUMMYFUNCTION("""COMPUTED_VALUE"""),"นางสาว")</f>
        <v>นางสาว</v>
      </c>
      <c r="G116" t="str">
        <f>IFERROR(__xludf.DUMMYFUNCTION("""COMPUTED_VALUE"""),"อรพินท์")</f>
        <v>อรพินท์</v>
      </c>
      <c r="H116" t="str">
        <f>IFERROR(__xludf.DUMMYFUNCTION("""COMPUTED_VALUE"""),"สุวงษ์จิต")</f>
        <v>สุวงษ์จิต</v>
      </c>
      <c r="I116" t="str">
        <f>IFERROR(__xludf.DUMMYFUNCTION("""COMPUTED_VALUE"""),"อรพินท์ สุวงษ์จิต")</f>
        <v>อรพินท์ สุวงษ์จิต</v>
      </c>
      <c r="J116" t="str">
        <f>IFERROR(__xludf.DUMMYFUNCTION("""COMPUTED_VALUE"""),"Tick")</f>
        <v>Tick</v>
      </c>
      <c r="K116" t="str">
        <f>IFERROR(__xludf.DUMMYFUNCTION("""COMPUTED_VALUE"""),"Senior Cabin Crew")</f>
        <v>Senior Cabin Crew</v>
      </c>
      <c r="L116" t="str">
        <f>IFERROR(__xludf.DUMMYFUNCTION("""COMPUTED_VALUE"""),"DMK")</f>
        <v>DMK</v>
      </c>
      <c r="M116" s="145" t="str">
        <f>IFERROR(__xludf.DUMMYFUNCTION("""COMPUTED_VALUE"""),"Por+ Home")</f>
        <v>Por+ Home</v>
      </c>
      <c r="N116" t="str">
        <f>IFERROR(__xludf.DUMMYFUNCTION("""COMPUTED_VALUE"""),"Active")</f>
        <v>Active</v>
      </c>
      <c r="P116" s="143">
        <f>IFERROR(__xludf.DUMMYFUNCTION("""COMPUTED_VALUE"""),30794.0)</f>
        <v>30794</v>
      </c>
      <c r="Q116" s="146" t="str">
        <f>IFERROR(__xludf.DUMMYFUNCTION("""COMPUTED_VALUE"""),"086 352 5591")</f>
        <v>086 352 5591</v>
      </c>
      <c r="R116" s="147" t="str">
        <f>IFERROR(__xludf.DUMMYFUNCTION("""COMPUTED_VALUE"""),"1719900-00-8938")</f>
        <v>1719900-00-8938</v>
      </c>
      <c r="S116" t="str">
        <f>IFERROR(__xludf.DUMMYFUNCTION("""COMPUTED_VALUE"""),"AC5812392")</f>
        <v>AC5812392</v>
      </c>
      <c r="T116" s="148">
        <f>IFERROR(__xludf.DUMMYFUNCTION("""COMPUTED_VALUE"""),45189.0)</f>
        <v>45189</v>
      </c>
      <c r="U116" s="148">
        <f>IFERROR(__xludf.DUMMYFUNCTION("""COMPUTED_VALUE"""),48841.0)</f>
        <v>48841</v>
      </c>
      <c r="V116" s="149">
        <f>IFERROR(__xludf.DUMMYFUNCTION("""COMPUTED_VALUE"""),48657.0)</f>
        <v>48657</v>
      </c>
      <c r="W116" t="str">
        <f>IFERROR(__xludf.DUMMYFUNCTION("""COMPUTED_VALUE"""),"ปลอดภัย")</f>
        <v>ปลอดภัย</v>
      </c>
      <c r="X116" t="str">
        <f>IFERROR(__xludf.DUMMYFUNCTION("""COMPUTED_VALUE"""),"Kanchanaburi Province")</f>
        <v>Kanchanaburi Province</v>
      </c>
      <c r="Y116" t="str">
        <f>IFERROR(__xludf.DUMMYFUNCTION("""COMPUTED_VALUE"""),"กิ่งแก้ว")</f>
        <v>กิ่งแก้ว</v>
      </c>
      <c r="Z116" t="str">
        <f>IFERROR(__xludf.DUMMYFUNCTION("""COMPUTED_VALUE"""),"083 078 5682")</f>
        <v>083 078 5682</v>
      </c>
      <c r="AA116" t="str">
        <f>IFERROR(__xludf.DUMMYFUNCTION("""COMPUTED_VALUE"""),"แฟน")</f>
        <v>แฟน</v>
      </c>
      <c r="AB116" t="str">
        <f>IFERROR(__xludf.DUMMYFUNCTION("""COMPUTED_VALUE"""),"oraphins@airasia.com")</f>
        <v>oraphins@airasia.com</v>
      </c>
    </row>
    <row r="117">
      <c r="A117">
        <f>IFERROR(__xludf.DUMMYFUNCTION("""COMPUTED_VALUE"""),1003055.0)</f>
        <v>1003055</v>
      </c>
      <c r="B117" t="str">
        <f>IFERROR(__xludf.DUMMYFUNCTION("""COMPUTED_VALUE"""),"Mr.")</f>
        <v>Mr.</v>
      </c>
      <c r="C117" t="str">
        <f>IFERROR(__xludf.DUMMYFUNCTION("""COMPUTED_VALUE"""),"Pachara")</f>
        <v>Pachara</v>
      </c>
      <c r="D117" t="str">
        <f>IFERROR(__xludf.DUMMYFUNCTION("""COMPUTED_VALUE"""),"Nonthapak")</f>
        <v>Nonthapak</v>
      </c>
      <c r="E117" t="str">
        <f>IFERROR(__xludf.DUMMYFUNCTION("""COMPUTED_VALUE"""),"Pachara Nonthapak")</f>
        <v>Pachara Nonthapak</v>
      </c>
      <c r="F117" t="str">
        <f>IFERROR(__xludf.DUMMYFUNCTION("""COMPUTED_VALUE"""),"นาย")</f>
        <v>นาย</v>
      </c>
      <c r="G117" t="str">
        <f>IFERROR(__xludf.DUMMYFUNCTION("""COMPUTED_VALUE"""),"พชร")</f>
        <v>พชร</v>
      </c>
      <c r="H117" t="str">
        <f>IFERROR(__xludf.DUMMYFUNCTION("""COMPUTED_VALUE"""),"นนทภักดิ์")</f>
        <v>นนทภักดิ์</v>
      </c>
      <c r="I117" t="str">
        <f>IFERROR(__xludf.DUMMYFUNCTION("""COMPUTED_VALUE"""),"พชร นนทภักดิ์")</f>
        <v>พชร นนทภักดิ์</v>
      </c>
      <c r="J117" t="str">
        <f>IFERROR(__xludf.DUMMYFUNCTION("""COMPUTED_VALUE"""),"Petch")</f>
        <v>Petch</v>
      </c>
      <c r="K117" t="str">
        <f>IFERROR(__xludf.DUMMYFUNCTION("""COMPUTED_VALUE"""),"Senior Cabin Crew")</f>
        <v>Senior Cabin Crew</v>
      </c>
      <c r="L117" t="str">
        <f>IFERROR(__xludf.DUMMYFUNCTION("""COMPUTED_VALUE"""),"DMK")</f>
        <v>DMK</v>
      </c>
      <c r="M117" s="145" t="str">
        <f>IFERROR(__xludf.DUMMYFUNCTION("""COMPUTED_VALUE"""),"Namfon Home")</f>
        <v>Namfon Home</v>
      </c>
      <c r="N117" t="str">
        <f>IFERROR(__xludf.DUMMYFUNCTION("""COMPUTED_VALUE"""),"Active")</f>
        <v>Active</v>
      </c>
      <c r="O117" t="str">
        <f>IFERROR(__xludf.DUMMYFUNCTION("""COMPUTED_VALUE"""),"SCC Line Checker 2025")</f>
        <v>SCC Line Checker 2025</v>
      </c>
      <c r="P117" s="143">
        <f>IFERROR(__xludf.DUMMYFUNCTION("""COMPUTED_VALUE"""),31313.0)</f>
        <v>31313</v>
      </c>
      <c r="Q117" s="146" t="str">
        <f>IFERROR(__xludf.DUMMYFUNCTION("""COMPUTED_VALUE"""),"090 403 1524")</f>
        <v>090 403 1524</v>
      </c>
      <c r="R117" s="147" t="str">
        <f>IFERROR(__xludf.DUMMYFUNCTION("""COMPUTED_VALUE"""),"1809900-08-1367")</f>
        <v>1809900-08-1367</v>
      </c>
      <c r="S117" t="str">
        <f>IFERROR(__xludf.DUMMYFUNCTION("""COMPUTED_VALUE"""),"AC5191560")</f>
        <v>AC5191560</v>
      </c>
      <c r="T117" s="148">
        <f>IFERROR(__xludf.DUMMYFUNCTION("""COMPUTED_VALUE"""),45316.0)</f>
        <v>45316</v>
      </c>
      <c r="U117" s="148">
        <f>IFERROR(__xludf.DUMMYFUNCTION("""COMPUTED_VALUE"""),48968.0)</f>
        <v>48968</v>
      </c>
      <c r="V117" s="149">
        <f>IFERROR(__xludf.DUMMYFUNCTION("""COMPUTED_VALUE"""),48784.0)</f>
        <v>48784</v>
      </c>
      <c r="W117" t="str">
        <f>IFERROR(__xludf.DUMMYFUNCTION("""COMPUTED_VALUE"""),"ปลอดภัย")</f>
        <v>ปลอดภัย</v>
      </c>
      <c r="X117" t="str">
        <f>IFERROR(__xludf.DUMMYFUNCTION("""COMPUTED_VALUE"""),"Nakhon Si Thammarat Province")</f>
        <v>Nakhon Si Thammarat Province</v>
      </c>
      <c r="Y117" t="str">
        <f>IFERROR(__xludf.DUMMYFUNCTION("""COMPUTED_VALUE"""),"ฉะเชิงเทรา อำเภอเมือง")</f>
        <v>ฉะเชิงเทรา อำเภอเมือง</v>
      </c>
      <c r="Z117" t="str">
        <f>IFERROR(__xludf.DUMMYFUNCTION("""COMPUTED_VALUE"""),"086 538 9203")</f>
        <v>086 538 9203</v>
      </c>
      <c r="AA117" t="str">
        <f>IFERROR(__xludf.DUMMYFUNCTION("""COMPUTED_VALUE"""),"แม่")</f>
        <v>แม่</v>
      </c>
      <c r="AB117" t="str">
        <f>IFERROR(__xludf.DUMMYFUNCTION("""COMPUTED_VALUE"""),"pacharan@airasia.com")</f>
        <v>pacharan@airasia.com</v>
      </c>
    </row>
    <row r="118">
      <c r="AB118" t="str">
        <f>IFERROR(__xludf.DUMMYFUNCTION("""COMPUTED_VALUE"""),"")</f>
        <v/>
      </c>
    </row>
    <row r="119">
      <c r="A119">
        <f>IFERROR(__xludf.DUMMYFUNCTION("""COMPUTED_VALUE"""),1003217.0)</f>
        <v>1003217</v>
      </c>
      <c r="B119" t="str">
        <f>IFERROR(__xludf.DUMMYFUNCTION("""COMPUTED_VALUE"""),"Mr.")</f>
        <v>Mr.</v>
      </c>
      <c r="C119" t="str">
        <f>IFERROR(__xludf.DUMMYFUNCTION("""COMPUTED_VALUE"""),"Athitkorn (Anucha)")</f>
        <v>Athitkorn (Anucha)</v>
      </c>
      <c r="D119" t="str">
        <f>IFERROR(__xludf.DUMMYFUNCTION("""COMPUTED_VALUE"""),"Pattaranonsawat  (Sansawat)")</f>
        <v>Pattaranonsawat  (Sansawat)</v>
      </c>
      <c r="E119" t="str">
        <f>IFERROR(__xludf.DUMMYFUNCTION("""COMPUTED_VALUE"""),"Athitkorn Pattaranonsawat")</f>
        <v>Athitkorn Pattaranonsawat</v>
      </c>
      <c r="F119" t="str">
        <f>IFERROR(__xludf.DUMMYFUNCTION("""COMPUTED_VALUE"""),"นาย")</f>
        <v>นาย</v>
      </c>
      <c r="G119" t="str">
        <f>IFERROR(__xludf.DUMMYFUNCTION("""COMPUTED_VALUE"""),"อธิษฐ์กร (อนุชา)")</f>
        <v>อธิษฐ์กร (อนุชา)</v>
      </c>
      <c r="H119" t="str">
        <f>IFERROR(__xludf.DUMMYFUNCTION("""COMPUTED_VALUE"""),"ภัทรนลสวัสดิ์ (แสนสวัสดิ์)")</f>
        <v>ภัทรนลสวัสดิ์ (แสนสวัสดิ์)</v>
      </c>
      <c r="I119" t="str">
        <f>IFERROR(__xludf.DUMMYFUNCTION("""COMPUTED_VALUE"""),"อธิษฐ์กร ภัทรนลสวัสดิ์")</f>
        <v>อธิษฐ์กร ภัทรนลสวัสดิ์</v>
      </c>
      <c r="J119" t="str">
        <f>IFERROR(__xludf.DUMMYFUNCTION("""COMPUTED_VALUE"""),"โอ๋ย")</f>
        <v>โอ๋ย</v>
      </c>
      <c r="K119" t="str">
        <f>IFERROR(__xludf.DUMMYFUNCTION("""COMPUTED_VALUE"""),"Senior Cabin Crew")</f>
        <v>Senior Cabin Crew</v>
      </c>
      <c r="L119" t="str">
        <f>IFERROR(__xludf.DUMMYFUNCTION("""COMPUTED_VALUE"""),"DMK")</f>
        <v>DMK</v>
      </c>
      <c r="M119" s="145" t="str">
        <f>IFERROR(__xludf.DUMMYFUNCTION("""COMPUTED_VALUE"""),"Toffy Home")</f>
        <v>Toffy Home</v>
      </c>
      <c r="N119" t="str">
        <f>IFERROR(__xludf.DUMMYFUNCTION("""COMPUTED_VALUE"""),"Active")</f>
        <v>Active</v>
      </c>
      <c r="P119" s="143">
        <f>IFERROR(__xludf.DUMMYFUNCTION("""COMPUTED_VALUE"""),31491.0)</f>
        <v>31491</v>
      </c>
      <c r="Q119" s="146" t="str">
        <f>IFERROR(__xludf.DUMMYFUNCTION("""COMPUTED_VALUE"""),"086 515 6646")</f>
        <v>086 515 6646</v>
      </c>
      <c r="R119" s="147" t="str">
        <f>IFERROR(__xludf.DUMMYFUNCTION("""COMPUTED_VALUE"""),"1179900-05-6008")</f>
        <v>1179900-05-6008</v>
      </c>
      <c r="S119" t="str">
        <f>IFERROR(__xludf.DUMMYFUNCTION("""COMPUTED_VALUE"""),"AD0704545")</f>
        <v>AD0704545</v>
      </c>
      <c r="T119" s="148">
        <f>IFERROR(__xludf.DUMMYFUNCTION("""COMPUTED_VALUE"""),44956.0)</f>
        <v>44956</v>
      </c>
      <c r="U119" s="148">
        <f>IFERROR(__xludf.DUMMYFUNCTION("""COMPUTED_VALUE"""),48608.0)</f>
        <v>48608</v>
      </c>
      <c r="V119" s="149">
        <f>IFERROR(__xludf.DUMMYFUNCTION("""COMPUTED_VALUE"""),48424.0)</f>
        <v>48424</v>
      </c>
      <c r="W119" t="str">
        <f>IFERROR(__xludf.DUMMYFUNCTION("""COMPUTED_VALUE"""),"ปลอดภัย")</f>
        <v>ปลอดภัย</v>
      </c>
      <c r="X119" t="str">
        <f>IFERROR(__xludf.DUMMYFUNCTION("""COMPUTED_VALUE"""),"Sing Buri Province")</f>
        <v>Sing Buri Province</v>
      </c>
      <c r="Y119" t="str">
        <f>IFERROR(__xludf.DUMMYFUNCTION("""COMPUTED_VALUE"""),"นนทบุรี ปากเกร็ด")</f>
        <v>นนทบุรี ปากเกร็ด</v>
      </c>
      <c r="Z119" t="str">
        <f>IFERROR(__xludf.DUMMYFUNCTION("""COMPUTED_VALUE"""),"089 885 4939")</f>
        <v>089 885 4939</v>
      </c>
      <c r="AA119" t="str">
        <f>IFERROR(__xludf.DUMMYFUNCTION("""COMPUTED_VALUE"""),"แม่")</f>
        <v>แม่</v>
      </c>
      <c r="AB119" t="str">
        <f>IFERROR(__xludf.DUMMYFUNCTION("""COMPUTED_VALUE"""),"athitkornp@airasia.com")</f>
        <v>athitkornp@airasia.com</v>
      </c>
    </row>
    <row r="120">
      <c r="A120">
        <f>IFERROR(__xludf.DUMMYFUNCTION("""COMPUTED_VALUE"""),1003220.0)</f>
        <v>1003220</v>
      </c>
      <c r="B120" t="str">
        <f>IFERROR(__xludf.DUMMYFUNCTION("""COMPUTED_VALUE"""),"Ms.")</f>
        <v>Ms.</v>
      </c>
      <c r="C120" t="str">
        <f>IFERROR(__xludf.DUMMYFUNCTION("""COMPUTED_VALUE"""),"Pathita")</f>
        <v>Pathita</v>
      </c>
      <c r="D120" t="str">
        <f>IFERROR(__xludf.DUMMYFUNCTION("""COMPUTED_VALUE"""),"Leepeeravitit")</f>
        <v>Leepeeravitit</v>
      </c>
      <c r="E120" t="str">
        <f>IFERROR(__xludf.DUMMYFUNCTION("""COMPUTED_VALUE"""),"Pathita Leepeeravitit")</f>
        <v>Pathita Leepeeravitit</v>
      </c>
      <c r="F120" t="str">
        <f>IFERROR(__xludf.DUMMYFUNCTION("""COMPUTED_VALUE"""),"นางสาว")</f>
        <v>นางสาว</v>
      </c>
      <c r="G120" t="str">
        <f>IFERROR(__xludf.DUMMYFUNCTION("""COMPUTED_VALUE"""),"ปทิตตา")</f>
        <v>ปทิตตา</v>
      </c>
      <c r="H120" t="str">
        <f>IFERROR(__xludf.DUMMYFUNCTION("""COMPUTED_VALUE"""),"ลีพีรวิทิต")</f>
        <v>ลีพีรวิทิต</v>
      </c>
      <c r="I120" t="str">
        <f>IFERROR(__xludf.DUMMYFUNCTION("""COMPUTED_VALUE"""),"ปทิตตา ลีพีรวิทิต")</f>
        <v>ปทิตตา ลีพีรวิทิต</v>
      </c>
      <c r="J120" t="str">
        <f>IFERROR(__xludf.DUMMYFUNCTION("""COMPUTED_VALUE"""),"PaiLin")</f>
        <v>PaiLin</v>
      </c>
      <c r="K120" t="str">
        <f>IFERROR(__xludf.DUMMYFUNCTION("""COMPUTED_VALUE"""),"Cabin Crew - BKK")</f>
        <v>Cabin Crew - BKK</v>
      </c>
      <c r="L120" t="str">
        <f>IFERROR(__xludf.DUMMYFUNCTION("""COMPUTED_VALUE"""),"BKK")</f>
        <v>BKK</v>
      </c>
      <c r="M120" s="145" t="str">
        <f>IFERROR(__xludf.DUMMYFUNCTION("""COMPUTED_VALUE"""),"Nhui Home")</f>
        <v>Nhui Home</v>
      </c>
      <c r="N120" t="str">
        <f>IFERROR(__xludf.DUMMYFUNCTION("""COMPUTED_VALUE"""),"Active")</f>
        <v>Active</v>
      </c>
      <c r="P120" s="143">
        <f>IFERROR(__xludf.DUMMYFUNCTION("""COMPUTED_VALUE"""),31051.0)</f>
        <v>31051</v>
      </c>
      <c r="Q120" s="146" t="str">
        <f>IFERROR(__xludf.DUMMYFUNCTION("""COMPUTED_VALUE"""),"086 569 6363")</f>
        <v>086 569 6363</v>
      </c>
      <c r="R120" s="147" t="str">
        <f>IFERROR(__xludf.DUMMYFUNCTION("""COMPUTED_VALUE"""),"1100800-10-8890")</f>
        <v>1100800-10-8890</v>
      </c>
      <c r="S120" t="str">
        <f>IFERROR(__xludf.DUMMYFUNCTION("""COMPUTED_VALUE"""),"AD1527191")</f>
        <v>AD1527191</v>
      </c>
      <c r="T120" s="148">
        <f>IFERROR(__xludf.DUMMYFUNCTION("""COMPUTED_VALUE"""),45299.0)</f>
        <v>45299</v>
      </c>
      <c r="U120" s="148">
        <f>IFERROR(__xludf.DUMMYFUNCTION("""COMPUTED_VALUE"""),48951.0)</f>
        <v>48951</v>
      </c>
      <c r="V120" s="149">
        <f>IFERROR(__xludf.DUMMYFUNCTION("""COMPUTED_VALUE"""),48767.0)</f>
        <v>48767</v>
      </c>
      <c r="W120" t="str">
        <f>IFERROR(__xludf.DUMMYFUNCTION("""COMPUTED_VALUE"""),"ปลอดภัย")</f>
        <v>ปลอดภัย</v>
      </c>
      <c r="X120" t="str">
        <f>IFERROR(__xludf.DUMMYFUNCTION("""COMPUTED_VALUE"""),"Bangkok")</f>
        <v>Bangkok</v>
      </c>
      <c r="Y120" t="str">
        <f>IFERROR(__xludf.DUMMYFUNCTION("""COMPUTED_VALUE"""),"พระนคร")</f>
        <v>พระนคร</v>
      </c>
      <c r="Z120" t="str">
        <f>IFERROR(__xludf.DUMMYFUNCTION("""COMPUTED_VALUE"""),"086 701 2262")</f>
        <v>086 701 2262</v>
      </c>
      <c r="AA120" t="str">
        <f>IFERROR(__xludf.DUMMYFUNCTION("""COMPUTED_VALUE"""),"แม่")</f>
        <v>แม่</v>
      </c>
      <c r="AB120" t="str">
        <f>IFERROR(__xludf.DUMMYFUNCTION("""COMPUTED_VALUE"""),"pathital@airasia.com")</f>
        <v>pathital@airasia.com</v>
      </c>
    </row>
    <row r="121">
      <c r="A121">
        <f>IFERROR(__xludf.DUMMYFUNCTION("""COMPUTED_VALUE"""),1003222.0)</f>
        <v>1003222</v>
      </c>
      <c r="B121" t="str">
        <f>IFERROR(__xludf.DUMMYFUNCTION("""COMPUTED_VALUE"""),"Ms.")</f>
        <v>Ms.</v>
      </c>
      <c r="C121" t="str">
        <f>IFERROR(__xludf.DUMMYFUNCTION("""COMPUTED_VALUE"""),"Ploy")</f>
        <v>Ploy</v>
      </c>
      <c r="D121" t="str">
        <f>IFERROR(__xludf.DUMMYFUNCTION("""COMPUTED_VALUE"""),"Tassanatarn")</f>
        <v>Tassanatarn</v>
      </c>
      <c r="E121" t="str">
        <f>IFERROR(__xludf.DUMMYFUNCTION("""COMPUTED_VALUE"""),"Ploy Tassanatarn")</f>
        <v>Ploy Tassanatarn</v>
      </c>
      <c r="F121" t="str">
        <f>IFERROR(__xludf.DUMMYFUNCTION("""COMPUTED_VALUE"""),"นางสาว")</f>
        <v>นางสาว</v>
      </c>
      <c r="G121" t="str">
        <f>IFERROR(__xludf.DUMMYFUNCTION("""COMPUTED_VALUE"""),"พลอย")</f>
        <v>พลอย</v>
      </c>
      <c r="H121" t="str">
        <f>IFERROR(__xludf.DUMMYFUNCTION("""COMPUTED_VALUE"""),"ทัศนะธาร")</f>
        <v>ทัศนะธาร</v>
      </c>
      <c r="I121" t="str">
        <f>IFERROR(__xludf.DUMMYFUNCTION("""COMPUTED_VALUE"""),"พลอย ทัศนะธาร")</f>
        <v>พลอย ทัศนะธาร</v>
      </c>
      <c r="J121" t="str">
        <f>IFERROR(__xludf.DUMMYFUNCTION("""COMPUTED_VALUE"""),"Ploy")</f>
        <v>Ploy</v>
      </c>
      <c r="K121" t="str">
        <f>IFERROR(__xludf.DUMMYFUNCTION("""COMPUTED_VALUE"""),"Senior Cabin Crew - CNX")</f>
        <v>Senior Cabin Crew - CNX</v>
      </c>
      <c r="L121" t="str">
        <f>IFERROR(__xludf.DUMMYFUNCTION("""COMPUTED_VALUE"""),"CNX")</f>
        <v>CNX</v>
      </c>
      <c r="M121" s="145" t="str">
        <f>IFERROR(__xludf.DUMMYFUNCTION("""COMPUTED_VALUE"""),"Up Home")</f>
        <v>Up Home</v>
      </c>
      <c r="N121" t="str">
        <f>IFERROR(__xludf.DUMMYFUNCTION("""COMPUTED_VALUE"""),"Active")</f>
        <v>Active</v>
      </c>
      <c r="P121" s="143">
        <f>IFERROR(__xludf.DUMMYFUNCTION("""COMPUTED_VALUE"""),31499.0)</f>
        <v>31499</v>
      </c>
      <c r="Q121" s="146" t="str">
        <f>IFERROR(__xludf.DUMMYFUNCTION("""COMPUTED_VALUE"""),"082 523 9456")</f>
        <v>082 523 9456</v>
      </c>
      <c r="R121" s="147" t="str">
        <f>IFERROR(__xludf.DUMMYFUNCTION("""COMPUTED_VALUE"""),"1101400-60-6974")</f>
        <v>1101400-60-6974</v>
      </c>
      <c r="S121" t="str">
        <f>IFERROR(__xludf.DUMMYFUNCTION("""COMPUTED_VALUE"""),"AC4117986")</f>
        <v>AC4117986</v>
      </c>
      <c r="T121" s="148">
        <f>IFERROR(__xludf.DUMMYFUNCTION("""COMPUTED_VALUE"""),44841.0)</f>
        <v>44841</v>
      </c>
      <c r="U121" s="148">
        <f>IFERROR(__xludf.DUMMYFUNCTION("""COMPUTED_VALUE"""),48493.0)</f>
        <v>48493</v>
      </c>
      <c r="V121" s="149">
        <f>IFERROR(__xludf.DUMMYFUNCTION("""COMPUTED_VALUE"""),48310.0)</f>
        <v>48310</v>
      </c>
      <c r="W121" t="str">
        <f>IFERROR(__xludf.DUMMYFUNCTION("""COMPUTED_VALUE"""),"ปลอดภัย")</f>
        <v>ปลอดภัย</v>
      </c>
      <c r="X121" t="str">
        <f>IFERROR(__xludf.DUMMYFUNCTION("""COMPUTED_VALUE"""),"Bangkok")</f>
        <v>Bangkok</v>
      </c>
      <c r="Y121" t="str">
        <f>IFERROR(__xludf.DUMMYFUNCTION("""COMPUTED_VALUE"""),"เชียงใหม่")</f>
        <v>เชียงใหม่</v>
      </c>
      <c r="Z121" t="str">
        <f>IFERROR(__xludf.DUMMYFUNCTION("""COMPUTED_VALUE"""),"082 523 9456")</f>
        <v>082 523 9456</v>
      </c>
      <c r="AA121" t="str">
        <f>IFERROR(__xludf.DUMMYFUNCTION("""COMPUTED_VALUE"""),"ไม่ระบุ")</f>
        <v>ไม่ระบุ</v>
      </c>
      <c r="AB121" t="str">
        <f>IFERROR(__xludf.DUMMYFUNCTION("""COMPUTED_VALUE"""),"ployt@airasia.com")</f>
        <v>ployt@airasia.com</v>
      </c>
    </row>
    <row r="122">
      <c r="A122">
        <f>IFERROR(__xludf.DUMMYFUNCTION("""COMPUTED_VALUE"""),1003224.0)</f>
        <v>1003224</v>
      </c>
      <c r="B122" t="str">
        <f>IFERROR(__xludf.DUMMYFUNCTION("""COMPUTED_VALUE"""),"Ms.")</f>
        <v>Ms.</v>
      </c>
      <c r="C122" t="str">
        <f>IFERROR(__xludf.DUMMYFUNCTION("""COMPUTED_VALUE"""),"Torpad")</f>
        <v>Torpad</v>
      </c>
      <c r="D122" t="str">
        <f>IFERROR(__xludf.DUMMYFUNCTION("""COMPUTED_VALUE"""),"Jansirigul")</f>
        <v>Jansirigul</v>
      </c>
      <c r="E122" t="str">
        <f>IFERROR(__xludf.DUMMYFUNCTION("""COMPUTED_VALUE"""),"Torpad Jansirigul")</f>
        <v>Torpad Jansirigul</v>
      </c>
      <c r="F122" t="str">
        <f>IFERROR(__xludf.DUMMYFUNCTION("""COMPUTED_VALUE"""),"นางสาว")</f>
        <v>นางสาว</v>
      </c>
      <c r="G122" t="str">
        <f>IFERROR(__xludf.DUMMYFUNCTION("""COMPUTED_VALUE"""),"ทอปัด")</f>
        <v>ทอปัด</v>
      </c>
      <c r="H122" t="str">
        <f>IFERROR(__xludf.DUMMYFUNCTION("""COMPUTED_VALUE"""),"จันทร์ศิริกุล")</f>
        <v>จันทร์ศิริกุล</v>
      </c>
      <c r="I122" t="str">
        <f>IFERROR(__xludf.DUMMYFUNCTION("""COMPUTED_VALUE"""),"ทอปัด จันทร์ศิริกุล")</f>
        <v>ทอปัด จันทร์ศิริกุล</v>
      </c>
      <c r="J122" t="str">
        <f>IFERROR(__xludf.DUMMYFUNCTION("""COMPUTED_VALUE"""),"Neng")</f>
        <v>Neng</v>
      </c>
      <c r="K122" t="str">
        <f>IFERROR(__xludf.DUMMYFUNCTION("""COMPUTED_VALUE"""),"Senior Cabin Crew")</f>
        <v>Senior Cabin Crew</v>
      </c>
      <c r="L122" t="str">
        <f>IFERROR(__xludf.DUMMYFUNCTION("""COMPUTED_VALUE"""),"DMK")</f>
        <v>DMK</v>
      </c>
      <c r="M122" s="145" t="str">
        <f>IFERROR(__xludf.DUMMYFUNCTION("""COMPUTED_VALUE"""),"Por+ Home")</f>
        <v>Por+ Home</v>
      </c>
      <c r="N122" t="str">
        <f>IFERROR(__xludf.DUMMYFUNCTION("""COMPUTED_VALUE"""),"Active")</f>
        <v>Active</v>
      </c>
      <c r="O122" t="str">
        <f>IFERROR(__xludf.DUMMYFUNCTION("""COMPUTED_VALUE"""),"SCC Line Checker 2025")</f>
        <v>SCC Line Checker 2025</v>
      </c>
      <c r="P122" s="143">
        <f>IFERROR(__xludf.DUMMYFUNCTION("""COMPUTED_VALUE"""),29507.0)</f>
        <v>29507</v>
      </c>
      <c r="Q122" s="146" t="str">
        <f>IFERROR(__xludf.DUMMYFUNCTION("""COMPUTED_VALUE"""),"085 623 5998")</f>
        <v>085 623 5998</v>
      </c>
      <c r="R122" s="147" t="str">
        <f>IFERROR(__xludf.DUMMYFUNCTION("""COMPUTED_VALUE"""),"3101403-18-6492")</f>
        <v>3101403-18-6492</v>
      </c>
      <c r="S122" t="str">
        <f>IFERROR(__xludf.DUMMYFUNCTION("""COMPUTED_VALUE"""),"AC4945279")</f>
        <v>AC4945279</v>
      </c>
      <c r="T122" s="148">
        <f>IFERROR(__xludf.DUMMYFUNCTION("""COMPUTED_VALUE"""),45065.0)</f>
        <v>45065</v>
      </c>
      <c r="U122" s="148">
        <f>IFERROR(__xludf.DUMMYFUNCTION("""COMPUTED_VALUE"""),48717.0)</f>
        <v>48717</v>
      </c>
      <c r="V122" s="149">
        <f>IFERROR(__xludf.DUMMYFUNCTION("""COMPUTED_VALUE"""),48536.0)</f>
        <v>48536</v>
      </c>
      <c r="W122" t="str">
        <f>IFERROR(__xludf.DUMMYFUNCTION("""COMPUTED_VALUE"""),"ปลอดภัย")</f>
        <v>ปลอดภัย</v>
      </c>
      <c r="X122" t="str">
        <f>IFERROR(__xludf.DUMMYFUNCTION("""COMPUTED_VALUE"""),"Bangkok")</f>
        <v>Bangkok</v>
      </c>
      <c r="Y122" t="str">
        <f>IFERROR(__xludf.DUMMYFUNCTION("""COMPUTED_VALUE"""),"บางเขน")</f>
        <v>บางเขน</v>
      </c>
      <c r="Z122" t="str">
        <f>IFERROR(__xludf.DUMMYFUNCTION("""COMPUTED_VALUE"""),"089 487 4828")</f>
        <v>089 487 4828</v>
      </c>
      <c r="AA122" t="str">
        <f>IFERROR(__xludf.DUMMYFUNCTION("""COMPUTED_VALUE"""),"พี่สาว")</f>
        <v>พี่สาว</v>
      </c>
      <c r="AB122" t="str">
        <f>IFERROR(__xludf.DUMMYFUNCTION("""COMPUTED_VALUE"""),"torpadj@airasia.com")</f>
        <v>torpadj@airasia.com</v>
      </c>
    </row>
    <row r="123">
      <c r="AB123" t="str">
        <f>IFERROR(__xludf.DUMMYFUNCTION("""COMPUTED_VALUE"""),"")</f>
        <v/>
      </c>
    </row>
    <row r="124">
      <c r="A124">
        <f>IFERROR(__xludf.DUMMYFUNCTION("""COMPUTED_VALUE"""),1000341.0)</f>
        <v>1000341</v>
      </c>
      <c r="B124" t="str">
        <f>IFERROR(__xludf.DUMMYFUNCTION("""COMPUTED_VALUE"""),"Ms.")</f>
        <v>Ms.</v>
      </c>
      <c r="C124" t="str">
        <f>IFERROR(__xludf.DUMMYFUNCTION("""COMPUTED_VALUE"""),"Nawatthaphorn(Tananant) (Kamonchanok)")</f>
        <v>Nawatthaphorn(Tananant) (Kamonchanok)</v>
      </c>
      <c r="D124" t="str">
        <f>IFERROR(__xludf.DUMMYFUNCTION("""COMPUTED_VALUE"""),"Meechai(Juntarachota)")</f>
        <v>Meechai(Juntarachota)</v>
      </c>
      <c r="E124" t="str">
        <f>IFERROR(__xludf.DUMMYFUNCTION("""COMPUTED_VALUE"""),"Nawatthaphorn Meechai")</f>
        <v>Nawatthaphorn Meechai</v>
      </c>
      <c r="F124" t="str">
        <f>IFERROR(__xludf.DUMMYFUNCTION("""COMPUTED_VALUE"""),"นางสาว")</f>
        <v>นางสาว</v>
      </c>
      <c r="G124" t="str">
        <f>IFERROR(__xludf.DUMMYFUNCTION("""COMPUTED_VALUE"""),"นวัธภร(ธนนันท์)")</f>
        <v>นวัธภร(ธนนันท์)</v>
      </c>
      <c r="H124" t="str">
        <f>IFERROR(__xludf.DUMMYFUNCTION("""COMPUTED_VALUE"""),"มีชัย(จันทรโชตะ)")</f>
        <v>มีชัย(จันทรโชตะ)</v>
      </c>
      <c r="I124" t="str">
        <f>IFERROR(__xludf.DUMMYFUNCTION("""COMPUTED_VALUE"""),"นวัธภร มีชัย")</f>
        <v>นวัธภร มีชัย</v>
      </c>
      <c r="J124" t="str">
        <f>IFERROR(__xludf.DUMMYFUNCTION("""COMPUTED_VALUE"""),"Ung")</f>
        <v>Ung</v>
      </c>
      <c r="K124" t="str">
        <f>IFERROR(__xludf.DUMMYFUNCTION("""COMPUTED_VALUE"""),"Senior Cabin Crew - HKT")</f>
        <v>Senior Cabin Crew - HKT</v>
      </c>
      <c r="L124" t="str">
        <f>IFERROR(__xludf.DUMMYFUNCTION("""COMPUTED_VALUE"""),"HKT")</f>
        <v>HKT</v>
      </c>
      <c r="M124" s="145" t="str">
        <f>IFERROR(__xludf.DUMMYFUNCTION("""COMPUTED_VALUE"""),"Kor Home")</f>
        <v>Kor Home</v>
      </c>
      <c r="N124" t="str">
        <f>IFERROR(__xludf.DUMMYFUNCTION("""COMPUTED_VALUE"""),"Active/V/DMK")</f>
        <v>Active/V/DMK</v>
      </c>
      <c r="P124" s="143">
        <f>IFERROR(__xludf.DUMMYFUNCTION("""COMPUTED_VALUE"""),30194.0)</f>
        <v>30194</v>
      </c>
      <c r="Q124" s="146" t="str">
        <f>IFERROR(__xludf.DUMMYFUNCTION("""COMPUTED_VALUE"""),"093-964-1946")</f>
        <v>093-964-1946</v>
      </c>
      <c r="R124" s="147" t="str">
        <f>IFERROR(__xludf.DUMMYFUNCTION("""COMPUTED_VALUE"""),"5839900-01-7254")</f>
        <v>5839900-01-7254</v>
      </c>
      <c r="S124" t="str">
        <f>IFERROR(__xludf.DUMMYFUNCTION("""COMPUTED_VALUE"""),"AC2753796")</f>
        <v>AC2753796</v>
      </c>
      <c r="T124" s="148">
        <f>IFERROR(__xludf.DUMMYFUNCTION("""COMPUTED_VALUE"""),44489.0)</f>
        <v>44489</v>
      </c>
      <c r="U124" s="148">
        <f>IFERROR(__xludf.DUMMYFUNCTION("""COMPUTED_VALUE"""),48140.0)</f>
        <v>48140</v>
      </c>
      <c r="V124" s="149">
        <f>IFERROR(__xludf.DUMMYFUNCTION("""COMPUTED_VALUE"""),47957.0)</f>
        <v>47957</v>
      </c>
      <c r="W124" t="str">
        <f>IFERROR(__xludf.DUMMYFUNCTION("""COMPUTED_VALUE"""),"ปลอดภัย")</f>
        <v>ปลอดภัย</v>
      </c>
      <c r="X124" t="str">
        <f>IFERROR(__xludf.DUMMYFUNCTION("""COMPUTED_VALUE"""),"Surat Thani Province")</f>
        <v>Surat Thani Province</v>
      </c>
      <c r="Y124" t="str">
        <f>IFERROR(__xludf.DUMMYFUNCTION("""COMPUTED_VALUE"""),"ภูเก็ต")</f>
        <v>ภูเก็ต</v>
      </c>
      <c r="Z124" t="str">
        <f>IFERROR(__xludf.DUMMYFUNCTION("""COMPUTED_VALUE"""),"! Update !")</f>
        <v>! Update !</v>
      </c>
      <c r="AA124" t="str">
        <f>IFERROR(__xludf.DUMMYFUNCTION("""COMPUTED_VALUE"""),"! Update !")</f>
        <v>! Update !</v>
      </c>
      <c r="AB124" t="str">
        <f>IFERROR(__xludf.DUMMYFUNCTION("""COMPUTED_VALUE"""),"nawatthaphornm@airasia.com")</f>
        <v>nawatthaphornm@airasia.com</v>
      </c>
    </row>
    <row r="125">
      <c r="A125">
        <f>IFERROR(__xludf.DUMMYFUNCTION("""COMPUTED_VALUE"""),1001054.0)</f>
        <v>1001054</v>
      </c>
      <c r="B125" t="str">
        <f>IFERROR(__xludf.DUMMYFUNCTION("""COMPUTED_VALUE"""),"Ms.")</f>
        <v>Ms.</v>
      </c>
      <c r="C125" t="str">
        <f>IFERROR(__xludf.DUMMYFUNCTION("""COMPUTED_VALUE"""),"Wipa")</f>
        <v>Wipa</v>
      </c>
      <c r="D125" t="str">
        <f>IFERROR(__xludf.DUMMYFUNCTION("""COMPUTED_VALUE"""),"Totsaporn")</f>
        <v>Totsaporn</v>
      </c>
      <c r="E125" t="str">
        <f>IFERROR(__xludf.DUMMYFUNCTION("""COMPUTED_VALUE"""),"Wipa Totsaporn")</f>
        <v>Wipa Totsaporn</v>
      </c>
      <c r="F125" t="str">
        <f>IFERROR(__xludf.DUMMYFUNCTION("""COMPUTED_VALUE"""),"นางสาว")</f>
        <v>นางสาว</v>
      </c>
      <c r="G125" t="str">
        <f>IFERROR(__xludf.DUMMYFUNCTION("""COMPUTED_VALUE"""),"วิภา")</f>
        <v>วิภา</v>
      </c>
      <c r="H125" t="str">
        <f>IFERROR(__xludf.DUMMYFUNCTION("""COMPUTED_VALUE"""),"ทศพร")</f>
        <v>ทศพร</v>
      </c>
      <c r="I125" t="str">
        <f>IFERROR(__xludf.DUMMYFUNCTION("""COMPUTED_VALUE"""),"วิภา ทศพร")</f>
        <v>วิภา ทศพร</v>
      </c>
      <c r="J125" t="str">
        <f>IFERROR(__xludf.DUMMYFUNCTION("""COMPUTED_VALUE"""),"Pa")</f>
        <v>Pa</v>
      </c>
      <c r="K125" t="str">
        <f>IFERROR(__xludf.DUMMYFUNCTION("""COMPUTED_VALUE"""),"Senior Cabin Crew - HKT")</f>
        <v>Senior Cabin Crew - HKT</v>
      </c>
      <c r="L125" t="str">
        <f>IFERROR(__xludf.DUMMYFUNCTION("""COMPUTED_VALUE"""),"HKT")</f>
        <v>HKT</v>
      </c>
      <c r="M125" s="145" t="str">
        <f>IFERROR(__xludf.DUMMYFUNCTION("""COMPUTED_VALUE"""),"Kor Home")</f>
        <v>Kor Home</v>
      </c>
      <c r="N125" t="str">
        <f>IFERROR(__xludf.DUMMYFUNCTION("""COMPUTED_VALUE"""),"Active")</f>
        <v>Active</v>
      </c>
      <c r="P125" s="143">
        <f>IFERROR(__xludf.DUMMYFUNCTION("""COMPUTED_VALUE"""),30702.0)</f>
        <v>30702</v>
      </c>
      <c r="Q125" s="146" t="str">
        <f>IFERROR(__xludf.DUMMYFUNCTION("""COMPUTED_VALUE"""),"093 539 4144")</f>
        <v>093 539 4144</v>
      </c>
      <c r="R125" s="147" t="str">
        <f>IFERROR(__xludf.DUMMYFUNCTION("""COMPUTED_VALUE"""),"3141500-16-0966")</f>
        <v>3141500-16-0966</v>
      </c>
      <c r="S125" t="str">
        <f>IFERROR(__xludf.DUMMYFUNCTION("""COMPUTED_VALUE"""),"AC6116292")</f>
        <v>AC6116292</v>
      </c>
      <c r="T125" s="148">
        <f>IFERROR(__xludf.DUMMYFUNCTION("""COMPUTED_VALUE"""),45274.0)</f>
        <v>45274</v>
      </c>
      <c r="U125" s="148">
        <f>IFERROR(__xludf.DUMMYFUNCTION("""COMPUTED_VALUE"""),48926.0)</f>
        <v>48926</v>
      </c>
      <c r="V125" s="149">
        <f>IFERROR(__xludf.DUMMYFUNCTION("""COMPUTED_VALUE"""),48743.0)</f>
        <v>48743</v>
      </c>
      <c r="W125" t="str">
        <f>IFERROR(__xludf.DUMMYFUNCTION("""COMPUTED_VALUE"""),"ปลอดภัย")</f>
        <v>ปลอดภัย</v>
      </c>
      <c r="X125" t="str">
        <f>IFERROR(__xludf.DUMMYFUNCTION("""COMPUTED_VALUE"""),"Ang Thong Province")</f>
        <v>Ang Thong Province</v>
      </c>
      <c r="Y125" t="str">
        <f>IFERROR(__xludf.DUMMYFUNCTION("""COMPUTED_VALUE"""),"ภูเก็ต")</f>
        <v>ภูเก็ต</v>
      </c>
      <c r="Z125" t="str">
        <f>IFERROR(__xludf.DUMMYFUNCTION("""COMPUTED_VALUE"""),"083 777 2138")</f>
        <v>083 777 2138</v>
      </c>
      <c r="AA125" t="str">
        <f>IFERROR(__xludf.DUMMYFUNCTION("""COMPUTED_VALUE"""),"เพื่อน")</f>
        <v>เพื่อน</v>
      </c>
      <c r="AB125" t="str">
        <f>IFERROR(__xludf.DUMMYFUNCTION("""COMPUTED_VALUE"""),"wipat@airasia.com")</f>
        <v>wipat@airasia.com</v>
      </c>
    </row>
    <row r="126">
      <c r="A126">
        <f>IFERROR(__xludf.DUMMYFUNCTION("""COMPUTED_VALUE"""),1001934.0)</f>
        <v>1001934</v>
      </c>
      <c r="B126" t="str">
        <f>IFERROR(__xludf.DUMMYFUNCTION("""COMPUTED_VALUE"""),"Mr.")</f>
        <v>Mr.</v>
      </c>
      <c r="C126" t="str">
        <f>IFERROR(__xludf.DUMMYFUNCTION("""COMPUTED_VALUE"""),"Komet")</f>
        <v>Komet</v>
      </c>
      <c r="D126" t="str">
        <f>IFERROR(__xludf.DUMMYFUNCTION("""COMPUTED_VALUE"""),"Prasankan")</f>
        <v>Prasankan</v>
      </c>
      <c r="E126" t="str">
        <f>IFERROR(__xludf.DUMMYFUNCTION("""COMPUTED_VALUE"""),"Komet Prasankan")</f>
        <v>Komet Prasankan</v>
      </c>
      <c r="F126" t="str">
        <f>IFERROR(__xludf.DUMMYFUNCTION("""COMPUTED_VALUE"""),"นาย")</f>
        <v>นาย</v>
      </c>
      <c r="G126" t="str">
        <f>IFERROR(__xludf.DUMMYFUNCTION("""COMPUTED_VALUE"""),"โกเมศ")</f>
        <v>โกเมศ</v>
      </c>
      <c r="H126" t="str">
        <f>IFERROR(__xludf.DUMMYFUNCTION("""COMPUTED_VALUE"""),"ประสารการ")</f>
        <v>ประสารการ</v>
      </c>
      <c r="I126" t="str">
        <f>IFERROR(__xludf.DUMMYFUNCTION("""COMPUTED_VALUE"""),"โกเมศ ประสารการ")</f>
        <v>โกเมศ ประสารการ</v>
      </c>
      <c r="J126" t="str">
        <f>IFERROR(__xludf.DUMMYFUNCTION("""COMPUTED_VALUE"""),"Ake (KoKo)")</f>
        <v>Ake (KoKo)</v>
      </c>
      <c r="K126" t="str">
        <f>IFERROR(__xludf.DUMMYFUNCTION("""COMPUTED_VALUE"""),"Senior Cabin Crew - HKT")</f>
        <v>Senior Cabin Crew - HKT</v>
      </c>
      <c r="L126" t="str">
        <f>IFERROR(__xludf.DUMMYFUNCTION("""COMPUTED_VALUE"""),"HKT")</f>
        <v>HKT</v>
      </c>
      <c r="M126" s="145" t="str">
        <f>IFERROR(__xludf.DUMMYFUNCTION("""COMPUTED_VALUE"""),"Kor Home")</f>
        <v>Kor Home</v>
      </c>
      <c r="N126" t="str">
        <f>IFERROR(__xludf.DUMMYFUNCTION("""COMPUTED_VALUE"""),"Active")</f>
        <v>Active</v>
      </c>
      <c r="P126" s="143">
        <f>IFERROR(__xludf.DUMMYFUNCTION("""COMPUTED_VALUE"""),30929.0)</f>
        <v>30929</v>
      </c>
      <c r="Q126" s="146" t="str">
        <f>IFERROR(__xludf.DUMMYFUNCTION("""COMPUTED_VALUE""")," ")</f>
        <v> </v>
      </c>
      <c r="R126" s="147" t="str">
        <f>IFERROR(__xludf.DUMMYFUNCTION("""COMPUTED_VALUE"""),"1820700-00-3267")</f>
        <v>1820700-00-3267</v>
      </c>
      <c r="S126" t="str">
        <f>IFERROR(__xludf.DUMMYFUNCTION("""COMPUTED_VALUE"""),"AC2453424")</f>
        <v>AC2453424</v>
      </c>
      <c r="T126" s="148">
        <f>IFERROR(__xludf.DUMMYFUNCTION("""COMPUTED_VALUE"""),44466.0)</f>
        <v>44466</v>
      </c>
      <c r="U126" s="148">
        <f>IFERROR(__xludf.DUMMYFUNCTION("""COMPUTED_VALUE"""),48117.0)</f>
        <v>48117</v>
      </c>
      <c r="V126" s="149">
        <f>IFERROR(__xludf.DUMMYFUNCTION("""COMPUTED_VALUE"""),47933.0)</f>
        <v>47933</v>
      </c>
      <c r="W126" t="str">
        <f>IFERROR(__xludf.DUMMYFUNCTION("""COMPUTED_VALUE"""),"ปลอดภัย")</f>
        <v>ปลอดภัย</v>
      </c>
      <c r="X126" t="str">
        <f>IFERROR(__xludf.DUMMYFUNCTION("""COMPUTED_VALUE"""),"Phang Nga Province")</f>
        <v>Phang Nga Province</v>
      </c>
      <c r="Y126" t="str">
        <f>IFERROR(__xludf.DUMMYFUNCTION("""COMPUTED_VALUE"""),"ภูเก็ต")</f>
        <v>ภูเก็ต</v>
      </c>
      <c r="Z126" t="str">
        <f>IFERROR(__xludf.DUMMYFUNCTION("""COMPUTED_VALUE"""),"081 9082878")</f>
        <v>081 9082878</v>
      </c>
      <c r="AA126" t="str">
        <f>IFERROR(__xludf.DUMMYFUNCTION("""COMPUTED_VALUE"""),"ไม่ระบุ")</f>
        <v>ไม่ระบุ</v>
      </c>
      <c r="AB126" t="str">
        <f>IFERROR(__xludf.DUMMYFUNCTION("""COMPUTED_VALUE"""),"kometp@airasia.com")</f>
        <v>kometp@airasia.com</v>
      </c>
    </row>
    <row r="127">
      <c r="A127">
        <f>IFERROR(__xludf.DUMMYFUNCTION("""COMPUTED_VALUE"""),1002118.0)</f>
        <v>1002118</v>
      </c>
      <c r="B127" t="str">
        <f>IFERROR(__xludf.DUMMYFUNCTION("""COMPUTED_VALUE"""),"Ms.")</f>
        <v>Ms.</v>
      </c>
      <c r="C127" t="str">
        <f>IFERROR(__xludf.DUMMYFUNCTION("""COMPUTED_VALUE"""),"Sasimon")</f>
        <v>Sasimon</v>
      </c>
      <c r="D127" t="str">
        <f>IFERROR(__xludf.DUMMYFUNCTION("""COMPUTED_VALUE"""),"Jearapan")</f>
        <v>Jearapan</v>
      </c>
      <c r="E127" t="str">
        <f>IFERROR(__xludf.DUMMYFUNCTION("""COMPUTED_VALUE"""),"Sasimon Jearapan")</f>
        <v>Sasimon Jearapan</v>
      </c>
      <c r="F127" t="str">
        <f>IFERROR(__xludf.DUMMYFUNCTION("""COMPUTED_VALUE"""),"นางสาว")</f>
        <v>นางสาว</v>
      </c>
      <c r="G127" t="str">
        <f>IFERROR(__xludf.DUMMYFUNCTION("""COMPUTED_VALUE"""),"ศศิมนต์")</f>
        <v>ศศิมนต์</v>
      </c>
      <c r="H127" t="str">
        <f>IFERROR(__xludf.DUMMYFUNCTION("""COMPUTED_VALUE"""),"เจียรพันธุ์")</f>
        <v>เจียรพันธุ์</v>
      </c>
      <c r="I127" t="str">
        <f>IFERROR(__xludf.DUMMYFUNCTION("""COMPUTED_VALUE"""),"ศศิมนต์ เจียรพันธุ์")</f>
        <v>ศศิมนต์ เจียรพันธุ์</v>
      </c>
      <c r="J127" t="str">
        <f>IFERROR(__xludf.DUMMYFUNCTION("""COMPUTED_VALUE"""),"Fhun")</f>
        <v>Fhun</v>
      </c>
      <c r="K127" t="str">
        <f>IFERROR(__xludf.DUMMYFUNCTION("""COMPUTED_VALUE"""),"Senior Cabin Crew - HKT")</f>
        <v>Senior Cabin Crew - HKT</v>
      </c>
      <c r="L127" t="str">
        <f>IFERROR(__xludf.DUMMYFUNCTION("""COMPUTED_VALUE"""),"HKT")</f>
        <v>HKT</v>
      </c>
      <c r="M127" s="145" t="str">
        <f>IFERROR(__xludf.DUMMYFUNCTION("""COMPUTED_VALUE"""),"Kor Home")</f>
        <v>Kor Home</v>
      </c>
      <c r="N127" t="str">
        <f>IFERROR(__xludf.DUMMYFUNCTION("""COMPUTED_VALUE"""),"Active")</f>
        <v>Active</v>
      </c>
      <c r="P127" s="143">
        <f>IFERROR(__xludf.DUMMYFUNCTION("""COMPUTED_VALUE"""),31128.0)</f>
        <v>31128</v>
      </c>
      <c r="Q127" s="146" t="str">
        <f>IFERROR(__xludf.DUMMYFUNCTION("""COMPUTED_VALUE"""),"083 992 5397")</f>
        <v>083 992 5397</v>
      </c>
      <c r="R127" s="147" t="str">
        <f>IFERROR(__xludf.DUMMYFUNCTION("""COMPUTED_VALUE"""),"1840100-03-6482")</f>
        <v>1840100-03-6482</v>
      </c>
      <c r="S127" t="str">
        <f>IFERROR(__xludf.DUMMYFUNCTION("""COMPUTED_VALUE"""),"AC3068826")</f>
        <v>AC3068826</v>
      </c>
      <c r="T127" s="148">
        <f>IFERROR(__xludf.DUMMYFUNCTION("""COMPUTED_VALUE"""),44684.0)</f>
        <v>44684</v>
      </c>
      <c r="U127" s="148">
        <f>IFERROR(__xludf.DUMMYFUNCTION("""COMPUTED_VALUE"""),48336.0)</f>
        <v>48336</v>
      </c>
      <c r="V127" s="149">
        <f>IFERROR(__xludf.DUMMYFUNCTION("""COMPUTED_VALUE"""),48154.0)</f>
        <v>48154</v>
      </c>
      <c r="W127" t="str">
        <f>IFERROR(__xludf.DUMMYFUNCTION("""COMPUTED_VALUE"""),"ปลอดภัย")</f>
        <v>ปลอดภัย</v>
      </c>
      <c r="X127" t="str">
        <f>IFERROR(__xludf.DUMMYFUNCTION("""COMPUTED_VALUE"""),"Surat Thani Province")</f>
        <v>Surat Thani Province</v>
      </c>
      <c r="Y127" t="str">
        <f>IFERROR(__xludf.DUMMYFUNCTION("""COMPUTED_VALUE"""),"ภูเก็ต")</f>
        <v>ภูเก็ต</v>
      </c>
      <c r="Z127" t="str">
        <f>IFERROR(__xludf.DUMMYFUNCTION("""COMPUTED_VALUE"""),"080 126 5500")</f>
        <v>080 126 5500</v>
      </c>
      <c r="AA127" t="str">
        <f>IFERROR(__xludf.DUMMYFUNCTION("""COMPUTED_VALUE"""),"ไม่ระบุ")</f>
        <v>ไม่ระบุ</v>
      </c>
      <c r="AB127" t="str">
        <f>IFERROR(__xludf.DUMMYFUNCTION("""COMPUTED_VALUE"""),"sasimonj@airasia.com")</f>
        <v>sasimonj@airasia.com</v>
      </c>
    </row>
    <row r="128">
      <c r="A128">
        <f>IFERROR(__xludf.DUMMYFUNCTION("""COMPUTED_VALUE"""),1002119.0)</f>
        <v>1002119</v>
      </c>
      <c r="B128" t="str">
        <f>IFERROR(__xludf.DUMMYFUNCTION("""COMPUTED_VALUE"""),"Ms.")</f>
        <v>Ms.</v>
      </c>
      <c r="C128" t="str">
        <f>IFERROR(__xludf.DUMMYFUNCTION("""COMPUTED_VALUE"""),"Phoonkuan")</f>
        <v>Phoonkuan</v>
      </c>
      <c r="D128" t="str">
        <f>IFERROR(__xludf.DUMMYFUNCTION("""COMPUTED_VALUE"""),"Kumkeaw")</f>
        <v>Kumkeaw</v>
      </c>
      <c r="E128" t="str">
        <f>IFERROR(__xludf.DUMMYFUNCTION("""COMPUTED_VALUE"""),"Phoonkuan Kumkeaw")</f>
        <v>Phoonkuan Kumkeaw</v>
      </c>
      <c r="F128" t="str">
        <f>IFERROR(__xludf.DUMMYFUNCTION("""COMPUTED_VALUE"""),"นางสาว")</f>
        <v>นางสาว</v>
      </c>
      <c r="G128" t="str">
        <f>IFERROR(__xludf.DUMMYFUNCTION("""COMPUTED_VALUE"""),"พูนขวัญ")</f>
        <v>พูนขวัญ</v>
      </c>
      <c r="H128" t="str">
        <f>IFERROR(__xludf.DUMMYFUNCTION("""COMPUTED_VALUE"""),"กำแก้ว")</f>
        <v>กำแก้ว</v>
      </c>
      <c r="I128" t="str">
        <f>IFERROR(__xludf.DUMMYFUNCTION("""COMPUTED_VALUE"""),"พูนขวัญ กำแก้ว")</f>
        <v>พูนขวัญ กำแก้ว</v>
      </c>
      <c r="J128" t="str">
        <f>IFERROR(__xludf.DUMMYFUNCTION("""COMPUTED_VALUE"""),"Paan / ป่าน")</f>
        <v>Paan / ป่าน</v>
      </c>
      <c r="K128" t="str">
        <f>IFERROR(__xludf.DUMMYFUNCTION("""COMPUTED_VALUE"""),"Senior Cabin Crew")</f>
        <v>Senior Cabin Crew</v>
      </c>
      <c r="L128" t="str">
        <f>IFERROR(__xludf.DUMMYFUNCTION("""COMPUTED_VALUE"""),"DMK")</f>
        <v>DMK</v>
      </c>
      <c r="M128" s="145" t="str">
        <f>IFERROR(__xludf.DUMMYFUNCTION("""COMPUTED_VALUE"""),"Namfon Home")</f>
        <v>Namfon Home</v>
      </c>
      <c r="N128" t="str">
        <f>IFERROR(__xludf.DUMMYFUNCTION("""COMPUTED_VALUE"""),"Active")</f>
        <v>Active</v>
      </c>
      <c r="P128" s="143">
        <f>IFERROR(__xludf.DUMMYFUNCTION("""COMPUTED_VALUE"""),30437.0)</f>
        <v>30437</v>
      </c>
      <c r="Q128" s="146" t="str">
        <f>IFERROR(__xludf.DUMMYFUNCTION("""COMPUTED_VALUE"""),"082 516 3088")</f>
        <v>082 516 3088</v>
      </c>
      <c r="R128" s="147" t="str">
        <f>IFERROR(__xludf.DUMMYFUNCTION("""COMPUTED_VALUE"""),"3341501-60-4203")</f>
        <v>3341501-60-4203</v>
      </c>
      <c r="S128" t="str">
        <f>IFERROR(__xludf.DUMMYFUNCTION("""COMPUTED_VALUE"""),"AC2440112")</f>
        <v>AC2440112</v>
      </c>
      <c r="T128" s="148">
        <f>IFERROR(__xludf.DUMMYFUNCTION("""COMPUTED_VALUE"""),44459.0)</f>
        <v>44459</v>
      </c>
      <c r="U128" s="148">
        <f>IFERROR(__xludf.DUMMYFUNCTION("""COMPUTED_VALUE"""),48110.0)</f>
        <v>48110</v>
      </c>
      <c r="V128" s="149">
        <f>IFERROR(__xludf.DUMMYFUNCTION("""COMPUTED_VALUE"""),47926.0)</f>
        <v>47926</v>
      </c>
      <c r="W128" t="str">
        <f>IFERROR(__xludf.DUMMYFUNCTION("""COMPUTED_VALUE"""),"ปลอดภัย")</f>
        <v>ปลอดภัย</v>
      </c>
      <c r="X128" t="str">
        <f>IFERROR(__xludf.DUMMYFUNCTION("""COMPUTED_VALUE"""),"Ubon Ratchathani Province")</f>
        <v>Ubon Ratchathani Province</v>
      </c>
      <c r="Y128" t="str">
        <f>IFERROR(__xludf.DUMMYFUNCTION("""COMPUTED_VALUE"""),"ภูเก็ต")</f>
        <v>ภูเก็ต</v>
      </c>
      <c r="Z128" t="str">
        <f>IFERROR(__xludf.DUMMYFUNCTION("""COMPUTED_VALUE"""),"082 5163088")</f>
        <v>082 5163088</v>
      </c>
      <c r="AA128" t="str">
        <f>IFERROR(__xludf.DUMMYFUNCTION("""COMPUTED_VALUE"""),"ไม่ระบุ")</f>
        <v>ไม่ระบุ</v>
      </c>
      <c r="AB128" t="str">
        <f>IFERROR(__xludf.DUMMYFUNCTION("""COMPUTED_VALUE"""),"phoonkwank@airasia.com")</f>
        <v>phoonkwank@airasia.com</v>
      </c>
    </row>
    <row r="129">
      <c r="A129">
        <f>IFERROR(__xludf.DUMMYFUNCTION("""COMPUTED_VALUE"""),1002202.0)</f>
        <v>1002202</v>
      </c>
      <c r="B129" t="str">
        <f>IFERROR(__xludf.DUMMYFUNCTION("""COMPUTED_VALUE"""),"Ms.")</f>
        <v>Ms.</v>
      </c>
      <c r="C129" t="str">
        <f>IFERROR(__xludf.DUMMYFUNCTION("""COMPUTED_VALUE"""),"Nithipkan (Kanokan)")</f>
        <v>Nithipkan (Kanokan)</v>
      </c>
      <c r="D129" t="str">
        <f>IFERROR(__xludf.DUMMYFUNCTION("""COMPUTED_VALUE"""),"Damrongpongkhajorn (Nopparat)")</f>
        <v>Damrongpongkhajorn (Nopparat)</v>
      </c>
      <c r="E129" t="str">
        <f>IFERROR(__xludf.DUMMYFUNCTION("""COMPUTED_VALUE"""),"Nithipkan Damrongpongkhajorn")</f>
        <v>Nithipkan Damrongpongkhajorn</v>
      </c>
      <c r="F129" t="str">
        <f>IFERROR(__xludf.DUMMYFUNCTION("""COMPUTED_VALUE"""),"นางสาว")</f>
        <v>นางสาว</v>
      </c>
      <c r="G129" t="str">
        <f>IFERROR(__xludf.DUMMYFUNCTION("""COMPUTED_VALUE"""),"ณิธิปกาญจน์ (กนกกาญจน์)")</f>
        <v>ณิธิปกาญจน์ (กนกกาญจน์)</v>
      </c>
      <c r="H129" t="str">
        <f>IFERROR(__xludf.DUMMYFUNCTION("""COMPUTED_VALUE"""),"ดำรงค์พงศ์ขจร (นพรัตน์)")</f>
        <v>ดำรงค์พงศ์ขจร (นพรัตน์)</v>
      </c>
      <c r="I129" t="str">
        <f>IFERROR(__xludf.DUMMYFUNCTION("""COMPUTED_VALUE"""),"ณิธิปกาญจน์ ดำรงค์พงศ์ขจร")</f>
        <v>ณิธิปกาญจน์ ดำรงค์พงศ์ขจร</v>
      </c>
      <c r="J129" t="str">
        <f>IFERROR(__xludf.DUMMYFUNCTION("""COMPUTED_VALUE"""),"Sine")</f>
        <v>Sine</v>
      </c>
      <c r="K129" t="str">
        <f>IFERROR(__xludf.DUMMYFUNCTION("""COMPUTED_VALUE"""),"Senior Cabin Crew")</f>
        <v>Senior Cabin Crew</v>
      </c>
      <c r="L129" t="str">
        <f>IFERROR(__xludf.DUMMYFUNCTION("""COMPUTED_VALUE"""),"DMK")</f>
        <v>DMK</v>
      </c>
      <c r="M129" s="145" t="str">
        <f>IFERROR(__xludf.DUMMYFUNCTION("""COMPUTED_VALUE"""),"Por+ Home")</f>
        <v>Por+ Home</v>
      </c>
      <c r="N129" t="str">
        <f>IFERROR(__xludf.DUMMYFUNCTION("""COMPUTED_VALUE"""),"V/LWP")</f>
        <v>V/LWP</v>
      </c>
      <c r="P129" s="143">
        <f>IFERROR(__xludf.DUMMYFUNCTION("""COMPUTED_VALUE"""),31551.0)</f>
        <v>31551</v>
      </c>
      <c r="Q129" s="146" t="str">
        <f>IFERROR(__xludf.DUMMYFUNCTION("""COMPUTED_VALUE"""),"061-649-8265")</f>
        <v>061-649-8265</v>
      </c>
      <c r="R129" s="147" t="str">
        <f>IFERROR(__xludf.DUMMYFUNCTION("""COMPUTED_VALUE"""),"1709800-05-3818")</f>
        <v>1709800-05-3818</v>
      </c>
      <c r="S129" t="str">
        <f>IFERROR(__xludf.DUMMYFUNCTION("""COMPUTED_VALUE"""),"AD1971476")</f>
        <v>AD1971476</v>
      </c>
      <c r="T129" s="148">
        <f>IFERROR(__xludf.DUMMYFUNCTION("""COMPUTED_VALUE"""),45503.0)</f>
        <v>45503</v>
      </c>
      <c r="U129" s="148">
        <f>IFERROR(__xludf.DUMMYFUNCTION("""COMPUTED_VALUE"""),49154.0)</f>
        <v>49154</v>
      </c>
      <c r="V129" s="149">
        <f>IFERROR(__xludf.DUMMYFUNCTION("""COMPUTED_VALUE"""),48973.0)</f>
        <v>48973</v>
      </c>
      <c r="W129" t="str">
        <f>IFERROR(__xludf.DUMMYFUNCTION("""COMPUTED_VALUE"""),"ปลอดภัย")</f>
        <v>ปลอดภัย</v>
      </c>
      <c r="X129" t="str">
        <f>IFERROR(__xludf.DUMMYFUNCTION("""COMPUTED_VALUE"""),"Ratchaburi Province")</f>
        <v>Ratchaburi Province</v>
      </c>
      <c r="Y129" t="str">
        <f>IFERROR(__xludf.DUMMYFUNCTION("""COMPUTED_VALUE"""),"ภูเก็ต")</f>
        <v>ภูเก็ต</v>
      </c>
      <c r="Z129" t="str">
        <f>IFERROR(__xludf.DUMMYFUNCTION("""COMPUTED_VALUE"""),"086 9859292")</f>
        <v>086 9859292</v>
      </c>
      <c r="AA129" t="str">
        <f>IFERROR(__xludf.DUMMYFUNCTION("""COMPUTED_VALUE"""),"ไม่ระบุ")</f>
        <v>ไม่ระบุ</v>
      </c>
      <c r="AB129" t="str">
        <f>IFERROR(__xludf.DUMMYFUNCTION("""COMPUTED_VALUE"""),"nithipkand@airasia.com")</f>
        <v>nithipkand@airasia.com</v>
      </c>
    </row>
    <row r="130">
      <c r="A130">
        <f>IFERROR(__xludf.DUMMYFUNCTION("""COMPUTED_VALUE"""),1003365.0)</f>
        <v>1003365</v>
      </c>
      <c r="B130" t="str">
        <f>IFERROR(__xludf.DUMMYFUNCTION("""COMPUTED_VALUE"""),"Ms.")</f>
        <v>Ms.</v>
      </c>
      <c r="C130" t="str">
        <f>IFERROR(__xludf.DUMMYFUNCTION("""COMPUTED_VALUE"""),"Napatchol")</f>
        <v>Napatchol</v>
      </c>
      <c r="D130" t="str">
        <f>IFERROR(__xludf.DUMMYFUNCTION("""COMPUTED_VALUE"""),"Wongwuttito")</f>
        <v>Wongwuttito</v>
      </c>
      <c r="E130" t="str">
        <f>IFERROR(__xludf.DUMMYFUNCTION("""COMPUTED_VALUE"""),"Napatchol Wongwuttito")</f>
        <v>Napatchol Wongwuttito</v>
      </c>
      <c r="F130" t="str">
        <f>IFERROR(__xludf.DUMMYFUNCTION("""COMPUTED_VALUE"""),"นางสาว")</f>
        <v>นางสาว</v>
      </c>
      <c r="G130" t="str">
        <f>IFERROR(__xludf.DUMMYFUNCTION("""COMPUTED_VALUE"""),"นภัสชล")</f>
        <v>นภัสชล</v>
      </c>
      <c r="H130" t="str">
        <f>IFERROR(__xludf.DUMMYFUNCTION("""COMPUTED_VALUE"""),"วงศ์วุฒิโท")</f>
        <v>วงศ์วุฒิโท</v>
      </c>
      <c r="I130" t="str">
        <f>IFERROR(__xludf.DUMMYFUNCTION("""COMPUTED_VALUE"""),"นภัสชล วงศ์วุฒิโท")</f>
        <v>นภัสชล วงศ์วุฒิโท</v>
      </c>
      <c r="J130" t="str">
        <f>IFERROR(__xludf.DUMMYFUNCTION("""COMPUTED_VALUE"""),"Nam Khing")</f>
        <v>Nam Khing</v>
      </c>
      <c r="K130" t="str">
        <f>IFERROR(__xludf.DUMMYFUNCTION("""COMPUTED_VALUE"""),"Senior Cabin Crew - CNX")</f>
        <v>Senior Cabin Crew - CNX</v>
      </c>
      <c r="L130" t="str">
        <f>IFERROR(__xludf.DUMMYFUNCTION("""COMPUTED_VALUE"""),"CNX")</f>
        <v>CNX</v>
      </c>
      <c r="M130" s="145" t="str">
        <f>IFERROR(__xludf.DUMMYFUNCTION("""COMPUTED_VALUE"""),"Up Home")</f>
        <v>Up Home</v>
      </c>
      <c r="N130" t="str">
        <f>IFERROR(__xludf.DUMMYFUNCTION("""COMPUTED_VALUE"""),"Active")</f>
        <v>Active</v>
      </c>
      <c r="P130" s="143">
        <f>IFERROR(__xludf.DUMMYFUNCTION("""COMPUTED_VALUE"""),31352.0)</f>
        <v>31352</v>
      </c>
      <c r="Q130" s="146" t="str">
        <f>IFERROR(__xludf.DUMMYFUNCTION("""COMPUTED_VALUE"""),"095 964 9954")</f>
        <v>095 964 9954</v>
      </c>
      <c r="R130" s="147" t="str">
        <f>IFERROR(__xludf.DUMMYFUNCTION("""COMPUTED_VALUE"""),"1460600-02-2336")</f>
        <v>1460600-02-2336</v>
      </c>
      <c r="S130" t="str">
        <f>IFERROR(__xludf.DUMMYFUNCTION("""COMPUTED_VALUE"""),"AC2424258")</f>
        <v>AC2424258</v>
      </c>
      <c r="T130" s="148">
        <f>IFERROR(__xludf.DUMMYFUNCTION("""COMPUTED_VALUE"""),44448.0)</f>
        <v>44448</v>
      </c>
      <c r="U130" s="148">
        <f>IFERROR(__xludf.DUMMYFUNCTION("""COMPUTED_VALUE"""),48099.0)</f>
        <v>48099</v>
      </c>
      <c r="V130" s="149">
        <f>IFERROR(__xludf.DUMMYFUNCTION("""COMPUTED_VALUE"""),47915.0)</f>
        <v>47915</v>
      </c>
      <c r="W130" t="str">
        <f>IFERROR(__xludf.DUMMYFUNCTION("""COMPUTED_VALUE"""),"ปลอดภัย")</f>
        <v>ปลอดภัย</v>
      </c>
      <c r="X130" t="str">
        <f>IFERROR(__xludf.DUMMYFUNCTION("""COMPUTED_VALUE"""),"Kalasin Province")</f>
        <v>Kalasin Province</v>
      </c>
      <c r="Y130" t="str">
        <f>IFERROR(__xludf.DUMMYFUNCTION("""COMPUTED_VALUE"""),"ภูเก็ต")</f>
        <v>ภูเก็ต</v>
      </c>
      <c r="Z130" t="str">
        <f>IFERROR(__xludf.DUMMYFUNCTION("""COMPUTED_VALUE"""),"087 430 0344")</f>
        <v>087 430 0344</v>
      </c>
      <c r="AA130" t="str">
        <f>IFERROR(__xludf.DUMMYFUNCTION("""COMPUTED_VALUE"""),"ไม่ระบุ")</f>
        <v>ไม่ระบุ</v>
      </c>
      <c r="AB130" t="str">
        <f>IFERROR(__xludf.DUMMYFUNCTION("""COMPUTED_VALUE"""),"napatcholw@airasia.com")</f>
        <v>napatcholw@airasia.com</v>
      </c>
    </row>
    <row r="131">
      <c r="A131">
        <f>IFERROR(__xludf.DUMMYFUNCTION("""COMPUTED_VALUE"""),1003368.0)</f>
        <v>1003368</v>
      </c>
      <c r="B131" t="str">
        <f>IFERROR(__xludf.DUMMYFUNCTION("""COMPUTED_VALUE"""),"Ms.")</f>
        <v>Ms.</v>
      </c>
      <c r="C131" t="str">
        <f>IFERROR(__xludf.DUMMYFUNCTION("""COMPUTED_VALUE"""),"Woradaluck (Praewvarisa)")</f>
        <v>Woradaluck (Praewvarisa)</v>
      </c>
      <c r="D131" t="str">
        <f>IFERROR(__xludf.DUMMYFUNCTION("""COMPUTED_VALUE"""),"Lerdthanapaijit (Naiphongsri)")</f>
        <v>Lerdthanapaijit (Naiphongsri)</v>
      </c>
      <c r="E131" t="str">
        <f>IFERROR(__xludf.DUMMYFUNCTION("""COMPUTED_VALUE"""),"Woradaluck Lerdthanapaijit")</f>
        <v>Woradaluck Lerdthanapaijit</v>
      </c>
      <c r="F131" t="str">
        <f>IFERROR(__xludf.DUMMYFUNCTION("""COMPUTED_VALUE"""),"นางสาว")</f>
        <v>นางสาว</v>
      </c>
      <c r="G131" t="str">
        <f>IFERROR(__xludf.DUMMYFUNCTION("""COMPUTED_VALUE"""),"วรดาลักษณ์(แพรววริศา)")</f>
        <v>วรดาลักษณ์(แพรววริศา)</v>
      </c>
      <c r="H131" t="str">
        <f>IFERROR(__xludf.DUMMYFUNCTION("""COMPUTED_VALUE"""),"เลิศธนาไพจิตร (นัยผ่องศรี)")</f>
        <v>เลิศธนาไพจิตร (นัยผ่องศรี)</v>
      </c>
      <c r="I131" t="str">
        <f>IFERROR(__xludf.DUMMYFUNCTION("""COMPUTED_VALUE"""),"วรดาลักษณ์ เลิศธนาไพจิตร")</f>
        <v>วรดาลักษณ์ เลิศธนาไพจิตร</v>
      </c>
      <c r="J131" t="str">
        <f>IFERROR(__xludf.DUMMYFUNCTION("""COMPUTED_VALUE"""),"Prae")</f>
        <v>Prae</v>
      </c>
      <c r="K131" t="str">
        <f>IFERROR(__xludf.DUMMYFUNCTION("""COMPUTED_VALUE"""),"Senior Cabin Crew")</f>
        <v>Senior Cabin Crew</v>
      </c>
      <c r="L131" t="str">
        <f>IFERROR(__xludf.DUMMYFUNCTION("""COMPUTED_VALUE"""),"DMK")</f>
        <v>DMK</v>
      </c>
      <c r="M131" s="145" t="str">
        <f>IFERROR(__xludf.DUMMYFUNCTION("""COMPUTED_VALUE"""),"Up Home")</f>
        <v>Up Home</v>
      </c>
      <c r="N131" t="str">
        <f>IFERROR(__xludf.DUMMYFUNCTION("""COMPUTED_VALUE"""),"Active")</f>
        <v>Active</v>
      </c>
      <c r="P131" s="143">
        <f>IFERROR(__xludf.DUMMYFUNCTION("""COMPUTED_VALUE"""),31876.0)</f>
        <v>31876</v>
      </c>
      <c r="Q131" s="146" t="str">
        <f>IFERROR(__xludf.DUMMYFUNCTION("""COMPUTED_VALUE"""),"089 741 5332")</f>
        <v>089 741 5332</v>
      </c>
      <c r="R131" s="147" t="str">
        <f>IFERROR(__xludf.DUMMYFUNCTION("""COMPUTED_VALUE"""),"1149900-10-5793")</f>
        <v>1149900-10-5793</v>
      </c>
      <c r="S131" t="str">
        <f>IFERROR(__xludf.DUMMYFUNCTION("""COMPUTED_VALUE"""),"AD1314264")</f>
        <v>AD1314264</v>
      </c>
      <c r="T131" s="148">
        <f>IFERROR(__xludf.DUMMYFUNCTION("""COMPUTED_VALUE"""),45337.0)</f>
        <v>45337</v>
      </c>
      <c r="U131" s="148">
        <f>IFERROR(__xludf.DUMMYFUNCTION("""COMPUTED_VALUE"""),48989.0)</f>
        <v>48989</v>
      </c>
      <c r="V131" s="149">
        <f>IFERROR(__xludf.DUMMYFUNCTION("""COMPUTED_VALUE"""),48805.0)</f>
        <v>48805</v>
      </c>
      <c r="W131" t="str">
        <f>IFERROR(__xludf.DUMMYFUNCTION("""COMPUTED_VALUE"""),"ปลอดภัย")</f>
        <v>ปลอดภัย</v>
      </c>
      <c r="X131" t="str">
        <f>IFERROR(__xludf.DUMMYFUNCTION("""COMPUTED_VALUE"""),"Phra Nakhon Si Ayutthaya Province")</f>
        <v>Phra Nakhon Si Ayutthaya Province</v>
      </c>
      <c r="Y131" t="str">
        <f>IFERROR(__xludf.DUMMYFUNCTION("""COMPUTED_VALUE"""),"ภูเก็ต")</f>
        <v>ภูเก็ต</v>
      </c>
      <c r="Z131" t="str">
        <f>IFERROR(__xludf.DUMMYFUNCTION("""COMPUTED_VALUE"""),"089 613 2144")</f>
        <v>089 613 2144</v>
      </c>
      <c r="AA131" t="str">
        <f>IFERROR(__xludf.DUMMYFUNCTION("""COMPUTED_VALUE"""),"แม่")</f>
        <v>แม่</v>
      </c>
      <c r="AB131" t="str">
        <f>IFERROR(__xludf.DUMMYFUNCTION("""COMPUTED_VALUE"""),"woradaluckl@airasia.com")</f>
        <v>woradaluckl@airasia.com</v>
      </c>
    </row>
    <row r="132">
      <c r="A132">
        <f>IFERROR(__xludf.DUMMYFUNCTION("""COMPUTED_VALUE"""),1003369.0)</f>
        <v>1003369</v>
      </c>
      <c r="B132" t="str">
        <f>IFERROR(__xludf.DUMMYFUNCTION("""COMPUTED_VALUE"""),"Mr.")</f>
        <v>Mr.</v>
      </c>
      <c r="C132" t="str">
        <f>IFERROR(__xludf.DUMMYFUNCTION("""COMPUTED_VALUE"""),"Siwakorn")</f>
        <v>Siwakorn</v>
      </c>
      <c r="D132" t="str">
        <f>IFERROR(__xludf.DUMMYFUNCTION("""COMPUTED_VALUE"""),"Champasri")</f>
        <v>Champasri</v>
      </c>
      <c r="E132" t="str">
        <f>IFERROR(__xludf.DUMMYFUNCTION("""COMPUTED_VALUE"""),"Siwakorn Champasri")</f>
        <v>Siwakorn Champasri</v>
      </c>
      <c r="F132" t="str">
        <f>IFERROR(__xludf.DUMMYFUNCTION("""COMPUTED_VALUE"""),"นาย")</f>
        <v>นาย</v>
      </c>
      <c r="G132" t="str">
        <f>IFERROR(__xludf.DUMMYFUNCTION("""COMPUTED_VALUE"""),"ศิวกร")</f>
        <v>ศิวกร</v>
      </c>
      <c r="H132" t="str">
        <f>IFERROR(__xludf.DUMMYFUNCTION("""COMPUTED_VALUE"""),"จำปาศรี")</f>
        <v>จำปาศรี</v>
      </c>
      <c r="I132" t="str">
        <f>IFERROR(__xludf.DUMMYFUNCTION("""COMPUTED_VALUE"""),"ศิวกร จำปาศรี")</f>
        <v>ศิวกร จำปาศรี</v>
      </c>
      <c r="J132" t="str">
        <f>IFERROR(__xludf.DUMMYFUNCTION("""COMPUTED_VALUE"""),"Paul")</f>
        <v>Paul</v>
      </c>
      <c r="K132" t="str">
        <f>IFERROR(__xludf.DUMMYFUNCTION("""COMPUTED_VALUE"""),"Senior Cabin Crew - HKT")</f>
        <v>Senior Cabin Crew - HKT</v>
      </c>
      <c r="L132" t="str">
        <f>IFERROR(__xludf.DUMMYFUNCTION("""COMPUTED_VALUE"""),"HKT")</f>
        <v>HKT</v>
      </c>
      <c r="M132" s="145" t="str">
        <f>IFERROR(__xludf.DUMMYFUNCTION("""COMPUTED_VALUE"""),"Kor Home")</f>
        <v>Kor Home</v>
      </c>
      <c r="N132" t="str">
        <f>IFERROR(__xludf.DUMMYFUNCTION("""COMPUTED_VALUE"""),"Active")</f>
        <v>Active</v>
      </c>
      <c r="P132" s="143">
        <f>IFERROR(__xludf.DUMMYFUNCTION("""COMPUTED_VALUE"""),30924.0)</f>
        <v>30924</v>
      </c>
      <c r="Q132" s="146" t="str">
        <f>IFERROR(__xludf.DUMMYFUNCTION("""COMPUTED_VALUE"""),"086 000 1433")</f>
        <v>086 000 1433</v>
      </c>
      <c r="R132" s="147" t="str">
        <f>IFERROR(__xludf.DUMMYFUNCTION("""COMPUTED_VALUE"""),"1959900-02-2203")</f>
        <v>1959900-02-2203</v>
      </c>
      <c r="S132" t="str">
        <f>IFERROR(__xludf.DUMMYFUNCTION("""COMPUTED_VALUE"""),"AC7216141")</f>
        <v>AC7216141</v>
      </c>
      <c r="T132" s="148">
        <f>IFERROR(__xludf.DUMMYFUNCTION("""COMPUTED_VALUE"""),45990.0)</f>
        <v>45990</v>
      </c>
      <c r="U132" s="148">
        <f>IFERROR(__xludf.DUMMYFUNCTION("""COMPUTED_VALUE"""),49276.0)</f>
        <v>49276</v>
      </c>
      <c r="V132" s="149">
        <f>IFERROR(__xludf.DUMMYFUNCTION("""COMPUTED_VALUE"""),49092.0)</f>
        <v>49092</v>
      </c>
      <c r="W132" t="str">
        <f>IFERROR(__xludf.DUMMYFUNCTION("""COMPUTED_VALUE"""),"ปลอดภัย")</f>
        <v>ปลอดภัย</v>
      </c>
      <c r="X132" t="str">
        <f>IFERROR(__xludf.DUMMYFUNCTION("""COMPUTED_VALUE"""),"Yala Province")</f>
        <v>Yala Province</v>
      </c>
      <c r="Y132" t="str">
        <f>IFERROR(__xludf.DUMMYFUNCTION("""COMPUTED_VALUE"""),"ภูเก็ต")</f>
        <v>ภูเก็ต</v>
      </c>
      <c r="Z132" t="str">
        <f>IFERROR(__xludf.DUMMYFUNCTION("""COMPUTED_VALUE"""),"081 990 1433")</f>
        <v>081 990 1433</v>
      </c>
      <c r="AA132" t="str">
        <f>IFERROR(__xludf.DUMMYFUNCTION("""COMPUTED_VALUE"""),"พ่อ")</f>
        <v>พ่อ</v>
      </c>
      <c r="AB132" t="str">
        <f>IFERROR(__xludf.DUMMYFUNCTION("""COMPUTED_VALUE"""),"siwakornc@airasia.com")</f>
        <v>siwakornc@airasia.com</v>
      </c>
    </row>
    <row r="133">
      <c r="AB133" t="str">
        <f>IFERROR(__xludf.DUMMYFUNCTION("""COMPUTED_VALUE"""),"")</f>
        <v/>
      </c>
    </row>
    <row r="134">
      <c r="A134">
        <f>IFERROR(__xludf.DUMMYFUNCTION("""COMPUTED_VALUE"""),1003383.0)</f>
        <v>1003383</v>
      </c>
      <c r="B134" t="str">
        <f>IFERROR(__xludf.DUMMYFUNCTION("""COMPUTED_VALUE"""),"Ms.")</f>
        <v>Ms.</v>
      </c>
      <c r="C134" t="str">
        <f>IFERROR(__xludf.DUMMYFUNCTION("""COMPUTED_VALUE"""),"Amphika")</f>
        <v>Amphika</v>
      </c>
      <c r="D134" t="str">
        <f>IFERROR(__xludf.DUMMYFUNCTION("""COMPUTED_VALUE"""),"Sirawanadorn")</f>
        <v>Sirawanadorn</v>
      </c>
      <c r="E134" t="str">
        <f>IFERROR(__xludf.DUMMYFUNCTION("""COMPUTED_VALUE"""),"Amphika Sirawanadorn")</f>
        <v>Amphika Sirawanadorn</v>
      </c>
      <c r="F134" t="str">
        <f>IFERROR(__xludf.DUMMYFUNCTION("""COMPUTED_VALUE"""),"นางสาว")</f>
        <v>นางสาว</v>
      </c>
      <c r="G134" t="str">
        <f>IFERROR(__xludf.DUMMYFUNCTION("""COMPUTED_VALUE"""),"อัมพิกา")</f>
        <v>อัมพิกา</v>
      </c>
      <c r="H134" t="str">
        <f>IFERROR(__xludf.DUMMYFUNCTION("""COMPUTED_VALUE"""),"ศิระวนาดร")</f>
        <v>ศิระวนาดร</v>
      </c>
      <c r="I134" t="str">
        <f>IFERROR(__xludf.DUMMYFUNCTION("""COMPUTED_VALUE"""),"อัมพิกา ศิระวนาดร")</f>
        <v>อัมพิกา ศิระวนาดร</v>
      </c>
      <c r="J134" t="str">
        <f>IFERROR(__xludf.DUMMYFUNCTION("""COMPUTED_VALUE"""),"อัม")</f>
        <v>อัม</v>
      </c>
      <c r="K134" t="str">
        <f>IFERROR(__xludf.DUMMYFUNCTION("""COMPUTED_VALUE"""),"Senior Cabin Crew")</f>
        <v>Senior Cabin Crew</v>
      </c>
      <c r="L134" t="str">
        <f>IFERROR(__xludf.DUMMYFUNCTION("""COMPUTED_VALUE"""),"DMK")</f>
        <v>DMK</v>
      </c>
      <c r="M134" s="145" t="str">
        <f>IFERROR(__xludf.DUMMYFUNCTION("""COMPUTED_VALUE"""),"Por+ Home")</f>
        <v>Por+ Home</v>
      </c>
      <c r="N134" t="str">
        <f>IFERROR(__xludf.DUMMYFUNCTION("""COMPUTED_VALUE"""),"Active")</f>
        <v>Active</v>
      </c>
      <c r="P134" s="143">
        <f>IFERROR(__xludf.DUMMYFUNCTION("""COMPUTED_VALUE"""),29948.0)</f>
        <v>29948</v>
      </c>
      <c r="Q134" s="146">
        <f>IFERROR(__xludf.DUMMYFUNCTION("""COMPUTED_VALUE"""),9.35633595E8)</f>
        <v>935633595</v>
      </c>
      <c r="R134" s="147" t="str">
        <f>IFERROR(__xludf.DUMMYFUNCTION("""COMPUTED_VALUE"""),"3101100-47-6656")</f>
        <v>3101100-47-6656</v>
      </c>
      <c r="S134" t="str">
        <f>IFERROR(__xludf.DUMMYFUNCTION("""COMPUTED_VALUE"""),"AC2264345")</f>
        <v>AC2264345</v>
      </c>
      <c r="T134" s="148">
        <f>IFERROR(__xludf.DUMMYFUNCTION("""COMPUTED_VALUE"""),44328.0)</f>
        <v>44328</v>
      </c>
      <c r="U134" s="148">
        <f>IFERROR(__xludf.DUMMYFUNCTION("""COMPUTED_VALUE"""),47979.0)</f>
        <v>47979</v>
      </c>
      <c r="V134" s="149">
        <f>IFERROR(__xludf.DUMMYFUNCTION("""COMPUTED_VALUE"""),47798.0)</f>
        <v>47798</v>
      </c>
      <c r="W134" t="str">
        <f>IFERROR(__xludf.DUMMYFUNCTION("""COMPUTED_VALUE"""),"ปลอดภัย")</f>
        <v>ปลอดภัย</v>
      </c>
      <c r="X134" t="str">
        <f>IFERROR(__xludf.DUMMYFUNCTION("""COMPUTED_VALUE"""),"Bangkok")</f>
        <v>Bangkok</v>
      </c>
      <c r="Y134" t="str">
        <f>IFERROR(__xludf.DUMMYFUNCTION("""COMPUTED_VALUE"""),"นนทบุรี อำเภอเมือง")</f>
        <v>นนทบุรี อำเภอเมือง</v>
      </c>
      <c r="Z134" t="str">
        <f>IFERROR(__xludf.DUMMYFUNCTION("""COMPUTED_VALUE"""),"081 490 6060")</f>
        <v>081 490 6060</v>
      </c>
      <c r="AA134" t="str">
        <f>IFERROR(__xludf.DUMMYFUNCTION("""COMPUTED_VALUE"""),"พี่สาว")</f>
        <v>พี่สาว</v>
      </c>
      <c r="AB134" t="str">
        <f>IFERROR(__xludf.DUMMYFUNCTION("""COMPUTED_VALUE"""),"amphikas@airasia.com")</f>
        <v>amphikas@airasia.com</v>
      </c>
    </row>
    <row r="135">
      <c r="A135">
        <f>IFERROR(__xludf.DUMMYFUNCTION("""COMPUTED_VALUE"""),1003384.0)</f>
        <v>1003384</v>
      </c>
      <c r="B135" t="str">
        <f>IFERROR(__xludf.DUMMYFUNCTION("""COMPUTED_VALUE"""),"Ms.")</f>
        <v>Ms.</v>
      </c>
      <c r="C135" t="str">
        <f>IFERROR(__xludf.DUMMYFUNCTION("""COMPUTED_VALUE"""),"Chatchaya (Pimmpatthra)")</f>
        <v>Chatchaya (Pimmpatthra)</v>
      </c>
      <c r="D135" t="str">
        <f>IFERROR(__xludf.DUMMYFUNCTION("""COMPUTED_VALUE"""),"Bhoocharyarth(Rattanarangsri)")</f>
        <v>Bhoocharyarth(Rattanarangsri)</v>
      </c>
      <c r="E135" t="str">
        <f>IFERROR(__xludf.DUMMYFUNCTION("""COMPUTED_VALUE"""),"Chatchaya Bhoocharyarth")</f>
        <v>Chatchaya Bhoocharyarth</v>
      </c>
      <c r="F135" t="str">
        <f>IFERROR(__xludf.DUMMYFUNCTION("""COMPUTED_VALUE"""),"นางสาว")</f>
        <v>นางสาว</v>
      </c>
      <c r="G135" t="str">
        <f>IFERROR(__xludf.DUMMYFUNCTION("""COMPUTED_VALUE"""),"ชัชชญา(พิมพ์ภัทรา)")</f>
        <v>ชัชชญา(พิมพ์ภัทรา)</v>
      </c>
      <c r="H135" t="str">
        <f>IFERROR(__xludf.DUMMYFUNCTION("""COMPUTED_VALUE"""),"บูชาญาติ (รัตนรังสษี)")</f>
        <v>บูชาญาติ (รัตนรังสษี)</v>
      </c>
      <c r="I135" t="str">
        <f>IFERROR(__xludf.DUMMYFUNCTION("""COMPUTED_VALUE"""),"ชัชชญา บูชาญาติ")</f>
        <v>ชัชชญา บูชาญาติ</v>
      </c>
      <c r="J135" t="str">
        <f>IFERROR(__xludf.DUMMYFUNCTION("""COMPUTED_VALUE"""),"ฝน")</f>
        <v>ฝน</v>
      </c>
      <c r="K135" t="str">
        <f>IFERROR(__xludf.DUMMYFUNCTION("""COMPUTED_VALUE"""),"Senior Cabin Crew")</f>
        <v>Senior Cabin Crew</v>
      </c>
      <c r="L135" t="str">
        <f>IFERROR(__xludf.DUMMYFUNCTION("""COMPUTED_VALUE"""),"DMK")</f>
        <v>DMK</v>
      </c>
      <c r="M135" s="145" t="str">
        <f>IFERROR(__xludf.DUMMYFUNCTION("""COMPUTED_VALUE"""),"Kor Home")</f>
        <v>Kor Home</v>
      </c>
      <c r="N135" t="str">
        <f>IFERROR(__xludf.DUMMYFUNCTION("""COMPUTED_VALUE"""),"Active")</f>
        <v>Active</v>
      </c>
      <c r="P135" s="143">
        <f>IFERROR(__xludf.DUMMYFUNCTION("""COMPUTED_VALUE"""),29422.0)</f>
        <v>29422</v>
      </c>
      <c r="Q135" s="146" t="str">
        <f>IFERROR(__xludf.DUMMYFUNCTION("""COMPUTED_VALUE"""),"093 519 6428")</f>
        <v>093 519 6428</v>
      </c>
      <c r="R135" s="147" t="str">
        <f>IFERROR(__xludf.DUMMYFUNCTION("""COMPUTED_VALUE"""),"3190800-07-8326")</f>
        <v>3190800-07-8326</v>
      </c>
      <c r="S135" t="str">
        <f>IFERROR(__xludf.DUMMYFUNCTION("""COMPUTED_VALUE"""),"AC4840620")</f>
        <v>AC4840620</v>
      </c>
      <c r="T135" s="148">
        <f>IFERROR(__xludf.DUMMYFUNCTION("""COMPUTED_VALUE"""),45020.0)</f>
        <v>45020</v>
      </c>
      <c r="U135" s="148">
        <f>IFERROR(__xludf.DUMMYFUNCTION("""COMPUTED_VALUE"""),48672.0)</f>
        <v>48672</v>
      </c>
      <c r="V135" s="149">
        <f>IFERROR(__xludf.DUMMYFUNCTION("""COMPUTED_VALUE"""),48490.0)</f>
        <v>48490</v>
      </c>
      <c r="W135" t="str">
        <f>IFERROR(__xludf.DUMMYFUNCTION("""COMPUTED_VALUE"""),"ปลอดภัย")</f>
        <v>ปลอดภัย</v>
      </c>
      <c r="X135" t="str">
        <f>IFERROR(__xludf.DUMMYFUNCTION("""COMPUTED_VALUE"""),"Saraburi Province")</f>
        <v>Saraburi Province</v>
      </c>
      <c r="Y135" t="str">
        <f>IFERROR(__xludf.DUMMYFUNCTION("""COMPUTED_VALUE"""),"ลาดกระบัง")</f>
        <v>ลาดกระบัง</v>
      </c>
      <c r="Z135" t="str">
        <f>IFERROR(__xludf.DUMMYFUNCTION("""COMPUTED_VALUE"""),"087 755 8590")</f>
        <v>087 755 8590</v>
      </c>
      <c r="AA135" t="str">
        <f>IFERROR(__xludf.DUMMYFUNCTION("""COMPUTED_VALUE"""),"ไม่ระบุ")</f>
        <v>ไม่ระบุ</v>
      </c>
      <c r="AB135" t="str">
        <f>IFERROR(__xludf.DUMMYFUNCTION("""COMPUTED_VALUE"""),"chatchayab@airasia.com")</f>
        <v>chatchayab@airasia.com</v>
      </c>
    </row>
    <row r="136">
      <c r="A136">
        <f>IFERROR(__xludf.DUMMYFUNCTION("""COMPUTED_VALUE"""),1003385.0)</f>
        <v>1003385</v>
      </c>
      <c r="B136" t="str">
        <f>IFERROR(__xludf.DUMMYFUNCTION("""COMPUTED_VALUE"""),"Ms.")</f>
        <v>Ms.</v>
      </c>
      <c r="C136" t="str">
        <f>IFERROR(__xludf.DUMMYFUNCTION("""COMPUTED_VALUE"""),"Jaruma")</f>
        <v>Jaruma</v>
      </c>
      <c r="D136" t="str">
        <f>IFERROR(__xludf.DUMMYFUNCTION("""COMPUTED_VALUE"""),"Jantarapap")</f>
        <v>Jantarapap</v>
      </c>
      <c r="E136" t="str">
        <f>IFERROR(__xludf.DUMMYFUNCTION("""COMPUTED_VALUE"""),"Jaruma Jantarapap")</f>
        <v>Jaruma Jantarapap</v>
      </c>
      <c r="F136" t="str">
        <f>IFERROR(__xludf.DUMMYFUNCTION("""COMPUTED_VALUE"""),"นางสาว")</f>
        <v>นางสาว</v>
      </c>
      <c r="G136" t="str">
        <f>IFERROR(__xludf.DUMMYFUNCTION("""COMPUTED_VALUE"""),"จารุมา")</f>
        <v>จารุมา</v>
      </c>
      <c r="H136" t="str">
        <f>IFERROR(__xludf.DUMMYFUNCTION("""COMPUTED_VALUE"""),"จันทรภาพ")</f>
        <v>จันทรภาพ</v>
      </c>
      <c r="I136" t="str">
        <f>IFERROR(__xludf.DUMMYFUNCTION("""COMPUTED_VALUE"""),"จารุมา จันทรภาพ")</f>
        <v>จารุมา จันทรภาพ</v>
      </c>
      <c r="J136" t="str">
        <f>IFERROR(__xludf.DUMMYFUNCTION("""COMPUTED_VALUE"""),"จา")</f>
        <v>จา</v>
      </c>
      <c r="K136" t="str">
        <f>IFERROR(__xludf.DUMMYFUNCTION("""COMPUTED_VALUE"""),"Senior Cabin Crew")</f>
        <v>Senior Cabin Crew</v>
      </c>
      <c r="L136" t="str">
        <f>IFERROR(__xludf.DUMMYFUNCTION("""COMPUTED_VALUE"""),"DMK")</f>
        <v>DMK</v>
      </c>
      <c r="M136" s="145" t="str">
        <f>IFERROR(__xludf.DUMMYFUNCTION("""COMPUTED_VALUE"""),"Por+ Home")</f>
        <v>Por+ Home</v>
      </c>
      <c r="N136" t="str">
        <f>IFERROR(__xludf.DUMMYFUNCTION("""COMPUTED_VALUE"""),"Active")</f>
        <v>Active</v>
      </c>
      <c r="P136" s="143">
        <f>IFERROR(__xludf.DUMMYFUNCTION("""COMPUTED_VALUE"""),29569.0)</f>
        <v>29569</v>
      </c>
      <c r="Q136" s="146" t="str">
        <f>IFERROR(__xludf.DUMMYFUNCTION("""COMPUTED_VALUE"""),"096 945 3664")</f>
        <v>096 945 3664</v>
      </c>
      <c r="R136" s="147" t="str">
        <f>IFERROR(__xludf.DUMMYFUNCTION("""COMPUTED_VALUE"""),"3610400-22-1747")</f>
        <v>3610400-22-1747</v>
      </c>
      <c r="S136" t="str">
        <f>IFERROR(__xludf.DUMMYFUNCTION("""COMPUTED_VALUE"""),"AC3618673")</f>
        <v>AC3618673</v>
      </c>
      <c r="T136" s="148">
        <f>IFERROR(__xludf.DUMMYFUNCTION("""COMPUTED_VALUE"""),44760.0)</f>
        <v>44760</v>
      </c>
      <c r="U136" s="148">
        <f>IFERROR(__xludf.DUMMYFUNCTION("""COMPUTED_VALUE"""),46585.0)</f>
        <v>46585</v>
      </c>
      <c r="V136" s="149">
        <f>IFERROR(__xludf.DUMMYFUNCTION("""COMPUTED_VALUE"""),46404.0)</f>
        <v>46404</v>
      </c>
      <c r="W136" t="str">
        <f>IFERROR(__xludf.DUMMYFUNCTION("""COMPUTED_VALUE"""),"ปลอดภัย")</f>
        <v>ปลอดภัย</v>
      </c>
      <c r="X136" t="str">
        <f>IFERROR(__xludf.DUMMYFUNCTION("""COMPUTED_VALUE"""),"Uthai Thani Province")</f>
        <v>Uthai Thani Province</v>
      </c>
      <c r="Y136" t="str">
        <f>IFERROR(__xludf.DUMMYFUNCTION("""COMPUTED_VALUE"""),"บางเขน")</f>
        <v>บางเขน</v>
      </c>
      <c r="Z136" t="str">
        <f>IFERROR(__xludf.DUMMYFUNCTION("""COMPUTED_VALUE"""),"086 755 1717")</f>
        <v>086 755 1717</v>
      </c>
      <c r="AA136" t="str">
        <f>IFERROR(__xludf.DUMMYFUNCTION("""COMPUTED_VALUE"""),"สามี")</f>
        <v>สามี</v>
      </c>
      <c r="AB136" t="str">
        <f>IFERROR(__xludf.DUMMYFUNCTION("""COMPUTED_VALUE"""),"jarumaj@airasia.com")</f>
        <v>jarumaj@airasia.com</v>
      </c>
    </row>
    <row r="137">
      <c r="A137">
        <f>IFERROR(__xludf.DUMMYFUNCTION("""COMPUTED_VALUE"""),1003390.0)</f>
        <v>1003390</v>
      </c>
      <c r="B137" t="str">
        <f>IFERROR(__xludf.DUMMYFUNCTION("""COMPUTED_VALUE"""),"Ms.")</f>
        <v>Ms.</v>
      </c>
      <c r="C137" t="str">
        <f>IFERROR(__xludf.DUMMYFUNCTION("""COMPUTED_VALUE"""),"Pattaranit")</f>
        <v>Pattaranit</v>
      </c>
      <c r="D137" t="str">
        <f>IFERROR(__xludf.DUMMYFUNCTION("""COMPUTED_VALUE"""),"Trejareonwiwat")</f>
        <v>Trejareonwiwat</v>
      </c>
      <c r="E137" t="str">
        <f>IFERROR(__xludf.DUMMYFUNCTION("""COMPUTED_VALUE"""),"Pattaranit Trejareonwiwat")</f>
        <v>Pattaranit Trejareonwiwat</v>
      </c>
      <c r="F137" t="str">
        <f>IFERROR(__xludf.DUMMYFUNCTION("""COMPUTED_VALUE"""),"นางสาว")</f>
        <v>นางสาว</v>
      </c>
      <c r="G137" t="str">
        <f>IFERROR(__xludf.DUMMYFUNCTION("""COMPUTED_VALUE"""),"ภัทรนิธิ์")</f>
        <v>ภัทรนิธิ์</v>
      </c>
      <c r="H137" t="str">
        <f>IFERROR(__xludf.DUMMYFUNCTION("""COMPUTED_VALUE"""),"ตรีเจริญวิวัฒน์")</f>
        <v>ตรีเจริญวิวัฒน์</v>
      </c>
      <c r="I137" t="str">
        <f>IFERROR(__xludf.DUMMYFUNCTION("""COMPUTED_VALUE"""),"ภัทรนิธิ์ ตรีเจริญวิวัฒน์")</f>
        <v>ภัทรนิธิ์ ตรีเจริญวิวัฒน์</v>
      </c>
      <c r="J137" t="str">
        <f>IFERROR(__xludf.DUMMYFUNCTION("""COMPUTED_VALUE"""),"Jib")</f>
        <v>Jib</v>
      </c>
      <c r="K137" t="str">
        <f>IFERROR(__xludf.DUMMYFUNCTION("""COMPUTED_VALUE"""),"Senior Cabin Crew")</f>
        <v>Senior Cabin Crew</v>
      </c>
      <c r="L137" t="str">
        <f>IFERROR(__xludf.DUMMYFUNCTION("""COMPUTED_VALUE"""),"DMK")</f>
        <v>DMK</v>
      </c>
      <c r="M137" s="145" t="str">
        <f>IFERROR(__xludf.DUMMYFUNCTION("""COMPUTED_VALUE"""),"Nhui Home")</f>
        <v>Nhui Home</v>
      </c>
      <c r="N137" t="str">
        <f>IFERROR(__xludf.DUMMYFUNCTION("""COMPUTED_VALUE"""),"Active")</f>
        <v>Active</v>
      </c>
      <c r="P137" s="143">
        <f>IFERROR(__xludf.DUMMYFUNCTION("""COMPUTED_VALUE"""),31013.0)</f>
        <v>31013</v>
      </c>
      <c r="Q137" s="146" t="str">
        <f>IFERROR(__xludf.DUMMYFUNCTION("""COMPUTED_VALUE"""),"086 802 8101")</f>
        <v>086 802 8101</v>
      </c>
      <c r="R137" s="147" t="str">
        <f>IFERROR(__xludf.DUMMYFUNCTION("""COMPUTED_VALUE"""),"1100600-01-7998")</f>
        <v>1100600-01-7998</v>
      </c>
      <c r="S137" t="str">
        <f>IFERROR(__xludf.DUMMYFUNCTION("""COMPUTED_VALUE"""),"AC5776748")</f>
        <v>AC5776748</v>
      </c>
      <c r="T137" s="148">
        <f>IFERROR(__xludf.DUMMYFUNCTION("""COMPUTED_VALUE"""),45223.0)</f>
        <v>45223</v>
      </c>
      <c r="U137" s="148">
        <f>IFERROR(__xludf.DUMMYFUNCTION("""COMPUTED_VALUE"""),48875.0)</f>
        <v>48875</v>
      </c>
      <c r="V137" s="149">
        <f>IFERROR(__xludf.DUMMYFUNCTION("""COMPUTED_VALUE"""),48692.0)</f>
        <v>48692</v>
      </c>
      <c r="W137" t="str">
        <f>IFERROR(__xludf.DUMMYFUNCTION("""COMPUTED_VALUE"""),"ปลอดภัย")</f>
        <v>ปลอดภัย</v>
      </c>
      <c r="X137" t="str">
        <f>IFERROR(__xludf.DUMMYFUNCTION("""COMPUTED_VALUE"""),"Bangkok")</f>
        <v>Bangkok</v>
      </c>
      <c r="Y137" t="str">
        <f>IFERROR(__xludf.DUMMYFUNCTION("""COMPUTED_VALUE"""),"lสะพานใหม่")</f>
        <v>lสะพานใหม่</v>
      </c>
      <c r="Z137" t="str">
        <f>IFERROR(__xludf.DUMMYFUNCTION("""COMPUTED_VALUE"""),"083 261 7778")</f>
        <v>083 261 7778</v>
      </c>
      <c r="AA137" t="str">
        <f>IFERROR(__xludf.DUMMYFUNCTION("""COMPUTED_VALUE"""),"พ่อ")</f>
        <v>พ่อ</v>
      </c>
      <c r="AB137" t="str">
        <f>IFERROR(__xludf.DUMMYFUNCTION("""COMPUTED_VALUE"""),"pattaranitt@airasia.com")</f>
        <v>pattaranitt@airasia.com</v>
      </c>
    </row>
    <row r="138">
      <c r="A138">
        <f>IFERROR(__xludf.DUMMYFUNCTION("""COMPUTED_VALUE"""),1003392.0)</f>
        <v>1003392</v>
      </c>
      <c r="B138" t="str">
        <f>IFERROR(__xludf.DUMMYFUNCTION("""COMPUTED_VALUE"""),"Ms.")</f>
        <v>Ms.</v>
      </c>
      <c r="C138" t="str">
        <f>IFERROR(__xludf.DUMMYFUNCTION("""COMPUTED_VALUE"""),"Punnaphas (Amornret)")</f>
        <v>Punnaphas (Amornret)</v>
      </c>
      <c r="D138" t="str">
        <f>IFERROR(__xludf.DUMMYFUNCTION("""COMPUTED_VALUE"""),"Tawornpanmanee")</f>
        <v>Tawornpanmanee</v>
      </c>
      <c r="E138" t="str">
        <f>IFERROR(__xludf.DUMMYFUNCTION("""COMPUTED_VALUE"""),"Punnaphas Tawornpanmanee")</f>
        <v>Punnaphas Tawornpanmanee</v>
      </c>
      <c r="F138" t="str">
        <f>IFERROR(__xludf.DUMMYFUNCTION("""COMPUTED_VALUE"""),"นางสาว")</f>
        <v>นางสาว</v>
      </c>
      <c r="G138" t="str">
        <f>IFERROR(__xludf.DUMMYFUNCTION("""COMPUTED_VALUE"""),"ปุณณภัสสร์")</f>
        <v>ปุณณภัสสร์</v>
      </c>
      <c r="H138" t="str">
        <f>IFERROR(__xludf.DUMMYFUNCTION("""COMPUTED_VALUE"""),"ถาวรพันธุ์มณี")</f>
        <v>ถาวรพันธุ์มณี</v>
      </c>
      <c r="I138" t="str">
        <f>IFERROR(__xludf.DUMMYFUNCTION("""COMPUTED_VALUE"""),"ปุณณภัสสร์ ถาวรพันธุ์มณี")</f>
        <v>ปุณณภัสสร์ ถาวรพันธุ์มณี</v>
      </c>
      <c r="J138" t="str">
        <f>IFERROR(__xludf.DUMMYFUNCTION("""COMPUTED_VALUE"""),"Yin / หยิน")</f>
        <v>Yin / หยิน</v>
      </c>
      <c r="K138" t="str">
        <f>IFERROR(__xludf.DUMMYFUNCTION("""COMPUTED_VALUE"""),"Cabin Crew")</f>
        <v>Cabin Crew</v>
      </c>
      <c r="L138" t="str">
        <f>IFERROR(__xludf.DUMMYFUNCTION("""COMPUTED_VALUE"""),"DMK")</f>
        <v>DMK</v>
      </c>
      <c r="M138" s="145" t="str">
        <f>IFERROR(__xludf.DUMMYFUNCTION("""COMPUTED_VALUE"""),"Por+ Home")</f>
        <v>Por+ Home</v>
      </c>
      <c r="N138" t="str">
        <f>IFERROR(__xludf.DUMMYFUNCTION("""COMPUTED_VALUE"""),"Active")</f>
        <v>Active</v>
      </c>
      <c r="P138" s="143">
        <f>IFERROR(__xludf.DUMMYFUNCTION("""COMPUTED_VALUE"""),30509.0)</f>
        <v>30509</v>
      </c>
      <c r="Q138" s="146" t="str">
        <f>IFERROR(__xludf.DUMMYFUNCTION("""COMPUTED_VALUE"""),"061 536 6441")</f>
        <v>061 536 6441</v>
      </c>
      <c r="R138" s="147" t="str">
        <f>IFERROR(__xludf.DUMMYFUNCTION("""COMPUTED_VALUE"""),"3102002-75-8861")</f>
        <v>3102002-75-8861</v>
      </c>
      <c r="S138" t="str">
        <f>IFERROR(__xludf.DUMMYFUNCTION("""COMPUTED_VALUE"""),"AC4381670")</f>
        <v>AC4381670</v>
      </c>
      <c r="T138" s="148">
        <f>IFERROR(__xludf.DUMMYFUNCTION("""COMPUTED_VALUE"""),44936.0)</f>
        <v>44936</v>
      </c>
      <c r="U138" s="148">
        <f>IFERROR(__xludf.DUMMYFUNCTION("""COMPUTED_VALUE"""),48588.0)</f>
        <v>48588</v>
      </c>
      <c r="V138" s="149">
        <f>IFERROR(__xludf.DUMMYFUNCTION("""COMPUTED_VALUE"""),48404.0)</f>
        <v>48404</v>
      </c>
      <c r="W138" t="str">
        <f>IFERROR(__xludf.DUMMYFUNCTION("""COMPUTED_VALUE"""),"ปลอดภัย")</f>
        <v>ปลอดภัย</v>
      </c>
      <c r="X138" t="str">
        <f>IFERROR(__xludf.DUMMYFUNCTION("""COMPUTED_VALUE"""),"Bangkok")</f>
        <v>Bangkok</v>
      </c>
      <c r="Y138" t="str">
        <f>IFERROR(__xludf.DUMMYFUNCTION("""COMPUTED_VALUE"""),"กรุงเทพ")</f>
        <v>กรุงเทพ</v>
      </c>
      <c r="Z138" t="str">
        <f>IFERROR(__xludf.DUMMYFUNCTION("""COMPUTED_VALUE"""),"086 756 9646")</f>
        <v>086 756 9646</v>
      </c>
      <c r="AA138" t="str">
        <f>IFERROR(__xludf.DUMMYFUNCTION("""COMPUTED_VALUE"""),"แม่")</f>
        <v>แม่</v>
      </c>
      <c r="AB138" t="str">
        <f>IFERROR(__xludf.DUMMYFUNCTION("""COMPUTED_VALUE"""),"punnaphast@airasia.com")</f>
        <v>punnaphast@airasia.com</v>
      </c>
    </row>
    <row r="139">
      <c r="A139">
        <f>IFERROR(__xludf.DUMMYFUNCTION("""COMPUTED_VALUE"""),1003393.0)</f>
        <v>1003393</v>
      </c>
      <c r="B139" t="str">
        <f>IFERROR(__xludf.DUMMYFUNCTION("""COMPUTED_VALUE"""),"Ms.")</f>
        <v>Ms.</v>
      </c>
      <c r="C139" t="str">
        <f>IFERROR(__xludf.DUMMYFUNCTION("""COMPUTED_VALUE"""),"Rhodavalentine")</f>
        <v>Rhodavalentine</v>
      </c>
      <c r="D139" t="str">
        <f>IFERROR(__xludf.DUMMYFUNCTION("""COMPUTED_VALUE"""),"Tipayasoceniza")</f>
        <v>Tipayasoceniza</v>
      </c>
      <c r="E139" t="str">
        <f>IFERROR(__xludf.DUMMYFUNCTION("""COMPUTED_VALUE"""),"Rhodavalentine Tipayasoceniza")</f>
        <v>Rhodavalentine Tipayasoceniza</v>
      </c>
      <c r="F139" t="str">
        <f>IFERROR(__xludf.DUMMYFUNCTION("""COMPUTED_VALUE"""),"นางสาว")</f>
        <v>นางสาว</v>
      </c>
      <c r="G139" t="str">
        <f>IFERROR(__xludf.DUMMYFUNCTION("""COMPUTED_VALUE"""),"โรดาวาเลนไทน์")</f>
        <v>โรดาวาเลนไทน์</v>
      </c>
      <c r="H139" t="str">
        <f>IFERROR(__xludf.DUMMYFUNCTION("""COMPUTED_VALUE"""),"ทิพยโสเซนิซา")</f>
        <v>ทิพยโสเซนิซา</v>
      </c>
      <c r="I139" t="str">
        <f>IFERROR(__xludf.DUMMYFUNCTION("""COMPUTED_VALUE"""),"โรดาวาเลนไทน์ ทิพยโสเซนิซา")</f>
        <v>โรดาวาเลนไทน์ ทิพยโสเซนิซา</v>
      </c>
      <c r="J139" t="str">
        <f>IFERROR(__xludf.DUMMYFUNCTION("""COMPUTED_VALUE"""),"Rhoda")</f>
        <v>Rhoda</v>
      </c>
      <c r="K139" t="str">
        <f>IFERROR(__xludf.DUMMYFUNCTION("""COMPUTED_VALUE"""),"Senior Cabin Crew")</f>
        <v>Senior Cabin Crew</v>
      </c>
      <c r="L139" t="str">
        <f>IFERROR(__xludf.DUMMYFUNCTION("""COMPUTED_VALUE"""),"DMK")</f>
        <v>DMK</v>
      </c>
      <c r="M139" s="145" t="str">
        <f>IFERROR(__xludf.DUMMYFUNCTION("""COMPUTED_VALUE"""),"Por+ Home")</f>
        <v>Por+ Home</v>
      </c>
      <c r="N139" t="str">
        <f>IFERROR(__xludf.DUMMYFUNCTION("""COMPUTED_VALUE"""),"Active")</f>
        <v>Active</v>
      </c>
      <c r="P139" s="143">
        <f>IFERROR(__xludf.DUMMYFUNCTION("""COMPUTED_VALUE"""),29996.0)</f>
        <v>29996</v>
      </c>
      <c r="Q139" s="146" t="str">
        <f>IFERROR(__xludf.DUMMYFUNCTION("""COMPUTED_VALUE"""),"089 669 2348")</f>
        <v>089 669 2348</v>
      </c>
      <c r="R139" s="147" t="str">
        <f>IFERROR(__xludf.DUMMYFUNCTION("""COMPUTED_VALUE"""),"5101800-04-6537")</f>
        <v>5101800-04-6537</v>
      </c>
      <c r="S139" t="str">
        <f>IFERROR(__xludf.DUMMYFUNCTION("""COMPUTED_VALUE"""),"AD1259828")</f>
        <v>AD1259828</v>
      </c>
      <c r="T139" s="148">
        <f>IFERROR(__xludf.DUMMYFUNCTION("""COMPUTED_VALUE"""),45196.0)</f>
        <v>45196</v>
      </c>
      <c r="U139" s="148">
        <f>IFERROR(__xludf.DUMMYFUNCTION("""COMPUTED_VALUE"""),48848.0)</f>
        <v>48848</v>
      </c>
      <c r="V139" s="149">
        <f>IFERROR(__xludf.DUMMYFUNCTION("""COMPUTED_VALUE"""),48664.0)</f>
        <v>48664</v>
      </c>
      <c r="W139" t="str">
        <f>IFERROR(__xludf.DUMMYFUNCTION("""COMPUTED_VALUE"""),"ปลอดภัย")</f>
        <v>ปลอดภัย</v>
      </c>
      <c r="X139" t="str">
        <f>IFERROR(__xludf.DUMMYFUNCTION("""COMPUTED_VALUE"""),"Philippines")</f>
        <v>Philippines</v>
      </c>
      <c r="Y139" t="str">
        <f>IFERROR(__xludf.DUMMYFUNCTION("""COMPUTED_VALUE"""),"ธนบุรี")</f>
        <v>ธนบุรี</v>
      </c>
      <c r="Z139" t="str">
        <f>IFERROR(__xludf.DUMMYFUNCTION("""COMPUTED_VALUE"""),"089 669 2348")</f>
        <v>089 669 2348</v>
      </c>
      <c r="AA139" t="str">
        <f>IFERROR(__xludf.DUMMYFUNCTION("""COMPUTED_VALUE"""),"ไม่ระบุ")</f>
        <v>ไม่ระบุ</v>
      </c>
      <c r="AB139" t="str">
        <f>IFERROR(__xludf.DUMMYFUNCTION("""COMPUTED_VALUE"""),"rhodavalentinet@airasia.com")</f>
        <v>rhodavalentinet@airasia.com</v>
      </c>
    </row>
    <row r="140">
      <c r="A140">
        <f>IFERROR(__xludf.DUMMYFUNCTION("""COMPUTED_VALUE"""),1003397.0)</f>
        <v>1003397</v>
      </c>
      <c r="B140" t="str">
        <f>IFERROR(__xludf.DUMMYFUNCTION("""COMPUTED_VALUE"""),"Ms.")</f>
        <v>Ms.</v>
      </c>
      <c r="C140" t="str">
        <f>IFERROR(__xludf.DUMMYFUNCTION("""COMPUTED_VALUE"""),"Vallika")</f>
        <v>Vallika</v>
      </c>
      <c r="D140" t="str">
        <f>IFERROR(__xludf.DUMMYFUNCTION("""COMPUTED_VALUE"""),"Nichajaruspong")</f>
        <v>Nichajaruspong</v>
      </c>
      <c r="E140" t="str">
        <f>IFERROR(__xludf.DUMMYFUNCTION("""COMPUTED_VALUE"""),"Vallika Nichajaruspong")</f>
        <v>Vallika Nichajaruspong</v>
      </c>
      <c r="F140" t="str">
        <f>IFERROR(__xludf.DUMMYFUNCTION("""COMPUTED_VALUE"""),"นางสาว")</f>
        <v>นางสาว</v>
      </c>
      <c r="G140" t="str">
        <f>IFERROR(__xludf.DUMMYFUNCTION("""COMPUTED_VALUE"""),"วัลย์ลิกา")</f>
        <v>วัลย์ลิกา</v>
      </c>
      <c r="H140" t="str">
        <f>IFERROR(__xludf.DUMMYFUNCTION("""COMPUTED_VALUE"""),"นิชาจรัสพงศ์")</f>
        <v>นิชาจรัสพงศ์</v>
      </c>
      <c r="I140" t="str">
        <f>IFERROR(__xludf.DUMMYFUNCTION("""COMPUTED_VALUE"""),"วัลย์ลิกา นิชาจรัสพงศ์")</f>
        <v>วัลย์ลิกา นิชาจรัสพงศ์</v>
      </c>
      <c r="J140" t="str">
        <f>IFERROR(__xludf.DUMMYFUNCTION("""COMPUTED_VALUE"""),"ลูกตาล / Luktan")</f>
        <v>ลูกตาล / Luktan</v>
      </c>
      <c r="K140" t="str">
        <f>IFERROR(__xludf.DUMMYFUNCTION("""COMPUTED_VALUE"""),"Senior Cabin Crew")</f>
        <v>Senior Cabin Crew</v>
      </c>
      <c r="L140" t="str">
        <f>IFERROR(__xludf.DUMMYFUNCTION("""COMPUTED_VALUE"""),"DMK")</f>
        <v>DMK</v>
      </c>
      <c r="M140" s="145" t="str">
        <f>IFERROR(__xludf.DUMMYFUNCTION("""COMPUTED_VALUE"""),"Um Home")</f>
        <v>Um Home</v>
      </c>
      <c r="N140" t="str">
        <f>IFERROR(__xludf.DUMMYFUNCTION("""COMPUTED_VALUE"""),"Active")</f>
        <v>Active</v>
      </c>
      <c r="P140" s="143">
        <f>IFERROR(__xludf.DUMMYFUNCTION("""COMPUTED_VALUE"""),30294.0)</f>
        <v>30294</v>
      </c>
      <c r="Q140" s="146" t="str">
        <f>IFERROR(__xludf.DUMMYFUNCTION("""COMPUTED_VALUE"""),"093 926 4963")</f>
        <v>093 926 4963</v>
      </c>
      <c r="R140" s="147" t="str">
        <f>IFERROR(__xludf.DUMMYFUNCTION("""COMPUTED_VALUE"""),"3102200-16-4746")</f>
        <v>3102200-16-4746</v>
      </c>
      <c r="S140" t="str">
        <f>IFERROR(__xludf.DUMMYFUNCTION("""COMPUTED_VALUE"""),"AC5980870")</f>
        <v>AC5980870</v>
      </c>
      <c r="T140" s="148">
        <f>IFERROR(__xludf.DUMMYFUNCTION("""COMPUTED_VALUE"""),45226.0)</f>
        <v>45226</v>
      </c>
      <c r="U140" s="148">
        <f>IFERROR(__xludf.DUMMYFUNCTION("""COMPUTED_VALUE"""),48878.0)</f>
        <v>48878</v>
      </c>
      <c r="V140" s="149">
        <f>IFERROR(__xludf.DUMMYFUNCTION("""COMPUTED_VALUE"""),48695.0)</f>
        <v>48695</v>
      </c>
      <c r="W140" t="str">
        <f>IFERROR(__xludf.DUMMYFUNCTION("""COMPUTED_VALUE"""),"ปลอดภัย")</f>
        <v>ปลอดภัย</v>
      </c>
      <c r="X140" t="str">
        <f>IFERROR(__xludf.DUMMYFUNCTION("""COMPUTED_VALUE"""),"Bangkok")</f>
        <v>Bangkok</v>
      </c>
      <c r="Y140" t="str">
        <f>IFERROR(__xludf.DUMMYFUNCTION("""COMPUTED_VALUE"""),"จอมทอง")</f>
        <v>จอมทอง</v>
      </c>
      <c r="Z140" t="str">
        <f>IFERROR(__xludf.DUMMYFUNCTION("""COMPUTED_VALUE"""),"081 552 2213")</f>
        <v>081 552 2213</v>
      </c>
      <c r="AA140" t="str">
        <f>IFERROR(__xludf.DUMMYFUNCTION("""COMPUTED_VALUE"""),"พี่สาว")</f>
        <v>พี่สาว</v>
      </c>
      <c r="AB140" t="str">
        <f>IFERROR(__xludf.DUMMYFUNCTION("""COMPUTED_VALUE"""),"vallikan@airasia.com")</f>
        <v>vallikan@airasia.com</v>
      </c>
    </row>
    <row r="141">
      <c r="A141">
        <f>IFERROR(__xludf.DUMMYFUNCTION("""COMPUTED_VALUE"""),1003398.0)</f>
        <v>1003398</v>
      </c>
      <c r="B141" t="str">
        <f>IFERROR(__xludf.DUMMYFUNCTION("""COMPUTED_VALUE"""),"Ms.")</f>
        <v>Ms.</v>
      </c>
      <c r="C141" t="str">
        <f>IFERROR(__xludf.DUMMYFUNCTION("""COMPUTED_VALUE"""),"Netchaya (Varanthaya)")</f>
        <v>Netchaya (Varanthaya)</v>
      </c>
      <c r="D141" t="str">
        <f>IFERROR(__xludf.DUMMYFUNCTION("""COMPUTED_VALUE"""),"Namarsa")</f>
        <v>Namarsa</v>
      </c>
      <c r="E141" t="str">
        <f>IFERROR(__xludf.DUMMYFUNCTION("""COMPUTED_VALUE"""),"Netchaya Namarsa")</f>
        <v>Netchaya Namarsa</v>
      </c>
      <c r="F141" t="str">
        <f>IFERROR(__xludf.DUMMYFUNCTION("""COMPUTED_VALUE"""),"นางสาว")</f>
        <v>นางสาว</v>
      </c>
      <c r="G141" t="str">
        <f>IFERROR(__xludf.DUMMYFUNCTION("""COMPUTED_VALUE"""),"เณชาญา (วรัญธญา)")</f>
        <v>เณชาญา (วรัญธญา)</v>
      </c>
      <c r="H141" t="str">
        <f>IFERROR(__xludf.DUMMYFUNCTION("""COMPUTED_VALUE"""),"นามอาสา")</f>
        <v>นามอาสา</v>
      </c>
      <c r="I141" t="str">
        <f>IFERROR(__xludf.DUMMYFUNCTION("""COMPUTED_VALUE"""),"เณชาญา นามอาสา")</f>
        <v>เณชาญา นามอาสา</v>
      </c>
      <c r="J141" t="str">
        <f>IFERROR(__xludf.DUMMYFUNCTION("""COMPUTED_VALUE"""),"Fon")</f>
        <v>Fon</v>
      </c>
      <c r="K141" t="str">
        <f>IFERROR(__xludf.DUMMYFUNCTION("""COMPUTED_VALUE"""),"Senior Cabin Crew")</f>
        <v>Senior Cabin Crew</v>
      </c>
      <c r="L141" t="str">
        <f>IFERROR(__xludf.DUMMYFUNCTION("""COMPUTED_VALUE"""),"DMK")</f>
        <v>DMK</v>
      </c>
      <c r="M141" s="145" t="str">
        <f>IFERROR(__xludf.DUMMYFUNCTION("""COMPUTED_VALUE"""),"Um Home")</f>
        <v>Um Home</v>
      </c>
      <c r="N141" t="str">
        <f>IFERROR(__xludf.DUMMYFUNCTION("""COMPUTED_VALUE"""),"Active")</f>
        <v>Active</v>
      </c>
      <c r="P141" s="143">
        <f>IFERROR(__xludf.DUMMYFUNCTION("""COMPUTED_VALUE"""),30198.0)</f>
        <v>30198</v>
      </c>
      <c r="Q141" s="146" t="str">
        <f>IFERROR(__xludf.DUMMYFUNCTION("""COMPUTED_VALUE"""),"093 581 8997")</f>
        <v>093 581 8997</v>
      </c>
      <c r="R141" s="147" t="str">
        <f>IFERROR(__xludf.DUMMYFUNCTION("""COMPUTED_VALUE"""),"3410102-50-8357")</f>
        <v>3410102-50-8357</v>
      </c>
      <c r="S141" t="str">
        <f>IFERROR(__xludf.DUMMYFUNCTION("""COMPUTED_VALUE"""),"AD2754333")</f>
        <v>AD2754333</v>
      </c>
      <c r="T141" s="148">
        <f>IFERROR(__xludf.DUMMYFUNCTION("""COMPUTED_VALUE"""),46104.0)</f>
        <v>46104</v>
      </c>
      <c r="U141" s="148">
        <f>IFERROR(__xludf.DUMMYFUNCTION("""COMPUTED_VALUE"""),47929.0)</f>
        <v>47929</v>
      </c>
      <c r="V141" s="149">
        <f>IFERROR(__xludf.DUMMYFUNCTION("""COMPUTED_VALUE"""),47748.0)</f>
        <v>47748</v>
      </c>
      <c r="W141" t="str">
        <f>IFERROR(__xludf.DUMMYFUNCTION("""COMPUTED_VALUE"""),"ปลอดภัย")</f>
        <v>ปลอดภัย</v>
      </c>
      <c r="X141" t="str">
        <f>IFERROR(__xludf.DUMMYFUNCTION("""COMPUTED_VALUE"""),"Udon Thani Province")</f>
        <v>Udon Thani Province</v>
      </c>
      <c r="Y141" t="str">
        <f>IFERROR(__xludf.DUMMYFUNCTION("""COMPUTED_VALUE"""),"บางพลี")</f>
        <v>บางพลี</v>
      </c>
      <c r="Z141" t="str">
        <f>IFERROR(__xludf.DUMMYFUNCTION("""COMPUTED_VALUE"""),"083 406 5024")</f>
        <v>083 406 5024</v>
      </c>
      <c r="AA141" t="str">
        <f>IFERROR(__xludf.DUMMYFUNCTION("""COMPUTED_VALUE"""),"แม่")</f>
        <v>แม่</v>
      </c>
      <c r="AB141" t="str">
        <f>IFERROR(__xludf.DUMMYFUNCTION("""COMPUTED_VALUE"""),"Netchayan@airasia.com")</f>
        <v>Netchayan@airasia.com</v>
      </c>
    </row>
    <row r="142">
      <c r="AB142" t="str">
        <f>IFERROR(__xludf.DUMMYFUNCTION("""COMPUTED_VALUE"""),"")</f>
        <v/>
      </c>
    </row>
    <row r="143">
      <c r="A143">
        <f>IFERROR(__xludf.DUMMYFUNCTION("""COMPUTED_VALUE"""),1000451.0)</f>
        <v>1000451</v>
      </c>
      <c r="B143" t="str">
        <f>IFERROR(__xludf.DUMMYFUNCTION("""COMPUTED_VALUE"""),"Ms.")</f>
        <v>Ms.</v>
      </c>
      <c r="C143" t="str">
        <f>IFERROR(__xludf.DUMMYFUNCTION("""COMPUTED_VALUE"""),"Chutima")</f>
        <v>Chutima</v>
      </c>
      <c r="D143" t="str">
        <f>IFERROR(__xludf.DUMMYFUNCTION("""COMPUTED_VALUE"""),"Yuksen")</f>
        <v>Yuksen</v>
      </c>
      <c r="E143" t="str">
        <f>IFERROR(__xludf.DUMMYFUNCTION("""COMPUTED_VALUE"""),"Chutima Yuksen")</f>
        <v>Chutima Yuksen</v>
      </c>
      <c r="F143" t="str">
        <f>IFERROR(__xludf.DUMMYFUNCTION("""COMPUTED_VALUE"""),"นางสาว")</f>
        <v>นางสาว</v>
      </c>
      <c r="G143" t="str">
        <f>IFERROR(__xludf.DUMMYFUNCTION("""COMPUTED_VALUE"""),"ชุติมา")</f>
        <v>ชุติมา</v>
      </c>
      <c r="H143" t="str">
        <f>IFERROR(__xludf.DUMMYFUNCTION("""COMPUTED_VALUE"""),"ยุกเซ็น")</f>
        <v>ยุกเซ็น</v>
      </c>
      <c r="I143" t="str">
        <f>IFERROR(__xludf.DUMMYFUNCTION("""COMPUTED_VALUE"""),"ชุติมา ยุกเซ็น")</f>
        <v>ชุติมา ยุกเซ็น</v>
      </c>
      <c r="J143" t="str">
        <f>IFERROR(__xludf.DUMMYFUNCTION("""COMPUTED_VALUE"""),"Jah / จ๋า")</f>
        <v>Jah / จ๋า</v>
      </c>
      <c r="K143" t="str">
        <f>IFERROR(__xludf.DUMMYFUNCTION("""COMPUTED_VALUE"""),"Senior Cabin Crew")</f>
        <v>Senior Cabin Crew</v>
      </c>
      <c r="L143" t="str">
        <f>IFERROR(__xludf.DUMMYFUNCTION("""COMPUTED_VALUE"""),"DMK")</f>
        <v>DMK</v>
      </c>
      <c r="M143" s="145" t="str">
        <f>IFERROR(__xludf.DUMMYFUNCTION("""COMPUTED_VALUE"""),"Kor Home")</f>
        <v>Kor Home</v>
      </c>
      <c r="N143" t="str">
        <f>IFERROR(__xludf.DUMMYFUNCTION("""COMPUTED_VALUE"""),"MATL")</f>
        <v>MATL</v>
      </c>
      <c r="P143" s="143">
        <f>IFERROR(__xludf.DUMMYFUNCTION("""COMPUTED_VALUE"""),29912.0)</f>
        <v>29912</v>
      </c>
      <c r="Q143" s="146" t="str">
        <f>IFERROR(__xludf.DUMMYFUNCTION("""COMPUTED_VALUE"""),"063 424 9915")</f>
        <v>063 424 9915</v>
      </c>
      <c r="R143" s="147" t="str">
        <f>IFERROR(__xludf.DUMMYFUNCTION("""COMPUTED_VALUE"""),"3920100-90-6610")</f>
        <v>3920100-90-6610</v>
      </c>
      <c r="S143" t="str">
        <f>IFERROR(__xludf.DUMMYFUNCTION("""COMPUTED_VALUE"""),"AD1880784")</f>
        <v>AD1880784</v>
      </c>
      <c r="T143" s="148">
        <f>IFERROR(__xludf.DUMMYFUNCTION("""COMPUTED_VALUE"""),45480.0)</f>
        <v>45480</v>
      </c>
      <c r="U143" s="148">
        <f>IFERROR(__xludf.DUMMYFUNCTION("""COMPUTED_VALUE"""),49131.0)</f>
        <v>49131</v>
      </c>
      <c r="V143" s="149">
        <f>IFERROR(__xludf.DUMMYFUNCTION("""COMPUTED_VALUE"""),48950.0)</f>
        <v>48950</v>
      </c>
      <c r="W143" t="str">
        <f>IFERROR(__xludf.DUMMYFUNCTION("""COMPUTED_VALUE"""),"ปลอดภัย")</f>
        <v>ปลอดภัย</v>
      </c>
      <c r="X143" t="str">
        <f>IFERROR(__xludf.DUMMYFUNCTION("""COMPUTED_VALUE"""),"Trang Province")</f>
        <v>Trang Province</v>
      </c>
      <c r="Y143" t="str">
        <f>IFERROR(__xludf.DUMMYFUNCTION("""COMPUTED_VALUE"""),"ภูเก็ต")</f>
        <v>ภูเก็ต</v>
      </c>
      <c r="Z143" t="str">
        <f>IFERROR(__xludf.DUMMYFUNCTION("""COMPUTED_VALUE"""),"! Update !")</f>
        <v>! Update !</v>
      </c>
      <c r="AA143" t="str">
        <f>IFERROR(__xludf.DUMMYFUNCTION("""COMPUTED_VALUE"""),"! Update !")</f>
        <v>! Update !</v>
      </c>
      <c r="AB143" t="str">
        <f>IFERROR(__xludf.DUMMYFUNCTION("""COMPUTED_VALUE"""),"chutimay@airasia.com")</f>
        <v>chutimay@airasia.com</v>
      </c>
    </row>
    <row r="144">
      <c r="A144">
        <f>IFERROR(__xludf.DUMMYFUNCTION("""COMPUTED_VALUE"""),1000704.0)</f>
        <v>1000704</v>
      </c>
      <c r="B144" t="str">
        <f>IFERROR(__xludf.DUMMYFUNCTION("""COMPUTED_VALUE"""),"Ms.")</f>
        <v>Ms.</v>
      </c>
      <c r="C144" t="str">
        <f>IFERROR(__xludf.DUMMYFUNCTION("""COMPUTED_VALUE"""),"Wipawadee")</f>
        <v>Wipawadee</v>
      </c>
      <c r="D144" t="str">
        <f>IFERROR(__xludf.DUMMYFUNCTION("""COMPUTED_VALUE"""),"Karawattanaworrakul (Kunchol)")</f>
        <v>Karawattanaworrakul (Kunchol)</v>
      </c>
      <c r="E144" t="str">
        <f>IFERROR(__xludf.DUMMYFUNCTION("""COMPUTED_VALUE"""),"Wipawadee Karawattanaworrakul ")</f>
        <v>Wipawadee Karawattanaworrakul </v>
      </c>
      <c r="F144" t="str">
        <f>IFERROR(__xludf.DUMMYFUNCTION("""COMPUTED_VALUE"""),"นางสาว")</f>
        <v>นางสาว</v>
      </c>
      <c r="G144" t="str">
        <f>IFERROR(__xludf.DUMMYFUNCTION("""COMPUTED_VALUE"""),"วิภาวดี")</f>
        <v>วิภาวดี</v>
      </c>
      <c r="H144" t="str">
        <f>IFERROR(__xludf.DUMMYFUNCTION("""COMPUTED_VALUE"""),"คารวัฒนาวรกุล (คุณชล)")</f>
        <v>คารวัฒนาวรกุล (คุณชล)</v>
      </c>
      <c r="I144" t="str">
        <f>IFERROR(__xludf.DUMMYFUNCTION("""COMPUTED_VALUE"""),"วิภาวดี คารวัฒนาวรกุล")</f>
        <v>วิภาวดี คารวัฒนาวรกุล</v>
      </c>
      <c r="J144" t="str">
        <f>IFERROR(__xludf.DUMMYFUNCTION("""COMPUTED_VALUE"""),"Keaw")</f>
        <v>Keaw</v>
      </c>
      <c r="K144" t="str">
        <f>IFERROR(__xludf.DUMMYFUNCTION("""COMPUTED_VALUE"""),"Cabin Crew - HKT")</f>
        <v>Cabin Crew - HKT</v>
      </c>
      <c r="L144" t="str">
        <f>IFERROR(__xludf.DUMMYFUNCTION("""COMPUTED_VALUE"""),"HKT")</f>
        <v>HKT</v>
      </c>
      <c r="M144" s="145" t="str">
        <f>IFERROR(__xludf.DUMMYFUNCTION("""COMPUTED_VALUE"""),"Kor Home")</f>
        <v>Kor Home</v>
      </c>
      <c r="N144" t="str">
        <f>IFERROR(__xludf.DUMMYFUNCTION("""COMPUTED_VALUE"""),"Active")</f>
        <v>Active</v>
      </c>
      <c r="P144" s="143">
        <f>IFERROR(__xludf.DUMMYFUNCTION("""COMPUTED_VALUE"""),30581.0)</f>
        <v>30581</v>
      </c>
      <c r="Q144" s="146" t="str">
        <f>IFERROR(__xludf.DUMMYFUNCTION("""COMPUTED_VALUE"""),"063 535 5493")</f>
        <v>063 535 5493</v>
      </c>
      <c r="R144" s="147" t="str">
        <f>IFERROR(__xludf.DUMMYFUNCTION("""COMPUTED_VALUE"""),"3800100-44-5672")</f>
        <v>3800100-44-5672</v>
      </c>
      <c r="S144" t="str">
        <f>IFERROR(__xludf.DUMMYFUNCTION("""COMPUTED_VALUE"""),"AD3188841")</f>
        <v>AD3188841</v>
      </c>
      <c r="T144" s="148">
        <f>IFERROR(__xludf.DUMMYFUNCTION("""COMPUTED_VALUE"""),46013.0)</f>
        <v>46013</v>
      </c>
      <c r="U144" s="148">
        <f>IFERROR(__xludf.DUMMYFUNCTION("""COMPUTED_VALUE"""),49664.0)</f>
        <v>49664</v>
      </c>
      <c r="V144" s="149">
        <f>IFERROR(__xludf.DUMMYFUNCTION("""COMPUTED_VALUE"""),49481.0)</f>
        <v>49481</v>
      </c>
      <c r="W144" t="str">
        <f>IFERROR(__xludf.DUMMYFUNCTION("""COMPUTED_VALUE"""),"ปลอดภัย")</f>
        <v>ปลอดภัย</v>
      </c>
      <c r="X144" t="str">
        <f>IFERROR(__xludf.DUMMYFUNCTION("""COMPUTED_VALUE"""),"Nakhon Si Thammarat Province")</f>
        <v>Nakhon Si Thammarat Province</v>
      </c>
      <c r="Y144" t="str">
        <f>IFERROR(__xludf.DUMMYFUNCTION("""COMPUTED_VALUE"""),"ภูเก็ต")</f>
        <v>ภูเก็ต</v>
      </c>
      <c r="Z144" t="str">
        <f>IFERROR(__xludf.DUMMYFUNCTION("""COMPUTED_VALUE"""),"089 469 4084")</f>
        <v>089 469 4084</v>
      </c>
      <c r="AA144" t="str">
        <f>IFERROR(__xludf.DUMMYFUNCTION("""COMPUTED_VALUE"""),"พ่อ")</f>
        <v>พ่อ</v>
      </c>
      <c r="AB144" t="str">
        <f>IFERROR(__xludf.DUMMYFUNCTION("""COMPUTED_VALUE"""),"wipawadeek@airasia.com")</f>
        <v>wipawadeek@airasia.com</v>
      </c>
    </row>
    <row r="145">
      <c r="AB145" t="str">
        <f>IFERROR(__xludf.DUMMYFUNCTION("""COMPUTED_VALUE"""),"")</f>
        <v/>
      </c>
    </row>
    <row r="146">
      <c r="A146">
        <f>IFERROR(__xludf.DUMMYFUNCTION("""COMPUTED_VALUE"""),1001755.0)</f>
        <v>1001755</v>
      </c>
      <c r="B146" t="str">
        <f>IFERROR(__xludf.DUMMYFUNCTION("""COMPUTED_VALUE"""),"Ms.")</f>
        <v>Ms.</v>
      </c>
      <c r="C146" t="str">
        <f>IFERROR(__xludf.DUMMYFUNCTION("""COMPUTED_VALUE"""),"Chananpat (Sirirat)")</f>
        <v>Chananpat (Sirirat)</v>
      </c>
      <c r="D146" t="str">
        <f>IFERROR(__xludf.DUMMYFUNCTION("""COMPUTED_VALUE"""),"Sirivikornrat (Luemon)")</f>
        <v>Sirivikornrat (Luemon)</v>
      </c>
      <c r="E146" t="str">
        <f>IFERROR(__xludf.DUMMYFUNCTION("""COMPUTED_VALUE"""),"Chananpat Sirivikornrat")</f>
        <v>Chananpat Sirivikornrat</v>
      </c>
      <c r="F146" t="str">
        <f>IFERROR(__xludf.DUMMYFUNCTION("""COMPUTED_VALUE"""),"นางสาว")</f>
        <v>นางสาว</v>
      </c>
      <c r="G146" t="str">
        <f>IFERROR(__xludf.DUMMYFUNCTION("""COMPUTED_VALUE"""),"ชนัญพัทธ์ (สิริรัตน์)")</f>
        <v>ชนัญพัทธ์ (สิริรัตน์)</v>
      </c>
      <c r="H146" t="str">
        <f>IFERROR(__xludf.DUMMYFUNCTION("""COMPUTED_VALUE"""),"สิริวิกรรัตน์ (ลือมอญ)")</f>
        <v>สิริวิกรรัตน์ (ลือมอญ)</v>
      </c>
      <c r="I146" t="str">
        <f>IFERROR(__xludf.DUMMYFUNCTION("""COMPUTED_VALUE"""),"ชนัญพัทธ์ สิริวิกรรัตน์")</f>
        <v>ชนัญพัทธ์ สิริวิกรรัตน์</v>
      </c>
      <c r="J146" t="str">
        <f>IFERROR(__xludf.DUMMYFUNCTION("""COMPUTED_VALUE"""),"Som")</f>
        <v>Som</v>
      </c>
      <c r="K146" t="str">
        <f>IFERROR(__xludf.DUMMYFUNCTION("""COMPUTED_VALUE"""),"Senior Cabin Crew")</f>
        <v>Senior Cabin Crew</v>
      </c>
      <c r="L146" t="str">
        <f>IFERROR(__xludf.DUMMYFUNCTION("""COMPUTED_VALUE"""),"DMK")</f>
        <v>DMK</v>
      </c>
      <c r="M146" s="145" t="str">
        <f>IFERROR(__xludf.DUMMYFUNCTION("""COMPUTED_VALUE"""),"Nhui Home")</f>
        <v>Nhui Home</v>
      </c>
      <c r="N146" t="str">
        <f>IFERROR(__xludf.DUMMYFUNCTION("""COMPUTED_VALUE"""),"Active")</f>
        <v>Active</v>
      </c>
      <c r="P146" s="143">
        <f>IFERROR(__xludf.DUMMYFUNCTION("""COMPUTED_VALUE"""),30918.0)</f>
        <v>30918</v>
      </c>
      <c r="Q146" s="146" t="str">
        <f>IFERROR(__xludf.DUMMYFUNCTION("""COMPUTED_VALUE"""),"092 619 5665")</f>
        <v>092 619 5665</v>
      </c>
      <c r="R146" s="147" t="str">
        <f>IFERROR(__xludf.DUMMYFUNCTION("""COMPUTED_VALUE"""),"1730600-01-1706")</f>
        <v>1730600-01-1706</v>
      </c>
      <c r="S146" t="str">
        <f>IFERROR(__xludf.DUMMYFUNCTION("""COMPUTED_VALUE"""),"AD0704950")</f>
        <v>AD0704950</v>
      </c>
      <c r="T146" s="148">
        <f>IFERROR(__xludf.DUMMYFUNCTION("""COMPUTED_VALUE"""),44957.0)</f>
        <v>44957</v>
      </c>
      <c r="U146" s="148">
        <f>IFERROR(__xludf.DUMMYFUNCTION("""COMPUTED_VALUE"""),48609.0)</f>
        <v>48609</v>
      </c>
      <c r="V146" s="149">
        <f>IFERROR(__xludf.DUMMYFUNCTION("""COMPUTED_VALUE"""),48425.0)</f>
        <v>48425</v>
      </c>
      <c r="W146" t="str">
        <f>IFERROR(__xludf.DUMMYFUNCTION("""COMPUTED_VALUE"""),"ปลอดภัย")</f>
        <v>ปลอดภัย</v>
      </c>
      <c r="X146" t="str">
        <f>IFERROR(__xludf.DUMMYFUNCTION("""COMPUTED_VALUE"""),"Nakhon Pathom Province")</f>
        <v>Nakhon Pathom Province</v>
      </c>
      <c r="Y146" t="str">
        <f>IFERROR(__xludf.DUMMYFUNCTION("""COMPUTED_VALUE"""),"บางเสาธง")</f>
        <v>บางเสาธง</v>
      </c>
      <c r="Z146" t="str">
        <f>IFERROR(__xludf.DUMMYFUNCTION("""COMPUTED_VALUE"""),"081 536 0274")</f>
        <v>081 536 0274</v>
      </c>
      <c r="AA146" t="str">
        <f>IFERROR(__xludf.DUMMYFUNCTION("""COMPUTED_VALUE"""),"แฟน")</f>
        <v>แฟน</v>
      </c>
      <c r="AB146" t="str">
        <f>IFERROR(__xludf.DUMMYFUNCTION("""COMPUTED_VALUE"""),"chananpats@airasia.com")</f>
        <v>chananpats@airasia.com</v>
      </c>
    </row>
    <row r="147">
      <c r="A147">
        <f>IFERROR(__xludf.DUMMYFUNCTION("""COMPUTED_VALUE"""),1004029.0)</f>
        <v>1004029</v>
      </c>
      <c r="B147" t="str">
        <f>IFERROR(__xludf.DUMMYFUNCTION("""COMPUTED_VALUE"""),"Ms.")</f>
        <v>Ms.</v>
      </c>
      <c r="C147" t="str">
        <f>IFERROR(__xludf.DUMMYFUNCTION("""COMPUTED_VALUE"""),"Ketsara")</f>
        <v>Ketsara</v>
      </c>
      <c r="D147" t="str">
        <f>IFERROR(__xludf.DUMMYFUNCTION("""COMPUTED_VALUE"""),"Ketsakul")</f>
        <v>Ketsakul</v>
      </c>
      <c r="E147" t="str">
        <f>IFERROR(__xludf.DUMMYFUNCTION("""COMPUTED_VALUE"""),"Ketsara Ketsakul")</f>
        <v>Ketsara Ketsakul</v>
      </c>
      <c r="F147" t="str">
        <f>IFERROR(__xludf.DUMMYFUNCTION("""COMPUTED_VALUE"""),"นางสาว")</f>
        <v>นางสาว</v>
      </c>
      <c r="G147" t="str">
        <f>IFERROR(__xludf.DUMMYFUNCTION("""COMPUTED_VALUE"""),"เกษรา")</f>
        <v>เกษรา</v>
      </c>
      <c r="H147" t="str">
        <f>IFERROR(__xludf.DUMMYFUNCTION("""COMPUTED_VALUE"""),"เกตุสกุล")</f>
        <v>เกตุสกุล</v>
      </c>
      <c r="I147" t="str">
        <f>IFERROR(__xludf.DUMMYFUNCTION("""COMPUTED_VALUE"""),"เกษรา เกตุสกุล")</f>
        <v>เกษรา เกตุสกุล</v>
      </c>
      <c r="J147" t="str">
        <f>IFERROR(__xludf.DUMMYFUNCTION("""COMPUTED_VALUE"""),"Aum")</f>
        <v>Aum</v>
      </c>
      <c r="K147" t="str">
        <f>IFERROR(__xludf.DUMMYFUNCTION("""COMPUTED_VALUE"""),"Senior Cabin Crew")</f>
        <v>Senior Cabin Crew</v>
      </c>
      <c r="L147" t="str">
        <f>IFERROR(__xludf.DUMMYFUNCTION("""COMPUTED_VALUE"""),"DMK")</f>
        <v>DMK</v>
      </c>
      <c r="M147" s="145" t="str">
        <f>IFERROR(__xludf.DUMMYFUNCTION("""COMPUTED_VALUE"""),"Toffy Home")</f>
        <v>Toffy Home</v>
      </c>
      <c r="N147" t="str">
        <f>IFERROR(__xludf.DUMMYFUNCTION("""COMPUTED_VALUE"""),"Active")</f>
        <v>Active</v>
      </c>
      <c r="P147" s="143">
        <f>IFERROR(__xludf.DUMMYFUNCTION("""COMPUTED_VALUE"""),30737.0)</f>
        <v>30737</v>
      </c>
      <c r="Q147" s="146" t="str">
        <f>IFERROR(__xludf.DUMMYFUNCTION("""COMPUTED_VALUE"""),"093 459 9951")</f>
        <v>093 459 9951</v>
      </c>
      <c r="R147" s="147" t="str">
        <f>IFERROR(__xludf.DUMMYFUNCTION("""COMPUTED_VALUE"""),"1100700-02-4228")</f>
        <v>1100700-02-4228</v>
      </c>
      <c r="S147" t="str">
        <f>IFERROR(__xludf.DUMMYFUNCTION("""COMPUTED_VALUE"""),"AD1336047")</f>
        <v>AD1336047</v>
      </c>
      <c r="T147" s="148">
        <f>IFERROR(__xludf.DUMMYFUNCTION("""COMPUTED_VALUE"""),45341.0)</f>
        <v>45341</v>
      </c>
      <c r="U147" s="148">
        <f>IFERROR(__xludf.DUMMYFUNCTION("""COMPUTED_VALUE"""),48993.0)</f>
        <v>48993</v>
      </c>
      <c r="V147" s="149">
        <f>IFERROR(__xludf.DUMMYFUNCTION("""COMPUTED_VALUE"""),48809.0)</f>
        <v>48809</v>
      </c>
      <c r="W147" t="str">
        <f>IFERROR(__xludf.DUMMYFUNCTION("""COMPUTED_VALUE"""),"ปลอดภัย")</f>
        <v>ปลอดภัย</v>
      </c>
      <c r="X147" t="str">
        <f>IFERROR(__xludf.DUMMYFUNCTION("""COMPUTED_VALUE"""),"Bangkok")</f>
        <v>Bangkok</v>
      </c>
      <c r="Y147" t="str">
        <f>IFERROR(__xludf.DUMMYFUNCTION("""COMPUTED_VALUE"""),"บางเขน")</f>
        <v>บางเขน</v>
      </c>
      <c r="Z147" t="str">
        <f>IFERROR(__xludf.DUMMYFUNCTION("""COMPUTED_VALUE"""),"! Update !")</f>
        <v>! Update !</v>
      </c>
      <c r="AA147" t="str">
        <f>IFERROR(__xludf.DUMMYFUNCTION("""COMPUTED_VALUE"""),"! Update !")</f>
        <v>! Update !</v>
      </c>
      <c r="AB147" t="str">
        <f>IFERROR(__xludf.DUMMYFUNCTION("""COMPUTED_VALUE"""),"ketsarak@airasia.com")</f>
        <v>ketsarak@airasia.com</v>
      </c>
    </row>
    <row r="148">
      <c r="A148">
        <f>IFERROR(__xludf.DUMMYFUNCTION("""COMPUTED_VALUE"""),1004030.0)</f>
        <v>1004030</v>
      </c>
      <c r="B148" t="str">
        <f>IFERROR(__xludf.DUMMYFUNCTION("""COMPUTED_VALUE"""),"Ms.")</f>
        <v>Ms.</v>
      </c>
      <c r="C148" t="str">
        <f>IFERROR(__xludf.DUMMYFUNCTION("""COMPUTED_VALUE"""),"Kulpornpat")</f>
        <v>Kulpornpat</v>
      </c>
      <c r="D148" t="str">
        <f>IFERROR(__xludf.DUMMYFUNCTION("""COMPUTED_VALUE"""),"Srikulchaipat")</f>
        <v>Srikulchaipat</v>
      </c>
      <c r="E148" t="str">
        <f>IFERROR(__xludf.DUMMYFUNCTION("""COMPUTED_VALUE"""),"Kulpornpat Srikulchaipat")</f>
        <v>Kulpornpat Srikulchaipat</v>
      </c>
      <c r="F148" t="str">
        <f>IFERROR(__xludf.DUMMYFUNCTION("""COMPUTED_VALUE"""),"นางสาว")</f>
        <v>นางสาว</v>
      </c>
      <c r="G148" t="str">
        <f>IFERROR(__xludf.DUMMYFUNCTION("""COMPUTED_VALUE"""),"กุลพรภัสร์")</f>
        <v>กุลพรภัสร์</v>
      </c>
      <c r="H148" t="str">
        <f>IFERROR(__xludf.DUMMYFUNCTION("""COMPUTED_VALUE"""),"ศรีกุลชัยภัทร")</f>
        <v>ศรีกุลชัยภัทร</v>
      </c>
      <c r="I148" t="str">
        <f>IFERROR(__xludf.DUMMYFUNCTION("""COMPUTED_VALUE"""),"กุลพรภัสร์ ศรีกุลชัยภัทร")</f>
        <v>กุลพรภัสร์ ศรีกุลชัยภัทร</v>
      </c>
      <c r="J148" t="str">
        <f>IFERROR(__xludf.DUMMYFUNCTION("""COMPUTED_VALUE"""),"เฟิร์น")</f>
        <v>เฟิร์น</v>
      </c>
      <c r="K148" t="str">
        <f>IFERROR(__xludf.DUMMYFUNCTION("""COMPUTED_VALUE"""),"Senior Cabin Crew")</f>
        <v>Senior Cabin Crew</v>
      </c>
      <c r="L148" t="str">
        <f>IFERROR(__xludf.DUMMYFUNCTION("""COMPUTED_VALUE"""),"DMK")</f>
        <v>DMK</v>
      </c>
      <c r="M148" s="145" t="str">
        <f>IFERROR(__xludf.DUMMYFUNCTION("""COMPUTED_VALUE"""),"Toffy Home")</f>
        <v>Toffy Home</v>
      </c>
      <c r="N148" t="str">
        <f>IFERROR(__xludf.DUMMYFUNCTION("""COMPUTED_VALUE"""),"Active")</f>
        <v>Active</v>
      </c>
      <c r="P148" s="143">
        <f>IFERROR(__xludf.DUMMYFUNCTION("""COMPUTED_VALUE"""),31561.0)</f>
        <v>31561</v>
      </c>
      <c r="Q148" s="146" t="str">
        <f>IFERROR(__xludf.DUMMYFUNCTION("""COMPUTED_VALUE"""),"086 999 2475")</f>
        <v>086 999 2475</v>
      </c>
      <c r="R148" s="147" t="str">
        <f>IFERROR(__xludf.DUMMYFUNCTION("""COMPUTED_VALUE"""),"1103670-00-9032")</f>
        <v>1103670-00-9032</v>
      </c>
      <c r="S148" t="str">
        <f>IFERROR(__xludf.DUMMYFUNCTION("""COMPUTED_VALUE"""),"AC5746091")</f>
        <v>AC5746091</v>
      </c>
      <c r="T148" s="148">
        <f>IFERROR(__xludf.DUMMYFUNCTION("""COMPUTED_VALUE"""),45198.0)</f>
        <v>45198</v>
      </c>
      <c r="U148" s="148">
        <f>IFERROR(__xludf.DUMMYFUNCTION("""COMPUTED_VALUE"""),48850.0)</f>
        <v>48850</v>
      </c>
      <c r="V148" s="149">
        <f>IFERROR(__xludf.DUMMYFUNCTION("""COMPUTED_VALUE"""),48666.0)</f>
        <v>48666</v>
      </c>
      <c r="W148" t="str">
        <f>IFERROR(__xludf.DUMMYFUNCTION("""COMPUTED_VALUE"""),"ปลอดภัย")</f>
        <v>ปลอดภัย</v>
      </c>
      <c r="X148" t="str">
        <f>IFERROR(__xludf.DUMMYFUNCTION("""COMPUTED_VALUE"""),"Bangkok")</f>
        <v>Bangkok</v>
      </c>
      <c r="Y148" t="str">
        <f>IFERROR(__xludf.DUMMYFUNCTION("""COMPUTED_VALUE"""),"หลักสี่")</f>
        <v>หลักสี่</v>
      </c>
      <c r="Z148" t="str">
        <f>IFERROR(__xludf.DUMMYFUNCTION("""COMPUTED_VALUE"""),"087 939 0099")</f>
        <v>087 939 0099</v>
      </c>
      <c r="AA148" t="str">
        <f>IFERROR(__xludf.DUMMYFUNCTION("""COMPUTED_VALUE"""),"พ่อ")</f>
        <v>พ่อ</v>
      </c>
      <c r="AB148" t="str">
        <f>IFERROR(__xludf.DUMMYFUNCTION("""COMPUTED_VALUE"""),"kulpornpats@airasia.com")</f>
        <v>kulpornpats@airasia.com</v>
      </c>
    </row>
    <row r="149">
      <c r="A149">
        <f>IFERROR(__xludf.DUMMYFUNCTION("""COMPUTED_VALUE"""),1004034.0)</f>
        <v>1004034</v>
      </c>
      <c r="B149" t="str">
        <f>IFERROR(__xludf.DUMMYFUNCTION("""COMPUTED_VALUE"""),"Mr.")</f>
        <v>Mr.</v>
      </c>
      <c r="C149" t="str">
        <f>IFERROR(__xludf.DUMMYFUNCTION("""COMPUTED_VALUE"""),"Monthon")</f>
        <v>Monthon</v>
      </c>
      <c r="D149" t="str">
        <f>IFERROR(__xludf.DUMMYFUNCTION("""COMPUTED_VALUE"""),"Siribunnakul")</f>
        <v>Siribunnakul</v>
      </c>
      <c r="E149" t="str">
        <f>IFERROR(__xludf.DUMMYFUNCTION("""COMPUTED_VALUE"""),"Monthon Siribunnakul")</f>
        <v>Monthon Siribunnakul</v>
      </c>
      <c r="F149" t="str">
        <f>IFERROR(__xludf.DUMMYFUNCTION("""COMPUTED_VALUE"""),"นาย")</f>
        <v>นาย</v>
      </c>
      <c r="G149" t="str">
        <f>IFERROR(__xludf.DUMMYFUNCTION("""COMPUTED_VALUE"""),"มณฑล")</f>
        <v>มณฑล</v>
      </c>
      <c r="H149" t="str">
        <f>IFERROR(__xludf.DUMMYFUNCTION("""COMPUTED_VALUE"""),"ศิริบรรณากุล")</f>
        <v>ศิริบรรณากุล</v>
      </c>
      <c r="I149" t="str">
        <f>IFERROR(__xludf.DUMMYFUNCTION("""COMPUTED_VALUE"""),"มณฑล ศิริบรรณากุล")</f>
        <v>มณฑล ศิริบรรณากุล</v>
      </c>
      <c r="J149" t="str">
        <f>IFERROR(__xludf.DUMMYFUNCTION("""COMPUTED_VALUE"""),"Bank")</f>
        <v>Bank</v>
      </c>
      <c r="K149" t="str">
        <f>IFERROR(__xludf.DUMMYFUNCTION("""COMPUTED_VALUE"""),"Senior Cabin Crew")</f>
        <v>Senior Cabin Crew</v>
      </c>
      <c r="L149" t="str">
        <f>IFERROR(__xludf.DUMMYFUNCTION("""COMPUTED_VALUE"""),"DMK")</f>
        <v>DMK</v>
      </c>
      <c r="M149" s="145" t="str">
        <f>IFERROR(__xludf.DUMMYFUNCTION("""COMPUTED_VALUE"""),"Toffy Home")</f>
        <v>Toffy Home</v>
      </c>
      <c r="N149" t="str">
        <f>IFERROR(__xludf.DUMMYFUNCTION("""COMPUTED_VALUE"""),"Active")</f>
        <v>Active</v>
      </c>
      <c r="P149" s="143">
        <f>IFERROR(__xludf.DUMMYFUNCTION("""COMPUTED_VALUE"""),31588.0)</f>
        <v>31588</v>
      </c>
      <c r="Q149" s="146" t="str">
        <f>IFERROR(__xludf.DUMMYFUNCTION("""COMPUTED_VALUE"""),"085 426 5456")</f>
        <v>085 426 5456</v>
      </c>
      <c r="R149" s="147" t="str">
        <f>IFERROR(__xludf.DUMMYFUNCTION("""COMPUTED_VALUE"""),"1100800-27-9937")</f>
        <v>1100800-27-9937</v>
      </c>
      <c r="S149" t="str">
        <f>IFERROR(__xludf.DUMMYFUNCTION("""COMPUTED_VALUE"""),"AC4452513")</f>
        <v>AC4452513</v>
      </c>
      <c r="T149" s="148">
        <f>IFERROR(__xludf.DUMMYFUNCTION("""COMPUTED_VALUE"""),44963.0)</f>
        <v>44963</v>
      </c>
      <c r="U149" s="148">
        <f>IFERROR(__xludf.DUMMYFUNCTION("""COMPUTED_VALUE"""),48615.0)</f>
        <v>48615</v>
      </c>
      <c r="V149" s="149">
        <f>IFERROR(__xludf.DUMMYFUNCTION("""COMPUTED_VALUE"""),48431.0)</f>
        <v>48431</v>
      </c>
      <c r="W149" t="str">
        <f>IFERROR(__xludf.DUMMYFUNCTION("""COMPUTED_VALUE"""),"ปลอดภัย")</f>
        <v>ปลอดภัย</v>
      </c>
      <c r="X149" t="str">
        <f>IFERROR(__xludf.DUMMYFUNCTION("""COMPUTED_VALUE"""),"Bangkok")</f>
        <v>Bangkok</v>
      </c>
      <c r="Y149" t="str">
        <f>IFERROR(__xludf.DUMMYFUNCTION("""COMPUTED_VALUE"""),"พระนคร")</f>
        <v>พระนคร</v>
      </c>
      <c r="Z149" t="str">
        <f>IFERROR(__xludf.DUMMYFUNCTION("""COMPUTED_VALUE"""),"081 841 1750")</f>
        <v>081 841 1750</v>
      </c>
      <c r="AA149" t="str">
        <f>IFERROR(__xludf.DUMMYFUNCTION("""COMPUTED_VALUE"""),"พ่อ")</f>
        <v>พ่อ</v>
      </c>
      <c r="AB149" t="str">
        <f>IFERROR(__xludf.DUMMYFUNCTION("""COMPUTED_VALUE"""),"monthons@airasia.com")</f>
        <v>monthons@airasia.com</v>
      </c>
    </row>
    <row r="150">
      <c r="A150">
        <f>IFERROR(__xludf.DUMMYFUNCTION("""COMPUTED_VALUE"""),1004037.0)</f>
        <v>1004037</v>
      </c>
      <c r="B150" t="str">
        <f>IFERROR(__xludf.DUMMYFUNCTION("""COMPUTED_VALUE"""),"Ms.")</f>
        <v>Ms.</v>
      </c>
      <c r="C150" t="str">
        <f>IFERROR(__xludf.DUMMYFUNCTION("""COMPUTED_VALUE"""),"Phornchanit (Surangsri)")</f>
        <v>Phornchanit (Surangsri)</v>
      </c>
      <c r="D150" t="str">
        <f>IFERROR(__xludf.DUMMYFUNCTION("""COMPUTED_VALUE"""),"Rangsikul")</f>
        <v>Rangsikul</v>
      </c>
      <c r="E150" t="str">
        <f>IFERROR(__xludf.DUMMYFUNCTION("""COMPUTED_VALUE"""),"Phornchanit Rangsikul")</f>
        <v>Phornchanit Rangsikul</v>
      </c>
      <c r="F150" t="str">
        <f>IFERROR(__xludf.DUMMYFUNCTION("""COMPUTED_VALUE"""),"นางสาว")</f>
        <v>นางสาว</v>
      </c>
      <c r="G150" t="str">
        <f>IFERROR(__xludf.DUMMYFUNCTION("""COMPUTED_VALUE"""),"พรชนิตว์ (สุรังษี)")</f>
        <v>พรชนิตว์ (สุรังษี)</v>
      </c>
      <c r="H150" t="str">
        <f>IFERROR(__xludf.DUMMYFUNCTION("""COMPUTED_VALUE"""),"รังสิกุล")</f>
        <v>รังสิกุล</v>
      </c>
      <c r="I150" t="str">
        <f>IFERROR(__xludf.DUMMYFUNCTION("""COMPUTED_VALUE"""),"พรชนิตว์ รังสิกุล")</f>
        <v>พรชนิตว์ รังสิกุล</v>
      </c>
      <c r="J150" t="str">
        <f>IFERROR(__xludf.DUMMYFUNCTION("""COMPUTED_VALUE"""),"Noi")</f>
        <v>Noi</v>
      </c>
      <c r="K150" t="str">
        <f>IFERROR(__xludf.DUMMYFUNCTION("""COMPUTED_VALUE"""),"Senior Cabin Crew")</f>
        <v>Senior Cabin Crew</v>
      </c>
      <c r="L150" t="str">
        <f>IFERROR(__xludf.DUMMYFUNCTION("""COMPUTED_VALUE"""),"DMK")</f>
        <v>DMK</v>
      </c>
      <c r="M150" s="145" t="str">
        <f>IFERROR(__xludf.DUMMYFUNCTION("""COMPUTED_VALUE"""),"Toffy Home")</f>
        <v>Toffy Home</v>
      </c>
      <c r="N150" t="str">
        <f>IFERROR(__xludf.DUMMYFUNCTION("""COMPUTED_VALUE"""),"Active")</f>
        <v>Active</v>
      </c>
      <c r="P150" s="143">
        <f>IFERROR(__xludf.DUMMYFUNCTION("""COMPUTED_VALUE"""),30124.0)</f>
        <v>30124</v>
      </c>
      <c r="Q150" s="146" t="str">
        <f>IFERROR(__xludf.DUMMYFUNCTION("""COMPUTED_VALUE"""),"091 979 2256")</f>
        <v>091 979 2256</v>
      </c>
      <c r="R150" s="147" t="str">
        <f>IFERROR(__xludf.DUMMYFUNCTION("""COMPUTED_VALUE"""),"5120100-05-7772")</f>
        <v>5120100-05-7772</v>
      </c>
      <c r="S150" t="str">
        <f>IFERROR(__xludf.DUMMYFUNCTION("""COMPUTED_VALUE"""),"AC3051851")</f>
        <v>AC3051851</v>
      </c>
      <c r="T150" s="148">
        <f>IFERROR(__xludf.DUMMYFUNCTION("""COMPUTED_VALUE"""),44683.0)</f>
        <v>44683</v>
      </c>
      <c r="U150" s="148">
        <f>IFERROR(__xludf.DUMMYFUNCTION("""COMPUTED_VALUE"""),48335.0)</f>
        <v>48335</v>
      </c>
      <c r="V150" s="149">
        <f>IFERROR(__xludf.DUMMYFUNCTION("""COMPUTED_VALUE"""),48153.0)</f>
        <v>48153</v>
      </c>
      <c r="W150" t="str">
        <f>IFERROR(__xludf.DUMMYFUNCTION("""COMPUTED_VALUE"""),"ปลอดภัย")</f>
        <v>ปลอดภัย</v>
      </c>
      <c r="X150" t="str">
        <f>IFERROR(__xludf.DUMMYFUNCTION("""COMPUTED_VALUE"""),"Bangkok")</f>
        <v>Bangkok</v>
      </c>
      <c r="Y150" t="str">
        <f>IFERROR(__xludf.DUMMYFUNCTION("""COMPUTED_VALUE"""),"นนทบุรี")</f>
        <v>นนทบุรี</v>
      </c>
      <c r="Z150" t="str">
        <f>IFERROR(__xludf.DUMMYFUNCTION("""COMPUTED_VALUE"""),"081 498 4352")</f>
        <v>081 498 4352</v>
      </c>
      <c r="AA150" t="str">
        <f>IFERROR(__xludf.DUMMYFUNCTION("""COMPUTED_VALUE"""),"แม่")</f>
        <v>แม่</v>
      </c>
      <c r="AB150" t="str">
        <f>IFERROR(__xludf.DUMMYFUNCTION("""COMPUTED_VALUE"""),"phornchanitr@airasia.com")</f>
        <v>phornchanitr@airasia.com</v>
      </c>
    </row>
    <row r="151">
      <c r="A151">
        <f>IFERROR(__xludf.DUMMYFUNCTION("""COMPUTED_VALUE"""),1004038.0)</f>
        <v>1004038</v>
      </c>
      <c r="B151" t="str">
        <f>IFERROR(__xludf.DUMMYFUNCTION("""COMPUTED_VALUE"""),"Ms.")</f>
        <v>Ms.</v>
      </c>
      <c r="C151" t="str">
        <f>IFERROR(__xludf.DUMMYFUNCTION("""COMPUTED_VALUE"""),"Piracha")</f>
        <v>Piracha</v>
      </c>
      <c r="D151" t="str">
        <f>IFERROR(__xludf.DUMMYFUNCTION("""COMPUTED_VALUE"""),"Hongsakul")</f>
        <v>Hongsakul</v>
      </c>
      <c r="E151" t="str">
        <f>IFERROR(__xludf.DUMMYFUNCTION("""COMPUTED_VALUE"""),"Piracha Hongsakul")</f>
        <v>Piracha Hongsakul</v>
      </c>
      <c r="F151" t="str">
        <f>IFERROR(__xludf.DUMMYFUNCTION("""COMPUTED_VALUE"""),"นางสาว")</f>
        <v>นางสาว</v>
      </c>
      <c r="G151" t="str">
        <f>IFERROR(__xludf.DUMMYFUNCTION("""COMPUTED_VALUE"""),"พิรัชฌา")</f>
        <v>พิรัชฌา</v>
      </c>
      <c r="H151" t="str">
        <f>IFERROR(__xludf.DUMMYFUNCTION("""COMPUTED_VALUE"""),"หงสกุล")</f>
        <v>หงสกุล</v>
      </c>
      <c r="I151" t="str">
        <f>IFERROR(__xludf.DUMMYFUNCTION("""COMPUTED_VALUE"""),"พิรัชฌา หงสกุล")</f>
        <v>พิรัชฌา หงสกุล</v>
      </c>
      <c r="J151" t="str">
        <f>IFERROR(__xludf.DUMMYFUNCTION("""COMPUTED_VALUE"""),"Preaw")</f>
        <v>Preaw</v>
      </c>
      <c r="K151" t="str">
        <f>IFERROR(__xludf.DUMMYFUNCTION("""COMPUTED_VALUE"""),"Cabin Crew")</f>
        <v>Cabin Crew</v>
      </c>
      <c r="L151" t="str">
        <f>IFERROR(__xludf.DUMMYFUNCTION("""COMPUTED_VALUE"""),"DMK")</f>
        <v>DMK</v>
      </c>
      <c r="M151" s="145" t="str">
        <f>IFERROR(__xludf.DUMMYFUNCTION("""COMPUTED_VALUE"""),"Um Home")</f>
        <v>Um Home</v>
      </c>
      <c r="N151" t="str">
        <f>IFERROR(__xludf.DUMMYFUNCTION("""COMPUTED_VALUE"""),"V/LWP")</f>
        <v>V/LWP</v>
      </c>
      <c r="P151" s="143">
        <f>IFERROR(__xludf.DUMMYFUNCTION("""COMPUTED_VALUE"""),30637.0)</f>
        <v>30637</v>
      </c>
      <c r="Q151" s="146" t="str">
        <f>IFERROR(__xludf.DUMMYFUNCTION("""COMPUTED_VALUE"""),"084 066 6693")</f>
        <v>084 066 6693</v>
      </c>
      <c r="R151" s="147" t="str">
        <f>IFERROR(__xludf.DUMMYFUNCTION("""COMPUTED_VALUE"""),"3100901-10-9383")</f>
        <v>3100901-10-9383</v>
      </c>
      <c r="S151" t="str">
        <f>IFERROR(__xludf.DUMMYFUNCTION("""COMPUTED_VALUE"""),"AC7427744")</f>
        <v>AC7427744</v>
      </c>
      <c r="T151" s="148">
        <f>IFERROR(__xludf.DUMMYFUNCTION("""COMPUTED_VALUE"""),45581.0)</f>
        <v>45581</v>
      </c>
      <c r="U151" s="148">
        <f>IFERROR(__xludf.DUMMYFUNCTION("""COMPUTED_VALUE"""),49232.0)</f>
        <v>49232</v>
      </c>
      <c r="V151" s="149">
        <f>IFERROR(__xludf.DUMMYFUNCTION("""COMPUTED_VALUE"""),49049.0)</f>
        <v>49049</v>
      </c>
      <c r="W151" t="str">
        <f>IFERROR(__xludf.DUMMYFUNCTION("""COMPUTED_VALUE"""),"ปลอดภัย")</f>
        <v>ปลอดภัย</v>
      </c>
      <c r="X151" t="str">
        <f>IFERROR(__xludf.DUMMYFUNCTION("""COMPUTED_VALUE"""),"Bangkok")</f>
        <v>Bangkok</v>
      </c>
      <c r="Y151" t="str">
        <f>IFERROR(__xludf.DUMMYFUNCTION("""COMPUTED_VALUE"""),"พุทธมณฑล")</f>
        <v>พุทธมณฑล</v>
      </c>
      <c r="Z151" t="str">
        <f>IFERROR(__xludf.DUMMYFUNCTION("""COMPUTED_VALUE"""),"084 0666693")</f>
        <v>084 0666693</v>
      </c>
      <c r="AA151" t="str">
        <f>IFERROR(__xludf.DUMMYFUNCTION("""COMPUTED_VALUE"""),"ไม่ระบุ")</f>
        <v>ไม่ระบุ</v>
      </c>
      <c r="AB151" t="str">
        <f>IFERROR(__xludf.DUMMYFUNCTION("""COMPUTED_VALUE"""),"pirachah@airasia.com")</f>
        <v>pirachah@airasia.com</v>
      </c>
    </row>
    <row r="152">
      <c r="A152">
        <f>IFERROR(__xludf.DUMMYFUNCTION("""COMPUTED_VALUE"""),1004041.0)</f>
        <v>1004041</v>
      </c>
      <c r="B152" t="str">
        <f>IFERROR(__xludf.DUMMYFUNCTION("""COMPUTED_VALUE"""),"Ms.")</f>
        <v>Ms.</v>
      </c>
      <c r="C152" t="str">
        <f>IFERROR(__xludf.DUMMYFUNCTION("""COMPUTED_VALUE"""),"Sirima")</f>
        <v>Sirima</v>
      </c>
      <c r="D152" t="str">
        <f>IFERROR(__xludf.DUMMYFUNCTION("""COMPUTED_VALUE"""),"Yupongpitak (Imardoon)")</f>
        <v>Yupongpitak (Imardoon)</v>
      </c>
      <c r="E152" t="str">
        <f>IFERROR(__xludf.DUMMYFUNCTION("""COMPUTED_VALUE"""),"Sirima Yupongpitak")</f>
        <v>Sirima Yupongpitak</v>
      </c>
      <c r="F152" t="str">
        <f>IFERROR(__xludf.DUMMYFUNCTION("""COMPUTED_VALUE"""),"นางสาว")</f>
        <v>นางสาว</v>
      </c>
      <c r="G152" t="str">
        <f>IFERROR(__xludf.DUMMYFUNCTION("""COMPUTED_VALUE"""),"สิริมา")</f>
        <v>สิริมา</v>
      </c>
      <c r="H152" t="str">
        <f>IFERROR(__xludf.DUMMYFUNCTION("""COMPUTED_VALUE"""),"อยู่พงษ์พิทักษ์ (อิ่มอาดูร)")</f>
        <v>อยู่พงษ์พิทักษ์ (อิ่มอาดูร)</v>
      </c>
      <c r="I152" t="str">
        <f>IFERROR(__xludf.DUMMYFUNCTION("""COMPUTED_VALUE"""),"สิริมา อยู่พงษ์พิทักษ์")</f>
        <v>สิริมา อยู่พงษ์พิทักษ์</v>
      </c>
      <c r="J152" t="str">
        <f>IFERROR(__xludf.DUMMYFUNCTION("""COMPUTED_VALUE"""),"Toon")</f>
        <v>Toon</v>
      </c>
      <c r="K152" t="str">
        <f>IFERROR(__xludf.DUMMYFUNCTION("""COMPUTED_VALUE"""),"Senior Cabin Crew")</f>
        <v>Senior Cabin Crew</v>
      </c>
      <c r="L152" t="str">
        <f>IFERROR(__xludf.DUMMYFUNCTION("""COMPUTED_VALUE"""),"DMK")</f>
        <v>DMK</v>
      </c>
      <c r="M152" s="145" t="str">
        <f>IFERROR(__xludf.DUMMYFUNCTION("""COMPUTED_VALUE"""),"Um Home")</f>
        <v>Um Home</v>
      </c>
      <c r="N152" t="str">
        <f>IFERROR(__xludf.DUMMYFUNCTION("""COMPUTED_VALUE"""),"Active")</f>
        <v>Active</v>
      </c>
      <c r="P152" s="143">
        <f>IFERROR(__xludf.DUMMYFUNCTION("""COMPUTED_VALUE"""),31730.0)</f>
        <v>31730</v>
      </c>
      <c r="Q152" s="146" t="str">
        <f>IFERROR(__xludf.DUMMYFUNCTION("""COMPUTED_VALUE"""),"084 115 2257")</f>
        <v>084 115 2257</v>
      </c>
      <c r="R152" s="147" t="str">
        <f>IFERROR(__xludf.DUMMYFUNCTION("""COMPUTED_VALUE"""),"1700400-09-2443")</f>
        <v>1700400-09-2443</v>
      </c>
      <c r="S152" t="str">
        <f>IFERROR(__xludf.DUMMYFUNCTION("""COMPUTED_VALUE"""),"AC6133457")</f>
        <v>AC6133457</v>
      </c>
      <c r="T152" s="148">
        <f>IFERROR(__xludf.DUMMYFUNCTION("""COMPUTED_VALUE"""),45652.0)</f>
        <v>45652</v>
      </c>
      <c r="U152" s="148">
        <f>IFERROR(__xludf.DUMMYFUNCTION("""COMPUTED_VALUE"""),48938.0)</f>
        <v>48938</v>
      </c>
      <c r="V152" s="149">
        <f>IFERROR(__xludf.DUMMYFUNCTION("""COMPUTED_VALUE"""),48755.0)</f>
        <v>48755</v>
      </c>
      <c r="W152" t="str">
        <f>IFERROR(__xludf.DUMMYFUNCTION("""COMPUTED_VALUE"""),"ปลอดภัย")</f>
        <v>ปลอดภัย</v>
      </c>
      <c r="X152" t="str">
        <f>IFERROR(__xludf.DUMMYFUNCTION("""COMPUTED_VALUE"""),"Ratchaburi Province")</f>
        <v>Ratchaburi Province</v>
      </c>
      <c r="Y152" t="str">
        <f>IFERROR(__xludf.DUMMYFUNCTION("""COMPUTED_VALUE"""),"หัวหมากก")</f>
        <v>หัวหมากก</v>
      </c>
      <c r="Z152" t="str">
        <f>IFERROR(__xludf.DUMMYFUNCTION("""COMPUTED_VALUE"""),"081 304 5576")</f>
        <v>081 304 5576</v>
      </c>
      <c r="AA152" t="str">
        <f>IFERROR(__xludf.DUMMYFUNCTION("""COMPUTED_VALUE"""),"พี่สาว")</f>
        <v>พี่สาว</v>
      </c>
      <c r="AB152" t="str">
        <f>IFERROR(__xludf.DUMMYFUNCTION("""COMPUTED_VALUE"""),"sirimay@airasia.com")</f>
        <v>sirimay@airasia.com</v>
      </c>
    </row>
    <row r="153">
      <c r="A153">
        <f>IFERROR(__xludf.DUMMYFUNCTION("""COMPUTED_VALUE"""),1004045.0)</f>
        <v>1004045</v>
      </c>
      <c r="B153" t="str">
        <f>IFERROR(__xludf.DUMMYFUNCTION("""COMPUTED_VALUE"""),"Ms.")</f>
        <v>Ms.</v>
      </c>
      <c r="C153" t="str">
        <f>IFERROR(__xludf.DUMMYFUNCTION("""COMPUTED_VALUE"""),"Waraphorn")</f>
        <v>Waraphorn</v>
      </c>
      <c r="D153" t="str">
        <f>IFERROR(__xludf.DUMMYFUNCTION("""COMPUTED_VALUE"""),"Khunthong")</f>
        <v>Khunthong</v>
      </c>
      <c r="E153" t="str">
        <f>IFERROR(__xludf.DUMMYFUNCTION("""COMPUTED_VALUE"""),"Waraphorn Khunthong")</f>
        <v>Waraphorn Khunthong</v>
      </c>
      <c r="F153" t="str">
        <f>IFERROR(__xludf.DUMMYFUNCTION("""COMPUTED_VALUE"""),"นางสาว")</f>
        <v>นางสาว</v>
      </c>
      <c r="G153" t="str">
        <f>IFERROR(__xludf.DUMMYFUNCTION("""COMPUTED_VALUE"""),"วราภรณ์")</f>
        <v>วราภรณ์</v>
      </c>
      <c r="H153" t="str">
        <f>IFERROR(__xludf.DUMMYFUNCTION("""COMPUTED_VALUE"""),"ขุนทอง")</f>
        <v>ขุนทอง</v>
      </c>
      <c r="I153" t="str">
        <f>IFERROR(__xludf.DUMMYFUNCTION("""COMPUTED_VALUE"""),"วราภรณ์ ขุนทอง")</f>
        <v>วราภรณ์ ขุนทอง</v>
      </c>
      <c r="J153" t="str">
        <f>IFERROR(__xludf.DUMMYFUNCTION("""COMPUTED_VALUE"""),"Ou")</f>
        <v>Ou</v>
      </c>
      <c r="K153" t="str">
        <f>IFERROR(__xludf.DUMMYFUNCTION("""COMPUTED_VALUE"""),"Senior Cabin Crew")</f>
        <v>Senior Cabin Crew</v>
      </c>
      <c r="L153" t="str">
        <f>IFERROR(__xludf.DUMMYFUNCTION("""COMPUTED_VALUE"""),"DMK")</f>
        <v>DMK</v>
      </c>
      <c r="M153" s="145" t="str">
        <f>IFERROR(__xludf.DUMMYFUNCTION("""COMPUTED_VALUE"""),"Toffy Home")</f>
        <v>Toffy Home</v>
      </c>
      <c r="N153" t="str">
        <f>IFERROR(__xludf.DUMMYFUNCTION("""COMPUTED_VALUE"""),"Active")</f>
        <v>Active</v>
      </c>
      <c r="P153" s="143">
        <f>IFERROR(__xludf.DUMMYFUNCTION("""COMPUTED_VALUE"""),30936.0)</f>
        <v>30936</v>
      </c>
      <c r="Q153" s="146" t="str">
        <f>IFERROR(__xludf.DUMMYFUNCTION("""COMPUTED_VALUE"""),"083 618 3461")</f>
        <v>083 618 3461</v>
      </c>
      <c r="R153" s="147" t="str">
        <f>IFERROR(__xludf.DUMMYFUNCTION("""COMPUTED_VALUE"""),"1489900-00-8264")</f>
        <v>1489900-00-8264</v>
      </c>
      <c r="S153" t="str">
        <f>IFERROR(__xludf.DUMMYFUNCTION("""COMPUTED_VALUE"""),"AC6095115")</f>
        <v>AC6095115</v>
      </c>
      <c r="T153" s="148">
        <f>IFERROR(__xludf.DUMMYFUNCTION("""COMPUTED_VALUE"""),45266.0)</f>
        <v>45266</v>
      </c>
      <c r="U153" s="148">
        <f>IFERROR(__xludf.DUMMYFUNCTION("""COMPUTED_VALUE"""),48918.0)</f>
        <v>48918</v>
      </c>
      <c r="V153" s="149">
        <f>IFERROR(__xludf.DUMMYFUNCTION("""COMPUTED_VALUE"""),48735.0)</f>
        <v>48735</v>
      </c>
      <c r="W153" t="str">
        <f>IFERROR(__xludf.DUMMYFUNCTION("""COMPUTED_VALUE"""),"ปลอดภัย")</f>
        <v>ปลอดภัย</v>
      </c>
      <c r="X153" t="str">
        <f>IFERROR(__xludf.DUMMYFUNCTION("""COMPUTED_VALUE"""),"Nakhon Pathom Province")</f>
        <v>Nakhon Pathom Province</v>
      </c>
      <c r="Y153" t="str">
        <f>IFERROR(__xludf.DUMMYFUNCTION("""COMPUTED_VALUE"""),"สุขุมวิท")</f>
        <v>สุขุมวิท</v>
      </c>
      <c r="Z153" t="str">
        <f>IFERROR(__xludf.DUMMYFUNCTION("""COMPUTED_VALUE"""),"083 6183461")</f>
        <v>083 6183461</v>
      </c>
      <c r="AA153" t="str">
        <f>IFERROR(__xludf.DUMMYFUNCTION("""COMPUTED_VALUE"""),"ไม่ระบุ")</f>
        <v>ไม่ระบุ</v>
      </c>
      <c r="AB153" t="str">
        <f>IFERROR(__xludf.DUMMYFUNCTION("""COMPUTED_VALUE"""),"waraphornk@airasia.com")</f>
        <v>waraphornk@airasia.com</v>
      </c>
    </row>
    <row r="154">
      <c r="AB154" t="str">
        <f>IFERROR(__xludf.DUMMYFUNCTION("""COMPUTED_VALUE"""),"")</f>
        <v/>
      </c>
    </row>
    <row r="155">
      <c r="A155">
        <f>IFERROR(__xludf.DUMMYFUNCTION("""COMPUTED_VALUE"""),1000387.0)</f>
        <v>1000387</v>
      </c>
      <c r="B155" t="str">
        <f>IFERROR(__xludf.DUMMYFUNCTION("""COMPUTED_VALUE"""),"Mr.")</f>
        <v>Mr.</v>
      </c>
      <c r="C155" t="str">
        <f>IFERROR(__xludf.DUMMYFUNCTION("""COMPUTED_VALUE"""),"Phu-rit")</f>
        <v>Phu-rit</v>
      </c>
      <c r="D155" t="str">
        <f>IFERROR(__xludf.DUMMYFUNCTION("""COMPUTED_VALUE"""),"Punpeng")</f>
        <v>Punpeng</v>
      </c>
      <c r="E155" t="str">
        <f>IFERROR(__xludf.DUMMYFUNCTION("""COMPUTED_VALUE"""),"Phu-rit Punpeng")</f>
        <v>Phu-rit Punpeng</v>
      </c>
      <c r="F155" t="str">
        <f>IFERROR(__xludf.DUMMYFUNCTION("""COMPUTED_VALUE"""),"นาย")</f>
        <v>นาย</v>
      </c>
      <c r="G155" t="str">
        <f>IFERROR(__xludf.DUMMYFUNCTION("""COMPUTED_VALUE"""),"ภูริต")</f>
        <v>ภูริต</v>
      </c>
      <c r="H155" t="str">
        <f>IFERROR(__xludf.DUMMYFUNCTION("""COMPUTED_VALUE"""),"พันธุ์เพ็ง")</f>
        <v>พันธุ์เพ็ง</v>
      </c>
      <c r="I155" t="str">
        <f>IFERROR(__xludf.DUMMYFUNCTION("""COMPUTED_VALUE"""),"ภูริต พันธุ์เพ็ง")</f>
        <v>ภูริต พันธุ์เพ็ง</v>
      </c>
      <c r="J155" t="str">
        <f>IFERROR(__xludf.DUMMYFUNCTION("""COMPUTED_VALUE"""),"Mac")</f>
        <v>Mac</v>
      </c>
      <c r="K155" t="str">
        <f>IFERROR(__xludf.DUMMYFUNCTION("""COMPUTED_VALUE"""),"Senior Cabin Crew")</f>
        <v>Senior Cabin Crew</v>
      </c>
      <c r="L155" t="str">
        <f>IFERROR(__xludf.DUMMYFUNCTION("""COMPUTED_VALUE"""),"DMK")</f>
        <v>DMK</v>
      </c>
      <c r="M155" s="145" t="str">
        <f>IFERROR(__xludf.DUMMYFUNCTION("""COMPUTED_VALUE"""),"Namfon Home")</f>
        <v>Namfon Home</v>
      </c>
      <c r="N155" t="str">
        <f>IFERROR(__xludf.DUMMYFUNCTION("""COMPUTED_VALUE"""),"Active")</f>
        <v>Active</v>
      </c>
      <c r="P155" s="143">
        <f>IFERROR(__xludf.DUMMYFUNCTION("""COMPUTED_VALUE"""),29787.0)</f>
        <v>29787</v>
      </c>
      <c r="Q155" s="146" t="str">
        <f>IFERROR(__xludf.DUMMYFUNCTION("""COMPUTED_VALUE"""),"065-329-4939")</f>
        <v>065-329-4939</v>
      </c>
      <c r="R155" s="147" t="str">
        <f>IFERROR(__xludf.DUMMYFUNCTION("""COMPUTED_VALUE"""),"3320100-09-2359")</f>
        <v>3320100-09-2359</v>
      </c>
      <c r="S155" t="str">
        <f>IFERROR(__xludf.DUMMYFUNCTION("""COMPUTED_VALUE"""),"AD1807334")</f>
        <v>AD1807334</v>
      </c>
      <c r="T155" s="148">
        <f>IFERROR(__xludf.DUMMYFUNCTION("""COMPUTED_VALUE"""),45461.0)</f>
        <v>45461</v>
      </c>
      <c r="U155" s="148">
        <f>IFERROR(__xludf.DUMMYFUNCTION("""COMPUTED_VALUE"""),47286.0)</f>
        <v>47286</v>
      </c>
      <c r="V155" s="149">
        <f>IFERROR(__xludf.DUMMYFUNCTION("""COMPUTED_VALUE"""),47104.0)</f>
        <v>47104</v>
      </c>
      <c r="W155" t="str">
        <f>IFERROR(__xludf.DUMMYFUNCTION("""COMPUTED_VALUE"""),"ปลอดภัย")</f>
        <v>ปลอดภัย</v>
      </c>
      <c r="X155" t="str">
        <f>IFERROR(__xludf.DUMMYFUNCTION("""COMPUTED_VALUE"""),"Chiang Rai Province")</f>
        <v>Chiang Rai Province</v>
      </c>
      <c r="Y155" t="str">
        <f>IFERROR(__xludf.DUMMYFUNCTION("""COMPUTED_VALUE"""),"ลาดกระบัง")</f>
        <v>ลาดกระบัง</v>
      </c>
      <c r="Z155" t="str">
        <f>IFERROR(__xludf.DUMMYFUNCTION("""COMPUTED_VALUE"""),"! Update !")</f>
        <v>! Update !</v>
      </c>
      <c r="AA155" t="str">
        <f>IFERROR(__xludf.DUMMYFUNCTION("""COMPUTED_VALUE"""),"! Update !")</f>
        <v>! Update !</v>
      </c>
      <c r="AB155" t="str">
        <f>IFERROR(__xludf.DUMMYFUNCTION("""COMPUTED_VALUE"""),"phu-ritp@airasia.com")</f>
        <v>phu-ritp@airasia.com</v>
      </c>
    </row>
    <row r="156">
      <c r="A156">
        <f>IFERROR(__xludf.DUMMYFUNCTION("""COMPUTED_VALUE"""),1000397.0)</f>
        <v>1000397</v>
      </c>
      <c r="B156" t="str">
        <f>IFERROR(__xludf.DUMMYFUNCTION("""COMPUTED_VALUE"""),"Ms.")</f>
        <v>Ms.</v>
      </c>
      <c r="C156" t="str">
        <f>IFERROR(__xludf.DUMMYFUNCTION("""COMPUTED_VALUE"""),"Janwat")</f>
        <v>Janwat</v>
      </c>
      <c r="D156" t="str">
        <f>IFERROR(__xludf.DUMMYFUNCTION("""COMPUTED_VALUE"""),"Jiumjaroen")</f>
        <v>Jiumjaroen</v>
      </c>
      <c r="E156" t="str">
        <f>IFERROR(__xludf.DUMMYFUNCTION("""COMPUTED_VALUE"""),"Janwat Jiumjaroen")</f>
        <v>Janwat Jiumjaroen</v>
      </c>
      <c r="F156" t="str">
        <f>IFERROR(__xludf.DUMMYFUNCTION("""COMPUTED_VALUE"""),"นางสาว")</f>
        <v>นางสาว</v>
      </c>
      <c r="G156" t="str">
        <f>IFERROR(__xludf.DUMMYFUNCTION("""COMPUTED_VALUE"""),"จรรยวัตร")</f>
        <v>จรรยวัตร</v>
      </c>
      <c r="H156" t="str">
        <f>IFERROR(__xludf.DUMMYFUNCTION("""COMPUTED_VALUE"""),"เจียมเจริญ")</f>
        <v>เจียมเจริญ</v>
      </c>
      <c r="I156" t="str">
        <f>IFERROR(__xludf.DUMMYFUNCTION("""COMPUTED_VALUE"""),"จรรยวัตร เจียมเจริญ")</f>
        <v>จรรยวัตร เจียมเจริญ</v>
      </c>
      <c r="J156" t="str">
        <f>IFERROR(__xludf.DUMMYFUNCTION("""COMPUTED_VALUE"""),"Por")</f>
        <v>Por</v>
      </c>
      <c r="K156" t="str">
        <f>IFERROR(__xludf.DUMMYFUNCTION("""COMPUTED_VALUE"""),"Cabin Crew - CNX")</f>
        <v>Cabin Crew - CNX</v>
      </c>
      <c r="L156" t="str">
        <f>IFERROR(__xludf.DUMMYFUNCTION("""COMPUTED_VALUE"""),"CNX")</f>
        <v>CNX</v>
      </c>
      <c r="M156" s="145" t="str">
        <f>IFERROR(__xludf.DUMMYFUNCTION("""COMPUTED_VALUE"""),"Up Home")</f>
        <v>Up Home</v>
      </c>
      <c r="N156" t="str">
        <f>IFERROR(__xludf.DUMMYFUNCTION("""COMPUTED_VALUE"""),"Active")</f>
        <v>Active</v>
      </c>
      <c r="P156" s="143">
        <f>IFERROR(__xludf.DUMMYFUNCTION("""COMPUTED_VALUE"""),29220.0)</f>
        <v>29220</v>
      </c>
      <c r="Q156" s="146" t="str">
        <f>IFERROR(__xludf.DUMMYFUNCTION("""COMPUTED_VALUE"""),"094-750-2662")</f>
        <v>094-750-2662</v>
      </c>
      <c r="R156" s="147" t="str">
        <f>IFERROR(__xludf.DUMMYFUNCTION("""COMPUTED_VALUE"""),"3589900-02-8741")</f>
        <v>3589900-02-8741</v>
      </c>
      <c r="S156" t="str">
        <f>IFERROR(__xludf.DUMMYFUNCTION("""COMPUTED_VALUE"""),"AD0184556")</f>
        <v>AD0184556</v>
      </c>
      <c r="T156" s="148">
        <f>IFERROR(__xludf.DUMMYFUNCTION("""COMPUTED_VALUE"""),44853.0)</f>
        <v>44853</v>
      </c>
      <c r="U156" s="148">
        <f>IFERROR(__xludf.DUMMYFUNCTION("""COMPUTED_VALUE"""),48505.0)</f>
        <v>48505</v>
      </c>
      <c r="V156" s="149">
        <f>IFERROR(__xludf.DUMMYFUNCTION("""COMPUTED_VALUE"""),48322.0)</f>
        <v>48322</v>
      </c>
      <c r="W156" t="str">
        <f>IFERROR(__xludf.DUMMYFUNCTION("""COMPUTED_VALUE"""),"ปลอดภัย")</f>
        <v>ปลอดภัย</v>
      </c>
      <c r="X156" t="str">
        <f>IFERROR(__xludf.DUMMYFUNCTION("""COMPUTED_VALUE"""),"Mae Hong Son Province")</f>
        <v>Mae Hong Son Province</v>
      </c>
      <c r="Y156" t="str">
        <f>IFERROR(__xludf.DUMMYFUNCTION("""COMPUTED_VALUE"""),"เชียงใหม่")</f>
        <v>เชียงใหม่</v>
      </c>
      <c r="Z156" t="str">
        <f>IFERROR(__xludf.DUMMYFUNCTION("""COMPUTED_VALUE"""),"081 973 7722")</f>
        <v>081 973 7722</v>
      </c>
      <c r="AA156" t="str">
        <f>IFERROR(__xludf.DUMMYFUNCTION("""COMPUTED_VALUE"""),"พ่อ")</f>
        <v>พ่อ</v>
      </c>
      <c r="AB156" t="str">
        <f>IFERROR(__xludf.DUMMYFUNCTION("""COMPUTED_VALUE"""),"janwatj@airasia.com")</f>
        <v>janwatj@airasia.com</v>
      </c>
    </row>
    <row r="157">
      <c r="A157">
        <f>IFERROR(__xludf.DUMMYFUNCTION("""COMPUTED_VALUE"""),1001233.0)</f>
        <v>1001233</v>
      </c>
      <c r="B157" t="str">
        <f>IFERROR(__xludf.DUMMYFUNCTION("""COMPUTED_VALUE"""),"Ms.")</f>
        <v>Ms.</v>
      </c>
      <c r="C157" t="str">
        <f>IFERROR(__xludf.DUMMYFUNCTION("""COMPUTED_VALUE"""),"Sasithorn")</f>
        <v>Sasithorn</v>
      </c>
      <c r="D157" t="str">
        <f>IFERROR(__xludf.DUMMYFUNCTION("""COMPUTED_VALUE"""),"Wonglee")</f>
        <v>Wonglee</v>
      </c>
      <c r="E157" t="str">
        <f>IFERROR(__xludf.DUMMYFUNCTION("""COMPUTED_VALUE"""),"Sasithorn Wonglee")</f>
        <v>Sasithorn Wonglee</v>
      </c>
      <c r="F157" t="str">
        <f>IFERROR(__xludf.DUMMYFUNCTION("""COMPUTED_VALUE"""),"นางสาว")</f>
        <v>นางสาว</v>
      </c>
      <c r="G157" t="str">
        <f>IFERROR(__xludf.DUMMYFUNCTION("""COMPUTED_VALUE"""),"ศศิธร")</f>
        <v>ศศิธร</v>
      </c>
      <c r="H157" t="str">
        <f>IFERROR(__xludf.DUMMYFUNCTION("""COMPUTED_VALUE"""),"วงษ์ลี")</f>
        <v>วงษ์ลี</v>
      </c>
      <c r="I157" t="str">
        <f>IFERROR(__xludf.DUMMYFUNCTION("""COMPUTED_VALUE"""),"ศศิธร วงษ์ลี")</f>
        <v>ศศิธร วงษ์ลี</v>
      </c>
      <c r="J157" t="str">
        <f>IFERROR(__xludf.DUMMYFUNCTION("""COMPUTED_VALUE"""),"Petch")</f>
        <v>Petch</v>
      </c>
      <c r="K157" t="str">
        <f>IFERROR(__xludf.DUMMYFUNCTION("""COMPUTED_VALUE"""),"Cabin Crew")</f>
        <v>Cabin Crew</v>
      </c>
      <c r="L157" t="str">
        <f>IFERROR(__xludf.DUMMYFUNCTION("""COMPUTED_VALUE"""),"DMK")</f>
        <v>DMK</v>
      </c>
      <c r="M157" s="145" t="str">
        <f>IFERROR(__xludf.DUMMYFUNCTION("""COMPUTED_VALUE"""),"Kor Home")</f>
        <v>Kor Home</v>
      </c>
      <c r="N157" t="str">
        <f>IFERROR(__xludf.DUMMYFUNCTION("""COMPUTED_VALUE"""),"Active")</f>
        <v>Active</v>
      </c>
      <c r="P157" s="143">
        <f>IFERROR(__xludf.DUMMYFUNCTION("""COMPUTED_VALUE"""),30396.0)</f>
        <v>30396</v>
      </c>
      <c r="Q157" s="146" t="str">
        <f>IFERROR(__xludf.DUMMYFUNCTION("""COMPUTED_VALUE"""),"097 956 6249")</f>
        <v>097 956 6249</v>
      </c>
      <c r="R157" s="147" t="str">
        <f>IFERROR(__xludf.DUMMYFUNCTION("""COMPUTED_VALUE"""),"3100603-22-2556")</f>
        <v>3100603-22-2556</v>
      </c>
      <c r="S157" t="str">
        <f>IFERROR(__xludf.DUMMYFUNCTION("""COMPUTED_VALUE"""),"AC8104871")</f>
        <v>AC8104871</v>
      </c>
      <c r="T157" s="148">
        <f>IFERROR(__xludf.DUMMYFUNCTION("""COMPUTED_VALUE"""),45720.0)</f>
        <v>45720</v>
      </c>
      <c r="U157" s="148">
        <f>IFERROR(__xludf.DUMMYFUNCTION("""COMPUTED_VALUE"""),49371.0)</f>
        <v>49371</v>
      </c>
      <c r="V157" s="149">
        <f>IFERROR(__xludf.DUMMYFUNCTION("""COMPUTED_VALUE"""),49190.0)</f>
        <v>49190</v>
      </c>
      <c r="W157" t="str">
        <f>IFERROR(__xludf.DUMMYFUNCTION("""COMPUTED_VALUE"""),"ปลอดภัย")</f>
        <v>ปลอดภัย</v>
      </c>
      <c r="X157" t="str">
        <f>IFERROR(__xludf.DUMMYFUNCTION("""COMPUTED_VALUE"""),"Bangkok")</f>
        <v>Bangkok</v>
      </c>
      <c r="Y157" t="str">
        <f>IFERROR(__xludf.DUMMYFUNCTION("""COMPUTED_VALUE"""),"สะพานสูง")</f>
        <v>สะพานสูง</v>
      </c>
      <c r="Z157" t="str">
        <f>IFERROR(__xludf.DUMMYFUNCTION("""COMPUTED_VALUE"""),"089 206 3210")</f>
        <v>089 206 3210</v>
      </c>
      <c r="AA157" t="str">
        <f>IFERROR(__xludf.DUMMYFUNCTION("""COMPUTED_VALUE"""),"พ่อ")</f>
        <v>พ่อ</v>
      </c>
      <c r="AB157" t="str">
        <f>IFERROR(__xludf.DUMMYFUNCTION("""COMPUTED_VALUE"""),"sasithornw@airasia.com")</f>
        <v>sasithornw@airasia.com</v>
      </c>
    </row>
    <row r="158">
      <c r="A158">
        <f>IFERROR(__xludf.DUMMYFUNCTION("""COMPUTED_VALUE"""),1001286.0)</f>
        <v>1001286</v>
      </c>
      <c r="B158" t="str">
        <f>IFERROR(__xludf.DUMMYFUNCTION("""COMPUTED_VALUE"""),"Ms.")</f>
        <v>Ms.</v>
      </c>
      <c r="C158" t="str">
        <f>IFERROR(__xludf.DUMMYFUNCTION("""COMPUTED_VALUE"""),"Sirinart")</f>
        <v>Sirinart</v>
      </c>
      <c r="D158" t="str">
        <f>IFERROR(__xludf.DUMMYFUNCTION("""COMPUTED_VALUE"""),"Auypornbusyakom")</f>
        <v>Auypornbusyakom</v>
      </c>
      <c r="E158" t="str">
        <f>IFERROR(__xludf.DUMMYFUNCTION("""COMPUTED_VALUE"""),"Sirinart Auypornbusyakom")</f>
        <v>Sirinart Auypornbusyakom</v>
      </c>
      <c r="F158" t="str">
        <f>IFERROR(__xludf.DUMMYFUNCTION("""COMPUTED_VALUE"""),"นางสาว")</f>
        <v>นางสาว</v>
      </c>
      <c r="G158" t="str">
        <f>IFERROR(__xludf.DUMMYFUNCTION("""COMPUTED_VALUE"""),"ศิรินาถ")</f>
        <v>ศิรินาถ</v>
      </c>
      <c r="H158" t="str">
        <f>IFERROR(__xludf.DUMMYFUNCTION("""COMPUTED_VALUE"""),"อวยพรบุศยาคม")</f>
        <v>อวยพรบุศยาคม</v>
      </c>
      <c r="I158" t="str">
        <f>IFERROR(__xludf.DUMMYFUNCTION("""COMPUTED_VALUE"""),"ศิรินาถ อวยพรบุศยาคม")</f>
        <v>ศิรินาถ อวยพรบุศยาคม</v>
      </c>
      <c r="J158" t="str">
        <f>IFERROR(__xludf.DUMMYFUNCTION("""COMPUTED_VALUE"""),"Dao")</f>
        <v>Dao</v>
      </c>
      <c r="K158" t="str">
        <f>IFERROR(__xludf.DUMMYFUNCTION("""COMPUTED_VALUE"""),"Senior Cabin Crew")</f>
        <v>Senior Cabin Crew</v>
      </c>
      <c r="L158" t="str">
        <f>IFERROR(__xludf.DUMMYFUNCTION("""COMPUTED_VALUE"""),"DMK")</f>
        <v>DMK</v>
      </c>
      <c r="M158" s="145" t="str">
        <f>IFERROR(__xludf.DUMMYFUNCTION("""COMPUTED_VALUE"""),"Por+ Home")</f>
        <v>Por+ Home</v>
      </c>
      <c r="N158" t="str">
        <f>IFERROR(__xludf.DUMMYFUNCTION("""COMPUTED_VALUE"""),"Active")</f>
        <v>Active</v>
      </c>
      <c r="P158" s="143">
        <f>IFERROR(__xludf.DUMMYFUNCTION("""COMPUTED_VALUE"""),29211.0)</f>
        <v>29211</v>
      </c>
      <c r="Q158" s="146" t="str">
        <f>IFERROR(__xludf.DUMMYFUNCTION("""COMPUTED_VALUE"""),"081 742 6664")</f>
        <v>081 742 6664</v>
      </c>
      <c r="R158" s="147" t="str">
        <f>IFERROR(__xludf.DUMMYFUNCTION("""COMPUTED_VALUE"""),"3102201-07-1768")</f>
        <v>3102201-07-1768</v>
      </c>
      <c r="S158" t="str">
        <f>IFERROR(__xludf.DUMMYFUNCTION("""COMPUTED_VALUE"""),"AD2128503")</f>
        <v>AD2128503</v>
      </c>
      <c r="T158" s="148">
        <f>IFERROR(__xludf.DUMMYFUNCTION("""COMPUTED_VALUE"""),45749.0)</f>
        <v>45749</v>
      </c>
      <c r="U158" s="148">
        <f>IFERROR(__xludf.DUMMYFUNCTION("""COMPUTED_VALUE"""),49400.0)</f>
        <v>49400</v>
      </c>
      <c r="V158" s="149">
        <f>IFERROR(__xludf.DUMMYFUNCTION("""COMPUTED_VALUE"""),49218.0)</f>
        <v>49218</v>
      </c>
      <c r="W158" t="str">
        <f>IFERROR(__xludf.DUMMYFUNCTION("""COMPUTED_VALUE"""),"ปลอดภัย")</f>
        <v>ปลอดภัย</v>
      </c>
      <c r="X158" t="str">
        <f>IFERROR(__xludf.DUMMYFUNCTION("""COMPUTED_VALUE"""),"Bangkok")</f>
        <v>Bangkok</v>
      </c>
      <c r="Y158" t="str">
        <f>IFERROR(__xludf.DUMMYFUNCTION("""COMPUTED_VALUE"""),"หลักสี่")</f>
        <v>หลักสี่</v>
      </c>
      <c r="Z158" t="str">
        <f>IFERROR(__xludf.DUMMYFUNCTION("""COMPUTED_VALUE"""),"089 894 8158")</f>
        <v>089 894 8158</v>
      </c>
      <c r="AA158" t="str">
        <f>IFERROR(__xludf.DUMMYFUNCTION("""COMPUTED_VALUE"""),"น้องสาว")</f>
        <v>น้องสาว</v>
      </c>
      <c r="AB158" t="str">
        <f>IFERROR(__xludf.DUMMYFUNCTION("""COMPUTED_VALUE"""),"sirinarta@airasia.com")</f>
        <v>sirinarta@airasia.com</v>
      </c>
    </row>
    <row r="159">
      <c r="A159">
        <f>IFERROR(__xludf.DUMMYFUNCTION("""COMPUTED_VALUE"""),1004127.0)</f>
        <v>1004127</v>
      </c>
      <c r="B159" t="str">
        <f>IFERROR(__xludf.DUMMYFUNCTION("""COMPUTED_VALUE"""),"Ms.")</f>
        <v>Ms.</v>
      </c>
      <c r="C159" t="str">
        <f>IFERROR(__xludf.DUMMYFUNCTION("""COMPUTED_VALUE"""),"Thawinun")</f>
        <v>Thawinun</v>
      </c>
      <c r="D159" t="str">
        <f>IFERROR(__xludf.DUMMYFUNCTION("""COMPUTED_VALUE"""),"Arunnuntapanich")</f>
        <v>Arunnuntapanich</v>
      </c>
      <c r="E159" t="str">
        <f>IFERROR(__xludf.DUMMYFUNCTION("""COMPUTED_VALUE"""),"Thawinun Arunnuntapanich")</f>
        <v>Thawinun Arunnuntapanich</v>
      </c>
      <c r="F159" t="str">
        <f>IFERROR(__xludf.DUMMYFUNCTION("""COMPUTED_VALUE"""),"นางสาว")</f>
        <v>นางสาว</v>
      </c>
      <c r="G159" t="str">
        <f>IFERROR(__xludf.DUMMYFUNCTION("""COMPUTED_VALUE"""),"ทวินันท์")</f>
        <v>ทวินันท์</v>
      </c>
      <c r="H159" t="str">
        <f>IFERROR(__xludf.DUMMYFUNCTION("""COMPUTED_VALUE"""),"อรุณนันทพานิช")</f>
        <v>อรุณนันทพานิช</v>
      </c>
      <c r="I159" t="str">
        <f>IFERROR(__xludf.DUMMYFUNCTION("""COMPUTED_VALUE"""),"ทวินันท์ อรุณนันทพานิช")</f>
        <v>ทวินันท์ อรุณนันทพานิช</v>
      </c>
      <c r="J159" t="str">
        <f>IFERROR(__xludf.DUMMYFUNCTION("""COMPUTED_VALUE"""),"นุ่น")</f>
        <v>นุ่น</v>
      </c>
      <c r="K159" t="str">
        <f>IFERROR(__xludf.DUMMYFUNCTION("""COMPUTED_VALUE"""),"Senior Cabin Crew")</f>
        <v>Senior Cabin Crew</v>
      </c>
      <c r="L159" t="str">
        <f>IFERROR(__xludf.DUMMYFUNCTION("""COMPUTED_VALUE"""),"DMK")</f>
        <v>DMK</v>
      </c>
      <c r="M159" s="145" t="str">
        <f>IFERROR(__xludf.DUMMYFUNCTION("""COMPUTED_VALUE"""),"Um Home")</f>
        <v>Um Home</v>
      </c>
      <c r="N159" t="str">
        <f>IFERROR(__xludf.DUMMYFUNCTION("""COMPUTED_VALUE"""),"Active")</f>
        <v>Active</v>
      </c>
      <c r="P159" s="143">
        <f>IFERROR(__xludf.DUMMYFUNCTION("""COMPUTED_VALUE"""),31654.0)</f>
        <v>31654</v>
      </c>
      <c r="Q159" s="146" t="str">
        <f>IFERROR(__xludf.DUMMYFUNCTION("""COMPUTED_VALUE"""),"086 895 8919")</f>
        <v>086 895 8919</v>
      </c>
      <c r="R159" s="147" t="str">
        <f>IFERROR(__xludf.DUMMYFUNCTION("""COMPUTED_VALUE"""),"1100800-29-9610")</f>
        <v>1100800-29-9610</v>
      </c>
      <c r="S159" t="str">
        <f>IFERROR(__xludf.DUMMYFUNCTION("""COMPUTED_VALUE"""),"AC5830939")</f>
        <v>AC5830939</v>
      </c>
      <c r="T159" s="148">
        <f>IFERROR(__xludf.DUMMYFUNCTION("""COMPUTED_VALUE"""),45194.0)</f>
        <v>45194</v>
      </c>
      <c r="U159" s="148">
        <f>IFERROR(__xludf.DUMMYFUNCTION("""COMPUTED_VALUE"""),48846.0)</f>
        <v>48846</v>
      </c>
      <c r="V159" s="149">
        <f>IFERROR(__xludf.DUMMYFUNCTION("""COMPUTED_VALUE"""),48662.0)</f>
        <v>48662</v>
      </c>
      <c r="W159" t="str">
        <f>IFERROR(__xludf.DUMMYFUNCTION("""COMPUTED_VALUE"""),"ปลอดภัย")</f>
        <v>ปลอดภัย</v>
      </c>
      <c r="X159" t="str">
        <f>IFERROR(__xludf.DUMMYFUNCTION("""COMPUTED_VALUE"""),"Bangkok")</f>
        <v>Bangkok</v>
      </c>
      <c r="Y159" t="str">
        <f>IFERROR(__xludf.DUMMYFUNCTION("""COMPUTED_VALUE"""),"จตุจักร")</f>
        <v>จตุจักร</v>
      </c>
      <c r="Z159" t="str">
        <f>IFERROR(__xludf.DUMMYFUNCTION("""COMPUTED_VALUE"""),"081 345 1809")</f>
        <v>081 345 1809</v>
      </c>
      <c r="AA159" t="str">
        <f>IFERROR(__xludf.DUMMYFUNCTION("""COMPUTED_VALUE"""),"พ่อ")</f>
        <v>พ่อ</v>
      </c>
      <c r="AB159" t="str">
        <f>IFERROR(__xludf.DUMMYFUNCTION("""COMPUTED_VALUE"""),"thawinuna@airasia.com")</f>
        <v>thawinuna@airasia.com</v>
      </c>
    </row>
    <row r="160">
      <c r="AB160" t="str">
        <f>IFERROR(__xludf.DUMMYFUNCTION("""COMPUTED_VALUE"""),"")</f>
        <v/>
      </c>
    </row>
    <row r="161">
      <c r="A161">
        <f>IFERROR(__xludf.DUMMYFUNCTION("""COMPUTED_VALUE"""),1004196.0)</f>
        <v>1004196</v>
      </c>
      <c r="B161" t="str">
        <f>IFERROR(__xludf.DUMMYFUNCTION("""COMPUTED_VALUE"""),"Ms.")</f>
        <v>Ms.</v>
      </c>
      <c r="C161" t="str">
        <f>IFERROR(__xludf.DUMMYFUNCTION("""COMPUTED_VALUE"""),"Kanyarat")</f>
        <v>Kanyarat</v>
      </c>
      <c r="D161" t="str">
        <f>IFERROR(__xludf.DUMMYFUNCTION("""COMPUTED_VALUE"""),"Boonthanawat")</f>
        <v>Boonthanawat</v>
      </c>
      <c r="E161" t="str">
        <f>IFERROR(__xludf.DUMMYFUNCTION("""COMPUTED_VALUE"""),"Kanyarat Boonthanawat")</f>
        <v>Kanyarat Boonthanawat</v>
      </c>
      <c r="F161" t="str">
        <f>IFERROR(__xludf.DUMMYFUNCTION("""COMPUTED_VALUE"""),"นางสาว")</f>
        <v>นางสาว</v>
      </c>
      <c r="G161" t="str">
        <f>IFERROR(__xludf.DUMMYFUNCTION("""COMPUTED_VALUE"""),"กัญญารัตน์")</f>
        <v>กัญญารัตน์</v>
      </c>
      <c r="H161" t="str">
        <f>IFERROR(__xludf.DUMMYFUNCTION("""COMPUTED_VALUE"""),"บุญธนาวัฒน์")</f>
        <v>บุญธนาวัฒน์</v>
      </c>
      <c r="I161" t="str">
        <f>IFERROR(__xludf.DUMMYFUNCTION("""COMPUTED_VALUE"""),"กัญญารัตน์ บุญธนาวัฒน์")</f>
        <v>กัญญารัตน์ บุญธนาวัฒน์</v>
      </c>
      <c r="J161" t="str">
        <f>IFERROR(__xludf.DUMMYFUNCTION("""COMPUTED_VALUE"""),"ยิ้ม")</f>
        <v>ยิ้ม</v>
      </c>
      <c r="K161" t="str">
        <f>IFERROR(__xludf.DUMMYFUNCTION("""COMPUTED_VALUE"""),"Senior Cabin Crew - CNX")</f>
        <v>Senior Cabin Crew - CNX</v>
      </c>
      <c r="L161" t="str">
        <f>IFERROR(__xludf.DUMMYFUNCTION("""COMPUTED_VALUE"""),"CNX")</f>
        <v>CNX</v>
      </c>
      <c r="M161" s="145" t="str">
        <f>IFERROR(__xludf.DUMMYFUNCTION("""COMPUTED_VALUE"""),"Up Home")</f>
        <v>Up Home</v>
      </c>
      <c r="N161" t="str">
        <f>IFERROR(__xludf.DUMMYFUNCTION("""COMPUTED_VALUE"""),"Active")</f>
        <v>Active</v>
      </c>
      <c r="P161" s="143">
        <f>IFERROR(__xludf.DUMMYFUNCTION("""COMPUTED_VALUE"""),30198.0)</f>
        <v>30198</v>
      </c>
      <c r="Q161" s="146" t="str">
        <f>IFERROR(__xludf.DUMMYFUNCTION("""COMPUTED_VALUE"""),"096 661 9295")</f>
        <v>096 661 9295</v>
      </c>
      <c r="R161" s="147" t="str">
        <f>IFERROR(__xludf.DUMMYFUNCTION("""COMPUTED_VALUE"""),"3510400-10-9255")</f>
        <v>3510400-10-9255</v>
      </c>
      <c r="S161" t="str">
        <f>IFERROR(__xludf.DUMMYFUNCTION("""COMPUTED_VALUE"""),"AC2438325")</f>
        <v>AC2438325</v>
      </c>
      <c r="T161" s="148">
        <f>IFERROR(__xludf.DUMMYFUNCTION("""COMPUTED_VALUE"""),44459.0)</f>
        <v>44459</v>
      </c>
      <c r="U161" s="148">
        <f>IFERROR(__xludf.DUMMYFUNCTION("""COMPUTED_VALUE"""),48110.0)</f>
        <v>48110</v>
      </c>
      <c r="V161" s="149">
        <f>IFERROR(__xludf.DUMMYFUNCTION("""COMPUTED_VALUE"""),47926.0)</f>
        <v>47926</v>
      </c>
      <c r="W161" t="str">
        <f>IFERROR(__xludf.DUMMYFUNCTION("""COMPUTED_VALUE"""),"ปลอดภัย")</f>
        <v>ปลอดภัย</v>
      </c>
      <c r="X161" t="str">
        <f>IFERROR(__xludf.DUMMYFUNCTION("""COMPUTED_VALUE"""),"Chiang Mai Province")</f>
        <v>Chiang Mai Province</v>
      </c>
      <c r="Y161" t="str">
        <f>IFERROR(__xludf.DUMMYFUNCTION("""COMPUTED_VALUE"""),"เชียงใหม่")</f>
        <v>เชียงใหม่</v>
      </c>
      <c r="Z161" t="str">
        <f>IFERROR(__xludf.DUMMYFUNCTION("""COMPUTED_VALUE"""),"085 244 9998")</f>
        <v>085 244 9998</v>
      </c>
      <c r="AA161" t="str">
        <f>IFERROR(__xludf.DUMMYFUNCTION("""COMPUTED_VALUE"""),"ไม่ระบุ")</f>
        <v>ไม่ระบุ</v>
      </c>
      <c r="AB161" t="str">
        <f>IFERROR(__xludf.DUMMYFUNCTION("""COMPUTED_VALUE"""),"kanyaratb@airasia.com")</f>
        <v>kanyaratb@airasia.com</v>
      </c>
    </row>
    <row r="162">
      <c r="A162">
        <f>IFERROR(__xludf.DUMMYFUNCTION("""COMPUTED_VALUE"""),1004197.0)</f>
        <v>1004197</v>
      </c>
      <c r="B162" t="str">
        <f>IFERROR(__xludf.DUMMYFUNCTION("""COMPUTED_VALUE"""),"Ms.")</f>
        <v>Ms.</v>
      </c>
      <c r="C162" t="str">
        <f>IFERROR(__xludf.DUMMYFUNCTION("""COMPUTED_VALUE"""),"Kultharin")</f>
        <v>Kultharin</v>
      </c>
      <c r="D162" t="str">
        <f>IFERROR(__xludf.DUMMYFUNCTION("""COMPUTED_VALUE"""),"Kijbamrunglab")</f>
        <v>Kijbamrunglab</v>
      </c>
      <c r="E162" t="str">
        <f>IFERROR(__xludf.DUMMYFUNCTION("""COMPUTED_VALUE"""),"Kultharin Kijbamrunglab")</f>
        <v>Kultharin Kijbamrunglab</v>
      </c>
      <c r="F162" t="str">
        <f>IFERROR(__xludf.DUMMYFUNCTION("""COMPUTED_VALUE"""),"นางสาว")</f>
        <v>นางสาว</v>
      </c>
      <c r="G162" t="str">
        <f>IFERROR(__xludf.DUMMYFUNCTION("""COMPUTED_VALUE"""),"กุลธารินทร์")</f>
        <v>กุลธารินทร์</v>
      </c>
      <c r="H162" t="str">
        <f>IFERROR(__xludf.DUMMYFUNCTION("""COMPUTED_VALUE"""),"กิจบำรุงลาภ")</f>
        <v>กิจบำรุงลาภ</v>
      </c>
      <c r="I162" t="str">
        <f>IFERROR(__xludf.DUMMYFUNCTION("""COMPUTED_VALUE"""),"กุลธารินทร์ กิจบำรุงลาภ")</f>
        <v>กุลธารินทร์ กิจบำรุงลาภ</v>
      </c>
      <c r="J162" t="str">
        <f>IFERROR(__xludf.DUMMYFUNCTION("""COMPUTED_VALUE"""),"Yui")</f>
        <v>Yui</v>
      </c>
      <c r="K162" t="str">
        <f>IFERROR(__xludf.DUMMYFUNCTION("""COMPUTED_VALUE"""),"Senior Cabin Crew")</f>
        <v>Senior Cabin Crew</v>
      </c>
      <c r="L162" t="str">
        <f>IFERROR(__xludf.DUMMYFUNCTION("""COMPUTED_VALUE"""),"DMK")</f>
        <v>DMK</v>
      </c>
      <c r="M162" s="145" t="str">
        <f>IFERROR(__xludf.DUMMYFUNCTION("""COMPUTED_VALUE"""),"Toffy Home")</f>
        <v>Toffy Home</v>
      </c>
      <c r="N162" t="str">
        <f>IFERROR(__xludf.DUMMYFUNCTION("""COMPUTED_VALUE"""),"Active")</f>
        <v>Active</v>
      </c>
      <c r="P162" s="143">
        <f>IFERROR(__xludf.DUMMYFUNCTION("""COMPUTED_VALUE"""),30637.0)</f>
        <v>30637</v>
      </c>
      <c r="Q162" s="146" t="str">
        <f>IFERROR(__xludf.DUMMYFUNCTION("""COMPUTED_VALUE"""),"088 974 6365")</f>
        <v>088 974 6365</v>
      </c>
      <c r="R162" s="147" t="str">
        <f>IFERROR(__xludf.DUMMYFUNCTION("""COMPUTED_VALUE"""),"3209900-24-6295")</f>
        <v>3209900-24-6295</v>
      </c>
      <c r="S162" t="str">
        <f>IFERROR(__xludf.DUMMYFUNCTION("""COMPUTED_VALUE"""),"AC6234317")</f>
        <v>AC6234317</v>
      </c>
      <c r="T162" s="148">
        <f>IFERROR(__xludf.DUMMYFUNCTION("""COMPUTED_VALUE"""),45302.0)</f>
        <v>45302</v>
      </c>
      <c r="U162" s="148">
        <f>IFERROR(__xludf.DUMMYFUNCTION("""COMPUTED_VALUE"""),48954.0)</f>
        <v>48954</v>
      </c>
      <c r="V162" s="149">
        <f>IFERROR(__xludf.DUMMYFUNCTION("""COMPUTED_VALUE"""),48770.0)</f>
        <v>48770</v>
      </c>
      <c r="W162" t="str">
        <f>IFERROR(__xludf.DUMMYFUNCTION("""COMPUTED_VALUE"""),"ปลอดภัย")</f>
        <v>ปลอดภัย</v>
      </c>
      <c r="X162" t="str">
        <f>IFERROR(__xludf.DUMMYFUNCTION("""COMPUTED_VALUE"""),"Chonburi Province")</f>
        <v>Chonburi Province</v>
      </c>
      <c r="Y162" t="str">
        <f>IFERROR(__xludf.DUMMYFUNCTION("""COMPUTED_VALUE"""),"วัฒนา")</f>
        <v>วัฒนา</v>
      </c>
      <c r="Z162" t="str">
        <f>IFERROR(__xludf.DUMMYFUNCTION("""COMPUTED_VALUE"""),"! Update !")</f>
        <v>! Update !</v>
      </c>
      <c r="AA162" t="str">
        <f>IFERROR(__xludf.DUMMYFUNCTION("""COMPUTED_VALUE"""),"! Update !")</f>
        <v>! Update !</v>
      </c>
      <c r="AB162" t="str">
        <f>IFERROR(__xludf.DUMMYFUNCTION("""COMPUTED_VALUE"""),"kultharink@airasia.com")</f>
        <v>kultharink@airasia.com</v>
      </c>
    </row>
    <row r="163">
      <c r="A163">
        <f>IFERROR(__xludf.DUMMYFUNCTION("""COMPUTED_VALUE"""),1004200.0)</f>
        <v>1004200</v>
      </c>
      <c r="B163" t="str">
        <f>IFERROR(__xludf.DUMMYFUNCTION("""COMPUTED_VALUE"""),"Ms.")</f>
        <v>Ms.</v>
      </c>
      <c r="C163" t="str">
        <f>IFERROR(__xludf.DUMMYFUNCTION("""COMPUTED_VALUE"""),"Napasorn")</f>
        <v>Napasorn</v>
      </c>
      <c r="D163" t="str">
        <f>IFERROR(__xludf.DUMMYFUNCTION("""COMPUTED_VALUE"""),"Narkkaew")</f>
        <v>Narkkaew</v>
      </c>
      <c r="E163" t="str">
        <f>IFERROR(__xludf.DUMMYFUNCTION("""COMPUTED_VALUE"""),"Napasorn Narkkaew")</f>
        <v>Napasorn Narkkaew</v>
      </c>
      <c r="F163" t="str">
        <f>IFERROR(__xludf.DUMMYFUNCTION("""COMPUTED_VALUE"""),"นางสาว")</f>
        <v>นางสาว</v>
      </c>
      <c r="G163" t="str">
        <f>IFERROR(__xludf.DUMMYFUNCTION("""COMPUTED_VALUE"""),"นภัสสรณ์")</f>
        <v>นภัสสรณ์</v>
      </c>
      <c r="H163" t="str">
        <f>IFERROR(__xludf.DUMMYFUNCTION("""COMPUTED_VALUE"""),"นาคแก้ว")</f>
        <v>นาคแก้ว</v>
      </c>
      <c r="I163" t="str">
        <f>IFERROR(__xludf.DUMMYFUNCTION("""COMPUTED_VALUE"""),"นภัสสรณ์ นาคแก้ว")</f>
        <v>นภัสสรณ์ นาคแก้ว</v>
      </c>
      <c r="J163" t="str">
        <f>IFERROR(__xludf.DUMMYFUNCTION("""COMPUTED_VALUE"""),"ออม")</f>
        <v>ออม</v>
      </c>
      <c r="K163" t="str">
        <f>IFERROR(__xludf.DUMMYFUNCTION("""COMPUTED_VALUE"""),"Cabin Crew")</f>
        <v>Cabin Crew</v>
      </c>
      <c r="L163" t="str">
        <f>IFERROR(__xludf.DUMMYFUNCTION("""COMPUTED_VALUE"""),"DMK")</f>
        <v>DMK</v>
      </c>
      <c r="M163" s="145" t="str">
        <f>IFERROR(__xludf.DUMMYFUNCTION("""COMPUTED_VALUE"""),"Nhui Home")</f>
        <v>Nhui Home</v>
      </c>
      <c r="N163" t="str">
        <f>IFERROR(__xludf.DUMMYFUNCTION("""COMPUTED_VALUE"""),"V/LWP")</f>
        <v>V/LWP</v>
      </c>
      <c r="P163" s="143">
        <f>IFERROR(__xludf.DUMMYFUNCTION("""COMPUTED_VALUE"""),30718.0)</f>
        <v>30718</v>
      </c>
      <c r="Q163" s="146" t="str">
        <f>IFERROR(__xludf.DUMMYFUNCTION("""COMPUTED_VALUE"""),"082 342 8554")</f>
        <v>082 342 8554</v>
      </c>
      <c r="R163" s="147" t="str">
        <f>IFERROR(__xludf.DUMMYFUNCTION("""COMPUTED_VALUE"""),"1101400-03-4661")</f>
        <v>1101400-03-4661</v>
      </c>
      <c r="S163" t="str">
        <f>IFERROR(__xludf.DUMMYFUNCTION("""COMPUTED_VALUE"""),"AC5014737")</f>
        <v>AC5014737</v>
      </c>
      <c r="T163" s="148">
        <f>IFERROR(__xludf.DUMMYFUNCTION("""COMPUTED_VALUE"""),45103.0)</f>
        <v>45103</v>
      </c>
      <c r="U163" s="148">
        <f>IFERROR(__xludf.DUMMYFUNCTION("""COMPUTED_VALUE"""),48755.0)</f>
        <v>48755</v>
      </c>
      <c r="V163" s="149">
        <f>IFERROR(__xludf.DUMMYFUNCTION("""COMPUTED_VALUE"""),48573.0)</f>
        <v>48573</v>
      </c>
      <c r="W163" t="str">
        <f>IFERROR(__xludf.DUMMYFUNCTION("""COMPUTED_VALUE"""),"ปลอดภัย")</f>
        <v>ปลอดภัย</v>
      </c>
      <c r="X163" t="str">
        <f>IFERROR(__xludf.DUMMYFUNCTION("""COMPUTED_VALUE"""),"Bangkok")</f>
        <v>Bangkok</v>
      </c>
      <c r="Y163" t="str">
        <f>IFERROR(__xludf.DUMMYFUNCTION("""COMPUTED_VALUE"""),"ดินแดง")</f>
        <v>ดินแดง</v>
      </c>
      <c r="Z163" t="str">
        <f>IFERROR(__xludf.DUMMYFUNCTION("""COMPUTED_VALUE"""),"! Update !")</f>
        <v>! Update !</v>
      </c>
      <c r="AA163" t="str">
        <f>IFERROR(__xludf.DUMMYFUNCTION("""COMPUTED_VALUE"""),"! Update !")</f>
        <v>! Update !</v>
      </c>
      <c r="AB163" t="str">
        <f>IFERROR(__xludf.DUMMYFUNCTION("""COMPUTED_VALUE"""),"napasornn@airasia.com")</f>
        <v>napasornn@airasia.com</v>
      </c>
    </row>
    <row r="164">
      <c r="A164">
        <f>IFERROR(__xludf.DUMMYFUNCTION("""COMPUTED_VALUE"""),1004202.0)</f>
        <v>1004202</v>
      </c>
      <c r="B164" t="str">
        <f>IFERROR(__xludf.DUMMYFUNCTION("""COMPUTED_VALUE"""),"Ms.")</f>
        <v>Ms.</v>
      </c>
      <c r="C164" t="str">
        <f>IFERROR(__xludf.DUMMYFUNCTION("""COMPUTED_VALUE"""),"Patsachol")</f>
        <v>Patsachol</v>
      </c>
      <c r="D164" t="str">
        <f>IFERROR(__xludf.DUMMYFUNCTION("""COMPUTED_VALUE"""),"Intra")</f>
        <v>Intra</v>
      </c>
      <c r="E164" t="str">
        <f>IFERROR(__xludf.DUMMYFUNCTION("""COMPUTED_VALUE"""),"Patsachol Intra")</f>
        <v>Patsachol Intra</v>
      </c>
      <c r="F164" t="str">
        <f>IFERROR(__xludf.DUMMYFUNCTION("""COMPUTED_VALUE"""),"นางสาว")</f>
        <v>นางสาว</v>
      </c>
      <c r="G164" t="str">
        <f>IFERROR(__xludf.DUMMYFUNCTION("""COMPUTED_VALUE"""),"พรรษชล")</f>
        <v>พรรษชล</v>
      </c>
      <c r="H164" t="str">
        <f>IFERROR(__xludf.DUMMYFUNCTION("""COMPUTED_VALUE"""),"อินตรา")</f>
        <v>อินตรา</v>
      </c>
      <c r="I164" t="str">
        <f>IFERROR(__xludf.DUMMYFUNCTION("""COMPUTED_VALUE"""),"พรรษชล อินตรา")</f>
        <v>พรรษชล อินตรา</v>
      </c>
      <c r="J164" t="str">
        <f>IFERROR(__xludf.DUMMYFUNCTION("""COMPUTED_VALUE"""),"Peach")</f>
        <v>Peach</v>
      </c>
      <c r="K164" t="str">
        <f>IFERROR(__xludf.DUMMYFUNCTION("""COMPUTED_VALUE"""),"Cabin Crew")</f>
        <v>Cabin Crew</v>
      </c>
      <c r="L164" t="str">
        <f>IFERROR(__xludf.DUMMYFUNCTION("""COMPUTED_VALUE"""),"DMK")</f>
        <v>DMK</v>
      </c>
      <c r="M164" s="145" t="str">
        <f>IFERROR(__xludf.DUMMYFUNCTION("""COMPUTED_VALUE"""),"Por+ Home")</f>
        <v>Por+ Home</v>
      </c>
      <c r="N164" t="str">
        <f>IFERROR(__xludf.DUMMYFUNCTION("""COMPUTED_VALUE"""),"Active")</f>
        <v>Active</v>
      </c>
      <c r="P164" s="143">
        <f>IFERROR(__xludf.DUMMYFUNCTION("""COMPUTED_VALUE"""),30550.0)</f>
        <v>30550</v>
      </c>
      <c r="Q164" s="146" t="str">
        <f>IFERROR(__xludf.DUMMYFUNCTION("""COMPUTED_VALUE"""),"089 989 9908")</f>
        <v>089 989 9908</v>
      </c>
      <c r="R164" s="147" t="str">
        <f>IFERROR(__xludf.DUMMYFUNCTION("""COMPUTED_VALUE"""),"3779800-26-9701")</f>
        <v>3779800-26-9701</v>
      </c>
      <c r="S164" t="str">
        <f>IFERROR(__xludf.DUMMYFUNCTION("""COMPUTED_VALUE"""),"AC4695652")</f>
        <v>AC4695652</v>
      </c>
      <c r="T164" s="148">
        <f>IFERROR(__xludf.DUMMYFUNCTION("""COMPUTED_VALUE"""),45005.0)</f>
        <v>45005</v>
      </c>
      <c r="U164" s="148">
        <f>IFERROR(__xludf.DUMMYFUNCTION("""COMPUTED_VALUE"""),48657.0)</f>
        <v>48657</v>
      </c>
      <c r="V164" s="149">
        <f>IFERROR(__xludf.DUMMYFUNCTION("""COMPUTED_VALUE"""),48476.0)</f>
        <v>48476</v>
      </c>
      <c r="W164" t="str">
        <f>IFERROR(__xludf.DUMMYFUNCTION("""COMPUTED_VALUE"""),"ปลอดภัย")</f>
        <v>ปลอดภัย</v>
      </c>
      <c r="X164" t="str">
        <f>IFERROR(__xludf.DUMMYFUNCTION("""COMPUTED_VALUE"""),"Bangkok")</f>
        <v>Bangkok</v>
      </c>
      <c r="Y164" t="str">
        <f>IFERROR(__xludf.DUMMYFUNCTION("""COMPUTED_VALUE"""),"สมุทรปราการ อำเภอเมือง")</f>
        <v>สมุทรปราการ อำเภอเมือง</v>
      </c>
      <c r="Z164" t="str">
        <f>IFERROR(__xludf.DUMMYFUNCTION("""COMPUTED_VALUE"""),"! Update !")</f>
        <v>! Update !</v>
      </c>
      <c r="AA164" t="str">
        <f>IFERROR(__xludf.DUMMYFUNCTION("""COMPUTED_VALUE"""),"! Update !")</f>
        <v>! Update !</v>
      </c>
      <c r="AB164" t="str">
        <f>IFERROR(__xludf.DUMMYFUNCTION("""COMPUTED_VALUE"""),"patsacholi@airasia.com")</f>
        <v>patsacholi@airasia.com</v>
      </c>
    </row>
    <row r="165">
      <c r="A165">
        <f>IFERROR(__xludf.DUMMYFUNCTION("""COMPUTED_VALUE"""),1004203.0)</f>
        <v>1004203</v>
      </c>
      <c r="B165" t="str">
        <f>IFERROR(__xludf.DUMMYFUNCTION("""COMPUTED_VALUE"""),"Mrs.")</f>
        <v>Mrs.</v>
      </c>
      <c r="C165" t="str">
        <f>IFERROR(__xludf.DUMMYFUNCTION("""COMPUTED_VALUE"""),"Pavaran")</f>
        <v>Pavaran</v>
      </c>
      <c r="D165" t="str">
        <f>IFERROR(__xludf.DUMMYFUNCTION("""COMPUTED_VALUE"""),"Maneechai (Khonwai)")</f>
        <v>Maneechai (Khonwai)</v>
      </c>
      <c r="E165" t="str">
        <f>IFERROR(__xludf.DUMMYFUNCTION("""COMPUTED_VALUE"""),"Pavaran Maneechai")</f>
        <v>Pavaran Maneechai</v>
      </c>
      <c r="F165" t="str">
        <f>IFERROR(__xludf.DUMMYFUNCTION("""COMPUTED_VALUE"""),"นาง")</f>
        <v>นาง</v>
      </c>
      <c r="G165" t="str">
        <f>IFERROR(__xludf.DUMMYFUNCTION("""COMPUTED_VALUE"""),"ภวรัญชน์")</f>
        <v>ภวรัญชน์</v>
      </c>
      <c r="H165" t="str">
        <f>IFERROR(__xludf.DUMMYFUNCTION("""COMPUTED_VALUE"""),"มณีฉาย (คนไว)")</f>
        <v>มณีฉาย (คนไว)</v>
      </c>
      <c r="I165" t="str">
        <f>IFERROR(__xludf.DUMMYFUNCTION("""COMPUTED_VALUE"""),"ภวรัญชน์ มณีฉาย")</f>
        <v>ภวรัญชน์ มณีฉาย</v>
      </c>
      <c r="J165" t="str">
        <f>IFERROR(__xludf.DUMMYFUNCTION("""COMPUTED_VALUE"""),"Gift")</f>
        <v>Gift</v>
      </c>
      <c r="K165" t="str">
        <f>IFERROR(__xludf.DUMMYFUNCTION("""COMPUTED_VALUE"""),"Senior Cabin Crew")</f>
        <v>Senior Cabin Crew</v>
      </c>
      <c r="L165" t="str">
        <f>IFERROR(__xludf.DUMMYFUNCTION("""COMPUTED_VALUE"""),"DMK")</f>
        <v>DMK</v>
      </c>
      <c r="M165" s="145" t="str">
        <f>IFERROR(__xludf.DUMMYFUNCTION("""COMPUTED_VALUE"""),"Toffy Home")</f>
        <v>Toffy Home</v>
      </c>
      <c r="N165" t="str">
        <f>IFERROR(__xludf.DUMMYFUNCTION("""COMPUTED_VALUE"""),"Active")</f>
        <v>Active</v>
      </c>
      <c r="P165" s="143">
        <f>IFERROR(__xludf.DUMMYFUNCTION("""COMPUTED_VALUE"""),32349.0)</f>
        <v>32349</v>
      </c>
      <c r="Q165" s="146" t="str">
        <f>IFERROR(__xludf.DUMMYFUNCTION("""COMPUTED_VALUE"""),"096-292-9155")</f>
        <v>096-292-9155</v>
      </c>
      <c r="R165" s="147" t="str">
        <f>IFERROR(__xludf.DUMMYFUNCTION("""COMPUTED_VALUE"""),"1100800-44-0584")</f>
        <v>1100800-44-0584</v>
      </c>
      <c r="S165" t="str">
        <f>IFERROR(__xludf.DUMMYFUNCTION("""COMPUTED_VALUE"""),"AD0177258")</f>
        <v>AD0177258</v>
      </c>
      <c r="T165" s="148">
        <f>IFERROR(__xludf.DUMMYFUNCTION("""COMPUTED_VALUE"""),44861.0)</f>
        <v>44861</v>
      </c>
      <c r="U165" s="148">
        <f>IFERROR(__xludf.DUMMYFUNCTION("""COMPUTED_VALUE"""),48513.0)</f>
        <v>48513</v>
      </c>
      <c r="V165" s="149">
        <f>IFERROR(__xludf.DUMMYFUNCTION("""COMPUTED_VALUE"""),48330.0)</f>
        <v>48330</v>
      </c>
      <c r="W165" t="str">
        <f>IFERROR(__xludf.DUMMYFUNCTION("""COMPUTED_VALUE"""),"ปลอดภัย")</f>
        <v>ปลอดภัย</v>
      </c>
      <c r="X165" t="str">
        <f>IFERROR(__xludf.DUMMYFUNCTION("""COMPUTED_VALUE"""),"Bangkok")</f>
        <v>Bangkok</v>
      </c>
      <c r="Y165" t="str">
        <f>IFERROR(__xludf.DUMMYFUNCTION("""COMPUTED_VALUE"""),"ดินแดง")</f>
        <v>ดินแดง</v>
      </c>
      <c r="Z165" t="str">
        <f>IFERROR(__xludf.DUMMYFUNCTION("""COMPUTED_VALUE"""),"! Update !")</f>
        <v>! Update !</v>
      </c>
      <c r="AA165" t="str">
        <f>IFERROR(__xludf.DUMMYFUNCTION("""COMPUTED_VALUE"""),"! Update !")</f>
        <v>! Update !</v>
      </c>
      <c r="AB165" t="str">
        <f>IFERROR(__xludf.DUMMYFUNCTION("""COMPUTED_VALUE"""),"pavaranm@airasia.com")</f>
        <v>pavaranm@airasia.com</v>
      </c>
    </row>
    <row r="166">
      <c r="A166">
        <f>IFERROR(__xludf.DUMMYFUNCTION("""COMPUTED_VALUE"""),1004204.0)</f>
        <v>1004204</v>
      </c>
      <c r="B166" t="str">
        <f>IFERROR(__xludf.DUMMYFUNCTION("""COMPUTED_VALUE"""),"Ms.")</f>
        <v>Ms.</v>
      </c>
      <c r="C166" t="str">
        <f>IFERROR(__xludf.DUMMYFUNCTION("""COMPUTED_VALUE"""),"Phasita")</f>
        <v>Phasita</v>
      </c>
      <c r="D166" t="str">
        <f>IFERROR(__xludf.DUMMYFUNCTION("""COMPUTED_VALUE"""),"Khomdech")</f>
        <v>Khomdech</v>
      </c>
      <c r="E166" t="str">
        <f>IFERROR(__xludf.DUMMYFUNCTION("""COMPUTED_VALUE"""),"Phasita Khomdech")</f>
        <v>Phasita Khomdech</v>
      </c>
      <c r="F166" t="str">
        <f>IFERROR(__xludf.DUMMYFUNCTION("""COMPUTED_VALUE"""),"นางสาว")</f>
        <v>นางสาว</v>
      </c>
      <c r="G166" t="str">
        <f>IFERROR(__xludf.DUMMYFUNCTION("""COMPUTED_VALUE"""),"ภาสิตา")</f>
        <v>ภาสิตา</v>
      </c>
      <c r="H166" t="str">
        <f>IFERROR(__xludf.DUMMYFUNCTION("""COMPUTED_VALUE"""),"คมเดช")</f>
        <v>คมเดช</v>
      </c>
      <c r="I166" t="str">
        <f>IFERROR(__xludf.DUMMYFUNCTION("""COMPUTED_VALUE"""),"ภาสิตา คมเดช")</f>
        <v>ภาสิตา คมเดช</v>
      </c>
      <c r="J166" t="str">
        <f>IFERROR(__xludf.DUMMYFUNCTION("""COMPUTED_VALUE"""),"Jeab")</f>
        <v>Jeab</v>
      </c>
      <c r="K166" t="str">
        <f>IFERROR(__xludf.DUMMYFUNCTION("""COMPUTED_VALUE"""),"Senior Cabin Crew")</f>
        <v>Senior Cabin Crew</v>
      </c>
      <c r="L166" t="str">
        <f>IFERROR(__xludf.DUMMYFUNCTION("""COMPUTED_VALUE"""),"DMK")</f>
        <v>DMK</v>
      </c>
      <c r="M166" s="145" t="str">
        <f>IFERROR(__xludf.DUMMYFUNCTION("""COMPUTED_VALUE"""),"Um Home")</f>
        <v>Um Home</v>
      </c>
      <c r="N166" t="str">
        <f>IFERROR(__xludf.DUMMYFUNCTION("""COMPUTED_VALUE"""),"Active")</f>
        <v>Active</v>
      </c>
      <c r="P166" s="143">
        <f>IFERROR(__xludf.DUMMYFUNCTION("""COMPUTED_VALUE"""),29904.0)</f>
        <v>29904</v>
      </c>
      <c r="Q166" s="146" t="str">
        <f>IFERROR(__xludf.DUMMYFUNCTION("""COMPUTED_VALUE"""),"081 905 7456")</f>
        <v>081 905 7456</v>
      </c>
      <c r="R166" s="147" t="str">
        <f>IFERROR(__xludf.DUMMYFUNCTION("""COMPUTED_VALUE"""),"3250200-07-1117")</f>
        <v>3250200-07-1117</v>
      </c>
      <c r="S166" t="str">
        <f>IFERROR(__xludf.DUMMYFUNCTION("""COMPUTED_VALUE"""),"AC7109760")</f>
        <v>AC7109760</v>
      </c>
      <c r="T166" s="148">
        <f>IFERROR(__xludf.DUMMYFUNCTION("""COMPUTED_VALUE"""),45608.0)</f>
        <v>45608</v>
      </c>
      <c r="U166" s="148">
        <f>IFERROR(__xludf.DUMMYFUNCTION("""COMPUTED_VALUE"""),49259.0)</f>
        <v>49259</v>
      </c>
      <c r="V166" s="149">
        <f>IFERROR(__xludf.DUMMYFUNCTION("""COMPUTED_VALUE"""),49075.0)</f>
        <v>49075</v>
      </c>
      <c r="W166" t="str">
        <f>IFERROR(__xludf.DUMMYFUNCTION("""COMPUTED_VALUE"""),"ปลอดภัย")</f>
        <v>ปลอดภัย</v>
      </c>
      <c r="X166" t="str">
        <f>IFERROR(__xludf.DUMMYFUNCTION("""COMPUTED_VALUE"""),"Prachinburi Province")</f>
        <v>Prachinburi Province</v>
      </c>
      <c r="Y166" t="str">
        <f>IFERROR(__xludf.DUMMYFUNCTION("""COMPUTED_VALUE"""),"สายไหม")</f>
        <v>สายไหม</v>
      </c>
      <c r="Z166" t="str">
        <f>IFERROR(__xludf.DUMMYFUNCTION("""COMPUTED_VALUE"""),"081 9057456")</f>
        <v>081 9057456</v>
      </c>
      <c r="AA166" t="str">
        <f>IFERROR(__xludf.DUMMYFUNCTION("""COMPUTED_VALUE"""),"ไม่ระบุ")</f>
        <v>ไม่ระบุ</v>
      </c>
      <c r="AB166" t="str">
        <f>IFERROR(__xludf.DUMMYFUNCTION("""COMPUTED_VALUE"""),"phasitak@airasia.com")</f>
        <v>phasitak@airasia.com</v>
      </c>
    </row>
    <row r="167">
      <c r="A167">
        <f>IFERROR(__xludf.DUMMYFUNCTION("""COMPUTED_VALUE"""),1004205.0)</f>
        <v>1004205</v>
      </c>
      <c r="B167" t="str">
        <f>IFERROR(__xludf.DUMMYFUNCTION("""COMPUTED_VALUE"""),"Mrs.")</f>
        <v>Mrs.</v>
      </c>
      <c r="C167" t="str">
        <f>IFERROR(__xludf.DUMMYFUNCTION("""COMPUTED_VALUE"""),"Pimvaree")</f>
        <v>Pimvaree</v>
      </c>
      <c r="D167" t="str">
        <f>IFERROR(__xludf.DUMMYFUNCTION("""COMPUTED_VALUE"""),"Ko")</f>
        <v>Ko</v>
      </c>
      <c r="E167" t="str">
        <f>IFERROR(__xludf.DUMMYFUNCTION("""COMPUTED_VALUE"""),"Pimvaree Ko")</f>
        <v>Pimvaree Ko</v>
      </c>
      <c r="F167" t="str">
        <f>IFERROR(__xludf.DUMMYFUNCTION("""COMPUTED_VALUE"""),"นาง")</f>
        <v>นาง</v>
      </c>
      <c r="G167" t="str">
        <f>IFERROR(__xludf.DUMMYFUNCTION("""COMPUTED_VALUE"""),"พิมพ์วรีย์")</f>
        <v>พิมพ์วรีย์</v>
      </c>
      <c r="H167" t="str">
        <f>IFERROR(__xludf.DUMMYFUNCTION("""COMPUTED_VALUE"""),"โค")</f>
        <v>โค</v>
      </c>
      <c r="I167" t="str">
        <f>IFERROR(__xludf.DUMMYFUNCTION("""COMPUTED_VALUE"""),"พิมพ์วรีย์ โค")</f>
        <v>พิมพ์วรีย์ โค</v>
      </c>
      <c r="J167" t="str">
        <f>IFERROR(__xludf.DUMMYFUNCTION("""COMPUTED_VALUE"""),"Air")</f>
        <v>Air</v>
      </c>
      <c r="K167" t="str">
        <f>IFERROR(__xludf.DUMMYFUNCTION("""COMPUTED_VALUE"""),"Senior Cabin Crew - BKK")</f>
        <v>Senior Cabin Crew - BKK</v>
      </c>
      <c r="L167" t="str">
        <f>IFERROR(__xludf.DUMMYFUNCTION("""COMPUTED_VALUE"""),"BKK")</f>
        <v>BKK</v>
      </c>
      <c r="M167" s="145" t="str">
        <f>IFERROR(__xludf.DUMMYFUNCTION("""COMPUTED_VALUE"""),"Nhui Home")</f>
        <v>Nhui Home</v>
      </c>
      <c r="N167" t="str">
        <f>IFERROR(__xludf.DUMMYFUNCTION("""COMPUTED_VALUE"""),"V/LWP")</f>
        <v>V/LWP</v>
      </c>
      <c r="P167" s="143">
        <f>IFERROR(__xludf.DUMMYFUNCTION("""COMPUTED_VALUE"""),29939.0)</f>
        <v>29939</v>
      </c>
      <c r="Q167" s="146" t="str">
        <f>IFERROR(__xludf.DUMMYFUNCTION("""COMPUTED_VALUE"""),"094 498 1829")</f>
        <v>094 498 1829</v>
      </c>
      <c r="R167" s="147" t="str">
        <f>IFERROR(__xludf.DUMMYFUNCTION("""COMPUTED_VALUE"""),"3419900-38-8004")</f>
        <v>3419900-38-8004</v>
      </c>
      <c r="S167" t="str">
        <f>IFERROR(__xludf.DUMMYFUNCTION("""COMPUTED_VALUE"""),"AC2919166")</f>
        <v>AC2919166</v>
      </c>
      <c r="T167" s="148">
        <f>IFERROR(__xludf.DUMMYFUNCTION("""COMPUTED_VALUE"""),44623.0)</f>
        <v>44623</v>
      </c>
      <c r="U167" s="148">
        <f>IFERROR(__xludf.DUMMYFUNCTION("""COMPUTED_VALUE"""),48275.0)</f>
        <v>48275</v>
      </c>
      <c r="V167" s="149">
        <f>IFERROR(__xludf.DUMMYFUNCTION("""COMPUTED_VALUE"""),48093.0)</f>
        <v>48093</v>
      </c>
      <c r="W167" t="str">
        <f>IFERROR(__xludf.DUMMYFUNCTION("""COMPUTED_VALUE"""),"ปลอดภัย")</f>
        <v>ปลอดภัย</v>
      </c>
      <c r="X167" t="str">
        <f>IFERROR(__xludf.DUMMYFUNCTION("""COMPUTED_VALUE"""),"Udon Thani Province")</f>
        <v>Udon Thani Province</v>
      </c>
      <c r="Y167" t="str">
        <f>IFERROR(__xludf.DUMMYFUNCTION("""COMPUTED_VALUE"""),"ศรีราชา")</f>
        <v>ศรีราชา</v>
      </c>
      <c r="Z167" t="str">
        <f>IFERROR(__xludf.DUMMYFUNCTION("""COMPUTED_VALUE"""),"038 049 063")</f>
        <v>038 049 063</v>
      </c>
      <c r="AA167" t="str">
        <f>IFERROR(__xludf.DUMMYFUNCTION("""COMPUTED_VALUE"""),"บ้าน")</f>
        <v>บ้าน</v>
      </c>
      <c r="AB167" t="str">
        <f>IFERROR(__xludf.DUMMYFUNCTION("""COMPUTED_VALUE"""),"pimvareek@airasia.com")</f>
        <v>pimvareek@airasia.com</v>
      </c>
    </row>
    <row r="168">
      <c r="A168">
        <f>IFERROR(__xludf.DUMMYFUNCTION("""COMPUTED_VALUE"""),1004206.0)</f>
        <v>1004206</v>
      </c>
      <c r="B168" t="str">
        <f>IFERROR(__xludf.DUMMYFUNCTION("""COMPUTED_VALUE"""),"Ms.")</f>
        <v>Ms.</v>
      </c>
      <c r="C168" t="str">
        <f>IFERROR(__xludf.DUMMYFUNCTION("""COMPUTED_VALUE"""),"Pitikan")</f>
        <v>Pitikan</v>
      </c>
      <c r="D168" t="str">
        <f>IFERROR(__xludf.DUMMYFUNCTION("""COMPUTED_VALUE"""),"Siwapathomchai")</f>
        <v>Siwapathomchai</v>
      </c>
      <c r="E168" t="str">
        <f>IFERROR(__xludf.DUMMYFUNCTION("""COMPUTED_VALUE"""),"Pitikan Siwapathomchai")</f>
        <v>Pitikan Siwapathomchai</v>
      </c>
      <c r="F168" t="str">
        <f>IFERROR(__xludf.DUMMYFUNCTION("""COMPUTED_VALUE"""),"นางสาว")</f>
        <v>นางสาว</v>
      </c>
      <c r="G168" t="str">
        <f>IFERROR(__xludf.DUMMYFUNCTION("""COMPUTED_VALUE"""),"ปิติกาญจน์")</f>
        <v>ปิติกาญจน์</v>
      </c>
      <c r="H168" t="str">
        <f>IFERROR(__xludf.DUMMYFUNCTION("""COMPUTED_VALUE"""),"ศิวปฐมชัย")</f>
        <v>ศิวปฐมชัย</v>
      </c>
      <c r="I168" t="str">
        <f>IFERROR(__xludf.DUMMYFUNCTION("""COMPUTED_VALUE"""),"ปิติกาญจน์ ศิวปฐมชัย")</f>
        <v>ปิติกาญจน์ ศิวปฐมชัย</v>
      </c>
      <c r="J168" t="str">
        <f>IFERROR(__xludf.DUMMYFUNCTION("""COMPUTED_VALUE"""),"J J")</f>
        <v>J J</v>
      </c>
      <c r="K168" t="str">
        <f>IFERROR(__xludf.DUMMYFUNCTION("""COMPUTED_VALUE"""),"Senior Cabin Crew")</f>
        <v>Senior Cabin Crew</v>
      </c>
      <c r="L168" t="str">
        <f>IFERROR(__xludf.DUMMYFUNCTION("""COMPUTED_VALUE"""),"DMK")</f>
        <v>DMK</v>
      </c>
      <c r="M168" s="145" t="str">
        <f>IFERROR(__xludf.DUMMYFUNCTION("""COMPUTED_VALUE"""),"Toffy Home")</f>
        <v>Toffy Home</v>
      </c>
      <c r="N168" t="str">
        <f>IFERROR(__xludf.DUMMYFUNCTION("""COMPUTED_VALUE"""),"Active")</f>
        <v>Active</v>
      </c>
      <c r="P168" s="143">
        <f>IFERROR(__xludf.DUMMYFUNCTION("""COMPUTED_VALUE"""),29140.0)</f>
        <v>29140</v>
      </c>
      <c r="Q168" s="146" t="str">
        <f>IFERROR(__xludf.DUMMYFUNCTION("""COMPUTED_VALUE"""),"063 539 2491")</f>
        <v>063 539 2491</v>
      </c>
      <c r="R168" s="147" t="str">
        <f>IFERROR(__xludf.DUMMYFUNCTION("""COMPUTED_VALUE"""),"3739900-09-8470")</f>
        <v>3739900-09-8470</v>
      </c>
      <c r="S168" t="str">
        <f>IFERROR(__xludf.DUMMYFUNCTION("""COMPUTED_VALUE"""),"AC8165260")</f>
        <v>AC8165260</v>
      </c>
      <c r="T168" s="148">
        <f>IFERROR(__xludf.DUMMYFUNCTION("""COMPUTED_VALUE"""),45945.0)</f>
        <v>45945</v>
      </c>
      <c r="U168" s="148">
        <f>IFERROR(__xludf.DUMMYFUNCTION("""COMPUTED_VALUE"""),49596.0)</f>
        <v>49596</v>
      </c>
      <c r="V168" s="149">
        <f>IFERROR(__xludf.DUMMYFUNCTION("""COMPUTED_VALUE"""),49413.0)</f>
        <v>49413</v>
      </c>
      <c r="W168" t="str">
        <f>IFERROR(__xludf.DUMMYFUNCTION("""COMPUTED_VALUE"""),"ปลอดภัย")</f>
        <v>ปลอดภัย</v>
      </c>
      <c r="X168" t="str">
        <f>IFERROR(__xludf.DUMMYFUNCTION("""COMPUTED_VALUE"""),"Nakhon Pathom Province")</f>
        <v>Nakhon Pathom Province</v>
      </c>
      <c r="Y168" t="str">
        <f>IFERROR(__xludf.DUMMYFUNCTION("""COMPUTED_VALUE"""),"สวนหลวง")</f>
        <v>สวนหลวง</v>
      </c>
      <c r="Z168" t="str">
        <f>IFERROR(__xludf.DUMMYFUNCTION("""COMPUTED_VALUE"""),"082 649 8104")</f>
        <v>082 649 8104</v>
      </c>
      <c r="AA168" t="str">
        <f>IFERROR(__xludf.DUMMYFUNCTION("""COMPUTED_VALUE"""),"ไม่ระบุ")</f>
        <v>ไม่ระบุ</v>
      </c>
      <c r="AB168" t="str">
        <f>IFERROR(__xludf.DUMMYFUNCTION("""COMPUTED_VALUE"""),"pitikans@airasia.com")</f>
        <v>pitikans@airasia.com</v>
      </c>
    </row>
    <row r="169">
      <c r="A169">
        <f>IFERROR(__xludf.DUMMYFUNCTION("""COMPUTED_VALUE"""),1004211.0)</f>
        <v>1004211</v>
      </c>
      <c r="B169" t="str">
        <f>IFERROR(__xludf.DUMMYFUNCTION("""COMPUTED_VALUE"""),"Mr.")</f>
        <v>Mr.</v>
      </c>
      <c r="C169" t="str">
        <f>IFERROR(__xludf.DUMMYFUNCTION("""COMPUTED_VALUE"""),"Thanyawit")</f>
        <v>Thanyawit</v>
      </c>
      <c r="D169" t="str">
        <f>IFERROR(__xludf.DUMMYFUNCTION("""COMPUTED_VALUE"""),"Srichan")</f>
        <v>Srichan</v>
      </c>
      <c r="E169" t="str">
        <f>IFERROR(__xludf.DUMMYFUNCTION("""COMPUTED_VALUE"""),"Thanyawit Srichan")</f>
        <v>Thanyawit Srichan</v>
      </c>
      <c r="F169" t="str">
        <f>IFERROR(__xludf.DUMMYFUNCTION("""COMPUTED_VALUE"""),"นาย")</f>
        <v>นาย</v>
      </c>
      <c r="G169" t="str">
        <f>IFERROR(__xludf.DUMMYFUNCTION("""COMPUTED_VALUE"""),"ธัญวิทย์")</f>
        <v>ธัญวิทย์</v>
      </c>
      <c r="H169" t="str">
        <f>IFERROR(__xludf.DUMMYFUNCTION("""COMPUTED_VALUE"""),"ศรีจันทร์")</f>
        <v>ศรีจันทร์</v>
      </c>
      <c r="I169" t="str">
        <f>IFERROR(__xludf.DUMMYFUNCTION("""COMPUTED_VALUE"""),"ธัญวิทย์ ศรีจันทร์")</f>
        <v>ธัญวิทย์ ศรีจันทร์</v>
      </c>
      <c r="J169" t="str">
        <f>IFERROR(__xludf.DUMMYFUNCTION("""COMPUTED_VALUE"""),"Up Up")</f>
        <v>Up Up</v>
      </c>
      <c r="K169" t="str">
        <f>IFERROR(__xludf.DUMMYFUNCTION("""COMPUTED_VALUE"""),"Cabin Crew Engagement Lead-CNX")</f>
        <v>Cabin Crew Engagement Lead-CNX</v>
      </c>
      <c r="L169" t="str">
        <f>IFERROR(__xludf.DUMMYFUNCTION("""COMPUTED_VALUE"""),"CNX")</f>
        <v>CNX</v>
      </c>
      <c r="M169" s="145" t="str">
        <f>IFERROR(__xludf.DUMMYFUNCTION("""COMPUTED_VALUE"""),"Ward Monitor")</f>
        <v>Ward Monitor</v>
      </c>
      <c r="N169" t="str">
        <f>IFERROR(__xludf.DUMMYFUNCTION("""COMPUTED_VALUE"""),"CCEL")</f>
        <v>CCEL</v>
      </c>
      <c r="P169" s="143">
        <f>IFERROR(__xludf.DUMMYFUNCTION("""COMPUTED_VALUE"""),30975.0)</f>
        <v>30975</v>
      </c>
      <c r="Q169" s="146" t="str">
        <f>IFERROR(__xludf.DUMMYFUNCTION("""COMPUTED_VALUE"""),"083 206 0595")</f>
        <v>083 206 0595</v>
      </c>
      <c r="R169" s="147" t="str">
        <f>IFERROR(__xludf.DUMMYFUNCTION("""COMPUTED_VALUE"""),"1560300-01-5643")</f>
        <v>1560300-01-5643</v>
      </c>
      <c r="S169" t="str">
        <f>IFERROR(__xludf.DUMMYFUNCTION("""COMPUTED_VALUE"""),"AD1376881")</f>
        <v>AD1376881</v>
      </c>
      <c r="T169" s="148">
        <f>IFERROR(__xludf.DUMMYFUNCTION("""COMPUTED_VALUE"""),45359.0)</f>
        <v>45359</v>
      </c>
      <c r="U169" s="148">
        <f>IFERROR(__xludf.DUMMYFUNCTION("""COMPUTED_VALUE"""),49010.0)</f>
        <v>49010</v>
      </c>
      <c r="V169" s="149">
        <f>IFERROR(__xludf.DUMMYFUNCTION("""COMPUTED_VALUE"""),48829.0)</f>
        <v>48829</v>
      </c>
      <c r="W169" t="str">
        <f>IFERROR(__xludf.DUMMYFUNCTION("""COMPUTED_VALUE"""),"ปลอดภัย")</f>
        <v>ปลอดภัย</v>
      </c>
      <c r="X169" t="str">
        <f>IFERROR(__xludf.DUMMYFUNCTION("""COMPUTED_VALUE"""),"Phayao Province")</f>
        <v>Phayao Province</v>
      </c>
      <c r="Y169" t="str">
        <f>IFERROR(__xludf.DUMMYFUNCTION("""COMPUTED_VALUE"""),"เชียงใหม่")</f>
        <v>เชียงใหม่</v>
      </c>
      <c r="Z169" t="str">
        <f>IFERROR(__xludf.DUMMYFUNCTION("""COMPUTED_VALUE"""),"! Update !")</f>
        <v>! Update !</v>
      </c>
      <c r="AA169" t="str">
        <f>IFERROR(__xludf.DUMMYFUNCTION("""COMPUTED_VALUE"""),"! Update !")</f>
        <v>! Update !</v>
      </c>
      <c r="AB169" t="str">
        <f>IFERROR(__xludf.DUMMYFUNCTION("""COMPUTED_VALUE"""),"thanyawits@airasia.com")</f>
        <v>thanyawits@airasia.com</v>
      </c>
    </row>
    <row r="170">
      <c r="A170">
        <f>IFERROR(__xludf.DUMMYFUNCTION("""COMPUTED_VALUE"""),1004212.0)</f>
        <v>1004212</v>
      </c>
      <c r="B170" t="str">
        <f>IFERROR(__xludf.DUMMYFUNCTION("""COMPUTED_VALUE"""),"Mrs.")</f>
        <v>Mrs.</v>
      </c>
      <c r="C170" t="str">
        <f>IFERROR(__xludf.DUMMYFUNCTION("""COMPUTED_VALUE"""),"Varisa")</f>
        <v>Varisa</v>
      </c>
      <c r="D170" t="str">
        <f>IFERROR(__xludf.DUMMYFUNCTION("""COMPUTED_VALUE"""),"Nimkasai (Poonsawat)")</f>
        <v>Nimkasai (Poonsawat)</v>
      </c>
      <c r="E170" t="str">
        <f>IFERROR(__xludf.DUMMYFUNCTION("""COMPUTED_VALUE"""),"Varisa Nimkasai")</f>
        <v>Varisa Nimkasai</v>
      </c>
      <c r="F170" t="str">
        <f>IFERROR(__xludf.DUMMYFUNCTION("""COMPUTED_VALUE"""),"นางสาว")</f>
        <v>นางสาว</v>
      </c>
      <c r="G170" t="str">
        <f>IFERROR(__xludf.DUMMYFUNCTION("""COMPUTED_VALUE"""),"วริษา")</f>
        <v>วริษา</v>
      </c>
      <c r="H170" t="str">
        <f>IFERROR(__xludf.DUMMYFUNCTION("""COMPUTED_VALUE"""),"นิมคาสาย (พูลสวัสดิ์)")</f>
        <v>นิมคาสาย (พูลสวัสดิ์)</v>
      </c>
      <c r="I170" t="str">
        <f>IFERROR(__xludf.DUMMYFUNCTION("""COMPUTED_VALUE"""),"วริษา นิมคาสาย")</f>
        <v>วริษา นิมคาสาย</v>
      </c>
      <c r="J170" t="str">
        <f>IFERROR(__xludf.DUMMYFUNCTION("""COMPUTED_VALUE"""),"Can")</f>
        <v>Can</v>
      </c>
      <c r="K170" t="str">
        <f>IFERROR(__xludf.DUMMYFUNCTION("""COMPUTED_VALUE"""),"Senior Cabin Crew")</f>
        <v>Senior Cabin Crew</v>
      </c>
      <c r="L170" t="str">
        <f>IFERROR(__xludf.DUMMYFUNCTION("""COMPUTED_VALUE"""),"DMK")</f>
        <v>DMK</v>
      </c>
      <c r="M170" s="145" t="str">
        <f>IFERROR(__xludf.DUMMYFUNCTION("""COMPUTED_VALUE"""),"Kor Home")</f>
        <v>Kor Home</v>
      </c>
      <c r="N170" t="str">
        <f>IFERROR(__xludf.DUMMYFUNCTION("""COMPUTED_VALUE"""),"Active")</f>
        <v>Active</v>
      </c>
      <c r="P170" s="143">
        <f>IFERROR(__xludf.DUMMYFUNCTION("""COMPUTED_VALUE"""),30973.0)</f>
        <v>30973</v>
      </c>
      <c r="Q170" s="146" t="str">
        <f>IFERROR(__xludf.DUMMYFUNCTION("""COMPUTED_VALUE"""),"081 918 4676")</f>
        <v>081 918 4676</v>
      </c>
      <c r="R170" s="147" t="str">
        <f>IFERROR(__xludf.DUMMYFUNCTION("""COMPUTED_VALUE"""),"1101700-00-6395")</f>
        <v>1101700-00-6395</v>
      </c>
      <c r="S170" t="str">
        <f>IFERROR(__xludf.DUMMYFUNCTION("""COMPUTED_VALUE"""),"AD1829599")</f>
        <v>AD1829599</v>
      </c>
      <c r="T170" s="148">
        <f>IFERROR(__xludf.DUMMYFUNCTION("""COMPUTED_VALUE"""),45466.0)</f>
        <v>45466</v>
      </c>
      <c r="U170" s="148">
        <f>IFERROR(__xludf.DUMMYFUNCTION("""COMPUTED_VALUE"""),49117.0)</f>
        <v>49117</v>
      </c>
      <c r="V170" s="149">
        <f>IFERROR(__xludf.DUMMYFUNCTION("""COMPUTED_VALUE"""),48935.0)</f>
        <v>48935</v>
      </c>
      <c r="W170" t="str">
        <f>IFERROR(__xludf.DUMMYFUNCTION("""COMPUTED_VALUE"""),"ปลอดภัย")</f>
        <v>ปลอดภัย</v>
      </c>
      <c r="X170" t="str">
        <f>IFERROR(__xludf.DUMMYFUNCTION("""COMPUTED_VALUE"""),"Bangkok")</f>
        <v>Bangkok</v>
      </c>
      <c r="Y170" t="str">
        <f>IFERROR(__xludf.DUMMYFUNCTION("""COMPUTED_VALUE"""),"บึงกุ่ม")</f>
        <v>บึงกุ่ม</v>
      </c>
      <c r="Z170" t="str">
        <f>IFERROR(__xludf.DUMMYFUNCTION("""COMPUTED_VALUE"""),"081 918 4676")</f>
        <v>081 918 4676</v>
      </c>
      <c r="AA170" t="str">
        <f>IFERROR(__xludf.DUMMYFUNCTION("""COMPUTED_VALUE"""),"ไม่ระบุ")</f>
        <v>ไม่ระบุ</v>
      </c>
      <c r="AB170" t="str">
        <f>IFERROR(__xludf.DUMMYFUNCTION("""COMPUTED_VALUE"""),"varisan@airasia.com")</f>
        <v>varisan@airasia.com</v>
      </c>
    </row>
    <row r="171">
      <c r="A171">
        <f>IFERROR(__xludf.DUMMYFUNCTION("""COMPUTED_VALUE"""),1004213.0)</f>
        <v>1004213</v>
      </c>
      <c r="B171" t="str">
        <f>IFERROR(__xludf.DUMMYFUNCTION("""COMPUTED_VALUE"""),"Ms.")</f>
        <v>Ms.</v>
      </c>
      <c r="C171" t="str">
        <f>IFERROR(__xludf.DUMMYFUNCTION("""COMPUTED_VALUE"""),"Worapada")</f>
        <v>Worapada</v>
      </c>
      <c r="D171" t="str">
        <f>IFERROR(__xludf.DUMMYFUNCTION("""COMPUTED_VALUE"""),"Suetrongmunkong")</f>
        <v>Suetrongmunkong</v>
      </c>
      <c r="E171" t="str">
        <f>IFERROR(__xludf.DUMMYFUNCTION("""COMPUTED_VALUE"""),"Worapada Suetrongmunkong")</f>
        <v>Worapada Suetrongmunkong</v>
      </c>
      <c r="F171" t="str">
        <f>IFERROR(__xludf.DUMMYFUNCTION("""COMPUTED_VALUE"""),"นางสาว")</f>
        <v>นางสาว</v>
      </c>
      <c r="G171" t="str">
        <f>IFERROR(__xludf.DUMMYFUNCTION("""COMPUTED_VALUE"""),"วรภาดา")</f>
        <v>วรภาดา</v>
      </c>
      <c r="H171" t="str">
        <f>IFERROR(__xludf.DUMMYFUNCTION("""COMPUTED_VALUE"""),"ซื่อตรงมั่นคง")</f>
        <v>ซื่อตรงมั่นคง</v>
      </c>
      <c r="I171" t="str">
        <f>IFERROR(__xludf.DUMMYFUNCTION("""COMPUTED_VALUE"""),"วรภาดา ซื่อตรงมั่นคง")</f>
        <v>วรภาดา ซื่อตรงมั่นคง</v>
      </c>
      <c r="J171" t="str">
        <f>IFERROR(__xludf.DUMMYFUNCTION("""COMPUTED_VALUE"""),"Aiw")</f>
        <v>Aiw</v>
      </c>
      <c r="K171" t="str">
        <f>IFERROR(__xludf.DUMMYFUNCTION("""COMPUTED_VALUE"""),"Cabin Crew")</f>
        <v>Cabin Crew</v>
      </c>
      <c r="L171" t="str">
        <f>IFERROR(__xludf.DUMMYFUNCTION("""COMPUTED_VALUE"""),"DMK")</f>
        <v>DMK</v>
      </c>
      <c r="M171" s="145" t="str">
        <f>IFERROR(__xludf.DUMMYFUNCTION("""COMPUTED_VALUE"""),"Um Home")</f>
        <v>Um Home</v>
      </c>
      <c r="N171" t="str">
        <f>IFERROR(__xludf.DUMMYFUNCTION("""COMPUTED_VALUE"""),"Active")</f>
        <v>Active</v>
      </c>
      <c r="P171" s="143">
        <f>IFERROR(__xludf.DUMMYFUNCTION("""COMPUTED_VALUE"""),31234.0)</f>
        <v>31234</v>
      </c>
      <c r="Q171" s="146" t="str">
        <f>IFERROR(__xludf.DUMMYFUNCTION("""COMPUTED_VALUE"""),"099 619 2246")</f>
        <v>099 619 2246</v>
      </c>
      <c r="R171" s="147" t="str">
        <f>IFERROR(__xludf.DUMMYFUNCTION("""COMPUTED_VALUE"""),"1100900-08-1861")</f>
        <v>1100900-08-1861</v>
      </c>
      <c r="S171" t="str">
        <f>IFERROR(__xludf.DUMMYFUNCTION("""COMPUTED_VALUE"""),"AC3806111")</f>
        <v>AC3806111</v>
      </c>
      <c r="T171" s="148">
        <f>IFERROR(__xludf.DUMMYFUNCTION("""COMPUTED_VALUE"""),44803.0)</f>
        <v>44803</v>
      </c>
      <c r="U171" s="148">
        <f>IFERROR(__xludf.DUMMYFUNCTION("""COMPUTED_VALUE"""),48455.0)</f>
        <v>48455</v>
      </c>
      <c r="V171" s="149">
        <f>IFERROR(__xludf.DUMMYFUNCTION("""COMPUTED_VALUE"""),48273.0)</f>
        <v>48273</v>
      </c>
      <c r="W171" t="str">
        <f>IFERROR(__xludf.DUMMYFUNCTION("""COMPUTED_VALUE"""),"ปลอดภัย")</f>
        <v>ปลอดภัย</v>
      </c>
      <c r="X171" t="str">
        <f>IFERROR(__xludf.DUMMYFUNCTION("""COMPUTED_VALUE"""),"Bangkok")</f>
        <v>Bangkok</v>
      </c>
      <c r="Y171" t="str">
        <f>IFERROR(__xludf.DUMMYFUNCTION("""COMPUTED_VALUE"""),"ดินแดง")</f>
        <v>ดินแดง</v>
      </c>
      <c r="Z171" t="str">
        <f>IFERROR(__xludf.DUMMYFUNCTION("""COMPUTED_VALUE"""),"085 2279266")</f>
        <v>085 2279266</v>
      </c>
      <c r="AA171" t="str">
        <f>IFERROR(__xludf.DUMMYFUNCTION("""COMPUTED_VALUE"""),"ไม่ระบุ")</f>
        <v>ไม่ระบุ</v>
      </c>
      <c r="AB171" t="str">
        <f>IFERROR(__xludf.DUMMYFUNCTION("""COMPUTED_VALUE"""),"worapadas@airasia.com")</f>
        <v>worapadas@airasia.com</v>
      </c>
    </row>
    <row r="172">
      <c r="AB172" t="str">
        <f>IFERROR(__xludf.DUMMYFUNCTION("""COMPUTED_VALUE"""),"")</f>
        <v/>
      </c>
    </row>
    <row r="173">
      <c r="A173">
        <f>IFERROR(__xludf.DUMMYFUNCTION("""COMPUTED_VALUE"""),1001582.0)</f>
        <v>1001582</v>
      </c>
      <c r="B173" t="str">
        <f>IFERROR(__xludf.DUMMYFUNCTION("""COMPUTED_VALUE"""),"Ms.")</f>
        <v>Ms.</v>
      </c>
      <c r="C173" t="str">
        <f>IFERROR(__xludf.DUMMYFUNCTION("""COMPUTED_VALUE"""),"Waleerat")</f>
        <v>Waleerat</v>
      </c>
      <c r="D173" t="str">
        <f>IFERROR(__xludf.DUMMYFUNCTION("""COMPUTED_VALUE"""),"khumsap (Klayjam)")</f>
        <v>khumsap (Klayjam)</v>
      </c>
      <c r="E173" t="str">
        <f>IFERROR(__xludf.DUMMYFUNCTION("""COMPUTED_VALUE"""),"Waleerat khumsap")</f>
        <v>Waleerat khumsap</v>
      </c>
      <c r="F173" t="str">
        <f>IFERROR(__xludf.DUMMYFUNCTION("""COMPUTED_VALUE"""),"นางสาว")</f>
        <v>นางสาว</v>
      </c>
      <c r="G173" t="str">
        <f>IFERROR(__xludf.DUMMYFUNCTION("""COMPUTED_VALUE"""),"วลีรัตน์")</f>
        <v>วลีรัตน์</v>
      </c>
      <c r="H173" t="str">
        <f>IFERROR(__xludf.DUMMYFUNCTION("""COMPUTED_VALUE"""),"คุ้มทรัพย์ (คล้ายแจ่ม)")</f>
        <v>คุ้มทรัพย์ (คล้ายแจ่ม)</v>
      </c>
      <c r="I173" t="str">
        <f>IFERROR(__xludf.DUMMYFUNCTION("""COMPUTED_VALUE"""),"วลีรัตน์ คุ้มทรัพย์")</f>
        <v>วลีรัตน์ คุ้มทรัพย์</v>
      </c>
      <c r="J173" t="str">
        <f>IFERROR(__xludf.DUMMYFUNCTION("""COMPUTED_VALUE"""),"หนู")</f>
        <v>หนู</v>
      </c>
      <c r="K173" t="str">
        <f>IFERROR(__xludf.DUMMYFUNCTION("""COMPUTED_VALUE"""),"Senior Cabin Crew")</f>
        <v>Senior Cabin Crew</v>
      </c>
      <c r="L173" t="str">
        <f>IFERROR(__xludf.DUMMYFUNCTION("""COMPUTED_VALUE"""),"DMK")</f>
        <v>DMK</v>
      </c>
      <c r="M173" s="145" t="str">
        <f>IFERROR(__xludf.DUMMYFUNCTION("""COMPUTED_VALUE"""),"Toffy Home")</f>
        <v>Toffy Home</v>
      </c>
      <c r="N173" t="str">
        <f>IFERROR(__xludf.DUMMYFUNCTION("""COMPUTED_VALUE"""),"Active")</f>
        <v>Active</v>
      </c>
      <c r="P173" s="143">
        <f>IFERROR(__xludf.DUMMYFUNCTION("""COMPUTED_VALUE"""),28519.0)</f>
        <v>28519</v>
      </c>
      <c r="Q173" s="146" t="str">
        <f>IFERROR(__xludf.DUMMYFUNCTION("""COMPUTED_VALUE"""),"091 779 6615")</f>
        <v>091 779 6615</v>
      </c>
      <c r="R173" s="147" t="str">
        <f>IFERROR(__xludf.DUMMYFUNCTION("""COMPUTED_VALUE"""),"3659900-74-5107")</f>
        <v>3659900-74-5107</v>
      </c>
      <c r="S173" t="str">
        <f>IFERROR(__xludf.DUMMYFUNCTION("""COMPUTED_VALUE"""),"AAC7785473")</f>
        <v>AAC7785473</v>
      </c>
      <c r="T173" s="148">
        <f>IFERROR(__xludf.DUMMYFUNCTION("""COMPUTED_VALUE"""),45650.0)</f>
        <v>45650</v>
      </c>
      <c r="U173" s="148">
        <f>IFERROR(__xludf.DUMMYFUNCTION("""COMPUTED_VALUE"""),49301.0)</f>
        <v>49301</v>
      </c>
      <c r="V173" s="149">
        <f>IFERROR(__xludf.DUMMYFUNCTION("""COMPUTED_VALUE"""),49118.0)</f>
        <v>49118</v>
      </c>
      <c r="W173" t="str">
        <f>IFERROR(__xludf.DUMMYFUNCTION("""COMPUTED_VALUE"""),"ปลอดภัย")</f>
        <v>ปลอดภัย</v>
      </c>
      <c r="X173" t="str">
        <f>IFERROR(__xludf.DUMMYFUNCTION("""COMPUTED_VALUE"""),"Phitsanulok Province")</f>
        <v>Phitsanulok Province</v>
      </c>
      <c r="Y173" t="str">
        <f>IFERROR(__xludf.DUMMYFUNCTION("""COMPUTED_VALUE"""),"สายไหม")</f>
        <v>สายไหม</v>
      </c>
      <c r="Z173" t="str">
        <f>IFERROR(__xludf.DUMMYFUNCTION("""COMPUTED_VALUE"""),"083 0182742")</f>
        <v>083 0182742</v>
      </c>
      <c r="AA173" t="str">
        <f>IFERROR(__xludf.DUMMYFUNCTION("""COMPUTED_VALUE"""),"ไม่ระบุ")</f>
        <v>ไม่ระบุ</v>
      </c>
      <c r="AB173" t="str">
        <f>IFERROR(__xludf.DUMMYFUNCTION("""COMPUTED_VALUE"""),"waleeratk@airasia.com")</f>
        <v>waleeratk@airasia.com</v>
      </c>
    </row>
    <row r="174">
      <c r="A174">
        <f>IFERROR(__xludf.DUMMYFUNCTION("""COMPUTED_VALUE"""),1002251.0)</f>
        <v>1002251</v>
      </c>
      <c r="B174" t="str">
        <f>IFERROR(__xludf.DUMMYFUNCTION("""COMPUTED_VALUE"""),"Ms.")</f>
        <v>Ms.</v>
      </c>
      <c r="C174" t="str">
        <f>IFERROR(__xludf.DUMMYFUNCTION("""COMPUTED_VALUE"""),"Suthinee")</f>
        <v>Suthinee</v>
      </c>
      <c r="D174" t="str">
        <f>IFERROR(__xludf.DUMMYFUNCTION("""COMPUTED_VALUE"""),"Jeerawattanawong")</f>
        <v>Jeerawattanawong</v>
      </c>
      <c r="E174" t="str">
        <f>IFERROR(__xludf.DUMMYFUNCTION("""COMPUTED_VALUE"""),"Suthinee Jeerawattanawong")</f>
        <v>Suthinee Jeerawattanawong</v>
      </c>
      <c r="F174" t="str">
        <f>IFERROR(__xludf.DUMMYFUNCTION("""COMPUTED_VALUE"""),"นางสาว")</f>
        <v>นางสาว</v>
      </c>
      <c r="G174" t="str">
        <f>IFERROR(__xludf.DUMMYFUNCTION("""COMPUTED_VALUE"""),"สุธินี")</f>
        <v>สุธินี</v>
      </c>
      <c r="H174" t="str">
        <f>IFERROR(__xludf.DUMMYFUNCTION("""COMPUTED_VALUE"""),"จีระวัฒนาวงศ์")</f>
        <v>จีระวัฒนาวงศ์</v>
      </c>
      <c r="I174" t="str">
        <f>IFERROR(__xludf.DUMMYFUNCTION("""COMPUTED_VALUE"""),"สุธินี จีระวัฒนาวงศ์")</f>
        <v>สุธินี จีระวัฒนาวงศ์</v>
      </c>
      <c r="J174" t="str">
        <f>IFERROR(__xludf.DUMMYFUNCTION("""COMPUTED_VALUE"""),"หลิน")</f>
        <v>หลิน</v>
      </c>
      <c r="K174" t="str">
        <f>IFERROR(__xludf.DUMMYFUNCTION("""COMPUTED_VALUE"""),"Cabin Crew")</f>
        <v>Cabin Crew</v>
      </c>
      <c r="L174" t="str">
        <f>IFERROR(__xludf.DUMMYFUNCTION("""COMPUTED_VALUE"""),"DMK")</f>
        <v>DMK</v>
      </c>
      <c r="M174" s="145" t="str">
        <f>IFERROR(__xludf.DUMMYFUNCTION("""COMPUTED_VALUE"""),"Por+ Home")</f>
        <v>Por+ Home</v>
      </c>
      <c r="N174" t="str">
        <f>IFERROR(__xludf.DUMMYFUNCTION("""COMPUTED_VALUE"""),"V/LWP")</f>
        <v>V/LWP</v>
      </c>
      <c r="P174" s="143">
        <f>IFERROR(__xludf.DUMMYFUNCTION("""COMPUTED_VALUE"""),29890.0)</f>
        <v>29890</v>
      </c>
      <c r="Q174" s="146" t="str">
        <f>IFERROR(__xludf.DUMMYFUNCTION("""COMPUTED_VALUE"""),"063 539 6242")</f>
        <v>063 539 6242</v>
      </c>
      <c r="R174" s="147" t="str">
        <f>IFERROR(__xludf.DUMMYFUNCTION("""COMPUTED_VALUE"""),"3101300-16-3350")</f>
        <v>3101300-16-3350</v>
      </c>
      <c r="S174" t="str">
        <f>IFERROR(__xludf.DUMMYFUNCTION("""COMPUTED_VALUE"""),"AC6165470")</f>
        <v>AC6165470</v>
      </c>
      <c r="T174" s="148">
        <f>IFERROR(__xludf.DUMMYFUNCTION("""COMPUTED_VALUE"""),45264.0)</f>
        <v>45264</v>
      </c>
      <c r="U174" s="148">
        <f>IFERROR(__xludf.DUMMYFUNCTION("""COMPUTED_VALUE"""),48916.0)</f>
        <v>48916</v>
      </c>
      <c r="V174" s="149">
        <f>IFERROR(__xludf.DUMMYFUNCTION("""COMPUTED_VALUE"""),48733.0)</f>
        <v>48733</v>
      </c>
      <c r="W174" t="str">
        <f>IFERROR(__xludf.DUMMYFUNCTION("""COMPUTED_VALUE"""),"ปลอดภัย")</f>
        <v>ปลอดภัย</v>
      </c>
      <c r="X174" t="str">
        <f>IFERROR(__xludf.DUMMYFUNCTION("""COMPUTED_VALUE"""),"Bangkok")</f>
        <v>Bangkok</v>
      </c>
      <c r="Y174" t="str">
        <f>IFERROR(__xludf.DUMMYFUNCTION("""COMPUTED_VALUE"""),"ภูเก็ต")</f>
        <v>ภูเก็ต</v>
      </c>
      <c r="Z174" t="str">
        <f>IFERROR(__xludf.DUMMYFUNCTION("""COMPUTED_VALUE"""),"081 6116334")</f>
        <v>081 6116334</v>
      </c>
      <c r="AA174" t="str">
        <f>IFERROR(__xludf.DUMMYFUNCTION("""COMPUTED_VALUE"""),"ไม่ระบุ")</f>
        <v>ไม่ระบุ</v>
      </c>
      <c r="AB174" t="str">
        <f>IFERROR(__xludf.DUMMYFUNCTION("""COMPUTED_VALUE"""),"suthineej@airasia.com")</f>
        <v>suthineej@airasia.com</v>
      </c>
    </row>
    <row r="175">
      <c r="A175">
        <f>IFERROR(__xludf.DUMMYFUNCTION("""COMPUTED_VALUE"""),1003302.0)</f>
        <v>1003302</v>
      </c>
      <c r="B175" t="str">
        <f>IFERROR(__xludf.DUMMYFUNCTION("""COMPUTED_VALUE"""),"Ms.")</f>
        <v>Ms.</v>
      </c>
      <c r="C175" t="str">
        <f>IFERROR(__xludf.DUMMYFUNCTION("""COMPUTED_VALUE"""),"Panwad")</f>
        <v>Panwad</v>
      </c>
      <c r="D175" t="str">
        <f>IFERROR(__xludf.DUMMYFUNCTION("""COMPUTED_VALUE"""),"Thongkham (Pittayarak)")</f>
        <v>Thongkham (Pittayarak)</v>
      </c>
      <c r="E175" t="str">
        <f>IFERROR(__xludf.DUMMYFUNCTION("""COMPUTED_VALUE"""),"Panwad Thongkham")</f>
        <v>Panwad Thongkham</v>
      </c>
      <c r="F175" t="str">
        <f>IFERROR(__xludf.DUMMYFUNCTION("""COMPUTED_VALUE"""),"นางสาว")</f>
        <v>นางสาว</v>
      </c>
      <c r="G175" t="str">
        <f>IFERROR(__xludf.DUMMYFUNCTION("""COMPUTED_VALUE"""),"ปานวาด")</f>
        <v>ปานวาด</v>
      </c>
      <c r="H175" t="str">
        <f>IFERROR(__xludf.DUMMYFUNCTION("""COMPUTED_VALUE"""),"ทองคำ (พิทยารักษ์ฉ")</f>
        <v>ทองคำ (พิทยารักษ์ฉ</v>
      </c>
      <c r="I175" t="str">
        <f>IFERROR(__xludf.DUMMYFUNCTION("""COMPUTED_VALUE"""),"ปานวาด ทองคำ")</f>
        <v>ปานวาด ทองคำ</v>
      </c>
      <c r="J175" t="str">
        <f>IFERROR(__xludf.DUMMYFUNCTION("""COMPUTED_VALUE"""),"อุ๋ย")</f>
        <v>อุ๋ย</v>
      </c>
      <c r="K175" t="str">
        <f>IFERROR(__xludf.DUMMYFUNCTION("""COMPUTED_VALUE"""),"Senior Cabin Crew")</f>
        <v>Senior Cabin Crew</v>
      </c>
      <c r="L175" t="str">
        <f>IFERROR(__xludf.DUMMYFUNCTION("""COMPUTED_VALUE"""),"DMK")</f>
        <v>DMK</v>
      </c>
      <c r="M175" s="145" t="str">
        <f>IFERROR(__xludf.DUMMYFUNCTION("""COMPUTED_VALUE"""),"Um Home")</f>
        <v>Um Home</v>
      </c>
      <c r="N175" t="str">
        <f>IFERROR(__xludf.DUMMYFUNCTION("""COMPUTED_VALUE"""),"V/LWP")</f>
        <v>V/LWP</v>
      </c>
      <c r="P175" s="143">
        <f>IFERROR(__xludf.DUMMYFUNCTION("""COMPUTED_VALUE"""),30215.0)</f>
        <v>30215</v>
      </c>
      <c r="Q175" s="146" t="str">
        <f>IFERROR(__xludf.DUMMYFUNCTION("""COMPUTED_VALUE"""),"081 372 6587")</f>
        <v>081 372 6587</v>
      </c>
      <c r="R175" s="147" t="str">
        <f>IFERROR(__xludf.DUMMYFUNCTION("""COMPUTED_VALUE"""),"3101501-12-4173")</f>
        <v>3101501-12-4173</v>
      </c>
      <c r="S175" t="str">
        <f>IFERROR(__xludf.DUMMYFUNCTION("""COMPUTED_VALUE"""),"AC2910587")</f>
        <v>AC2910587</v>
      </c>
      <c r="T175" s="148">
        <f>IFERROR(__xludf.DUMMYFUNCTION("""COMPUTED_VALUE"""),44620.0)</f>
        <v>44620</v>
      </c>
      <c r="U175" s="148">
        <f>IFERROR(__xludf.DUMMYFUNCTION("""COMPUTED_VALUE"""),48271.0)</f>
        <v>48271</v>
      </c>
      <c r="V175" s="149">
        <f>IFERROR(__xludf.DUMMYFUNCTION("""COMPUTED_VALUE"""),48087.0)</f>
        <v>48087</v>
      </c>
      <c r="W175" t="str">
        <f>IFERROR(__xludf.DUMMYFUNCTION("""COMPUTED_VALUE"""),"ปลอดภัย")</f>
        <v>ปลอดภัย</v>
      </c>
      <c r="X175" t="str">
        <f>IFERROR(__xludf.DUMMYFUNCTION("""COMPUTED_VALUE"""),"Bangkok")</f>
        <v>Bangkok</v>
      </c>
      <c r="Y175" t="str">
        <f>IFERROR(__xludf.DUMMYFUNCTION("""COMPUTED_VALUE"""),"ลาดกระบัง")</f>
        <v>ลาดกระบัง</v>
      </c>
      <c r="Z175" t="str">
        <f>IFERROR(__xludf.DUMMYFUNCTION("""COMPUTED_VALUE"""),"081 372 6587")</f>
        <v>081 372 6587</v>
      </c>
      <c r="AA175" t="str">
        <f>IFERROR(__xludf.DUMMYFUNCTION("""COMPUTED_VALUE"""),"ไม่ระบุ")</f>
        <v>ไม่ระบุ</v>
      </c>
      <c r="AB175" t="str">
        <f>IFERROR(__xludf.DUMMYFUNCTION("""COMPUTED_VALUE"""),"panwadt@airasia.com")</f>
        <v>panwadt@airasia.com</v>
      </c>
    </row>
    <row r="176">
      <c r="A176">
        <f>IFERROR(__xludf.DUMMYFUNCTION("""COMPUTED_VALUE"""),1004444.0)</f>
        <v>1004444</v>
      </c>
      <c r="B176" t="str">
        <f>IFERROR(__xludf.DUMMYFUNCTION("""COMPUTED_VALUE"""),"Ms.")</f>
        <v>Ms.</v>
      </c>
      <c r="C176" t="str">
        <f>IFERROR(__xludf.DUMMYFUNCTION("""COMPUTED_VALUE"""),"Arisara")</f>
        <v>Arisara</v>
      </c>
      <c r="D176" t="str">
        <f>IFERROR(__xludf.DUMMYFUNCTION("""COMPUTED_VALUE"""),"Nenchatee")</f>
        <v>Nenchatee</v>
      </c>
      <c r="E176" t="str">
        <f>IFERROR(__xludf.DUMMYFUNCTION("""COMPUTED_VALUE"""),"Arisara Nenchatee")</f>
        <v>Arisara Nenchatee</v>
      </c>
      <c r="F176" t="str">
        <f>IFERROR(__xludf.DUMMYFUNCTION("""COMPUTED_VALUE"""),"นางสาว")</f>
        <v>นางสาว</v>
      </c>
      <c r="G176" t="str">
        <f>IFERROR(__xludf.DUMMYFUNCTION("""COMPUTED_VALUE"""),"อริสรา")</f>
        <v>อริสรา</v>
      </c>
      <c r="H176" t="str">
        <f>IFERROR(__xludf.DUMMYFUNCTION("""COMPUTED_VALUE"""),"เณรจาที")</f>
        <v>เณรจาที</v>
      </c>
      <c r="I176" t="str">
        <f>IFERROR(__xludf.DUMMYFUNCTION("""COMPUTED_VALUE"""),"อริสรา เณรจาที")</f>
        <v>อริสรา เณรจาที</v>
      </c>
      <c r="J176" t="str">
        <f>IFERROR(__xludf.DUMMYFUNCTION("""COMPUTED_VALUE"""),"โบ")</f>
        <v>โบ</v>
      </c>
      <c r="K176" t="str">
        <f>IFERROR(__xludf.DUMMYFUNCTION("""COMPUTED_VALUE"""),"Senior Cabin Crew")</f>
        <v>Senior Cabin Crew</v>
      </c>
      <c r="L176" t="str">
        <f>IFERROR(__xludf.DUMMYFUNCTION("""COMPUTED_VALUE"""),"DMK")</f>
        <v>DMK</v>
      </c>
      <c r="M176" s="145" t="str">
        <f>IFERROR(__xludf.DUMMYFUNCTION("""COMPUTED_VALUE"""),"Nhui Home")</f>
        <v>Nhui Home</v>
      </c>
      <c r="N176" t="str">
        <f>IFERROR(__xludf.DUMMYFUNCTION("""COMPUTED_VALUE"""),"Active")</f>
        <v>Active</v>
      </c>
      <c r="P176" s="143">
        <f>IFERROR(__xludf.DUMMYFUNCTION("""COMPUTED_VALUE"""),31239.0)</f>
        <v>31239</v>
      </c>
      <c r="Q176" s="146" t="str">
        <f>IFERROR(__xludf.DUMMYFUNCTION("""COMPUTED_VALUE"""),"063-249-2897")</f>
        <v>063-249-2897</v>
      </c>
      <c r="R176" s="147" t="str">
        <f>IFERROR(__xludf.DUMMYFUNCTION("""COMPUTED_VALUE"""),"1720900-03-6470")</f>
        <v>1720900-03-6470</v>
      </c>
      <c r="S176" t="str">
        <f>IFERROR(__xludf.DUMMYFUNCTION("""COMPUTED_VALUE"""),"AC3862347")</f>
        <v>AC3862347</v>
      </c>
      <c r="T176" s="148">
        <f>IFERROR(__xludf.DUMMYFUNCTION("""COMPUTED_VALUE"""),44791.0)</f>
        <v>44791</v>
      </c>
      <c r="U176" s="148">
        <f>IFERROR(__xludf.DUMMYFUNCTION("""COMPUTED_VALUE"""),48443.0)</f>
        <v>48443</v>
      </c>
      <c r="V176" s="149">
        <f>IFERROR(__xludf.DUMMYFUNCTION("""COMPUTED_VALUE"""),48261.0)</f>
        <v>48261</v>
      </c>
      <c r="W176" t="str">
        <f>IFERROR(__xludf.DUMMYFUNCTION("""COMPUTED_VALUE"""),"ปลอดภัย")</f>
        <v>ปลอดภัย</v>
      </c>
      <c r="X176" t="str">
        <f>IFERROR(__xludf.DUMMYFUNCTION("""COMPUTED_VALUE"""),"Suphan Buri Province")</f>
        <v>Suphan Buri Province</v>
      </c>
      <c r="Y176" t="str">
        <f>IFERROR(__xludf.DUMMYFUNCTION("""COMPUTED_VALUE"""),"ลาดกระบัง")</f>
        <v>ลาดกระบัง</v>
      </c>
      <c r="Z176" t="str">
        <f>IFERROR(__xludf.DUMMYFUNCTION("""COMPUTED_VALUE"""),"085 6886681")</f>
        <v>085 6886681</v>
      </c>
      <c r="AA176" t="str">
        <f>IFERROR(__xludf.DUMMYFUNCTION("""COMPUTED_VALUE"""),"ไม่ระบุ")</f>
        <v>ไม่ระบุ</v>
      </c>
      <c r="AB176" t="str">
        <f>IFERROR(__xludf.DUMMYFUNCTION("""COMPUTED_VALUE"""),"arisaran@airasia.com")</f>
        <v>arisaran@airasia.com</v>
      </c>
    </row>
    <row r="177">
      <c r="A177">
        <f>IFERROR(__xludf.DUMMYFUNCTION("""COMPUTED_VALUE"""),1004450.0)</f>
        <v>1004450</v>
      </c>
      <c r="B177" t="str">
        <f>IFERROR(__xludf.DUMMYFUNCTION("""COMPUTED_VALUE"""),"Ms.")</f>
        <v>Ms.</v>
      </c>
      <c r="C177" t="str">
        <f>IFERROR(__xludf.DUMMYFUNCTION("""COMPUTED_VALUE"""),"Suthathip")</f>
        <v>Suthathip</v>
      </c>
      <c r="D177" t="str">
        <f>IFERROR(__xludf.DUMMYFUNCTION("""COMPUTED_VALUE"""),"Choosen")</f>
        <v>Choosen</v>
      </c>
      <c r="E177" t="str">
        <f>IFERROR(__xludf.DUMMYFUNCTION("""COMPUTED_VALUE"""),"Suthathip Choosen")</f>
        <v>Suthathip Choosen</v>
      </c>
      <c r="F177" t="str">
        <f>IFERROR(__xludf.DUMMYFUNCTION("""COMPUTED_VALUE"""),"นางสาว")</f>
        <v>นางสาว</v>
      </c>
      <c r="G177" t="str">
        <f>IFERROR(__xludf.DUMMYFUNCTION("""COMPUTED_VALUE"""),"สุธาทิพย์")</f>
        <v>สุธาทิพย์</v>
      </c>
      <c r="H177" t="str">
        <f>IFERROR(__xludf.DUMMYFUNCTION("""COMPUTED_VALUE"""),"ชูเสน")</f>
        <v>ชูเสน</v>
      </c>
      <c r="I177" t="str">
        <f>IFERROR(__xludf.DUMMYFUNCTION("""COMPUTED_VALUE"""),"สุธาทิพย์ ชูเสน")</f>
        <v>สุธาทิพย์ ชูเสน</v>
      </c>
      <c r="J177" t="str">
        <f>IFERROR(__xludf.DUMMYFUNCTION("""COMPUTED_VALUE"""),"เอฟ")</f>
        <v>เอฟ</v>
      </c>
      <c r="K177" t="str">
        <f>IFERROR(__xludf.DUMMYFUNCTION("""COMPUTED_VALUE"""),"Senior Cabin Crew - BKK")</f>
        <v>Senior Cabin Crew - BKK</v>
      </c>
      <c r="L177" t="str">
        <f>IFERROR(__xludf.DUMMYFUNCTION("""COMPUTED_VALUE"""),"BKK")</f>
        <v>BKK</v>
      </c>
      <c r="M177" s="145" t="str">
        <f>IFERROR(__xludf.DUMMYFUNCTION("""COMPUTED_VALUE"""),"Nhui Home")</f>
        <v>Nhui Home</v>
      </c>
      <c r="N177" t="str">
        <f>IFERROR(__xludf.DUMMYFUNCTION("""COMPUTED_VALUE"""),"Active/V/DMK")</f>
        <v>Active/V/DMK</v>
      </c>
      <c r="P177" s="143">
        <f>IFERROR(__xludf.DUMMYFUNCTION("""COMPUTED_VALUE"""),32354.0)</f>
        <v>32354</v>
      </c>
      <c r="Q177" s="146" t="str">
        <f>IFERROR(__xludf.DUMMYFUNCTION("""COMPUTED_VALUE"""),"061 939 4945")</f>
        <v>061 939 4945</v>
      </c>
      <c r="R177" s="147" t="str">
        <f>IFERROR(__xludf.DUMMYFUNCTION("""COMPUTED_VALUE"""),"1101401-36-7256")</f>
        <v>1101401-36-7256</v>
      </c>
      <c r="S177" t="str">
        <f>IFERROR(__xludf.DUMMYFUNCTION("""COMPUTED_VALUE"""),"AD2494743")</f>
        <v>AD2494743</v>
      </c>
      <c r="T177" s="148">
        <f>IFERROR(__xludf.DUMMYFUNCTION("""COMPUTED_VALUE"""),45950.0)</f>
        <v>45950</v>
      </c>
      <c r="U177" s="148">
        <f>IFERROR(__xludf.DUMMYFUNCTION("""COMPUTED_VALUE"""),47775.0)</f>
        <v>47775</v>
      </c>
      <c r="V177" s="149">
        <f>IFERROR(__xludf.DUMMYFUNCTION("""COMPUTED_VALUE"""),47592.0)</f>
        <v>47592</v>
      </c>
      <c r="W177" t="str">
        <f>IFERROR(__xludf.DUMMYFUNCTION("""COMPUTED_VALUE"""),"ปลอดภัย")</f>
        <v>ปลอดภัย</v>
      </c>
      <c r="X177" t="str">
        <f>IFERROR(__xludf.DUMMYFUNCTION("""COMPUTED_VALUE"""),"Bangkok")</f>
        <v>Bangkok</v>
      </c>
      <c r="Y177" t="str">
        <f>IFERROR(__xludf.DUMMYFUNCTION("""COMPUTED_VALUE"""),"ป้อมปราบศัตรูพ่าย")</f>
        <v>ป้อมปราบศัตรูพ่าย</v>
      </c>
      <c r="Z177" t="str">
        <f>IFERROR(__xludf.DUMMYFUNCTION("""COMPUTED_VALUE"""),"080 5505855")</f>
        <v>080 5505855</v>
      </c>
      <c r="AA177" t="str">
        <f>IFERROR(__xludf.DUMMYFUNCTION("""COMPUTED_VALUE"""),"ไม่ระบุ")</f>
        <v>ไม่ระบุ</v>
      </c>
      <c r="AB177" t="str">
        <f>IFERROR(__xludf.DUMMYFUNCTION("""COMPUTED_VALUE"""),"suthathipc@airasia.com")</f>
        <v>suthathipc@airasia.com</v>
      </c>
    </row>
    <row r="178">
      <c r="A178">
        <f>IFERROR(__xludf.DUMMYFUNCTION("""COMPUTED_VALUE"""),1004452.0)</f>
        <v>1004452</v>
      </c>
      <c r="B178" t="str">
        <f>IFERROR(__xludf.DUMMYFUNCTION("""COMPUTED_VALUE"""),"Ms.")</f>
        <v>Ms.</v>
      </c>
      <c r="C178" t="str">
        <f>IFERROR(__xludf.DUMMYFUNCTION("""COMPUTED_VALUE"""),"Torsang")</f>
        <v>Torsang</v>
      </c>
      <c r="D178" t="str">
        <f>IFERROR(__xludf.DUMMYFUNCTION("""COMPUTED_VALUE"""),"Supachaiyakit")</f>
        <v>Supachaiyakit</v>
      </c>
      <c r="E178" t="str">
        <f>IFERROR(__xludf.DUMMYFUNCTION("""COMPUTED_VALUE"""),"Torsang Supachaiyakit")</f>
        <v>Torsang Supachaiyakit</v>
      </c>
      <c r="F178" t="str">
        <f>IFERROR(__xludf.DUMMYFUNCTION("""COMPUTED_VALUE"""),"นางสาว")</f>
        <v>นางสาว</v>
      </c>
      <c r="G178" t="str">
        <f>IFERROR(__xludf.DUMMYFUNCTION("""COMPUTED_VALUE"""),"ทอแสง")</f>
        <v>ทอแสง</v>
      </c>
      <c r="H178" t="str">
        <f>IFERROR(__xludf.DUMMYFUNCTION("""COMPUTED_VALUE"""),"สุภาไชยกิจ")</f>
        <v>สุภาไชยกิจ</v>
      </c>
      <c r="I178" t="str">
        <f>IFERROR(__xludf.DUMMYFUNCTION("""COMPUTED_VALUE"""),"ทอแสง สุภาไชยกิจ")</f>
        <v>ทอแสง สุภาไชยกิจ</v>
      </c>
      <c r="J178" t="str">
        <f>IFERROR(__xludf.DUMMYFUNCTION("""COMPUTED_VALUE"""),"แจ่ม")</f>
        <v>แจ่ม</v>
      </c>
      <c r="K178" t="str">
        <f>IFERROR(__xludf.DUMMYFUNCTION("""COMPUTED_VALUE"""),"Cabin Crew")</f>
        <v>Cabin Crew</v>
      </c>
      <c r="L178" t="str">
        <f>IFERROR(__xludf.DUMMYFUNCTION("""COMPUTED_VALUE"""),"DMK")</f>
        <v>DMK</v>
      </c>
      <c r="M178" s="145" t="str">
        <f>IFERROR(__xludf.DUMMYFUNCTION("""COMPUTED_VALUE"""),"Um Home")</f>
        <v>Um Home</v>
      </c>
      <c r="N178" t="str">
        <f>IFERROR(__xludf.DUMMYFUNCTION("""COMPUTED_VALUE"""),"Active")</f>
        <v>Active</v>
      </c>
      <c r="P178" s="143">
        <f>IFERROR(__xludf.DUMMYFUNCTION("""COMPUTED_VALUE"""),30841.0)</f>
        <v>30841</v>
      </c>
      <c r="Q178" s="146" t="str">
        <f>IFERROR(__xludf.DUMMYFUNCTION("""COMPUTED_VALUE"""),"081 598 1253")</f>
        <v>081 598 1253</v>
      </c>
      <c r="R178" s="147" t="str">
        <f>IFERROR(__xludf.DUMMYFUNCTION("""COMPUTED_VALUE"""),"1739900-01-8941")</f>
        <v>1739900-01-8941</v>
      </c>
      <c r="S178" t="str">
        <f>IFERROR(__xludf.DUMMYFUNCTION("""COMPUTED_VALUE"""),"AC6967604")</f>
        <v>AC6967604</v>
      </c>
      <c r="T178" s="148">
        <f>IFERROR(__xludf.DUMMYFUNCTION("""COMPUTED_VALUE"""),45593.0)</f>
        <v>45593</v>
      </c>
      <c r="U178" s="148">
        <f>IFERROR(__xludf.DUMMYFUNCTION("""COMPUTED_VALUE"""),49244.0)</f>
        <v>49244</v>
      </c>
      <c r="V178" s="149">
        <f>IFERROR(__xludf.DUMMYFUNCTION("""COMPUTED_VALUE"""),49061.0)</f>
        <v>49061</v>
      </c>
      <c r="W178" t="str">
        <f>IFERROR(__xludf.DUMMYFUNCTION("""COMPUTED_VALUE"""),"ปลอดภัย")</f>
        <v>ปลอดภัย</v>
      </c>
      <c r="X178" t="str">
        <f>IFERROR(__xludf.DUMMYFUNCTION("""COMPUTED_VALUE"""),"Nakhon Pathom Province")</f>
        <v>Nakhon Pathom Province</v>
      </c>
      <c r="Y178" t="str">
        <f>IFERROR(__xludf.DUMMYFUNCTION("""COMPUTED_VALUE"""),"ดอนเมือง")</f>
        <v>ดอนเมือง</v>
      </c>
      <c r="Z178" t="str">
        <f>IFERROR(__xludf.DUMMYFUNCTION("""COMPUTED_VALUE"""),"081 5981253")</f>
        <v>081 5981253</v>
      </c>
      <c r="AA178" t="str">
        <f>IFERROR(__xludf.DUMMYFUNCTION("""COMPUTED_VALUE"""),"ไม่ระบุ")</f>
        <v>ไม่ระบุ</v>
      </c>
      <c r="AB178" t="str">
        <f>IFERROR(__xludf.DUMMYFUNCTION("""COMPUTED_VALUE"""),"torsangs@airasia.com")</f>
        <v>torsangs@airasia.com</v>
      </c>
    </row>
    <row r="179">
      <c r="AB179" t="str">
        <f>IFERROR(__xludf.DUMMYFUNCTION("""COMPUTED_VALUE"""),"")</f>
        <v/>
      </c>
    </row>
    <row r="180">
      <c r="A180">
        <f>IFERROR(__xludf.DUMMYFUNCTION("""COMPUTED_VALUE"""),1002207.0)</f>
        <v>1002207</v>
      </c>
      <c r="B180" t="str">
        <f>IFERROR(__xludf.DUMMYFUNCTION("""COMPUTED_VALUE"""),"Ms.")</f>
        <v>Ms.</v>
      </c>
      <c r="C180" t="str">
        <f>IFERROR(__xludf.DUMMYFUNCTION("""COMPUTED_VALUE"""),"Phakaon")</f>
        <v>Phakaon</v>
      </c>
      <c r="D180" t="str">
        <f>IFERROR(__xludf.DUMMYFUNCTION("""COMPUTED_VALUE"""),"Chaiwong")</f>
        <v>Chaiwong</v>
      </c>
      <c r="E180" t="str">
        <f>IFERROR(__xludf.DUMMYFUNCTION("""COMPUTED_VALUE"""),"Phakaon Chaiwong")</f>
        <v>Phakaon Chaiwong</v>
      </c>
      <c r="F180" t="str">
        <f>IFERROR(__xludf.DUMMYFUNCTION("""COMPUTED_VALUE"""),"นางสาว")</f>
        <v>นางสาว</v>
      </c>
      <c r="G180" t="str">
        <f>IFERROR(__xludf.DUMMYFUNCTION("""COMPUTED_VALUE"""),"ภคอร")</f>
        <v>ภคอร</v>
      </c>
      <c r="H180" t="str">
        <f>IFERROR(__xludf.DUMMYFUNCTION("""COMPUTED_VALUE"""),"ไชยวงศ์")</f>
        <v>ไชยวงศ์</v>
      </c>
      <c r="I180" t="str">
        <f>IFERROR(__xludf.DUMMYFUNCTION("""COMPUTED_VALUE"""),"ภคอร ไชยวงศ์")</f>
        <v>ภคอร ไชยวงศ์</v>
      </c>
      <c r="J180" t="str">
        <f>IFERROR(__xludf.DUMMYFUNCTION("""COMPUTED_VALUE"""),"จ๋า")</f>
        <v>จ๋า</v>
      </c>
      <c r="K180" t="str">
        <f>IFERROR(__xludf.DUMMYFUNCTION("""COMPUTED_VALUE"""),"Cabin Crew")</f>
        <v>Cabin Crew</v>
      </c>
      <c r="L180" t="str">
        <f>IFERROR(__xludf.DUMMYFUNCTION("""COMPUTED_VALUE"""),"DMK")</f>
        <v>DMK</v>
      </c>
      <c r="M180" s="145" t="str">
        <f>IFERROR(__xludf.DUMMYFUNCTION("""COMPUTED_VALUE"""),"Toffy Home")</f>
        <v>Toffy Home</v>
      </c>
      <c r="N180" t="str">
        <f>IFERROR(__xludf.DUMMYFUNCTION("""COMPUTED_VALUE"""),"Active")</f>
        <v>Active</v>
      </c>
      <c r="P180" s="143">
        <f>IFERROR(__xludf.DUMMYFUNCTION("""COMPUTED_VALUE"""),30648.0)</f>
        <v>30648</v>
      </c>
      <c r="Q180" s="146" t="str">
        <f>IFERROR(__xludf.DUMMYFUNCTION("""COMPUTED_VALUE"""),"062 245 6538")</f>
        <v>062 245 6538</v>
      </c>
      <c r="R180" s="147" t="str">
        <f>IFERROR(__xludf.DUMMYFUNCTION("""COMPUTED_VALUE"""),"3509901-12-0560")</f>
        <v>3509901-12-0560</v>
      </c>
      <c r="S180" t="str">
        <f>IFERROR(__xludf.DUMMYFUNCTION("""COMPUTED_VALUE"""),"AC2343114")</f>
        <v>AC2343114</v>
      </c>
      <c r="T180" s="148">
        <f>IFERROR(__xludf.DUMMYFUNCTION("""COMPUTED_VALUE"""),44385.0)</f>
        <v>44385</v>
      </c>
      <c r="U180" s="148">
        <f>IFERROR(__xludf.DUMMYFUNCTION("""COMPUTED_VALUE"""),48036.0)</f>
        <v>48036</v>
      </c>
      <c r="V180" s="149">
        <f>IFERROR(__xludf.DUMMYFUNCTION("""COMPUTED_VALUE"""),47855.0)</f>
        <v>47855</v>
      </c>
      <c r="W180" t="str">
        <f>IFERROR(__xludf.DUMMYFUNCTION("""COMPUTED_VALUE"""),"ปลอดภัย")</f>
        <v>ปลอดภัย</v>
      </c>
      <c r="X180" t="str">
        <f>IFERROR(__xludf.DUMMYFUNCTION("""COMPUTED_VALUE"""),"Bangkok")</f>
        <v>Bangkok</v>
      </c>
      <c r="Y180" t="str">
        <f>IFERROR(__xludf.DUMMYFUNCTION("""COMPUTED_VALUE"""),"บึงกุ่ม")</f>
        <v>บึงกุ่ม</v>
      </c>
      <c r="Z180" t="str">
        <f>IFERROR(__xludf.DUMMYFUNCTION("""COMPUTED_VALUE"""),"084 649 1991")</f>
        <v>084 649 1991</v>
      </c>
      <c r="AA180" t="str">
        <f>IFERROR(__xludf.DUMMYFUNCTION("""COMPUTED_VALUE"""),"ไม่ระบุ")</f>
        <v>ไม่ระบุ</v>
      </c>
      <c r="AB180" t="str">
        <f>IFERROR(__xludf.DUMMYFUNCTION("""COMPUTED_VALUE"""),"phakaonc@airasia.com")</f>
        <v>phakaonc@airasia.com</v>
      </c>
    </row>
    <row r="181">
      <c r="A181">
        <f>IFERROR(__xludf.DUMMYFUNCTION("""COMPUTED_VALUE"""),1003137.0)</f>
        <v>1003137</v>
      </c>
      <c r="B181" t="str">
        <f>IFERROR(__xludf.DUMMYFUNCTION("""COMPUTED_VALUE"""),"Ms.")</f>
        <v>Ms.</v>
      </c>
      <c r="C181" t="str">
        <f>IFERROR(__xludf.DUMMYFUNCTION("""COMPUTED_VALUE"""),"Patcharamai(Tanatorn)")</f>
        <v>Patcharamai(Tanatorn)</v>
      </c>
      <c r="D181" t="str">
        <f>IFERROR(__xludf.DUMMYFUNCTION("""COMPUTED_VALUE"""),"Udomphol")</f>
        <v>Udomphol</v>
      </c>
      <c r="E181" t="str">
        <f>IFERROR(__xludf.DUMMYFUNCTION("""COMPUTED_VALUE"""),"Patcharamai Udomphol")</f>
        <v>Patcharamai Udomphol</v>
      </c>
      <c r="F181" t="str">
        <f>IFERROR(__xludf.DUMMYFUNCTION("""COMPUTED_VALUE"""),"นางสาว")</f>
        <v>นางสาว</v>
      </c>
      <c r="G181" t="str">
        <f>IFERROR(__xludf.DUMMYFUNCTION("""COMPUTED_VALUE"""),"พัชรมัย (ธนัทอร)")</f>
        <v>พัชรมัย (ธนัทอร)</v>
      </c>
      <c r="H181" t="str">
        <f>IFERROR(__xludf.DUMMYFUNCTION("""COMPUTED_VALUE"""),"อุดมผล")</f>
        <v>อุดมผล</v>
      </c>
      <c r="I181" t="str">
        <f>IFERROR(__xludf.DUMMYFUNCTION("""COMPUTED_VALUE"""),"พัชรมัย อุดมผล")</f>
        <v>พัชรมัย อุดมผล</v>
      </c>
      <c r="J181" t="str">
        <f>IFERROR(__xludf.DUMMYFUNCTION("""COMPUTED_VALUE"""),"น้ำมนต์")</f>
        <v>น้ำมนต์</v>
      </c>
      <c r="K181" t="str">
        <f>IFERROR(__xludf.DUMMYFUNCTION("""COMPUTED_VALUE"""),"Senior Cabin Crew")</f>
        <v>Senior Cabin Crew</v>
      </c>
      <c r="L181" t="str">
        <f>IFERROR(__xludf.DUMMYFUNCTION("""COMPUTED_VALUE"""),"DMK")</f>
        <v>DMK</v>
      </c>
      <c r="M181" s="145" t="str">
        <f>IFERROR(__xludf.DUMMYFUNCTION("""COMPUTED_VALUE"""),"Up Home")</f>
        <v>Up Home</v>
      </c>
      <c r="N181" t="str">
        <f>IFERROR(__xludf.DUMMYFUNCTION("""COMPUTED_VALUE"""),"Active")</f>
        <v>Active</v>
      </c>
      <c r="P181" s="143">
        <f>IFERROR(__xludf.DUMMYFUNCTION("""COMPUTED_VALUE"""),31908.0)</f>
        <v>31908</v>
      </c>
      <c r="Q181" s="146" t="str">
        <f>IFERROR(__xludf.DUMMYFUNCTION("""COMPUTED_VALUE"""),"080-564-6365")</f>
        <v>080-564-6365</v>
      </c>
      <c r="R181" s="147" t="str">
        <f>IFERROR(__xludf.DUMMYFUNCTION("""COMPUTED_VALUE"""),"1101401-00-6636")</f>
        <v>1101401-00-6636</v>
      </c>
      <c r="S181" t="str">
        <f>IFERROR(__xludf.DUMMYFUNCTION("""COMPUTED_VALUE"""),"AC2479294")</f>
        <v>AC2479294</v>
      </c>
      <c r="T181" s="148">
        <f>IFERROR(__xludf.DUMMYFUNCTION("""COMPUTED_VALUE"""),44503.0)</f>
        <v>44503</v>
      </c>
      <c r="U181" s="148">
        <f>IFERROR(__xludf.DUMMYFUNCTION("""COMPUTED_VALUE"""),48154.0)</f>
        <v>48154</v>
      </c>
      <c r="V181" s="149">
        <f>IFERROR(__xludf.DUMMYFUNCTION("""COMPUTED_VALUE"""),47970.0)</f>
        <v>47970</v>
      </c>
      <c r="W181" t="str">
        <f>IFERROR(__xludf.DUMMYFUNCTION("""COMPUTED_VALUE"""),"ปลอดภัย")</f>
        <v>ปลอดภัย</v>
      </c>
      <c r="X181" t="str">
        <f>IFERROR(__xludf.DUMMYFUNCTION("""COMPUTED_VALUE"""),"Bangkok")</f>
        <v>Bangkok</v>
      </c>
      <c r="Y181" t="str">
        <f>IFERROR(__xludf.DUMMYFUNCTION("""COMPUTED_VALUE"""),"ลาดกระบัง")</f>
        <v>ลาดกระบัง</v>
      </c>
      <c r="Z181" t="str">
        <f>IFERROR(__xludf.DUMMYFUNCTION("""COMPUTED_VALUE"""),"! Update !")</f>
        <v>! Update !</v>
      </c>
      <c r="AA181" t="str">
        <f>IFERROR(__xludf.DUMMYFUNCTION("""COMPUTED_VALUE"""),"! Update !")</f>
        <v>! Update !</v>
      </c>
      <c r="AB181" t="str">
        <f>IFERROR(__xludf.DUMMYFUNCTION("""COMPUTED_VALUE"""),"patcharamaiu@airasia.com")</f>
        <v>patcharamaiu@airasia.com</v>
      </c>
    </row>
    <row r="182">
      <c r="A182">
        <f>IFERROR(__xludf.DUMMYFUNCTION("""COMPUTED_VALUE"""),1003145.0)</f>
        <v>1003145</v>
      </c>
      <c r="B182" t="str">
        <f>IFERROR(__xludf.DUMMYFUNCTION("""COMPUTED_VALUE"""),"Ms.")</f>
        <v>Ms.</v>
      </c>
      <c r="C182" t="str">
        <f>IFERROR(__xludf.DUMMYFUNCTION("""COMPUTED_VALUE"""),"Nonglak")</f>
        <v>Nonglak</v>
      </c>
      <c r="D182" t="str">
        <f>IFERROR(__xludf.DUMMYFUNCTION("""COMPUTED_VALUE"""),"Srimuang")</f>
        <v>Srimuang</v>
      </c>
      <c r="E182" t="str">
        <f>IFERROR(__xludf.DUMMYFUNCTION("""COMPUTED_VALUE"""),"Nonglak Srimuang")</f>
        <v>Nonglak Srimuang</v>
      </c>
      <c r="F182" t="str">
        <f>IFERROR(__xludf.DUMMYFUNCTION("""COMPUTED_VALUE"""),"นางสาว")</f>
        <v>นางสาว</v>
      </c>
      <c r="G182" t="str">
        <f>IFERROR(__xludf.DUMMYFUNCTION("""COMPUTED_VALUE"""),"นงลักษณ์")</f>
        <v>นงลักษณ์</v>
      </c>
      <c r="H182" t="str">
        <f>IFERROR(__xludf.DUMMYFUNCTION("""COMPUTED_VALUE"""),"ศรีเมือง")</f>
        <v>ศรีเมือง</v>
      </c>
      <c r="I182" t="str">
        <f>IFERROR(__xludf.DUMMYFUNCTION("""COMPUTED_VALUE"""),"นงลักษณ์ ศรีเมือง")</f>
        <v>นงลักษณ์ ศรีเมือง</v>
      </c>
      <c r="J182" t="str">
        <f>IFERROR(__xludf.DUMMYFUNCTION("""COMPUTED_VALUE"""),"เมย์")</f>
        <v>เมย์</v>
      </c>
      <c r="K182" t="str">
        <f>IFERROR(__xludf.DUMMYFUNCTION("""COMPUTED_VALUE"""),"Senior Cabin Crew - BKK")</f>
        <v>Senior Cabin Crew - BKK</v>
      </c>
      <c r="L182" t="str">
        <f>IFERROR(__xludf.DUMMYFUNCTION("""COMPUTED_VALUE"""),"BKK")</f>
        <v>BKK</v>
      </c>
      <c r="M182" s="145" t="str">
        <f>IFERROR(__xludf.DUMMYFUNCTION("""COMPUTED_VALUE"""),"Nhui Home")</f>
        <v>Nhui Home</v>
      </c>
      <c r="N182" t="str">
        <f>IFERROR(__xludf.DUMMYFUNCTION("""COMPUTED_VALUE"""),"Active")</f>
        <v>Active</v>
      </c>
      <c r="O182" t="str">
        <f>IFERROR(__xludf.DUMMYFUNCTION("""COMPUTED_VALUE"""),"SCC Line Checker 2025")</f>
        <v>SCC Line Checker 2025</v>
      </c>
      <c r="P182" s="143">
        <f>IFERROR(__xludf.DUMMYFUNCTION("""COMPUTED_VALUE"""),31964.0)</f>
        <v>31964</v>
      </c>
      <c r="Q182" s="146" t="str">
        <f>IFERROR(__xludf.DUMMYFUNCTION("""COMPUTED_VALUE"""),"085 578 9966")</f>
        <v>085 578 9966</v>
      </c>
      <c r="R182" s="147" t="str">
        <f>IFERROR(__xludf.DUMMYFUNCTION("""COMPUTED_VALUE"""),"1800100-10-9269")</f>
        <v>1800100-10-9269</v>
      </c>
      <c r="S182" t="str">
        <f>IFERROR(__xludf.DUMMYFUNCTION("""COMPUTED_VALUE"""),"AC5263036")</f>
        <v>AC5263036</v>
      </c>
      <c r="T182" s="148">
        <f>IFERROR(__xludf.DUMMYFUNCTION("""COMPUTED_VALUE"""),45112.0)</f>
        <v>45112</v>
      </c>
      <c r="U182" s="148">
        <f>IFERROR(__xludf.DUMMYFUNCTION("""COMPUTED_VALUE"""),48764.0)</f>
        <v>48764</v>
      </c>
      <c r="V182" s="149">
        <f>IFERROR(__xludf.DUMMYFUNCTION("""COMPUTED_VALUE"""),48583.0)</f>
        <v>48583</v>
      </c>
      <c r="W182" t="str">
        <f>IFERROR(__xludf.DUMMYFUNCTION("""COMPUTED_VALUE"""),"ปลอดภัย")</f>
        <v>ปลอดภัย</v>
      </c>
      <c r="X182" t="str">
        <f>IFERROR(__xludf.DUMMYFUNCTION("""COMPUTED_VALUE"""),"Nakhon Si Thammarat Province")</f>
        <v>Nakhon Si Thammarat Province</v>
      </c>
      <c r="Y182" t="str">
        <f>IFERROR(__xludf.DUMMYFUNCTION("""COMPUTED_VALUE"""),"ลาดกระบัง")</f>
        <v>ลาดกระบัง</v>
      </c>
      <c r="Z182" t="str">
        <f>IFERROR(__xludf.DUMMYFUNCTION("""COMPUTED_VALUE"""),"080 089 0553")</f>
        <v>080 089 0553</v>
      </c>
      <c r="AA182" t="str">
        <f>IFERROR(__xludf.DUMMYFUNCTION("""COMPUTED_VALUE"""),"ไม่ระบุ")</f>
        <v>ไม่ระบุ</v>
      </c>
      <c r="AB182" t="str">
        <f>IFERROR(__xludf.DUMMYFUNCTION("""COMPUTED_VALUE"""),"nonglaks@airasia.com")</f>
        <v>nonglaks@airasia.com</v>
      </c>
    </row>
    <row r="183">
      <c r="A183">
        <f>IFERROR(__xludf.DUMMYFUNCTION("""COMPUTED_VALUE"""),1003204.0)</f>
        <v>1003204</v>
      </c>
      <c r="B183" t="str">
        <f>IFERROR(__xludf.DUMMYFUNCTION("""COMPUTED_VALUE"""),"Ms.")</f>
        <v>Ms.</v>
      </c>
      <c r="C183" t="str">
        <f>IFERROR(__xludf.DUMMYFUNCTION("""COMPUTED_VALUE"""),"Padiporn")</f>
        <v>Padiporn</v>
      </c>
      <c r="D183" t="str">
        <f>IFERROR(__xludf.DUMMYFUNCTION("""COMPUTED_VALUE"""),"Phopeng")</f>
        <v>Phopeng</v>
      </c>
      <c r="E183" t="str">
        <f>IFERROR(__xludf.DUMMYFUNCTION("""COMPUTED_VALUE"""),"Padiporn Phopeng")</f>
        <v>Padiporn Phopeng</v>
      </c>
      <c r="F183" t="str">
        <f>IFERROR(__xludf.DUMMYFUNCTION("""COMPUTED_VALUE"""),"นางสาว")</f>
        <v>นางสาว</v>
      </c>
      <c r="G183" t="str">
        <f>IFERROR(__xludf.DUMMYFUNCTION("""COMPUTED_VALUE"""),"ปฎิภรณ์")</f>
        <v>ปฎิภรณ์</v>
      </c>
      <c r="H183" t="str">
        <f>IFERROR(__xludf.DUMMYFUNCTION("""COMPUTED_VALUE"""),"โพธิ์เพ็ง")</f>
        <v>โพธิ์เพ็ง</v>
      </c>
      <c r="I183" t="str">
        <f>IFERROR(__xludf.DUMMYFUNCTION("""COMPUTED_VALUE"""),"ปฎิภรณ์ โพธิ์เพ็ง")</f>
        <v>ปฎิภรณ์ โพธิ์เพ็ง</v>
      </c>
      <c r="J183" t="str">
        <f>IFERROR(__xludf.DUMMYFUNCTION("""COMPUTED_VALUE"""),"กิ๊ฟ")</f>
        <v>กิ๊ฟ</v>
      </c>
      <c r="K183" t="str">
        <f>IFERROR(__xludf.DUMMYFUNCTION("""COMPUTED_VALUE"""),"Senior Cabin Crew")</f>
        <v>Senior Cabin Crew</v>
      </c>
      <c r="L183" t="str">
        <f>IFERROR(__xludf.DUMMYFUNCTION("""COMPUTED_VALUE"""),"DMK")</f>
        <v>DMK</v>
      </c>
      <c r="M183" s="145" t="str">
        <f>IFERROR(__xludf.DUMMYFUNCTION("""COMPUTED_VALUE"""),"Um Home")</f>
        <v>Um Home</v>
      </c>
      <c r="N183" t="str">
        <f>IFERROR(__xludf.DUMMYFUNCTION("""COMPUTED_VALUE"""),"Active")</f>
        <v>Active</v>
      </c>
      <c r="P183" s="143">
        <f>IFERROR(__xludf.DUMMYFUNCTION("""COMPUTED_VALUE"""),31443.0)</f>
        <v>31443</v>
      </c>
      <c r="Q183" s="146" t="str">
        <f>IFERROR(__xludf.DUMMYFUNCTION("""COMPUTED_VALUE"""),"089 214 2294")</f>
        <v>089 214 2294</v>
      </c>
      <c r="R183" s="147" t="str">
        <f>IFERROR(__xludf.DUMMYFUNCTION("""COMPUTED_VALUE"""),"1411990-00-0031")</f>
        <v>1411990-00-0031</v>
      </c>
      <c r="S183" t="str">
        <f>IFERROR(__xludf.DUMMYFUNCTION("""COMPUTED_VALUE"""),"AD1206294")</f>
        <v>AD1206294</v>
      </c>
      <c r="T183" s="148">
        <f>IFERROR(__xludf.DUMMYFUNCTION("""COMPUTED_VALUE"""),45690.0)</f>
        <v>45690</v>
      </c>
      <c r="U183" s="148">
        <f>IFERROR(__xludf.DUMMYFUNCTION("""COMPUTED_VALUE"""),48976.0)</f>
        <v>48976</v>
      </c>
      <c r="V183" s="149">
        <f>IFERROR(__xludf.DUMMYFUNCTION("""COMPUTED_VALUE"""),48792.0)</f>
        <v>48792</v>
      </c>
      <c r="W183" t="str">
        <f>IFERROR(__xludf.DUMMYFUNCTION("""COMPUTED_VALUE"""),"ปลอดภัย")</f>
        <v>ปลอดภัย</v>
      </c>
      <c r="X183" t="str">
        <f>IFERROR(__xludf.DUMMYFUNCTION("""COMPUTED_VALUE"""),"Uthai Thani Province")</f>
        <v>Uthai Thani Province</v>
      </c>
      <c r="Y183" t="str">
        <f>IFERROR(__xludf.DUMMYFUNCTION("""COMPUTED_VALUE"""),"ลาดกระบัง")</f>
        <v>ลาดกระบัง</v>
      </c>
      <c r="Z183" t="str">
        <f>IFERROR(__xludf.DUMMYFUNCTION("""COMPUTED_VALUE"""),"! Update !")</f>
        <v>! Update !</v>
      </c>
      <c r="AA183" t="str">
        <f>IFERROR(__xludf.DUMMYFUNCTION("""COMPUTED_VALUE"""),"! Update !")</f>
        <v>! Update !</v>
      </c>
      <c r="AB183" t="str">
        <f>IFERROR(__xludf.DUMMYFUNCTION("""COMPUTED_VALUE"""),"padipornp@airasia.com")</f>
        <v>padipornp@airasia.com</v>
      </c>
    </row>
    <row r="184">
      <c r="A184">
        <f>IFERROR(__xludf.DUMMYFUNCTION("""COMPUTED_VALUE"""),1004530.0)</f>
        <v>1004530</v>
      </c>
      <c r="B184" t="str">
        <f>IFERROR(__xludf.DUMMYFUNCTION("""COMPUTED_VALUE"""),"Ms.")</f>
        <v>Ms.</v>
      </c>
      <c r="C184" t="str">
        <f>IFERROR(__xludf.DUMMYFUNCTION("""COMPUTED_VALUE"""),"Nadlada")</f>
        <v>Nadlada</v>
      </c>
      <c r="D184" t="str">
        <f>IFERROR(__xludf.DUMMYFUNCTION("""COMPUTED_VALUE"""),"Sutham")</f>
        <v>Sutham</v>
      </c>
      <c r="E184" t="str">
        <f>IFERROR(__xludf.DUMMYFUNCTION("""COMPUTED_VALUE"""),"Nadlada Sutham")</f>
        <v>Nadlada Sutham</v>
      </c>
      <c r="F184" t="str">
        <f>IFERROR(__xludf.DUMMYFUNCTION("""COMPUTED_VALUE"""),"นางสาว")</f>
        <v>นางสาว</v>
      </c>
      <c r="G184" t="str">
        <f>IFERROR(__xludf.DUMMYFUNCTION("""COMPUTED_VALUE"""),"นาฎลดา")</f>
        <v>นาฎลดา</v>
      </c>
      <c r="H184" t="str">
        <f>IFERROR(__xludf.DUMMYFUNCTION("""COMPUTED_VALUE"""),"สุธรรม")</f>
        <v>สุธรรม</v>
      </c>
      <c r="I184" t="str">
        <f>IFERROR(__xludf.DUMMYFUNCTION("""COMPUTED_VALUE"""),"นาฎลดา สุธรรม")</f>
        <v>นาฎลดา สุธรรม</v>
      </c>
      <c r="J184" t="str">
        <f>IFERROR(__xludf.DUMMYFUNCTION("""COMPUTED_VALUE"""),"จอย")</f>
        <v>จอย</v>
      </c>
      <c r="K184" t="str">
        <f>IFERROR(__xludf.DUMMYFUNCTION("""COMPUTED_VALUE"""),"Senior Cabin Crew - CNX")</f>
        <v>Senior Cabin Crew - CNX</v>
      </c>
      <c r="L184" t="str">
        <f>IFERROR(__xludf.DUMMYFUNCTION("""COMPUTED_VALUE"""),"CNX")</f>
        <v>CNX</v>
      </c>
      <c r="M184" s="145" t="str">
        <f>IFERROR(__xludf.DUMMYFUNCTION("""COMPUTED_VALUE"""),"Up Home")</f>
        <v>Up Home</v>
      </c>
      <c r="N184" t="str">
        <f>IFERROR(__xludf.DUMMYFUNCTION("""COMPUTED_VALUE"""),"Active")</f>
        <v>Active</v>
      </c>
      <c r="O184" t="str">
        <f>IFERROR(__xludf.DUMMYFUNCTION("""COMPUTED_VALUE"""),"SCC Line Checker 2025")</f>
        <v>SCC Line Checker 2025</v>
      </c>
      <c r="P184" s="143">
        <f>IFERROR(__xludf.DUMMYFUNCTION("""COMPUTED_VALUE"""),30145.0)</f>
        <v>30145</v>
      </c>
      <c r="Q184" s="146" t="str">
        <f>IFERROR(__xludf.DUMMYFUNCTION("""COMPUTED_VALUE"""),"081 664 6622")</f>
        <v>081 664 6622</v>
      </c>
      <c r="R184" s="147" t="str">
        <f>IFERROR(__xludf.DUMMYFUNCTION("""COMPUTED_VALUE"""),"3540600-39-3038")</f>
        <v>3540600-39-3038</v>
      </c>
      <c r="S184" t="str">
        <f>IFERROR(__xludf.DUMMYFUNCTION("""COMPUTED_VALUE"""),"AC2666336")</f>
        <v>AC2666336</v>
      </c>
      <c r="T184" s="148">
        <f>IFERROR(__xludf.DUMMYFUNCTION("""COMPUTED_VALUE"""),44572.0)</f>
        <v>44572</v>
      </c>
      <c r="U184" s="148">
        <f>IFERROR(__xludf.DUMMYFUNCTION("""COMPUTED_VALUE"""),48223.0)</f>
        <v>48223</v>
      </c>
      <c r="V184" s="149">
        <f>IFERROR(__xludf.DUMMYFUNCTION("""COMPUTED_VALUE"""),48039.0)</f>
        <v>48039</v>
      </c>
      <c r="W184" t="str">
        <f>IFERROR(__xludf.DUMMYFUNCTION("""COMPUTED_VALUE"""),"ปลอดภัย")</f>
        <v>ปลอดภัย</v>
      </c>
      <c r="X184" t="str">
        <f>IFERROR(__xludf.DUMMYFUNCTION("""COMPUTED_VALUE"""),"Phrae Province")</f>
        <v>Phrae Province</v>
      </c>
      <c r="Y184" t="str">
        <f>IFERROR(__xludf.DUMMYFUNCTION("""COMPUTED_VALUE"""),"ร่มเกล้า")</f>
        <v>ร่มเกล้า</v>
      </c>
      <c r="Z184" t="str">
        <f>IFERROR(__xludf.DUMMYFUNCTION("""COMPUTED_VALUE"""),"081 664 6622")</f>
        <v>081 664 6622</v>
      </c>
      <c r="AA184" t="str">
        <f>IFERROR(__xludf.DUMMYFUNCTION("""COMPUTED_VALUE"""),"ไม่ระบุ")</f>
        <v>ไม่ระบุ</v>
      </c>
      <c r="AB184" t="str">
        <f>IFERROR(__xludf.DUMMYFUNCTION("""COMPUTED_VALUE"""),"nadladas@airasia.com")</f>
        <v>nadladas@airasia.com</v>
      </c>
    </row>
    <row r="185">
      <c r="A185">
        <f>IFERROR(__xludf.DUMMYFUNCTION("""COMPUTED_VALUE"""),1004531.0)</f>
        <v>1004531</v>
      </c>
      <c r="B185" t="str">
        <f>IFERROR(__xludf.DUMMYFUNCTION("""COMPUTED_VALUE"""),"Ms.")</f>
        <v>Ms.</v>
      </c>
      <c r="C185" t="str">
        <f>IFERROR(__xludf.DUMMYFUNCTION("""COMPUTED_VALUE"""),"Nattakan")</f>
        <v>Nattakan</v>
      </c>
      <c r="D185" t="str">
        <f>IFERROR(__xludf.DUMMYFUNCTION("""COMPUTED_VALUE"""),"Kanokpantarakorn (Meesat)")</f>
        <v>Kanokpantarakorn (Meesat)</v>
      </c>
      <c r="E185" t="str">
        <f>IFERROR(__xludf.DUMMYFUNCTION("""COMPUTED_VALUE"""),"Nattakan Kanokpantarakorn ")</f>
        <v>Nattakan Kanokpantarakorn </v>
      </c>
      <c r="F185" t="str">
        <f>IFERROR(__xludf.DUMMYFUNCTION("""COMPUTED_VALUE"""),"นางสาว")</f>
        <v>นางสาว</v>
      </c>
      <c r="G185" t="str">
        <f>IFERROR(__xludf.DUMMYFUNCTION("""COMPUTED_VALUE"""),"ณัฐกานต์")</f>
        <v>ณัฐกานต์</v>
      </c>
      <c r="H185" t="str">
        <f>IFERROR(__xludf.DUMMYFUNCTION("""COMPUTED_VALUE"""),"กนกพันธุ์ธรากร (มีสัตย์)")</f>
        <v>กนกพันธุ์ธรากร (มีสัตย์)</v>
      </c>
      <c r="I185" t="str">
        <f>IFERROR(__xludf.DUMMYFUNCTION("""COMPUTED_VALUE"""),"ณัฐกานต์ กนกพันธุ์ธรากร")</f>
        <v>ณัฐกานต์ กนกพันธุ์ธรากร</v>
      </c>
      <c r="J185" t="str">
        <f>IFERROR(__xludf.DUMMYFUNCTION("""COMPUTED_VALUE"""),"เอม")</f>
        <v>เอม</v>
      </c>
      <c r="K185" t="str">
        <f>IFERROR(__xludf.DUMMYFUNCTION("""COMPUTED_VALUE"""),"Cabin Crew")</f>
        <v>Cabin Crew</v>
      </c>
      <c r="L185" t="str">
        <f>IFERROR(__xludf.DUMMYFUNCTION("""COMPUTED_VALUE"""),"DMK")</f>
        <v>DMK</v>
      </c>
      <c r="M185" s="145" t="str">
        <f>IFERROR(__xludf.DUMMYFUNCTION("""COMPUTED_VALUE"""),"Up Home")</f>
        <v>Up Home</v>
      </c>
      <c r="N185" t="str">
        <f>IFERROR(__xludf.DUMMYFUNCTION("""COMPUTED_VALUE"""),"Active")</f>
        <v>Active</v>
      </c>
      <c r="P185" s="143">
        <f>IFERROR(__xludf.DUMMYFUNCTION("""COMPUTED_VALUE"""),32024.0)</f>
        <v>32024</v>
      </c>
      <c r="Q185" s="146" t="str">
        <f>IFERROR(__xludf.DUMMYFUNCTION("""COMPUTED_VALUE"""),"081 882 3382")</f>
        <v>081 882 3382</v>
      </c>
      <c r="R185" s="147" t="str">
        <f>IFERROR(__xludf.DUMMYFUNCTION("""COMPUTED_VALUE"""),"1509900-52-2099")</f>
        <v>1509900-52-2099</v>
      </c>
      <c r="S185" t="str">
        <f>IFERROR(__xludf.DUMMYFUNCTION("""COMPUTED_VALUE"""),"AC7066904")</f>
        <v>AC7066904</v>
      </c>
      <c r="T185" s="148">
        <f>IFERROR(__xludf.DUMMYFUNCTION("""COMPUTED_VALUE"""),45545.0)</f>
        <v>45545</v>
      </c>
      <c r="U185" s="148">
        <f>IFERROR(__xludf.DUMMYFUNCTION("""COMPUTED_VALUE"""),49196.0)</f>
        <v>49196</v>
      </c>
      <c r="V185" s="149">
        <f>IFERROR(__xludf.DUMMYFUNCTION("""COMPUTED_VALUE"""),49012.0)</f>
        <v>49012</v>
      </c>
      <c r="W185" t="str">
        <f>IFERROR(__xludf.DUMMYFUNCTION("""COMPUTED_VALUE"""),"ปลอดภัย")</f>
        <v>ปลอดภัย</v>
      </c>
      <c r="X185" t="str">
        <f>IFERROR(__xludf.DUMMYFUNCTION("""COMPUTED_VALUE"""),"Chiang Mai Province")</f>
        <v>Chiang Mai Province</v>
      </c>
      <c r="Y185" t="str">
        <f>IFERROR(__xludf.DUMMYFUNCTION("""COMPUTED_VALUE"""),"บางนา")</f>
        <v>บางนา</v>
      </c>
      <c r="Z185" t="str">
        <f>IFERROR(__xludf.DUMMYFUNCTION("""COMPUTED_VALUE"""),"081 882 3382")</f>
        <v>081 882 3382</v>
      </c>
      <c r="AA185" t="str">
        <f>IFERROR(__xludf.DUMMYFUNCTION("""COMPUTED_VALUE"""),"ไม่ระบุ")</f>
        <v>ไม่ระบุ</v>
      </c>
      <c r="AB185" t="str">
        <f>IFERROR(__xludf.DUMMYFUNCTION("""COMPUTED_VALUE"""),"nattakankan@airasia.com")</f>
        <v>nattakankan@airasia.com</v>
      </c>
    </row>
    <row r="186">
      <c r="A186">
        <f>IFERROR(__xludf.DUMMYFUNCTION("""COMPUTED_VALUE"""),1004532.0)</f>
        <v>1004532</v>
      </c>
      <c r="B186" t="str">
        <f>IFERROR(__xludf.DUMMYFUNCTION("""COMPUTED_VALUE"""),"Ms.")</f>
        <v>Ms.</v>
      </c>
      <c r="C186" t="str">
        <f>IFERROR(__xludf.DUMMYFUNCTION("""COMPUTED_VALUE"""),"Nichakan")</f>
        <v>Nichakan</v>
      </c>
      <c r="D186" t="str">
        <f>IFERROR(__xludf.DUMMYFUNCTION("""COMPUTED_VALUE"""),"Preeprem")</f>
        <v>Preeprem</v>
      </c>
      <c r="E186" t="str">
        <f>IFERROR(__xludf.DUMMYFUNCTION("""COMPUTED_VALUE"""),"Nichakan Preeprem")</f>
        <v>Nichakan Preeprem</v>
      </c>
      <c r="F186" t="str">
        <f>IFERROR(__xludf.DUMMYFUNCTION("""COMPUTED_VALUE"""),"นางสาว")</f>
        <v>นางสาว</v>
      </c>
      <c r="G186" t="str">
        <f>IFERROR(__xludf.DUMMYFUNCTION("""COMPUTED_VALUE"""),"ณิชกานต์")</f>
        <v>ณิชกานต์</v>
      </c>
      <c r="H186" t="str">
        <f>IFERROR(__xludf.DUMMYFUNCTION("""COMPUTED_VALUE"""),"ปรีเปรม")</f>
        <v>ปรีเปรม</v>
      </c>
      <c r="I186" t="str">
        <f>IFERROR(__xludf.DUMMYFUNCTION("""COMPUTED_VALUE"""),"ณิชกานต์ ปรีเปรม")</f>
        <v>ณิชกานต์ ปรีเปรม</v>
      </c>
      <c r="J186" t="str">
        <f>IFERROR(__xludf.DUMMYFUNCTION("""COMPUTED_VALUE"""),"ซี")</f>
        <v>ซี</v>
      </c>
      <c r="K186" t="str">
        <f>IFERROR(__xludf.DUMMYFUNCTION("""COMPUTED_VALUE"""),"Senior Cabin Crew")</f>
        <v>Senior Cabin Crew</v>
      </c>
      <c r="L186" t="str">
        <f>IFERROR(__xludf.DUMMYFUNCTION("""COMPUTED_VALUE"""),"DMK")</f>
        <v>DMK</v>
      </c>
      <c r="M186" s="145" t="str">
        <f>IFERROR(__xludf.DUMMYFUNCTION("""COMPUTED_VALUE"""),"Por+ Home")</f>
        <v>Por+ Home</v>
      </c>
      <c r="N186" t="str">
        <f>IFERROR(__xludf.DUMMYFUNCTION("""COMPUTED_VALUE"""),"Active")</f>
        <v>Active</v>
      </c>
      <c r="O186" t="str">
        <f>IFERROR(__xludf.DUMMYFUNCTION("""COMPUTED_VALUE"""),"SCC Line Checker 2025")</f>
        <v>SCC Line Checker 2025</v>
      </c>
      <c r="P186" s="143">
        <f>IFERROR(__xludf.DUMMYFUNCTION("""COMPUTED_VALUE"""),30169.0)</f>
        <v>30169</v>
      </c>
      <c r="Q186" s="146" t="str">
        <f>IFERROR(__xludf.DUMMYFUNCTION("""COMPUTED_VALUE"""),"091 429 6249")</f>
        <v>091 429 6249</v>
      </c>
      <c r="R186" s="147" t="str">
        <f>IFERROR(__xludf.DUMMYFUNCTION("""COMPUTED_VALUE"""),"3100502-92-2692")</f>
        <v>3100502-92-2692</v>
      </c>
      <c r="S186" t="str">
        <f>IFERROR(__xludf.DUMMYFUNCTION("""COMPUTED_VALUE"""),"AC5442033")</f>
        <v>AC5442033</v>
      </c>
      <c r="T186" s="148">
        <f>IFERROR(__xludf.DUMMYFUNCTION("""COMPUTED_VALUE"""),45132.0)</f>
        <v>45132</v>
      </c>
      <c r="U186" s="148">
        <f>IFERROR(__xludf.DUMMYFUNCTION("""COMPUTED_VALUE"""),48784.0)</f>
        <v>48784</v>
      </c>
      <c r="V186" s="149">
        <f>IFERROR(__xludf.DUMMYFUNCTION("""COMPUTED_VALUE"""),48603.0)</f>
        <v>48603</v>
      </c>
      <c r="W186" t="str">
        <f>IFERROR(__xludf.DUMMYFUNCTION("""COMPUTED_VALUE"""),"ปลอดภัย")</f>
        <v>ปลอดภัย</v>
      </c>
      <c r="X186" t="str">
        <f>IFERROR(__xludf.DUMMYFUNCTION("""COMPUTED_VALUE"""),"Bangkok")</f>
        <v>Bangkok</v>
      </c>
      <c r="Y186" t="str">
        <f>IFERROR(__xludf.DUMMYFUNCTION("""COMPUTED_VALUE"""),"BKK")</f>
        <v>BKK</v>
      </c>
      <c r="Z186" t="str">
        <f>IFERROR(__xludf.DUMMYFUNCTION("""COMPUTED_VALUE"""),"! Update !")</f>
        <v>! Update !</v>
      </c>
      <c r="AA186" t="str">
        <f>IFERROR(__xludf.DUMMYFUNCTION("""COMPUTED_VALUE"""),"! Update !")</f>
        <v>! Update !</v>
      </c>
      <c r="AB186" t="str">
        <f>IFERROR(__xludf.DUMMYFUNCTION("""COMPUTED_VALUE"""),"nichakanp@airasia.com")</f>
        <v>nichakanp@airasia.com</v>
      </c>
    </row>
    <row r="187">
      <c r="A187">
        <f>IFERROR(__xludf.DUMMYFUNCTION("""COMPUTED_VALUE"""),1004534.0)</f>
        <v>1004534</v>
      </c>
      <c r="B187" t="str">
        <f>IFERROR(__xludf.DUMMYFUNCTION("""COMPUTED_VALUE"""),"Ms.")</f>
        <v>Ms.</v>
      </c>
      <c r="C187" t="str">
        <f>IFERROR(__xludf.DUMMYFUNCTION("""COMPUTED_VALUE"""),"Omjai")</f>
        <v>Omjai</v>
      </c>
      <c r="D187" t="str">
        <f>IFERROR(__xludf.DUMMYFUNCTION("""COMPUTED_VALUE"""),"Chuchaisangrat (Sangkaew)")</f>
        <v>Chuchaisangrat (Sangkaew)</v>
      </c>
      <c r="E187" t="str">
        <f>IFERROR(__xludf.DUMMYFUNCTION("""COMPUTED_VALUE"""),"Omjai Chuchaisangrat")</f>
        <v>Omjai Chuchaisangrat</v>
      </c>
      <c r="F187" t="str">
        <f>IFERROR(__xludf.DUMMYFUNCTION("""COMPUTED_VALUE"""),"นางสาว")</f>
        <v>นางสาว</v>
      </c>
      <c r="G187" t="str">
        <f>IFERROR(__xludf.DUMMYFUNCTION("""COMPUTED_VALUE"""),"ออมใจ")</f>
        <v>ออมใจ</v>
      </c>
      <c r="H187" t="str">
        <f>IFERROR(__xludf.DUMMYFUNCTION("""COMPUTED_VALUE"""),"แสงแก้ว")</f>
        <v>แสงแก้ว</v>
      </c>
      <c r="I187" t="str">
        <f>IFERROR(__xludf.DUMMYFUNCTION("""COMPUTED_VALUE"""),"ออมใจ แสงแก้ว")</f>
        <v>ออมใจ แสงแก้ว</v>
      </c>
      <c r="J187" t="str">
        <f>IFERROR(__xludf.DUMMYFUNCTION("""COMPUTED_VALUE"""),"ออม")</f>
        <v>ออม</v>
      </c>
      <c r="K187" t="str">
        <f>IFERROR(__xludf.DUMMYFUNCTION("""COMPUTED_VALUE"""),"Cabin Crew - BKK")</f>
        <v>Cabin Crew - BKK</v>
      </c>
      <c r="L187" t="str">
        <f>IFERROR(__xludf.DUMMYFUNCTION("""COMPUTED_VALUE"""),"BKK")</f>
        <v>BKK</v>
      </c>
      <c r="M187" s="145" t="str">
        <f>IFERROR(__xludf.DUMMYFUNCTION("""COMPUTED_VALUE"""),"Nhui Home")</f>
        <v>Nhui Home</v>
      </c>
      <c r="N187" t="str">
        <f>IFERROR(__xludf.DUMMYFUNCTION("""COMPUTED_VALUE"""),"Active")</f>
        <v>Active</v>
      </c>
      <c r="P187" s="143">
        <f>IFERROR(__xludf.DUMMYFUNCTION("""COMPUTED_VALUE"""),30904.0)</f>
        <v>30904</v>
      </c>
      <c r="Q187" s="146" t="str">
        <f>IFERROR(__xludf.DUMMYFUNCTION("""COMPUTED_VALUE"""),"095 951 2814")</f>
        <v>095 951 2814</v>
      </c>
      <c r="R187" s="147" t="str">
        <f>IFERROR(__xludf.DUMMYFUNCTION("""COMPUTED_VALUE"""),"1101400-20-3403")</f>
        <v>1101400-20-3403</v>
      </c>
      <c r="S187" t="str">
        <f>IFERROR(__xludf.DUMMYFUNCTION("""COMPUTED_VALUE"""),"AC3160812")</f>
        <v>AC3160812</v>
      </c>
      <c r="T187" s="148">
        <f>IFERROR(__xludf.DUMMYFUNCTION("""COMPUTED_VALUE"""),44701.0)</f>
        <v>44701</v>
      </c>
      <c r="U187" s="148">
        <f>IFERROR(__xludf.DUMMYFUNCTION("""COMPUTED_VALUE"""),48353.0)</f>
        <v>48353</v>
      </c>
      <c r="V187" s="149">
        <f>IFERROR(__xludf.DUMMYFUNCTION("""COMPUTED_VALUE"""),48171.0)</f>
        <v>48171</v>
      </c>
      <c r="W187" t="str">
        <f>IFERROR(__xludf.DUMMYFUNCTION("""COMPUTED_VALUE"""),"ปลอดภัย")</f>
        <v>ปลอดภัย</v>
      </c>
      <c r="X187" t="str">
        <f>IFERROR(__xludf.DUMMYFUNCTION("""COMPUTED_VALUE"""),"Bangkok")</f>
        <v>Bangkok</v>
      </c>
      <c r="Y187" t="str">
        <f>IFERROR(__xludf.DUMMYFUNCTION("""COMPUTED_VALUE"""),"ประเวศ")</f>
        <v>ประเวศ</v>
      </c>
      <c r="Z187" t="str">
        <f>IFERROR(__xludf.DUMMYFUNCTION("""COMPUTED_VALUE"""),"081 3617312")</f>
        <v>081 3617312</v>
      </c>
      <c r="AA187" t="str">
        <f>IFERROR(__xludf.DUMMYFUNCTION("""COMPUTED_VALUE"""),"ไม่ระบุ")</f>
        <v>ไม่ระบุ</v>
      </c>
      <c r="AB187" t="str">
        <f>IFERROR(__xludf.DUMMYFUNCTION("""COMPUTED_VALUE"""),"omjaic@airasia.com")</f>
        <v>omjaic@airasia.com</v>
      </c>
    </row>
    <row r="188">
      <c r="A188">
        <f>IFERROR(__xludf.DUMMYFUNCTION("""COMPUTED_VALUE"""),1004536.0)</f>
        <v>1004536</v>
      </c>
      <c r="B188" t="str">
        <f>IFERROR(__xludf.DUMMYFUNCTION("""COMPUTED_VALUE"""),"Mr.")</f>
        <v>Mr.</v>
      </c>
      <c r="C188" t="str">
        <f>IFERROR(__xludf.DUMMYFUNCTION("""COMPUTED_VALUE"""),"Rathawit (Chanin)")</f>
        <v>Rathawit (Chanin)</v>
      </c>
      <c r="D188" t="str">
        <f>IFERROR(__xludf.DUMMYFUNCTION("""COMPUTED_VALUE"""),"Vachirasittapong (Intrachot)")</f>
        <v>Vachirasittapong (Intrachot)</v>
      </c>
      <c r="E188" t="str">
        <f>IFERROR(__xludf.DUMMYFUNCTION("""COMPUTED_VALUE"""),"Rathawit Vachirasittapong")</f>
        <v>Rathawit Vachirasittapong</v>
      </c>
      <c r="F188" t="str">
        <f>IFERROR(__xludf.DUMMYFUNCTION("""COMPUTED_VALUE"""),"นาย")</f>
        <v>นาย</v>
      </c>
      <c r="G188" t="str">
        <f>IFERROR(__xludf.DUMMYFUNCTION("""COMPUTED_VALUE"""),"รัฐวิชญ์(ชนินทร์)")</f>
        <v>รัฐวิชญ์(ชนินทร์)</v>
      </c>
      <c r="H188" t="str">
        <f>IFERROR(__xludf.DUMMYFUNCTION("""COMPUTED_VALUE"""),"วชิระสิทธาพงศ์ (อินทโชติ)")</f>
        <v>วชิระสิทธาพงศ์ (อินทโชติ)</v>
      </c>
      <c r="I188" t="str">
        <f>IFERROR(__xludf.DUMMYFUNCTION("""COMPUTED_VALUE"""),"รัฐวิชญ์ วชิระสิทธาพงศ์")</f>
        <v>รัฐวิชญ์ วชิระสิทธาพงศ์</v>
      </c>
      <c r="J188" t="str">
        <f>IFERROR(__xludf.DUMMYFUNCTION("""COMPUTED_VALUE"""),"ไผ่")</f>
        <v>ไผ่</v>
      </c>
      <c r="K188" t="str">
        <f>IFERROR(__xludf.DUMMYFUNCTION("""COMPUTED_VALUE"""),"Cabin Crew")</f>
        <v>Cabin Crew</v>
      </c>
      <c r="L188" t="str">
        <f>IFERROR(__xludf.DUMMYFUNCTION("""COMPUTED_VALUE"""),"DMK")</f>
        <v>DMK</v>
      </c>
      <c r="M188" s="145" t="str">
        <f>IFERROR(__xludf.DUMMYFUNCTION("""COMPUTED_VALUE"""),"Kor Home")</f>
        <v>Kor Home</v>
      </c>
      <c r="N188" t="str">
        <f>IFERROR(__xludf.DUMMYFUNCTION("""COMPUTED_VALUE"""),"Active")</f>
        <v>Active</v>
      </c>
      <c r="P188" s="143">
        <f>IFERROR(__xludf.DUMMYFUNCTION("""COMPUTED_VALUE"""),29287.0)</f>
        <v>29287</v>
      </c>
      <c r="Q188" s="146" t="str">
        <f>IFERROR(__xludf.DUMMYFUNCTION("""COMPUTED_VALUE"""),"092 623 9542")</f>
        <v>092 623 9542</v>
      </c>
      <c r="R188" s="147" t="str">
        <f>IFERROR(__xludf.DUMMYFUNCTION("""COMPUTED_VALUE"""),"3409901-09-2672")</f>
        <v>3409901-09-2672</v>
      </c>
      <c r="S188" t="str">
        <f>IFERROR(__xludf.DUMMYFUNCTION("""COMPUTED_VALUE"""),"AC4182624")</f>
        <v>AC4182624</v>
      </c>
      <c r="T188" s="148">
        <f>IFERROR(__xludf.DUMMYFUNCTION("""COMPUTED_VALUE"""),44888.0)</f>
        <v>44888</v>
      </c>
      <c r="U188" s="148">
        <f>IFERROR(__xludf.DUMMYFUNCTION("""COMPUTED_VALUE"""),48540.0)</f>
        <v>48540</v>
      </c>
      <c r="V188" s="149">
        <f>IFERROR(__xludf.DUMMYFUNCTION("""COMPUTED_VALUE"""),48356.0)</f>
        <v>48356</v>
      </c>
      <c r="W188" t="str">
        <f>IFERROR(__xludf.DUMMYFUNCTION("""COMPUTED_VALUE"""),"ปลอดภัย")</f>
        <v>ปลอดภัย</v>
      </c>
      <c r="X188" t="str">
        <f>IFERROR(__xludf.DUMMYFUNCTION("""COMPUTED_VALUE"""),"Khon Kaen Province")</f>
        <v>Khon Kaen Province</v>
      </c>
      <c r="Y188" t="str">
        <f>IFERROR(__xludf.DUMMYFUNCTION("""COMPUTED_VALUE"""),"บางนา")</f>
        <v>บางนา</v>
      </c>
      <c r="Z188" t="str">
        <f>IFERROR(__xludf.DUMMYFUNCTION("""COMPUTED_VALUE"""),"027320828 # 5643")</f>
        <v>027320828 # 5643</v>
      </c>
      <c r="AA188" t="str">
        <f>IFERROR(__xludf.DUMMYFUNCTION("""COMPUTED_VALUE"""),"หอพัก")</f>
        <v>หอพัก</v>
      </c>
      <c r="AB188" t="str">
        <f>IFERROR(__xludf.DUMMYFUNCTION("""COMPUTED_VALUE"""),"rathawitv@airasia.com")</f>
        <v>rathawitv@airasia.com</v>
      </c>
    </row>
    <row r="189">
      <c r="A189">
        <f>IFERROR(__xludf.DUMMYFUNCTION("""COMPUTED_VALUE"""),1004538.0)</f>
        <v>1004538</v>
      </c>
      <c r="B189" t="str">
        <f>IFERROR(__xludf.DUMMYFUNCTION("""COMPUTED_VALUE"""),"Ms.")</f>
        <v>Ms.</v>
      </c>
      <c r="C189" t="str">
        <f>IFERROR(__xludf.DUMMYFUNCTION("""COMPUTED_VALUE"""),"Sasipa")</f>
        <v>Sasipa</v>
      </c>
      <c r="D189" t="str">
        <f>IFERROR(__xludf.DUMMYFUNCTION("""COMPUTED_VALUE"""),"Lertkiertdamrong (Priwun)")</f>
        <v>Lertkiertdamrong (Priwun)</v>
      </c>
      <c r="E189" t="str">
        <f>IFERROR(__xludf.DUMMYFUNCTION("""COMPUTED_VALUE"""),"Sasipa Lertkiertdamrong")</f>
        <v>Sasipa Lertkiertdamrong</v>
      </c>
      <c r="F189" t="str">
        <f>IFERROR(__xludf.DUMMYFUNCTION("""COMPUTED_VALUE"""),"นางสาว")</f>
        <v>นางสาว</v>
      </c>
      <c r="G189" t="str">
        <f>IFERROR(__xludf.DUMMYFUNCTION("""COMPUTED_VALUE"""),"ศศิภา")</f>
        <v>ศศิภา</v>
      </c>
      <c r="H189" t="str">
        <f>IFERROR(__xludf.DUMMYFUNCTION("""COMPUTED_VALUE"""),"เลิศเกียรติดำรงศ์ (ไพรวรรณ์)")</f>
        <v>เลิศเกียรติดำรงศ์ (ไพรวรรณ์)</v>
      </c>
      <c r="I189" t="str">
        <f>IFERROR(__xludf.DUMMYFUNCTION("""COMPUTED_VALUE"""),"ศศิภา เลิศเกียรติดำรงศ์")</f>
        <v>ศศิภา เลิศเกียรติดำรงศ์</v>
      </c>
      <c r="J189" t="str">
        <f>IFERROR(__xludf.DUMMYFUNCTION("""COMPUTED_VALUE"""),"นิก")</f>
        <v>นิก</v>
      </c>
      <c r="K189" t="str">
        <f>IFERROR(__xludf.DUMMYFUNCTION("""COMPUTED_VALUE"""),"Cabin Crew")</f>
        <v>Cabin Crew</v>
      </c>
      <c r="L189" t="str">
        <f>IFERROR(__xludf.DUMMYFUNCTION("""COMPUTED_VALUE"""),"DMK")</f>
        <v>DMK</v>
      </c>
      <c r="M189" s="145" t="str">
        <f>IFERROR(__xludf.DUMMYFUNCTION("""COMPUTED_VALUE"""),"Toffy Home")</f>
        <v>Toffy Home</v>
      </c>
      <c r="N189" t="str">
        <f>IFERROR(__xludf.DUMMYFUNCTION("""COMPUTED_VALUE"""),"Active")</f>
        <v>Active</v>
      </c>
      <c r="P189" s="143">
        <f>IFERROR(__xludf.DUMMYFUNCTION("""COMPUTED_VALUE"""),32060.0)</f>
        <v>32060</v>
      </c>
      <c r="Q189" s="146" t="str">
        <f>IFERROR(__xludf.DUMMYFUNCTION("""COMPUTED_VALUE"""),"091 959 9535")</f>
        <v>091 959 9535</v>
      </c>
      <c r="R189" s="147" t="str">
        <f>IFERROR(__xludf.DUMMYFUNCTION("""COMPUTED_VALUE"""),"1160100-19-6567")</f>
        <v>1160100-19-6567</v>
      </c>
      <c r="S189" t="str">
        <f>IFERROR(__xludf.DUMMYFUNCTION("""COMPUTED_VALUE"""),"AD1268610")</f>
        <v>AD1268610</v>
      </c>
      <c r="T189" s="148">
        <f>IFERROR(__xludf.DUMMYFUNCTION("""COMPUTED_VALUE"""),45342.0)</f>
        <v>45342</v>
      </c>
      <c r="U189" s="148">
        <f>IFERROR(__xludf.DUMMYFUNCTION("""COMPUTED_VALUE"""),48994.0)</f>
        <v>48994</v>
      </c>
      <c r="V189" s="149">
        <f>IFERROR(__xludf.DUMMYFUNCTION("""COMPUTED_VALUE"""),48810.0)</f>
        <v>48810</v>
      </c>
      <c r="W189" t="str">
        <f>IFERROR(__xludf.DUMMYFUNCTION("""COMPUTED_VALUE"""),"ปลอดภัย")</f>
        <v>ปลอดภัย</v>
      </c>
      <c r="X189" t="str">
        <f>IFERROR(__xludf.DUMMYFUNCTION("""COMPUTED_VALUE"""),"Lopburi Province")</f>
        <v>Lopburi Province</v>
      </c>
      <c r="Y189" t="str">
        <f>IFERROR(__xludf.DUMMYFUNCTION("""COMPUTED_VALUE"""),"ลาดกระบัง")</f>
        <v>ลาดกระบัง</v>
      </c>
      <c r="Z189" t="str">
        <f>IFERROR(__xludf.DUMMYFUNCTION("""COMPUTED_VALUE"""),"089 059 2694")</f>
        <v>089 059 2694</v>
      </c>
      <c r="AA189" t="str">
        <f>IFERROR(__xludf.DUMMYFUNCTION("""COMPUTED_VALUE"""),"! Update !")</f>
        <v>! Update !</v>
      </c>
      <c r="AB189" t="str">
        <f>IFERROR(__xludf.DUMMYFUNCTION("""COMPUTED_VALUE"""),"sasipal@airasia.com")</f>
        <v>sasipal@airasia.com</v>
      </c>
    </row>
    <row r="190">
      <c r="A190">
        <f>IFERROR(__xludf.DUMMYFUNCTION("""COMPUTED_VALUE"""),1004539.0)</f>
        <v>1004539</v>
      </c>
      <c r="B190" t="str">
        <f>IFERROR(__xludf.DUMMYFUNCTION("""COMPUTED_VALUE"""),"Mr.")</f>
        <v>Mr.</v>
      </c>
      <c r="C190" t="str">
        <f>IFERROR(__xludf.DUMMYFUNCTION("""COMPUTED_VALUE"""),"Sukit")</f>
        <v>Sukit</v>
      </c>
      <c r="D190" t="str">
        <f>IFERROR(__xludf.DUMMYFUNCTION("""COMPUTED_VALUE"""),"Runghiranyathep")</f>
        <v>Runghiranyathep</v>
      </c>
      <c r="E190" t="str">
        <f>IFERROR(__xludf.DUMMYFUNCTION("""COMPUTED_VALUE"""),"Sukit Runghiranyathep")</f>
        <v>Sukit Runghiranyathep</v>
      </c>
      <c r="F190" t="str">
        <f>IFERROR(__xludf.DUMMYFUNCTION("""COMPUTED_VALUE"""),"นาย")</f>
        <v>นาย</v>
      </c>
      <c r="G190" t="str">
        <f>IFERROR(__xludf.DUMMYFUNCTION("""COMPUTED_VALUE"""),"สุกิจ")</f>
        <v>สุกิจ</v>
      </c>
      <c r="H190" t="str">
        <f>IFERROR(__xludf.DUMMYFUNCTION("""COMPUTED_VALUE"""),"รุ่งหิรัญญาเทพ")</f>
        <v>รุ่งหิรัญญาเทพ</v>
      </c>
      <c r="I190" t="str">
        <f>IFERROR(__xludf.DUMMYFUNCTION("""COMPUTED_VALUE"""),"สุกิจ รุ่งหิรัญญาเทพ")</f>
        <v>สุกิจ รุ่งหิรัญญาเทพ</v>
      </c>
      <c r="J190" t="str">
        <f>IFERROR(__xludf.DUMMYFUNCTION("""COMPUTED_VALUE"""),"อาท")</f>
        <v>อาท</v>
      </c>
      <c r="K190" t="str">
        <f>IFERROR(__xludf.DUMMYFUNCTION("""COMPUTED_VALUE"""),"Cabin Crew")</f>
        <v>Cabin Crew</v>
      </c>
      <c r="L190" t="str">
        <f>IFERROR(__xludf.DUMMYFUNCTION("""COMPUTED_VALUE"""),"DMK")</f>
        <v>DMK</v>
      </c>
      <c r="M190" s="145" t="str">
        <f>IFERROR(__xludf.DUMMYFUNCTION("""COMPUTED_VALUE"""),"Toffy Home")</f>
        <v>Toffy Home</v>
      </c>
      <c r="N190" t="str">
        <f>IFERROR(__xludf.DUMMYFUNCTION("""COMPUTED_VALUE"""),"Active")</f>
        <v>Active</v>
      </c>
      <c r="P190" s="143">
        <f>IFERROR(__xludf.DUMMYFUNCTION("""COMPUTED_VALUE"""),31337.0)</f>
        <v>31337</v>
      </c>
      <c r="Q190" s="146" t="str">
        <f>IFERROR(__xludf.DUMMYFUNCTION("""COMPUTED_VALUE"""),"062 229 9696")</f>
        <v>062 229 9696</v>
      </c>
      <c r="R190" s="147" t="str">
        <f>IFERROR(__xludf.DUMMYFUNCTION("""COMPUTED_VALUE"""),"1100599-00-2341")</f>
        <v>1100599-00-2341</v>
      </c>
      <c r="S190" t="str">
        <f>IFERROR(__xludf.DUMMYFUNCTION("""COMPUTED_VALUE"""),"AC2605347")</f>
        <v>AC2605347</v>
      </c>
      <c r="T190" s="148">
        <f>IFERROR(__xludf.DUMMYFUNCTION("""COMPUTED_VALUE"""),44533.0)</f>
        <v>44533</v>
      </c>
      <c r="U190" s="148">
        <f>IFERROR(__xludf.DUMMYFUNCTION("""COMPUTED_VALUE"""),48184.0)</f>
        <v>48184</v>
      </c>
      <c r="V190" s="149">
        <f>IFERROR(__xludf.DUMMYFUNCTION("""COMPUTED_VALUE"""),48001.0)</f>
        <v>48001</v>
      </c>
      <c r="W190" t="str">
        <f>IFERROR(__xludf.DUMMYFUNCTION("""COMPUTED_VALUE"""),"ปลอดภัย")</f>
        <v>ปลอดภัย</v>
      </c>
      <c r="X190" t="str">
        <f>IFERROR(__xludf.DUMMYFUNCTION("""COMPUTED_VALUE"""),"Bangkok")</f>
        <v>Bangkok</v>
      </c>
      <c r="Y190" t="str">
        <f>IFERROR(__xludf.DUMMYFUNCTION("""COMPUTED_VALUE"""),"งามวงศ์วาน")</f>
        <v>งามวงศ์วาน</v>
      </c>
      <c r="Z190" t="str">
        <f>IFERROR(__xludf.DUMMYFUNCTION("""COMPUTED_VALUE"""),"087 5155795")</f>
        <v>087 5155795</v>
      </c>
      <c r="AA190" t="str">
        <f>IFERROR(__xludf.DUMMYFUNCTION("""COMPUTED_VALUE"""),"ไม่ระบุ")</f>
        <v>ไม่ระบุ</v>
      </c>
      <c r="AB190" t="str">
        <f>IFERROR(__xludf.DUMMYFUNCTION("""COMPUTED_VALUE"""),"sukitr@airasia.com")</f>
        <v>sukitr@airasia.com</v>
      </c>
    </row>
    <row r="191">
      <c r="A191">
        <f>IFERROR(__xludf.DUMMYFUNCTION("""COMPUTED_VALUE"""),1004540.0)</f>
        <v>1004540</v>
      </c>
      <c r="B191" t="str">
        <f>IFERROR(__xludf.DUMMYFUNCTION("""COMPUTED_VALUE"""),"Ms.")</f>
        <v>Ms.</v>
      </c>
      <c r="C191" t="str">
        <f>IFERROR(__xludf.DUMMYFUNCTION("""COMPUTED_VALUE"""),"Thitipa")</f>
        <v>Thitipa</v>
      </c>
      <c r="D191" t="str">
        <f>IFERROR(__xludf.DUMMYFUNCTION("""COMPUTED_VALUE"""),"Pinthusaksit")</f>
        <v>Pinthusaksit</v>
      </c>
      <c r="E191" t="str">
        <f>IFERROR(__xludf.DUMMYFUNCTION("""COMPUTED_VALUE"""),"Thitipa Pinthusaksit")</f>
        <v>Thitipa Pinthusaksit</v>
      </c>
      <c r="F191" t="str">
        <f>IFERROR(__xludf.DUMMYFUNCTION("""COMPUTED_VALUE"""),"นางสาว")</f>
        <v>นางสาว</v>
      </c>
      <c r="G191" t="str">
        <f>IFERROR(__xludf.DUMMYFUNCTION("""COMPUTED_VALUE"""),"ฐิติภาณ์")</f>
        <v>ฐิติภาณ์</v>
      </c>
      <c r="H191" t="str">
        <f>IFERROR(__xludf.DUMMYFUNCTION("""COMPUTED_VALUE"""),"พินทุศักดิ์สิทธิ์")</f>
        <v>พินทุศักดิ์สิทธิ์</v>
      </c>
      <c r="I191" t="str">
        <f>IFERROR(__xludf.DUMMYFUNCTION("""COMPUTED_VALUE"""),"ฐิติภาณ์ พินทุศักดิ์สิทธิ์")</f>
        <v>ฐิติภาณ์ พินทุศักดิ์สิทธิ์</v>
      </c>
      <c r="J191" t="str">
        <f>IFERROR(__xludf.DUMMYFUNCTION("""COMPUTED_VALUE"""),"แอร์")</f>
        <v>แอร์</v>
      </c>
      <c r="K191" t="str">
        <f>IFERROR(__xludf.DUMMYFUNCTION("""COMPUTED_VALUE"""),"Senior Cabin Crew - BKK")</f>
        <v>Senior Cabin Crew - BKK</v>
      </c>
      <c r="L191" t="str">
        <f>IFERROR(__xludf.DUMMYFUNCTION("""COMPUTED_VALUE"""),"BKK")</f>
        <v>BKK</v>
      </c>
      <c r="M191" s="145" t="str">
        <f>IFERROR(__xludf.DUMMYFUNCTION("""COMPUTED_VALUE"""),"Nhui Home")</f>
        <v>Nhui Home</v>
      </c>
      <c r="N191" t="str">
        <f>IFERROR(__xludf.DUMMYFUNCTION("""COMPUTED_VALUE"""),"Active")</f>
        <v>Active</v>
      </c>
      <c r="P191" s="143">
        <f>IFERROR(__xludf.DUMMYFUNCTION("""COMPUTED_VALUE"""),31128.0)</f>
        <v>31128</v>
      </c>
      <c r="Q191" s="146" t="str">
        <f>IFERROR(__xludf.DUMMYFUNCTION("""COMPUTED_VALUE"""),"081 699 6871")</f>
        <v>081 699 6871</v>
      </c>
      <c r="R191" s="147" t="str">
        <f>IFERROR(__xludf.DUMMYFUNCTION("""COMPUTED_VALUE"""),"1101400-42-0358")</f>
        <v>1101400-42-0358</v>
      </c>
      <c r="S191" t="str">
        <f>IFERROR(__xludf.DUMMYFUNCTION("""COMPUTED_VALUE"""),"AC4551220")</f>
        <v>AC4551220</v>
      </c>
      <c r="T191" s="148">
        <f>IFERROR(__xludf.DUMMYFUNCTION("""COMPUTED_VALUE"""),44986.0)</f>
        <v>44986</v>
      </c>
      <c r="U191" s="148">
        <f>IFERROR(__xludf.DUMMYFUNCTION("""COMPUTED_VALUE"""),48638.0)</f>
        <v>48638</v>
      </c>
      <c r="V191" s="149">
        <f>IFERROR(__xludf.DUMMYFUNCTION("""COMPUTED_VALUE"""),48454.0)</f>
        <v>48454</v>
      </c>
      <c r="W191" t="str">
        <f>IFERROR(__xludf.DUMMYFUNCTION("""COMPUTED_VALUE"""),"ปลอดภัย")</f>
        <v>ปลอดภัย</v>
      </c>
      <c r="X191" t="str">
        <f>IFERROR(__xludf.DUMMYFUNCTION("""COMPUTED_VALUE"""),"Bangkok")</f>
        <v>Bangkok</v>
      </c>
      <c r="Y191" t="str">
        <f>IFERROR(__xludf.DUMMYFUNCTION("""COMPUTED_VALUE"""),"วังทองหลาง")</f>
        <v>วังทองหลาง</v>
      </c>
      <c r="Z191" t="str">
        <f>IFERROR(__xludf.DUMMYFUNCTION("""COMPUTED_VALUE"""),"081 6996871")</f>
        <v>081 6996871</v>
      </c>
      <c r="AA191" t="str">
        <f>IFERROR(__xludf.DUMMYFUNCTION("""COMPUTED_VALUE"""),"ไม่ระบุ")</f>
        <v>ไม่ระบุ</v>
      </c>
      <c r="AB191" t="str">
        <f>IFERROR(__xludf.DUMMYFUNCTION("""COMPUTED_VALUE"""),"thitipap@airasia.com")</f>
        <v>thitipap@airasia.com</v>
      </c>
    </row>
    <row r="192">
      <c r="A192">
        <f>IFERROR(__xludf.DUMMYFUNCTION("""COMPUTED_VALUE"""),1004541.0)</f>
        <v>1004541</v>
      </c>
      <c r="B192" t="str">
        <f>IFERROR(__xludf.DUMMYFUNCTION("""COMPUTED_VALUE"""),"Ms.")</f>
        <v>Ms.</v>
      </c>
      <c r="C192" t="str">
        <f>IFERROR(__xludf.DUMMYFUNCTION("""COMPUTED_VALUE"""),"Varaporn")</f>
        <v>Varaporn</v>
      </c>
      <c r="D192" t="str">
        <f>IFERROR(__xludf.DUMMYFUNCTION("""COMPUTED_VALUE"""),"Rattanamahasalchai")</f>
        <v>Rattanamahasalchai</v>
      </c>
      <c r="E192" t="str">
        <f>IFERROR(__xludf.DUMMYFUNCTION("""COMPUTED_VALUE"""),"Varaporn Rattanamahasalchai")</f>
        <v>Varaporn Rattanamahasalchai</v>
      </c>
      <c r="F192" t="str">
        <f>IFERROR(__xludf.DUMMYFUNCTION("""COMPUTED_VALUE"""),"นางสาว")</f>
        <v>นางสาว</v>
      </c>
      <c r="G192" t="str">
        <f>IFERROR(__xludf.DUMMYFUNCTION("""COMPUTED_VALUE"""),"วราพร")</f>
        <v>วราพร</v>
      </c>
      <c r="H192" t="str">
        <f>IFERROR(__xludf.DUMMYFUNCTION("""COMPUTED_VALUE"""),"รัตนมหาศาลชัย")</f>
        <v>รัตนมหาศาลชัย</v>
      </c>
      <c r="I192" t="str">
        <f>IFERROR(__xludf.DUMMYFUNCTION("""COMPUTED_VALUE"""),"วราพร รัตนมหาศาลชัย")</f>
        <v>วราพร รัตนมหาศาลชัย</v>
      </c>
      <c r="J192" t="str">
        <f>IFERROR(__xludf.DUMMYFUNCTION("""COMPUTED_VALUE"""),"ยุ้ย")</f>
        <v>ยุ้ย</v>
      </c>
      <c r="K192" t="str">
        <f>IFERROR(__xludf.DUMMYFUNCTION("""COMPUTED_VALUE"""),"Cabin Crew")</f>
        <v>Cabin Crew</v>
      </c>
      <c r="L192" t="str">
        <f>IFERROR(__xludf.DUMMYFUNCTION("""COMPUTED_VALUE"""),"DMK")</f>
        <v>DMK</v>
      </c>
      <c r="M192" s="145" t="str">
        <f>IFERROR(__xludf.DUMMYFUNCTION("""COMPUTED_VALUE"""),"Kor Home")</f>
        <v>Kor Home</v>
      </c>
      <c r="N192" t="str">
        <f>IFERROR(__xludf.DUMMYFUNCTION("""COMPUTED_VALUE"""),"Active")</f>
        <v>Active</v>
      </c>
      <c r="P192" s="143">
        <f>IFERROR(__xludf.DUMMYFUNCTION("""COMPUTED_VALUE"""),31078.0)</f>
        <v>31078</v>
      </c>
      <c r="Q192" s="146" t="str">
        <f>IFERROR(__xludf.DUMMYFUNCTION("""COMPUTED_VALUE"""),"092 415 1932")</f>
        <v>092 415 1932</v>
      </c>
      <c r="R192" s="147" t="str">
        <f>IFERROR(__xludf.DUMMYFUNCTION("""COMPUTED_VALUE"""),"1100400-07-8578")</f>
        <v>1100400-07-8578</v>
      </c>
      <c r="S192" t="str">
        <f>IFERROR(__xludf.DUMMYFUNCTION("""COMPUTED_VALUE"""),"AC2401666")</f>
        <v>AC2401666</v>
      </c>
      <c r="T192" s="148">
        <f>IFERROR(__xludf.DUMMYFUNCTION("""COMPUTED_VALUE"""),44433.0)</f>
        <v>44433</v>
      </c>
      <c r="U192" s="148">
        <f>IFERROR(__xludf.DUMMYFUNCTION("""COMPUTED_VALUE"""),48084.0)</f>
        <v>48084</v>
      </c>
      <c r="V192" s="149">
        <f>IFERROR(__xludf.DUMMYFUNCTION("""COMPUTED_VALUE"""),47903.0)</f>
        <v>47903</v>
      </c>
      <c r="W192" t="str">
        <f>IFERROR(__xludf.DUMMYFUNCTION("""COMPUTED_VALUE"""),"ปลอดภัย")</f>
        <v>ปลอดภัย</v>
      </c>
      <c r="X192" t="str">
        <f>IFERROR(__xludf.DUMMYFUNCTION("""COMPUTED_VALUE"""),"Bangkok")</f>
        <v>Bangkok</v>
      </c>
      <c r="Y192" t="str">
        <f>IFERROR(__xludf.DUMMYFUNCTION("""COMPUTED_VALUE"""),"บางรัก")</f>
        <v>บางรัก</v>
      </c>
      <c r="Z192" t="str">
        <f>IFERROR(__xludf.DUMMYFUNCTION("""COMPUTED_VALUE"""),"082 509 4248")</f>
        <v>082 509 4248</v>
      </c>
      <c r="AA192" t="str">
        <f>IFERROR(__xludf.DUMMYFUNCTION("""COMPUTED_VALUE"""),"ไม่ระบุ")</f>
        <v>ไม่ระบุ</v>
      </c>
      <c r="AB192" t="str">
        <f>IFERROR(__xludf.DUMMYFUNCTION("""COMPUTED_VALUE"""),"varapornr@airasia.com")</f>
        <v>varapornr@airasia.com</v>
      </c>
    </row>
    <row r="193">
      <c r="AB193" t="str">
        <f>IFERROR(__xludf.DUMMYFUNCTION("""COMPUTED_VALUE"""),"")</f>
        <v/>
      </c>
    </row>
    <row r="194">
      <c r="A194">
        <f>IFERROR(__xludf.DUMMYFUNCTION("""COMPUTED_VALUE"""),1003172.0)</f>
        <v>1003172</v>
      </c>
      <c r="B194" t="str">
        <f>IFERROR(__xludf.DUMMYFUNCTION("""COMPUTED_VALUE"""),"Ms.")</f>
        <v>Ms.</v>
      </c>
      <c r="C194" t="str">
        <f>IFERROR(__xludf.DUMMYFUNCTION("""COMPUTED_VALUE"""),"Natthanit")</f>
        <v>Natthanit</v>
      </c>
      <c r="D194" t="str">
        <f>IFERROR(__xludf.DUMMYFUNCTION("""COMPUTED_VALUE"""),"Kaewchoochuen")</f>
        <v>Kaewchoochuen</v>
      </c>
      <c r="E194" t="str">
        <f>IFERROR(__xludf.DUMMYFUNCTION("""COMPUTED_VALUE"""),"Natthanit Kaewchoochuen")</f>
        <v>Natthanit Kaewchoochuen</v>
      </c>
      <c r="F194" t="str">
        <f>IFERROR(__xludf.DUMMYFUNCTION("""COMPUTED_VALUE"""),"นางสาว")</f>
        <v>นางสาว</v>
      </c>
      <c r="G194" t="str">
        <f>IFERROR(__xludf.DUMMYFUNCTION("""COMPUTED_VALUE"""),"ณัฎฐนิช")</f>
        <v>ณัฎฐนิช</v>
      </c>
      <c r="H194" t="str">
        <f>IFERROR(__xludf.DUMMYFUNCTION("""COMPUTED_VALUE"""),"แก้วชูชื่น")</f>
        <v>แก้วชูชื่น</v>
      </c>
      <c r="I194" t="str">
        <f>IFERROR(__xludf.DUMMYFUNCTION("""COMPUTED_VALUE"""),"ณัฎฐนิช แก้วชูชื่น")</f>
        <v>ณัฎฐนิช แก้วชูชื่น</v>
      </c>
      <c r="J194" t="str">
        <f>IFERROR(__xludf.DUMMYFUNCTION("""COMPUTED_VALUE"""),"หนิง")</f>
        <v>หนิง</v>
      </c>
      <c r="K194" t="str">
        <f>IFERROR(__xludf.DUMMYFUNCTION("""COMPUTED_VALUE"""),"Senior Cabin Crew")</f>
        <v>Senior Cabin Crew</v>
      </c>
      <c r="L194" t="str">
        <f>IFERROR(__xludf.DUMMYFUNCTION("""COMPUTED_VALUE"""),"DMK")</f>
        <v>DMK</v>
      </c>
      <c r="M194" s="145" t="str">
        <f>IFERROR(__xludf.DUMMYFUNCTION("""COMPUTED_VALUE"""),"Kor Home")</f>
        <v>Kor Home</v>
      </c>
      <c r="N194" t="str">
        <f>IFERROR(__xludf.DUMMYFUNCTION("""COMPUTED_VALUE"""),"Active")</f>
        <v>Active</v>
      </c>
      <c r="O194" t="str">
        <f>IFERROR(__xludf.DUMMYFUNCTION("""COMPUTED_VALUE"""),"Chinese Speaking")</f>
        <v>Chinese Speaking</v>
      </c>
      <c r="P194" s="143">
        <f>IFERROR(__xludf.DUMMYFUNCTION("""COMPUTED_VALUE"""),31592.0)</f>
        <v>31592</v>
      </c>
      <c r="Q194" s="146" t="str">
        <f>IFERROR(__xludf.DUMMYFUNCTION("""COMPUTED_VALUE"""),"061 693 6455")</f>
        <v>061 693 6455</v>
      </c>
      <c r="R194" s="147" t="str">
        <f>IFERROR(__xludf.DUMMYFUNCTION("""COMPUTED_VALUE"""),"1909800-15-0218")</f>
        <v>1909800-15-0218</v>
      </c>
      <c r="S194" t="str">
        <f>IFERROR(__xludf.DUMMYFUNCTION("""COMPUTED_VALUE"""),"AC3691243")</f>
        <v>AC3691243</v>
      </c>
      <c r="T194" s="148">
        <f>IFERROR(__xludf.DUMMYFUNCTION("""COMPUTED_VALUE"""),44769.0)</f>
        <v>44769</v>
      </c>
      <c r="U194" s="148">
        <f>IFERROR(__xludf.DUMMYFUNCTION("""COMPUTED_VALUE"""),48421.0)</f>
        <v>48421</v>
      </c>
      <c r="V194" s="149">
        <f>IFERROR(__xludf.DUMMYFUNCTION("""COMPUTED_VALUE"""),48239.0)</f>
        <v>48239</v>
      </c>
      <c r="W194" t="str">
        <f>IFERROR(__xludf.DUMMYFUNCTION("""COMPUTED_VALUE"""),"ปลอดภัย")</f>
        <v>ปลอดภัย</v>
      </c>
      <c r="X194" t="str">
        <f>IFERROR(__xludf.DUMMYFUNCTION("""COMPUTED_VALUE"""),"Songkhla Province")</f>
        <v>Songkhla Province</v>
      </c>
      <c r="Y194" t="str">
        <f>IFERROR(__xludf.DUMMYFUNCTION("""COMPUTED_VALUE"""),"บางกะปิ")</f>
        <v>บางกะปิ</v>
      </c>
      <c r="Z194" t="str">
        <f>IFERROR(__xludf.DUMMYFUNCTION("""COMPUTED_VALUE"""),"084 300 2644")</f>
        <v>084 300 2644</v>
      </c>
      <c r="AA194" t="str">
        <f>IFERROR(__xludf.DUMMYFUNCTION("""COMPUTED_VALUE"""),"ไม่ระบุ")</f>
        <v>ไม่ระบุ</v>
      </c>
      <c r="AB194" t="str">
        <f>IFERROR(__xludf.DUMMYFUNCTION("""COMPUTED_VALUE"""),"natthanitk@airasia.com")</f>
        <v>natthanitk@airasia.com</v>
      </c>
    </row>
    <row r="195">
      <c r="A195">
        <f>IFERROR(__xludf.DUMMYFUNCTION("""COMPUTED_VALUE"""),1004569.0)</f>
        <v>1004569</v>
      </c>
      <c r="B195" t="str">
        <f>IFERROR(__xludf.DUMMYFUNCTION("""COMPUTED_VALUE"""),"Ms.")</f>
        <v>Ms.</v>
      </c>
      <c r="C195" t="str">
        <f>IFERROR(__xludf.DUMMYFUNCTION("""COMPUTED_VALUE"""),"Chutikul")</f>
        <v>Chutikul</v>
      </c>
      <c r="D195" t="str">
        <f>IFERROR(__xludf.DUMMYFUNCTION("""COMPUTED_VALUE"""),"Khruakham")</f>
        <v>Khruakham</v>
      </c>
      <c r="E195" t="str">
        <f>IFERROR(__xludf.DUMMYFUNCTION("""COMPUTED_VALUE"""),"Chutikul Khruakham")</f>
        <v>Chutikul Khruakham</v>
      </c>
      <c r="F195" t="str">
        <f>IFERROR(__xludf.DUMMYFUNCTION("""COMPUTED_VALUE"""),"นางสาว")</f>
        <v>นางสาว</v>
      </c>
      <c r="G195" t="str">
        <f>IFERROR(__xludf.DUMMYFUNCTION("""COMPUTED_VALUE"""),"จุติกุล")</f>
        <v>จุติกุล</v>
      </c>
      <c r="H195" t="str">
        <f>IFERROR(__xludf.DUMMYFUNCTION("""COMPUTED_VALUE"""),"เครือคำ")</f>
        <v>เครือคำ</v>
      </c>
      <c r="I195" t="str">
        <f>IFERROR(__xludf.DUMMYFUNCTION("""COMPUTED_VALUE"""),"จุติกุล เครือคำ")</f>
        <v>จุติกุล เครือคำ</v>
      </c>
      <c r="J195" t="str">
        <f>IFERROR(__xludf.DUMMYFUNCTION("""COMPUTED_VALUE"""),"แมงเม่า")</f>
        <v>แมงเม่า</v>
      </c>
      <c r="K195" t="str">
        <f>IFERROR(__xludf.DUMMYFUNCTION("""COMPUTED_VALUE"""),"Senior Cabin Crew")</f>
        <v>Senior Cabin Crew</v>
      </c>
      <c r="L195" t="str">
        <f>IFERROR(__xludf.DUMMYFUNCTION("""COMPUTED_VALUE"""),"DMK")</f>
        <v>DMK</v>
      </c>
      <c r="M195" s="145" t="str">
        <f>IFERROR(__xludf.DUMMYFUNCTION("""COMPUTED_VALUE"""),"Toffy Home")</f>
        <v>Toffy Home</v>
      </c>
      <c r="N195" t="str">
        <f>IFERROR(__xludf.DUMMYFUNCTION("""COMPUTED_VALUE"""),"Active")</f>
        <v>Active</v>
      </c>
      <c r="P195" s="143">
        <f>IFERROR(__xludf.DUMMYFUNCTION("""COMPUTED_VALUE"""),31430.0)</f>
        <v>31430</v>
      </c>
      <c r="Q195" s="146" t="str">
        <f>IFERROR(__xludf.DUMMYFUNCTION("""COMPUTED_VALUE"""),"085 917 1613")</f>
        <v>085 917 1613</v>
      </c>
      <c r="R195" s="147" t="str">
        <f>IFERROR(__xludf.DUMMYFUNCTION("""COMPUTED_VALUE"""),"1470100-07-7531")</f>
        <v>1470100-07-7531</v>
      </c>
      <c r="S195" t="str">
        <f>IFERROR(__xludf.DUMMYFUNCTION("""COMPUTED_VALUE"""),"AD1096179")</f>
        <v>AD1096179</v>
      </c>
      <c r="T195" s="148">
        <f>IFERROR(__xludf.DUMMYFUNCTION("""COMPUTED_VALUE"""),45066.0)</f>
        <v>45066</v>
      </c>
      <c r="U195" s="148">
        <f>IFERROR(__xludf.DUMMYFUNCTION("""COMPUTED_VALUE"""),48718.0)</f>
        <v>48718</v>
      </c>
      <c r="V195" s="149">
        <f>IFERROR(__xludf.DUMMYFUNCTION("""COMPUTED_VALUE"""),48537.0)</f>
        <v>48537</v>
      </c>
      <c r="W195" t="str">
        <f>IFERROR(__xludf.DUMMYFUNCTION("""COMPUTED_VALUE"""),"ปลอดภัย")</f>
        <v>ปลอดภัย</v>
      </c>
      <c r="X195" t="str">
        <f>IFERROR(__xludf.DUMMYFUNCTION("""COMPUTED_VALUE"""),"Nakhon Phanom Province")</f>
        <v>Nakhon Phanom Province</v>
      </c>
      <c r="Y195" t="str">
        <f>IFERROR(__xludf.DUMMYFUNCTION("""COMPUTED_VALUE"""),"ลาดกระบัง")</f>
        <v>ลาดกระบัง</v>
      </c>
      <c r="Z195" t="str">
        <f>IFERROR(__xludf.DUMMYFUNCTION("""COMPUTED_VALUE"""),"089 4522788 /02 737 1997 #105")</f>
        <v>089 4522788 /02 737 1997 #105</v>
      </c>
      <c r="AA195" t="str">
        <f>IFERROR(__xludf.DUMMYFUNCTION("""COMPUTED_VALUE"""),"แม่ / หอพัก")</f>
        <v>แม่ / หอพัก</v>
      </c>
      <c r="AB195" t="str">
        <f>IFERROR(__xludf.DUMMYFUNCTION("""COMPUTED_VALUE"""),"chutikulk@airasia.com")</f>
        <v>chutikulk@airasia.com</v>
      </c>
    </row>
    <row r="196">
      <c r="A196">
        <f>IFERROR(__xludf.DUMMYFUNCTION("""COMPUTED_VALUE"""),1004572.0)</f>
        <v>1004572</v>
      </c>
      <c r="B196" t="str">
        <f>IFERROR(__xludf.DUMMYFUNCTION("""COMPUTED_VALUE"""),"Ms.")</f>
        <v>Ms.</v>
      </c>
      <c r="C196" t="str">
        <f>IFERROR(__xludf.DUMMYFUNCTION("""COMPUTED_VALUE"""),"Kamolwan")</f>
        <v>Kamolwan</v>
      </c>
      <c r="D196" t="str">
        <f>IFERROR(__xludf.DUMMYFUNCTION("""COMPUTED_VALUE"""),"Khantidilokvongsa")</f>
        <v>Khantidilokvongsa</v>
      </c>
      <c r="E196" t="str">
        <f>IFERROR(__xludf.DUMMYFUNCTION("""COMPUTED_VALUE"""),"Kamolwan Khantidilokvongsa")</f>
        <v>Kamolwan Khantidilokvongsa</v>
      </c>
      <c r="F196" t="str">
        <f>IFERROR(__xludf.DUMMYFUNCTION("""COMPUTED_VALUE"""),"นางสาว")</f>
        <v>นางสาว</v>
      </c>
      <c r="G196" t="str">
        <f>IFERROR(__xludf.DUMMYFUNCTION("""COMPUTED_VALUE"""),"กมลวรรณ")</f>
        <v>กมลวรรณ</v>
      </c>
      <c r="H196" t="str">
        <f>IFERROR(__xludf.DUMMYFUNCTION("""COMPUTED_VALUE"""),"ขันติดิลกวงษา")</f>
        <v>ขันติดิลกวงษา</v>
      </c>
      <c r="I196" t="str">
        <f>IFERROR(__xludf.DUMMYFUNCTION("""COMPUTED_VALUE"""),"กมลวรรณ ขันติดิลกวงษา")</f>
        <v>กมลวรรณ ขันติดิลกวงษา</v>
      </c>
      <c r="J196" t="str">
        <f>IFERROR(__xludf.DUMMYFUNCTION("""COMPUTED_VALUE"""),"แนน")</f>
        <v>แนน</v>
      </c>
      <c r="K196" t="str">
        <f>IFERROR(__xludf.DUMMYFUNCTION("""COMPUTED_VALUE"""),"Cabin Crew - BKK")</f>
        <v>Cabin Crew - BKK</v>
      </c>
      <c r="L196" t="str">
        <f>IFERROR(__xludf.DUMMYFUNCTION("""COMPUTED_VALUE"""),"BKK")</f>
        <v>BKK</v>
      </c>
      <c r="M196" s="145" t="str">
        <f>IFERROR(__xludf.DUMMYFUNCTION("""COMPUTED_VALUE"""),"Nhui Home")</f>
        <v>Nhui Home</v>
      </c>
      <c r="N196" t="str">
        <f>IFERROR(__xludf.DUMMYFUNCTION("""COMPUTED_VALUE"""),"Active")</f>
        <v>Active</v>
      </c>
      <c r="P196" s="143">
        <f>IFERROR(__xludf.DUMMYFUNCTION("""COMPUTED_VALUE"""),30389.0)</f>
        <v>30389</v>
      </c>
      <c r="Q196" s="146">
        <f>IFERROR(__xludf.DUMMYFUNCTION("""COMPUTED_VALUE"""),8.29632942E8)</f>
        <v>829632942</v>
      </c>
      <c r="R196" s="147" t="str">
        <f>IFERROR(__xludf.DUMMYFUNCTION("""COMPUTED_VALUE"""),"3100905-66-6899")</f>
        <v>3100905-66-6899</v>
      </c>
      <c r="S196" t="str">
        <f>IFERROR(__xludf.DUMMYFUNCTION("""COMPUTED_VALUE"""),"AC2880725")</f>
        <v>AC2880725</v>
      </c>
      <c r="T196" s="148">
        <f>IFERROR(__xludf.DUMMYFUNCTION("""COMPUTED_VALUE"""),44609.0)</f>
        <v>44609</v>
      </c>
      <c r="U196" s="148">
        <f>IFERROR(__xludf.DUMMYFUNCTION("""COMPUTED_VALUE"""),48260.0)</f>
        <v>48260</v>
      </c>
      <c r="V196" s="149">
        <f>IFERROR(__xludf.DUMMYFUNCTION("""COMPUTED_VALUE"""),48076.0)</f>
        <v>48076</v>
      </c>
      <c r="W196" t="str">
        <f>IFERROR(__xludf.DUMMYFUNCTION("""COMPUTED_VALUE"""),"ปลอดภัย")</f>
        <v>ปลอดภัย</v>
      </c>
      <c r="X196" t="str">
        <f>IFERROR(__xludf.DUMMYFUNCTION("""COMPUTED_VALUE"""),"Bangkok")</f>
        <v>Bangkok</v>
      </c>
      <c r="Y196" t="str">
        <f>IFERROR(__xludf.DUMMYFUNCTION("""COMPUTED_VALUE"""),"ประเวศ")</f>
        <v>ประเวศ</v>
      </c>
      <c r="Z196" t="str">
        <f>IFERROR(__xludf.DUMMYFUNCTION("""COMPUTED_VALUE"""),"02 7223380")</f>
        <v>02 7223380</v>
      </c>
      <c r="AA196" t="str">
        <f>IFERROR(__xludf.DUMMYFUNCTION("""COMPUTED_VALUE"""),"บ้าน")</f>
        <v>บ้าน</v>
      </c>
      <c r="AB196" t="str">
        <f>IFERROR(__xludf.DUMMYFUNCTION("""COMPUTED_VALUE"""),"kamolwank@airasia.com")</f>
        <v>kamolwank@airasia.com</v>
      </c>
    </row>
    <row r="197">
      <c r="A197">
        <f>IFERROR(__xludf.DUMMYFUNCTION("""COMPUTED_VALUE"""),1004579.0)</f>
        <v>1004579</v>
      </c>
      <c r="B197" t="str">
        <f>IFERROR(__xludf.DUMMYFUNCTION("""COMPUTED_VALUE"""),"Ms.")</f>
        <v>Ms.</v>
      </c>
      <c r="C197" t="str">
        <f>IFERROR(__xludf.DUMMYFUNCTION("""COMPUTED_VALUE"""),"Sanisara")</f>
        <v>Sanisara</v>
      </c>
      <c r="D197" t="str">
        <f>IFERROR(__xludf.DUMMYFUNCTION("""COMPUTED_VALUE"""),"Wongwejsawat")</f>
        <v>Wongwejsawat</v>
      </c>
      <c r="E197" t="str">
        <f>IFERROR(__xludf.DUMMYFUNCTION("""COMPUTED_VALUE"""),"Sanisara Wongwejsawat")</f>
        <v>Sanisara Wongwejsawat</v>
      </c>
      <c r="F197" t="str">
        <f>IFERROR(__xludf.DUMMYFUNCTION("""COMPUTED_VALUE"""),"นางสาว")</f>
        <v>นางสาว</v>
      </c>
      <c r="G197" t="str">
        <f>IFERROR(__xludf.DUMMYFUNCTION("""COMPUTED_VALUE"""),"ศนิศรา")</f>
        <v>ศนิศรา</v>
      </c>
      <c r="H197" t="str">
        <f>IFERROR(__xludf.DUMMYFUNCTION("""COMPUTED_VALUE"""),"วงศ์เวชสวัสดิ์")</f>
        <v>วงศ์เวชสวัสดิ์</v>
      </c>
      <c r="I197" t="str">
        <f>IFERROR(__xludf.DUMMYFUNCTION("""COMPUTED_VALUE"""),"ศนิศรา วงศ์เวชสวัสดิ์")</f>
        <v>ศนิศรา วงศ์เวชสวัสดิ์</v>
      </c>
      <c r="J197" t="str">
        <f>IFERROR(__xludf.DUMMYFUNCTION("""COMPUTED_VALUE"""),"เปอร์")</f>
        <v>เปอร์</v>
      </c>
      <c r="K197" t="str">
        <f>IFERROR(__xludf.DUMMYFUNCTION("""COMPUTED_VALUE"""),"Cabin Crew")</f>
        <v>Cabin Crew</v>
      </c>
      <c r="L197" t="str">
        <f>IFERROR(__xludf.DUMMYFUNCTION("""COMPUTED_VALUE"""),"DMK")</f>
        <v>DMK</v>
      </c>
      <c r="M197" s="145" t="str">
        <f>IFERROR(__xludf.DUMMYFUNCTION("""COMPUTED_VALUE"""),"Up Home")</f>
        <v>Up Home</v>
      </c>
      <c r="N197" t="str">
        <f>IFERROR(__xludf.DUMMYFUNCTION("""COMPUTED_VALUE"""),"Active")</f>
        <v>Active</v>
      </c>
      <c r="P197" s="143">
        <f>IFERROR(__xludf.DUMMYFUNCTION("""COMPUTED_VALUE"""),31647.0)</f>
        <v>31647</v>
      </c>
      <c r="Q197" s="146" t="str">
        <f>IFERROR(__xludf.DUMMYFUNCTION("""COMPUTED_VALUE""")," 061-995-5629")</f>
        <v> 061-995-5629</v>
      </c>
      <c r="R197" s="147" t="str">
        <f>IFERROR(__xludf.DUMMYFUNCTION("""COMPUTED_VALUE"""),"1101400-74-6598")</f>
        <v>1101400-74-6598</v>
      </c>
      <c r="S197" t="str">
        <f>IFERROR(__xludf.DUMMYFUNCTION("""COMPUTED_VALUE"""),"AC5192084")</f>
        <v>AC5192084</v>
      </c>
      <c r="T197" s="148">
        <f>IFERROR(__xludf.DUMMYFUNCTION("""COMPUTED_VALUE"""),45321.0)</f>
        <v>45321</v>
      </c>
      <c r="U197" s="148">
        <f>IFERROR(__xludf.DUMMYFUNCTION("""COMPUTED_VALUE"""),48973.0)</f>
        <v>48973</v>
      </c>
      <c r="V197" s="149">
        <f>IFERROR(__xludf.DUMMYFUNCTION("""COMPUTED_VALUE"""),48789.0)</f>
        <v>48789</v>
      </c>
      <c r="W197" t="str">
        <f>IFERROR(__xludf.DUMMYFUNCTION("""COMPUTED_VALUE"""),"ปลอดภัย")</f>
        <v>ปลอดภัย</v>
      </c>
      <c r="X197" t="str">
        <f>IFERROR(__xludf.DUMMYFUNCTION("""COMPUTED_VALUE"""),"Bangkok")</f>
        <v>Bangkok</v>
      </c>
      <c r="Y197" t="str">
        <f>IFERROR(__xludf.DUMMYFUNCTION("""COMPUTED_VALUE"""),"งามวงศ์วาน")</f>
        <v>งามวงศ์วาน</v>
      </c>
      <c r="Z197" t="str">
        <f>IFERROR(__xludf.DUMMYFUNCTION("""COMPUTED_VALUE"""),"02 952 3401")</f>
        <v>02 952 3401</v>
      </c>
      <c r="AA197" t="str">
        <f>IFERROR(__xludf.DUMMYFUNCTION("""COMPUTED_VALUE"""),"บ้าน")</f>
        <v>บ้าน</v>
      </c>
      <c r="AB197" t="str">
        <f>IFERROR(__xludf.DUMMYFUNCTION("""COMPUTED_VALUE"""),"sanisaraw@airasia.com")</f>
        <v>sanisaraw@airasia.com</v>
      </c>
    </row>
    <row r="198">
      <c r="A198">
        <f>IFERROR(__xludf.DUMMYFUNCTION("""COMPUTED_VALUE"""),1004583.0)</f>
        <v>1004583</v>
      </c>
      <c r="B198" t="str">
        <f>IFERROR(__xludf.DUMMYFUNCTION("""COMPUTED_VALUE"""),"Ms.")</f>
        <v>Ms.</v>
      </c>
      <c r="C198" t="str">
        <f>IFERROR(__xludf.DUMMYFUNCTION("""COMPUTED_VALUE"""),"Suphanun")</f>
        <v>Suphanun</v>
      </c>
      <c r="D198" t="str">
        <f>IFERROR(__xludf.DUMMYFUNCTION("""COMPUTED_VALUE"""),"Yotpunya")</f>
        <v>Yotpunya</v>
      </c>
      <c r="E198" t="str">
        <f>IFERROR(__xludf.DUMMYFUNCTION("""COMPUTED_VALUE"""),"Suphanun Yotpunya")</f>
        <v>Suphanun Yotpunya</v>
      </c>
      <c r="F198" t="str">
        <f>IFERROR(__xludf.DUMMYFUNCTION("""COMPUTED_VALUE"""),"นางสาว")</f>
        <v>นางสาว</v>
      </c>
      <c r="G198" t="str">
        <f>IFERROR(__xludf.DUMMYFUNCTION("""COMPUTED_VALUE"""),"สุภานัน")</f>
        <v>สุภานัน</v>
      </c>
      <c r="H198" t="str">
        <f>IFERROR(__xludf.DUMMYFUNCTION("""COMPUTED_VALUE"""),"ยศปัญญา")</f>
        <v>ยศปัญญา</v>
      </c>
      <c r="I198" t="str">
        <f>IFERROR(__xludf.DUMMYFUNCTION("""COMPUTED_VALUE"""),"สุภานัน ยศปัญญา")</f>
        <v>สุภานัน ยศปัญญา</v>
      </c>
      <c r="J198" t="str">
        <f>IFERROR(__xludf.DUMMYFUNCTION("""COMPUTED_VALUE"""),"กุ๊ก")</f>
        <v>กุ๊ก</v>
      </c>
      <c r="K198" t="str">
        <f>IFERROR(__xludf.DUMMYFUNCTION("""COMPUTED_VALUE"""),"Senior Cabin Crew")</f>
        <v>Senior Cabin Crew</v>
      </c>
      <c r="L198" t="str">
        <f>IFERROR(__xludf.DUMMYFUNCTION("""COMPUTED_VALUE"""),"DMK")</f>
        <v>DMK</v>
      </c>
      <c r="M198" s="145" t="str">
        <f>IFERROR(__xludf.DUMMYFUNCTION("""COMPUTED_VALUE"""),"Up Home")</f>
        <v>Up Home</v>
      </c>
      <c r="N198" t="str">
        <f>IFERROR(__xludf.DUMMYFUNCTION("""COMPUTED_VALUE"""),"Active")</f>
        <v>Active</v>
      </c>
      <c r="P198" s="143">
        <f>IFERROR(__xludf.DUMMYFUNCTION("""COMPUTED_VALUE"""),31556.0)</f>
        <v>31556</v>
      </c>
      <c r="Q198" s="146" t="str">
        <f>IFERROR(__xludf.DUMMYFUNCTION("""COMPUTED_VALUE"""),"093 519 6428")</f>
        <v>093 519 6428</v>
      </c>
      <c r="R198" s="147" t="str">
        <f>IFERROR(__xludf.DUMMYFUNCTION("""COMPUTED_VALUE"""),"1679900-10-3541")</f>
        <v>1679900-10-3541</v>
      </c>
      <c r="S198" t="str">
        <f>IFERROR(__xludf.DUMMYFUNCTION("""COMPUTED_VALUE"""),"AC3016507")</f>
        <v>AC3016507</v>
      </c>
      <c r="T198" s="148">
        <f>IFERROR(__xludf.DUMMYFUNCTION("""COMPUTED_VALUE"""),44673.0)</f>
        <v>44673</v>
      </c>
      <c r="U198" s="148">
        <f>IFERROR(__xludf.DUMMYFUNCTION("""COMPUTED_VALUE"""),48325.0)</f>
        <v>48325</v>
      </c>
      <c r="V198" s="149">
        <f>IFERROR(__xludf.DUMMYFUNCTION("""COMPUTED_VALUE"""),48142.0)</f>
        <v>48142</v>
      </c>
      <c r="W198" t="str">
        <f>IFERROR(__xludf.DUMMYFUNCTION("""COMPUTED_VALUE"""),"ปลอดภัย")</f>
        <v>ปลอดภัย</v>
      </c>
      <c r="X198" t="str">
        <f>IFERROR(__xludf.DUMMYFUNCTION("""COMPUTED_VALUE"""),"Phetchabun Province")</f>
        <v>Phetchabun Province</v>
      </c>
      <c r="Y198" t="str">
        <f>IFERROR(__xludf.DUMMYFUNCTION("""COMPUTED_VALUE"""),"ดินแดง")</f>
        <v>ดินแดง</v>
      </c>
      <c r="Z198" t="str">
        <f>IFERROR(__xludf.DUMMYFUNCTION("""COMPUTED_VALUE"""),"085 5563616")</f>
        <v>085 5563616</v>
      </c>
      <c r="AA198" t="str">
        <f>IFERROR(__xludf.DUMMYFUNCTION("""COMPUTED_VALUE"""),"ไม่ระบุ")</f>
        <v>ไม่ระบุ</v>
      </c>
      <c r="AB198" t="str">
        <f>IFERROR(__xludf.DUMMYFUNCTION("""COMPUTED_VALUE"""),"suphanuny@airasia.com")</f>
        <v>suphanuny@airasia.com</v>
      </c>
    </row>
    <row r="199">
      <c r="AB199" t="str">
        <f>IFERROR(__xludf.DUMMYFUNCTION("""COMPUTED_VALUE"""),"")</f>
        <v/>
      </c>
    </row>
    <row r="200">
      <c r="A200">
        <f>IFERROR(__xludf.DUMMYFUNCTION("""COMPUTED_VALUE"""),1004744.0)</f>
        <v>1004744</v>
      </c>
      <c r="B200" t="str">
        <f>IFERROR(__xludf.DUMMYFUNCTION("""COMPUTED_VALUE"""),"Ms.")</f>
        <v>Ms.</v>
      </c>
      <c r="C200" t="str">
        <f>IFERROR(__xludf.DUMMYFUNCTION("""COMPUTED_VALUE"""),"Amornrat")</f>
        <v>Amornrat</v>
      </c>
      <c r="D200" t="str">
        <f>IFERROR(__xludf.DUMMYFUNCTION("""COMPUTED_VALUE"""),"Wattanawongkajon")</f>
        <v>Wattanawongkajon</v>
      </c>
      <c r="E200" t="str">
        <f>IFERROR(__xludf.DUMMYFUNCTION("""COMPUTED_VALUE"""),"Amornrat Wattanawongkajon")</f>
        <v>Amornrat Wattanawongkajon</v>
      </c>
      <c r="F200" t="str">
        <f>IFERROR(__xludf.DUMMYFUNCTION("""COMPUTED_VALUE"""),"นางสาว")</f>
        <v>นางสาว</v>
      </c>
      <c r="G200" t="str">
        <f>IFERROR(__xludf.DUMMYFUNCTION("""COMPUTED_VALUE"""),"อมรรัตน์")</f>
        <v>อมรรัตน์</v>
      </c>
      <c r="H200" t="str">
        <f>IFERROR(__xludf.DUMMYFUNCTION("""COMPUTED_VALUE"""),"วัฒนะวงศ์ขจร")</f>
        <v>วัฒนะวงศ์ขจร</v>
      </c>
      <c r="I200" t="str">
        <f>IFERROR(__xludf.DUMMYFUNCTION("""COMPUTED_VALUE"""),"อมรรัตน์ วัฒนะวงศ์ขจร")</f>
        <v>อมรรัตน์ วัฒนะวงศ์ขจร</v>
      </c>
      <c r="J200" t="str">
        <f>IFERROR(__xludf.DUMMYFUNCTION("""COMPUTED_VALUE"""),"นุช")</f>
        <v>นุช</v>
      </c>
      <c r="K200" t="str">
        <f>IFERROR(__xludf.DUMMYFUNCTION("""COMPUTED_VALUE"""),"Cabin Crew Checker")</f>
        <v>Cabin Crew Checker</v>
      </c>
      <c r="L200" t="str">
        <f>IFERROR(__xludf.DUMMYFUNCTION("""COMPUTED_VALUE"""),"DMK")</f>
        <v>DMK</v>
      </c>
      <c r="M200" s="145" t="str">
        <f>IFERROR(__xludf.DUMMYFUNCTION("""COMPUTED_VALUE"""),"CCD")</f>
        <v>CCD</v>
      </c>
      <c r="N200" t="str">
        <f>IFERROR(__xludf.DUMMYFUNCTION("""COMPUTED_VALUE"""),"Checker")</f>
        <v>Checker</v>
      </c>
      <c r="O200" t="str">
        <f>IFERROR(__xludf.DUMMYFUNCTION("""COMPUTED_VALUE"""),"Chinese Speaking")</f>
        <v>Chinese Speaking</v>
      </c>
      <c r="P200" s="143">
        <f>IFERROR(__xludf.DUMMYFUNCTION("""COMPUTED_VALUE"""),31795.0)</f>
        <v>31795</v>
      </c>
      <c r="Q200" s="146" t="str">
        <f>IFERROR(__xludf.DUMMYFUNCTION("""COMPUTED_VALUE"""),"062 461 9616")</f>
        <v>062 461 9616</v>
      </c>
      <c r="R200" s="147" t="str">
        <f>IFERROR(__xludf.DUMMYFUNCTION("""COMPUTED_VALUE"""),"1839900-10-8770")</f>
        <v>1839900-10-8770</v>
      </c>
      <c r="S200" t="str">
        <f>IFERROR(__xludf.DUMMYFUNCTION("""COMPUTED_VALUE"""),"AC4542947")</f>
        <v>AC4542947</v>
      </c>
      <c r="T200" s="148">
        <f>IFERROR(__xludf.DUMMYFUNCTION("""COMPUTED_VALUE"""),43451.0)</f>
        <v>43451</v>
      </c>
      <c r="U200" s="148">
        <f>IFERROR(__xludf.DUMMYFUNCTION("""COMPUTED_VALUE"""),48929.0)</f>
        <v>48929</v>
      </c>
      <c r="V200" s="149">
        <f>IFERROR(__xludf.DUMMYFUNCTION("""COMPUTED_VALUE"""),48746.0)</f>
        <v>48746</v>
      </c>
      <c r="W200" t="str">
        <f>IFERROR(__xludf.DUMMYFUNCTION("""COMPUTED_VALUE"""),"ปลอดภัย")</f>
        <v>ปลอดภัย</v>
      </c>
      <c r="X200" t="str">
        <f>IFERROR(__xludf.DUMMYFUNCTION("""COMPUTED_VALUE"""),"Phuket Province")</f>
        <v>Phuket Province</v>
      </c>
      <c r="Y200" t="str">
        <f>IFERROR(__xludf.DUMMYFUNCTION("""COMPUTED_VALUE"""),"ภูเก็ต")</f>
        <v>ภูเก็ต</v>
      </c>
      <c r="Z200" t="str">
        <f>IFERROR(__xludf.DUMMYFUNCTION("""COMPUTED_VALUE"""),"! Update !")</f>
        <v>! Update !</v>
      </c>
      <c r="AA200" t="str">
        <f>IFERROR(__xludf.DUMMYFUNCTION("""COMPUTED_VALUE"""),"! Update !")</f>
        <v>! Update !</v>
      </c>
      <c r="AB200" t="str">
        <f>IFERROR(__xludf.DUMMYFUNCTION("""COMPUTED_VALUE"""),"amornratw@airasia.com")</f>
        <v>amornratw@airasia.com</v>
      </c>
    </row>
    <row r="201">
      <c r="A201">
        <f>IFERROR(__xludf.DUMMYFUNCTION("""COMPUTED_VALUE"""),1004745.0)</f>
        <v>1004745</v>
      </c>
      <c r="B201" t="str">
        <f>IFERROR(__xludf.DUMMYFUNCTION("""COMPUTED_VALUE"""),"Ms.")</f>
        <v>Ms.</v>
      </c>
      <c r="C201" t="str">
        <f>IFERROR(__xludf.DUMMYFUNCTION("""COMPUTED_VALUE"""),"Angsumalin")</f>
        <v>Angsumalin</v>
      </c>
      <c r="D201" t="str">
        <f>IFERROR(__xludf.DUMMYFUNCTION("""COMPUTED_VALUE"""),"Arayachutinan")</f>
        <v>Arayachutinan</v>
      </c>
      <c r="E201" t="str">
        <f>IFERROR(__xludf.DUMMYFUNCTION("""COMPUTED_VALUE"""),"Angsumalin Arayachutinan")</f>
        <v>Angsumalin Arayachutinan</v>
      </c>
      <c r="F201" t="str">
        <f>IFERROR(__xludf.DUMMYFUNCTION("""COMPUTED_VALUE"""),"นางสาว")</f>
        <v>นางสาว</v>
      </c>
      <c r="G201" t="str">
        <f>IFERROR(__xludf.DUMMYFUNCTION("""COMPUTED_VALUE"""),"อังศุมาลิน")</f>
        <v>อังศุมาลิน</v>
      </c>
      <c r="H201" t="str">
        <f>IFERROR(__xludf.DUMMYFUNCTION("""COMPUTED_VALUE"""),"อารยะชุตินันท์")</f>
        <v>อารยะชุตินันท์</v>
      </c>
      <c r="I201" t="str">
        <f>IFERROR(__xludf.DUMMYFUNCTION("""COMPUTED_VALUE"""),"อังศุมาลิน อารยะชุตินันท์")</f>
        <v>อังศุมาลิน อารยะชุตินันท์</v>
      </c>
      <c r="J201" t="str">
        <f>IFERROR(__xludf.DUMMYFUNCTION("""COMPUTED_VALUE"""),"อัง")</f>
        <v>อัง</v>
      </c>
      <c r="K201" t="str">
        <f>IFERROR(__xludf.DUMMYFUNCTION("""COMPUTED_VALUE"""),"Senior Cabin Crew - CNX")</f>
        <v>Senior Cabin Crew - CNX</v>
      </c>
      <c r="L201" t="str">
        <f>IFERROR(__xludf.DUMMYFUNCTION("""COMPUTED_VALUE"""),"CNX")</f>
        <v>CNX</v>
      </c>
      <c r="M201" s="145" t="str">
        <f>IFERROR(__xludf.DUMMYFUNCTION("""COMPUTED_VALUE"""),"Up Home")</f>
        <v>Up Home</v>
      </c>
      <c r="N201" t="str">
        <f>IFERROR(__xludf.DUMMYFUNCTION("""COMPUTED_VALUE"""),"Active")</f>
        <v>Active</v>
      </c>
      <c r="O201" t="str">
        <f>IFERROR(__xludf.DUMMYFUNCTION("""COMPUTED_VALUE"""),"Chinese Speaking")</f>
        <v>Chinese Speaking</v>
      </c>
      <c r="P201" s="143">
        <f>IFERROR(__xludf.DUMMYFUNCTION("""COMPUTED_VALUE"""),31568.0)</f>
        <v>31568</v>
      </c>
      <c r="Q201" s="146" t="str">
        <f>IFERROR(__xludf.DUMMYFUNCTION("""COMPUTED_VALUE"""),"080 495 1059")</f>
        <v>080 495 1059</v>
      </c>
      <c r="R201" s="147" t="str">
        <f>IFERROR(__xludf.DUMMYFUNCTION("""COMPUTED_VALUE"""),"8500986-00-0524")</f>
        <v>8500986-00-0524</v>
      </c>
      <c r="S201" t="str">
        <f>IFERROR(__xludf.DUMMYFUNCTION("""COMPUTED_VALUE"""),"AC4880551")</f>
        <v>AC4880551</v>
      </c>
      <c r="T201" s="148">
        <f>IFERROR(__xludf.DUMMYFUNCTION("""COMPUTED_VALUE"""),45036.0)</f>
        <v>45036</v>
      </c>
      <c r="U201" s="148">
        <f>IFERROR(__xludf.DUMMYFUNCTION("""COMPUTED_VALUE"""),48688.0)</f>
        <v>48688</v>
      </c>
      <c r="V201" s="149">
        <f>IFERROR(__xludf.DUMMYFUNCTION("""COMPUTED_VALUE"""),48506.0)</f>
        <v>48506</v>
      </c>
      <c r="W201" t="str">
        <f>IFERROR(__xludf.DUMMYFUNCTION("""COMPUTED_VALUE"""),"ปลอดภัย")</f>
        <v>ปลอดภัย</v>
      </c>
      <c r="X201" t="str">
        <f>IFERROR(__xludf.DUMMYFUNCTION("""COMPUTED_VALUE"""),"Chiang Mai Province")</f>
        <v>Chiang Mai Province</v>
      </c>
      <c r="Y201" t="str">
        <f>IFERROR(__xludf.DUMMYFUNCTION("""COMPUTED_VALUE"""),"ลาดกระบัง")</f>
        <v>ลาดกระบัง</v>
      </c>
      <c r="Z201" t="str">
        <f>IFERROR(__xludf.DUMMYFUNCTION("""COMPUTED_VALUE"""),"084 222 7273")</f>
        <v>084 222 7273</v>
      </c>
      <c r="AA201" t="str">
        <f>IFERROR(__xludf.DUMMYFUNCTION("""COMPUTED_VALUE"""),"ไม่ระบุ")</f>
        <v>ไม่ระบุ</v>
      </c>
      <c r="AB201" t="str">
        <f>IFERROR(__xludf.DUMMYFUNCTION("""COMPUTED_VALUE"""),"angsumalina@airasia.com")</f>
        <v>angsumalina@airasia.com</v>
      </c>
    </row>
    <row r="202">
      <c r="A202">
        <f>IFERROR(__xludf.DUMMYFUNCTION("""COMPUTED_VALUE"""),1004748.0)</f>
        <v>1004748</v>
      </c>
      <c r="B202" t="str">
        <f>IFERROR(__xludf.DUMMYFUNCTION("""COMPUTED_VALUE"""),"Ms.")</f>
        <v>Ms.</v>
      </c>
      <c r="C202" t="str">
        <f>IFERROR(__xludf.DUMMYFUNCTION("""COMPUTED_VALUE"""),"Chirapha")</f>
        <v>Chirapha</v>
      </c>
      <c r="D202" t="str">
        <f>IFERROR(__xludf.DUMMYFUNCTION("""COMPUTED_VALUE"""),"Khlaikhlueng")</f>
        <v>Khlaikhlueng</v>
      </c>
      <c r="E202" t="str">
        <f>IFERROR(__xludf.DUMMYFUNCTION("""COMPUTED_VALUE"""),"Chirapha Khlaikhlueng")</f>
        <v>Chirapha Khlaikhlueng</v>
      </c>
      <c r="F202" t="str">
        <f>IFERROR(__xludf.DUMMYFUNCTION("""COMPUTED_VALUE"""),"นางสาว")</f>
        <v>นางสาว</v>
      </c>
      <c r="G202" t="str">
        <f>IFERROR(__xludf.DUMMYFUNCTION("""COMPUTED_VALUE"""),"จีราภา")</f>
        <v>จีราภา</v>
      </c>
      <c r="H202" t="str">
        <f>IFERROR(__xludf.DUMMYFUNCTION("""COMPUTED_VALUE"""),"คล้ายคลึง")</f>
        <v>คล้ายคลึง</v>
      </c>
      <c r="I202" t="str">
        <f>IFERROR(__xludf.DUMMYFUNCTION("""COMPUTED_VALUE"""),"จีราภา คล้ายคลึง")</f>
        <v>จีราภา คล้ายคลึง</v>
      </c>
      <c r="J202" t="str">
        <f>IFERROR(__xludf.DUMMYFUNCTION("""COMPUTED_VALUE"""),"ต๊ะ")</f>
        <v>ต๊ะ</v>
      </c>
      <c r="K202" t="str">
        <f>IFERROR(__xludf.DUMMYFUNCTION("""COMPUTED_VALUE"""),"Senior Cabin Crew")</f>
        <v>Senior Cabin Crew</v>
      </c>
      <c r="L202" t="str">
        <f>IFERROR(__xludf.DUMMYFUNCTION("""COMPUTED_VALUE"""),"DMK")</f>
        <v>DMK</v>
      </c>
      <c r="M202" s="145" t="str">
        <f>IFERROR(__xludf.DUMMYFUNCTION("""COMPUTED_VALUE"""),"Up Home")</f>
        <v>Up Home</v>
      </c>
      <c r="N202" t="str">
        <f>IFERROR(__xludf.DUMMYFUNCTION("""COMPUTED_VALUE"""),"Active")</f>
        <v>Active</v>
      </c>
      <c r="O202" t="str">
        <f>IFERROR(__xludf.DUMMYFUNCTION("""COMPUTED_VALUE"""),"Chinese Speaking")</f>
        <v>Chinese Speaking</v>
      </c>
      <c r="P202" s="143">
        <f>IFERROR(__xludf.DUMMYFUNCTION("""COMPUTED_VALUE"""),30850.0)</f>
        <v>30850</v>
      </c>
      <c r="Q202" s="146" t="str">
        <f>IFERROR(__xludf.DUMMYFUNCTION("""COMPUTED_VALUE"""),"087 826 2262")</f>
        <v>087 826 2262</v>
      </c>
      <c r="R202" s="147" t="str">
        <f>IFERROR(__xludf.DUMMYFUNCTION("""COMPUTED_VALUE"""),"1659900-02-6376")</f>
        <v>1659900-02-6376</v>
      </c>
      <c r="S202" t="str">
        <f>IFERROR(__xludf.DUMMYFUNCTION("""COMPUTED_VALUE"""),"AC4319972")</f>
        <v>AC4319972</v>
      </c>
      <c r="T202" s="148">
        <f>IFERROR(__xludf.DUMMYFUNCTION("""COMPUTED_VALUE"""),44929.0)</f>
        <v>44929</v>
      </c>
      <c r="U202" s="148">
        <f>IFERROR(__xludf.DUMMYFUNCTION("""COMPUTED_VALUE"""),48581.0)</f>
        <v>48581</v>
      </c>
      <c r="V202" s="149">
        <f>IFERROR(__xludf.DUMMYFUNCTION("""COMPUTED_VALUE"""),48397.0)</f>
        <v>48397</v>
      </c>
      <c r="W202" t="str">
        <f>IFERROR(__xludf.DUMMYFUNCTION("""COMPUTED_VALUE"""),"ปลอดภัย")</f>
        <v>ปลอดภัย</v>
      </c>
      <c r="X202" t="str">
        <f>IFERROR(__xludf.DUMMYFUNCTION("""COMPUTED_VALUE"""),"Phitsanulok Province")</f>
        <v>Phitsanulok Province</v>
      </c>
      <c r="Y202" t="str">
        <f>IFERROR(__xludf.DUMMYFUNCTION("""COMPUTED_VALUE"""),"บางกะปิ")</f>
        <v>บางกะปิ</v>
      </c>
      <c r="Z202" t="str">
        <f>IFERROR(__xludf.DUMMYFUNCTION("""COMPUTED_VALUE"""),"! Update !")</f>
        <v>! Update !</v>
      </c>
      <c r="AA202" t="str">
        <f>IFERROR(__xludf.DUMMYFUNCTION("""COMPUTED_VALUE"""),"! Update !")</f>
        <v>! Update !</v>
      </c>
      <c r="AB202" t="str">
        <f>IFERROR(__xludf.DUMMYFUNCTION("""COMPUTED_VALUE"""),"chiraphak@airasia.com")</f>
        <v>chiraphak@airasia.com</v>
      </c>
    </row>
    <row r="203">
      <c r="A203">
        <f>IFERROR(__xludf.DUMMYFUNCTION("""COMPUTED_VALUE"""),1004751.0)</f>
        <v>1004751</v>
      </c>
      <c r="B203" t="str">
        <f>IFERROR(__xludf.DUMMYFUNCTION("""COMPUTED_VALUE"""),"Ms.")</f>
        <v>Ms.</v>
      </c>
      <c r="C203" t="str">
        <f>IFERROR(__xludf.DUMMYFUNCTION("""COMPUTED_VALUE"""),"Manichaya")</f>
        <v>Manichaya</v>
      </c>
      <c r="D203" t="str">
        <f>IFERROR(__xludf.DUMMYFUNCTION("""COMPUTED_VALUE"""),"Samai")</f>
        <v>Samai</v>
      </c>
      <c r="E203" t="str">
        <f>IFERROR(__xludf.DUMMYFUNCTION("""COMPUTED_VALUE"""),"Manichaya Samai")</f>
        <v>Manichaya Samai</v>
      </c>
      <c r="F203" t="str">
        <f>IFERROR(__xludf.DUMMYFUNCTION("""COMPUTED_VALUE"""),"นางสาว")</f>
        <v>นางสาว</v>
      </c>
      <c r="G203" t="str">
        <f>IFERROR(__xludf.DUMMYFUNCTION("""COMPUTED_VALUE"""),"มณิชญา")</f>
        <v>มณิชญา</v>
      </c>
      <c r="H203" t="str">
        <f>IFERROR(__xludf.DUMMYFUNCTION("""COMPUTED_VALUE"""),"สมัย")</f>
        <v>สมัย</v>
      </c>
      <c r="I203" t="str">
        <f>IFERROR(__xludf.DUMMYFUNCTION("""COMPUTED_VALUE"""),"มณิชญา สมัย")</f>
        <v>มณิชญา สมัย</v>
      </c>
      <c r="J203" t="str">
        <f>IFERROR(__xludf.DUMMYFUNCTION("""COMPUTED_VALUE"""),"เอื้อย")</f>
        <v>เอื้อย</v>
      </c>
      <c r="K203" t="str">
        <f>IFERROR(__xludf.DUMMYFUNCTION("""COMPUTED_VALUE"""),"Senior Cabin Crew - BKK")</f>
        <v>Senior Cabin Crew - BKK</v>
      </c>
      <c r="L203" t="str">
        <f>IFERROR(__xludf.DUMMYFUNCTION("""COMPUTED_VALUE"""),"BKK")</f>
        <v>BKK</v>
      </c>
      <c r="M203" s="145" t="str">
        <f>IFERROR(__xludf.DUMMYFUNCTION("""COMPUTED_VALUE"""),"Nhui Home")</f>
        <v>Nhui Home</v>
      </c>
      <c r="N203" t="str">
        <f>IFERROR(__xludf.DUMMYFUNCTION("""COMPUTED_VALUE"""),"Active")</f>
        <v>Active</v>
      </c>
      <c r="P203" s="143">
        <f>IFERROR(__xludf.DUMMYFUNCTION("""COMPUTED_VALUE"""),31162.0)</f>
        <v>31162</v>
      </c>
      <c r="Q203" s="146" t="str">
        <f>IFERROR(__xludf.DUMMYFUNCTION("""COMPUTED_VALUE"""),"088 426 2426")</f>
        <v>088 426 2426</v>
      </c>
      <c r="R203" s="147" t="str">
        <f>IFERROR(__xludf.DUMMYFUNCTION("""COMPUTED_VALUE"""),"1101400-45-2225")</f>
        <v>1101400-45-2225</v>
      </c>
      <c r="S203" t="str">
        <f>IFERROR(__xludf.DUMMYFUNCTION("""COMPUTED_VALUE"""),"AD1647523")</f>
        <v>AD1647523</v>
      </c>
      <c r="T203" s="148">
        <f>IFERROR(__xludf.DUMMYFUNCTION("""COMPUTED_VALUE"""),45320.0)</f>
        <v>45320</v>
      </c>
      <c r="U203" s="148">
        <f>IFERROR(__xludf.DUMMYFUNCTION("""COMPUTED_VALUE"""),48972.0)</f>
        <v>48972</v>
      </c>
      <c r="V203" s="149">
        <f>IFERROR(__xludf.DUMMYFUNCTION("""COMPUTED_VALUE"""),48788.0)</f>
        <v>48788</v>
      </c>
      <c r="W203" t="str">
        <f>IFERROR(__xludf.DUMMYFUNCTION("""COMPUTED_VALUE"""),"ปลอดภัย")</f>
        <v>ปลอดภัย</v>
      </c>
      <c r="X203" t="str">
        <f>IFERROR(__xludf.DUMMYFUNCTION("""COMPUTED_VALUE"""),"Bangkok")</f>
        <v>Bangkok</v>
      </c>
      <c r="Y203" t="str">
        <f>IFERROR(__xludf.DUMMYFUNCTION("""COMPUTED_VALUE"""),"สุขาภิบาล3")</f>
        <v>สุขาภิบาล3</v>
      </c>
      <c r="Z203" t="str">
        <f>IFERROR(__xludf.DUMMYFUNCTION("""COMPUTED_VALUE"""),"02 728 0448")</f>
        <v>02 728 0448</v>
      </c>
      <c r="AA203" t="str">
        <f>IFERROR(__xludf.DUMMYFUNCTION("""COMPUTED_VALUE"""),"บ้าน")</f>
        <v>บ้าน</v>
      </c>
      <c r="AB203" t="str">
        <f>IFERROR(__xludf.DUMMYFUNCTION("""COMPUTED_VALUE"""),"manichayas@airasia.com")</f>
        <v>manichayas@airasia.com</v>
      </c>
    </row>
    <row r="204">
      <c r="A204">
        <f>IFERROR(__xludf.DUMMYFUNCTION("""COMPUTED_VALUE"""),1004754.0)</f>
        <v>1004754</v>
      </c>
      <c r="B204" t="str">
        <f>IFERROR(__xludf.DUMMYFUNCTION("""COMPUTED_VALUE"""),"Ms.")</f>
        <v>Ms.</v>
      </c>
      <c r="C204" t="str">
        <f>IFERROR(__xludf.DUMMYFUNCTION("""COMPUTED_VALUE"""),"Nantida")</f>
        <v>Nantida</v>
      </c>
      <c r="D204" t="str">
        <f>IFERROR(__xludf.DUMMYFUNCTION("""COMPUTED_VALUE"""),"Sae-Tan")</f>
        <v>Sae-Tan</v>
      </c>
      <c r="E204" t="str">
        <f>IFERROR(__xludf.DUMMYFUNCTION("""COMPUTED_VALUE"""),"Nantida Sae-Tan")</f>
        <v>Nantida Sae-Tan</v>
      </c>
      <c r="F204" t="str">
        <f>IFERROR(__xludf.DUMMYFUNCTION("""COMPUTED_VALUE"""),"นางสาว")</f>
        <v>นางสาว</v>
      </c>
      <c r="G204" t="str">
        <f>IFERROR(__xludf.DUMMYFUNCTION("""COMPUTED_VALUE"""),"นันทิดา")</f>
        <v>นันทิดา</v>
      </c>
      <c r="H204" t="str">
        <f>IFERROR(__xludf.DUMMYFUNCTION("""COMPUTED_VALUE"""),"แซ่ตัน")</f>
        <v>แซ่ตัน</v>
      </c>
      <c r="I204" t="str">
        <f>IFERROR(__xludf.DUMMYFUNCTION("""COMPUTED_VALUE"""),"นันทิดา แซ่ตัน")</f>
        <v>นันทิดา แซ่ตัน</v>
      </c>
      <c r="J204" t="str">
        <f>IFERROR(__xludf.DUMMYFUNCTION("""COMPUTED_VALUE"""),"ปิ่น")</f>
        <v>ปิ่น</v>
      </c>
      <c r="K204" t="str">
        <f>IFERROR(__xludf.DUMMYFUNCTION("""COMPUTED_VALUE"""),"Cabin Crew - HKT")</f>
        <v>Cabin Crew - HKT</v>
      </c>
      <c r="L204" t="str">
        <f>IFERROR(__xludf.DUMMYFUNCTION("""COMPUTED_VALUE"""),"HKT")</f>
        <v>HKT</v>
      </c>
      <c r="M204" s="145" t="str">
        <f>IFERROR(__xludf.DUMMYFUNCTION("""COMPUTED_VALUE"""),"Kor Home")</f>
        <v>Kor Home</v>
      </c>
      <c r="N204" t="str">
        <f>IFERROR(__xludf.DUMMYFUNCTION("""COMPUTED_VALUE"""),"Active/V/DMK")</f>
        <v>Active/V/DMK</v>
      </c>
      <c r="O204" t="str">
        <f>IFERROR(__xludf.DUMMYFUNCTION("""COMPUTED_VALUE"""),"Chinese Speaking")</f>
        <v>Chinese Speaking</v>
      </c>
      <c r="P204" s="143">
        <f>IFERROR(__xludf.DUMMYFUNCTION("""COMPUTED_VALUE"""),31823.0)</f>
        <v>31823</v>
      </c>
      <c r="Q204" s="146" t="str">
        <f>IFERROR(__xludf.DUMMYFUNCTION("""COMPUTED_VALUE"""),"097 918 5636")</f>
        <v>097 918 5636</v>
      </c>
      <c r="R204" s="147" t="str">
        <f>IFERROR(__xludf.DUMMYFUNCTION("""COMPUTED_VALUE"""),"1839900-11-0863")</f>
        <v>1839900-11-0863</v>
      </c>
      <c r="S204" t="str">
        <f>IFERROR(__xludf.DUMMYFUNCTION("""COMPUTED_VALUE"""),"AC3439320")</f>
        <v>AC3439320</v>
      </c>
      <c r="T204" s="148">
        <f>IFERROR(__xludf.DUMMYFUNCTION("""COMPUTED_VALUE"""),44733.0)</f>
        <v>44733</v>
      </c>
      <c r="U204" s="148">
        <f>IFERROR(__xludf.DUMMYFUNCTION("""COMPUTED_VALUE"""),48385.0)</f>
        <v>48385</v>
      </c>
      <c r="V204" s="149">
        <f>IFERROR(__xludf.DUMMYFUNCTION("""COMPUTED_VALUE"""),48202.0)</f>
        <v>48202</v>
      </c>
      <c r="W204" t="str">
        <f>IFERROR(__xludf.DUMMYFUNCTION("""COMPUTED_VALUE"""),"ปลอดภัย")</f>
        <v>ปลอดภัย</v>
      </c>
      <c r="X204" t="str">
        <f>IFERROR(__xludf.DUMMYFUNCTION("""COMPUTED_VALUE"""),"Phuket Province")</f>
        <v>Phuket Province</v>
      </c>
      <c r="Y204" t="str">
        <f>IFERROR(__xludf.DUMMYFUNCTION("""COMPUTED_VALUE"""),"ภูเก็ต")</f>
        <v>ภูเก็ต</v>
      </c>
      <c r="Z204" t="str">
        <f>IFERROR(__xludf.DUMMYFUNCTION("""COMPUTED_VALUE"""),"! Update !")</f>
        <v>! Update !</v>
      </c>
      <c r="AA204" t="str">
        <f>IFERROR(__xludf.DUMMYFUNCTION("""COMPUTED_VALUE"""),"ไม่ระบุ")</f>
        <v>ไม่ระบุ</v>
      </c>
      <c r="AB204" t="str">
        <f>IFERROR(__xludf.DUMMYFUNCTION("""COMPUTED_VALUE"""),"nantidas@airasia.com")</f>
        <v>nantidas@airasia.com</v>
      </c>
    </row>
    <row r="205">
      <c r="A205">
        <f>IFERROR(__xludf.DUMMYFUNCTION("""COMPUTED_VALUE"""),1004755.0)</f>
        <v>1004755</v>
      </c>
      <c r="B205" t="str">
        <f>IFERROR(__xludf.DUMMYFUNCTION("""COMPUTED_VALUE"""),"Ms.")</f>
        <v>Ms.</v>
      </c>
      <c r="C205" t="str">
        <f>IFERROR(__xludf.DUMMYFUNCTION("""COMPUTED_VALUE"""),"Nichapha")</f>
        <v>Nichapha</v>
      </c>
      <c r="D205" t="str">
        <f>IFERROR(__xludf.DUMMYFUNCTION("""COMPUTED_VALUE"""),"Ariyakulnimit")</f>
        <v>Ariyakulnimit</v>
      </c>
      <c r="E205" t="str">
        <f>IFERROR(__xludf.DUMMYFUNCTION("""COMPUTED_VALUE"""),"Nichapha Ariyakulnimit")</f>
        <v>Nichapha Ariyakulnimit</v>
      </c>
      <c r="F205" t="str">
        <f>IFERROR(__xludf.DUMMYFUNCTION("""COMPUTED_VALUE"""),"นางสาว")</f>
        <v>นางสาว</v>
      </c>
      <c r="G205" t="str">
        <f>IFERROR(__xludf.DUMMYFUNCTION("""COMPUTED_VALUE"""),"ณิชาภา")</f>
        <v>ณิชาภา</v>
      </c>
      <c r="H205" t="str">
        <f>IFERROR(__xludf.DUMMYFUNCTION("""COMPUTED_VALUE"""),"อริยกุลนิมิต")</f>
        <v>อริยกุลนิมิต</v>
      </c>
      <c r="I205" t="str">
        <f>IFERROR(__xludf.DUMMYFUNCTION("""COMPUTED_VALUE"""),"ณิชาภา อริยกุลนิมิต")</f>
        <v>ณิชาภา อริยกุลนิมิต</v>
      </c>
      <c r="J205" t="str">
        <f>IFERROR(__xludf.DUMMYFUNCTION("""COMPUTED_VALUE"""),"อีฟ")</f>
        <v>อีฟ</v>
      </c>
      <c r="K205" t="str">
        <f>IFERROR(__xludf.DUMMYFUNCTION("""COMPUTED_VALUE"""),"Senior Cabin Crew")</f>
        <v>Senior Cabin Crew</v>
      </c>
      <c r="L205" t="str">
        <f>IFERROR(__xludf.DUMMYFUNCTION("""COMPUTED_VALUE"""),"DMK")</f>
        <v>DMK</v>
      </c>
      <c r="M205" s="145" t="str">
        <f>IFERROR(__xludf.DUMMYFUNCTION("""COMPUTED_VALUE"""),"Por+ Home")</f>
        <v>Por+ Home</v>
      </c>
      <c r="N205" t="str">
        <f>IFERROR(__xludf.DUMMYFUNCTION("""COMPUTED_VALUE"""),"Active")</f>
        <v>Active</v>
      </c>
      <c r="P205" s="143">
        <f>IFERROR(__xludf.DUMMYFUNCTION("""COMPUTED_VALUE"""),30696.0)</f>
        <v>30696</v>
      </c>
      <c r="Q205" s="146" t="str">
        <f>IFERROR(__xludf.DUMMYFUNCTION("""COMPUTED_VALUE"""),"085 370 5199")</f>
        <v>085 370 5199</v>
      </c>
      <c r="R205" s="147" t="str">
        <f>IFERROR(__xludf.DUMMYFUNCTION("""COMPUTED_VALUE"""),"1901000-00-1491")</f>
        <v>1901000-00-1491</v>
      </c>
      <c r="S205" t="str">
        <f>IFERROR(__xludf.DUMMYFUNCTION("""COMPUTED_VALUE"""),"AC2757915")</f>
        <v>AC2757915</v>
      </c>
      <c r="T205" s="148">
        <f>IFERROR(__xludf.DUMMYFUNCTION("""COMPUTED_VALUE"""),44494.0)</f>
        <v>44494</v>
      </c>
      <c r="U205" s="148">
        <f>IFERROR(__xludf.DUMMYFUNCTION("""COMPUTED_VALUE"""),48145.0)</f>
        <v>48145</v>
      </c>
      <c r="V205" s="149">
        <f>IFERROR(__xludf.DUMMYFUNCTION("""COMPUTED_VALUE"""),47962.0)</f>
        <v>47962</v>
      </c>
      <c r="W205" t="str">
        <f>IFERROR(__xludf.DUMMYFUNCTION("""COMPUTED_VALUE"""),"ปลอดภัย")</f>
        <v>ปลอดภัย</v>
      </c>
      <c r="X205" t="str">
        <f>IFERROR(__xludf.DUMMYFUNCTION("""COMPUTED_VALUE"""),"Songkhla Province")</f>
        <v>Songkhla Province</v>
      </c>
      <c r="Y205" t="str">
        <f>IFERROR(__xludf.DUMMYFUNCTION("""COMPUTED_VALUE"""),"บางกะปิ")</f>
        <v>บางกะปิ</v>
      </c>
      <c r="Z205" t="str">
        <f>IFERROR(__xludf.DUMMYFUNCTION("""COMPUTED_VALUE"""),"085 370 5199")</f>
        <v>085 370 5199</v>
      </c>
      <c r="AA205" t="str">
        <f>IFERROR(__xludf.DUMMYFUNCTION("""COMPUTED_VALUE"""),"ไม่ระบุ")</f>
        <v>ไม่ระบุ</v>
      </c>
      <c r="AB205" t="str">
        <f>IFERROR(__xludf.DUMMYFUNCTION("""COMPUTED_VALUE"""),"nichaphaa@airasia.com")</f>
        <v>nichaphaa@airasia.com</v>
      </c>
    </row>
    <row r="206">
      <c r="A206">
        <f>IFERROR(__xludf.DUMMYFUNCTION("""COMPUTED_VALUE"""),1004757.0)</f>
        <v>1004757</v>
      </c>
      <c r="B206" t="str">
        <f>IFERROR(__xludf.DUMMYFUNCTION("""COMPUTED_VALUE"""),"Ms.")</f>
        <v>Ms.</v>
      </c>
      <c r="C206" t="str">
        <f>IFERROR(__xludf.DUMMYFUNCTION("""COMPUTED_VALUE"""),"Pimwaree")</f>
        <v>Pimwaree</v>
      </c>
      <c r="D206" t="str">
        <f>IFERROR(__xludf.DUMMYFUNCTION("""COMPUTED_VALUE"""),"Makmee")</f>
        <v>Makmee</v>
      </c>
      <c r="E206" t="str">
        <f>IFERROR(__xludf.DUMMYFUNCTION("""COMPUTED_VALUE"""),"Pimwaree Makmee")</f>
        <v>Pimwaree Makmee</v>
      </c>
      <c r="F206" t="str">
        <f>IFERROR(__xludf.DUMMYFUNCTION("""COMPUTED_VALUE"""),"นางสาว")</f>
        <v>นางสาว</v>
      </c>
      <c r="G206" t="str">
        <f>IFERROR(__xludf.DUMMYFUNCTION("""COMPUTED_VALUE"""),"พิมพ์วรีย์")</f>
        <v>พิมพ์วรีย์</v>
      </c>
      <c r="H206" t="str">
        <f>IFERROR(__xludf.DUMMYFUNCTION("""COMPUTED_VALUE"""),"มากมี")</f>
        <v>มากมี</v>
      </c>
      <c r="I206" t="str">
        <f>IFERROR(__xludf.DUMMYFUNCTION("""COMPUTED_VALUE"""),"พิมพ์วรีย์ มากมี")</f>
        <v>พิมพ์วรีย์ มากมี</v>
      </c>
      <c r="J206" t="str">
        <f>IFERROR(__xludf.DUMMYFUNCTION("""COMPUTED_VALUE"""),"วิว")</f>
        <v>วิว</v>
      </c>
      <c r="K206" t="str">
        <f>IFERROR(__xludf.DUMMYFUNCTION("""COMPUTED_VALUE"""),"Cabin Crew")</f>
        <v>Cabin Crew</v>
      </c>
      <c r="L206" t="str">
        <f>IFERROR(__xludf.DUMMYFUNCTION("""COMPUTED_VALUE"""),"DMK")</f>
        <v>DMK</v>
      </c>
      <c r="M206" s="145" t="str">
        <f>IFERROR(__xludf.DUMMYFUNCTION("""COMPUTED_VALUE"""),"Kor Home")</f>
        <v>Kor Home</v>
      </c>
      <c r="N206" t="str">
        <f>IFERROR(__xludf.DUMMYFUNCTION("""COMPUTED_VALUE"""),"Active")</f>
        <v>Active</v>
      </c>
      <c r="O206" t="str">
        <f>IFERROR(__xludf.DUMMYFUNCTION("""COMPUTED_VALUE"""),"Chinese Speaking")</f>
        <v>Chinese Speaking</v>
      </c>
      <c r="P206" s="143">
        <f>IFERROR(__xludf.DUMMYFUNCTION("""COMPUTED_VALUE"""),31757.0)</f>
        <v>31757</v>
      </c>
      <c r="Q206" s="146" t="str">
        <f>IFERROR(__xludf.DUMMYFUNCTION("""COMPUTED_VALUE"""),"086 169 5859")</f>
        <v>086 169 5859</v>
      </c>
      <c r="R206" s="147" t="str">
        <f>IFERROR(__xludf.DUMMYFUNCTION("""COMPUTED_VALUE"""),"1709900-25-7059")</f>
        <v>1709900-25-7059</v>
      </c>
      <c r="S206" t="str">
        <f>IFERROR(__xludf.DUMMYFUNCTION("""COMPUTED_VALUE"""),"AC2290713")</f>
        <v>AC2290713</v>
      </c>
      <c r="T206" s="148">
        <f>IFERROR(__xludf.DUMMYFUNCTION("""COMPUTED_VALUE"""),44343.0)</f>
        <v>44343</v>
      </c>
      <c r="U206" s="148">
        <f>IFERROR(__xludf.DUMMYFUNCTION("""COMPUTED_VALUE"""),47994.0)</f>
        <v>47994</v>
      </c>
      <c r="V206" s="149">
        <f>IFERROR(__xludf.DUMMYFUNCTION("""COMPUTED_VALUE"""),47813.0)</f>
        <v>47813</v>
      </c>
      <c r="W206" t="str">
        <f>IFERROR(__xludf.DUMMYFUNCTION("""COMPUTED_VALUE"""),"ปลอดภัย")</f>
        <v>ปลอดภัย</v>
      </c>
      <c r="X206" t="str">
        <f>IFERROR(__xludf.DUMMYFUNCTION("""COMPUTED_VALUE"""),"Ratchaburi Province")</f>
        <v>Ratchaburi Province</v>
      </c>
      <c r="Y206" t="str">
        <f>IFERROR(__xludf.DUMMYFUNCTION("""COMPUTED_VALUE"""),"ลาดกระบัง")</f>
        <v>ลาดกระบัง</v>
      </c>
      <c r="Z206" t="str">
        <f>IFERROR(__xludf.DUMMYFUNCTION("""COMPUTED_VALUE"""),"086 169 5859")</f>
        <v>086 169 5859</v>
      </c>
      <c r="AA206" t="str">
        <f>IFERROR(__xludf.DUMMYFUNCTION("""COMPUTED_VALUE"""),"ไม่ระบุ")</f>
        <v>ไม่ระบุ</v>
      </c>
      <c r="AB206" t="str">
        <f>IFERROR(__xludf.DUMMYFUNCTION("""COMPUTED_VALUE"""),"pimwareem@airasia.com")</f>
        <v>pimwareem@airasia.com</v>
      </c>
    </row>
    <row r="207">
      <c r="A207">
        <f>IFERROR(__xludf.DUMMYFUNCTION("""COMPUTED_VALUE"""),1004762.0)</f>
        <v>1004762</v>
      </c>
      <c r="B207" t="str">
        <f>IFERROR(__xludf.DUMMYFUNCTION("""COMPUTED_VALUE"""),"Ms.")</f>
        <v>Ms.</v>
      </c>
      <c r="C207" t="str">
        <f>IFERROR(__xludf.DUMMYFUNCTION("""COMPUTED_VALUE"""),"Thiprutai")</f>
        <v>Thiprutai</v>
      </c>
      <c r="D207" t="str">
        <f>IFERROR(__xludf.DUMMYFUNCTION("""COMPUTED_VALUE"""),"Dechpakdee")</f>
        <v>Dechpakdee</v>
      </c>
      <c r="E207" t="str">
        <f>IFERROR(__xludf.DUMMYFUNCTION("""COMPUTED_VALUE"""),"Thiprutai Dechpakdee")</f>
        <v>Thiprutai Dechpakdee</v>
      </c>
      <c r="F207" t="str">
        <f>IFERROR(__xludf.DUMMYFUNCTION("""COMPUTED_VALUE"""),"นางสาว")</f>
        <v>นางสาว</v>
      </c>
      <c r="G207" t="str">
        <f>IFERROR(__xludf.DUMMYFUNCTION("""COMPUTED_VALUE"""),"ทิพย์ฤทัย")</f>
        <v>ทิพย์ฤทัย</v>
      </c>
      <c r="H207" t="str">
        <f>IFERROR(__xludf.DUMMYFUNCTION("""COMPUTED_VALUE"""),"เดชภักดี")</f>
        <v>เดชภักดี</v>
      </c>
      <c r="I207" t="str">
        <f>IFERROR(__xludf.DUMMYFUNCTION("""COMPUTED_VALUE"""),"ทิพย์ฤทัย เดชภักดี")</f>
        <v>ทิพย์ฤทัย เดชภักดี</v>
      </c>
      <c r="J207" t="str">
        <f>IFERROR(__xludf.DUMMYFUNCTION("""COMPUTED_VALUE"""),"แพรว")</f>
        <v>แพรว</v>
      </c>
      <c r="K207" t="str">
        <f>IFERROR(__xludf.DUMMYFUNCTION("""COMPUTED_VALUE"""),"Senior Cabin Crew - HKT")</f>
        <v>Senior Cabin Crew - HKT</v>
      </c>
      <c r="L207" t="str">
        <f>IFERROR(__xludf.DUMMYFUNCTION("""COMPUTED_VALUE"""),"HKT")</f>
        <v>HKT</v>
      </c>
      <c r="M207" s="145" t="str">
        <f>IFERROR(__xludf.DUMMYFUNCTION("""COMPUTED_VALUE"""),"Kor Home")</f>
        <v>Kor Home</v>
      </c>
      <c r="N207" t="str">
        <f>IFERROR(__xludf.DUMMYFUNCTION("""COMPUTED_VALUE"""),"Active")</f>
        <v>Active</v>
      </c>
      <c r="O207" t="str">
        <f>IFERROR(__xludf.DUMMYFUNCTION("""COMPUTED_VALUE"""),"Chinese Speaking")</f>
        <v>Chinese Speaking</v>
      </c>
      <c r="P207" s="143">
        <f>IFERROR(__xludf.DUMMYFUNCTION("""COMPUTED_VALUE"""),32635.0)</f>
        <v>32635</v>
      </c>
      <c r="Q207" s="146" t="str">
        <f>IFERROR(__xludf.DUMMYFUNCTION("""COMPUTED_VALUE"""),"086 343 9344")</f>
        <v>086 343 9344</v>
      </c>
      <c r="R207" s="147" t="str">
        <f>IFERROR(__xludf.DUMMYFUNCTION("""COMPUTED_VALUE"""),"1929900-18-5871")</f>
        <v>1929900-18-5871</v>
      </c>
      <c r="S207" t="str">
        <f>IFERROR(__xludf.DUMMYFUNCTION("""COMPUTED_VALUE"""),"AC7980971")</f>
        <v>AC7980971</v>
      </c>
      <c r="T207" s="148">
        <f>IFERROR(__xludf.DUMMYFUNCTION("""COMPUTED_VALUE"""),45691.0)</f>
        <v>45691</v>
      </c>
      <c r="U207" s="148">
        <f>IFERROR(__xludf.DUMMYFUNCTION("""COMPUTED_VALUE"""),49342.0)</f>
        <v>49342</v>
      </c>
      <c r="V207" s="149">
        <f>IFERROR(__xludf.DUMMYFUNCTION("""COMPUTED_VALUE"""),49158.0)</f>
        <v>49158</v>
      </c>
      <c r="W207" t="str">
        <f>IFERROR(__xludf.DUMMYFUNCTION("""COMPUTED_VALUE"""),"ปลอดภัย")</f>
        <v>ปลอดภัย</v>
      </c>
      <c r="X207" t="str">
        <f>IFERROR(__xludf.DUMMYFUNCTION("""COMPUTED_VALUE"""),"Trang Province")</f>
        <v>Trang Province</v>
      </c>
      <c r="Y207" t="str">
        <f>IFERROR(__xludf.DUMMYFUNCTION("""COMPUTED_VALUE"""),"ภูเก็ต")</f>
        <v>ภูเก็ต</v>
      </c>
      <c r="Z207" t="str">
        <f>IFERROR(__xludf.DUMMYFUNCTION("""COMPUTED_VALUE"""),"087 334 6931")</f>
        <v>087 334 6931</v>
      </c>
      <c r="AA207" t="str">
        <f>IFERROR(__xludf.DUMMYFUNCTION("""COMPUTED_VALUE"""),"ไม่ระบุ")</f>
        <v>ไม่ระบุ</v>
      </c>
      <c r="AB207" t="str">
        <f>IFERROR(__xludf.DUMMYFUNCTION("""COMPUTED_VALUE"""),"thiprutaid@airasia.com")</f>
        <v>thiprutaid@airasia.com</v>
      </c>
    </row>
    <row r="208">
      <c r="A208">
        <f>IFERROR(__xludf.DUMMYFUNCTION("""COMPUTED_VALUE"""),1004764.0)</f>
        <v>1004764</v>
      </c>
      <c r="B208" t="str">
        <f>IFERROR(__xludf.DUMMYFUNCTION("""COMPUTED_VALUE"""),"Ms.")</f>
        <v>Ms.</v>
      </c>
      <c r="C208" t="str">
        <f>IFERROR(__xludf.DUMMYFUNCTION("""COMPUTED_VALUE"""),"Wakulnatt (Awatsara)")</f>
        <v>Wakulnatt (Awatsara)</v>
      </c>
      <c r="D208" t="str">
        <f>IFERROR(__xludf.DUMMYFUNCTION("""COMPUTED_VALUE"""),"Santipiyakul")</f>
        <v>Santipiyakul</v>
      </c>
      <c r="E208" t="str">
        <f>IFERROR(__xludf.DUMMYFUNCTION("""COMPUTED_VALUE"""),"Wakulnatt Santipiyakul")</f>
        <v>Wakulnatt Santipiyakul</v>
      </c>
      <c r="F208" t="str">
        <f>IFERROR(__xludf.DUMMYFUNCTION("""COMPUTED_VALUE"""),"นางสาว")</f>
        <v>นางสาว</v>
      </c>
      <c r="G208" t="str">
        <f>IFERROR(__xludf.DUMMYFUNCTION("""COMPUTED_VALUE"""),"วกุลณัฏฐ์ (อวัสรา)")</f>
        <v>วกุลณัฏฐ์ (อวัสรา)</v>
      </c>
      <c r="H208" t="str">
        <f>IFERROR(__xludf.DUMMYFUNCTION("""COMPUTED_VALUE"""),"สันติปิยกุล")</f>
        <v>สันติปิยกุล</v>
      </c>
      <c r="I208" t="str">
        <f>IFERROR(__xludf.DUMMYFUNCTION("""COMPUTED_VALUE"""),"วกุลณัฏฐ์ สันติปิยกุล")</f>
        <v>วกุลณัฏฐ์ สันติปิยกุล</v>
      </c>
      <c r="J208" t="str">
        <f>IFERROR(__xludf.DUMMYFUNCTION("""COMPUTED_VALUE"""),"ไหม")</f>
        <v>ไหม</v>
      </c>
      <c r="K208" t="str">
        <f>IFERROR(__xludf.DUMMYFUNCTION("""COMPUTED_VALUE"""),"Senior Cabin Crew - CNX")</f>
        <v>Senior Cabin Crew - CNX</v>
      </c>
      <c r="L208" s="145" t="str">
        <f>IFERROR(__xludf.DUMMYFUNCTION("""COMPUTED_VALUE"""),"CNX")</f>
        <v>CNX</v>
      </c>
      <c r="M208" s="145" t="str">
        <f>IFERROR(__xludf.DUMMYFUNCTION("""COMPUTED_VALUE"""),"Up Home")</f>
        <v>Up Home</v>
      </c>
      <c r="N208" t="str">
        <f>IFERROR(__xludf.DUMMYFUNCTION("""COMPUTED_VALUE"""),"Active")</f>
        <v>Active</v>
      </c>
      <c r="P208" s="143">
        <f>IFERROR(__xludf.DUMMYFUNCTION("""COMPUTED_VALUE"""),32092.0)</f>
        <v>32092</v>
      </c>
      <c r="Q208" s="146" t="str">
        <f>IFERROR(__xludf.DUMMYFUNCTION("""COMPUTED_VALUE"""),"080 464 9922")</f>
        <v>080 464 9922</v>
      </c>
      <c r="R208" s="147" t="str">
        <f>IFERROR(__xludf.DUMMYFUNCTION("""COMPUTED_VALUE"""),"1909800-24-6436")</f>
        <v>1909800-24-6436</v>
      </c>
      <c r="S208" t="str">
        <f>IFERROR(__xludf.DUMMYFUNCTION("""COMPUTED_VALUE"""),"AC2296758")</f>
        <v>AC2296758</v>
      </c>
      <c r="T208" s="148">
        <f>IFERROR(__xludf.DUMMYFUNCTION("""COMPUTED_VALUE"""),44347.0)</f>
        <v>44347</v>
      </c>
      <c r="U208" s="148">
        <f>IFERROR(__xludf.DUMMYFUNCTION("""COMPUTED_VALUE"""),47998.0)</f>
        <v>47998</v>
      </c>
      <c r="V208" s="149">
        <f>IFERROR(__xludf.DUMMYFUNCTION("""COMPUTED_VALUE"""),47817.0)</f>
        <v>47817</v>
      </c>
      <c r="W208" t="str">
        <f>IFERROR(__xludf.DUMMYFUNCTION("""COMPUTED_VALUE"""),"ปลอดภัย")</f>
        <v>ปลอดภัย</v>
      </c>
      <c r="X208" t="str">
        <f>IFERROR(__xludf.DUMMYFUNCTION("""COMPUTED_VALUE"""),"Songkhla Province")</f>
        <v>Songkhla Province</v>
      </c>
      <c r="Y208" t="str">
        <f>IFERROR(__xludf.DUMMYFUNCTION("""COMPUTED_VALUE"""),"สุขาภิบาล3")</f>
        <v>สุขาภิบาล3</v>
      </c>
      <c r="Z208" t="str">
        <f>IFERROR(__xludf.DUMMYFUNCTION("""COMPUTED_VALUE"""),"086 297 7118")</f>
        <v>086 297 7118</v>
      </c>
      <c r="AA208" t="str">
        <f>IFERROR(__xludf.DUMMYFUNCTION("""COMPUTED_VALUE"""),"แม่")</f>
        <v>แม่</v>
      </c>
      <c r="AB208" t="str">
        <f>IFERROR(__xludf.DUMMYFUNCTION("""COMPUTED_VALUE"""),"wakulnatts@airasia.com")</f>
        <v>wakulnatts@airasia.com</v>
      </c>
    </row>
    <row r="209">
      <c r="A209">
        <f>IFERROR(__xludf.DUMMYFUNCTION("""COMPUTED_VALUE"""),1004765.0)</f>
        <v>1004765</v>
      </c>
      <c r="B209" t="str">
        <f>IFERROR(__xludf.DUMMYFUNCTION("""COMPUTED_VALUE"""),"Ms.")</f>
        <v>Ms.</v>
      </c>
      <c r="C209" t="str">
        <f>IFERROR(__xludf.DUMMYFUNCTION("""COMPUTED_VALUE"""),"Wasinee")</f>
        <v>Wasinee</v>
      </c>
      <c r="D209" t="str">
        <f>IFERROR(__xludf.DUMMYFUNCTION("""COMPUTED_VALUE"""),"Leeopas")</f>
        <v>Leeopas</v>
      </c>
      <c r="E209" t="str">
        <f>IFERROR(__xludf.DUMMYFUNCTION("""COMPUTED_VALUE"""),"Wasinee Leeopas")</f>
        <v>Wasinee Leeopas</v>
      </c>
      <c r="F209" t="str">
        <f>IFERROR(__xludf.DUMMYFUNCTION("""COMPUTED_VALUE"""),"นางสาว")</f>
        <v>นางสาว</v>
      </c>
      <c r="G209" t="str">
        <f>IFERROR(__xludf.DUMMYFUNCTION("""COMPUTED_VALUE"""),"วศินี")</f>
        <v>วศินี</v>
      </c>
      <c r="H209" t="str">
        <f>IFERROR(__xludf.DUMMYFUNCTION("""COMPUTED_VALUE"""),"ลีโอภาส")</f>
        <v>ลีโอภาส</v>
      </c>
      <c r="I209" t="str">
        <f>IFERROR(__xludf.DUMMYFUNCTION("""COMPUTED_VALUE"""),"วศินี ลีโอภาส")</f>
        <v>วศินี ลีโอภาส</v>
      </c>
      <c r="J209" t="str">
        <f>IFERROR(__xludf.DUMMYFUNCTION("""COMPUTED_VALUE"""),"เกด")</f>
        <v>เกด</v>
      </c>
      <c r="K209" t="str">
        <f>IFERROR(__xludf.DUMMYFUNCTION("""COMPUTED_VALUE"""),"Cabin Crew")</f>
        <v>Cabin Crew</v>
      </c>
      <c r="L209" t="str">
        <f>IFERROR(__xludf.DUMMYFUNCTION("""COMPUTED_VALUE"""),"DMK")</f>
        <v>DMK</v>
      </c>
      <c r="M209" s="145" t="str">
        <f>IFERROR(__xludf.DUMMYFUNCTION("""COMPUTED_VALUE"""),"Up Home")</f>
        <v>Up Home</v>
      </c>
      <c r="N209" t="str">
        <f>IFERROR(__xludf.DUMMYFUNCTION("""COMPUTED_VALUE"""),"Active")</f>
        <v>Active</v>
      </c>
      <c r="O209" t="str">
        <f>IFERROR(__xludf.DUMMYFUNCTION("""COMPUTED_VALUE"""),"Chinese Speaking")</f>
        <v>Chinese Speaking</v>
      </c>
      <c r="P209" s="143">
        <f>IFERROR(__xludf.DUMMYFUNCTION("""COMPUTED_VALUE"""),30930.0)</f>
        <v>30930</v>
      </c>
      <c r="Q209" s="146" t="str">
        <f>IFERROR(__xludf.DUMMYFUNCTION("""COMPUTED_VALUE"""),"089 495 9694")</f>
        <v>089 495 9694</v>
      </c>
      <c r="R209" s="147" t="str">
        <f>IFERROR(__xludf.DUMMYFUNCTION("""COMPUTED_VALUE"""),"1909800-04-2849")</f>
        <v>1909800-04-2849</v>
      </c>
      <c r="S209" t="str">
        <f>IFERROR(__xludf.DUMMYFUNCTION("""COMPUTED_VALUE"""),"AC2946864")</f>
        <v>AC2946864</v>
      </c>
      <c r="T209" s="148">
        <f>IFERROR(__xludf.DUMMYFUNCTION("""COMPUTED_VALUE"""),44636.0)</f>
        <v>44636</v>
      </c>
      <c r="U209" s="148">
        <f>IFERROR(__xludf.DUMMYFUNCTION("""COMPUTED_VALUE"""),48288.0)</f>
        <v>48288</v>
      </c>
      <c r="V209" s="149">
        <f>IFERROR(__xludf.DUMMYFUNCTION("""COMPUTED_VALUE"""),48106.0)</f>
        <v>48106</v>
      </c>
      <c r="W209" t="str">
        <f>IFERROR(__xludf.DUMMYFUNCTION("""COMPUTED_VALUE"""),"ปลอดภัย")</f>
        <v>ปลอดภัย</v>
      </c>
      <c r="X209" t="str">
        <f>IFERROR(__xludf.DUMMYFUNCTION("""COMPUTED_VALUE"""),"Songkhla Province")</f>
        <v>Songkhla Province</v>
      </c>
      <c r="Y209" t="str">
        <f>IFERROR(__xludf.DUMMYFUNCTION("""COMPUTED_VALUE"""),"ลาดกระบัง")</f>
        <v>ลาดกระบัง</v>
      </c>
      <c r="Z209" t="str">
        <f>IFERROR(__xludf.DUMMYFUNCTION("""COMPUTED_VALUE"""),"081 415 0050")</f>
        <v>081 415 0050</v>
      </c>
      <c r="AA209" t="str">
        <f>IFERROR(__xludf.DUMMYFUNCTION("""COMPUTED_VALUE"""),"พ่อ")</f>
        <v>พ่อ</v>
      </c>
      <c r="AB209" t="str">
        <f>IFERROR(__xludf.DUMMYFUNCTION("""COMPUTED_VALUE"""),"wasineel@airasia.com")</f>
        <v>wasineel@airasia.com</v>
      </c>
    </row>
    <row r="210">
      <c r="A210">
        <f>IFERROR(__xludf.DUMMYFUNCTION("""COMPUTED_VALUE"""),1004766.0)</f>
        <v>1004766</v>
      </c>
      <c r="B210" t="str">
        <f>IFERROR(__xludf.DUMMYFUNCTION("""COMPUTED_VALUE"""),"Ms.")</f>
        <v>Ms.</v>
      </c>
      <c r="C210" t="str">
        <f>IFERROR(__xludf.DUMMYFUNCTION("""COMPUTED_VALUE"""),"Wijittra")</f>
        <v>Wijittra</v>
      </c>
      <c r="D210" t="str">
        <f>IFERROR(__xludf.DUMMYFUNCTION("""COMPUTED_VALUE"""),"Tapon")</f>
        <v>Tapon</v>
      </c>
      <c r="E210" t="str">
        <f>IFERROR(__xludf.DUMMYFUNCTION("""COMPUTED_VALUE"""),"Wijittra Tapon")</f>
        <v>Wijittra Tapon</v>
      </c>
      <c r="F210" t="str">
        <f>IFERROR(__xludf.DUMMYFUNCTION("""COMPUTED_VALUE"""),"นางสาว")</f>
        <v>นางสาว</v>
      </c>
      <c r="G210" t="str">
        <f>IFERROR(__xludf.DUMMYFUNCTION("""COMPUTED_VALUE"""),"วิจิตรา")</f>
        <v>วิจิตรา</v>
      </c>
      <c r="H210" t="str">
        <f>IFERROR(__xludf.DUMMYFUNCTION("""COMPUTED_VALUE"""),"ทะปน")</f>
        <v>ทะปน</v>
      </c>
      <c r="I210" t="str">
        <f>IFERROR(__xludf.DUMMYFUNCTION("""COMPUTED_VALUE"""),"วิจิตรา ทะปน")</f>
        <v>วิจิตรา ทะปน</v>
      </c>
      <c r="J210" t="str">
        <f>IFERROR(__xludf.DUMMYFUNCTION("""COMPUTED_VALUE"""),"แอนนา")</f>
        <v>แอนนา</v>
      </c>
      <c r="K210" t="str">
        <f>IFERROR(__xludf.DUMMYFUNCTION("""COMPUTED_VALUE"""),"Cabin Crew - CNX")</f>
        <v>Cabin Crew - CNX</v>
      </c>
      <c r="L210" t="str">
        <f>IFERROR(__xludf.DUMMYFUNCTION("""COMPUTED_VALUE"""),"CNX")</f>
        <v>CNX</v>
      </c>
      <c r="M210" s="145" t="str">
        <f>IFERROR(__xludf.DUMMYFUNCTION("""COMPUTED_VALUE"""),"Up Home")</f>
        <v>Up Home</v>
      </c>
      <c r="N210" t="str">
        <f>IFERROR(__xludf.DUMMYFUNCTION("""COMPUTED_VALUE"""),"Active")</f>
        <v>Active</v>
      </c>
      <c r="P210" s="143">
        <f>IFERROR(__xludf.DUMMYFUNCTION("""COMPUTED_VALUE"""),32014.0)</f>
        <v>32014</v>
      </c>
      <c r="Q210" s="146" t="str">
        <f>IFERROR(__xludf.DUMMYFUNCTION("""COMPUTED_VALUE"""),"092 459 9191")</f>
        <v>092 459 9191</v>
      </c>
      <c r="R210" s="147" t="str">
        <f>IFERROR(__xludf.DUMMYFUNCTION("""COMPUTED_VALUE"""),"1560100-11-5521")</f>
        <v>1560100-11-5521</v>
      </c>
      <c r="S210" t="str">
        <f>IFERROR(__xludf.DUMMYFUNCTION("""COMPUTED_VALUE"""),"AC4351829")</f>
        <v>AC4351829</v>
      </c>
      <c r="T210" s="148">
        <f>IFERROR(__xludf.DUMMYFUNCTION("""COMPUTED_VALUE"""),44932.0)</f>
        <v>44932</v>
      </c>
      <c r="U210" s="148">
        <f>IFERROR(__xludf.DUMMYFUNCTION("""COMPUTED_VALUE"""),48584.0)</f>
        <v>48584</v>
      </c>
      <c r="V210" s="149">
        <f>IFERROR(__xludf.DUMMYFUNCTION("""COMPUTED_VALUE"""),48400.0)</f>
        <v>48400</v>
      </c>
      <c r="W210" t="str">
        <f>IFERROR(__xludf.DUMMYFUNCTION("""COMPUTED_VALUE"""),"ปลอดภัย")</f>
        <v>ปลอดภัย</v>
      </c>
      <c r="X210" t="str">
        <f>IFERROR(__xludf.DUMMYFUNCTION("""COMPUTED_VALUE"""),"Phayao Province")</f>
        <v>Phayao Province</v>
      </c>
      <c r="Y210" t="str">
        <f>IFERROR(__xludf.DUMMYFUNCTION("""COMPUTED_VALUE"""),"ลาดกระบัง")</f>
        <v>ลาดกระบัง</v>
      </c>
      <c r="Z210" t="str">
        <f>IFERROR(__xludf.DUMMYFUNCTION("""COMPUTED_VALUE"""),"054 427959")</f>
        <v>054 427959</v>
      </c>
      <c r="AA210" t="str">
        <f>IFERROR(__xludf.DUMMYFUNCTION("""COMPUTED_VALUE"""),"บ้าน")</f>
        <v>บ้าน</v>
      </c>
      <c r="AB210" t="str">
        <f>IFERROR(__xludf.DUMMYFUNCTION("""COMPUTED_VALUE"""),"wijittrat@airasia.com")</f>
        <v>wijittrat@airasia.com</v>
      </c>
    </row>
    <row r="211">
      <c r="AB211" t="str">
        <f>IFERROR(__xludf.DUMMYFUNCTION("""COMPUTED_VALUE"""),"")</f>
        <v/>
      </c>
    </row>
    <row r="212">
      <c r="A212">
        <f>IFERROR(__xludf.DUMMYFUNCTION("""COMPUTED_VALUE"""),1004839.0)</f>
        <v>1004839</v>
      </c>
      <c r="B212" t="str">
        <f>IFERROR(__xludf.DUMMYFUNCTION("""COMPUTED_VALUE"""),"Ms.")</f>
        <v>Ms.</v>
      </c>
      <c r="C212" t="str">
        <f>IFERROR(__xludf.DUMMYFUNCTION("""COMPUTED_VALUE"""),"Jutarat")</f>
        <v>Jutarat</v>
      </c>
      <c r="D212" t="str">
        <f>IFERROR(__xludf.DUMMYFUNCTION("""COMPUTED_VALUE"""),"Permpornsri")</f>
        <v>Permpornsri</v>
      </c>
      <c r="E212" t="str">
        <f>IFERROR(__xludf.DUMMYFUNCTION("""COMPUTED_VALUE"""),"Jutarat Permpornsri")</f>
        <v>Jutarat Permpornsri</v>
      </c>
      <c r="F212" t="str">
        <f>IFERROR(__xludf.DUMMYFUNCTION("""COMPUTED_VALUE"""),"นางสาว")</f>
        <v>นางสาว</v>
      </c>
      <c r="G212" t="str">
        <f>IFERROR(__xludf.DUMMYFUNCTION("""COMPUTED_VALUE"""),"จุฑารัตน์")</f>
        <v>จุฑารัตน์</v>
      </c>
      <c r="H212" t="str">
        <f>IFERROR(__xludf.DUMMYFUNCTION("""COMPUTED_VALUE"""),"เพิ่มพรศรี")</f>
        <v>เพิ่มพรศรี</v>
      </c>
      <c r="I212" t="str">
        <f>IFERROR(__xludf.DUMMYFUNCTION("""COMPUTED_VALUE"""),"จุฑารัตน์ เพิ่มพรศรี")</f>
        <v>จุฑารัตน์ เพิ่มพรศรี</v>
      </c>
      <c r="J212" t="str">
        <f>IFERROR(__xludf.DUMMYFUNCTION("""COMPUTED_VALUE"""),"Ju")</f>
        <v>Ju</v>
      </c>
      <c r="K212" t="str">
        <f>IFERROR(__xludf.DUMMYFUNCTION("""COMPUTED_VALUE"""),"Senior Cabin Crew")</f>
        <v>Senior Cabin Crew</v>
      </c>
      <c r="L212" t="str">
        <f>IFERROR(__xludf.DUMMYFUNCTION("""COMPUTED_VALUE"""),"DMK")</f>
        <v>DMK</v>
      </c>
      <c r="M212" s="145" t="str">
        <f>IFERROR(__xludf.DUMMYFUNCTION("""COMPUTED_VALUE"""),"Por+ Home")</f>
        <v>Por+ Home</v>
      </c>
      <c r="N212" t="str">
        <f>IFERROR(__xludf.DUMMYFUNCTION("""COMPUTED_VALUE"""),"Active")</f>
        <v>Active</v>
      </c>
      <c r="P212" s="143">
        <f>IFERROR(__xludf.DUMMYFUNCTION("""COMPUTED_VALUE"""),31678.0)</f>
        <v>31678</v>
      </c>
      <c r="Q212" s="146" t="str">
        <f>IFERROR(__xludf.DUMMYFUNCTION("""COMPUTED_VALUE"""),"093 495 6645")</f>
        <v>093 495 6645</v>
      </c>
      <c r="R212" s="147" t="str">
        <f>IFERROR(__xludf.DUMMYFUNCTION("""COMPUTED_VALUE"""),"1309900-23-6675")</f>
        <v>1309900-23-6675</v>
      </c>
      <c r="S212" t="str">
        <f>IFERROR(__xludf.DUMMYFUNCTION("""COMPUTED_VALUE"""),"AC3303774")</f>
        <v>AC3303774</v>
      </c>
      <c r="T212" s="148">
        <f>IFERROR(__xludf.DUMMYFUNCTION("""COMPUTED_VALUE"""),44720.0)</f>
        <v>44720</v>
      </c>
      <c r="U212" s="148">
        <f>IFERROR(__xludf.DUMMYFUNCTION("""COMPUTED_VALUE"""),48372.0)</f>
        <v>48372</v>
      </c>
      <c r="V212" s="149">
        <f>IFERROR(__xludf.DUMMYFUNCTION("""COMPUTED_VALUE"""),48189.0)</f>
        <v>48189</v>
      </c>
      <c r="W212" t="str">
        <f>IFERROR(__xludf.DUMMYFUNCTION("""COMPUTED_VALUE"""),"ปลอดภัย")</f>
        <v>ปลอดภัย</v>
      </c>
      <c r="X212" t="str">
        <f>IFERROR(__xludf.DUMMYFUNCTION("""COMPUTED_VALUE"""),"Nakhon Ratchasima Province")</f>
        <v>Nakhon Ratchasima Province</v>
      </c>
      <c r="Y212" t="str">
        <f>IFERROR(__xludf.DUMMYFUNCTION("""COMPUTED_VALUE"""),"คลอง")</f>
        <v>คลอง</v>
      </c>
      <c r="Z212" t="str">
        <f>IFERROR(__xludf.DUMMYFUNCTION("""COMPUTED_VALUE"""),"086 9020070")</f>
        <v>086 9020070</v>
      </c>
      <c r="AA212" t="str">
        <f>IFERROR(__xludf.DUMMYFUNCTION("""COMPUTED_VALUE"""),"ไม่ระบุ")</f>
        <v>ไม่ระบุ</v>
      </c>
      <c r="AB212" t="str">
        <f>IFERROR(__xludf.DUMMYFUNCTION("""COMPUTED_VALUE"""),"jutaratp@airasia.com")</f>
        <v>jutaratp@airasia.com</v>
      </c>
    </row>
    <row r="213">
      <c r="A213">
        <f>IFERROR(__xludf.DUMMYFUNCTION("""COMPUTED_VALUE"""),1004850.0)</f>
        <v>1004850</v>
      </c>
      <c r="B213" t="str">
        <f>IFERROR(__xludf.DUMMYFUNCTION("""COMPUTED_VALUE"""),"Ms.")</f>
        <v>Ms.</v>
      </c>
      <c r="C213" t="str">
        <f>IFERROR(__xludf.DUMMYFUNCTION("""COMPUTED_VALUE"""),"Nantawan")</f>
        <v>Nantawan</v>
      </c>
      <c r="D213" t="str">
        <f>IFERROR(__xludf.DUMMYFUNCTION("""COMPUTED_VALUE"""),"Siripanich")</f>
        <v>Siripanich</v>
      </c>
      <c r="E213" t="str">
        <f>IFERROR(__xludf.DUMMYFUNCTION("""COMPUTED_VALUE"""),"Nantawan Siripanich")</f>
        <v>Nantawan Siripanich</v>
      </c>
      <c r="F213" t="str">
        <f>IFERROR(__xludf.DUMMYFUNCTION("""COMPUTED_VALUE"""),"นางสาว")</f>
        <v>นางสาว</v>
      </c>
      <c r="G213" t="str">
        <f>IFERROR(__xludf.DUMMYFUNCTION("""COMPUTED_VALUE"""),"นันทวัน")</f>
        <v>นันทวัน</v>
      </c>
      <c r="H213" t="str">
        <f>IFERROR(__xludf.DUMMYFUNCTION("""COMPUTED_VALUE"""),"ศิริพานิช")</f>
        <v>ศิริพานิช</v>
      </c>
      <c r="I213" t="str">
        <f>IFERROR(__xludf.DUMMYFUNCTION("""COMPUTED_VALUE"""),"นันทวัน ศิริพานิช")</f>
        <v>นันทวัน ศิริพานิช</v>
      </c>
      <c r="J213" t="str">
        <f>IFERROR(__xludf.DUMMYFUNCTION("""COMPUTED_VALUE"""),"ไหม")</f>
        <v>ไหม</v>
      </c>
      <c r="K213" t="str">
        <f>IFERROR(__xludf.DUMMYFUNCTION("""COMPUTED_VALUE"""),"Senior Cabin Crew")</f>
        <v>Senior Cabin Crew</v>
      </c>
      <c r="L213" t="str">
        <f>IFERROR(__xludf.DUMMYFUNCTION("""COMPUTED_VALUE"""),"DMK")</f>
        <v>DMK</v>
      </c>
      <c r="M213" s="145" t="str">
        <f>IFERROR(__xludf.DUMMYFUNCTION("""COMPUTED_VALUE"""),"Um Home")</f>
        <v>Um Home</v>
      </c>
      <c r="N213" t="str">
        <f>IFERROR(__xludf.DUMMYFUNCTION("""COMPUTED_VALUE"""),"Active")</f>
        <v>Active</v>
      </c>
      <c r="P213" s="143">
        <f>IFERROR(__xludf.DUMMYFUNCTION("""COMPUTED_VALUE"""),31087.0)</f>
        <v>31087</v>
      </c>
      <c r="Q213" s="146" t="str">
        <f>IFERROR(__xludf.DUMMYFUNCTION("""COMPUTED_VALUE"""),"095 661 7956")</f>
        <v>095 661 7956</v>
      </c>
      <c r="R213" s="147" t="str">
        <f>IFERROR(__xludf.DUMMYFUNCTION("""COMPUTED_VALUE"""),"1229900-03-7649")</f>
        <v>1229900-03-7649</v>
      </c>
      <c r="S213" t="str">
        <f>IFERROR(__xludf.DUMMYFUNCTION("""COMPUTED_VALUE"""),"AC2934038")</f>
        <v>AC2934038</v>
      </c>
      <c r="T213" s="148">
        <f>IFERROR(__xludf.DUMMYFUNCTION("""COMPUTED_VALUE"""),44629.0)</f>
        <v>44629</v>
      </c>
      <c r="U213" s="148">
        <f>IFERROR(__xludf.DUMMYFUNCTION("""COMPUTED_VALUE"""),48281.0)</f>
        <v>48281</v>
      </c>
      <c r="V213" s="149">
        <f>IFERROR(__xludf.DUMMYFUNCTION("""COMPUTED_VALUE"""),48099.0)</f>
        <v>48099</v>
      </c>
      <c r="W213" t="str">
        <f>IFERROR(__xludf.DUMMYFUNCTION("""COMPUTED_VALUE"""),"ปลอดภัย")</f>
        <v>ปลอดภัย</v>
      </c>
      <c r="X213" t="str">
        <f>IFERROR(__xludf.DUMMYFUNCTION("""COMPUTED_VALUE"""),"Chanthaburi Province")</f>
        <v>Chanthaburi Province</v>
      </c>
      <c r="Y213" t="str">
        <f>IFERROR(__xludf.DUMMYFUNCTION("""COMPUTED_VALUE"""),"บางเขน")</f>
        <v>บางเขน</v>
      </c>
      <c r="Z213" t="str">
        <f>IFERROR(__xludf.DUMMYFUNCTION("""COMPUTED_VALUE"""),"087 985 8639")</f>
        <v>087 985 8639</v>
      </c>
      <c r="AA213" t="str">
        <f>IFERROR(__xludf.DUMMYFUNCTION("""COMPUTED_VALUE"""),"ไม่ระบุ")</f>
        <v>ไม่ระบุ</v>
      </c>
      <c r="AB213" t="str">
        <f>IFERROR(__xludf.DUMMYFUNCTION("""COMPUTED_VALUE"""),"nantawans@airasia.com")</f>
        <v>nantawans@airasia.com</v>
      </c>
    </row>
    <row r="214">
      <c r="A214">
        <f>IFERROR(__xludf.DUMMYFUNCTION("""COMPUTED_VALUE"""),1004861.0)</f>
        <v>1004861</v>
      </c>
      <c r="B214" t="str">
        <f>IFERROR(__xludf.DUMMYFUNCTION("""COMPUTED_VALUE"""),"Ms.")</f>
        <v>Ms.</v>
      </c>
      <c r="C214" t="str">
        <f>IFERROR(__xludf.DUMMYFUNCTION("""COMPUTED_VALUE"""),"Seenzipunk (Sasipim)")</f>
        <v>Seenzipunk (Sasipim)</v>
      </c>
      <c r="D214" t="str">
        <f>IFERROR(__xludf.DUMMYFUNCTION("""COMPUTED_VALUE"""),"Boonnin")</f>
        <v>Boonnin</v>
      </c>
      <c r="E214" t="str">
        <f>IFERROR(__xludf.DUMMYFUNCTION("""COMPUTED_VALUE"""),"Seenzipunk Boonnin")</f>
        <v>Seenzipunk Boonnin</v>
      </c>
      <c r="F214" t="str">
        <f>IFERROR(__xludf.DUMMYFUNCTION("""COMPUTED_VALUE"""),"นางสาว")</f>
        <v>นางสาว</v>
      </c>
      <c r="G214" t="str">
        <f>IFERROR(__xludf.DUMMYFUNCTION("""COMPUTED_VALUE"""),"ศิณศิปางค์(ศศิพิมพ์)")</f>
        <v>ศิณศิปางค์(ศศิพิมพ์)</v>
      </c>
      <c r="H214" t="str">
        <f>IFERROR(__xludf.DUMMYFUNCTION("""COMPUTED_VALUE"""),"บุญนิล")</f>
        <v>บุญนิล</v>
      </c>
      <c r="I214" t="str">
        <f>IFERROR(__xludf.DUMMYFUNCTION("""COMPUTED_VALUE"""),"ศิณศิปางค์ บุญนิล")</f>
        <v>ศิณศิปางค์ บุญนิล</v>
      </c>
      <c r="J214" t="str">
        <f>IFERROR(__xludf.DUMMYFUNCTION("""COMPUTED_VALUE"""),"Mint")</f>
        <v>Mint</v>
      </c>
      <c r="K214" t="str">
        <f>IFERROR(__xludf.DUMMYFUNCTION("""COMPUTED_VALUE"""),"Cabin Crew")</f>
        <v>Cabin Crew</v>
      </c>
      <c r="L214" t="str">
        <f>IFERROR(__xludf.DUMMYFUNCTION("""COMPUTED_VALUE"""),"DMK")</f>
        <v>DMK</v>
      </c>
      <c r="M214" s="145" t="str">
        <f>IFERROR(__xludf.DUMMYFUNCTION("""COMPUTED_VALUE"""),"Um Home")</f>
        <v>Um Home</v>
      </c>
      <c r="N214" t="str">
        <f>IFERROR(__xludf.DUMMYFUNCTION("""COMPUTED_VALUE"""),"LWPH")</f>
        <v>LWPH</v>
      </c>
      <c r="P214" s="143">
        <f>IFERROR(__xludf.DUMMYFUNCTION("""COMPUTED_VALUE"""),30568.0)</f>
        <v>30568</v>
      </c>
      <c r="Q214" s="146" t="str">
        <f>IFERROR(__xludf.DUMMYFUNCTION("""COMPUTED_VALUE"""),"09-4546-4542")</f>
        <v>09-4546-4542</v>
      </c>
      <c r="R214" s="147" t="str">
        <f>IFERROR(__xludf.DUMMYFUNCTION("""COMPUTED_VALUE"""),"3100600-94-4437")</f>
        <v>3100600-94-4437</v>
      </c>
      <c r="S214" t="str">
        <f>IFERROR(__xludf.DUMMYFUNCTION("""COMPUTED_VALUE"""),"AD0009797")</f>
        <v>AD0009797</v>
      </c>
      <c r="T214" s="148">
        <f>IFERROR(__xludf.DUMMYFUNCTION("""COMPUTED_VALUE"""),44851.0)</f>
        <v>44851</v>
      </c>
      <c r="U214" s="148">
        <f>IFERROR(__xludf.DUMMYFUNCTION("""COMPUTED_VALUE"""),48503.0)</f>
        <v>48503</v>
      </c>
      <c r="V214" s="149">
        <f>IFERROR(__xludf.DUMMYFUNCTION("""COMPUTED_VALUE"""),48320.0)</f>
        <v>48320</v>
      </c>
      <c r="W214" t="str">
        <f>IFERROR(__xludf.DUMMYFUNCTION("""COMPUTED_VALUE"""),"ปลอดภัย")</f>
        <v>ปลอดภัย</v>
      </c>
      <c r="X214" t="str">
        <f>IFERROR(__xludf.DUMMYFUNCTION("""COMPUTED_VALUE"""),"Bangkok")</f>
        <v>Bangkok</v>
      </c>
      <c r="Y214" t="str">
        <f>IFERROR(__xludf.DUMMYFUNCTION("""COMPUTED_VALUE"""),"นนทบุรี ปากเกร็ด")</f>
        <v>นนทบุรี ปากเกร็ด</v>
      </c>
      <c r="Z214" t="str">
        <f>IFERROR(__xludf.DUMMYFUNCTION("""COMPUTED_VALUE"""),"086 1010770")</f>
        <v>086 1010770</v>
      </c>
      <c r="AA214" t="str">
        <f>IFERROR(__xludf.DUMMYFUNCTION("""COMPUTED_VALUE"""),"ไม่ระบุ")</f>
        <v>ไม่ระบุ</v>
      </c>
      <c r="AB214" t="str">
        <f>IFERROR(__xludf.DUMMYFUNCTION("""COMPUTED_VALUE"""),"seenzipunkb@airasia.com")</f>
        <v>seenzipunkb@airasia.com</v>
      </c>
    </row>
    <row r="215">
      <c r="A215">
        <f>IFERROR(__xludf.DUMMYFUNCTION("""COMPUTED_VALUE"""),1004863.0)</f>
        <v>1004863</v>
      </c>
      <c r="B215" t="str">
        <f>IFERROR(__xludf.DUMMYFUNCTION("""COMPUTED_VALUE"""),"Ms.")</f>
        <v>Ms.</v>
      </c>
      <c r="C215" t="str">
        <f>IFERROR(__xludf.DUMMYFUNCTION("""COMPUTED_VALUE"""),"Sirirat")</f>
        <v>Sirirat</v>
      </c>
      <c r="D215" t="str">
        <f>IFERROR(__xludf.DUMMYFUNCTION("""COMPUTED_VALUE"""),"Sirikul")</f>
        <v>Sirikul</v>
      </c>
      <c r="E215" t="str">
        <f>IFERROR(__xludf.DUMMYFUNCTION("""COMPUTED_VALUE"""),"Sirirat Sirikul")</f>
        <v>Sirirat Sirikul</v>
      </c>
      <c r="F215" t="str">
        <f>IFERROR(__xludf.DUMMYFUNCTION("""COMPUTED_VALUE"""),"นางสาว")</f>
        <v>นางสาว</v>
      </c>
      <c r="G215" t="str">
        <f>IFERROR(__xludf.DUMMYFUNCTION("""COMPUTED_VALUE"""),"ศิริรัตน์")</f>
        <v>ศิริรัตน์</v>
      </c>
      <c r="H215" t="str">
        <f>IFERROR(__xludf.DUMMYFUNCTION("""COMPUTED_VALUE"""),"ศิริกุล")</f>
        <v>ศิริกุล</v>
      </c>
      <c r="I215" t="str">
        <f>IFERROR(__xludf.DUMMYFUNCTION("""COMPUTED_VALUE"""),"ศิริรัตน์ ศิริกุล")</f>
        <v>ศิริรัตน์ ศิริกุล</v>
      </c>
      <c r="J215" t="str">
        <f>IFERROR(__xludf.DUMMYFUNCTION("""COMPUTED_VALUE"""),"Bee")</f>
        <v>Bee</v>
      </c>
      <c r="K215" t="str">
        <f>IFERROR(__xludf.DUMMYFUNCTION("""COMPUTED_VALUE"""),"Senior Cabin Crew - CNX")</f>
        <v>Senior Cabin Crew - CNX</v>
      </c>
      <c r="L215" t="str">
        <f>IFERROR(__xludf.DUMMYFUNCTION("""COMPUTED_VALUE"""),"CNX")</f>
        <v>CNX</v>
      </c>
      <c r="M215" s="145" t="str">
        <f>IFERROR(__xludf.DUMMYFUNCTION("""COMPUTED_VALUE"""),"Up Home")</f>
        <v>Up Home</v>
      </c>
      <c r="N215" t="str">
        <f>IFERROR(__xludf.DUMMYFUNCTION("""COMPUTED_VALUE"""),"Active")</f>
        <v>Active</v>
      </c>
      <c r="O215" t="str">
        <f>IFERROR(__xludf.DUMMYFUNCTION("""COMPUTED_VALUE"""),"SCC Line Checker 2025")</f>
        <v>SCC Line Checker 2025</v>
      </c>
      <c r="P215" s="143">
        <f>IFERROR(__xludf.DUMMYFUNCTION("""COMPUTED_VALUE"""),30995.0)</f>
        <v>30995</v>
      </c>
      <c r="Q215" s="146">
        <f>IFERROR(__xludf.DUMMYFUNCTION("""COMPUTED_VALUE"""),6.5641629E8)</f>
        <v>656416290</v>
      </c>
      <c r="R215" s="147" t="str">
        <f>IFERROR(__xludf.DUMMYFUNCTION("""COMPUTED_VALUE"""),"1100500-02-3635")</f>
        <v>1100500-02-3635</v>
      </c>
      <c r="S215" t="str">
        <f>IFERROR(__xludf.DUMMYFUNCTION("""COMPUTED_VALUE"""),"AD1220165")</f>
        <v>AD1220165</v>
      </c>
      <c r="T215" s="148">
        <f>IFERROR(__xludf.DUMMYFUNCTION("""COMPUTED_VALUE"""),45328.0)</f>
        <v>45328</v>
      </c>
      <c r="U215" s="148">
        <f>IFERROR(__xludf.DUMMYFUNCTION("""COMPUTED_VALUE"""),48980.0)</f>
        <v>48980</v>
      </c>
      <c r="V215" s="149">
        <f>IFERROR(__xludf.DUMMYFUNCTION("""COMPUTED_VALUE"""),48796.0)</f>
        <v>48796</v>
      </c>
      <c r="W215" t="str">
        <f>IFERROR(__xludf.DUMMYFUNCTION("""COMPUTED_VALUE"""),"ปลอดภัย")</f>
        <v>ปลอดภัย</v>
      </c>
      <c r="X215" t="str">
        <f>IFERROR(__xludf.DUMMYFUNCTION("""COMPUTED_VALUE"""),"Bangkok")</f>
        <v>Bangkok</v>
      </c>
      <c r="Y215" t="str">
        <f>IFERROR(__xludf.DUMMYFUNCTION("""COMPUTED_VALUE"""),"ดอนเมือง")</f>
        <v>ดอนเมือง</v>
      </c>
      <c r="Z215" t="str">
        <f>IFERROR(__xludf.DUMMYFUNCTION("""COMPUTED_VALUE"""),"084 007 5554")</f>
        <v>084 007 5554</v>
      </c>
      <c r="AA215" t="str">
        <f>IFERROR(__xludf.DUMMYFUNCTION("""COMPUTED_VALUE"""),"ไม่ระบุ")</f>
        <v>ไม่ระบุ</v>
      </c>
      <c r="AB215" t="str">
        <f>IFERROR(__xludf.DUMMYFUNCTION("""COMPUTED_VALUE"""),"sirirati@airasia.com")</f>
        <v>sirirati@airasia.com</v>
      </c>
    </row>
    <row r="216">
      <c r="AB216" t="str">
        <f>IFERROR(__xludf.DUMMYFUNCTION("""COMPUTED_VALUE"""),"")</f>
        <v/>
      </c>
    </row>
    <row r="217">
      <c r="A217">
        <f>IFERROR(__xludf.DUMMYFUNCTION("""COMPUTED_VALUE"""),1000486.0)</f>
        <v>1000486</v>
      </c>
      <c r="B217" t="str">
        <f>IFERROR(__xludf.DUMMYFUNCTION("""COMPUTED_VALUE"""),"Ms.")</f>
        <v>Ms.</v>
      </c>
      <c r="C217" t="str">
        <f>IFERROR(__xludf.DUMMYFUNCTION("""COMPUTED_VALUE"""),"Ratthinan")</f>
        <v>Ratthinan</v>
      </c>
      <c r="D217" t="str">
        <f>IFERROR(__xludf.DUMMYFUNCTION("""COMPUTED_VALUE"""),"Wasupornwiboon")</f>
        <v>Wasupornwiboon</v>
      </c>
      <c r="E217" t="str">
        <f>IFERROR(__xludf.DUMMYFUNCTION("""COMPUTED_VALUE"""),"Ratthinan Wasupornwiboon")</f>
        <v>Ratthinan Wasupornwiboon</v>
      </c>
      <c r="F217" t="str">
        <f>IFERROR(__xludf.DUMMYFUNCTION("""COMPUTED_VALUE"""),"นางสาว")</f>
        <v>นางสาว</v>
      </c>
      <c r="G217" t="str">
        <f>IFERROR(__xludf.DUMMYFUNCTION("""COMPUTED_VALUE"""),"รัตตินันท์")</f>
        <v>รัตตินันท์</v>
      </c>
      <c r="H217" t="str">
        <f>IFERROR(__xludf.DUMMYFUNCTION("""COMPUTED_VALUE"""),"วสุพรวิบูลย์")</f>
        <v>วสุพรวิบูลย์</v>
      </c>
      <c r="I217" t="str">
        <f>IFERROR(__xludf.DUMMYFUNCTION("""COMPUTED_VALUE"""),"รัตตินันท์ วสุพรวิบูลย์")</f>
        <v>รัตตินันท์ วสุพรวิบูลย์</v>
      </c>
      <c r="J217" t="str">
        <f>IFERROR(__xludf.DUMMYFUNCTION("""COMPUTED_VALUE"""),"ฝน")</f>
        <v>ฝน</v>
      </c>
      <c r="K217" t="str">
        <f>IFERROR(__xludf.DUMMYFUNCTION("""COMPUTED_VALUE"""),"Senior Cabin Crew")</f>
        <v>Senior Cabin Crew</v>
      </c>
      <c r="L217" t="str">
        <f>IFERROR(__xludf.DUMMYFUNCTION("""COMPUTED_VALUE"""),"DMK")</f>
        <v>DMK</v>
      </c>
      <c r="M217" s="145" t="str">
        <f>IFERROR(__xludf.DUMMYFUNCTION("""COMPUTED_VALUE"""),"Kor Home")</f>
        <v>Kor Home</v>
      </c>
      <c r="N217" t="str">
        <f>IFERROR(__xludf.DUMMYFUNCTION("""COMPUTED_VALUE"""),"Active")</f>
        <v>Active</v>
      </c>
      <c r="O217" t="str">
        <f>IFERROR(__xludf.DUMMYFUNCTION("""COMPUTED_VALUE"""),"SCC Line Checker 2025")</f>
        <v>SCC Line Checker 2025</v>
      </c>
      <c r="P217" s="143">
        <f>IFERROR(__xludf.DUMMYFUNCTION("""COMPUTED_VALUE"""),29274.0)</f>
        <v>29274</v>
      </c>
      <c r="Q217" s="146" t="str">
        <f>IFERROR(__xludf.DUMMYFUNCTION("""COMPUTED_VALUE"""),"086 648 1715")</f>
        <v>086 648 1715</v>
      </c>
      <c r="R217" s="147" t="str">
        <f>IFERROR(__xludf.DUMMYFUNCTION("""COMPUTED_VALUE"""),"3340701-09-6260")</f>
        <v>3340701-09-6260</v>
      </c>
      <c r="S217" t="str">
        <f>IFERROR(__xludf.DUMMYFUNCTION("""COMPUTED_VALUE"""),"AC2737501")</f>
        <v>AC2737501</v>
      </c>
      <c r="T217" s="148">
        <f>IFERROR(__xludf.DUMMYFUNCTION("""COMPUTED_VALUE"""),44484.0)</f>
        <v>44484</v>
      </c>
      <c r="U217" s="148">
        <f>IFERROR(__xludf.DUMMYFUNCTION("""COMPUTED_VALUE"""),48135.0)</f>
        <v>48135</v>
      </c>
      <c r="V217" s="149">
        <f>IFERROR(__xludf.DUMMYFUNCTION("""COMPUTED_VALUE"""),47952.0)</f>
        <v>47952</v>
      </c>
      <c r="W217" t="str">
        <f>IFERROR(__xludf.DUMMYFUNCTION("""COMPUTED_VALUE"""),"ปลอดภัย")</f>
        <v>ปลอดภัย</v>
      </c>
      <c r="X217" t="str">
        <f>IFERROR(__xludf.DUMMYFUNCTION("""COMPUTED_VALUE"""),"Ubon Ratchathani Province")</f>
        <v>Ubon Ratchathani Province</v>
      </c>
      <c r="Y217" t="str">
        <f>IFERROR(__xludf.DUMMYFUNCTION("""COMPUTED_VALUE"""),"นวมินทร์")</f>
        <v>นวมินทร์</v>
      </c>
      <c r="Z217" t="str">
        <f>IFERROR(__xludf.DUMMYFUNCTION("""COMPUTED_VALUE"""),"081 902 4748")</f>
        <v>081 902 4748</v>
      </c>
      <c r="AA217" t="str">
        <f>IFERROR(__xludf.DUMMYFUNCTION("""COMPUTED_VALUE"""),"น้อง")</f>
        <v>น้อง</v>
      </c>
      <c r="AB217" t="str">
        <f>IFERROR(__xludf.DUMMYFUNCTION("""COMPUTED_VALUE"""),"ratthinanw@airasia.com")</f>
        <v>ratthinanw@airasia.com</v>
      </c>
    </row>
    <row r="218">
      <c r="A218">
        <f>IFERROR(__xludf.DUMMYFUNCTION("""COMPUTED_VALUE"""),1003340.0)</f>
        <v>1003340</v>
      </c>
      <c r="B218" t="str">
        <f>IFERROR(__xludf.DUMMYFUNCTION("""COMPUTED_VALUE"""),"Ms.")</f>
        <v>Ms.</v>
      </c>
      <c r="C218" t="str">
        <f>IFERROR(__xludf.DUMMYFUNCTION("""COMPUTED_VALUE"""),"Dararat")</f>
        <v>Dararat</v>
      </c>
      <c r="D218" t="str">
        <f>IFERROR(__xludf.DUMMYFUNCTION("""COMPUTED_VALUE"""),"Kataecha")</f>
        <v>Kataecha</v>
      </c>
      <c r="E218" t="str">
        <f>IFERROR(__xludf.DUMMYFUNCTION("""COMPUTED_VALUE"""),"Dararat Kataecha")</f>
        <v>Dararat Kataecha</v>
      </c>
      <c r="F218" t="str">
        <f>IFERROR(__xludf.DUMMYFUNCTION("""COMPUTED_VALUE"""),"นางสาว")</f>
        <v>นางสาว</v>
      </c>
      <c r="G218" t="str">
        <f>IFERROR(__xludf.DUMMYFUNCTION("""COMPUTED_VALUE"""),"ดารารัตน์")</f>
        <v>ดารารัตน์</v>
      </c>
      <c r="H218" t="str">
        <f>IFERROR(__xludf.DUMMYFUNCTION("""COMPUTED_VALUE"""),"กาเตชะ")</f>
        <v>กาเตชะ</v>
      </c>
      <c r="I218" t="str">
        <f>IFERROR(__xludf.DUMMYFUNCTION("""COMPUTED_VALUE"""),"ดารารัตน์ กาเตชะ")</f>
        <v>ดารารัตน์ กาเตชะ</v>
      </c>
      <c r="J218" t="str">
        <f>IFERROR(__xludf.DUMMYFUNCTION("""COMPUTED_VALUE"""),"หนู")</f>
        <v>หนู</v>
      </c>
      <c r="K218" t="str">
        <f>IFERROR(__xludf.DUMMYFUNCTION("""COMPUTED_VALUE"""),"Cabin Crew - CNX")</f>
        <v>Cabin Crew - CNX</v>
      </c>
      <c r="L218" t="str">
        <f>IFERROR(__xludf.DUMMYFUNCTION("""COMPUTED_VALUE"""),"CNX")</f>
        <v>CNX</v>
      </c>
      <c r="M218" s="145" t="str">
        <f>IFERROR(__xludf.DUMMYFUNCTION("""COMPUTED_VALUE"""),"Up Home")</f>
        <v>Up Home</v>
      </c>
      <c r="N218" t="str">
        <f>IFERROR(__xludf.DUMMYFUNCTION("""COMPUTED_VALUE"""),"Active")</f>
        <v>Active</v>
      </c>
      <c r="P218" s="143">
        <f>IFERROR(__xludf.DUMMYFUNCTION("""COMPUTED_VALUE"""),30240.0)</f>
        <v>30240</v>
      </c>
      <c r="Q218" s="146" t="str">
        <f>IFERROR(__xludf.DUMMYFUNCTION("""COMPUTED_VALUE"""),"093 224 1465")</f>
        <v>093 224 1465</v>
      </c>
      <c r="R218" s="147" t="str">
        <f>IFERROR(__xludf.DUMMYFUNCTION("""COMPUTED_VALUE"""),"3220400-54-3179")</f>
        <v>3220400-54-3179</v>
      </c>
      <c r="S218" t="str">
        <f>IFERROR(__xludf.DUMMYFUNCTION("""COMPUTED_VALUE"""),"AC6977335")</f>
        <v>AC6977335</v>
      </c>
      <c r="T218" s="148">
        <f>IFERROR(__xludf.DUMMYFUNCTION("""COMPUTED_VALUE"""),45601.0)</f>
        <v>45601</v>
      </c>
      <c r="U218" s="148">
        <f>IFERROR(__xludf.DUMMYFUNCTION("""COMPUTED_VALUE"""),49252.0)</f>
        <v>49252</v>
      </c>
      <c r="V218" s="149">
        <f>IFERROR(__xludf.DUMMYFUNCTION("""COMPUTED_VALUE"""),49068.0)</f>
        <v>49068</v>
      </c>
      <c r="W218" t="str">
        <f>IFERROR(__xludf.DUMMYFUNCTION("""COMPUTED_VALUE"""),"ปลอดภัย")</f>
        <v>ปลอดภัย</v>
      </c>
      <c r="X218" t="str">
        <f>IFERROR(__xludf.DUMMYFUNCTION("""COMPUTED_VALUE"""),"Chanthaburi Province")</f>
        <v>Chanthaburi Province</v>
      </c>
      <c r="Y218" t="str">
        <f>IFERROR(__xludf.DUMMYFUNCTION("""COMPUTED_VALUE"""),"ลาดกระบัง")</f>
        <v>ลาดกระบัง</v>
      </c>
      <c r="Z218" t="str">
        <f>IFERROR(__xludf.DUMMYFUNCTION("""COMPUTED_VALUE"""),"086 659 5247")</f>
        <v>086 659 5247</v>
      </c>
      <c r="AA218" t="str">
        <f>IFERROR(__xludf.DUMMYFUNCTION("""COMPUTED_VALUE"""),"ญาติ")</f>
        <v>ญาติ</v>
      </c>
      <c r="AB218" t="str">
        <f>IFERROR(__xludf.DUMMYFUNCTION("""COMPUTED_VALUE"""),"dararatk@airasia.com")</f>
        <v>dararatk@airasia.com</v>
      </c>
    </row>
    <row r="219">
      <c r="A219">
        <f>IFERROR(__xludf.DUMMYFUNCTION("""COMPUTED_VALUE"""),1004047.0)</f>
        <v>1004047</v>
      </c>
      <c r="B219" t="str">
        <f>IFERROR(__xludf.DUMMYFUNCTION("""COMPUTED_VALUE"""),"Ms.")</f>
        <v>Ms.</v>
      </c>
      <c r="C219" t="str">
        <f>IFERROR(__xludf.DUMMYFUNCTION("""COMPUTED_VALUE"""),"Sunisa")</f>
        <v>Sunisa</v>
      </c>
      <c r="D219" t="str">
        <f>IFERROR(__xludf.DUMMYFUNCTION("""COMPUTED_VALUE"""),"Panhirun")</f>
        <v>Panhirun</v>
      </c>
      <c r="E219" t="str">
        <f>IFERROR(__xludf.DUMMYFUNCTION("""COMPUTED_VALUE"""),"Sunisa Panhirun")</f>
        <v>Sunisa Panhirun</v>
      </c>
      <c r="F219" t="str">
        <f>IFERROR(__xludf.DUMMYFUNCTION("""COMPUTED_VALUE"""),"นางสาว")</f>
        <v>นางสาว</v>
      </c>
      <c r="G219" t="str">
        <f>IFERROR(__xludf.DUMMYFUNCTION("""COMPUTED_VALUE"""),"นางสาว")</f>
        <v>นางสาว</v>
      </c>
      <c r="H219" t="str">
        <f>IFERROR(__xludf.DUMMYFUNCTION("""COMPUTED_VALUE"""),"ปานหิรัญ")</f>
        <v>ปานหิรัญ</v>
      </c>
      <c r="I219" t="str">
        <f>IFERROR(__xludf.DUMMYFUNCTION("""COMPUTED_VALUE"""),"สุนิสา ปานหิรัญ")</f>
        <v>สุนิสา ปานหิรัญ</v>
      </c>
      <c r="J219" t="str">
        <f>IFERROR(__xludf.DUMMYFUNCTION("""COMPUTED_VALUE"""),"เมย์เม่ร์")</f>
        <v>เมย์เม่ร์</v>
      </c>
      <c r="K219" t="str">
        <f>IFERROR(__xludf.DUMMYFUNCTION("""COMPUTED_VALUE"""),"Senior Cabin Crew")</f>
        <v>Senior Cabin Crew</v>
      </c>
      <c r="L219" t="str">
        <f>IFERROR(__xludf.DUMMYFUNCTION("""COMPUTED_VALUE"""),"DMK")</f>
        <v>DMK</v>
      </c>
      <c r="M219" s="145" t="str">
        <f>IFERROR(__xludf.DUMMYFUNCTION("""COMPUTED_VALUE"""),"Namfon Home")</f>
        <v>Namfon Home</v>
      </c>
      <c r="N219" t="str">
        <f>IFERROR(__xludf.DUMMYFUNCTION("""COMPUTED_VALUE"""),"Active")</f>
        <v>Active</v>
      </c>
      <c r="O219" t="str">
        <f>IFERROR(__xludf.DUMMYFUNCTION("""COMPUTED_VALUE"""),"SCC Line Checker 2025")</f>
        <v>SCC Line Checker 2025</v>
      </c>
      <c r="P219" s="143">
        <f>IFERROR(__xludf.DUMMYFUNCTION("""COMPUTED_VALUE"""),32057.0)</f>
        <v>32057</v>
      </c>
      <c r="Q219" s="146" t="str">
        <f>IFERROR(__xludf.DUMMYFUNCTION("""COMPUTED_VALUE"""),"083 018 1469")</f>
        <v>083 018 1469</v>
      </c>
      <c r="R219" s="147" t="str">
        <f>IFERROR(__xludf.DUMMYFUNCTION("""COMPUTED_VALUE"""),"1101401-12-2512")</f>
        <v>1101401-12-2512</v>
      </c>
      <c r="S219" t="str">
        <f>IFERROR(__xludf.DUMMYFUNCTION("""COMPUTED_VALUE"""),"AC7069641")</f>
        <v>AC7069641</v>
      </c>
      <c r="T219" s="148">
        <f>IFERROR(__xludf.DUMMYFUNCTION("""COMPUTED_VALUE"""),45546.0)</f>
        <v>45546</v>
      </c>
      <c r="U219" s="148">
        <f>IFERROR(__xludf.DUMMYFUNCTION("""COMPUTED_VALUE"""),49197.0)</f>
        <v>49197</v>
      </c>
      <c r="V219" s="149">
        <f>IFERROR(__xludf.DUMMYFUNCTION("""COMPUTED_VALUE"""),49013.0)</f>
        <v>49013</v>
      </c>
      <c r="W219" t="str">
        <f>IFERROR(__xludf.DUMMYFUNCTION("""COMPUTED_VALUE"""),"ปลอดภัย")</f>
        <v>ปลอดภัย</v>
      </c>
      <c r="X219" t="str">
        <f>IFERROR(__xludf.DUMMYFUNCTION("""COMPUTED_VALUE"""),"Bangkok")</f>
        <v>Bangkok</v>
      </c>
      <c r="Y219" t="str">
        <f>IFERROR(__xludf.DUMMYFUNCTION("""COMPUTED_VALUE"""),"นวมินทร์")</f>
        <v>นวมินทร์</v>
      </c>
      <c r="Z219" t="str">
        <f>IFERROR(__xludf.DUMMYFUNCTION("""COMPUTED_VALUE"""),"084 014 6639")</f>
        <v>084 014 6639</v>
      </c>
      <c r="AA219" t="str">
        <f>IFERROR(__xludf.DUMMYFUNCTION("""COMPUTED_VALUE"""),"พ่อ")</f>
        <v>พ่อ</v>
      </c>
      <c r="AB219" t="str">
        <f>IFERROR(__xludf.DUMMYFUNCTION("""COMPUTED_VALUE"""),"sunisan@airasia.com")</f>
        <v>sunisan@airasia.com</v>
      </c>
    </row>
    <row r="220">
      <c r="A220">
        <f>IFERROR(__xludf.DUMMYFUNCTION("""COMPUTED_VALUE"""),1005278.0)</f>
        <v>1005278</v>
      </c>
      <c r="B220" t="str">
        <f>IFERROR(__xludf.DUMMYFUNCTION("""COMPUTED_VALUE"""),"Ms.")</f>
        <v>Ms.</v>
      </c>
      <c r="C220" t="str">
        <f>IFERROR(__xludf.DUMMYFUNCTION("""COMPUTED_VALUE"""),"Benjama")</f>
        <v>Benjama</v>
      </c>
      <c r="D220" t="str">
        <f>IFERROR(__xludf.DUMMYFUNCTION("""COMPUTED_VALUE"""),"Keyata")</f>
        <v>Keyata</v>
      </c>
      <c r="E220" t="str">
        <f>IFERROR(__xludf.DUMMYFUNCTION("""COMPUTED_VALUE"""),"Benjama Keyata")</f>
        <v>Benjama Keyata</v>
      </c>
      <c r="F220" t="str">
        <f>IFERROR(__xludf.DUMMYFUNCTION("""COMPUTED_VALUE"""),"นางสาว")</f>
        <v>นางสาว</v>
      </c>
      <c r="G220" t="str">
        <f>IFERROR(__xludf.DUMMYFUNCTION("""COMPUTED_VALUE"""),"เบญจมา")</f>
        <v>เบญจมา</v>
      </c>
      <c r="H220" t="str">
        <f>IFERROR(__xludf.DUMMYFUNCTION("""COMPUTED_VALUE"""),"เขยะตา")</f>
        <v>เขยะตา</v>
      </c>
      <c r="I220" t="str">
        <f>IFERROR(__xludf.DUMMYFUNCTION("""COMPUTED_VALUE"""),"เบญจมา เขยะตา")</f>
        <v>เบญจมา เขยะตา</v>
      </c>
      <c r="J220" t="str">
        <f>IFERROR(__xludf.DUMMYFUNCTION("""COMPUTED_VALUE"""),"เมย์")</f>
        <v>เมย์</v>
      </c>
      <c r="K220" t="str">
        <f>IFERROR(__xludf.DUMMYFUNCTION("""COMPUTED_VALUE"""),"Cabin Crew")</f>
        <v>Cabin Crew</v>
      </c>
      <c r="L220" t="str">
        <f>IFERROR(__xludf.DUMMYFUNCTION("""COMPUTED_VALUE"""),"DMK")</f>
        <v>DMK</v>
      </c>
      <c r="M220" s="145" t="str">
        <f>IFERROR(__xludf.DUMMYFUNCTION("""COMPUTED_VALUE"""),"Por+ Home")</f>
        <v>Por+ Home</v>
      </c>
      <c r="N220" t="str">
        <f>IFERROR(__xludf.DUMMYFUNCTION("""COMPUTED_VALUE"""),"LWPH")</f>
        <v>LWPH</v>
      </c>
      <c r="P220" s="143">
        <f>IFERROR(__xludf.DUMMYFUNCTION("""COMPUTED_VALUE"""),31156.0)</f>
        <v>31156</v>
      </c>
      <c r="Q220" s="146" t="str">
        <f>IFERROR(__xludf.DUMMYFUNCTION("""COMPUTED_VALUE"""),"089 528 2727")</f>
        <v>089 528 2727</v>
      </c>
      <c r="R220" s="147" t="str">
        <f>IFERROR(__xludf.DUMMYFUNCTION("""COMPUTED_VALUE"""),"1739900-05-6797")</f>
        <v>1739900-05-6797</v>
      </c>
      <c r="S220" t="str">
        <f>IFERROR(__xludf.DUMMYFUNCTION("""COMPUTED_VALUE"""),"AC4426034")</f>
        <v>AC4426034</v>
      </c>
      <c r="T220" s="148">
        <f>IFERROR(__xludf.DUMMYFUNCTION("""COMPUTED_VALUE"""),44958.0)</f>
        <v>44958</v>
      </c>
      <c r="U220" s="148">
        <f>IFERROR(__xludf.DUMMYFUNCTION("""COMPUTED_VALUE"""),48610.0)</f>
        <v>48610</v>
      </c>
      <c r="V220" s="149">
        <f>IFERROR(__xludf.DUMMYFUNCTION("""COMPUTED_VALUE"""),48426.0)</f>
        <v>48426</v>
      </c>
      <c r="W220" t="str">
        <f>IFERROR(__xludf.DUMMYFUNCTION("""COMPUTED_VALUE"""),"ปลอดภัย")</f>
        <v>ปลอดภัย</v>
      </c>
      <c r="X220" t="str">
        <f>IFERROR(__xludf.DUMMYFUNCTION("""COMPUTED_VALUE"""),"Nakhon Pathom Province")</f>
        <v>Nakhon Pathom Province</v>
      </c>
      <c r="Y220" t="str">
        <f>IFERROR(__xludf.DUMMYFUNCTION("""COMPUTED_VALUE"""),"-")</f>
        <v>-</v>
      </c>
      <c r="Z220" t="str">
        <f>IFERROR(__xludf.DUMMYFUNCTION("""COMPUTED_VALUE"""),"086 318 7766")</f>
        <v>086 318 7766</v>
      </c>
      <c r="AA220" t="str">
        <f>IFERROR(__xludf.DUMMYFUNCTION("""COMPUTED_VALUE"""),"ญาติ")</f>
        <v>ญาติ</v>
      </c>
      <c r="AB220" t="str">
        <f>IFERROR(__xludf.DUMMYFUNCTION("""COMPUTED_VALUE"""),"benjamak@airasia.com")</f>
        <v>benjamak@airasia.com</v>
      </c>
    </row>
    <row r="221">
      <c r="A221">
        <f>IFERROR(__xludf.DUMMYFUNCTION("""COMPUTED_VALUE"""),1005280.0)</f>
        <v>1005280</v>
      </c>
      <c r="B221" t="str">
        <f>IFERROR(__xludf.DUMMYFUNCTION("""COMPUTED_VALUE"""),"Ms.")</f>
        <v>Ms.</v>
      </c>
      <c r="C221" t="str">
        <f>IFERROR(__xludf.DUMMYFUNCTION("""COMPUTED_VALUE"""),"Napaporn")</f>
        <v>Napaporn</v>
      </c>
      <c r="D221" t="str">
        <f>IFERROR(__xludf.DUMMYFUNCTION("""COMPUTED_VALUE"""),"Termthanaporn")</f>
        <v>Termthanaporn</v>
      </c>
      <c r="E221" t="str">
        <f>IFERROR(__xludf.DUMMYFUNCTION("""COMPUTED_VALUE"""),"Napaporn Termthanaporn")</f>
        <v>Napaporn Termthanaporn</v>
      </c>
      <c r="F221" t="str">
        <f>IFERROR(__xludf.DUMMYFUNCTION("""COMPUTED_VALUE"""),"นางสาว")</f>
        <v>นางสาว</v>
      </c>
      <c r="G221" t="str">
        <f>IFERROR(__xludf.DUMMYFUNCTION("""COMPUTED_VALUE"""),"นภาพร")</f>
        <v>นภาพร</v>
      </c>
      <c r="H221" t="str">
        <f>IFERROR(__xludf.DUMMYFUNCTION("""COMPUTED_VALUE"""),"เติมธนาภรณ์")</f>
        <v>เติมธนาภรณ์</v>
      </c>
      <c r="I221" t="str">
        <f>IFERROR(__xludf.DUMMYFUNCTION("""COMPUTED_VALUE"""),"นภาพร เติมธนาภรณ์")</f>
        <v>นภาพร เติมธนาภรณ์</v>
      </c>
      <c r="J221" t="str">
        <f>IFERROR(__xludf.DUMMYFUNCTION("""COMPUTED_VALUE"""),"หนู")</f>
        <v>หนู</v>
      </c>
      <c r="K221" t="str">
        <f>IFERROR(__xludf.DUMMYFUNCTION("""COMPUTED_VALUE"""),"Cabin Crew")</f>
        <v>Cabin Crew</v>
      </c>
      <c r="L221" t="str">
        <f>IFERROR(__xludf.DUMMYFUNCTION("""COMPUTED_VALUE"""),"DMK")</f>
        <v>DMK</v>
      </c>
      <c r="M221" s="145" t="str">
        <f>IFERROR(__xludf.DUMMYFUNCTION("""COMPUTED_VALUE"""),"Por+ Home")</f>
        <v>Por+ Home</v>
      </c>
      <c r="N221" t="str">
        <f>IFERROR(__xludf.DUMMYFUNCTION("""COMPUTED_VALUE"""),"Active")</f>
        <v>Active</v>
      </c>
      <c r="P221" s="143">
        <f>IFERROR(__xludf.DUMMYFUNCTION("""COMPUTED_VALUE"""),31973.0)</f>
        <v>31973</v>
      </c>
      <c r="Q221" s="146" t="str">
        <f>IFERROR(__xludf.DUMMYFUNCTION("""COMPUTED_VALUE"""),"084 550 0462")</f>
        <v>084 550 0462</v>
      </c>
      <c r="R221" s="147" t="str">
        <f>IFERROR(__xludf.DUMMYFUNCTION("""COMPUTED_VALUE"""),"1101500-22-8386")</f>
        <v>1101500-22-8386</v>
      </c>
      <c r="S221" t="str">
        <f>IFERROR(__xludf.DUMMYFUNCTION("""COMPUTED_VALUE"""),"AC3240503")</f>
        <v>AC3240503</v>
      </c>
      <c r="T221" s="148">
        <f>IFERROR(__xludf.DUMMYFUNCTION("""COMPUTED_VALUE"""),44711.0)</f>
        <v>44711</v>
      </c>
      <c r="U221" s="148">
        <f>IFERROR(__xludf.DUMMYFUNCTION("""COMPUTED_VALUE"""),48363.0)</f>
        <v>48363</v>
      </c>
      <c r="V221" s="149">
        <f>IFERROR(__xludf.DUMMYFUNCTION("""COMPUTED_VALUE"""),48181.0)</f>
        <v>48181</v>
      </c>
      <c r="W221" t="str">
        <f>IFERROR(__xludf.DUMMYFUNCTION("""COMPUTED_VALUE"""),"ปลอดภัย")</f>
        <v>ปลอดภัย</v>
      </c>
      <c r="X221" t="str">
        <f>IFERROR(__xludf.DUMMYFUNCTION("""COMPUTED_VALUE"""),"Bangkok")</f>
        <v>Bangkok</v>
      </c>
      <c r="Y221" t="str">
        <f>IFERROR(__xludf.DUMMYFUNCTION("""COMPUTED_VALUE"""),"จอมทอง")</f>
        <v>จอมทอง</v>
      </c>
      <c r="Z221" t="str">
        <f>IFERROR(__xludf.DUMMYFUNCTION("""COMPUTED_VALUE"""),"086 773 3551")</f>
        <v>086 773 3551</v>
      </c>
      <c r="AA221" t="str">
        <f>IFERROR(__xludf.DUMMYFUNCTION("""COMPUTED_VALUE"""),"ญาติ")</f>
        <v>ญาติ</v>
      </c>
      <c r="AB221" t="str">
        <f>IFERROR(__xludf.DUMMYFUNCTION("""COMPUTED_VALUE"""),"napapornt@airasia.com")</f>
        <v>napapornt@airasia.com</v>
      </c>
    </row>
    <row r="222">
      <c r="A222">
        <f>IFERROR(__xludf.DUMMYFUNCTION("""COMPUTED_VALUE"""),1005287.0)</f>
        <v>1005287</v>
      </c>
      <c r="B222" t="str">
        <f>IFERROR(__xludf.DUMMYFUNCTION("""COMPUTED_VALUE"""),"Ms.")</f>
        <v>Ms.</v>
      </c>
      <c r="C222" t="str">
        <f>IFERROR(__xludf.DUMMYFUNCTION("""COMPUTED_VALUE"""),"Thanawan")</f>
        <v>Thanawan</v>
      </c>
      <c r="D222" t="str">
        <f>IFERROR(__xludf.DUMMYFUNCTION("""COMPUTED_VALUE"""),"Seemakul")</f>
        <v>Seemakul</v>
      </c>
      <c r="E222" t="str">
        <f>IFERROR(__xludf.DUMMYFUNCTION("""COMPUTED_VALUE"""),"Thanawan Seemakul")</f>
        <v>Thanawan Seemakul</v>
      </c>
      <c r="F222" t="str">
        <f>IFERROR(__xludf.DUMMYFUNCTION("""COMPUTED_VALUE"""),"นางสาว")</f>
        <v>นางสาว</v>
      </c>
      <c r="G222" t="str">
        <f>IFERROR(__xludf.DUMMYFUNCTION("""COMPUTED_VALUE"""),"ธนาวรรณ")</f>
        <v>ธนาวรรณ</v>
      </c>
      <c r="H222" t="str">
        <f>IFERROR(__xludf.DUMMYFUNCTION("""COMPUTED_VALUE"""),"สีมากุล")</f>
        <v>สีมากุล</v>
      </c>
      <c r="I222" t="str">
        <f>IFERROR(__xludf.DUMMYFUNCTION("""COMPUTED_VALUE"""),"ธนาวรรณ สีมากุล")</f>
        <v>ธนาวรรณ สีมากุล</v>
      </c>
      <c r="J222" t="str">
        <f>IFERROR(__xludf.DUMMYFUNCTION("""COMPUTED_VALUE"""),"ไตเติ้ล")</f>
        <v>ไตเติ้ล</v>
      </c>
      <c r="K222" t="str">
        <f>IFERROR(__xludf.DUMMYFUNCTION("""COMPUTED_VALUE"""),"Cabin Crew")</f>
        <v>Cabin Crew</v>
      </c>
      <c r="L222" t="str">
        <f>IFERROR(__xludf.DUMMYFUNCTION("""COMPUTED_VALUE"""),"DMK")</f>
        <v>DMK</v>
      </c>
      <c r="M222" s="145" t="str">
        <f>IFERROR(__xludf.DUMMYFUNCTION("""COMPUTED_VALUE"""),"Por+ Home")</f>
        <v>Por+ Home</v>
      </c>
      <c r="N222" t="str">
        <f>IFERROR(__xludf.DUMMYFUNCTION("""COMPUTED_VALUE"""),"Active")</f>
        <v>Active</v>
      </c>
      <c r="P222" s="143">
        <f>IFERROR(__xludf.DUMMYFUNCTION("""COMPUTED_VALUE"""),32042.0)</f>
        <v>32042</v>
      </c>
      <c r="Q222" s="146" t="str">
        <f>IFERROR(__xludf.DUMMYFUNCTION("""COMPUTED_VALUE"""),"080 480 1490")</f>
        <v>080 480 1490</v>
      </c>
      <c r="R222" s="147" t="str">
        <f>IFERROR(__xludf.DUMMYFUNCTION("""COMPUTED_VALUE"""),"1309900-32-7468")</f>
        <v>1309900-32-7468</v>
      </c>
      <c r="S222" t="str">
        <f>IFERROR(__xludf.DUMMYFUNCTION("""COMPUTED_VALUE"""),"AC6606253")</f>
        <v>AC6606253</v>
      </c>
      <c r="T222" s="148">
        <f>IFERROR(__xludf.DUMMYFUNCTION("""COMPUTED_VALUE"""),45399.0)</f>
        <v>45399</v>
      </c>
      <c r="U222" s="148">
        <f>IFERROR(__xludf.DUMMYFUNCTION("""COMPUTED_VALUE"""),49050.0)</f>
        <v>49050</v>
      </c>
      <c r="V222" s="149">
        <f>IFERROR(__xludf.DUMMYFUNCTION("""COMPUTED_VALUE"""),48868.0)</f>
        <v>48868</v>
      </c>
      <c r="W222" t="str">
        <f>IFERROR(__xludf.DUMMYFUNCTION("""COMPUTED_VALUE"""),"ปลอดภัย")</f>
        <v>ปลอดภัย</v>
      </c>
      <c r="X222" t="str">
        <f>IFERROR(__xludf.DUMMYFUNCTION("""COMPUTED_VALUE"""),"Nakhon Ratchasima Province")</f>
        <v>Nakhon Ratchasima Province</v>
      </c>
      <c r="Y222" t="str">
        <f>IFERROR(__xludf.DUMMYFUNCTION("""COMPUTED_VALUE"""),"ลาดกระบัง")</f>
        <v>ลาดกระบัง</v>
      </c>
      <c r="Z222" t="str">
        <f>IFERROR(__xludf.DUMMYFUNCTION("""COMPUTED_VALUE"""),"087 776 1901")</f>
        <v>087 776 1901</v>
      </c>
      <c r="AA222" t="str">
        <f>IFERROR(__xludf.DUMMYFUNCTION("""COMPUTED_VALUE"""),"แม่")</f>
        <v>แม่</v>
      </c>
      <c r="AB222" t="str">
        <f>IFERROR(__xludf.DUMMYFUNCTION("""COMPUTED_VALUE"""),"thanawans@airasia.com")</f>
        <v>thanawans@airasia.com</v>
      </c>
    </row>
    <row r="223">
      <c r="A223">
        <f>IFERROR(__xludf.DUMMYFUNCTION("""COMPUTED_VALUE"""),1005288.0)</f>
        <v>1005288</v>
      </c>
      <c r="B223" t="str">
        <f>IFERROR(__xludf.DUMMYFUNCTION("""COMPUTED_VALUE"""),"Ms.")</f>
        <v>Ms.</v>
      </c>
      <c r="C223" t="str">
        <f>IFERROR(__xludf.DUMMYFUNCTION("""COMPUTED_VALUE"""),"Thidarat")</f>
        <v>Thidarat</v>
      </c>
      <c r="D223" t="str">
        <f>IFERROR(__xludf.DUMMYFUNCTION("""COMPUTED_VALUE"""),"Potarin")</f>
        <v>Potarin</v>
      </c>
      <c r="E223" t="str">
        <f>IFERROR(__xludf.DUMMYFUNCTION("""COMPUTED_VALUE"""),"Thidarat Potarin")</f>
        <v>Thidarat Potarin</v>
      </c>
      <c r="F223" t="str">
        <f>IFERROR(__xludf.DUMMYFUNCTION("""COMPUTED_VALUE"""),"นางสาว")</f>
        <v>นางสาว</v>
      </c>
      <c r="G223" t="str">
        <f>IFERROR(__xludf.DUMMYFUNCTION("""COMPUTED_VALUE"""),"ธิดารัตน์")</f>
        <v>ธิดารัตน์</v>
      </c>
      <c r="H223" t="str">
        <f>IFERROR(__xludf.DUMMYFUNCTION("""COMPUTED_VALUE"""),"โพธารินทร์")</f>
        <v>โพธารินทร์</v>
      </c>
      <c r="I223" t="str">
        <f>IFERROR(__xludf.DUMMYFUNCTION("""COMPUTED_VALUE"""),"ธิดารัตน์ โพธารินทร์")</f>
        <v>ธิดารัตน์ โพธารินทร์</v>
      </c>
      <c r="J223" t="str">
        <f>IFERROR(__xludf.DUMMYFUNCTION("""COMPUTED_VALUE"""),"เล็ก")</f>
        <v>เล็ก</v>
      </c>
      <c r="K223" t="str">
        <f>IFERROR(__xludf.DUMMYFUNCTION("""COMPUTED_VALUE"""),"Cabin Crew")</f>
        <v>Cabin Crew</v>
      </c>
      <c r="L223" t="str">
        <f>IFERROR(__xludf.DUMMYFUNCTION("""COMPUTED_VALUE"""),"DMK")</f>
        <v>DMK</v>
      </c>
      <c r="M223" s="145" t="str">
        <f>IFERROR(__xludf.DUMMYFUNCTION("""COMPUTED_VALUE"""),"Toffy Home")</f>
        <v>Toffy Home</v>
      </c>
      <c r="N223" t="str">
        <f>IFERROR(__xludf.DUMMYFUNCTION("""COMPUTED_VALUE"""),"Active")</f>
        <v>Active</v>
      </c>
      <c r="P223" s="143">
        <f>IFERROR(__xludf.DUMMYFUNCTION("""COMPUTED_VALUE"""),31599.0)</f>
        <v>31599</v>
      </c>
      <c r="Q223" s="146" t="str">
        <f>IFERROR(__xludf.DUMMYFUNCTION("""COMPUTED_VALUE"""),"081 869 1166")</f>
        <v>081 869 1166</v>
      </c>
      <c r="R223" s="147" t="str">
        <f>IFERROR(__xludf.DUMMYFUNCTION("""COMPUTED_VALUE"""),"1341500-08-7306")</f>
        <v>1341500-08-7306</v>
      </c>
      <c r="S223" t="str">
        <f>IFERROR(__xludf.DUMMYFUNCTION("""COMPUTED_VALUE"""),"AC6628639")</f>
        <v>AC6628639</v>
      </c>
      <c r="T223" s="148">
        <f>IFERROR(__xludf.DUMMYFUNCTION("""COMPUTED_VALUE"""),45404.0)</f>
        <v>45404</v>
      </c>
      <c r="U223" s="148">
        <f>IFERROR(__xludf.DUMMYFUNCTION("""COMPUTED_VALUE"""),47229.0)</f>
        <v>47229</v>
      </c>
      <c r="V223" s="149">
        <f>IFERROR(__xludf.DUMMYFUNCTION("""COMPUTED_VALUE"""),47047.0)</f>
        <v>47047</v>
      </c>
      <c r="W223" t="str">
        <f>IFERROR(__xludf.DUMMYFUNCTION("""COMPUTED_VALUE"""),"ปลอดภัย")</f>
        <v>ปลอดภัย</v>
      </c>
      <c r="X223" t="str">
        <f>IFERROR(__xludf.DUMMYFUNCTION("""COMPUTED_VALUE"""),"Ubon Ratchathani Province")</f>
        <v>Ubon Ratchathani Province</v>
      </c>
      <c r="Y223" t="str">
        <f>IFERROR(__xludf.DUMMYFUNCTION("""COMPUTED_VALUE"""),"-")</f>
        <v>-</v>
      </c>
      <c r="Z223" t="str">
        <f>IFERROR(__xludf.DUMMYFUNCTION("""COMPUTED_VALUE"""),"081 171 9575")</f>
        <v>081 171 9575</v>
      </c>
      <c r="AA223" t="str">
        <f>IFERROR(__xludf.DUMMYFUNCTION("""COMPUTED_VALUE"""),"พี่สาว")</f>
        <v>พี่สาว</v>
      </c>
      <c r="AB223" t="str">
        <f>IFERROR(__xludf.DUMMYFUNCTION("""COMPUTED_VALUE"""),"thidaratp@airasia.com")</f>
        <v>thidaratp@airasia.com</v>
      </c>
    </row>
    <row r="224">
      <c r="A224">
        <f>IFERROR(__xludf.DUMMYFUNCTION("""COMPUTED_VALUE"""),1005289.0)</f>
        <v>1005289</v>
      </c>
      <c r="B224" t="str">
        <f>IFERROR(__xludf.DUMMYFUNCTION("""COMPUTED_VALUE"""),"Ms.")</f>
        <v>Ms.</v>
      </c>
      <c r="C224" t="str">
        <f>IFERROR(__xludf.DUMMYFUNCTION("""COMPUTED_VALUE"""),"Varoonyupa")</f>
        <v>Varoonyupa</v>
      </c>
      <c r="D224" t="str">
        <f>IFERROR(__xludf.DUMMYFUNCTION("""COMPUTED_VALUE"""),"Choovet")</f>
        <v>Choovet</v>
      </c>
      <c r="E224" t="str">
        <f>IFERROR(__xludf.DUMMYFUNCTION("""COMPUTED_VALUE"""),"Varoonyupa Choovet")</f>
        <v>Varoonyupa Choovet</v>
      </c>
      <c r="F224" t="str">
        <f>IFERROR(__xludf.DUMMYFUNCTION("""COMPUTED_VALUE"""),"นางสาว")</f>
        <v>นางสาว</v>
      </c>
      <c r="G224" t="str">
        <f>IFERROR(__xludf.DUMMYFUNCTION("""COMPUTED_VALUE"""),"วรุณยุพา")</f>
        <v>วรุณยุพา</v>
      </c>
      <c r="H224" t="str">
        <f>IFERROR(__xludf.DUMMYFUNCTION("""COMPUTED_VALUE"""),"ชูเวทย์")</f>
        <v>ชูเวทย์</v>
      </c>
      <c r="I224" t="str">
        <f>IFERROR(__xludf.DUMMYFUNCTION("""COMPUTED_VALUE"""),"วรุณยุพา ชูเวทย์")</f>
        <v>วรุณยุพา ชูเวทย์</v>
      </c>
      <c r="J224" t="str">
        <f>IFERROR(__xludf.DUMMYFUNCTION("""COMPUTED_VALUE"""),"ใบเฟิร์น")</f>
        <v>ใบเฟิร์น</v>
      </c>
      <c r="K224" t="str">
        <f>IFERROR(__xludf.DUMMYFUNCTION("""COMPUTED_VALUE"""),"Cabin Crew")</f>
        <v>Cabin Crew</v>
      </c>
      <c r="L224" t="str">
        <f>IFERROR(__xludf.DUMMYFUNCTION("""COMPUTED_VALUE"""),"DMK")</f>
        <v>DMK</v>
      </c>
      <c r="M224" s="145" t="str">
        <f>IFERROR(__xludf.DUMMYFUNCTION("""COMPUTED_VALUE"""),"Por+ Home")</f>
        <v>Por+ Home</v>
      </c>
      <c r="N224" t="str">
        <f>IFERROR(__xludf.DUMMYFUNCTION("""COMPUTED_VALUE"""),"Active")</f>
        <v>Active</v>
      </c>
      <c r="P224" s="143">
        <f>IFERROR(__xludf.DUMMYFUNCTION("""COMPUTED_VALUE"""),31272.0)</f>
        <v>31272</v>
      </c>
      <c r="Q224" s="146" t="str">
        <f>IFERROR(__xludf.DUMMYFUNCTION("""COMPUTED_VALUE"""),"064 465 9245")</f>
        <v>064 465 9245</v>
      </c>
      <c r="R224" s="147" t="str">
        <f>IFERROR(__xludf.DUMMYFUNCTION("""COMPUTED_VALUE"""),"1100700-26-7538")</f>
        <v>1100700-26-7538</v>
      </c>
      <c r="S224" t="str">
        <f>IFERROR(__xludf.DUMMYFUNCTION("""COMPUTED_VALUE"""),"AC6112120")</f>
        <v>AC6112120</v>
      </c>
      <c r="T224" s="148">
        <f>IFERROR(__xludf.DUMMYFUNCTION("""COMPUTED_VALUE"""),45275.0)</f>
        <v>45275</v>
      </c>
      <c r="U224" s="148">
        <f>IFERROR(__xludf.DUMMYFUNCTION("""COMPUTED_VALUE"""),48927.0)</f>
        <v>48927</v>
      </c>
      <c r="V224" s="149">
        <f>IFERROR(__xludf.DUMMYFUNCTION("""COMPUTED_VALUE"""),48744.0)</f>
        <v>48744</v>
      </c>
      <c r="W224" t="str">
        <f>IFERROR(__xludf.DUMMYFUNCTION("""COMPUTED_VALUE"""),"ปลอดภัย")</f>
        <v>ปลอดภัย</v>
      </c>
      <c r="X224" t="str">
        <f>IFERROR(__xludf.DUMMYFUNCTION("""COMPUTED_VALUE"""),"Bangkok")</f>
        <v>Bangkok</v>
      </c>
      <c r="Y224" t="str">
        <f>IFERROR(__xludf.DUMMYFUNCTION("""COMPUTED_VALUE"""),"วงเวียนใหญ่")</f>
        <v>วงเวียนใหญ่</v>
      </c>
      <c r="Z224" t="str">
        <f>IFERROR(__xludf.DUMMYFUNCTION("""COMPUTED_VALUE"""),"089 699 5569")</f>
        <v>089 699 5569</v>
      </c>
      <c r="AA224" t="str">
        <f>IFERROR(__xludf.DUMMYFUNCTION("""COMPUTED_VALUE"""),"ญาติ")</f>
        <v>ญาติ</v>
      </c>
      <c r="AB224" t="str">
        <f>IFERROR(__xludf.DUMMYFUNCTION("""COMPUTED_VALUE"""),"varoonyupac@airasia.com")</f>
        <v>varoonyupac@airasia.com</v>
      </c>
    </row>
    <row r="225">
      <c r="AB225" t="str">
        <f>IFERROR(__xludf.DUMMYFUNCTION("""COMPUTED_VALUE"""),"")</f>
        <v/>
      </c>
    </row>
    <row r="226">
      <c r="A226">
        <f>IFERROR(__xludf.DUMMYFUNCTION("""COMPUTED_VALUE"""),1001162.0)</f>
        <v>1001162</v>
      </c>
      <c r="B226" t="str">
        <f>IFERROR(__xludf.DUMMYFUNCTION("""COMPUTED_VALUE"""),"Ms.")</f>
        <v>Ms.</v>
      </c>
      <c r="C226" t="str">
        <f>IFERROR(__xludf.DUMMYFUNCTION("""COMPUTED_VALUE"""),"Preechaya")</f>
        <v>Preechaya</v>
      </c>
      <c r="D226" t="str">
        <f>IFERROR(__xludf.DUMMYFUNCTION("""COMPUTED_VALUE"""),"Rattanaporn")</f>
        <v>Rattanaporn</v>
      </c>
      <c r="E226" t="str">
        <f>IFERROR(__xludf.DUMMYFUNCTION("""COMPUTED_VALUE"""),"Preechaya Rattanaporn")</f>
        <v>Preechaya Rattanaporn</v>
      </c>
      <c r="F226" t="str">
        <f>IFERROR(__xludf.DUMMYFUNCTION("""COMPUTED_VALUE"""),"นางสาว")</f>
        <v>นางสาว</v>
      </c>
      <c r="G226" t="str">
        <f>IFERROR(__xludf.DUMMYFUNCTION("""COMPUTED_VALUE"""),"ปรีชญา")</f>
        <v>ปรีชญา</v>
      </c>
      <c r="H226" t="str">
        <f>IFERROR(__xludf.DUMMYFUNCTION("""COMPUTED_VALUE"""),"รัตนาภรณ์")</f>
        <v>รัตนาภรณ์</v>
      </c>
      <c r="I226" t="str">
        <f>IFERROR(__xludf.DUMMYFUNCTION("""COMPUTED_VALUE"""),"ปรีชญา รัตนาภรณ์")</f>
        <v>ปรีชญา รัตนาภรณ์</v>
      </c>
      <c r="J226" t="str">
        <f>IFERROR(__xludf.DUMMYFUNCTION("""COMPUTED_VALUE"""),"อิม")</f>
        <v>อิม</v>
      </c>
      <c r="K226" t="str">
        <f>IFERROR(__xludf.DUMMYFUNCTION("""COMPUTED_VALUE"""),"Senior Cabin Crew - CNX")</f>
        <v>Senior Cabin Crew - CNX</v>
      </c>
      <c r="L226" t="str">
        <f>IFERROR(__xludf.DUMMYFUNCTION("""COMPUTED_VALUE"""),"CNX")</f>
        <v>CNX</v>
      </c>
      <c r="M226" s="145" t="str">
        <f>IFERROR(__xludf.DUMMYFUNCTION("""COMPUTED_VALUE"""),"Up Home")</f>
        <v>Up Home</v>
      </c>
      <c r="N226" t="str">
        <f>IFERROR(__xludf.DUMMYFUNCTION("""COMPUTED_VALUE"""),"Active")</f>
        <v>Active</v>
      </c>
      <c r="P226" s="143">
        <f>IFERROR(__xludf.DUMMYFUNCTION("""COMPUTED_VALUE"""),29902.0)</f>
        <v>29902</v>
      </c>
      <c r="Q226" s="146" t="str">
        <f>IFERROR(__xludf.DUMMYFUNCTION("""COMPUTED_VALUE"""),"081 882 0800")</f>
        <v>081 882 0800</v>
      </c>
      <c r="R226" s="147" t="str">
        <f>IFERROR(__xludf.DUMMYFUNCTION("""COMPUTED_VALUE"""),"3500200-69-6572")</f>
        <v>3500200-69-6572</v>
      </c>
      <c r="S226" t="str">
        <f>IFERROR(__xludf.DUMMYFUNCTION("""COMPUTED_VALUE"""),"AC4037299")</f>
        <v>AC4037299</v>
      </c>
      <c r="T226" s="148">
        <f>IFERROR(__xludf.DUMMYFUNCTION("""COMPUTED_VALUE"""),45183.0)</f>
        <v>45183</v>
      </c>
      <c r="U226" s="148">
        <f>IFERROR(__xludf.DUMMYFUNCTION("""COMPUTED_VALUE"""),48470.0)</f>
        <v>48470</v>
      </c>
      <c r="V226" s="149">
        <f>IFERROR(__xludf.DUMMYFUNCTION("""COMPUTED_VALUE"""),48286.0)</f>
        <v>48286</v>
      </c>
      <c r="W226" t="str">
        <f>IFERROR(__xludf.DUMMYFUNCTION("""COMPUTED_VALUE"""),"ปลอดภัย")</f>
        <v>ปลอดภัย</v>
      </c>
      <c r="X226" t="str">
        <f>IFERROR(__xludf.DUMMYFUNCTION("""COMPUTED_VALUE"""),"Chiang Mai Province")</f>
        <v>Chiang Mai Province</v>
      </c>
      <c r="Y226" t="str">
        <f>IFERROR(__xludf.DUMMYFUNCTION("""COMPUTED_VALUE"""),"ลาดกระบัง")</f>
        <v>ลาดกระบัง</v>
      </c>
      <c r="Z226" t="str">
        <f>IFERROR(__xludf.DUMMYFUNCTION("""COMPUTED_VALUE"""),"081 373 0692")</f>
        <v>081 373 0692</v>
      </c>
      <c r="AA226" t="str">
        <f>IFERROR(__xludf.DUMMYFUNCTION("""COMPUTED_VALUE"""),"ญาติ")</f>
        <v>ญาติ</v>
      </c>
      <c r="AB226" t="str">
        <f>IFERROR(__xludf.DUMMYFUNCTION("""COMPUTED_VALUE"""),"preechayaa@airasia.com")</f>
        <v>preechayaa@airasia.com</v>
      </c>
    </row>
    <row r="227">
      <c r="A227">
        <f>IFERROR(__xludf.DUMMYFUNCTION("""COMPUTED_VALUE"""),1001787.0)</f>
        <v>1001787</v>
      </c>
      <c r="B227" t="str">
        <f>IFERROR(__xludf.DUMMYFUNCTION("""COMPUTED_VALUE"""),"Ms.")</f>
        <v>Ms.</v>
      </c>
      <c r="C227" t="str">
        <f>IFERROR(__xludf.DUMMYFUNCTION("""COMPUTED_VALUE"""),"Porntippa")</f>
        <v>Porntippa</v>
      </c>
      <c r="D227" t="str">
        <f>IFERROR(__xludf.DUMMYFUNCTION("""COMPUTED_VALUE"""),"Markpoon")</f>
        <v>Markpoon</v>
      </c>
      <c r="E227" t="str">
        <f>IFERROR(__xludf.DUMMYFUNCTION("""COMPUTED_VALUE"""),"Porntippa Markpoon")</f>
        <v>Porntippa Markpoon</v>
      </c>
      <c r="F227" t="str">
        <f>IFERROR(__xludf.DUMMYFUNCTION("""COMPUTED_VALUE"""),"นางสาว")</f>
        <v>นางสาว</v>
      </c>
      <c r="G227" t="str">
        <f>IFERROR(__xludf.DUMMYFUNCTION("""COMPUTED_VALUE"""),"พรทิพภา")</f>
        <v>พรทิพภา</v>
      </c>
      <c r="H227" t="str">
        <f>IFERROR(__xludf.DUMMYFUNCTION("""COMPUTED_VALUE"""),"มากพูน")</f>
        <v>มากพูน</v>
      </c>
      <c r="I227" t="str">
        <f>IFERROR(__xludf.DUMMYFUNCTION("""COMPUTED_VALUE"""),"พรทิพภา มากพูน")</f>
        <v>พรทิพภา มากพูน</v>
      </c>
      <c r="J227" t="str">
        <f>IFERROR(__xludf.DUMMYFUNCTION("""COMPUTED_VALUE"""),"เมย์")</f>
        <v>เมย์</v>
      </c>
      <c r="K227" t="str">
        <f>IFERROR(__xludf.DUMMYFUNCTION("""COMPUTED_VALUE"""),"Senior Cabin Crew")</f>
        <v>Senior Cabin Crew</v>
      </c>
      <c r="L227" t="str">
        <f>IFERROR(__xludf.DUMMYFUNCTION("""COMPUTED_VALUE"""),"DMK")</f>
        <v>DMK</v>
      </c>
      <c r="M227" s="145" t="str">
        <f>IFERROR(__xludf.DUMMYFUNCTION("""COMPUTED_VALUE"""),"Por+ Home")</f>
        <v>Por+ Home</v>
      </c>
      <c r="N227" t="str">
        <f>IFERROR(__xludf.DUMMYFUNCTION("""COMPUTED_VALUE"""),"Active")</f>
        <v>Active</v>
      </c>
      <c r="P227" s="143">
        <f>IFERROR(__xludf.DUMMYFUNCTION("""COMPUTED_VALUE"""),31267.0)</f>
        <v>31267</v>
      </c>
      <c r="Q227" s="146" t="str">
        <f>IFERROR(__xludf.DUMMYFUNCTION("""COMPUTED_VALUE"""),"098 265 4531")</f>
        <v>098 265 4531</v>
      </c>
      <c r="R227" s="147" t="str">
        <f>IFERROR(__xludf.DUMMYFUNCTION("""COMPUTED_VALUE"""),"1309900-03-4568")</f>
        <v>1309900-03-4568</v>
      </c>
      <c r="S227" t="str">
        <f>IFERROR(__xludf.DUMMYFUNCTION("""COMPUTED_VALUE"""),"AC2417671")</f>
        <v>AC2417671</v>
      </c>
      <c r="T227" s="148">
        <f>IFERROR(__xludf.DUMMYFUNCTION("""COMPUTED_VALUE"""),44441.0)</f>
        <v>44441</v>
      </c>
      <c r="U227" s="148">
        <f>IFERROR(__xludf.DUMMYFUNCTION("""COMPUTED_VALUE"""),48092.0)</f>
        <v>48092</v>
      </c>
      <c r="V227" s="149">
        <f>IFERROR(__xludf.DUMMYFUNCTION("""COMPUTED_VALUE"""),47908.0)</f>
        <v>47908</v>
      </c>
      <c r="W227" t="str">
        <f>IFERROR(__xludf.DUMMYFUNCTION("""COMPUTED_VALUE"""),"ปลอดภัย")</f>
        <v>ปลอดภัย</v>
      </c>
      <c r="X227" t="str">
        <f>IFERROR(__xludf.DUMMYFUNCTION("""COMPUTED_VALUE"""),"Nakhon Ratchasima Province")</f>
        <v>Nakhon Ratchasima Province</v>
      </c>
      <c r="Y227" t="str">
        <f>IFERROR(__xludf.DUMMYFUNCTION("""COMPUTED_VALUE"""),"ลาดกระบัง")</f>
        <v>ลาดกระบัง</v>
      </c>
      <c r="Z227" t="str">
        <f>IFERROR(__xludf.DUMMYFUNCTION("""COMPUTED_VALUE"""),"083 893 0503")</f>
        <v>083 893 0503</v>
      </c>
      <c r="AA227" t="str">
        <f>IFERROR(__xludf.DUMMYFUNCTION("""COMPUTED_VALUE"""),"ญาติ")</f>
        <v>ญาติ</v>
      </c>
      <c r="AB227" t="str">
        <f>IFERROR(__xludf.DUMMYFUNCTION("""COMPUTED_VALUE"""),"porntippam@airasia.com")</f>
        <v>porntippam@airasia.com</v>
      </c>
    </row>
    <row r="228">
      <c r="A228">
        <f>IFERROR(__xludf.DUMMYFUNCTION("""COMPUTED_VALUE"""),1002729.0)</f>
        <v>1002729</v>
      </c>
      <c r="B228" t="str">
        <f>IFERROR(__xludf.DUMMYFUNCTION("""COMPUTED_VALUE"""),"Mr.")</f>
        <v>Mr.</v>
      </c>
      <c r="C228" t="str">
        <f>IFERROR(__xludf.DUMMYFUNCTION("""COMPUTED_VALUE"""),"Raywat")</f>
        <v>Raywat</v>
      </c>
      <c r="D228" t="str">
        <f>IFERROR(__xludf.DUMMYFUNCTION("""COMPUTED_VALUE"""),"Sakulsom")</f>
        <v>Sakulsom</v>
      </c>
      <c r="E228" t="str">
        <f>IFERROR(__xludf.DUMMYFUNCTION("""COMPUTED_VALUE"""),"Raywat Sakulsom")</f>
        <v>Raywat Sakulsom</v>
      </c>
      <c r="F228" t="str">
        <f>IFERROR(__xludf.DUMMYFUNCTION("""COMPUTED_VALUE"""),"นาย")</f>
        <v>นาย</v>
      </c>
      <c r="G228" t="str">
        <f>IFERROR(__xludf.DUMMYFUNCTION("""COMPUTED_VALUE"""),"เรวัต")</f>
        <v>เรวัต</v>
      </c>
      <c r="H228" t="str">
        <f>IFERROR(__xludf.DUMMYFUNCTION("""COMPUTED_VALUE"""),"สกุลสม")</f>
        <v>สกุลสม</v>
      </c>
      <c r="I228" t="str">
        <f>IFERROR(__xludf.DUMMYFUNCTION("""COMPUTED_VALUE"""),"เรวัต สกุลสม")</f>
        <v>เรวัต สกุลสม</v>
      </c>
      <c r="J228" t="str">
        <f>IFERROR(__xludf.DUMMYFUNCTION("""COMPUTED_VALUE"""),"ไมค์")</f>
        <v>ไมค์</v>
      </c>
      <c r="K228" t="str">
        <f>IFERROR(__xludf.DUMMYFUNCTION("""COMPUTED_VALUE"""),"Cabin Crew")</f>
        <v>Cabin Crew</v>
      </c>
      <c r="L228" t="str">
        <f>IFERROR(__xludf.DUMMYFUNCTION("""COMPUTED_VALUE"""),"DMK")</f>
        <v>DMK</v>
      </c>
      <c r="M228" s="145" t="str">
        <f>IFERROR(__xludf.DUMMYFUNCTION("""COMPUTED_VALUE"""),"Toffy Home")</f>
        <v>Toffy Home</v>
      </c>
      <c r="N228" t="str">
        <f>IFERROR(__xludf.DUMMYFUNCTION("""COMPUTED_VALUE"""),"Active")</f>
        <v>Active</v>
      </c>
      <c r="P228" s="143">
        <f>IFERROR(__xludf.DUMMYFUNCTION("""COMPUTED_VALUE"""),30951.0)</f>
        <v>30951</v>
      </c>
      <c r="Q228" s="146" t="str">
        <f>IFERROR(__xludf.DUMMYFUNCTION("""COMPUTED_VALUE"""),"081 955 1984")</f>
        <v>081 955 1984</v>
      </c>
      <c r="R228" s="147" t="str">
        <f>IFERROR(__xludf.DUMMYFUNCTION("""COMPUTED_VALUE"""),"1739900-03-2804")</f>
        <v>1739900-03-2804</v>
      </c>
      <c r="S228" t="str">
        <f>IFERROR(__xludf.DUMMYFUNCTION("""COMPUTED_VALUE"""),"AC4360303")</f>
        <v>AC4360303</v>
      </c>
      <c r="T228" s="148">
        <f>IFERROR(__xludf.DUMMYFUNCTION("""COMPUTED_VALUE"""),44937.0)</f>
        <v>44937</v>
      </c>
      <c r="U228" s="148">
        <f>IFERROR(__xludf.DUMMYFUNCTION("""COMPUTED_VALUE"""),48589.0)</f>
        <v>48589</v>
      </c>
      <c r="V228" s="149">
        <f>IFERROR(__xludf.DUMMYFUNCTION("""COMPUTED_VALUE"""),48405.0)</f>
        <v>48405</v>
      </c>
      <c r="W228" t="str">
        <f>IFERROR(__xludf.DUMMYFUNCTION("""COMPUTED_VALUE"""),"ปลอดภัย")</f>
        <v>ปลอดภัย</v>
      </c>
      <c r="X228" t="str">
        <f>IFERROR(__xludf.DUMMYFUNCTION("""COMPUTED_VALUE"""),"Nakhon Pathom Province")</f>
        <v>Nakhon Pathom Province</v>
      </c>
      <c r="Y228" t="str">
        <f>IFERROR(__xludf.DUMMYFUNCTION("""COMPUTED_VALUE"""),"ลาดกระบัง")</f>
        <v>ลาดกระบัง</v>
      </c>
      <c r="Z228" t="str">
        <f>IFERROR(__xludf.DUMMYFUNCTION("""COMPUTED_VALUE"""),"081 378 6304")</f>
        <v>081 378 6304</v>
      </c>
      <c r="AA228" t="str">
        <f>IFERROR(__xludf.DUMMYFUNCTION("""COMPUTED_VALUE"""),"บิดา")</f>
        <v>บิดา</v>
      </c>
      <c r="AB228" t="str">
        <f>IFERROR(__xludf.DUMMYFUNCTION("""COMPUTED_VALUE"""),"raywats@airasia.com")</f>
        <v>raywats@airasia.com</v>
      </c>
    </row>
    <row r="229">
      <c r="A229">
        <f>IFERROR(__xludf.DUMMYFUNCTION("""COMPUTED_VALUE"""),1005290.0)</f>
        <v>1005290</v>
      </c>
      <c r="B229" t="str">
        <f>IFERROR(__xludf.DUMMYFUNCTION("""COMPUTED_VALUE"""),"Mr.")</f>
        <v>Mr.</v>
      </c>
      <c r="C229" t="str">
        <f>IFERROR(__xludf.DUMMYFUNCTION("""COMPUTED_VALUE"""),"Chalatpon")</f>
        <v>Chalatpon</v>
      </c>
      <c r="D229" t="str">
        <f>IFERROR(__xludf.DUMMYFUNCTION("""COMPUTED_VALUE"""),"Tangkanjanapas")</f>
        <v>Tangkanjanapas</v>
      </c>
      <c r="E229" t="str">
        <f>IFERROR(__xludf.DUMMYFUNCTION("""COMPUTED_VALUE"""),"Chalatpon Tangkanjanapas")</f>
        <v>Chalatpon Tangkanjanapas</v>
      </c>
      <c r="F229" t="str">
        <f>IFERROR(__xludf.DUMMYFUNCTION("""COMPUTED_VALUE"""),"นาย")</f>
        <v>นาย</v>
      </c>
      <c r="G229" t="str">
        <f>IFERROR(__xludf.DUMMYFUNCTION("""COMPUTED_VALUE"""),"ชลัฏพล")</f>
        <v>ชลัฏพล</v>
      </c>
      <c r="H229" t="str">
        <f>IFERROR(__xludf.DUMMYFUNCTION("""COMPUTED_VALUE"""),"ตั้งกาญจนภาสน์")</f>
        <v>ตั้งกาญจนภาสน์</v>
      </c>
      <c r="I229" t="str">
        <f>IFERROR(__xludf.DUMMYFUNCTION("""COMPUTED_VALUE"""),"ชลัฏพล ตั้งกาญจนภาสน์")</f>
        <v>ชลัฏพล ตั้งกาญจนภาสน์</v>
      </c>
      <c r="J229" t="str">
        <f>IFERROR(__xludf.DUMMYFUNCTION("""COMPUTED_VALUE"""),"โบท")</f>
        <v>โบท</v>
      </c>
      <c r="K229" t="str">
        <f>IFERROR(__xludf.DUMMYFUNCTION("""COMPUTED_VALUE"""),"Senior Cabin Crew")</f>
        <v>Senior Cabin Crew</v>
      </c>
      <c r="L229" t="str">
        <f>IFERROR(__xludf.DUMMYFUNCTION("""COMPUTED_VALUE"""),"DMK")</f>
        <v>DMK</v>
      </c>
      <c r="M229" s="145" t="str">
        <f>IFERROR(__xludf.DUMMYFUNCTION("""COMPUTED_VALUE"""),"Nhui Home")</f>
        <v>Nhui Home</v>
      </c>
      <c r="N229" t="str">
        <f>IFERROR(__xludf.DUMMYFUNCTION("""COMPUTED_VALUE"""),"Active")</f>
        <v>Active</v>
      </c>
      <c r="P229" s="143">
        <f>IFERROR(__xludf.DUMMYFUNCTION("""COMPUTED_VALUE"""),32467.0)</f>
        <v>32467</v>
      </c>
      <c r="Q229" s="146" t="str">
        <f>IFERROR(__xludf.DUMMYFUNCTION("""COMPUTED_VALUE"""),"086-492-4456")</f>
        <v>086-492-4456</v>
      </c>
      <c r="R229" s="147" t="str">
        <f>IFERROR(__xludf.DUMMYFUNCTION("""COMPUTED_VALUE"""),"1100800-48-1191")</f>
        <v>1100800-48-1191</v>
      </c>
      <c r="S229" t="str">
        <f>IFERROR(__xludf.DUMMYFUNCTION("""COMPUTED_VALUE"""),"AD2301376")</f>
        <v>AD2301376</v>
      </c>
      <c r="T229" s="148">
        <f>IFERROR(__xludf.DUMMYFUNCTION("""COMPUTED_VALUE"""),45817.0)</f>
        <v>45817</v>
      </c>
      <c r="U229" s="148">
        <f>IFERROR(__xludf.DUMMYFUNCTION("""COMPUTED_VALUE"""),49468.0)</f>
        <v>49468</v>
      </c>
      <c r="V229" s="149">
        <f>IFERROR(__xludf.DUMMYFUNCTION("""COMPUTED_VALUE"""),49286.0)</f>
        <v>49286</v>
      </c>
      <c r="W229" t="str">
        <f>IFERROR(__xludf.DUMMYFUNCTION("""COMPUTED_VALUE"""),"ปลอดภัย")</f>
        <v>ปลอดภัย</v>
      </c>
      <c r="X229" t="str">
        <f>IFERROR(__xludf.DUMMYFUNCTION("""COMPUTED_VALUE"""),"Bangkok")</f>
        <v>Bangkok</v>
      </c>
      <c r="Y229" t="str">
        <f>IFERROR(__xludf.DUMMYFUNCTION("""COMPUTED_VALUE"""),"ป้อมปราบศัตรูพ่าย")</f>
        <v>ป้อมปราบศัตรูพ่าย</v>
      </c>
      <c r="Z229" t="str">
        <f>IFERROR(__xludf.DUMMYFUNCTION("""COMPUTED_VALUE"""),"081 925 7540")</f>
        <v>081 925 7540</v>
      </c>
      <c r="AA229" t="str">
        <f>IFERROR(__xludf.DUMMYFUNCTION("""COMPUTED_VALUE"""),"มารดา")</f>
        <v>มารดา</v>
      </c>
      <c r="AB229" t="str">
        <f>IFERROR(__xludf.DUMMYFUNCTION("""COMPUTED_VALUE"""),"chalatpont@airasia.com")</f>
        <v>chalatpont@airasia.com</v>
      </c>
    </row>
    <row r="230">
      <c r="A230">
        <f>IFERROR(__xludf.DUMMYFUNCTION("""COMPUTED_VALUE"""),1005297.0)</f>
        <v>1005297</v>
      </c>
      <c r="B230" t="str">
        <f>IFERROR(__xludf.DUMMYFUNCTION("""COMPUTED_VALUE"""),"Ms.")</f>
        <v>Ms.</v>
      </c>
      <c r="C230" t="str">
        <f>IFERROR(__xludf.DUMMYFUNCTION("""COMPUTED_VALUE"""),"Kunapond")</f>
        <v>Kunapond</v>
      </c>
      <c r="D230" t="str">
        <f>IFERROR(__xludf.DUMMYFUNCTION("""COMPUTED_VALUE"""),"Wutayatornsakul")</f>
        <v>Wutayatornsakul</v>
      </c>
      <c r="E230" t="str">
        <f>IFERROR(__xludf.DUMMYFUNCTION("""COMPUTED_VALUE"""),"Kunapond Wutayatornsakul")</f>
        <v>Kunapond Wutayatornsakul</v>
      </c>
      <c r="F230" t="str">
        <f>IFERROR(__xludf.DUMMYFUNCTION("""COMPUTED_VALUE"""),"นางสาว")</f>
        <v>นางสาว</v>
      </c>
      <c r="G230" t="str">
        <f>IFERROR(__xludf.DUMMYFUNCTION("""COMPUTED_VALUE"""),"คุณาภรณ์")</f>
        <v>คุณาภรณ์</v>
      </c>
      <c r="H230" t="str">
        <f>IFERROR(__xludf.DUMMYFUNCTION("""COMPUTED_VALUE"""),"หวูทยาธรสกุล")</f>
        <v>หวูทยาธรสกุล</v>
      </c>
      <c r="I230" t="str">
        <f>IFERROR(__xludf.DUMMYFUNCTION("""COMPUTED_VALUE"""),"คุณาภรณ์ หวูทยาธรสกุล")</f>
        <v>คุณาภรณ์ หวูทยาธรสกุล</v>
      </c>
      <c r="J230" t="str">
        <f>IFERROR(__xludf.DUMMYFUNCTION("""COMPUTED_VALUE"""),"ซู่")</f>
        <v>ซู่</v>
      </c>
      <c r="K230" t="str">
        <f>IFERROR(__xludf.DUMMYFUNCTION("""COMPUTED_VALUE"""),"Cabin Crew")</f>
        <v>Cabin Crew</v>
      </c>
      <c r="L230" t="str">
        <f>IFERROR(__xludf.DUMMYFUNCTION("""COMPUTED_VALUE"""),"DMK")</f>
        <v>DMK</v>
      </c>
      <c r="M230" s="145" t="str">
        <f>IFERROR(__xludf.DUMMYFUNCTION("""COMPUTED_VALUE"""),"Kor Home")</f>
        <v>Kor Home</v>
      </c>
      <c r="N230" t="str">
        <f>IFERROR(__xludf.DUMMYFUNCTION("""COMPUTED_VALUE"""),"Active")</f>
        <v>Active</v>
      </c>
      <c r="O230" t="str">
        <f>IFERROR(__xludf.DUMMYFUNCTION("""COMPUTED_VALUE"""),"Chinese Speaking")</f>
        <v>Chinese Speaking</v>
      </c>
      <c r="P230" s="143">
        <f>IFERROR(__xludf.DUMMYFUNCTION("""COMPUTED_VALUE"""),33501.0)</f>
        <v>33501</v>
      </c>
      <c r="Q230" s="146" t="str">
        <f>IFERROR(__xludf.DUMMYFUNCTION("""COMPUTED_VALUE"""),"083 012 0318")</f>
        <v>083 012 0318</v>
      </c>
      <c r="R230" s="147" t="str">
        <f>IFERROR(__xludf.DUMMYFUNCTION("""COMPUTED_VALUE"""),"1850100-06-1665")</f>
        <v>1850100-06-1665</v>
      </c>
      <c r="S230" t="str">
        <f>IFERROR(__xludf.DUMMYFUNCTION("""COMPUTED_VALUE"""),"AC6983661")</f>
        <v>AC6983661</v>
      </c>
      <c r="T230" s="148">
        <f>IFERROR(__xludf.DUMMYFUNCTION("""COMPUTED_VALUE"""),45611.0)</f>
        <v>45611</v>
      </c>
      <c r="U230" s="148">
        <f>IFERROR(__xludf.DUMMYFUNCTION("""COMPUTED_VALUE"""),49262.0)</f>
        <v>49262</v>
      </c>
      <c r="V230" s="149">
        <f>IFERROR(__xludf.DUMMYFUNCTION("""COMPUTED_VALUE"""),49078.0)</f>
        <v>49078</v>
      </c>
      <c r="W230" t="str">
        <f>IFERROR(__xludf.DUMMYFUNCTION("""COMPUTED_VALUE"""),"ปลอดภัย")</f>
        <v>ปลอดภัย</v>
      </c>
      <c r="X230" t="str">
        <f>IFERROR(__xludf.DUMMYFUNCTION("""COMPUTED_VALUE"""),"Ranong Province")</f>
        <v>Ranong Province</v>
      </c>
      <c r="Y230" t="str">
        <f>IFERROR(__xludf.DUMMYFUNCTION("""COMPUTED_VALUE"""),"หนองแขม")</f>
        <v>หนองแขม</v>
      </c>
      <c r="Z230" t="str">
        <f>IFERROR(__xludf.DUMMYFUNCTION("""COMPUTED_VALUE"""),"081 483 8686")</f>
        <v>081 483 8686</v>
      </c>
      <c r="AA230" t="str">
        <f>IFERROR(__xludf.DUMMYFUNCTION("""COMPUTED_VALUE"""),"มารดา")</f>
        <v>มารดา</v>
      </c>
      <c r="AB230" t="str">
        <f>IFERROR(__xludf.DUMMYFUNCTION("""COMPUTED_VALUE"""),"kunapondw@airasia.com")</f>
        <v>kunapondw@airasia.com</v>
      </c>
    </row>
    <row r="231">
      <c r="A231">
        <f>IFERROR(__xludf.DUMMYFUNCTION("""COMPUTED_VALUE"""),1005299.0)</f>
        <v>1005299</v>
      </c>
      <c r="B231" t="str">
        <f>IFERROR(__xludf.DUMMYFUNCTION("""COMPUTED_VALUE"""),"Ms.")</f>
        <v>Ms.</v>
      </c>
      <c r="C231" t="str">
        <f>IFERROR(__xludf.DUMMYFUNCTION("""COMPUTED_VALUE"""),"Nannalin")</f>
        <v>Nannalin</v>
      </c>
      <c r="D231" t="str">
        <f>IFERROR(__xludf.DUMMYFUNCTION("""COMPUTED_VALUE"""),"Deetesna")</f>
        <v>Deetesna</v>
      </c>
      <c r="E231" t="str">
        <f>IFERROR(__xludf.DUMMYFUNCTION("""COMPUTED_VALUE"""),"Nan Deetesna")</f>
        <v>Nan Deetesna</v>
      </c>
      <c r="F231" t="str">
        <f>IFERROR(__xludf.DUMMYFUNCTION("""COMPUTED_VALUE"""),"นางสาว")</f>
        <v>นางสาว</v>
      </c>
      <c r="G231" t="str">
        <f>IFERROR(__xludf.DUMMYFUNCTION("""COMPUTED_VALUE"""),"นันท์นลิน")</f>
        <v>นันท์นลิน</v>
      </c>
      <c r="H231" t="str">
        <f>IFERROR(__xludf.DUMMYFUNCTION("""COMPUTED_VALUE"""),"ดีเทศน์")</f>
        <v>ดีเทศน์</v>
      </c>
      <c r="I231" t="str">
        <f>IFERROR(__xludf.DUMMYFUNCTION("""COMPUTED_VALUE"""),"นันท์นลิน ดีเทศน์")</f>
        <v>นันท์นลิน ดีเทศน์</v>
      </c>
      <c r="J231" t="str">
        <f>IFERROR(__xludf.DUMMYFUNCTION("""COMPUTED_VALUE"""),"เมษา")</f>
        <v>เมษา</v>
      </c>
      <c r="K231" t="str">
        <f>IFERROR(__xludf.DUMMYFUNCTION("""COMPUTED_VALUE"""),"Cabin Crew")</f>
        <v>Cabin Crew</v>
      </c>
      <c r="L231" t="str">
        <f>IFERROR(__xludf.DUMMYFUNCTION("""COMPUTED_VALUE"""),"DMK")</f>
        <v>DMK</v>
      </c>
      <c r="M231" s="145" t="str">
        <f>IFERROR(__xludf.DUMMYFUNCTION("""COMPUTED_VALUE"""),"Nhui Home")</f>
        <v>Nhui Home</v>
      </c>
      <c r="N231" t="str">
        <f>IFERROR(__xludf.DUMMYFUNCTION("""COMPUTED_VALUE"""),"Active")</f>
        <v>Active</v>
      </c>
      <c r="P231" s="143">
        <f>IFERROR(__xludf.DUMMYFUNCTION("""COMPUTED_VALUE"""),32239.0)</f>
        <v>32239</v>
      </c>
      <c r="Q231" s="146" t="str">
        <f>IFERROR(__xludf.DUMMYFUNCTION("""COMPUTED_VALUE"""),"085 546 6964")</f>
        <v>085 546 6964</v>
      </c>
      <c r="R231" s="147" t="str">
        <f>IFERROR(__xludf.DUMMYFUNCTION("""COMPUTED_VALUE"""),"1409900-43-2881")</f>
        <v>1409900-43-2881</v>
      </c>
      <c r="S231" t="str">
        <f>IFERROR(__xludf.DUMMYFUNCTION("""COMPUTED_VALUE"""),"AC8234784")</f>
        <v>AC8234784</v>
      </c>
      <c r="T231" s="148">
        <f>IFERROR(__xludf.DUMMYFUNCTION("""COMPUTED_VALUE"""),45740.0)</f>
        <v>45740</v>
      </c>
      <c r="U231" s="148">
        <f>IFERROR(__xludf.DUMMYFUNCTION("""COMPUTED_VALUE"""),49391.0)</f>
        <v>49391</v>
      </c>
      <c r="V231" s="149">
        <f>IFERROR(__xludf.DUMMYFUNCTION("""COMPUTED_VALUE"""),49210.0)</f>
        <v>49210</v>
      </c>
      <c r="W231" t="str">
        <f>IFERROR(__xludf.DUMMYFUNCTION("""COMPUTED_VALUE"""),"ปลอดภัย")</f>
        <v>ปลอดภัย</v>
      </c>
      <c r="X231" t="str">
        <f>IFERROR(__xludf.DUMMYFUNCTION("""COMPUTED_VALUE"""),"Khon Kaen Province")</f>
        <v>Khon Kaen Province</v>
      </c>
      <c r="Y231" t="str">
        <f>IFERROR(__xludf.DUMMYFUNCTION("""COMPUTED_VALUE"""),"จตุจักร")</f>
        <v>จตุจักร</v>
      </c>
      <c r="Z231" t="str">
        <f>IFERROR(__xludf.DUMMYFUNCTION("""COMPUTED_VALUE"""),"088 875 1400 / 085 111 5686")</f>
        <v>088 875 1400 / 085 111 5686</v>
      </c>
      <c r="AA231" t="str">
        <f>IFERROR(__xludf.DUMMYFUNCTION("""COMPUTED_VALUE"""),"แฟน")</f>
        <v>แฟน</v>
      </c>
      <c r="AB231" t="str">
        <f>IFERROR(__xludf.DUMMYFUNCTION("""COMPUTED_VALUE"""),"nand@airasia.com")</f>
        <v>nand@airasia.com</v>
      </c>
    </row>
    <row r="232">
      <c r="A232">
        <f>IFERROR(__xludf.DUMMYFUNCTION("""COMPUTED_VALUE"""),1005301.0)</f>
        <v>1005301</v>
      </c>
      <c r="B232" t="str">
        <f>IFERROR(__xludf.DUMMYFUNCTION("""COMPUTED_VALUE"""),"Ms.")</f>
        <v>Ms.</v>
      </c>
      <c r="C232" t="str">
        <f>IFERROR(__xludf.DUMMYFUNCTION("""COMPUTED_VALUE"""),"Pimpaporn")</f>
        <v>Pimpaporn</v>
      </c>
      <c r="D232" t="str">
        <f>IFERROR(__xludf.DUMMYFUNCTION("""COMPUTED_VALUE"""),"Sittitanggoon")</f>
        <v>Sittitanggoon</v>
      </c>
      <c r="E232" t="str">
        <f>IFERROR(__xludf.DUMMYFUNCTION("""COMPUTED_VALUE"""),"Pimpaporn Sittitanggoon")</f>
        <v>Pimpaporn Sittitanggoon</v>
      </c>
      <c r="F232" t="str">
        <f>IFERROR(__xludf.DUMMYFUNCTION("""COMPUTED_VALUE"""),"นางสาว")</f>
        <v>นางสาว</v>
      </c>
      <c r="G232" t="str">
        <f>IFERROR(__xludf.DUMMYFUNCTION("""COMPUTED_VALUE"""),"พิมพาภรณ์")</f>
        <v>พิมพาภรณ์</v>
      </c>
      <c r="H232" t="str">
        <f>IFERROR(__xludf.DUMMYFUNCTION("""COMPUTED_VALUE"""),"สิทธิธางกูร")</f>
        <v>สิทธิธางกูร</v>
      </c>
      <c r="I232" t="str">
        <f>IFERROR(__xludf.DUMMYFUNCTION("""COMPUTED_VALUE"""),"พิมพาภรณ์ สิทธิธางกูร")</f>
        <v>พิมพาภรณ์ สิทธิธางกูร</v>
      </c>
      <c r="J232" t="str">
        <f>IFERROR(__xludf.DUMMYFUNCTION("""COMPUTED_VALUE"""),"ส้ม")</f>
        <v>ส้ม</v>
      </c>
      <c r="K232" t="str">
        <f>IFERROR(__xludf.DUMMYFUNCTION("""COMPUTED_VALUE"""),"Cabin Crew")</f>
        <v>Cabin Crew</v>
      </c>
      <c r="L232" t="str">
        <f>IFERROR(__xludf.DUMMYFUNCTION("""COMPUTED_VALUE"""),"DMK")</f>
        <v>DMK</v>
      </c>
      <c r="M232" s="145" t="str">
        <f>IFERROR(__xludf.DUMMYFUNCTION("""COMPUTED_VALUE"""),"Nhui Home")</f>
        <v>Nhui Home</v>
      </c>
      <c r="N232" t="str">
        <f>IFERROR(__xludf.DUMMYFUNCTION("""COMPUTED_VALUE"""),"Active")</f>
        <v>Active</v>
      </c>
      <c r="P232" s="143">
        <f>IFERROR(__xludf.DUMMYFUNCTION("""COMPUTED_VALUE"""),32098.0)</f>
        <v>32098</v>
      </c>
      <c r="Q232" s="146" t="str">
        <f>IFERROR(__xludf.DUMMYFUNCTION("""COMPUTED_VALUE"""),"099 536 2641")</f>
        <v>099 536 2641</v>
      </c>
      <c r="R232" s="147" t="str">
        <f>IFERROR(__xludf.DUMMYFUNCTION("""COMPUTED_VALUE"""),"1101401-16-3511")</f>
        <v>1101401-16-3511</v>
      </c>
      <c r="S232" t="str">
        <f>IFERROR(__xludf.DUMMYFUNCTION("""COMPUTED_VALUE"""),"AC5507564")</f>
        <v>AC5507564</v>
      </c>
      <c r="T232" s="148">
        <f>IFERROR(__xludf.DUMMYFUNCTION("""COMPUTED_VALUE"""),45155.0)</f>
        <v>45155</v>
      </c>
      <c r="U232" s="148">
        <f>IFERROR(__xludf.DUMMYFUNCTION("""COMPUTED_VALUE"""),48807.0)</f>
        <v>48807</v>
      </c>
      <c r="V232" s="149">
        <f>IFERROR(__xludf.DUMMYFUNCTION("""COMPUTED_VALUE"""),48626.0)</f>
        <v>48626</v>
      </c>
      <c r="W232" t="str">
        <f>IFERROR(__xludf.DUMMYFUNCTION("""COMPUTED_VALUE"""),"ปลอดภัย")</f>
        <v>ปลอดภัย</v>
      </c>
      <c r="X232" t="str">
        <f>IFERROR(__xludf.DUMMYFUNCTION("""COMPUTED_VALUE"""),"Bangkok")</f>
        <v>Bangkok</v>
      </c>
      <c r="Y232" t="str">
        <f>IFERROR(__xludf.DUMMYFUNCTION("""COMPUTED_VALUE"""),"หลักสี่")</f>
        <v>หลักสี่</v>
      </c>
      <c r="Z232" t="str">
        <f>IFERROR(__xludf.DUMMYFUNCTION("""COMPUTED_VALUE"""),"089 469 5822")</f>
        <v>089 469 5822</v>
      </c>
      <c r="AA232" t="str">
        <f>IFERROR(__xludf.DUMMYFUNCTION("""COMPUTED_VALUE"""),"มารดา")</f>
        <v>มารดา</v>
      </c>
      <c r="AB232" t="str">
        <f>IFERROR(__xludf.DUMMYFUNCTION("""COMPUTED_VALUE"""),"pimpaporns@airasia.com")</f>
        <v>pimpaporns@airasia.com</v>
      </c>
    </row>
    <row r="233">
      <c r="A233">
        <f>IFERROR(__xludf.DUMMYFUNCTION("""COMPUTED_VALUE"""),1005302.0)</f>
        <v>1005302</v>
      </c>
      <c r="B233" t="str">
        <f>IFERROR(__xludf.DUMMYFUNCTION("""COMPUTED_VALUE"""),"Ms.")</f>
        <v>Ms.</v>
      </c>
      <c r="C233" t="str">
        <f>IFERROR(__xludf.DUMMYFUNCTION("""COMPUTED_VALUE"""),"Pinyada")</f>
        <v>Pinyada</v>
      </c>
      <c r="D233" t="str">
        <f>IFERROR(__xludf.DUMMYFUNCTION("""COMPUTED_VALUE"""),"Wachiradetsathain")</f>
        <v>Wachiradetsathain</v>
      </c>
      <c r="E233" t="str">
        <f>IFERROR(__xludf.DUMMYFUNCTION("""COMPUTED_VALUE"""),"Pinyada Wachiradetsathain")</f>
        <v>Pinyada Wachiradetsathain</v>
      </c>
      <c r="F233" t="str">
        <f>IFERROR(__xludf.DUMMYFUNCTION("""COMPUTED_VALUE"""),"นางสาว")</f>
        <v>นางสาว</v>
      </c>
      <c r="G233" t="str">
        <f>IFERROR(__xludf.DUMMYFUNCTION("""COMPUTED_VALUE"""),"ภิญญดา")</f>
        <v>ภิญญดา</v>
      </c>
      <c r="H233" t="str">
        <f>IFERROR(__xludf.DUMMYFUNCTION("""COMPUTED_VALUE"""),"วชิรเดชเสถียร")</f>
        <v>วชิรเดชเสถียร</v>
      </c>
      <c r="I233" t="str">
        <f>IFERROR(__xludf.DUMMYFUNCTION("""COMPUTED_VALUE"""),"ภิญญดา วชิรเดชเสถียร")</f>
        <v>ภิญญดา วชิรเดชเสถียร</v>
      </c>
      <c r="J233" t="str">
        <f>IFERROR(__xludf.DUMMYFUNCTION("""COMPUTED_VALUE"""),"เนย")</f>
        <v>เนย</v>
      </c>
      <c r="K233" t="str">
        <f>IFERROR(__xludf.DUMMYFUNCTION("""COMPUTED_VALUE"""),"Senior Cabin Crew")</f>
        <v>Senior Cabin Crew</v>
      </c>
      <c r="L233" t="str">
        <f>IFERROR(__xludf.DUMMYFUNCTION("""COMPUTED_VALUE"""),"DMK")</f>
        <v>DMK</v>
      </c>
      <c r="M233" s="145" t="str">
        <f>IFERROR(__xludf.DUMMYFUNCTION("""COMPUTED_VALUE"""),"Por+ Home")</f>
        <v>Por+ Home</v>
      </c>
      <c r="N233" t="str">
        <f>IFERROR(__xludf.DUMMYFUNCTION("""COMPUTED_VALUE"""),"Active")</f>
        <v>Active</v>
      </c>
      <c r="P233" s="143">
        <f>IFERROR(__xludf.DUMMYFUNCTION("""COMPUTED_VALUE"""),31700.0)</f>
        <v>31700</v>
      </c>
      <c r="Q233" s="146" t="str">
        <f>IFERROR(__xludf.DUMMYFUNCTION("""COMPUTED_VALUE"""),"080 240 8444")</f>
        <v>080 240 8444</v>
      </c>
      <c r="R233" s="147" t="str">
        <f>IFERROR(__xludf.DUMMYFUNCTION("""COMPUTED_VALUE"""),"1200700-05-2204")</f>
        <v>1200700-05-2204</v>
      </c>
      <c r="S233" t="str">
        <f>IFERROR(__xludf.DUMMYFUNCTION("""COMPUTED_VALUE"""),"AC5085758")</f>
        <v>AC5085758</v>
      </c>
      <c r="T233" s="148">
        <f>IFERROR(__xludf.DUMMYFUNCTION("""COMPUTED_VALUE"""),45084.0)</f>
        <v>45084</v>
      </c>
      <c r="U233" s="148">
        <f>IFERROR(__xludf.DUMMYFUNCTION("""COMPUTED_VALUE"""),48736.0)</f>
        <v>48736</v>
      </c>
      <c r="V233" s="149">
        <f>IFERROR(__xludf.DUMMYFUNCTION("""COMPUTED_VALUE"""),48554.0)</f>
        <v>48554</v>
      </c>
      <c r="W233" t="str">
        <f>IFERROR(__xludf.DUMMYFUNCTION("""COMPUTED_VALUE"""),"ปลอดภัย")</f>
        <v>ปลอดภัย</v>
      </c>
      <c r="X233" t="str">
        <f>IFERROR(__xludf.DUMMYFUNCTION("""COMPUTED_VALUE"""),"Chonburi Province")</f>
        <v>Chonburi Province</v>
      </c>
      <c r="Y233" t="str">
        <f>IFERROR(__xludf.DUMMYFUNCTION("""COMPUTED_VALUE"""),"ราชเทวี")</f>
        <v>ราชเทวี</v>
      </c>
      <c r="Z233" t="str">
        <f>IFERROR(__xludf.DUMMYFUNCTION("""COMPUTED_VALUE"""),"080 220 5225")</f>
        <v>080 220 5225</v>
      </c>
      <c r="AA233" t="str">
        <f>IFERROR(__xludf.DUMMYFUNCTION("""COMPUTED_VALUE"""),"พี่สาว")</f>
        <v>พี่สาว</v>
      </c>
      <c r="AB233" t="str">
        <f>IFERROR(__xludf.DUMMYFUNCTION("""COMPUTED_VALUE"""),"pinyadaw@airasia.com")</f>
        <v>pinyadaw@airasia.com</v>
      </c>
    </row>
    <row r="234">
      <c r="A234">
        <f>IFERROR(__xludf.DUMMYFUNCTION("""COMPUTED_VALUE"""),1005303.0)</f>
        <v>1005303</v>
      </c>
      <c r="B234" t="str">
        <f>IFERROR(__xludf.DUMMYFUNCTION("""COMPUTED_VALUE"""),"Ms.")</f>
        <v>Ms.</v>
      </c>
      <c r="C234" t="str">
        <f>IFERROR(__xludf.DUMMYFUNCTION("""COMPUTED_VALUE"""),"Piyathida")</f>
        <v>Piyathida</v>
      </c>
      <c r="D234" t="str">
        <f>IFERROR(__xludf.DUMMYFUNCTION("""COMPUTED_VALUE"""),"Jaikla")</f>
        <v>Jaikla</v>
      </c>
      <c r="E234" t="str">
        <f>IFERROR(__xludf.DUMMYFUNCTION("""COMPUTED_VALUE"""),"Piyathida Jaikla")</f>
        <v>Piyathida Jaikla</v>
      </c>
      <c r="F234" t="str">
        <f>IFERROR(__xludf.DUMMYFUNCTION("""COMPUTED_VALUE"""),"นางสาว")</f>
        <v>นางสาว</v>
      </c>
      <c r="G234" t="str">
        <f>IFERROR(__xludf.DUMMYFUNCTION("""COMPUTED_VALUE"""),"ปิยะธิดา")</f>
        <v>ปิยะธิดา</v>
      </c>
      <c r="H234" t="str">
        <f>IFERROR(__xludf.DUMMYFUNCTION("""COMPUTED_VALUE"""),"ใจกล้า")</f>
        <v>ใจกล้า</v>
      </c>
      <c r="I234" t="str">
        <f>IFERROR(__xludf.DUMMYFUNCTION("""COMPUTED_VALUE"""),"ปิยะธิดา ใจกล้า")</f>
        <v>ปิยะธิดา ใจกล้า</v>
      </c>
      <c r="J234" t="str">
        <f>IFERROR(__xludf.DUMMYFUNCTION("""COMPUTED_VALUE"""),"กวาง")</f>
        <v>กวาง</v>
      </c>
      <c r="K234" t="str">
        <f>IFERROR(__xludf.DUMMYFUNCTION("""COMPUTED_VALUE"""),"Cabin Crew")</f>
        <v>Cabin Crew</v>
      </c>
      <c r="L234" t="str">
        <f>IFERROR(__xludf.DUMMYFUNCTION("""COMPUTED_VALUE"""),"DMK")</f>
        <v>DMK</v>
      </c>
      <c r="M234" s="145" t="str">
        <f>IFERROR(__xludf.DUMMYFUNCTION("""COMPUTED_VALUE"""),"Toffy Home")</f>
        <v>Toffy Home</v>
      </c>
      <c r="N234" t="str">
        <f>IFERROR(__xludf.DUMMYFUNCTION("""COMPUTED_VALUE"""),"Active")</f>
        <v>Active</v>
      </c>
      <c r="P234" s="143">
        <f>IFERROR(__xludf.DUMMYFUNCTION("""COMPUTED_VALUE"""),30247.0)</f>
        <v>30247</v>
      </c>
      <c r="Q234" s="146" t="str">
        <f>IFERROR(__xludf.DUMMYFUNCTION("""COMPUTED_VALUE"""),"063 664 9692")</f>
        <v>063 664 9692</v>
      </c>
      <c r="R234" s="147" t="str">
        <f>IFERROR(__xludf.DUMMYFUNCTION("""COMPUTED_VALUE"""),"3101501-60-1923")</f>
        <v>3101501-60-1923</v>
      </c>
      <c r="S234" t="str">
        <f>IFERROR(__xludf.DUMMYFUNCTION("""COMPUTED_VALUE"""),"AC7964152")</f>
        <v>AC7964152</v>
      </c>
      <c r="T234" s="149">
        <f>IFERROR(__xludf.DUMMYFUNCTION("""COMPUTED_VALUE"""),45687.0)</f>
        <v>45687</v>
      </c>
      <c r="U234" s="148">
        <f>IFERROR(__xludf.DUMMYFUNCTION("""COMPUTED_VALUE"""),49338.0)</f>
        <v>49338</v>
      </c>
      <c r="V234" s="149">
        <f>IFERROR(__xludf.DUMMYFUNCTION("""COMPUTED_VALUE"""),49154.0)</f>
        <v>49154</v>
      </c>
      <c r="W234" t="str">
        <f>IFERROR(__xludf.DUMMYFUNCTION("""COMPUTED_VALUE"""),"ปลอดภัย")</f>
        <v>ปลอดภัย</v>
      </c>
      <c r="X234" t="str">
        <f>IFERROR(__xludf.DUMMYFUNCTION("""COMPUTED_VALUE"""),"Bangkok")</f>
        <v>Bangkok</v>
      </c>
      <c r="Y234" t="str">
        <f>IFERROR(__xludf.DUMMYFUNCTION("""COMPUTED_VALUE"""),"ธนบุรี วงเวียนใหญ่")</f>
        <v>ธนบุรี วงเวียนใหญ่</v>
      </c>
      <c r="Z234" t="str">
        <f>IFERROR(__xludf.DUMMYFUNCTION("""COMPUTED_VALUE"""),"086 957 1582")</f>
        <v>086 957 1582</v>
      </c>
      <c r="AA234" t="str">
        <f>IFERROR(__xludf.DUMMYFUNCTION("""COMPUTED_VALUE"""),"มารดา")</f>
        <v>มารดา</v>
      </c>
      <c r="AB234" t="str">
        <f>IFERROR(__xludf.DUMMYFUNCTION("""COMPUTED_VALUE"""),"piyathidaj@airasia.com")</f>
        <v>piyathidaj@airasia.com</v>
      </c>
    </row>
    <row r="235">
      <c r="A235">
        <f>IFERROR(__xludf.DUMMYFUNCTION("""COMPUTED_VALUE"""),1005304.0)</f>
        <v>1005304</v>
      </c>
      <c r="B235" t="str">
        <f>IFERROR(__xludf.DUMMYFUNCTION("""COMPUTED_VALUE"""),"Mr.")</f>
        <v>Mr.</v>
      </c>
      <c r="C235" t="str">
        <f>IFERROR(__xludf.DUMMYFUNCTION("""COMPUTED_VALUE"""),"Pongpon")</f>
        <v>Pongpon</v>
      </c>
      <c r="D235" t="str">
        <f>IFERROR(__xludf.DUMMYFUNCTION("""COMPUTED_VALUE"""),"Buasalee")</f>
        <v>Buasalee</v>
      </c>
      <c r="E235" t="str">
        <f>IFERROR(__xludf.DUMMYFUNCTION("""COMPUTED_VALUE"""),"Pongpon Buasalee")</f>
        <v>Pongpon Buasalee</v>
      </c>
      <c r="F235" t="str">
        <f>IFERROR(__xludf.DUMMYFUNCTION("""COMPUTED_VALUE"""),"นาย")</f>
        <v>นาย</v>
      </c>
      <c r="G235" t="str">
        <f>IFERROR(__xludf.DUMMYFUNCTION("""COMPUTED_VALUE"""),"ปองพล")</f>
        <v>ปองพล</v>
      </c>
      <c r="H235" t="str">
        <f>IFERROR(__xludf.DUMMYFUNCTION("""COMPUTED_VALUE"""),"บัวสาลี")</f>
        <v>บัวสาลี</v>
      </c>
      <c r="I235" t="str">
        <f>IFERROR(__xludf.DUMMYFUNCTION("""COMPUTED_VALUE"""),"ปองพล บัวสาลี")</f>
        <v>ปองพล บัวสาลี</v>
      </c>
      <c r="J235" t="str">
        <f>IFERROR(__xludf.DUMMYFUNCTION("""COMPUTED_VALUE"""),"เอส")</f>
        <v>เอส</v>
      </c>
      <c r="K235" t="str">
        <f>IFERROR(__xludf.DUMMYFUNCTION("""COMPUTED_VALUE"""),"Senior Cabin Crew")</f>
        <v>Senior Cabin Crew</v>
      </c>
      <c r="L235" t="str">
        <f>IFERROR(__xludf.DUMMYFUNCTION("""COMPUTED_VALUE"""),"DMK")</f>
        <v>DMK</v>
      </c>
      <c r="M235" s="145" t="str">
        <f>IFERROR(__xludf.DUMMYFUNCTION("""COMPUTED_VALUE"""),"Toffy Home")</f>
        <v>Toffy Home</v>
      </c>
      <c r="N235" t="str">
        <f>IFERROR(__xludf.DUMMYFUNCTION("""COMPUTED_VALUE"""),"Active")</f>
        <v>Active</v>
      </c>
      <c r="P235" s="143">
        <f>IFERROR(__xludf.DUMMYFUNCTION("""COMPUTED_VALUE"""),31264.0)</f>
        <v>31264</v>
      </c>
      <c r="Q235" s="146" t="str">
        <f>IFERROR(__xludf.DUMMYFUNCTION("""COMPUTED_VALUE"""),"081 969 6366")</f>
        <v>081 969 6366</v>
      </c>
      <c r="R235" s="147" t="str">
        <f>IFERROR(__xludf.DUMMYFUNCTION("""COMPUTED_VALUE"""),"1100500-07-4299")</f>
        <v>1100500-07-4299</v>
      </c>
      <c r="S235" t="str">
        <f>IFERROR(__xludf.DUMMYFUNCTION("""COMPUTED_VALUE"""),"AC5566372")</f>
        <v>AC5566372</v>
      </c>
      <c r="T235" s="148">
        <f>IFERROR(__xludf.DUMMYFUNCTION("""COMPUTED_VALUE"""),45168.0)</f>
        <v>45168</v>
      </c>
      <c r="U235" s="148">
        <f>IFERROR(__xludf.DUMMYFUNCTION("""COMPUTED_VALUE"""),48820.0)</f>
        <v>48820</v>
      </c>
      <c r="V235" s="149">
        <f>IFERROR(__xludf.DUMMYFUNCTION("""COMPUTED_VALUE"""),48638.0)</f>
        <v>48638</v>
      </c>
      <c r="W235" t="str">
        <f>IFERROR(__xludf.DUMMYFUNCTION("""COMPUTED_VALUE"""),"ปลอดภัย")</f>
        <v>ปลอดภัย</v>
      </c>
      <c r="X235" t="str">
        <f>IFERROR(__xludf.DUMMYFUNCTION("""COMPUTED_VALUE"""),"Bangkok")</f>
        <v>Bangkok</v>
      </c>
      <c r="Y235" t="str">
        <f>IFERROR(__xludf.DUMMYFUNCTION("""COMPUTED_VALUE"""),"จตุจักร")</f>
        <v>จตุจักร</v>
      </c>
      <c r="Z235" t="str">
        <f>IFERROR(__xludf.DUMMYFUNCTION("""COMPUTED_VALUE"""),"085 890 7605")</f>
        <v>085 890 7605</v>
      </c>
      <c r="AA235" t="str">
        <f>IFERROR(__xludf.DUMMYFUNCTION("""COMPUTED_VALUE"""),"มารดา")</f>
        <v>มารดา</v>
      </c>
      <c r="AB235" t="str">
        <f>IFERROR(__xludf.DUMMYFUNCTION("""COMPUTED_VALUE"""),"pongponb@airasia.com")</f>
        <v>pongponb@airasia.com</v>
      </c>
    </row>
    <row r="236">
      <c r="A236">
        <f>IFERROR(__xludf.DUMMYFUNCTION("""COMPUTED_VALUE"""),1005306.0)</f>
        <v>1005306</v>
      </c>
      <c r="B236" t="str">
        <f>IFERROR(__xludf.DUMMYFUNCTION("""COMPUTED_VALUE"""),"Ms.")</f>
        <v>Ms.</v>
      </c>
      <c r="C236" t="str">
        <f>IFERROR(__xludf.DUMMYFUNCTION("""COMPUTED_VALUE"""),"Sirirat")</f>
        <v>Sirirat</v>
      </c>
      <c r="D236" t="str">
        <f>IFERROR(__xludf.DUMMYFUNCTION("""COMPUTED_VALUE"""),"Kaewduangkhae")</f>
        <v>Kaewduangkhae</v>
      </c>
      <c r="E236" t="str">
        <f>IFERROR(__xludf.DUMMYFUNCTION("""COMPUTED_VALUE"""),"Sirirat Kaewduangkhae")</f>
        <v>Sirirat Kaewduangkhae</v>
      </c>
      <c r="F236" t="str">
        <f>IFERROR(__xludf.DUMMYFUNCTION("""COMPUTED_VALUE"""),"นางสาว")</f>
        <v>นางสาว</v>
      </c>
      <c r="G236" t="str">
        <f>IFERROR(__xludf.DUMMYFUNCTION("""COMPUTED_VALUE"""),"สิริรัตน์")</f>
        <v>สิริรัตน์</v>
      </c>
      <c r="H236" t="str">
        <f>IFERROR(__xludf.DUMMYFUNCTION("""COMPUTED_VALUE"""),"แก้วดวงแข")</f>
        <v>แก้วดวงแข</v>
      </c>
      <c r="I236" t="str">
        <f>IFERROR(__xludf.DUMMYFUNCTION("""COMPUTED_VALUE"""),"สิริรัตน์ แก้วดวงแข")</f>
        <v>สิริรัตน์ แก้วดวงแข</v>
      </c>
      <c r="J236" t="str">
        <f>IFERROR(__xludf.DUMMYFUNCTION("""COMPUTED_VALUE"""),"กาว")</f>
        <v>กาว</v>
      </c>
      <c r="K236" t="str">
        <f>IFERROR(__xludf.DUMMYFUNCTION("""COMPUTED_VALUE"""),"Senior Cabin Crew")</f>
        <v>Senior Cabin Crew</v>
      </c>
      <c r="L236" t="str">
        <f>IFERROR(__xludf.DUMMYFUNCTION("""COMPUTED_VALUE"""),"DMK")</f>
        <v>DMK</v>
      </c>
      <c r="M236" s="145" t="str">
        <f>IFERROR(__xludf.DUMMYFUNCTION("""COMPUTED_VALUE"""),"Toffy Home")</f>
        <v>Toffy Home</v>
      </c>
      <c r="N236" t="str">
        <f>IFERROR(__xludf.DUMMYFUNCTION("""COMPUTED_VALUE"""),"Active")</f>
        <v>Active</v>
      </c>
      <c r="O236" t="str">
        <f>IFERROR(__xludf.DUMMYFUNCTION("""COMPUTED_VALUE"""),"Chinese Speaking")</f>
        <v>Chinese Speaking</v>
      </c>
      <c r="P236" s="143">
        <f>IFERROR(__xludf.DUMMYFUNCTION("""COMPUTED_VALUE"""),32424.0)</f>
        <v>32424</v>
      </c>
      <c r="Q236" s="146" t="str">
        <f>IFERROR(__xludf.DUMMYFUNCTION("""COMPUTED_VALUE"""),"086 965 4464")</f>
        <v>086 965 4464</v>
      </c>
      <c r="R236" s="147" t="str">
        <f>IFERROR(__xludf.DUMMYFUNCTION("""COMPUTED_VALUE"""),"1909900-18-4513")</f>
        <v>1909900-18-4513</v>
      </c>
      <c r="S236" t="str">
        <f>IFERROR(__xludf.DUMMYFUNCTION("""COMPUTED_VALUE"""),"AC7839135")</f>
        <v>AC7839135</v>
      </c>
      <c r="T236" s="148">
        <f>IFERROR(__xludf.DUMMYFUNCTION("""COMPUTED_VALUE"""),45669.0)</f>
        <v>45669</v>
      </c>
      <c r="U236" s="148">
        <f>IFERROR(__xludf.DUMMYFUNCTION("""COMPUTED_VALUE"""),49320.0)</f>
        <v>49320</v>
      </c>
      <c r="V236" s="149">
        <f>IFERROR(__xludf.DUMMYFUNCTION("""COMPUTED_VALUE"""),49136.0)</f>
        <v>49136</v>
      </c>
      <c r="W236" t="str">
        <f>IFERROR(__xludf.DUMMYFUNCTION("""COMPUTED_VALUE"""),"ปลอดภัย")</f>
        <v>ปลอดภัย</v>
      </c>
      <c r="X236" t="str">
        <f>IFERROR(__xludf.DUMMYFUNCTION("""COMPUTED_VALUE"""),"Songkhla Province")</f>
        <v>Songkhla Province</v>
      </c>
      <c r="Y236" t="str">
        <f>IFERROR(__xludf.DUMMYFUNCTION("""COMPUTED_VALUE"""),"ดอนเมือง")</f>
        <v>ดอนเมือง</v>
      </c>
      <c r="Z236" t="str">
        <f>IFERROR(__xludf.DUMMYFUNCTION("""COMPUTED_VALUE"""),"089 735 1121")</f>
        <v>089 735 1121</v>
      </c>
      <c r="AA236" t="str">
        <f>IFERROR(__xludf.DUMMYFUNCTION("""COMPUTED_VALUE"""),"มารดา")</f>
        <v>มารดา</v>
      </c>
      <c r="AB236" t="str">
        <f>IFERROR(__xludf.DUMMYFUNCTION("""COMPUTED_VALUE"""),"sirirata@airasia.com")</f>
        <v>sirirata@airasia.com</v>
      </c>
    </row>
    <row r="237">
      <c r="A237">
        <f>IFERROR(__xludf.DUMMYFUNCTION("""COMPUTED_VALUE"""),1005307.0)</f>
        <v>1005307</v>
      </c>
      <c r="B237" t="str">
        <f>IFERROR(__xludf.DUMMYFUNCTION("""COMPUTED_VALUE"""),"Ms.")</f>
        <v>Ms.</v>
      </c>
      <c r="C237" t="str">
        <f>IFERROR(__xludf.DUMMYFUNCTION("""COMPUTED_VALUE"""),"Thanattha")</f>
        <v>Thanattha</v>
      </c>
      <c r="D237" t="str">
        <f>IFERROR(__xludf.DUMMYFUNCTION("""COMPUTED_VALUE"""),"Machai")</f>
        <v>Machai</v>
      </c>
      <c r="E237" t="str">
        <f>IFERROR(__xludf.DUMMYFUNCTION("""COMPUTED_VALUE"""),"Thanattha Machai")</f>
        <v>Thanattha Machai</v>
      </c>
      <c r="F237" t="str">
        <f>IFERROR(__xludf.DUMMYFUNCTION("""COMPUTED_VALUE"""),"นางสาว")</f>
        <v>นางสาว</v>
      </c>
      <c r="G237" t="str">
        <f>IFERROR(__xludf.DUMMYFUNCTION("""COMPUTED_VALUE"""),"ธนัฏฐา")</f>
        <v>ธนัฏฐา</v>
      </c>
      <c r="H237" t="str">
        <f>IFERROR(__xludf.DUMMYFUNCTION("""COMPUTED_VALUE"""),"ม้าชัย")</f>
        <v>ม้าชัย</v>
      </c>
      <c r="I237" t="str">
        <f>IFERROR(__xludf.DUMMYFUNCTION("""COMPUTED_VALUE"""),"ธนัฏฐา ม้าชัย")</f>
        <v>ธนัฏฐา ม้าชัย</v>
      </c>
      <c r="J237" t="str">
        <f>IFERROR(__xludf.DUMMYFUNCTION("""COMPUTED_VALUE"""),"แก้ม")</f>
        <v>แก้ม</v>
      </c>
      <c r="K237" t="str">
        <f>IFERROR(__xludf.DUMMYFUNCTION("""COMPUTED_VALUE"""),"Cabin Crew")</f>
        <v>Cabin Crew</v>
      </c>
      <c r="L237" t="str">
        <f>IFERROR(__xludf.DUMMYFUNCTION("""COMPUTED_VALUE"""),"DMK")</f>
        <v>DMK</v>
      </c>
      <c r="M237" s="145" t="str">
        <f>IFERROR(__xludf.DUMMYFUNCTION("""COMPUTED_VALUE"""),"Toffy Home")</f>
        <v>Toffy Home</v>
      </c>
      <c r="N237" t="str">
        <f>IFERROR(__xludf.DUMMYFUNCTION("""COMPUTED_VALUE"""),"V/LWP")</f>
        <v>V/LWP</v>
      </c>
      <c r="P237" s="143">
        <f>IFERROR(__xludf.DUMMYFUNCTION("""COMPUTED_VALUE"""),32572.0)</f>
        <v>32572</v>
      </c>
      <c r="Q237" s="146" t="str">
        <f>IFERROR(__xludf.DUMMYFUNCTION("""COMPUTED_VALUE"""),"062 414 1424")</f>
        <v>062 414 1424</v>
      </c>
      <c r="R237" s="147" t="str">
        <f>IFERROR(__xludf.DUMMYFUNCTION("""COMPUTED_VALUE"""),"1540100-05-4441")</f>
        <v>1540100-05-4441</v>
      </c>
      <c r="S237" t="str">
        <f>IFERROR(__xludf.DUMMYFUNCTION("""COMPUTED_VALUE"""),"AD2244802")</f>
        <v>AD2244802</v>
      </c>
      <c r="T237" s="148">
        <f>IFERROR(__xludf.DUMMYFUNCTION("""COMPUTED_VALUE"""),45782.0)</f>
        <v>45782</v>
      </c>
      <c r="U237" s="148">
        <f>IFERROR(__xludf.DUMMYFUNCTION("""COMPUTED_VALUE"""),49434.0)</f>
        <v>49434</v>
      </c>
      <c r="V237" s="149">
        <f>IFERROR(__xludf.DUMMYFUNCTION("""COMPUTED_VALUE"""),49253.0)</f>
        <v>49253</v>
      </c>
      <c r="W237" t="str">
        <f>IFERROR(__xludf.DUMMYFUNCTION("""COMPUTED_VALUE"""),"ปลอดภัย")</f>
        <v>ปลอดภัย</v>
      </c>
      <c r="X237" t="str">
        <f>IFERROR(__xludf.DUMMYFUNCTION("""COMPUTED_VALUE"""),"Phrae Province")</f>
        <v>Phrae Province</v>
      </c>
      <c r="Y237" t="str">
        <f>IFERROR(__xludf.DUMMYFUNCTION("""COMPUTED_VALUE"""),"ห้วยขวาง")</f>
        <v>ห้วยขวาง</v>
      </c>
      <c r="Z237" t="str">
        <f>IFERROR(__xludf.DUMMYFUNCTION("""COMPUTED_VALUE"""),"085 720 7845")</f>
        <v>085 720 7845</v>
      </c>
      <c r="AA237" t="str">
        <f>IFERROR(__xludf.DUMMYFUNCTION("""COMPUTED_VALUE"""),"พี่สาว")</f>
        <v>พี่สาว</v>
      </c>
      <c r="AB237" t="str">
        <f>IFERROR(__xludf.DUMMYFUNCTION("""COMPUTED_VALUE"""),"thanattham@airasia.com")</f>
        <v>thanattham@airasia.com</v>
      </c>
    </row>
    <row r="238">
      <c r="A238">
        <f>IFERROR(__xludf.DUMMYFUNCTION("""COMPUTED_VALUE"""),1005308.0)</f>
        <v>1005308</v>
      </c>
      <c r="B238" t="str">
        <f>IFERROR(__xludf.DUMMYFUNCTION("""COMPUTED_VALUE"""),"Mrs.")</f>
        <v>Mrs.</v>
      </c>
      <c r="C238" t="str">
        <f>IFERROR(__xludf.DUMMYFUNCTION("""COMPUTED_VALUE"""),"Yamonpat")</f>
        <v>Yamonpat</v>
      </c>
      <c r="D238" t="str">
        <f>IFERROR(__xludf.DUMMYFUNCTION("""COMPUTED_VALUE"""),"Kerk")</f>
        <v>Kerk</v>
      </c>
      <c r="E238" t="str">
        <f>IFERROR(__xludf.DUMMYFUNCTION("""COMPUTED_VALUE"""),"Yamonpat Kerk")</f>
        <v>Yamonpat Kerk</v>
      </c>
      <c r="F238" t="str">
        <f>IFERROR(__xludf.DUMMYFUNCTION("""COMPUTED_VALUE"""),"นาง")</f>
        <v>นาง</v>
      </c>
      <c r="G238" t="str">
        <f>IFERROR(__xludf.DUMMYFUNCTION("""COMPUTED_VALUE"""),"ยมลภัทร")</f>
        <v>ยมลภัทร</v>
      </c>
      <c r="H238" t="str">
        <f>IFERROR(__xludf.DUMMYFUNCTION("""COMPUTED_VALUE"""),"เคิร์ก")</f>
        <v>เคิร์ก</v>
      </c>
      <c r="I238" t="str">
        <f>IFERROR(__xludf.DUMMYFUNCTION("""COMPUTED_VALUE"""),"ยมลภัทร เคิร์ก")</f>
        <v>ยมลภัทร เคิร์ก</v>
      </c>
      <c r="J238" t="str">
        <f>IFERROR(__xludf.DUMMYFUNCTION("""COMPUTED_VALUE"""),"เก๋")</f>
        <v>เก๋</v>
      </c>
      <c r="K238" t="str">
        <f>IFERROR(__xludf.DUMMYFUNCTION("""COMPUTED_VALUE"""),"Cabin Crew")</f>
        <v>Cabin Crew</v>
      </c>
      <c r="L238" t="str">
        <f>IFERROR(__xludf.DUMMYFUNCTION("""COMPUTED_VALUE"""),"DMK")</f>
        <v>DMK</v>
      </c>
      <c r="M238" s="145" t="str">
        <f>IFERROR(__xludf.DUMMYFUNCTION("""COMPUTED_VALUE"""),"Nhui Home")</f>
        <v>Nhui Home</v>
      </c>
      <c r="N238" t="str">
        <f>IFERROR(__xludf.DUMMYFUNCTION("""COMPUTED_VALUE"""),"Active")</f>
        <v>Active</v>
      </c>
      <c r="P238" s="143">
        <f>IFERROR(__xludf.DUMMYFUNCTION("""COMPUTED_VALUE"""),31861.0)</f>
        <v>31861</v>
      </c>
      <c r="Q238" s="146" t="str">
        <f>IFERROR(__xludf.DUMMYFUNCTION("""COMPUTED_VALUE"""),"093 914 2642")</f>
        <v>093 914 2642</v>
      </c>
      <c r="R238" s="147" t="str">
        <f>IFERROR(__xludf.DUMMYFUNCTION("""COMPUTED_VALUE"""),"1509900-47-5091")</f>
        <v>1509900-47-5091</v>
      </c>
      <c r="S238" t="str">
        <f>IFERROR(__xludf.DUMMYFUNCTION("""COMPUTED_VALUE"""),"AC2830286")</f>
        <v>AC2830286</v>
      </c>
      <c r="T238" s="148">
        <f>IFERROR(__xludf.DUMMYFUNCTION("""COMPUTED_VALUE"""),44519.0)</f>
        <v>44519</v>
      </c>
      <c r="U238" s="148">
        <f>IFERROR(__xludf.DUMMYFUNCTION("""COMPUTED_VALUE"""),48170.0)</f>
        <v>48170</v>
      </c>
      <c r="V238" s="149">
        <f>IFERROR(__xludf.DUMMYFUNCTION("""COMPUTED_VALUE"""),47986.0)</f>
        <v>47986</v>
      </c>
      <c r="W238" t="str">
        <f>IFERROR(__xludf.DUMMYFUNCTION("""COMPUTED_VALUE"""),"ปลอดภัย")</f>
        <v>ปลอดภัย</v>
      </c>
      <c r="X238" t="str">
        <f>IFERROR(__xludf.DUMMYFUNCTION("""COMPUTED_VALUE"""),"Chiang Mai Province")</f>
        <v>Chiang Mai Province</v>
      </c>
      <c r="Y238" t="str">
        <f>IFERROR(__xludf.DUMMYFUNCTION("""COMPUTED_VALUE"""),"คลอง")</f>
        <v>คลอง</v>
      </c>
      <c r="Z238" t="str">
        <f>IFERROR(__xludf.DUMMYFUNCTION("""COMPUTED_VALUE"""),"081 252 0088")</f>
        <v>081 252 0088</v>
      </c>
      <c r="AA238" t="str">
        <f>IFERROR(__xludf.DUMMYFUNCTION("""COMPUTED_VALUE"""),"แฟน")</f>
        <v>แฟน</v>
      </c>
      <c r="AB238" t="str">
        <f>IFERROR(__xludf.DUMMYFUNCTION("""COMPUTED_VALUE"""),"yamonpatk@airasia.com")</f>
        <v>yamonpatk@airasia.com</v>
      </c>
    </row>
    <row r="239">
      <c r="AB239" t="str">
        <f>IFERROR(__xludf.DUMMYFUNCTION("""COMPUTED_VALUE"""),"")</f>
        <v/>
      </c>
    </row>
    <row r="240">
      <c r="A240">
        <f>IFERROR(__xludf.DUMMYFUNCTION("""COMPUTED_VALUE"""),1000732.0)</f>
        <v>1000732</v>
      </c>
      <c r="B240" t="str">
        <f>IFERROR(__xludf.DUMMYFUNCTION("""COMPUTED_VALUE"""),"Mr.")</f>
        <v>Mr.</v>
      </c>
      <c r="C240" t="str">
        <f>IFERROR(__xludf.DUMMYFUNCTION("""COMPUTED_VALUE"""),"Inthra")</f>
        <v>Inthra</v>
      </c>
      <c r="D240" t="str">
        <f>IFERROR(__xludf.DUMMYFUNCTION("""COMPUTED_VALUE"""),"Mathiang")</f>
        <v>Mathiang</v>
      </c>
      <c r="E240" t="str">
        <f>IFERROR(__xludf.DUMMYFUNCTION("""COMPUTED_VALUE"""),"Inthra Mathiang")</f>
        <v>Inthra Mathiang</v>
      </c>
      <c r="F240" t="str">
        <f>IFERROR(__xludf.DUMMYFUNCTION("""COMPUTED_VALUE"""),"นาย")</f>
        <v>นาย</v>
      </c>
      <c r="G240" t="str">
        <f>IFERROR(__xludf.DUMMYFUNCTION("""COMPUTED_VALUE"""),"อินทรา")</f>
        <v>อินทรา</v>
      </c>
      <c r="H240" t="str">
        <f>IFERROR(__xludf.DUMMYFUNCTION("""COMPUTED_VALUE"""),"มาเที่ยง")</f>
        <v>มาเที่ยง</v>
      </c>
      <c r="I240" t="str">
        <f>IFERROR(__xludf.DUMMYFUNCTION("""COMPUTED_VALUE"""),"อินทรา มาเที่ยง")</f>
        <v>อินทรา มาเที่ยง</v>
      </c>
      <c r="J240" t="str">
        <f>IFERROR(__xludf.DUMMYFUNCTION("""COMPUTED_VALUE"""),"ต้น")</f>
        <v>ต้น</v>
      </c>
      <c r="K240" t="str">
        <f>IFERROR(__xludf.DUMMYFUNCTION("""COMPUTED_VALUE"""),"Senior Cabin Crew")</f>
        <v>Senior Cabin Crew</v>
      </c>
      <c r="L240" t="str">
        <f>IFERROR(__xludf.DUMMYFUNCTION("""COMPUTED_VALUE"""),"DMK")</f>
        <v>DMK</v>
      </c>
      <c r="M240" s="145" t="str">
        <f>IFERROR(__xludf.DUMMYFUNCTION("""COMPUTED_VALUE"""),"Um Home")</f>
        <v>Um Home</v>
      </c>
      <c r="N240" t="str">
        <f>IFERROR(__xludf.DUMMYFUNCTION("""COMPUTED_VALUE"""),"Active")</f>
        <v>Active</v>
      </c>
      <c r="O240" t="str">
        <f>IFERROR(__xludf.DUMMYFUNCTION("""COMPUTED_VALUE"""),"SCC Line Checker 2025")</f>
        <v>SCC Line Checker 2025</v>
      </c>
      <c r="P240" s="143">
        <f>IFERROR(__xludf.DUMMYFUNCTION("""COMPUTED_VALUE"""),29352.0)</f>
        <v>29352</v>
      </c>
      <c r="Q240" s="146" t="str">
        <f>IFERROR(__xludf.DUMMYFUNCTION("""COMPUTED_VALUE"""),"096 326 4651")</f>
        <v>096 326 4651</v>
      </c>
      <c r="R240" s="147" t="str">
        <f>IFERROR(__xludf.DUMMYFUNCTION("""COMPUTED_VALUE"""),"3100203-19-0339")</f>
        <v>3100203-19-0339</v>
      </c>
      <c r="S240" t="str">
        <f>IFERROR(__xludf.DUMMYFUNCTION("""COMPUTED_VALUE"""),"AC4360296")</f>
        <v>AC4360296</v>
      </c>
      <c r="T240" s="148">
        <f>IFERROR(__xludf.DUMMYFUNCTION("""COMPUTED_VALUE"""),44937.0)</f>
        <v>44937</v>
      </c>
      <c r="U240" s="148">
        <f>IFERROR(__xludf.DUMMYFUNCTION("""COMPUTED_VALUE"""),48589.0)</f>
        <v>48589</v>
      </c>
      <c r="V240" s="149">
        <f>IFERROR(__xludf.DUMMYFUNCTION("""COMPUTED_VALUE"""),48405.0)</f>
        <v>48405</v>
      </c>
      <c r="W240" t="str">
        <f>IFERROR(__xludf.DUMMYFUNCTION("""COMPUTED_VALUE"""),"ปลอดภัย")</f>
        <v>ปลอดภัย</v>
      </c>
      <c r="X240" t="str">
        <f>IFERROR(__xludf.DUMMYFUNCTION("""COMPUTED_VALUE"""),"Bangkok")</f>
        <v>Bangkok</v>
      </c>
      <c r="Y240" t="str">
        <f>IFERROR(__xludf.DUMMYFUNCTION("""COMPUTED_VALUE"""),"-")</f>
        <v>-</v>
      </c>
      <c r="Z240" t="str">
        <f>IFERROR(__xludf.DUMMYFUNCTION("""COMPUTED_VALUE"""),"086 034 5806")</f>
        <v>086 034 5806</v>
      </c>
      <c r="AA240" t="str">
        <f>IFERROR(__xludf.DUMMYFUNCTION("""COMPUTED_VALUE"""),"มารดา")</f>
        <v>มารดา</v>
      </c>
      <c r="AB240" t="str">
        <f>IFERROR(__xludf.DUMMYFUNCTION("""COMPUTED_VALUE"""),"inthram@airasia.com")</f>
        <v>inthram@airasia.com</v>
      </c>
    </row>
    <row r="241">
      <c r="A241">
        <f>IFERROR(__xludf.DUMMYFUNCTION("""COMPUTED_VALUE"""),1001139.0)</f>
        <v>1001139</v>
      </c>
      <c r="B241" t="str">
        <f>IFERROR(__xludf.DUMMYFUNCTION("""COMPUTED_VALUE"""),"Ms.")</f>
        <v>Ms.</v>
      </c>
      <c r="C241" t="str">
        <f>IFERROR(__xludf.DUMMYFUNCTION("""COMPUTED_VALUE"""),"Lalada (Darawan)")</f>
        <v>Lalada (Darawan)</v>
      </c>
      <c r="D241" t="str">
        <f>IFERROR(__xludf.DUMMYFUNCTION("""COMPUTED_VALUE"""),"Thiengthip")</f>
        <v>Thiengthip</v>
      </c>
      <c r="E241" t="str">
        <f>IFERROR(__xludf.DUMMYFUNCTION("""COMPUTED_VALUE"""),"Lalada Thiengthip")</f>
        <v>Lalada Thiengthip</v>
      </c>
      <c r="F241" t="str">
        <f>IFERROR(__xludf.DUMMYFUNCTION("""COMPUTED_VALUE"""),"นางสาว")</f>
        <v>นางสาว</v>
      </c>
      <c r="G241" t="str">
        <f>IFERROR(__xludf.DUMMYFUNCTION("""COMPUTED_VALUE"""),"ลลดา (ดาราวรรณ์)")</f>
        <v>ลลดา (ดาราวรรณ์)</v>
      </c>
      <c r="H241" t="str">
        <f>IFERROR(__xludf.DUMMYFUNCTION("""COMPUTED_VALUE"""),"เที่ยงทิพย์")</f>
        <v>เที่ยงทิพย์</v>
      </c>
      <c r="I241" t="str">
        <f>IFERROR(__xludf.DUMMYFUNCTION("""COMPUTED_VALUE"""),"ลลดา เที่ยงทิพย์")</f>
        <v>ลลดา เที่ยงทิพย์</v>
      </c>
      <c r="J241" t="str">
        <f>IFERROR(__xludf.DUMMYFUNCTION("""COMPUTED_VALUE"""),"เชอรี่")</f>
        <v>เชอรี่</v>
      </c>
      <c r="K241" t="str">
        <f>IFERROR(__xludf.DUMMYFUNCTION("""COMPUTED_VALUE"""),"Senior Cabin Crew")</f>
        <v>Senior Cabin Crew</v>
      </c>
      <c r="L241" t="str">
        <f>IFERROR(__xludf.DUMMYFUNCTION("""COMPUTED_VALUE"""),"DMK")</f>
        <v>DMK</v>
      </c>
      <c r="M241" s="145" t="str">
        <f>IFERROR(__xludf.DUMMYFUNCTION("""COMPUTED_VALUE"""),"Um Home")</f>
        <v>Um Home</v>
      </c>
      <c r="N241" t="str">
        <f>IFERROR(__xludf.DUMMYFUNCTION("""COMPUTED_VALUE"""),"Active")</f>
        <v>Active</v>
      </c>
      <c r="P241" s="143">
        <f>IFERROR(__xludf.DUMMYFUNCTION("""COMPUTED_VALUE"""),29568.0)</f>
        <v>29568</v>
      </c>
      <c r="Q241" s="146" t="str">
        <f>IFERROR(__xludf.DUMMYFUNCTION("""COMPUTED_VALUE"""),"095 663 5649")</f>
        <v>095 663 5649</v>
      </c>
      <c r="R241" s="147" t="str">
        <f>IFERROR(__xludf.DUMMYFUNCTION("""COMPUTED_VALUE"""),"3100800-63-1424")</f>
        <v>3100800-63-1424</v>
      </c>
      <c r="S241" t="str">
        <f>IFERROR(__xludf.DUMMYFUNCTION("""COMPUTED_VALUE"""),"AC6207869")</f>
        <v>AC6207869</v>
      </c>
      <c r="T241" s="148">
        <f>IFERROR(__xludf.DUMMYFUNCTION("""COMPUTED_VALUE"""),45295.0)</f>
        <v>45295</v>
      </c>
      <c r="U241" s="148">
        <f>IFERROR(__xludf.DUMMYFUNCTION("""COMPUTED_VALUE"""),48947.0)</f>
        <v>48947</v>
      </c>
      <c r="V241" s="149">
        <f>IFERROR(__xludf.DUMMYFUNCTION("""COMPUTED_VALUE"""),48763.0)</f>
        <v>48763</v>
      </c>
      <c r="W241" t="str">
        <f>IFERROR(__xludf.DUMMYFUNCTION("""COMPUTED_VALUE"""),"ปลอดภัย")</f>
        <v>ปลอดภัย</v>
      </c>
      <c r="X241" t="str">
        <f>IFERROR(__xludf.DUMMYFUNCTION("""COMPUTED_VALUE"""),"Bangkok")</f>
        <v>Bangkok</v>
      </c>
      <c r="Y241" t="str">
        <f>IFERROR(__xludf.DUMMYFUNCTION("""COMPUTED_VALUE"""),"-")</f>
        <v>-</v>
      </c>
      <c r="Z241" t="str">
        <f>IFERROR(__xludf.DUMMYFUNCTION("""COMPUTED_VALUE"""),"085 072 1622")</f>
        <v>085 072 1622</v>
      </c>
      <c r="AA241" t="str">
        <f>IFERROR(__xludf.DUMMYFUNCTION("""COMPUTED_VALUE"""),"สามี")</f>
        <v>สามี</v>
      </c>
      <c r="AB241" t="str">
        <f>IFERROR(__xludf.DUMMYFUNCTION("""COMPUTED_VALUE"""),"laladat@airasia.com")</f>
        <v>laladat@airasia.com</v>
      </c>
    </row>
    <row r="242">
      <c r="A242">
        <f>IFERROR(__xludf.DUMMYFUNCTION("""COMPUTED_VALUE"""),1001216.0)</f>
        <v>1001216</v>
      </c>
      <c r="B242" t="str">
        <f>IFERROR(__xludf.DUMMYFUNCTION("""COMPUTED_VALUE"""),"Ms.")</f>
        <v>Ms.</v>
      </c>
      <c r="C242" t="str">
        <f>IFERROR(__xludf.DUMMYFUNCTION("""COMPUTED_VALUE"""),"Waraporn")</f>
        <v>Waraporn</v>
      </c>
      <c r="D242" t="str">
        <f>IFERROR(__xludf.DUMMYFUNCTION("""COMPUTED_VALUE"""),"Siripaiwan")</f>
        <v>Siripaiwan</v>
      </c>
      <c r="E242" t="str">
        <f>IFERROR(__xludf.DUMMYFUNCTION("""COMPUTED_VALUE"""),"Waraporn Siripaiwan")</f>
        <v>Waraporn Siripaiwan</v>
      </c>
      <c r="F242" t="str">
        <f>IFERROR(__xludf.DUMMYFUNCTION("""COMPUTED_VALUE"""),"นางสาว")</f>
        <v>นางสาว</v>
      </c>
      <c r="G242" t="str">
        <f>IFERROR(__xludf.DUMMYFUNCTION("""COMPUTED_VALUE"""),"วราภรณ์")</f>
        <v>วราภรณ์</v>
      </c>
      <c r="H242" t="str">
        <f>IFERROR(__xludf.DUMMYFUNCTION("""COMPUTED_VALUE"""),"ศิริไพรวัน")</f>
        <v>ศิริไพรวัน</v>
      </c>
      <c r="I242" t="str">
        <f>IFERROR(__xludf.DUMMYFUNCTION("""COMPUTED_VALUE"""),"วราภรณ์ ศิริไพรวัน")</f>
        <v>วราภรณ์ ศิริไพรวัน</v>
      </c>
      <c r="J242" t="str">
        <f>IFERROR(__xludf.DUMMYFUNCTION("""COMPUTED_VALUE"""),"ซวน")</f>
        <v>ซวน</v>
      </c>
      <c r="K242" t="str">
        <f>IFERROR(__xludf.DUMMYFUNCTION("""COMPUTED_VALUE"""),"Cabin Crew - HKT")</f>
        <v>Cabin Crew - HKT</v>
      </c>
      <c r="L242" t="str">
        <f>IFERROR(__xludf.DUMMYFUNCTION("""COMPUTED_VALUE"""),"HKT")</f>
        <v>HKT</v>
      </c>
      <c r="M242" s="145" t="str">
        <f>IFERROR(__xludf.DUMMYFUNCTION("""COMPUTED_VALUE"""),"Kor Home")</f>
        <v>Kor Home</v>
      </c>
      <c r="N242" t="str">
        <f>IFERROR(__xludf.DUMMYFUNCTION("""COMPUTED_VALUE"""),"Active")</f>
        <v>Active</v>
      </c>
      <c r="P242" s="143">
        <f>IFERROR(__xludf.DUMMYFUNCTION("""COMPUTED_VALUE"""),30276.0)</f>
        <v>30276</v>
      </c>
      <c r="Q242" s="146" t="str">
        <f>IFERROR(__xludf.DUMMYFUNCTION("""COMPUTED_VALUE"""),"086 598 6136")</f>
        <v>086 598 6136</v>
      </c>
      <c r="R242" s="147" t="str">
        <f>IFERROR(__xludf.DUMMYFUNCTION("""COMPUTED_VALUE"""),"3901000-21-7643")</f>
        <v>3901000-21-7643</v>
      </c>
      <c r="S242" t="str">
        <f>IFERROR(__xludf.DUMMYFUNCTION("""COMPUTED_VALUE"""),"AC2222283")</f>
        <v>AC2222283</v>
      </c>
      <c r="T242" s="148">
        <f>IFERROR(__xludf.DUMMYFUNCTION("""COMPUTED_VALUE"""),44273.0)</f>
        <v>44273</v>
      </c>
      <c r="U242" s="148">
        <f>IFERROR(__xludf.DUMMYFUNCTION("""COMPUTED_VALUE"""),47924.0)</f>
        <v>47924</v>
      </c>
      <c r="V242" s="149">
        <f>IFERROR(__xludf.DUMMYFUNCTION("""COMPUTED_VALUE"""),47743.0)</f>
        <v>47743</v>
      </c>
      <c r="W242" t="str">
        <f>IFERROR(__xludf.DUMMYFUNCTION("""COMPUTED_VALUE"""),"ปลอดภัย")</f>
        <v>ปลอดภัย</v>
      </c>
      <c r="X242" t="str">
        <f>IFERROR(__xludf.DUMMYFUNCTION("""COMPUTED_VALUE"""),"Songkhla Province")</f>
        <v>Songkhla Province</v>
      </c>
      <c r="Y242" t="str">
        <f>IFERROR(__xludf.DUMMYFUNCTION("""COMPUTED_VALUE"""),"-")</f>
        <v>-</v>
      </c>
      <c r="Z242" t="str">
        <f>IFERROR(__xludf.DUMMYFUNCTION("""COMPUTED_VALUE"""),"086 598 6136")</f>
        <v>086 598 6136</v>
      </c>
      <c r="AA242" t="str">
        <f>IFERROR(__xludf.DUMMYFUNCTION("""COMPUTED_VALUE"""),"พี่ชาย")</f>
        <v>พี่ชาย</v>
      </c>
      <c r="AB242" t="str">
        <f>IFERROR(__xludf.DUMMYFUNCTION("""COMPUTED_VALUE"""),"waraporns@airasia.com")</f>
        <v>waraporns@airasia.com</v>
      </c>
    </row>
    <row r="243">
      <c r="A243">
        <f>IFERROR(__xludf.DUMMYFUNCTION("""COMPUTED_VALUE"""),1001837.0)</f>
        <v>1001837</v>
      </c>
      <c r="B243" t="str">
        <f>IFERROR(__xludf.DUMMYFUNCTION("""COMPUTED_VALUE"""),"Ms.")</f>
        <v>Ms.</v>
      </c>
      <c r="C243" t="str">
        <f>IFERROR(__xludf.DUMMYFUNCTION("""COMPUTED_VALUE"""),"Taralan (Saowanee)")</f>
        <v>Taralan (Saowanee)</v>
      </c>
      <c r="D243" t="str">
        <f>IFERROR(__xludf.DUMMYFUNCTION("""COMPUTED_VALUE"""),"Jareemuk")</f>
        <v>Jareemuk</v>
      </c>
      <c r="E243" t="str">
        <f>IFERROR(__xludf.DUMMYFUNCTION("""COMPUTED_VALUE"""),"Taralan Jareemuk")</f>
        <v>Taralan Jareemuk</v>
      </c>
      <c r="F243" t="str">
        <f>IFERROR(__xludf.DUMMYFUNCTION("""COMPUTED_VALUE"""),"นางสาว")</f>
        <v>นางสาว</v>
      </c>
      <c r="G243" t="str">
        <f>IFERROR(__xludf.DUMMYFUNCTION("""COMPUTED_VALUE"""),"ธาราลัญ (เสาวณีย์)")</f>
        <v>ธาราลัญ (เสาวณีย์)</v>
      </c>
      <c r="H243" t="str">
        <f>IFERROR(__xludf.DUMMYFUNCTION("""COMPUTED_VALUE"""),"จารีมุข")</f>
        <v>จารีมุข</v>
      </c>
      <c r="I243" t="str">
        <f>IFERROR(__xludf.DUMMYFUNCTION("""COMPUTED_VALUE"""),"ธาราลัญ จารีมุข")</f>
        <v>ธาราลัญ จารีมุข</v>
      </c>
      <c r="J243" t="str">
        <f>IFERROR(__xludf.DUMMYFUNCTION("""COMPUTED_VALUE"""),"เก๋")</f>
        <v>เก๋</v>
      </c>
      <c r="K243" t="str">
        <f>IFERROR(__xludf.DUMMYFUNCTION("""COMPUTED_VALUE"""),"Senior Cabin Crew")</f>
        <v>Senior Cabin Crew</v>
      </c>
      <c r="L243" t="str">
        <f>IFERROR(__xludf.DUMMYFUNCTION("""COMPUTED_VALUE"""),"DMK")</f>
        <v>DMK</v>
      </c>
      <c r="M243" s="145" t="str">
        <f>IFERROR(__xludf.DUMMYFUNCTION("""COMPUTED_VALUE"""),"Namfon Home")</f>
        <v>Namfon Home</v>
      </c>
      <c r="N243" t="str">
        <f>IFERROR(__xludf.DUMMYFUNCTION("""COMPUTED_VALUE"""),"V/LWP")</f>
        <v>V/LWP</v>
      </c>
      <c r="P243" s="143">
        <f>IFERROR(__xludf.DUMMYFUNCTION("""COMPUTED_VALUE"""),30170.0)</f>
        <v>30170</v>
      </c>
      <c r="Q243" s="146" t="str">
        <f>IFERROR(__xludf.DUMMYFUNCTION("""COMPUTED_VALUE"""),"086 332 4765")</f>
        <v>086 332 4765</v>
      </c>
      <c r="R243" s="147" t="str">
        <f>IFERROR(__xludf.DUMMYFUNCTION("""COMPUTED_VALUE"""),"3800400-45-2097")</f>
        <v>3800400-45-2097</v>
      </c>
      <c r="S243" t="str">
        <f>IFERROR(__xludf.DUMMYFUNCTION("""COMPUTED_VALUE"""),"AC5959004")</f>
        <v>AC5959004</v>
      </c>
      <c r="T243" s="148">
        <f>IFERROR(__xludf.DUMMYFUNCTION("""COMPUTED_VALUE"""),45257.0)</f>
        <v>45257</v>
      </c>
      <c r="U243" s="148">
        <f>IFERROR(__xludf.DUMMYFUNCTION("""COMPUTED_VALUE"""),7353759.0)</f>
        <v>7353759</v>
      </c>
      <c r="V243" s="149">
        <f>IFERROR(__xludf.DUMMYFUNCTION("""COMPUTED_VALUE"""),7353575.0)</f>
        <v>7353575</v>
      </c>
      <c r="W243" t="str">
        <f>IFERROR(__xludf.DUMMYFUNCTION("""COMPUTED_VALUE"""),"ปลอดภัย")</f>
        <v>ปลอดภัย</v>
      </c>
      <c r="X243" t="str">
        <f>IFERROR(__xludf.DUMMYFUNCTION("""COMPUTED_VALUE"""),"Nakhon Si Thammarat Province")</f>
        <v>Nakhon Si Thammarat Province</v>
      </c>
      <c r="Y243" t="str">
        <f>IFERROR(__xludf.DUMMYFUNCTION("""COMPUTED_VALUE"""),"-")</f>
        <v>-</v>
      </c>
      <c r="Z243" t="str">
        <f>IFERROR(__xludf.DUMMYFUNCTION("""COMPUTED_VALUE"""),"075 334 257")</f>
        <v>075 334 257</v>
      </c>
      <c r="AA243" t="str">
        <f>IFERROR(__xludf.DUMMYFUNCTION("""COMPUTED_VALUE"""),"น้า")</f>
        <v>น้า</v>
      </c>
      <c r="AB243" t="str">
        <f>IFERROR(__xludf.DUMMYFUNCTION("""COMPUTED_VALUE"""),"taralanj@airasia.com")</f>
        <v>taralanj@airasia.com</v>
      </c>
    </row>
    <row r="244">
      <c r="A244">
        <f>IFERROR(__xludf.DUMMYFUNCTION("""COMPUTED_VALUE"""),1002478.0)</f>
        <v>1002478</v>
      </c>
      <c r="B244" t="str">
        <f>IFERROR(__xludf.DUMMYFUNCTION("""COMPUTED_VALUE"""),"Ms.")</f>
        <v>Ms.</v>
      </c>
      <c r="C244" t="str">
        <f>IFERROR(__xludf.DUMMYFUNCTION("""COMPUTED_VALUE"""),"Kamonwan")</f>
        <v>Kamonwan</v>
      </c>
      <c r="D244" t="str">
        <f>IFERROR(__xludf.DUMMYFUNCTION("""COMPUTED_VALUE"""),"Kalsook")</f>
        <v>Kalsook</v>
      </c>
      <c r="E244" t="str">
        <f>IFERROR(__xludf.DUMMYFUNCTION("""COMPUTED_VALUE"""),"Kamonwan Kalsook")</f>
        <v>Kamonwan Kalsook</v>
      </c>
      <c r="F244" t="str">
        <f>IFERROR(__xludf.DUMMYFUNCTION("""COMPUTED_VALUE"""),"นางสาว")</f>
        <v>นางสาว</v>
      </c>
      <c r="G244" t="str">
        <f>IFERROR(__xludf.DUMMYFUNCTION("""COMPUTED_VALUE"""),"กมลวรรณ")</f>
        <v>กมลวรรณ</v>
      </c>
      <c r="H244" t="str">
        <f>IFERROR(__xludf.DUMMYFUNCTION("""COMPUTED_VALUE"""),"กาลสุข")</f>
        <v>กาลสุข</v>
      </c>
      <c r="I244" t="str">
        <f>IFERROR(__xludf.DUMMYFUNCTION("""COMPUTED_VALUE"""),"กมลวรรณ กาลสุข")</f>
        <v>กมลวรรณ กาลสุข</v>
      </c>
      <c r="J244" t="str">
        <f>IFERROR(__xludf.DUMMYFUNCTION("""COMPUTED_VALUE"""),"ส้ม")</f>
        <v>ส้ม</v>
      </c>
      <c r="K244" t="str">
        <f>IFERROR(__xludf.DUMMYFUNCTION("""COMPUTED_VALUE"""),"Cabin Crew")</f>
        <v>Cabin Crew</v>
      </c>
      <c r="L244" t="str">
        <f>IFERROR(__xludf.DUMMYFUNCTION("""COMPUTED_VALUE"""),"DMK")</f>
        <v>DMK</v>
      </c>
      <c r="M244" s="145" t="str">
        <f>IFERROR(__xludf.DUMMYFUNCTION("""COMPUTED_VALUE"""),"Kor Home")</f>
        <v>Kor Home</v>
      </c>
      <c r="N244" t="str">
        <f>IFERROR(__xludf.DUMMYFUNCTION("""COMPUTED_VALUE"""),"Active")</f>
        <v>Active</v>
      </c>
      <c r="P244" s="143">
        <f>IFERROR(__xludf.DUMMYFUNCTION("""COMPUTED_VALUE"""),31007.0)</f>
        <v>31007</v>
      </c>
      <c r="Q244" s="146" t="str">
        <f>IFERROR(__xludf.DUMMYFUNCTION("""COMPUTED_VALUE"""),"064 656 6246")</f>
        <v>064 656 6246</v>
      </c>
      <c r="R244" s="147" t="str">
        <f>IFERROR(__xludf.DUMMYFUNCTION("""COMPUTED_VALUE"""),"1101800-05-6106")</f>
        <v>1101800-05-6106</v>
      </c>
      <c r="S244" t="str">
        <f>IFERROR(__xludf.DUMMYFUNCTION("""COMPUTED_VALUE"""),"AC2680024")</f>
        <v>AC2680024</v>
      </c>
      <c r="T244" s="148">
        <f>IFERROR(__xludf.DUMMYFUNCTION("""COMPUTED_VALUE"""),44579.0)</f>
        <v>44579</v>
      </c>
      <c r="U244" s="148">
        <f>IFERROR(__xludf.DUMMYFUNCTION("""COMPUTED_VALUE"""),48230.0)</f>
        <v>48230</v>
      </c>
      <c r="V244" s="149">
        <f>IFERROR(__xludf.DUMMYFUNCTION("""COMPUTED_VALUE"""),48046.0)</f>
        <v>48046</v>
      </c>
      <c r="W244" t="str">
        <f>IFERROR(__xludf.DUMMYFUNCTION("""COMPUTED_VALUE"""),"ปลอดภัย")</f>
        <v>ปลอดภัย</v>
      </c>
      <c r="X244" t="str">
        <f>IFERROR(__xludf.DUMMYFUNCTION("""COMPUTED_VALUE"""),"Bangkok")</f>
        <v>Bangkok</v>
      </c>
      <c r="Y244" t="str">
        <f>IFERROR(__xludf.DUMMYFUNCTION("""COMPUTED_VALUE"""),"-")</f>
        <v>-</v>
      </c>
      <c r="Z244" t="str">
        <f>IFERROR(__xludf.DUMMYFUNCTION("""COMPUTED_VALUE"""),"086 744 3404")</f>
        <v>086 744 3404</v>
      </c>
      <c r="AA244" t="str">
        <f>IFERROR(__xludf.DUMMYFUNCTION("""COMPUTED_VALUE"""),"พี่สาว")</f>
        <v>พี่สาว</v>
      </c>
      <c r="AB244" t="str">
        <f>IFERROR(__xludf.DUMMYFUNCTION("""COMPUTED_VALUE"""),"kamonwank@airasia.com")</f>
        <v>kamonwank@airasia.com</v>
      </c>
    </row>
    <row r="245">
      <c r="A245">
        <f>IFERROR(__xludf.DUMMYFUNCTION("""COMPUTED_VALUE"""),1005431.0)</f>
        <v>1005431</v>
      </c>
      <c r="B245" t="str">
        <f>IFERROR(__xludf.DUMMYFUNCTION("""COMPUTED_VALUE"""),"Ms.")</f>
        <v>Ms.</v>
      </c>
      <c r="C245" t="str">
        <f>IFERROR(__xludf.DUMMYFUNCTION("""COMPUTED_VALUE"""),"Jarintip")</f>
        <v>Jarintip</v>
      </c>
      <c r="D245" t="str">
        <f>IFERROR(__xludf.DUMMYFUNCTION("""COMPUTED_VALUE"""),"Chaowasin (Chomsuwan)")</f>
        <v>Chaowasin (Chomsuwan)</v>
      </c>
      <c r="E245" t="str">
        <f>IFERROR(__xludf.DUMMYFUNCTION("""COMPUTED_VALUE"""),"Jarintip Chaowasin")</f>
        <v>Jarintip Chaowasin</v>
      </c>
      <c r="F245" t="str">
        <f>IFERROR(__xludf.DUMMYFUNCTION("""COMPUTED_VALUE"""),"นางสาว")</f>
        <v>นางสาว</v>
      </c>
      <c r="G245" t="str">
        <f>IFERROR(__xludf.DUMMYFUNCTION("""COMPUTED_VALUE"""),"จรินทร์ทิพย์")</f>
        <v>จรินทร์ทิพย์</v>
      </c>
      <c r="H245" t="str">
        <f>IFERROR(__xludf.DUMMYFUNCTION("""COMPUTED_VALUE"""),"เชาว์วศิน (ชมสุวรรณ)")</f>
        <v>เชาว์วศิน (ชมสุวรรณ)</v>
      </c>
      <c r="I245" t="str">
        <f>IFERROR(__xludf.DUMMYFUNCTION("""COMPUTED_VALUE"""),"จรินทร์ทิพย์ เชาว์วศิน")</f>
        <v>จรินทร์ทิพย์ เชาว์วศิน</v>
      </c>
      <c r="J245" t="str">
        <f>IFERROR(__xludf.DUMMYFUNCTION("""COMPUTED_VALUE"""),"ปอ")</f>
        <v>ปอ</v>
      </c>
      <c r="K245" t="str">
        <f>IFERROR(__xludf.DUMMYFUNCTION("""COMPUTED_VALUE"""),"Cabin Crew")</f>
        <v>Cabin Crew</v>
      </c>
      <c r="L245" t="str">
        <f>IFERROR(__xludf.DUMMYFUNCTION("""COMPUTED_VALUE"""),"DMK")</f>
        <v>DMK</v>
      </c>
      <c r="M245" s="145" t="str">
        <f>IFERROR(__xludf.DUMMYFUNCTION("""COMPUTED_VALUE"""),"Toffy Home")</f>
        <v>Toffy Home</v>
      </c>
      <c r="N245" t="str">
        <f>IFERROR(__xludf.DUMMYFUNCTION("""COMPUTED_VALUE"""),"Active")</f>
        <v>Active</v>
      </c>
      <c r="P245" s="143">
        <f>IFERROR(__xludf.DUMMYFUNCTION("""COMPUTED_VALUE"""),31241.0)</f>
        <v>31241</v>
      </c>
      <c r="Q245" s="146" t="str">
        <f>IFERROR(__xludf.DUMMYFUNCTION("""COMPUTED_VALUE"""),"094 478 6714")</f>
        <v>094 478 6714</v>
      </c>
      <c r="R245" s="147" t="str">
        <f>IFERROR(__xludf.DUMMYFUNCTION("""COMPUTED_VALUE"""),"1849900-00-6977")</f>
        <v>1849900-00-6977</v>
      </c>
      <c r="S245" t="str">
        <f>IFERROR(__xludf.DUMMYFUNCTION("""COMPUTED_VALUE"""),"AC7498822")</f>
        <v>AC7498822</v>
      </c>
      <c r="T245" s="148">
        <f>IFERROR(__xludf.DUMMYFUNCTION("""COMPUTED_VALUE"""),45541.0)</f>
        <v>45541</v>
      </c>
      <c r="U245" s="148">
        <f>IFERROR(__xludf.DUMMYFUNCTION("""COMPUTED_VALUE"""),49192.0)</f>
        <v>49192</v>
      </c>
      <c r="V245" s="149">
        <f>IFERROR(__xludf.DUMMYFUNCTION("""COMPUTED_VALUE"""),49008.0)</f>
        <v>49008</v>
      </c>
      <c r="W245" t="str">
        <f>IFERROR(__xludf.DUMMYFUNCTION("""COMPUTED_VALUE"""),"ปลอดภัย")</f>
        <v>ปลอดภัย</v>
      </c>
      <c r="X245" t="str">
        <f>IFERROR(__xludf.DUMMYFUNCTION("""COMPUTED_VALUE"""),"Surat Thani Province")</f>
        <v>Surat Thani Province</v>
      </c>
      <c r="Y245" t="str">
        <f>IFERROR(__xludf.DUMMYFUNCTION("""COMPUTED_VALUE"""),"-")</f>
        <v>-</v>
      </c>
      <c r="Z245" t="str">
        <f>IFERROR(__xludf.DUMMYFUNCTION("""COMPUTED_VALUE"""),"087 517 7251")</f>
        <v>087 517 7251</v>
      </c>
      <c r="AA245" t="str">
        <f>IFERROR(__xludf.DUMMYFUNCTION("""COMPUTED_VALUE"""),"เพื่อน")</f>
        <v>เพื่อน</v>
      </c>
      <c r="AB245" t="str">
        <f>IFERROR(__xludf.DUMMYFUNCTION("""COMPUTED_VALUE"""),"jarintipc@airasia.com")</f>
        <v>jarintipc@airasia.com</v>
      </c>
    </row>
    <row r="246">
      <c r="A246">
        <f>IFERROR(__xludf.DUMMYFUNCTION("""COMPUTED_VALUE"""),1005440.0)</f>
        <v>1005440</v>
      </c>
      <c r="B246" t="str">
        <f>IFERROR(__xludf.DUMMYFUNCTION("""COMPUTED_VALUE"""),"Ms.")</f>
        <v>Ms.</v>
      </c>
      <c r="C246" t="str">
        <f>IFERROR(__xludf.DUMMYFUNCTION("""COMPUTED_VALUE"""),"Parinda")</f>
        <v>Parinda</v>
      </c>
      <c r="D246" t="str">
        <f>IFERROR(__xludf.DUMMYFUNCTION("""COMPUTED_VALUE"""),"Vidhecharoengul")</f>
        <v>Vidhecharoengul</v>
      </c>
      <c r="E246" t="str">
        <f>IFERROR(__xludf.DUMMYFUNCTION("""COMPUTED_VALUE"""),"Parinda Vidhecharoengul")</f>
        <v>Parinda Vidhecharoengul</v>
      </c>
      <c r="F246" t="str">
        <f>IFERROR(__xludf.DUMMYFUNCTION("""COMPUTED_VALUE"""),"นางสาว")</f>
        <v>นางสาว</v>
      </c>
      <c r="G246" t="str">
        <f>IFERROR(__xludf.DUMMYFUNCTION("""COMPUTED_VALUE"""),"ปริญดา")</f>
        <v>ปริญดา</v>
      </c>
      <c r="H246" t="str">
        <f>IFERROR(__xludf.DUMMYFUNCTION("""COMPUTED_VALUE"""),"วิถีเจริญกุล")</f>
        <v>วิถีเจริญกุล</v>
      </c>
      <c r="I246" t="str">
        <f>IFERROR(__xludf.DUMMYFUNCTION("""COMPUTED_VALUE"""),"ปริญดา วิถีเจริญกุล")</f>
        <v>ปริญดา วิถีเจริญกุล</v>
      </c>
      <c r="J246" t="str">
        <f>IFERROR(__xludf.DUMMYFUNCTION("""COMPUTED_VALUE"""),"เก๋")</f>
        <v>เก๋</v>
      </c>
      <c r="K246" t="str">
        <f>IFERROR(__xludf.DUMMYFUNCTION("""COMPUTED_VALUE"""),"Senior Cabin Crew")</f>
        <v>Senior Cabin Crew</v>
      </c>
      <c r="L246" t="str">
        <f>IFERROR(__xludf.DUMMYFUNCTION("""COMPUTED_VALUE"""),"DMK")</f>
        <v>DMK</v>
      </c>
      <c r="M246" s="145" t="str">
        <f>IFERROR(__xludf.DUMMYFUNCTION("""COMPUTED_VALUE"""),"Por+ Home")</f>
        <v>Por+ Home</v>
      </c>
      <c r="N246" t="str">
        <f>IFERROR(__xludf.DUMMYFUNCTION("""COMPUTED_VALUE"""),"Active")</f>
        <v>Active</v>
      </c>
      <c r="P246" s="143">
        <f>IFERROR(__xludf.DUMMYFUNCTION("""COMPUTED_VALUE"""),31114.0)</f>
        <v>31114</v>
      </c>
      <c r="Q246" s="146" t="str">
        <f>IFERROR(__xludf.DUMMYFUNCTION("""COMPUTED_VALUE"""),"095-564 2491")</f>
        <v>095-564 2491</v>
      </c>
      <c r="R246" s="147" t="str">
        <f>IFERROR(__xludf.DUMMYFUNCTION("""COMPUTED_VALUE"""),"1100800-13-1913")</f>
        <v>1100800-13-1913</v>
      </c>
      <c r="S246" t="str">
        <f>IFERROR(__xludf.DUMMYFUNCTION("""COMPUTED_VALUE"""),"AC2320144")</f>
        <v>AC2320144</v>
      </c>
      <c r="T246" s="148">
        <f>IFERROR(__xludf.DUMMYFUNCTION("""COMPUTED_VALUE"""),44364.0)</f>
        <v>44364</v>
      </c>
      <c r="U246" s="148">
        <f>IFERROR(__xludf.DUMMYFUNCTION("""COMPUTED_VALUE"""),48015.0)</f>
        <v>48015</v>
      </c>
      <c r="V246" s="149">
        <f>IFERROR(__xludf.DUMMYFUNCTION("""COMPUTED_VALUE"""),47833.0)</f>
        <v>47833</v>
      </c>
      <c r="W246" t="str">
        <f>IFERROR(__xludf.DUMMYFUNCTION("""COMPUTED_VALUE"""),"ปลอดภัย")</f>
        <v>ปลอดภัย</v>
      </c>
      <c r="X246" t="str">
        <f>IFERROR(__xludf.DUMMYFUNCTION("""COMPUTED_VALUE"""),"Bangkok")</f>
        <v>Bangkok</v>
      </c>
      <c r="Y246" t="str">
        <f>IFERROR(__xludf.DUMMYFUNCTION("""COMPUTED_VALUE"""),"-")</f>
        <v>-</v>
      </c>
      <c r="Z246" t="str">
        <f>IFERROR(__xludf.DUMMYFUNCTION("""COMPUTED_VALUE"""),"081 685 6067 /086 792 1227")</f>
        <v>081 685 6067 /086 792 1227</v>
      </c>
      <c r="AA246" t="str">
        <f>IFERROR(__xludf.DUMMYFUNCTION("""COMPUTED_VALUE"""),"บิดา / มารดา")</f>
        <v>บิดา / มารดา</v>
      </c>
      <c r="AB246" t="str">
        <f>IFERROR(__xludf.DUMMYFUNCTION("""COMPUTED_VALUE"""),"parindav@airasia.com")</f>
        <v>parindav@airasia.com</v>
      </c>
    </row>
    <row r="247">
      <c r="A247">
        <f>IFERROR(__xludf.DUMMYFUNCTION("""COMPUTED_VALUE"""),1005443.0)</f>
        <v>1005443</v>
      </c>
      <c r="B247" t="str">
        <f>IFERROR(__xludf.DUMMYFUNCTION("""COMPUTED_VALUE"""),"Ms.")</f>
        <v>Ms.</v>
      </c>
      <c r="C247" t="str">
        <f>IFERROR(__xludf.DUMMYFUNCTION("""COMPUTED_VALUE"""),"Pipassa")</f>
        <v>Pipassa</v>
      </c>
      <c r="D247" t="str">
        <f>IFERROR(__xludf.DUMMYFUNCTION("""COMPUTED_VALUE"""),"Laopiyasakul")</f>
        <v>Laopiyasakul</v>
      </c>
      <c r="E247" t="str">
        <f>IFERROR(__xludf.DUMMYFUNCTION("""COMPUTED_VALUE"""),"Pipassa Laopiyasakul")</f>
        <v>Pipassa Laopiyasakul</v>
      </c>
      <c r="F247" t="str">
        <f>IFERROR(__xludf.DUMMYFUNCTION("""COMPUTED_VALUE"""),"นางสาว")</f>
        <v>นางสาว</v>
      </c>
      <c r="G247" t="str">
        <f>IFERROR(__xludf.DUMMYFUNCTION("""COMPUTED_VALUE"""),"พิพัสสา")</f>
        <v>พิพัสสา</v>
      </c>
      <c r="H247" t="str">
        <f>IFERROR(__xludf.DUMMYFUNCTION("""COMPUTED_VALUE"""),"เหล่าปิยะสกุล")</f>
        <v>เหล่าปิยะสกุล</v>
      </c>
      <c r="I247" t="str">
        <f>IFERROR(__xludf.DUMMYFUNCTION("""COMPUTED_VALUE"""),"พิพัสสา เหล่าปิยะสกุล")</f>
        <v>พิพัสสา เหล่าปิยะสกุล</v>
      </c>
      <c r="J247" t="str">
        <f>IFERROR(__xludf.DUMMYFUNCTION("""COMPUTED_VALUE"""),"ยุ้ย")</f>
        <v>ยุ้ย</v>
      </c>
      <c r="K247" t="str">
        <f>IFERROR(__xludf.DUMMYFUNCTION("""COMPUTED_VALUE"""),"Senior Cabin Crew")</f>
        <v>Senior Cabin Crew</v>
      </c>
      <c r="L247" t="str">
        <f>IFERROR(__xludf.DUMMYFUNCTION("""COMPUTED_VALUE"""),"DMK")</f>
        <v>DMK</v>
      </c>
      <c r="M247" s="145" t="str">
        <f>IFERROR(__xludf.DUMMYFUNCTION("""COMPUTED_VALUE"""),"Namfon Home")</f>
        <v>Namfon Home</v>
      </c>
      <c r="N247" t="str">
        <f>IFERROR(__xludf.DUMMYFUNCTION("""COMPUTED_VALUE"""),"Active")</f>
        <v>Active</v>
      </c>
      <c r="O247" t="str">
        <f>IFERROR(__xludf.DUMMYFUNCTION("""COMPUTED_VALUE"""),"Chinese Speaking")</f>
        <v>Chinese Speaking</v>
      </c>
      <c r="P247" s="143">
        <f>IFERROR(__xludf.DUMMYFUNCTION("""COMPUTED_VALUE"""),31790.0)</f>
        <v>31790</v>
      </c>
      <c r="Q247" s="146" t="str">
        <f>IFERROR(__xludf.DUMMYFUNCTION("""COMPUTED_VALUE"""),"066 158 9919")</f>
        <v>066 158 9919</v>
      </c>
      <c r="R247" s="147" t="str">
        <f>IFERROR(__xludf.DUMMYFUNCTION("""COMPUTED_VALUE"""),"1929900-10-7012")</f>
        <v>1929900-10-7012</v>
      </c>
      <c r="S247" t="str">
        <f>IFERROR(__xludf.DUMMYFUNCTION("""COMPUTED_VALUE"""),"AC5147855")</f>
        <v>AC5147855</v>
      </c>
      <c r="T247" s="148">
        <f>IFERROR(__xludf.DUMMYFUNCTION("""COMPUTED_VALUE"""),45098.0)</f>
        <v>45098</v>
      </c>
      <c r="U247" s="148">
        <f>IFERROR(__xludf.DUMMYFUNCTION("""COMPUTED_VALUE"""),48750.0)</f>
        <v>48750</v>
      </c>
      <c r="V247" s="149">
        <f>IFERROR(__xludf.DUMMYFUNCTION("""COMPUTED_VALUE"""),48568.0)</f>
        <v>48568</v>
      </c>
      <c r="W247" t="str">
        <f>IFERROR(__xludf.DUMMYFUNCTION("""COMPUTED_VALUE"""),"ปลอดภัย")</f>
        <v>ปลอดภัย</v>
      </c>
      <c r="X247" t="str">
        <f>IFERROR(__xludf.DUMMYFUNCTION("""COMPUTED_VALUE"""),"Trang Province")</f>
        <v>Trang Province</v>
      </c>
      <c r="Y247" t="str">
        <f>IFERROR(__xludf.DUMMYFUNCTION("""COMPUTED_VALUE"""),"-")</f>
        <v>-</v>
      </c>
      <c r="Z247" t="str">
        <f>IFERROR(__xludf.DUMMYFUNCTION("""COMPUTED_VALUE"""),"089 114 8842")</f>
        <v>089 114 8842</v>
      </c>
      <c r="AA247" t="str">
        <f>IFERROR(__xludf.DUMMYFUNCTION("""COMPUTED_VALUE"""),"น้องชาย")</f>
        <v>น้องชาย</v>
      </c>
      <c r="AB247" t="str">
        <f>IFERROR(__xludf.DUMMYFUNCTION("""COMPUTED_VALUE"""),"pipassal@airasia.com")</f>
        <v>pipassal@airasia.com</v>
      </c>
    </row>
    <row r="248">
      <c r="A248">
        <f>IFERROR(__xludf.DUMMYFUNCTION("""COMPUTED_VALUE"""),1005444.0)</f>
        <v>1005444</v>
      </c>
      <c r="B248" t="str">
        <f>IFERROR(__xludf.DUMMYFUNCTION("""COMPUTED_VALUE"""),"Ms.")</f>
        <v>Ms.</v>
      </c>
      <c r="C248" t="str">
        <f>IFERROR(__xludf.DUMMYFUNCTION("""COMPUTED_VALUE"""),"Rassarin")</f>
        <v>Rassarin</v>
      </c>
      <c r="D248" t="str">
        <f>IFERROR(__xludf.DUMMYFUNCTION("""COMPUTED_VALUE"""),"Weerathammavit")</f>
        <v>Weerathammavit</v>
      </c>
      <c r="E248" t="str">
        <f>IFERROR(__xludf.DUMMYFUNCTION("""COMPUTED_VALUE"""),"Rassarin Weerathammavit")</f>
        <v>Rassarin Weerathammavit</v>
      </c>
      <c r="F248" t="str">
        <f>IFERROR(__xludf.DUMMYFUNCTION("""COMPUTED_VALUE"""),"นางสาว")</f>
        <v>นางสาว</v>
      </c>
      <c r="G248" t="str">
        <f>IFERROR(__xludf.DUMMYFUNCTION("""COMPUTED_VALUE"""),"รัสรินทร์")</f>
        <v>รัสรินทร์</v>
      </c>
      <c r="H248" t="str">
        <f>IFERROR(__xludf.DUMMYFUNCTION("""COMPUTED_VALUE"""),"วีระธรรมวิชญ์")</f>
        <v>วีระธรรมวิชญ์</v>
      </c>
      <c r="I248" t="str">
        <f>IFERROR(__xludf.DUMMYFUNCTION("""COMPUTED_VALUE"""),"รัสรินทร์ วีระธรรมวิชญ์")</f>
        <v>รัสรินทร์ วีระธรรมวิชญ์</v>
      </c>
      <c r="J248" t="str">
        <f>IFERROR(__xludf.DUMMYFUNCTION("""COMPUTED_VALUE"""),"แนท")</f>
        <v>แนท</v>
      </c>
      <c r="K248" t="str">
        <f>IFERROR(__xludf.DUMMYFUNCTION("""COMPUTED_VALUE"""),"Senior Cabin Crew")</f>
        <v>Senior Cabin Crew</v>
      </c>
      <c r="L248" t="str">
        <f>IFERROR(__xludf.DUMMYFUNCTION("""COMPUTED_VALUE"""),"DMK")</f>
        <v>DMK</v>
      </c>
      <c r="M248" s="145" t="str">
        <f>IFERROR(__xludf.DUMMYFUNCTION("""COMPUTED_VALUE"""),"Toffy Home")</f>
        <v>Toffy Home</v>
      </c>
      <c r="N248" t="str">
        <f>IFERROR(__xludf.DUMMYFUNCTION("""COMPUTED_VALUE"""),"V/LWP")</f>
        <v>V/LWP</v>
      </c>
      <c r="P248" s="143">
        <f>IFERROR(__xludf.DUMMYFUNCTION("""COMPUTED_VALUE"""),31972.0)</f>
        <v>31972</v>
      </c>
      <c r="Q248" s="146" t="str">
        <f>IFERROR(__xludf.DUMMYFUNCTION("""COMPUTED_VALUE"""),"094 423 2494")</f>
        <v>094 423 2494</v>
      </c>
      <c r="R248" s="147" t="str">
        <f>IFERROR(__xludf.DUMMYFUNCTION("""COMPUTED_VALUE"""),"1100600-10-8977")</f>
        <v>1100600-10-8977</v>
      </c>
      <c r="S248" t="str">
        <f>IFERROR(__xludf.DUMMYFUNCTION("""COMPUTED_VALUE"""),"AC8045289")</f>
        <v>AC8045289</v>
      </c>
      <c r="T248" s="148">
        <f>IFERROR(__xludf.DUMMYFUNCTION("""COMPUTED_VALUE"""),45708.0)</f>
        <v>45708</v>
      </c>
      <c r="U248" s="148">
        <f>IFERROR(__xludf.DUMMYFUNCTION("""COMPUTED_VALUE"""),49359.0)</f>
        <v>49359</v>
      </c>
      <c r="V248" s="149">
        <f>IFERROR(__xludf.DUMMYFUNCTION("""COMPUTED_VALUE"""),49175.0)</f>
        <v>49175</v>
      </c>
      <c r="W248" t="str">
        <f>IFERROR(__xludf.DUMMYFUNCTION("""COMPUTED_VALUE"""),"ปลอดภัย")</f>
        <v>ปลอดภัย</v>
      </c>
      <c r="X248" t="str">
        <f>IFERROR(__xludf.DUMMYFUNCTION("""COMPUTED_VALUE"""),"Bangkok")</f>
        <v>Bangkok</v>
      </c>
      <c r="Y248" t="str">
        <f>IFERROR(__xludf.DUMMYFUNCTION("""COMPUTED_VALUE"""),"-")</f>
        <v>-</v>
      </c>
      <c r="Z248" t="str">
        <f>IFERROR(__xludf.DUMMYFUNCTION("""COMPUTED_VALUE"""),"089 845 7706 /081 282 1396")</f>
        <v>089 845 7706 /081 282 1396</v>
      </c>
      <c r="AA248" t="str">
        <f>IFERROR(__xludf.DUMMYFUNCTION("""COMPUTED_VALUE"""),"มารดา")</f>
        <v>มารดา</v>
      </c>
      <c r="AB248" t="str">
        <f>IFERROR(__xludf.DUMMYFUNCTION("""COMPUTED_VALUE"""),"rassarinw@airasia.com")</f>
        <v>rassarinw@airasia.com</v>
      </c>
    </row>
    <row r="249">
      <c r="A249">
        <f>IFERROR(__xludf.DUMMYFUNCTION("""COMPUTED_VALUE"""),1005449.0)</f>
        <v>1005449</v>
      </c>
      <c r="B249" t="str">
        <f>IFERROR(__xludf.DUMMYFUNCTION("""COMPUTED_VALUE"""),"Mr.")</f>
        <v>Mr.</v>
      </c>
      <c r="C249" t="str">
        <f>IFERROR(__xludf.DUMMYFUNCTION("""COMPUTED_VALUE"""),"Patan (Suthipong)")</f>
        <v>Patan (Suthipong)</v>
      </c>
      <c r="D249" t="str">
        <f>IFERROR(__xludf.DUMMYFUNCTION("""COMPUTED_VALUE"""),"Srivichai")</f>
        <v>Srivichai</v>
      </c>
      <c r="E249" t="str">
        <f>IFERROR(__xludf.DUMMYFUNCTION("""COMPUTED_VALUE"""),"Patan  Srivichai")</f>
        <v>Patan  Srivichai</v>
      </c>
      <c r="F249" t="str">
        <f>IFERROR(__xludf.DUMMYFUNCTION("""COMPUTED_VALUE"""),"นาย")</f>
        <v>นาย</v>
      </c>
      <c r="G249" t="str">
        <f>IFERROR(__xludf.DUMMYFUNCTION("""COMPUTED_VALUE"""),"ปทาน (สุทธิพงศ์)")</f>
        <v>ปทาน (สุทธิพงศ์)</v>
      </c>
      <c r="H249" t="str">
        <f>IFERROR(__xludf.DUMMYFUNCTION("""COMPUTED_VALUE"""),"ศรีวิชัย")</f>
        <v>ศรีวิชัย</v>
      </c>
      <c r="I249" t="str">
        <f>IFERROR(__xludf.DUMMYFUNCTION("""COMPUTED_VALUE"""),"ปทาน ศรีวิชัย")</f>
        <v>ปทาน ศรีวิชัย</v>
      </c>
      <c r="J249" t="str">
        <f>IFERROR(__xludf.DUMMYFUNCTION("""COMPUTED_VALUE"""),"มิค")</f>
        <v>มิค</v>
      </c>
      <c r="K249" t="str">
        <f>IFERROR(__xludf.DUMMYFUNCTION("""COMPUTED_VALUE"""),"Cabin Crew - CNX")</f>
        <v>Cabin Crew - CNX</v>
      </c>
      <c r="L249" t="str">
        <f>IFERROR(__xludf.DUMMYFUNCTION("""COMPUTED_VALUE"""),"CNX")</f>
        <v>CNX</v>
      </c>
      <c r="M249" s="145" t="str">
        <f>IFERROR(__xludf.DUMMYFUNCTION("""COMPUTED_VALUE"""),"Up Home")</f>
        <v>Up Home</v>
      </c>
      <c r="N249" t="str">
        <f>IFERROR(__xludf.DUMMYFUNCTION("""COMPUTED_VALUE"""),"Active")</f>
        <v>Active</v>
      </c>
      <c r="P249" s="143">
        <f>IFERROR(__xludf.DUMMYFUNCTION("""COMPUTED_VALUE"""),32421.0)</f>
        <v>32421</v>
      </c>
      <c r="Q249" s="146" t="str">
        <f>IFERROR(__xludf.DUMMYFUNCTION("""COMPUTED_VALUE"""),"065 956 5265")</f>
        <v>065 956 5265</v>
      </c>
      <c r="R249" s="147" t="str">
        <f>IFERROR(__xludf.DUMMYFUNCTION("""COMPUTED_VALUE"""),"1100900-42-3967")</f>
        <v>1100900-42-3967</v>
      </c>
      <c r="S249" t="str">
        <f>IFERROR(__xludf.DUMMYFUNCTION("""COMPUTED_VALUE"""),"AC7565385")</f>
        <v>AC7565385</v>
      </c>
      <c r="T249" s="148">
        <f>IFERROR(__xludf.DUMMYFUNCTION("""COMPUTED_VALUE"""),45558.0)</f>
        <v>45558</v>
      </c>
      <c r="U249" s="148">
        <f>IFERROR(__xludf.DUMMYFUNCTION("""COMPUTED_VALUE"""),49209.0)</f>
        <v>49209</v>
      </c>
      <c r="V249" s="149">
        <f>IFERROR(__xludf.DUMMYFUNCTION("""COMPUTED_VALUE"""),49025.0)</f>
        <v>49025</v>
      </c>
      <c r="W249" t="str">
        <f>IFERROR(__xludf.DUMMYFUNCTION("""COMPUTED_VALUE"""),"ปลอดภัย")</f>
        <v>ปลอดภัย</v>
      </c>
      <c r="X249" t="str">
        <f>IFERROR(__xludf.DUMMYFUNCTION("""COMPUTED_VALUE"""),"Bangkok")</f>
        <v>Bangkok</v>
      </c>
      <c r="Y249" t="str">
        <f>IFERROR(__xludf.DUMMYFUNCTION("""COMPUTED_VALUE"""),"-")</f>
        <v>-</v>
      </c>
      <c r="Z249" t="str">
        <f>IFERROR(__xludf.DUMMYFUNCTION("""COMPUTED_VALUE"""),"081 886 1606")</f>
        <v>081 886 1606</v>
      </c>
      <c r="AA249" t="str">
        <f>IFERROR(__xludf.DUMMYFUNCTION("""COMPUTED_VALUE"""),"บิดา")</f>
        <v>บิดา</v>
      </c>
      <c r="AB249" t="str">
        <f>IFERROR(__xludf.DUMMYFUNCTION("""COMPUTED_VALUE"""),"patans@airasia.com")</f>
        <v>patans@airasia.com</v>
      </c>
    </row>
    <row r="250">
      <c r="AB250" t="str">
        <f>IFERROR(__xludf.DUMMYFUNCTION("""COMPUTED_VALUE"""),"")</f>
        <v/>
      </c>
    </row>
    <row r="251">
      <c r="A251">
        <f>IFERROR(__xludf.DUMMYFUNCTION("""COMPUTED_VALUE"""),1005741.0)</f>
        <v>1005741</v>
      </c>
      <c r="B251" t="str">
        <f>IFERROR(__xludf.DUMMYFUNCTION("""COMPUTED_VALUE"""),"Ms.")</f>
        <v>Ms.</v>
      </c>
      <c r="C251" t="str">
        <f>IFERROR(__xludf.DUMMYFUNCTION("""COMPUTED_VALUE"""),"Chanyawat")</f>
        <v>Chanyawat</v>
      </c>
      <c r="D251" t="str">
        <f>IFERROR(__xludf.DUMMYFUNCTION("""COMPUTED_VALUE"""),"Ruchiratheekhakul")</f>
        <v>Ruchiratheekhakul</v>
      </c>
      <c r="E251" t="str">
        <f>IFERROR(__xludf.DUMMYFUNCTION("""COMPUTED_VALUE"""),"Chanyawat Ruchiratheekhakul")</f>
        <v>Chanyawat Ruchiratheekhakul</v>
      </c>
      <c r="F251" t="str">
        <f>IFERROR(__xludf.DUMMYFUNCTION("""COMPUTED_VALUE"""),"นางสาว")</f>
        <v>นางสาว</v>
      </c>
      <c r="G251" t="str">
        <f>IFERROR(__xludf.DUMMYFUNCTION("""COMPUTED_VALUE"""),"จรรยวรรธ")</f>
        <v>จรรยวรรธ</v>
      </c>
      <c r="H251" t="str">
        <f>IFERROR(__xludf.DUMMYFUNCTION("""COMPUTED_VALUE"""),"รุจิราทีฆกุล")</f>
        <v>รุจิราทีฆกุล</v>
      </c>
      <c r="I251" t="str">
        <f>IFERROR(__xludf.DUMMYFUNCTION("""COMPUTED_VALUE"""),"จรรยวรรธ รุจิราทีฆกุล")</f>
        <v>จรรยวรรธ รุจิราทีฆกุล</v>
      </c>
      <c r="J251" t="str">
        <f>IFERROR(__xludf.DUMMYFUNCTION("""COMPUTED_VALUE"""),"โอ๋")</f>
        <v>โอ๋</v>
      </c>
      <c r="K251" t="str">
        <f>IFERROR(__xludf.DUMMYFUNCTION("""COMPUTED_VALUE"""),"Cabin Crew")</f>
        <v>Cabin Crew</v>
      </c>
      <c r="L251" t="str">
        <f>IFERROR(__xludf.DUMMYFUNCTION("""COMPUTED_VALUE"""),"DMK")</f>
        <v>DMK</v>
      </c>
      <c r="M251" s="145" t="str">
        <f>IFERROR(__xludf.DUMMYFUNCTION("""COMPUTED_VALUE"""),"Por+ Home")</f>
        <v>Por+ Home</v>
      </c>
      <c r="N251" t="str">
        <f>IFERROR(__xludf.DUMMYFUNCTION("""COMPUTED_VALUE"""),"Active")</f>
        <v>Active</v>
      </c>
      <c r="P251" s="143">
        <f>IFERROR(__xludf.DUMMYFUNCTION("""COMPUTED_VALUE"""),31208.0)</f>
        <v>31208</v>
      </c>
      <c r="Q251" s="146" t="str">
        <f>IFERROR(__xludf.DUMMYFUNCTION("""COMPUTED_VALUE"""),"084 165 8210")</f>
        <v>084 165 8210</v>
      </c>
      <c r="R251" s="147" t="str">
        <f>IFERROR(__xludf.DUMMYFUNCTION("""COMPUTED_VALUE"""),"1100-800157084")</f>
        <v>1100-800157084</v>
      </c>
      <c r="S251" t="str">
        <f>IFERROR(__xludf.DUMMYFUNCTION("""COMPUTED_VALUE"""),"AD2374374")</f>
        <v>AD2374374</v>
      </c>
      <c r="T251" s="148">
        <f>IFERROR(__xludf.DUMMYFUNCTION("""COMPUTED_VALUE"""),45784.0)</f>
        <v>45784</v>
      </c>
      <c r="U251" s="148">
        <f>IFERROR(__xludf.DUMMYFUNCTION("""COMPUTED_VALUE"""),49435.0)</f>
        <v>49435</v>
      </c>
      <c r="V251" s="149">
        <f>IFERROR(__xludf.DUMMYFUNCTION("""COMPUTED_VALUE"""),49254.0)</f>
        <v>49254</v>
      </c>
      <c r="W251" t="str">
        <f>IFERROR(__xludf.DUMMYFUNCTION("""COMPUTED_VALUE"""),"ปลอดภัย")</f>
        <v>ปลอดภัย</v>
      </c>
      <c r="X251" t="str">
        <f>IFERROR(__xludf.DUMMYFUNCTION("""COMPUTED_VALUE"""),"Bangkok")</f>
        <v>Bangkok</v>
      </c>
      <c r="Y251" t="str">
        <f>IFERROR(__xludf.DUMMYFUNCTION("""COMPUTED_VALUE"""),"Sukhumvit101")</f>
        <v>Sukhumvit101</v>
      </c>
      <c r="Z251" t="str">
        <f>IFERROR(__xludf.DUMMYFUNCTION("""COMPUTED_VALUE"""),"081 668 3659\")</f>
        <v>081 668 3659\</v>
      </c>
      <c r="AA251" t="str">
        <f>IFERROR(__xludf.DUMMYFUNCTION("""COMPUTED_VALUE"""),"Somboon")</f>
        <v>Somboon</v>
      </c>
      <c r="AB251" t="str">
        <f>IFERROR(__xludf.DUMMYFUNCTION("""COMPUTED_VALUE"""),"chanyawatr@airasia.com")</f>
        <v>chanyawatr@airasia.com</v>
      </c>
    </row>
    <row r="252">
      <c r="A252">
        <f>IFERROR(__xludf.DUMMYFUNCTION("""COMPUTED_VALUE"""),1005748.0)</f>
        <v>1005748</v>
      </c>
      <c r="B252" t="str">
        <f>IFERROR(__xludf.DUMMYFUNCTION("""COMPUTED_VALUE"""),"Ms.")</f>
        <v>Ms.</v>
      </c>
      <c r="C252" t="str">
        <f>IFERROR(__xludf.DUMMYFUNCTION("""COMPUTED_VALUE"""),"Gam")</f>
        <v>Gam</v>
      </c>
      <c r="D252" t="str">
        <f>IFERROR(__xludf.DUMMYFUNCTION("""COMPUTED_VALUE"""),"Keultachavanich")</f>
        <v>Keultachavanich</v>
      </c>
      <c r="E252" t="str">
        <f>IFERROR(__xludf.DUMMYFUNCTION("""COMPUTED_VALUE"""),"Gam Keultachavanich")</f>
        <v>Gam Keultachavanich</v>
      </c>
      <c r="F252" t="str">
        <f>IFERROR(__xludf.DUMMYFUNCTION("""COMPUTED_VALUE"""),"นางสาว")</f>
        <v>นางสาว</v>
      </c>
      <c r="G252" t="str">
        <f>IFERROR(__xludf.DUMMYFUNCTION("""COMPUTED_VALUE"""),"แก้ม")</f>
        <v>แก้ม</v>
      </c>
      <c r="H252" t="str">
        <f>IFERROR(__xludf.DUMMYFUNCTION("""COMPUTED_VALUE"""),"กุลเตชะวณิช")</f>
        <v>กุลเตชะวณิช</v>
      </c>
      <c r="I252" t="str">
        <f>IFERROR(__xludf.DUMMYFUNCTION("""COMPUTED_VALUE"""),"แก้ม กุลเตชะวณิช")</f>
        <v>แก้ม กุลเตชะวณิช</v>
      </c>
      <c r="J252" t="str">
        <f>IFERROR(__xludf.DUMMYFUNCTION("""COMPUTED_VALUE"""),"แก้ม")</f>
        <v>แก้ม</v>
      </c>
      <c r="K252" t="str">
        <f>IFERROR(__xludf.DUMMYFUNCTION("""COMPUTED_VALUE"""),"Cabin Crew")</f>
        <v>Cabin Crew</v>
      </c>
      <c r="L252" t="str">
        <f>IFERROR(__xludf.DUMMYFUNCTION("""COMPUTED_VALUE"""),"DMK")</f>
        <v>DMK</v>
      </c>
      <c r="M252" s="145" t="str">
        <f>IFERROR(__xludf.DUMMYFUNCTION("""COMPUTED_VALUE"""),"Toffy Home")</f>
        <v>Toffy Home</v>
      </c>
      <c r="N252" t="str">
        <f>IFERROR(__xludf.DUMMYFUNCTION("""COMPUTED_VALUE"""),"V/LWP")</f>
        <v>V/LWP</v>
      </c>
      <c r="P252" s="143">
        <f>IFERROR(__xludf.DUMMYFUNCTION("""COMPUTED_VALUE"""),32562.0)</f>
        <v>32562</v>
      </c>
      <c r="Q252" s="146" t="str">
        <f>IFERROR(__xludf.DUMMYFUNCTION("""COMPUTED_VALUE"""),"094 663 6444")</f>
        <v>094 663 6444</v>
      </c>
      <c r="R252" s="147" t="str">
        <f>IFERROR(__xludf.DUMMYFUNCTION("""COMPUTED_VALUE"""),"110-1401577595")</f>
        <v>110-1401577595</v>
      </c>
      <c r="S252" t="str">
        <f>IFERROR(__xludf.DUMMYFUNCTION("""COMPUTED_VALUE"""),"AC3083821")</f>
        <v>AC3083821</v>
      </c>
      <c r="T252" s="148">
        <f>IFERROR(__xludf.DUMMYFUNCTION("""COMPUTED_VALUE"""),44686.0)</f>
        <v>44686</v>
      </c>
      <c r="U252" s="148">
        <f>IFERROR(__xludf.DUMMYFUNCTION("""COMPUTED_VALUE"""),48338.0)</f>
        <v>48338</v>
      </c>
      <c r="V252" s="149">
        <f>IFERROR(__xludf.DUMMYFUNCTION("""COMPUTED_VALUE"""),48156.0)</f>
        <v>48156</v>
      </c>
      <c r="W252" t="str">
        <f>IFERROR(__xludf.DUMMYFUNCTION("""COMPUTED_VALUE"""),"ปลอดภัย")</f>
        <v>ปลอดภัย</v>
      </c>
      <c r="X252" t="str">
        <f>IFERROR(__xludf.DUMMYFUNCTION("""COMPUTED_VALUE"""),"Bangkok")</f>
        <v>Bangkok</v>
      </c>
      <c r="Y252" t="str">
        <f>IFERROR(__xludf.DUMMYFUNCTION("""COMPUTED_VALUE"""),"Ratchatevee")</f>
        <v>Ratchatevee</v>
      </c>
      <c r="Z252" t="str">
        <f>IFERROR(__xludf.DUMMYFUNCTION("""COMPUTED_VALUE"""),"094-663-6444")</f>
        <v>094-663-6444</v>
      </c>
      <c r="AA252" t="str">
        <f>IFERROR(__xludf.DUMMYFUNCTION("""COMPUTED_VALUE"""),"Mom")</f>
        <v>Mom</v>
      </c>
      <c r="AB252" t="str">
        <f>IFERROR(__xludf.DUMMYFUNCTION("""COMPUTED_VALUE"""),"gamk@airasia.com")</f>
        <v>gamk@airasia.com</v>
      </c>
    </row>
    <row r="253">
      <c r="A253">
        <f>IFERROR(__xludf.DUMMYFUNCTION("""COMPUTED_VALUE"""),1005753.0)</f>
        <v>1005753</v>
      </c>
      <c r="B253" t="str">
        <f>IFERROR(__xludf.DUMMYFUNCTION("""COMPUTED_VALUE"""),"Ms.")</f>
        <v>Ms.</v>
      </c>
      <c r="C253" t="str">
        <f>IFERROR(__xludf.DUMMYFUNCTION("""COMPUTED_VALUE"""),"Kamolchanok")</f>
        <v>Kamolchanok</v>
      </c>
      <c r="D253" t="str">
        <f>IFERROR(__xludf.DUMMYFUNCTION("""COMPUTED_VALUE"""),"Khantidilokvongsa")</f>
        <v>Khantidilokvongsa</v>
      </c>
      <c r="E253" t="str">
        <f>IFERROR(__xludf.DUMMYFUNCTION("""COMPUTED_VALUE"""),"Kamolchanok Khantidilokvongsa")</f>
        <v>Kamolchanok Khantidilokvongsa</v>
      </c>
      <c r="F253" t="str">
        <f>IFERROR(__xludf.DUMMYFUNCTION("""COMPUTED_VALUE"""),"นางสาว")</f>
        <v>นางสาว</v>
      </c>
      <c r="G253" t="str">
        <f>IFERROR(__xludf.DUMMYFUNCTION("""COMPUTED_VALUE"""),"กมลชนก")</f>
        <v>กมลชนก</v>
      </c>
      <c r="H253" t="str">
        <f>IFERROR(__xludf.DUMMYFUNCTION("""COMPUTED_VALUE"""),"ขันติดิลกวงษา")</f>
        <v>ขันติดิลกวงษา</v>
      </c>
      <c r="I253" t="str">
        <f>IFERROR(__xludf.DUMMYFUNCTION("""COMPUTED_VALUE"""),"กมลชนก ขันติดิลกวงษา")</f>
        <v>กมลชนก ขันติดิลกวงษา</v>
      </c>
      <c r="J253" t="str">
        <f>IFERROR(__xludf.DUMMYFUNCTION("""COMPUTED_VALUE"""),"เน็ท")</f>
        <v>เน็ท</v>
      </c>
      <c r="K253" t="str">
        <f>IFERROR(__xludf.DUMMYFUNCTION("""COMPUTED_VALUE"""),"Senior Cabin Crew")</f>
        <v>Senior Cabin Crew</v>
      </c>
      <c r="L253" t="str">
        <f>IFERROR(__xludf.DUMMYFUNCTION("""COMPUTED_VALUE"""),"DMK")</f>
        <v>DMK</v>
      </c>
      <c r="M253" s="145" t="str">
        <f>IFERROR(__xludf.DUMMYFUNCTION("""COMPUTED_VALUE"""),"Namfon Home")</f>
        <v>Namfon Home</v>
      </c>
      <c r="N253" t="str">
        <f>IFERROR(__xludf.DUMMYFUNCTION("""COMPUTED_VALUE"""),"Active")</f>
        <v>Active</v>
      </c>
      <c r="P253" s="143">
        <f>IFERROR(__xludf.DUMMYFUNCTION("""COMPUTED_VALUE"""),30389.0)</f>
        <v>30389</v>
      </c>
      <c r="Q253" s="146" t="str">
        <f>IFERROR(__xludf.DUMMYFUNCTION("""COMPUTED_VALUE"""),"065 961 5995")</f>
        <v>065 961 5995</v>
      </c>
      <c r="R253" s="147" t="str">
        <f>IFERROR(__xludf.DUMMYFUNCTION("""COMPUTED_VALUE"""),"310-090566-6902")</f>
        <v>310-090566-6902</v>
      </c>
      <c r="S253" t="str">
        <f>IFERROR(__xludf.DUMMYFUNCTION("""COMPUTED_VALUE"""),"AC2834296")</f>
        <v>AC2834296</v>
      </c>
      <c r="T253" s="148">
        <f>IFERROR(__xludf.DUMMYFUNCTION("""COMPUTED_VALUE"""),44522.0)</f>
        <v>44522</v>
      </c>
      <c r="U253" s="148">
        <f>IFERROR(__xludf.DUMMYFUNCTION("""COMPUTED_VALUE"""),48173.0)</f>
        <v>48173</v>
      </c>
      <c r="V253" s="149">
        <f>IFERROR(__xludf.DUMMYFUNCTION("""COMPUTED_VALUE"""),47989.0)</f>
        <v>47989</v>
      </c>
      <c r="W253" t="str">
        <f>IFERROR(__xludf.DUMMYFUNCTION("""COMPUTED_VALUE"""),"ปลอดภัย")</f>
        <v>ปลอดภัย</v>
      </c>
      <c r="X253" t="str">
        <f>IFERROR(__xludf.DUMMYFUNCTION("""COMPUTED_VALUE"""),"Bangkok")</f>
        <v>Bangkok</v>
      </c>
      <c r="Y253" t="str">
        <f>IFERROR(__xludf.DUMMYFUNCTION("""COMPUTED_VALUE"""),"Phattanakarn")</f>
        <v>Phattanakarn</v>
      </c>
      <c r="Z253" t="str">
        <f>IFERROR(__xludf.DUMMYFUNCTION("""COMPUTED_VALUE"""),"083 4403888")</f>
        <v>083 4403888</v>
      </c>
      <c r="AA253" t="str">
        <f>IFERROR(__xludf.DUMMYFUNCTION("""COMPUTED_VALUE"""),"Kamonwan")</f>
        <v>Kamonwan</v>
      </c>
      <c r="AB253" t="str">
        <f>IFERROR(__xludf.DUMMYFUNCTION("""COMPUTED_VALUE"""),"kamolchanokk@airasia.com")</f>
        <v>kamolchanokk@airasia.com</v>
      </c>
    </row>
    <row r="254">
      <c r="A254">
        <f>IFERROR(__xludf.DUMMYFUNCTION("""COMPUTED_VALUE"""),1005757.0)</f>
        <v>1005757</v>
      </c>
      <c r="B254" t="str">
        <f>IFERROR(__xludf.DUMMYFUNCTION("""COMPUTED_VALUE"""),"Ms.")</f>
        <v>Ms.</v>
      </c>
      <c r="C254" t="str">
        <f>IFERROR(__xludf.DUMMYFUNCTION("""COMPUTED_VALUE"""),"Mintra")</f>
        <v>Mintra</v>
      </c>
      <c r="D254" t="str">
        <f>IFERROR(__xludf.DUMMYFUNCTION("""COMPUTED_VALUE"""),"Thamadee")</f>
        <v>Thamadee</v>
      </c>
      <c r="E254" t="str">
        <f>IFERROR(__xludf.DUMMYFUNCTION("""COMPUTED_VALUE"""),"Mintra Thamadee")</f>
        <v>Mintra Thamadee</v>
      </c>
      <c r="F254" t="str">
        <f>IFERROR(__xludf.DUMMYFUNCTION("""COMPUTED_VALUE"""),"นางสาว")</f>
        <v>นางสาว</v>
      </c>
      <c r="G254" t="str">
        <f>IFERROR(__xludf.DUMMYFUNCTION("""COMPUTED_VALUE"""),"มินทร์ตรา")</f>
        <v>มินทร์ตรา</v>
      </c>
      <c r="H254" t="str">
        <f>IFERROR(__xludf.DUMMYFUNCTION("""COMPUTED_VALUE"""),"ทะมาดี")</f>
        <v>ทะมาดี</v>
      </c>
      <c r="I254" t="str">
        <f>IFERROR(__xludf.DUMMYFUNCTION("""COMPUTED_VALUE"""),"มินทร์ตรา ทะมาดี")</f>
        <v>มินทร์ตรา ทะมาดี</v>
      </c>
      <c r="J254" t="str">
        <f>IFERROR(__xludf.DUMMYFUNCTION("""COMPUTED_VALUE"""),"เมย์")</f>
        <v>เมย์</v>
      </c>
      <c r="K254" t="str">
        <f>IFERROR(__xludf.DUMMYFUNCTION("""COMPUTED_VALUE"""),"Senior Cabin Crew")</f>
        <v>Senior Cabin Crew</v>
      </c>
      <c r="L254" t="str">
        <f>IFERROR(__xludf.DUMMYFUNCTION("""COMPUTED_VALUE"""),"DMK")</f>
        <v>DMK</v>
      </c>
      <c r="M254" s="145" t="str">
        <f>IFERROR(__xludf.DUMMYFUNCTION("""COMPUTED_VALUE"""),"Namfon Home")</f>
        <v>Namfon Home</v>
      </c>
      <c r="N254" t="str">
        <f>IFERROR(__xludf.DUMMYFUNCTION("""COMPUTED_VALUE"""),"Active")</f>
        <v>Active</v>
      </c>
      <c r="P254" s="143">
        <f>IFERROR(__xludf.DUMMYFUNCTION("""COMPUTED_VALUE"""),32312.0)</f>
        <v>32312</v>
      </c>
      <c r="Q254" s="146" t="str">
        <f>IFERROR(__xludf.DUMMYFUNCTION("""COMPUTED_VALUE"""),"085 254 5424")</f>
        <v>085 254 5424</v>
      </c>
      <c r="R254" s="147" t="str">
        <f>IFERROR(__xludf.DUMMYFUNCTION("""COMPUTED_VALUE"""),"13099-00401-412")</f>
        <v>13099-00401-412</v>
      </c>
      <c r="S254" t="str">
        <f>IFERROR(__xludf.DUMMYFUNCTION("""COMPUTED_VALUE"""),"AD1844827")</f>
        <v>AD1844827</v>
      </c>
      <c r="T254" s="148">
        <f>IFERROR(__xludf.DUMMYFUNCTION("""COMPUTED_VALUE"""),45472.0)</f>
        <v>45472</v>
      </c>
      <c r="U254" s="148">
        <f>IFERROR(__xludf.DUMMYFUNCTION("""COMPUTED_VALUE"""),47297.0)</f>
        <v>47297</v>
      </c>
      <c r="V254" s="149">
        <f>IFERROR(__xludf.DUMMYFUNCTION("""COMPUTED_VALUE"""),47115.0)</f>
        <v>47115</v>
      </c>
      <c r="W254" t="str">
        <f>IFERROR(__xludf.DUMMYFUNCTION("""COMPUTED_VALUE"""),"ปลอดภัย")</f>
        <v>ปลอดภัย</v>
      </c>
      <c r="X254" t="str">
        <f>IFERROR(__xludf.DUMMYFUNCTION("""COMPUTED_VALUE"""),"Nakhon Ratchasima Province")</f>
        <v>Nakhon Ratchasima Province</v>
      </c>
      <c r="Y254" t="str">
        <f>IFERROR(__xludf.DUMMYFUNCTION("""COMPUTED_VALUE"""),"Lardkrabang")</f>
        <v>Lardkrabang</v>
      </c>
      <c r="Z254" t="str">
        <f>IFERROR(__xludf.DUMMYFUNCTION("""COMPUTED_VALUE"""),"081 977 4645")</f>
        <v>081 977 4645</v>
      </c>
      <c r="AA254" t="str">
        <f>IFERROR(__xludf.DUMMYFUNCTION("""COMPUTED_VALUE"""),"Thanyawan")</f>
        <v>Thanyawan</v>
      </c>
      <c r="AB254" t="str">
        <f>IFERROR(__xludf.DUMMYFUNCTION("""COMPUTED_VALUE"""),"mintrat@airasia.com")</f>
        <v>mintrat@airasia.com</v>
      </c>
    </row>
    <row r="255">
      <c r="A255">
        <f>IFERROR(__xludf.DUMMYFUNCTION("""COMPUTED_VALUE"""),1005759.0)</f>
        <v>1005759</v>
      </c>
      <c r="B255" t="str">
        <f>IFERROR(__xludf.DUMMYFUNCTION("""COMPUTED_VALUE"""),"Ms.")</f>
        <v>Ms.</v>
      </c>
      <c r="C255" t="str">
        <f>IFERROR(__xludf.DUMMYFUNCTION("""COMPUTED_VALUE"""),"Nirinya (Nilubon)")</f>
        <v>Nirinya (Nilubon)</v>
      </c>
      <c r="D255" t="str">
        <f>IFERROR(__xludf.DUMMYFUNCTION("""COMPUTED_VALUE"""),"Arunthanakulphat (Samlee)")</f>
        <v>Arunthanakulphat (Samlee)</v>
      </c>
      <c r="E255" t="str">
        <f>IFERROR(__xludf.DUMMYFUNCTION("""COMPUTED_VALUE"""),"Nirinya Arunthanakulphat")</f>
        <v>Nirinya Arunthanakulphat</v>
      </c>
      <c r="F255" t="str">
        <f>IFERROR(__xludf.DUMMYFUNCTION("""COMPUTED_VALUE"""),"นางสาว")</f>
        <v>นางสาว</v>
      </c>
      <c r="G255" t="str">
        <f>IFERROR(__xludf.DUMMYFUNCTION("""COMPUTED_VALUE"""),"ณิรินทร์ญา (นิลุบล)")</f>
        <v>ณิรินทร์ญา (นิลุบล)</v>
      </c>
      <c r="H255" t="str">
        <f>IFERROR(__xludf.DUMMYFUNCTION("""COMPUTED_VALUE"""),"อรุณธนะกุลพัทธ์ (สำลี)")</f>
        <v>อรุณธนะกุลพัทธ์ (สำลี)</v>
      </c>
      <c r="I255" t="str">
        <f>IFERROR(__xludf.DUMMYFUNCTION("""COMPUTED_VALUE"""),"ณิรินทร์ญา อรุณธนะกุลพัทธ์ ")</f>
        <v>ณิรินทร์ญา อรุณธนะกุลพัทธ์ </v>
      </c>
      <c r="J255" t="str">
        <f>IFERROR(__xludf.DUMMYFUNCTION("""COMPUTED_VALUE"""),"แนน")</f>
        <v>แนน</v>
      </c>
      <c r="K255" t="str">
        <f>IFERROR(__xludf.DUMMYFUNCTION("""COMPUTED_VALUE"""),"Senior Cabin Crew")</f>
        <v>Senior Cabin Crew</v>
      </c>
      <c r="L255" t="str">
        <f>IFERROR(__xludf.DUMMYFUNCTION("""COMPUTED_VALUE"""),"DMK")</f>
        <v>DMK</v>
      </c>
      <c r="M255" s="145" t="str">
        <f>IFERROR(__xludf.DUMMYFUNCTION("""COMPUTED_VALUE"""),"Toffy Home")</f>
        <v>Toffy Home</v>
      </c>
      <c r="N255" t="str">
        <f>IFERROR(__xludf.DUMMYFUNCTION("""COMPUTED_VALUE"""),"Active")</f>
        <v>Active</v>
      </c>
      <c r="P255" s="143">
        <f>IFERROR(__xludf.DUMMYFUNCTION("""COMPUTED_VALUE"""),32376.0)</f>
        <v>32376</v>
      </c>
      <c r="Q255" s="146" t="str">
        <f>IFERROR(__xludf.DUMMYFUNCTION("""COMPUTED_VALUE"""),"080-692-6966")</f>
        <v>080-692-6966</v>
      </c>
      <c r="R255" s="147" t="str">
        <f>IFERROR(__xludf.DUMMYFUNCTION("""COMPUTED_VALUE"""),"13501-00132-494")</f>
        <v>13501-00132-494</v>
      </c>
      <c r="S255" t="str">
        <f>IFERROR(__xludf.DUMMYFUNCTION("""COMPUTED_VALUE"""),"AC8035821")</f>
        <v>AC8035821</v>
      </c>
      <c r="T255" s="148">
        <f>IFERROR(__xludf.DUMMYFUNCTION("""COMPUTED_VALUE"""),45706.0)</f>
        <v>45706</v>
      </c>
      <c r="U255" s="148">
        <f>IFERROR(__xludf.DUMMYFUNCTION("""COMPUTED_VALUE"""),49357.0)</f>
        <v>49357</v>
      </c>
      <c r="V255" s="149">
        <f>IFERROR(__xludf.DUMMYFUNCTION("""COMPUTED_VALUE"""),49173.0)</f>
        <v>49173</v>
      </c>
      <c r="W255" t="str">
        <f>IFERROR(__xludf.DUMMYFUNCTION("""COMPUTED_VALUE"""),"ปลอดภัย")</f>
        <v>ปลอดภัย</v>
      </c>
      <c r="X255" t="str">
        <f>IFERROR(__xludf.DUMMYFUNCTION("""COMPUTED_VALUE"""),"Yasothon Province")</f>
        <v>Yasothon Province</v>
      </c>
      <c r="Y255" t="str">
        <f>IFERROR(__xludf.DUMMYFUNCTION("""COMPUTED_VALUE"""),"Bangkok")</f>
        <v>Bangkok</v>
      </c>
      <c r="AB255" t="str">
        <f>IFERROR(__xludf.DUMMYFUNCTION("""COMPUTED_VALUE"""),"nirinyaa@airasia.com")</f>
        <v>nirinyaa@airasia.com</v>
      </c>
    </row>
    <row r="256">
      <c r="A256">
        <f>IFERROR(__xludf.DUMMYFUNCTION("""COMPUTED_VALUE"""),1005762.0)</f>
        <v>1005762</v>
      </c>
      <c r="B256" t="str">
        <f>IFERROR(__xludf.DUMMYFUNCTION("""COMPUTED_VALUE"""),"Mr.")</f>
        <v>Mr.</v>
      </c>
      <c r="C256" t="str">
        <f>IFERROR(__xludf.DUMMYFUNCTION("""COMPUTED_VALUE"""),"Photchara")</f>
        <v>Photchara</v>
      </c>
      <c r="D256" t="str">
        <f>IFERROR(__xludf.DUMMYFUNCTION("""COMPUTED_VALUE"""),"Srisuk")</f>
        <v>Srisuk</v>
      </c>
      <c r="E256" t="str">
        <f>IFERROR(__xludf.DUMMYFUNCTION("""COMPUTED_VALUE"""),"Photchara Srisuk")</f>
        <v>Photchara Srisuk</v>
      </c>
      <c r="F256" t="str">
        <f>IFERROR(__xludf.DUMMYFUNCTION("""COMPUTED_VALUE"""),"นาย")</f>
        <v>นาย</v>
      </c>
      <c r="G256" t="str">
        <f>IFERROR(__xludf.DUMMYFUNCTION("""COMPUTED_VALUE"""),"พชร")</f>
        <v>พชร</v>
      </c>
      <c r="H256" t="str">
        <f>IFERROR(__xludf.DUMMYFUNCTION("""COMPUTED_VALUE"""),"ศรีสุข")</f>
        <v>ศรีสุข</v>
      </c>
      <c r="I256" t="str">
        <f>IFERROR(__xludf.DUMMYFUNCTION("""COMPUTED_VALUE"""),"พชร ศรีสุข")</f>
        <v>พชร ศรีสุข</v>
      </c>
      <c r="J256" t="str">
        <f>IFERROR(__xludf.DUMMYFUNCTION("""COMPUTED_VALUE"""),"got")</f>
        <v>got</v>
      </c>
      <c r="K256" t="str">
        <f>IFERROR(__xludf.DUMMYFUNCTION("""COMPUTED_VALUE"""),"Senior Cabin Crew - CNX")</f>
        <v>Senior Cabin Crew - CNX</v>
      </c>
      <c r="L256" t="str">
        <f>IFERROR(__xludf.DUMMYFUNCTION("""COMPUTED_VALUE"""),"CNX")</f>
        <v>CNX</v>
      </c>
      <c r="M256" s="145" t="str">
        <f>IFERROR(__xludf.DUMMYFUNCTION("""COMPUTED_VALUE"""),"Up Home")</f>
        <v>Up Home</v>
      </c>
      <c r="N256" t="str">
        <f>IFERROR(__xludf.DUMMYFUNCTION("""COMPUTED_VALUE"""),"Active")</f>
        <v>Active</v>
      </c>
      <c r="P256" s="143">
        <f>IFERROR(__xludf.DUMMYFUNCTION("""COMPUTED_VALUE"""),31579.0)</f>
        <v>31579</v>
      </c>
      <c r="Q256" s="146" t="str">
        <f>IFERROR(__xludf.DUMMYFUNCTION("""COMPUTED_VALUE"""),"095 929 2987")</f>
        <v>095 929 2987</v>
      </c>
      <c r="R256" s="147" t="str">
        <f>IFERROR(__xludf.DUMMYFUNCTION("""COMPUTED_VALUE"""),"1100-70049-2191")</f>
        <v>1100-70049-2191</v>
      </c>
      <c r="S256" t="str">
        <f>IFERROR(__xludf.DUMMYFUNCTION("""COMPUTED_VALUE"""),"AD1375332")</f>
        <v>AD1375332</v>
      </c>
      <c r="T256" s="148">
        <f>IFERROR(__xludf.DUMMYFUNCTION("""COMPUTED_VALUE"""),45371.0)</f>
        <v>45371</v>
      </c>
      <c r="U256" s="148">
        <f>IFERROR(__xludf.DUMMYFUNCTION("""COMPUTED_VALUE"""),49022.0)</f>
        <v>49022</v>
      </c>
      <c r="V256" s="149">
        <f>IFERROR(__xludf.DUMMYFUNCTION("""COMPUTED_VALUE"""),48841.0)</f>
        <v>48841</v>
      </c>
      <c r="W256" t="str">
        <f>IFERROR(__xludf.DUMMYFUNCTION("""COMPUTED_VALUE"""),"ปลอดภัย")</f>
        <v>ปลอดภัย</v>
      </c>
      <c r="X256" t="str">
        <f>IFERROR(__xludf.DUMMYFUNCTION("""COMPUTED_VALUE"""),"Bangkok")</f>
        <v>Bangkok</v>
      </c>
      <c r="Y256" t="str">
        <f>IFERROR(__xludf.DUMMYFUNCTION("""COMPUTED_VALUE"""),"Lamlukka")</f>
        <v>Lamlukka</v>
      </c>
      <c r="Z256" t="str">
        <f>IFERROR(__xludf.DUMMYFUNCTION("""COMPUTED_VALUE"""),"081 345 2120")</f>
        <v>081 345 2120</v>
      </c>
      <c r="AA256" t="str">
        <f>IFERROR(__xludf.DUMMYFUNCTION("""COMPUTED_VALUE"""),"Mom")</f>
        <v>Mom</v>
      </c>
      <c r="AB256" t="str">
        <f>IFERROR(__xludf.DUMMYFUNCTION("""COMPUTED_VALUE"""),"photcharas@airasia.com")</f>
        <v>photcharas@airasia.com</v>
      </c>
    </row>
    <row r="257">
      <c r="A257">
        <f>IFERROR(__xludf.DUMMYFUNCTION("""COMPUTED_VALUE"""),1005763.0)</f>
        <v>1005763</v>
      </c>
      <c r="B257" t="str">
        <f>IFERROR(__xludf.DUMMYFUNCTION("""COMPUTED_VALUE"""),"Ms.")</f>
        <v>Ms.</v>
      </c>
      <c r="C257" t="str">
        <f>IFERROR(__xludf.DUMMYFUNCTION("""COMPUTED_VALUE"""),"Pranpriya")</f>
        <v>Pranpriya</v>
      </c>
      <c r="D257" t="str">
        <f>IFERROR(__xludf.DUMMYFUNCTION("""COMPUTED_VALUE"""),"Rujirakamolvit")</f>
        <v>Rujirakamolvit</v>
      </c>
      <c r="E257" t="str">
        <f>IFERROR(__xludf.DUMMYFUNCTION("""COMPUTED_VALUE"""),"Pranpriya Rujirakamolvit")</f>
        <v>Pranpriya Rujirakamolvit</v>
      </c>
      <c r="F257" t="str">
        <f>IFERROR(__xludf.DUMMYFUNCTION("""COMPUTED_VALUE"""),"นางสาว")</f>
        <v>นางสาว</v>
      </c>
      <c r="G257" t="str">
        <f>IFERROR(__xludf.DUMMYFUNCTION("""COMPUTED_VALUE"""),"ปราณปริยา")</f>
        <v>ปราณปริยา</v>
      </c>
      <c r="H257" t="str">
        <f>IFERROR(__xludf.DUMMYFUNCTION("""COMPUTED_VALUE"""),"รุจิระกมลวิทย์")</f>
        <v>รุจิระกมลวิทย์</v>
      </c>
      <c r="I257" t="str">
        <f>IFERROR(__xludf.DUMMYFUNCTION("""COMPUTED_VALUE"""),"ปราณปริยา รุจิระกมลวิทย์")</f>
        <v>ปราณปริยา รุจิระกมลวิทย์</v>
      </c>
      <c r="J257" t="str">
        <f>IFERROR(__xludf.DUMMYFUNCTION("""COMPUTED_VALUE"""),"มิลค์")</f>
        <v>มิลค์</v>
      </c>
      <c r="K257" t="str">
        <f>IFERROR(__xludf.DUMMYFUNCTION("""COMPUTED_VALUE"""),"Senior Cabin Crew")</f>
        <v>Senior Cabin Crew</v>
      </c>
      <c r="L257" t="str">
        <f>IFERROR(__xludf.DUMMYFUNCTION("""COMPUTED_VALUE"""),"DMK")</f>
        <v>DMK</v>
      </c>
      <c r="M257" s="145" t="str">
        <f>IFERROR(__xludf.DUMMYFUNCTION("""COMPUTED_VALUE"""),"Toffy Home")</f>
        <v>Toffy Home</v>
      </c>
      <c r="N257" t="str">
        <f>IFERROR(__xludf.DUMMYFUNCTION("""COMPUTED_VALUE"""),"Active")</f>
        <v>Active</v>
      </c>
      <c r="P257" s="143">
        <f>IFERROR(__xludf.DUMMYFUNCTION("""COMPUTED_VALUE"""),32245.0)</f>
        <v>32245</v>
      </c>
      <c r="Q257" s="146" t="str">
        <f>IFERROR(__xludf.DUMMYFUNCTION("""COMPUTED_VALUE"""),"087 982 8651")</f>
        <v>087 982 8651</v>
      </c>
      <c r="R257" s="147" t="str">
        <f>IFERROR(__xludf.DUMMYFUNCTION("""COMPUTED_VALUE"""),"11-01401-293279")</f>
        <v>11-01401-293279</v>
      </c>
      <c r="S257" t="str">
        <f>IFERROR(__xludf.DUMMYFUNCTION("""COMPUTED_VALUE"""),"AC7921137")</f>
        <v>AC7921137</v>
      </c>
      <c r="T257" s="148">
        <f>IFERROR(__xludf.DUMMYFUNCTION("""COMPUTED_VALUE"""),45672.0)</f>
        <v>45672</v>
      </c>
      <c r="U257" s="148">
        <f>IFERROR(__xludf.DUMMYFUNCTION("""COMPUTED_VALUE"""),49323.0)</f>
        <v>49323</v>
      </c>
      <c r="V257" s="149">
        <f>IFERROR(__xludf.DUMMYFUNCTION("""COMPUTED_VALUE"""),49139.0)</f>
        <v>49139</v>
      </c>
      <c r="W257" t="str">
        <f>IFERROR(__xludf.DUMMYFUNCTION("""COMPUTED_VALUE"""),"ปลอดภัย")</f>
        <v>ปลอดภัย</v>
      </c>
      <c r="X257" t="str">
        <f>IFERROR(__xludf.DUMMYFUNCTION("""COMPUTED_VALUE"""),"Bangkok")</f>
        <v>Bangkok</v>
      </c>
      <c r="Y257" t="str">
        <f>IFERROR(__xludf.DUMMYFUNCTION("""COMPUTED_VALUE"""),"Ramkhamhang")</f>
        <v>Ramkhamhang</v>
      </c>
      <c r="Z257" t="str">
        <f>IFERROR(__xludf.DUMMYFUNCTION("""COMPUTED_VALUE"""),"081 310 9739")</f>
        <v>081 310 9739</v>
      </c>
      <c r="AA257" t="str">
        <f>IFERROR(__xludf.DUMMYFUNCTION("""COMPUTED_VALUE"""),"Ratthiya")</f>
        <v>Ratthiya</v>
      </c>
      <c r="AB257" t="str">
        <f>IFERROR(__xludf.DUMMYFUNCTION("""COMPUTED_VALUE"""),"pranpriyar@airasia.com")</f>
        <v>pranpriyar@airasia.com</v>
      </c>
    </row>
    <row r="258">
      <c r="A258">
        <f>IFERROR(__xludf.DUMMYFUNCTION("""COMPUTED_VALUE"""),1005765.0)</f>
        <v>1005765</v>
      </c>
      <c r="B258" t="str">
        <f>IFERROR(__xludf.DUMMYFUNCTION("""COMPUTED_VALUE"""),"Ms.")</f>
        <v>Ms.</v>
      </c>
      <c r="C258" t="str">
        <f>IFERROR(__xludf.DUMMYFUNCTION("""COMPUTED_VALUE"""),"Rapeepan")</f>
        <v>Rapeepan</v>
      </c>
      <c r="D258" t="str">
        <f>IFERROR(__xludf.DUMMYFUNCTION("""COMPUTED_VALUE"""),"Ariyakul")</f>
        <v>Ariyakul</v>
      </c>
      <c r="E258" t="str">
        <f>IFERROR(__xludf.DUMMYFUNCTION("""COMPUTED_VALUE"""),"Rapeepan Ariyakul")</f>
        <v>Rapeepan Ariyakul</v>
      </c>
      <c r="F258" t="str">
        <f>IFERROR(__xludf.DUMMYFUNCTION("""COMPUTED_VALUE"""),"นางสาว")</f>
        <v>นางสาว</v>
      </c>
      <c r="G258" t="str">
        <f>IFERROR(__xludf.DUMMYFUNCTION("""COMPUTED_VALUE"""),"รพีพรรณ")</f>
        <v>รพีพรรณ</v>
      </c>
      <c r="H258" t="str">
        <f>IFERROR(__xludf.DUMMYFUNCTION("""COMPUTED_VALUE"""),"อาริยะกูล")</f>
        <v>อาริยะกูล</v>
      </c>
      <c r="I258" t="str">
        <f>IFERROR(__xludf.DUMMYFUNCTION("""COMPUTED_VALUE"""),"รพีพรรณ อาริยะกูล")</f>
        <v>รพีพรรณ อาริยะกูล</v>
      </c>
      <c r="J258" t="str">
        <f>IFERROR(__xludf.DUMMYFUNCTION("""COMPUTED_VALUE"""),"กลอย")</f>
        <v>กลอย</v>
      </c>
      <c r="K258" t="str">
        <f>IFERROR(__xludf.DUMMYFUNCTION("""COMPUTED_VALUE"""),"Cabin Crew")</f>
        <v>Cabin Crew</v>
      </c>
      <c r="L258" t="str">
        <f>IFERROR(__xludf.DUMMYFUNCTION("""COMPUTED_VALUE"""),"DMK")</f>
        <v>DMK</v>
      </c>
      <c r="M258" s="145" t="str">
        <f>IFERROR(__xludf.DUMMYFUNCTION("""COMPUTED_VALUE"""),"Toffy Home")</f>
        <v>Toffy Home</v>
      </c>
      <c r="N258" t="str">
        <f>IFERROR(__xludf.DUMMYFUNCTION("""COMPUTED_VALUE"""),"Active")</f>
        <v>Active</v>
      </c>
      <c r="P258" s="143">
        <f>IFERROR(__xludf.DUMMYFUNCTION("""COMPUTED_VALUE"""),31617.0)</f>
        <v>31617</v>
      </c>
      <c r="Q258" s="146" t="str">
        <f>IFERROR(__xludf.DUMMYFUNCTION("""COMPUTED_VALUE"""),"061 569 8792")</f>
        <v>061 569 8792</v>
      </c>
      <c r="R258" s="147" t="str">
        <f>IFERROR(__xludf.DUMMYFUNCTION("""COMPUTED_VALUE"""),"15799-00127-441")</f>
        <v>15799-00127-441</v>
      </c>
      <c r="S258" t="str">
        <f>IFERROR(__xludf.DUMMYFUNCTION("""COMPUTED_VALUE"""),"AC6208335")</f>
        <v>AC6208335</v>
      </c>
      <c r="T258" s="148">
        <f>IFERROR(__xludf.DUMMYFUNCTION("""COMPUTED_VALUE"""),45295.0)</f>
        <v>45295</v>
      </c>
      <c r="U258" s="148">
        <f>IFERROR(__xludf.DUMMYFUNCTION("""COMPUTED_VALUE"""),48947.0)</f>
        <v>48947</v>
      </c>
      <c r="V258" s="149">
        <f>IFERROR(__xludf.DUMMYFUNCTION("""COMPUTED_VALUE"""),48763.0)</f>
        <v>48763</v>
      </c>
      <c r="W258" t="str">
        <f>IFERROR(__xludf.DUMMYFUNCTION("""COMPUTED_VALUE"""),"ปลอดภัย")</f>
        <v>ปลอดภัย</v>
      </c>
      <c r="X258" t="str">
        <f>IFERROR(__xludf.DUMMYFUNCTION("""COMPUTED_VALUE"""),"Chiang Rai Province")</f>
        <v>Chiang Rai Province</v>
      </c>
      <c r="Y258" t="str">
        <f>IFERROR(__xludf.DUMMYFUNCTION("""COMPUTED_VALUE"""),"Bangkabi")</f>
        <v>Bangkabi</v>
      </c>
      <c r="Z258" t="str">
        <f>IFERROR(__xludf.DUMMYFUNCTION("""COMPUTED_VALUE"""),"085 843 5616")</f>
        <v>085 843 5616</v>
      </c>
      <c r="AA258" t="str">
        <f>IFERROR(__xludf.DUMMYFUNCTION("""COMPUTED_VALUE"""),"sister")</f>
        <v>sister</v>
      </c>
      <c r="AB258" t="str">
        <f>IFERROR(__xludf.DUMMYFUNCTION("""COMPUTED_VALUE"""),"rapeepana@airasia.com")</f>
        <v>rapeepana@airasia.com</v>
      </c>
    </row>
    <row r="259">
      <c r="A259">
        <f>IFERROR(__xludf.DUMMYFUNCTION("""COMPUTED_VALUE"""),1005767.0)</f>
        <v>1005767</v>
      </c>
      <c r="B259" t="str">
        <f>IFERROR(__xludf.DUMMYFUNCTION("""COMPUTED_VALUE"""),"Ms.")</f>
        <v>Ms.</v>
      </c>
      <c r="C259" t="str">
        <f>IFERROR(__xludf.DUMMYFUNCTION("""COMPUTED_VALUE"""),"Setthi-orn")</f>
        <v>Setthi-orn</v>
      </c>
      <c r="D259" t="str">
        <f>IFERROR(__xludf.DUMMYFUNCTION("""COMPUTED_VALUE"""),"Ruenroeng")</f>
        <v>Ruenroeng</v>
      </c>
      <c r="E259" t="str">
        <f>IFERROR(__xludf.DUMMYFUNCTION("""COMPUTED_VALUE"""),"Setthi-orn Ruenroeng")</f>
        <v>Setthi-orn Ruenroeng</v>
      </c>
      <c r="F259" t="str">
        <f>IFERROR(__xludf.DUMMYFUNCTION("""COMPUTED_VALUE"""),"นางสาว")</f>
        <v>นางสาว</v>
      </c>
      <c r="G259" t="str">
        <f>IFERROR(__xludf.DUMMYFUNCTION("""COMPUTED_VALUE"""),"เศรษฐีอร")</f>
        <v>เศรษฐีอร</v>
      </c>
      <c r="H259" t="str">
        <f>IFERROR(__xludf.DUMMYFUNCTION("""COMPUTED_VALUE"""),"รื่นเริง")</f>
        <v>รื่นเริง</v>
      </c>
      <c r="I259" t="str">
        <f>IFERROR(__xludf.DUMMYFUNCTION("""COMPUTED_VALUE"""),"เศรษฐีอร รื่นเริง")</f>
        <v>เศรษฐีอร รื่นเริง</v>
      </c>
      <c r="J259" t="str">
        <f>IFERROR(__xludf.DUMMYFUNCTION("""COMPUTED_VALUE"""),"พลอย")</f>
        <v>พลอย</v>
      </c>
      <c r="K259" t="str">
        <f>IFERROR(__xludf.DUMMYFUNCTION("""COMPUTED_VALUE"""),"Cabin Crew")</f>
        <v>Cabin Crew</v>
      </c>
      <c r="L259" t="str">
        <f>IFERROR(__xludf.DUMMYFUNCTION("""COMPUTED_VALUE"""),"DMK")</f>
        <v>DMK</v>
      </c>
      <c r="M259" s="145" t="str">
        <f>IFERROR(__xludf.DUMMYFUNCTION("""COMPUTED_VALUE"""),"Um Home")</f>
        <v>Um Home</v>
      </c>
      <c r="N259" t="str">
        <f>IFERROR(__xludf.DUMMYFUNCTION("""COMPUTED_VALUE"""),"Active")</f>
        <v>Active</v>
      </c>
      <c r="O259" t="str">
        <f>IFERROR(__xludf.DUMMYFUNCTION("""COMPUTED_VALUE"""),"Chinese Speaking")</f>
        <v>Chinese Speaking</v>
      </c>
      <c r="P259" s="143">
        <f>IFERROR(__xludf.DUMMYFUNCTION("""COMPUTED_VALUE"""),30924.0)</f>
        <v>30924</v>
      </c>
      <c r="Q259" s="146" t="str">
        <f>IFERROR(__xludf.DUMMYFUNCTION("""COMPUTED_VALUE"""),"084 164 4596")</f>
        <v>084 164 4596</v>
      </c>
      <c r="R259" s="147" t="str">
        <f>IFERROR(__xludf.DUMMYFUNCTION("""COMPUTED_VALUE"""),"11007001-06-453")</f>
        <v>11007001-06-453</v>
      </c>
      <c r="S259" t="str">
        <f>IFERROR(__xludf.DUMMYFUNCTION("""COMPUTED_VALUE"""),"AC7590568")</f>
        <v>AC7590568</v>
      </c>
      <c r="T259" s="148">
        <f>IFERROR(__xludf.DUMMYFUNCTION("""COMPUTED_VALUE"""),45580.0)</f>
        <v>45580</v>
      </c>
      <c r="U259" s="150">
        <f>IFERROR(__xludf.DUMMYFUNCTION("""COMPUTED_VALUE"""),49231.0)</f>
        <v>49231</v>
      </c>
      <c r="V259" s="149">
        <f>IFERROR(__xludf.DUMMYFUNCTION("""COMPUTED_VALUE"""),49048.0)</f>
        <v>49048</v>
      </c>
      <c r="W259" t="str">
        <f>IFERROR(__xludf.DUMMYFUNCTION("""COMPUTED_VALUE"""),"ปลอดภัย")</f>
        <v>ปลอดภัย</v>
      </c>
      <c r="X259" t="str">
        <f>IFERROR(__xludf.DUMMYFUNCTION("""COMPUTED_VALUE"""),"Bangkok")</f>
        <v>Bangkok</v>
      </c>
      <c r="Y259" t="str">
        <f>IFERROR(__xludf.DUMMYFUNCTION("""COMPUTED_VALUE"""),"ประชาอุทิศ")</f>
        <v>ประชาอุทิศ</v>
      </c>
      <c r="Z259" t="str">
        <f>IFERROR(__xludf.DUMMYFUNCTION("""COMPUTED_VALUE"""),"081 904 8492")</f>
        <v>081 904 8492</v>
      </c>
      <c r="AA259" t="str">
        <f>IFERROR(__xludf.DUMMYFUNCTION("""COMPUTED_VALUE"""),"พ่อ")</f>
        <v>พ่อ</v>
      </c>
      <c r="AB259" t="str">
        <f>IFERROR(__xludf.DUMMYFUNCTION("""COMPUTED_VALUE"""),"setthiornr@airasia.com")</f>
        <v>setthiornr@airasia.com</v>
      </c>
    </row>
    <row r="260">
      <c r="A260">
        <f>IFERROR(__xludf.DUMMYFUNCTION("""COMPUTED_VALUE"""),1005769.0)</f>
        <v>1005769</v>
      </c>
      <c r="B260" t="str">
        <f>IFERROR(__xludf.DUMMYFUNCTION("""COMPUTED_VALUE"""),"Ms.")</f>
        <v>Ms.</v>
      </c>
      <c r="C260" t="str">
        <f>IFERROR(__xludf.DUMMYFUNCTION("""COMPUTED_VALUE"""),"Thanicha")</f>
        <v>Thanicha</v>
      </c>
      <c r="D260" t="str">
        <f>IFERROR(__xludf.DUMMYFUNCTION("""COMPUTED_VALUE"""),"Noodee")</f>
        <v>Noodee</v>
      </c>
      <c r="E260" t="str">
        <f>IFERROR(__xludf.DUMMYFUNCTION("""COMPUTED_VALUE"""),"Thanicha Noodee")</f>
        <v>Thanicha Noodee</v>
      </c>
      <c r="F260" t="str">
        <f>IFERROR(__xludf.DUMMYFUNCTION("""COMPUTED_VALUE"""),"นางสาว")</f>
        <v>นางสาว</v>
      </c>
      <c r="G260" t="str">
        <f>IFERROR(__xludf.DUMMYFUNCTION("""COMPUTED_VALUE"""),"ธนิชา")</f>
        <v>ธนิชา</v>
      </c>
      <c r="H260" t="str">
        <f>IFERROR(__xludf.DUMMYFUNCTION("""COMPUTED_VALUE"""),"หนูดี")</f>
        <v>หนูดี</v>
      </c>
      <c r="I260" t="str">
        <f>IFERROR(__xludf.DUMMYFUNCTION("""COMPUTED_VALUE"""),"ธนิชา หนูดี")</f>
        <v>ธนิชา หนูดี</v>
      </c>
      <c r="J260" t="str">
        <f>IFERROR(__xludf.DUMMYFUNCTION("""COMPUTED_VALUE"""),"Toffy")</f>
        <v>Toffy</v>
      </c>
      <c r="K260" t="str">
        <f>IFERROR(__xludf.DUMMYFUNCTION("""COMPUTED_VALUE"""),"Cabin Crew")</f>
        <v>Cabin Crew</v>
      </c>
      <c r="L260" t="str">
        <f>IFERROR(__xludf.DUMMYFUNCTION("""COMPUTED_VALUE"""),"DMK")</f>
        <v>DMK</v>
      </c>
      <c r="M260" s="145" t="str">
        <f>IFERROR(__xludf.DUMMYFUNCTION("""COMPUTED_VALUE"""),"Kor Home")</f>
        <v>Kor Home</v>
      </c>
      <c r="N260" t="str">
        <f>IFERROR(__xludf.DUMMYFUNCTION("""COMPUTED_VALUE"""),"V/LWP")</f>
        <v>V/LWP</v>
      </c>
      <c r="P260" s="143">
        <f>IFERROR(__xludf.DUMMYFUNCTION("""COMPUTED_VALUE"""),32619.0)</f>
        <v>32619</v>
      </c>
      <c r="Q260" s="146" t="str">
        <f>IFERROR(__xludf.DUMMYFUNCTION("""COMPUTED_VALUE"""),"064-265-4246")</f>
        <v>064-265-4246</v>
      </c>
      <c r="R260" s="147" t="str">
        <f>IFERROR(__xludf.DUMMYFUNCTION("""COMPUTED_VALUE"""),"110070-0994260")</f>
        <v>110070-0994260</v>
      </c>
      <c r="S260" t="str">
        <f>IFERROR(__xludf.DUMMYFUNCTION("""COMPUTED_VALUE"""),"AD2466804")</f>
        <v>AD2466804</v>
      </c>
      <c r="T260" s="148">
        <f>IFERROR(__xludf.DUMMYFUNCTION("""COMPUTED_VALUE"""),45936.0)</f>
        <v>45936</v>
      </c>
      <c r="U260" s="148">
        <f>IFERROR(__xludf.DUMMYFUNCTION("""COMPUTED_VALUE"""),49587.0)</f>
        <v>49587</v>
      </c>
      <c r="V260" s="149">
        <f>IFERROR(__xludf.DUMMYFUNCTION("""COMPUTED_VALUE"""),49404.0)</f>
        <v>49404</v>
      </c>
      <c r="W260" t="str">
        <f>IFERROR(__xludf.DUMMYFUNCTION("""COMPUTED_VALUE"""),"ปลอดภัย")</f>
        <v>ปลอดภัย</v>
      </c>
      <c r="X260" t="str">
        <f>IFERROR(__xludf.DUMMYFUNCTION("""COMPUTED_VALUE"""),"Bangkok")</f>
        <v>Bangkok</v>
      </c>
      <c r="Y260" t="str">
        <f>IFERROR(__xludf.DUMMYFUNCTION("""COMPUTED_VALUE"""),"Phakkred")</f>
        <v>Phakkred</v>
      </c>
      <c r="Z260" t="str">
        <f>IFERROR(__xludf.DUMMYFUNCTION("""COMPUTED_VALUE"""),"085 127 2202")</f>
        <v>085 127 2202</v>
      </c>
      <c r="AA260" t="str">
        <f>IFERROR(__xludf.DUMMYFUNCTION("""COMPUTED_VALUE"""),"Sister")</f>
        <v>Sister</v>
      </c>
      <c r="AB260" t="str">
        <f>IFERROR(__xludf.DUMMYFUNCTION("""COMPUTED_VALUE"""),"thanichan@airasia.com")</f>
        <v>thanichan@airasia.com</v>
      </c>
    </row>
    <row r="261">
      <c r="A261">
        <f>IFERROR(__xludf.DUMMYFUNCTION("""COMPUTED_VALUE"""),1005773.0)</f>
        <v>1005773</v>
      </c>
      <c r="B261" t="str">
        <f>IFERROR(__xludf.DUMMYFUNCTION("""COMPUTED_VALUE"""),"Mr.")</f>
        <v>Mr.</v>
      </c>
      <c r="C261" t="str">
        <f>IFERROR(__xludf.DUMMYFUNCTION("""COMPUTED_VALUE"""),"Wipoj")</f>
        <v>Wipoj</v>
      </c>
      <c r="D261" t="str">
        <f>IFERROR(__xludf.DUMMYFUNCTION("""COMPUTED_VALUE"""),"Sinsomboon")</f>
        <v>Sinsomboon</v>
      </c>
      <c r="E261" t="str">
        <f>IFERROR(__xludf.DUMMYFUNCTION("""COMPUTED_VALUE"""),"Wipoj Sinsomboon")</f>
        <v>Wipoj Sinsomboon</v>
      </c>
      <c r="F261" t="str">
        <f>IFERROR(__xludf.DUMMYFUNCTION("""COMPUTED_VALUE"""),"นาย")</f>
        <v>นาย</v>
      </c>
      <c r="G261" t="str">
        <f>IFERROR(__xludf.DUMMYFUNCTION("""COMPUTED_VALUE"""),"วิพจน์")</f>
        <v>วิพจน์</v>
      </c>
      <c r="H261" t="str">
        <f>IFERROR(__xludf.DUMMYFUNCTION("""COMPUTED_VALUE"""),"สินสมบูรณ์")</f>
        <v>สินสมบูรณ์</v>
      </c>
      <c r="I261" t="str">
        <f>IFERROR(__xludf.DUMMYFUNCTION("""COMPUTED_VALUE"""),"วิพจน์ สินสมบูรณ์")</f>
        <v>วิพจน์ สินสมบูรณ์</v>
      </c>
      <c r="J261" t="str">
        <f>IFERROR(__xludf.DUMMYFUNCTION("""COMPUTED_VALUE"""),"เปา")</f>
        <v>เปา</v>
      </c>
      <c r="K261" t="str">
        <f>IFERROR(__xludf.DUMMYFUNCTION("""COMPUTED_VALUE"""),"Cabin Crew Engagement Lead")</f>
        <v>Cabin Crew Engagement Lead</v>
      </c>
      <c r="L261" t="str">
        <f>IFERROR(__xludf.DUMMYFUNCTION("""COMPUTED_VALUE"""),"DMK")</f>
        <v>DMK</v>
      </c>
      <c r="M261" s="145" t="str">
        <f>IFERROR(__xludf.DUMMYFUNCTION("""COMPUTED_VALUE"""),"CCD")</f>
        <v>CCD</v>
      </c>
      <c r="N261" t="str">
        <f>IFERROR(__xludf.DUMMYFUNCTION("""COMPUTED_VALUE"""),"CCEL")</f>
        <v>CCEL</v>
      </c>
      <c r="P261" s="143">
        <f>IFERROR(__xludf.DUMMYFUNCTION("""COMPUTED_VALUE"""),32364.0)</f>
        <v>32364</v>
      </c>
      <c r="Q261" s="146" t="str">
        <f>IFERROR(__xludf.DUMMYFUNCTION("""COMPUTED_VALUE"""),"086 7878092")</f>
        <v>086 7878092</v>
      </c>
      <c r="R261" s="147" t="str">
        <f>IFERROR(__xludf.DUMMYFUNCTION("""COMPUTED_VALUE"""),"11014-01383-847")</f>
        <v>11014-01383-847</v>
      </c>
      <c r="S261" t="str">
        <f>IFERROR(__xludf.DUMMYFUNCTION("""COMPUTED_VALUE"""),"AD2182775")</f>
        <v>AD2182775</v>
      </c>
      <c r="T261" s="148">
        <f>IFERROR(__xludf.DUMMYFUNCTION("""COMPUTED_VALUE"""),45785.0)</f>
        <v>45785</v>
      </c>
      <c r="U261" s="148">
        <f>IFERROR(__xludf.DUMMYFUNCTION("""COMPUTED_VALUE"""),49436.0)</f>
        <v>49436</v>
      </c>
      <c r="V261" s="149">
        <f>IFERROR(__xludf.DUMMYFUNCTION("""COMPUTED_VALUE"""),49255.0)</f>
        <v>49255</v>
      </c>
      <c r="W261" t="str">
        <f>IFERROR(__xludf.DUMMYFUNCTION("""COMPUTED_VALUE"""),"ปลอดภัย")</f>
        <v>ปลอดภัย</v>
      </c>
      <c r="X261" t="str">
        <f>IFERROR(__xludf.DUMMYFUNCTION("""COMPUTED_VALUE"""),"Bangkok")</f>
        <v>Bangkok</v>
      </c>
      <c r="Y261" t="str">
        <f>IFERROR(__xludf.DUMMYFUNCTION("""COMPUTED_VALUE"""),"Nonthaburi")</f>
        <v>Nonthaburi</v>
      </c>
      <c r="Z261" t="str">
        <f>IFERROR(__xludf.DUMMYFUNCTION("""COMPUTED_VALUE"""),"081 774 4672")</f>
        <v>081 774 4672</v>
      </c>
      <c r="AA261" t="str">
        <f>IFERROR(__xludf.DUMMYFUNCTION("""COMPUTED_VALUE"""),"Dad")</f>
        <v>Dad</v>
      </c>
      <c r="AB261" t="str">
        <f>IFERROR(__xludf.DUMMYFUNCTION("""COMPUTED_VALUE"""),"wipojs@airasia.com")</f>
        <v>wipojs@airasia.com</v>
      </c>
    </row>
    <row r="262">
      <c r="AB262" t="str">
        <f>IFERROR(__xludf.DUMMYFUNCTION("""COMPUTED_VALUE"""),"")</f>
        <v/>
      </c>
    </row>
    <row r="263">
      <c r="A263">
        <f>IFERROR(__xludf.DUMMYFUNCTION("""COMPUTED_VALUE"""),1005802.0)</f>
        <v>1005802</v>
      </c>
      <c r="B263" t="str">
        <f>IFERROR(__xludf.DUMMYFUNCTION("""COMPUTED_VALUE"""),"Ms.")</f>
        <v>Ms.</v>
      </c>
      <c r="C263" t="str">
        <f>IFERROR(__xludf.DUMMYFUNCTION("""COMPUTED_VALUE"""),"Jaruwan")</f>
        <v>Jaruwan</v>
      </c>
      <c r="D263" t="str">
        <f>IFERROR(__xludf.DUMMYFUNCTION("""COMPUTED_VALUE"""),"Jarungpirawong")</f>
        <v>Jarungpirawong</v>
      </c>
      <c r="E263" t="str">
        <f>IFERROR(__xludf.DUMMYFUNCTION("""COMPUTED_VALUE"""),"Jaruwan Jarungpirawong")</f>
        <v>Jaruwan Jarungpirawong</v>
      </c>
      <c r="F263" t="str">
        <f>IFERROR(__xludf.DUMMYFUNCTION("""COMPUTED_VALUE"""),"นางสาว")</f>
        <v>นางสาว</v>
      </c>
      <c r="G263" t="str">
        <f>IFERROR(__xludf.DUMMYFUNCTION("""COMPUTED_VALUE"""),"จารุวรรณ")</f>
        <v>จารุวรรณ</v>
      </c>
      <c r="H263" t="str">
        <f>IFERROR(__xludf.DUMMYFUNCTION("""COMPUTED_VALUE"""),"จรุงพิรวงศ์")</f>
        <v>จรุงพิรวงศ์</v>
      </c>
      <c r="I263" t="str">
        <f>IFERROR(__xludf.DUMMYFUNCTION("""COMPUTED_VALUE"""),"จารุวรรณ จรุงพิรวงศ์")</f>
        <v>จารุวรรณ จรุงพิรวงศ์</v>
      </c>
      <c r="J263" t="str">
        <f>IFERROR(__xludf.DUMMYFUNCTION("""COMPUTED_VALUE"""),"บี")</f>
        <v>บี</v>
      </c>
      <c r="K263" t="str">
        <f>IFERROR(__xludf.DUMMYFUNCTION("""COMPUTED_VALUE"""),"Cabin Crew - BKK")</f>
        <v>Cabin Crew - BKK</v>
      </c>
      <c r="L263" t="str">
        <f>IFERROR(__xludf.DUMMYFUNCTION("""COMPUTED_VALUE"""),"BKK")</f>
        <v>BKK</v>
      </c>
      <c r="M263" s="145" t="str">
        <f>IFERROR(__xludf.DUMMYFUNCTION("""COMPUTED_VALUE"""),"Nhui Home")</f>
        <v>Nhui Home</v>
      </c>
      <c r="N263" t="str">
        <f>IFERROR(__xludf.DUMMYFUNCTION("""COMPUTED_VALUE"""),"Active/V/DMK")</f>
        <v>Active/V/DMK</v>
      </c>
      <c r="P263" s="143">
        <f>IFERROR(__xludf.DUMMYFUNCTION("""COMPUTED_VALUE"""),30964.0)</f>
        <v>30964</v>
      </c>
      <c r="Q263" s="146" t="str">
        <f>IFERROR(__xludf.DUMMYFUNCTION("""COMPUTED_VALUE"""),"084 024 1645")</f>
        <v>084 024 1645</v>
      </c>
      <c r="R263" s="147" t="str">
        <f>IFERROR(__xludf.DUMMYFUNCTION("""COMPUTED_VALUE"""),"11014-0026-8190")</f>
        <v>11014-0026-8190</v>
      </c>
      <c r="S263" t="str">
        <f>IFERROR(__xludf.DUMMYFUNCTION("""COMPUTED_VALUE"""),"AC6188957")</f>
        <v>AC6188957</v>
      </c>
      <c r="T263" s="148">
        <f>IFERROR(__xludf.DUMMYFUNCTION("""COMPUTED_VALUE"""),45272.0)</f>
        <v>45272</v>
      </c>
      <c r="U263" s="148">
        <f>IFERROR(__xludf.DUMMYFUNCTION("""COMPUTED_VALUE"""),48924.0)</f>
        <v>48924</v>
      </c>
      <c r="V263" s="149">
        <f>IFERROR(__xludf.DUMMYFUNCTION("""COMPUTED_VALUE"""),48741.0)</f>
        <v>48741</v>
      </c>
      <c r="W263" t="str">
        <f>IFERROR(__xludf.DUMMYFUNCTION("""COMPUTED_VALUE"""),"ปลอดภัย")</f>
        <v>ปลอดภัย</v>
      </c>
      <c r="X263" t="str">
        <f>IFERROR(__xludf.DUMMYFUNCTION("""COMPUTED_VALUE"""),"Bangkok")</f>
        <v>Bangkok</v>
      </c>
      <c r="Y263" t="str">
        <f>IFERROR(__xludf.DUMMYFUNCTION("""COMPUTED_VALUE"""),"Nonthaburi")</f>
        <v>Nonthaburi</v>
      </c>
      <c r="Z263" t="str">
        <f>IFERROR(__xludf.DUMMYFUNCTION("""COMPUTED_VALUE"""),"086 813 7585")</f>
        <v>086 813 7585</v>
      </c>
      <c r="AA263" t="str">
        <f>IFERROR(__xludf.DUMMYFUNCTION("""COMPUTED_VALUE"""),"Thongpan")</f>
        <v>Thongpan</v>
      </c>
      <c r="AB263" t="str">
        <f>IFERROR(__xludf.DUMMYFUNCTION("""COMPUTED_VALUE"""),"jaruwanj@airasia.com")</f>
        <v>jaruwanj@airasia.com</v>
      </c>
    </row>
    <row r="264">
      <c r="A264">
        <f>IFERROR(__xludf.DUMMYFUNCTION("""COMPUTED_VALUE"""),1005803.0)</f>
        <v>1005803</v>
      </c>
      <c r="B264" t="str">
        <f>IFERROR(__xludf.DUMMYFUNCTION("""COMPUTED_VALUE"""),"Ms.")</f>
        <v>Ms.</v>
      </c>
      <c r="C264" t="str">
        <f>IFERROR(__xludf.DUMMYFUNCTION("""COMPUTED_VALUE"""),"Kornkanok")</f>
        <v>Kornkanok</v>
      </c>
      <c r="D264" t="str">
        <f>IFERROR(__xludf.DUMMYFUNCTION("""COMPUTED_VALUE"""),"Kollasut")</f>
        <v>Kollasut</v>
      </c>
      <c r="E264" t="str">
        <f>IFERROR(__xludf.DUMMYFUNCTION("""COMPUTED_VALUE"""),"Kornkanok Kollasut")</f>
        <v>Kornkanok Kollasut</v>
      </c>
      <c r="F264" t="str">
        <f>IFERROR(__xludf.DUMMYFUNCTION("""COMPUTED_VALUE"""),"นางสาว")</f>
        <v>นางสาว</v>
      </c>
      <c r="G264" t="str">
        <f>IFERROR(__xludf.DUMMYFUNCTION("""COMPUTED_VALUE"""),"กรกนก")</f>
        <v>กรกนก</v>
      </c>
      <c r="H264" t="str">
        <f>IFERROR(__xludf.DUMMYFUNCTION("""COMPUTED_VALUE"""),"โกลละสุต")</f>
        <v>โกลละสุต</v>
      </c>
      <c r="I264" t="str">
        <f>IFERROR(__xludf.DUMMYFUNCTION("""COMPUTED_VALUE"""),"กรกนก โกลละสุต")</f>
        <v>กรกนก โกลละสุต</v>
      </c>
      <c r="J264" t="str">
        <f>IFERROR(__xludf.DUMMYFUNCTION("""COMPUTED_VALUE"""),"ลูกแก้ว")</f>
        <v>ลูกแก้ว</v>
      </c>
      <c r="K264" t="str">
        <f>IFERROR(__xludf.DUMMYFUNCTION("""COMPUTED_VALUE"""),"Senior Cabin Crew")</f>
        <v>Senior Cabin Crew</v>
      </c>
      <c r="L264" t="str">
        <f>IFERROR(__xludf.DUMMYFUNCTION("""COMPUTED_VALUE"""),"DMK")</f>
        <v>DMK</v>
      </c>
      <c r="M264" s="145" t="str">
        <f>IFERROR(__xludf.DUMMYFUNCTION("""COMPUTED_VALUE"""),"Kor Home")</f>
        <v>Kor Home</v>
      </c>
      <c r="N264" t="str">
        <f>IFERROR(__xludf.DUMMYFUNCTION("""COMPUTED_VALUE"""),"Active")</f>
        <v>Active</v>
      </c>
      <c r="P264" s="143">
        <f>IFERROR(__xludf.DUMMYFUNCTION("""COMPUTED_VALUE"""),30753.0)</f>
        <v>30753</v>
      </c>
      <c r="Q264" s="146" t="str">
        <f>IFERROR(__xludf.DUMMYFUNCTION("""COMPUTED_VALUE"""),"082 364 5365")</f>
        <v>082 364 5365</v>
      </c>
      <c r="R264" s="147" t="str">
        <f>IFERROR(__xludf.DUMMYFUNCTION("""COMPUTED_VALUE"""),"11017-0000-2705")</f>
        <v>11017-0000-2705</v>
      </c>
      <c r="S264" t="str">
        <f>IFERROR(__xludf.DUMMYFUNCTION("""COMPUTED_VALUE"""),"AC4428528")</f>
        <v>AC4428528</v>
      </c>
      <c r="T264" s="148">
        <f>IFERROR(__xludf.DUMMYFUNCTION("""COMPUTED_VALUE"""),44958.0)</f>
        <v>44958</v>
      </c>
      <c r="U264" s="148">
        <f>IFERROR(__xludf.DUMMYFUNCTION("""COMPUTED_VALUE"""),48610.0)</f>
        <v>48610</v>
      </c>
      <c r="V264" s="149">
        <f>IFERROR(__xludf.DUMMYFUNCTION("""COMPUTED_VALUE"""),48426.0)</f>
        <v>48426</v>
      </c>
      <c r="W264" t="str">
        <f>IFERROR(__xludf.DUMMYFUNCTION("""COMPUTED_VALUE"""),"ปลอดภัย")</f>
        <v>ปลอดภัย</v>
      </c>
      <c r="X264" t="str">
        <f>IFERROR(__xludf.DUMMYFUNCTION("""COMPUTED_VALUE"""),"Bangkok")</f>
        <v>Bangkok</v>
      </c>
      <c r="Y264" t="str">
        <f>IFERROR(__xludf.DUMMYFUNCTION("""COMPUTED_VALUE"""),"Suanluang")</f>
        <v>Suanluang</v>
      </c>
      <c r="Z264" t="str">
        <f>IFERROR(__xludf.DUMMYFUNCTION("""COMPUTED_VALUE"""),"084 099 0270")</f>
        <v>084 099 0270</v>
      </c>
      <c r="AA264" t="str">
        <f>IFERROR(__xludf.DUMMYFUNCTION("""COMPUTED_VALUE"""),"Tanakrit")</f>
        <v>Tanakrit</v>
      </c>
      <c r="AB264" t="str">
        <f>IFERROR(__xludf.DUMMYFUNCTION("""COMPUTED_VALUE"""),"kornkanokk@airasia.com")</f>
        <v>kornkanokk@airasia.com</v>
      </c>
    </row>
    <row r="265">
      <c r="A265">
        <f>IFERROR(__xludf.DUMMYFUNCTION("""COMPUTED_VALUE"""),1005805.0)</f>
        <v>1005805</v>
      </c>
      <c r="B265" t="str">
        <f>IFERROR(__xludf.DUMMYFUNCTION("""COMPUTED_VALUE"""),"Ms.")</f>
        <v>Ms.</v>
      </c>
      <c r="C265" t="str">
        <f>IFERROR(__xludf.DUMMYFUNCTION("""COMPUTED_VALUE"""),"Kunaporn")</f>
        <v>Kunaporn</v>
      </c>
      <c r="D265" t="str">
        <f>IFERROR(__xludf.DUMMYFUNCTION("""COMPUTED_VALUE"""),"Rittichart")</f>
        <v>Rittichart</v>
      </c>
      <c r="E265" t="str">
        <f>IFERROR(__xludf.DUMMYFUNCTION("""COMPUTED_VALUE"""),"Kunaporn Rittichart")</f>
        <v>Kunaporn Rittichart</v>
      </c>
      <c r="F265" t="str">
        <f>IFERROR(__xludf.DUMMYFUNCTION("""COMPUTED_VALUE"""),"นางสาว")</f>
        <v>นางสาว</v>
      </c>
      <c r="G265" t="str">
        <f>IFERROR(__xludf.DUMMYFUNCTION("""COMPUTED_VALUE"""),"คุณาภรณ์")</f>
        <v>คุณาภรณ์</v>
      </c>
      <c r="H265" t="str">
        <f>IFERROR(__xludf.DUMMYFUNCTION("""COMPUTED_VALUE"""),"ฤทธิชาติ")</f>
        <v>ฤทธิชาติ</v>
      </c>
      <c r="I265" t="str">
        <f>IFERROR(__xludf.DUMMYFUNCTION("""COMPUTED_VALUE"""),"คุณาภรณ์ ฤทธิชาติ")</f>
        <v>คุณาภรณ์ ฤทธิชาติ</v>
      </c>
      <c r="J265" t="str">
        <f>IFERROR(__xludf.DUMMYFUNCTION("""COMPUTED_VALUE"""),"เพื่อน")</f>
        <v>เพื่อน</v>
      </c>
      <c r="K265" t="str">
        <f>IFERROR(__xludf.DUMMYFUNCTION("""COMPUTED_VALUE"""),"Senior Cabin Crew")</f>
        <v>Senior Cabin Crew</v>
      </c>
      <c r="L265" t="str">
        <f>IFERROR(__xludf.DUMMYFUNCTION("""COMPUTED_VALUE"""),"DMK")</f>
        <v>DMK</v>
      </c>
      <c r="M265" s="145" t="str">
        <f>IFERROR(__xludf.DUMMYFUNCTION("""COMPUTED_VALUE"""),"Kor Home")</f>
        <v>Kor Home</v>
      </c>
      <c r="N265" t="str">
        <f>IFERROR(__xludf.DUMMYFUNCTION("""COMPUTED_VALUE"""),"Active")</f>
        <v>Active</v>
      </c>
      <c r="P265" s="143">
        <f>IFERROR(__xludf.DUMMYFUNCTION("""COMPUTED_VALUE"""),32118.0)</f>
        <v>32118</v>
      </c>
      <c r="Q265" s="146" t="str">
        <f>IFERROR(__xludf.DUMMYFUNCTION("""COMPUTED_VALUE"""),"087 679 5375")</f>
        <v>087 679 5375</v>
      </c>
      <c r="R265" s="147" t="str">
        <f>IFERROR(__xludf.DUMMYFUNCTION("""COMPUTED_VALUE"""),"11014-0119-3550")</f>
        <v>11014-0119-3550</v>
      </c>
      <c r="S265" t="str">
        <f>IFERROR(__xludf.DUMMYFUNCTION("""COMPUTED_VALUE"""),"AD1524467")</f>
        <v>AD1524467</v>
      </c>
      <c r="T265" s="148">
        <f>IFERROR(__xludf.DUMMYFUNCTION("""COMPUTED_VALUE"""),45298.0)</f>
        <v>45298</v>
      </c>
      <c r="U265" s="148">
        <f>IFERROR(__xludf.DUMMYFUNCTION("""COMPUTED_VALUE"""),48950.0)</f>
        <v>48950</v>
      </c>
      <c r="V265" s="149">
        <f>IFERROR(__xludf.DUMMYFUNCTION("""COMPUTED_VALUE"""),48766.0)</f>
        <v>48766</v>
      </c>
      <c r="W265" t="str">
        <f>IFERROR(__xludf.DUMMYFUNCTION("""COMPUTED_VALUE"""),"ปลอดภัย")</f>
        <v>ปลอดภัย</v>
      </c>
      <c r="X265" t="str">
        <f>IFERROR(__xludf.DUMMYFUNCTION("""COMPUTED_VALUE"""),"Bangkok")</f>
        <v>Bangkok</v>
      </c>
      <c r="Y265" t="str">
        <f>IFERROR(__xludf.DUMMYFUNCTION("""COMPUTED_VALUE"""),"Ladprao")</f>
        <v>Ladprao</v>
      </c>
      <c r="Z265" t="str">
        <f>IFERROR(__xludf.DUMMYFUNCTION("""COMPUTED_VALUE"""),"081 938 7470")</f>
        <v>081 938 7470</v>
      </c>
      <c r="AA265" t="str">
        <f>IFERROR(__xludf.DUMMYFUNCTION("""COMPUTED_VALUE"""),"Apichart")</f>
        <v>Apichart</v>
      </c>
      <c r="AB265" t="str">
        <f>IFERROR(__xludf.DUMMYFUNCTION("""COMPUTED_VALUE"""),"kunapornr@airasia.com")</f>
        <v>kunapornr@airasia.com</v>
      </c>
    </row>
    <row r="266">
      <c r="A266">
        <f>IFERROR(__xludf.DUMMYFUNCTION("""COMPUTED_VALUE"""),1005816.0)</f>
        <v>1005816</v>
      </c>
      <c r="B266" t="str">
        <f>IFERROR(__xludf.DUMMYFUNCTION("""COMPUTED_VALUE"""),"Ms.")</f>
        <v>Ms.</v>
      </c>
      <c r="C266" t="str">
        <f>IFERROR(__xludf.DUMMYFUNCTION("""COMPUTED_VALUE"""),"Narada")</f>
        <v>Narada</v>
      </c>
      <c r="D266" t="str">
        <f>IFERROR(__xludf.DUMMYFUNCTION("""COMPUTED_VALUE"""),"Phongniwat")</f>
        <v>Phongniwat</v>
      </c>
      <c r="E266" t="str">
        <f>IFERROR(__xludf.DUMMYFUNCTION("""COMPUTED_VALUE"""),"Narada Phongniwat")</f>
        <v>Narada Phongniwat</v>
      </c>
      <c r="F266" t="str">
        <f>IFERROR(__xludf.DUMMYFUNCTION("""COMPUTED_VALUE"""),"นางสาว")</f>
        <v>นางสาว</v>
      </c>
      <c r="G266" t="str">
        <f>IFERROR(__xludf.DUMMYFUNCTION("""COMPUTED_VALUE"""),"ณรดา")</f>
        <v>ณรดา</v>
      </c>
      <c r="H266" t="str">
        <f>IFERROR(__xludf.DUMMYFUNCTION("""COMPUTED_VALUE"""),"พงส์ัตร")</f>
        <v>พงส์ัตร</v>
      </c>
      <c r="I266" t="str">
        <f>IFERROR(__xludf.DUMMYFUNCTION("""COMPUTED_VALUE"""),"ณรดา พงส์ัตร")</f>
        <v>ณรดา พงส์ัตร</v>
      </c>
      <c r="J266" t="str">
        <f>IFERROR(__xludf.DUMMYFUNCTION("""COMPUTED_VALUE"""),"โยเย")</f>
        <v>โยเย</v>
      </c>
      <c r="K266" t="str">
        <f>IFERROR(__xludf.DUMMYFUNCTION("""COMPUTED_VALUE"""),"Senior Cabin Crew")</f>
        <v>Senior Cabin Crew</v>
      </c>
      <c r="L266" t="str">
        <f>IFERROR(__xludf.DUMMYFUNCTION("""COMPUTED_VALUE"""),"DMK")</f>
        <v>DMK</v>
      </c>
      <c r="M266" s="145" t="str">
        <f>IFERROR(__xludf.DUMMYFUNCTION("""COMPUTED_VALUE"""),"Kor Home")</f>
        <v>Kor Home</v>
      </c>
      <c r="N266" t="str">
        <f>IFERROR(__xludf.DUMMYFUNCTION("""COMPUTED_VALUE"""),"LWPH")</f>
        <v>LWPH</v>
      </c>
      <c r="P266" s="143">
        <f>IFERROR(__xludf.DUMMYFUNCTION("""COMPUTED_VALUE"""),31357.0)</f>
        <v>31357</v>
      </c>
      <c r="Q266" s="146" t="str">
        <f>IFERROR(__xludf.DUMMYFUNCTION("""COMPUTED_VALUE"""),"081 856 2609")</f>
        <v>081 856 2609</v>
      </c>
      <c r="R266" s="147" t="str">
        <f>IFERROR(__xludf.DUMMYFUNCTION("""COMPUTED_VALUE"""),"17199-0005-2317")</f>
        <v>17199-0005-2317</v>
      </c>
      <c r="S266" t="str">
        <f>IFERROR(__xludf.DUMMYFUNCTION("""COMPUTED_VALUE"""),"AC6535932")</f>
        <v>AC6535932</v>
      </c>
      <c r="T266" s="148">
        <f>IFERROR(__xludf.DUMMYFUNCTION("""COMPUTED_VALUE"""),45377.0)</f>
        <v>45377</v>
      </c>
      <c r="U266" s="148">
        <f>IFERROR(__xludf.DUMMYFUNCTION("""COMPUTED_VALUE"""),49028.0)</f>
        <v>49028</v>
      </c>
      <c r="V266" s="149">
        <f>IFERROR(__xludf.DUMMYFUNCTION("""COMPUTED_VALUE"""),48847.0)</f>
        <v>48847</v>
      </c>
      <c r="W266" t="str">
        <f>IFERROR(__xludf.DUMMYFUNCTION("""COMPUTED_VALUE"""),"ปลอดภัย")</f>
        <v>ปลอดภัย</v>
      </c>
      <c r="X266" t="str">
        <f>IFERROR(__xludf.DUMMYFUNCTION("""COMPUTED_VALUE"""),"Kanchanaburi Province")</f>
        <v>Kanchanaburi Province</v>
      </c>
      <c r="Y266" t="str">
        <f>IFERROR(__xludf.DUMMYFUNCTION("""COMPUTED_VALUE"""),"Bangkok")</f>
        <v>Bangkok</v>
      </c>
      <c r="Z266" t="str">
        <f>IFERROR(__xludf.DUMMYFUNCTION("""COMPUTED_VALUE"""),"081 942 0220")</f>
        <v>081 942 0220</v>
      </c>
      <c r="AB266" t="str">
        <f>IFERROR(__xludf.DUMMYFUNCTION("""COMPUTED_VALUE"""),"naradap@airasia.com")</f>
        <v>naradap@airasia.com</v>
      </c>
    </row>
    <row r="267">
      <c r="A267">
        <f>IFERROR(__xludf.DUMMYFUNCTION("""COMPUTED_VALUE"""),1005818.0)</f>
        <v>1005818</v>
      </c>
      <c r="B267" t="str">
        <f>IFERROR(__xludf.DUMMYFUNCTION("""COMPUTED_VALUE"""),"Mrs.")</f>
        <v>Mrs.</v>
      </c>
      <c r="C267" t="str">
        <f>IFERROR(__xludf.DUMMYFUNCTION("""COMPUTED_VALUE"""),"Nattaporn")</f>
        <v>Nattaporn</v>
      </c>
      <c r="D267" t="str">
        <f>IFERROR(__xludf.DUMMYFUNCTION("""COMPUTED_VALUE"""),"Phatteeratip (Kamnil)")</f>
        <v>Phatteeratip (Kamnil)</v>
      </c>
      <c r="E267" t="str">
        <f>IFERROR(__xludf.DUMMYFUNCTION("""COMPUTED_VALUE"""),"Nattaporn Phatteeratip")</f>
        <v>Nattaporn Phatteeratip</v>
      </c>
      <c r="F267" t="str">
        <f>IFERROR(__xludf.DUMMYFUNCTION("""COMPUTED_VALUE"""),"นาง")</f>
        <v>นาง</v>
      </c>
      <c r="G267" t="str">
        <f>IFERROR(__xludf.DUMMYFUNCTION("""COMPUTED_VALUE"""),"ณัฐพร")</f>
        <v>ณัฐพร</v>
      </c>
      <c r="H267" t="str">
        <f>IFERROR(__xludf.DUMMYFUNCTION("""COMPUTED_VALUE"""),"ภัทรธีรทิพย์ (คำนิล)")</f>
        <v>ภัทรธีรทิพย์ (คำนิล)</v>
      </c>
      <c r="I267" t="str">
        <f>IFERROR(__xludf.DUMMYFUNCTION("""COMPUTED_VALUE"""),"ณัฐพร ภัทรธีรทิพย์")</f>
        <v>ณัฐพร ภัทรธีรทิพย์</v>
      </c>
      <c r="J267" t="str">
        <f>IFERROR(__xludf.DUMMYFUNCTION("""COMPUTED_VALUE"""),"เอ้")</f>
        <v>เอ้</v>
      </c>
      <c r="K267" t="str">
        <f>IFERROR(__xludf.DUMMYFUNCTION("""COMPUTED_VALUE"""),"Cabin Crew")</f>
        <v>Cabin Crew</v>
      </c>
      <c r="L267" t="str">
        <f>IFERROR(__xludf.DUMMYFUNCTION("""COMPUTED_VALUE"""),"DMK")</f>
        <v>DMK</v>
      </c>
      <c r="M267" s="145" t="str">
        <f>IFERROR(__xludf.DUMMYFUNCTION("""COMPUTED_VALUE"""),"Toffy Home")</f>
        <v>Toffy Home</v>
      </c>
      <c r="N267" t="str">
        <f>IFERROR(__xludf.DUMMYFUNCTION("""COMPUTED_VALUE"""),"Active")</f>
        <v>Active</v>
      </c>
      <c r="P267" s="143">
        <f>IFERROR(__xludf.DUMMYFUNCTION("""COMPUTED_VALUE"""),31696.0)</f>
        <v>31696</v>
      </c>
      <c r="Q267" s="146" t="str">
        <f>IFERROR(__xludf.DUMMYFUNCTION("""COMPUTED_VALUE"""),"087 053 8338")</f>
        <v>087 053 8338</v>
      </c>
      <c r="R267" s="147" t="str">
        <f>IFERROR(__xludf.DUMMYFUNCTION("""COMPUTED_VALUE"""),"17199-0005-2317")</f>
        <v>17199-0005-2317</v>
      </c>
      <c r="S267" t="str">
        <f>IFERROR(__xludf.DUMMYFUNCTION("""COMPUTED_VALUE"""),"AD3354557")</f>
        <v>AD3354557</v>
      </c>
      <c r="T267" s="148">
        <f>IFERROR(__xludf.DUMMYFUNCTION("""COMPUTED_VALUE"""),46132.0)</f>
        <v>46132</v>
      </c>
      <c r="U267" s="148">
        <f>IFERROR(__xludf.DUMMYFUNCTION("""COMPUTED_VALUE"""),49784.0)</f>
        <v>49784</v>
      </c>
      <c r="V267" s="149">
        <f>IFERROR(__xludf.DUMMYFUNCTION("""COMPUTED_VALUE"""),49601.0)</f>
        <v>49601</v>
      </c>
      <c r="W267" t="str">
        <f>IFERROR(__xludf.DUMMYFUNCTION("""COMPUTED_VALUE"""),"ปลอดภัย")</f>
        <v>ปลอดภัย</v>
      </c>
      <c r="X267" t="str">
        <f>IFERROR(__xludf.DUMMYFUNCTION("""COMPUTED_VALUE"""),"Bangkok")</f>
        <v>Bangkok</v>
      </c>
      <c r="Y267" t="str">
        <f>IFERROR(__xludf.DUMMYFUNCTION("""COMPUTED_VALUE"""),"Paholyothin")</f>
        <v>Paholyothin</v>
      </c>
      <c r="Z267" t="str">
        <f>IFERROR(__xludf.DUMMYFUNCTION("""COMPUTED_VALUE"""),"081 821 9499")</f>
        <v>081 821 9499</v>
      </c>
      <c r="AA267" t="str">
        <f>IFERROR(__xludf.DUMMYFUNCTION("""COMPUTED_VALUE"""),"Direk")</f>
        <v>Direk</v>
      </c>
      <c r="AB267" t="str">
        <f>IFERROR(__xludf.DUMMYFUNCTION("""COMPUTED_VALUE"""),"nattapornh@airasia.com")</f>
        <v>nattapornh@airasia.com</v>
      </c>
    </row>
    <row r="268">
      <c r="A268">
        <f>IFERROR(__xludf.DUMMYFUNCTION("""COMPUTED_VALUE"""),1005819.0)</f>
        <v>1005819</v>
      </c>
      <c r="B268" t="str">
        <f>IFERROR(__xludf.DUMMYFUNCTION("""COMPUTED_VALUE"""),"Ms.")</f>
        <v>Ms.</v>
      </c>
      <c r="C268" t="str">
        <f>IFERROR(__xludf.DUMMYFUNCTION("""COMPUTED_VALUE"""),"Nerisa")</f>
        <v>Nerisa</v>
      </c>
      <c r="D268" t="str">
        <f>IFERROR(__xludf.DUMMYFUNCTION("""COMPUTED_VALUE"""),"Chakornpaibool (Muensong)")</f>
        <v>Chakornpaibool (Muensong)</v>
      </c>
      <c r="E268" t="str">
        <f>IFERROR(__xludf.DUMMYFUNCTION("""COMPUTED_VALUE"""),"Nerisa Chakornpaibool")</f>
        <v>Nerisa Chakornpaibool</v>
      </c>
      <c r="F268" t="str">
        <f>IFERROR(__xludf.DUMMYFUNCTION("""COMPUTED_VALUE"""),"นางสาว")</f>
        <v>นางสาว</v>
      </c>
      <c r="G268" t="str">
        <f>IFERROR(__xludf.DUMMYFUNCTION("""COMPUTED_VALUE"""),"เนริสา")</f>
        <v>เนริสา</v>
      </c>
      <c r="H268" t="str">
        <f>IFERROR(__xludf.DUMMYFUNCTION("""COMPUTED_VALUE"""),"ชาครไพบูลย์(หมื่นส่ง)")</f>
        <v>ชาครไพบูลย์(หมื่นส่ง)</v>
      </c>
      <c r="I268" t="str">
        <f>IFERROR(__xludf.DUMMYFUNCTION("""COMPUTED_VALUE"""),"เนริสา ชาครไพบูลย์")</f>
        <v>เนริสา ชาครไพบูลย์</v>
      </c>
      <c r="J268" t="str">
        <f>IFERROR(__xludf.DUMMYFUNCTION("""COMPUTED_VALUE"""),"กอล์ฟ")</f>
        <v>กอล์ฟ</v>
      </c>
      <c r="K268" t="str">
        <f>IFERROR(__xludf.DUMMYFUNCTION("""COMPUTED_VALUE"""),"Senior Cabin Crew")</f>
        <v>Senior Cabin Crew</v>
      </c>
      <c r="L268" t="str">
        <f>IFERROR(__xludf.DUMMYFUNCTION("""COMPUTED_VALUE"""),"DMK")</f>
        <v>DMK</v>
      </c>
      <c r="M268" s="145" t="str">
        <f>IFERROR(__xludf.DUMMYFUNCTION("""COMPUTED_VALUE"""),"Por+ Home")</f>
        <v>Por+ Home</v>
      </c>
      <c r="N268" t="str">
        <f>IFERROR(__xludf.DUMMYFUNCTION("""COMPUTED_VALUE"""),"Active")</f>
        <v>Active</v>
      </c>
      <c r="P268" s="143">
        <f>IFERROR(__xludf.DUMMYFUNCTION("""COMPUTED_VALUE"""),30209.0)</f>
        <v>30209</v>
      </c>
      <c r="Q268" s="146" t="str">
        <f>IFERROR(__xludf.DUMMYFUNCTION("""COMPUTED_VALUE"""),"093 994 6465")</f>
        <v>093 994 6465</v>
      </c>
      <c r="R268" s="147" t="str">
        <f>IFERROR(__xludf.DUMMYFUNCTION("""COMPUTED_VALUE"""),"31101-0132-0471")</f>
        <v>31101-0132-0471</v>
      </c>
      <c r="S268" t="str">
        <f>IFERROR(__xludf.DUMMYFUNCTION("""COMPUTED_VALUE"""),"AC2756263")</f>
        <v>AC2756263</v>
      </c>
      <c r="T268" s="148">
        <f>IFERROR(__xludf.DUMMYFUNCTION("""COMPUTED_VALUE"""),44489.0)</f>
        <v>44489</v>
      </c>
      <c r="U268" s="148">
        <f>IFERROR(__xludf.DUMMYFUNCTION("""COMPUTED_VALUE"""),48140.0)</f>
        <v>48140</v>
      </c>
      <c r="V268" s="149">
        <f>IFERROR(__xludf.DUMMYFUNCTION("""COMPUTED_VALUE"""),47957.0)</f>
        <v>47957</v>
      </c>
      <c r="W268" t="str">
        <f>IFERROR(__xludf.DUMMYFUNCTION("""COMPUTED_VALUE"""),"ปลอดภัย")</f>
        <v>ปลอดภัย</v>
      </c>
      <c r="X268" t="str">
        <f>IFERROR(__xludf.DUMMYFUNCTION("""COMPUTED_VALUE"""),"Bangkok")</f>
        <v>Bangkok</v>
      </c>
      <c r="Y268" t="str">
        <f>IFERROR(__xludf.DUMMYFUNCTION("""COMPUTED_VALUE"""),"บางบอน")</f>
        <v>บางบอน</v>
      </c>
      <c r="Z268" t="str">
        <f>IFERROR(__xludf.DUMMYFUNCTION("""COMPUTED_VALUE"""),"084 647 0505")</f>
        <v>084 647 0505</v>
      </c>
      <c r="AA268" t="str">
        <f>IFERROR(__xludf.DUMMYFUNCTION("""COMPUTED_VALUE"""),"นิติธร")</f>
        <v>นิติธร</v>
      </c>
      <c r="AB268" t="str">
        <f>IFERROR(__xludf.DUMMYFUNCTION("""COMPUTED_VALUE"""),"nerisac@airasia.com")</f>
        <v>nerisac@airasia.com</v>
      </c>
    </row>
    <row r="269">
      <c r="A269">
        <f>IFERROR(__xludf.DUMMYFUNCTION("""COMPUTED_VALUE"""),1005828.0)</f>
        <v>1005828</v>
      </c>
      <c r="B269" t="str">
        <f>IFERROR(__xludf.DUMMYFUNCTION("""COMPUTED_VALUE"""),"Ms.")</f>
        <v>Ms.</v>
      </c>
      <c r="C269" t="str">
        <f>IFERROR(__xludf.DUMMYFUNCTION("""COMPUTED_VALUE"""),"Piyawan")</f>
        <v>Piyawan</v>
      </c>
      <c r="D269" t="str">
        <f>IFERROR(__xludf.DUMMYFUNCTION("""COMPUTED_VALUE"""),"Panitanthum")</f>
        <v>Panitanthum</v>
      </c>
      <c r="E269" t="str">
        <f>IFERROR(__xludf.DUMMYFUNCTION("""COMPUTED_VALUE"""),"Piyawan Panitanthum")</f>
        <v>Piyawan Panitanthum</v>
      </c>
      <c r="F269" t="str">
        <f>IFERROR(__xludf.DUMMYFUNCTION("""COMPUTED_VALUE"""),"นางสาว")</f>
        <v>นางสาว</v>
      </c>
      <c r="G269" t="str">
        <f>IFERROR(__xludf.DUMMYFUNCTION("""COMPUTED_VALUE"""),"ปิยวรรณ")</f>
        <v>ปิยวรรณ</v>
      </c>
      <c r="H269" t="str">
        <f>IFERROR(__xludf.DUMMYFUNCTION("""COMPUTED_VALUE"""),"ปณิธานธรรม")</f>
        <v>ปณิธานธรรม</v>
      </c>
      <c r="I269" t="str">
        <f>IFERROR(__xludf.DUMMYFUNCTION("""COMPUTED_VALUE"""),"ปิยวรรณ ปณิธานธรรม")</f>
        <v>ปิยวรรณ ปณิธานธรรม</v>
      </c>
      <c r="J269" t="str">
        <f>IFERROR(__xludf.DUMMYFUNCTION("""COMPUTED_VALUE"""),"บุ๋ม")</f>
        <v>บุ๋ม</v>
      </c>
      <c r="K269" t="str">
        <f>IFERROR(__xludf.DUMMYFUNCTION("""COMPUTED_VALUE"""),"Cabin Crew")</f>
        <v>Cabin Crew</v>
      </c>
      <c r="L269" t="str">
        <f>IFERROR(__xludf.DUMMYFUNCTION("""COMPUTED_VALUE"""),"DMK")</f>
        <v>DMK</v>
      </c>
      <c r="M269" s="145" t="str">
        <f>IFERROR(__xludf.DUMMYFUNCTION("""COMPUTED_VALUE"""),"Toffy Home")</f>
        <v>Toffy Home</v>
      </c>
      <c r="N269" t="str">
        <f>IFERROR(__xludf.DUMMYFUNCTION("""COMPUTED_VALUE"""),"Active")</f>
        <v>Active</v>
      </c>
      <c r="P269" s="143">
        <f>IFERROR(__xludf.DUMMYFUNCTION("""COMPUTED_VALUE"""),31244.0)</f>
        <v>31244</v>
      </c>
      <c r="Q269" s="146" t="str">
        <f>IFERROR(__xludf.DUMMYFUNCTION("""COMPUTED_VALUE"""),"091 645-4565")</f>
        <v>091 645-4565</v>
      </c>
      <c r="R269" s="147" t="str">
        <f>IFERROR(__xludf.DUMMYFUNCTION("""COMPUTED_VALUE"""),"11014-0052-7861")</f>
        <v>11014-0052-7861</v>
      </c>
      <c r="S269" t="str">
        <f>IFERROR(__xludf.DUMMYFUNCTION("""COMPUTED_VALUE"""),"AC7788107")</f>
        <v>AC7788107</v>
      </c>
      <c r="T269" s="148">
        <f>IFERROR(__xludf.DUMMYFUNCTION("""COMPUTED_VALUE"""),45652.0)</f>
        <v>45652</v>
      </c>
      <c r="U269" s="148">
        <f>IFERROR(__xludf.DUMMYFUNCTION("""COMPUTED_VALUE"""),47477.0)</f>
        <v>47477</v>
      </c>
      <c r="V269" s="149">
        <f>IFERROR(__xludf.DUMMYFUNCTION("""COMPUTED_VALUE"""),47294.0)</f>
        <v>47294</v>
      </c>
      <c r="W269" t="str">
        <f>IFERROR(__xludf.DUMMYFUNCTION("""COMPUTED_VALUE"""),"ปลอดภัย")</f>
        <v>ปลอดภัย</v>
      </c>
      <c r="X269" t="str">
        <f>IFERROR(__xludf.DUMMYFUNCTION("""COMPUTED_VALUE"""),"Bangkok")</f>
        <v>Bangkok</v>
      </c>
      <c r="Y269" t="str">
        <f>IFERROR(__xludf.DUMMYFUNCTION("""COMPUTED_VALUE"""),"Dindang")</f>
        <v>Dindang</v>
      </c>
      <c r="Z269" t="str">
        <f>IFERROR(__xludf.DUMMYFUNCTION("""COMPUTED_VALUE"""),"089 459 8898")</f>
        <v>089 459 8898</v>
      </c>
      <c r="AA269" t="str">
        <f>IFERROR(__xludf.DUMMYFUNCTION("""COMPUTED_VALUE"""),"Kanokporn")</f>
        <v>Kanokporn</v>
      </c>
      <c r="AB269" t="str">
        <f>IFERROR(__xludf.DUMMYFUNCTION("""COMPUTED_VALUE"""),"piyawanp@airasia.com")</f>
        <v>piyawanp@airasia.com</v>
      </c>
    </row>
    <row r="270">
      <c r="A270">
        <f>IFERROR(__xludf.DUMMYFUNCTION("""COMPUTED_VALUE"""),1005834.0)</f>
        <v>1005834</v>
      </c>
      <c r="B270" t="str">
        <f>IFERROR(__xludf.DUMMYFUNCTION("""COMPUTED_VALUE"""),"Ms.")</f>
        <v>Ms.</v>
      </c>
      <c r="C270" t="str">
        <f>IFERROR(__xludf.DUMMYFUNCTION("""COMPUTED_VALUE"""),"Ratchaneewan")</f>
        <v>Ratchaneewan</v>
      </c>
      <c r="D270" t="str">
        <f>IFERROR(__xludf.DUMMYFUNCTION("""COMPUTED_VALUE"""),"Tipyod")</f>
        <v>Tipyod</v>
      </c>
      <c r="E270" t="str">
        <f>IFERROR(__xludf.DUMMYFUNCTION("""COMPUTED_VALUE"""),"Ratchaneewan Tipyod")</f>
        <v>Ratchaneewan Tipyod</v>
      </c>
      <c r="F270" t="str">
        <f>IFERROR(__xludf.DUMMYFUNCTION("""COMPUTED_VALUE"""),"นางสาว")</f>
        <v>นางสาว</v>
      </c>
      <c r="G270" t="str">
        <f>IFERROR(__xludf.DUMMYFUNCTION("""COMPUTED_VALUE"""),"รัชนีวรรณ")</f>
        <v>รัชนีวรรณ</v>
      </c>
      <c r="H270" t="str">
        <f>IFERROR(__xludf.DUMMYFUNCTION("""COMPUTED_VALUE"""),"ทิพยอด")</f>
        <v>ทิพยอด</v>
      </c>
      <c r="I270" t="str">
        <f>IFERROR(__xludf.DUMMYFUNCTION("""COMPUTED_VALUE"""),"รัชนีวรรณ ทิพยอด")</f>
        <v>รัชนีวรรณ ทิพยอด</v>
      </c>
      <c r="J270" t="str">
        <f>IFERROR(__xludf.DUMMYFUNCTION("""COMPUTED_VALUE"""),"ฝน")</f>
        <v>ฝน</v>
      </c>
      <c r="K270" t="str">
        <f>IFERROR(__xludf.DUMMYFUNCTION("""COMPUTED_VALUE"""),"Cabin Crew - CNX")</f>
        <v>Cabin Crew - CNX</v>
      </c>
      <c r="L270" t="str">
        <f>IFERROR(__xludf.DUMMYFUNCTION("""COMPUTED_VALUE"""),"CNX")</f>
        <v>CNX</v>
      </c>
      <c r="M270" s="145" t="str">
        <f>IFERROR(__xludf.DUMMYFUNCTION("""COMPUTED_VALUE"""),"Up Home")</f>
        <v>Up Home</v>
      </c>
      <c r="N270" t="str">
        <f>IFERROR(__xludf.DUMMYFUNCTION("""COMPUTED_VALUE"""),"Active")</f>
        <v>Active</v>
      </c>
      <c r="P270" s="143">
        <f>IFERROR(__xludf.DUMMYFUNCTION("""COMPUTED_VALUE"""),30953.0)</f>
        <v>30953</v>
      </c>
      <c r="Q270" s="146" t="str">
        <f>IFERROR(__xludf.DUMMYFUNCTION("""COMPUTED_VALUE"""),"081 031 9990")</f>
        <v>081 031 9990</v>
      </c>
      <c r="R270" s="147" t="str">
        <f>IFERROR(__xludf.DUMMYFUNCTION("""COMPUTED_VALUE"""),"15299-0004-8249")</f>
        <v>15299-0004-8249</v>
      </c>
      <c r="S270" t="str">
        <f>IFERROR(__xludf.DUMMYFUNCTION("""COMPUTED_VALUE"""),"AC6624287")</f>
        <v>AC6624287</v>
      </c>
      <c r="T270" s="148">
        <f>IFERROR(__xludf.DUMMYFUNCTION("""COMPUTED_VALUE"""),45404.0)</f>
        <v>45404</v>
      </c>
      <c r="U270" s="148">
        <f>IFERROR(__xludf.DUMMYFUNCTION("""COMPUTED_VALUE"""),49055.0)</f>
        <v>49055</v>
      </c>
      <c r="V270" s="149">
        <f>IFERROR(__xludf.DUMMYFUNCTION("""COMPUTED_VALUE"""),48873.0)</f>
        <v>48873</v>
      </c>
      <c r="W270" t="str">
        <f>IFERROR(__xludf.DUMMYFUNCTION("""COMPUTED_VALUE"""),"ปลอดภัย")</f>
        <v>ปลอดภัย</v>
      </c>
      <c r="X270" t="str">
        <f>IFERROR(__xludf.DUMMYFUNCTION("""COMPUTED_VALUE"""),"Lampang Province")</f>
        <v>Lampang Province</v>
      </c>
      <c r="Y270" t="str">
        <f>IFERROR(__xludf.DUMMYFUNCTION("""COMPUTED_VALUE"""),"Lardprao")</f>
        <v>Lardprao</v>
      </c>
      <c r="Z270" t="str">
        <f>IFERROR(__xludf.DUMMYFUNCTION("""COMPUTED_VALUE"""),"083 121 1221")</f>
        <v>083 121 1221</v>
      </c>
      <c r="AA270" t="str">
        <f>IFERROR(__xludf.DUMMYFUNCTION("""COMPUTED_VALUE"""),"Ekawuth")</f>
        <v>Ekawuth</v>
      </c>
      <c r="AB270" t="str">
        <f>IFERROR(__xludf.DUMMYFUNCTION("""COMPUTED_VALUE"""),"ratchaneewanp@airasia.com")</f>
        <v>ratchaneewanp@airasia.com</v>
      </c>
    </row>
    <row r="271">
      <c r="A271">
        <f>IFERROR(__xludf.DUMMYFUNCTION("""COMPUTED_VALUE"""),1005844.0)</f>
        <v>1005844</v>
      </c>
      <c r="B271" t="str">
        <f>IFERROR(__xludf.DUMMYFUNCTION("""COMPUTED_VALUE"""),"Mrs.")</f>
        <v>Mrs.</v>
      </c>
      <c r="C271" t="str">
        <f>IFERROR(__xludf.DUMMYFUNCTION("""COMPUTED_VALUE"""),"Tikapat")</f>
        <v>Tikapat</v>
      </c>
      <c r="D271" t="str">
        <f>IFERROR(__xludf.DUMMYFUNCTION("""COMPUTED_VALUE"""),"Chitcharoen (Fungladda)")</f>
        <v>Chitcharoen (Fungladda)</v>
      </c>
      <c r="E271" t="str">
        <f>IFERROR(__xludf.DUMMYFUNCTION("""COMPUTED_VALUE"""),"Tikapat Chitcharoen")</f>
        <v>Tikapat Chitcharoen</v>
      </c>
      <c r="F271" t="str">
        <f>IFERROR(__xludf.DUMMYFUNCTION("""COMPUTED_VALUE"""),"นาง")</f>
        <v>นาง</v>
      </c>
      <c r="G271" t="str">
        <f>IFERROR(__xludf.DUMMYFUNCTION("""COMPUTED_VALUE"""),"ฐิต์กพัชร")</f>
        <v>ฐิต์กพัชร</v>
      </c>
      <c r="H271" t="str">
        <f>IFERROR(__xludf.DUMMYFUNCTION("""COMPUTED_VALUE"""),"จิตร์เจริญ (ฟุ้งลัดดา)")</f>
        <v>จิตร์เจริญ (ฟุ้งลัดดา)</v>
      </c>
      <c r="I271" t="str">
        <f>IFERROR(__xludf.DUMMYFUNCTION("""COMPUTED_VALUE"""),"ฐิต์กพัชร จิตร์เจริญ")</f>
        <v>ฐิต์กพัชร จิตร์เจริญ</v>
      </c>
      <c r="J271" t="str">
        <f>IFERROR(__xludf.DUMMYFUNCTION("""COMPUTED_VALUE"""),"ฟ้า")</f>
        <v>ฟ้า</v>
      </c>
      <c r="K271" t="str">
        <f>IFERROR(__xludf.DUMMYFUNCTION("""COMPUTED_VALUE"""),"Senior Cabin Crew")</f>
        <v>Senior Cabin Crew</v>
      </c>
      <c r="L271" t="str">
        <f>IFERROR(__xludf.DUMMYFUNCTION("""COMPUTED_VALUE"""),"DMK")</f>
        <v>DMK</v>
      </c>
      <c r="M271" s="145" t="str">
        <f>IFERROR(__xludf.DUMMYFUNCTION("""COMPUTED_VALUE"""),"Toffy Home")</f>
        <v>Toffy Home</v>
      </c>
      <c r="N271" t="str">
        <f>IFERROR(__xludf.DUMMYFUNCTION("""COMPUTED_VALUE"""),"LWPH")</f>
        <v>LWPH</v>
      </c>
      <c r="P271" s="143">
        <f>IFERROR(__xludf.DUMMYFUNCTION("""COMPUTED_VALUE"""),31277.0)</f>
        <v>31277</v>
      </c>
      <c r="Q271" s="146" t="str">
        <f>IFERROR(__xludf.DUMMYFUNCTION("""COMPUTED_VALUE"""),"065 994 5498")</f>
        <v>065 994 5498</v>
      </c>
      <c r="R271" s="147" t="str">
        <f>IFERROR(__xludf.DUMMYFUNCTION("""COMPUTED_VALUE"""),"16699-0002-8549")</f>
        <v>16699-0002-8549</v>
      </c>
      <c r="S271" t="str">
        <f>IFERROR(__xludf.DUMMYFUNCTION("""COMPUTED_VALUE"""),"AD1743735")</f>
        <v>AD1743735</v>
      </c>
      <c r="T271" s="148">
        <f>IFERROR(__xludf.DUMMYFUNCTION("""COMPUTED_VALUE"""),45438.0)</f>
        <v>45438</v>
      </c>
      <c r="U271" s="148">
        <f>IFERROR(__xludf.DUMMYFUNCTION("""COMPUTED_VALUE"""),47263.0)</f>
        <v>47263</v>
      </c>
      <c r="V271" s="149">
        <f>IFERROR(__xludf.DUMMYFUNCTION("""COMPUTED_VALUE"""),47082.0)</f>
        <v>47082</v>
      </c>
      <c r="W271" t="str">
        <f>IFERROR(__xludf.DUMMYFUNCTION("""COMPUTED_VALUE"""),"ปลอดภัย")</f>
        <v>ปลอดภัย</v>
      </c>
      <c r="X271" t="str">
        <f>IFERROR(__xludf.DUMMYFUNCTION("""COMPUTED_VALUE"""),"Phichit Province")</f>
        <v>Phichit Province</v>
      </c>
      <c r="Y271" t="str">
        <f>IFERROR(__xludf.DUMMYFUNCTION("""COMPUTED_VALUE"""),"Talingchan")</f>
        <v>Talingchan</v>
      </c>
      <c r="Z271" t="str">
        <f>IFERROR(__xludf.DUMMYFUNCTION("""COMPUTED_VALUE"""),"086 734 5883")</f>
        <v>086 734 5883</v>
      </c>
      <c r="AA271" t="str">
        <f>IFERROR(__xludf.DUMMYFUNCTION("""COMPUTED_VALUE"""),"Soranat")</f>
        <v>Soranat</v>
      </c>
      <c r="AB271" t="str">
        <f>IFERROR(__xludf.DUMMYFUNCTION("""COMPUTED_VALUE"""),"tikapatc@airasia.com")</f>
        <v>tikapatc@airasia.com</v>
      </c>
    </row>
    <row r="272">
      <c r="AB272" t="str">
        <f>IFERROR(__xludf.DUMMYFUNCTION("""COMPUTED_VALUE"""),"")</f>
        <v/>
      </c>
    </row>
    <row r="273">
      <c r="A273">
        <f>IFERROR(__xludf.DUMMYFUNCTION("""COMPUTED_VALUE"""),1005944.0)</f>
        <v>1005944</v>
      </c>
      <c r="B273" t="str">
        <f>IFERROR(__xludf.DUMMYFUNCTION("""COMPUTED_VALUE"""),"Ms.")</f>
        <v>Ms.</v>
      </c>
      <c r="C273" t="str">
        <f>IFERROR(__xludf.DUMMYFUNCTION("""COMPUTED_VALUE"""),"Kwanchanok")</f>
        <v>Kwanchanok</v>
      </c>
      <c r="D273" t="str">
        <f>IFERROR(__xludf.DUMMYFUNCTION("""COMPUTED_VALUE"""),"Praditsuk (Prommanee)")</f>
        <v>Praditsuk (Prommanee)</v>
      </c>
      <c r="E273" t="str">
        <f>IFERROR(__xludf.DUMMYFUNCTION("""COMPUTED_VALUE"""),"Kwanchanok Praditsuk")</f>
        <v>Kwanchanok Praditsuk</v>
      </c>
      <c r="F273" t="str">
        <f>IFERROR(__xludf.DUMMYFUNCTION("""COMPUTED_VALUE"""),"นางสาว")</f>
        <v>นางสาว</v>
      </c>
      <c r="G273" t="str">
        <f>IFERROR(__xludf.DUMMYFUNCTION("""COMPUTED_VALUE"""),"ขวัญชนก")</f>
        <v>ขวัญชนก</v>
      </c>
      <c r="H273" t="str">
        <f>IFERROR(__xludf.DUMMYFUNCTION("""COMPUTED_VALUE"""),"ประดิษฐ์สุข (พรหมมณี)")</f>
        <v>ประดิษฐ์สุข (พรหมมณี)</v>
      </c>
      <c r="I273" t="str">
        <f>IFERROR(__xludf.DUMMYFUNCTION("""COMPUTED_VALUE"""),"ขวัญชนก ประดิษฐ์สุข")</f>
        <v>ขวัญชนก ประดิษฐ์สุข</v>
      </c>
      <c r="J273" t="str">
        <f>IFERROR(__xludf.DUMMYFUNCTION("""COMPUTED_VALUE"""),"ขวัญ")</f>
        <v>ขวัญ</v>
      </c>
      <c r="K273" t="str">
        <f>IFERROR(__xludf.DUMMYFUNCTION("""COMPUTED_VALUE"""),"Senior Cabin Crew")</f>
        <v>Senior Cabin Crew</v>
      </c>
      <c r="L273" t="str">
        <f>IFERROR(__xludf.DUMMYFUNCTION("""COMPUTED_VALUE"""),"DMK")</f>
        <v>DMK</v>
      </c>
      <c r="M273" s="145" t="str">
        <f>IFERROR(__xludf.DUMMYFUNCTION("""COMPUTED_VALUE"""),"Por+ Home")</f>
        <v>Por+ Home</v>
      </c>
      <c r="N273" t="str">
        <f>IFERROR(__xludf.DUMMYFUNCTION("""COMPUTED_VALUE"""),"Active")</f>
        <v>Active</v>
      </c>
      <c r="O273" t="str">
        <f>IFERROR(__xludf.DUMMYFUNCTION("""COMPUTED_VALUE"""),"SCC Line Checker 2025")</f>
        <v>SCC Line Checker 2025</v>
      </c>
      <c r="P273" s="143">
        <f>IFERROR(__xludf.DUMMYFUNCTION("""COMPUTED_VALUE"""),31023.0)</f>
        <v>31023</v>
      </c>
      <c r="Q273" s="146" t="str">
        <f>IFERROR(__xludf.DUMMYFUNCTION("""COMPUTED_VALUE"""),"094 669 9947")</f>
        <v>094 669 9947</v>
      </c>
      <c r="R273" s="147" t="str">
        <f>IFERROR(__xludf.DUMMYFUNCTION("""COMPUTED_VALUE"""),"17699-0002-4361")</f>
        <v>17699-0002-4361</v>
      </c>
      <c r="S273" t="str">
        <f>IFERROR(__xludf.DUMMYFUNCTION("""COMPUTED_VALUE"""),"AD2024697")</f>
        <v>AD2024697</v>
      </c>
      <c r="T273" s="148">
        <f>IFERROR(__xludf.DUMMYFUNCTION("""COMPUTED_VALUE"""),45453.0)</f>
        <v>45453</v>
      </c>
      <c r="U273" s="148">
        <f>IFERROR(__xludf.DUMMYFUNCTION("""COMPUTED_VALUE"""),49104.0)</f>
        <v>49104</v>
      </c>
      <c r="V273" s="149">
        <f>IFERROR(__xludf.DUMMYFUNCTION("""COMPUTED_VALUE"""),48922.0)</f>
        <v>48922</v>
      </c>
      <c r="W273" t="str">
        <f>IFERROR(__xludf.DUMMYFUNCTION("""COMPUTED_VALUE"""),"ปลอดภัย")</f>
        <v>ปลอดภัย</v>
      </c>
      <c r="X273" t="str">
        <f>IFERROR(__xludf.DUMMYFUNCTION("""COMPUTED_VALUE"""),"Phetchaburi Province")</f>
        <v>Phetchaburi Province</v>
      </c>
      <c r="Y273" t="str">
        <f>IFERROR(__xludf.DUMMYFUNCTION("""COMPUTED_VALUE"""),"Thanyaburi")</f>
        <v>Thanyaburi</v>
      </c>
      <c r="Z273" t="str">
        <f>IFERROR(__xludf.DUMMYFUNCTION("""COMPUTED_VALUE"""),"089 999 7499")</f>
        <v>089 999 7499</v>
      </c>
      <c r="AA273" t="str">
        <f>IFERROR(__xludf.DUMMYFUNCTION("""COMPUTED_VALUE"""),"Thanakrit")</f>
        <v>Thanakrit</v>
      </c>
      <c r="AB273" t="str">
        <f>IFERROR(__xludf.DUMMYFUNCTION("""COMPUTED_VALUE"""),"kwanchanokp@airasia.com")</f>
        <v>kwanchanokp@airasia.com</v>
      </c>
    </row>
    <row r="274">
      <c r="A274">
        <f>IFERROR(__xludf.DUMMYFUNCTION("""COMPUTED_VALUE"""),1005945.0)</f>
        <v>1005945</v>
      </c>
      <c r="B274" t="str">
        <f>IFERROR(__xludf.DUMMYFUNCTION("""COMPUTED_VALUE"""),"Ms.")</f>
        <v>Ms.</v>
      </c>
      <c r="C274" t="str">
        <f>IFERROR(__xludf.DUMMYFUNCTION("""COMPUTED_VALUE"""),"Laphatrada")</f>
        <v>Laphatrada</v>
      </c>
      <c r="D274" t="str">
        <f>IFERROR(__xludf.DUMMYFUNCTION("""COMPUTED_VALUE"""),"Saisuk")</f>
        <v>Saisuk</v>
      </c>
      <c r="E274" t="str">
        <f>IFERROR(__xludf.DUMMYFUNCTION("""COMPUTED_VALUE"""),"Laphatrada Saisuk")</f>
        <v>Laphatrada Saisuk</v>
      </c>
      <c r="F274" t="str">
        <f>IFERROR(__xludf.DUMMYFUNCTION("""COMPUTED_VALUE"""),"นางสาว")</f>
        <v>นางสาว</v>
      </c>
      <c r="G274" t="str">
        <f>IFERROR(__xludf.DUMMYFUNCTION("""COMPUTED_VALUE"""),"ลภัสรดา")</f>
        <v>ลภัสรดา</v>
      </c>
      <c r="H274" t="str">
        <f>IFERROR(__xludf.DUMMYFUNCTION("""COMPUTED_VALUE"""),"ใสสุก")</f>
        <v>ใสสุก</v>
      </c>
      <c r="I274" t="str">
        <f>IFERROR(__xludf.DUMMYFUNCTION("""COMPUTED_VALUE"""),"ลภัสรดา ใสสุก")</f>
        <v>ลภัสรดา ใสสุก</v>
      </c>
      <c r="J274" t="str">
        <f>IFERROR(__xludf.DUMMYFUNCTION("""COMPUTED_VALUE"""),"ใหม่")</f>
        <v>ใหม่</v>
      </c>
      <c r="K274" t="str">
        <f>IFERROR(__xludf.DUMMYFUNCTION("""COMPUTED_VALUE"""),"Cabin Crew")</f>
        <v>Cabin Crew</v>
      </c>
      <c r="L274" t="str">
        <f>IFERROR(__xludf.DUMMYFUNCTION("""COMPUTED_VALUE"""),"DMK")</f>
        <v>DMK</v>
      </c>
      <c r="M274" s="145" t="str">
        <f>IFERROR(__xludf.DUMMYFUNCTION("""COMPUTED_VALUE"""),"Up Home")</f>
        <v>Up Home</v>
      </c>
      <c r="N274" t="str">
        <f>IFERROR(__xludf.DUMMYFUNCTION("""COMPUTED_VALUE"""),"Active")</f>
        <v>Active</v>
      </c>
      <c r="O274" t="str">
        <f>IFERROR(__xludf.DUMMYFUNCTION("""COMPUTED_VALUE"""),"Chinese Speaking")</f>
        <v>Chinese Speaking</v>
      </c>
      <c r="P274" s="143">
        <f>IFERROR(__xludf.DUMMYFUNCTION("""COMPUTED_VALUE"""),30937.0)</f>
        <v>30937</v>
      </c>
      <c r="Q274" s="146" t="str">
        <f>IFERROR(__xludf.DUMMYFUNCTION("""COMPUTED_VALUE"""),"099-639-9244.")</f>
        <v>099-639-9244.</v>
      </c>
      <c r="R274" s="147" t="str">
        <f>IFERROR(__xludf.DUMMYFUNCTION("""COMPUTED_VALUE"""),"12501-0002-3050")</f>
        <v>12501-0002-3050</v>
      </c>
      <c r="S274" t="str">
        <f>IFERROR(__xludf.DUMMYFUNCTION("""COMPUTED_VALUE"""),"AC2227575")</f>
        <v>AC2227575</v>
      </c>
      <c r="T274" s="148">
        <f>IFERROR(__xludf.DUMMYFUNCTION("""COMPUTED_VALUE"""),44277.0)</f>
        <v>44277</v>
      </c>
      <c r="U274" s="148">
        <f>IFERROR(__xludf.DUMMYFUNCTION("""COMPUTED_VALUE"""),47928.0)</f>
        <v>47928</v>
      </c>
      <c r="V274" s="149">
        <f>IFERROR(__xludf.DUMMYFUNCTION("""COMPUTED_VALUE"""),47747.0)</f>
        <v>47747</v>
      </c>
      <c r="W274" t="str">
        <f>IFERROR(__xludf.DUMMYFUNCTION("""COMPUTED_VALUE"""),"ปลอดภัย")</f>
        <v>ปลอดภัย</v>
      </c>
      <c r="X274" t="str">
        <f>IFERROR(__xludf.DUMMYFUNCTION("""COMPUTED_VALUE"""),"Prachinburi Province")</f>
        <v>Prachinburi Province</v>
      </c>
      <c r="Y274" t="str">
        <f>IFERROR(__xludf.DUMMYFUNCTION("""COMPUTED_VALUE"""),"Dindang")</f>
        <v>Dindang</v>
      </c>
      <c r="Z274" t="str">
        <f>IFERROR(__xludf.DUMMYFUNCTION("""COMPUTED_VALUE"""),"081 377 5792")</f>
        <v>081 377 5792</v>
      </c>
      <c r="AA274" t="str">
        <f>IFERROR(__xludf.DUMMYFUNCTION("""COMPUTED_VALUE"""),"Linji")</f>
        <v>Linji</v>
      </c>
      <c r="AB274" t="str">
        <f>IFERROR(__xludf.DUMMYFUNCTION("""COMPUTED_VALUE"""),"laphatradas@airasia.com")</f>
        <v>laphatradas@airasia.com</v>
      </c>
    </row>
    <row r="275">
      <c r="A275">
        <f>IFERROR(__xludf.DUMMYFUNCTION("""COMPUTED_VALUE"""),1005953.0)</f>
        <v>1005953</v>
      </c>
      <c r="B275" t="str">
        <f>IFERROR(__xludf.DUMMYFUNCTION("""COMPUTED_VALUE"""),"Ms.")</f>
        <v>Ms.</v>
      </c>
      <c r="C275" t="str">
        <f>IFERROR(__xludf.DUMMYFUNCTION("""COMPUTED_VALUE"""),"Pinchapitch (Patharida)")</f>
        <v>Pinchapitch (Patharida)</v>
      </c>
      <c r="D275" t="str">
        <f>IFERROR(__xludf.DUMMYFUNCTION("""COMPUTED_VALUE"""),"Pinchachartanant (Ittharat)")</f>
        <v>Pinchachartanant (Ittharat)</v>
      </c>
      <c r="E275" t="str">
        <f>IFERROR(__xludf.DUMMYFUNCTION("""COMPUTED_VALUE"""),"Pinchapitch Pinchachartanant")</f>
        <v>Pinchapitch Pinchachartanant</v>
      </c>
      <c r="F275" t="str">
        <f>IFERROR(__xludf.DUMMYFUNCTION("""COMPUTED_VALUE"""),"นางสาว")</f>
        <v>นางสาว</v>
      </c>
      <c r="G275" t="str">
        <f>IFERROR(__xludf.DUMMYFUNCTION("""COMPUTED_VALUE"""),"ปิญชาน์พิชณ์ (ปธาริดา)")</f>
        <v>ปิญชาน์พิชณ์ (ปธาริดา)</v>
      </c>
      <c r="H275" t="str">
        <f>IFERROR(__xludf.DUMMYFUNCTION("""COMPUTED_VALUE"""),"ปิญชาน์ชาติอนันต์ (อิฐรัตน์)")</f>
        <v>ปิญชาน์ชาติอนันต์ (อิฐรัตน์)</v>
      </c>
      <c r="I275" t="str">
        <f>IFERROR(__xludf.DUMMYFUNCTION("""COMPUTED_VALUE"""),"ปิญชาน์พิชณ์ ปิญชาน์ชาติอนันต์")</f>
        <v>ปิญชาน์พิชณ์ ปิญชาน์ชาติอนันต์</v>
      </c>
      <c r="J275" t="str">
        <f>IFERROR(__xludf.DUMMYFUNCTION("""COMPUTED_VALUE"""),"ปอย")</f>
        <v>ปอย</v>
      </c>
      <c r="K275" t="str">
        <f>IFERROR(__xludf.DUMMYFUNCTION("""COMPUTED_VALUE"""),"Senior Cabin Crew")</f>
        <v>Senior Cabin Crew</v>
      </c>
      <c r="L275" t="str">
        <f>IFERROR(__xludf.DUMMYFUNCTION("""COMPUTED_VALUE"""),"DMK")</f>
        <v>DMK</v>
      </c>
      <c r="M275" s="145" t="str">
        <f>IFERROR(__xludf.DUMMYFUNCTION("""COMPUTED_VALUE"""),"Um Home")</f>
        <v>Um Home</v>
      </c>
      <c r="N275" t="str">
        <f>IFERROR(__xludf.DUMMYFUNCTION("""COMPUTED_VALUE"""),"Active")</f>
        <v>Active</v>
      </c>
      <c r="P275" s="143">
        <f>IFERROR(__xludf.DUMMYFUNCTION("""COMPUTED_VALUE"""),31687.0)</f>
        <v>31687</v>
      </c>
      <c r="Q275" s="146" t="str">
        <f>IFERROR(__xludf.DUMMYFUNCTION("""COMPUTED_VALUE"""),"083 019 0912")</f>
        <v>083 019 0912</v>
      </c>
      <c r="R275" s="147" t="str">
        <f>IFERROR(__xludf.DUMMYFUNCTION("""COMPUTED_VALUE"""),"34599-0012-8371")</f>
        <v>34599-0012-8371</v>
      </c>
      <c r="S275" t="str">
        <f>IFERROR(__xludf.DUMMYFUNCTION("""COMPUTED_VALUE"""),"AD0705336")</f>
        <v>AD0705336</v>
      </c>
      <c r="T275" s="148">
        <f>IFERROR(__xludf.DUMMYFUNCTION("""COMPUTED_VALUE"""),44956.0)</f>
        <v>44956</v>
      </c>
      <c r="U275" s="148">
        <f>IFERROR(__xludf.DUMMYFUNCTION("""COMPUTED_VALUE"""),48608.0)</f>
        <v>48608</v>
      </c>
      <c r="V275" s="149">
        <f>IFERROR(__xludf.DUMMYFUNCTION("""COMPUTED_VALUE"""),48424.0)</f>
        <v>48424</v>
      </c>
      <c r="W275" t="str">
        <f>IFERROR(__xludf.DUMMYFUNCTION("""COMPUTED_VALUE"""),"ปลอดภัย")</f>
        <v>ปลอดภัย</v>
      </c>
      <c r="X275" t="str">
        <f>IFERROR(__xludf.DUMMYFUNCTION("""COMPUTED_VALUE"""),"Roi Et Province")</f>
        <v>Roi Et Province</v>
      </c>
      <c r="Y275" t="str">
        <f>IFERROR(__xludf.DUMMYFUNCTION("""COMPUTED_VALUE"""),"Laksi")</f>
        <v>Laksi</v>
      </c>
      <c r="Z275" t="str">
        <f>IFERROR(__xludf.DUMMYFUNCTION("""COMPUTED_VALUE"""),"084 005 0737")</f>
        <v>084 005 0737</v>
      </c>
      <c r="AA275" t="str">
        <f>IFERROR(__xludf.DUMMYFUNCTION("""COMPUTED_VALUE"""),"Patchariya")</f>
        <v>Patchariya</v>
      </c>
      <c r="AB275" t="str">
        <f>IFERROR(__xludf.DUMMYFUNCTION("""COMPUTED_VALUE"""),"pinchapitchp@airasia.com")</f>
        <v>pinchapitchp@airasia.com</v>
      </c>
    </row>
    <row r="276">
      <c r="A276">
        <f>IFERROR(__xludf.DUMMYFUNCTION("""COMPUTED_VALUE"""),1005954.0)</f>
        <v>1005954</v>
      </c>
      <c r="B276" t="str">
        <f>IFERROR(__xludf.DUMMYFUNCTION("""COMPUTED_VALUE"""),"Ms.")</f>
        <v>Ms.</v>
      </c>
      <c r="C276" t="str">
        <f>IFERROR(__xludf.DUMMYFUNCTION("""COMPUTED_VALUE"""),"Pawinee")</f>
        <v>Pawinee</v>
      </c>
      <c r="D276" t="str">
        <f>IFERROR(__xludf.DUMMYFUNCTION("""COMPUTED_VALUE"""),"Srisungnoen")</f>
        <v>Srisungnoen</v>
      </c>
      <c r="E276" t="str">
        <f>IFERROR(__xludf.DUMMYFUNCTION("""COMPUTED_VALUE"""),"Pawinee Srisungnoen")</f>
        <v>Pawinee Srisungnoen</v>
      </c>
      <c r="F276" t="str">
        <f>IFERROR(__xludf.DUMMYFUNCTION("""COMPUTED_VALUE"""),"นางสาว")</f>
        <v>นางสาว</v>
      </c>
      <c r="G276" t="str">
        <f>IFERROR(__xludf.DUMMYFUNCTION("""COMPUTED_VALUE"""),"ภาวิณี")</f>
        <v>ภาวิณี</v>
      </c>
      <c r="H276" t="str">
        <f>IFERROR(__xludf.DUMMYFUNCTION("""COMPUTED_VALUE"""),"ศรีสูงเนิน")</f>
        <v>ศรีสูงเนิน</v>
      </c>
      <c r="I276" t="str">
        <f>IFERROR(__xludf.DUMMYFUNCTION("""COMPUTED_VALUE"""),"ภาวิณี ศรีสูงเนิน")</f>
        <v>ภาวิณี ศรีสูงเนิน</v>
      </c>
      <c r="J276" t="str">
        <f>IFERROR(__xludf.DUMMYFUNCTION("""COMPUTED_VALUE"""),"ส้มโอ")</f>
        <v>ส้มโอ</v>
      </c>
      <c r="K276" t="str">
        <f>IFERROR(__xludf.DUMMYFUNCTION("""COMPUTED_VALUE"""),"Cabin Crew")</f>
        <v>Cabin Crew</v>
      </c>
      <c r="L276" t="str">
        <f>IFERROR(__xludf.DUMMYFUNCTION("""COMPUTED_VALUE"""),"DMK")</f>
        <v>DMK</v>
      </c>
      <c r="M276" s="145" t="str">
        <f>IFERROR(__xludf.DUMMYFUNCTION("""COMPUTED_VALUE"""),"Por+ Home")</f>
        <v>Por+ Home</v>
      </c>
      <c r="N276" t="str">
        <f>IFERROR(__xludf.DUMMYFUNCTION("""COMPUTED_VALUE"""),"Active")</f>
        <v>Active</v>
      </c>
      <c r="P276" s="143">
        <f>IFERROR(__xludf.DUMMYFUNCTION("""COMPUTED_VALUE"""),31747.0)</f>
        <v>31747</v>
      </c>
      <c r="Q276" s="146" t="str">
        <f>IFERROR(__xludf.DUMMYFUNCTION("""COMPUTED_VALUE"""),"085 553 5602")</f>
        <v>085 553 5602</v>
      </c>
      <c r="R276" s="147" t="str">
        <f>IFERROR(__xludf.DUMMYFUNCTION("""COMPUTED_VALUE"""),"14099-0030-0224")</f>
        <v>14099-0030-0224</v>
      </c>
      <c r="S276" t="str">
        <f>IFERROR(__xludf.DUMMYFUNCTION("""COMPUTED_VALUE"""),"AD0593607")</f>
        <v>AD0593607</v>
      </c>
      <c r="T276" s="148">
        <f>IFERROR(__xludf.DUMMYFUNCTION("""COMPUTED_VALUE"""),44938.0)</f>
        <v>44938</v>
      </c>
      <c r="U276" s="148">
        <f>IFERROR(__xludf.DUMMYFUNCTION("""COMPUTED_VALUE"""),48590.0)</f>
        <v>48590</v>
      </c>
      <c r="V276" s="149">
        <f>IFERROR(__xludf.DUMMYFUNCTION("""COMPUTED_VALUE"""),48406.0)</f>
        <v>48406</v>
      </c>
      <c r="W276" t="str">
        <f>IFERROR(__xludf.DUMMYFUNCTION("""COMPUTED_VALUE"""),"ปลอดภัย")</f>
        <v>ปลอดภัย</v>
      </c>
      <c r="X276" t="str">
        <f>IFERROR(__xludf.DUMMYFUNCTION("""COMPUTED_VALUE"""),"Khon Kaen Province")</f>
        <v>Khon Kaen Province</v>
      </c>
      <c r="Y276" t="str">
        <f>IFERROR(__xludf.DUMMYFUNCTION("""COMPUTED_VALUE"""),"Donmuang")</f>
        <v>Donmuang</v>
      </c>
      <c r="Z276" t="str">
        <f>IFERROR(__xludf.DUMMYFUNCTION("""COMPUTED_VALUE"""),"081 872 8699")</f>
        <v>081 872 8699</v>
      </c>
      <c r="AA276" t="str">
        <f>IFERROR(__xludf.DUMMYFUNCTION("""COMPUTED_VALUE"""),"Aeungfah")</f>
        <v>Aeungfah</v>
      </c>
      <c r="AB276" t="str">
        <f>IFERROR(__xludf.DUMMYFUNCTION("""COMPUTED_VALUE"""),"pawinees@airasia.com")</f>
        <v>pawinees@airasia.com</v>
      </c>
    </row>
    <row r="277">
      <c r="A277">
        <f>IFERROR(__xludf.DUMMYFUNCTION("""COMPUTED_VALUE"""),1005956.0)</f>
        <v>1005956</v>
      </c>
      <c r="B277" t="str">
        <f>IFERROR(__xludf.DUMMYFUNCTION("""COMPUTED_VALUE"""),"Mr.")</f>
        <v>Mr.</v>
      </c>
      <c r="C277" t="str">
        <f>IFERROR(__xludf.DUMMYFUNCTION("""COMPUTED_VALUE"""),"Pipat")</f>
        <v>Pipat</v>
      </c>
      <c r="D277" t="str">
        <f>IFERROR(__xludf.DUMMYFUNCTION("""COMPUTED_VALUE"""),"Penpaiboon")</f>
        <v>Penpaiboon</v>
      </c>
      <c r="E277" t="str">
        <f>IFERROR(__xludf.DUMMYFUNCTION("""COMPUTED_VALUE"""),"Pipat Penpaiboon")</f>
        <v>Pipat Penpaiboon</v>
      </c>
      <c r="F277" t="str">
        <f>IFERROR(__xludf.DUMMYFUNCTION("""COMPUTED_VALUE"""),"นาย")</f>
        <v>นาย</v>
      </c>
      <c r="G277" t="str">
        <f>IFERROR(__xludf.DUMMYFUNCTION("""COMPUTED_VALUE"""),"พิพัฒ")</f>
        <v>พิพัฒ</v>
      </c>
      <c r="H277" t="str">
        <f>IFERROR(__xludf.DUMMYFUNCTION("""COMPUTED_VALUE"""),"เพ็ญไพบูลย์")</f>
        <v>เพ็ญไพบูลย์</v>
      </c>
      <c r="I277" t="str">
        <f>IFERROR(__xludf.DUMMYFUNCTION("""COMPUTED_VALUE"""),"พิพัฒ เพ็ญไพบูลย์")</f>
        <v>พิพัฒ เพ็ญไพบูลย์</v>
      </c>
      <c r="J277" t="str">
        <f>IFERROR(__xludf.DUMMYFUNCTION("""COMPUTED_VALUE"""),"ปูน")</f>
        <v>ปูน</v>
      </c>
      <c r="K277" t="str">
        <f>IFERROR(__xludf.DUMMYFUNCTION("""COMPUTED_VALUE"""),"Senior Cabin Crew - BKK")</f>
        <v>Senior Cabin Crew - BKK</v>
      </c>
      <c r="L277" t="str">
        <f>IFERROR(__xludf.DUMMYFUNCTION("""COMPUTED_VALUE"""),"BKK")</f>
        <v>BKK</v>
      </c>
      <c r="M277" s="145" t="str">
        <f>IFERROR(__xludf.DUMMYFUNCTION("""COMPUTED_VALUE"""),"Nhui Home")</f>
        <v>Nhui Home</v>
      </c>
      <c r="N277" t="str">
        <f>IFERROR(__xludf.DUMMYFUNCTION("""COMPUTED_VALUE"""),"Active")</f>
        <v>Active</v>
      </c>
      <c r="P277" s="143">
        <f>IFERROR(__xludf.DUMMYFUNCTION("""COMPUTED_VALUE"""),32745.0)</f>
        <v>32745</v>
      </c>
      <c r="Q277" s="146" t="str">
        <f>IFERROR(__xludf.DUMMYFUNCTION("""COMPUTED_VALUE"""),"087 692 1606")</f>
        <v>087 692 1606</v>
      </c>
      <c r="R277" s="147" t="str">
        <f>IFERROR(__xludf.DUMMYFUNCTION("""COMPUTED_VALUE"""),"11014-0177-0794")</f>
        <v>11014-0177-0794</v>
      </c>
      <c r="S277" t="str">
        <f>IFERROR(__xludf.DUMMYFUNCTION("""COMPUTED_VALUE"""),"AD0593607")</f>
        <v>AD0593607</v>
      </c>
      <c r="T277" s="148">
        <f>IFERROR(__xludf.DUMMYFUNCTION("""COMPUTED_VALUE"""),44938.0)</f>
        <v>44938</v>
      </c>
      <c r="U277" s="148">
        <f>IFERROR(__xludf.DUMMYFUNCTION("""COMPUTED_VALUE"""),48590.0)</f>
        <v>48590</v>
      </c>
      <c r="V277" s="149">
        <f>IFERROR(__xludf.DUMMYFUNCTION("""COMPUTED_VALUE"""),48406.0)</f>
        <v>48406</v>
      </c>
      <c r="W277" t="str">
        <f>IFERROR(__xludf.DUMMYFUNCTION("""COMPUTED_VALUE"""),"ปลอดภัย")</f>
        <v>ปลอดภัย</v>
      </c>
      <c r="X277" t="str">
        <f>IFERROR(__xludf.DUMMYFUNCTION("""COMPUTED_VALUE"""),"Bangkok")</f>
        <v>Bangkok</v>
      </c>
      <c r="Y277" t="str">
        <f>IFERROR(__xludf.DUMMYFUNCTION("""COMPUTED_VALUE"""),"Nongchok")</f>
        <v>Nongchok</v>
      </c>
      <c r="Z277" t="str">
        <f>IFERROR(__xludf.DUMMYFUNCTION("""COMPUTED_VALUE"""),"087 999 4315")</f>
        <v>087 999 4315</v>
      </c>
      <c r="AA277" t="str">
        <f>IFERROR(__xludf.DUMMYFUNCTION("""COMPUTED_VALUE"""),"Tapanee")</f>
        <v>Tapanee</v>
      </c>
      <c r="AB277" t="str">
        <f>IFERROR(__xludf.DUMMYFUNCTION("""COMPUTED_VALUE"""),"pipate@airasia.com")</f>
        <v>pipate@airasia.com</v>
      </c>
    </row>
    <row r="278">
      <c r="A278">
        <f>IFERROR(__xludf.DUMMYFUNCTION("""COMPUTED_VALUE"""),1005957.0)</f>
        <v>1005957</v>
      </c>
      <c r="B278" t="str">
        <f>IFERROR(__xludf.DUMMYFUNCTION("""COMPUTED_VALUE"""),"Ms.")</f>
        <v>Ms.</v>
      </c>
      <c r="C278" t="str">
        <f>IFERROR(__xludf.DUMMYFUNCTION("""COMPUTED_VALUE"""),"Praewpailin")</f>
        <v>Praewpailin</v>
      </c>
      <c r="D278" t="str">
        <f>IFERROR(__xludf.DUMMYFUNCTION("""COMPUTED_VALUE"""),"Kiatpipattanakul (Dista)")</f>
        <v>Kiatpipattanakul (Dista)</v>
      </c>
      <c r="E278" t="str">
        <f>IFERROR(__xludf.DUMMYFUNCTION("""COMPUTED_VALUE"""),"Praewpailin Kiatpipattanakul")</f>
        <v>Praewpailin Kiatpipattanakul</v>
      </c>
      <c r="F278" t="str">
        <f>IFERROR(__xludf.DUMMYFUNCTION("""COMPUTED_VALUE"""),"นางสาว")</f>
        <v>นางสาว</v>
      </c>
      <c r="G278" t="str">
        <f>IFERROR(__xludf.DUMMYFUNCTION("""COMPUTED_VALUE"""),"แพรวไพลิน")</f>
        <v>แพรวไพลิน</v>
      </c>
      <c r="H278" t="str">
        <f>IFERROR(__xludf.DUMMYFUNCTION("""COMPUTED_VALUE"""),"เกียรติพิพัฒนกุล (ดิษฐะ)")</f>
        <v>เกียรติพิพัฒนกุล (ดิษฐะ)</v>
      </c>
      <c r="I278" t="str">
        <f>IFERROR(__xludf.DUMMYFUNCTION("""COMPUTED_VALUE"""),"แพรวไพลิน เกียรติพิพัฒนกุล")</f>
        <v>แพรวไพลิน เกียรติพิพัฒนกุล</v>
      </c>
      <c r="J278" t="str">
        <f>IFERROR(__xludf.DUMMYFUNCTION("""COMPUTED_VALUE"""),"มินท์")</f>
        <v>มินท์</v>
      </c>
      <c r="K278" t="str">
        <f>IFERROR(__xludf.DUMMYFUNCTION("""COMPUTED_VALUE"""),"Senior Cabin Crew")</f>
        <v>Senior Cabin Crew</v>
      </c>
      <c r="L278" t="str">
        <f>IFERROR(__xludf.DUMMYFUNCTION("""COMPUTED_VALUE"""),"DMK")</f>
        <v>DMK</v>
      </c>
      <c r="M278" s="145" t="str">
        <f>IFERROR(__xludf.DUMMYFUNCTION("""COMPUTED_VALUE"""),"Um Home")</f>
        <v>Um Home</v>
      </c>
      <c r="N278" t="str">
        <f>IFERROR(__xludf.DUMMYFUNCTION("""COMPUTED_VALUE"""),"Active")</f>
        <v>Active</v>
      </c>
      <c r="O278" t="str">
        <f>IFERROR(__xludf.DUMMYFUNCTION("""COMPUTED_VALUE"""),"Chinese Speaking")</f>
        <v>Chinese Speaking</v>
      </c>
      <c r="P278" s="143">
        <f>IFERROR(__xludf.DUMMYFUNCTION("""COMPUTED_VALUE"""),31181.0)</f>
        <v>31181</v>
      </c>
      <c r="Q278" s="146" t="str">
        <f>IFERROR(__xludf.DUMMYFUNCTION("""COMPUTED_VALUE"""),"099 419 6635")</f>
        <v>099 419 6635</v>
      </c>
      <c r="R278" s="147" t="str">
        <f>IFERROR(__xludf.DUMMYFUNCTION("""COMPUTED_VALUE"""),"12299-0006-2864")</f>
        <v>12299-0006-2864</v>
      </c>
      <c r="S278" t="str">
        <f>IFERROR(__xludf.DUMMYFUNCTION("""COMPUTED_VALUE"""),"AC4320553")</f>
        <v>AC4320553</v>
      </c>
      <c r="T278" s="148">
        <f>IFERROR(__xludf.DUMMYFUNCTION("""COMPUTED_VALUE"""),44921.0)</f>
        <v>44921</v>
      </c>
      <c r="U278" s="148">
        <f>IFERROR(__xludf.DUMMYFUNCTION("""COMPUTED_VALUE"""),48573.0)</f>
        <v>48573</v>
      </c>
      <c r="V278" s="149">
        <f>IFERROR(__xludf.DUMMYFUNCTION("""COMPUTED_VALUE"""),48390.0)</f>
        <v>48390</v>
      </c>
      <c r="W278" t="str">
        <f>IFERROR(__xludf.DUMMYFUNCTION("""COMPUTED_VALUE"""),"ปลอดภัย")</f>
        <v>ปลอดภัย</v>
      </c>
      <c r="X278" t="str">
        <f>IFERROR(__xludf.DUMMYFUNCTION("""COMPUTED_VALUE"""),"Chanthaburi Province")</f>
        <v>Chanthaburi Province</v>
      </c>
      <c r="Y278" t="str">
        <f>IFERROR(__xludf.DUMMYFUNCTION("""COMPUTED_VALUE"""),"Dindang")</f>
        <v>Dindang</v>
      </c>
      <c r="Z278" t="str">
        <f>IFERROR(__xludf.DUMMYFUNCTION("""COMPUTED_VALUE"""),"087 496 4884")</f>
        <v>087 496 4884</v>
      </c>
      <c r="AA278" t="str">
        <f>IFERROR(__xludf.DUMMYFUNCTION("""COMPUTED_VALUE"""),"Wannika")</f>
        <v>Wannika</v>
      </c>
      <c r="AB278" t="str">
        <f>IFERROR(__xludf.DUMMYFUNCTION("""COMPUTED_VALUE"""),"praewpailink@airasia.com")</f>
        <v>praewpailink@airasia.com</v>
      </c>
    </row>
    <row r="279">
      <c r="A279">
        <f>IFERROR(__xludf.DUMMYFUNCTION("""COMPUTED_VALUE"""),1005958.0)</f>
        <v>1005958</v>
      </c>
      <c r="B279" t="str">
        <f>IFERROR(__xludf.DUMMYFUNCTION("""COMPUTED_VALUE"""),"Mr.")</f>
        <v>Mr.</v>
      </c>
      <c r="C279" t="str">
        <f>IFERROR(__xludf.DUMMYFUNCTION("""COMPUTED_VALUE"""),"Pumipat")</f>
        <v>Pumipat</v>
      </c>
      <c r="D279" t="str">
        <f>IFERROR(__xludf.DUMMYFUNCTION("""COMPUTED_VALUE"""),"Khorkongprasert")</f>
        <v>Khorkongprasert</v>
      </c>
      <c r="E279" t="str">
        <f>IFERROR(__xludf.DUMMYFUNCTION("""COMPUTED_VALUE"""),"Pumipat Khorkongprasert")</f>
        <v>Pumipat Khorkongprasert</v>
      </c>
      <c r="F279" t="str">
        <f>IFERROR(__xludf.DUMMYFUNCTION("""COMPUTED_VALUE"""),"นาย")</f>
        <v>นาย</v>
      </c>
      <c r="G279" t="str">
        <f>IFERROR(__xludf.DUMMYFUNCTION("""COMPUTED_VALUE"""),"ภูมิพัฒน์")</f>
        <v>ภูมิพัฒน์</v>
      </c>
      <c r="H279" t="str">
        <f>IFERROR(__xludf.DUMMYFUNCTION("""COMPUTED_VALUE"""),"ขอคงประเสริฐ")</f>
        <v>ขอคงประเสริฐ</v>
      </c>
      <c r="I279" t="str">
        <f>IFERROR(__xludf.DUMMYFUNCTION("""COMPUTED_VALUE"""),"ภูมิพัฒน์ ขอคงประเสริฐ")</f>
        <v>ภูมิพัฒน์ ขอคงประเสริฐ</v>
      </c>
      <c r="J279" t="str">
        <f>IFERROR(__xludf.DUMMYFUNCTION("""COMPUTED_VALUE"""),"พู")</f>
        <v>พู</v>
      </c>
      <c r="K279" t="str">
        <f>IFERROR(__xludf.DUMMYFUNCTION("""COMPUTED_VALUE"""),"Senior Cabin Crew")</f>
        <v>Senior Cabin Crew</v>
      </c>
      <c r="L279" t="str">
        <f>IFERROR(__xludf.DUMMYFUNCTION("""COMPUTED_VALUE"""),"DMK")</f>
        <v>DMK</v>
      </c>
      <c r="M279" s="145" t="str">
        <f>IFERROR(__xludf.DUMMYFUNCTION("""COMPUTED_VALUE"""),"Por+ Home")</f>
        <v>Por+ Home</v>
      </c>
      <c r="N279" t="str">
        <f>IFERROR(__xludf.DUMMYFUNCTION("""COMPUTED_VALUE"""),"Active")</f>
        <v>Active</v>
      </c>
      <c r="O279" t="str">
        <f>IFERROR(__xludf.DUMMYFUNCTION("""COMPUTED_VALUE"""),"Japanese Speaking")</f>
        <v>Japanese Speaking</v>
      </c>
      <c r="P279" s="143">
        <f>IFERROR(__xludf.DUMMYFUNCTION("""COMPUTED_VALUE"""),31310.0)</f>
        <v>31310</v>
      </c>
      <c r="Q279" s="146" t="str">
        <f>IFERROR(__xludf.DUMMYFUNCTION("""COMPUTED_VALUE"""),"089 724 4363")</f>
        <v>089 724 4363</v>
      </c>
      <c r="R279" s="147" t="str">
        <f>IFERROR(__xludf.DUMMYFUNCTION("""COMPUTED_VALUE"""),"18599-0001-8304")</f>
        <v>18599-0001-8304</v>
      </c>
      <c r="S279" t="str">
        <f>IFERROR(__xludf.DUMMYFUNCTION("""COMPUTED_VALUE"""),"AC5746330")</f>
        <v>AC5746330</v>
      </c>
      <c r="T279" s="148">
        <f>IFERROR(__xludf.DUMMYFUNCTION("""COMPUTED_VALUE"""),45201.0)</f>
        <v>45201</v>
      </c>
      <c r="U279" s="148">
        <f>IFERROR(__xludf.DUMMYFUNCTION("""COMPUTED_VALUE"""),48853.0)</f>
        <v>48853</v>
      </c>
      <c r="V279" s="149">
        <f>IFERROR(__xludf.DUMMYFUNCTION("""COMPUTED_VALUE"""),48670.0)</f>
        <v>48670</v>
      </c>
      <c r="W279" t="str">
        <f>IFERROR(__xludf.DUMMYFUNCTION("""COMPUTED_VALUE"""),"ปลอดภัย")</f>
        <v>ปลอดภัย</v>
      </c>
      <c r="X279" t="str">
        <f>IFERROR(__xludf.DUMMYFUNCTION("""COMPUTED_VALUE"""),"Ranong Province")</f>
        <v>Ranong Province</v>
      </c>
      <c r="Y279" t="str">
        <f>IFERROR(__xludf.DUMMYFUNCTION("""COMPUTED_VALUE"""),"Suanluang")</f>
        <v>Suanluang</v>
      </c>
      <c r="Z279" t="str">
        <f>IFERROR(__xludf.DUMMYFUNCTION("""COMPUTED_VALUE"""),"089 729 3010")</f>
        <v>089 729 3010</v>
      </c>
      <c r="AA279" t="str">
        <f>IFERROR(__xludf.DUMMYFUNCTION("""COMPUTED_VALUE"""),"Nuttakorn")</f>
        <v>Nuttakorn</v>
      </c>
      <c r="AB279" t="str">
        <f>IFERROR(__xludf.DUMMYFUNCTION("""COMPUTED_VALUE"""),"pumipatk@airasia.com")</f>
        <v>pumipatk@airasia.com</v>
      </c>
    </row>
    <row r="280">
      <c r="A280">
        <f>IFERROR(__xludf.DUMMYFUNCTION("""COMPUTED_VALUE"""),1005964.0)</f>
        <v>1005964</v>
      </c>
      <c r="B280" t="str">
        <f>IFERROR(__xludf.DUMMYFUNCTION("""COMPUTED_VALUE"""),"Ms.")</f>
        <v>Ms.</v>
      </c>
      <c r="C280" t="str">
        <f>IFERROR(__xludf.DUMMYFUNCTION("""COMPUTED_VALUE"""),"Sawitri")</f>
        <v>Sawitri</v>
      </c>
      <c r="D280" t="str">
        <f>IFERROR(__xludf.DUMMYFUNCTION("""COMPUTED_VALUE"""),"Siribunrueangwong")</f>
        <v>Siribunrueangwong</v>
      </c>
      <c r="E280" t="str">
        <f>IFERROR(__xludf.DUMMYFUNCTION("""COMPUTED_VALUE"""),"Sawitri Siribunrueangwong")</f>
        <v>Sawitri Siribunrueangwong</v>
      </c>
      <c r="F280" t="str">
        <f>IFERROR(__xludf.DUMMYFUNCTION("""COMPUTED_VALUE"""),"นางสาว")</f>
        <v>นางสาว</v>
      </c>
      <c r="G280" t="str">
        <f>IFERROR(__xludf.DUMMYFUNCTION("""COMPUTED_VALUE"""),"สาวิตรี")</f>
        <v>สาวิตรี</v>
      </c>
      <c r="H280" t="str">
        <f>IFERROR(__xludf.DUMMYFUNCTION("""COMPUTED_VALUE"""),"ศิริบุญเรืองวงศ์")</f>
        <v>ศิริบุญเรืองวงศ์</v>
      </c>
      <c r="I280" t="str">
        <f>IFERROR(__xludf.DUMMYFUNCTION("""COMPUTED_VALUE"""),"สาวิตรี ศิริบุญเรืองวงศ์")</f>
        <v>สาวิตรี ศิริบุญเรืองวงศ์</v>
      </c>
      <c r="J280" t="str">
        <f>IFERROR(__xludf.DUMMYFUNCTION("""COMPUTED_VALUE"""),"กวาง")</f>
        <v>กวาง</v>
      </c>
      <c r="K280" t="str">
        <f>IFERROR(__xludf.DUMMYFUNCTION("""COMPUTED_VALUE"""),"Cabin Crew")</f>
        <v>Cabin Crew</v>
      </c>
      <c r="L280" t="str">
        <f>IFERROR(__xludf.DUMMYFUNCTION("""COMPUTED_VALUE"""),"DMK")</f>
        <v>DMK</v>
      </c>
      <c r="M280" s="145" t="str">
        <f>IFERROR(__xludf.DUMMYFUNCTION("""COMPUTED_VALUE"""),"Um Home")</f>
        <v>Um Home</v>
      </c>
      <c r="N280" t="str">
        <f>IFERROR(__xludf.DUMMYFUNCTION("""COMPUTED_VALUE"""),"Active")</f>
        <v>Active</v>
      </c>
      <c r="P280" s="143">
        <f>IFERROR(__xludf.DUMMYFUNCTION("""COMPUTED_VALUE"""),31850.0)</f>
        <v>31850</v>
      </c>
      <c r="Q280" s="146" t="str">
        <f>IFERROR(__xludf.DUMMYFUNCTION("""COMPUTED_VALUE"""),"089 893 1530")</f>
        <v>089 893 1530</v>
      </c>
      <c r="R280" s="147" t="str">
        <f>IFERROR(__xludf.DUMMYFUNCTION("""COMPUTED_VALUE"""),"11008-0032-7133")</f>
        <v>11008-0032-7133</v>
      </c>
      <c r="S280" t="str">
        <f>IFERROR(__xludf.DUMMYFUNCTION("""COMPUTED_VALUE"""),"AC5274403")</f>
        <v>AC5274403</v>
      </c>
      <c r="T280" s="148">
        <f>IFERROR(__xludf.DUMMYFUNCTION("""COMPUTED_VALUE"""),45116.0)</f>
        <v>45116</v>
      </c>
      <c r="U280" s="148">
        <f>IFERROR(__xludf.DUMMYFUNCTION("""COMPUTED_VALUE"""),48768.0)</f>
        <v>48768</v>
      </c>
      <c r="V280" s="149">
        <f>IFERROR(__xludf.DUMMYFUNCTION("""COMPUTED_VALUE"""),48587.0)</f>
        <v>48587</v>
      </c>
      <c r="W280" t="str">
        <f>IFERROR(__xludf.DUMMYFUNCTION("""COMPUTED_VALUE"""),"ปลอดภัย")</f>
        <v>ปลอดภัย</v>
      </c>
      <c r="X280" t="str">
        <f>IFERROR(__xludf.DUMMYFUNCTION("""COMPUTED_VALUE"""),"Bangkok")</f>
        <v>Bangkok</v>
      </c>
      <c r="Y280" t="str">
        <f>IFERROR(__xludf.DUMMYFUNCTION("""COMPUTED_VALUE"""),"Pomprabsattruphai")</f>
        <v>Pomprabsattruphai</v>
      </c>
      <c r="Z280" t="str">
        <f>IFERROR(__xludf.DUMMYFUNCTION("""COMPUTED_VALUE"""),"089 449 6253")</f>
        <v>089 449 6253</v>
      </c>
      <c r="AA280" t="str">
        <f>IFERROR(__xludf.DUMMYFUNCTION("""COMPUTED_VALUE"""),"Wannisa")</f>
        <v>Wannisa</v>
      </c>
      <c r="AB280" t="str">
        <f>IFERROR(__xludf.DUMMYFUNCTION("""COMPUTED_VALUE"""),"sawitris@airasia.com")</f>
        <v>sawitris@airasia.com</v>
      </c>
    </row>
    <row r="281">
      <c r="A281">
        <f>IFERROR(__xludf.DUMMYFUNCTION("""COMPUTED_VALUE"""),1005967.0)</f>
        <v>1005967</v>
      </c>
      <c r="B281" t="str">
        <f>IFERROR(__xludf.DUMMYFUNCTION("""COMPUTED_VALUE"""),"Mr.")</f>
        <v>Mr.</v>
      </c>
      <c r="C281" t="str">
        <f>IFERROR(__xludf.DUMMYFUNCTION("""COMPUTED_VALUE"""),"Yukol (Thakrit)")</f>
        <v>Yukol (Thakrit)</v>
      </c>
      <c r="D281" t="str">
        <f>IFERROR(__xludf.DUMMYFUNCTION("""COMPUTED_VALUE"""),"Phubunjongkij")</f>
        <v>Phubunjongkij</v>
      </c>
      <c r="E281" t="str">
        <f>IFERROR(__xludf.DUMMYFUNCTION("""COMPUTED_VALUE"""),"Yukol Phubunjongkij")</f>
        <v>Yukol Phubunjongkij</v>
      </c>
      <c r="F281" t="str">
        <f>IFERROR(__xludf.DUMMYFUNCTION("""COMPUTED_VALUE"""),"นาย")</f>
        <v>นาย</v>
      </c>
      <c r="G281" t="str">
        <f>IFERROR(__xludf.DUMMYFUNCTION("""COMPUTED_VALUE"""),"ยุคล (ธกฤต)")</f>
        <v>ยุคล (ธกฤต)</v>
      </c>
      <c r="H281" t="str">
        <f>IFERROR(__xludf.DUMMYFUNCTION("""COMPUTED_VALUE"""),"ภูบรรจงกิจ")</f>
        <v>ภูบรรจงกิจ</v>
      </c>
      <c r="I281" t="str">
        <f>IFERROR(__xludf.DUMMYFUNCTION("""COMPUTED_VALUE"""),"ยุคล ภูบรรจงกิจ")</f>
        <v>ยุคล ภูบรรจงกิจ</v>
      </c>
      <c r="J281" t="str">
        <f>IFERROR(__xludf.DUMMYFUNCTION("""COMPUTED_VALUE"""),"อั้ม")</f>
        <v>อั้ม</v>
      </c>
      <c r="K281" t="str">
        <f>IFERROR(__xludf.DUMMYFUNCTION("""COMPUTED_VALUE"""),"Senior Cabin Crew")</f>
        <v>Senior Cabin Crew</v>
      </c>
      <c r="L281" t="str">
        <f>IFERROR(__xludf.DUMMYFUNCTION("""COMPUTED_VALUE"""),"DMK")</f>
        <v>DMK</v>
      </c>
      <c r="M281" s="145" t="str">
        <f>IFERROR(__xludf.DUMMYFUNCTION("""COMPUTED_VALUE"""),"Kor Home")</f>
        <v>Kor Home</v>
      </c>
      <c r="N281" t="str">
        <f>IFERROR(__xludf.DUMMYFUNCTION("""COMPUTED_VALUE"""),"Active")</f>
        <v>Active</v>
      </c>
      <c r="O281" t="str">
        <f>IFERROR(__xludf.DUMMYFUNCTION("""COMPUTED_VALUE"""),"SCC Line Checker 2025")</f>
        <v>SCC Line Checker 2025</v>
      </c>
      <c r="P281" s="143">
        <f>IFERROR(__xludf.DUMMYFUNCTION("""COMPUTED_VALUE"""),31915.0)</f>
        <v>31915</v>
      </c>
      <c r="Q281" s="146" t="str">
        <f>IFERROR(__xludf.DUMMYFUNCTION("""COMPUTED_VALUE"""),"087-554-6924")</f>
        <v>087-554-6924</v>
      </c>
      <c r="R281" s="147" t="str">
        <f>IFERROR(__xludf.DUMMYFUNCTION("""COMPUTED_VALUE"""),"11020-0078-7689")</f>
        <v>11020-0078-7689</v>
      </c>
      <c r="S281" t="str">
        <f>IFERROR(__xludf.DUMMYFUNCTION("""COMPUTED_VALUE"""),"AC2296817")</f>
        <v>AC2296817</v>
      </c>
      <c r="T281" s="148">
        <f>IFERROR(__xludf.DUMMYFUNCTION("""COMPUTED_VALUE"""),44349.0)</f>
        <v>44349</v>
      </c>
      <c r="U281" s="148">
        <f>IFERROR(__xludf.DUMMYFUNCTION("""COMPUTED_VALUE"""),48000.0)</f>
        <v>48000</v>
      </c>
      <c r="V281" s="149">
        <f>IFERROR(__xludf.DUMMYFUNCTION("""COMPUTED_VALUE"""),47818.0)</f>
        <v>47818</v>
      </c>
      <c r="W281" t="str">
        <f>IFERROR(__xludf.DUMMYFUNCTION("""COMPUTED_VALUE"""),"ปลอดภัย")</f>
        <v>ปลอดภัย</v>
      </c>
      <c r="X281" t="str">
        <f>IFERROR(__xludf.DUMMYFUNCTION("""COMPUTED_VALUE"""),"Bangkok")</f>
        <v>Bangkok</v>
      </c>
      <c r="Y281" t="str">
        <f>IFERROR(__xludf.DUMMYFUNCTION("""COMPUTED_VALUE"""),"Nonthaburi")</f>
        <v>Nonthaburi</v>
      </c>
      <c r="Z281" t="str">
        <f>IFERROR(__xludf.DUMMYFUNCTION("""COMPUTED_VALUE"""),"081 425 5844")</f>
        <v>081 425 5844</v>
      </c>
      <c r="AB281" t="str">
        <f>IFERROR(__xludf.DUMMYFUNCTION("""COMPUTED_VALUE"""),"yukolphu@airasia.com")</f>
        <v>yukolphu@airasia.com</v>
      </c>
    </row>
    <row r="282">
      <c r="A282">
        <f>IFERROR(__xludf.DUMMYFUNCTION("""COMPUTED_VALUE"""),1005972.0)</f>
        <v>1005972</v>
      </c>
      <c r="B282" t="str">
        <f>IFERROR(__xludf.DUMMYFUNCTION("""COMPUTED_VALUE"""),"Mr.")</f>
        <v>Mr.</v>
      </c>
      <c r="C282" t="str">
        <f>IFERROR(__xludf.DUMMYFUNCTION("""COMPUTED_VALUE"""),"Wuttipon")</f>
        <v>Wuttipon</v>
      </c>
      <c r="D282" t="str">
        <f>IFERROR(__xludf.DUMMYFUNCTION("""COMPUTED_VALUE"""),"Onpuns")</f>
        <v>Onpuns</v>
      </c>
      <c r="E282" t="str">
        <f>IFERROR(__xludf.DUMMYFUNCTION("""COMPUTED_VALUE"""),"Wuttipon Onpuns")</f>
        <v>Wuttipon Onpuns</v>
      </c>
      <c r="F282" t="str">
        <f>IFERROR(__xludf.DUMMYFUNCTION("""COMPUTED_VALUE"""),"นาย")</f>
        <v>นาย</v>
      </c>
      <c r="G282" t="str">
        <f>IFERROR(__xludf.DUMMYFUNCTION("""COMPUTED_VALUE"""),"วุฒิพล")</f>
        <v>วุฒิพล</v>
      </c>
      <c r="H282" t="str">
        <f>IFERROR(__xludf.DUMMYFUNCTION("""COMPUTED_VALUE"""),"อ้นปันส์")</f>
        <v>อ้นปันส์</v>
      </c>
      <c r="I282" t="str">
        <f>IFERROR(__xludf.DUMMYFUNCTION("""COMPUTED_VALUE"""),"วุฒิพล อ้นปันส์")</f>
        <v>วุฒิพล อ้นปันส์</v>
      </c>
      <c r="J282" t="str">
        <f>IFERROR(__xludf.DUMMYFUNCTION("""COMPUTED_VALUE"""),"เดียร์")</f>
        <v>เดียร์</v>
      </c>
      <c r="K282" t="str">
        <f>IFERROR(__xludf.DUMMYFUNCTION("""COMPUTED_VALUE"""),"Cabin Crew - CNX")</f>
        <v>Cabin Crew - CNX</v>
      </c>
      <c r="L282" t="str">
        <f>IFERROR(__xludf.DUMMYFUNCTION("""COMPUTED_VALUE"""),"CNX")</f>
        <v>CNX</v>
      </c>
      <c r="M282" s="145" t="str">
        <f>IFERROR(__xludf.DUMMYFUNCTION("""COMPUTED_VALUE"""),"Up Home")</f>
        <v>Up Home</v>
      </c>
      <c r="N282" t="str">
        <f>IFERROR(__xludf.DUMMYFUNCTION("""COMPUTED_VALUE"""),"Active")</f>
        <v>Active</v>
      </c>
      <c r="P282" s="143">
        <f>IFERROR(__xludf.DUMMYFUNCTION("""COMPUTED_VALUE"""),31349.0)</f>
        <v>31349</v>
      </c>
      <c r="Q282" s="146" t="str">
        <f>IFERROR(__xludf.DUMMYFUNCTION("""COMPUTED_VALUE"""),"086 321 2371")</f>
        <v>086 321 2371</v>
      </c>
      <c r="R282" s="147" t="str">
        <f>IFERROR(__xludf.DUMMYFUNCTION("""COMPUTED_VALUE"""),"17099-0015-6325")</f>
        <v>17099-0015-6325</v>
      </c>
      <c r="S282" t="str">
        <f>IFERROR(__xludf.DUMMYFUNCTION("""COMPUTED_VALUE"""),"AD3327105")</f>
        <v>AD3327105</v>
      </c>
      <c r="T282" s="148">
        <f>IFERROR(__xludf.DUMMYFUNCTION("""COMPUTED_VALUE"""),46097.0)</f>
        <v>46097</v>
      </c>
      <c r="U282" s="148">
        <f>IFERROR(__xludf.DUMMYFUNCTION("""COMPUTED_VALUE"""),49749.0)</f>
        <v>49749</v>
      </c>
      <c r="V282" s="149">
        <f>IFERROR(__xludf.DUMMYFUNCTION("""COMPUTED_VALUE"""),49567.0)</f>
        <v>49567</v>
      </c>
      <c r="W282" t="str">
        <f>IFERROR(__xludf.DUMMYFUNCTION("""COMPUTED_VALUE"""),"ปลอดภัย")</f>
        <v>ปลอดภัย</v>
      </c>
      <c r="X282" t="str">
        <f>IFERROR(__xludf.DUMMYFUNCTION("""COMPUTED_VALUE"""),"Ratchaburi")</f>
        <v>Ratchaburi</v>
      </c>
      <c r="Y282" t="str">
        <f>IFERROR(__xludf.DUMMYFUNCTION("""COMPUTED_VALUE"""),"Nakonpatom")</f>
        <v>Nakonpatom</v>
      </c>
      <c r="Z282" t="str">
        <f>IFERROR(__xludf.DUMMYFUNCTION("""COMPUTED_VALUE"""),"087 153 3567")</f>
        <v>087 153 3567</v>
      </c>
      <c r="AA282" t="str">
        <f>IFERROR(__xludf.DUMMYFUNCTION("""COMPUTED_VALUE"""),"Thanadit")</f>
        <v>Thanadit</v>
      </c>
      <c r="AB282" t="str">
        <f>IFERROR(__xludf.DUMMYFUNCTION("""COMPUTED_VALUE"""),"wuttipono@airasia.com")</f>
        <v>wuttipono@airasia.com</v>
      </c>
    </row>
    <row r="283">
      <c r="AB283" t="str">
        <f>IFERROR(__xludf.DUMMYFUNCTION("""COMPUTED_VALUE"""),"")</f>
        <v/>
      </c>
    </row>
    <row r="284">
      <c r="A284">
        <f>IFERROR(__xludf.DUMMYFUNCTION("""COMPUTED_VALUE"""),1006052.0)</f>
        <v>1006052</v>
      </c>
      <c r="B284" t="str">
        <f>IFERROR(__xludf.DUMMYFUNCTION("""COMPUTED_VALUE"""),"Ms.")</f>
        <v>Ms.</v>
      </c>
      <c r="C284" t="str">
        <f>IFERROR(__xludf.DUMMYFUNCTION("""COMPUTED_VALUE"""),"Ananya")</f>
        <v>Ananya</v>
      </c>
      <c r="D284" t="str">
        <f>IFERROR(__xludf.DUMMYFUNCTION("""COMPUTED_VALUE"""),"Sindhusen")</f>
        <v>Sindhusen</v>
      </c>
      <c r="E284" t="str">
        <f>IFERROR(__xludf.DUMMYFUNCTION("""COMPUTED_VALUE"""),"Ananya Sindhusen")</f>
        <v>Ananya Sindhusen</v>
      </c>
      <c r="F284" t="str">
        <f>IFERROR(__xludf.DUMMYFUNCTION("""COMPUTED_VALUE"""),"นางสาว")</f>
        <v>นางสาว</v>
      </c>
      <c r="G284" t="str">
        <f>IFERROR(__xludf.DUMMYFUNCTION("""COMPUTED_VALUE"""),"อนัญญา")</f>
        <v>อนัญญา</v>
      </c>
      <c r="H284" t="str">
        <f>IFERROR(__xludf.DUMMYFUNCTION("""COMPUTED_VALUE"""),"สินธุเสน")</f>
        <v>สินธุเสน</v>
      </c>
      <c r="I284" t="str">
        <f>IFERROR(__xludf.DUMMYFUNCTION("""COMPUTED_VALUE"""),"อนัญญา สินธุเสน")</f>
        <v>อนัญญา สินธุเสน</v>
      </c>
      <c r="J284" t="str">
        <f>IFERROR(__xludf.DUMMYFUNCTION("""COMPUTED_VALUE"""),"กวาง")</f>
        <v>กวาง</v>
      </c>
      <c r="K284" t="str">
        <f>IFERROR(__xludf.DUMMYFUNCTION("""COMPUTED_VALUE"""),"Cabin Crew")</f>
        <v>Cabin Crew</v>
      </c>
      <c r="L284" t="str">
        <f>IFERROR(__xludf.DUMMYFUNCTION("""COMPUTED_VALUE"""),"DMK")</f>
        <v>DMK</v>
      </c>
      <c r="M284" s="145" t="str">
        <f>IFERROR(__xludf.DUMMYFUNCTION("""COMPUTED_VALUE"""),"Um Home")</f>
        <v>Um Home</v>
      </c>
      <c r="N284" t="str">
        <f>IFERROR(__xludf.DUMMYFUNCTION("""COMPUTED_VALUE"""),"Active")</f>
        <v>Active</v>
      </c>
      <c r="P284" s="143">
        <f>IFERROR(__xludf.DUMMYFUNCTION("""COMPUTED_VALUE"""),31557.0)</f>
        <v>31557</v>
      </c>
      <c r="Q284" s="146">
        <f>IFERROR(__xludf.DUMMYFUNCTION("""COMPUTED_VALUE"""),8.41624564E8)</f>
        <v>841624564</v>
      </c>
      <c r="R284" s="147" t="str">
        <f>IFERROR(__xludf.DUMMYFUNCTION("""COMPUTED_VALUE"""),"11014-0068-6579")</f>
        <v>11014-0068-6579</v>
      </c>
      <c r="S284" t="str">
        <f>IFERROR(__xludf.DUMMYFUNCTION("""COMPUTED_VALUE"""),"AC2296847")</f>
        <v>AC2296847</v>
      </c>
      <c r="T284" s="148">
        <f>IFERROR(__xludf.DUMMYFUNCTION("""COMPUTED_VALUE"""),44351.0)</f>
        <v>44351</v>
      </c>
      <c r="U284" s="148">
        <f>IFERROR(__xludf.DUMMYFUNCTION("""COMPUTED_VALUE"""),48002.0)</f>
        <v>48002</v>
      </c>
      <c r="V284" s="149">
        <f>IFERROR(__xludf.DUMMYFUNCTION("""COMPUTED_VALUE"""),47820.0)</f>
        <v>47820</v>
      </c>
      <c r="W284" t="str">
        <f>IFERROR(__xludf.DUMMYFUNCTION("""COMPUTED_VALUE"""),"ปลอดภัย")</f>
        <v>ปลอดภัย</v>
      </c>
      <c r="X284" t="str">
        <f>IFERROR(__xludf.DUMMYFUNCTION("""COMPUTED_VALUE"""),"Bangkok")</f>
        <v>Bangkok</v>
      </c>
      <c r="Y284" t="str">
        <f>IFERROR(__xludf.DUMMYFUNCTION("""COMPUTED_VALUE"""),"Donmuang")</f>
        <v>Donmuang</v>
      </c>
      <c r="Z284" t="str">
        <f>IFERROR(__xludf.DUMMYFUNCTION("""COMPUTED_VALUE"""),"081 517 2582")</f>
        <v>081 517 2582</v>
      </c>
      <c r="AA284" t="str">
        <f>IFERROR(__xludf.DUMMYFUNCTION("""COMPUTED_VALUE"""),"Charnchalerm")</f>
        <v>Charnchalerm</v>
      </c>
      <c r="AB284" t="str">
        <f>IFERROR(__xludf.DUMMYFUNCTION("""COMPUTED_VALUE"""),"ananyas@airasia.com")</f>
        <v>ananyas@airasia.com</v>
      </c>
    </row>
    <row r="285">
      <c r="A285">
        <f>IFERROR(__xludf.DUMMYFUNCTION("""COMPUTED_VALUE"""),1006076.0)</f>
        <v>1006076</v>
      </c>
      <c r="B285" t="str">
        <f>IFERROR(__xludf.DUMMYFUNCTION("""COMPUTED_VALUE"""),"Ms.")</f>
        <v>Ms.</v>
      </c>
      <c r="C285" t="str">
        <f>IFERROR(__xludf.DUMMYFUNCTION("""COMPUTED_VALUE"""),"Naruechon")</f>
        <v>Naruechon</v>
      </c>
      <c r="D285" t="str">
        <f>IFERROR(__xludf.DUMMYFUNCTION("""COMPUTED_VALUE"""),"Rodkaew")</f>
        <v>Rodkaew</v>
      </c>
      <c r="E285" t="str">
        <f>IFERROR(__xludf.DUMMYFUNCTION("""COMPUTED_VALUE"""),"Naruechon Rodkaew")</f>
        <v>Naruechon Rodkaew</v>
      </c>
      <c r="F285" t="str">
        <f>IFERROR(__xludf.DUMMYFUNCTION("""COMPUTED_VALUE"""),"นางสาว")</f>
        <v>นางสาว</v>
      </c>
      <c r="G285" t="str">
        <f>IFERROR(__xludf.DUMMYFUNCTION("""COMPUTED_VALUE"""),"นฤชล")</f>
        <v>นฤชล</v>
      </c>
      <c r="H285" t="str">
        <f>IFERROR(__xludf.DUMMYFUNCTION("""COMPUTED_VALUE"""),"รอดแก้ว")</f>
        <v>รอดแก้ว</v>
      </c>
      <c r="I285" t="str">
        <f>IFERROR(__xludf.DUMMYFUNCTION("""COMPUTED_VALUE"""),"นฤชล รอดแก้ว")</f>
        <v>นฤชล รอดแก้ว</v>
      </c>
      <c r="J285" t="str">
        <f>IFERROR(__xludf.DUMMYFUNCTION("""COMPUTED_VALUE"""),"เม")</f>
        <v>เม</v>
      </c>
      <c r="K285" t="str">
        <f>IFERROR(__xludf.DUMMYFUNCTION("""COMPUTED_VALUE"""),"Senior Cabin Crew - BKK")</f>
        <v>Senior Cabin Crew - BKK</v>
      </c>
      <c r="L285" t="str">
        <f>IFERROR(__xludf.DUMMYFUNCTION("""COMPUTED_VALUE"""),"BKK")</f>
        <v>BKK</v>
      </c>
      <c r="M285" s="145" t="str">
        <f>IFERROR(__xludf.DUMMYFUNCTION("""COMPUTED_VALUE"""),"Nhui Home")</f>
        <v>Nhui Home</v>
      </c>
      <c r="N285" t="str">
        <f>IFERROR(__xludf.DUMMYFUNCTION("""COMPUTED_VALUE"""),"Active")</f>
        <v>Active</v>
      </c>
      <c r="P285" s="143">
        <f>IFERROR(__xludf.DUMMYFUNCTION("""COMPUTED_VALUE"""),31866.0)</f>
        <v>31866</v>
      </c>
      <c r="Q285" s="146" t="str">
        <f>IFERROR(__xludf.DUMMYFUNCTION("""COMPUTED_VALUE"""),"080 269 4747")</f>
        <v>080 269 4747</v>
      </c>
      <c r="R285" s="147" t="str">
        <f>IFERROR(__xludf.DUMMYFUNCTION("""COMPUTED_VALUE"""),"11014-0096-3882")</f>
        <v>11014-0096-3882</v>
      </c>
      <c r="S285" t="str">
        <f>IFERROR(__xludf.DUMMYFUNCTION("""COMPUTED_VALUE"""),"AC4844502")</f>
        <v>AC4844502</v>
      </c>
      <c r="T285" s="148">
        <f>IFERROR(__xludf.DUMMYFUNCTION("""COMPUTED_VALUE"""),45021.0)</f>
        <v>45021</v>
      </c>
      <c r="U285" s="148">
        <f>IFERROR(__xludf.DUMMYFUNCTION("""COMPUTED_VALUE"""),48673.0)</f>
        <v>48673</v>
      </c>
      <c r="V285" s="149">
        <f>IFERROR(__xludf.DUMMYFUNCTION("""COMPUTED_VALUE"""),48491.0)</f>
        <v>48491</v>
      </c>
      <c r="W285" t="str">
        <f>IFERROR(__xludf.DUMMYFUNCTION("""COMPUTED_VALUE"""),"ปลอดภัย")</f>
        <v>ปลอดภัย</v>
      </c>
      <c r="X285" t="str">
        <f>IFERROR(__xludf.DUMMYFUNCTION("""COMPUTED_VALUE"""),"Bangkok")</f>
        <v>Bangkok</v>
      </c>
      <c r="Y285" t="str">
        <f>IFERROR(__xludf.DUMMYFUNCTION("""COMPUTED_VALUE"""),"Bangphli")</f>
        <v>Bangphli</v>
      </c>
      <c r="Z285" t="str">
        <f>IFERROR(__xludf.DUMMYFUNCTION("""COMPUTED_VALUE"""),"080 283 8820")</f>
        <v>080 283 8820</v>
      </c>
      <c r="AA285" t="str">
        <f>IFERROR(__xludf.DUMMYFUNCTION("""COMPUTED_VALUE"""),"Supha")</f>
        <v>Supha</v>
      </c>
      <c r="AB285" t="str">
        <f>IFERROR(__xludf.DUMMYFUNCTION("""COMPUTED_VALUE"""),"naruechonr@airasia.com")</f>
        <v>naruechonr@airasia.com</v>
      </c>
    </row>
    <row r="286">
      <c r="A286">
        <f>IFERROR(__xludf.DUMMYFUNCTION("""COMPUTED_VALUE"""),1006081.0)</f>
        <v>1006081</v>
      </c>
      <c r="B286" t="str">
        <f>IFERROR(__xludf.DUMMYFUNCTION("""COMPUTED_VALUE"""),"Ms.")</f>
        <v>Ms.</v>
      </c>
      <c r="C286" t="str">
        <f>IFERROR(__xludf.DUMMYFUNCTION("""COMPUTED_VALUE"""),"Ploypachara")</f>
        <v>Ploypachara</v>
      </c>
      <c r="D286" t="str">
        <f>IFERROR(__xludf.DUMMYFUNCTION("""COMPUTED_VALUE"""),"Charoensup")</f>
        <v>Charoensup</v>
      </c>
      <c r="E286" t="str">
        <f>IFERROR(__xludf.DUMMYFUNCTION("""COMPUTED_VALUE"""),"Ploypachara Charoensup")</f>
        <v>Ploypachara Charoensup</v>
      </c>
      <c r="F286" t="str">
        <f>IFERROR(__xludf.DUMMYFUNCTION("""COMPUTED_VALUE"""),"นางสาว")</f>
        <v>นางสาว</v>
      </c>
      <c r="G286" t="str">
        <f>IFERROR(__xludf.DUMMYFUNCTION("""COMPUTED_VALUE"""),"พลอยพชร")</f>
        <v>พลอยพชร</v>
      </c>
      <c r="H286" t="str">
        <f>IFERROR(__xludf.DUMMYFUNCTION("""COMPUTED_VALUE"""),"เจริญทรัพย์")</f>
        <v>เจริญทรัพย์</v>
      </c>
      <c r="I286" t="str">
        <f>IFERROR(__xludf.DUMMYFUNCTION("""COMPUTED_VALUE"""),"พลอยพชร เจริญทรัพย์")</f>
        <v>พลอยพชร เจริญทรัพย์</v>
      </c>
      <c r="J286" t="str">
        <f>IFERROR(__xludf.DUMMYFUNCTION("""COMPUTED_VALUE"""),"พลอย")</f>
        <v>พลอย</v>
      </c>
      <c r="K286" t="str">
        <f>IFERROR(__xludf.DUMMYFUNCTION("""COMPUTED_VALUE"""),"Senior Cabin Crew")</f>
        <v>Senior Cabin Crew</v>
      </c>
      <c r="L286" t="str">
        <f>IFERROR(__xludf.DUMMYFUNCTION("""COMPUTED_VALUE"""),"DMK")</f>
        <v>DMK</v>
      </c>
      <c r="M286" s="145" t="str">
        <f>IFERROR(__xludf.DUMMYFUNCTION("""COMPUTED_VALUE"""),"Um Home")</f>
        <v>Um Home</v>
      </c>
      <c r="N286" t="str">
        <f>IFERROR(__xludf.DUMMYFUNCTION("""COMPUTED_VALUE"""),"Active")</f>
        <v>Active</v>
      </c>
      <c r="P286" s="143">
        <f>IFERROR(__xludf.DUMMYFUNCTION("""COMPUTED_VALUE"""),31719.0)</f>
        <v>31719</v>
      </c>
      <c r="Q286" s="146" t="str">
        <f>IFERROR(__xludf.DUMMYFUNCTION("""COMPUTED_VALUE"""),"081 932 0912")</f>
        <v>081 932 0912</v>
      </c>
      <c r="R286" s="147" t="str">
        <f>IFERROR(__xludf.DUMMYFUNCTION("""COMPUTED_VALUE"""),"11002-0027-7054")</f>
        <v>11002-0027-7054</v>
      </c>
      <c r="S286" t="str">
        <f>IFERROR(__xludf.DUMMYFUNCTION("""COMPUTED_VALUE"""),"AC3679773")</f>
        <v>AC3679773</v>
      </c>
      <c r="T286" s="148">
        <f>IFERROR(__xludf.DUMMYFUNCTION("""COMPUTED_VALUE"""),44767.0)</f>
        <v>44767</v>
      </c>
      <c r="U286" s="148">
        <f>IFERROR(__xludf.DUMMYFUNCTION("""COMPUTED_VALUE"""),46592.0)</f>
        <v>46592</v>
      </c>
      <c r="V286" s="149">
        <f>IFERROR(__xludf.DUMMYFUNCTION("""COMPUTED_VALUE"""),46411.0)</f>
        <v>46411</v>
      </c>
      <c r="W286" t="str">
        <f>IFERROR(__xludf.DUMMYFUNCTION("""COMPUTED_VALUE"""),"ปลอดภัย")</f>
        <v>ปลอดภัย</v>
      </c>
      <c r="X286" t="str">
        <f>IFERROR(__xludf.DUMMYFUNCTION("""COMPUTED_VALUE"""),"Bangkok")</f>
        <v>Bangkok</v>
      </c>
      <c r="Y286" t="str">
        <f>IFERROR(__xludf.DUMMYFUNCTION("""COMPUTED_VALUE"""),"Donmuang")</f>
        <v>Donmuang</v>
      </c>
      <c r="Z286" t="str">
        <f>IFERROR(__xludf.DUMMYFUNCTION("""COMPUTED_VALUE"""),"081 825 2408")</f>
        <v>081 825 2408</v>
      </c>
      <c r="AA286" t="str">
        <f>IFERROR(__xludf.DUMMYFUNCTION("""COMPUTED_VALUE"""),"Chuthatip")</f>
        <v>Chuthatip</v>
      </c>
      <c r="AB286" t="str">
        <f>IFERROR(__xludf.DUMMYFUNCTION("""COMPUTED_VALUE"""),"ploypacharac@airasia.com")</f>
        <v>ploypacharac@airasia.com</v>
      </c>
    </row>
    <row r="287">
      <c r="A287">
        <f>IFERROR(__xludf.DUMMYFUNCTION("""COMPUTED_VALUE"""),1006085.0)</f>
        <v>1006085</v>
      </c>
      <c r="B287" t="str">
        <f>IFERROR(__xludf.DUMMYFUNCTION("""COMPUTED_VALUE"""),"Ms.")</f>
        <v>Ms.</v>
      </c>
      <c r="C287" t="str">
        <f>IFERROR(__xludf.DUMMYFUNCTION("""COMPUTED_VALUE"""),"Sunan")</f>
        <v>Sunan</v>
      </c>
      <c r="D287" t="str">
        <f>IFERROR(__xludf.DUMMYFUNCTION("""COMPUTED_VALUE"""),"Homcharoenpanith")</f>
        <v>Homcharoenpanith</v>
      </c>
      <c r="E287" t="str">
        <f>IFERROR(__xludf.DUMMYFUNCTION("""COMPUTED_VALUE"""),"Sunan Homcharoenpanith")</f>
        <v>Sunan Homcharoenpanith</v>
      </c>
      <c r="F287" t="str">
        <f>IFERROR(__xludf.DUMMYFUNCTION("""COMPUTED_VALUE"""),"นางสาว")</f>
        <v>นางสาว</v>
      </c>
      <c r="G287" t="str">
        <f>IFERROR(__xludf.DUMMYFUNCTION("""COMPUTED_VALUE"""),"สุนันท์")</f>
        <v>สุนันท์</v>
      </c>
      <c r="H287" t="str">
        <f>IFERROR(__xludf.DUMMYFUNCTION("""COMPUTED_VALUE"""),"หอมเจริญพานิช")</f>
        <v>หอมเจริญพานิช</v>
      </c>
      <c r="I287" t="str">
        <f>IFERROR(__xludf.DUMMYFUNCTION("""COMPUTED_VALUE"""),"สุนันท์ หอมเจริญพานิช")</f>
        <v>สุนันท์ หอมเจริญพานิช</v>
      </c>
      <c r="J287" t="str">
        <f>IFERROR(__xludf.DUMMYFUNCTION("""COMPUTED_VALUE"""),"เมย์")</f>
        <v>เมย์</v>
      </c>
      <c r="K287" t="str">
        <f>IFERROR(__xludf.DUMMYFUNCTION("""COMPUTED_VALUE"""),"Senior Cabin Crew")</f>
        <v>Senior Cabin Crew</v>
      </c>
      <c r="L287" t="str">
        <f>IFERROR(__xludf.DUMMYFUNCTION("""COMPUTED_VALUE"""),"DMK")</f>
        <v>DMK</v>
      </c>
      <c r="M287" s="145" t="str">
        <f>IFERROR(__xludf.DUMMYFUNCTION("""COMPUTED_VALUE"""),"Nhui Home")</f>
        <v>Nhui Home</v>
      </c>
      <c r="N287" t="str">
        <f>IFERROR(__xludf.DUMMYFUNCTION("""COMPUTED_VALUE"""),"Active")</f>
        <v>Active</v>
      </c>
      <c r="O287" t="str">
        <f>IFERROR(__xludf.DUMMYFUNCTION("""COMPUTED_VALUE"""),"SCC Line Checker 2025")</f>
        <v>SCC Line Checker 2025</v>
      </c>
      <c r="P287" s="143">
        <f>IFERROR(__xludf.DUMMYFUNCTION("""COMPUTED_VALUE"""),30667.0)</f>
        <v>30667</v>
      </c>
      <c r="Q287" s="146" t="str">
        <f>IFERROR(__xludf.DUMMYFUNCTION("""COMPUTED_VALUE"""),"092 385 3636")</f>
        <v>092 385 3636</v>
      </c>
      <c r="R287" s="147" t="str">
        <f>IFERROR(__xludf.DUMMYFUNCTION("""COMPUTED_VALUE"""),"41004 0000 3084")</f>
        <v>41004 0000 3084</v>
      </c>
      <c r="S287" t="str">
        <f>IFERROR(__xludf.DUMMYFUNCTION("""COMPUTED_VALUE"""),"AC5215386")</f>
        <v>AC5215386</v>
      </c>
      <c r="T287" s="148">
        <f>IFERROR(__xludf.DUMMYFUNCTION("""COMPUTED_VALUE"""),45120.0)</f>
        <v>45120</v>
      </c>
      <c r="U287" s="148">
        <f>IFERROR(__xludf.DUMMYFUNCTION("""COMPUTED_VALUE"""),48772.0)</f>
        <v>48772</v>
      </c>
      <c r="V287" s="149">
        <f>IFERROR(__xludf.DUMMYFUNCTION("""COMPUTED_VALUE"""),48591.0)</f>
        <v>48591</v>
      </c>
      <c r="W287" t="str">
        <f>IFERROR(__xludf.DUMMYFUNCTION("""COMPUTED_VALUE"""),"ปลอดภัย")</f>
        <v>ปลอดภัย</v>
      </c>
      <c r="X287" t="str">
        <f>IFERROR(__xludf.DUMMYFUNCTION("""COMPUTED_VALUE"""),"Bangkok")</f>
        <v>Bangkok</v>
      </c>
      <c r="Y287" t="str">
        <f>IFERROR(__xludf.DUMMYFUNCTION("""COMPUTED_VALUE"""),"Bangkapi")</f>
        <v>Bangkapi</v>
      </c>
      <c r="Z287" t="str">
        <f>IFERROR(__xludf.DUMMYFUNCTION("""COMPUTED_VALUE"""),"084 971 4023")</f>
        <v>084 971 4023</v>
      </c>
      <c r="AA287" t="str">
        <f>IFERROR(__xludf.DUMMYFUNCTION("""COMPUTED_VALUE"""),"Prasert")</f>
        <v>Prasert</v>
      </c>
      <c r="AB287" t="str">
        <f>IFERROR(__xludf.DUMMYFUNCTION("""COMPUTED_VALUE"""),"sunanh@airasia.com")</f>
        <v>sunanh@airasia.com</v>
      </c>
    </row>
    <row r="288">
      <c r="A288">
        <f>IFERROR(__xludf.DUMMYFUNCTION("""COMPUTED_VALUE"""),1006086.0)</f>
        <v>1006086</v>
      </c>
      <c r="B288" t="str">
        <f>IFERROR(__xludf.DUMMYFUNCTION("""COMPUTED_VALUE"""),"Ms.")</f>
        <v>Ms.</v>
      </c>
      <c r="C288" t="str">
        <f>IFERROR(__xludf.DUMMYFUNCTION("""COMPUTED_VALUE"""),"Tanaporn")</f>
        <v>Tanaporn</v>
      </c>
      <c r="D288" t="str">
        <f>IFERROR(__xludf.DUMMYFUNCTION("""COMPUTED_VALUE"""),"Wongviboonkul")</f>
        <v>Wongviboonkul</v>
      </c>
      <c r="E288" t="str">
        <f>IFERROR(__xludf.DUMMYFUNCTION("""COMPUTED_VALUE"""),"Tanaporn Wongviboonkul")</f>
        <v>Tanaporn Wongviboonkul</v>
      </c>
      <c r="F288" t="str">
        <f>IFERROR(__xludf.DUMMYFUNCTION("""COMPUTED_VALUE"""),"นางสาว")</f>
        <v>นางสาว</v>
      </c>
      <c r="G288" t="str">
        <f>IFERROR(__xludf.DUMMYFUNCTION("""COMPUTED_VALUE"""),"ธนาภรณ์")</f>
        <v>ธนาภรณ์</v>
      </c>
      <c r="H288" t="str">
        <f>IFERROR(__xludf.DUMMYFUNCTION("""COMPUTED_VALUE"""),"วงศ์วิบูลย์กุล")</f>
        <v>วงศ์วิบูลย์กุล</v>
      </c>
      <c r="I288" t="str">
        <f>IFERROR(__xludf.DUMMYFUNCTION("""COMPUTED_VALUE"""),"ธนาภรณ์ วงศ์วิบูลย์กุล")</f>
        <v>ธนาภรณ์ วงศ์วิบูลย์กุล</v>
      </c>
      <c r="J288" t="str">
        <f>IFERROR(__xludf.DUMMYFUNCTION("""COMPUTED_VALUE"""),"น้ำผึ้ง")</f>
        <v>น้ำผึ้ง</v>
      </c>
      <c r="K288" t="str">
        <f>IFERROR(__xludf.DUMMYFUNCTION("""COMPUTED_VALUE"""),"Cabin Crew")</f>
        <v>Cabin Crew</v>
      </c>
      <c r="L288" t="str">
        <f>IFERROR(__xludf.DUMMYFUNCTION("""COMPUTED_VALUE"""),"DMK")</f>
        <v>DMK</v>
      </c>
      <c r="M288" s="145" t="str">
        <f>IFERROR(__xludf.DUMMYFUNCTION("""COMPUTED_VALUE"""),"Por+ Home")</f>
        <v>Por+ Home</v>
      </c>
      <c r="N288" t="str">
        <f>IFERROR(__xludf.DUMMYFUNCTION("""COMPUTED_VALUE"""),"Active")</f>
        <v>Active</v>
      </c>
      <c r="O288" t="str">
        <f>IFERROR(__xludf.DUMMYFUNCTION("""COMPUTED_VALUE"""),"Chinese Speaking")</f>
        <v>Chinese Speaking</v>
      </c>
      <c r="P288" s="143">
        <f>IFERROR(__xludf.DUMMYFUNCTION("""COMPUTED_VALUE"""),32721.0)</f>
        <v>32721</v>
      </c>
      <c r="Q288" s="146" t="str">
        <f>IFERROR(__xludf.DUMMYFUNCTION("""COMPUTED_VALUE"""),"081 555 5443")</f>
        <v>081 555 5443</v>
      </c>
      <c r="R288" s="147" t="str">
        <f>IFERROR(__xludf.DUMMYFUNCTION("""COMPUTED_VALUE"""),"11004-0040-5927")</f>
        <v>11004-0040-5927</v>
      </c>
      <c r="S288" t="str">
        <f>IFERROR(__xludf.DUMMYFUNCTION("""COMPUTED_VALUE"""),"AD0231327")</f>
        <v>AD0231327</v>
      </c>
      <c r="T288" s="148">
        <f>IFERROR(__xludf.DUMMYFUNCTION("""COMPUTED_VALUE"""),44860.0)</f>
        <v>44860</v>
      </c>
      <c r="U288" s="148">
        <f>IFERROR(__xludf.DUMMYFUNCTION("""COMPUTED_VALUE"""),48512.0)</f>
        <v>48512</v>
      </c>
      <c r="V288" s="149">
        <f>IFERROR(__xludf.DUMMYFUNCTION("""COMPUTED_VALUE"""),48329.0)</f>
        <v>48329</v>
      </c>
      <c r="W288" t="str">
        <f>IFERROR(__xludf.DUMMYFUNCTION("""COMPUTED_VALUE"""),"ปลอดภัย")</f>
        <v>ปลอดภัย</v>
      </c>
      <c r="X288" t="str">
        <f>IFERROR(__xludf.DUMMYFUNCTION("""COMPUTED_VALUE"""),"Bangkok")</f>
        <v>Bangkok</v>
      </c>
      <c r="Y288" t="str">
        <f>IFERROR(__xludf.DUMMYFUNCTION("""COMPUTED_VALUE"""),"Ladphrao")</f>
        <v>Ladphrao</v>
      </c>
      <c r="Z288" t="str">
        <f>IFERROR(__xludf.DUMMYFUNCTION("""COMPUTED_VALUE"""),"089 765 8787")</f>
        <v>089 765 8787</v>
      </c>
      <c r="AA288" t="str">
        <f>IFERROR(__xludf.DUMMYFUNCTION("""COMPUTED_VALUE"""),"Sompong")</f>
        <v>Sompong</v>
      </c>
      <c r="AB288" t="str">
        <f>IFERROR(__xludf.DUMMYFUNCTION("""COMPUTED_VALUE"""),"tanapornw@airasia.com")</f>
        <v>tanapornw@airasia.com</v>
      </c>
    </row>
    <row r="289">
      <c r="AB289" t="str">
        <f>IFERROR(__xludf.DUMMYFUNCTION("""COMPUTED_VALUE"""),"")</f>
        <v/>
      </c>
    </row>
    <row r="290">
      <c r="A290">
        <f>IFERROR(__xludf.DUMMYFUNCTION("""COMPUTED_VALUE"""),1006293.0)</f>
        <v>1006293</v>
      </c>
      <c r="B290" t="str">
        <f>IFERROR(__xludf.DUMMYFUNCTION("""COMPUTED_VALUE"""),"Ms.")</f>
        <v>Ms.</v>
      </c>
      <c r="C290" t="str">
        <f>IFERROR(__xludf.DUMMYFUNCTION("""COMPUTED_VALUE"""),"Atchara")</f>
        <v>Atchara</v>
      </c>
      <c r="D290" t="str">
        <f>IFERROR(__xludf.DUMMYFUNCTION("""COMPUTED_VALUE"""),"Mettaraksa")</f>
        <v>Mettaraksa</v>
      </c>
      <c r="E290" t="str">
        <f>IFERROR(__xludf.DUMMYFUNCTION("""COMPUTED_VALUE"""),"Atchara Mettaraksa")</f>
        <v>Atchara Mettaraksa</v>
      </c>
      <c r="F290" t="str">
        <f>IFERROR(__xludf.DUMMYFUNCTION("""COMPUTED_VALUE"""),"นางสาว")</f>
        <v>นางสาว</v>
      </c>
      <c r="G290" t="str">
        <f>IFERROR(__xludf.DUMMYFUNCTION("""COMPUTED_VALUE"""),"อัจฉรา")</f>
        <v>อัจฉรา</v>
      </c>
      <c r="H290" t="str">
        <f>IFERROR(__xludf.DUMMYFUNCTION("""COMPUTED_VALUE"""),"เมตตารักษ์")</f>
        <v>เมตตารักษ์</v>
      </c>
      <c r="I290" t="str">
        <f>IFERROR(__xludf.DUMMYFUNCTION("""COMPUTED_VALUE"""),"อัจฉรา เมตตารักษ์")</f>
        <v>อัจฉรา เมตตารักษ์</v>
      </c>
      <c r="J290" t="str">
        <f>IFERROR(__xludf.DUMMYFUNCTION("""COMPUTED_VALUE"""),"ไนซ์")</f>
        <v>ไนซ์</v>
      </c>
      <c r="K290" t="str">
        <f>IFERROR(__xludf.DUMMYFUNCTION("""COMPUTED_VALUE"""),"Senior Cabin Crew - CNX")</f>
        <v>Senior Cabin Crew - CNX</v>
      </c>
      <c r="L290" t="str">
        <f>IFERROR(__xludf.DUMMYFUNCTION("""COMPUTED_VALUE"""),"CNX")</f>
        <v>CNX</v>
      </c>
      <c r="M290" s="145" t="str">
        <f>IFERROR(__xludf.DUMMYFUNCTION("""COMPUTED_VALUE"""),"Up Home")</f>
        <v>Up Home</v>
      </c>
      <c r="N290" t="str">
        <f>IFERROR(__xludf.DUMMYFUNCTION("""COMPUTED_VALUE"""),"Active")</f>
        <v>Active</v>
      </c>
      <c r="O290" t="str">
        <f>IFERROR(__xludf.DUMMYFUNCTION("""COMPUTED_VALUE"""),"SCC Line Checker 2025")</f>
        <v>SCC Line Checker 2025</v>
      </c>
      <c r="P290" s="143">
        <f>IFERROR(__xludf.DUMMYFUNCTION("""COMPUTED_VALUE"""),32045.0)</f>
        <v>32045</v>
      </c>
      <c r="Q290" s="146" t="str">
        <f>IFERROR(__xludf.DUMMYFUNCTION("""COMPUTED_VALUE"""),"098 241 9624")</f>
        <v>098 241 9624</v>
      </c>
      <c r="R290" s="147" t="str">
        <f>IFERROR(__xludf.DUMMYFUNCTION("""COMPUTED_VALUE"""),"26399-0001-6786")</f>
        <v>26399-0001-6786</v>
      </c>
      <c r="S290" t="str">
        <f>IFERROR(__xludf.DUMMYFUNCTION("""COMPUTED_VALUE"""),"AC3383597")</f>
        <v>AC3383597</v>
      </c>
      <c r="T290" s="148">
        <f>IFERROR(__xludf.DUMMYFUNCTION("""COMPUTED_VALUE"""),44727.0)</f>
        <v>44727</v>
      </c>
      <c r="U290" s="148">
        <f>IFERROR(__xludf.DUMMYFUNCTION("""COMPUTED_VALUE"""),48379.0)</f>
        <v>48379</v>
      </c>
      <c r="V290" s="149">
        <f>IFERROR(__xludf.DUMMYFUNCTION("""COMPUTED_VALUE"""),48196.0)</f>
        <v>48196</v>
      </c>
      <c r="W290" t="str">
        <f>IFERROR(__xludf.DUMMYFUNCTION("""COMPUTED_VALUE"""),"ปลอดภัย")</f>
        <v>ปลอดภัย</v>
      </c>
      <c r="X290" t="str">
        <f>IFERROR(__xludf.DUMMYFUNCTION("""COMPUTED_VALUE"""),"Tak Province")</f>
        <v>Tak Province</v>
      </c>
      <c r="Y290" t="str">
        <f>IFERROR(__xludf.DUMMYFUNCTION("""COMPUTED_VALUE"""),"Chiang Mai")</f>
        <v>Chiang Mai</v>
      </c>
      <c r="Z290" t="str">
        <f>IFERROR(__xludf.DUMMYFUNCTION("""COMPUTED_VALUE"""),"084 985 6866")</f>
        <v>084 985 6866</v>
      </c>
      <c r="AA290" t="str">
        <f>IFERROR(__xludf.DUMMYFUNCTION("""COMPUTED_VALUE"""),"Mother")</f>
        <v>Mother</v>
      </c>
      <c r="AB290" t="str">
        <f>IFERROR(__xludf.DUMMYFUNCTION("""COMPUTED_VALUE"""),"atcharam@airasia.com")</f>
        <v>atcharam@airasia.com</v>
      </c>
    </row>
    <row r="291">
      <c r="A291">
        <f>IFERROR(__xludf.DUMMYFUNCTION("""COMPUTED_VALUE"""),1006311.0)</f>
        <v>1006311</v>
      </c>
      <c r="B291" t="str">
        <f>IFERROR(__xludf.DUMMYFUNCTION("""COMPUTED_VALUE"""),"Ms.")</f>
        <v>Ms.</v>
      </c>
      <c r="C291" t="str">
        <f>IFERROR(__xludf.DUMMYFUNCTION("""COMPUTED_VALUE"""),"Kantanat(Piyakwan )")</f>
        <v>Kantanat(Piyakwan )</v>
      </c>
      <c r="D291" t="str">
        <f>IFERROR(__xludf.DUMMYFUNCTION("""COMPUTED_VALUE"""),"Fuengfuchevakul(Ketmongkol)")</f>
        <v>Fuengfuchevakul(Ketmongkol)</v>
      </c>
      <c r="E291" t="str">
        <f>IFERROR(__xludf.DUMMYFUNCTION("""COMPUTED_VALUE"""),"Kantanat Fuengfuchevakul")</f>
        <v>Kantanat Fuengfuchevakul</v>
      </c>
      <c r="F291" t="str">
        <f>IFERROR(__xludf.DUMMYFUNCTION("""COMPUTED_VALUE"""),"นางสาว")</f>
        <v>นางสาว</v>
      </c>
      <c r="G291" t="str">
        <f>IFERROR(__xludf.DUMMYFUNCTION("""COMPUTED_VALUE"""),"กันตาณัฏฐ์(ปิยะขวัญ)")</f>
        <v>กันตาณัฏฐ์(ปิยะขวัญ)</v>
      </c>
      <c r="H291" t="str">
        <f>IFERROR(__xludf.DUMMYFUNCTION("""COMPUTED_VALUE"""),"เฟื่องฟูชีวกุล(เกตุมงคล)")</f>
        <v>เฟื่องฟูชีวกุล(เกตุมงคล)</v>
      </c>
      <c r="I291" t="str">
        <f>IFERROR(__xludf.DUMMYFUNCTION("""COMPUTED_VALUE"""),"กันตาณัฏฐ์ เฟื่องฟูชีวกุล")</f>
        <v>กันตาณัฏฐ์ เฟื่องฟูชีวกุล</v>
      </c>
      <c r="J291" t="str">
        <f>IFERROR(__xludf.DUMMYFUNCTION("""COMPUTED_VALUE"""),"กิ๊ฟ")</f>
        <v>กิ๊ฟ</v>
      </c>
      <c r="K291" t="str">
        <f>IFERROR(__xludf.DUMMYFUNCTION("""COMPUTED_VALUE"""),"Cabin Crew")</f>
        <v>Cabin Crew</v>
      </c>
      <c r="L291" t="str">
        <f>IFERROR(__xludf.DUMMYFUNCTION("""COMPUTED_VALUE"""),"DMK")</f>
        <v>DMK</v>
      </c>
      <c r="M291" s="145" t="str">
        <f>IFERROR(__xludf.DUMMYFUNCTION("""COMPUTED_VALUE"""),"Um Home")</f>
        <v>Um Home</v>
      </c>
      <c r="N291" t="str">
        <f>IFERROR(__xludf.DUMMYFUNCTION("""COMPUTED_VALUE"""),"Active")</f>
        <v>Active</v>
      </c>
      <c r="P291" s="143">
        <f>IFERROR(__xludf.DUMMYFUNCTION("""COMPUTED_VALUE"""),31730.0)</f>
        <v>31730</v>
      </c>
      <c r="Q291" s="146" t="str">
        <f>IFERROR(__xludf.DUMMYFUNCTION("""COMPUTED_VALUE"""),"087 070 3693")</f>
        <v>087 070 3693</v>
      </c>
      <c r="R291" s="147" t="str">
        <f>IFERROR(__xludf.DUMMYFUNCTION("""COMPUTED_VALUE"""),"11101-0010-3640")</f>
        <v>11101-0010-3640</v>
      </c>
      <c r="S291" t="str">
        <f>IFERROR(__xludf.DUMMYFUNCTION("""COMPUTED_VALUE"""),"AD2460760")</f>
        <v>AD2460760</v>
      </c>
      <c r="T291" s="148">
        <f>IFERROR(__xludf.DUMMYFUNCTION("""COMPUTED_VALUE"""),45932.0)</f>
        <v>45932</v>
      </c>
      <c r="U291" s="148">
        <f>IFERROR(__xludf.DUMMYFUNCTION("""COMPUTED_VALUE"""),49583.0)</f>
        <v>49583</v>
      </c>
      <c r="V291" s="149">
        <f>IFERROR(__xludf.DUMMYFUNCTION("""COMPUTED_VALUE"""),49400.0)</f>
        <v>49400</v>
      </c>
      <c r="W291" t="str">
        <f>IFERROR(__xludf.DUMMYFUNCTION("""COMPUTED_VALUE"""),"ปลอดภัย")</f>
        <v>ปลอดภัย</v>
      </c>
      <c r="X291" t="str">
        <f>IFERROR(__xludf.DUMMYFUNCTION("""COMPUTED_VALUE"""),"Samut Prakan Province")</f>
        <v>Samut Prakan Province</v>
      </c>
      <c r="Y291" t="str">
        <f>IFERROR(__xludf.DUMMYFUNCTION("""COMPUTED_VALUE"""),"Samutprakarn")</f>
        <v>Samutprakarn</v>
      </c>
      <c r="Z291" t="str">
        <f>IFERROR(__xludf.DUMMYFUNCTION("""COMPUTED_VALUE"""),"081 375 3535")</f>
        <v>081 375 3535</v>
      </c>
      <c r="AA291" t="str">
        <f>IFERROR(__xludf.DUMMYFUNCTION("""COMPUTED_VALUE"""),"Sister")</f>
        <v>Sister</v>
      </c>
      <c r="AB291" t="str">
        <f>IFERROR(__xludf.DUMMYFUNCTION("""COMPUTED_VALUE"""),"kantanatf@airasia.com")</f>
        <v>kantanatf@airasia.com</v>
      </c>
    </row>
    <row r="292">
      <c r="A292">
        <f>IFERROR(__xludf.DUMMYFUNCTION("""COMPUTED_VALUE"""),1006312.0)</f>
        <v>1006312</v>
      </c>
      <c r="B292" t="str">
        <f>IFERROR(__xludf.DUMMYFUNCTION("""COMPUTED_VALUE"""),"Ms.")</f>
        <v>Ms.</v>
      </c>
      <c r="C292" t="str">
        <f>IFERROR(__xludf.DUMMYFUNCTION("""COMPUTED_VALUE"""),"Kanyanatch")</f>
        <v>Kanyanatch</v>
      </c>
      <c r="D292" t="str">
        <f>IFERROR(__xludf.DUMMYFUNCTION("""COMPUTED_VALUE"""),"A-kakun")</f>
        <v>A-kakun</v>
      </c>
      <c r="E292" t="str">
        <f>IFERROR(__xludf.DUMMYFUNCTION("""COMPUTED_VALUE"""),"Kanyanatch A-kakun")</f>
        <v>Kanyanatch A-kakun</v>
      </c>
      <c r="F292" t="str">
        <f>IFERROR(__xludf.DUMMYFUNCTION("""COMPUTED_VALUE"""),"นางสาว")</f>
        <v>นางสาว</v>
      </c>
      <c r="G292" t="str">
        <f>IFERROR(__xludf.DUMMYFUNCTION("""COMPUTED_VALUE"""),"กัญญณัช")</f>
        <v>กัญญณัช</v>
      </c>
      <c r="H292" t="str">
        <f>IFERROR(__xludf.DUMMYFUNCTION("""COMPUTED_VALUE"""),"เอกะกุล")</f>
        <v>เอกะกุล</v>
      </c>
      <c r="I292" t="str">
        <f>IFERROR(__xludf.DUMMYFUNCTION("""COMPUTED_VALUE"""),"กัญญณัช เอกะกุล")</f>
        <v>กัญญณัช เอกะกุล</v>
      </c>
      <c r="J292" t="str">
        <f>IFERROR(__xludf.DUMMYFUNCTION("""COMPUTED_VALUE"""),"เยน")</f>
        <v>เยน</v>
      </c>
      <c r="K292" t="str">
        <f>IFERROR(__xludf.DUMMYFUNCTION("""COMPUTED_VALUE"""),"Cabin Crew")</f>
        <v>Cabin Crew</v>
      </c>
      <c r="L292" t="str">
        <f>IFERROR(__xludf.DUMMYFUNCTION("""COMPUTED_VALUE"""),"DMK")</f>
        <v>DMK</v>
      </c>
      <c r="M292" s="145" t="str">
        <f>IFERROR(__xludf.DUMMYFUNCTION("""COMPUTED_VALUE"""),"Namfon Home")</f>
        <v>Namfon Home</v>
      </c>
      <c r="N292" t="str">
        <f>IFERROR(__xludf.DUMMYFUNCTION("""COMPUTED_VALUE"""),"V/LWP")</f>
        <v>V/LWP</v>
      </c>
      <c r="P292" s="143">
        <f>IFERROR(__xludf.DUMMYFUNCTION("""COMPUTED_VALUE"""),31642.0)</f>
        <v>31642</v>
      </c>
      <c r="Q292" s="146" t="str">
        <f>IFERROR(__xludf.DUMMYFUNCTION("""COMPUTED_VALUE"""),"092 693 5053")</f>
        <v>092 693 5053</v>
      </c>
      <c r="R292" s="147" t="str">
        <f>IFERROR(__xludf.DUMMYFUNCTION("""COMPUTED_VALUE"""),"11014-0076-5134")</f>
        <v>11014-0076-5134</v>
      </c>
      <c r="S292" t="str">
        <f>IFERROR(__xludf.DUMMYFUNCTION("""COMPUTED_VALUE"""),"AC6207765")</f>
        <v>AC6207765</v>
      </c>
      <c r="T292" t="str">
        <f>IFERROR(__xludf.DUMMYFUNCTION("""COMPUTED_VALUE"""),"4JAAN")</f>
        <v>4JAAN</v>
      </c>
      <c r="U292" s="148">
        <f>IFERROR(__xludf.DUMMYFUNCTION("""COMPUTED_VALUE"""),48947.0)</f>
        <v>48947</v>
      </c>
      <c r="V292" s="149">
        <f>IFERROR(__xludf.DUMMYFUNCTION("""COMPUTED_VALUE"""),48763.0)</f>
        <v>48763</v>
      </c>
      <c r="W292" t="str">
        <f>IFERROR(__xludf.DUMMYFUNCTION("""COMPUTED_VALUE"""),"ปลอดภัย")</f>
        <v>ปลอดภัย</v>
      </c>
      <c r="X292" t="str">
        <f>IFERROR(__xludf.DUMMYFUNCTION("""COMPUTED_VALUE"""),"Bangkok")</f>
        <v>Bangkok</v>
      </c>
      <c r="Y292" t="str">
        <f>IFERROR(__xludf.DUMMYFUNCTION("""COMPUTED_VALUE"""),"Ramintra")</f>
        <v>Ramintra</v>
      </c>
      <c r="Z292" t="str">
        <f>IFERROR(__xludf.DUMMYFUNCTION("""COMPUTED_VALUE"""),"089 812 8508")</f>
        <v>089 812 8508</v>
      </c>
      <c r="AA292" t="str">
        <f>IFERROR(__xludf.DUMMYFUNCTION("""COMPUTED_VALUE"""),"Ornrachon")</f>
        <v>Ornrachon</v>
      </c>
      <c r="AB292" t="str">
        <f>IFERROR(__xludf.DUMMYFUNCTION("""COMPUTED_VALUE"""),"kanyanatcha@airasia.com")</f>
        <v>kanyanatcha@airasia.com</v>
      </c>
    </row>
    <row r="293">
      <c r="A293">
        <f>IFERROR(__xludf.DUMMYFUNCTION("""COMPUTED_VALUE"""),1006313.0)</f>
        <v>1006313</v>
      </c>
      <c r="B293" t="str">
        <f>IFERROR(__xludf.DUMMYFUNCTION("""COMPUTED_VALUE"""),"Ms.")</f>
        <v>Ms.</v>
      </c>
      <c r="C293" t="str">
        <f>IFERROR(__xludf.DUMMYFUNCTION("""COMPUTED_VALUE"""),"Kanyarat")</f>
        <v>Kanyarat</v>
      </c>
      <c r="D293" t="str">
        <f>IFERROR(__xludf.DUMMYFUNCTION("""COMPUTED_VALUE"""),"Palasak")</f>
        <v>Palasak</v>
      </c>
      <c r="E293" t="str">
        <f>IFERROR(__xludf.DUMMYFUNCTION("""COMPUTED_VALUE"""),"Kanyarat Palasak")</f>
        <v>Kanyarat Palasak</v>
      </c>
      <c r="F293" t="str">
        <f>IFERROR(__xludf.DUMMYFUNCTION("""COMPUTED_VALUE"""),"นางสาว")</f>
        <v>นางสาว</v>
      </c>
      <c r="G293" t="str">
        <f>IFERROR(__xludf.DUMMYFUNCTION("""COMPUTED_VALUE"""),"กัลยรัตน์")</f>
        <v>กัลยรัตน์</v>
      </c>
      <c r="H293" t="str">
        <f>IFERROR(__xludf.DUMMYFUNCTION("""COMPUTED_VALUE"""),"พลศักดิ์")</f>
        <v>พลศักดิ์</v>
      </c>
      <c r="I293" t="str">
        <f>IFERROR(__xludf.DUMMYFUNCTION("""COMPUTED_VALUE"""),"กัลยรัตน์ พลศักดิ์")</f>
        <v>กัลยรัตน์ พลศักดิ์</v>
      </c>
      <c r="J293" t="str">
        <f>IFERROR(__xludf.DUMMYFUNCTION("""COMPUTED_VALUE"""),"ฝัน")</f>
        <v>ฝัน</v>
      </c>
      <c r="K293" t="str">
        <f>IFERROR(__xludf.DUMMYFUNCTION("""COMPUTED_VALUE"""),"Senior Cabin Crew")</f>
        <v>Senior Cabin Crew</v>
      </c>
      <c r="L293" t="str">
        <f>IFERROR(__xludf.DUMMYFUNCTION("""COMPUTED_VALUE"""),"DMK")</f>
        <v>DMK</v>
      </c>
      <c r="M293" s="145" t="str">
        <f>IFERROR(__xludf.DUMMYFUNCTION("""COMPUTED_VALUE"""),"Toffy Home")</f>
        <v>Toffy Home</v>
      </c>
      <c r="N293" t="str">
        <f>IFERROR(__xludf.DUMMYFUNCTION("""COMPUTED_VALUE"""),"Active")</f>
        <v>Active</v>
      </c>
      <c r="P293" s="143">
        <f>IFERROR(__xludf.DUMMYFUNCTION("""COMPUTED_VALUE"""),32116.0)</f>
        <v>32116</v>
      </c>
      <c r="Q293" s="146" t="str">
        <f>IFERROR(__xludf.DUMMYFUNCTION("""COMPUTED_VALUE"""),"084 133 3123")</f>
        <v>084 133 3123</v>
      </c>
      <c r="R293" s="147" t="str">
        <f>IFERROR(__xludf.DUMMYFUNCTION("""COMPUTED_VALUE"""),"16799-0014-1281")</f>
        <v>16799-0014-1281</v>
      </c>
      <c r="S293" t="str">
        <f>IFERROR(__xludf.DUMMYFUNCTION("""COMPUTED_VALUE"""),"AC5191672")</f>
        <v>AC5191672</v>
      </c>
      <c r="T293" s="148">
        <f>IFERROR(__xludf.DUMMYFUNCTION("""COMPUTED_VALUE"""),45317.0)</f>
        <v>45317</v>
      </c>
      <c r="U293" s="148">
        <f>IFERROR(__xludf.DUMMYFUNCTION("""COMPUTED_VALUE"""),48969.0)</f>
        <v>48969</v>
      </c>
      <c r="V293" s="149">
        <f>IFERROR(__xludf.DUMMYFUNCTION("""COMPUTED_VALUE"""),48785.0)</f>
        <v>48785</v>
      </c>
      <c r="W293" t="str">
        <f>IFERROR(__xludf.DUMMYFUNCTION("""COMPUTED_VALUE"""),"ปลอดภัย")</f>
        <v>ปลอดภัย</v>
      </c>
      <c r="X293" t="str">
        <f>IFERROR(__xludf.DUMMYFUNCTION("""COMPUTED_VALUE"""),"Phetchabun Province")</f>
        <v>Phetchabun Province</v>
      </c>
      <c r="Y293" t="str">
        <f>IFERROR(__xludf.DUMMYFUNCTION("""COMPUTED_VALUE"""),"Bangkhen")</f>
        <v>Bangkhen</v>
      </c>
      <c r="Z293" t="str">
        <f>IFERROR(__xludf.DUMMYFUNCTION("""COMPUTED_VALUE"""),"083 1252 115")</f>
        <v>083 1252 115</v>
      </c>
      <c r="AA293" t="str">
        <f>IFERROR(__xludf.DUMMYFUNCTION("""COMPUTED_VALUE"""),"Pitinun")</f>
        <v>Pitinun</v>
      </c>
      <c r="AB293" t="str">
        <f>IFERROR(__xludf.DUMMYFUNCTION("""COMPUTED_VALUE"""),"kanyarata@airasia.com")</f>
        <v>kanyarata@airasia.com</v>
      </c>
    </row>
    <row r="294">
      <c r="A294">
        <f>IFERROR(__xludf.DUMMYFUNCTION("""COMPUTED_VALUE"""),1006324.0)</f>
        <v>1006324</v>
      </c>
      <c r="B294" t="str">
        <f>IFERROR(__xludf.DUMMYFUNCTION("""COMPUTED_VALUE"""),"Ms.")</f>
        <v>Ms.</v>
      </c>
      <c r="C294" t="str">
        <f>IFERROR(__xludf.DUMMYFUNCTION("""COMPUTED_VALUE"""),"Pimpas (Mhaneepicha)")</f>
        <v>Pimpas (Mhaneepicha)</v>
      </c>
      <c r="D294" t="str">
        <f>IFERROR(__xludf.DUMMYFUNCTION("""COMPUTED_VALUE"""),"Ruangtragul")</f>
        <v>Ruangtragul</v>
      </c>
      <c r="E294" t="str">
        <f>IFERROR(__xludf.DUMMYFUNCTION("""COMPUTED_VALUE"""),"Pimpas Ruangtragul")</f>
        <v>Pimpas Ruangtragul</v>
      </c>
      <c r="F294" t="str">
        <f>IFERROR(__xludf.DUMMYFUNCTION("""COMPUTED_VALUE"""),"นางสาว")</f>
        <v>นางสาว</v>
      </c>
      <c r="G294" t="str">
        <f>IFERROR(__xludf.DUMMYFUNCTION("""COMPUTED_VALUE"""),"พิมพ์ภัสร์ (มณีพิชชาย์)")</f>
        <v>พิมพ์ภัสร์ (มณีพิชชาย์)</v>
      </c>
      <c r="H294" t="str">
        <f>IFERROR(__xludf.DUMMYFUNCTION("""COMPUTED_VALUE"""),"เรืองตระกูล")</f>
        <v>เรืองตระกูล</v>
      </c>
      <c r="I294" t="str">
        <f>IFERROR(__xludf.DUMMYFUNCTION("""COMPUTED_VALUE"""),"พิมพ์ภัสร์ เรืองตระกูล")</f>
        <v>พิมพ์ภัสร์ เรืองตระกูล</v>
      </c>
      <c r="J294" t="str">
        <f>IFERROR(__xludf.DUMMYFUNCTION("""COMPUTED_VALUE"""),"นุ่น")</f>
        <v>นุ่น</v>
      </c>
      <c r="K294" t="str">
        <f>IFERROR(__xludf.DUMMYFUNCTION("""COMPUTED_VALUE"""),"Senior Cabin Crew")</f>
        <v>Senior Cabin Crew</v>
      </c>
      <c r="L294" t="str">
        <f>IFERROR(__xludf.DUMMYFUNCTION("""COMPUTED_VALUE"""),"DMK")</f>
        <v>DMK</v>
      </c>
      <c r="M294" s="145" t="str">
        <f>IFERROR(__xludf.DUMMYFUNCTION("""COMPUTED_VALUE"""),"Um Home")</f>
        <v>Um Home</v>
      </c>
      <c r="N294" t="str">
        <f>IFERROR(__xludf.DUMMYFUNCTION("""COMPUTED_VALUE"""),"Active")</f>
        <v>Active</v>
      </c>
      <c r="P294" s="143">
        <f>IFERROR(__xludf.DUMMYFUNCTION("""COMPUTED_VALUE"""),32154.0)</f>
        <v>32154</v>
      </c>
      <c r="Q294" s="146" t="str">
        <f>IFERROR(__xludf.DUMMYFUNCTION("""COMPUTED_VALUE"""),"084 639 8408")</f>
        <v>084 639 8408</v>
      </c>
      <c r="R294" s="147" t="str">
        <f>IFERROR(__xludf.DUMMYFUNCTION("""COMPUTED_VALUE"""),"11005-0023-9816")</f>
        <v>11005-0023-9816</v>
      </c>
      <c r="S294" t="str">
        <f>IFERROR(__xludf.DUMMYFUNCTION("""COMPUTED_VALUE"""),"AC4480357")</f>
        <v>AC4480357</v>
      </c>
      <c r="T294" s="148">
        <f>IFERROR(__xludf.DUMMYFUNCTION("""COMPUTED_VALUE"""),44978.0)</f>
        <v>44978</v>
      </c>
      <c r="U294" s="148">
        <f>IFERROR(__xludf.DUMMYFUNCTION("""COMPUTED_VALUE"""),48630.0)</f>
        <v>48630</v>
      </c>
      <c r="V294" s="149">
        <f>IFERROR(__xludf.DUMMYFUNCTION("""COMPUTED_VALUE"""),48446.0)</f>
        <v>48446</v>
      </c>
      <c r="W294" t="str">
        <f>IFERROR(__xludf.DUMMYFUNCTION("""COMPUTED_VALUE"""),"ปลอดภัย")</f>
        <v>ปลอดภัย</v>
      </c>
      <c r="X294" t="str">
        <f>IFERROR(__xludf.DUMMYFUNCTION("""COMPUTED_VALUE"""),"Bangkok")</f>
        <v>Bangkok</v>
      </c>
      <c r="Y294" t="str">
        <f>IFERROR(__xludf.DUMMYFUNCTION("""COMPUTED_VALUE"""),"Bangkok")</f>
        <v>Bangkok</v>
      </c>
      <c r="Z294" t="str">
        <f>IFERROR(__xludf.DUMMYFUNCTION("""COMPUTED_VALUE"""),"085 1242 957")</f>
        <v>085 1242 957</v>
      </c>
      <c r="AA294" t="str">
        <f>IFERROR(__xludf.DUMMYFUNCTION("""COMPUTED_VALUE"""),"Mother")</f>
        <v>Mother</v>
      </c>
      <c r="AB294" t="str">
        <f>IFERROR(__xludf.DUMMYFUNCTION("""COMPUTED_VALUE"""),"pimpasr@airasia.com")</f>
        <v>pimpasr@airasia.com</v>
      </c>
    </row>
    <row r="295">
      <c r="A295">
        <f>IFERROR(__xludf.DUMMYFUNCTION("""COMPUTED_VALUE"""),1006331.0)</f>
        <v>1006331</v>
      </c>
      <c r="B295" t="str">
        <f>IFERROR(__xludf.DUMMYFUNCTION("""COMPUTED_VALUE"""),"Ms.")</f>
        <v>Ms.</v>
      </c>
      <c r="C295" t="str">
        <f>IFERROR(__xludf.DUMMYFUNCTION("""COMPUTED_VALUE"""),"Nisara")</f>
        <v>Nisara</v>
      </c>
      <c r="D295" t="str">
        <f>IFERROR(__xludf.DUMMYFUNCTION("""COMPUTED_VALUE"""),"Raviyan")</f>
        <v>Raviyan</v>
      </c>
      <c r="E295" t="str">
        <f>IFERROR(__xludf.DUMMYFUNCTION("""COMPUTED_VALUE"""),"Nisara Raviyan")</f>
        <v>Nisara Raviyan</v>
      </c>
      <c r="F295" t="str">
        <f>IFERROR(__xludf.DUMMYFUNCTION("""COMPUTED_VALUE"""),"นางสาว")</f>
        <v>นางสาว</v>
      </c>
      <c r="G295" t="str">
        <f>IFERROR(__xludf.DUMMYFUNCTION("""COMPUTED_VALUE"""),"ณิศรา")</f>
        <v>ณิศรา</v>
      </c>
      <c r="H295" t="str">
        <f>IFERROR(__xludf.DUMMYFUNCTION("""COMPUTED_VALUE"""),"ระวียัน")</f>
        <v>ระวียัน</v>
      </c>
      <c r="I295" t="str">
        <f>IFERROR(__xludf.DUMMYFUNCTION("""COMPUTED_VALUE"""),"ณิศรา ระวียัน")</f>
        <v>ณิศรา ระวียัน</v>
      </c>
      <c r="J295" t="str">
        <f>IFERROR(__xludf.DUMMYFUNCTION("""COMPUTED_VALUE"""),"แพร")</f>
        <v>แพร</v>
      </c>
      <c r="K295" t="str">
        <f>IFERROR(__xludf.DUMMYFUNCTION("""COMPUTED_VALUE"""),"Cabin Crew")</f>
        <v>Cabin Crew</v>
      </c>
      <c r="L295" t="str">
        <f>IFERROR(__xludf.DUMMYFUNCTION("""COMPUTED_VALUE"""),"DMK")</f>
        <v>DMK</v>
      </c>
      <c r="M295" s="145" t="str">
        <f>IFERROR(__xludf.DUMMYFUNCTION("""COMPUTED_VALUE"""),"Toffy Home")</f>
        <v>Toffy Home</v>
      </c>
      <c r="N295" t="str">
        <f>IFERROR(__xludf.DUMMYFUNCTION("""COMPUTED_VALUE"""),"V/LWP")</f>
        <v>V/LWP</v>
      </c>
      <c r="P295" s="143">
        <f>IFERROR(__xludf.DUMMYFUNCTION("""COMPUTED_VALUE"""),30552.0)</f>
        <v>30552</v>
      </c>
      <c r="Q295" s="146" t="str">
        <f>IFERROR(__xludf.DUMMYFUNCTION("""COMPUTED_VALUE"""),"081 197 8455")</f>
        <v>081 197 8455</v>
      </c>
      <c r="R295" s="147" t="str">
        <f>IFERROR(__xludf.DUMMYFUNCTION("""COMPUTED_VALUE"""),"31006-0031-7432")</f>
        <v>31006-0031-7432</v>
      </c>
      <c r="S295" t="str">
        <f>IFERROR(__xludf.DUMMYFUNCTION("""COMPUTED_VALUE"""),"AC3050392")</f>
        <v>AC3050392</v>
      </c>
      <c r="T295" s="148">
        <f>IFERROR(__xludf.DUMMYFUNCTION("""COMPUTED_VALUE"""),44680.0)</f>
        <v>44680</v>
      </c>
      <c r="U295" s="148">
        <f>IFERROR(__xludf.DUMMYFUNCTION("""COMPUTED_VALUE"""),48332.0)</f>
        <v>48332</v>
      </c>
      <c r="V295" s="149">
        <f>IFERROR(__xludf.DUMMYFUNCTION("""COMPUTED_VALUE"""),48149.0)</f>
        <v>48149</v>
      </c>
      <c r="W295" t="str">
        <f>IFERROR(__xludf.DUMMYFUNCTION("""COMPUTED_VALUE"""),"ปลอดภัย")</f>
        <v>ปลอดภัย</v>
      </c>
      <c r="X295" t="str">
        <f>IFERROR(__xludf.DUMMYFUNCTION("""COMPUTED_VALUE"""),"Bangkok")</f>
        <v>Bangkok</v>
      </c>
      <c r="Y295" t="str">
        <f>IFERROR(__xludf.DUMMYFUNCTION("""COMPUTED_VALUE"""),"Buengkum")</f>
        <v>Buengkum</v>
      </c>
      <c r="Z295" t="str">
        <f>IFERROR(__xludf.DUMMYFUNCTION("""COMPUTED_VALUE"""),"02 510 4305")</f>
        <v>02 510 4305</v>
      </c>
      <c r="AA295" t="str">
        <f>IFERROR(__xludf.DUMMYFUNCTION("""COMPUTED_VALUE"""),"Mother")</f>
        <v>Mother</v>
      </c>
      <c r="AB295" t="str">
        <f>IFERROR(__xludf.DUMMYFUNCTION("""COMPUTED_VALUE"""),"nisarar@airasia.com")</f>
        <v>nisarar@airasia.com</v>
      </c>
    </row>
    <row r="296">
      <c r="A296">
        <f>IFERROR(__xludf.DUMMYFUNCTION("""COMPUTED_VALUE"""),1006333.0)</f>
        <v>1006333</v>
      </c>
      <c r="B296" t="str">
        <f>IFERROR(__xludf.DUMMYFUNCTION("""COMPUTED_VALUE"""),"Ms.")</f>
        <v>Ms.</v>
      </c>
      <c r="C296" t="str">
        <f>IFERROR(__xludf.DUMMYFUNCTION("""COMPUTED_VALUE"""),"Peerada")</f>
        <v>Peerada</v>
      </c>
      <c r="D296" t="str">
        <f>IFERROR(__xludf.DUMMYFUNCTION("""COMPUTED_VALUE"""),"Musigsukont (Ganjanaverapol)")</f>
        <v>Musigsukont (Ganjanaverapol)</v>
      </c>
      <c r="E296" t="str">
        <f>IFERROR(__xludf.DUMMYFUNCTION("""COMPUTED_VALUE"""),"Peerada Musigsukont")</f>
        <v>Peerada Musigsukont</v>
      </c>
      <c r="F296" t="str">
        <f>IFERROR(__xludf.DUMMYFUNCTION("""COMPUTED_VALUE"""),"นางสาว")</f>
        <v>นางสาว</v>
      </c>
      <c r="G296" t="str">
        <f>IFERROR(__xludf.DUMMYFUNCTION("""COMPUTED_VALUE"""),"พีรดา")</f>
        <v>พีรดา</v>
      </c>
      <c r="H296" t="str">
        <f>IFERROR(__xludf.DUMMYFUNCTION("""COMPUTED_VALUE"""),"มุสิกสุคนธ์ (กาญจนวีระพล)")</f>
        <v>มุสิกสุคนธ์ (กาญจนวีระพล)</v>
      </c>
      <c r="I296" t="str">
        <f>IFERROR(__xludf.DUMMYFUNCTION("""COMPUTED_VALUE"""),"พีรดา มุสิกสุคนธ์")</f>
        <v>พีรดา มุสิกสุคนธ์</v>
      </c>
      <c r="J296" t="str">
        <f>IFERROR(__xludf.DUMMYFUNCTION("""COMPUTED_VALUE"""),"เหวิน")</f>
        <v>เหวิน</v>
      </c>
      <c r="K296" t="str">
        <f>IFERROR(__xludf.DUMMYFUNCTION("""COMPUTED_VALUE"""),"Cabin Crew")</f>
        <v>Cabin Crew</v>
      </c>
      <c r="L296" t="str">
        <f>IFERROR(__xludf.DUMMYFUNCTION("""COMPUTED_VALUE"""),"DMK")</f>
        <v>DMK</v>
      </c>
      <c r="M296" s="145" t="str">
        <f>IFERROR(__xludf.DUMMYFUNCTION("""COMPUTED_VALUE"""),"Namfon Home")</f>
        <v>Namfon Home</v>
      </c>
      <c r="N296" t="str">
        <f>IFERROR(__xludf.DUMMYFUNCTION("""COMPUTED_VALUE"""),"Active")</f>
        <v>Active</v>
      </c>
      <c r="P296" s="143">
        <f>IFERROR(__xludf.DUMMYFUNCTION("""COMPUTED_VALUE"""),32739.0)</f>
        <v>32739</v>
      </c>
      <c r="Q296" s="146" t="str">
        <f>IFERROR(__xludf.DUMMYFUNCTION("""COMPUTED_VALUE"""),"064 224 6615")</f>
        <v>064 224 6615</v>
      </c>
      <c r="R296" s="147" t="str">
        <f>IFERROR(__xludf.DUMMYFUNCTION("""COMPUTED_VALUE"""),"11017-0008-2628")</f>
        <v>11017-0008-2628</v>
      </c>
      <c r="S296" t="str">
        <f>IFERROR(__xludf.DUMMYFUNCTION("""COMPUTED_VALUE"""),"AD0152380")</f>
        <v>AD0152380</v>
      </c>
      <c r="T296" s="148">
        <f>IFERROR(__xludf.DUMMYFUNCTION("""COMPUTED_VALUE"""),44851.0)</f>
        <v>44851</v>
      </c>
      <c r="U296" s="148">
        <f>IFERROR(__xludf.DUMMYFUNCTION("""COMPUTED_VALUE"""),48505.0)</f>
        <v>48505</v>
      </c>
      <c r="V296" s="149">
        <f>IFERROR(__xludf.DUMMYFUNCTION("""COMPUTED_VALUE"""),48322.0)</f>
        <v>48322</v>
      </c>
      <c r="W296" t="str">
        <f>IFERROR(__xludf.DUMMYFUNCTION("""COMPUTED_VALUE"""),"ปลอดภัย")</f>
        <v>ปลอดภัย</v>
      </c>
      <c r="X296" t="str">
        <f>IFERROR(__xludf.DUMMYFUNCTION("""COMPUTED_VALUE"""),"Bangkok")</f>
        <v>Bangkok</v>
      </c>
      <c r="Y296" t="str">
        <f>IFERROR(__xludf.DUMMYFUNCTION("""COMPUTED_VALUE"""),"Ladphrao")</f>
        <v>Ladphrao</v>
      </c>
      <c r="Z296" t="str">
        <f>IFERROR(__xludf.DUMMYFUNCTION("""COMPUTED_VALUE"""),"085 939 7303")</f>
        <v>085 939 7303</v>
      </c>
      <c r="AA296" t="str">
        <f>IFERROR(__xludf.DUMMYFUNCTION("""COMPUTED_VALUE"""),"Piyada")</f>
        <v>Piyada</v>
      </c>
      <c r="AB296" t="str">
        <f>IFERROR(__xludf.DUMMYFUNCTION("""COMPUTED_VALUE"""),"peeradam@airasia.com")</f>
        <v>peeradam@airasia.com</v>
      </c>
    </row>
    <row r="297">
      <c r="A297">
        <f>IFERROR(__xludf.DUMMYFUNCTION("""COMPUTED_VALUE"""),1006344.0)</f>
        <v>1006344</v>
      </c>
      <c r="B297" t="str">
        <f>IFERROR(__xludf.DUMMYFUNCTION("""COMPUTED_VALUE"""),"Ms.")</f>
        <v>Ms.</v>
      </c>
      <c r="C297" t="str">
        <f>IFERROR(__xludf.DUMMYFUNCTION("""COMPUTED_VALUE"""),"Rungnapa")</f>
        <v>Rungnapa</v>
      </c>
      <c r="D297" t="str">
        <f>IFERROR(__xludf.DUMMYFUNCTION("""COMPUTED_VALUE"""),"Sawaruk")</f>
        <v>Sawaruk</v>
      </c>
      <c r="E297" t="str">
        <f>IFERROR(__xludf.DUMMYFUNCTION("""COMPUTED_VALUE"""),"Rungnapa Sawaruk")</f>
        <v>Rungnapa Sawaruk</v>
      </c>
      <c r="F297" t="str">
        <f>IFERROR(__xludf.DUMMYFUNCTION("""COMPUTED_VALUE"""),"นางสาว")</f>
        <v>นางสาว</v>
      </c>
      <c r="G297" t="str">
        <f>IFERROR(__xludf.DUMMYFUNCTION("""COMPUTED_VALUE"""),"รุ่งนภา")</f>
        <v>รุ่งนภา</v>
      </c>
      <c r="H297" t="str">
        <f>IFERROR(__xludf.DUMMYFUNCTION("""COMPUTED_VALUE"""),"สวารักษ์")</f>
        <v>สวารักษ์</v>
      </c>
      <c r="I297" t="str">
        <f>IFERROR(__xludf.DUMMYFUNCTION("""COMPUTED_VALUE"""),"รุ่งนภา สวารักษ์")</f>
        <v>รุ่งนภา สวารักษ์</v>
      </c>
      <c r="J297" t="str">
        <f>IFERROR(__xludf.DUMMYFUNCTION("""COMPUTED_VALUE"""),"เปิ้ล")</f>
        <v>เปิ้ล</v>
      </c>
      <c r="K297" t="str">
        <f>IFERROR(__xludf.DUMMYFUNCTION("""COMPUTED_VALUE"""),"Cabin Crew")</f>
        <v>Cabin Crew</v>
      </c>
      <c r="L297" t="str">
        <f>IFERROR(__xludf.DUMMYFUNCTION("""COMPUTED_VALUE"""),"DMK")</f>
        <v>DMK</v>
      </c>
      <c r="M297" s="145" t="str">
        <f>IFERROR(__xludf.DUMMYFUNCTION("""COMPUTED_VALUE"""),"Up Home")</f>
        <v>Up Home</v>
      </c>
      <c r="N297" t="str">
        <f>IFERROR(__xludf.DUMMYFUNCTION("""COMPUTED_VALUE"""),"Active")</f>
        <v>Active</v>
      </c>
      <c r="P297" s="143">
        <f>IFERROR(__xludf.DUMMYFUNCTION("""COMPUTED_VALUE"""),31307.0)</f>
        <v>31307</v>
      </c>
      <c r="Q297" s="146" t="str">
        <f>IFERROR(__xludf.DUMMYFUNCTION("""COMPUTED_VALUE"""),"061 491 6645")</f>
        <v>061 491 6645</v>
      </c>
      <c r="R297" s="147" t="str">
        <f>IFERROR(__xludf.DUMMYFUNCTION("""COMPUTED_VALUE"""),"11015-0011-6839")</f>
        <v>11015-0011-6839</v>
      </c>
      <c r="S297" t="str">
        <f>IFERROR(__xludf.DUMMYFUNCTION("""COMPUTED_VALUE"""),"AD0523563")</f>
        <v>AD0523563</v>
      </c>
      <c r="T297" s="148">
        <f>IFERROR(__xludf.DUMMYFUNCTION("""COMPUTED_VALUE"""),45284.0)</f>
        <v>45284</v>
      </c>
      <c r="U297" s="148">
        <f>IFERROR(__xludf.DUMMYFUNCTION("""COMPUTED_VALUE"""),48571.0)</f>
        <v>48571</v>
      </c>
      <c r="V297" s="149">
        <f>IFERROR(__xludf.DUMMYFUNCTION("""COMPUTED_VALUE"""),48388.0)</f>
        <v>48388</v>
      </c>
      <c r="W297" t="str">
        <f>IFERROR(__xludf.DUMMYFUNCTION("""COMPUTED_VALUE"""),"ปลอดภัย")</f>
        <v>ปลอดภัย</v>
      </c>
      <c r="X297" t="str">
        <f>IFERROR(__xludf.DUMMYFUNCTION("""COMPUTED_VALUE"""),"Bangkok")</f>
        <v>Bangkok</v>
      </c>
      <c r="Y297" t="str">
        <f>IFERROR(__xludf.DUMMYFUNCTION("""COMPUTED_VALUE"""),"Pakkret")</f>
        <v>Pakkret</v>
      </c>
      <c r="Z297" t="str">
        <f>IFERROR(__xludf.DUMMYFUNCTION("""COMPUTED_VALUE"""),"081 751 3784")</f>
        <v>081 751 3784</v>
      </c>
      <c r="AA297" t="str">
        <f>IFERROR(__xludf.DUMMYFUNCTION("""COMPUTED_VALUE"""),"Taweesak")</f>
        <v>Taweesak</v>
      </c>
      <c r="AB297" t="str">
        <f>IFERROR(__xludf.DUMMYFUNCTION("""COMPUTED_VALUE"""),"rungnapas@airasia.com")</f>
        <v>rungnapas@airasia.com</v>
      </c>
    </row>
    <row r="298">
      <c r="A298">
        <f>IFERROR(__xludf.DUMMYFUNCTION("""COMPUTED_VALUE"""),1006352.0)</f>
        <v>1006352</v>
      </c>
      <c r="B298" t="str">
        <f>IFERROR(__xludf.DUMMYFUNCTION("""COMPUTED_VALUE"""),"Ms.")</f>
        <v>Ms.</v>
      </c>
      <c r="C298" t="str">
        <f>IFERROR(__xludf.DUMMYFUNCTION("""COMPUTED_VALUE"""),"Sirinthip")</f>
        <v>Sirinthip</v>
      </c>
      <c r="D298" t="str">
        <f>IFERROR(__xludf.DUMMYFUNCTION("""COMPUTED_VALUE"""),"Singhadecha")</f>
        <v>Singhadecha</v>
      </c>
      <c r="E298" t="str">
        <f>IFERROR(__xludf.DUMMYFUNCTION("""COMPUTED_VALUE"""),"Sirinthip Singhadecha")</f>
        <v>Sirinthip Singhadecha</v>
      </c>
      <c r="F298" t="str">
        <f>IFERROR(__xludf.DUMMYFUNCTION("""COMPUTED_VALUE"""),"นางสาว")</f>
        <v>นางสาว</v>
      </c>
      <c r="G298" t="str">
        <f>IFERROR(__xludf.DUMMYFUNCTION("""COMPUTED_VALUE"""),"ศิรินทิพย์")</f>
        <v>ศิรินทิพย์</v>
      </c>
      <c r="H298" t="str">
        <f>IFERROR(__xludf.DUMMYFUNCTION("""COMPUTED_VALUE"""),"สิงหเดชะ")</f>
        <v>สิงหเดชะ</v>
      </c>
      <c r="I298" t="str">
        <f>IFERROR(__xludf.DUMMYFUNCTION("""COMPUTED_VALUE"""),"ศิรินทิพย์ สิงหเดชะ")</f>
        <v>ศิรินทิพย์ สิงหเดชะ</v>
      </c>
      <c r="J298" t="str">
        <f>IFERROR(__xludf.DUMMYFUNCTION("""COMPUTED_VALUE"""),"จุ๊บจิ๊บ")</f>
        <v>จุ๊บจิ๊บ</v>
      </c>
      <c r="K298" t="str">
        <f>IFERROR(__xludf.DUMMYFUNCTION("""COMPUTED_VALUE"""),"Senior Cabin Crew")</f>
        <v>Senior Cabin Crew</v>
      </c>
      <c r="L298" t="str">
        <f>IFERROR(__xludf.DUMMYFUNCTION("""COMPUTED_VALUE"""),"DMK")</f>
        <v>DMK</v>
      </c>
      <c r="M298" s="145" t="str">
        <f>IFERROR(__xludf.DUMMYFUNCTION("""COMPUTED_VALUE"""),"Um Home")</f>
        <v>Um Home</v>
      </c>
      <c r="N298" t="str">
        <f>IFERROR(__xludf.DUMMYFUNCTION("""COMPUTED_VALUE"""),"Active")</f>
        <v>Active</v>
      </c>
      <c r="P298" s="143">
        <f>IFERROR(__xludf.DUMMYFUNCTION("""COMPUTED_VALUE"""),31449.0)</f>
        <v>31449</v>
      </c>
      <c r="Q298" s="146" t="str">
        <f>IFERROR(__xludf.DUMMYFUNCTION("""COMPUTED_VALUE"""),"095 545 3546")</f>
        <v>095 545 3546</v>
      </c>
      <c r="R298" s="147" t="str">
        <f>IFERROR(__xludf.DUMMYFUNCTION("""COMPUTED_VALUE"""),"14199-0005-4754")</f>
        <v>14199-0005-4754</v>
      </c>
      <c r="S298" t="str">
        <f>IFERROR(__xludf.DUMMYFUNCTION("""COMPUTED_VALUE"""),"AC7060967")</f>
        <v>AC7060967</v>
      </c>
      <c r="T298" s="148">
        <f>IFERROR(__xludf.DUMMYFUNCTION("""COMPUTED_VALUE"""),45542.0)</f>
        <v>45542</v>
      </c>
      <c r="U298" s="148">
        <f>IFERROR(__xludf.DUMMYFUNCTION("""COMPUTED_VALUE"""),49193.0)</f>
        <v>49193</v>
      </c>
      <c r="V298" s="149">
        <f>IFERROR(__xludf.DUMMYFUNCTION("""COMPUTED_VALUE"""),49009.0)</f>
        <v>49009</v>
      </c>
      <c r="W298" t="str">
        <f>IFERROR(__xludf.DUMMYFUNCTION("""COMPUTED_VALUE"""),"ปลอดภัย")</f>
        <v>ปลอดภัย</v>
      </c>
      <c r="X298" t="str">
        <f>IFERROR(__xludf.DUMMYFUNCTION("""COMPUTED_VALUE"""),"Udon Thani")</f>
        <v>Udon Thani</v>
      </c>
      <c r="Y298" t="str">
        <f>IFERROR(__xludf.DUMMYFUNCTION("""COMPUTED_VALUE"""),"Phrakhanong")</f>
        <v>Phrakhanong</v>
      </c>
      <c r="Z298" t="str">
        <f>IFERROR(__xludf.DUMMYFUNCTION("""COMPUTED_VALUE"""),"089 577 7214")</f>
        <v>089 577 7214</v>
      </c>
      <c r="AA298" t="str">
        <f>IFERROR(__xludf.DUMMYFUNCTION("""COMPUTED_VALUE"""),"Koson")</f>
        <v>Koson</v>
      </c>
      <c r="AB298" t="str">
        <f>IFERROR(__xludf.DUMMYFUNCTION("""COMPUTED_VALUE"""),"sirinthips@airasia.com")</f>
        <v>sirinthips@airasia.com</v>
      </c>
    </row>
    <row r="299">
      <c r="A299">
        <f>IFERROR(__xludf.DUMMYFUNCTION("""COMPUTED_VALUE"""),1006360.0)</f>
        <v>1006360</v>
      </c>
      <c r="B299" t="str">
        <f>IFERROR(__xludf.DUMMYFUNCTION("""COMPUTED_VALUE"""),"Ms.")</f>
        <v>Ms.</v>
      </c>
      <c r="C299" t="str">
        <f>IFERROR(__xludf.DUMMYFUNCTION("""COMPUTED_VALUE"""),"Thanisorn")</f>
        <v>Thanisorn</v>
      </c>
      <c r="D299" t="str">
        <f>IFERROR(__xludf.DUMMYFUNCTION("""COMPUTED_VALUE"""),"Chinprahasta")</f>
        <v>Chinprahasta</v>
      </c>
      <c r="E299" t="str">
        <f>IFERROR(__xludf.DUMMYFUNCTION("""COMPUTED_VALUE"""),"Thanisorn Chinprahasta")</f>
        <v>Thanisorn Chinprahasta</v>
      </c>
      <c r="F299" t="str">
        <f>IFERROR(__xludf.DUMMYFUNCTION("""COMPUTED_VALUE"""),"นางสาว")</f>
        <v>นางสาว</v>
      </c>
      <c r="G299" t="str">
        <f>IFERROR(__xludf.DUMMYFUNCTION("""COMPUTED_VALUE"""),"ฐานิศร")</f>
        <v>ฐานิศร</v>
      </c>
      <c r="H299" t="str">
        <f>IFERROR(__xludf.DUMMYFUNCTION("""COMPUTED_VALUE"""),"ชินประหัษฐ์")</f>
        <v>ชินประหัษฐ์</v>
      </c>
      <c r="I299" t="str">
        <f>IFERROR(__xludf.DUMMYFUNCTION("""COMPUTED_VALUE"""),"ฐานิศร ชินประหัษฐ์")</f>
        <v>ฐานิศร ชินประหัษฐ์</v>
      </c>
      <c r="J299" t="str">
        <f>IFERROR(__xludf.DUMMYFUNCTION("""COMPUTED_VALUE"""),"ฟ้า")</f>
        <v>ฟ้า</v>
      </c>
      <c r="K299" t="str">
        <f>IFERROR(__xludf.DUMMYFUNCTION("""COMPUTED_VALUE"""),"Cabin Crew")</f>
        <v>Cabin Crew</v>
      </c>
      <c r="L299" t="str">
        <f>IFERROR(__xludf.DUMMYFUNCTION("""COMPUTED_VALUE"""),"DMK")</f>
        <v>DMK</v>
      </c>
      <c r="M299" s="145" t="str">
        <f>IFERROR(__xludf.DUMMYFUNCTION("""COMPUTED_VALUE"""),"Toffy Home")</f>
        <v>Toffy Home</v>
      </c>
      <c r="N299" t="str">
        <f>IFERROR(__xludf.DUMMYFUNCTION("""COMPUTED_VALUE"""),"Active")</f>
        <v>Active</v>
      </c>
      <c r="P299" s="143">
        <f>IFERROR(__xludf.DUMMYFUNCTION("""COMPUTED_VALUE"""),31616.0)</f>
        <v>31616</v>
      </c>
      <c r="Q299" s="146" t="str">
        <f>IFERROR(__xludf.DUMMYFUNCTION("""COMPUTED_VALUE"""),"096 149 4192")</f>
        <v>096 149 4192</v>
      </c>
      <c r="R299" s="147" t="str">
        <f>IFERROR(__xludf.DUMMYFUNCTION("""COMPUTED_VALUE"""),"11002-0025-7100")</f>
        <v>11002-0025-7100</v>
      </c>
      <c r="S299" t="str">
        <f>IFERROR(__xludf.DUMMYFUNCTION("""COMPUTED_VALUE"""),"AC4518948")</f>
        <v>AC4518948</v>
      </c>
      <c r="T299" s="148">
        <f>IFERROR(__xludf.DUMMYFUNCTION("""COMPUTED_VALUE"""),44979.0)</f>
        <v>44979</v>
      </c>
      <c r="U299" s="148">
        <f>IFERROR(__xludf.DUMMYFUNCTION("""COMPUTED_VALUE"""),48631.0)</f>
        <v>48631</v>
      </c>
      <c r="V299" s="149">
        <f>IFERROR(__xludf.DUMMYFUNCTION("""COMPUTED_VALUE"""),48447.0)</f>
        <v>48447</v>
      </c>
      <c r="W299" t="str">
        <f>IFERROR(__xludf.DUMMYFUNCTION("""COMPUTED_VALUE"""),"ปลอดภัย")</f>
        <v>ปลอดภัย</v>
      </c>
      <c r="X299" t="str">
        <f>IFERROR(__xludf.DUMMYFUNCTION("""COMPUTED_VALUE"""),"Bangkok")</f>
        <v>Bangkok</v>
      </c>
      <c r="Y299" t="str">
        <f>IFERROR(__xludf.DUMMYFUNCTION("""COMPUTED_VALUE"""),"Bangphli")</f>
        <v>Bangphli</v>
      </c>
      <c r="Z299" t="str">
        <f>IFERROR(__xludf.DUMMYFUNCTION("""COMPUTED_VALUE"""),"081 810 7700")</f>
        <v>081 810 7700</v>
      </c>
      <c r="AA299" t="str">
        <f>IFERROR(__xludf.DUMMYFUNCTION("""COMPUTED_VALUE"""),"Kitti")</f>
        <v>Kitti</v>
      </c>
      <c r="AB299" t="str">
        <f>IFERROR(__xludf.DUMMYFUNCTION("""COMPUTED_VALUE"""),"thanisornc@airasia.com")</f>
        <v>thanisornc@airasia.com</v>
      </c>
    </row>
    <row r="300">
      <c r="AB300" t="str">
        <f>IFERROR(__xludf.DUMMYFUNCTION("""COMPUTED_VALUE"""),"")</f>
        <v/>
      </c>
    </row>
    <row r="301">
      <c r="A301">
        <f>IFERROR(__xludf.DUMMYFUNCTION("""COMPUTED_VALUE"""),1006739.0)</f>
        <v>1006739</v>
      </c>
      <c r="B301" t="str">
        <f>IFERROR(__xludf.DUMMYFUNCTION("""COMPUTED_VALUE"""),"Ms.")</f>
        <v>Ms.</v>
      </c>
      <c r="C301" t="str">
        <f>IFERROR(__xludf.DUMMYFUNCTION("""COMPUTED_VALUE"""),"Jariya")</f>
        <v>Jariya</v>
      </c>
      <c r="D301" t="str">
        <f>IFERROR(__xludf.DUMMYFUNCTION("""COMPUTED_VALUE"""),"Wasinanon")</f>
        <v>Wasinanon</v>
      </c>
      <c r="E301" t="str">
        <f>IFERROR(__xludf.DUMMYFUNCTION("""COMPUTED_VALUE"""),"Jariya Wasinanon")</f>
        <v>Jariya Wasinanon</v>
      </c>
      <c r="F301" t="str">
        <f>IFERROR(__xludf.DUMMYFUNCTION("""COMPUTED_VALUE"""),"นางสาว")</f>
        <v>นางสาว</v>
      </c>
      <c r="G301" t="str">
        <f>IFERROR(__xludf.DUMMYFUNCTION("""COMPUTED_VALUE"""),"จาริญา")</f>
        <v>จาริญา</v>
      </c>
      <c r="H301" t="str">
        <f>IFERROR(__xludf.DUMMYFUNCTION("""COMPUTED_VALUE"""),"วาสินานนท์")</f>
        <v>วาสินานนท์</v>
      </c>
      <c r="I301" t="str">
        <f>IFERROR(__xludf.DUMMYFUNCTION("""COMPUTED_VALUE"""),"จาริญา วาสินานนท์")</f>
        <v>จาริญา วาสินานนท์</v>
      </c>
      <c r="J301" t="str">
        <f>IFERROR(__xludf.DUMMYFUNCTION("""COMPUTED_VALUE"""),"Ya")</f>
        <v>Ya</v>
      </c>
      <c r="K301" t="str">
        <f>IFERROR(__xludf.DUMMYFUNCTION("""COMPUTED_VALUE"""),"Cabin Crew - HKT")</f>
        <v>Cabin Crew - HKT</v>
      </c>
      <c r="L301" t="str">
        <f>IFERROR(__xludf.DUMMYFUNCTION("""COMPUTED_VALUE"""),"HKT")</f>
        <v>HKT</v>
      </c>
      <c r="M301" s="145" t="str">
        <f>IFERROR(__xludf.DUMMYFUNCTION("""COMPUTED_VALUE"""),"Kor Home")</f>
        <v>Kor Home</v>
      </c>
      <c r="N301" t="str">
        <f>IFERROR(__xludf.DUMMYFUNCTION("""COMPUTED_VALUE"""),"Active")</f>
        <v>Active</v>
      </c>
      <c r="O301" t="str">
        <f>IFERROR(__xludf.DUMMYFUNCTION("""COMPUTED_VALUE"""),"Chinese Speaking")</f>
        <v>Chinese Speaking</v>
      </c>
      <c r="P301" s="143">
        <f>IFERROR(__xludf.DUMMYFUNCTION("""COMPUTED_VALUE"""),32842.0)</f>
        <v>32842</v>
      </c>
      <c r="Q301" s="146" t="str">
        <f>IFERROR(__xludf.DUMMYFUNCTION("""COMPUTED_VALUE"""),"092-535-5691")</f>
        <v>092-535-5691</v>
      </c>
      <c r="R301" s="147" t="str">
        <f>IFERROR(__xludf.DUMMYFUNCTION("""COMPUTED_VALUE"""),"1839900-17-7372")</f>
        <v>1839900-17-7372</v>
      </c>
      <c r="S301" t="str">
        <f>IFERROR(__xludf.DUMMYFUNCTION("""COMPUTED_VALUE"""),"AC2684832")</f>
        <v>AC2684832</v>
      </c>
      <c r="T301" s="148">
        <f>IFERROR(__xludf.DUMMYFUNCTION("""COMPUTED_VALUE"""),44581.0)</f>
        <v>44581</v>
      </c>
      <c r="U301" s="148">
        <f>IFERROR(__xludf.DUMMYFUNCTION("""COMPUTED_VALUE"""),48232.0)</f>
        <v>48232</v>
      </c>
      <c r="V301" s="149">
        <f>IFERROR(__xludf.DUMMYFUNCTION("""COMPUTED_VALUE"""),48048.0)</f>
        <v>48048</v>
      </c>
      <c r="W301" t="str">
        <f>IFERROR(__xludf.DUMMYFUNCTION("""COMPUTED_VALUE"""),"ปลอดภัย")</f>
        <v>ปลอดภัย</v>
      </c>
      <c r="X301" t="str">
        <f>IFERROR(__xludf.DUMMYFUNCTION("""COMPUTED_VALUE"""),"Phuket Province")</f>
        <v>Phuket Province</v>
      </c>
      <c r="Y301" t="str">
        <f>IFERROR(__xludf.DUMMYFUNCTION("""COMPUTED_VALUE"""),"Phuket")</f>
        <v>Phuket</v>
      </c>
      <c r="Z301" t="str">
        <f>IFERROR(__xludf.DUMMYFUNCTION("""COMPUTED_VALUE"""),"076 377 776 / 086 273 8363")</f>
        <v>076 377 776 / 086 273 8363</v>
      </c>
      <c r="AA301" t="str">
        <f>IFERROR(__xludf.DUMMYFUNCTION("""COMPUTED_VALUE"""),"Relative")</f>
        <v>Relative</v>
      </c>
      <c r="AB301" t="str">
        <f>IFERROR(__xludf.DUMMYFUNCTION("""COMPUTED_VALUE"""),"jariyaw@airasia.com")</f>
        <v>jariyaw@airasia.com</v>
      </c>
    </row>
    <row r="302">
      <c r="A302">
        <f>IFERROR(__xludf.DUMMYFUNCTION("""COMPUTED_VALUE"""),1006740.0)</f>
        <v>1006740</v>
      </c>
      <c r="B302" t="str">
        <f>IFERROR(__xludf.DUMMYFUNCTION("""COMPUTED_VALUE"""),"Ms.")</f>
        <v>Ms.</v>
      </c>
      <c r="C302" t="str">
        <f>IFERROR(__xludf.DUMMYFUNCTION("""COMPUTED_VALUE"""),"Juthamard")</f>
        <v>Juthamard</v>
      </c>
      <c r="D302" t="str">
        <f>IFERROR(__xludf.DUMMYFUNCTION("""COMPUTED_VALUE"""),"Jiarakul (Pienwikraisophon)")</f>
        <v>Jiarakul (Pienwikraisophon)</v>
      </c>
      <c r="E302" t="str">
        <f>IFERROR(__xludf.DUMMYFUNCTION("""COMPUTED_VALUE"""),"Juthamard Jiarakul")</f>
        <v>Juthamard Jiarakul</v>
      </c>
      <c r="F302" t="str">
        <f>IFERROR(__xludf.DUMMYFUNCTION("""COMPUTED_VALUE"""),"นางสาว")</f>
        <v>นางสาว</v>
      </c>
      <c r="G302" t="str">
        <f>IFERROR(__xludf.DUMMYFUNCTION("""COMPUTED_VALUE"""),"จุฑามาศ")</f>
        <v>จุฑามาศ</v>
      </c>
      <c r="H302" t="str">
        <f>IFERROR(__xludf.DUMMYFUNCTION("""COMPUTED_VALUE"""),"เจียรกุล (เพียรวิกรัยโสภณ)")</f>
        <v>เจียรกุล (เพียรวิกรัยโสภณ)</v>
      </c>
      <c r="I302" t="str">
        <f>IFERROR(__xludf.DUMMYFUNCTION("""COMPUTED_VALUE"""),"จุฑามาศ เจียรกุล")</f>
        <v>จุฑามาศ เจียรกุล</v>
      </c>
      <c r="J302" t="str">
        <f>IFERROR(__xludf.DUMMYFUNCTION("""COMPUTED_VALUE"""),"Fang")</f>
        <v>Fang</v>
      </c>
      <c r="K302" t="str">
        <f>IFERROR(__xludf.DUMMYFUNCTION("""COMPUTED_VALUE"""),"Senior Cabin Crew")</f>
        <v>Senior Cabin Crew</v>
      </c>
      <c r="L302" t="str">
        <f>IFERROR(__xludf.DUMMYFUNCTION("""COMPUTED_VALUE"""),"DMK")</f>
        <v>DMK</v>
      </c>
      <c r="M302" s="145" t="str">
        <f>IFERROR(__xludf.DUMMYFUNCTION("""COMPUTED_VALUE"""),"Toffy Home")</f>
        <v>Toffy Home</v>
      </c>
      <c r="N302" t="str">
        <f>IFERROR(__xludf.DUMMYFUNCTION("""COMPUTED_VALUE"""),"Active")</f>
        <v>Active</v>
      </c>
      <c r="P302" s="143">
        <f>IFERROR(__xludf.DUMMYFUNCTION("""COMPUTED_VALUE"""),31079.0)</f>
        <v>31079</v>
      </c>
      <c r="Q302" s="146" t="str">
        <f>IFERROR(__xludf.DUMMYFUNCTION("""COMPUTED_VALUE"""),"081 429 5987")</f>
        <v>081 429 5987</v>
      </c>
      <c r="R302" s="147" t="str">
        <f>IFERROR(__xludf.DUMMYFUNCTION("""COMPUTED_VALUE"""),"1100800-11-8062")</f>
        <v>1100800-11-8062</v>
      </c>
      <c r="S302" t="str">
        <f>IFERROR(__xludf.DUMMYFUNCTION("""COMPUTED_VALUE"""),"AC6241206")</f>
        <v>AC6241206</v>
      </c>
      <c r="T302" s="148">
        <f>IFERROR(__xludf.DUMMYFUNCTION("""COMPUTED_VALUE"""),45303.0)</f>
        <v>45303</v>
      </c>
      <c r="U302" s="148">
        <f>IFERROR(__xludf.DUMMYFUNCTION("""COMPUTED_VALUE"""),48955.0)</f>
        <v>48955</v>
      </c>
      <c r="V302" s="149">
        <f>IFERROR(__xludf.DUMMYFUNCTION("""COMPUTED_VALUE"""),48771.0)</f>
        <v>48771</v>
      </c>
      <c r="W302" t="str">
        <f>IFERROR(__xludf.DUMMYFUNCTION("""COMPUTED_VALUE"""),"ปลอดภัย")</f>
        <v>ปลอดภัย</v>
      </c>
      <c r="X302" t="str">
        <f>IFERROR(__xludf.DUMMYFUNCTION("""COMPUTED_VALUE"""),"Bangkok")</f>
        <v>Bangkok</v>
      </c>
      <c r="Y302" t="str">
        <f>IFERROR(__xludf.DUMMYFUNCTION("""COMPUTED_VALUE"""),"Yannawa")</f>
        <v>Yannawa</v>
      </c>
      <c r="Z302" t="str">
        <f>IFERROR(__xludf.DUMMYFUNCTION("""COMPUTED_VALUE"""),"02 249 9147 / 081 491 0300")</f>
        <v>02 249 9147 / 081 491 0300</v>
      </c>
      <c r="AA302" t="str">
        <f>IFERROR(__xludf.DUMMYFUNCTION("""COMPUTED_VALUE"""),"Home / Relative")</f>
        <v>Home / Relative</v>
      </c>
      <c r="AB302" t="str">
        <f>IFERROR(__xludf.DUMMYFUNCTION("""COMPUTED_VALUE"""),"juthamardj@airasia.com")</f>
        <v>juthamardj@airasia.com</v>
      </c>
    </row>
    <row r="303">
      <c r="A303">
        <f>IFERROR(__xludf.DUMMYFUNCTION("""COMPUTED_VALUE"""),1006741.0)</f>
        <v>1006741</v>
      </c>
      <c r="B303" t="str">
        <f>IFERROR(__xludf.DUMMYFUNCTION("""COMPUTED_VALUE"""),"Ms.")</f>
        <v>Ms.</v>
      </c>
      <c r="C303" t="str">
        <f>IFERROR(__xludf.DUMMYFUNCTION("""COMPUTED_VALUE"""),"Kanyanee")</f>
        <v>Kanyanee</v>
      </c>
      <c r="D303" t="str">
        <f>IFERROR(__xludf.DUMMYFUNCTION("""COMPUTED_VALUE"""),"Sakunsim")</f>
        <v>Sakunsim</v>
      </c>
      <c r="E303" t="str">
        <f>IFERROR(__xludf.DUMMYFUNCTION("""COMPUTED_VALUE"""),"Kanyanee Sakunsim")</f>
        <v>Kanyanee Sakunsim</v>
      </c>
      <c r="F303" t="str">
        <f>IFERROR(__xludf.DUMMYFUNCTION("""COMPUTED_VALUE"""),"นางสาว")</f>
        <v>นางสาว</v>
      </c>
      <c r="G303" t="str">
        <f>IFERROR(__xludf.DUMMYFUNCTION("""COMPUTED_VALUE"""),"กัญญาณี")</f>
        <v>กัญญาณี</v>
      </c>
      <c r="H303" t="str">
        <f>IFERROR(__xludf.DUMMYFUNCTION("""COMPUTED_VALUE"""),"สกุลซิ้ม")</f>
        <v>สกุลซิ้ม</v>
      </c>
      <c r="I303" t="str">
        <f>IFERROR(__xludf.DUMMYFUNCTION("""COMPUTED_VALUE"""),"กัญญาณี สกุลซิ้ม")</f>
        <v>กัญญาณี สกุลซิ้ม</v>
      </c>
      <c r="J303" t="str">
        <f>IFERROR(__xludf.DUMMYFUNCTION("""COMPUTED_VALUE"""),"Kor")</f>
        <v>Kor</v>
      </c>
      <c r="K303" t="str">
        <f>IFERROR(__xludf.DUMMYFUNCTION("""COMPUTED_VALUE"""),"Cabin Crew Engagement Lead - HKT")</f>
        <v>Cabin Crew Engagement Lead - HKT</v>
      </c>
      <c r="L303" t="str">
        <f>IFERROR(__xludf.DUMMYFUNCTION("""COMPUTED_VALUE"""),"HKT")</f>
        <v>HKT</v>
      </c>
      <c r="M303" s="145" t="str">
        <f>IFERROR(__xludf.DUMMYFUNCTION("""COMPUTED_VALUE"""),"Ward Monitor")</f>
        <v>Ward Monitor</v>
      </c>
      <c r="N303" t="str">
        <f>IFERROR(__xludf.DUMMYFUNCTION("""COMPUTED_VALUE"""),"Active")</f>
        <v>Active</v>
      </c>
      <c r="P303" s="143">
        <f>IFERROR(__xludf.DUMMYFUNCTION("""COMPUTED_VALUE"""),30735.0)</f>
        <v>30735</v>
      </c>
      <c r="Q303" s="146" t="str">
        <f>IFERROR(__xludf.DUMMYFUNCTION("""COMPUTED_VALUE"""),"084 289 5539")</f>
        <v>084 289 5539</v>
      </c>
      <c r="R303" s="147" t="str">
        <f>IFERROR(__xludf.DUMMYFUNCTION("""COMPUTED_VALUE"""),"1839990-00-3247")</f>
        <v>1839990-00-3247</v>
      </c>
      <c r="S303" t="str">
        <f>IFERROR(__xludf.DUMMYFUNCTION("""COMPUTED_VALUE"""),"AC4244919")</f>
        <v>AC4244919</v>
      </c>
      <c r="T303" s="148">
        <f>IFERROR(__xludf.DUMMYFUNCTION("""COMPUTED_VALUE"""),44901.0)</f>
        <v>44901</v>
      </c>
      <c r="U303" s="148">
        <f>IFERROR(__xludf.DUMMYFUNCTION("""COMPUTED_VALUE"""),48553.0)</f>
        <v>48553</v>
      </c>
      <c r="V303" s="149">
        <f>IFERROR(__xludf.DUMMYFUNCTION("""COMPUTED_VALUE"""),48370.0)</f>
        <v>48370</v>
      </c>
      <c r="W303" t="str">
        <f>IFERROR(__xludf.DUMMYFUNCTION("""COMPUTED_VALUE"""),"ปลอดภัย")</f>
        <v>ปลอดภัย</v>
      </c>
      <c r="X303" t="str">
        <f>IFERROR(__xludf.DUMMYFUNCTION("""COMPUTED_VALUE"""),"Phuket Province")</f>
        <v>Phuket Province</v>
      </c>
      <c r="Y303" t="str">
        <f>IFERROR(__xludf.DUMMYFUNCTION("""COMPUTED_VALUE"""),"Phuket")</f>
        <v>Phuket</v>
      </c>
      <c r="Z303" t="str">
        <f>IFERROR(__xludf.DUMMYFUNCTION("""COMPUTED_VALUE"""),"076 240 307")</f>
        <v>076 240 307</v>
      </c>
      <c r="AA303" t="str">
        <f>IFERROR(__xludf.DUMMYFUNCTION("""COMPUTED_VALUE"""),"Home")</f>
        <v>Home</v>
      </c>
      <c r="AB303" t="str">
        <f>IFERROR(__xludf.DUMMYFUNCTION("""COMPUTED_VALUE"""),"kanyanees@airasia.com")</f>
        <v>kanyanees@airasia.com</v>
      </c>
    </row>
    <row r="304">
      <c r="A304">
        <f>IFERROR(__xludf.DUMMYFUNCTION("""COMPUTED_VALUE"""),1006742.0)</f>
        <v>1006742</v>
      </c>
      <c r="B304" t="str">
        <f>IFERROR(__xludf.DUMMYFUNCTION("""COMPUTED_VALUE"""),"Ms.")</f>
        <v>Ms.</v>
      </c>
      <c r="C304" t="str">
        <f>IFERROR(__xludf.DUMMYFUNCTION("""COMPUTED_VALUE"""),"Korakoch")</f>
        <v>Korakoch</v>
      </c>
      <c r="D304" t="str">
        <f>IFERROR(__xludf.DUMMYFUNCTION("""COMPUTED_VALUE"""),"Charoenying")</f>
        <v>Charoenying</v>
      </c>
      <c r="E304" t="str">
        <f>IFERROR(__xludf.DUMMYFUNCTION("""COMPUTED_VALUE"""),"Korakoch Charoenying")</f>
        <v>Korakoch Charoenying</v>
      </c>
      <c r="F304" t="str">
        <f>IFERROR(__xludf.DUMMYFUNCTION("""COMPUTED_VALUE"""),"นางสาว")</f>
        <v>นางสาว</v>
      </c>
      <c r="G304" t="str">
        <f>IFERROR(__xludf.DUMMYFUNCTION("""COMPUTED_VALUE"""),"กรกช")</f>
        <v>กรกช</v>
      </c>
      <c r="H304" t="str">
        <f>IFERROR(__xludf.DUMMYFUNCTION("""COMPUTED_VALUE"""),"เจริญยิ่ง")</f>
        <v>เจริญยิ่ง</v>
      </c>
      <c r="I304" t="str">
        <f>IFERROR(__xludf.DUMMYFUNCTION("""COMPUTED_VALUE"""),"กรกช เจริญยิ่ง")</f>
        <v>กรกช เจริญยิ่ง</v>
      </c>
      <c r="J304" t="str">
        <f>IFERROR(__xludf.DUMMYFUNCTION("""COMPUTED_VALUE"""),"May")</f>
        <v>May</v>
      </c>
      <c r="K304" t="str">
        <f>IFERROR(__xludf.DUMMYFUNCTION("""COMPUTED_VALUE"""),"Senior Cabin Crew")</f>
        <v>Senior Cabin Crew</v>
      </c>
      <c r="L304" t="str">
        <f>IFERROR(__xludf.DUMMYFUNCTION("""COMPUTED_VALUE"""),"DMK")</f>
        <v>DMK</v>
      </c>
      <c r="M304" s="145" t="str">
        <f>IFERROR(__xludf.DUMMYFUNCTION("""COMPUTED_VALUE"""),"Namfon Home")</f>
        <v>Namfon Home</v>
      </c>
      <c r="N304" t="str">
        <f>IFERROR(__xludf.DUMMYFUNCTION("""COMPUTED_VALUE"""),"LWPH")</f>
        <v>LWPH</v>
      </c>
      <c r="P304" s="143">
        <f>IFERROR(__xludf.DUMMYFUNCTION("""COMPUTED_VALUE"""),31516.0)</f>
        <v>31516</v>
      </c>
      <c r="Q304" s="146" t="str">
        <f>IFERROR(__xludf.DUMMYFUNCTION("""COMPUTED_VALUE"""),"092 653 6169")</f>
        <v>092 653 6169</v>
      </c>
      <c r="R304" s="147" t="str">
        <f>IFERROR(__xludf.DUMMYFUNCTION("""COMPUTED_VALUE"""),"1101499-13-5308")</f>
        <v>1101499-13-5308</v>
      </c>
      <c r="S304" t="str">
        <f>IFERROR(__xludf.DUMMYFUNCTION("""COMPUTED_VALUE"""),"AD1336860")</f>
        <v>AD1336860</v>
      </c>
      <c r="T304" s="148">
        <f>IFERROR(__xludf.DUMMYFUNCTION("""COMPUTED_VALUE"""),45341.0)</f>
        <v>45341</v>
      </c>
      <c r="U304" s="148">
        <f>IFERROR(__xludf.DUMMYFUNCTION("""COMPUTED_VALUE"""),48993.0)</f>
        <v>48993</v>
      </c>
      <c r="V304" s="149">
        <f>IFERROR(__xludf.DUMMYFUNCTION("""COMPUTED_VALUE"""),48809.0)</f>
        <v>48809</v>
      </c>
      <c r="W304" t="str">
        <f>IFERROR(__xludf.DUMMYFUNCTION("""COMPUTED_VALUE"""),"ปลอดภัย")</f>
        <v>ปลอดภัย</v>
      </c>
      <c r="X304" t="str">
        <f>IFERROR(__xludf.DUMMYFUNCTION("""COMPUTED_VALUE"""),"Bangkok")</f>
        <v>Bangkok</v>
      </c>
      <c r="Y304" t="str">
        <f>IFERROR(__xludf.DUMMYFUNCTION("""COMPUTED_VALUE"""),"Nonthaburi")</f>
        <v>Nonthaburi</v>
      </c>
      <c r="Z304" t="str">
        <f>IFERROR(__xludf.DUMMYFUNCTION("""COMPUTED_VALUE"""),"02 951 4819 / 089 172 9800")</f>
        <v>02 951 4819 / 089 172 9800</v>
      </c>
      <c r="AA304" t="str">
        <f>IFERROR(__xludf.DUMMYFUNCTION("""COMPUTED_VALUE"""),"Home / Relative")</f>
        <v>Home / Relative</v>
      </c>
      <c r="AB304" t="str">
        <f>IFERROR(__xludf.DUMMYFUNCTION("""COMPUTED_VALUE"""),"korakochc@airasia.com")</f>
        <v>korakochc@airasia.com</v>
      </c>
    </row>
    <row r="305">
      <c r="A305">
        <f>IFERROR(__xludf.DUMMYFUNCTION("""COMPUTED_VALUE"""),1006743.0)</f>
        <v>1006743</v>
      </c>
      <c r="B305" t="str">
        <f>IFERROR(__xludf.DUMMYFUNCTION("""COMPUTED_VALUE"""),"Ms.")</f>
        <v>Ms.</v>
      </c>
      <c r="C305" t="str">
        <f>IFERROR(__xludf.DUMMYFUNCTION("""COMPUTED_VALUE"""),"Methawadee")</f>
        <v>Methawadee</v>
      </c>
      <c r="D305" t="str">
        <f>IFERROR(__xludf.DUMMYFUNCTION("""COMPUTED_VALUE"""),"Nuanganant")</f>
        <v>Nuanganant</v>
      </c>
      <c r="E305" t="str">
        <f>IFERROR(__xludf.DUMMYFUNCTION("""COMPUTED_VALUE"""),"Methawadee Nuanganant")</f>
        <v>Methawadee Nuanganant</v>
      </c>
      <c r="F305" t="str">
        <f>IFERROR(__xludf.DUMMYFUNCTION("""COMPUTED_VALUE"""),"นางสาว")</f>
        <v>นางสาว</v>
      </c>
      <c r="G305" t="str">
        <f>IFERROR(__xludf.DUMMYFUNCTION("""COMPUTED_VALUE"""),"เมธาวดี")</f>
        <v>เมธาวดี</v>
      </c>
      <c r="H305" t="str">
        <f>IFERROR(__xludf.DUMMYFUNCTION("""COMPUTED_VALUE"""),"เนืองอนันต์")</f>
        <v>เนืองอนันต์</v>
      </c>
      <c r="I305" t="str">
        <f>IFERROR(__xludf.DUMMYFUNCTION("""COMPUTED_VALUE"""),"เมธาวดี เนืองอนันต์")</f>
        <v>เมธาวดี เนืองอนันต์</v>
      </c>
      <c r="J305" t="str">
        <f>IFERROR(__xludf.DUMMYFUNCTION("""COMPUTED_VALUE"""),"ตาต้า")</f>
        <v>ตาต้า</v>
      </c>
      <c r="K305" t="str">
        <f>IFERROR(__xludf.DUMMYFUNCTION("""COMPUTED_VALUE"""),"Cabin Crew")</f>
        <v>Cabin Crew</v>
      </c>
      <c r="L305" t="str">
        <f>IFERROR(__xludf.DUMMYFUNCTION("""COMPUTED_VALUE"""),"DMK")</f>
        <v>DMK</v>
      </c>
      <c r="M305" s="145" t="str">
        <f>IFERROR(__xludf.DUMMYFUNCTION("""COMPUTED_VALUE"""),"Por+ Home")</f>
        <v>Por+ Home</v>
      </c>
      <c r="N305" t="str">
        <f>IFERROR(__xludf.DUMMYFUNCTION("""COMPUTED_VALUE"""),"Active")</f>
        <v>Active</v>
      </c>
      <c r="P305" s="143">
        <f>IFERROR(__xludf.DUMMYFUNCTION("""COMPUTED_VALUE"""),30717.0)</f>
        <v>30717</v>
      </c>
      <c r="Q305" s="146">
        <f>IFERROR(__xludf.DUMMYFUNCTION("""COMPUTED_VALUE"""),6.46508196E8)</f>
        <v>646508196</v>
      </c>
      <c r="R305" s="147" t="str">
        <f>IFERROR(__xludf.DUMMYFUNCTION("""COMPUTED_VALUE"""),"1349900-00-4456")</f>
        <v>1349900-00-4456</v>
      </c>
      <c r="S305" t="str">
        <f>IFERROR(__xludf.DUMMYFUNCTION("""COMPUTED_VALUE"""),"AC2322631")</f>
        <v>AC2322631</v>
      </c>
      <c r="T305" s="148">
        <f>IFERROR(__xludf.DUMMYFUNCTION("""COMPUTED_VALUE"""),44365.0)</f>
        <v>44365</v>
      </c>
      <c r="U305" s="148">
        <f>IFERROR(__xludf.DUMMYFUNCTION("""COMPUTED_VALUE"""),48016.0)</f>
        <v>48016</v>
      </c>
      <c r="V305" s="149">
        <f>IFERROR(__xludf.DUMMYFUNCTION("""COMPUTED_VALUE"""),47834.0)</f>
        <v>47834</v>
      </c>
      <c r="W305" t="str">
        <f>IFERROR(__xludf.DUMMYFUNCTION("""COMPUTED_VALUE"""),"ปลอดภัย")</f>
        <v>ปลอดภัย</v>
      </c>
      <c r="X305" t="str">
        <f>IFERROR(__xludf.DUMMYFUNCTION("""COMPUTED_VALUE"""),"Ubon Ratchathani Province")</f>
        <v>Ubon Ratchathani Province</v>
      </c>
      <c r="Y305" t="str">
        <f>IFERROR(__xludf.DUMMYFUNCTION("""COMPUTED_VALUE"""),"Ladkrabang")</f>
        <v>Ladkrabang</v>
      </c>
      <c r="Z305" t="str">
        <f>IFERROR(__xludf.DUMMYFUNCTION("""COMPUTED_VALUE"""),"089 849 2365")</f>
        <v>089 849 2365</v>
      </c>
      <c r="AA305" t="str">
        <f>IFERROR(__xludf.DUMMYFUNCTION("""COMPUTED_VALUE"""),"Mother")</f>
        <v>Mother</v>
      </c>
      <c r="AB305" t="str">
        <f>IFERROR(__xludf.DUMMYFUNCTION("""COMPUTED_VALUE"""),"methawadeen@airasia.com")</f>
        <v>methawadeen@airasia.com</v>
      </c>
    </row>
    <row r="306">
      <c r="A306">
        <f>IFERROR(__xludf.DUMMYFUNCTION("""COMPUTED_VALUE"""),1006745.0)</f>
        <v>1006745</v>
      </c>
      <c r="B306" t="str">
        <f>IFERROR(__xludf.DUMMYFUNCTION("""COMPUTED_VALUE"""),"Mr.")</f>
        <v>Mr.</v>
      </c>
      <c r="C306" t="str">
        <f>IFERROR(__xludf.DUMMYFUNCTION("""COMPUTED_VALUE"""),"Peerapop")</f>
        <v>Peerapop</v>
      </c>
      <c r="D306" t="str">
        <f>IFERROR(__xludf.DUMMYFUNCTION("""COMPUTED_VALUE"""),"Sompranon")</f>
        <v>Sompranon</v>
      </c>
      <c r="E306" t="str">
        <f>IFERROR(__xludf.DUMMYFUNCTION("""COMPUTED_VALUE"""),"Peerapop Sompranon")</f>
        <v>Peerapop Sompranon</v>
      </c>
      <c r="F306" t="str">
        <f>IFERROR(__xludf.DUMMYFUNCTION("""COMPUTED_VALUE"""),"นาย")</f>
        <v>นาย</v>
      </c>
      <c r="G306" t="str">
        <f>IFERROR(__xludf.DUMMYFUNCTION("""COMPUTED_VALUE"""),"พีรภพ")</f>
        <v>พีรภพ</v>
      </c>
      <c r="H306" t="str">
        <f>IFERROR(__xludf.DUMMYFUNCTION("""COMPUTED_VALUE"""),"สมพรานนท์")</f>
        <v>สมพรานนท์</v>
      </c>
      <c r="I306" t="str">
        <f>IFERROR(__xludf.DUMMYFUNCTION("""COMPUTED_VALUE"""),"พีรภพ สมพรานนท์")</f>
        <v>พีรภพ สมพรานนท์</v>
      </c>
      <c r="J306" t="str">
        <f>IFERROR(__xludf.DUMMYFUNCTION("""COMPUTED_VALUE"""),"Name")</f>
        <v>Name</v>
      </c>
      <c r="K306" t="str">
        <f>IFERROR(__xludf.DUMMYFUNCTION("""COMPUTED_VALUE"""),"Senior Cabin Crew - HKT")</f>
        <v>Senior Cabin Crew - HKT</v>
      </c>
      <c r="L306" t="str">
        <f>IFERROR(__xludf.DUMMYFUNCTION("""COMPUTED_VALUE"""),"HKT")</f>
        <v>HKT</v>
      </c>
      <c r="M306" s="145" t="str">
        <f>IFERROR(__xludf.DUMMYFUNCTION("""COMPUTED_VALUE"""),"Kor Home")</f>
        <v>Kor Home</v>
      </c>
      <c r="N306" t="str">
        <f>IFERROR(__xludf.DUMMYFUNCTION("""COMPUTED_VALUE"""),"Active")</f>
        <v>Active</v>
      </c>
      <c r="O306" t="str">
        <f>IFERROR(__xludf.DUMMYFUNCTION("""COMPUTED_VALUE"""),"Chinese Speaking")</f>
        <v>Chinese Speaking</v>
      </c>
      <c r="P306" s="143">
        <f>IFERROR(__xludf.DUMMYFUNCTION("""COMPUTED_VALUE"""),32639.0)</f>
        <v>32639</v>
      </c>
      <c r="Q306" s="146" t="str">
        <f>IFERROR(__xludf.DUMMYFUNCTION("""COMPUTED_VALUE"""),"083-236-5356")</f>
        <v>083-236-5356</v>
      </c>
      <c r="R306" s="147" t="str">
        <f>IFERROR(__xludf.DUMMYFUNCTION("""COMPUTED_VALUE"""),"1839900-16-2481")</f>
        <v>1839900-16-2481</v>
      </c>
      <c r="S306" t="str">
        <f>IFERROR(__xludf.DUMMYFUNCTION("""COMPUTED_VALUE"""),"AC2459393")</f>
        <v>AC2459393</v>
      </c>
      <c r="T306" s="148">
        <f>IFERROR(__xludf.DUMMYFUNCTION("""COMPUTED_VALUE"""),44467.0)</f>
        <v>44467</v>
      </c>
      <c r="U306" s="148">
        <f>IFERROR(__xludf.DUMMYFUNCTION("""COMPUTED_VALUE"""),48118.0)</f>
        <v>48118</v>
      </c>
      <c r="V306" s="149">
        <f>IFERROR(__xludf.DUMMYFUNCTION("""COMPUTED_VALUE"""),47934.0)</f>
        <v>47934</v>
      </c>
      <c r="W306" t="str">
        <f>IFERROR(__xludf.DUMMYFUNCTION("""COMPUTED_VALUE"""),"ปลอดภัย")</f>
        <v>ปลอดภัย</v>
      </c>
      <c r="X306" t="str">
        <f>IFERROR(__xludf.DUMMYFUNCTION("""COMPUTED_VALUE"""),"Phuket Province")</f>
        <v>Phuket Province</v>
      </c>
      <c r="Y306" t="str">
        <f>IFERROR(__xludf.DUMMYFUNCTION("""COMPUTED_VALUE"""),"Phuket")</f>
        <v>Phuket</v>
      </c>
      <c r="Z306" t="str">
        <f>IFERROR(__xludf.DUMMYFUNCTION("""COMPUTED_VALUE"""),"076 222 252 / 089 475 7100")</f>
        <v>076 222 252 / 089 475 7100</v>
      </c>
      <c r="AA306" t="str">
        <f>IFERROR(__xludf.DUMMYFUNCTION("""COMPUTED_VALUE"""),"Home / Father")</f>
        <v>Home / Father</v>
      </c>
      <c r="AB306" t="str">
        <f>IFERROR(__xludf.DUMMYFUNCTION("""COMPUTED_VALUE"""),"peerapops@airasia.com")</f>
        <v>peerapops@airasia.com</v>
      </c>
    </row>
    <row r="307">
      <c r="A307">
        <f>IFERROR(__xludf.DUMMYFUNCTION("""COMPUTED_VALUE"""),1006746.0)</f>
        <v>1006746</v>
      </c>
      <c r="B307" t="str">
        <f>IFERROR(__xludf.DUMMYFUNCTION("""COMPUTED_VALUE"""),"Ms.")</f>
        <v>Ms.</v>
      </c>
      <c r="C307" t="str">
        <f>IFERROR(__xludf.DUMMYFUNCTION("""COMPUTED_VALUE"""),"Phanphayia")</f>
        <v>Phanphayia</v>
      </c>
      <c r="D307" t="str">
        <f>IFERROR(__xludf.DUMMYFUNCTION("""COMPUTED_VALUE"""),"Phunphianchat")</f>
        <v>Phunphianchat</v>
      </c>
      <c r="E307" t="str">
        <f>IFERROR(__xludf.DUMMYFUNCTION("""COMPUTED_VALUE"""),"Phanphayia Phunphianchat")</f>
        <v>Phanphayia Phunphianchat</v>
      </c>
      <c r="F307" t="str">
        <f>IFERROR(__xludf.DUMMYFUNCTION("""COMPUTED_VALUE"""),"นางสาว")</f>
        <v>นางสาว</v>
      </c>
      <c r="G307" t="str">
        <f>IFERROR(__xludf.DUMMYFUNCTION("""COMPUTED_VALUE"""),"พันธุ์พเยีย")</f>
        <v>พันธุ์พเยีย</v>
      </c>
      <c r="H307" t="str">
        <f>IFERROR(__xludf.DUMMYFUNCTION("""COMPUTED_VALUE"""),"พูนเพียรจัด")</f>
        <v>พูนเพียรจัด</v>
      </c>
      <c r="I307" t="str">
        <f>IFERROR(__xludf.DUMMYFUNCTION("""COMPUTED_VALUE"""),"พันธุ์พเยีย พูนเพียรจัด")</f>
        <v>พันธุ์พเยีย พูนเพียรจัด</v>
      </c>
      <c r="J307" t="str">
        <f>IFERROR(__xludf.DUMMYFUNCTION("""COMPUTED_VALUE"""),"ฝน")</f>
        <v>ฝน</v>
      </c>
      <c r="K307" t="str">
        <f>IFERROR(__xludf.DUMMYFUNCTION("""COMPUTED_VALUE"""),"Senior Cabin Crew")</f>
        <v>Senior Cabin Crew</v>
      </c>
      <c r="L307" t="str">
        <f>IFERROR(__xludf.DUMMYFUNCTION("""COMPUTED_VALUE"""),"DMK")</f>
        <v>DMK</v>
      </c>
      <c r="M307" s="145" t="str">
        <f>IFERROR(__xludf.DUMMYFUNCTION("""COMPUTED_VALUE"""),"Toffy Home")</f>
        <v>Toffy Home</v>
      </c>
      <c r="N307" t="str">
        <f>IFERROR(__xludf.DUMMYFUNCTION("""COMPUTED_VALUE"""),"MATL")</f>
        <v>MATL</v>
      </c>
      <c r="O307" t="str">
        <f>IFERROR(__xludf.DUMMYFUNCTION("""COMPUTED_VALUE"""),"Chinese Speaking")</f>
        <v>Chinese Speaking</v>
      </c>
      <c r="P307" s="143">
        <f>IFERROR(__xludf.DUMMYFUNCTION("""COMPUTED_VALUE"""),31987.0)</f>
        <v>31987</v>
      </c>
      <c r="Q307" s="146" t="str">
        <f>IFERROR(__xludf.DUMMYFUNCTION("""COMPUTED_VALUE"""),"089 188 5956")</f>
        <v>089 188 5956</v>
      </c>
      <c r="R307" s="147" t="str">
        <f>IFERROR(__xludf.DUMMYFUNCTION("""COMPUTED_VALUE"""),"1801400-09-8271")</f>
        <v>1801400-09-8271</v>
      </c>
      <c r="S307" t="str">
        <f>IFERROR(__xludf.DUMMYFUNCTION("""COMPUTED_VALUE"""),"AC6863050")</f>
        <v>AC6863050</v>
      </c>
      <c r="T307" s="148">
        <f>IFERROR(__xludf.DUMMYFUNCTION("""COMPUTED_VALUE"""),45476.0)</f>
        <v>45476</v>
      </c>
      <c r="U307" s="148">
        <f>IFERROR(__xludf.DUMMYFUNCTION("""COMPUTED_VALUE"""),49127.0)</f>
        <v>49127</v>
      </c>
      <c r="V307" s="149">
        <f>IFERROR(__xludf.DUMMYFUNCTION("""COMPUTED_VALUE"""),48946.0)</f>
        <v>48946</v>
      </c>
      <c r="W307" t="str">
        <f>IFERROR(__xludf.DUMMYFUNCTION("""COMPUTED_VALUE"""),"ปลอดภัย")</f>
        <v>ปลอดภัย</v>
      </c>
      <c r="X307" t="str">
        <f>IFERROR(__xludf.DUMMYFUNCTION("""COMPUTED_VALUE"""),"Nakhon Si Thammarat Province")</f>
        <v>Nakhon Si Thammarat Province</v>
      </c>
      <c r="Y307" t="str">
        <f>IFERROR(__xludf.DUMMYFUNCTION("""COMPUTED_VALUE"""),"Bungkhum")</f>
        <v>Bungkhum</v>
      </c>
      <c r="Z307" t="str">
        <f>IFERROR(__xludf.DUMMYFUNCTION("""COMPUTED_VALUE"""),"075 367 277 / 081 777 9132")</f>
        <v>075 367 277 / 081 777 9132</v>
      </c>
      <c r="AA307" t="str">
        <f>IFERROR(__xludf.DUMMYFUNCTION("""COMPUTED_VALUE"""),"Home / Father")</f>
        <v>Home / Father</v>
      </c>
      <c r="AB307" t="str">
        <f>IFERROR(__xludf.DUMMYFUNCTION("""COMPUTED_VALUE"""),"phanphayiap@airasia.com")</f>
        <v>phanphayiap@airasia.com</v>
      </c>
    </row>
    <row r="308">
      <c r="A308">
        <f>IFERROR(__xludf.DUMMYFUNCTION("""COMPUTED_VALUE"""),1006747.0)</f>
        <v>1006747</v>
      </c>
      <c r="B308" t="str">
        <f>IFERROR(__xludf.DUMMYFUNCTION("""COMPUTED_VALUE"""),"Ms.")</f>
        <v>Ms.</v>
      </c>
      <c r="C308" t="str">
        <f>IFERROR(__xludf.DUMMYFUNCTION("""COMPUTED_VALUE"""),"Phichayanat (Noppawan)")</f>
        <v>Phichayanat (Noppawan)</v>
      </c>
      <c r="D308" t="str">
        <f>IFERROR(__xludf.DUMMYFUNCTION("""COMPUTED_VALUE"""),"Duangprasanchai")</f>
        <v>Duangprasanchai</v>
      </c>
      <c r="E308" t="str">
        <f>IFERROR(__xludf.DUMMYFUNCTION("""COMPUTED_VALUE"""),"Phichayanat Duangprasanchai")</f>
        <v>Phichayanat Duangprasanchai</v>
      </c>
      <c r="F308" t="str">
        <f>IFERROR(__xludf.DUMMYFUNCTION("""COMPUTED_VALUE"""),"นางสาว")</f>
        <v>นางสาว</v>
      </c>
      <c r="G308" t="str">
        <f>IFERROR(__xludf.DUMMYFUNCTION("""COMPUTED_VALUE"""),"พิชญณัฎฐ์")</f>
        <v>พิชญณัฎฐ์</v>
      </c>
      <c r="H308" t="str">
        <f>IFERROR(__xludf.DUMMYFUNCTION("""COMPUTED_VALUE"""),"ดวงประสารชัย")</f>
        <v>ดวงประสารชัย</v>
      </c>
      <c r="I308" t="str">
        <f>IFERROR(__xludf.DUMMYFUNCTION("""COMPUTED_VALUE"""),"พิชญณัฎฐ์ ดวงประสารชัย")</f>
        <v>พิชญณัฎฐ์ ดวงประสารชัย</v>
      </c>
      <c r="J308" t="str">
        <f>IFERROR(__xludf.DUMMYFUNCTION("""COMPUTED_VALUE"""),"Jan")</f>
        <v>Jan</v>
      </c>
      <c r="K308" t="str">
        <f>IFERROR(__xludf.DUMMYFUNCTION("""COMPUTED_VALUE"""),"Cabin Crew")</f>
        <v>Cabin Crew</v>
      </c>
      <c r="L308" t="str">
        <f>IFERROR(__xludf.DUMMYFUNCTION("""COMPUTED_VALUE"""),"DMK")</f>
        <v>DMK</v>
      </c>
      <c r="M308" s="145" t="str">
        <f>IFERROR(__xludf.DUMMYFUNCTION("""COMPUTED_VALUE"""),"Toffy Home")</f>
        <v>Toffy Home</v>
      </c>
      <c r="N308" t="str">
        <f>IFERROR(__xludf.DUMMYFUNCTION("""COMPUTED_VALUE"""),"Active")</f>
        <v>Active</v>
      </c>
      <c r="P308" s="143">
        <f>IFERROR(__xludf.DUMMYFUNCTION("""COMPUTED_VALUE"""),31051.0)</f>
        <v>31051</v>
      </c>
      <c r="Q308" s="146" t="str">
        <f>IFERROR(__xludf.DUMMYFUNCTION("""COMPUTED_VALUE"""),"083 149 3956")</f>
        <v>083 149 3956</v>
      </c>
      <c r="R308" s="147" t="str">
        <f>IFERROR(__xludf.DUMMYFUNCTION("""COMPUTED_VALUE"""),"1101400-33-3315")</f>
        <v>1101400-33-3315</v>
      </c>
      <c r="S308" t="str">
        <f>IFERROR(__xludf.DUMMYFUNCTION("""COMPUTED_VALUE"""),"AC3173262")</f>
        <v>AC3173262</v>
      </c>
      <c r="T308" s="148">
        <f>IFERROR(__xludf.DUMMYFUNCTION("""COMPUTED_VALUE"""),44705.0)</f>
        <v>44705</v>
      </c>
      <c r="U308" s="148">
        <f>IFERROR(__xludf.DUMMYFUNCTION("""COMPUTED_VALUE"""),48357.0)</f>
        <v>48357</v>
      </c>
      <c r="V308" s="149">
        <f>IFERROR(__xludf.DUMMYFUNCTION("""COMPUTED_VALUE"""),48175.0)</f>
        <v>48175</v>
      </c>
      <c r="W308" t="str">
        <f>IFERROR(__xludf.DUMMYFUNCTION("""COMPUTED_VALUE"""),"ปลอดภัย")</f>
        <v>ปลอดภัย</v>
      </c>
      <c r="X308" t="str">
        <f>IFERROR(__xludf.DUMMYFUNCTION("""COMPUTED_VALUE"""),"Bangkok")</f>
        <v>Bangkok</v>
      </c>
      <c r="Y308" t="str">
        <f>IFERROR(__xludf.DUMMYFUNCTION("""COMPUTED_VALUE"""),"Nonthaburi")</f>
        <v>Nonthaburi</v>
      </c>
      <c r="Z308" t="str">
        <f>IFERROR(__xludf.DUMMYFUNCTION("""COMPUTED_VALUE"""),"02 833 0965 / 081 705 4288")</f>
        <v>02 833 0965 / 081 705 4288</v>
      </c>
      <c r="AA308" t="str">
        <f>IFERROR(__xludf.DUMMYFUNCTION("""COMPUTED_VALUE"""),"Home / Mother")</f>
        <v>Home / Mother</v>
      </c>
      <c r="AB308" t="str">
        <f>IFERROR(__xludf.DUMMYFUNCTION("""COMPUTED_VALUE"""),"phichayanatd@airasia.com")</f>
        <v>phichayanatd@airasia.com</v>
      </c>
    </row>
    <row r="309">
      <c r="A309">
        <f>IFERROR(__xludf.DUMMYFUNCTION("""COMPUTED_VALUE"""),1006750.0)</f>
        <v>1006750</v>
      </c>
      <c r="B309" t="str">
        <f>IFERROR(__xludf.DUMMYFUNCTION("""COMPUTED_VALUE"""),"Ms.")</f>
        <v>Ms.</v>
      </c>
      <c r="C309" t="str">
        <f>IFERROR(__xludf.DUMMYFUNCTION("""COMPUTED_VALUE"""),"Supada")</f>
        <v>Supada</v>
      </c>
      <c r="D309" t="str">
        <f>IFERROR(__xludf.DUMMYFUNCTION("""COMPUTED_VALUE"""),"Wanichapat")</f>
        <v>Wanichapat</v>
      </c>
      <c r="E309" t="str">
        <f>IFERROR(__xludf.DUMMYFUNCTION("""COMPUTED_VALUE"""),"Supada Wanichapat")</f>
        <v>Supada Wanichapat</v>
      </c>
      <c r="F309" t="str">
        <f>IFERROR(__xludf.DUMMYFUNCTION("""COMPUTED_VALUE"""),"นางสาว")</f>
        <v>นางสาว</v>
      </c>
      <c r="G309" t="str">
        <f>IFERROR(__xludf.DUMMYFUNCTION("""COMPUTED_VALUE"""),"สุภาดา")</f>
        <v>สุภาดา</v>
      </c>
      <c r="H309" t="str">
        <f>IFERROR(__xludf.DUMMYFUNCTION("""COMPUTED_VALUE"""),"วานิชาภัทร")</f>
        <v>วานิชาภัทร</v>
      </c>
      <c r="I309" t="str">
        <f>IFERROR(__xludf.DUMMYFUNCTION("""COMPUTED_VALUE"""),"สุภาดา วานิชาภัทร")</f>
        <v>สุภาดา วานิชาภัทร</v>
      </c>
      <c r="J309" t="str">
        <f>IFERROR(__xludf.DUMMYFUNCTION("""COMPUTED_VALUE"""),"Karn")</f>
        <v>Karn</v>
      </c>
      <c r="K309" t="str">
        <f>IFERROR(__xludf.DUMMYFUNCTION("""COMPUTED_VALUE"""),"Cabin Crew")</f>
        <v>Cabin Crew</v>
      </c>
      <c r="L309" t="str">
        <f>IFERROR(__xludf.DUMMYFUNCTION("""COMPUTED_VALUE"""),"DMK")</f>
        <v>DMK</v>
      </c>
      <c r="M309" s="145" t="str">
        <f>IFERROR(__xludf.DUMMYFUNCTION("""COMPUTED_VALUE"""),"Namfon Home")</f>
        <v>Namfon Home</v>
      </c>
      <c r="N309" t="str">
        <f>IFERROR(__xludf.DUMMYFUNCTION("""COMPUTED_VALUE"""),"Active")</f>
        <v>Active</v>
      </c>
      <c r="O309" t="str">
        <f>IFERROR(__xludf.DUMMYFUNCTION("""COMPUTED_VALUE"""),"Chinese Speaking")</f>
        <v>Chinese Speaking</v>
      </c>
      <c r="P309" s="143">
        <f>IFERROR(__xludf.DUMMYFUNCTION("""COMPUTED_VALUE"""),33340.0)</f>
        <v>33340</v>
      </c>
      <c r="Q309" s="146" t="str">
        <f>IFERROR(__xludf.DUMMYFUNCTION("""COMPUTED_VALUE"""),"081 843 3894")</f>
        <v>081 843 3894</v>
      </c>
      <c r="R309" s="147" t="str">
        <f>IFERROR(__xludf.DUMMYFUNCTION("""COMPUTED_VALUE"""),"19099-80052-1470")</f>
        <v>19099-80052-1470</v>
      </c>
      <c r="S309" t="str">
        <f>IFERROR(__xludf.DUMMYFUNCTION("""COMPUTED_VALUE"""),"AD1078467")</f>
        <v>AD1078467</v>
      </c>
      <c r="T309" s="148">
        <f>IFERROR(__xludf.DUMMYFUNCTION("""COMPUTED_VALUE"""),45061.0)</f>
        <v>45061</v>
      </c>
      <c r="U309" s="148">
        <f>IFERROR(__xludf.DUMMYFUNCTION("""COMPUTED_VALUE"""),48713.0)</f>
        <v>48713</v>
      </c>
      <c r="V309" s="149">
        <f>IFERROR(__xludf.DUMMYFUNCTION("""COMPUTED_VALUE"""),48532.0)</f>
        <v>48532</v>
      </c>
      <c r="W309" t="str">
        <f>IFERROR(__xludf.DUMMYFUNCTION("""COMPUTED_VALUE"""),"ปลอดภัย")</f>
        <v>ปลอดภัย</v>
      </c>
      <c r="X309" t="str">
        <f>IFERROR(__xludf.DUMMYFUNCTION("""COMPUTED_VALUE"""),"Songkhla Province")</f>
        <v>Songkhla Province</v>
      </c>
      <c r="Y309" t="str">
        <f>IFERROR(__xludf.DUMMYFUNCTION("""COMPUTED_VALUE"""),"Ladkrabang")</f>
        <v>Ladkrabang</v>
      </c>
      <c r="Z309" t="str">
        <f>IFERROR(__xludf.DUMMYFUNCTION("""COMPUTED_VALUE"""),"073 615 442 / 081 788 7339")</f>
        <v>073 615 442 / 081 788 7339</v>
      </c>
      <c r="AA309" t="str">
        <f>IFERROR(__xludf.DUMMYFUNCTION("""COMPUTED_VALUE"""),"Home / Mother")</f>
        <v>Home / Mother</v>
      </c>
      <c r="AB309" t="str">
        <f>IFERROR(__xludf.DUMMYFUNCTION("""COMPUTED_VALUE"""),"supadaw@airasia.com")</f>
        <v>supadaw@airasia.com</v>
      </c>
    </row>
    <row r="310">
      <c r="A310">
        <f>IFERROR(__xludf.DUMMYFUNCTION("""COMPUTED_VALUE"""),1006751.0)</f>
        <v>1006751</v>
      </c>
      <c r="B310" t="str">
        <f>IFERROR(__xludf.DUMMYFUNCTION("""COMPUTED_VALUE"""),"Ms.")</f>
        <v>Ms.</v>
      </c>
      <c r="C310" t="str">
        <f>IFERROR(__xludf.DUMMYFUNCTION("""COMPUTED_VALUE"""),"Supawadee")</f>
        <v>Supawadee</v>
      </c>
      <c r="D310" t="str">
        <f>IFERROR(__xludf.DUMMYFUNCTION("""COMPUTED_VALUE"""),"Panachompoo")</f>
        <v>Panachompoo</v>
      </c>
      <c r="E310" t="str">
        <f>IFERROR(__xludf.DUMMYFUNCTION("""COMPUTED_VALUE"""),"Supawadee Panachompoo")</f>
        <v>Supawadee Panachompoo</v>
      </c>
      <c r="F310" t="str">
        <f>IFERROR(__xludf.DUMMYFUNCTION("""COMPUTED_VALUE"""),"นางสาว")</f>
        <v>นางสาว</v>
      </c>
      <c r="G310" t="str">
        <f>IFERROR(__xludf.DUMMYFUNCTION("""COMPUTED_VALUE"""),"สุภาวดี")</f>
        <v>สุภาวดี</v>
      </c>
      <c r="H310" t="str">
        <f>IFERROR(__xludf.DUMMYFUNCTION("""COMPUTED_VALUE"""),"ปานะชมพู")</f>
        <v>ปานะชมพู</v>
      </c>
      <c r="I310" t="str">
        <f>IFERROR(__xludf.DUMMYFUNCTION("""COMPUTED_VALUE"""),"สุภาวดี ปานะชมพู")</f>
        <v>สุภาวดี ปานะชมพู</v>
      </c>
      <c r="J310" t="str">
        <f>IFERROR(__xludf.DUMMYFUNCTION("""COMPUTED_VALUE"""),"หญิง")</f>
        <v>หญิง</v>
      </c>
      <c r="K310" t="str">
        <f>IFERROR(__xludf.DUMMYFUNCTION("""COMPUTED_VALUE"""),"Senior Cabin Crew")</f>
        <v>Senior Cabin Crew</v>
      </c>
      <c r="L310" t="str">
        <f>IFERROR(__xludf.DUMMYFUNCTION("""COMPUTED_VALUE"""),"DMK")</f>
        <v>DMK</v>
      </c>
      <c r="M310" s="145" t="str">
        <f>IFERROR(__xludf.DUMMYFUNCTION("""COMPUTED_VALUE"""),"Kor Home")</f>
        <v>Kor Home</v>
      </c>
      <c r="N310" t="str">
        <f>IFERROR(__xludf.DUMMYFUNCTION("""COMPUTED_VALUE"""),"Active")</f>
        <v>Active</v>
      </c>
      <c r="P310" s="143">
        <f>IFERROR(__xludf.DUMMYFUNCTION("""COMPUTED_VALUE"""),30833.0)</f>
        <v>30833</v>
      </c>
      <c r="Q310" s="146" t="str">
        <f>IFERROR(__xludf.DUMMYFUNCTION("""COMPUTED_VALUE"""),"089 519 5422")</f>
        <v>089 519 5422</v>
      </c>
      <c r="R310" s="147" t="str">
        <f>IFERROR(__xludf.DUMMYFUNCTION("""COMPUTED_VALUE"""),"1529900-02-7691")</f>
        <v>1529900-02-7691</v>
      </c>
      <c r="S310" t="str">
        <f>IFERROR(__xludf.DUMMYFUNCTION("""COMPUTED_VALUE"""),"AC5133524")</f>
        <v>AC5133524</v>
      </c>
      <c r="T310" s="148">
        <f>IFERROR(__xludf.DUMMYFUNCTION("""COMPUTED_VALUE"""),45093.0)</f>
        <v>45093</v>
      </c>
      <c r="U310" s="148">
        <f>IFERROR(__xludf.DUMMYFUNCTION("""COMPUTED_VALUE"""),48745.0)</f>
        <v>48745</v>
      </c>
      <c r="V310" s="149">
        <f>IFERROR(__xludf.DUMMYFUNCTION("""COMPUTED_VALUE"""),48563.0)</f>
        <v>48563</v>
      </c>
      <c r="W310" t="str">
        <f>IFERROR(__xludf.DUMMYFUNCTION("""COMPUTED_VALUE"""),"ปลอดภัย")</f>
        <v>ปลอดภัย</v>
      </c>
      <c r="X310" t="str">
        <f>IFERROR(__xludf.DUMMYFUNCTION("""COMPUTED_VALUE"""),"Lampang Province")</f>
        <v>Lampang Province</v>
      </c>
      <c r="Y310" t="str">
        <f>IFERROR(__xludf.DUMMYFUNCTION("""COMPUTED_VALUE"""),"Lampang")</f>
        <v>Lampang</v>
      </c>
      <c r="Z310" t="str">
        <f>IFERROR(__xludf.DUMMYFUNCTION("""COMPUTED_VALUE"""),"089 701 4128")</f>
        <v>089 701 4128</v>
      </c>
      <c r="AA310" t="str">
        <f>IFERROR(__xludf.DUMMYFUNCTION("""COMPUTED_VALUE"""),"Father")</f>
        <v>Father</v>
      </c>
      <c r="AB310" t="str">
        <f>IFERROR(__xludf.DUMMYFUNCTION("""COMPUTED_VALUE"""),"supawadeep@airasia.com")</f>
        <v>supawadeep@airasia.com</v>
      </c>
    </row>
    <row r="311">
      <c r="A311">
        <f>IFERROR(__xludf.DUMMYFUNCTION("""COMPUTED_VALUE"""),1006752.0)</f>
        <v>1006752</v>
      </c>
      <c r="B311" t="str">
        <f>IFERROR(__xludf.DUMMYFUNCTION("""COMPUTED_VALUE"""),"Ms.")</f>
        <v>Ms.</v>
      </c>
      <c r="C311" t="str">
        <f>IFERROR(__xludf.DUMMYFUNCTION("""COMPUTED_VALUE"""),"Tanyada")</f>
        <v>Tanyada</v>
      </c>
      <c r="D311" t="str">
        <f>IFERROR(__xludf.DUMMYFUNCTION("""COMPUTED_VALUE"""),"Charoenpong")</f>
        <v>Charoenpong</v>
      </c>
      <c r="E311" t="str">
        <f>IFERROR(__xludf.DUMMYFUNCTION("""COMPUTED_VALUE"""),"Tanyada Charoenpong")</f>
        <v>Tanyada Charoenpong</v>
      </c>
      <c r="F311" t="str">
        <f>IFERROR(__xludf.DUMMYFUNCTION("""COMPUTED_VALUE"""),"นางสาว")</f>
        <v>นางสาว</v>
      </c>
      <c r="G311" t="str">
        <f>IFERROR(__xludf.DUMMYFUNCTION("""COMPUTED_VALUE"""),"ธัญดา")</f>
        <v>ธัญดา</v>
      </c>
      <c r="H311" t="str">
        <f>IFERROR(__xludf.DUMMYFUNCTION("""COMPUTED_VALUE"""),"เจริญพงศ์")</f>
        <v>เจริญพงศ์</v>
      </c>
      <c r="I311" t="str">
        <f>IFERROR(__xludf.DUMMYFUNCTION("""COMPUTED_VALUE"""),"ธัญดา เจริญพงศ์")</f>
        <v>ธัญดา เจริญพงศ์</v>
      </c>
      <c r="J311" t="str">
        <f>IFERROR(__xludf.DUMMYFUNCTION("""COMPUTED_VALUE"""),"Donut")</f>
        <v>Donut</v>
      </c>
      <c r="K311" t="str">
        <f>IFERROR(__xludf.DUMMYFUNCTION("""COMPUTED_VALUE"""),"Senior Cabin Crew")</f>
        <v>Senior Cabin Crew</v>
      </c>
      <c r="L311" t="str">
        <f>IFERROR(__xludf.DUMMYFUNCTION("""COMPUTED_VALUE"""),"DMK")</f>
        <v>DMK</v>
      </c>
      <c r="M311" s="145" t="str">
        <f>IFERROR(__xludf.DUMMYFUNCTION("""COMPUTED_VALUE"""),"Nhui Home")</f>
        <v>Nhui Home</v>
      </c>
      <c r="N311" t="str">
        <f>IFERROR(__xludf.DUMMYFUNCTION("""COMPUTED_VALUE"""),"Active")</f>
        <v>Active</v>
      </c>
      <c r="P311" s="143">
        <f>IFERROR(__xludf.DUMMYFUNCTION("""COMPUTED_VALUE"""),32251.0)</f>
        <v>32251</v>
      </c>
      <c r="Q311" s="146" t="str">
        <f>IFERROR(__xludf.DUMMYFUNCTION("""COMPUTED_VALUE"""),"080 555 3650")</f>
        <v>080 555 3650</v>
      </c>
      <c r="R311" s="147" t="str">
        <f>IFERROR(__xludf.DUMMYFUNCTION("""COMPUTED_VALUE"""),"1101401-28-6833")</f>
        <v>1101401-28-6833</v>
      </c>
      <c r="S311" t="str">
        <f>IFERROR(__xludf.DUMMYFUNCTION("""COMPUTED_VALUE"""),"AC2422306")</f>
        <v>AC2422306</v>
      </c>
      <c r="T311" s="148">
        <f>IFERROR(__xludf.DUMMYFUNCTION("""COMPUTED_VALUE"""),44445.0)</f>
        <v>44445</v>
      </c>
      <c r="U311" s="148">
        <f>IFERROR(__xludf.DUMMYFUNCTION("""COMPUTED_VALUE"""),48096.0)</f>
        <v>48096</v>
      </c>
      <c r="V311" s="149">
        <f>IFERROR(__xludf.DUMMYFUNCTION("""COMPUTED_VALUE"""),47912.0)</f>
        <v>47912</v>
      </c>
      <c r="W311" t="str">
        <f>IFERROR(__xludf.DUMMYFUNCTION("""COMPUTED_VALUE"""),"ปลอดภัย")</f>
        <v>ปลอดภัย</v>
      </c>
      <c r="X311" t="str">
        <f>IFERROR(__xludf.DUMMYFUNCTION("""COMPUTED_VALUE"""),"Bangkok")</f>
        <v>Bangkok</v>
      </c>
      <c r="Y311" t="str">
        <f>IFERROR(__xludf.DUMMYFUNCTION("""COMPUTED_VALUE"""),"Bangkhum")</f>
        <v>Bangkhum</v>
      </c>
      <c r="Z311" t="str">
        <f>IFERROR(__xludf.DUMMYFUNCTION("""COMPUTED_VALUE"""),"080 000 6990 / 081 556 4605")</f>
        <v>080 000 6990 / 081 556 4605</v>
      </c>
      <c r="AA311" t="str">
        <f>IFERROR(__xludf.DUMMYFUNCTION("""COMPUTED_VALUE"""),"Father")</f>
        <v>Father</v>
      </c>
      <c r="AB311" t="str">
        <f>IFERROR(__xludf.DUMMYFUNCTION("""COMPUTED_VALUE"""),"tanyadac@airasia.com")</f>
        <v>tanyadac@airasia.com</v>
      </c>
    </row>
    <row r="312">
      <c r="A312">
        <f>IFERROR(__xludf.DUMMYFUNCTION("""COMPUTED_VALUE"""),1006753.0)</f>
        <v>1006753</v>
      </c>
      <c r="B312" t="str">
        <f>IFERROR(__xludf.DUMMYFUNCTION("""COMPUTED_VALUE"""),"Ms.")</f>
        <v>Ms.</v>
      </c>
      <c r="C312" t="str">
        <f>IFERROR(__xludf.DUMMYFUNCTION("""COMPUTED_VALUE"""),"Thiptida")</f>
        <v>Thiptida</v>
      </c>
      <c r="D312" t="str">
        <f>IFERROR(__xludf.DUMMYFUNCTION("""COMPUTED_VALUE"""),"Keereemasthong")</f>
        <v>Keereemasthong</v>
      </c>
      <c r="E312" t="str">
        <f>IFERROR(__xludf.DUMMYFUNCTION("""COMPUTED_VALUE"""),"Thiptida Keereemasthong")</f>
        <v>Thiptida Keereemasthong</v>
      </c>
      <c r="F312" t="str">
        <f>IFERROR(__xludf.DUMMYFUNCTION("""COMPUTED_VALUE"""),"นางสาว")</f>
        <v>นางสาว</v>
      </c>
      <c r="G312" t="str">
        <f>IFERROR(__xludf.DUMMYFUNCTION("""COMPUTED_VALUE"""),"ทิพธิดา")</f>
        <v>ทิพธิดา</v>
      </c>
      <c r="H312" t="str">
        <f>IFERROR(__xludf.DUMMYFUNCTION("""COMPUTED_VALUE"""),"คีรีมาศทอง")</f>
        <v>คีรีมาศทอง</v>
      </c>
      <c r="I312" t="str">
        <f>IFERROR(__xludf.DUMMYFUNCTION("""COMPUTED_VALUE"""),"ทิพธิดา คีรีมาศทอง")</f>
        <v>ทิพธิดา คีรีมาศทอง</v>
      </c>
      <c r="J312" t="str">
        <f>IFERROR(__xludf.DUMMYFUNCTION("""COMPUTED_VALUE"""),"Mod")</f>
        <v>Mod</v>
      </c>
      <c r="K312" t="str">
        <f>IFERROR(__xludf.DUMMYFUNCTION("""COMPUTED_VALUE"""),"Cabin Crew")</f>
        <v>Cabin Crew</v>
      </c>
      <c r="L312" t="str">
        <f>IFERROR(__xludf.DUMMYFUNCTION("""COMPUTED_VALUE"""),"DMK")</f>
        <v>DMK</v>
      </c>
      <c r="M312" s="145" t="str">
        <f>IFERROR(__xludf.DUMMYFUNCTION("""COMPUTED_VALUE"""),"Por+ Home")</f>
        <v>Por+ Home</v>
      </c>
      <c r="N312" t="str">
        <f>IFERROR(__xludf.DUMMYFUNCTION("""COMPUTED_VALUE"""),"Active")</f>
        <v>Active</v>
      </c>
      <c r="P312" s="143">
        <f>IFERROR(__xludf.DUMMYFUNCTION("""COMPUTED_VALUE"""),31738.0)</f>
        <v>31738</v>
      </c>
      <c r="Q312" s="146" t="str">
        <f>IFERROR(__xludf.DUMMYFUNCTION("""COMPUTED_VALUE"""),"089 993 6296")</f>
        <v>089 993 6296</v>
      </c>
      <c r="R312" s="147" t="str">
        <f>IFERROR(__xludf.DUMMYFUNCTION("""COMPUTED_VALUE"""),"1101400-85-8434")</f>
        <v>1101400-85-8434</v>
      </c>
      <c r="S312" t="str">
        <f>IFERROR(__xludf.DUMMYFUNCTION("""COMPUTED_VALUE"""),"AC2863304")</f>
        <v>AC2863304</v>
      </c>
      <c r="T312" s="148">
        <f>IFERROR(__xludf.DUMMYFUNCTION("""COMPUTED_VALUE"""),44596.0)</f>
        <v>44596</v>
      </c>
      <c r="U312" s="148">
        <f>IFERROR(__xludf.DUMMYFUNCTION("""COMPUTED_VALUE"""),48247.0)</f>
        <v>48247</v>
      </c>
      <c r="V312" s="149">
        <f>IFERROR(__xludf.DUMMYFUNCTION("""COMPUTED_VALUE"""),48063.0)</f>
        <v>48063</v>
      </c>
      <c r="W312" t="str">
        <f>IFERROR(__xludf.DUMMYFUNCTION("""COMPUTED_VALUE"""),"ปลอดภัย")</f>
        <v>ปลอดภัย</v>
      </c>
      <c r="X312" t="str">
        <f>IFERROR(__xludf.DUMMYFUNCTION("""COMPUTED_VALUE"""),"Bangkok")</f>
        <v>Bangkok</v>
      </c>
      <c r="Y312" t="str">
        <f>IFERROR(__xludf.DUMMYFUNCTION("""COMPUTED_VALUE"""),"Kannayao")</f>
        <v>Kannayao</v>
      </c>
      <c r="Z312" t="str">
        <f>IFERROR(__xludf.DUMMYFUNCTION("""COMPUTED_VALUE"""),"02 944 1391 / 081 843 8377")</f>
        <v>02 944 1391 / 081 843 8377</v>
      </c>
      <c r="AA312" t="str">
        <f>IFERROR(__xludf.DUMMYFUNCTION("""COMPUTED_VALUE"""),"Home / Mother")</f>
        <v>Home / Mother</v>
      </c>
      <c r="AB312" t="str">
        <f>IFERROR(__xludf.DUMMYFUNCTION("""COMPUTED_VALUE"""),"thiptidak@airasia.com")</f>
        <v>thiptidak@airasia.com</v>
      </c>
    </row>
    <row r="313">
      <c r="A313">
        <f>IFERROR(__xludf.DUMMYFUNCTION("""COMPUTED_VALUE"""),1006754.0)</f>
        <v>1006754</v>
      </c>
      <c r="B313" t="str">
        <f>IFERROR(__xludf.DUMMYFUNCTION("""COMPUTED_VALUE"""),"Ms.")</f>
        <v>Ms.</v>
      </c>
      <c r="C313" t="str">
        <f>IFERROR(__xludf.DUMMYFUNCTION("""COMPUTED_VALUE"""),"Tilada")</f>
        <v>Tilada</v>
      </c>
      <c r="D313" t="str">
        <f>IFERROR(__xludf.DUMMYFUNCTION("""COMPUTED_VALUE"""),"Srichaichana")</f>
        <v>Srichaichana</v>
      </c>
      <c r="E313" t="str">
        <f>IFERROR(__xludf.DUMMYFUNCTION("""COMPUTED_VALUE"""),"Tilada Srichaichana")</f>
        <v>Tilada Srichaichana</v>
      </c>
      <c r="F313" t="str">
        <f>IFERROR(__xludf.DUMMYFUNCTION("""COMPUTED_VALUE"""),"นางสาว")</f>
        <v>นางสาว</v>
      </c>
      <c r="G313" t="str">
        <f>IFERROR(__xludf.DUMMYFUNCTION("""COMPUTED_VALUE"""),"ฐิลดา")</f>
        <v>ฐิลดา</v>
      </c>
      <c r="H313" t="str">
        <f>IFERROR(__xludf.DUMMYFUNCTION("""COMPUTED_VALUE"""),"ศรีชัยชนะ")</f>
        <v>ศรีชัยชนะ</v>
      </c>
      <c r="I313" t="str">
        <f>IFERROR(__xludf.DUMMYFUNCTION("""COMPUTED_VALUE"""),"ฐิลดา ศรีชัยชนะ")</f>
        <v>ฐิลดา ศรีชัยชนะ</v>
      </c>
      <c r="J313" t="str">
        <f>IFERROR(__xludf.DUMMYFUNCTION("""COMPUTED_VALUE"""),"Joy")</f>
        <v>Joy</v>
      </c>
      <c r="K313" t="str">
        <f>IFERROR(__xludf.DUMMYFUNCTION("""COMPUTED_VALUE"""),"Senior Cabin Crew - BKK")</f>
        <v>Senior Cabin Crew - BKK</v>
      </c>
      <c r="L313" t="str">
        <f>IFERROR(__xludf.DUMMYFUNCTION("""COMPUTED_VALUE"""),"BKK")</f>
        <v>BKK</v>
      </c>
      <c r="M313" s="145" t="str">
        <f>IFERROR(__xludf.DUMMYFUNCTION("""COMPUTED_VALUE"""),"Nhui Home")</f>
        <v>Nhui Home</v>
      </c>
      <c r="N313" t="str">
        <f>IFERROR(__xludf.DUMMYFUNCTION("""COMPUTED_VALUE"""),"Active/V/DMK")</f>
        <v>Active/V/DMK</v>
      </c>
      <c r="P313" s="143">
        <f>IFERROR(__xludf.DUMMYFUNCTION("""COMPUTED_VALUE"""),31630.0)</f>
        <v>31630</v>
      </c>
      <c r="Q313" s="146" t="str">
        <f>IFERROR(__xludf.DUMMYFUNCTION("""COMPUTED_VALUE"""),"089 144 0123")</f>
        <v>089 144 0123</v>
      </c>
      <c r="R313" s="147" t="str">
        <f>IFERROR(__xludf.DUMMYFUNCTION("""COMPUTED_VALUE"""),"2839900-01-1383")</f>
        <v>2839900-01-1383</v>
      </c>
      <c r="S313" t="str">
        <f>IFERROR(__xludf.DUMMYFUNCTION("""COMPUTED_VALUE"""),"AC4581725")</f>
        <v>AC4581725</v>
      </c>
      <c r="T313" s="148">
        <f>IFERROR(__xludf.DUMMYFUNCTION("""COMPUTED_VALUE"""),44977.0)</f>
        <v>44977</v>
      </c>
      <c r="U313" s="148">
        <f>IFERROR(__xludf.DUMMYFUNCTION("""COMPUTED_VALUE"""),48629.0)</f>
        <v>48629</v>
      </c>
      <c r="V313" s="149">
        <f>IFERROR(__xludf.DUMMYFUNCTION("""COMPUTED_VALUE"""),48445.0)</f>
        <v>48445</v>
      </c>
      <c r="W313" t="str">
        <f>IFERROR(__xludf.DUMMYFUNCTION("""COMPUTED_VALUE"""),"ปลอดภัย")</f>
        <v>ปลอดภัย</v>
      </c>
      <c r="X313" t="str">
        <f>IFERROR(__xludf.DUMMYFUNCTION("""COMPUTED_VALUE"""),"Phuket Province")</f>
        <v>Phuket Province</v>
      </c>
      <c r="Y313" t="str">
        <f>IFERROR(__xludf.DUMMYFUNCTION("""COMPUTED_VALUE"""),"Phuket")</f>
        <v>Phuket</v>
      </c>
      <c r="Z313" t="str">
        <f>IFERROR(__xludf.DUMMYFUNCTION("""COMPUTED_VALUE"""),"087 885 5879")</f>
        <v>087 885 5879</v>
      </c>
      <c r="AA313" t="str">
        <f>IFERROR(__xludf.DUMMYFUNCTION("""COMPUTED_VALUE"""),"Father")</f>
        <v>Father</v>
      </c>
      <c r="AB313" t="str">
        <f>IFERROR(__xludf.DUMMYFUNCTION("""COMPUTED_VALUE"""),"tiladas@airasia.com")</f>
        <v>tiladas@airasia.com</v>
      </c>
    </row>
    <row r="314">
      <c r="AB314" t="str">
        <f>IFERROR(__xludf.DUMMYFUNCTION("""COMPUTED_VALUE"""),"")</f>
        <v/>
      </c>
    </row>
    <row r="315">
      <c r="A315">
        <f>IFERROR(__xludf.DUMMYFUNCTION("""COMPUTED_VALUE"""),1006834.0)</f>
        <v>1006834</v>
      </c>
      <c r="B315" t="str">
        <f>IFERROR(__xludf.DUMMYFUNCTION("""COMPUTED_VALUE"""),"Ms.")</f>
        <v>Ms.</v>
      </c>
      <c r="C315" t="str">
        <f>IFERROR(__xludf.DUMMYFUNCTION("""COMPUTED_VALUE"""),"Jirachaya")</f>
        <v>Jirachaya</v>
      </c>
      <c r="D315" t="str">
        <f>IFERROR(__xludf.DUMMYFUNCTION("""COMPUTED_VALUE"""),"Limpadtanachai")</f>
        <v>Limpadtanachai</v>
      </c>
      <c r="E315" t="str">
        <f>IFERROR(__xludf.DUMMYFUNCTION("""COMPUTED_VALUE"""),"Jirachaya Limpadtanachai")</f>
        <v>Jirachaya Limpadtanachai</v>
      </c>
      <c r="F315" t="str">
        <f>IFERROR(__xludf.DUMMYFUNCTION("""COMPUTED_VALUE"""),"นางสาว")</f>
        <v>นางสาว</v>
      </c>
      <c r="G315" t="str">
        <f>IFERROR(__xludf.DUMMYFUNCTION("""COMPUTED_VALUE"""),"จิรชยา")</f>
        <v>จิรชยา</v>
      </c>
      <c r="H315" t="str">
        <f>IFERROR(__xludf.DUMMYFUNCTION("""COMPUTED_VALUE"""),"ลิมป์พัฒนชัย")</f>
        <v>ลิมป์พัฒนชัย</v>
      </c>
      <c r="I315" t="str">
        <f>IFERROR(__xludf.DUMMYFUNCTION("""COMPUTED_VALUE"""),"จิรชยา ลิมป์พัฒนชัย")</f>
        <v>จิรชยา ลิมป์พัฒนชัย</v>
      </c>
      <c r="J315" t="str">
        <f>IFERROR(__xludf.DUMMYFUNCTION("""COMPUTED_VALUE"""),"Ngek")</f>
        <v>Ngek</v>
      </c>
      <c r="K315" t="str">
        <f>IFERROR(__xludf.DUMMYFUNCTION("""COMPUTED_VALUE"""),"Senior Cabin Crew")</f>
        <v>Senior Cabin Crew</v>
      </c>
      <c r="L315" t="str">
        <f>IFERROR(__xludf.DUMMYFUNCTION("""COMPUTED_VALUE"""),"DMK")</f>
        <v>DMK</v>
      </c>
      <c r="M315" s="145" t="str">
        <f>IFERROR(__xludf.DUMMYFUNCTION("""COMPUTED_VALUE"""),"Namfon Home")</f>
        <v>Namfon Home</v>
      </c>
      <c r="N315" t="str">
        <f>IFERROR(__xludf.DUMMYFUNCTION("""COMPUTED_VALUE"""),"Active")</f>
        <v>Active</v>
      </c>
      <c r="O315" t="str">
        <f>IFERROR(__xludf.DUMMYFUNCTION("""COMPUTED_VALUE"""),"Chinese Speaking")</f>
        <v>Chinese Speaking</v>
      </c>
      <c r="P315" s="143">
        <f>IFERROR(__xludf.DUMMYFUNCTION("""COMPUTED_VALUE"""),31890.0)</f>
        <v>31890</v>
      </c>
      <c r="Q315" s="146" t="str">
        <f>IFERROR(__xludf.DUMMYFUNCTION("""COMPUTED_VALUE"""),"094 241 9629")</f>
        <v>094 241 9629</v>
      </c>
      <c r="R315" s="147" t="str">
        <f>IFERROR(__xludf.DUMMYFUNCTION("""COMPUTED_VALUE"""),"1100400-26-2581")</f>
        <v>1100400-26-2581</v>
      </c>
      <c r="S315" t="str">
        <f>IFERROR(__xludf.DUMMYFUNCTION("""COMPUTED_VALUE"""),"AC2590810")</f>
        <v>AC2590810</v>
      </c>
      <c r="T315" s="148">
        <f>IFERROR(__xludf.DUMMYFUNCTION("""COMPUTED_VALUE"""),44655.0)</f>
        <v>44655</v>
      </c>
      <c r="U315" s="148">
        <f>IFERROR(__xludf.DUMMYFUNCTION("""COMPUTED_VALUE"""),48307.0)</f>
        <v>48307</v>
      </c>
      <c r="V315" s="149">
        <f>IFERROR(__xludf.DUMMYFUNCTION("""COMPUTED_VALUE"""),48124.0)</f>
        <v>48124</v>
      </c>
      <c r="W315" t="str">
        <f>IFERROR(__xludf.DUMMYFUNCTION("""COMPUTED_VALUE"""),"ปลอดภัย")</f>
        <v>ปลอดภัย</v>
      </c>
      <c r="X315" t="str">
        <f>IFERROR(__xludf.DUMMYFUNCTION("""COMPUTED_VALUE"""),"Bangkok")</f>
        <v>Bangkok</v>
      </c>
      <c r="Y315" t="str">
        <f>IFERROR(__xludf.DUMMYFUNCTION("""COMPUTED_VALUE"""),"Klongsan")</f>
        <v>Klongsan</v>
      </c>
      <c r="Z315" t="str">
        <f>IFERROR(__xludf.DUMMYFUNCTION("""COMPUTED_VALUE"""),"081 453 0621")</f>
        <v>081 453 0621</v>
      </c>
      <c r="AA315" t="str">
        <f>IFERROR(__xludf.DUMMYFUNCTION("""COMPUTED_VALUE"""),"Mother")</f>
        <v>Mother</v>
      </c>
      <c r="AB315" t="str">
        <f>IFERROR(__xludf.DUMMYFUNCTION("""COMPUTED_VALUE"""),"jirachayal@airasia.com")</f>
        <v>jirachayal@airasia.com</v>
      </c>
    </row>
    <row r="316">
      <c r="A316">
        <f>IFERROR(__xludf.DUMMYFUNCTION("""COMPUTED_VALUE"""),1006835.0)</f>
        <v>1006835</v>
      </c>
      <c r="B316" t="str">
        <f>IFERROR(__xludf.DUMMYFUNCTION("""COMPUTED_VALUE"""),"Ms.")</f>
        <v>Ms.</v>
      </c>
      <c r="C316" t="str">
        <f>IFERROR(__xludf.DUMMYFUNCTION("""COMPUTED_VALUE"""),"Ketsaraporn")</f>
        <v>Ketsaraporn</v>
      </c>
      <c r="D316" t="str">
        <f>IFERROR(__xludf.DUMMYFUNCTION("""COMPUTED_VALUE"""),"Borvornmongkolsak")</f>
        <v>Borvornmongkolsak</v>
      </c>
      <c r="E316" t="str">
        <f>IFERROR(__xludf.DUMMYFUNCTION("""COMPUTED_VALUE"""),"Ketsaraporn Borvornmongkolsak")</f>
        <v>Ketsaraporn Borvornmongkolsak</v>
      </c>
      <c r="F316" t="str">
        <f>IFERROR(__xludf.DUMMYFUNCTION("""COMPUTED_VALUE"""),"นางสาว")</f>
        <v>นางสาว</v>
      </c>
      <c r="G316" t="str">
        <f>IFERROR(__xludf.DUMMYFUNCTION("""COMPUTED_VALUE"""),"เกศราภรณ์")</f>
        <v>เกศราภรณ์</v>
      </c>
      <c r="H316" t="str">
        <f>IFERROR(__xludf.DUMMYFUNCTION("""COMPUTED_VALUE"""),"บวรมงคลศักดิ์")</f>
        <v>บวรมงคลศักดิ์</v>
      </c>
      <c r="I316" t="str">
        <f>IFERROR(__xludf.DUMMYFUNCTION("""COMPUTED_VALUE"""),"เกศราภรณ์ บวรมงคลศักดิ์")</f>
        <v>เกศราภรณ์ บวรมงคลศักดิ์</v>
      </c>
      <c r="J316" t="str">
        <f>IFERROR(__xludf.DUMMYFUNCTION("""COMPUTED_VALUE"""),"kate")</f>
        <v>kate</v>
      </c>
      <c r="K316" t="str">
        <f>IFERROR(__xludf.DUMMYFUNCTION("""COMPUTED_VALUE"""),"Cabin Crew")</f>
        <v>Cabin Crew</v>
      </c>
      <c r="L316" t="str">
        <f>IFERROR(__xludf.DUMMYFUNCTION("""COMPUTED_VALUE"""),"DMK")</f>
        <v>DMK</v>
      </c>
      <c r="M316" s="145" t="str">
        <f>IFERROR(__xludf.DUMMYFUNCTION("""COMPUTED_VALUE"""),"Nhui Home")</f>
        <v>Nhui Home</v>
      </c>
      <c r="N316" t="str">
        <f>IFERROR(__xludf.DUMMYFUNCTION("""COMPUTED_VALUE"""),"Active")</f>
        <v>Active</v>
      </c>
      <c r="O316" t="str">
        <f>IFERROR(__xludf.DUMMYFUNCTION("""COMPUTED_VALUE"""),"Chinese Speaking")</f>
        <v>Chinese Speaking</v>
      </c>
      <c r="P316" s="143">
        <f>IFERROR(__xludf.DUMMYFUNCTION("""COMPUTED_VALUE"""),32850.0)</f>
        <v>32850</v>
      </c>
      <c r="Q316" s="146" t="str">
        <f>IFERROR(__xludf.DUMMYFUNCTION("""COMPUTED_VALUE"""),"081 415 1969")</f>
        <v>081 415 1969</v>
      </c>
      <c r="R316" s="147" t="str">
        <f>IFERROR(__xludf.DUMMYFUNCTION("""COMPUTED_VALUE"""),"1101800-38-3484")</f>
        <v>1101800-38-3484</v>
      </c>
      <c r="S316" t="str">
        <f>IFERROR(__xludf.DUMMYFUNCTION("""COMPUTED_VALUE"""),"AC4209016")</f>
        <v>AC4209016</v>
      </c>
      <c r="T316" s="148">
        <f>IFERROR(__xludf.DUMMYFUNCTION("""COMPUTED_VALUE"""),44890.0)</f>
        <v>44890</v>
      </c>
      <c r="U316" s="148">
        <f>IFERROR(__xludf.DUMMYFUNCTION("""COMPUTED_VALUE"""),48542.0)</f>
        <v>48542</v>
      </c>
      <c r="V316" s="149">
        <f>IFERROR(__xludf.DUMMYFUNCTION("""COMPUTED_VALUE"""),48358.0)</f>
        <v>48358</v>
      </c>
      <c r="W316" t="str">
        <f>IFERROR(__xludf.DUMMYFUNCTION("""COMPUTED_VALUE"""),"ปลอดภัย")</f>
        <v>ปลอดภัย</v>
      </c>
      <c r="X316" t="str">
        <f>IFERROR(__xludf.DUMMYFUNCTION("""COMPUTED_VALUE"""),"Bangkok")</f>
        <v>Bangkok</v>
      </c>
      <c r="Y316" t="str">
        <f>IFERROR(__xludf.DUMMYFUNCTION("""COMPUTED_VALUE"""),"Chomthong")</f>
        <v>Chomthong</v>
      </c>
      <c r="Z316" t="str">
        <f>IFERROR(__xludf.DUMMYFUNCTION("""COMPUTED_VALUE"""),"081 415 1969")</f>
        <v>081 415 1969</v>
      </c>
      <c r="AA316" t="str">
        <f>IFERROR(__xludf.DUMMYFUNCTION("""COMPUTED_VALUE"""),"Father")</f>
        <v>Father</v>
      </c>
      <c r="AB316" t="str">
        <f>IFERROR(__xludf.DUMMYFUNCTION("""COMPUTED_VALUE"""),"ketsarapornb@airasia.com")</f>
        <v>ketsarapornb@airasia.com</v>
      </c>
    </row>
    <row r="317">
      <c r="A317">
        <f>IFERROR(__xludf.DUMMYFUNCTION("""COMPUTED_VALUE"""),1006836.0)</f>
        <v>1006836</v>
      </c>
      <c r="B317" t="str">
        <f>IFERROR(__xludf.DUMMYFUNCTION("""COMPUTED_VALUE"""),"Mrs.")</f>
        <v>Mrs.</v>
      </c>
      <c r="C317" t="str">
        <f>IFERROR(__xludf.DUMMYFUNCTION("""COMPUTED_VALUE"""),"Kotchaporn (Chengping)")</f>
        <v>Kotchaporn (Chengping)</v>
      </c>
      <c r="D317" t="str">
        <f>IFERROR(__xludf.DUMMYFUNCTION("""COMPUTED_VALUE"""),"Komutanont (Saetang)")</f>
        <v>Komutanont (Saetang)</v>
      </c>
      <c r="E317" t="str">
        <f>IFERROR(__xludf.DUMMYFUNCTION("""COMPUTED_VALUE"""),"Kotchaporn Komutanont")</f>
        <v>Kotchaporn Komutanont</v>
      </c>
      <c r="F317" t="str">
        <f>IFERROR(__xludf.DUMMYFUNCTION("""COMPUTED_VALUE"""),"นาง")</f>
        <v>นาง</v>
      </c>
      <c r="G317" t="str">
        <f>IFERROR(__xludf.DUMMYFUNCTION("""COMPUTED_VALUE"""),"กชพร(เจิ้นผิง)")</f>
        <v>กชพร(เจิ้นผิง)</v>
      </c>
      <c r="H317" t="str">
        <f>IFERROR(__xludf.DUMMYFUNCTION("""COMPUTED_VALUE"""),"โกมุทานนท์(แซ่ทัง)")</f>
        <v>โกมุทานนท์(แซ่ทัง)</v>
      </c>
      <c r="I317" t="str">
        <f>IFERROR(__xludf.DUMMYFUNCTION("""COMPUTED_VALUE"""),"กชพร โกมุทานนท์")</f>
        <v>กชพร โกมุทานนท์</v>
      </c>
      <c r="J317" t="str">
        <f>IFERROR(__xludf.DUMMYFUNCTION("""COMPUTED_VALUE"""),"May")</f>
        <v>May</v>
      </c>
      <c r="K317" t="str">
        <f>IFERROR(__xludf.DUMMYFUNCTION("""COMPUTED_VALUE"""),"Senior Cabin Crew")</f>
        <v>Senior Cabin Crew</v>
      </c>
      <c r="L317" t="str">
        <f>IFERROR(__xludf.DUMMYFUNCTION("""COMPUTED_VALUE"""),"DMK")</f>
        <v>DMK</v>
      </c>
      <c r="M317" s="145" t="str">
        <f>IFERROR(__xludf.DUMMYFUNCTION("""COMPUTED_VALUE"""),"Toffy Home")</f>
        <v>Toffy Home</v>
      </c>
      <c r="N317" t="str">
        <f>IFERROR(__xludf.DUMMYFUNCTION("""COMPUTED_VALUE"""),"Active")</f>
        <v>Active</v>
      </c>
      <c r="O317" t="str">
        <f>IFERROR(__xludf.DUMMYFUNCTION("""COMPUTED_VALUE"""),"Chinese Speaking")</f>
        <v>Chinese Speaking</v>
      </c>
      <c r="P317" s="143">
        <f>IFERROR(__xludf.DUMMYFUNCTION("""COMPUTED_VALUE"""),33021.0)</f>
        <v>33021</v>
      </c>
      <c r="Q317" s="146" t="str">
        <f>IFERROR(__xludf.DUMMYFUNCTION("""COMPUTED_VALUE"""),"085 226 5355")</f>
        <v>085 226 5355</v>
      </c>
      <c r="R317" s="147" t="str">
        <f>IFERROR(__xludf.DUMMYFUNCTION("""COMPUTED_VALUE"""),"8102373-00-0088")</f>
        <v>8102373-00-0088</v>
      </c>
      <c r="S317" t="str">
        <f>IFERROR(__xludf.DUMMYFUNCTION("""COMPUTED_VALUE"""),"AC2292917")</f>
        <v>AC2292917</v>
      </c>
      <c r="T317" s="148">
        <f>IFERROR(__xludf.DUMMYFUNCTION("""COMPUTED_VALUE"""),44344.0)</f>
        <v>44344</v>
      </c>
      <c r="U317" s="148">
        <f>IFERROR(__xludf.DUMMYFUNCTION("""COMPUTED_VALUE"""),47995.0)</f>
        <v>47995</v>
      </c>
      <c r="V317" s="149">
        <f>IFERROR(__xludf.DUMMYFUNCTION("""COMPUTED_VALUE"""),47814.0)</f>
        <v>47814</v>
      </c>
      <c r="W317" t="str">
        <f>IFERROR(__xludf.DUMMYFUNCTION("""COMPUTED_VALUE"""),"ปลอดภัย")</f>
        <v>ปลอดภัย</v>
      </c>
      <c r="X317" t="str">
        <f>IFERROR(__xludf.DUMMYFUNCTION("""COMPUTED_VALUE"""),"Bangkok")</f>
        <v>Bangkok</v>
      </c>
      <c r="Y317" t="str">
        <f>IFERROR(__xludf.DUMMYFUNCTION("""COMPUTED_VALUE"""),"Nakornprathom")</f>
        <v>Nakornprathom</v>
      </c>
      <c r="Z317" t="str">
        <f>IFERROR(__xludf.DUMMYFUNCTION("""COMPUTED_VALUE"""),"087 700 1420")</f>
        <v>087 700 1420</v>
      </c>
      <c r="AA317" t="str">
        <f>IFERROR(__xludf.DUMMYFUNCTION("""COMPUTED_VALUE"""),"Mother")</f>
        <v>Mother</v>
      </c>
      <c r="AB317" t="str">
        <f>IFERROR(__xludf.DUMMYFUNCTION("""COMPUTED_VALUE"""),"kotchapornk@airasia.com")</f>
        <v>kotchapornk@airasia.com</v>
      </c>
    </row>
    <row r="318">
      <c r="A318">
        <f>IFERROR(__xludf.DUMMYFUNCTION("""COMPUTED_VALUE"""),1006840.0)</f>
        <v>1006840</v>
      </c>
      <c r="B318" t="str">
        <f>IFERROR(__xludf.DUMMYFUNCTION("""COMPUTED_VALUE"""),"Mr.")</f>
        <v>Mr.</v>
      </c>
      <c r="C318" t="str">
        <f>IFERROR(__xludf.DUMMYFUNCTION("""COMPUTED_VALUE"""),"Nutthawich")</f>
        <v>Nutthawich</v>
      </c>
      <c r="D318" t="str">
        <f>IFERROR(__xludf.DUMMYFUNCTION("""COMPUTED_VALUE"""),"Suwanmanee")</f>
        <v>Suwanmanee</v>
      </c>
      <c r="E318" t="str">
        <f>IFERROR(__xludf.DUMMYFUNCTION("""COMPUTED_VALUE"""),"Nutthawich Suwanmanee")</f>
        <v>Nutthawich Suwanmanee</v>
      </c>
      <c r="F318" t="str">
        <f>IFERROR(__xludf.DUMMYFUNCTION("""COMPUTED_VALUE"""),"นาย")</f>
        <v>นาย</v>
      </c>
      <c r="G318" t="str">
        <f>IFERROR(__xludf.DUMMYFUNCTION("""COMPUTED_VALUE"""),"ณัฐวิชช์")</f>
        <v>ณัฐวิชช์</v>
      </c>
      <c r="H318" t="str">
        <f>IFERROR(__xludf.DUMMYFUNCTION("""COMPUTED_VALUE"""),"สุวรรณมณี")</f>
        <v>สุวรรณมณี</v>
      </c>
      <c r="I318" t="str">
        <f>IFERROR(__xludf.DUMMYFUNCTION("""COMPUTED_VALUE"""),"ณัฐวิชช์ สุวรรณมณี")</f>
        <v>ณัฐวิชช์ สุวรรณมณี</v>
      </c>
      <c r="J318" t="str">
        <f>IFERROR(__xludf.DUMMYFUNCTION("""COMPUTED_VALUE"""),"Nut")</f>
        <v>Nut</v>
      </c>
      <c r="K318" t="str">
        <f>IFERROR(__xludf.DUMMYFUNCTION("""COMPUTED_VALUE"""),"Senior Cabin Crew")</f>
        <v>Senior Cabin Crew</v>
      </c>
      <c r="L318" t="str">
        <f>IFERROR(__xludf.DUMMYFUNCTION("""COMPUTED_VALUE"""),"DMK")</f>
        <v>DMK</v>
      </c>
      <c r="M318" s="145" t="str">
        <f>IFERROR(__xludf.DUMMYFUNCTION("""COMPUTED_VALUE"""),"Um Home")</f>
        <v>Um Home</v>
      </c>
      <c r="N318" t="str">
        <f>IFERROR(__xludf.DUMMYFUNCTION("""COMPUTED_VALUE"""),"Active")</f>
        <v>Active</v>
      </c>
      <c r="O318" t="str">
        <f>IFERROR(__xludf.DUMMYFUNCTION("""COMPUTED_VALUE"""),"Chinese Speaking")</f>
        <v>Chinese Speaking</v>
      </c>
      <c r="P318" s="143">
        <f>IFERROR(__xludf.DUMMYFUNCTION("""COMPUTED_VALUE"""),32334.0)</f>
        <v>32334</v>
      </c>
      <c r="Q318" s="146" t="str">
        <f>IFERROR(__xludf.DUMMYFUNCTION("""COMPUTED_VALUE"""),"089 486 3236")</f>
        <v>089 486 3236</v>
      </c>
      <c r="R318" s="147" t="str">
        <f>IFERROR(__xludf.DUMMYFUNCTION("""COMPUTED_VALUE"""),"1100700-82-5212")</f>
        <v>1100700-82-5212</v>
      </c>
      <c r="S318" t="str">
        <f>IFERROR(__xludf.DUMMYFUNCTION("""COMPUTED_VALUE"""),"AC7899733")</f>
        <v>AC7899733</v>
      </c>
      <c r="T318" s="148">
        <f>IFERROR(__xludf.DUMMYFUNCTION("""COMPUTED_VALUE"""),45689.0)</f>
        <v>45689</v>
      </c>
      <c r="U318" s="148">
        <f>IFERROR(__xludf.DUMMYFUNCTION("""COMPUTED_VALUE"""),49340.0)</f>
        <v>49340</v>
      </c>
      <c r="V318" s="149">
        <f>IFERROR(__xludf.DUMMYFUNCTION("""COMPUTED_VALUE"""),49156.0)</f>
        <v>49156</v>
      </c>
      <c r="W318" t="str">
        <f>IFERROR(__xludf.DUMMYFUNCTION("""COMPUTED_VALUE"""),"ปลอดภัย")</f>
        <v>ปลอดภัย</v>
      </c>
      <c r="X318" t="str">
        <f>IFERROR(__xludf.DUMMYFUNCTION("""COMPUTED_VALUE"""),"Bangkok")</f>
        <v>Bangkok</v>
      </c>
      <c r="Y318" t="str">
        <f>IFERROR(__xludf.DUMMYFUNCTION("""COMPUTED_VALUE"""),"Phetchakasem")</f>
        <v>Phetchakasem</v>
      </c>
      <c r="Z318" t="str">
        <f>IFERROR(__xludf.DUMMYFUNCTION("""COMPUTED_VALUE"""),"02 804 8922")</f>
        <v>02 804 8922</v>
      </c>
      <c r="AA318" t="str">
        <f>IFERROR(__xludf.DUMMYFUNCTION("""COMPUTED_VALUE"""),"Siireethorn Rattananakin")</f>
        <v>Siireethorn Rattananakin</v>
      </c>
      <c r="AB318" t="str">
        <f>IFERROR(__xludf.DUMMYFUNCTION("""COMPUTED_VALUE"""),"nutthawichs@airasia.com")</f>
        <v>nutthawichs@airasia.com</v>
      </c>
    </row>
    <row r="319">
      <c r="A319">
        <f>IFERROR(__xludf.DUMMYFUNCTION("""COMPUTED_VALUE"""),1006844.0)</f>
        <v>1006844</v>
      </c>
      <c r="B319" t="str">
        <f>IFERROR(__xludf.DUMMYFUNCTION("""COMPUTED_VALUE"""),"Ms.")</f>
        <v>Ms.</v>
      </c>
      <c r="C319" t="str">
        <f>IFERROR(__xludf.DUMMYFUNCTION("""COMPUTED_VALUE"""),"Rada")</f>
        <v>Rada</v>
      </c>
      <c r="D319" t="str">
        <f>IFERROR(__xludf.DUMMYFUNCTION("""COMPUTED_VALUE"""),"Nilyam")</f>
        <v>Nilyam</v>
      </c>
      <c r="E319" t="str">
        <f>IFERROR(__xludf.DUMMYFUNCTION("""COMPUTED_VALUE"""),"Rada Nilyam")</f>
        <v>Rada Nilyam</v>
      </c>
      <c r="F319" t="str">
        <f>IFERROR(__xludf.DUMMYFUNCTION("""COMPUTED_VALUE"""),"นางสาว")</f>
        <v>นางสาว</v>
      </c>
      <c r="G319" t="str">
        <f>IFERROR(__xludf.DUMMYFUNCTION("""COMPUTED_VALUE"""),"รดา")</f>
        <v>รดา</v>
      </c>
      <c r="H319" t="str">
        <f>IFERROR(__xludf.DUMMYFUNCTION("""COMPUTED_VALUE"""),"นิลแย้ม")</f>
        <v>นิลแย้ม</v>
      </c>
      <c r="I319" t="str">
        <f>IFERROR(__xludf.DUMMYFUNCTION("""COMPUTED_VALUE"""),"รดา นิลแย้ม")</f>
        <v>รดา นิลแย้ม</v>
      </c>
      <c r="J319" t="str">
        <f>IFERROR(__xludf.DUMMYFUNCTION("""COMPUTED_VALUE"""),"Katae")</f>
        <v>Katae</v>
      </c>
      <c r="K319" t="str">
        <f>IFERROR(__xludf.DUMMYFUNCTION("""COMPUTED_VALUE"""),"Cabin Crew")</f>
        <v>Cabin Crew</v>
      </c>
      <c r="L319" t="str">
        <f>IFERROR(__xludf.DUMMYFUNCTION("""COMPUTED_VALUE"""),"DMK")</f>
        <v>DMK</v>
      </c>
      <c r="M319" s="145" t="str">
        <f>IFERROR(__xludf.DUMMYFUNCTION("""COMPUTED_VALUE"""),"Um Home")</f>
        <v>Um Home</v>
      </c>
      <c r="N319" t="str">
        <f>IFERROR(__xludf.DUMMYFUNCTION("""COMPUTED_VALUE"""),"Active")</f>
        <v>Active</v>
      </c>
      <c r="O319" t="str">
        <f>IFERROR(__xludf.DUMMYFUNCTION("""COMPUTED_VALUE"""),"Chinese Speaking")</f>
        <v>Chinese Speaking</v>
      </c>
      <c r="P319" s="143">
        <f>IFERROR(__xludf.DUMMYFUNCTION("""COMPUTED_VALUE"""),32225.0)</f>
        <v>32225</v>
      </c>
      <c r="Q319" s="146" t="str">
        <f>IFERROR(__xludf.DUMMYFUNCTION("""COMPUTED_VALUE"""),"087 675 7865")</f>
        <v>087 675 7865</v>
      </c>
      <c r="R319" s="147" t="str">
        <f>IFERROR(__xludf.DUMMYFUNCTION("""COMPUTED_VALUE"""),"1839900-13-4967")</f>
        <v>1839900-13-4967</v>
      </c>
      <c r="S319" t="str">
        <f>IFERROR(__xludf.DUMMYFUNCTION("""COMPUTED_VALUE"""),"AC6223704")</f>
        <v>AC6223704</v>
      </c>
      <c r="T319" s="148">
        <f>IFERROR(__xludf.DUMMYFUNCTION("""COMPUTED_VALUE"""),45299.0)</f>
        <v>45299</v>
      </c>
      <c r="U319" s="148">
        <f>IFERROR(__xludf.DUMMYFUNCTION("""COMPUTED_VALUE"""),48951.0)</f>
        <v>48951</v>
      </c>
      <c r="V319" s="149">
        <f>IFERROR(__xludf.DUMMYFUNCTION("""COMPUTED_VALUE"""),48767.0)</f>
        <v>48767</v>
      </c>
      <c r="W319" t="str">
        <f>IFERROR(__xludf.DUMMYFUNCTION("""COMPUTED_VALUE"""),"ปลอดภัย")</f>
        <v>ปลอดภัย</v>
      </c>
      <c r="X319" t="str">
        <f>IFERROR(__xludf.DUMMYFUNCTION("""COMPUTED_VALUE"""),"Phuket Province")</f>
        <v>Phuket Province</v>
      </c>
      <c r="Y319" t="str">
        <f>IFERROR(__xludf.DUMMYFUNCTION("""COMPUTED_VALUE"""),"Prawet")</f>
        <v>Prawet</v>
      </c>
      <c r="Z319" t="str">
        <f>IFERROR(__xludf.DUMMYFUNCTION("""COMPUTED_VALUE"""),"0863 181 9077")</f>
        <v>0863 181 9077</v>
      </c>
      <c r="AA319" t="str">
        <f>IFERROR(__xludf.DUMMYFUNCTION("""COMPUTED_VALUE"""),"Father")</f>
        <v>Father</v>
      </c>
      <c r="AB319" t="str">
        <f>IFERROR(__xludf.DUMMYFUNCTION("""COMPUTED_VALUE"""),"radan@airasia.com")</f>
        <v>radan@airasia.com</v>
      </c>
    </row>
    <row r="320">
      <c r="A320">
        <f>IFERROR(__xludf.DUMMYFUNCTION("""COMPUTED_VALUE"""),1006845.0)</f>
        <v>1006845</v>
      </c>
      <c r="B320" t="str">
        <f>IFERROR(__xludf.DUMMYFUNCTION("""COMPUTED_VALUE"""),"Ms.")</f>
        <v>Ms.</v>
      </c>
      <c r="C320" t="str">
        <f>IFERROR(__xludf.DUMMYFUNCTION("""COMPUTED_VALUE"""),"Sakuna")</f>
        <v>Sakuna</v>
      </c>
      <c r="D320" t="str">
        <f>IFERROR(__xludf.DUMMYFUNCTION("""COMPUTED_VALUE"""),"Puangpipat")</f>
        <v>Puangpipat</v>
      </c>
      <c r="E320" t="str">
        <f>IFERROR(__xludf.DUMMYFUNCTION("""COMPUTED_VALUE"""),"Sakuna Puangpipat")</f>
        <v>Sakuna Puangpipat</v>
      </c>
      <c r="F320" t="str">
        <f>IFERROR(__xludf.DUMMYFUNCTION("""COMPUTED_VALUE"""),"นางสาว")</f>
        <v>นางสาว</v>
      </c>
      <c r="G320" t="str">
        <f>IFERROR(__xludf.DUMMYFUNCTION("""COMPUTED_VALUE"""),"สกุณา")</f>
        <v>สกุณา</v>
      </c>
      <c r="H320" t="str">
        <f>IFERROR(__xludf.DUMMYFUNCTION("""COMPUTED_VALUE"""),"พวงพิพัฒน์")</f>
        <v>พวงพิพัฒน์</v>
      </c>
      <c r="I320" t="str">
        <f>IFERROR(__xludf.DUMMYFUNCTION("""COMPUTED_VALUE"""),"สกุณา พวงพิพัฒน์")</f>
        <v>สกุณา พวงพิพัฒน์</v>
      </c>
      <c r="J320" t="str">
        <f>IFERROR(__xludf.DUMMYFUNCTION("""COMPUTED_VALUE"""),"Fon")</f>
        <v>Fon</v>
      </c>
      <c r="K320" t="str">
        <f>IFERROR(__xludf.DUMMYFUNCTION("""COMPUTED_VALUE"""),"Senior Cabin Crew")</f>
        <v>Senior Cabin Crew</v>
      </c>
      <c r="L320" t="str">
        <f>IFERROR(__xludf.DUMMYFUNCTION("""COMPUTED_VALUE"""),"DMK")</f>
        <v>DMK</v>
      </c>
      <c r="M320" s="145" t="str">
        <f>IFERROR(__xludf.DUMMYFUNCTION("""COMPUTED_VALUE"""),"Um Home")</f>
        <v>Um Home</v>
      </c>
      <c r="N320" t="str">
        <f>IFERROR(__xludf.DUMMYFUNCTION("""COMPUTED_VALUE"""),"Active")</f>
        <v>Active</v>
      </c>
      <c r="O320" t="str">
        <f>IFERROR(__xludf.DUMMYFUNCTION("""COMPUTED_VALUE"""),"Chinese Speaking")</f>
        <v>Chinese Speaking</v>
      </c>
      <c r="P320" s="143">
        <f>IFERROR(__xludf.DUMMYFUNCTION("""COMPUTED_VALUE"""),32713.0)</f>
        <v>32713</v>
      </c>
      <c r="Q320" s="146" t="str">
        <f>IFERROR(__xludf.DUMMYFUNCTION("""COMPUTED_VALUE"""),"085 153 7356")</f>
        <v>085 153 7356</v>
      </c>
      <c r="R320" s="147" t="str">
        <f>IFERROR(__xludf.DUMMYFUNCTION("""COMPUTED_VALUE"""),"1101401-74-3401")</f>
        <v>1101401-74-3401</v>
      </c>
      <c r="S320" t="str">
        <f>IFERROR(__xludf.DUMMYFUNCTION("""COMPUTED_VALUE"""),"AC4377721")</f>
        <v>AC4377721</v>
      </c>
      <c r="T320" s="150">
        <f>IFERROR(__xludf.DUMMYFUNCTION("""COMPUTED_VALUE"""),44571.0)</f>
        <v>44571</v>
      </c>
      <c r="U320" s="148">
        <f>IFERROR(__xludf.DUMMYFUNCTION("""COMPUTED_VALUE"""),48588.0)</f>
        <v>48588</v>
      </c>
      <c r="V320" s="149">
        <f>IFERROR(__xludf.DUMMYFUNCTION("""COMPUTED_VALUE"""),48404.0)</f>
        <v>48404</v>
      </c>
      <c r="W320" t="str">
        <f>IFERROR(__xludf.DUMMYFUNCTION("""COMPUTED_VALUE"""),"ปลอดภัย")</f>
        <v>ปลอดภัย</v>
      </c>
      <c r="X320" t="str">
        <f>IFERROR(__xludf.DUMMYFUNCTION("""COMPUTED_VALUE"""),"Bangkok")</f>
        <v>Bangkok</v>
      </c>
      <c r="Y320" t="str">
        <f>IFERROR(__xludf.DUMMYFUNCTION("""COMPUTED_VALUE"""),"Ramkhamheang")</f>
        <v>Ramkhamheang</v>
      </c>
      <c r="Z320" t="str">
        <f>IFERROR(__xludf.DUMMYFUNCTION("""COMPUTED_VALUE"""),"081 639 2077")</f>
        <v>081 639 2077</v>
      </c>
      <c r="AA320" t="str">
        <f>IFERROR(__xludf.DUMMYFUNCTION("""COMPUTED_VALUE"""),"Father")</f>
        <v>Father</v>
      </c>
      <c r="AB320" t="str">
        <f>IFERROR(__xludf.DUMMYFUNCTION("""COMPUTED_VALUE"""),"sakunap@airasia.com")</f>
        <v>sakunap@airasia.com</v>
      </c>
    </row>
    <row r="321">
      <c r="A321">
        <f>IFERROR(__xludf.DUMMYFUNCTION("""COMPUTED_VALUE"""),1006847.0)</f>
        <v>1006847</v>
      </c>
      <c r="B321" t="str">
        <f>IFERROR(__xludf.DUMMYFUNCTION("""COMPUTED_VALUE"""),"Ms.")</f>
        <v>Ms.</v>
      </c>
      <c r="C321" t="str">
        <f>IFERROR(__xludf.DUMMYFUNCTION("""COMPUTED_VALUE"""),"Siriluk")</f>
        <v>Siriluk</v>
      </c>
      <c r="D321" t="str">
        <f>IFERROR(__xludf.DUMMYFUNCTION("""COMPUTED_VALUE"""),"Supkongyu")</f>
        <v>Supkongyu</v>
      </c>
      <c r="E321" t="str">
        <f>IFERROR(__xludf.DUMMYFUNCTION("""COMPUTED_VALUE"""),"Siriluk Supkongyu")</f>
        <v>Siriluk Supkongyu</v>
      </c>
      <c r="F321" t="str">
        <f>IFERROR(__xludf.DUMMYFUNCTION("""COMPUTED_VALUE"""),"นางสาว")</f>
        <v>นางสาว</v>
      </c>
      <c r="G321" t="str">
        <f>IFERROR(__xludf.DUMMYFUNCTION("""COMPUTED_VALUE"""),"สิริลักษณ์")</f>
        <v>สิริลักษณ์</v>
      </c>
      <c r="H321" t="str">
        <f>IFERROR(__xludf.DUMMYFUNCTION("""COMPUTED_VALUE"""),"ทรัพย์คงอยู่")</f>
        <v>ทรัพย์คงอยู่</v>
      </c>
      <c r="I321" t="str">
        <f>IFERROR(__xludf.DUMMYFUNCTION("""COMPUTED_VALUE"""),"สิริลักษณ์ ทรัพย์คงอยู่")</f>
        <v>สิริลักษณ์ ทรัพย์คงอยู่</v>
      </c>
      <c r="J321" t="str">
        <f>IFERROR(__xludf.DUMMYFUNCTION("""COMPUTED_VALUE"""),"Jou")</f>
        <v>Jou</v>
      </c>
      <c r="K321" t="str">
        <f>IFERROR(__xludf.DUMMYFUNCTION("""COMPUTED_VALUE"""),"Cabin Crew")</f>
        <v>Cabin Crew</v>
      </c>
      <c r="L321" t="str">
        <f>IFERROR(__xludf.DUMMYFUNCTION("""COMPUTED_VALUE"""),"DMK")</f>
        <v>DMK</v>
      </c>
      <c r="M321" s="145" t="str">
        <f>IFERROR(__xludf.DUMMYFUNCTION("""COMPUTED_VALUE"""),"Toffy Home")</f>
        <v>Toffy Home</v>
      </c>
      <c r="N321" t="str">
        <f>IFERROR(__xludf.DUMMYFUNCTION("""COMPUTED_VALUE"""),"Active")</f>
        <v>Active</v>
      </c>
      <c r="O321" t="str">
        <f>IFERROR(__xludf.DUMMYFUNCTION("""COMPUTED_VALUE"""),"Chinese Speaking")</f>
        <v>Chinese Speaking</v>
      </c>
      <c r="P321" s="143">
        <f>IFERROR(__xludf.DUMMYFUNCTION("""COMPUTED_VALUE"""),33044.0)</f>
        <v>33044</v>
      </c>
      <c r="Q321" s="146" t="str">
        <f>IFERROR(__xludf.DUMMYFUNCTION("""COMPUTED_VALUE"""),"091 445 6264")</f>
        <v>091 445 6264</v>
      </c>
      <c r="R321" s="147" t="str">
        <f>IFERROR(__xludf.DUMMYFUNCTION("""COMPUTED_VALUE"""),"1100800-57-0704")</f>
        <v>1100800-57-0704</v>
      </c>
      <c r="S321" t="str">
        <f>IFERROR(__xludf.DUMMYFUNCTION("""COMPUTED_VALUE"""),"AC26687608")</f>
        <v>AC26687608</v>
      </c>
      <c r="T321" s="148">
        <f>IFERROR(__xludf.DUMMYFUNCTION("""COMPUTED_VALUE"""),44582.0)</f>
        <v>44582</v>
      </c>
      <c r="U321" s="148">
        <f>IFERROR(__xludf.DUMMYFUNCTION("""COMPUTED_VALUE"""),48233.0)</f>
        <v>48233</v>
      </c>
      <c r="V321" s="149">
        <f>IFERROR(__xludf.DUMMYFUNCTION("""COMPUTED_VALUE"""),48049.0)</f>
        <v>48049</v>
      </c>
      <c r="W321" t="str">
        <f>IFERROR(__xludf.DUMMYFUNCTION("""COMPUTED_VALUE"""),"ปลอดภัย")</f>
        <v>ปลอดภัย</v>
      </c>
      <c r="X321" t="str">
        <f>IFERROR(__xludf.DUMMYFUNCTION("""COMPUTED_VALUE"""),"Bangkok")</f>
        <v>Bangkok</v>
      </c>
      <c r="Y321" t="str">
        <f>IFERROR(__xludf.DUMMYFUNCTION("""COMPUTED_VALUE"""),"Bangwaek")</f>
        <v>Bangwaek</v>
      </c>
      <c r="Z321" t="str">
        <f>IFERROR(__xludf.DUMMYFUNCTION("""COMPUTED_VALUE"""),"02 410 5520 / 082 745 4345")</f>
        <v>02 410 5520 / 082 745 4345</v>
      </c>
      <c r="AA321" t="str">
        <f>IFERROR(__xludf.DUMMYFUNCTION("""COMPUTED_VALUE"""),"Saowaluck / Relative person")</f>
        <v>Saowaluck / Relative person</v>
      </c>
      <c r="AB321" t="str">
        <f>IFERROR(__xludf.DUMMYFUNCTION("""COMPUTED_VALUE"""),"siriluks@airasia.com")</f>
        <v>siriluks@airasia.com</v>
      </c>
    </row>
    <row r="322">
      <c r="A322">
        <f>IFERROR(__xludf.DUMMYFUNCTION("""COMPUTED_VALUE"""),1006852.0)</f>
        <v>1006852</v>
      </c>
      <c r="B322" t="str">
        <f>IFERROR(__xludf.DUMMYFUNCTION("""COMPUTED_VALUE"""),"Mr.")</f>
        <v>Mr.</v>
      </c>
      <c r="C322" t="str">
        <f>IFERROR(__xludf.DUMMYFUNCTION("""COMPUTED_VALUE"""),"Taspon")</f>
        <v>Taspon</v>
      </c>
      <c r="D322" t="str">
        <f>IFERROR(__xludf.DUMMYFUNCTION("""COMPUTED_VALUE"""),"Jantaduang")</f>
        <v>Jantaduang</v>
      </c>
      <c r="E322" t="str">
        <f>IFERROR(__xludf.DUMMYFUNCTION("""COMPUTED_VALUE"""),"Taspon Jantaduang")</f>
        <v>Taspon Jantaduang</v>
      </c>
      <c r="F322" t="str">
        <f>IFERROR(__xludf.DUMMYFUNCTION("""COMPUTED_VALUE"""),"นาย")</f>
        <v>นาย</v>
      </c>
      <c r="G322" t="str">
        <f>IFERROR(__xludf.DUMMYFUNCTION("""COMPUTED_VALUE"""),"ทัศน์พล")</f>
        <v>ทัศน์พล</v>
      </c>
      <c r="H322" t="str">
        <f>IFERROR(__xludf.DUMMYFUNCTION("""COMPUTED_VALUE"""),"จันทะดวง")</f>
        <v>จันทะดวง</v>
      </c>
      <c r="I322" t="str">
        <f>IFERROR(__xludf.DUMMYFUNCTION("""COMPUTED_VALUE"""),"ทัศน์พล จันทะดวง")</f>
        <v>ทัศน์พล จันทะดวง</v>
      </c>
      <c r="J322" t="str">
        <f>IFERROR(__xludf.DUMMYFUNCTION("""COMPUTED_VALUE"""),"Touch")</f>
        <v>Touch</v>
      </c>
      <c r="K322" t="str">
        <f>IFERROR(__xludf.DUMMYFUNCTION("""COMPUTED_VALUE"""),"Senior Cabin Crew - CNX")</f>
        <v>Senior Cabin Crew - CNX</v>
      </c>
      <c r="L322" t="str">
        <f>IFERROR(__xludf.DUMMYFUNCTION("""COMPUTED_VALUE"""),"CNX")</f>
        <v>CNX</v>
      </c>
      <c r="M322" s="145" t="str">
        <f>IFERROR(__xludf.DUMMYFUNCTION("""COMPUTED_VALUE"""),"Up Home")</f>
        <v>Up Home</v>
      </c>
      <c r="N322" t="str">
        <f>IFERROR(__xludf.DUMMYFUNCTION("""COMPUTED_VALUE"""),"Active")</f>
        <v>Active</v>
      </c>
      <c r="O322" t="str">
        <f>IFERROR(__xludf.DUMMYFUNCTION("""COMPUTED_VALUE"""),"Chinese Speaking")</f>
        <v>Chinese Speaking</v>
      </c>
      <c r="P322" s="143">
        <f>IFERROR(__xludf.DUMMYFUNCTION("""COMPUTED_VALUE"""),33516.0)</f>
        <v>33516</v>
      </c>
      <c r="Q322" s="146" t="str">
        <f>IFERROR(__xludf.DUMMYFUNCTION("""COMPUTED_VALUE"""),"091 718 0544")</f>
        <v>091 718 0544</v>
      </c>
      <c r="R322" s="147" t="str">
        <f>IFERROR(__xludf.DUMMYFUNCTION("""COMPUTED_VALUE"""),"1460100-16-7866")</f>
        <v>1460100-16-7866</v>
      </c>
      <c r="S322" t="str">
        <f>IFERROR(__xludf.DUMMYFUNCTION("""COMPUTED_VALUE"""),"AC6973729")</f>
        <v>AC6973729</v>
      </c>
      <c r="T322" s="148">
        <f>IFERROR(__xludf.DUMMYFUNCTION("""COMPUTED_VALUE"""),45594.0)</f>
        <v>45594</v>
      </c>
      <c r="U322" s="148">
        <f>IFERROR(__xludf.DUMMYFUNCTION("""COMPUTED_VALUE"""),49245.0)</f>
        <v>49245</v>
      </c>
      <c r="V322" s="149">
        <f>IFERROR(__xludf.DUMMYFUNCTION("""COMPUTED_VALUE"""),49062.0)</f>
        <v>49062</v>
      </c>
      <c r="W322" t="str">
        <f>IFERROR(__xludf.DUMMYFUNCTION("""COMPUTED_VALUE"""),"ปลอดภัย")</f>
        <v>ปลอดภัย</v>
      </c>
      <c r="X322" t="str">
        <f>IFERROR(__xludf.DUMMYFUNCTION("""COMPUTED_VALUE"""),"Kalasin Province")</f>
        <v>Kalasin Province</v>
      </c>
      <c r="Y322" t="str">
        <f>IFERROR(__xludf.DUMMYFUNCTION("""COMPUTED_VALUE"""),"Kalasin")</f>
        <v>Kalasin</v>
      </c>
      <c r="Z322" t="str">
        <f>IFERROR(__xludf.DUMMYFUNCTION("""COMPUTED_VALUE"""),"080 007 3328")</f>
        <v>080 007 3328</v>
      </c>
      <c r="AA322" t="str">
        <f>IFERROR(__xludf.DUMMYFUNCTION("""COMPUTED_VALUE"""),"Siwasaran Jantaduang")</f>
        <v>Siwasaran Jantaduang</v>
      </c>
      <c r="AB322" t="str">
        <f>IFERROR(__xludf.DUMMYFUNCTION("""COMPUTED_VALUE"""),"tasponj@airasia.com")</f>
        <v>tasponj@airasia.com</v>
      </c>
    </row>
    <row r="323">
      <c r="A323">
        <f>IFERROR(__xludf.DUMMYFUNCTION("""COMPUTED_VALUE"""),1006854.0)</f>
        <v>1006854</v>
      </c>
      <c r="B323" t="str">
        <f>IFERROR(__xludf.DUMMYFUNCTION("""COMPUTED_VALUE"""),"Mr.")</f>
        <v>Mr.</v>
      </c>
      <c r="C323" t="str">
        <f>IFERROR(__xludf.DUMMYFUNCTION("""COMPUTED_VALUE"""),"Thanachai")</f>
        <v>Thanachai</v>
      </c>
      <c r="D323" t="str">
        <f>IFERROR(__xludf.DUMMYFUNCTION("""COMPUTED_VALUE"""),"Wilai-ngam")</f>
        <v>Wilai-ngam</v>
      </c>
      <c r="E323" t="str">
        <f>IFERROR(__xludf.DUMMYFUNCTION("""COMPUTED_VALUE"""),"Thanachai Wilai-ngam")</f>
        <v>Thanachai Wilai-ngam</v>
      </c>
      <c r="F323" t="str">
        <f>IFERROR(__xludf.DUMMYFUNCTION("""COMPUTED_VALUE"""),"นาย")</f>
        <v>นาย</v>
      </c>
      <c r="G323" t="str">
        <f>IFERROR(__xludf.DUMMYFUNCTION("""COMPUTED_VALUE"""),"ธนาชัย")</f>
        <v>ธนาชัย</v>
      </c>
      <c r="H323" t="str">
        <f>IFERROR(__xludf.DUMMYFUNCTION("""COMPUTED_VALUE"""),"วิไลงาม")</f>
        <v>วิไลงาม</v>
      </c>
      <c r="I323" t="str">
        <f>IFERROR(__xludf.DUMMYFUNCTION("""COMPUTED_VALUE"""),"ธนาชัย วิไลงาม")</f>
        <v>ธนาชัย วิไลงาม</v>
      </c>
      <c r="J323" t="str">
        <f>IFERROR(__xludf.DUMMYFUNCTION("""COMPUTED_VALUE"""),"เปรียว")</f>
        <v>เปรียว</v>
      </c>
      <c r="K323" t="str">
        <f>IFERROR(__xludf.DUMMYFUNCTION("""COMPUTED_VALUE"""),"Cabin Crew")</f>
        <v>Cabin Crew</v>
      </c>
      <c r="L323" t="str">
        <f>IFERROR(__xludf.DUMMYFUNCTION("""COMPUTED_VALUE"""),"DMK")</f>
        <v>DMK</v>
      </c>
      <c r="M323" s="145" t="str">
        <f>IFERROR(__xludf.DUMMYFUNCTION("""COMPUTED_VALUE"""),"Toffy Home")</f>
        <v>Toffy Home</v>
      </c>
      <c r="N323" t="str">
        <f>IFERROR(__xludf.DUMMYFUNCTION("""COMPUTED_VALUE"""),"Active")</f>
        <v>Active</v>
      </c>
      <c r="O323" t="str">
        <f>IFERROR(__xludf.DUMMYFUNCTION("""COMPUTED_VALUE"""),"Chinese Speaking")</f>
        <v>Chinese Speaking</v>
      </c>
      <c r="P323" s="143">
        <f>IFERROR(__xludf.DUMMYFUNCTION("""COMPUTED_VALUE"""),32263.0)</f>
        <v>32263</v>
      </c>
      <c r="Q323" s="146" t="str">
        <f>IFERROR(__xludf.DUMMYFUNCTION("""COMPUTED_VALUE"""),"094 229 5556")</f>
        <v>094 229 5556</v>
      </c>
      <c r="R323" s="147" t="str">
        <f>IFERROR(__xludf.DUMMYFUNCTION("""COMPUTED_VALUE"""),"1419900-15-6221")</f>
        <v>1419900-15-6221</v>
      </c>
      <c r="S323" t="str">
        <f>IFERROR(__xludf.DUMMYFUNCTION("""COMPUTED_VALUE"""),"AC7918887")</f>
        <v>AC7918887</v>
      </c>
      <c r="T323" s="148">
        <f>IFERROR(__xludf.DUMMYFUNCTION("""COMPUTED_VALUE"""),45664.0)</f>
        <v>45664</v>
      </c>
      <c r="U323" s="148">
        <f>IFERROR(__xludf.DUMMYFUNCTION("""COMPUTED_VALUE"""),49315.0)</f>
        <v>49315</v>
      </c>
      <c r="V323" s="149">
        <f>IFERROR(__xludf.DUMMYFUNCTION("""COMPUTED_VALUE"""),49131.0)</f>
        <v>49131</v>
      </c>
      <c r="W323" t="str">
        <f>IFERROR(__xludf.DUMMYFUNCTION("""COMPUTED_VALUE"""),"ปลอดภัย")</f>
        <v>ปลอดภัย</v>
      </c>
      <c r="X323" t="str">
        <f>IFERROR(__xludf.DUMMYFUNCTION("""COMPUTED_VALUE"""),"Udon Thani")</f>
        <v>Udon Thani</v>
      </c>
      <c r="Y323" t="str">
        <f>IFERROR(__xludf.DUMMYFUNCTION("""COMPUTED_VALUE"""),"Udonthani")</f>
        <v>Udonthani</v>
      </c>
      <c r="Z323" t="str">
        <f>IFERROR(__xludf.DUMMYFUNCTION("""COMPUTED_VALUE"""),"086 361 6224")</f>
        <v>086 361 6224</v>
      </c>
      <c r="AA323" t="str">
        <f>IFERROR(__xludf.DUMMYFUNCTION("""COMPUTED_VALUE"""),"Mother")</f>
        <v>Mother</v>
      </c>
      <c r="AB323" t="str">
        <f>IFERROR(__xludf.DUMMYFUNCTION("""COMPUTED_VALUE"""),"thanachaiw@airasia.com")</f>
        <v>thanachaiw@airasia.com</v>
      </c>
    </row>
    <row r="324">
      <c r="A324">
        <f>IFERROR(__xludf.DUMMYFUNCTION("""COMPUTED_VALUE"""),1006855.0)</f>
        <v>1006855</v>
      </c>
      <c r="B324" t="str">
        <f>IFERROR(__xludf.DUMMYFUNCTION("""COMPUTED_VALUE"""),"Mr.")</f>
        <v>Mr.</v>
      </c>
      <c r="C324" t="str">
        <f>IFERROR(__xludf.DUMMYFUNCTION("""COMPUTED_VALUE"""),"Theeraphon")</f>
        <v>Theeraphon</v>
      </c>
      <c r="D324" t="str">
        <f>IFERROR(__xludf.DUMMYFUNCTION("""COMPUTED_VALUE"""),"Porisutkun")</f>
        <v>Porisutkun</v>
      </c>
      <c r="E324" t="str">
        <f>IFERROR(__xludf.DUMMYFUNCTION("""COMPUTED_VALUE"""),"Theeraphon Porisutkun")</f>
        <v>Theeraphon Porisutkun</v>
      </c>
      <c r="F324" t="str">
        <f>IFERROR(__xludf.DUMMYFUNCTION("""COMPUTED_VALUE"""),"นาย")</f>
        <v>นาย</v>
      </c>
      <c r="G324" t="str">
        <f>IFERROR(__xludf.DUMMYFUNCTION("""COMPUTED_VALUE"""),"ธีรพล")</f>
        <v>ธีรพล</v>
      </c>
      <c r="H324" t="str">
        <f>IFERROR(__xludf.DUMMYFUNCTION("""COMPUTED_VALUE"""),"ปริสุทธิ์กุล")</f>
        <v>ปริสุทธิ์กุล</v>
      </c>
      <c r="I324" t="str">
        <f>IFERROR(__xludf.DUMMYFUNCTION("""COMPUTED_VALUE"""),"ธีรพล ปริสุทธิ์กุล")</f>
        <v>ธีรพล ปริสุทธิ์กุล</v>
      </c>
      <c r="J324" t="str">
        <f>IFERROR(__xludf.DUMMYFUNCTION("""COMPUTED_VALUE"""),"Boyd")</f>
        <v>Boyd</v>
      </c>
      <c r="K324" t="str">
        <f>IFERROR(__xludf.DUMMYFUNCTION("""COMPUTED_VALUE"""),"Senior Cabin Crew")</f>
        <v>Senior Cabin Crew</v>
      </c>
      <c r="L324" t="str">
        <f>IFERROR(__xludf.DUMMYFUNCTION("""COMPUTED_VALUE"""),"DMK")</f>
        <v>DMK</v>
      </c>
      <c r="M324" s="145" t="str">
        <f>IFERROR(__xludf.DUMMYFUNCTION("""COMPUTED_VALUE"""),"Por+ Home")</f>
        <v>Por+ Home</v>
      </c>
      <c r="N324" t="str">
        <f>IFERROR(__xludf.DUMMYFUNCTION("""COMPUTED_VALUE"""),"Active")</f>
        <v>Active</v>
      </c>
      <c r="O324" t="str">
        <f>IFERROR(__xludf.DUMMYFUNCTION("""COMPUTED_VALUE"""),"Chinese Speaking / SCC Line Checker 2025")</f>
        <v>Chinese Speaking / SCC Line Checker 2025</v>
      </c>
      <c r="P324" s="143">
        <f>IFERROR(__xludf.DUMMYFUNCTION("""COMPUTED_VALUE"""),32143.0)</f>
        <v>32143</v>
      </c>
      <c r="Q324" s="146" t="str">
        <f>IFERROR(__xludf.DUMMYFUNCTION("""COMPUTED_VALUE"""),"083 183 3359")</f>
        <v>083 183 3359</v>
      </c>
      <c r="R324" s="147" t="str">
        <f>IFERROR(__xludf.DUMMYFUNCTION("""COMPUTED_VALUE"""),"1909800-25-5419")</f>
        <v>1909800-25-5419</v>
      </c>
      <c r="S324" t="str">
        <f>IFERROR(__xludf.DUMMYFUNCTION("""COMPUTED_VALUE"""),"AC6145562")</f>
        <v>AC6145562</v>
      </c>
      <c r="T324" s="148">
        <f>IFERROR(__xludf.DUMMYFUNCTION("""COMPUTED_VALUE"""),45293.0)</f>
        <v>45293</v>
      </c>
      <c r="U324" s="148">
        <f>IFERROR(__xludf.DUMMYFUNCTION("""COMPUTED_VALUE"""),48945.0)</f>
        <v>48945</v>
      </c>
      <c r="V324" s="149">
        <f>IFERROR(__xludf.DUMMYFUNCTION("""COMPUTED_VALUE"""),48761.0)</f>
        <v>48761</v>
      </c>
      <c r="W324" t="str">
        <f>IFERROR(__xludf.DUMMYFUNCTION("""COMPUTED_VALUE"""),"ปลอดภัย")</f>
        <v>ปลอดภัย</v>
      </c>
      <c r="X324" t="str">
        <f>IFERROR(__xludf.DUMMYFUNCTION("""COMPUTED_VALUE"""),"Songkhla Province")</f>
        <v>Songkhla Province</v>
      </c>
      <c r="Y324" t="str">
        <f>IFERROR(__xludf.DUMMYFUNCTION("""COMPUTED_VALUE"""),"Klongsan")</f>
        <v>Klongsan</v>
      </c>
      <c r="Z324" t="str">
        <f>IFERROR(__xludf.DUMMYFUNCTION("""COMPUTED_VALUE"""),"089 466 1534")</f>
        <v>089 466 1534</v>
      </c>
      <c r="AA324" t="str">
        <f>IFERROR(__xludf.DUMMYFUNCTION("""COMPUTED_VALUE"""),"Father")</f>
        <v>Father</v>
      </c>
      <c r="AB324" t="str">
        <f>IFERROR(__xludf.DUMMYFUNCTION("""COMPUTED_VALUE"""),"theeraphonp@airasia.com")</f>
        <v>theeraphonp@airasia.com</v>
      </c>
    </row>
    <row r="325">
      <c r="AB325" t="str">
        <f>IFERROR(__xludf.DUMMYFUNCTION("""COMPUTED_VALUE"""),"")</f>
        <v/>
      </c>
    </row>
    <row r="326">
      <c r="A326">
        <f>IFERROR(__xludf.DUMMYFUNCTION("""COMPUTED_VALUE"""),1006870.0)</f>
        <v>1006870</v>
      </c>
      <c r="B326" t="str">
        <f>IFERROR(__xludf.DUMMYFUNCTION("""COMPUTED_VALUE"""),"Ms.")</f>
        <v>Ms.</v>
      </c>
      <c r="C326" t="str">
        <f>IFERROR(__xludf.DUMMYFUNCTION("""COMPUTED_VALUE"""),"Duangporn")</f>
        <v>Duangporn</v>
      </c>
      <c r="D326" t="str">
        <f>IFERROR(__xludf.DUMMYFUNCTION("""COMPUTED_VALUE"""),"Denkesineelam")</f>
        <v>Denkesineelam</v>
      </c>
      <c r="E326" t="str">
        <f>IFERROR(__xludf.DUMMYFUNCTION("""COMPUTED_VALUE"""),"Duangporn Denkesineelam")</f>
        <v>Duangporn Denkesineelam</v>
      </c>
      <c r="F326" t="str">
        <f>IFERROR(__xludf.DUMMYFUNCTION("""COMPUTED_VALUE"""),"นางสาว")</f>
        <v>นางสาว</v>
      </c>
      <c r="G326" t="str">
        <f>IFERROR(__xludf.DUMMYFUNCTION("""COMPUTED_VALUE"""),"ดวงพร")</f>
        <v>ดวงพร</v>
      </c>
      <c r="H326" t="str">
        <f>IFERROR(__xludf.DUMMYFUNCTION("""COMPUTED_VALUE"""),"เด่นเกศินีล้ำ")</f>
        <v>เด่นเกศินีล้ำ</v>
      </c>
      <c r="I326" t="str">
        <f>IFERROR(__xludf.DUMMYFUNCTION("""COMPUTED_VALUE"""),"ดวงพร เด่นเกศินีล้ำ")</f>
        <v>ดวงพร เด่นเกศินีล้ำ</v>
      </c>
      <c r="J326" t="str">
        <f>IFERROR(__xludf.DUMMYFUNCTION("""COMPUTED_VALUE"""),"ดวง")</f>
        <v>ดวง</v>
      </c>
      <c r="K326" t="str">
        <f>IFERROR(__xludf.DUMMYFUNCTION("""COMPUTED_VALUE"""),"Senior Cabin Crew")</f>
        <v>Senior Cabin Crew</v>
      </c>
      <c r="L326" t="str">
        <f>IFERROR(__xludf.DUMMYFUNCTION("""COMPUTED_VALUE"""),"DMK")</f>
        <v>DMK</v>
      </c>
      <c r="M326" s="145" t="str">
        <f>IFERROR(__xludf.DUMMYFUNCTION("""COMPUTED_VALUE"""),"Por+ Home")</f>
        <v>Por+ Home</v>
      </c>
      <c r="N326" t="str">
        <f>IFERROR(__xludf.DUMMYFUNCTION("""COMPUTED_VALUE"""),"Active")</f>
        <v>Active</v>
      </c>
      <c r="O326" t="str">
        <f>IFERROR(__xludf.DUMMYFUNCTION("""COMPUTED_VALUE"""),"Chinese Speaking")</f>
        <v>Chinese Speaking</v>
      </c>
      <c r="P326" s="151">
        <f>IFERROR(__xludf.DUMMYFUNCTION("""COMPUTED_VALUE"""),31190.0)</f>
        <v>31190</v>
      </c>
      <c r="Q326" s="146" t="str">
        <f>IFERROR(__xludf.DUMMYFUNCTION("""COMPUTED_VALUE"""),"061 362 9646")</f>
        <v>061 362 9646</v>
      </c>
      <c r="R326" s="147" t="str">
        <f>IFERROR(__xludf.DUMMYFUNCTION("""COMPUTED_VALUE"""),"2570700-00-1443")</f>
        <v>2570700-00-1443</v>
      </c>
      <c r="S326" t="str">
        <f>IFERROR(__xludf.DUMMYFUNCTION("""COMPUTED_VALUE"""),"AC2738280")</f>
        <v>AC2738280</v>
      </c>
      <c r="T326" s="148">
        <f>IFERROR(__xludf.DUMMYFUNCTION("""COMPUTED_VALUE"""),44481.0)</f>
        <v>44481</v>
      </c>
      <c r="U326" s="148">
        <f>IFERROR(__xludf.DUMMYFUNCTION("""COMPUTED_VALUE"""),48132.0)</f>
        <v>48132</v>
      </c>
      <c r="V326" s="149">
        <f>IFERROR(__xludf.DUMMYFUNCTION("""COMPUTED_VALUE"""),47949.0)</f>
        <v>47949</v>
      </c>
      <c r="W326" t="str">
        <f>IFERROR(__xludf.DUMMYFUNCTION("""COMPUTED_VALUE"""),"ปลอดภัย")</f>
        <v>ปลอดภัย</v>
      </c>
      <c r="X326" t="str">
        <f>IFERROR(__xludf.DUMMYFUNCTION("""COMPUTED_VALUE"""),"Chiang Rai Province")</f>
        <v>Chiang Rai Province</v>
      </c>
      <c r="Y326" t="str">
        <f>IFERROR(__xludf.DUMMYFUNCTION("""COMPUTED_VALUE"""),"Ladprao")</f>
        <v>Ladprao</v>
      </c>
      <c r="Z326" t="str">
        <f>IFERROR(__xludf.DUMMYFUNCTION("""COMPUTED_VALUE"""),"086 0563499")</f>
        <v>086 0563499</v>
      </c>
      <c r="AA326" t="str">
        <f>IFERROR(__xludf.DUMMYFUNCTION("""COMPUTED_VALUE"""),"พี่สาว")</f>
        <v>พี่สาว</v>
      </c>
      <c r="AB326" t="str">
        <f>IFERROR(__xludf.DUMMYFUNCTION("""COMPUTED_VALUE"""),"duangpornd@airasia.com")</f>
        <v>duangpornd@airasia.com</v>
      </c>
    </row>
    <row r="327">
      <c r="A327">
        <f>IFERROR(__xludf.DUMMYFUNCTION("""COMPUTED_VALUE"""),1006881.0)</f>
        <v>1006881</v>
      </c>
      <c r="B327" t="str">
        <f>IFERROR(__xludf.DUMMYFUNCTION("""COMPUTED_VALUE"""),"Mr.")</f>
        <v>Mr.</v>
      </c>
      <c r="C327" t="str">
        <f>IFERROR(__xludf.DUMMYFUNCTION("""COMPUTED_VALUE"""),"Krittrin")</f>
        <v>Krittrin</v>
      </c>
      <c r="D327" t="str">
        <f>IFERROR(__xludf.DUMMYFUNCTION("""COMPUTED_VALUE"""),"Harnphanphong")</f>
        <v>Harnphanphong</v>
      </c>
      <c r="E327" t="str">
        <f>IFERROR(__xludf.DUMMYFUNCTION("""COMPUTED_VALUE"""),"Krittrin Harnphanphong")</f>
        <v>Krittrin Harnphanphong</v>
      </c>
      <c r="F327" t="str">
        <f>IFERROR(__xludf.DUMMYFUNCTION("""COMPUTED_VALUE"""),"นาย")</f>
        <v>นาย</v>
      </c>
      <c r="G327" t="str">
        <f>IFERROR(__xludf.DUMMYFUNCTION("""COMPUTED_VALUE"""),"กฤตตฤณ")</f>
        <v>กฤตตฤณ</v>
      </c>
      <c r="H327" t="str">
        <f>IFERROR(__xludf.DUMMYFUNCTION("""COMPUTED_VALUE"""),"หาญพันธ์พงษ์")</f>
        <v>หาญพันธ์พงษ์</v>
      </c>
      <c r="I327" t="str">
        <f>IFERROR(__xludf.DUMMYFUNCTION("""COMPUTED_VALUE"""),"กฤตตฤณ หาญพันธ์พงษ์")</f>
        <v>กฤตตฤณ หาญพันธ์พงษ์</v>
      </c>
      <c r="J327" t="str">
        <f>IFERROR(__xludf.DUMMYFUNCTION("""COMPUTED_VALUE"""),"แตม")</f>
        <v>แตม</v>
      </c>
      <c r="K327" t="str">
        <f>IFERROR(__xludf.DUMMYFUNCTION("""COMPUTED_VALUE"""),"Cabin Crew")</f>
        <v>Cabin Crew</v>
      </c>
      <c r="L327" t="str">
        <f>IFERROR(__xludf.DUMMYFUNCTION("""COMPUTED_VALUE"""),"DMK")</f>
        <v>DMK</v>
      </c>
      <c r="M327" s="145" t="str">
        <f>IFERROR(__xludf.DUMMYFUNCTION("""COMPUTED_VALUE"""),"Um Home")</f>
        <v>Um Home</v>
      </c>
      <c r="N327" t="str">
        <f>IFERROR(__xludf.DUMMYFUNCTION("""COMPUTED_VALUE"""),"Active")</f>
        <v>Active</v>
      </c>
      <c r="O327" t="str">
        <f>IFERROR(__xludf.DUMMYFUNCTION("""COMPUTED_VALUE"""),"Chinese Speaking")</f>
        <v>Chinese Speaking</v>
      </c>
      <c r="P327" s="143">
        <f>IFERROR(__xludf.DUMMYFUNCTION("""COMPUTED_VALUE"""),32498.0)</f>
        <v>32498</v>
      </c>
      <c r="Q327" s="146" t="str">
        <f>IFERROR(__xludf.DUMMYFUNCTION("""COMPUTED_VALUE"""),"083 090 7097")</f>
        <v>083 090 7097</v>
      </c>
      <c r="R327" s="147" t="str">
        <f>IFERROR(__xludf.DUMMYFUNCTION("""COMPUTED_VALUE"""),"1101401-52-0399")</f>
        <v>1101401-52-0399</v>
      </c>
      <c r="S327" t="str">
        <f>IFERROR(__xludf.DUMMYFUNCTION("""COMPUTED_VALUE"""),"AD0724032")</f>
        <v>AD0724032</v>
      </c>
      <c r="T327" s="148">
        <f>IFERROR(__xludf.DUMMYFUNCTION("""COMPUTED_VALUE"""),44946.0)</f>
        <v>44946</v>
      </c>
      <c r="U327" s="148">
        <f>IFERROR(__xludf.DUMMYFUNCTION("""COMPUTED_VALUE"""),48598.0)</f>
        <v>48598</v>
      </c>
      <c r="V327" s="149">
        <f>IFERROR(__xludf.DUMMYFUNCTION("""COMPUTED_VALUE"""),48414.0)</f>
        <v>48414</v>
      </c>
      <c r="W327" t="str">
        <f>IFERROR(__xludf.DUMMYFUNCTION("""COMPUTED_VALUE"""),"ปลอดภัย")</f>
        <v>ปลอดภัย</v>
      </c>
      <c r="X327" t="str">
        <f>IFERROR(__xludf.DUMMYFUNCTION("""COMPUTED_VALUE"""),"Bangkok")</f>
        <v>Bangkok</v>
      </c>
      <c r="Y327" t="str">
        <f>IFERROR(__xludf.DUMMYFUNCTION("""COMPUTED_VALUE"""),"Saphansung")</f>
        <v>Saphansung</v>
      </c>
      <c r="Z327" t="str">
        <f>IFERROR(__xludf.DUMMYFUNCTION("""COMPUTED_VALUE"""),"082 955 6664")</f>
        <v>082 955 6664</v>
      </c>
      <c r="AA327" t="str">
        <f>IFERROR(__xludf.DUMMYFUNCTION("""COMPUTED_VALUE"""),"พี่ชาย")</f>
        <v>พี่ชาย</v>
      </c>
      <c r="AB327" t="str">
        <f>IFERROR(__xludf.DUMMYFUNCTION("""COMPUTED_VALUE"""),"krittrinh@airasia.com")</f>
        <v>krittrinh@airasia.com</v>
      </c>
    </row>
    <row r="328">
      <c r="A328">
        <f>IFERROR(__xludf.DUMMYFUNCTION("""COMPUTED_VALUE"""),1006897.0)</f>
        <v>1006897</v>
      </c>
      <c r="B328" t="str">
        <f>IFERROR(__xludf.DUMMYFUNCTION("""COMPUTED_VALUE"""),"Mr.")</f>
        <v>Mr.</v>
      </c>
      <c r="C328" t="str">
        <f>IFERROR(__xludf.DUMMYFUNCTION("""COMPUTED_VALUE"""),"Padejkarn")</f>
        <v>Padejkarn</v>
      </c>
      <c r="D328" t="str">
        <f>IFERROR(__xludf.DUMMYFUNCTION("""COMPUTED_VALUE"""),"Hanta")</f>
        <v>Hanta</v>
      </c>
      <c r="E328" t="str">
        <f>IFERROR(__xludf.DUMMYFUNCTION("""COMPUTED_VALUE"""),"Padejkarn Hanta")</f>
        <v>Padejkarn Hanta</v>
      </c>
      <c r="F328" t="str">
        <f>IFERROR(__xludf.DUMMYFUNCTION("""COMPUTED_VALUE"""),"นาย")</f>
        <v>นาย</v>
      </c>
      <c r="G328" t="str">
        <f>IFERROR(__xludf.DUMMYFUNCTION("""COMPUTED_VALUE"""),"เผด็จการ")</f>
        <v>เผด็จการ</v>
      </c>
      <c r="H328" t="str">
        <f>IFERROR(__xludf.DUMMYFUNCTION("""COMPUTED_VALUE"""),"หาญต๊ะ")</f>
        <v>หาญต๊ะ</v>
      </c>
      <c r="I328" t="str">
        <f>IFERROR(__xludf.DUMMYFUNCTION("""COMPUTED_VALUE"""),"เผด็จการ หาญต๊ะ")</f>
        <v>เผด็จการ หาญต๊ะ</v>
      </c>
      <c r="J328" t="str">
        <f>IFERROR(__xludf.DUMMYFUNCTION("""COMPUTED_VALUE"""),"สมาร์ท")</f>
        <v>สมาร์ท</v>
      </c>
      <c r="K328" t="str">
        <f>IFERROR(__xludf.DUMMYFUNCTION("""COMPUTED_VALUE"""),"Cabin Crew")</f>
        <v>Cabin Crew</v>
      </c>
      <c r="L328" t="str">
        <f>IFERROR(__xludf.DUMMYFUNCTION("""COMPUTED_VALUE"""),"DMK")</f>
        <v>DMK</v>
      </c>
      <c r="M328" s="145" t="str">
        <f>IFERROR(__xludf.DUMMYFUNCTION("""COMPUTED_VALUE"""),"Nhui Home")</f>
        <v>Nhui Home</v>
      </c>
      <c r="N328" t="str">
        <f>IFERROR(__xludf.DUMMYFUNCTION("""COMPUTED_VALUE"""),"V/LWP")</f>
        <v>V/LWP</v>
      </c>
      <c r="O328" t="str">
        <f>IFERROR(__xludf.DUMMYFUNCTION("""COMPUTED_VALUE"""),"Chinese Speaking")</f>
        <v>Chinese Speaking</v>
      </c>
      <c r="P328" s="143">
        <f>IFERROR(__xludf.DUMMYFUNCTION("""COMPUTED_VALUE"""),32780.0)</f>
        <v>32780</v>
      </c>
      <c r="Q328" s="146" t="str">
        <f>IFERROR(__xludf.DUMMYFUNCTION("""COMPUTED_VALUE"""),"097 132 2245")</f>
        <v>097 132 2245</v>
      </c>
      <c r="R328" s="147" t="str">
        <f>IFERROR(__xludf.DUMMYFUNCTION("""COMPUTED_VALUE"""),"1101401-80-8112")</f>
        <v>1101401-80-8112</v>
      </c>
      <c r="S328" t="str">
        <f>IFERROR(__xludf.DUMMYFUNCTION("""COMPUTED_VALUE"""),"AC4342826")</f>
        <v>AC4342826</v>
      </c>
      <c r="T328" s="148">
        <f>IFERROR(__xludf.DUMMYFUNCTION("""COMPUTED_VALUE"""),44936.0)</f>
        <v>44936</v>
      </c>
      <c r="U328" s="148">
        <f>IFERROR(__xludf.DUMMYFUNCTION("""COMPUTED_VALUE"""),48588.0)</f>
        <v>48588</v>
      </c>
      <c r="V328" s="149">
        <f>IFERROR(__xludf.DUMMYFUNCTION("""COMPUTED_VALUE"""),48404.0)</f>
        <v>48404</v>
      </c>
      <c r="W328" t="str">
        <f>IFERROR(__xludf.DUMMYFUNCTION("""COMPUTED_VALUE"""),"ปลอดภัย")</f>
        <v>ปลอดภัย</v>
      </c>
      <c r="X328" t="str">
        <f>IFERROR(__xludf.DUMMYFUNCTION("""COMPUTED_VALUE"""),"Bangkok")</f>
        <v>Bangkok</v>
      </c>
      <c r="Y328" t="str">
        <f>IFERROR(__xludf.DUMMYFUNCTION("""COMPUTED_VALUE"""),"Latkrabang")</f>
        <v>Latkrabang</v>
      </c>
      <c r="Z328" t="str">
        <f>IFERROR(__xludf.DUMMYFUNCTION("""COMPUTED_VALUE"""),"083 3025569")</f>
        <v>083 3025569</v>
      </c>
      <c r="AA328" t="str">
        <f>IFERROR(__xludf.DUMMYFUNCTION("""COMPUTED_VALUE"""),"แม่")</f>
        <v>แม่</v>
      </c>
      <c r="AB328" t="str">
        <f>IFERROR(__xludf.DUMMYFUNCTION("""COMPUTED_VALUE"""),"padejkarnh@airasia.com")</f>
        <v>padejkarnh@airasia.com</v>
      </c>
    </row>
    <row r="329">
      <c r="A329">
        <f>IFERROR(__xludf.DUMMYFUNCTION("""COMPUTED_VALUE"""),1006899.0)</f>
        <v>1006899</v>
      </c>
      <c r="B329" t="str">
        <f>IFERROR(__xludf.DUMMYFUNCTION("""COMPUTED_VALUE"""),"Ms.")</f>
        <v>Ms.</v>
      </c>
      <c r="C329" t="str">
        <f>IFERROR(__xludf.DUMMYFUNCTION("""COMPUTED_VALUE"""),"Phakchira")</f>
        <v>Phakchira</v>
      </c>
      <c r="D329" t="str">
        <f>IFERROR(__xludf.DUMMYFUNCTION("""COMPUTED_VALUE"""),"Charoensuk")</f>
        <v>Charoensuk</v>
      </c>
      <c r="E329" t="str">
        <f>IFERROR(__xludf.DUMMYFUNCTION("""COMPUTED_VALUE"""),"Phakchira Charoensuk")</f>
        <v>Phakchira Charoensuk</v>
      </c>
      <c r="F329" t="str">
        <f>IFERROR(__xludf.DUMMYFUNCTION("""COMPUTED_VALUE"""),"นางสาว")</f>
        <v>นางสาว</v>
      </c>
      <c r="G329" t="str">
        <f>IFERROR(__xludf.DUMMYFUNCTION("""COMPUTED_VALUE"""),"ภัคจิรา")</f>
        <v>ภัคจิรา</v>
      </c>
      <c r="H329" t="str">
        <f>IFERROR(__xludf.DUMMYFUNCTION("""COMPUTED_VALUE"""),"เจริญสุข")</f>
        <v>เจริญสุข</v>
      </c>
      <c r="I329" t="str">
        <f>IFERROR(__xludf.DUMMYFUNCTION("""COMPUTED_VALUE"""),"ภัคจิรา เจริญสุข")</f>
        <v>ภัคจิรา เจริญสุข</v>
      </c>
      <c r="J329" t="str">
        <f>IFERROR(__xludf.DUMMYFUNCTION("""COMPUTED_VALUE"""),"พลอย")</f>
        <v>พลอย</v>
      </c>
      <c r="K329" t="str">
        <f>IFERROR(__xludf.DUMMYFUNCTION("""COMPUTED_VALUE"""),"Cabin Crew")</f>
        <v>Cabin Crew</v>
      </c>
      <c r="L329" t="str">
        <f>IFERROR(__xludf.DUMMYFUNCTION("""COMPUTED_VALUE"""),"DMK")</f>
        <v>DMK</v>
      </c>
      <c r="M329" s="145" t="str">
        <f>IFERROR(__xludf.DUMMYFUNCTION("""COMPUTED_VALUE"""),"Um Home")</f>
        <v>Um Home</v>
      </c>
      <c r="N329" t="str">
        <f>IFERROR(__xludf.DUMMYFUNCTION("""COMPUTED_VALUE"""),"Active")</f>
        <v>Active</v>
      </c>
      <c r="O329" t="str">
        <f>IFERROR(__xludf.DUMMYFUNCTION("""COMPUTED_VALUE"""),"Chinese Speaking")</f>
        <v>Chinese Speaking</v>
      </c>
      <c r="P329" s="143">
        <f>IFERROR(__xludf.DUMMYFUNCTION("""COMPUTED_VALUE"""),32355.0)</f>
        <v>32355</v>
      </c>
      <c r="Q329" s="146" t="str">
        <f>IFERROR(__xludf.DUMMYFUNCTION("""COMPUTED_VALUE"""),"082 359 5329")</f>
        <v>082 359 5329</v>
      </c>
      <c r="R329" s="147" t="str">
        <f>IFERROR(__xludf.DUMMYFUNCTION("""COMPUTED_VALUE"""),"1200100-20-1772")</f>
        <v>1200100-20-1772</v>
      </c>
      <c r="S329" t="str">
        <f>IFERROR(__xludf.DUMMYFUNCTION("""COMPUTED_VALUE"""),"AC2880981")</f>
        <v>AC2880981</v>
      </c>
      <c r="T329" s="148">
        <f>IFERROR(__xludf.DUMMYFUNCTION("""COMPUTED_VALUE"""),44609.0)</f>
        <v>44609</v>
      </c>
      <c r="U329" s="148">
        <f>IFERROR(__xludf.DUMMYFUNCTION("""COMPUTED_VALUE"""),48260.0)</f>
        <v>48260</v>
      </c>
      <c r="V329" s="149">
        <f>IFERROR(__xludf.DUMMYFUNCTION("""COMPUTED_VALUE"""),48076.0)</f>
        <v>48076</v>
      </c>
      <c r="W329" t="str">
        <f>IFERROR(__xludf.DUMMYFUNCTION("""COMPUTED_VALUE"""),"ปลอดภัย")</f>
        <v>ปลอดภัย</v>
      </c>
      <c r="X329" t="str">
        <f>IFERROR(__xludf.DUMMYFUNCTION("""COMPUTED_VALUE"""),"Chonburi Province")</f>
        <v>Chonburi Province</v>
      </c>
      <c r="Y329" t="str">
        <f>IFERROR(__xludf.DUMMYFUNCTION("""COMPUTED_VALUE"""),"Chachoengsao")</f>
        <v>Chachoengsao</v>
      </c>
      <c r="Z329" t="str">
        <f>IFERROR(__xludf.DUMMYFUNCTION("""COMPUTED_VALUE"""),"081 590 3231")</f>
        <v>081 590 3231</v>
      </c>
      <c r="AA329" t="str">
        <f>IFERROR(__xludf.DUMMYFUNCTION("""COMPUTED_VALUE"""),"แม่")</f>
        <v>แม่</v>
      </c>
      <c r="AB329" t="str">
        <f>IFERROR(__xludf.DUMMYFUNCTION("""COMPUTED_VALUE"""),"phakchirac@airasia.com")</f>
        <v>phakchirac@airasia.com</v>
      </c>
    </row>
    <row r="330">
      <c r="A330">
        <f>IFERROR(__xludf.DUMMYFUNCTION("""COMPUTED_VALUE"""),1006900.0)</f>
        <v>1006900</v>
      </c>
      <c r="B330" t="str">
        <f>IFERROR(__xludf.DUMMYFUNCTION("""COMPUTED_VALUE"""),"Ms.")</f>
        <v>Ms.</v>
      </c>
      <c r="C330" t="str">
        <f>IFERROR(__xludf.DUMMYFUNCTION("""COMPUTED_VALUE"""),"Ratha")</f>
        <v>Ratha</v>
      </c>
      <c r="D330" t="str">
        <f>IFERROR(__xludf.DUMMYFUNCTION("""COMPUTED_VALUE"""),"Aphiworaphakin")</f>
        <v>Aphiworaphakin</v>
      </c>
      <c r="E330" t="str">
        <f>IFERROR(__xludf.DUMMYFUNCTION("""COMPUTED_VALUE"""),"Ratha Aphiworaphakin")</f>
        <v>Ratha Aphiworaphakin</v>
      </c>
      <c r="F330" t="str">
        <f>IFERROR(__xludf.DUMMYFUNCTION("""COMPUTED_VALUE"""),"นางสาว")</f>
        <v>นางสาว</v>
      </c>
      <c r="G330" t="str">
        <f>IFERROR(__xludf.DUMMYFUNCTION("""COMPUTED_VALUE"""),"รฐา")</f>
        <v>รฐา</v>
      </c>
      <c r="H330" t="str">
        <f>IFERROR(__xludf.DUMMYFUNCTION("""COMPUTED_VALUE"""),"อภิวรภาคิน")</f>
        <v>อภิวรภาคิน</v>
      </c>
      <c r="I330" t="str">
        <f>IFERROR(__xludf.DUMMYFUNCTION("""COMPUTED_VALUE"""),"รฐา อภิวรภาคิน")</f>
        <v>รฐา อภิวรภาคิน</v>
      </c>
      <c r="J330" t="str">
        <f>IFERROR(__xludf.DUMMYFUNCTION("""COMPUTED_VALUE"""),"อุ๋มอิ๋ม")</f>
        <v>อุ๋มอิ๋ม</v>
      </c>
      <c r="K330" t="str">
        <f>IFERROR(__xludf.DUMMYFUNCTION("""COMPUTED_VALUE"""),"Senior Cabin Crew - BKK")</f>
        <v>Senior Cabin Crew - BKK</v>
      </c>
      <c r="L330" t="str">
        <f>IFERROR(__xludf.DUMMYFUNCTION("""COMPUTED_VALUE"""),"BKK")</f>
        <v>BKK</v>
      </c>
      <c r="M330" s="145" t="str">
        <f>IFERROR(__xludf.DUMMYFUNCTION("""COMPUTED_VALUE"""),"Nhui Home")</f>
        <v>Nhui Home</v>
      </c>
      <c r="N330" t="str">
        <f>IFERROR(__xludf.DUMMYFUNCTION("""COMPUTED_VALUE"""),"Active")</f>
        <v>Active</v>
      </c>
      <c r="O330" t="str">
        <f>IFERROR(__xludf.DUMMYFUNCTION("""COMPUTED_VALUE"""),"Chinese Speaking")</f>
        <v>Chinese Speaking</v>
      </c>
      <c r="P330" s="143">
        <f>IFERROR(__xludf.DUMMYFUNCTION("""COMPUTED_VALUE"""),32786.0)</f>
        <v>32786</v>
      </c>
      <c r="Q330" s="146" t="str">
        <f>IFERROR(__xludf.DUMMYFUNCTION("""COMPUTED_VALUE"""),"081 954 4575")</f>
        <v>081 954 4575</v>
      </c>
      <c r="R330" s="147" t="str">
        <f>IFERROR(__xludf.DUMMYFUNCTION("""COMPUTED_VALUE"""),"154990-19-7112")</f>
        <v>154990-19-7112</v>
      </c>
      <c r="S330" t="str">
        <f>IFERROR(__xludf.DUMMYFUNCTION("""COMPUTED_VALUE"""),"AD1848462")</f>
        <v>AD1848462</v>
      </c>
      <c r="T330" s="148">
        <f>IFERROR(__xludf.DUMMYFUNCTION("""COMPUTED_VALUE"""),45474.0)</f>
        <v>45474</v>
      </c>
      <c r="U330" s="148">
        <f>IFERROR(__xludf.DUMMYFUNCTION("""COMPUTED_VALUE"""),49125.0)</f>
        <v>49125</v>
      </c>
      <c r="V330" s="149">
        <f>IFERROR(__xludf.DUMMYFUNCTION("""COMPUTED_VALUE"""),48943.0)</f>
        <v>48943</v>
      </c>
      <c r="W330" t="str">
        <f>IFERROR(__xludf.DUMMYFUNCTION("""COMPUTED_VALUE"""),"ปลอดภัย")</f>
        <v>ปลอดภัย</v>
      </c>
      <c r="X330" t="str">
        <f>IFERROR(__xludf.DUMMYFUNCTION("""COMPUTED_VALUE"""),"Phrae Province")</f>
        <v>Phrae Province</v>
      </c>
      <c r="Y330" t="str">
        <f>IFERROR(__xludf.DUMMYFUNCTION("""COMPUTED_VALUE"""),"Prachacheun")</f>
        <v>Prachacheun</v>
      </c>
      <c r="Z330" t="str">
        <f>IFERROR(__xludf.DUMMYFUNCTION("""COMPUTED_VALUE"""),"090 986 8666")</f>
        <v>090 986 8666</v>
      </c>
      <c r="AA330" t="str">
        <f>IFERROR(__xludf.DUMMYFUNCTION("""COMPUTED_VALUE"""),"พี่ชาย")</f>
        <v>พี่ชาย</v>
      </c>
      <c r="AB330" t="str">
        <f>IFERROR(__xludf.DUMMYFUNCTION("""COMPUTED_VALUE"""),"rathaa@airasia.com")</f>
        <v>rathaa@airasia.com</v>
      </c>
    </row>
    <row r="331">
      <c r="A331">
        <f>IFERROR(__xludf.DUMMYFUNCTION("""COMPUTED_VALUE"""),1006905.0)</f>
        <v>1006905</v>
      </c>
      <c r="B331" t="str">
        <f>IFERROR(__xludf.DUMMYFUNCTION("""COMPUTED_VALUE"""),"Ms.")</f>
        <v>Ms.</v>
      </c>
      <c r="C331" t="str">
        <f>IFERROR(__xludf.DUMMYFUNCTION("""COMPUTED_VALUE"""),"Thanyaluck")</f>
        <v>Thanyaluck</v>
      </c>
      <c r="D331" t="str">
        <f>IFERROR(__xludf.DUMMYFUNCTION("""COMPUTED_VALUE"""),"Wongkittivech")</f>
        <v>Wongkittivech</v>
      </c>
      <c r="E331" t="str">
        <f>IFERROR(__xludf.DUMMYFUNCTION("""COMPUTED_VALUE"""),"Thanyaluck Wongkittivech")</f>
        <v>Thanyaluck Wongkittivech</v>
      </c>
      <c r="F331" t="str">
        <f>IFERROR(__xludf.DUMMYFUNCTION("""COMPUTED_VALUE"""),"นางสาว")</f>
        <v>นางสาว</v>
      </c>
      <c r="G331" t="str">
        <f>IFERROR(__xludf.DUMMYFUNCTION("""COMPUTED_VALUE"""),"ธัญลักษณ์")</f>
        <v>ธัญลักษณ์</v>
      </c>
      <c r="H331" t="str">
        <f>IFERROR(__xludf.DUMMYFUNCTION("""COMPUTED_VALUE"""),"วงศ์กิตติเวช")</f>
        <v>วงศ์กิตติเวช</v>
      </c>
      <c r="I331" t="str">
        <f>IFERROR(__xludf.DUMMYFUNCTION("""COMPUTED_VALUE"""),"ธัญลักษณ์ วงศ์กิตติเวช")</f>
        <v>ธัญลักษณ์ วงศ์กิตติเวช</v>
      </c>
      <c r="J331" t="str">
        <f>IFERROR(__xludf.DUMMYFUNCTION("""COMPUTED_VALUE"""),"ฝน")</f>
        <v>ฝน</v>
      </c>
      <c r="K331" t="str">
        <f>IFERROR(__xludf.DUMMYFUNCTION("""COMPUTED_VALUE"""),"Cabin Crew")</f>
        <v>Cabin Crew</v>
      </c>
      <c r="L331" t="str">
        <f>IFERROR(__xludf.DUMMYFUNCTION("""COMPUTED_VALUE"""),"DMK")</f>
        <v>DMK</v>
      </c>
      <c r="M331" s="145" t="str">
        <f>IFERROR(__xludf.DUMMYFUNCTION("""COMPUTED_VALUE"""),"Namfon Home")</f>
        <v>Namfon Home</v>
      </c>
      <c r="N331" t="str">
        <f>IFERROR(__xludf.DUMMYFUNCTION("""COMPUTED_VALUE"""),"Active")</f>
        <v>Active</v>
      </c>
      <c r="O331" t="str">
        <f>IFERROR(__xludf.DUMMYFUNCTION("""COMPUTED_VALUE"""),"Chinese Speaking")</f>
        <v>Chinese Speaking</v>
      </c>
      <c r="P331" s="143">
        <f>IFERROR(__xludf.DUMMYFUNCTION("""COMPUTED_VALUE"""),31936.0)</f>
        <v>31936</v>
      </c>
      <c r="Q331" s="146" t="str">
        <f>IFERROR(__xludf.DUMMYFUNCTION("""COMPUTED_VALUE"""),"089 799 5166")</f>
        <v>089 799 5166</v>
      </c>
      <c r="R331" s="147" t="str">
        <f>IFERROR(__xludf.DUMMYFUNCTION("""COMPUTED_VALUE"""),"1100400-26-9179")</f>
        <v>1100400-26-9179</v>
      </c>
      <c r="S331" t="str">
        <f>IFERROR(__xludf.DUMMYFUNCTION("""COMPUTED_VALUE"""),"AC6573002")</f>
        <v>AC6573002</v>
      </c>
      <c r="T331" s="148">
        <f>IFERROR(__xludf.DUMMYFUNCTION("""COMPUTED_VALUE"""),45383.0)</f>
        <v>45383</v>
      </c>
      <c r="U331" s="148">
        <f>IFERROR(__xludf.DUMMYFUNCTION("""COMPUTED_VALUE"""),49034.0)</f>
        <v>49034</v>
      </c>
      <c r="V331" s="149">
        <f>IFERROR(__xludf.DUMMYFUNCTION("""COMPUTED_VALUE"""),48852.0)</f>
        <v>48852</v>
      </c>
      <c r="W331" t="str">
        <f>IFERROR(__xludf.DUMMYFUNCTION("""COMPUTED_VALUE"""),"ปลอดภัย")</f>
        <v>ปลอดภัย</v>
      </c>
      <c r="X331" t="str">
        <f>IFERROR(__xludf.DUMMYFUNCTION("""COMPUTED_VALUE"""),"Bangkok")</f>
        <v>Bangkok</v>
      </c>
      <c r="Y331" t="str">
        <f>IFERROR(__xludf.DUMMYFUNCTION("""COMPUTED_VALUE"""),"Pravet")</f>
        <v>Pravet</v>
      </c>
      <c r="Z331" t="str">
        <f>IFERROR(__xludf.DUMMYFUNCTION("""COMPUTED_VALUE"""),"081 778 1236")</f>
        <v>081 778 1236</v>
      </c>
      <c r="AA331" t="str">
        <f>IFERROR(__xludf.DUMMYFUNCTION("""COMPUTED_VALUE"""),"พี่ชาย")</f>
        <v>พี่ชาย</v>
      </c>
      <c r="AB331" t="str">
        <f>IFERROR(__xludf.DUMMYFUNCTION("""COMPUTED_VALUE"""),"thanyaluckw@airasia.com")</f>
        <v>thanyaluckw@airasia.com</v>
      </c>
    </row>
    <row r="332">
      <c r="A332">
        <f>IFERROR(__xludf.DUMMYFUNCTION("""COMPUTED_VALUE"""),1006911.0)</f>
        <v>1006911</v>
      </c>
      <c r="B332" t="str">
        <f>IFERROR(__xludf.DUMMYFUNCTION("""COMPUTED_VALUE"""),"Mr.")</f>
        <v>Mr.</v>
      </c>
      <c r="C332" t="str">
        <f>IFERROR(__xludf.DUMMYFUNCTION("""COMPUTED_VALUE"""),"Yuttana")</f>
        <v>Yuttana</v>
      </c>
      <c r="D332" t="str">
        <f>IFERROR(__xludf.DUMMYFUNCTION("""COMPUTED_VALUE"""),"Chintanapatumporn")</f>
        <v>Chintanapatumporn</v>
      </c>
      <c r="E332" t="str">
        <f>IFERROR(__xludf.DUMMYFUNCTION("""COMPUTED_VALUE"""),"Yuttana Chintanapatumporn")</f>
        <v>Yuttana Chintanapatumporn</v>
      </c>
      <c r="F332" t="str">
        <f>IFERROR(__xludf.DUMMYFUNCTION("""COMPUTED_VALUE"""),"นาย")</f>
        <v>นาย</v>
      </c>
      <c r="G332" t="str">
        <f>IFERROR(__xludf.DUMMYFUNCTION("""COMPUTED_VALUE"""),"ยุทธนา")</f>
        <v>ยุทธนา</v>
      </c>
      <c r="H332" t="str">
        <f>IFERROR(__xludf.DUMMYFUNCTION("""COMPUTED_VALUE"""),"ฉินธนะปทุมพร")</f>
        <v>ฉินธนะปทุมพร</v>
      </c>
      <c r="I332" t="str">
        <f>IFERROR(__xludf.DUMMYFUNCTION("""COMPUTED_VALUE"""),"ยุทธนา ฉินธนะปทุมพร")</f>
        <v>ยุทธนา ฉินธนะปทุมพร</v>
      </c>
      <c r="J332" t="str">
        <f>IFERROR(__xludf.DUMMYFUNCTION("""COMPUTED_VALUE"""),"แบงค์")</f>
        <v>แบงค์</v>
      </c>
      <c r="K332" t="str">
        <f>IFERROR(__xludf.DUMMYFUNCTION("""COMPUTED_VALUE"""),"Cabin Crew")</f>
        <v>Cabin Crew</v>
      </c>
      <c r="L332" t="str">
        <f>IFERROR(__xludf.DUMMYFUNCTION("""COMPUTED_VALUE"""),"DMK")</f>
        <v>DMK</v>
      </c>
      <c r="M332" s="145" t="str">
        <f>IFERROR(__xludf.DUMMYFUNCTION("""COMPUTED_VALUE"""),"Um Home")</f>
        <v>Um Home</v>
      </c>
      <c r="N332" t="str">
        <f>IFERROR(__xludf.DUMMYFUNCTION("""COMPUTED_VALUE"""),"Active")</f>
        <v>Active</v>
      </c>
      <c r="O332" t="str">
        <f>IFERROR(__xludf.DUMMYFUNCTION("""COMPUTED_VALUE"""),"Chinese Speaking")</f>
        <v>Chinese Speaking</v>
      </c>
      <c r="P332" s="143">
        <f>IFERROR(__xludf.DUMMYFUNCTION("""COMPUTED_VALUE"""),31507.0)</f>
        <v>31507</v>
      </c>
      <c r="Q332" s="146" t="str">
        <f>IFERROR(__xludf.DUMMYFUNCTION("""COMPUTED_VALUE"""),"095 659 1532")</f>
        <v>095 659 1532</v>
      </c>
      <c r="R332" s="147" t="str">
        <f>IFERROR(__xludf.DUMMYFUNCTION("""COMPUTED_VALUE"""),"1100400-20-0098")</f>
        <v>1100400-20-0098</v>
      </c>
      <c r="S332" t="str">
        <f>IFERROR(__xludf.DUMMYFUNCTION("""COMPUTED_VALUE"""),"AC7500926")</f>
        <v>AC7500926</v>
      </c>
      <c r="T332" s="148">
        <f>IFERROR(__xludf.DUMMYFUNCTION("""COMPUTED_VALUE"""),45530.0)</f>
        <v>45530</v>
      </c>
      <c r="U332" s="148">
        <f>IFERROR(__xludf.DUMMYFUNCTION("""COMPUTED_VALUE"""),49181.0)</f>
        <v>49181</v>
      </c>
      <c r="V332" s="149">
        <f>IFERROR(__xludf.DUMMYFUNCTION("""COMPUTED_VALUE"""),49000.0)</f>
        <v>49000</v>
      </c>
      <c r="W332" t="str">
        <f>IFERROR(__xludf.DUMMYFUNCTION("""COMPUTED_VALUE"""),"ปลอดภัย")</f>
        <v>ปลอดภัย</v>
      </c>
      <c r="X332" t="str">
        <f>IFERROR(__xludf.DUMMYFUNCTION("""COMPUTED_VALUE"""),"Bangkok")</f>
        <v>Bangkok</v>
      </c>
      <c r="Y332" t="str">
        <f>IFERROR(__xludf.DUMMYFUNCTION("""COMPUTED_VALUE"""),"Nakornchaisri")</f>
        <v>Nakornchaisri</v>
      </c>
      <c r="Z332" t="str">
        <f>IFERROR(__xludf.DUMMYFUNCTION("""COMPUTED_VALUE"""),"089 829 2183")</f>
        <v>089 829 2183</v>
      </c>
      <c r="AA332" t="str">
        <f>IFERROR(__xludf.DUMMYFUNCTION("""COMPUTED_VALUE"""),"แม่")</f>
        <v>แม่</v>
      </c>
      <c r="AB332" t="str">
        <f>IFERROR(__xludf.DUMMYFUNCTION("""COMPUTED_VALUE"""),"yuttanac@airasia.com")</f>
        <v>yuttanac@airasia.com</v>
      </c>
    </row>
    <row r="333">
      <c r="AB333" t="str">
        <f>IFERROR(__xludf.DUMMYFUNCTION("""COMPUTED_VALUE"""),"")</f>
        <v/>
      </c>
    </row>
    <row r="334">
      <c r="A334">
        <f>IFERROR(__xludf.DUMMYFUNCTION("""COMPUTED_VALUE"""),1006987.0)</f>
        <v>1006987</v>
      </c>
      <c r="B334" t="str">
        <f>IFERROR(__xludf.DUMMYFUNCTION("""COMPUTED_VALUE"""),"Mrs.")</f>
        <v>Mrs.</v>
      </c>
      <c r="C334" t="str">
        <f>IFERROR(__xludf.DUMMYFUNCTION("""COMPUTED_VALUE"""),"Ailada")</f>
        <v>Ailada</v>
      </c>
      <c r="D334" t="str">
        <f>IFERROR(__xludf.DUMMYFUNCTION("""COMPUTED_VALUE"""),"Arjsiri (Yindeepop)")</f>
        <v>Arjsiri (Yindeepop)</v>
      </c>
      <c r="E334" t="str">
        <f>IFERROR(__xludf.DUMMYFUNCTION("""COMPUTED_VALUE"""),"Ailada Arjsiri")</f>
        <v>Ailada Arjsiri</v>
      </c>
      <c r="F334" t="str">
        <f>IFERROR(__xludf.DUMMYFUNCTION("""COMPUTED_VALUE"""),"นาง")</f>
        <v>นาง</v>
      </c>
      <c r="G334" t="str">
        <f>IFERROR(__xludf.DUMMYFUNCTION("""COMPUTED_VALUE"""),"ไอลดา")</f>
        <v>ไอลดา</v>
      </c>
      <c r="H334" t="str">
        <f>IFERROR(__xludf.DUMMYFUNCTION("""COMPUTED_VALUE"""),"อาจศิริ (ยินดีภพ)")</f>
        <v>อาจศิริ (ยินดีภพ)</v>
      </c>
      <c r="I334" t="str">
        <f>IFERROR(__xludf.DUMMYFUNCTION("""COMPUTED_VALUE"""),"ไอลดา อาจศิริ")</f>
        <v>ไอลดา อาจศิริ</v>
      </c>
      <c r="J334" t="str">
        <f>IFERROR(__xludf.DUMMYFUNCTION("""COMPUTED_VALUE"""),"Mint")</f>
        <v>Mint</v>
      </c>
      <c r="K334" t="str">
        <f>IFERROR(__xludf.DUMMYFUNCTION("""COMPUTED_VALUE"""),"Senior Cabin Crew")</f>
        <v>Senior Cabin Crew</v>
      </c>
      <c r="L334" t="str">
        <f>IFERROR(__xludf.DUMMYFUNCTION("""COMPUTED_VALUE"""),"DMK")</f>
        <v>DMK</v>
      </c>
      <c r="M334" s="145" t="str">
        <f>IFERROR(__xludf.DUMMYFUNCTION("""COMPUTED_VALUE"""),"Up Home")</f>
        <v>Up Home</v>
      </c>
      <c r="N334" t="str">
        <f>IFERROR(__xludf.DUMMYFUNCTION("""COMPUTED_VALUE"""),"Active")</f>
        <v>Active</v>
      </c>
      <c r="P334" s="143">
        <f>IFERROR(__xludf.DUMMYFUNCTION("""COMPUTED_VALUE"""),32257.0)</f>
        <v>32257</v>
      </c>
      <c r="Q334" s="146" t="str">
        <f>IFERROR(__xludf.DUMMYFUNCTION("""COMPUTED_VALUE"""),"084 025 7039")</f>
        <v>084 025 7039</v>
      </c>
      <c r="R334" s="147" t="str">
        <f>IFERROR(__xludf.DUMMYFUNCTION("""COMPUTED_VALUE"""),"1529900-29-2212")</f>
        <v>1529900-29-2212</v>
      </c>
      <c r="S334" t="str">
        <f>IFERROR(__xludf.DUMMYFUNCTION("""COMPUTED_VALUE"""),"AC2224845")</f>
        <v>AC2224845</v>
      </c>
      <c r="T334" s="148">
        <f>IFERROR(__xludf.DUMMYFUNCTION("""COMPUTED_VALUE"""),44274.0)</f>
        <v>44274</v>
      </c>
      <c r="U334" s="148">
        <f>IFERROR(__xludf.DUMMYFUNCTION("""COMPUTED_VALUE"""),47925.0)</f>
        <v>47925</v>
      </c>
      <c r="V334" s="149">
        <f>IFERROR(__xludf.DUMMYFUNCTION("""COMPUTED_VALUE"""),47744.0)</f>
        <v>47744</v>
      </c>
      <c r="W334" t="str">
        <f>IFERROR(__xludf.DUMMYFUNCTION("""COMPUTED_VALUE"""),"ปลอดภัย")</f>
        <v>ปลอดภัย</v>
      </c>
      <c r="X334" t="str">
        <f>IFERROR(__xludf.DUMMYFUNCTION("""COMPUTED_VALUE"""),"Lampang Province")</f>
        <v>Lampang Province</v>
      </c>
      <c r="Y334" t="str">
        <f>IFERROR(__xludf.DUMMYFUNCTION("""COMPUTED_VALUE"""),"Chacheang Chao")</f>
        <v>Chacheang Chao</v>
      </c>
      <c r="Z334" t="str">
        <f>IFERROR(__xludf.DUMMYFUNCTION("""COMPUTED_VALUE"""),"038 570 139 / 081 863 6856")</f>
        <v>038 570 139 / 081 863 6856</v>
      </c>
      <c r="AA334" t="str">
        <f>IFERROR(__xludf.DUMMYFUNCTION("""COMPUTED_VALUE"""),"Home / Mother")</f>
        <v>Home / Mother</v>
      </c>
      <c r="AB334" t="str">
        <f>IFERROR(__xludf.DUMMYFUNCTION("""COMPUTED_VALUE"""),"ailadaa@airasia.com")</f>
        <v>ailadaa@airasia.com</v>
      </c>
    </row>
    <row r="335">
      <c r="A335">
        <f>IFERROR(__xludf.DUMMYFUNCTION("""COMPUTED_VALUE"""),1006988.0)</f>
        <v>1006988</v>
      </c>
      <c r="B335" t="str">
        <f>IFERROR(__xludf.DUMMYFUNCTION("""COMPUTED_VALUE"""),"Ms.")</f>
        <v>Ms.</v>
      </c>
      <c r="C335" t="str">
        <f>IFERROR(__xludf.DUMMYFUNCTION("""COMPUTED_VALUE"""),"Akira")</f>
        <v>Akira</v>
      </c>
      <c r="D335" t="str">
        <f>IFERROR(__xludf.DUMMYFUNCTION("""COMPUTED_VALUE"""),"Amornwong")</f>
        <v>Amornwong</v>
      </c>
      <c r="E335" t="str">
        <f>IFERROR(__xludf.DUMMYFUNCTION("""COMPUTED_VALUE"""),"Akira Amornwong")</f>
        <v>Akira Amornwong</v>
      </c>
      <c r="F335" t="str">
        <f>IFERROR(__xludf.DUMMYFUNCTION("""COMPUTED_VALUE"""),"นางสาว")</f>
        <v>นางสาว</v>
      </c>
      <c r="G335" t="str">
        <f>IFERROR(__xludf.DUMMYFUNCTION("""COMPUTED_VALUE"""),"อาคิรา")</f>
        <v>อาคิรา</v>
      </c>
      <c r="H335" t="str">
        <f>IFERROR(__xludf.DUMMYFUNCTION("""COMPUTED_VALUE"""),"อมรวงค์")</f>
        <v>อมรวงค์</v>
      </c>
      <c r="I335" t="str">
        <f>IFERROR(__xludf.DUMMYFUNCTION("""COMPUTED_VALUE"""),"อาคิรา อมรวงค์")</f>
        <v>อาคิรา อมรวงค์</v>
      </c>
      <c r="J335" t="str">
        <f>IFERROR(__xludf.DUMMYFUNCTION("""COMPUTED_VALUE"""),"พลอย")</f>
        <v>พลอย</v>
      </c>
      <c r="K335" t="str">
        <f>IFERROR(__xludf.DUMMYFUNCTION("""COMPUTED_VALUE"""),"Cabin Crew")</f>
        <v>Cabin Crew</v>
      </c>
      <c r="L335" t="str">
        <f>IFERROR(__xludf.DUMMYFUNCTION("""COMPUTED_VALUE"""),"DMK")</f>
        <v>DMK</v>
      </c>
      <c r="M335" s="145" t="str">
        <f>IFERROR(__xludf.DUMMYFUNCTION("""COMPUTED_VALUE"""),"Toffy Home")</f>
        <v>Toffy Home</v>
      </c>
      <c r="N335" t="str">
        <f>IFERROR(__xludf.DUMMYFUNCTION("""COMPUTED_VALUE"""),"Active")</f>
        <v>Active</v>
      </c>
      <c r="P335" s="143">
        <f>IFERROR(__xludf.DUMMYFUNCTION("""COMPUTED_VALUE"""),31481.0)</f>
        <v>31481</v>
      </c>
      <c r="Q335" s="146" t="str">
        <f>IFERROR(__xludf.DUMMYFUNCTION("""COMPUTED_VALUE"""),"089 106 9657")</f>
        <v>089 106 9657</v>
      </c>
      <c r="R335" s="147" t="str">
        <f>IFERROR(__xludf.DUMMYFUNCTION("""COMPUTED_VALUE"""),"100800-24-4076")</f>
        <v>100800-24-4076</v>
      </c>
      <c r="S335" t="str">
        <f>IFERROR(__xludf.DUMMYFUNCTION("""COMPUTED_VALUE"""),"AD1401086")</f>
        <v>AD1401086</v>
      </c>
      <c r="T335" s="148">
        <f>IFERROR(__xludf.DUMMYFUNCTION("""COMPUTED_VALUE"""),45238.0)</f>
        <v>45238</v>
      </c>
      <c r="U335" s="148">
        <f>IFERROR(__xludf.DUMMYFUNCTION("""COMPUTED_VALUE"""),48890.0)</f>
        <v>48890</v>
      </c>
      <c r="V335" s="149">
        <f>IFERROR(__xludf.DUMMYFUNCTION("""COMPUTED_VALUE"""),48706.0)</f>
        <v>48706</v>
      </c>
      <c r="W335" t="str">
        <f>IFERROR(__xludf.DUMMYFUNCTION("""COMPUTED_VALUE"""),"ปลอดภัย")</f>
        <v>ปลอดภัย</v>
      </c>
      <c r="X335" t="str">
        <f>IFERROR(__xludf.DUMMYFUNCTION("""COMPUTED_VALUE"""),"Bangkok")</f>
        <v>Bangkok</v>
      </c>
      <c r="Y335" t="str">
        <f>IFERROR(__xludf.DUMMYFUNCTION("""COMPUTED_VALUE"""),"Thunkru")</f>
        <v>Thunkru</v>
      </c>
      <c r="Z335" t="str">
        <f>IFERROR(__xludf.DUMMYFUNCTION("""COMPUTED_VALUE"""),"086 999 0767")</f>
        <v>086 999 0767</v>
      </c>
      <c r="AA335" t="str">
        <f>IFERROR(__xludf.DUMMYFUNCTION("""COMPUTED_VALUE"""),"Aunt")</f>
        <v>Aunt</v>
      </c>
      <c r="AB335" t="str">
        <f>IFERROR(__xludf.DUMMYFUNCTION("""COMPUTED_VALUE"""),"akiraa@airasia.com")</f>
        <v>akiraa@airasia.com</v>
      </c>
    </row>
    <row r="336">
      <c r="A336">
        <f>IFERROR(__xludf.DUMMYFUNCTION("""COMPUTED_VALUE"""),1006989.0)</f>
        <v>1006989</v>
      </c>
      <c r="B336" t="str">
        <f>IFERROR(__xludf.DUMMYFUNCTION("""COMPUTED_VALUE"""),"Ms.")</f>
        <v>Ms.</v>
      </c>
      <c r="C336" t="str">
        <f>IFERROR(__xludf.DUMMYFUNCTION("""COMPUTED_VALUE"""),"Pimlawee (Benjamaporn)")</f>
        <v>Pimlawee (Benjamaporn)</v>
      </c>
      <c r="D336" t="str">
        <f>IFERROR(__xludf.DUMMYFUNCTION("""COMPUTED_VALUE"""),"Unn-A-Nant")</f>
        <v>Unn-A-Nant</v>
      </c>
      <c r="E336" t="str">
        <f>IFERROR(__xludf.DUMMYFUNCTION("""COMPUTED_VALUE"""),"Pimlawee Unn-A-Nant")</f>
        <v>Pimlawee Unn-A-Nant</v>
      </c>
      <c r="F336" t="str">
        <f>IFERROR(__xludf.DUMMYFUNCTION("""COMPUTED_VALUE"""),"นางสาว")</f>
        <v>นางสาว</v>
      </c>
      <c r="G336" t="str">
        <f>IFERROR(__xludf.DUMMYFUNCTION("""COMPUTED_VALUE"""),"พิมพ์ฬวีร์ (เบญจมาภรณ์)")</f>
        <v>พิมพ์ฬวีร์ (เบญจมาภรณ์)</v>
      </c>
      <c r="H336" t="str">
        <f>IFERROR(__xludf.DUMMYFUNCTION("""COMPUTED_VALUE"""),"อุณอนันต์")</f>
        <v>อุณอนันต์</v>
      </c>
      <c r="I336" t="str">
        <f>IFERROR(__xludf.DUMMYFUNCTION("""COMPUTED_VALUE"""),"พิมพ์ฬวีร์ อุณอนันต์")</f>
        <v>พิมพ์ฬวีร์ อุณอนันต์</v>
      </c>
      <c r="J336" t="str">
        <f>IFERROR(__xludf.DUMMYFUNCTION("""COMPUTED_VALUE"""),"แพร")</f>
        <v>แพร</v>
      </c>
      <c r="K336" t="str">
        <f>IFERROR(__xludf.DUMMYFUNCTION("""COMPUTED_VALUE"""),"Cabin Crew")</f>
        <v>Cabin Crew</v>
      </c>
      <c r="L336" t="str">
        <f>IFERROR(__xludf.DUMMYFUNCTION("""COMPUTED_VALUE"""),"DMK")</f>
        <v>DMK</v>
      </c>
      <c r="M336" s="145" t="str">
        <f>IFERROR(__xludf.DUMMYFUNCTION("""COMPUTED_VALUE"""),"Namfon Home")</f>
        <v>Namfon Home</v>
      </c>
      <c r="N336" t="str">
        <f>IFERROR(__xludf.DUMMYFUNCTION("""COMPUTED_VALUE"""),"Active")</f>
        <v>Active</v>
      </c>
      <c r="O336" t="str">
        <f>IFERROR(__xludf.DUMMYFUNCTION("""COMPUTED_VALUE"""),"Chinese Speaking")</f>
        <v>Chinese Speaking</v>
      </c>
      <c r="P336" s="143">
        <f>IFERROR(__xludf.DUMMYFUNCTION("""COMPUTED_VALUE"""),32639.0)</f>
        <v>32639</v>
      </c>
      <c r="Q336" s="146" t="str">
        <f>IFERROR(__xludf.DUMMYFUNCTION("""COMPUTED_VALUE"""),"086 659 0922")</f>
        <v>086 659 0922</v>
      </c>
      <c r="R336" s="147" t="str">
        <f>IFERROR(__xludf.DUMMYFUNCTION("""COMPUTED_VALUE"""),"1101401-64-9006")</f>
        <v>1101401-64-9006</v>
      </c>
      <c r="S336" t="str">
        <f>IFERROR(__xludf.DUMMYFUNCTION("""COMPUTED_VALUE"""),"AD2383749")</f>
        <v>AD2383749</v>
      </c>
      <c r="T336" s="148">
        <f>IFERROR(__xludf.DUMMYFUNCTION("""COMPUTED_VALUE"""),45685.0)</f>
        <v>45685</v>
      </c>
      <c r="U336" s="148">
        <f>IFERROR(__xludf.DUMMYFUNCTION("""COMPUTED_VALUE"""),49336.0)</f>
        <v>49336</v>
      </c>
      <c r="V336" s="149">
        <f>IFERROR(__xludf.DUMMYFUNCTION("""COMPUTED_VALUE"""),49152.0)</f>
        <v>49152</v>
      </c>
      <c r="W336" t="str">
        <f>IFERROR(__xludf.DUMMYFUNCTION("""COMPUTED_VALUE"""),"ปลอดภัย")</f>
        <v>ปลอดภัย</v>
      </c>
      <c r="X336" t="str">
        <f>IFERROR(__xludf.DUMMYFUNCTION("""COMPUTED_VALUE"""),"Bangkok")</f>
        <v>Bangkok</v>
      </c>
      <c r="Y336" t="str">
        <f>IFERROR(__xludf.DUMMYFUNCTION("""COMPUTED_VALUE"""),"Saimai")</f>
        <v>Saimai</v>
      </c>
      <c r="Z336" t="str">
        <f>IFERROR(__xludf.DUMMYFUNCTION("""COMPUTED_VALUE"""),"02 900 7097 / 081 889 2532")</f>
        <v>02 900 7097 / 081 889 2532</v>
      </c>
      <c r="AA336" t="str">
        <f>IFERROR(__xludf.DUMMYFUNCTION("""COMPUTED_VALUE"""),"Home / Brother")</f>
        <v>Home / Brother</v>
      </c>
      <c r="AB336" t="str">
        <f>IFERROR(__xludf.DUMMYFUNCTION("""COMPUTED_VALUE"""),"pimlaweeunn@airasia.com")</f>
        <v>pimlaweeunn@airasia.com</v>
      </c>
    </row>
    <row r="337">
      <c r="A337">
        <f>IFERROR(__xludf.DUMMYFUNCTION("""COMPUTED_VALUE"""),1006991.0)</f>
        <v>1006991</v>
      </c>
      <c r="B337" t="str">
        <f>IFERROR(__xludf.DUMMYFUNCTION("""COMPUTED_VALUE"""),"Ms.")</f>
        <v>Ms.</v>
      </c>
      <c r="C337" t="str">
        <f>IFERROR(__xludf.DUMMYFUNCTION("""COMPUTED_VALUE"""),"Chattamanuch")</f>
        <v>Chattamanuch</v>
      </c>
      <c r="D337" t="str">
        <f>IFERROR(__xludf.DUMMYFUNCTION("""COMPUTED_VALUE"""),"Thiamhong")</f>
        <v>Thiamhong</v>
      </c>
      <c r="E337" t="str">
        <f>IFERROR(__xludf.DUMMYFUNCTION("""COMPUTED_VALUE"""),"Chattamanuch Thiamhong")</f>
        <v>Chattamanuch Thiamhong</v>
      </c>
      <c r="F337" t="str">
        <f>IFERROR(__xludf.DUMMYFUNCTION("""COMPUTED_VALUE"""),"นางสาว")</f>
        <v>นางสาว</v>
      </c>
      <c r="G337" t="str">
        <f>IFERROR(__xludf.DUMMYFUNCTION("""COMPUTED_VALUE"""),"ฉัฐมานุช")</f>
        <v>ฉัฐมานุช</v>
      </c>
      <c r="H337" t="str">
        <f>IFERROR(__xludf.DUMMYFUNCTION("""COMPUTED_VALUE"""),"เทียมหงษ์")</f>
        <v>เทียมหงษ์</v>
      </c>
      <c r="I337" t="str">
        <f>IFERROR(__xludf.DUMMYFUNCTION("""COMPUTED_VALUE"""),"ฉัฐมานุช เทียมหงษ์")</f>
        <v>ฉัฐมานุช เทียมหงษ์</v>
      </c>
      <c r="J337" t="str">
        <f>IFERROR(__xludf.DUMMYFUNCTION("""COMPUTED_VALUE"""),"นุช")</f>
        <v>นุช</v>
      </c>
      <c r="K337" t="str">
        <f>IFERROR(__xludf.DUMMYFUNCTION("""COMPUTED_VALUE"""),"Senior Cabin Crew")</f>
        <v>Senior Cabin Crew</v>
      </c>
      <c r="L337" t="str">
        <f>IFERROR(__xludf.DUMMYFUNCTION("""COMPUTED_VALUE"""),"DMK")</f>
        <v>DMK</v>
      </c>
      <c r="M337" s="145" t="str">
        <f>IFERROR(__xludf.DUMMYFUNCTION("""COMPUTED_VALUE"""),"Toffy Home")</f>
        <v>Toffy Home</v>
      </c>
      <c r="N337" t="str">
        <f>IFERROR(__xludf.DUMMYFUNCTION("""COMPUTED_VALUE"""),"Active")</f>
        <v>Active</v>
      </c>
      <c r="P337" s="143">
        <f>IFERROR(__xludf.DUMMYFUNCTION("""COMPUTED_VALUE"""),32381.0)</f>
        <v>32381</v>
      </c>
      <c r="Q337" s="146" t="str">
        <f>IFERROR(__xludf.DUMMYFUNCTION("""COMPUTED_VALUE"""),"085 112 5463")</f>
        <v>085 112 5463</v>
      </c>
      <c r="R337" s="147" t="str">
        <f>IFERROR(__xludf.DUMMYFUNCTION("""COMPUTED_VALUE"""),"##############")</f>
        <v>##############</v>
      </c>
      <c r="S337" t="str">
        <f>IFERROR(__xludf.DUMMYFUNCTION("""COMPUTED_VALUE"""),"AC5740424")</f>
        <v>AC5740424</v>
      </c>
      <c r="T337" s="148">
        <f>IFERROR(__xludf.DUMMYFUNCTION("""COMPUTED_VALUE"""),45191.0)</f>
        <v>45191</v>
      </c>
      <c r="U337" s="148">
        <f>IFERROR(__xludf.DUMMYFUNCTION("""COMPUTED_VALUE"""),48843.0)</f>
        <v>48843</v>
      </c>
      <c r="V337" s="149">
        <f>IFERROR(__xludf.DUMMYFUNCTION("""COMPUTED_VALUE"""),48659.0)</f>
        <v>48659</v>
      </c>
      <c r="W337" t="str">
        <f>IFERROR(__xludf.DUMMYFUNCTION("""COMPUTED_VALUE"""),"ปลอดภัย")</f>
        <v>ปลอดภัย</v>
      </c>
      <c r="X337" t="str">
        <f>IFERROR(__xludf.DUMMYFUNCTION("""COMPUTED_VALUE"""),"Bangkok")</f>
        <v>Bangkok</v>
      </c>
      <c r="Y337" t="str">
        <f>IFERROR(__xludf.DUMMYFUNCTION("""COMPUTED_VALUE"""),"Bangkhaen")</f>
        <v>Bangkhaen</v>
      </c>
      <c r="Z337" t="str">
        <f>IFERROR(__xludf.DUMMYFUNCTION("""COMPUTED_VALUE"""),"081 699 7320")</f>
        <v>081 699 7320</v>
      </c>
      <c r="AA337" t="str">
        <f>IFERROR(__xludf.DUMMYFUNCTION("""COMPUTED_VALUE"""),"Mother")</f>
        <v>Mother</v>
      </c>
      <c r="AB337" t="str">
        <f>IFERROR(__xludf.DUMMYFUNCTION("""COMPUTED_VALUE"""),"chattamanucht@airasia.com")</f>
        <v>chattamanucht@airasia.com</v>
      </c>
    </row>
    <row r="338">
      <c r="A338">
        <f>IFERROR(__xludf.DUMMYFUNCTION("""COMPUTED_VALUE"""),1006992.0)</f>
        <v>1006992</v>
      </c>
      <c r="B338" t="str">
        <f>IFERROR(__xludf.DUMMYFUNCTION("""COMPUTED_VALUE"""),"Mr.")</f>
        <v>Mr.</v>
      </c>
      <c r="C338" t="str">
        <f>IFERROR(__xludf.DUMMYFUNCTION("""COMPUTED_VALUE"""),"Danupon")</f>
        <v>Danupon</v>
      </c>
      <c r="D338" t="str">
        <f>IFERROR(__xludf.DUMMYFUNCTION("""COMPUTED_VALUE"""),"Chuenmongkol")</f>
        <v>Chuenmongkol</v>
      </c>
      <c r="E338" t="str">
        <f>IFERROR(__xludf.DUMMYFUNCTION("""COMPUTED_VALUE"""),"Danupon Chuenmongkol")</f>
        <v>Danupon Chuenmongkol</v>
      </c>
      <c r="F338" t="str">
        <f>IFERROR(__xludf.DUMMYFUNCTION("""COMPUTED_VALUE"""),"นาย")</f>
        <v>นาย</v>
      </c>
      <c r="G338" t="str">
        <f>IFERROR(__xludf.DUMMYFUNCTION("""COMPUTED_VALUE"""),"ดนุพล")</f>
        <v>ดนุพล</v>
      </c>
      <c r="H338" t="str">
        <f>IFERROR(__xludf.DUMMYFUNCTION("""COMPUTED_VALUE"""),"ชื่นมงคล")</f>
        <v>ชื่นมงคล</v>
      </c>
      <c r="I338" t="str">
        <f>IFERROR(__xludf.DUMMYFUNCTION("""COMPUTED_VALUE"""),"ดนุพล ชื่นมงคล")</f>
        <v>ดนุพล ชื่นมงคล</v>
      </c>
      <c r="J338" t="str">
        <f>IFERROR(__xludf.DUMMYFUNCTION("""COMPUTED_VALUE"""),"ตั้ม")</f>
        <v>ตั้ม</v>
      </c>
      <c r="K338" t="str">
        <f>IFERROR(__xludf.DUMMYFUNCTION("""COMPUTED_VALUE"""),"Senior Cabin Crew - CNX")</f>
        <v>Senior Cabin Crew - CNX</v>
      </c>
      <c r="L338" t="str">
        <f>IFERROR(__xludf.DUMMYFUNCTION("""COMPUTED_VALUE"""),"CNX")</f>
        <v>CNX</v>
      </c>
      <c r="M338" s="145" t="str">
        <f>IFERROR(__xludf.DUMMYFUNCTION("""COMPUTED_VALUE"""),"Up Home")</f>
        <v>Up Home</v>
      </c>
      <c r="N338" t="str">
        <f>IFERROR(__xludf.DUMMYFUNCTION("""COMPUTED_VALUE"""),"Active")</f>
        <v>Active</v>
      </c>
      <c r="P338" s="143">
        <f>IFERROR(__xludf.DUMMYFUNCTION("""COMPUTED_VALUE"""),31031.0)</f>
        <v>31031</v>
      </c>
      <c r="Q338" s="146" t="str">
        <f>IFERROR(__xludf.DUMMYFUNCTION("""COMPUTED_VALUE"""),"088 267 4331")</f>
        <v>088 267 4331</v>
      </c>
      <c r="R338" s="147" t="str">
        <f>IFERROR(__xludf.DUMMYFUNCTION("""COMPUTED_VALUE"""),"1509900-13-8086")</f>
        <v>1509900-13-8086</v>
      </c>
      <c r="S338" t="str">
        <f>IFERROR(__xludf.DUMMYFUNCTION("""COMPUTED_VALUE"""),"AC6656163")</f>
        <v>AC6656163</v>
      </c>
      <c r="T338" s="148">
        <f>IFERROR(__xludf.DUMMYFUNCTION("""COMPUTED_VALUE"""),45415.0)</f>
        <v>45415</v>
      </c>
      <c r="U338" s="148">
        <f>IFERROR(__xludf.DUMMYFUNCTION("""COMPUTED_VALUE"""),49066.0)</f>
        <v>49066</v>
      </c>
      <c r="V338" s="149">
        <f>IFERROR(__xludf.DUMMYFUNCTION("""COMPUTED_VALUE"""),48885.0)</f>
        <v>48885</v>
      </c>
      <c r="W338" t="str">
        <f>IFERROR(__xludf.DUMMYFUNCTION("""COMPUTED_VALUE"""),"ปลอดภัย")</f>
        <v>ปลอดภัย</v>
      </c>
      <c r="X338" t="str">
        <f>IFERROR(__xludf.DUMMYFUNCTION("""COMPUTED_VALUE"""),"Chiang Mai Province")</f>
        <v>Chiang Mai Province</v>
      </c>
      <c r="Y338" t="str">
        <f>IFERROR(__xludf.DUMMYFUNCTION("""COMPUTED_VALUE"""),"Chiang Mai")</f>
        <v>Chiang Mai</v>
      </c>
      <c r="Z338" t="str">
        <f>IFERROR(__xludf.DUMMYFUNCTION("""COMPUTED_VALUE"""),"053 275 398 / 086 657 7968")</f>
        <v>053 275 398 / 086 657 7968</v>
      </c>
      <c r="AA338" t="str">
        <f>IFERROR(__xludf.DUMMYFUNCTION("""COMPUTED_VALUE"""),"Home / Mother")</f>
        <v>Home / Mother</v>
      </c>
      <c r="AB338" t="str">
        <f>IFERROR(__xludf.DUMMYFUNCTION("""COMPUTED_VALUE"""),"danuponc@airasia.com")</f>
        <v>danuponc@airasia.com</v>
      </c>
    </row>
    <row r="339">
      <c r="A339">
        <f>IFERROR(__xludf.DUMMYFUNCTION("""COMPUTED_VALUE"""),1006993.0)</f>
        <v>1006993</v>
      </c>
      <c r="B339" t="str">
        <f>IFERROR(__xludf.DUMMYFUNCTION("""COMPUTED_VALUE"""),"Ms.")</f>
        <v>Ms.</v>
      </c>
      <c r="C339" t="str">
        <f>IFERROR(__xludf.DUMMYFUNCTION("""COMPUTED_VALUE"""),"Jutaporn")</f>
        <v>Jutaporn</v>
      </c>
      <c r="D339" t="str">
        <f>IFERROR(__xludf.DUMMYFUNCTION("""COMPUTED_VALUE"""),"Kanjanakhajit")</f>
        <v>Kanjanakhajit</v>
      </c>
      <c r="E339" t="str">
        <f>IFERROR(__xludf.DUMMYFUNCTION("""COMPUTED_VALUE"""),"Jutaporn Kanjanakhajit")</f>
        <v>Jutaporn Kanjanakhajit</v>
      </c>
      <c r="F339" t="str">
        <f>IFERROR(__xludf.DUMMYFUNCTION("""COMPUTED_VALUE"""),"นางสาว")</f>
        <v>นางสาว</v>
      </c>
      <c r="G339" t="str">
        <f>IFERROR(__xludf.DUMMYFUNCTION("""COMPUTED_VALUE"""),"จุฑาพร")</f>
        <v>จุฑาพร</v>
      </c>
      <c r="H339" t="str">
        <f>IFERROR(__xludf.DUMMYFUNCTION("""COMPUTED_VALUE"""),"กาญจนขจิต")</f>
        <v>กาญจนขจิต</v>
      </c>
      <c r="I339" t="str">
        <f>IFERROR(__xludf.DUMMYFUNCTION("""COMPUTED_VALUE"""),"จุฑาพร กาญจนขจิต")</f>
        <v>จุฑาพร กาญจนขจิต</v>
      </c>
      <c r="J339" t="str">
        <f>IFERROR(__xludf.DUMMYFUNCTION("""COMPUTED_VALUE"""),"น้ำตาล")</f>
        <v>น้ำตาล</v>
      </c>
      <c r="K339" t="str">
        <f>IFERROR(__xludf.DUMMYFUNCTION("""COMPUTED_VALUE"""),"Cabin Crew")</f>
        <v>Cabin Crew</v>
      </c>
      <c r="L339" t="str">
        <f>IFERROR(__xludf.DUMMYFUNCTION("""COMPUTED_VALUE"""),"DMK")</f>
        <v>DMK</v>
      </c>
      <c r="M339" s="145" t="str">
        <f>IFERROR(__xludf.DUMMYFUNCTION("""COMPUTED_VALUE"""),"Toffy Home")</f>
        <v>Toffy Home</v>
      </c>
      <c r="N339" t="str">
        <f>IFERROR(__xludf.DUMMYFUNCTION("""COMPUTED_VALUE"""),"LWPP")</f>
        <v>LWPP</v>
      </c>
      <c r="P339" s="143">
        <f>IFERROR(__xludf.DUMMYFUNCTION("""COMPUTED_VALUE"""),31078.0)</f>
        <v>31078</v>
      </c>
      <c r="Q339" s="146" t="str">
        <f>IFERROR(__xludf.DUMMYFUNCTION("""COMPUTED_VALUE"""),"086 775 6600")</f>
        <v>086 775 6600</v>
      </c>
      <c r="R339" s="147" t="str">
        <f>IFERROR(__xludf.DUMMYFUNCTION("""COMPUTED_VALUE"""),"1860500-00-4987")</f>
        <v>1860500-00-4987</v>
      </c>
      <c r="S339" t="str">
        <f>IFERROR(__xludf.DUMMYFUNCTION("""COMPUTED_VALUE"""),"AD2239111")</f>
        <v>AD2239111</v>
      </c>
      <c r="T339" s="148">
        <f>IFERROR(__xludf.DUMMYFUNCTION("""COMPUTED_VALUE"""),45793.0)</f>
        <v>45793</v>
      </c>
      <c r="U339" s="148">
        <f>IFERROR(__xludf.DUMMYFUNCTION("""COMPUTED_VALUE"""),49444.0)</f>
        <v>49444</v>
      </c>
      <c r="V339" s="149">
        <f>IFERROR(__xludf.DUMMYFUNCTION("""COMPUTED_VALUE"""),49263.0)</f>
        <v>49263</v>
      </c>
      <c r="W339" t="str">
        <f>IFERROR(__xludf.DUMMYFUNCTION("""COMPUTED_VALUE"""),"ปลอดภัย")</f>
        <v>ปลอดภัย</v>
      </c>
      <c r="X339" t="str">
        <f>IFERROR(__xludf.DUMMYFUNCTION("""COMPUTED_VALUE"""),"Chumphon Province")</f>
        <v>Chumphon Province</v>
      </c>
      <c r="Y339" t="str">
        <f>IFERROR(__xludf.DUMMYFUNCTION("""COMPUTED_VALUE"""),"Klong sam wa")</f>
        <v>Klong sam wa</v>
      </c>
      <c r="Z339" t="str">
        <f>IFERROR(__xludf.DUMMYFUNCTION("""COMPUTED_VALUE"""),"02 508 4167 / 089 120 4360")</f>
        <v>02 508 4167 / 089 120 4360</v>
      </c>
      <c r="AA339" t="str">
        <f>IFERROR(__xludf.DUMMYFUNCTION("""COMPUTED_VALUE"""),"Home / Mother")</f>
        <v>Home / Mother</v>
      </c>
      <c r="AB339" t="str">
        <f>IFERROR(__xludf.DUMMYFUNCTION("""COMPUTED_VALUE"""),"jutapornk@airasia.com")</f>
        <v>jutapornk@airasia.com</v>
      </c>
    </row>
    <row r="340">
      <c r="A340">
        <f>IFERROR(__xludf.DUMMYFUNCTION("""COMPUTED_VALUE"""),1006995.0)</f>
        <v>1006995</v>
      </c>
      <c r="B340" t="str">
        <f>IFERROR(__xludf.DUMMYFUNCTION("""COMPUTED_VALUE"""),"Ms.")</f>
        <v>Ms.</v>
      </c>
      <c r="C340" t="str">
        <f>IFERROR(__xludf.DUMMYFUNCTION("""COMPUTED_VALUE"""),"Kornrumpha")</f>
        <v>Kornrumpha</v>
      </c>
      <c r="D340" t="str">
        <f>IFERROR(__xludf.DUMMYFUNCTION("""COMPUTED_VALUE"""),"Wongsing")</f>
        <v>Wongsing</v>
      </c>
      <c r="E340" t="str">
        <f>IFERROR(__xludf.DUMMYFUNCTION("""COMPUTED_VALUE"""),"Kornrumpha Wongsing")</f>
        <v>Kornrumpha Wongsing</v>
      </c>
      <c r="F340" t="str">
        <f>IFERROR(__xludf.DUMMYFUNCTION("""COMPUTED_VALUE"""),"นางสาว")</f>
        <v>นางสาว</v>
      </c>
      <c r="G340" t="str">
        <f>IFERROR(__xludf.DUMMYFUNCTION("""COMPUTED_VALUE"""),"กรรัมภา")</f>
        <v>กรรัมภา</v>
      </c>
      <c r="H340" t="str">
        <f>IFERROR(__xludf.DUMMYFUNCTION("""COMPUTED_VALUE"""),"วงษ์สิงห์")</f>
        <v>วงษ์สิงห์</v>
      </c>
      <c r="I340" t="str">
        <f>IFERROR(__xludf.DUMMYFUNCTION("""COMPUTED_VALUE"""),"กรรัมภา วงษ์สิงห์")</f>
        <v>กรรัมภา วงษ์สิงห์</v>
      </c>
      <c r="J340" t="str">
        <f>IFERROR(__xludf.DUMMYFUNCTION("""COMPUTED_VALUE"""),"กุ๊ก")</f>
        <v>กุ๊ก</v>
      </c>
      <c r="K340" t="str">
        <f>IFERROR(__xludf.DUMMYFUNCTION("""COMPUTED_VALUE"""),"Cabin Crew")</f>
        <v>Cabin Crew</v>
      </c>
      <c r="L340" t="str">
        <f>IFERROR(__xludf.DUMMYFUNCTION("""COMPUTED_VALUE"""),"DMK")</f>
        <v>DMK</v>
      </c>
      <c r="M340" s="145" t="str">
        <f>IFERROR(__xludf.DUMMYFUNCTION("""COMPUTED_VALUE"""),"Toffy Home")</f>
        <v>Toffy Home</v>
      </c>
      <c r="N340" t="str">
        <f>IFERROR(__xludf.DUMMYFUNCTION("""COMPUTED_VALUE"""),"Active")</f>
        <v>Active</v>
      </c>
      <c r="P340" s="143">
        <f>IFERROR(__xludf.DUMMYFUNCTION("""COMPUTED_VALUE"""),31862.0)</f>
        <v>31862</v>
      </c>
      <c r="Q340" s="146" t="str">
        <f>IFERROR(__xludf.DUMMYFUNCTION("""COMPUTED_VALUE"""),"095-142-4791")</f>
        <v>095-142-4791</v>
      </c>
      <c r="R340" s="147" t="str">
        <f>IFERROR(__xludf.DUMMYFUNCTION("""COMPUTED_VALUE"""),"1101400-96-2207")</f>
        <v>1101400-96-2207</v>
      </c>
      <c r="S340" t="str">
        <f>IFERROR(__xludf.DUMMYFUNCTION("""COMPUTED_VALUE"""),"AC2219709")</f>
        <v>AC2219709</v>
      </c>
      <c r="T340" s="148">
        <f>IFERROR(__xludf.DUMMYFUNCTION("""COMPUTED_VALUE"""),44270.0)</f>
        <v>44270</v>
      </c>
      <c r="U340" s="148">
        <f>IFERROR(__xludf.DUMMYFUNCTION("""COMPUTED_VALUE"""),47921.0)</f>
        <v>47921</v>
      </c>
      <c r="V340" s="149">
        <f>IFERROR(__xludf.DUMMYFUNCTION("""COMPUTED_VALUE"""),47740.0)</f>
        <v>47740</v>
      </c>
      <c r="W340" t="str">
        <f>IFERROR(__xludf.DUMMYFUNCTION("""COMPUTED_VALUE"""),"ปลอดภัย")</f>
        <v>ปลอดภัย</v>
      </c>
      <c r="X340" t="str">
        <f>IFERROR(__xludf.DUMMYFUNCTION("""COMPUTED_VALUE"""),"Bangkok")</f>
        <v>Bangkok</v>
      </c>
      <c r="Y340" t="str">
        <f>IFERROR(__xludf.DUMMYFUNCTION("""COMPUTED_VALUE"""),"Lumlukka")</f>
        <v>Lumlukka</v>
      </c>
      <c r="Z340" t="str">
        <f>IFERROR(__xludf.DUMMYFUNCTION("""COMPUTED_VALUE"""),"081 825 6452")</f>
        <v>081 825 6452</v>
      </c>
      <c r="AA340" t="str">
        <f>IFERROR(__xludf.DUMMYFUNCTION("""COMPUTED_VALUE"""),"มารดา")</f>
        <v>มารดา</v>
      </c>
      <c r="AB340" t="str">
        <f>IFERROR(__xludf.DUMMYFUNCTION("""COMPUTED_VALUE"""),"kornrumphaw@airasia.com")</f>
        <v>kornrumphaw@airasia.com</v>
      </c>
    </row>
    <row r="341">
      <c r="A341">
        <f>IFERROR(__xludf.DUMMYFUNCTION("""COMPUTED_VALUE"""),1006998.0)</f>
        <v>1006998</v>
      </c>
      <c r="B341" t="str">
        <f>IFERROR(__xludf.DUMMYFUNCTION("""COMPUTED_VALUE"""),"Ms.")</f>
        <v>Ms.</v>
      </c>
      <c r="C341" t="str">
        <f>IFERROR(__xludf.DUMMYFUNCTION("""COMPUTED_VALUE"""),"Natchanakarn")</f>
        <v>Natchanakarn</v>
      </c>
      <c r="D341" t="str">
        <f>IFERROR(__xludf.DUMMYFUNCTION("""COMPUTED_VALUE"""),"Wattanaboribhonkun")</f>
        <v>Wattanaboribhonkun</v>
      </c>
      <c r="E341" t="str">
        <f>IFERROR(__xludf.DUMMYFUNCTION("""COMPUTED_VALUE"""),"Natchanakarn Wattanaboribhonkun")</f>
        <v>Natchanakarn Wattanaboribhonkun</v>
      </c>
      <c r="F341" t="str">
        <f>IFERROR(__xludf.DUMMYFUNCTION("""COMPUTED_VALUE"""),"นางสาว")</f>
        <v>นางสาว</v>
      </c>
      <c r="G341" t="str">
        <f>IFERROR(__xludf.DUMMYFUNCTION("""COMPUTED_VALUE"""),"ณัฐชนากานต์")</f>
        <v>ณัฐชนากานต์</v>
      </c>
      <c r="H341" t="str">
        <f>IFERROR(__xludf.DUMMYFUNCTION("""COMPUTED_VALUE"""),"วัฒนาบริบูรณ์กุล")</f>
        <v>วัฒนาบริบูรณ์กุล</v>
      </c>
      <c r="I341" t="str">
        <f>IFERROR(__xludf.DUMMYFUNCTION("""COMPUTED_VALUE"""),"ณัฐชนากานต์ วัฒนาบริบูรณ์กุล")</f>
        <v>ณัฐชนากานต์ วัฒนาบริบูรณ์กุล</v>
      </c>
      <c r="J341" t="str">
        <f>IFERROR(__xludf.DUMMYFUNCTION("""COMPUTED_VALUE"""),"เอ้ย")</f>
        <v>เอ้ย</v>
      </c>
      <c r="K341" t="str">
        <f>IFERROR(__xludf.DUMMYFUNCTION("""COMPUTED_VALUE"""),"Senior Cabin Crew")</f>
        <v>Senior Cabin Crew</v>
      </c>
      <c r="L341" t="str">
        <f>IFERROR(__xludf.DUMMYFUNCTION("""COMPUTED_VALUE"""),"DMK")</f>
        <v>DMK</v>
      </c>
      <c r="M341" s="145" t="str">
        <f>IFERROR(__xludf.DUMMYFUNCTION("""COMPUTED_VALUE"""),"Por+ Home")</f>
        <v>Por+ Home</v>
      </c>
      <c r="N341" t="str">
        <f>IFERROR(__xludf.DUMMYFUNCTION("""COMPUTED_VALUE"""),"Active")</f>
        <v>Active</v>
      </c>
      <c r="P341" s="143">
        <f>IFERROR(__xludf.DUMMYFUNCTION("""COMPUTED_VALUE"""),31487.0)</f>
        <v>31487</v>
      </c>
      <c r="Q341" s="146" t="str">
        <f>IFERROR(__xludf.DUMMYFUNCTION("""COMPUTED_VALUE"""),"082 541 5499")</f>
        <v>082 541 5499</v>
      </c>
      <c r="R341" s="147" t="str">
        <f>IFERROR(__xludf.DUMMYFUNCTION("""COMPUTED_VALUE"""),"1101499-08-2271")</f>
        <v>1101499-08-2271</v>
      </c>
      <c r="S341" t="str">
        <f>IFERROR(__xludf.DUMMYFUNCTION("""COMPUTED_VALUE"""),"AC4979000")</f>
        <v>AC4979000</v>
      </c>
      <c r="T341" s="148">
        <f>IFERROR(__xludf.DUMMYFUNCTION("""COMPUTED_VALUE"""),45078.0)</f>
        <v>45078</v>
      </c>
      <c r="U341" s="148">
        <f>IFERROR(__xludf.DUMMYFUNCTION("""COMPUTED_VALUE"""),48730.0)</f>
        <v>48730</v>
      </c>
      <c r="V341" s="149">
        <f>IFERROR(__xludf.DUMMYFUNCTION("""COMPUTED_VALUE"""),48548.0)</f>
        <v>48548</v>
      </c>
      <c r="W341" t="str">
        <f>IFERROR(__xludf.DUMMYFUNCTION("""COMPUTED_VALUE"""),"ปลอดภัย")</f>
        <v>ปลอดภัย</v>
      </c>
      <c r="X341" t="str">
        <f>IFERROR(__xludf.DUMMYFUNCTION("""COMPUTED_VALUE"""),"Bangkok")</f>
        <v>Bangkok</v>
      </c>
      <c r="Y341" t="str">
        <f>IFERROR(__xludf.DUMMYFUNCTION("""COMPUTED_VALUE"""),"Phayathai")</f>
        <v>Phayathai</v>
      </c>
      <c r="Z341" t="str">
        <f>IFERROR(__xludf.DUMMYFUNCTION("""COMPUTED_VALUE"""),"02 278 0951 / 086 811 8112")</f>
        <v>02 278 0951 / 086 811 8112</v>
      </c>
      <c r="AA341" t="str">
        <f>IFERROR(__xludf.DUMMYFUNCTION("""COMPUTED_VALUE"""),"Home / Mother")</f>
        <v>Home / Mother</v>
      </c>
      <c r="AB341" t="str">
        <f>IFERROR(__xludf.DUMMYFUNCTION("""COMPUTED_VALUE"""),"natchanakarnw@airasia.com")</f>
        <v>natchanakarnw@airasia.com</v>
      </c>
    </row>
    <row r="342">
      <c r="A342">
        <f>IFERROR(__xludf.DUMMYFUNCTION("""COMPUTED_VALUE"""),1007000.0)</f>
        <v>1007000</v>
      </c>
      <c r="B342" t="str">
        <f>IFERROR(__xludf.DUMMYFUNCTION("""COMPUTED_VALUE"""),"Ms.")</f>
        <v>Ms.</v>
      </c>
      <c r="C342" t="str">
        <f>IFERROR(__xludf.DUMMYFUNCTION("""COMPUTED_VALUE"""),"Panaiporn")</f>
        <v>Panaiporn</v>
      </c>
      <c r="D342" t="str">
        <f>IFERROR(__xludf.DUMMYFUNCTION("""COMPUTED_VALUE"""),"Rattananakin (Hwungwichien)")</f>
        <v>Rattananakin (Hwungwichien)</v>
      </c>
      <c r="E342" t="str">
        <f>IFERROR(__xludf.DUMMYFUNCTION("""COMPUTED_VALUE"""),"Panaiporn Rattananakin")</f>
        <v>Panaiporn Rattananakin</v>
      </c>
      <c r="F342" t="str">
        <f>IFERROR(__xludf.DUMMYFUNCTION("""COMPUTED_VALUE"""),"นางสาว")</f>
        <v>นางสาว</v>
      </c>
      <c r="G342" t="str">
        <f>IFERROR(__xludf.DUMMYFUNCTION("""COMPUTED_VALUE"""),"ปณัยภรณ์")</f>
        <v>ปณัยภรณ์</v>
      </c>
      <c r="H342" t="str">
        <f>IFERROR(__xludf.DUMMYFUNCTION("""COMPUTED_VALUE"""),"รัตนนาคินทร์ (ห่วงวิเชียร)")</f>
        <v>รัตนนาคินทร์ (ห่วงวิเชียร)</v>
      </c>
      <c r="I342" t="str">
        <f>IFERROR(__xludf.DUMMYFUNCTION("""COMPUTED_VALUE"""),"ปณัยภรณ์ รัตนนาคินทร์")</f>
        <v>ปณัยภรณ์ รัตนนาคินทร์</v>
      </c>
      <c r="J342" t="str">
        <f>IFERROR(__xludf.DUMMYFUNCTION("""COMPUTED_VALUE"""),"เอ็ม")</f>
        <v>เอ็ม</v>
      </c>
      <c r="K342" t="str">
        <f>IFERROR(__xludf.DUMMYFUNCTION("""COMPUTED_VALUE"""),"Cabin Crew")</f>
        <v>Cabin Crew</v>
      </c>
      <c r="L342" t="str">
        <f>IFERROR(__xludf.DUMMYFUNCTION("""COMPUTED_VALUE"""),"DMK")</f>
        <v>DMK</v>
      </c>
      <c r="M342" s="145" t="str">
        <f>IFERROR(__xludf.DUMMYFUNCTION("""COMPUTED_VALUE"""),"Namfon Home")</f>
        <v>Namfon Home</v>
      </c>
      <c r="N342" t="str">
        <f>IFERROR(__xludf.DUMMYFUNCTION("""COMPUTED_VALUE"""),"Active")</f>
        <v>Active</v>
      </c>
      <c r="P342" s="143">
        <f>IFERROR(__xludf.DUMMYFUNCTION("""COMPUTED_VALUE"""),32377.0)</f>
        <v>32377</v>
      </c>
      <c r="Q342" s="146" t="str">
        <f>IFERROR(__xludf.DUMMYFUNCTION("""COMPUTED_VALUE"""),"098 424 5266")</f>
        <v>098 424 5266</v>
      </c>
      <c r="R342" s="147" t="str">
        <f>IFERROR(__xludf.DUMMYFUNCTION("""COMPUTED_VALUE"""),"1100600-16-1886")</f>
        <v>1100600-16-1886</v>
      </c>
      <c r="S342" t="str">
        <f>IFERROR(__xludf.DUMMYFUNCTION("""COMPUTED_VALUE"""),"AC8264601")</f>
        <v>AC8264601</v>
      </c>
      <c r="T342" s="148">
        <f>IFERROR(__xludf.DUMMYFUNCTION("""COMPUTED_VALUE"""),45846.0)</f>
        <v>45846</v>
      </c>
      <c r="U342" s="148">
        <f>IFERROR(__xludf.DUMMYFUNCTION("""COMPUTED_VALUE"""),49497.0)</f>
        <v>49497</v>
      </c>
      <c r="V342" s="149">
        <f>IFERROR(__xludf.DUMMYFUNCTION("""COMPUTED_VALUE"""),49316.0)</f>
        <v>49316</v>
      </c>
      <c r="W342" t="str">
        <f>IFERROR(__xludf.DUMMYFUNCTION("""COMPUTED_VALUE"""),"ปลอดภัย")</f>
        <v>ปลอดภัย</v>
      </c>
      <c r="X342" t="str">
        <f>IFERROR(__xludf.DUMMYFUNCTION("""COMPUTED_VALUE"""),"Bangkok")</f>
        <v>Bangkok</v>
      </c>
      <c r="Y342" t="str">
        <f>IFERROR(__xludf.DUMMYFUNCTION("""COMPUTED_VALUE"""),"Nual Chan")</f>
        <v>Nual Chan</v>
      </c>
      <c r="Z342" t="str">
        <f>IFERROR(__xludf.DUMMYFUNCTION("""COMPUTED_VALUE"""),"089 440 4709")</f>
        <v>089 440 4709</v>
      </c>
      <c r="AA342" t="str">
        <f>IFERROR(__xludf.DUMMYFUNCTION("""COMPUTED_VALUE"""),"Friend")</f>
        <v>Friend</v>
      </c>
      <c r="AB342" t="str">
        <f>IFERROR(__xludf.DUMMYFUNCTION("""COMPUTED_VALUE"""),"panaipornr@airasia.com")</f>
        <v>panaipornr@airasia.com</v>
      </c>
    </row>
    <row r="343">
      <c r="A343">
        <f>IFERROR(__xludf.DUMMYFUNCTION("""COMPUTED_VALUE"""),1007001.0)</f>
        <v>1007001</v>
      </c>
      <c r="B343" t="str">
        <f>IFERROR(__xludf.DUMMYFUNCTION("""COMPUTED_VALUE"""),"Ms.")</f>
        <v>Ms.</v>
      </c>
      <c r="C343" t="str">
        <f>IFERROR(__xludf.DUMMYFUNCTION("""COMPUTED_VALUE"""),"Phakrapee")</f>
        <v>Phakrapee</v>
      </c>
      <c r="D343" t="str">
        <f>IFERROR(__xludf.DUMMYFUNCTION("""COMPUTED_VALUE"""),"Fuengprang")</f>
        <v>Fuengprang</v>
      </c>
      <c r="E343" t="str">
        <f>IFERROR(__xludf.DUMMYFUNCTION("""COMPUTED_VALUE"""),"Phakrapee Fuengprang")</f>
        <v>Phakrapee Fuengprang</v>
      </c>
      <c r="F343" t="str">
        <f>IFERROR(__xludf.DUMMYFUNCTION("""COMPUTED_VALUE"""),"นางสาว")</f>
        <v>นางสาว</v>
      </c>
      <c r="G343" t="str">
        <f>IFERROR(__xludf.DUMMYFUNCTION("""COMPUTED_VALUE"""),"ภักดิ์รพี")</f>
        <v>ภักดิ์รพี</v>
      </c>
      <c r="H343" t="str">
        <f>IFERROR(__xludf.DUMMYFUNCTION("""COMPUTED_VALUE"""),"เฟื่องปรางค์")</f>
        <v>เฟื่องปรางค์</v>
      </c>
      <c r="I343" t="str">
        <f>IFERROR(__xludf.DUMMYFUNCTION("""COMPUTED_VALUE"""),"ภักดิ์รพี เฟื่องปรางค์")</f>
        <v>ภักดิ์รพี เฟื่องปรางค์</v>
      </c>
      <c r="J343" t="str">
        <f>IFERROR(__xludf.DUMMYFUNCTION("""COMPUTED_VALUE"""),"ปู")</f>
        <v>ปู</v>
      </c>
      <c r="K343" t="str">
        <f>IFERROR(__xludf.DUMMYFUNCTION("""COMPUTED_VALUE"""),"Senior Cabin Crew")</f>
        <v>Senior Cabin Crew</v>
      </c>
      <c r="L343" t="str">
        <f>IFERROR(__xludf.DUMMYFUNCTION("""COMPUTED_VALUE"""),"DMK")</f>
        <v>DMK</v>
      </c>
      <c r="M343" s="145" t="str">
        <f>IFERROR(__xludf.DUMMYFUNCTION("""COMPUTED_VALUE"""),"Namfon Home")</f>
        <v>Namfon Home</v>
      </c>
      <c r="N343" t="str">
        <f>IFERROR(__xludf.DUMMYFUNCTION("""COMPUTED_VALUE"""),"Active")</f>
        <v>Active</v>
      </c>
      <c r="P343" s="143">
        <f>IFERROR(__xludf.DUMMYFUNCTION("""COMPUTED_VALUE"""),31337.0)</f>
        <v>31337</v>
      </c>
      <c r="Q343" s="146" t="str">
        <f>IFERROR(__xludf.DUMMYFUNCTION("""COMPUTED_VALUE"""),"081 302 8742")</f>
        <v>081 302 8742</v>
      </c>
      <c r="R343" s="147" t="str">
        <f>IFERROR(__xludf.DUMMYFUNCTION("""COMPUTED_VALUE"""),"1509900-25-0323")</f>
        <v>1509900-25-0323</v>
      </c>
      <c r="S343" t="str">
        <f>IFERROR(__xludf.DUMMYFUNCTION("""COMPUTED_VALUE"""),"AC8178807")</f>
        <v>AC8178807</v>
      </c>
      <c r="T343" s="148">
        <f>IFERROR(__xludf.DUMMYFUNCTION("""COMPUTED_VALUE"""),46031.0)</f>
        <v>46031</v>
      </c>
      <c r="U343" s="148">
        <f>IFERROR(__xludf.DUMMYFUNCTION("""COMPUTED_VALUE"""),49682.0)</f>
        <v>49682</v>
      </c>
      <c r="V343" s="149">
        <f>IFERROR(__xludf.DUMMYFUNCTION("""COMPUTED_VALUE"""),49498.0)</f>
        <v>49498</v>
      </c>
      <c r="W343" t="str">
        <f>IFERROR(__xludf.DUMMYFUNCTION("""COMPUTED_VALUE"""),"ปลอดภัย")</f>
        <v>ปลอดภัย</v>
      </c>
      <c r="X343" t="str">
        <f>IFERROR(__xludf.DUMMYFUNCTION("""COMPUTED_VALUE"""),"Chiang Mai Province")</f>
        <v>Chiang Mai Province</v>
      </c>
      <c r="Y343" t="str">
        <f>IFERROR(__xludf.DUMMYFUNCTION("""COMPUTED_VALUE"""),"Nonthaburi")</f>
        <v>Nonthaburi</v>
      </c>
      <c r="AA343" t="str">
        <f>IFERROR(__xludf.DUMMYFUNCTION("""COMPUTED_VALUE"""),"-")</f>
        <v>-</v>
      </c>
      <c r="AB343" t="str">
        <f>IFERROR(__xludf.DUMMYFUNCTION("""COMPUTED_VALUE"""),"phakrapeef@airasia.com")</f>
        <v>phakrapeef@airasia.com</v>
      </c>
    </row>
    <row r="344">
      <c r="A344">
        <f>IFERROR(__xludf.DUMMYFUNCTION("""COMPUTED_VALUE"""),1007003.0)</f>
        <v>1007003</v>
      </c>
      <c r="B344" t="str">
        <f>IFERROR(__xludf.DUMMYFUNCTION("""COMPUTED_VALUE"""),"Mrs.")</f>
        <v>Mrs.</v>
      </c>
      <c r="C344" t="str">
        <f>IFERROR(__xludf.DUMMYFUNCTION("""COMPUTED_VALUE"""),"Ravipa")</f>
        <v>Ravipa</v>
      </c>
      <c r="D344" t="str">
        <f>IFERROR(__xludf.DUMMYFUNCTION("""COMPUTED_VALUE"""),"Tumsen (Praropkul)")</f>
        <v>Tumsen (Praropkul)</v>
      </c>
      <c r="E344" t="str">
        <f>IFERROR(__xludf.DUMMYFUNCTION("""COMPUTED_VALUE"""),"Ravipa Tumsen")</f>
        <v>Ravipa Tumsen</v>
      </c>
      <c r="F344" t="str">
        <f>IFERROR(__xludf.DUMMYFUNCTION("""COMPUTED_VALUE"""),"นาง")</f>
        <v>นาง</v>
      </c>
      <c r="G344" t="str">
        <f>IFERROR(__xludf.DUMMYFUNCTION("""COMPUTED_VALUE"""),"รวิภา")</f>
        <v>รวิภา</v>
      </c>
      <c r="H344" t="str">
        <f>IFERROR(__xludf.DUMMYFUNCTION("""COMPUTED_VALUE"""),"ทุมเสน (ปรารภกุล)")</f>
        <v>ทุมเสน (ปรารภกุล)</v>
      </c>
      <c r="I344" t="str">
        <f>IFERROR(__xludf.DUMMYFUNCTION("""COMPUTED_VALUE"""),"รวิภา ทุมเสน")</f>
        <v>รวิภา ทุมเสน</v>
      </c>
      <c r="J344" t="str">
        <f>IFERROR(__xludf.DUMMYFUNCTION("""COMPUTED_VALUE"""),"แชร์")</f>
        <v>แชร์</v>
      </c>
      <c r="K344" t="str">
        <f>IFERROR(__xludf.DUMMYFUNCTION("""COMPUTED_VALUE"""),"Senior Cabin Crew")</f>
        <v>Senior Cabin Crew</v>
      </c>
      <c r="L344" t="str">
        <f>IFERROR(__xludf.DUMMYFUNCTION("""COMPUTED_VALUE"""),"DMK")</f>
        <v>DMK</v>
      </c>
      <c r="M344" s="145" t="str">
        <f>IFERROR(__xludf.DUMMYFUNCTION("""COMPUTED_VALUE"""),"Namfon Home")</f>
        <v>Namfon Home</v>
      </c>
      <c r="N344" t="str">
        <f>IFERROR(__xludf.DUMMYFUNCTION("""COMPUTED_VALUE"""),"Active")</f>
        <v>Active</v>
      </c>
      <c r="P344" s="143">
        <f>IFERROR(__xludf.DUMMYFUNCTION("""COMPUTED_VALUE"""),32400.0)</f>
        <v>32400</v>
      </c>
      <c r="Q344" s="146" t="str">
        <f>IFERROR(__xludf.DUMMYFUNCTION("""COMPUTED_VALUE"""),"083 594 9292")</f>
        <v>083 594 9292</v>
      </c>
      <c r="R344" s="147" t="str">
        <f>IFERROR(__xludf.DUMMYFUNCTION("""COMPUTED_VALUE"""),"1100900-40-0330")</f>
        <v>1100900-40-0330</v>
      </c>
      <c r="S344" t="str">
        <f>IFERROR(__xludf.DUMMYFUNCTION("""COMPUTED_VALUE"""),"AD1749376")</f>
        <v>AD1749376</v>
      </c>
      <c r="T344" s="148">
        <f>IFERROR(__xludf.DUMMYFUNCTION("""COMPUTED_VALUE"""),45440.0)</f>
        <v>45440</v>
      </c>
      <c r="U344" s="148">
        <f>IFERROR(__xludf.DUMMYFUNCTION("""COMPUTED_VALUE"""),49091.0)</f>
        <v>49091</v>
      </c>
      <c r="V344" s="149">
        <f>IFERROR(__xludf.DUMMYFUNCTION("""COMPUTED_VALUE"""),48910.0)</f>
        <v>48910</v>
      </c>
      <c r="W344" t="str">
        <f>IFERROR(__xludf.DUMMYFUNCTION("""COMPUTED_VALUE"""),"ปลอดภัย")</f>
        <v>ปลอดภัย</v>
      </c>
      <c r="X344" t="str">
        <f>IFERROR(__xludf.DUMMYFUNCTION("""COMPUTED_VALUE"""),"Bangkok")</f>
        <v>Bangkok</v>
      </c>
      <c r="Y344" t="str">
        <f>IFERROR(__xludf.DUMMYFUNCTION("""COMPUTED_VALUE"""),"Rama 2")</f>
        <v>Rama 2</v>
      </c>
      <c r="Z344" t="str">
        <f>IFERROR(__xludf.DUMMYFUNCTION("""COMPUTED_VALUE"""),"02 874 2738 / 081 855 8217")</f>
        <v>02 874 2738 / 081 855 8217</v>
      </c>
      <c r="AA344" t="str">
        <f>IFERROR(__xludf.DUMMYFUNCTION("""COMPUTED_VALUE"""),"Home / Mother")</f>
        <v>Home / Mother</v>
      </c>
      <c r="AB344" t="str">
        <f>IFERROR(__xludf.DUMMYFUNCTION("""COMPUTED_VALUE"""),"ravipatum@airasia.com")</f>
        <v>ravipatum@airasia.com</v>
      </c>
    </row>
    <row r="345">
      <c r="A345">
        <f>IFERROR(__xludf.DUMMYFUNCTION("""COMPUTED_VALUE"""),1007004.0)</f>
        <v>1007004</v>
      </c>
      <c r="B345" t="str">
        <f>IFERROR(__xludf.DUMMYFUNCTION("""COMPUTED_VALUE"""),"Mr.")</f>
        <v>Mr.</v>
      </c>
      <c r="C345" t="str">
        <f>IFERROR(__xludf.DUMMYFUNCTION("""COMPUTED_VALUE"""),"Thanawat")</f>
        <v>Thanawat</v>
      </c>
      <c r="D345" t="str">
        <f>IFERROR(__xludf.DUMMYFUNCTION("""COMPUTED_VALUE"""),"Srisuwan")</f>
        <v>Srisuwan</v>
      </c>
      <c r="E345" t="str">
        <f>IFERROR(__xludf.DUMMYFUNCTION("""COMPUTED_VALUE"""),"Thanawat Srisuwan")</f>
        <v>Thanawat Srisuwan</v>
      </c>
      <c r="F345" t="str">
        <f>IFERROR(__xludf.DUMMYFUNCTION("""COMPUTED_VALUE"""),"นาย")</f>
        <v>นาย</v>
      </c>
      <c r="G345" t="str">
        <f>IFERROR(__xludf.DUMMYFUNCTION("""COMPUTED_VALUE"""),"ธนวัฒน์")</f>
        <v>ธนวัฒน์</v>
      </c>
      <c r="H345" t="str">
        <f>IFERROR(__xludf.DUMMYFUNCTION("""COMPUTED_VALUE"""),"ศรีสุวรรณ")</f>
        <v>ศรีสุวรรณ</v>
      </c>
      <c r="I345" t="str">
        <f>IFERROR(__xludf.DUMMYFUNCTION("""COMPUTED_VALUE"""),"ธนวัฒน์ ศรีสุวรรณ")</f>
        <v>ธนวัฒน์ ศรีสุวรรณ</v>
      </c>
      <c r="J345" t="str">
        <f>IFERROR(__xludf.DUMMYFUNCTION("""COMPUTED_VALUE"""),"หนุ่ม")</f>
        <v>หนุ่ม</v>
      </c>
      <c r="K345" t="str">
        <f>IFERROR(__xludf.DUMMYFUNCTION("""COMPUTED_VALUE"""),"Senior Cabin Crew")</f>
        <v>Senior Cabin Crew</v>
      </c>
      <c r="L345" t="str">
        <f>IFERROR(__xludf.DUMMYFUNCTION("""COMPUTED_VALUE"""),"DMK")</f>
        <v>DMK</v>
      </c>
      <c r="M345" s="145" t="str">
        <f>IFERROR(__xludf.DUMMYFUNCTION("""COMPUTED_VALUE"""),"Kor Home")</f>
        <v>Kor Home</v>
      </c>
      <c r="N345" t="str">
        <f>IFERROR(__xludf.DUMMYFUNCTION("""COMPUTED_VALUE"""),"Active")</f>
        <v>Active</v>
      </c>
      <c r="P345" s="143">
        <f>IFERROR(__xludf.DUMMYFUNCTION("""COMPUTED_VALUE"""),31366.0)</f>
        <v>31366</v>
      </c>
      <c r="Q345" s="146" t="str">
        <f>IFERROR(__xludf.DUMMYFUNCTION("""COMPUTED_VALUE"""),"095 887 1444")</f>
        <v>095 887 1444</v>
      </c>
      <c r="R345" s="147" t="str">
        <f>IFERROR(__xludf.DUMMYFUNCTION("""COMPUTED_VALUE"""),"2100600-01-1912")</f>
        <v>2100600-01-1912</v>
      </c>
      <c r="S345" t="str">
        <f>IFERROR(__xludf.DUMMYFUNCTION("""COMPUTED_VALUE"""),"AD2127564")</f>
        <v>AD2127564</v>
      </c>
      <c r="T345" s="148">
        <f>IFERROR(__xludf.DUMMYFUNCTION("""COMPUTED_VALUE"""),45743.0)</f>
        <v>45743</v>
      </c>
      <c r="U345" s="148">
        <f>IFERROR(__xludf.DUMMYFUNCTION("""COMPUTED_VALUE"""),49394.0)</f>
        <v>49394</v>
      </c>
      <c r="V345" s="149">
        <f>IFERROR(__xludf.DUMMYFUNCTION("""COMPUTED_VALUE"""),49213.0)</f>
        <v>49213</v>
      </c>
      <c r="W345" t="str">
        <f>IFERROR(__xludf.DUMMYFUNCTION("""COMPUTED_VALUE"""),"ปลอดภัย")</f>
        <v>ปลอดภัย</v>
      </c>
      <c r="X345" t="str">
        <f>IFERROR(__xludf.DUMMYFUNCTION("""COMPUTED_VALUE"""),"Bangkok")</f>
        <v>Bangkok</v>
      </c>
      <c r="Y345" t="str">
        <f>IFERROR(__xludf.DUMMYFUNCTION("""COMPUTED_VALUE"""),"Bangkhaen")</f>
        <v>Bangkhaen</v>
      </c>
      <c r="Z345" t="str">
        <f>IFERROR(__xludf.DUMMYFUNCTION("""COMPUTED_VALUE"""),"083 052 2211")</f>
        <v>083 052 2211</v>
      </c>
      <c r="AA345" t="str">
        <f>IFERROR(__xludf.DUMMYFUNCTION("""COMPUTED_VALUE"""),"Father")</f>
        <v>Father</v>
      </c>
      <c r="AB345" t="str">
        <f>IFERROR(__xludf.DUMMYFUNCTION("""COMPUTED_VALUE"""),"thanawatr@airasia.com")</f>
        <v>thanawatr@airasia.com</v>
      </c>
    </row>
    <row r="346">
      <c r="A346">
        <f>IFERROR(__xludf.DUMMYFUNCTION("""COMPUTED_VALUE"""),1007006.0)</f>
        <v>1007006</v>
      </c>
      <c r="B346" t="str">
        <f>IFERROR(__xludf.DUMMYFUNCTION("""COMPUTED_VALUE"""),"Ms.")</f>
        <v>Ms.</v>
      </c>
      <c r="C346" t="str">
        <f>IFERROR(__xludf.DUMMYFUNCTION("""COMPUTED_VALUE"""),"Wipaporn")</f>
        <v>Wipaporn</v>
      </c>
      <c r="D346" t="str">
        <f>IFERROR(__xludf.DUMMYFUNCTION("""COMPUTED_VALUE"""),"Prasertsom")</f>
        <v>Prasertsom</v>
      </c>
      <c r="E346" t="str">
        <f>IFERROR(__xludf.DUMMYFUNCTION("""COMPUTED_VALUE"""),"Wipaporn Prasertsom")</f>
        <v>Wipaporn Prasertsom</v>
      </c>
      <c r="F346" t="str">
        <f>IFERROR(__xludf.DUMMYFUNCTION("""COMPUTED_VALUE"""),"นางสาว")</f>
        <v>นางสาว</v>
      </c>
      <c r="G346" t="str">
        <f>IFERROR(__xludf.DUMMYFUNCTION("""COMPUTED_VALUE"""),"วิภาพร")</f>
        <v>วิภาพร</v>
      </c>
      <c r="H346" t="str">
        <f>IFERROR(__xludf.DUMMYFUNCTION("""COMPUTED_VALUE"""),"ประเสริฐสม")</f>
        <v>ประเสริฐสม</v>
      </c>
      <c r="I346" t="str">
        <f>IFERROR(__xludf.DUMMYFUNCTION("""COMPUTED_VALUE"""),"วิภาพร ประเสริฐสม")</f>
        <v>วิภาพร ประเสริฐสม</v>
      </c>
      <c r="J346" t="str">
        <f>IFERROR(__xludf.DUMMYFUNCTION("""COMPUTED_VALUE"""),"พลอย")</f>
        <v>พลอย</v>
      </c>
      <c r="K346" t="str">
        <f>IFERROR(__xludf.DUMMYFUNCTION("""COMPUTED_VALUE"""),"Cabin Crew")</f>
        <v>Cabin Crew</v>
      </c>
      <c r="L346" t="str">
        <f>IFERROR(__xludf.DUMMYFUNCTION("""COMPUTED_VALUE"""),"DMK")</f>
        <v>DMK</v>
      </c>
      <c r="M346" s="145" t="str">
        <f>IFERROR(__xludf.DUMMYFUNCTION("""COMPUTED_VALUE"""),"Toffy Home")</f>
        <v>Toffy Home</v>
      </c>
      <c r="N346" t="str">
        <f>IFERROR(__xludf.DUMMYFUNCTION("""COMPUTED_VALUE"""),"Active")</f>
        <v>Active</v>
      </c>
      <c r="P346" s="143">
        <f>IFERROR(__xludf.DUMMYFUNCTION("""COMPUTED_VALUE"""),31844.0)</f>
        <v>31844</v>
      </c>
      <c r="Q346" s="146" t="str">
        <f>IFERROR(__xludf.DUMMYFUNCTION("""COMPUTED_VALUE"""),"081 344 5811")</f>
        <v>081 344 5811</v>
      </c>
      <c r="R346" s="147" t="str">
        <f>IFERROR(__xludf.DUMMYFUNCTION("""COMPUTED_VALUE"""),"1100400-25-6191")</f>
        <v>1100400-25-6191</v>
      </c>
      <c r="S346" t="str">
        <f>IFERROR(__xludf.DUMMYFUNCTION("""COMPUTED_VALUE"""),"AC6112348")</f>
        <v>AC6112348</v>
      </c>
      <c r="T346" s="148">
        <f>IFERROR(__xludf.DUMMYFUNCTION("""COMPUTED_VALUE"""),45278.0)</f>
        <v>45278</v>
      </c>
      <c r="U346" s="148">
        <f>IFERROR(__xludf.DUMMYFUNCTION("""COMPUTED_VALUE"""),48930.0)</f>
        <v>48930</v>
      </c>
      <c r="V346" s="149">
        <f>IFERROR(__xludf.DUMMYFUNCTION("""COMPUTED_VALUE"""),48747.0)</f>
        <v>48747</v>
      </c>
      <c r="W346" t="str">
        <f>IFERROR(__xludf.DUMMYFUNCTION("""COMPUTED_VALUE"""),"ปลอดภัย")</f>
        <v>ปลอดภัย</v>
      </c>
      <c r="X346" t="str">
        <f>IFERROR(__xludf.DUMMYFUNCTION("""COMPUTED_VALUE"""),"Bangkok")</f>
        <v>Bangkok</v>
      </c>
      <c r="Y346" t="str">
        <f>IFERROR(__xludf.DUMMYFUNCTION("""COMPUTED_VALUE"""),"Taling Chan")</f>
        <v>Taling Chan</v>
      </c>
      <c r="Z346" t="str">
        <f>IFERROR(__xludf.DUMMYFUNCTION("""COMPUTED_VALUE"""),"02 911 1541 / 087 877 7204")</f>
        <v>02 911 1541 / 087 877 7204</v>
      </c>
      <c r="AA346" t="str">
        <f>IFERROR(__xludf.DUMMYFUNCTION("""COMPUTED_VALUE"""),"Home / Brother")</f>
        <v>Home / Brother</v>
      </c>
      <c r="AB346" t="str">
        <f>IFERROR(__xludf.DUMMYFUNCTION("""COMPUTED_VALUE"""),"wipapornp@airasia.com")</f>
        <v>wipapornp@airasia.com</v>
      </c>
    </row>
    <row r="347">
      <c r="AB347" t="str">
        <f>IFERROR(__xludf.DUMMYFUNCTION("""COMPUTED_VALUE"""),"")</f>
        <v/>
      </c>
    </row>
    <row r="348">
      <c r="A348">
        <f>IFERROR(__xludf.DUMMYFUNCTION("""COMPUTED_VALUE"""),1007007.0)</f>
        <v>1007007</v>
      </c>
      <c r="B348" t="str">
        <f>IFERROR(__xludf.DUMMYFUNCTION("""COMPUTED_VALUE"""),"Mr.")</f>
        <v>Mr.</v>
      </c>
      <c r="C348" t="str">
        <f>IFERROR(__xludf.DUMMYFUNCTION("""COMPUTED_VALUE"""),"Aram")</f>
        <v>Aram</v>
      </c>
      <c r="D348" t="str">
        <f>IFERROR(__xludf.DUMMYFUNCTION("""COMPUTED_VALUE"""),"Nukulpakdee")</f>
        <v>Nukulpakdee</v>
      </c>
      <c r="E348" t="str">
        <f>IFERROR(__xludf.DUMMYFUNCTION("""COMPUTED_VALUE"""),"Aram Nukulpakdee")</f>
        <v>Aram Nukulpakdee</v>
      </c>
      <c r="F348" t="str">
        <f>IFERROR(__xludf.DUMMYFUNCTION("""COMPUTED_VALUE"""),"นาย")</f>
        <v>นาย</v>
      </c>
      <c r="G348" t="str">
        <f>IFERROR(__xludf.DUMMYFUNCTION("""COMPUTED_VALUE"""),"อารัมภ์")</f>
        <v>อารัมภ์</v>
      </c>
      <c r="H348" t="str">
        <f>IFERROR(__xludf.DUMMYFUNCTION("""COMPUTED_VALUE"""),"นุกูลภักดี")</f>
        <v>นุกูลภักดี</v>
      </c>
      <c r="I348" t="str">
        <f>IFERROR(__xludf.DUMMYFUNCTION("""COMPUTED_VALUE"""),"อารัมภ์ นุกูลภักดี")</f>
        <v>อารัมภ์ นุกูลภักดี</v>
      </c>
      <c r="J348" t="str">
        <f>IFERROR(__xludf.DUMMYFUNCTION("""COMPUTED_VALUE"""),"อาร์ม")</f>
        <v>อาร์ม</v>
      </c>
      <c r="K348" t="str">
        <f>IFERROR(__xludf.DUMMYFUNCTION("""COMPUTED_VALUE"""),"Cabin Crew - CNX")</f>
        <v>Cabin Crew - CNX</v>
      </c>
      <c r="L348" t="str">
        <f>IFERROR(__xludf.DUMMYFUNCTION("""COMPUTED_VALUE"""),"CNX")</f>
        <v>CNX</v>
      </c>
      <c r="M348" s="145" t="str">
        <f>IFERROR(__xludf.DUMMYFUNCTION("""COMPUTED_VALUE"""),"Up Home")</f>
        <v>Up Home</v>
      </c>
      <c r="N348" t="str">
        <f>IFERROR(__xludf.DUMMYFUNCTION("""COMPUTED_VALUE"""),"Active")</f>
        <v>Active</v>
      </c>
      <c r="P348" s="143">
        <f>IFERROR(__xludf.DUMMYFUNCTION("""COMPUTED_VALUE"""),31722.0)</f>
        <v>31722</v>
      </c>
      <c r="Q348" s="146" t="str">
        <f>IFERROR(__xludf.DUMMYFUNCTION("""COMPUTED_VALUE"""),"084 141 5556")</f>
        <v>084 141 5556</v>
      </c>
      <c r="R348" s="147" t="str">
        <f>IFERROR(__xludf.DUMMYFUNCTION("""COMPUTED_VALUE"""),"1609900-03-0799")</f>
        <v>1609900-03-0799</v>
      </c>
      <c r="S348" t="str">
        <f>IFERROR(__xludf.DUMMYFUNCTION("""COMPUTED_VALUE"""),"AC4199890")</f>
        <v>AC4199890</v>
      </c>
      <c r="T348" s="148">
        <f>IFERROR(__xludf.DUMMYFUNCTION("""COMPUTED_VALUE"""),44882.0)</f>
        <v>44882</v>
      </c>
      <c r="U348" s="148">
        <f>IFERROR(__xludf.DUMMYFUNCTION("""COMPUTED_VALUE"""),46707.0)</f>
        <v>46707</v>
      </c>
      <c r="V348" s="149">
        <f>IFERROR(__xludf.DUMMYFUNCTION("""COMPUTED_VALUE"""),46523.0)</f>
        <v>46523</v>
      </c>
      <c r="W348" t="str">
        <f>IFERROR(__xludf.DUMMYFUNCTION("""COMPUTED_VALUE"""),"ปลอดภัย")</f>
        <v>ปลอดภัย</v>
      </c>
      <c r="X348" t="str">
        <f>IFERROR(__xludf.DUMMYFUNCTION("""COMPUTED_VALUE"""),"Nakhon Sawan Province")</f>
        <v>Nakhon Sawan Province</v>
      </c>
      <c r="Y348" t="str">
        <f>IFERROR(__xludf.DUMMYFUNCTION("""COMPUTED_VALUE"""),"Ratchadevi")</f>
        <v>Ratchadevi</v>
      </c>
      <c r="Z348" t="str">
        <f>IFERROR(__xludf.DUMMYFUNCTION("""COMPUTED_VALUE"""),"085 095 9905")</f>
        <v>085 095 9905</v>
      </c>
      <c r="AA348" t="str">
        <f>IFERROR(__xludf.DUMMYFUNCTION("""COMPUTED_VALUE"""),"Friend")</f>
        <v>Friend</v>
      </c>
      <c r="AB348" t="str">
        <f>IFERROR(__xludf.DUMMYFUNCTION("""COMPUTED_VALUE"""),"aramn@airasia.com")</f>
        <v>aramn@airasia.com</v>
      </c>
    </row>
    <row r="349">
      <c r="A349">
        <f>IFERROR(__xludf.DUMMYFUNCTION("""COMPUTED_VALUE"""),1007008.0)</f>
        <v>1007008</v>
      </c>
      <c r="B349" t="str">
        <f>IFERROR(__xludf.DUMMYFUNCTION("""COMPUTED_VALUE"""),"Ms.")</f>
        <v>Ms.</v>
      </c>
      <c r="C349" t="str">
        <f>IFERROR(__xludf.DUMMYFUNCTION("""COMPUTED_VALUE"""),"Aroonrat")</f>
        <v>Aroonrat</v>
      </c>
      <c r="D349" t="str">
        <f>IFERROR(__xludf.DUMMYFUNCTION("""COMPUTED_VALUE"""),"Limpawattanasuk")</f>
        <v>Limpawattanasuk</v>
      </c>
      <c r="E349" t="str">
        <f>IFERROR(__xludf.DUMMYFUNCTION("""COMPUTED_VALUE"""),"Aroonrat Limpawattanasuk")</f>
        <v>Aroonrat Limpawattanasuk</v>
      </c>
      <c r="F349" t="str">
        <f>IFERROR(__xludf.DUMMYFUNCTION("""COMPUTED_VALUE"""),"นางสาว")</f>
        <v>นางสาว</v>
      </c>
      <c r="G349" t="str">
        <f>IFERROR(__xludf.DUMMYFUNCTION("""COMPUTED_VALUE"""),"อรุณรัตน์")</f>
        <v>อรุณรัตน์</v>
      </c>
      <c r="H349" t="str">
        <f>IFERROR(__xludf.DUMMYFUNCTION("""COMPUTED_VALUE"""),"ลิมปวัฒนสุข")</f>
        <v>ลิมปวัฒนสุข</v>
      </c>
      <c r="I349" t="str">
        <f>IFERROR(__xludf.DUMMYFUNCTION("""COMPUTED_VALUE"""),"อรุณรัตน์ ลิมปวัฒนสุข")</f>
        <v>อรุณรัตน์ ลิมปวัฒนสุข</v>
      </c>
      <c r="J349" t="str">
        <f>IFERROR(__xludf.DUMMYFUNCTION("""COMPUTED_VALUE"""),"Belle")</f>
        <v>Belle</v>
      </c>
      <c r="K349" t="str">
        <f>IFERROR(__xludf.DUMMYFUNCTION("""COMPUTED_VALUE"""),"Senior Cabin Crew")</f>
        <v>Senior Cabin Crew</v>
      </c>
      <c r="L349" t="str">
        <f>IFERROR(__xludf.DUMMYFUNCTION("""COMPUTED_VALUE"""),"DMK")</f>
        <v>DMK</v>
      </c>
      <c r="M349" s="145" t="str">
        <f>IFERROR(__xludf.DUMMYFUNCTION("""COMPUTED_VALUE"""),"Um Home")</f>
        <v>Um Home</v>
      </c>
      <c r="N349" t="str">
        <f>IFERROR(__xludf.DUMMYFUNCTION("""COMPUTED_VALUE"""),"Active")</f>
        <v>Active</v>
      </c>
      <c r="O349" t="str">
        <f>IFERROR(__xludf.DUMMYFUNCTION("""COMPUTED_VALUE"""),"SCC Line Checker 2025")</f>
        <v>SCC Line Checker 2025</v>
      </c>
      <c r="P349" s="143">
        <f>IFERROR(__xludf.DUMMYFUNCTION("""COMPUTED_VALUE"""),30677.0)</f>
        <v>30677</v>
      </c>
      <c r="Q349" s="146" t="str">
        <f>IFERROR(__xludf.DUMMYFUNCTION("""COMPUTED_VALUE"""),"088 964 9164")</f>
        <v>088 964 9164</v>
      </c>
      <c r="R349" s="147" t="str">
        <f>IFERROR(__xludf.DUMMYFUNCTION("""COMPUTED_VALUE"""),"1100400-00-4175")</f>
        <v>1100400-00-4175</v>
      </c>
      <c r="S349" t="str">
        <f>IFERROR(__xludf.DUMMYFUNCTION("""COMPUTED_VALUE"""),"AC7918274")</f>
        <v>AC7918274</v>
      </c>
      <c r="T349" s="148">
        <f>IFERROR(__xludf.DUMMYFUNCTION("""COMPUTED_VALUE"""),45663.0)</f>
        <v>45663</v>
      </c>
      <c r="U349" s="148">
        <f>IFERROR(__xludf.DUMMYFUNCTION("""COMPUTED_VALUE"""),49314.0)</f>
        <v>49314</v>
      </c>
      <c r="V349" s="149">
        <f>IFERROR(__xludf.DUMMYFUNCTION("""COMPUTED_VALUE"""),49130.0)</f>
        <v>49130</v>
      </c>
      <c r="W349" t="str">
        <f>IFERROR(__xludf.DUMMYFUNCTION("""COMPUTED_VALUE"""),"ปลอดภัย")</f>
        <v>ปลอดภัย</v>
      </c>
      <c r="X349" t="str">
        <f>IFERROR(__xludf.DUMMYFUNCTION("""COMPUTED_VALUE"""),"Bangkok")</f>
        <v>Bangkok</v>
      </c>
      <c r="Y349" t="str">
        <f>IFERROR(__xludf.DUMMYFUNCTION("""COMPUTED_VALUE"""),"Bangkhunthen")</f>
        <v>Bangkhunthen</v>
      </c>
      <c r="Z349" t="str">
        <f>IFERROR(__xludf.DUMMYFUNCTION("""COMPUTED_VALUE"""),"02 416 6401 4 / 089 201 5201")</f>
        <v>02 416 6401 4 / 089 201 5201</v>
      </c>
      <c r="AA349" t="str">
        <f>IFERROR(__xludf.DUMMYFUNCTION("""COMPUTED_VALUE"""),"Home / Mother")</f>
        <v>Home / Mother</v>
      </c>
      <c r="AB349" t="str">
        <f>IFERROR(__xludf.DUMMYFUNCTION("""COMPUTED_VALUE"""),"aroonratl@airasia.com")</f>
        <v>aroonratl@airasia.com</v>
      </c>
    </row>
    <row r="350">
      <c r="A350">
        <f>IFERROR(__xludf.DUMMYFUNCTION("""COMPUTED_VALUE"""),1007009.0)</f>
        <v>1007009</v>
      </c>
      <c r="B350" t="str">
        <f>IFERROR(__xludf.DUMMYFUNCTION("""COMPUTED_VALUE"""),"Ms.")</f>
        <v>Ms.</v>
      </c>
      <c r="C350" t="str">
        <f>IFERROR(__xludf.DUMMYFUNCTION("""COMPUTED_VALUE"""),"Busayarat")</f>
        <v>Busayarat</v>
      </c>
      <c r="D350" t="str">
        <f>IFERROR(__xludf.DUMMYFUNCTION("""COMPUTED_VALUE"""),"Pongratanakul")</f>
        <v>Pongratanakul</v>
      </c>
      <c r="E350" t="str">
        <f>IFERROR(__xludf.DUMMYFUNCTION("""COMPUTED_VALUE"""),"Busayarat Pongratanakul")</f>
        <v>Busayarat Pongratanakul</v>
      </c>
      <c r="F350" t="str">
        <f>IFERROR(__xludf.DUMMYFUNCTION("""COMPUTED_VALUE"""),"นางสาว")</f>
        <v>นางสาว</v>
      </c>
      <c r="G350" t="str">
        <f>IFERROR(__xludf.DUMMYFUNCTION("""COMPUTED_VALUE"""),"บุษยรัตน์")</f>
        <v>บุษยรัตน์</v>
      </c>
      <c r="H350" t="str">
        <f>IFERROR(__xludf.DUMMYFUNCTION("""COMPUTED_VALUE"""),"พงษ์รัตนกูล")</f>
        <v>พงษ์รัตนกูล</v>
      </c>
      <c r="I350" t="str">
        <f>IFERROR(__xludf.DUMMYFUNCTION("""COMPUTED_VALUE"""),"บุษยรัตน์ พงษ์รัตนกูล")</f>
        <v>บุษยรัตน์ พงษ์รัตนกูล</v>
      </c>
      <c r="J350" t="str">
        <f>IFERROR(__xludf.DUMMYFUNCTION("""COMPUTED_VALUE"""),"บุ๊ค")</f>
        <v>บุ๊ค</v>
      </c>
      <c r="K350" t="str">
        <f>IFERROR(__xludf.DUMMYFUNCTION("""COMPUTED_VALUE"""),"Cabin Crew")</f>
        <v>Cabin Crew</v>
      </c>
      <c r="L350" t="str">
        <f>IFERROR(__xludf.DUMMYFUNCTION("""COMPUTED_VALUE"""),"DMK")</f>
        <v>DMK</v>
      </c>
      <c r="M350" s="145" t="str">
        <f>IFERROR(__xludf.DUMMYFUNCTION("""COMPUTED_VALUE"""),"Up Home")</f>
        <v>Up Home</v>
      </c>
      <c r="N350" t="str">
        <f>IFERROR(__xludf.DUMMYFUNCTION("""COMPUTED_VALUE"""),"Active")</f>
        <v>Active</v>
      </c>
      <c r="P350" s="143">
        <f>IFERROR(__xludf.DUMMYFUNCTION("""COMPUTED_VALUE"""),31644.0)</f>
        <v>31644</v>
      </c>
      <c r="Q350" s="146" t="str">
        <f>IFERROR(__xludf.DUMMYFUNCTION("""COMPUTED_VALUE"""),"086 575 3138")</f>
        <v>086 575 3138</v>
      </c>
      <c r="R350" s="147" t="str">
        <f>IFERROR(__xludf.DUMMYFUNCTION("""COMPUTED_VALUE"""),"1769900-11-1712")</f>
        <v>1769900-11-1712</v>
      </c>
      <c r="S350" t="str">
        <f>IFERROR(__xludf.DUMMYFUNCTION("""COMPUTED_VALUE"""),"AC2380797")</f>
        <v>AC2380797</v>
      </c>
      <c r="T350" s="148">
        <f>IFERROR(__xludf.DUMMYFUNCTION("""COMPUTED_VALUE"""),44412.0)</f>
        <v>44412</v>
      </c>
      <c r="U350" s="148">
        <f>IFERROR(__xludf.DUMMYFUNCTION("""COMPUTED_VALUE"""),48063.0)</f>
        <v>48063</v>
      </c>
      <c r="V350" s="149">
        <f>IFERROR(__xludf.DUMMYFUNCTION("""COMPUTED_VALUE"""),47882.0)</f>
        <v>47882</v>
      </c>
      <c r="W350" t="str">
        <f>IFERROR(__xludf.DUMMYFUNCTION("""COMPUTED_VALUE"""),"ปลอดภัย")</f>
        <v>ปลอดภัย</v>
      </c>
      <c r="X350" t="str">
        <f>IFERROR(__xludf.DUMMYFUNCTION("""COMPUTED_VALUE"""),"Phetchaburi Province")</f>
        <v>Phetchaburi Province</v>
      </c>
      <c r="Y350" t="str">
        <f>IFERROR(__xludf.DUMMYFUNCTION("""COMPUTED_VALUE"""),"Klongsan")</f>
        <v>Klongsan</v>
      </c>
      <c r="Z350" t="str">
        <f>IFERROR(__xludf.DUMMYFUNCTION("""COMPUTED_VALUE"""),"02 862 5378 / 081 840 5939")</f>
        <v>02 862 5378 / 081 840 5939</v>
      </c>
      <c r="AA350" t="str">
        <f>IFERROR(__xludf.DUMMYFUNCTION("""COMPUTED_VALUE"""),"Home / Father")</f>
        <v>Home / Father</v>
      </c>
      <c r="AB350" t="str">
        <f>IFERROR(__xludf.DUMMYFUNCTION("""COMPUTED_VALUE"""),"busayaratp@airasia.com")</f>
        <v>busayaratp@airasia.com</v>
      </c>
    </row>
    <row r="351">
      <c r="A351">
        <f>IFERROR(__xludf.DUMMYFUNCTION("""COMPUTED_VALUE"""),1007010.0)</f>
        <v>1007010</v>
      </c>
      <c r="B351" t="str">
        <f>IFERROR(__xludf.DUMMYFUNCTION("""COMPUTED_VALUE"""),"Ms.")</f>
        <v>Ms.</v>
      </c>
      <c r="C351" t="str">
        <f>IFERROR(__xludf.DUMMYFUNCTION("""COMPUTED_VALUE"""),"Jadesadaporn")</f>
        <v>Jadesadaporn</v>
      </c>
      <c r="D351" t="str">
        <f>IFERROR(__xludf.DUMMYFUNCTION("""COMPUTED_VALUE"""),"Rungcharoen")</f>
        <v>Rungcharoen</v>
      </c>
      <c r="E351" t="str">
        <f>IFERROR(__xludf.DUMMYFUNCTION("""COMPUTED_VALUE"""),"Jadesadaporn Rungcharoen")</f>
        <v>Jadesadaporn Rungcharoen</v>
      </c>
      <c r="F351" t="str">
        <f>IFERROR(__xludf.DUMMYFUNCTION("""COMPUTED_VALUE"""),"นางสาว")</f>
        <v>นางสาว</v>
      </c>
      <c r="G351" t="str">
        <f>IFERROR(__xludf.DUMMYFUNCTION("""COMPUTED_VALUE"""),"เจษฎาภรณ์")</f>
        <v>เจษฎาภรณ์</v>
      </c>
      <c r="H351" t="str">
        <f>IFERROR(__xludf.DUMMYFUNCTION("""COMPUTED_VALUE"""),"รุ่งเจริญ")</f>
        <v>รุ่งเจริญ</v>
      </c>
      <c r="I351" t="str">
        <f>IFERROR(__xludf.DUMMYFUNCTION("""COMPUTED_VALUE"""),"เจษฎาภรณ์ รุ่งเจริญ")</f>
        <v>เจษฎาภรณ์ รุ่งเจริญ</v>
      </c>
      <c r="J351" t="str">
        <f>IFERROR(__xludf.DUMMYFUNCTION("""COMPUTED_VALUE"""),"เจษ")</f>
        <v>เจษ</v>
      </c>
      <c r="K351" t="str">
        <f>IFERROR(__xludf.DUMMYFUNCTION("""COMPUTED_VALUE"""),"Senior Cabin Crew - CNX")</f>
        <v>Senior Cabin Crew - CNX</v>
      </c>
      <c r="L351" t="str">
        <f>IFERROR(__xludf.DUMMYFUNCTION("""COMPUTED_VALUE"""),"CNX")</f>
        <v>CNX</v>
      </c>
      <c r="M351" s="145" t="str">
        <f>IFERROR(__xludf.DUMMYFUNCTION("""COMPUTED_VALUE"""),"Up Home")</f>
        <v>Up Home</v>
      </c>
      <c r="N351" t="str">
        <f>IFERROR(__xludf.DUMMYFUNCTION("""COMPUTED_VALUE"""),"Active")</f>
        <v>Active</v>
      </c>
      <c r="P351" s="143">
        <f>IFERROR(__xludf.DUMMYFUNCTION("""COMPUTED_VALUE"""),31160.0)</f>
        <v>31160</v>
      </c>
      <c r="Q351" s="146" t="str">
        <f>IFERROR(__xludf.DUMMYFUNCTION("""COMPUTED_VALUE"""),"063-582-9955")</f>
        <v>063-582-9955</v>
      </c>
      <c r="R351" s="147" t="str">
        <f>IFERROR(__xludf.DUMMYFUNCTION("""COMPUTED_VALUE"""),"1570700-03-1603")</f>
        <v>1570700-03-1603</v>
      </c>
      <c r="S351" t="str">
        <f>IFERROR(__xludf.DUMMYFUNCTION("""COMPUTED_VALUE"""),"AC5703322")</f>
        <v>AC5703322</v>
      </c>
      <c r="T351" s="148">
        <f>IFERROR(__xludf.DUMMYFUNCTION("""COMPUTED_VALUE"""),45182.0)</f>
        <v>45182</v>
      </c>
      <c r="U351" s="148">
        <f>IFERROR(__xludf.DUMMYFUNCTION("""COMPUTED_VALUE"""),48834.0)</f>
        <v>48834</v>
      </c>
      <c r="V351" s="149">
        <f>IFERROR(__xludf.DUMMYFUNCTION("""COMPUTED_VALUE"""),48650.0)</f>
        <v>48650</v>
      </c>
      <c r="W351" t="str">
        <f>IFERROR(__xludf.DUMMYFUNCTION("""COMPUTED_VALUE"""),"ปลอดภัย")</f>
        <v>ปลอดภัย</v>
      </c>
      <c r="X351" t="str">
        <f>IFERROR(__xludf.DUMMYFUNCTION("""COMPUTED_VALUE"""),"Chiang Rai Province")</f>
        <v>Chiang Rai Province</v>
      </c>
      <c r="Y351" t="str">
        <f>IFERROR(__xludf.DUMMYFUNCTION("""COMPUTED_VALUE"""),"Bangkapi")</f>
        <v>Bangkapi</v>
      </c>
      <c r="Z351" t="str">
        <f>IFERROR(__xludf.DUMMYFUNCTION("""COMPUTED_VALUE"""),"02 375 4100 / 081 614 1300")</f>
        <v>02 375 4100 / 081 614 1300</v>
      </c>
      <c r="AA351" t="str">
        <f>IFERROR(__xludf.DUMMYFUNCTION("""COMPUTED_VALUE"""),"Home / Mother")</f>
        <v>Home / Mother</v>
      </c>
      <c r="AB351" t="str">
        <f>IFERROR(__xludf.DUMMYFUNCTION("""COMPUTED_VALUE"""),"jadesadapornr@airasia.com")</f>
        <v>jadesadapornr@airasia.com</v>
      </c>
    </row>
    <row r="352">
      <c r="A352">
        <f>IFERROR(__xludf.DUMMYFUNCTION("""COMPUTED_VALUE"""),1007011.0)</f>
        <v>1007011</v>
      </c>
      <c r="B352" t="str">
        <f>IFERROR(__xludf.DUMMYFUNCTION("""COMPUTED_VALUE"""),"Ms.")</f>
        <v>Ms.</v>
      </c>
      <c r="C352" t="str">
        <f>IFERROR(__xludf.DUMMYFUNCTION("""COMPUTED_VALUE"""),"Jeeraprapa")</f>
        <v>Jeeraprapa</v>
      </c>
      <c r="D352" t="str">
        <f>IFERROR(__xludf.DUMMYFUNCTION("""COMPUTED_VALUE"""),"Tuptimdang")</f>
        <v>Tuptimdang</v>
      </c>
      <c r="E352" t="str">
        <f>IFERROR(__xludf.DUMMYFUNCTION("""COMPUTED_VALUE"""),"Jeeraprapa Tuptimdang")</f>
        <v>Jeeraprapa Tuptimdang</v>
      </c>
      <c r="F352" t="str">
        <f>IFERROR(__xludf.DUMMYFUNCTION("""COMPUTED_VALUE"""),"นางสาว")</f>
        <v>นางสาว</v>
      </c>
      <c r="G352" t="str">
        <f>IFERROR(__xludf.DUMMYFUNCTION("""COMPUTED_VALUE"""),"จีรประภา")</f>
        <v>จีรประภา</v>
      </c>
      <c r="H352" t="str">
        <f>IFERROR(__xludf.DUMMYFUNCTION("""COMPUTED_VALUE"""),"ทับทิมแดง")</f>
        <v>ทับทิมแดง</v>
      </c>
      <c r="I352" t="str">
        <f>IFERROR(__xludf.DUMMYFUNCTION("""COMPUTED_VALUE"""),"จีรประภา ทับทิมแดง")</f>
        <v>จีรประภา ทับทิมแดง</v>
      </c>
      <c r="J352" t="str">
        <f>IFERROR(__xludf.DUMMYFUNCTION("""COMPUTED_VALUE"""),"Kae")</f>
        <v>Kae</v>
      </c>
      <c r="K352" t="str">
        <f>IFERROR(__xludf.DUMMYFUNCTION("""COMPUTED_VALUE"""),"Cabin Crew")</f>
        <v>Cabin Crew</v>
      </c>
      <c r="L352" t="str">
        <f>IFERROR(__xludf.DUMMYFUNCTION("""COMPUTED_VALUE"""),"DMK")</f>
        <v>DMK</v>
      </c>
      <c r="M352" s="145" t="str">
        <f>IFERROR(__xludf.DUMMYFUNCTION("""COMPUTED_VALUE"""),"Por+ Home")</f>
        <v>Por+ Home</v>
      </c>
      <c r="N352" t="str">
        <f>IFERROR(__xludf.DUMMYFUNCTION("""COMPUTED_VALUE"""),"Active")</f>
        <v>Active</v>
      </c>
      <c r="P352" s="143">
        <f>IFERROR(__xludf.DUMMYFUNCTION("""COMPUTED_VALUE"""),32675.0)</f>
        <v>32675</v>
      </c>
      <c r="Q352" s="146" t="str">
        <f>IFERROR(__xludf.DUMMYFUNCTION("""COMPUTED_VALUE"""),"083 629 4454")</f>
        <v>083 629 4454</v>
      </c>
      <c r="R352" s="147" t="str">
        <f>IFERROR(__xludf.DUMMYFUNCTION("""COMPUTED_VALUE"""),"1100400-39-8262")</f>
        <v>1100400-39-8262</v>
      </c>
      <c r="S352" t="str">
        <f>IFERROR(__xludf.DUMMYFUNCTION("""COMPUTED_VALUE"""),"AC2248096")</f>
        <v>AC2248096</v>
      </c>
      <c r="T352" s="148">
        <f>IFERROR(__xludf.DUMMYFUNCTION("""COMPUTED_VALUE"""),44305.0)</f>
        <v>44305</v>
      </c>
      <c r="U352" s="148">
        <f>IFERROR(__xludf.DUMMYFUNCTION("""COMPUTED_VALUE"""),47956.0)</f>
        <v>47956</v>
      </c>
      <c r="V352" s="149">
        <f>IFERROR(__xludf.DUMMYFUNCTION("""COMPUTED_VALUE"""),47774.0)</f>
        <v>47774</v>
      </c>
      <c r="W352" t="str">
        <f>IFERROR(__xludf.DUMMYFUNCTION("""COMPUTED_VALUE"""),"ปลอดภัย")</f>
        <v>ปลอดภัย</v>
      </c>
      <c r="X352" t="str">
        <f>IFERROR(__xludf.DUMMYFUNCTION("""COMPUTED_VALUE"""),"Bangkok")</f>
        <v>Bangkok</v>
      </c>
      <c r="Y352" t="str">
        <f>IFERROR(__xludf.DUMMYFUNCTION("""COMPUTED_VALUE"""),"Bangkok noi")</f>
        <v>Bangkok noi</v>
      </c>
      <c r="Z352" t="str">
        <f>IFERROR(__xludf.DUMMYFUNCTION("""COMPUTED_VALUE"""),"02 412 1874 / 086 325 1402")</f>
        <v>02 412 1874 / 086 325 1402</v>
      </c>
      <c r="AA352" t="str">
        <f>IFERROR(__xludf.DUMMYFUNCTION("""COMPUTED_VALUE"""),"Home / Father")</f>
        <v>Home / Father</v>
      </c>
      <c r="AB352" t="str">
        <f>IFERROR(__xludf.DUMMYFUNCTION("""COMPUTED_VALUE"""),"jeeraprapat@airasia.com")</f>
        <v>jeeraprapat@airasia.com</v>
      </c>
    </row>
    <row r="353">
      <c r="A353">
        <f>IFERROR(__xludf.DUMMYFUNCTION("""COMPUTED_VALUE"""),1007012.0)</f>
        <v>1007012</v>
      </c>
      <c r="B353" t="str">
        <f>IFERROR(__xludf.DUMMYFUNCTION("""COMPUTED_VALUE"""),"Ms.")</f>
        <v>Ms.</v>
      </c>
      <c r="C353" t="str">
        <f>IFERROR(__xludf.DUMMYFUNCTION("""COMPUTED_VALUE"""),"Nualpran")</f>
        <v>Nualpran</v>
      </c>
      <c r="D353" t="str">
        <f>IFERROR(__xludf.DUMMYFUNCTION("""COMPUTED_VALUE"""),"Waitayachaiwat")</f>
        <v>Waitayachaiwat</v>
      </c>
      <c r="E353" t="str">
        <f>IFERROR(__xludf.DUMMYFUNCTION("""COMPUTED_VALUE"""),"Nualpran Waitayachaiwat")</f>
        <v>Nualpran Waitayachaiwat</v>
      </c>
      <c r="F353" t="str">
        <f>IFERROR(__xludf.DUMMYFUNCTION("""COMPUTED_VALUE"""),"นางสาว")</f>
        <v>นางสาว</v>
      </c>
      <c r="G353" t="str">
        <f>IFERROR(__xludf.DUMMYFUNCTION("""COMPUTED_VALUE"""),"นวลพรรณ")</f>
        <v>นวลพรรณ</v>
      </c>
      <c r="H353" t="str">
        <f>IFERROR(__xludf.DUMMYFUNCTION("""COMPUTED_VALUE"""),"ไวทยะชัยวัฒน์")</f>
        <v>ไวทยะชัยวัฒน์</v>
      </c>
      <c r="I353" t="str">
        <f>IFERROR(__xludf.DUMMYFUNCTION("""COMPUTED_VALUE"""),"นวลพรรณ ไวทยะชัยวัฒน์")</f>
        <v>นวลพรรณ ไวทยะชัยวัฒน์</v>
      </c>
      <c r="J353" t="str">
        <f>IFERROR(__xludf.DUMMYFUNCTION("""COMPUTED_VALUE"""),"Ploi")</f>
        <v>Ploi</v>
      </c>
      <c r="K353" t="str">
        <f>IFERROR(__xludf.DUMMYFUNCTION("""COMPUTED_VALUE"""),"Senior Cabin Crew")</f>
        <v>Senior Cabin Crew</v>
      </c>
      <c r="L353" t="str">
        <f>IFERROR(__xludf.DUMMYFUNCTION("""COMPUTED_VALUE"""),"DMK")</f>
        <v>DMK</v>
      </c>
      <c r="M353" s="145" t="str">
        <f>IFERROR(__xludf.DUMMYFUNCTION("""COMPUTED_VALUE"""),"Por+ Home")</f>
        <v>Por+ Home</v>
      </c>
      <c r="N353" t="str">
        <f>IFERROR(__xludf.DUMMYFUNCTION("""COMPUTED_VALUE"""),"Active")</f>
        <v>Active</v>
      </c>
      <c r="P353" s="143">
        <f>IFERROR(__xludf.DUMMYFUNCTION("""COMPUTED_VALUE"""),31943.0)</f>
        <v>31943</v>
      </c>
      <c r="Q353" s="146" t="str">
        <f>IFERROR(__xludf.DUMMYFUNCTION("""COMPUTED_VALUE"""),"083 014 5261")</f>
        <v>083 014 5261</v>
      </c>
      <c r="R353" s="147" t="str">
        <f>IFERROR(__xludf.DUMMYFUNCTION("""COMPUTED_VALUE"""),"1710600-09-4857")</f>
        <v>1710600-09-4857</v>
      </c>
      <c r="S353" t="str">
        <f>IFERROR(__xludf.DUMMYFUNCTION("""COMPUTED_VALUE"""),"AC6815743")</f>
        <v>AC6815743</v>
      </c>
      <c r="T353" s="148">
        <f>IFERROR(__xludf.DUMMYFUNCTION("""COMPUTED_VALUE"""),45442.0)</f>
        <v>45442</v>
      </c>
      <c r="U353" s="148">
        <f>IFERROR(__xludf.DUMMYFUNCTION("""COMPUTED_VALUE"""),49093.0)</f>
        <v>49093</v>
      </c>
      <c r="V353" s="149">
        <f>IFERROR(__xludf.DUMMYFUNCTION("""COMPUTED_VALUE"""),48912.0)</f>
        <v>48912</v>
      </c>
      <c r="W353" t="str">
        <f>IFERROR(__xludf.DUMMYFUNCTION("""COMPUTED_VALUE"""),"ปลอดภัย")</f>
        <v>ปลอดภัย</v>
      </c>
      <c r="X353" t="str">
        <f>IFERROR(__xludf.DUMMYFUNCTION("""COMPUTED_VALUE"""),"Kanchanaburi Province")</f>
        <v>Kanchanaburi Province</v>
      </c>
      <c r="Y353" t="str">
        <f>IFERROR(__xludf.DUMMYFUNCTION("""COMPUTED_VALUE"""),"Bangkhaen")</f>
        <v>Bangkhaen</v>
      </c>
      <c r="Z353" t="str">
        <f>IFERROR(__xludf.DUMMYFUNCTION("""COMPUTED_VALUE"""),"083 295 9149")</f>
        <v>083 295 9149</v>
      </c>
      <c r="AA353" t="str">
        <f>IFERROR(__xludf.DUMMYFUNCTION("""COMPUTED_VALUE"""),"Father")</f>
        <v>Father</v>
      </c>
      <c r="AB353" t="str">
        <f>IFERROR(__xludf.DUMMYFUNCTION("""COMPUTED_VALUE"""),"nualpranw@airasia.com")</f>
        <v>nualpranw@airasia.com</v>
      </c>
    </row>
    <row r="354">
      <c r="A354">
        <f>IFERROR(__xludf.DUMMYFUNCTION("""COMPUTED_VALUE"""),1007013.0)</f>
        <v>1007013</v>
      </c>
      <c r="B354" t="str">
        <f>IFERROR(__xludf.DUMMYFUNCTION("""COMPUTED_VALUE"""),"Ms.")</f>
        <v>Ms.</v>
      </c>
      <c r="C354" t="str">
        <f>IFERROR(__xludf.DUMMYFUNCTION("""COMPUTED_VALUE"""),"Pattamaporn")</f>
        <v>Pattamaporn</v>
      </c>
      <c r="D354" t="str">
        <f>IFERROR(__xludf.DUMMYFUNCTION("""COMPUTED_VALUE"""),"Thamasathitporn")</f>
        <v>Thamasathitporn</v>
      </c>
      <c r="E354" t="str">
        <f>IFERROR(__xludf.DUMMYFUNCTION("""COMPUTED_VALUE"""),"Pattamaporn Thamasathitporn")</f>
        <v>Pattamaporn Thamasathitporn</v>
      </c>
      <c r="F354" t="str">
        <f>IFERROR(__xludf.DUMMYFUNCTION("""COMPUTED_VALUE"""),"นางสาว")</f>
        <v>นางสาว</v>
      </c>
      <c r="G354" t="str">
        <f>IFERROR(__xludf.DUMMYFUNCTION("""COMPUTED_VALUE"""),"ปัทมาภรณ์")</f>
        <v>ปัทมาภรณ์</v>
      </c>
      <c r="H354" t="str">
        <f>IFERROR(__xludf.DUMMYFUNCTION("""COMPUTED_VALUE"""),"ธรรมสถิตย์พร")</f>
        <v>ธรรมสถิตย์พร</v>
      </c>
      <c r="I354" t="str">
        <f>IFERROR(__xludf.DUMMYFUNCTION("""COMPUTED_VALUE"""),"ปัทมาภรณ์ ธรรมสถิตย์พร")</f>
        <v>ปัทมาภรณ์ ธรรมสถิตย์พร</v>
      </c>
      <c r="J354" t="str">
        <f>IFERROR(__xludf.DUMMYFUNCTION("""COMPUTED_VALUE"""),"น้ำหนึ่ง")</f>
        <v>น้ำหนึ่ง</v>
      </c>
      <c r="K354" t="str">
        <f>IFERROR(__xludf.DUMMYFUNCTION("""COMPUTED_VALUE"""),"Senior Cabin Crew")</f>
        <v>Senior Cabin Crew</v>
      </c>
      <c r="L354" t="str">
        <f>IFERROR(__xludf.DUMMYFUNCTION("""COMPUTED_VALUE"""),"DMK")</f>
        <v>DMK</v>
      </c>
      <c r="M354" s="145" t="str">
        <f>IFERROR(__xludf.DUMMYFUNCTION("""COMPUTED_VALUE"""),"Toffy Home")</f>
        <v>Toffy Home</v>
      </c>
      <c r="N354" t="str">
        <f>IFERROR(__xludf.DUMMYFUNCTION("""COMPUTED_VALUE"""),"Active")</f>
        <v>Active</v>
      </c>
      <c r="P354" s="143">
        <f>IFERROR(__xludf.DUMMYFUNCTION("""COMPUTED_VALUE"""),32257.0)</f>
        <v>32257</v>
      </c>
      <c r="Q354" s="146" t="str">
        <f>IFERROR(__xludf.DUMMYFUNCTION("""COMPUTED_VALUE"""),"094 445 5694")</f>
        <v>094 445 5694</v>
      </c>
      <c r="R354" s="147" t="str">
        <f>IFERROR(__xludf.DUMMYFUNCTION("""COMPUTED_VALUE"""),"1100800-44-3893")</f>
        <v>1100800-44-3893</v>
      </c>
      <c r="S354" t="str">
        <f>IFERROR(__xludf.DUMMYFUNCTION("""COMPUTED_VALUE"""),"AD0089912")</f>
        <v>AD0089912</v>
      </c>
      <c r="T354" s="148">
        <f>IFERROR(__xludf.DUMMYFUNCTION("""COMPUTED_VALUE"""),45199.0)</f>
        <v>45199</v>
      </c>
      <c r="U354" s="148">
        <f>IFERROR(__xludf.DUMMYFUNCTION("""COMPUTED_VALUE"""),48486.0)</f>
        <v>48486</v>
      </c>
      <c r="V354" s="149">
        <f>IFERROR(__xludf.DUMMYFUNCTION("""COMPUTED_VALUE"""),48302.0)</f>
        <v>48302</v>
      </c>
      <c r="W354" t="str">
        <f>IFERROR(__xludf.DUMMYFUNCTION("""COMPUTED_VALUE"""),"ปลอดภัย")</f>
        <v>ปลอดภัย</v>
      </c>
      <c r="X354" t="str">
        <f>IFERROR(__xludf.DUMMYFUNCTION("""COMPUTED_VALUE"""),"Bangkok")</f>
        <v>Bangkok</v>
      </c>
      <c r="Y354" t="str">
        <f>IFERROR(__xludf.DUMMYFUNCTION("""COMPUTED_VALUE"""),"Nonthaburi")</f>
        <v>Nonthaburi</v>
      </c>
      <c r="Z354" t="str">
        <f>IFERROR(__xludf.DUMMYFUNCTION("""COMPUTED_VALUE"""),"081 969 3317")</f>
        <v>081 969 3317</v>
      </c>
      <c r="AA354" t="str">
        <f>IFERROR(__xludf.DUMMYFUNCTION("""COMPUTED_VALUE"""),"Father")</f>
        <v>Father</v>
      </c>
      <c r="AB354" t="str">
        <f>IFERROR(__xludf.DUMMYFUNCTION("""COMPUTED_VALUE"""),"pattamapornt@airasia.com")</f>
        <v>pattamapornt@airasia.com</v>
      </c>
    </row>
    <row r="355">
      <c r="A355">
        <f>IFERROR(__xludf.DUMMYFUNCTION("""COMPUTED_VALUE"""),1007014.0)</f>
        <v>1007014</v>
      </c>
      <c r="B355" t="str">
        <f>IFERROR(__xludf.DUMMYFUNCTION("""COMPUTED_VALUE"""),"Mr.")</f>
        <v>Mr.</v>
      </c>
      <c r="C355" t="str">
        <f>IFERROR(__xludf.DUMMYFUNCTION("""COMPUTED_VALUE"""),"Piyanut")</f>
        <v>Piyanut</v>
      </c>
      <c r="D355" t="str">
        <f>IFERROR(__xludf.DUMMYFUNCTION("""COMPUTED_VALUE"""),"Nainet")</f>
        <v>Nainet</v>
      </c>
      <c r="E355" t="str">
        <f>IFERROR(__xludf.DUMMYFUNCTION("""COMPUTED_VALUE"""),"Piyanut Nainet")</f>
        <v>Piyanut Nainet</v>
      </c>
      <c r="F355" t="str">
        <f>IFERROR(__xludf.DUMMYFUNCTION("""COMPUTED_VALUE"""),"นาย")</f>
        <v>นาย</v>
      </c>
      <c r="G355" t="str">
        <f>IFERROR(__xludf.DUMMYFUNCTION("""COMPUTED_VALUE"""),"ปิยะณัฐ")</f>
        <v>ปิยะณัฐ</v>
      </c>
      <c r="H355" t="str">
        <f>IFERROR(__xludf.DUMMYFUNCTION("""COMPUTED_VALUE"""),"นัยเนตร")</f>
        <v>นัยเนตร</v>
      </c>
      <c r="I355" t="str">
        <f>IFERROR(__xludf.DUMMYFUNCTION("""COMPUTED_VALUE"""),"ปิยะณัฐ นัยเนตร")</f>
        <v>ปิยะณัฐ นัยเนตร</v>
      </c>
      <c r="J355" t="str">
        <f>IFERROR(__xludf.DUMMYFUNCTION("""COMPUTED_VALUE"""),"Heen")</f>
        <v>Heen</v>
      </c>
      <c r="K355" t="str">
        <f>IFERROR(__xludf.DUMMYFUNCTION("""COMPUTED_VALUE"""),"Senior Cabin Crew")</f>
        <v>Senior Cabin Crew</v>
      </c>
      <c r="L355" t="str">
        <f>IFERROR(__xludf.DUMMYFUNCTION("""COMPUTED_VALUE"""),"DMK")</f>
        <v>DMK</v>
      </c>
      <c r="M355" s="145" t="str">
        <f>IFERROR(__xludf.DUMMYFUNCTION("""COMPUTED_VALUE"""),"Namfon Home")</f>
        <v>Namfon Home</v>
      </c>
      <c r="N355" t="str">
        <f>IFERROR(__xludf.DUMMYFUNCTION("""COMPUTED_VALUE"""),"Active/ORD")</f>
        <v>Active/ORD</v>
      </c>
      <c r="P355" s="143">
        <f>IFERROR(__xludf.DUMMYFUNCTION("""COMPUTED_VALUE"""),32977.0)</f>
        <v>32977</v>
      </c>
      <c r="Q355" s="146" t="str">
        <f>IFERROR(__xludf.DUMMYFUNCTION("""COMPUTED_VALUE"""),"081 439 9944")</f>
        <v>081 439 9944</v>
      </c>
      <c r="R355" s="147" t="str">
        <f>IFERROR(__xludf.DUMMYFUNCTION("""COMPUTED_VALUE"""),"1103700-10-2680")</f>
        <v>1103700-10-2680</v>
      </c>
      <c r="S355" t="str">
        <f>IFERROR(__xludf.DUMMYFUNCTION("""COMPUTED_VALUE"""),"AC4157472")</f>
        <v>AC4157472</v>
      </c>
      <c r="T355" s="148">
        <f>IFERROR(__xludf.DUMMYFUNCTION("""COMPUTED_VALUE"""),44886.0)</f>
        <v>44886</v>
      </c>
      <c r="U355" s="148">
        <f>IFERROR(__xludf.DUMMYFUNCTION("""COMPUTED_VALUE"""),48538.0)</f>
        <v>48538</v>
      </c>
      <c r="V355" s="149">
        <f>IFERROR(__xludf.DUMMYFUNCTION("""COMPUTED_VALUE"""),48354.0)</f>
        <v>48354</v>
      </c>
      <c r="W355" t="str">
        <f>IFERROR(__xludf.DUMMYFUNCTION("""COMPUTED_VALUE"""),"ปลอดภัย")</f>
        <v>ปลอดภัย</v>
      </c>
      <c r="X355" t="str">
        <f>IFERROR(__xludf.DUMMYFUNCTION("""COMPUTED_VALUE"""),"Bangkok")</f>
        <v>Bangkok</v>
      </c>
      <c r="Y355" t="str">
        <f>IFERROR(__xludf.DUMMYFUNCTION("""COMPUTED_VALUE"""),"Kannayao")</f>
        <v>Kannayao</v>
      </c>
      <c r="Z355" t="str">
        <f>IFERROR(__xludf.DUMMYFUNCTION("""COMPUTED_VALUE"""),"02 376 1473 / 087 079 9603/ 088 2480942")</f>
        <v>02 376 1473 / 087 079 9603/ 088 2480942</v>
      </c>
      <c r="AA355" t="str">
        <f>IFERROR(__xludf.DUMMYFUNCTION("""COMPUTED_VALUE"""),"Home / Mother")</f>
        <v>Home / Mother</v>
      </c>
      <c r="AB355" t="str">
        <f>IFERROR(__xludf.DUMMYFUNCTION("""COMPUTED_VALUE"""),"piyanutn@airasia.com")</f>
        <v>piyanutn@airasia.com</v>
      </c>
    </row>
    <row r="356">
      <c r="A356">
        <f>IFERROR(__xludf.DUMMYFUNCTION("""COMPUTED_VALUE"""),1007015.0)</f>
        <v>1007015</v>
      </c>
      <c r="B356" t="str">
        <f>IFERROR(__xludf.DUMMYFUNCTION("""COMPUTED_VALUE"""),"Ms.")</f>
        <v>Ms.</v>
      </c>
      <c r="C356" t="str">
        <f>IFERROR(__xludf.DUMMYFUNCTION("""COMPUTED_VALUE"""),"Ramida")</f>
        <v>Ramida</v>
      </c>
      <c r="D356" t="str">
        <f>IFERROR(__xludf.DUMMYFUNCTION("""COMPUTED_VALUE"""),"Boonpromma")</f>
        <v>Boonpromma</v>
      </c>
      <c r="E356" t="str">
        <f>IFERROR(__xludf.DUMMYFUNCTION("""COMPUTED_VALUE"""),"Ramida Boonpromma")</f>
        <v>Ramida Boonpromma</v>
      </c>
      <c r="F356" t="str">
        <f>IFERROR(__xludf.DUMMYFUNCTION("""COMPUTED_VALUE"""),"นางสาว")</f>
        <v>นางสาว</v>
      </c>
      <c r="G356" t="str">
        <f>IFERROR(__xludf.DUMMYFUNCTION("""COMPUTED_VALUE"""),"รมิดา")</f>
        <v>รมิดา</v>
      </c>
      <c r="H356" t="str">
        <f>IFERROR(__xludf.DUMMYFUNCTION("""COMPUTED_VALUE"""),"บุญพรมมา")</f>
        <v>บุญพรมมา</v>
      </c>
      <c r="I356" t="str">
        <f>IFERROR(__xludf.DUMMYFUNCTION("""COMPUTED_VALUE"""),"รมิดา บุญพรมมา")</f>
        <v>รมิดา บุญพรมมา</v>
      </c>
      <c r="J356" t="str">
        <f>IFERROR(__xludf.DUMMYFUNCTION("""COMPUTED_VALUE"""),"Ramie")</f>
        <v>Ramie</v>
      </c>
      <c r="K356" t="str">
        <f>IFERROR(__xludf.DUMMYFUNCTION("""COMPUTED_VALUE"""),"Cabin Crew - BKK")</f>
        <v>Cabin Crew - BKK</v>
      </c>
      <c r="L356" t="str">
        <f>IFERROR(__xludf.DUMMYFUNCTION("""COMPUTED_VALUE"""),"BKK")</f>
        <v>BKK</v>
      </c>
      <c r="M356" s="145" t="str">
        <f>IFERROR(__xludf.DUMMYFUNCTION("""COMPUTED_VALUE"""),"Nhui Home")</f>
        <v>Nhui Home</v>
      </c>
      <c r="N356" t="str">
        <f>IFERROR(__xludf.DUMMYFUNCTION("""COMPUTED_VALUE"""),"Active")</f>
        <v>Active</v>
      </c>
      <c r="P356" s="143">
        <f>IFERROR(__xludf.DUMMYFUNCTION("""COMPUTED_VALUE"""),31048.0)</f>
        <v>31048</v>
      </c>
      <c r="Q356" s="146" t="str">
        <f>IFERROR(__xludf.DUMMYFUNCTION("""COMPUTED_VALUE"""),"081 110 6120")</f>
        <v>081 110 6120</v>
      </c>
      <c r="R356" s="147" t="str">
        <f>IFERROR(__xludf.DUMMYFUNCTION("""COMPUTED_VALUE"""),"1430900-02-6744")</f>
        <v>1430900-02-6744</v>
      </c>
      <c r="S356" t="str">
        <f>IFERROR(__xludf.DUMMYFUNCTION("""COMPUTED_VALUE"""),"AC6032386")</f>
        <v>AC6032386</v>
      </c>
      <c r="T356" s="148">
        <f>IFERROR(__xludf.DUMMYFUNCTION("""COMPUTED_VALUE"""),45236.0)</f>
        <v>45236</v>
      </c>
      <c r="U356" s="148">
        <f>IFERROR(__xludf.DUMMYFUNCTION("""COMPUTED_VALUE"""),48888.0)</f>
        <v>48888</v>
      </c>
      <c r="V356" s="149">
        <f>IFERROR(__xludf.DUMMYFUNCTION("""COMPUTED_VALUE"""),48704.0)</f>
        <v>48704</v>
      </c>
      <c r="W356" t="str">
        <f>IFERROR(__xludf.DUMMYFUNCTION("""COMPUTED_VALUE"""),"ปลอดภัย")</f>
        <v>ปลอดภัย</v>
      </c>
      <c r="X356" t="str">
        <f>IFERROR(__xludf.DUMMYFUNCTION("""COMPUTED_VALUE"""),"Nong Khai Province")</f>
        <v>Nong Khai Province</v>
      </c>
      <c r="Y356" t="str">
        <f>IFERROR(__xludf.DUMMYFUNCTION("""COMPUTED_VALUE"""),"Dindaeng")</f>
        <v>Dindaeng</v>
      </c>
      <c r="Z356" t="str">
        <f>IFERROR(__xludf.DUMMYFUNCTION("""COMPUTED_VALUE"""),"084 428 2959")</f>
        <v>084 428 2959</v>
      </c>
      <c r="AA356" t="str">
        <f>IFERROR(__xludf.DUMMYFUNCTION("""COMPUTED_VALUE"""),"Mother")</f>
        <v>Mother</v>
      </c>
      <c r="AB356" t="str">
        <f>IFERROR(__xludf.DUMMYFUNCTION("""COMPUTED_VALUE"""),"ramidab@airasia.com")</f>
        <v>ramidab@airasia.com</v>
      </c>
    </row>
    <row r="357">
      <c r="A357">
        <f>IFERROR(__xludf.DUMMYFUNCTION("""COMPUTED_VALUE"""),1007016.0)</f>
        <v>1007016</v>
      </c>
      <c r="B357" t="str">
        <f>IFERROR(__xludf.DUMMYFUNCTION("""COMPUTED_VALUE"""),"Ms.")</f>
        <v>Ms.</v>
      </c>
      <c r="C357" t="str">
        <f>IFERROR(__xludf.DUMMYFUNCTION("""COMPUTED_VALUE"""),"Sathita")</f>
        <v>Sathita</v>
      </c>
      <c r="D357" t="str">
        <f>IFERROR(__xludf.DUMMYFUNCTION("""COMPUTED_VALUE"""),"Pongsomran")</f>
        <v>Pongsomran</v>
      </c>
      <c r="E357" t="str">
        <f>IFERROR(__xludf.DUMMYFUNCTION("""COMPUTED_VALUE"""),"Sathita Pongsomran")</f>
        <v>Sathita Pongsomran</v>
      </c>
      <c r="F357" t="str">
        <f>IFERROR(__xludf.DUMMYFUNCTION("""COMPUTED_VALUE"""),"นางสาว")</f>
        <v>นางสาว</v>
      </c>
      <c r="G357" t="str">
        <f>IFERROR(__xludf.DUMMYFUNCTION("""COMPUTED_VALUE"""),"สาธิตา")</f>
        <v>สาธิตา</v>
      </c>
      <c r="H357" t="str">
        <f>IFERROR(__xludf.DUMMYFUNCTION("""COMPUTED_VALUE"""),"พงช์สำราญ")</f>
        <v>พงช์สำราญ</v>
      </c>
      <c r="I357" t="str">
        <f>IFERROR(__xludf.DUMMYFUNCTION("""COMPUTED_VALUE"""),"สาธิตา พงช์สำราญ")</f>
        <v>สาธิตา พงช์สำราญ</v>
      </c>
      <c r="J357" t="str">
        <f>IFERROR(__xludf.DUMMYFUNCTION("""COMPUTED_VALUE"""),"Yelly")</f>
        <v>Yelly</v>
      </c>
      <c r="K357" t="str">
        <f>IFERROR(__xludf.DUMMYFUNCTION("""COMPUTED_VALUE"""),"Cabin Crew")</f>
        <v>Cabin Crew</v>
      </c>
      <c r="L357" t="str">
        <f>IFERROR(__xludf.DUMMYFUNCTION("""COMPUTED_VALUE"""),"DMK")</f>
        <v>DMK</v>
      </c>
      <c r="M357" s="145" t="str">
        <f>IFERROR(__xludf.DUMMYFUNCTION("""COMPUTED_VALUE"""),"Um Home")</f>
        <v>Um Home</v>
      </c>
      <c r="N357" t="str">
        <f>IFERROR(__xludf.DUMMYFUNCTION("""COMPUTED_VALUE"""),"Active")</f>
        <v>Active</v>
      </c>
      <c r="P357" s="143">
        <f>IFERROR(__xludf.DUMMYFUNCTION("""COMPUTED_VALUE"""),30883.0)</f>
        <v>30883</v>
      </c>
      <c r="Q357" s="146">
        <f>IFERROR(__xludf.DUMMYFUNCTION("""COMPUTED_VALUE"""),9.53626663E8)</f>
        <v>953626663</v>
      </c>
      <c r="R357" s="147" t="str">
        <f>IFERROR(__xludf.DUMMYFUNCTION("""COMPUTED_VALUE"""),"1101400-19-5001")</f>
        <v>1101400-19-5001</v>
      </c>
      <c r="S357" t="str">
        <f>IFERROR(__xludf.DUMMYFUNCTION("""COMPUTED_VALUE"""),"ad1867198")</f>
        <v>ad1867198</v>
      </c>
      <c r="T357" s="148">
        <f>IFERROR(__xludf.DUMMYFUNCTION("""COMPUTED_VALUE"""),45474.0)</f>
        <v>45474</v>
      </c>
      <c r="U357" s="148">
        <f>IFERROR(__xludf.DUMMYFUNCTION("""COMPUTED_VALUE"""),49098.0)</f>
        <v>49098</v>
      </c>
      <c r="V357" s="149">
        <f>IFERROR(__xludf.DUMMYFUNCTION("""COMPUTED_VALUE"""),48916.0)</f>
        <v>48916</v>
      </c>
      <c r="W357" t="str">
        <f>IFERROR(__xludf.DUMMYFUNCTION("""COMPUTED_VALUE"""),"ปลอดภัย")</f>
        <v>ปลอดภัย</v>
      </c>
      <c r="X357" t="str">
        <f>IFERROR(__xludf.DUMMYFUNCTION("""COMPUTED_VALUE"""),"Bangkok")</f>
        <v>Bangkok</v>
      </c>
      <c r="Y357" t="str">
        <f>IFERROR(__xludf.DUMMYFUNCTION("""COMPUTED_VALUE"""),"Pathumthani")</f>
        <v>Pathumthani</v>
      </c>
      <c r="Z357" t="str">
        <f>IFERROR(__xludf.DUMMYFUNCTION("""COMPUTED_VALUE"""),"02 533 9497 / 081 869 9917")</f>
        <v>02 533 9497 / 081 869 9917</v>
      </c>
      <c r="AA357" t="str">
        <f>IFERROR(__xludf.DUMMYFUNCTION("""COMPUTED_VALUE"""),"Home / Friend")</f>
        <v>Home / Friend</v>
      </c>
      <c r="AB357" t="str">
        <f>IFERROR(__xludf.DUMMYFUNCTION("""COMPUTED_VALUE"""),"sathitap@airasia.com")</f>
        <v>sathitap@airasia.com</v>
      </c>
    </row>
    <row r="358">
      <c r="A358">
        <f>IFERROR(__xludf.DUMMYFUNCTION("""COMPUTED_VALUE"""),1007020.0)</f>
        <v>1007020</v>
      </c>
      <c r="B358" t="str">
        <f>IFERROR(__xludf.DUMMYFUNCTION("""COMPUTED_VALUE"""),"Ms.")</f>
        <v>Ms.</v>
      </c>
      <c r="C358" t="str">
        <f>IFERROR(__xludf.DUMMYFUNCTION("""COMPUTED_VALUE"""),"Thamonwan")</f>
        <v>Thamonwan</v>
      </c>
      <c r="D358" t="str">
        <f>IFERROR(__xludf.DUMMYFUNCTION("""COMPUTED_VALUE"""),"Chinnarukbumrung")</f>
        <v>Chinnarukbumrung</v>
      </c>
      <c r="E358" t="str">
        <f>IFERROR(__xludf.DUMMYFUNCTION("""COMPUTED_VALUE"""),"Thamonwan Chinnarukbumrung")</f>
        <v>Thamonwan Chinnarukbumrung</v>
      </c>
      <c r="F358" t="str">
        <f>IFERROR(__xludf.DUMMYFUNCTION("""COMPUTED_VALUE"""),"นางสาว")</f>
        <v>นางสาว</v>
      </c>
      <c r="G358" t="str">
        <f>IFERROR(__xludf.DUMMYFUNCTION("""COMPUTED_VALUE"""),"ธมลวรรณ")</f>
        <v>ธมลวรรณ</v>
      </c>
      <c r="H358" t="str">
        <f>IFERROR(__xludf.DUMMYFUNCTION("""COMPUTED_VALUE"""),"ชินรักษ์บำรุง")</f>
        <v>ชินรักษ์บำรุง</v>
      </c>
      <c r="I358" t="str">
        <f>IFERROR(__xludf.DUMMYFUNCTION("""COMPUTED_VALUE"""),"ธมลวรรณ ชินรักษ์บำรุง")</f>
        <v>ธมลวรรณ ชินรักษ์บำรุง</v>
      </c>
      <c r="J358" t="str">
        <f>IFERROR(__xludf.DUMMYFUNCTION("""COMPUTED_VALUE"""),"Zine")</f>
        <v>Zine</v>
      </c>
      <c r="K358" t="str">
        <f>IFERROR(__xludf.DUMMYFUNCTION("""COMPUTED_VALUE"""),"Cabin Crew")</f>
        <v>Cabin Crew</v>
      </c>
      <c r="L358" t="str">
        <f>IFERROR(__xludf.DUMMYFUNCTION("""COMPUTED_VALUE"""),"DMK")</f>
        <v>DMK</v>
      </c>
      <c r="M358" s="145" t="str">
        <f>IFERROR(__xludf.DUMMYFUNCTION("""COMPUTED_VALUE"""),"Toffy Home")</f>
        <v>Toffy Home</v>
      </c>
      <c r="N358" t="str">
        <f>IFERROR(__xludf.DUMMYFUNCTION("""COMPUTED_VALUE"""),"Active")</f>
        <v>Active</v>
      </c>
      <c r="P358" s="143">
        <f>IFERROR(__xludf.DUMMYFUNCTION("""COMPUTED_VALUE"""),32699.0)</f>
        <v>32699</v>
      </c>
      <c r="Q358" s="146" t="str">
        <f>IFERROR(__xludf.DUMMYFUNCTION("""COMPUTED_VALUE"""),"080 448 4758")</f>
        <v>080 448 4758</v>
      </c>
      <c r="R358" s="147" t="str">
        <f>IFERROR(__xludf.DUMMYFUNCTION("""COMPUTED_VALUE"""),"1100701-01-6741")</f>
        <v>1100701-01-6741</v>
      </c>
      <c r="S358" t="str">
        <f>IFERROR(__xludf.DUMMYFUNCTION("""COMPUTED_VALUE"""),"AC2937966")</f>
        <v>AC2937966</v>
      </c>
      <c r="T358" s="148">
        <f>IFERROR(__xludf.DUMMYFUNCTION("""COMPUTED_VALUE"""),44630.0)</f>
        <v>44630</v>
      </c>
      <c r="U358" s="148">
        <f>IFERROR(__xludf.DUMMYFUNCTION("""COMPUTED_VALUE"""),46455.0)</f>
        <v>46455</v>
      </c>
      <c r="V358" s="149">
        <f>IFERROR(__xludf.DUMMYFUNCTION("""COMPUTED_VALUE"""),46274.0)</f>
        <v>46274</v>
      </c>
      <c r="W358" t="str">
        <f>IFERROR(__xludf.DUMMYFUNCTION("""COMPUTED_VALUE"""),"ปลอดภัย")</f>
        <v>ปลอดภัย</v>
      </c>
      <c r="X358" t="str">
        <f>IFERROR(__xludf.DUMMYFUNCTION("""COMPUTED_VALUE"""),"Bangkok")</f>
        <v>Bangkok</v>
      </c>
      <c r="Y358" t="str">
        <f>IFERROR(__xludf.DUMMYFUNCTION("""COMPUTED_VALUE"""),"Samutprakarn")</f>
        <v>Samutprakarn</v>
      </c>
      <c r="Z358" t="str">
        <f>IFERROR(__xludf.DUMMYFUNCTION("""COMPUTED_VALUE"""),"02 393 7913 / 081 819 1365")</f>
        <v>02 393 7913 / 081 819 1365</v>
      </c>
      <c r="AA358" t="str">
        <f>IFERROR(__xludf.DUMMYFUNCTION("""COMPUTED_VALUE"""),"Home / Mother")</f>
        <v>Home / Mother</v>
      </c>
      <c r="AB358" t="str">
        <f>IFERROR(__xludf.DUMMYFUNCTION("""COMPUTED_VALUE"""),"thamonwanc@airasia.com")</f>
        <v>thamonwanc@airasia.com</v>
      </c>
    </row>
    <row r="359">
      <c r="A359">
        <f>IFERROR(__xludf.DUMMYFUNCTION("""COMPUTED_VALUE"""),1007021.0)</f>
        <v>1007021</v>
      </c>
      <c r="B359" t="str">
        <f>IFERROR(__xludf.DUMMYFUNCTION("""COMPUTED_VALUE"""),"Mrs.")</f>
        <v>Mrs.</v>
      </c>
      <c r="C359" t="str">
        <f>IFERROR(__xludf.DUMMYFUNCTION("""COMPUTED_VALUE"""),"Thararat")</f>
        <v>Thararat</v>
      </c>
      <c r="D359" t="str">
        <f>IFERROR(__xludf.DUMMYFUNCTION("""COMPUTED_VALUE"""),"Thaibantherng(Hengphucharoen)")</f>
        <v>Thaibantherng(Hengphucharoen)</v>
      </c>
      <c r="E359" t="str">
        <f>IFERROR(__xludf.DUMMYFUNCTION("""COMPUTED_VALUE"""),"Thararat Thaibantherng")</f>
        <v>Thararat Thaibantherng</v>
      </c>
      <c r="F359" t="str">
        <f>IFERROR(__xludf.DUMMYFUNCTION("""COMPUTED_VALUE"""),"นางสาว")</f>
        <v>นางสาว</v>
      </c>
      <c r="G359" t="str">
        <f>IFERROR(__xludf.DUMMYFUNCTION("""COMPUTED_VALUE"""),"ธารารัตน์")</f>
        <v>ธารารัตน์</v>
      </c>
      <c r="H359" t="str">
        <f>IFERROR(__xludf.DUMMYFUNCTION("""COMPUTED_VALUE"""),"ไทยบันเทิง (เฮงภู่เจริญ)")</f>
        <v>ไทยบันเทิง (เฮงภู่เจริญ)</v>
      </c>
      <c r="I359" t="str">
        <f>IFERROR(__xludf.DUMMYFUNCTION("""COMPUTED_VALUE"""),"ธารารัตน์ ไทยบันเทิง")</f>
        <v>ธารารัตน์ ไทยบันเทิง</v>
      </c>
      <c r="J359" t="str">
        <f>IFERROR(__xludf.DUMMYFUNCTION("""COMPUTED_VALUE"""),"ตุ้ย")</f>
        <v>ตุ้ย</v>
      </c>
      <c r="K359" t="str">
        <f>IFERROR(__xludf.DUMMYFUNCTION("""COMPUTED_VALUE"""),"Senior Cabin Crew")</f>
        <v>Senior Cabin Crew</v>
      </c>
      <c r="L359" t="str">
        <f>IFERROR(__xludf.DUMMYFUNCTION("""COMPUTED_VALUE"""),"DMK")</f>
        <v>DMK</v>
      </c>
      <c r="M359" s="145" t="str">
        <f>IFERROR(__xludf.DUMMYFUNCTION("""COMPUTED_VALUE"""),"Namfon Home")</f>
        <v>Namfon Home</v>
      </c>
      <c r="N359" t="str">
        <f>IFERROR(__xludf.DUMMYFUNCTION("""COMPUTED_VALUE"""),"Active")</f>
        <v>Active</v>
      </c>
      <c r="P359" s="143">
        <f>IFERROR(__xludf.DUMMYFUNCTION("""COMPUTED_VALUE"""),32683.0)</f>
        <v>32683</v>
      </c>
      <c r="Q359" s="146" t="str">
        <f>IFERROR(__xludf.DUMMYFUNCTION("""COMPUTED_VALUE"""),"081 147 2407")</f>
        <v>081 147 2407</v>
      </c>
      <c r="R359" s="147" t="str">
        <f>IFERROR(__xludf.DUMMYFUNCTION("""COMPUTED_VALUE"""),"1100800-54-3545")</f>
        <v>1100800-54-3545</v>
      </c>
      <c r="S359" t="str">
        <f>IFERROR(__xludf.DUMMYFUNCTION("""COMPUTED_VALUE"""),"AC2269189")</f>
        <v>AC2269189</v>
      </c>
      <c r="T359" s="148">
        <f>IFERROR(__xludf.DUMMYFUNCTION("""COMPUTED_VALUE"""),44329.0)</f>
        <v>44329</v>
      </c>
      <c r="U359" s="148">
        <f>IFERROR(__xludf.DUMMYFUNCTION("""COMPUTED_VALUE"""),47980.0)</f>
        <v>47980</v>
      </c>
      <c r="V359" s="149">
        <f>IFERROR(__xludf.DUMMYFUNCTION("""COMPUTED_VALUE"""),47799.0)</f>
        <v>47799</v>
      </c>
      <c r="W359" t="str">
        <f>IFERROR(__xludf.DUMMYFUNCTION("""COMPUTED_VALUE"""),"ปลอดภัย")</f>
        <v>ปลอดภัย</v>
      </c>
      <c r="X359" t="str">
        <f>IFERROR(__xludf.DUMMYFUNCTION("""COMPUTED_VALUE"""),"Bangkok")</f>
        <v>Bangkok</v>
      </c>
      <c r="Y359" t="str">
        <f>IFERROR(__xludf.DUMMYFUNCTION("""COMPUTED_VALUE"""),"Phra kanong")</f>
        <v>Phra kanong</v>
      </c>
      <c r="Z359" t="str">
        <f>IFERROR(__xludf.DUMMYFUNCTION("""COMPUTED_VALUE"""),"02 748 9325 / 086 576 3520 / 086 559 0822")</f>
        <v>02 748 9325 / 086 576 3520 / 086 559 0822</v>
      </c>
      <c r="AA359" t="str">
        <f>IFERROR(__xludf.DUMMYFUNCTION("""COMPUTED_VALUE"""),"Home / Friend")</f>
        <v>Home / Friend</v>
      </c>
      <c r="AB359" t="str">
        <f>IFERROR(__xludf.DUMMYFUNCTION("""COMPUTED_VALUE"""),"thararatthaibanther@airasia.com")</f>
        <v>thararatthaibanther@airasia.com</v>
      </c>
    </row>
    <row r="360">
      <c r="A360">
        <f>IFERROR(__xludf.DUMMYFUNCTION("""COMPUTED_VALUE"""),1007022.0)</f>
        <v>1007022</v>
      </c>
      <c r="B360" t="str">
        <f>IFERROR(__xludf.DUMMYFUNCTION("""COMPUTED_VALUE"""),"Mr.")</f>
        <v>Mr.</v>
      </c>
      <c r="C360" t="str">
        <f>IFERROR(__xludf.DUMMYFUNCTION("""COMPUTED_VALUE"""),"Waroot")</f>
        <v>Waroot</v>
      </c>
      <c r="D360" t="str">
        <f>IFERROR(__xludf.DUMMYFUNCTION("""COMPUTED_VALUE"""),"Chanpueak")</f>
        <v>Chanpueak</v>
      </c>
      <c r="E360" t="str">
        <f>IFERROR(__xludf.DUMMYFUNCTION("""COMPUTED_VALUE"""),"Waroot Chanpueak")</f>
        <v>Waroot Chanpueak</v>
      </c>
      <c r="F360" t="str">
        <f>IFERROR(__xludf.DUMMYFUNCTION("""COMPUTED_VALUE"""),"นาย")</f>
        <v>นาย</v>
      </c>
      <c r="G360" t="str">
        <f>IFERROR(__xludf.DUMMYFUNCTION("""COMPUTED_VALUE"""),"วรุฒ")</f>
        <v>วรุฒ</v>
      </c>
      <c r="H360" t="str">
        <f>IFERROR(__xludf.DUMMYFUNCTION("""COMPUTED_VALUE"""),"จันทร์เผือก")</f>
        <v>จันทร์เผือก</v>
      </c>
      <c r="I360" t="str">
        <f>IFERROR(__xludf.DUMMYFUNCTION("""COMPUTED_VALUE"""),"วรุฒ จันทร์เผือก")</f>
        <v>วรุฒ จันทร์เผือก</v>
      </c>
      <c r="J360" t="str">
        <f>IFERROR(__xludf.DUMMYFUNCTION("""COMPUTED_VALUE"""),"ปั๊บ")</f>
        <v>ปั๊บ</v>
      </c>
      <c r="K360" t="str">
        <f>IFERROR(__xludf.DUMMYFUNCTION("""COMPUTED_VALUE"""),"Senior Cabin Crew")</f>
        <v>Senior Cabin Crew</v>
      </c>
      <c r="L360" t="str">
        <f>IFERROR(__xludf.DUMMYFUNCTION("""COMPUTED_VALUE"""),"DMK")</f>
        <v>DMK</v>
      </c>
      <c r="M360" s="145" t="str">
        <f>IFERROR(__xludf.DUMMYFUNCTION("""COMPUTED_VALUE"""),"Up Home")</f>
        <v>Up Home</v>
      </c>
      <c r="N360" t="str">
        <f>IFERROR(__xludf.DUMMYFUNCTION("""COMPUTED_VALUE"""),"Active")</f>
        <v>Active</v>
      </c>
      <c r="P360" s="143">
        <f>IFERROR(__xludf.DUMMYFUNCTION("""COMPUTED_VALUE"""),32434.0)</f>
        <v>32434</v>
      </c>
      <c r="Q360" s="146" t="str">
        <f>IFERROR(__xludf.DUMMYFUNCTION("""COMPUTED_VALUE"""),"084 291 5501")</f>
        <v>084 291 5501</v>
      </c>
      <c r="R360" s="147" t="str">
        <f>IFERROR(__xludf.DUMMYFUNCTION("""COMPUTED_VALUE"""),"1100700-90-1300")</f>
        <v>1100700-90-1300</v>
      </c>
      <c r="S360" t="str">
        <f>IFERROR(__xludf.DUMMYFUNCTION("""COMPUTED_VALUE"""),"AC5710077")</f>
        <v>AC5710077</v>
      </c>
      <c r="T360" s="148">
        <f>IFERROR(__xludf.DUMMYFUNCTION("""COMPUTED_VALUE"""),45180.0)</f>
        <v>45180</v>
      </c>
      <c r="U360" s="148">
        <f>IFERROR(__xludf.DUMMYFUNCTION("""COMPUTED_VALUE"""),48832.0)</f>
        <v>48832</v>
      </c>
      <c r="V360" s="149">
        <f>IFERROR(__xludf.DUMMYFUNCTION("""COMPUTED_VALUE"""),48648.0)</f>
        <v>48648</v>
      </c>
      <c r="W360" t="str">
        <f>IFERROR(__xludf.DUMMYFUNCTION("""COMPUTED_VALUE"""),"ปลอดภัย")</f>
        <v>ปลอดภัย</v>
      </c>
      <c r="X360" t="str">
        <f>IFERROR(__xludf.DUMMYFUNCTION("""COMPUTED_VALUE"""),"Bangkok")</f>
        <v>Bangkok</v>
      </c>
      <c r="Y360" t="str">
        <f>IFERROR(__xludf.DUMMYFUNCTION("""COMPUTED_VALUE"""),"Jomthong")</f>
        <v>Jomthong</v>
      </c>
      <c r="Z360" t="str">
        <f>IFERROR(__xludf.DUMMYFUNCTION("""COMPUTED_VALUE"""),"081 637 8439")</f>
        <v>081 637 8439</v>
      </c>
      <c r="AA360" t="str">
        <f>IFERROR(__xludf.DUMMYFUNCTION("""COMPUTED_VALUE"""),"Mother")</f>
        <v>Mother</v>
      </c>
      <c r="AB360" t="str">
        <f>IFERROR(__xludf.DUMMYFUNCTION("""COMPUTED_VALUE"""),"warootc@airasia.com")</f>
        <v>warootc@airasia.com</v>
      </c>
    </row>
    <row r="361">
      <c r="AB361" t="str">
        <f>IFERROR(__xludf.DUMMYFUNCTION("""COMPUTED_VALUE"""),"")</f>
        <v/>
      </c>
    </row>
    <row r="362">
      <c r="A362">
        <f>IFERROR(__xludf.DUMMYFUNCTION("""COMPUTED_VALUE"""),1007023.0)</f>
        <v>1007023</v>
      </c>
      <c r="B362" t="str">
        <f>IFERROR(__xludf.DUMMYFUNCTION("""COMPUTED_VALUE"""),"Mr.")</f>
        <v>Mr.</v>
      </c>
      <c r="C362" t="str">
        <f>IFERROR(__xludf.DUMMYFUNCTION("""COMPUTED_VALUE"""),"Apinan")</f>
        <v>Apinan</v>
      </c>
      <c r="D362" t="str">
        <f>IFERROR(__xludf.DUMMYFUNCTION("""COMPUTED_VALUE"""),"Sookpinij")</f>
        <v>Sookpinij</v>
      </c>
      <c r="E362" t="str">
        <f>IFERROR(__xludf.DUMMYFUNCTION("""COMPUTED_VALUE"""),"Apinan Sookpinij")</f>
        <v>Apinan Sookpinij</v>
      </c>
      <c r="F362" t="str">
        <f>IFERROR(__xludf.DUMMYFUNCTION("""COMPUTED_VALUE"""),"นาย")</f>
        <v>นาย</v>
      </c>
      <c r="G362" t="str">
        <f>IFERROR(__xludf.DUMMYFUNCTION("""COMPUTED_VALUE"""),"อภินันท์")</f>
        <v>อภินันท์</v>
      </c>
      <c r="H362" t="str">
        <f>IFERROR(__xludf.DUMMYFUNCTION("""COMPUTED_VALUE"""),"สุขพินิจ")</f>
        <v>สุขพินิจ</v>
      </c>
      <c r="I362" t="str">
        <f>IFERROR(__xludf.DUMMYFUNCTION("""COMPUTED_VALUE"""),"อภินันท์ สุขพินิจ")</f>
        <v>อภินันท์ สุขพินิจ</v>
      </c>
      <c r="J362" t="str">
        <f>IFERROR(__xludf.DUMMYFUNCTION("""COMPUTED_VALUE"""),"บูม")</f>
        <v>บูม</v>
      </c>
      <c r="K362" t="str">
        <f>IFERROR(__xludf.DUMMYFUNCTION("""COMPUTED_VALUE"""),"Cabin Crew")</f>
        <v>Cabin Crew</v>
      </c>
      <c r="L362" t="str">
        <f>IFERROR(__xludf.DUMMYFUNCTION("""COMPUTED_VALUE"""),"DMK")</f>
        <v>DMK</v>
      </c>
      <c r="M362" s="145" t="str">
        <f>IFERROR(__xludf.DUMMYFUNCTION("""COMPUTED_VALUE"""),"Por+ Home")</f>
        <v>Por+ Home</v>
      </c>
      <c r="N362" t="str">
        <f>IFERROR(__xludf.DUMMYFUNCTION("""COMPUTED_VALUE"""),"Active")</f>
        <v>Active</v>
      </c>
      <c r="O362" t="str">
        <f>IFERROR(__xludf.DUMMYFUNCTION("""COMPUTED_VALUE"""),"Japanese Speaking")</f>
        <v>Japanese Speaking</v>
      </c>
      <c r="P362" s="143">
        <f>IFERROR(__xludf.DUMMYFUNCTION("""COMPUTED_VALUE"""),32660.0)</f>
        <v>32660</v>
      </c>
      <c r="Q362" s="146" t="str">
        <f>IFERROR(__xludf.DUMMYFUNCTION("""COMPUTED_VALUE"""),"086 364 2751")</f>
        <v>086 364 2751</v>
      </c>
      <c r="R362" s="147" t="str">
        <f>IFERROR(__xludf.DUMMYFUNCTION("""COMPUTED_VALUE"""),"1100500-51-2202")</f>
        <v>1100500-51-2202</v>
      </c>
      <c r="S362" t="str">
        <f>IFERROR(__xludf.DUMMYFUNCTION("""COMPUTED_VALUE"""),"AC6815738")</f>
        <v>AC6815738</v>
      </c>
      <c r="T362" s="148">
        <f>IFERROR(__xludf.DUMMYFUNCTION("""COMPUTED_VALUE"""),45442.0)</f>
        <v>45442</v>
      </c>
      <c r="U362" s="148">
        <f>IFERROR(__xludf.DUMMYFUNCTION("""COMPUTED_VALUE"""),49093.0)</f>
        <v>49093</v>
      </c>
      <c r="V362" s="149">
        <f>IFERROR(__xludf.DUMMYFUNCTION("""COMPUTED_VALUE"""),48912.0)</f>
        <v>48912</v>
      </c>
      <c r="W362" t="str">
        <f>IFERROR(__xludf.DUMMYFUNCTION("""COMPUTED_VALUE"""),"ปลอดภัย")</f>
        <v>ปลอดภัย</v>
      </c>
      <c r="X362" t="str">
        <f>IFERROR(__xludf.DUMMYFUNCTION("""COMPUTED_VALUE"""),"Bangkok")</f>
        <v>Bangkok</v>
      </c>
      <c r="Y362" t="str">
        <f>IFERROR(__xludf.DUMMYFUNCTION("""COMPUTED_VALUE"""),"Jatuchak")</f>
        <v>Jatuchak</v>
      </c>
      <c r="Z362" t="str">
        <f>IFERROR(__xludf.DUMMYFUNCTION("""COMPUTED_VALUE"""),"02 938 8987 / 087 347 4841")</f>
        <v>02 938 8987 / 087 347 4841</v>
      </c>
      <c r="AA362" t="str">
        <f>IFERROR(__xludf.DUMMYFUNCTION("""COMPUTED_VALUE"""),"Home /Relative")</f>
        <v>Home /Relative</v>
      </c>
      <c r="AB362" t="str">
        <f>IFERROR(__xludf.DUMMYFUNCTION("""COMPUTED_VALUE"""),"apinans@airasia.com")</f>
        <v>apinans@airasia.com</v>
      </c>
    </row>
    <row r="363">
      <c r="A363">
        <f>IFERROR(__xludf.DUMMYFUNCTION("""COMPUTED_VALUE"""),1007024.0)</f>
        <v>1007024</v>
      </c>
      <c r="B363" t="str">
        <f>IFERROR(__xludf.DUMMYFUNCTION("""COMPUTED_VALUE"""),"Ms.")</f>
        <v>Ms.</v>
      </c>
      <c r="C363" t="str">
        <f>IFERROR(__xludf.DUMMYFUNCTION("""COMPUTED_VALUE"""),"Darin")</f>
        <v>Darin</v>
      </c>
      <c r="D363" t="str">
        <f>IFERROR(__xludf.DUMMYFUNCTION("""COMPUTED_VALUE"""),"Yamalee")</f>
        <v>Yamalee</v>
      </c>
      <c r="E363" t="str">
        <f>IFERROR(__xludf.DUMMYFUNCTION("""COMPUTED_VALUE"""),"Darin Yamalee")</f>
        <v>Darin Yamalee</v>
      </c>
      <c r="F363" t="str">
        <f>IFERROR(__xludf.DUMMYFUNCTION("""COMPUTED_VALUE"""),"นางสาว")</f>
        <v>นางสาว</v>
      </c>
      <c r="G363" t="str">
        <f>IFERROR(__xludf.DUMMYFUNCTION("""COMPUTED_VALUE"""),"ดารินทร์")</f>
        <v>ดารินทร์</v>
      </c>
      <c r="H363" t="str">
        <f>IFERROR(__xludf.DUMMYFUNCTION("""COMPUTED_VALUE"""),"ยามาลี")</f>
        <v>ยามาลี</v>
      </c>
      <c r="I363" t="str">
        <f>IFERROR(__xludf.DUMMYFUNCTION("""COMPUTED_VALUE"""),"ดารินทร์ ยามาลี")</f>
        <v>ดารินทร์ ยามาลี</v>
      </c>
      <c r="J363" t="str">
        <f>IFERROR(__xludf.DUMMYFUNCTION("""COMPUTED_VALUE"""),"ผักบุ้ง")</f>
        <v>ผักบุ้ง</v>
      </c>
      <c r="K363" t="str">
        <f>IFERROR(__xludf.DUMMYFUNCTION("""COMPUTED_VALUE"""),"Senior Cabin Crew")</f>
        <v>Senior Cabin Crew</v>
      </c>
      <c r="L363" t="str">
        <f>IFERROR(__xludf.DUMMYFUNCTION("""COMPUTED_VALUE"""),"DMK")</f>
        <v>DMK</v>
      </c>
      <c r="M363" s="145" t="str">
        <f>IFERROR(__xludf.DUMMYFUNCTION("""COMPUTED_VALUE"""),"Nhui Home")</f>
        <v>Nhui Home</v>
      </c>
      <c r="N363" t="str">
        <f>IFERROR(__xludf.DUMMYFUNCTION("""COMPUTED_VALUE"""),"Active")</f>
        <v>Active</v>
      </c>
      <c r="P363" s="143">
        <f>IFERROR(__xludf.DUMMYFUNCTION("""COMPUTED_VALUE"""),32272.0)</f>
        <v>32272</v>
      </c>
      <c r="Q363" s="146" t="str">
        <f>IFERROR(__xludf.DUMMYFUNCTION("""COMPUTED_VALUE"""),"086 666 9299")</f>
        <v>086 666 9299</v>
      </c>
      <c r="R363" s="147" t="str">
        <f>IFERROR(__xludf.DUMMYFUNCTION("""COMPUTED_VALUE"""),"1100700-83-3096")</f>
        <v>1100700-83-3096</v>
      </c>
      <c r="S363" t="str">
        <f>IFERROR(__xludf.DUMMYFUNCTION("""COMPUTED_VALUE"""),"AC6223670")</f>
        <v>AC6223670</v>
      </c>
      <c r="T363" s="148">
        <f>IFERROR(__xludf.DUMMYFUNCTION("""COMPUTED_VALUE"""),45299.0)</f>
        <v>45299</v>
      </c>
      <c r="U363" s="148">
        <f>IFERROR(__xludf.DUMMYFUNCTION("""COMPUTED_VALUE"""),48951.0)</f>
        <v>48951</v>
      </c>
      <c r="V363" s="149">
        <f>IFERROR(__xludf.DUMMYFUNCTION("""COMPUTED_VALUE"""),48767.0)</f>
        <v>48767</v>
      </c>
      <c r="W363" t="str">
        <f>IFERROR(__xludf.DUMMYFUNCTION("""COMPUTED_VALUE"""),"ปลอดภัย")</f>
        <v>ปลอดภัย</v>
      </c>
      <c r="X363" t="str">
        <f>IFERROR(__xludf.DUMMYFUNCTION("""COMPUTED_VALUE"""),"Bangkok")</f>
        <v>Bangkok</v>
      </c>
      <c r="Y363" t="str">
        <f>IFERROR(__xludf.DUMMYFUNCTION("""COMPUTED_VALUE"""),"Donmueang")</f>
        <v>Donmueang</v>
      </c>
      <c r="Z363" t="str">
        <f>IFERROR(__xludf.DUMMYFUNCTION("""COMPUTED_VALUE"""),"090 970 7908")</f>
        <v>090 970 7908</v>
      </c>
      <c r="AA363" t="str">
        <f>IFERROR(__xludf.DUMMYFUNCTION("""COMPUTED_VALUE"""),"Saranya Sister")</f>
        <v>Saranya Sister</v>
      </c>
      <c r="AB363" t="str">
        <f>IFERROR(__xludf.DUMMYFUNCTION("""COMPUTED_VALUE"""),"dariny@airasia.com")</f>
        <v>dariny@airasia.com</v>
      </c>
    </row>
    <row r="364">
      <c r="A364">
        <f>IFERROR(__xludf.DUMMYFUNCTION("""COMPUTED_VALUE"""),1007025.0)</f>
        <v>1007025</v>
      </c>
      <c r="B364" t="str">
        <f>IFERROR(__xludf.DUMMYFUNCTION("""COMPUTED_VALUE"""),"Mr.")</f>
        <v>Mr.</v>
      </c>
      <c r="C364" t="str">
        <f>IFERROR(__xludf.DUMMYFUNCTION("""COMPUTED_VALUE"""),"Jirayutt")</f>
        <v>Jirayutt</v>
      </c>
      <c r="D364" t="str">
        <f>IFERROR(__xludf.DUMMYFUNCTION("""COMPUTED_VALUE"""),"Tungmunkij")</f>
        <v>Tungmunkij</v>
      </c>
      <c r="E364" t="str">
        <f>IFERROR(__xludf.DUMMYFUNCTION("""COMPUTED_VALUE"""),"Jirayutt Tungmunkij")</f>
        <v>Jirayutt Tungmunkij</v>
      </c>
      <c r="F364" t="str">
        <f>IFERROR(__xludf.DUMMYFUNCTION("""COMPUTED_VALUE"""),"นาย")</f>
        <v>นาย</v>
      </c>
      <c r="G364" t="str">
        <f>IFERROR(__xludf.DUMMYFUNCTION("""COMPUTED_VALUE"""),"จิรยุทธ")</f>
        <v>จิรยุทธ</v>
      </c>
      <c r="H364" t="str">
        <f>IFERROR(__xludf.DUMMYFUNCTION("""COMPUTED_VALUE"""),"ตั้งหมั่นกิจ")</f>
        <v>ตั้งหมั่นกิจ</v>
      </c>
      <c r="I364" t="str">
        <f>IFERROR(__xludf.DUMMYFUNCTION("""COMPUTED_VALUE"""),"จิรยุทธ ตั้งหมั่นกิจ")</f>
        <v>จิรยุทธ ตั้งหมั่นกิจ</v>
      </c>
      <c r="J364" t="str">
        <f>IFERROR(__xludf.DUMMYFUNCTION("""COMPUTED_VALUE"""),"คิว")</f>
        <v>คิว</v>
      </c>
      <c r="K364" t="str">
        <f>IFERROR(__xludf.DUMMYFUNCTION("""COMPUTED_VALUE"""),"Cabin Crew - CNX")</f>
        <v>Cabin Crew - CNX</v>
      </c>
      <c r="L364" t="str">
        <f>IFERROR(__xludf.DUMMYFUNCTION("""COMPUTED_VALUE"""),"CNX")</f>
        <v>CNX</v>
      </c>
      <c r="M364" s="145" t="str">
        <f>IFERROR(__xludf.DUMMYFUNCTION("""COMPUTED_VALUE"""),"Up Home")</f>
        <v>Up Home</v>
      </c>
      <c r="N364" t="str">
        <f>IFERROR(__xludf.DUMMYFUNCTION("""COMPUTED_VALUE"""),"Active")</f>
        <v>Active</v>
      </c>
      <c r="P364" s="143">
        <f>IFERROR(__xludf.DUMMYFUNCTION("""COMPUTED_VALUE"""),30664.0)</f>
        <v>30664</v>
      </c>
      <c r="Q364" s="146" t="str">
        <f>IFERROR(__xludf.DUMMYFUNCTION("""COMPUTED_VALUE"""),"089 999 4191")</f>
        <v>089 999 4191</v>
      </c>
      <c r="R364" s="147" t="str">
        <f>IFERROR(__xludf.DUMMYFUNCTION("""COMPUTED_VALUE"""),"3120101-24-7897")</f>
        <v>3120101-24-7897</v>
      </c>
      <c r="S364" t="str">
        <f>IFERROR(__xludf.DUMMYFUNCTION("""COMPUTED_VALUE"""),"AD1361872")</f>
        <v>AD1361872</v>
      </c>
      <c r="T364" s="148">
        <f>IFERROR(__xludf.DUMMYFUNCTION("""COMPUTED_VALUE"""),45356.0)</f>
        <v>45356</v>
      </c>
      <c r="U364" s="148">
        <f>IFERROR(__xludf.DUMMYFUNCTION("""COMPUTED_VALUE"""),49007.0)</f>
        <v>49007</v>
      </c>
      <c r="V364" s="149">
        <f>IFERROR(__xludf.DUMMYFUNCTION("""COMPUTED_VALUE"""),48826.0)</f>
        <v>48826</v>
      </c>
      <c r="W364" t="str">
        <f>IFERROR(__xludf.DUMMYFUNCTION("""COMPUTED_VALUE"""),"ปลอดภัย")</f>
        <v>ปลอดภัย</v>
      </c>
      <c r="X364" t="str">
        <f>IFERROR(__xludf.DUMMYFUNCTION("""COMPUTED_VALUE"""),"Bangkok")</f>
        <v>Bangkok</v>
      </c>
      <c r="Y364" t="str">
        <f>IFERROR(__xludf.DUMMYFUNCTION("""COMPUTED_VALUE"""),"Bangkhan")</f>
        <v>Bangkhan</v>
      </c>
      <c r="Z364" t="str">
        <f>IFERROR(__xludf.DUMMYFUNCTION("""COMPUTED_VALUE"""),"081 724 8842")</f>
        <v>081 724 8842</v>
      </c>
      <c r="AA364" t="str">
        <f>IFERROR(__xludf.DUMMYFUNCTION("""COMPUTED_VALUE"""),"Big Sister")</f>
        <v>Big Sister</v>
      </c>
      <c r="AB364" t="str">
        <f>IFERROR(__xludf.DUMMYFUNCTION("""COMPUTED_VALUE"""),"jirayuttt@airasia.com")</f>
        <v>jirayuttt@airasia.com</v>
      </c>
    </row>
    <row r="365">
      <c r="A365">
        <f>IFERROR(__xludf.DUMMYFUNCTION("""COMPUTED_VALUE"""),1007026.0)</f>
        <v>1007026</v>
      </c>
      <c r="B365" t="str">
        <f>IFERROR(__xludf.DUMMYFUNCTION("""COMPUTED_VALUE"""),"Ms.")</f>
        <v>Ms.</v>
      </c>
      <c r="C365" t="str">
        <f>IFERROR(__xludf.DUMMYFUNCTION("""COMPUTED_VALUE"""),"Kwanrapee")</f>
        <v>Kwanrapee</v>
      </c>
      <c r="D365" t="str">
        <f>IFERROR(__xludf.DUMMYFUNCTION("""COMPUTED_VALUE"""),"Satayayookt")</f>
        <v>Satayayookt</v>
      </c>
      <c r="E365" t="str">
        <f>IFERROR(__xludf.DUMMYFUNCTION("""COMPUTED_VALUE"""),"Kwanrapee Satayayookt")</f>
        <v>Kwanrapee Satayayookt</v>
      </c>
      <c r="F365" t="str">
        <f>IFERROR(__xludf.DUMMYFUNCTION("""COMPUTED_VALUE"""),"นางสาว")</f>
        <v>นางสาว</v>
      </c>
      <c r="G365" t="str">
        <f>IFERROR(__xludf.DUMMYFUNCTION("""COMPUTED_VALUE"""),"ขวัญระพี")</f>
        <v>ขวัญระพี</v>
      </c>
      <c r="H365" t="str">
        <f>IFERROR(__xludf.DUMMYFUNCTION("""COMPUTED_VALUE"""),"สัตยะยุกต์")</f>
        <v>สัตยะยุกต์</v>
      </c>
      <c r="I365" t="str">
        <f>IFERROR(__xludf.DUMMYFUNCTION("""COMPUTED_VALUE"""),"ขวัญระพี สัตยะยุกต์")</f>
        <v>ขวัญระพี สัตยะยุกต์</v>
      </c>
      <c r="J365" t="str">
        <f>IFERROR(__xludf.DUMMYFUNCTION("""COMPUTED_VALUE"""),"Kwan")</f>
        <v>Kwan</v>
      </c>
      <c r="K365" t="str">
        <f>IFERROR(__xludf.DUMMYFUNCTION("""COMPUTED_VALUE"""),"Cabin Crew")</f>
        <v>Cabin Crew</v>
      </c>
      <c r="L365" t="str">
        <f>IFERROR(__xludf.DUMMYFUNCTION("""COMPUTED_VALUE"""),"DMK")</f>
        <v>DMK</v>
      </c>
      <c r="M365" s="145" t="str">
        <f>IFERROR(__xludf.DUMMYFUNCTION("""COMPUTED_VALUE"""),"Toffy Home")</f>
        <v>Toffy Home</v>
      </c>
      <c r="N365" t="str">
        <f>IFERROR(__xludf.DUMMYFUNCTION("""COMPUTED_VALUE"""),"Active")</f>
        <v>Active</v>
      </c>
      <c r="P365" s="143">
        <f>IFERROR(__xludf.DUMMYFUNCTION("""COMPUTED_VALUE"""),30140.0)</f>
        <v>30140</v>
      </c>
      <c r="Q365" s="146" t="str">
        <f>IFERROR(__xludf.DUMMYFUNCTION("""COMPUTED_VALUE"""),"086 011 6668")</f>
        <v>086 011 6668</v>
      </c>
      <c r="R365" s="147" t="str">
        <f>IFERROR(__xludf.DUMMYFUNCTION("""COMPUTED_VALUE"""),"3101403-48-5244")</f>
        <v>3101403-48-5244</v>
      </c>
      <c r="S365" t="str">
        <f>IFERROR(__xludf.DUMMYFUNCTION("""COMPUTED_VALUE"""),"AD1785403")</f>
        <v>AD1785403</v>
      </c>
      <c r="T365" s="148">
        <f>IFERROR(__xludf.DUMMYFUNCTION("""COMPUTED_VALUE"""),45454.0)</f>
        <v>45454</v>
      </c>
      <c r="U365" s="148">
        <f>IFERROR(__xludf.DUMMYFUNCTION("""COMPUTED_VALUE"""),47279.0)</f>
        <v>47279</v>
      </c>
      <c r="V365" s="149">
        <f>IFERROR(__xludf.DUMMYFUNCTION("""COMPUTED_VALUE"""),47097.0)</f>
        <v>47097</v>
      </c>
      <c r="W365" t="str">
        <f>IFERROR(__xludf.DUMMYFUNCTION("""COMPUTED_VALUE"""),"ปลอดภัย")</f>
        <v>ปลอดภัย</v>
      </c>
      <c r="X365" t="str">
        <f>IFERROR(__xludf.DUMMYFUNCTION("""COMPUTED_VALUE"""),"Bangkok")</f>
        <v>Bangkok</v>
      </c>
      <c r="Y365" t="str">
        <f>IFERROR(__xludf.DUMMYFUNCTION("""COMPUTED_VALUE"""),"Wang Thong Lhang")</f>
        <v>Wang Thong Lhang</v>
      </c>
      <c r="Z365" t="str">
        <f>IFERROR(__xludf.DUMMYFUNCTION("""COMPUTED_VALUE"""),"02 514 2057 / 081 814 3116")</f>
        <v>02 514 2057 / 081 814 3116</v>
      </c>
      <c r="AA365" t="str">
        <f>IFERROR(__xludf.DUMMYFUNCTION("""COMPUTED_VALUE"""),"Home / Reerarat")</f>
        <v>Home / Reerarat</v>
      </c>
      <c r="AB365" t="str">
        <f>IFERROR(__xludf.DUMMYFUNCTION("""COMPUTED_VALUE"""),"kwanrapees@airasia.com")</f>
        <v>kwanrapees@airasia.com</v>
      </c>
    </row>
    <row r="366">
      <c r="A366">
        <f>IFERROR(__xludf.DUMMYFUNCTION("""COMPUTED_VALUE"""),1007027.0)</f>
        <v>1007027</v>
      </c>
      <c r="B366" t="str">
        <f>IFERROR(__xludf.DUMMYFUNCTION("""COMPUTED_VALUE"""),"Ms.")</f>
        <v>Ms.</v>
      </c>
      <c r="C366" t="str">
        <f>IFERROR(__xludf.DUMMYFUNCTION("""COMPUTED_VALUE"""),"Naphaphat")</f>
        <v>Naphaphat</v>
      </c>
      <c r="D366" t="str">
        <f>IFERROR(__xludf.DUMMYFUNCTION("""COMPUTED_VALUE"""),"Narapirapong")</f>
        <v>Narapirapong</v>
      </c>
      <c r="E366" t="str">
        <f>IFERROR(__xludf.DUMMYFUNCTION("""COMPUTED_VALUE"""),"Naphaphat Narapirapong")</f>
        <v>Naphaphat Narapirapong</v>
      </c>
      <c r="F366" t="str">
        <f>IFERROR(__xludf.DUMMYFUNCTION("""COMPUTED_VALUE"""),"นางสาว")</f>
        <v>นางสาว</v>
      </c>
      <c r="G366" t="str">
        <f>IFERROR(__xludf.DUMMYFUNCTION("""COMPUTED_VALUE"""),"ณภาภัช")</f>
        <v>ณภาภัช</v>
      </c>
      <c r="H366" t="str">
        <f>IFERROR(__xludf.DUMMYFUNCTION("""COMPUTED_VALUE"""),"นราภิรพงศ์")</f>
        <v>นราภิรพงศ์</v>
      </c>
      <c r="I366" t="str">
        <f>IFERROR(__xludf.DUMMYFUNCTION("""COMPUTED_VALUE"""),"ณภาภัช นราภิรพงศ์")</f>
        <v>ณภาภัช นราภิรพงศ์</v>
      </c>
      <c r="J366" t="str">
        <f>IFERROR(__xludf.DUMMYFUNCTION("""COMPUTED_VALUE"""),"Lily")</f>
        <v>Lily</v>
      </c>
      <c r="K366" t="str">
        <f>IFERROR(__xludf.DUMMYFUNCTION("""COMPUTED_VALUE"""),"Cabin Crew")</f>
        <v>Cabin Crew</v>
      </c>
      <c r="L366" t="str">
        <f>IFERROR(__xludf.DUMMYFUNCTION("""COMPUTED_VALUE"""),"DMK")</f>
        <v>DMK</v>
      </c>
      <c r="M366" s="145" t="str">
        <f>IFERROR(__xludf.DUMMYFUNCTION("""COMPUTED_VALUE"""),"Namfon Home")</f>
        <v>Namfon Home</v>
      </c>
      <c r="N366" t="str">
        <f>IFERROR(__xludf.DUMMYFUNCTION("""COMPUTED_VALUE"""),"Active")</f>
        <v>Active</v>
      </c>
      <c r="P366" s="143">
        <f>IFERROR(__xludf.DUMMYFUNCTION("""COMPUTED_VALUE"""),32150.0)</f>
        <v>32150</v>
      </c>
      <c r="Q366" s="146" t="str">
        <f>IFERROR(__xludf.DUMMYFUNCTION("""COMPUTED_VALUE"""),"096 265 1956")</f>
        <v>096 265 1956</v>
      </c>
      <c r="R366" s="147" t="str">
        <f>IFERROR(__xludf.DUMMYFUNCTION("""COMPUTED_VALUE"""),"1101401-18-4291")</f>
        <v>1101401-18-4291</v>
      </c>
      <c r="S366" t="str">
        <f>IFERROR(__xludf.DUMMYFUNCTION("""COMPUTED_VALUE"""),"AC4225399")</f>
        <v>AC4225399</v>
      </c>
      <c r="T366" s="148">
        <f>IFERROR(__xludf.DUMMYFUNCTION("""COMPUTED_VALUE"""),44902.0)</f>
        <v>44902</v>
      </c>
      <c r="U366" s="148">
        <f>IFERROR(__xludf.DUMMYFUNCTION("""COMPUTED_VALUE"""),48554.0)</f>
        <v>48554</v>
      </c>
      <c r="V366" s="149">
        <f>IFERROR(__xludf.DUMMYFUNCTION("""COMPUTED_VALUE"""),48371.0)</f>
        <v>48371</v>
      </c>
      <c r="W366" t="str">
        <f>IFERROR(__xludf.DUMMYFUNCTION("""COMPUTED_VALUE"""),"ปลอดภัย")</f>
        <v>ปลอดภัย</v>
      </c>
      <c r="X366" t="str">
        <f>IFERROR(__xludf.DUMMYFUNCTION("""COMPUTED_VALUE"""),"Bangkok")</f>
        <v>Bangkok</v>
      </c>
      <c r="Y366" t="str">
        <f>IFERROR(__xludf.DUMMYFUNCTION("""COMPUTED_VALUE"""),"Ladprao")</f>
        <v>Ladprao</v>
      </c>
      <c r="Z366" t="str">
        <f>IFERROR(__xludf.DUMMYFUNCTION("""COMPUTED_VALUE"""),"02 940 3068 / 087 596 0636")</f>
        <v>02 940 3068 / 087 596 0636</v>
      </c>
      <c r="AA366" t="str">
        <f>IFERROR(__xludf.DUMMYFUNCTION("""COMPUTED_VALUE"""),"Home / Monchaya")</f>
        <v>Home / Monchaya</v>
      </c>
      <c r="AB366" t="str">
        <f>IFERROR(__xludf.DUMMYFUNCTION("""COMPUTED_VALUE"""),"naphaphatn@airasia.com")</f>
        <v>naphaphatn@airasia.com</v>
      </c>
    </row>
    <row r="367">
      <c r="A367">
        <f>IFERROR(__xludf.DUMMYFUNCTION("""COMPUTED_VALUE"""),1007029.0)</f>
        <v>1007029</v>
      </c>
      <c r="B367" t="str">
        <f>IFERROR(__xludf.DUMMYFUNCTION("""COMPUTED_VALUE"""),"Ms.")</f>
        <v>Ms.</v>
      </c>
      <c r="C367" t="str">
        <f>IFERROR(__xludf.DUMMYFUNCTION("""COMPUTED_VALUE"""),"Pitchaya (Jinnipha)")</f>
        <v>Pitchaya (Jinnipha)</v>
      </c>
      <c r="D367" t="str">
        <f>IFERROR(__xludf.DUMMYFUNCTION("""COMPUTED_VALUE"""),"Dalai (Viskul)")</f>
        <v>Dalai (Viskul)</v>
      </c>
      <c r="E367" t="str">
        <f>IFERROR(__xludf.DUMMYFUNCTION("""COMPUTED_VALUE"""),"Pitchaya Dalai")</f>
        <v>Pitchaya Dalai</v>
      </c>
      <c r="F367" t="str">
        <f>IFERROR(__xludf.DUMMYFUNCTION("""COMPUTED_VALUE"""),"นางสาว")</f>
        <v>นางสาว</v>
      </c>
      <c r="G367" t="str">
        <f>IFERROR(__xludf.DUMMYFUNCTION("""COMPUTED_VALUE"""),"พิชญา")</f>
        <v>พิชญา</v>
      </c>
      <c r="H367" t="str">
        <f>IFERROR(__xludf.DUMMYFUNCTION("""COMPUTED_VALUE"""),"ดาหลาย")</f>
        <v>ดาหลาย</v>
      </c>
      <c r="I367" t="str">
        <f>IFERROR(__xludf.DUMMYFUNCTION("""COMPUTED_VALUE"""),"พิชญา ดาหลาย")</f>
        <v>พิชญา ดาหลาย</v>
      </c>
      <c r="J367" t="str">
        <f>IFERROR(__xludf.DUMMYFUNCTION("""COMPUTED_VALUE"""),"เฌอรี่")</f>
        <v>เฌอรี่</v>
      </c>
      <c r="K367" t="str">
        <f>IFERROR(__xludf.DUMMYFUNCTION("""COMPUTED_VALUE"""),"Cabin Crew")</f>
        <v>Cabin Crew</v>
      </c>
      <c r="L367" t="str">
        <f>IFERROR(__xludf.DUMMYFUNCTION("""COMPUTED_VALUE"""),"DMK")</f>
        <v>DMK</v>
      </c>
      <c r="M367" s="145" t="str">
        <f>IFERROR(__xludf.DUMMYFUNCTION("""COMPUTED_VALUE"""),"Toffy Home")</f>
        <v>Toffy Home</v>
      </c>
      <c r="N367" t="str">
        <f>IFERROR(__xludf.DUMMYFUNCTION("""COMPUTED_VALUE"""),"Active")</f>
        <v>Active</v>
      </c>
      <c r="P367" s="143">
        <f>IFERROR(__xludf.DUMMYFUNCTION("""COMPUTED_VALUE"""),31520.0)</f>
        <v>31520</v>
      </c>
      <c r="Q367" s="146" t="str">
        <f>IFERROR(__xludf.DUMMYFUNCTION("""COMPUTED_VALUE"""),"099 654 9299")</f>
        <v>099 654 9299</v>
      </c>
      <c r="R367" s="147" t="str">
        <f>IFERROR(__xludf.DUMMYFUNCTION("""COMPUTED_VALUE"""),"190980-13-7726")</f>
        <v>190980-13-7726</v>
      </c>
      <c r="S367" t="str">
        <f>IFERROR(__xludf.DUMMYFUNCTION("""COMPUTED_VALUE"""),"AC2341687")</f>
        <v>AC2341687</v>
      </c>
      <c r="T367" s="148">
        <f>IFERROR(__xludf.DUMMYFUNCTION("""COMPUTED_VALUE"""),44382.0)</f>
        <v>44382</v>
      </c>
      <c r="U367" s="148">
        <f>IFERROR(__xludf.DUMMYFUNCTION("""COMPUTED_VALUE"""),48033.0)</f>
        <v>48033</v>
      </c>
      <c r="V367" s="149">
        <f>IFERROR(__xludf.DUMMYFUNCTION("""COMPUTED_VALUE"""),47852.0)</f>
        <v>47852</v>
      </c>
      <c r="W367" t="str">
        <f>IFERROR(__xludf.DUMMYFUNCTION("""COMPUTED_VALUE"""),"ปลอดภัย")</f>
        <v>ปลอดภัย</v>
      </c>
      <c r="X367" t="str">
        <f>IFERROR(__xludf.DUMMYFUNCTION("""COMPUTED_VALUE"""),"Songkhla Province")</f>
        <v>Songkhla Province</v>
      </c>
      <c r="Y367" t="str">
        <f>IFERROR(__xludf.DUMMYFUNCTION("""COMPUTED_VALUE"""),"Bueng Kum")</f>
        <v>Bueng Kum</v>
      </c>
      <c r="Z367" t="str">
        <f>IFERROR(__xludf.DUMMYFUNCTION("""COMPUTED_VALUE"""),"083 426 4608")</f>
        <v>083 426 4608</v>
      </c>
      <c r="AA367" t="str">
        <f>IFERROR(__xludf.DUMMYFUNCTION("""COMPUTED_VALUE"""),"Kasiwat Dalai")</f>
        <v>Kasiwat Dalai</v>
      </c>
      <c r="AB367" t="str">
        <f>IFERROR(__xludf.DUMMYFUNCTION("""COMPUTED_VALUE"""),"pitchayad@airasia.com")</f>
        <v>pitchayad@airasia.com</v>
      </c>
    </row>
    <row r="368">
      <c r="A368">
        <f>IFERROR(__xludf.DUMMYFUNCTION("""COMPUTED_VALUE"""),1007030.0)</f>
        <v>1007030</v>
      </c>
      <c r="B368" t="str">
        <f>IFERROR(__xludf.DUMMYFUNCTION("""COMPUTED_VALUE"""),"Mr.")</f>
        <v>Mr.</v>
      </c>
      <c r="C368" t="str">
        <f>IFERROR(__xludf.DUMMYFUNCTION("""COMPUTED_VALUE"""),"Poramate")</f>
        <v>Poramate</v>
      </c>
      <c r="D368" t="str">
        <f>IFERROR(__xludf.DUMMYFUNCTION("""COMPUTED_VALUE"""),"Rattanaseksun")</f>
        <v>Rattanaseksun</v>
      </c>
      <c r="E368" t="str">
        <f>IFERROR(__xludf.DUMMYFUNCTION("""COMPUTED_VALUE"""),"Poramate Rattanaseksun")</f>
        <v>Poramate Rattanaseksun</v>
      </c>
      <c r="F368" t="str">
        <f>IFERROR(__xludf.DUMMYFUNCTION("""COMPUTED_VALUE"""),"นาย")</f>
        <v>นาย</v>
      </c>
      <c r="G368" t="str">
        <f>IFERROR(__xludf.DUMMYFUNCTION("""COMPUTED_VALUE"""),"ปรเมฎฐ์")</f>
        <v>ปรเมฎฐ์</v>
      </c>
      <c r="H368" t="str">
        <f>IFERROR(__xludf.DUMMYFUNCTION("""COMPUTED_VALUE"""),"รัตนาเสกสรรค์")</f>
        <v>รัตนาเสกสรรค์</v>
      </c>
      <c r="I368" t="str">
        <f>IFERROR(__xludf.DUMMYFUNCTION("""COMPUTED_VALUE"""),"ปรเมฎฐ์ รัตนาเสกสรรค์")</f>
        <v>ปรเมฎฐ์ รัตนาเสกสรรค์</v>
      </c>
      <c r="J368" t="str">
        <f>IFERROR(__xludf.DUMMYFUNCTION("""COMPUTED_VALUE"""),"Pup")</f>
        <v>Pup</v>
      </c>
      <c r="K368" t="str">
        <f>IFERROR(__xludf.DUMMYFUNCTION("""COMPUTED_VALUE"""),"Senior Cabin Crew")</f>
        <v>Senior Cabin Crew</v>
      </c>
      <c r="L368" t="str">
        <f>IFERROR(__xludf.DUMMYFUNCTION("""COMPUTED_VALUE"""),"DMK")</f>
        <v>DMK</v>
      </c>
      <c r="M368" s="145" t="str">
        <f>IFERROR(__xludf.DUMMYFUNCTION("""COMPUTED_VALUE"""),"Namfon Home")</f>
        <v>Namfon Home</v>
      </c>
      <c r="N368" t="str">
        <f>IFERROR(__xludf.DUMMYFUNCTION("""COMPUTED_VALUE"""),"Active")</f>
        <v>Active</v>
      </c>
      <c r="P368" s="143">
        <f>IFERROR(__xludf.DUMMYFUNCTION("""COMPUTED_VALUE"""),32428.0)</f>
        <v>32428</v>
      </c>
      <c r="Q368" s="146" t="str">
        <f>IFERROR(__xludf.DUMMYFUNCTION("""COMPUTED_VALUE"""),"061-529-9916")</f>
        <v>061-529-9916</v>
      </c>
      <c r="R368" s="147" t="str">
        <f>IFERROR(__xludf.DUMMYFUNCTION("""COMPUTED_VALUE"""),"1101200-13-8993")</f>
        <v>1101200-13-8993</v>
      </c>
      <c r="S368" t="str">
        <f>IFERROR(__xludf.DUMMYFUNCTION("""COMPUTED_VALUE"""),"AC7133470")</f>
        <v>AC7133470</v>
      </c>
      <c r="T368" s="148">
        <f>IFERROR(__xludf.DUMMYFUNCTION("""COMPUTED_VALUE"""),45496.0)</f>
        <v>45496</v>
      </c>
      <c r="U368" s="148">
        <f>IFERROR(__xludf.DUMMYFUNCTION("""COMPUTED_VALUE"""),49147.0)</f>
        <v>49147</v>
      </c>
      <c r="V368" s="149">
        <f>IFERROR(__xludf.DUMMYFUNCTION("""COMPUTED_VALUE"""),48966.0)</f>
        <v>48966</v>
      </c>
      <c r="W368" t="str">
        <f>IFERROR(__xludf.DUMMYFUNCTION("""COMPUTED_VALUE"""),"ปลอดภัย")</f>
        <v>ปลอดภัย</v>
      </c>
      <c r="X368" t="str">
        <f>IFERROR(__xludf.DUMMYFUNCTION("""COMPUTED_VALUE"""),"Bangkok")</f>
        <v>Bangkok</v>
      </c>
      <c r="Y368" t="str">
        <f>IFERROR(__xludf.DUMMYFUNCTION("""COMPUTED_VALUE"""),"Bang Khae")</f>
        <v>Bang Khae</v>
      </c>
      <c r="Z368" t="str">
        <f>IFERROR(__xludf.DUMMYFUNCTION("""COMPUTED_VALUE"""),"02 865 4034 / 089 924 8824")</f>
        <v>02 865 4034 / 089 924 8824</v>
      </c>
      <c r="AA368" t="str">
        <f>IFERROR(__xludf.DUMMYFUNCTION("""COMPUTED_VALUE"""),"Home / Father")</f>
        <v>Home / Father</v>
      </c>
      <c r="AB368" t="str">
        <f>IFERROR(__xludf.DUMMYFUNCTION("""COMPUTED_VALUE"""),"poramater@airasia.com")</f>
        <v>poramater@airasia.com</v>
      </c>
    </row>
    <row r="369">
      <c r="A369">
        <f>IFERROR(__xludf.DUMMYFUNCTION("""COMPUTED_VALUE"""),1007032.0)</f>
        <v>1007032</v>
      </c>
      <c r="B369" t="str">
        <f>IFERROR(__xludf.DUMMYFUNCTION("""COMPUTED_VALUE"""),"Ms.")</f>
        <v>Ms.</v>
      </c>
      <c r="C369" t="str">
        <f>IFERROR(__xludf.DUMMYFUNCTION("""COMPUTED_VALUE"""),"Praew")</f>
        <v>Praew</v>
      </c>
      <c r="D369" t="str">
        <f>IFERROR(__xludf.DUMMYFUNCTION("""COMPUTED_VALUE"""),"Kijsuwan")</f>
        <v>Kijsuwan</v>
      </c>
      <c r="E369" t="str">
        <f>IFERROR(__xludf.DUMMYFUNCTION("""COMPUTED_VALUE"""),"Praew Kijsuwan")</f>
        <v>Praew Kijsuwan</v>
      </c>
      <c r="F369" t="str">
        <f>IFERROR(__xludf.DUMMYFUNCTION("""COMPUTED_VALUE"""),"นางสาว")</f>
        <v>นางสาว</v>
      </c>
      <c r="G369" t="str">
        <f>IFERROR(__xludf.DUMMYFUNCTION("""COMPUTED_VALUE"""),"แพรว")</f>
        <v>แพรว</v>
      </c>
      <c r="H369" t="str">
        <f>IFERROR(__xludf.DUMMYFUNCTION("""COMPUTED_VALUE"""),"กิจสุวรรณ")</f>
        <v>กิจสุวรรณ</v>
      </c>
      <c r="I369" t="str">
        <f>IFERROR(__xludf.DUMMYFUNCTION("""COMPUTED_VALUE"""),"แพรว กิจสุวรรณ")</f>
        <v>แพรว กิจสุวรรณ</v>
      </c>
      <c r="J369" t="str">
        <f>IFERROR(__xludf.DUMMYFUNCTION("""COMPUTED_VALUE"""),"แพรว")</f>
        <v>แพรว</v>
      </c>
      <c r="K369" t="str">
        <f>IFERROR(__xludf.DUMMYFUNCTION("""COMPUTED_VALUE"""),"Senior Cabin Crew - BKK")</f>
        <v>Senior Cabin Crew - BKK</v>
      </c>
      <c r="L369" t="str">
        <f>IFERROR(__xludf.DUMMYFUNCTION("""COMPUTED_VALUE"""),"BKK")</f>
        <v>BKK</v>
      </c>
      <c r="M369" s="145" t="str">
        <f>IFERROR(__xludf.DUMMYFUNCTION("""COMPUTED_VALUE"""),"Nhui Home")</f>
        <v>Nhui Home</v>
      </c>
      <c r="N369" t="str">
        <f>IFERROR(__xludf.DUMMYFUNCTION("""COMPUTED_VALUE"""),"Active/V/DMK")</f>
        <v>Active/V/DMK</v>
      </c>
      <c r="P369" s="143">
        <f>IFERROR(__xludf.DUMMYFUNCTION("""COMPUTED_VALUE"""),32457.0)</f>
        <v>32457</v>
      </c>
      <c r="Q369" s="146" t="str">
        <f>IFERROR(__xludf.DUMMYFUNCTION("""COMPUTED_VALUE"""),"095 494 9915")</f>
        <v>095 494 9915</v>
      </c>
      <c r="R369" s="147" t="str">
        <f>IFERROR(__xludf.DUMMYFUNCTION("""COMPUTED_VALUE"""),"1100700-91-3456")</f>
        <v>1100700-91-3456</v>
      </c>
      <c r="S369" t="str">
        <f>IFERROR(__xludf.DUMMYFUNCTION("""COMPUTED_VALUE"""),"AC3000210")</f>
        <v>AC3000210</v>
      </c>
      <c r="T369" s="148">
        <f>IFERROR(__xludf.DUMMYFUNCTION("""COMPUTED_VALUE"""),44671.0)</f>
        <v>44671</v>
      </c>
      <c r="U369" s="148">
        <f>IFERROR(__xludf.DUMMYFUNCTION("""COMPUTED_VALUE"""),48323.0)</f>
        <v>48323</v>
      </c>
      <c r="V369" s="149">
        <f>IFERROR(__xludf.DUMMYFUNCTION("""COMPUTED_VALUE"""),48140.0)</f>
        <v>48140</v>
      </c>
      <c r="W369" t="str">
        <f>IFERROR(__xludf.DUMMYFUNCTION("""COMPUTED_VALUE"""),"ปลอดภัย")</f>
        <v>ปลอดภัย</v>
      </c>
      <c r="X369" t="str">
        <f>IFERROR(__xludf.DUMMYFUNCTION("""COMPUTED_VALUE"""),"Bangkok")</f>
        <v>Bangkok</v>
      </c>
      <c r="Y369" t="str">
        <f>IFERROR(__xludf.DUMMYFUNCTION("""COMPUTED_VALUE"""),"The star estate , Pattanakarn")</f>
        <v>The star estate , Pattanakarn</v>
      </c>
      <c r="Z369" t="str">
        <f>IFERROR(__xludf.DUMMYFUNCTION("""COMPUTED_VALUE"""),"02 322 5484 / 081 821 6042")</f>
        <v>02 322 5484 / 081 821 6042</v>
      </c>
      <c r="AA369" t="str">
        <f>IFERROR(__xludf.DUMMYFUNCTION("""COMPUTED_VALUE"""),"Home / Pattarin")</f>
        <v>Home / Pattarin</v>
      </c>
      <c r="AB369" t="str">
        <f>IFERROR(__xludf.DUMMYFUNCTION("""COMPUTED_VALUE"""),"praewk@airasia.com")</f>
        <v>praewk@airasia.com</v>
      </c>
    </row>
    <row r="370">
      <c r="A370">
        <f>IFERROR(__xludf.DUMMYFUNCTION("""COMPUTED_VALUE"""),1007034.0)</f>
        <v>1007034</v>
      </c>
      <c r="B370" t="str">
        <f>IFERROR(__xludf.DUMMYFUNCTION("""COMPUTED_VALUE"""),"Ms.")</f>
        <v>Ms.</v>
      </c>
      <c r="C370" t="str">
        <f>IFERROR(__xludf.DUMMYFUNCTION("""COMPUTED_VALUE"""),"Raveekankate")</f>
        <v>Raveekankate</v>
      </c>
      <c r="D370" t="str">
        <f>IFERROR(__xludf.DUMMYFUNCTION("""COMPUTED_VALUE"""),"Sukasemthongdi")</f>
        <v>Sukasemthongdi</v>
      </c>
      <c r="E370" t="str">
        <f>IFERROR(__xludf.DUMMYFUNCTION("""COMPUTED_VALUE"""),"Raveekankate Sukasemthongdi")</f>
        <v>Raveekankate Sukasemthongdi</v>
      </c>
      <c r="F370" t="str">
        <f>IFERROR(__xludf.DUMMYFUNCTION("""COMPUTED_VALUE"""),"นางสาว")</f>
        <v>นางสาว</v>
      </c>
      <c r="G370" t="str">
        <f>IFERROR(__xludf.DUMMYFUNCTION("""COMPUTED_VALUE"""),"รวีกัญเกษย์")</f>
        <v>รวีกัญเกษย์</v>
      </c>
      <c r="H370" t="str">
        <f>IFERROR(__xludf.DUMMYFUNCTION("""COMPUTED_VALUE"""),"สุเกษมทองดีฐ์")</f>
        <v>สุเกษมทองดีฐ์</v>
      </c>
      <c r="I370" t="str">
        <f>IFERROR(__xludf.DUMMYFUNCTION("""COMPUTED_VALUE"""),"รวีกัญเกษย์ สุเกษมทองดีฐ์")</f>
        <v>รวีกัญเกษย์ สุเกษมทองดีฐ์</v>
      </c>
      <c r="J370" t="str">
        <f>IFERROR(__xludf.DUMMYFUNCTION("""COMPUTED_VALUE"""),"Pup")</f>
        <v>Pup</v>
      </c>
      <c r="K370" t="str">
        <f>IFERROR(__xludf.DUMMYFUNCTION("""COMPUTED_VALUE"""),"Cabin Crew")</f>
        <v>Cabin Crew</v>
      </c>
      <c r="L370" t="str">
        <f>IFERROR(__xludf.DUMMYFUNCTION("""COMPUTED_VALUE"""),"DMK")</f>
        <v>DMK</v>
      </c>
      <c r="M370" s="145" t="str">
        <f>IFERROR(__xludf.DUMMYFUNCTION("""COMPUTED_VALUE"""),"Kor Home")</f>
        <v>Kor Home</v>
      </c>
      <c r="N370" t="str">
        <f>IFERROR(__xludf.DUMMYFUNCTION("""COMPUTED_VALUE"""),"Active")</f>
        <v>Active</v>
      </c>
      <c r="O370" t="str">
        <f>IFERROR(__xludf.DUMMYFUNCTION("""COMPUTED_VALUE"""),"Japanese Speaking")</f>
        <v>Japanese Speaking</v>
      </c>
      <c r="P370" s="143">
        <f>IFERROR(__xludf.DUMMYFUNCTION("""COMPUTED_VALUE"""),31444.0)</f>
        <v>31444</v>
      </c>
      <c r="Q370" s="146" t="str">
        <f>IFERROR(__xludf.DUMMYFUNCTION("""COMPUTED_VALUE"""),"085 995 1905")</f>
        <v>085 995 1905</v>
      </c>
      <c r="R370" s="147" t="str">
        <f>IFERROR(__xludf.DUMMYFUNCTION("""COMPUTED_VALUE"""),"1959900-07-0071")</f>
        <v>1959900-07-0071</v>
      </c>
      <c r="S370" t="str">
        <f>IFERROR(__xludf.DUMMYFUNCTION("""COMPUTED_VALUE"""),"AC2558049")</f>
        <v>AC2558049</v>
      </c>
      <c r="T370" s="148">
        <f>IFERROR(__xludf.DUMMYFUNCTION("""COMPUTED_VALUE"""),44659.0)</f>
        <v>44659</v>
      </c>
      <c r="U370" s="148">
        <f>IFERROR(__xludf.DUMMYFUNCTION("""COMPUTED_VALUE"""),48311.0)</f>
        <v>48311</v>
      </c>
      <c r="V370" s="149">
        <f>IFERROR(__xludf.DUMMYFUNCTION("""COMPUTED_VALUE"""),48128.0)</f>
        <v>48128</v>
      </c>
      <c r="W370" t="str">
        <f>IFERROR(__xludf.DUMMYFUNCTION("""COMPUTED_VALUE"""),"ปลอดภัย")</f>
        <v>ปลอดภัย</v>
      </c>
      <c r="X370" t="str">
        <f>IFERROR(__xludf.DUMMYFUNCTION("""COMPUTED_VALUE"""),"Yala Province")</f>
        <v>Yala Province</v>
      </c>
      <c r="Y370" t="str">
        <f>IFERROR(__xludf.DUMMYFUNCTION("""COMPUTED_VALUE"""),"Donmueang")</f>
        <v>Donmueang</v>
      </c>
      <c r="Z370" t="str">
        <f>IFERROR(__xludf.DUMMYFUNCTION("""COMPUTED_VALUE"""),"02 533 5513 / 081 542 1839")</f>
        <v>02 533 5513 / 081 542 1839</v>
      </c>
      <c r="AA370" t="str">
        <f>IFERROR(__xludf.DUMMYFUNCTION("""COMPUTED_VALUE"""),"Home / Chinda")</f>
        <v>Home / Chinda</v>
      </c>
      <c r="AB370" t="str">
        <f>IFERROR(__xludf.DUMMYFUNCTION("""COMPUTED_VALUE"""),"raveekankates@airasia.com")</f>
        <v>raveekankates@airasia.com</v>
      </c>
    </row>
    <row r="371">
      <c r="A371">
        <f>IFERROR(__xludf.DUMMYFUNCTION("""COMPUTED_VALUE"""),1007035.0)</f>
        <v>1007035</v>
      </c>
      <c r="B371" t="str">
        <f>IFERROR(__xludf.DUMMYFUNCTION("""COMPUTED_VALUE"""),"Mr.")</f>
        <v>Mr.</v>
      </c>
      <c r="C371" t="str">
        <f>IFERROR(__xludf.DUMMYFUNCTION("""COMPUTED_VALUE"""),"Sitthikorn")</f>
        <v>Sitthikorn</v>
      </c>
      <c r="D371" t="str">
        <f>IFERROR(__xludf.DUMMYFUNCTION("""COMPUTED_VALUE"""),"Janchalaem")</f>
        <v>Janchalaem</v>
      </c>
      <c r="E371" t="str">
        <f>IFERROR(__xludf.DUMMYFUNCTION("""COMPUTED_VALUE"""),"Sitthikorn Janchalaem")</f>
        <v>Sitthikorn Janchalaem</v>
      </c>
      <c r="F371" t="str">
        <f>IFERROR(__xludf.DUMMYFUNCTION("""COMPUTED_VALUE"""),"นาย")</f>
        <v>นาย</v>
      </c>
      <c r="G371" t="str">
        <f>IFERROR(__xludf.DUMMYFUNCTION("""COMPUTED_VALUE"""),"สิทธิกร")</f>
        <v>สิทธิกร</v>
      </c>
      <c r="H371" t="str">
        <f>IFERROR(__xludf.DUMMYFUNCTION("""COMPUTED_VALUE"""),"จันทร์แฉล้ม")</f>
        <v>จันทร์แฉล้ม</v>
      </c>
      <c r="I371" t="str">
        <f>IFERROR(__xludf.DUMMYFUNCTION("""COMPUTED_VALUE"""),"สิทธิกร จันทร์แฉล้ม")</f>
        <v>สิทธิกร จันทร์แฉล้ม</v>
      </c>
      <c r="J371" t="str">
        <f>IFERROR(__xludf.DUMMYFUNCTION("""COMPUTED_VALUE"""),"Name")</f>
        <v>Name</v>
      </c>
      <c r="K371" t="str">
        <f>IFERROR(__xludf.DUMMYFUNCTION("""COMPUTED_VALUE"""),"Cabin Crew")</f>
        <v>Cabin Crew</v>
      </c>
      <c r="L371" t="str">
        <f>IFERROR(__xludf.DUMMYFUNCTION("""COMPUTED_VALUE"""),"DMK")</f>
        <v>DMK</v>
      </c>
      <c r="M371" s="145" t="str">
        <f>IFERROR(__xludf.DUMMYFUNCTION("""COMPUTED_VALUE"""),"Por+ Home")</f>
        <v>Por+ Home</v>
      </c>
      <c r="N371" t="str">
        <f>IFERROR(__xludf.DUMMYFUNCTION("""COMPUTED_VALUE"""),"Active")</f>
        <v>Active</v>
      </c>
      <c r="P371" s="143">
        <f>IFERROR(__xludf.DUMMYFUNCTION("""COMPUTED_VALUE"""),32324.0)</f>
        <v>32324</v>
      </c>
      <c r="Q371" s="146" t="str">
        <f>IFERROR(__xludf.DUMMYFUNCTION("""COMPUTED_VALUE"""),"062 265 3915")</f>
        <v>062 265 3915</v>
      </c>
      <c r="R371" s="147" t="str">
        <f>IFERROR(__xludf.DUMMYFUNCTION("""COMPUTED_VALUE"""),"1100700-82-1853")</f>
        <v>1100700-82-1853</v>
      </c>
      <c r="S371" t="str">
        <f>IFERROR(__xludf.DUMMYFUNCTION("""COMPUTED_VALUE"""),"AD1070593")</f>
        <v>AD1070593</v>
      </c>
      <c r="T371" s="148">
        <f>IFERROR(__xludf.DUMMYFUNCTION("""COMPUTED_VALUE"""),45057.0)</f>
        <v>45057</v>
      </c>
      <c r="U371" s="148">
        <f>IFERROR(__xludf.DUMMYFUNCTION("""COMPUTED_VALUE"""),48709.0)</f>
        <v>48709</v>
      </c>
      <c r="V371" s="149">
        <f>IFERROR(__xludf.DUMMYFUNCTION("""COMPUTED_VALUE"""),48528.0)</f>
        <v>48528</v>
      </c>
      <c r="W371" t="str">
        <f>IFERROR(__xludf.DUMMYFUNCTION("""COMPUTED_VALUE"""),"ปลอดภัย")</f>
        <v>ปลอดภัย</v>
      </c>
      <c r="X371" t="str">
        <f>IFERROR(__xludf.DUMMYFUNCTION("""COMPUTED_VALUE"""),"Bangkok")</f>
        <v>Bangkok</v>
      </c>
      <c r="Y371" t="str">
        <f>IFERROR(__xludf.DUMMYFUNCTION("""COMPUTED_VALUE"""),"Bangkhlao")</f>
        <v>Bangkhlao</v>
      </c>
      <c r="Z371" t="str">
        <f>IFERROR(__xludf.DUMMYFUNCTION("""COMPUTED_VALUE"""),"02 291 5495 / 083 618 0394")</f>
        <v>02 291 5495 / 083 618 0394</v>
      </c>
      <c r="AA371" t="str">
        <f>IFERROR(__xludf.DUMMYFUNCTION("""COMPUTED_VALUE"""),"Home / Mother")</f>
        <v>Home / Mother</v>
      </c>
      <c r="AB371" t="str">
        <f>IFERROR(__xludf.DUMMYFUNCTION("""COMPUTED_VALUE"""),"sitthikornj@airasia.com")</f>
        <v>sitthikornj@airasia.com</v>
      </c>
    </row>
    <row r="372">
      <c r="AB372" t="str">
        <f>IFERROR(__xludf.DUMMYFUNCTION("""COMPUTED_VALUE"""),"")</f>
        <v/>
      </c>
    </row>
    <row r="373">
      <c r="A373">
        <f>IFERROR(__xludf.DUMMYFUNCTION("""COMPUTED_VALUE"""),1007138.0)</f>
        <v>1007138</v>
      </c>
      <c r="B373" t="str">
        <f>IFERROR(__xludf.DUMMYFUNCTION("""COMPUTED_VALUE"""),"Ms.")</f>
        <v>Ms.</v>
      </c>
      <c r="C373" t="str">
        <f>IFERROR(__xludf.DUMMYFUNCTION("""COMPUTED_VALUE"""),"Muanprae")</f>
        <v>Muanprae</v>
      </c>
      <c r="D373" t="str">
        <f>IFERROR(__xludf.DUMMYFUNCTION("""COMPUTED_VALUE"""),"Fukiatisuthi")</f>
        <v>Fukiatisuthi</v>
      </c>
      <c r="E373" t="str">
        <f>IFERROR(__xludf.DUMMYFUNCTION("""COMPUTED_VALUE"""),"Muanprae Fukiatisuthi")</f>
        <v>Muanprae Fukiatisuthi</v>
      </c>
      <c r="F373" t="str">
        <f>IFERROR(__xludf.DUMMYFUNCTION("""COMPUTED_VALUE"""),"นางสาว")</f>
        <v>นางสาว</v>
      </c>
      <c r="G373" t="str">
        <f>IFERROR(__xludf.DUMMYFUNCTION("""COMPUTED_VALUE"""),"เหมือนแพร")</f>
        <v>เหมือนแพร</v>
      </c>
      <c r="H373" t="str">
        <f>IFERROR(__xludf.DUMMYFUNCTION("""COMPUTED_VALUE"""),"ฟูเกียรติสุทธิ์")</f>
        <v>ฟูเกียรติสุทธิ์</v>
      </c>
      <c r="I373" t="str">
        <f>IFERROR(__xludf.DUMMYFUNCTION("""COMPUTED_VALUE"""),"เหมือนแพร ฟูเกียรติสุทธิ์")</f>
        <v>เหมือนแพร ฟูเกียรติสุทธิ์</v>
      </c>
      <c r="J373" t="str">
        <f>IFERROR(__xludf.DUMMYFUNCTION("""COMPUTED_VALUE"""),"แพร")</f>
        <v>แพร</v>
      </c>
      <c r="K373" t="str">
        <f>IFERROR(__xludf.DUMMYFUNCTION("""COMPUTED_VALUE"""),"Senior Cabin Crew")</f>
        <v>Senior Cabin Crew</v>
      </c>
      <c r="L373" t="str">
        <f>IFERROR(__xludf.DUMMYFUNCTION("""COMPUTED_VALUE"""),"DMK")</f>
        <v>DMK</v>
      </c>
      <c r="M373" s="145" t="str">
        <f>IFERROR(__xludf.DUMMYFUNCTION("""COMPUTED_VALUE"""),"Nhui Home")</f>
        <v>Nhui Home</v>
      </c>
      <c r="N373" t="str">
        <f>IFERROR(__xludf.DUMMYFUNCTION("""COMPUTED_VALUE"""),"Active")</f>
        <v>Active</v>
      </c>
      <c r="P373" s="143">
        <f>IFERROR(__xludf.DUMMYFUNCTION("""COMPUTED_VALUE"""),31685.0)</f>
        <v>31685</v>
      </c>
      <c r="Q373" s="146" t="str">
        <f>IFERROR(__xludf.DUMMYFUNCTION("""COMPUTED_VALUE"""),"085 184 8474")</f>
        <v>085 184 8474</v>
      </c>
      <c r="R373" s="147">
        <f>IFERROR(__xludf.DUMMYFUNCTION("""COMPUTED_VALUE"""),1.101400817444E12)</f>
        <v>1101400817444</v>
      </c>
      <c r="S373" t="str">
        <f>IFERROR(__xludf.DUMMYFUNCTION("""COMPUTED_VALUE"""),"AC2629233")</f>
        <v>AC2629233</v>
      </c>
      <c r="T373" s="148">
        <f>IFERROR(__xludf.DUMMYFUNCTION("""COMPUTED_VALUE"""),44550.0)</f>
        <v>44550</v>
      </c>
      <c r="U373" s="148">
        <f>IFERROR(__xludf.DUMMYFUNCTION("""COMPUTED_VALUE"""),48201.0)</f>
        <v>48201</v>
      </c>
      <c r="V373" s="149">
        <f>IFERROR(__xludf.DUMMYFUNCTION("""COMPUTED_VALUE"""),48018.0)</f>
        <v>48018</v>
      </c>
      <c r="W373" t="str">
        <f>IFERROR(__xludf.DUMMYFUNCTION("""COMPUTED_VALUE"""),"ปลอดภัย")</f>
        <v>ปลอดภัย</v>
      </c>
      <c r="X373" t="str">
        <f>IFERROR(__xludf.DUMMYFUNCTION("""COMPUTED_VALUE"""),"Bangkok")</f>
        <v>Bangkok</v>
      </c>
      <c r="Y373" t="str">
        <f>IFERROR(__xludf.DUMMYFUNCTION("""COMPUTED_VALUE"""),"Huay Kwang")</f>
        <v>Huay Kwang</v>
      </c>
      <c r="Z373" t="str">
        <f>IFERROR(__xludf.DUMMYFUNCTION("""COMPUTED_VALUE"""),"032 211 957 / 083 065 9079 / 081 944 4407")</f>
        <v>032 211 957 / 083 065 9079 / 081 944 4407</v>
      </c>
      <c r="AA373" t="str">
        <f>IFERROR(__xludf.DUMMYFUNCTION("""COMPUTED_VALUE"""),"Home / Mother")</f>
        <v>Home / Mother</v>
      </c>
      <c r="AB373" t="str">
        <f>IFERROR(__xludf.DUMMYFUNCTION("""COMPUTED_VALUE"""),"muanpraef@airasia.com")</f>
        <v>muanpraef@airasia.com</v>
      </c>
    </row>
    <row r="374">
      <c r="A374">
        <f>IFERROR(__xludf.DUMMYFUNCTION("""COMPUTED_VALUE"""),1007143.0)</f>
        <v>1007143</v>
      </c>
      <c r="B374" t="str">
        <f>IFERROR(__xludf.DUMMYFUNCTION("""COMPUTED_VALUE"""),"Ms.")</f>
        <v>Ms.</v>
      </c>
      <c r="C374" t="str">
        <f>IFERROR(__xludf.DUMMYFUNCTION("""COMPUTED_VALUE"""),"Nantakarn")</f>
        <v>Nantakarn</v>
      </c>
      <c r="D374" t="str">
        <f>IFERROR(__xludf.DUMMYFUNCTION("""COMPUTED_VALUE"""),"Sangwarn")</f>
        <v>Sangwarn</v>
      </c>
      <c r="E374" t="str">
        <f>IFERROR(__xludf.DUMMYFUNCTION("""COMPUTED_VALUE"""),"Nantakarn Sangwarn")</f>
        <v>Nantakarn Sangwarn</v>
      </c>
      <c r="F374" t="str">
        <f>IFERROR(__xludf.DUMMYFUNCTION("""COMPUTED_VALUE"""),"นางสาว")</f>
        <v>นางสาว</v>
      </c>
      <c r="G374" t="str">
        <f>IFERROR(__xludf.DUMMYFUNCTION("""COMPUTED_VALUE"""),"นันทกานต์")</f>
        <v>นันทกานต์</v>
      </c>
      <c r="H374" t="str">
        <f>IFERROR(__xludf.DUMMYFUNCTION("""COMPUTED_VALUE"""),"สังวาลย์")</f>
        <v>สังวาลย์</v>
      </c>
      <c r="I374" t="str">
        <f>IFERROR(__xludf.DUMMYFUNCTION("""COMPUTED_VALUE"""),"นันทกานต์ สังวาลย์")</f>
        <v>นันทกานต์ สังวาลย์</v>
      </c>
      <c r="J374" t="str">
        <f>IFERROR(__xludf.DUMMYFUNCTION("""COMPUTED_VALUE"""),"บี")</f>
        <v>บี</v>
      </c>
      <c r="K374" t="str">
        <f>IFERROR(__xludf.DUMMYFUNCTION("""COMPUTED_VALUE"""),"Senior Cabin Crew - HKT")</f>
        <v>Senior Cabin Crew - HKT</v>
      </c>
      <c r="L374" t="str">
        <f>IFERROR(__xludf.DUMMYFUNCTION("""COMPUTED_VALUE"""),"HKT")</f>
        <v>HKT</v>
      </c>
      <c r="M374" s="145" t="str">
        <f>IFERROR(__xludf.DUMMYFUNCTION("""COMPUTED_VALUE"""),"Kor Home")</f>
        <v>Kor Home</v>
      </c>
      <c r="N374" t="str">
        <f>IFERROR(__xludf.DUMMYFUNCTION("""COMPUTED_VALUE"""),"Active/V/DMK")</f>
        <v>Active/V/DMK</v>
      </c>
      <c r="P374" s="143">
        <f>IFERROR(__xludf.DUMMYFUNCTION("""COMPUTED_VALUE"""),32463.0)</f>
        <v>32463</v>
      </c>
      <c r="Q374" s="146" t="str">
        <f>IFERROR(__xludf.DUMMYFUNCTION("""COMPUTED_VALUE"""),"087 477 6949")</f>
        <v>087 477 6949</v>
      </c>
      <c r="R374" s="147">
        <f>IFERROR(__xludf.DUMMYFUNCTION("""COMPUTED_VALUE"""),1.839900150202E12)</f>
        <v>1839900150202</v>
      </c>
      <c r="S374" t="str">
        <f>IFERROR(__xludf.DUMMYFUNCTION("""COMPUTED_VALUE"""),"AD2243610")</f>
        <v>AD2243610</v>
      </c>
      <c r="T374" s="148">
        <f>IFERROR(__xludf.DUMMYFUNCTION("""COMPUTED_VALUE"""),45771.0)</f>
        <v>45771</v>
      </c>
      <c r="U374" s="148">
        <f>IFERROR(__xludf.DUMMYFUNCTION("""COMPUTED_VALUE"""),49422.0)</f>
        <v>49422</v>
      </c>
      <c r="V374" s="149">
        <f>IFERROR(__xludf.DUMMYFUNCTION("""COMPUTED_VALUE"""),49240.0)</f>
        <v>49240</v>
      </c>
      <c r="W374" t="str">
        <f>IFERROR(__xludf.DUMMYFUNCTION("""COMPUTED_VALUE"""),"ปลอดภัย")</f>
        <v>ปลอดภัย</v>
      </c>
      <c r="X374" t="str">
        <f>IFERROR(__xludf.DUMMYFUNCTION("""COMPUTED_VALUE"""),"Phuket Province")</f>
        <v>Phuket Province</v>
      </c>
      <c r="Y374" t="str">
        <f>IFERROR(__xludf.DUMMYFUNCTION("""COMPUTED_VALUE"""),"Phuket")</f>
        <v>Phuket</v>
      </c>
      <c r="Z374" t="str">
        <f>IFERROR(__xludf.DUMMYFUNCTION("""COMPUTED_VALUE"""),"084 843 9508")</f>
        <v>084 843 9508</v>
      </c>
      <c r="AA374" t="str">
        <f>IFERROR(__xludf.DUMMYFUNCTION("""COMPUTED_VALUE"""),"Father")</f>
        <v>Father</v>
      </c>
      <c r="AB374" t="str">
        <f>IFERROR(__xludf.DUMMYFUNCTION("""COMPUTED_VALUE"""),"nantakarns@airasia.com")</f>
        <v>nantakarns@airasia.com</v>
      </c>
    </row>
    <row r="375">
      <c r="A375">
        <f>IFERROR(__xludf.DUMMYFUNCTION("""COMPUTED_VALUE"""),1007144.0)</f>
        <v>1007144</v>
      </c>
      <c r="B375" t="str">
        <f>IFERROR(__xludf.DUMMYFUNCTION("""COMPUTED_VALUE"""),"Ms.")</f>
        <v>Ms.</v>
      </c>
      <c r="C375" t="str">
        <f>IFERROR(__xludf.DUMMYFUNCTION("""COMPUTED_VALUE"""),"Natcharee")</f>
        <v>Natcharee</v>
      </c>
      <c r="D375" t="str">
        <f>IFERROR(__xludf.DUMMYFUNCTION("""COMPUTED_VALUE"""),"Chaweewong")</f>
        <v>Chaweewong</v>
      </c>
      <c r="E375" t="str">
        <f>IFERROR(__xludf.DUMMYFUNCTION("""COMPUTED_VALUE"""),"Natcharee Chaweewong")</f>
        <v>Natcharee Chaweewong</v>
      </c>
      <c r="F375" t="str">
        <f>IFERROR(__xludf.DUMMYFUNCTION("""COMPUTED_VALUE"""),"นางสาว")</f>
        <v>นางสาว</v>
      </c>
      <c r="G375" t="str">
        <f>IFERROR(__xludf.DUMMYFUNCTION("""COMPUTED_VALUE"""),"นัฎชรีย์")</f>
        <v>นัฎชรีย์</v>
      </c>
      <c r="H375" t="str">
        <f>IFERROR(__xludf.DUMMYFUNCTION("""COMPUTED_VALUE"""),"ฉวีวงศ์")</f>
        <v>ฉวีวงศ์</v>
      </c>
      <c r="I375" t="str">
        <f>IFERROR(__xludf.DUMMYFUNCTION("""COMPUTED_VALUE"""),"นัฎชรีย์ ฉวีวงศ์")</f>
        <v>นัฎชรีย์ ฉวีวงศ์</v>
      </c>
      <c r="J375" t="str">
        <f>IFERROR(__xludf.DUMMYFUNCTION("""COMPUTED_VALUE"""),"ลูกนัฎ")</f>
        <v>ลูกนัฎ</v>
      </c>
      <c r="K375" t="str">
        <f>IFERROR(__xludf.DUMMYFUNCTION("""COMPUTED_VALUE"""),"Senior Cabin Crew")</f>
        <v>Senior Cabin Crew</v>
      </c>
      <c r="L375" t="str">
        <f>IFERROR(__xludf.DUMMYFUNCTION("""COMPUTED_VALUE"""),"DMK")</f>
        <v>DMK</v>
      </c>
      <c r="M375" s="145" t="str">
        <f>IFERROR(__xludf.DUMMYFUNCTION("""COMPUTED_VALUE"""),"Namfon Home")</f>
        <v>Namfon Home</v>
      </c>
      <c r="N375" t="str">
        <f>IFERROR(__xludf.DUMMYFUNCTION("""COMPUTED_VALUE"""),"Active")</f>
        <v>Active</v>
      </c>
      <c r="P375" s="143">
        <f>IFERROR(__xludf.DUMMYFUNCTION("""COMPUTED_VALUE"""),31035.0)</f>
        <v>31035</v>
      </c>
      <c r="Q375" s="146" t="str">
        <f>IFERROR(__xludf.DUMMYFUNCTION("""COMPUTED_VALUE"""),"095 446 5441")</f>
        <v>095 446 5441</v>
      </c>
      <c r="R375" s="147">
        <f>IFERROR(__xludf.DUMMYFUNCTION("""COMPUTED_VALUE"""),1.101400357249E12)</f>
        <v>1101400357249</v>
      </c>
      <c r="S375" t="str">
        <f>IFERROR(__xludf.DUMMYFUNCTION("""COMPUTED_VALUE"""),"AC7551847")</f>
        <v>AC7551847</v>
      </c>
      <c r="T375" s="148">
        <f>IFERROR(__xludf.DUMMYFUNCTION("""COMPUTED_VALUE"""),45568.0)</f>
        <v>45568</v>
      </c>
      <c r="U375" s="148">
        <f>IFERROR(__xludf.DUMMYFUNCTION("""COMPUTED_VALUE"""),49219.0)</f>
        <v>49219</v>
      </c>
      <c r="V375" s="149">
        <f>IFERROR(__xludf.DUMMYFUNCTION("""COMPUTED_VALUE"""),49036.0)</f>
        <v>49036</v>
      </c>
      <c r="W375" t="str">
        <f>IFERROR(__xludf.DUMMYFUNCTION("""COMPUTED_VALUE"""),"ปลอดภัย")</f>
        <v>ปลอดภัย</v>
      </c>
      <c r="X375" t="str">
        <f>IFERROR(__xludf.DUMMYFUNCTION("""COMPUTED_VALUE"""),"Bangkok")</f>
        <v>Bangkok</v>
      </c>
      <c r="Y375" t="str">
        <f>IFERROR(__xludf.DUMMYFUNCTION("""COMPUTED_VALUE"""),"Wangthonglang")</f>
        <v>Wangthonglang</v>
      </c>
      <c r="Z375" t="str">
        <f>IFERROR(__xludf.DUMMYFUNCTION("""COMPUTED_VALUE"""),"02 539 5104 / 081 357 8700")</f>
        <v>02 539 5104 / 081 357 8700</v>
      </c>
      <c r="AA375" t="str">
        <f>IFERROR(__xludf.DUMMYFUNCTION("""COMPUTED_VALUE"""),"Home / Father")</f>
        <v>Home / Father</v>
      </c>
      <c r="AB375" t="str">
        <f>IFERROR(__xludf.DUMMYFUNCTION("""COMPUTED_VALUE"""),"natchareec@airasia.com")</f>
        <v>natchareec@airasia.com</v>
      </c>
    </row>
    <row r="376">
      <c r="A376">
        <f>IFERROR(__xludf.DUMMYFUNCTION("""COMPUTED_VALUE"""),1007146.0)</f>
        <v>1007146</v>
      </c>
      <c r="B376" t="str">
        <f>IFERROR(__xludf.DUMMYFUNCTION("""COMPUTED_VALUE"""),"Mr.")</f>
        <v>Mr.</v>
      </c>
      <c r="C376" t="str">
        <f>IFERROR(__xludf.DUMMYFUNCTION("""COMPUTED_VALUE"""),"Nolnapat")</f>
        <v>Nolnapat</v>
      </c>
      <c r="D376" t="str">
        <f>IFERROR(__xludf.DUMMYFUNCTION("""COMPUTED_VALUE"""),"Nitmanee")</f>
        <v>Nitmanee</v>
      </c>
      <c r="E376" t="str">
        <f>IFERROR(__xludf.DUMMYFUNCTION("""COMPUTED_VALUE"""),"Nolnapat Nitmanee")</f>
        <v>Nolnapat Nitmanee</v>
      </c>
      <c r="F376" t="str">
        <f>IFERROR(__xludf.DUMMYFUNCTION("""COMPUTED_VALUE"""),"นาย")</f>
        <v>นาย</v>
      </c>
      <c r="G376" t="str">
        <f>IFERROR(__xludf.DUMMYFUNCTION("""COMPUTED_VALUE"""),"นลณภัทร์")</f>
        <v>นลณภัทร์</v>
      </c>
      <c r="H376" t="str">
        <f>IFERROR(__xludf.DUMMYFUNCTION("""COMPUTED_VALUE"""),"นิตย์มณี")</f>
        <v>นิตย์มณี</v>
      </c>
      <c r="I376" t="str">
        <f>IFERROR(__xludf.DUMMYFUNCTION("""COMPUTED_VALUE"""),"นลณภัทร์ นิตย์มณี")</f>
        <v>นลณภัทร์ นิตย์มณี</v>
      </c>
      <c r="J376" t="str">
        <f>IFERROR(__xludf.DUMMYFUNCTION("""COMPUTED_VALUE"""),"บอล")</f>
        <v>บอล</v>
      </c>
      <c r="K376" t="str">
        <f>IFERROR(__xludf.DUMMYFUNCTION("""COMPUTED_VALUE"""),"Senior Cabin Crew")</f>
        <v>Senior Cabin Crew</v>
      </c>
      <c r="L376" t="str">
        <f>IFERROR(__xludf.DUMMYFUNCTION("""COMPUTED_VALUE"""),"DMK")</f>
        <v>DMK</v>
      </c>
      <c r="M376" s="145" t="str">
        <f>IFERROR(__xludf.DUMMYFUNCTION("""COMPUTED_VALUE"""),"Namfon Home")</f>
        <v>Namfon Home</v>
      </c>
      <c r="N376" t="str">
        <f>IFERROR(__xludf.DUMMYFUNCTION("""COMPUTED_VALUE"""),"Active")</f>
        <v>Active</v>
      </c>
      <c r="P376" s="143">
        <f>IFERROR(__xludf.DUMMYFUNCTION("""COMPUTED_VALUE"""),31705.0)</f>
        <v>31705</v>
      </c>
      <c r="Q376" s="146" t="str">
        <f>IFERROR(__xludf.DUMMYFUNCTION("""COMPUTED_VALUE"""),"090 946 5917")</f>
        <v>090 946 5917</v>
      </c>
      <c r="R376" s="147">
        <f>IFERROR(__xludf.DUMMYFUNCTION("""COMPUTED_VALUE"""),1.250500058616E12)</f>
        <v>1250500058616</v>
      </c>
      <c r="S376" t="str">
        <f>IFERROR(__xludf.DUMMYFUNCTION("""COMPUTED_VALUE"""),"AC3070419")</f>
        <v>AC3070419</v>
      </c>
      <c r="T376" s="148">
        <f>IFERROR(__xludf.DUMMYFUNCTION("""COMPUTED_VALUE"""),44683.0)</f>
        <v>44683</v>
      </c>
      <c r="U376" s="148">
        <f>IFERROR(__xludf.DUMMYFUNCTION("""COMPUTED_VALUE"""),46508.0)</f>
        <v>46508</v>
      </c>
      <c r="V376" s="149">
        <f>IFERROR(__xludf.DUMMYFUNCTION("""COMPUTED_VALUE"""),46327.0)</f>
        <v>46327</v>
      </c>
      <c r="W376" t="str">
        <f>IFERROR(__xludf.DUMMYFUNCTION("""COMPUTED_VALUE"""),"ปลอดภัย")</f>
        <v>ปลอดภัย</v>
      </c>
      <c r="X376" t="str">
        <f>IFERROR(__xludf.DUMMYFUNCTION("""COMPUTED_VALUE"""),"Prachinburi Province")</f>
        <v>Prachinburi Province</v>
      </c>
      <c r="Y376" t="str">
        <f>IFERROR(__xludf.DUMMYFUNCTION("""COMPUTED_VALUE"""),"Chatuchak")</f>
        <v>Chatuchak</v>
      </c>
      <c r="Z376" t="str">
        <f>IFERROR(__xludf.DUMMYFUNCTION("""COMPUTED_VALUE"""),"037 251 412 / 089 713 2115")</f>
        <v>037 251 412 / 089 713 2115</v>
      </c>
      <c r="AA376" t="str">
        <f>IFERROR(__xludf.DUMMYFUNCTION("""COMPUTED_VALUE"""),"Home / Uncle")</f>
        <v>Home / Uncle</v>
      </c>
      <c r="AB376" t="str">
        <f>IFERROR(__xludf.DUMMYFUNCTION("""COMPUTED_VALUE"""),"nolnapatn@airasia.com")</f>
        <v>nolnapatn@airasia.com</v>
      </c>
    </row>
    <row r="377">
      <c r="A377">
        <f>IFERROR(__xludf.DUMMYFUNCTION("""COMPUTED_VALUE"""),1007152.0)</f>
        <v>1007152</v>
      </c>
      <c r="B377" t="str">
        <f>IFERROR(__xludf.DUMMYFUNCTION("""COMPUTED_VALUE"""),"Ms.")</f>
        <v>Ms.</v>
      </c>
      <c r="C377" t="str">
        <f>IFERROR(__xludf.DUMMYFUNCTION("""COMPUTED_VALUE"""),"Pakamas")</f>
        <v>Pakamas</v>
      </c>
      <c r="D377" t="str">
        <f>IFERROR(__xludf.DUMMYFUNCTION("""COMPUTED_VALUE"""),"Molchaisawad (Monchaisawad)")</f>
        <v>Molchaisawad (Monchaisawad)</v>
      </c>
      <c r="E377" t="str">
        <f>IFERROR(__xludf.DUMMYFUNCTION("""COMPUTED_VALUE"""),"Pakamas Molchaisawad")</f>
        <v>Pakamas Molchaisawad</v>
      </c>
      <c r="F377" t="str">
        <f>IFERROR(__xludf.DUMMYFUNCTION("""COMPUTED_VALUE"""),"นางสาว")</f>
        <v>นางสาว</v>
      </c>
      <c r="G377" t="str">
        <f>IFERROR(__xludf.DUMMYFUNCTION("""COMPUTED_VALUE"""),"ผกามาศ")</f>
        <v>ผกามาศ</v>
      </c>
      <c r="H377" t="str">
        <f>IFERROR(__xludf.DUMMYFUNCTION("""COMPUTED_VALUE"""),"มลชัยสวัสดิ์")</f>
        <v>มลชัยสวัสดิ์</v>
      </c>
      <c r="I377" t="str">
        <f>IFERROR(__xludf.DUMMYFUNCTION("""COMPUTED_VALUE"""),"ผกามาศ มลชัยสวัสดิ์")</f>
        <v>ผกามาศ มลชัยสวัสดิ์</v>
      </c>
      <c r="J377" t="str">
        <f>IFERROR(__xludf.DUMMYFUNCTION("""COMPUTED_VALUE"""),"อ้อม")</f>
        <v>อ้อม</v>
      </c>
      <c r="K377" t="str">
        <f>IFERROR(__xludf.DUMMYFUNCTION("""COMPUTED_VALUE"""),"Senior Cabin Crew")</f>
        <v>Senior Cabin Crew</v>
      </c>
      <c r="L377" t="str">
        <f>IFERROR(__xludf.DUMMYFUNCTION("""COMPUTED_VALUE"""),"DMK")</f>
        <v>DMK</v>
      </c>
      <c r="M377" s="145" t="str">
        <f>IFERROR(__xludf.DUMMYFUNCTION("""COMPUTED_VALUE"""),"Kor Home")</f>
        <v>Kor Home</v>
      </c>
      <c r="N377" t="str">
        <f>IFERROR(__xludf.DUMMYFUNCTION("""COMPUTED_VALUE"""),"Active")</f>
        <v>Active</v>
      </c>
      <c r="P377" s="143">
        <f>IFERROR(__xludf.DUMMYFUNCTION("""COMPUTED_VALUE"""),30401.0)</f>
        <v>30401</v>
      </c>
      <c r="Q377" s="146" t="str">
        <f>IFERROR(__xludf.DUMMYFUNCTION("""COMPUTED_VALUE"""),"094 539 6924")</f>
        <v>094 539 6924</v>
      </c>
      <c r="R377" s="147">
        <f>IFERROR(__xludf.DUMMYFUNCTION("""COMPUTED_VALUE"""),3.102201525149E12)</f>
        <v>3102201525149</v>
      </c>
      <c r="S377" t="str">
        <f>IFERROR(__xludf.DUMMYFUNCTION("""COMPUTED_VALUE"""),"AD1866122")</f>
        <v>AD1866122</v>
      </c>
      <c r="T377" s="148">
        <f>IFERROR(__xludf.DUMMYFUNCTION("""COMPUTED_VALUE"""),45474.0)</f>
        <v>45474</v>
      </c>
      <c r="U377" s="148">
        <f>IFERROR(__xludf.DUMMYFUNCTION("""COMPUTED_VALUE"""),49125.0)</f>
        <v>49125</v>
      </c>
      <c r="V377" s="149">
        <f>IFERROR(__xludf.DUMMYFUNCTION("""COMPUTED_VALUE"""),48943.0)</f>
        <v>48943</v>
      </c>
      <c r="W377" t="str">
        <f>IFERROR(__xludf.DUMMYFUNCTION("""COMPUTED_VALUE"""),"ปลอดภัย")</f>
        <v>ปลอดภัย</v>
      </c>
      <c r="X377" t="str">
        <f>IFERROR(__xludf.DUMMYFUNCTION("""COMPUTED_VALUE"""),"Bangkok")</f>
        <v>Bangkok</v>
      </c>
      <c r="Y377" t="str">
        <f>IFERROR(__xludf.DUMMYFUNCTION("""COMPUTED_VALUE"""),"Bangkhae")</f>
        <v>Bangkhae</v>
      </c>
      <c r="Z377" t="str">
        <f>IFERROR(__xludf.DUMMYFUNCTION("""COMPUTED_VALUE"""),"02 455 4998 / 081 373 6155")</f>
        <v>02 455 4998 / 081 373 6155</v>
      </c>
      <c r="AA377" t="str">
        <f>IFERROR(__xludf.DUMMYFUNCTION("""COMPUTED_VALUE"""),"Home / Father")</f>
        <v>Home / Father</v>
      </c>
      <c r="AB377" t="str">
        <f>IFERROR(__xludf.DUMMYFUNCTION("""COMPUTED_VALUE"""),"pakamasm@airasia.com")</f>
        <v>pakamasm@airasia.com</v>
      </c>
    </row>
    <row r="378">
      <c r="A378">
        <f>IFERROR(__xludf.DUMMYFUNCTION("""COMPUTED_VALUE"""),1007153.0)</f>
        <v>1007153</v>
      </c>
      <c r="B378" t="str">
        <f>IFERROR(__xludf.DUMMYFUNCTION("""COMPUTED_VALUE"""),"Mr.")</f>
        <v>Mr.</v>
      </c>
      <c r="C378" t="str">
        <f>IFERROR(__xludf.DUMMYFUNCTION("""COMPUTED_VALUE"""),"Pannathat")</f>
        <v>Pannathat</v>
      </c>
      <c r="D378" t="str">
        <f>IFERROR(__xludf.DUMMYFUNCTION("""COMPUTED_VALUE"""),"Chuchuaisuwan")</f>
        <v>Chuchuaisuwan</v>
      </c>
      <c r="E378" t="str">
        <f>IFERROR(__xludf.DUMMYFUNCTION("""COMPUTED_VALUE"""),"Pannathat Chuchuaisuwan")</f>
        <v>Pannathat Chuchuaisuwan</v>
      </c>
      <c r="F378" t="str">
        <f>IFERROR(__xludf.DUMMYFUNCTION("""COMPUTED_VALUE"""),"นาย")</f>
        <v>นาย</v>
      </c>
      <c r="G378" t="str">
        <f>IFERROR(__xludf.DUMMYFUNCTION("""COMPUTED_VALUE"""),"ปัณณทัต")</f>
        <v>ปัณณทัต</v>
      </c>
      <c r="H378" t="str">
        <f>IFERROR(__xludf.DUMMYFUNCTION("""COMPUTED_VALUE"""),"ชูช่วยสุวรรณ")</f>
        <v>ชูช่วยสุวรรณ</v>
      </c>
      <c r="I378" t="str">
        <f>IFERROR(__xludf.DUMMYFUNCTION("""COMPUTED_VALUE"""),"ปัณณทัต ชูช่วยสุวรรณ")</f>
        <v>ปัณณทัต ชูช่วยสุวรรณ</v>
      </c>
      <c r="J378" t="str">
        <f>IFERROR(__xludf.DUMMYFUNCTION("""COMPUTED_VALUE"""),"ตอง")</f>
        <v>ตอง</v>
      </c>
      <c r="K378" t="str">
        <f>IFERROR(__xludf.DUMMYFUNCTION("""COMPUTED_VALUE"""),"Senior Cabin Crew")</f>
        <v>Senior Cabin Crew</v>
      </c>
      <c r="L378" t="str">
        <f>IFERROR(__xludf.DUMMYFUNCTION("""COMPUTED_VALUE"""),"DMK")</f>
        <v>DMK</v>
      </c>
      <c r="M378" s="145" t="str">
        <f>IFERROR(__xludf.DUMMYFUNCTION("""COMPUTED_VALUE"""),"Toffy Home")</f>
        <v>Toffy Home</v>
      </c>
      <c r="N378" t="str">
        <f>IFERROR(__xludf.DUMMYFUNCTION("""COMPUTED_VALUE"""),"Active")</f>
        <v>Active</v>
      </c>
      <c r="P378" s="143">
        <f>IFERROR(__xludf.DUMMYFUNCTION("""COMPUTED_VALUE"""),31118.0)</f>
        <v>31118</v>
      </c>
      <c r="Q378" s="146" t="str">
        <f>IFERROR(__xludf.DUMMYFUNCTION("""COMPUTED_VALUE"""),"061 853 5544")</f>
        <v>061 853 5544</v>
      </c>
      <c r="R378" s="147">
        <f>IFERROR(__xludf.DUMMYFUNCTION("""COMPUTED_VALUE"""),1.841200011806E12)</f>
        <v>1841200011806</v>
      </c>
      <c r="S378" t="str">
        <f>IFERROR(__xludf.DUMMYFUNCTION("""COMPUTED_VALUE"""),"AD2128150")</f>
        <v>AD2128150</v>
      </c>
      <c r="T378" s="148">
        <f>IFERROR(__xludf.DUMMYFUNCTION("""COMPUTED_VALUE"""),45747.0)</f>
        <v>45747</v>
      </c>
      <c r="U378" s="148">
        <f>IFERROR(__xludf.DUMMYFUNCTION("""COMPUTED_VALUE"""),49398.0)</f>
        <v>49398</v>
      </c>
      <c r="V378" s="149">
        <f>IFERROR(__xludf.DUMMYFUNCTION("""COMPUTED_VALUE"""),49217.0)</f>
        <v>49217</v>
      </c>
      <c r="W378" t="str">
        <f>IFERROR(__xludf.DUMMYFUNCTION("""COMPUTED_VALUE"""),"ปลอดภัย")</f>
        <v>ปลอดภัย</v>
      </c>
      <c r="X378" t="str">
        <f>IFERROR(__xludf.DUMMYFUNCTION("""COMPUTED_VALUE"""),"Surat Thani Province")</f>
        <v>Surat Thani Province</v>
      </c>
      <c r="Y378" t="str">
        <f>IFERROR(__xludf.DUMMYFUNCTION("""COMPUTED_VALUE"""),"Ladkrabang")</f>
        <v>Ladkrabang</v>
      </c>
      <c r="Z378" t="str">
        <f>IFERROR(__xludf.DUMMYFUNCTION("""COMPUTED_VALUE"""),"084 744 6592")</f>
        <v>084 744 6592</v>
      </c>
      <c r="AA378" t="str">
        <f>IFERROR(__xludf.DUMMYFUNCTION("""COMPUTED_VALUE"""),"Mother")</f>
        <v>Mother</v>
      </c>
      <c r="AB378" t="str">
        <f>IFERROR(__xludf.DUMMYFUNCTION("""COMPUTED_VALUE"""),"pannathatc@airasia.com")</f>
        <v>pannathatc@airasia.com</v>
      </c>
    </row>
    <row r="379">
      <c r="A379">
        <f>IFERROR(__xludf.DUMMYFUNCTION("""COMPUTED_VALUE"""),1007154.0)</f>
        <v>1007154</v>
      </c>
      <c r="B379" t="str">
        <f>IFERROR(__xludf.DUMMYFUNCTION("""COMPUTED_VALUE"""),"Ms.")</f>
        <v>Ms.</v>
      </c>
      <c r="C379" t="str">
        <f>IFERROR(__xludf.DUMMYFUNCTION("""COMPUTED_VALUE"""),"Pannee")</f>
        <v>Pannee</v>
      </c>
      <c r="D379" t="str">
        <f>IFERROR(__xludf.DUMMYFUNCTION("""COMPUTED_VALUE"""),"Soitanasirikul")</f>
        <v>Soitanasirikul</v>
      </c>
      <c r="E379" t="str">
        <f>IFERROR(__xludf.DUMMYFUNCTION("""COMPUTED_VALUE"""),"Pannee Soitanasirikul")</f>
        <v>Pannee Soitanasirikul</v>
      </c>
      <c r="F379" t="str">
        <f>IFERROR(__xludf.DUMMYFUNCTION("""COMPUTED_VALUE"""),"นางสาว")</f>
        <v>นางสาว</v>
      </c>
      <c r="G379" t="str">
        <f>IFERROR(__xludf.DUMMYFUNCTION("""COMPUTED_VALUE"""),"พรรณี")</f>
        <v>พรรณี</v>
      </c>
      <c r="H379" t="str">
        <f>IFERROR(__xludf.DUMMYFUNCTION("""COMPUTED_VALUE"""),"สร้อยธนศิริกุล")</f>
        <v>สร้อยธนศิริกุล</v>
      </c>
      <c r="I379" t="str">
        <f>IFERROR(__xludf.DUMMYFUNCTION("""COMPUTED_VALUE"""),"พรรณี สร้อยธนศิริกุล")</f>
        <v>พรรณี สร้อยธนศิริกุล</v>
      </c>
      <c r="J379" t="str">
        <f>IFERROR(__xludf.DUMMYFUNCTION("""COMPUTED_VALUE"""),"แพน")</f>
        <v>แพน</v>
      </c>
      <c r="K379" t="str">
        <f>IFERROR(__xludf.DUMMYFUNCTION("""COMPUTED_VALUE"""),"Senior Cabin Crew")</f>
        <v>Senior Cabin Crew</v>
      </c>
      <c r="L379" t="str">
        <f>IFERROR(__xludf.DUMMYFUNCTION("""COMPUTED_VALUE"""),"DMK")</f>
        <v>DMK</v>
      </c>
      <c r="M379" s="145" t="str">
        <f>IFERROR(__xludf.DUMMYFUNCTION("""COMPUTED_VALUE"""),"Um Home")</f>
        <v>Um Home</v>
      </c>
      <c r="N379" t="str">
        <f>IFERROR(__xludf.DUMMYFUNCTION("""COMPUTED_VALUE"""),"Active")</f>
        <v>Active</v>
      </c>
      <c r="P379" s="143">
        <f>IFERROR(__xludf.DUMMYFUNCTION("""COMPUTED_VALUE"""),32341.0)</f>
        <v>32341</v>
      </c>
      <c r="Q379" s="146" t="str">
        <f>IFERROR(__xludf.DUMMYFUNCTION("""COMPUTED_VALUE"""),"087 087 4556")</f>
        <v>087 087 4556</v>
      </c>
      <c r="R379" s="147">
        <f>IFERROR(__xludf.DUMMYFUNCTION("""COMPUTED_VALUE"""),1.10080045609E12)</f>
        <v>1100800456090</v>
      </c>
      <c r="S379" t="str">
        <f>IFERROR(__xludf.DUMMYFUNCTION("""COMPUTED_VALUE"""),"AC6218284")</f>
        <v>AC6218284</v>
      </c>
      <c r="T379" s="148">
        <f>IFERROR(__xludf.DUMMYFUNCTION("""COMPUTED_VALUE"""),45296.0)</f>
        <v>45296</v>
      </c>
      <c r="U379" s="148">
        <f>IFERROR(__xludf.DUMMYFUNCTION("""COMPUTED_VALUE"""),48948.0)</f>
        <v>48948</v>
      </c>
      <c r="V379" s="149">
        <f>IFERROR(__xludf.DUMMYFUNCTION("""COMPUTED_VALUE"""),48764.0)</f>
        <v>48764</v>
      </c>
      <c r="W379" t="str">
        <f>IFERROR(__xludf.DUMMYFUNCTION("""COMPUTED_VALUE"""),"ปลอดภัย")</f>
        <v>ปลอดภัย</v>
      </c>
      <c r="X379" t="str">
        <f>IFERROR(__xludf.DUMMYFUNCTION("""COMPUTED_VALUE"""),"Bangkok")</f>
        <v>Bangkok</v>
      </c>
      <c r="Y379" t="str">
        <f>IFERROR(__xludf.DUMMYFUNCTION("""COMPUTED_VALUE"""),"Bang khun thean")</f>
        <v>Bang khun thean</v>
      </c>
      <c r="Z379" t="str">
        <f>IFERROR(__xludf.DUMMYFUNCTION("""COMPUTED_VALUE"""),"02 867 1392 / 081 810 8492")</f>
        <v>02 867 1392 / 081 810 8492</v>
      </c>
      <c r="AA379" t="str">
        <f>IFERROR(__xludf.DUMMYFUNCTION("""COMPUTED_VALUE"""),"Home / Father")</f>
        <v>Home / Father</v>
      </c>
      <c r="AB379" t="str">
        <f>IFERROR(__xludf.DUMMYFUNCTION("""COMPUTED_VALUE"""),"pannees@airasia.com")</f>
        <v>pannees@airasia.com</v>
      </c>
    </row>
    <row r="380">
      <c r="A380">
        <f>IFERROR(__xludf.DUMMYFUNCTION("""COMPUTED_VALUE"""),1007156.0)</f>
        <v>1007156</v>
      </c>
      <c r="B380" t="str">
        <f>IFERROR(__xludf.DUMMYFUNCTION("""COMPUTED_VALUE"""),"Mrs.")</f>
        <v>Mrs.</v>
      </c>
      <c r="C380" t="str">
        <f>IFERROR(__xludf.DUMMYFUNCTION("""COMPUTED_VALUE"""),"Patthama")</f>
        <v>Patthama</v>
      </c>
      <c r="D380" t="str">
        <f>IFERROR(__xludf.DUMMYFUNCTION("""COMPUTED_VALUE"""),"Aryarug (Pathumthong)")</f>
        <v>Aryarug (Pathumthong)</v>
      </c>
      <c r="E380" t="str">
        <f>IFERROR(__xludf.DUMMYFUNCTION("""COMPUTED_VALUE"""),"Patthama Aryarug")</f>
        <v>Patthama Aryarug</v>
      </c>
      <c r="F380" t="str">
        <f>IFERROR(__xludf.DUMMYFUNCTION("""COMPUTED_VALUE"""),"นาง")</f>
        <v>นาง</v>
      </c>
      <c r="G380" t="str">
        <f>IFERROR(__xludf.DUMMYFUNCTION("""COMPUTED_VALUE"""),"ปัทมา")</f>
        <v>ปัทมา</v>
      </c>
      <c r="H380" t="str">
        <f>IFERROR(__xludf.DUMMYFUNCTION("""COMPUTED_VALUE"""),"อาญารักษ์ (ปทุมทอง)")</f>
        <v>อาญารักษ์ (ปทุมทอง)</v>
      </c>
      <c r="I380" t="str">
        <f>IFERROR(__xludf.DUMMYFUNCTION("""COMPUTED_VALUE"""),"ปัทมา อาญารักษ์ ")</f>
        <v>ปัทมา อาญารักษ์ </v>
      </c>
      <c r="J380" t="str">
        <f>IFERROR(__xludf.DUMMYFUNCTION("""COMPUTED_VALUE"""),"ลูกปัด")</f>
        <v>ลูกปัด</v>
      </c>
      <c r="K380" t="str">
        <f>IFERROR(__xludf.DUMMYFUNCTION("""COMPUTED_VALUE"""),"Senior Cabin Crew")</f>
        <v>Senior Cabin Crew</v>
      </c>
      <c r="L380" t="str">
        <f>IFERROR(__xludf.DUMMYFUNCTION("""COMPUTED_VALUE"""),"DMK")</f>
        <v>DMK</v>
      </c>
      <c r="M380" s="145" t="str">
        <f>IFERROR(__xludf.DUMMYFUNCTION("""COMPUTED_VALUE"""),"Nhui Home")</f>
        <v>Nhui Home</v>
      </c>
      <c r="N380" t="str">
        <f>IFERROR(__xludf.DUMMYFUNCTION("""COMPUTED_VALUE"""),"MATL")</f>
        <v>MATL</v>
      </c>
      <c r="P380" s="143">
        <f>IFERROR(__xludf.DUMMYFUNCTION("""COMPUTED_VALUE"""),31358.0)</f>
        <v>31358</v>
      </c>
      <c r="Q380" s="146" t="str">
        <f>IFERROR(__xludf.DUMMYFUNCTION("""COMPUTED_VALUE"""),"094 409 2266")</f>
        <v>094 409 2266</v>
      </c>
      <c r="R380" s="147">
        <f>IFERROR(__xludf.DUMMYFUNCTION("""COMPUTED_VALUE"""),1.349900074888E12)</f>
        <v>1349900074888</v>
      </c>
      <c r="S380" t="str">
        <f>IFERROR(__xludf.DUMMYFUNCTION("""COMPUTED_VALUE"""),"AC4603193")</f>
        <v>AC4603193</v>
      </c>
      <c r="T380" s="148">
        <f>IFERROR(__xludf.DUMMYFUNCTION("""COMPUTED_VALUE"""),44998.0)</f>
        <v>44998</v>
      </c>
      <c r="U380" s="148">
        <f>IFERROR(__xludf.DUMMYFUNCTION("""COMPUTED_VALUE"""),48650.0)</f>
        <v>48650</v>
      </c>
      <c r="V380" s="149">
        <f>IFERROR(__xludf.DUMMYFUNCTION("""COMPUTED_VALUE"""),48469.0)</f>
        <v>48469</v>
      </c>
      <c r="W380" t="str">
        <f>IFERROR(__xludf.DUMMYFUNCTION("""COMPUTED_VALUE"""),"ปลอดภัย")</f>
        <v>ปลอดภัย</v>
      </c>
      <c r="X380" t="str">
        <f>IFERROR(__xludf.DUMMYFUNCTION("""COMPUTED_VALUE"""),"Ubon Ratchathani Province")</f>
        <v>Ubon Ratchathani Province</v>
      </c>
      <c r="Y380" t="str">
        <f>IFERROR(__xludf.DUMMYFUNCTION("""COMPUTED_VALUE"""),"Ubon ratchathani")</f>
        <v>Ubon ratchathani</v>
      </c>
      <c r="Z380" t="str">
        <f>IFERROR(__xludf.DUMMYFUNCTION("""COMPUTED_VALUE"""),"045 322 675 / 089 323 5076 / 090 506 0590")</f>
        <v>045 322 675 / 089 323 5076 / 090 506 0590</v>
      </c>
      <c r="AA380" t="str">
        <f>IFERROR(__xludf.DUMMYFUNCTION("""COMPUTED_VALUE"""),"Home / Ralative")</f>
        <v>Home / Ralative</v>
      </c>
      <c r="AB380" t="str">
        <f>IFERROR(__xludf.DUMMYFUNCTION("""COMPUTED_VALUE"""),"patthamaa@airasia.com")</f>
        <v>patthamaa@airasia.com</v>
      </c>
    </row>
    <row r="381">
      <c r="A381">
        <f>IFERROR(__xludf.DUMMYFUNCTION("""COMPUTED_VALUE"""),1007157.0)</f>
        <v>1007157</v>
      </c>
      <c r="B381" t="str">
        <f>IFERROR(__xludf.DUMMYFUNCTION("""COMPUTED_VALUE"""),"Ms.")</f>
        <v>Ms.</v>
      </c>
      <c r="C381" t="str">
        <f>IFERROR(__xludf.DUMMYFUNCTION("""COMPUTED_VALUE"""),"Pichanun")</f>
        <v>Pichanun</v>
      </c>
      <c r="D381" t="str">
        <f>IFERROR(__xludf.DUMMYFUNCTION("""COMPUTED_VALUE"""),"Seneetantikul")</f>
        <v>Seneetantikul</v>
      </c>
      <c r="E381" t="str">
        <f>IFERROR(__xludf.DUMMYFUNCTION("""COMPUTED_VALUE"""),"Pichanun Seneetantikul")</f>
        <v>Pichanun Seneetantikul</v>
      </c>
      <c r="F381" t="str">
        <f>IFERROR(__xludf.DUMMYFUNCTION("""COMPUTED_VALUE"""),"นางสาว")</f>
        <v>นางสาว</v>
      </c>
      <c r="G381" t="str">
        <f>IFERROR(__xludf.DUMMYFUNCTION("""COMPUTED_VALUE"""),"พิชชานันท์")</f>
        <v>พิชชานันท์</v>
      </c>
      <c r="H381" t="str">
        <f>IFERROR(__xludf.DUMMYFUNCTION("""COMPUTED_VALUE"""),"เสณีตันติกุล")</f>
        <v>เสณีตันติกุล</v>
      </c>
      <c r="I381" t="str">
        <f>IFERROR(__xludf.DUMMYFUNCTION("""COMPUTED_VALUE"""),"พิชชานันท์ เสณีตันติกุล")</f>
        <v>พิชชานันท์ เสณีตันติกุล</v>
      </c>
      <c r="J381" t="str">
        <f>IFERROR(__xludf.DUMMYFUNCTION("""COMPUTED_VALUE"""),"แพรว")</f>
        <v>แพรว</v>
      </c>
      <c r="K381" t="str">
        <f>IFERROR(__xludf.DUMMYFUNCTION("""COMPUTED_VALUE"""),"Cabin Crew")</f>
        <v>Cabin Crew</v>
      </c>
      <c r="L381" t="str">
        <f>IFERROR(__xludf.DUMMYFUNCTION("""COMPUTED_VALUE"""),"DMK")</f>
        <v>DMK</v>
      </c>
      <c r="M381" s="145" t="str">
        <f>IFERROR(__xludf.DUMMYFUNCTION("""COMPUTED_VALUE"""),"Namfon Home")</f>
        <v>Namfon Home</v>
      </c>
      <c r="N381" t="str">
        <f>IFERROR(__xludf.DUMMYFUNCTION("""COMPUTED_VALUE"""),"Active")</f>
        <v>Active</v>
      </c>
      <c r="P381" s="143">
        <f>IFERROR(__xludf.DUMMYFUNCTION("""COMPUTED_VALUE"""),32784.0)</f>
        <v>32784</v>
      </c>
      <c r="Q381" s="146" t="str">
        <f>IFERROR(__xludf.DUMMYFUNCTION("""COMPUTED_VALUE"""),"086 555 8845")</f>
        <v>086 555 8845</v>
      </c>
      <c r="R381" s="147">
        <f>IFERROR(__xludf.DUMMYFUNCTION("""COMPUTED_VALUE"""),1.101401678031E12)</f>
        <v>1101401678031</v>
      </c>
      <c r="S381" t="str">
        <f>IFERROR(__xludf.DUMMYFUNCTION("""COMPUTED_VALUE"""),"AC5617931")</f>
        <v>AC5617931</v>
      </c>
      <c r="T381" s="148">
        <f>IFERROR(__xludf.DUMMYFUNCTION("""COMPUTED_VALUE"""),45166.0)</f>
        <v>45166</v>
      </c>
      <c r="U381" s="148">
        <f>IFERROR(__xludf.DUMMYFUNCTION("""COMPUTED_VALUE"""),48818.0)</f>
        <v>48818</v>
      </c>
      <c r="V381" s="149">
        <f>IFERROR(__xludf.DUMMYFUNCTION("""COMPUTED_VALUE"""),48637.0)</f>
        <v>48637</v>
      </c>
      <c r="W381" t="str">
        <f>IFERROR(__xludf.DUMMYFUNCTION("""COMPUTED_VALUE"""),"ปลอดภัย")</f>
        <v>ปลอดภัย</v>
      </c>
      <c r="X381" t="str">
        <f>IFERROR(__xludf.DUMMYFUNCTION("""COMPUTED_VALUE"""),"Bangkok")</f>
        <v>Bangkok</v>
      </c>
      <c r="Y381" t="str">
        <f>IFERROR(__xludf.DUMMYFUNCTION("""COMPUTED_VALUE"""),"Chatuchak")</f>
        <v>Chatuchak</v>
      </c>
      <c r="Z381" t="str">
        <f>IFERROR(__xludf.DUMMYFUNCTION("""COMPUTED_VALUE"""),"02 585 6035 / 089 103 6035")</f>
        <v>02 585 6035 / 089 103 6035</v>
      </c>
      <c r="AA381" t="str">
        <f>IFERROR(__xludf.DUMMYFUNCTION("""COMPUTED_VALUE"""),"Home / Mother")</f>
        <v>Home / Mother</v>
      </c>
      <c r="AB381" t="str">
        <f>IFERROR(__xludf.DUMMYFUNCTION("""COMPUTED_VALUE"""),"pichanuns@airasia.com")</f>
        <v>pichanuns@airasia.com</v>
      </c>
    </row>
    <row r="382">
      <c r="A382">
        <f>IFERROR(__xludf.DUMMYFUNCTION("""COMPUTED_VALUE"""),1007159.0)</f>
        <v>1007159</v>
      </c>
      <c r="B382" t="str">
        <f>IFERROR(__xludf.DUMMYFUNCTION("""COMPUTED_VALUE"""),"Ms.")</f>
        <v>Ms.</v>
      </c>
      <c r="C382" t="str">
        <f>IFERROR(__xludf.DUMMYFUNCTION("""COMPUTED_VALUE"""),"Piyawadee")</f>
        <v>Piyawadee</v>
      </c>
      <c r="D382" t="str">
        <f>IFERROR(__xludf.DUMMYFUNCTION("""COMPUTED_VALUE"""),"Sitdhilaw")</f>
        <v>Sitdhilaw</v>
      </c>
      <c r="E382" t="str">
        <f>IFERROR(__xludf.DUMMYFUNCTION("""COMPUTED_VALUE"""),"Piyawadee Sitdhilaw")</f>
        <v>Piyawadee Sitdhilaw</v>
      </c>
      <c r="F382" t="str">
        <f>IFERROR(__xludf.DUMMYFUNCTION("""COMPUTED_VALUE"""),"นางสาว")</f>
        <v>นางสาว</v>
      </c>
      <c r="G382" t="str">
        <f>IFERROR(__xludf.DUMMYFUNCTION("""COMPUTED_VALUE"""),"ปิยวดี")</f>
        <v>ปิยวดี</v>
      </c>
      <c r="H382" t="str">
        <f>IFERROR(__xludf.DUMMYFUNCTION("""COMPUTED_VALUE"""),"สิทธิหล่อ")</f>
        <v>สิทธิหล่อ</v>
      </c>
      <c r="I382" t="str">
        <f>IFERROR(__xludf.DUMMYFUNCTION("""COMPUTED_VALUE"""),"ปิยวดี สิทธิหล่อ")</f>
        <v>ปิยวดี สิทธิหล่อ</v>
      </c>
      <c r="J382" t="str">
        <f>IFERROR(__xludf.DUMMYFUNCTION("""COMPUTED_VALUE"""),"แนน")</f>
        <v>แนน</v>
      </c>
      <c r="K382" t="str">
        <f>IFERROR(__xludf.DUMMYFUNCTION("""COMPUTED_VALUE"""),"Senior Cabin Crew")</f>
        <v>Senior Cabin Crew</v>
      </c>
      <c r="L382" t="str">
        <f>IFERROR(__xludf.DUMMYFUNCTION("""COMPUTED_VALUE"""),"DMK")</f>
        <v>DMK</v>
      </c>
      <c r="M382" s="145" t="str">
        <f>IFERROR(__xludf.DUMMYFUNCTION("""COMPUTED_VALUE"""),"Up Home")</f>
        <v>Up Home</v>
      </c>
      <c r="N382" t="str">
        <f>IFERROR(__xludf.DUMMYFUNCTION("""COMPUTED_VALUE"""),"V/LWP")</f>
        <v>V/LWP</v>
      </c>
      <c r="P382" s="143">
        <f>IFERROR(__xludf.DUMMYFUNCTION("""COMPUTED_VALUE"""),30695.0)</f>
        <v>30695</v>
      </c>
      <c r="Q382" s="146" t="str">
        <f>IFERROR(__xludf.DUMMYFUNCTION("""COMPUTED_VALUE"""),"089 813 4454")</f>
        <v>089 813 4454</v>
      </c>
      <c r="R382" s="147">
        <f>IFERROR(__xludf.DUMMYFUNCTION("""COMPUTED_VALUE"""),1.101400031408E12)</f>
        <v>1101400031408</v>
      </c>
      <c r="S382" t="str">
        <f>IFERROR(__xludf.DUMMYFUNCTION("""COMPUTED_VALUE"""),"ac6757917")</f>
        <v>ac6757917</v>
      </c>
      <c r="T382" s="148">
        <f>IFERROR(__xludf.DUMMYFUNCTION("""COMPUTED_VALUE"""),43686.0)</f>
        <v>43686</v>
      </c>
      <c r="U382" s="148">
        <f>IFERROR(__xludf.DUMMYFUNCTION("""COMPUTED_VALUE"""),49164.0)</f>
        <v>49164</v>
      </c>
      <c r="V382" s="149">
        <f>IFERROR(__xludf.DUMMYFUNCTION("""COMPUTED_VALUE"""),48983.0)</f>
        <v>48983</v>
      </c>
      <c r="W382" t="str">
        <f>IFERROR(__xludf.DUMMYFUNCTION("""COMPUTED_VALUE"""),"ปลอดภัย")</f>
        <v>ปลอดภัย</v>
      </c>
      <c r="X382" t="str">
        <f>IFERROR(__xludf.DUMMYFUNCTION("""COMPUTED_VALUE"""),"Bangkok")</f>
        <v>Bangkok</v>
      </c>
      <c r="Y382" t="str">
        <f>IFERROR(__xludf.DUMMYFUNCTION("""COMPUTED_VALUE"""),"Lumlukka")</f>
        <v>Lumlukka</v>
      </c>
      <c r="Z382" t="str">
        <f>IFERROR(__xludf.DUMMYFUNCTION("""COMPUTED_VALUE"""),"089 013 7813 / 089 768 4285")</f>
        <v>089 013 7813 / 089 768 4285</v>
      </c>
      <c r="AA382" t="str">
        <f>IFERROR(__xludf.DUMMYFUNCTION("""COMPUTED_VALUE"""),"Mother")</f>
        <v>Mother</v>
      </c>
      <c r="AB382" t="str">
        <f>IFERROR(__xludf.DUMMYFUNCTION("""COMPUTED_VALUE"""),"piyawadees@airasia.com")</f>
        <v>piyawadees@airasia.com</v>
      </c>
    </row>
    <row r="383">
      <c r="A383">
        <f>IFERROR(__xludf.DUMMYFUNCTION("""COMPUTED_VALUE"""),1007161.0)</f>
        <v>1007161</v>
      </c>
      <c r="B383" t="str">
        <f>IFERROR(__xludf.DUMMYFUNCTION("""COMPUTED_VALUE"""),"Ms.")</f>
        <v>Ms.</v>
      </c>
      <c r="C383" t="str">
        <f>IFERROR(__xludf.DUMMYFUNCTION("""COMPUTED_VALUE"""),"Prangnaree")</f>
        <v>Prangnaree</v>
      </c>
      <c r="D383" t="str">
        <f>IFERROR(__xludf.DUMMYFUNCTION("""COMPUTED_VALUE"""),"Sahawatcharin")</f>
        <v>Sahawatcharin</v>
      </c>
      <c r="E383" t="str">
        <f>IFERROR(__xludf.DUMMYFUNCTION("""COMPUTED_VALUE"""),"Prangnaree Sahawatcharin")</f>
        <v>Prangnaree Sahawatcharin</v>
      </c>
      <c r="F383" t="str">
        <f>IFERROR(__xludf.DUMMYFUNCTION("""COMPUTED_VALUE"""),"นางสาว")</f>
        <v>นางสาว</v>
      </c>
      <c r="G383" t="str">
        <f>IFERROR(__xludf.DUMMYFUNCTION("""COMPUTED_VALUE"""),"ปรางนรี")</f>
        <v>ปรางนรี</v>
      </c>
      <c r="H383" t="str">
        <f>IFERROR(__xludf.DUMMYFUNCTION("""COMPUTED_VALUE"""),"สหวัชรินทร์")</f>
        <v>สหวัชรินทร์</v>
      </c>
      <c r="I383" t="str">
        <f>IFERROR(__xludf.DUMMYFUNCTION("""COMPUTED_VALUE"""),"ปรางนรี สหวัชรินทร์")</f>
        <v>ปรางนรี สหวัชรินทร์</v>
      </c>
      <c r="J383" t="str">
        <f>IFERROR(__xludf.DUMMYFUNCTION("""COMPUTED_VALUE"""),"มะปราง")</f>
        <v>มะปราง</v>
      </c>
      <c r="K383" t="str">
        <f>IFERROR(__xludf.DUMMYFUNCTION("""COMPUTED_VALUE"""),"Cabin Crew")</f>
        <v>Cabin Crew</v>
      </c>
      <c r="L383" t="str">
        <f>IFERROR(__xludf.DUMMYFUNCTION("""COMPUTED_VALUE"""),"DMK")</f>
        <v>DMK</v>
      </c>
      <c r="M383" s="145" t="str">
        <f>IFERROR(__xludf.DUMMYFUNCTION("""COMPUTED_VALUE"""),"Nhui Home")</f>
        <v>Nhui Home</v>
      </c>
      <c r="N383" t="str">
        <f>IFERROR(__xludf.DUMMYFUNCTION("""COMPUTED_VALUE"""),"Active")</f>
        <v>Active</v>
      </c>
      <c r="P383" s="143">
        <f>IFERROR(__xludf.DUMMYFUNCTION("""COMPUTED_VALUE"""),31863.0)</f>
        <v>31863</v>
      </c>
      <c r="Q383" s="146" t="str">
        <f>IFERROR(__xludf.DUMMYFUNCTION("""COMPUTED_VALUE"""),"089 446 9733")</f>
        <v>089 446 9733</v>
      </c>
      <c r="R383" s="147">
        <f>IFERROR(__xludf.DUMMYFUNCTION("""COMPUTED_VALUE"""),1.739900056029E12)</f>
        <v>1739900056029</v>
      </c>
      <c r="S383" t="str">
        <f>IFERROR(__xludf.DUMMYFUNCTION("""COMPUTED_VALUE"""),"AC7921362")</f>
        <v>AC7921362</v>
      </c>
      <c r="T383" s="148">
        <f>IFERROR(__xludf.DUMMYFUNCTION("""COMPUTED_VALUE"""),45672.0)</f>
        <v>45672</v>
      </c>
      <c r="U383" s="148">
        <f>IFERROR(__xludf.DUMMYFUNCTION("""COMPUTED_VALUE"""),49323.0)</f>
        <v>49323</v>
      </c>
      <c r="V383" s="149">
        <f>IFERROR(__xludf.DUMMYFUNCTION("""COMPUTED_VALUE"""),49139.0)</f>
        <v>49139</v>
      </c>
      <c r="W383" t="str">
        <f>IFERROR(__xludf.DUMMYFUNCTION("""COMPUTED_VALUE"""),"ปลอดภัย")</f>
        <v>ปลอดภัย</v>
      </c>
      <c r="X383" t="str">
        <f>IFERROR(__xludf.DUMMYFUNCTION("""COMPUTED_VALUE"""),"Nakhon Pathom Province")</f>
        <v>Nakhon Pathom Province</v>
      </c>
      <c r="Y383" t="str">
        <f>IFERROR(__xludf.DUMMYFUNCTION("""COMPUTED_VALUE"""),"Nakhonpathom")</f>
        <v>Nakhonpathom</v>
      </c>
      <c r="Z383" t="str">
        <f>IFERROR(__xludf.DUMMYFUNCTION("""COMPUTED_VALUE"""),"034 258 171 / 081 572 5348")</f>
        <v>034 258 171 / 081 572 5348</v>
      </c>
      <c r="AA383" t="str">
        <f>IFERROR(__xludf.DUMMYFUNCTION("""COMPUTED_VALUE"""),"Home / Mother")</f>
        <v>Home / Mother</v>
      </c>
      <c r="AB383" t="str">
        <f>IFERROR(__xludf.DUMMYFUNCTION("""COMPUTED_VALUE"""),"prangnarees@airasia.com")</f>
        <v>prangnarees@airasia.com</v>
      </c>
    </row>
    <row r="384">
      <c r="A384">
        <f>IFERROR(__xludf.DUMMYFUNCTION("""COMPUTED_VALUE"""),1007164.0)</f>
        <v>1007164</v>
      </c>
      <c r="B384" t="str">
        <f>IFERROR(__xludf.DUMMYFUNCTION("""COMPUTED_VALUE"""),"Ms.")</f>
        <v>Ms.</v>
      </c>
      <c r="C384" t="str">
        <f>IFERROR(__xludf.DUMMYFUNCTION("""COMPUTED_VALUE"""),"Saowanee")</f>
        <v>Saowanee</v>
      </c>
      <c r="D384" t="str">
        <f>IFERROR(__xludf.DUMMYFUNCTION("""COMPUTED_VALUE"""),"Paweenwich")</f>
        <v>Paweenwich</v>
      </c>
      <c r="E384" t="str">
        <f>IFERROR(__xludf.DUMMYFUNCTION("""COMPUTED_VALUE"""),"Saowanee Paweenwich")</f>
        <v>Saowanee Paweenwich</v>
      </c>
      <c r="F384" t="str">
        <f>IFERROR(__xludf.DUMMYFUNCTION("""COMPUTED_VALUE"""),"นางสาว")</f>
        <v>นางสาว</v>
      </c>
      <c r="G384" t="str">
        <f>IFERROR(__xludf.DUMMYFUNCTION("""COMPUTED_VALUE"""),"เสาวนีย์")</f>
        <v>เสาวนีย์</v>
      </c>
      <c r="H384" t="str">
        <f>IFERROR(__xludf.DUMMYFUNCTION("""COMPUTED_VALUE"""),"ปวีณวิช")</f>
        <v>ปวีณวิช</v>
      </c>
      <c r="I384" t="str">
        <f>IFERROR(__xludf.DUMMYFUNCTION("""COMPUTED_VALUE"""),"เสาวณีย์ ปวีณวิช")</f>
        <v>เสาวณีย์ ปวีณวิช</v>
      </c>
      <c r="J384" t="str">
        <f>IFERROR(__xludf.DUMMYFUNCTION("""COMPUTED_VALUE"""),"โบว์")</f>
        <v>โบว์</v>
      </c>
      <c r="K384" t="str">
        <f>IFERROR(__xludf.DUMMYFUNCTION("""COMPUTED_VALUE"""),"Senior Cabin Crew")</f>
        <v>Senior Cabin Crew</v>
      </c>
      <c r="L384" t="str">
        <f>IFERROR(__xludf.DUMMYFUNCTION("""COMPUTED_VALUE"""),"DMK")</f>
        <v>DMK</v>
      </c>
      <c r="M384" s="145" t="str">
        <f>IFERROR(__xludf.DUMMYFUNCTION("""COMPUTED_VALUE"""),"Nhui Home")</f>
        <v>Nhui Home</v>
      </c>
      <c r="N384" t="str">
        <f>IFERROR(__xludf.DUMMYFUNCTION("""COMPUTED_VALUE"""),"Active")</f>
        <v>Active</v>
      </c>
      <c r="P384" s="143">
        <f>IFERROR(__xludf.DUMMYFUNCTION("""COMPUTED_VALUE"""),32242.0)</f>
        <v>32242</v>
      </c>
      <c r="Q384" s="146" t="str">
        <f>IFERROR(__xludf.DUMMYFUNCTION("""COMPUTED_VALUE"""),"096-876-5760")</f>
        <v>096-876-5760</v>
      </c>
      <c r="R384" s="147">
        <f>IFERROR(__xludf.DUMMYFUNCTION("""COMPUTED_VALUE"""),1.100400321901E12)</f>
        <v>1100400321901</v>
      </c>
      <c r="S384" t="str">
        <f>IFERROR(__xludf.DUMMYFUNCTION("""COMPUTED_VALUE"""),"AC6166247")</f>
        <v>AC6166247</v>
      </c>
      <c r="T384" s="148">
        <f>IFERROR(__xludf.DUMMYFUNCTION("""COMPUTED_VALUE"""),45264.0)</f>
        <v>45264</v>
      </c>
      <c r="U384" s="148">
        <f>IFERROR(__xludf.DUMMYFUNCTION("""COMPUTED_VALUE"""),48916.0)</f>
        <v>48916</v>
      </c>
      <c r="V384" s="149">
        <f>IFERROR(__xludf.DUMMYFUNCTION("""COMPUTED_VALUE"""),48733.0)</f>
        <v>48733</v>
      </c>
      <c r="W384" t="str">
        <f>IFERROR(__xludf.DUMMYFUNCTION("""COMPUTED_VALUE"""),"ปลอดภัย")</f>
        <v>ปลอดภัย</v>
      </c>
      <c r="X384" t="str">
        <f>IFERROR(__xludf.DUMMYFUNCTION("""COMPUTED_VALUE"""),"Bangkok")</f>
        <v>Bangkok</v>
      </c>
      <c r="Y384" t="str">
        <f>IFERROR(__xludf.DUMMYFUNCTION("""COMPUTED_VALUE"""),"Sathorn")</f>
        <v>Sathorn</v>
      </c>
      <c r="Z384" t="str">
        <f>IFERROR(__xludf.DUMMYFUNCTION("""COMPUTED_VALUE"""),"02 212 2494 / 081 794 2006")</f>
        <v>02 212 2494 / 081 794 2006</v>
      </c>
      <c r="AA384" t="str">
        <f>IFERROR(__xludf.DUMMYFUNCTION("""COMPUTED_VALUE"""),"Home / Mother")</f>
        <v>Home / Mother</v>
      </c>
      <c r="AB384" t="str">
        <f>IFERROR(__xludf.DUMMYFUNCTION("""COMPUTED_VALUE"""),"saowaneep@airasia.com")</f>
        <v>saowaneep@airasia.com</v>
      </c>
    </row>
    <row r="385">
      <c r="A385">
        <f>IFERROR(__xludf.DUMMYFUNCTION("""COMPUTED_VALUE"""),1007170.0)</f>
        <v>1007170</v>
      </c>
      <c r="B385" t="str">
        <f>IFERROR(__xludf.DUMMYFUNCTION("""COMPUTED_VALUE"""),"Ms.")</f>
        <v>Ms.</v>
      </c>
      <c r="C385" t="str">
        <f>IFERROR(__xludf.DUMMYFUNCTION("""COMPUTED_VALUE"""),"Supaporn")</f>
        <v>Supaporn</v>
      </c>
      <c r="D385" t="str">
        <f>IFERROR(__xludf.DUMMYFUNCTION("""COMPUTED_VALUE"""),"Rungroch")</f>
        <v>Rungroch</v>
      </c>
      <c r="E385" t="str">
        <f>IFERROR(__xludf.DUMMYFUNCTION("""COMPUTED_VALUE"""),"Supaporn Rungroch")</f>
        <v>Supaporn Rungroch</v>
      </c>
      <c r="F385" t="str">
        <f>IFERROR(__xludf.DUMMYFUNCTION("""COMPUTED_VALUE"""),"นางสาว")</f>
        <v>นางสาว</v>
      </c>
      <c r="G385" t="str">
        <f>IFERROR(__xludf.DUMMYFUNCTION("""COMPUTED_VALUE"""),"สุภาพร")</f>
        <v>สุภาพร</v>
      </c>
      <c r="H385" t="str">
        <f>IFERROR(__xludf.DUMMYFUNCTION("""COMPUTED_VALUE"""),"รุ่งโรจน์")</f>
        <v>รุ่งโรจน์</v>
      </c>
      <c r="I385" t="str">
        <f>IFERROR(__xludf.DUMMYFUNCTION("""COMPUTED_VALUE"""),"สุภาพร รุ่งโรจน์")</f>
        <v>สุภาพร รุ่งโรจน์</v>
      </c>
      <c r="J385" t="str">
        <f>IFERROR(__xludf.DUMMYFUNCTION("""COMPUTED_VALUE"""),"กุ้ง")</f>
        <v>กุ้ง</v>
      </c>
      <c r="K385" t="str">
        <f>IFERROR(__xludf.DUMMYFUNCTION("""COMPUTED_VALUE"""),"Senior Cabin Crew - BKK")</f>
        <v>Senior Cabin Crew - BKK</v>
      </c>
      <c r="L385" t="str">
        <f>IFERROR(__xludf.DUMMYFUNCTION("""COMPUTED_VALUE"""),"BKK")</f>
        <v>BKK</v>
      </c>
      <c r="M385" s="145" t="str">
        <f>IFERROR(__xludf.DUMMYFUNCTION("""COMPUTED_VALUE"""),"Nhui Home")</f>
        <v>Nhui Home</v>
      </c>
      <c r="N385" t="str">
        <f>IFERROR(__xludf.DUMMYFUNCTION("""COMPUTED_VALUE"""),"Active/V/DMK")</f>
        <v>Active/V/DMK</v>
      </c>
      <c r="O385" t="str">
        <f>IFERROR(__xludf.DUMMYFUNCTION("""COMPUTED_VALUE"""),"Chinese Speaking")</f>
        <v>Chinese Speaking</v>
      </c>
      <c r="P385" s="143">
        <f>IFERROR(__xludf.DUMMYFUNCTION("""COMPUTED_VALUE"""),32171.0)</f>
        <v>32171</v>
      </c>
      <c r="Q385" s="146" t="str">
        <f>IFERROR(__xludf.DUMMYFUNCTION("""COMPUTED_VALUE"""),"089 251 4427")</f>
        <v>089 251 4427</v>
      </c>
      <c r="R385" s="147">
        <f>IFERROR(__xludf.DUMMYFUNCTION("""COMPUTED_VALUE"""),1.229900211843E12)</f>
        <v>1229900211843</v>
      </c>
      <c r="S385" t="str">
        <f>IFERROR(__xludf.DUMMYFUNCTION("""COMPUTED_VALUE"""),"AD0128552")</f>
        <v>AD0128552</v>
      </c>
      <c r="T385" s="148">
        <f>IFERROR(__xludf.DUMMYFUNCTION("""COMPUTED_VALUE"""),44845.0)</f>
        <v>44845</v>
      </c>
      <c r="U385" s="148">
        <f>IFERROR(__xludf.DUMMYFUNCTION("""COMPUTED_VALUE"""),48497.0)</f>
        <v>48497</v>
      </c>
      <c r="V385" s="149">
        <f>IFERROR(__xludf.DUMMYFUNCTION("""COMPUTED_VALUE"""),48314.0)</f>
        <v>48314</v>
      </c>
      <c r="W385" t="str">
        <f>IFERROR(__xludf.DUMMYFUNCTION("""COMPUTED_VALUE"""),"ปลอดภัย")</f>
        <v>ปลอดภัย</v>
      </c>
      <c r="X385" t="str">
        <f>IFERROR(__xludf.DUMMYFUNCTION("""COMPUTED_VALUE"""),"Chanthaburi Province")</f>
        <v>Chanthaburi Province</v>
      </c>
      <c r="Y385" t="str">
        <f>IFERROR(__xludf.DUMMYFUNCTION("""COMPUTED_VALUE"""),"Don Mueang")</f>
        <v>Don Mueang</v>
      </c>
      <c r="Z385" t="str">
        <f>IFERROR(__xludf.DUMMYFUNCTION("""COMPUTED_VALUE"""),"089 543 0545")</f>
        <v>089 543 0545</v>
      </c>
      <c r="AA385" t="str">
        <f>IFERROR(__xludf.DUMMYFUNCTION("""COMPUTED_VALUE"""),"Sister")</f>
        <v>Sister</v>
      </c>
      <c r="AB385" t="str">
        <f>IFERROR(__xludf.DUMMYFUNCTION("""COMPUTED_VALUE"""),"supapornr@airasia.com")</f>
        <v>supapornr@airasia.com</v>
      </c>
    </row>
    <row r="386">
      <c r="A386">
        <f>IFERROR(__xludf.DUMMYFUNCTION("""COMPUTED_VALUE"""),1007176.0)</f>
        <v>1007176</v>
      </c>
      <c r="B386" t="str">
        <f>IFERROR(__xludf.DUMMYFUNCTION("""COMPUTED_VALUE"""),"Ms.")</f>
        <v>Ms.</v>
      </c>
      <c r="C386" t="str">
        <f>IFERROR(__xludf.DUMMYFUNCTION("""COMPUTED_VALUE"""),"Thanrada")</f>
        <v>Thanrada</v>
      </c>
      <c r="D386" t="str">
        <f>IFERROR(__xludf.DUMMYFUNCTION("""COMPUTED_VALUE"""),"Phattaratharnwanit (Phetloet)")</f>
        <v>Phattaratharnwanit (Phetloet)</v>
      </c>
      <c r="E386" t="str">
        <f>IFERROR(__xludf.DUMMYFUNCTION("""COMPUTED_VALUE"""),"Thanrada Phattaratharnwanit ")</f>
        <v>Thanrada Phattaratharnwanit </v>
      </c>
      <c r="F386" t="str">
        <f>IFERROR(__xludf.DUMMYFUNCTION("""COMPUTED_VALUE"""),"นางสาว")</f>
        <v>นางสาว</v>
      </c>
      <c r="G386" t="str">
        <f>IFERROR(__xludf.DUMMYFUNCTION("""COMPUTED_VALUE"""),"ธัญรดา")</f>
        <v>ธัญรดา</v>
      </c>
      <c r="H386" t="str">
        <f>IFERROR(__xludf.DUMMYFUNCTION("""COMPUTED_VALUE"""),"ภัทรธารวณิชย์ (เพ็ชรเลิศ)")</f>
        <v>ภัทรธารวณิชย์ (เพ็ชรเลิศ)</v>
      </c>
      <c r="I386" t="str">
        <f>IFERROR(__xludf.DUMMYFUNCTION("""COMPUTED_VALUE"""),"ธัญรดา ภัทรธารวณิชย์")</f>
        <v>ธัญรดา ภัทรธารวณิชย์</v>
      </c>
      <c r="J386" t="str">
        <f>IFERROR(__xludf.DUMMYFUNCTION("""COMPUTED_VALUE"""),"อุ๋ม")</f>
        <v>อุ๋ม</v>
      </c>
      <c r="K386" t="str">
        <f>IFERROR(__xludf.DUMMYFUNCTION("""COMPUTED_VALUE"""),"Cabin Crew")</f>
        <v>Cabin Crew</v>
      </c>
      <c r="L386" t="str">
        <f>IFERROR(__xludf.DUMMYFUNCTION("""COMPUTED_VALUE"""),"DMK")</f>
        <v>DMK</v>
      </c>
      <c r="M386" s="145" t="str">
        <f>IFERROR(__xludf.DUMMYFUNCTION("""COMPUTED_VALUE"""),"Kor Home")</f>
        <v>Kor Home</v>
      </c>
      <c r="N386" t="str">
        <f>IFERROR(__xludf.DUMMYFUNCTION("""COMPUTED_VALUE"""),"Active")</f>
        <v>Active</v>
      </c>
      <c r="P386" s="143">
        <f>IFERROR(__xludf.DUMMYFUNCTION("""COMPUTED_VALUE"""),32315.0)</f>
        <v>32315</v>
      </c>
      <c r="Q386" s="146" t="str">
        <f>IFERROR(__xludf.DUMMYFUNCTION("""COMPUTED_VALUE"""),"084 156 2040")</f>
        <v>084 156 2040</v>
      </c>
      <c r="R386" s="147">
        <f>IFERROR(__xludf.DUMMYFUNCTION("""COMPUTED_VALUE"""),1.101401345911E12)</f>
        <v>1101401345911</v>
      </c>
      <c r="S386" t="str">
        <f>IFERROR(__xludf.DUMMYFUNCTION("""COMPUTED_VALUE"""),"AC6526841")</f>
        <v>AC6526841</v>
      </c>
      <c r="T386" s="148">
        <f>IFERROR(__xludf.DUMMYFUNCTION("""COMPUTED_VALUE"""),45376.0)</f>
        <v>45376</v>
      </c>
      <c r="U386" s="148">
        <f>IFERROR(__xludf.DUMMYFUNCTION("""COMPUTED_VALUE"""),49027.0)</f>
        <v>49027</v>
      </c>
      <c r="V386" s="149">
        <f>IFERROR(__xludf.DUMMYFUNCTION("""COMPUTED_VALUE"""),48846.0)</f>
        <v>48846</v>
      </c>
      <c r="W386" t="str">
        <f>IFERROR(__xludf.DUMMYFUNCTION("""COMPUTED_VALUE"""),"ปลอดภัย")</f>
        <v>ปลอดภัย</v>
      </c>
      <c r="X386" t="str">
        <f>IFERROR(__xludf.DUMMYFUNCTION("""COMPUTED_VALUE"""),"Bangkok")</f>
        <v>Bangkok</v>
      </c>
      <c r="Y386" t="str">
        <f>IFERROR(__xludf.DUMMYFUNCTION("""COMPUTED_VALUE"""),"Songprapa")</f>
        <v>Songprapa</v>
      </c>
      <c r="Z386" t="str">
        <f>IFERROR(__xludf.DUMMYFUNCTION("""COMPUTED_VALUE"""),"02 928 4618 / 086 711 5753 / 081 817 8090")</f>
        <v>02 928 4618 / 086 711 5753 / 081 817 8090</v>
      </c>
      <c r="AA386" t="str">
        <f>IFERROR(__xludf.DUMMYFUNCTION("""COMPUTED_VALUE"""),"Home / Mother")</f>
        <v>Home / Mother</v>
      </c>
      <c r="AB386" t="str">
        <f>IFERROR(__xludf.DUMMYFUNCTION("""COMPUTED_VALUE"""),"thanradap@airasia.com")</f>
        <v>thanradap@airasia.com</v>
      </c>
    </row>
    <row r="387">
      <c r="A387">
        <f>IFERROR(__xludf.DUMMYFUNCTION("""COMPUTED_VALUE"""),1007177.0)</f>
        <v>1007177</v>
      </c>
      <c r="B387" t="str">
        <f>IFERROR(__xludf.DUMMYFUNCTION("""COMPUTED_VALUE"""),"Ms.")</f>
        <v>Ms.</v>
      </c>
      <c r="C387" t="str">
        <f>IFERROR(__xludf.DUMMYFUNCTION("""COMPUTED_VALUE"""),"Kandalin (Thattakarn)")</f>
        <v>Kandalin (Thattakarn)</v>
      </c>
      <c r="D387" t="str">
        <f>IFERROR(__xludf.DUMMYFUNCTION("""COMPUTED_VALUE"""),"Koonkaew")</f>
        <v>Koonkaew</v>
      </c>
      <c r="E387" t="str">
        <f>IFERROR(__xludf.DUMMYFUNCTION("""COMPUTED_VALUE"""),"Kandalin Koonkaew")</f>
        <v>Kandalin Koonkaew</v>
      </c>
      <c r="F387" t="str">
        <f>IFERROR(__xludf.DUMMYFUNCTION("""COMPUTED_VALUE"""),"นางสาว")</f>
        <v>นางสาว</v>
      </c>
      <c r="G387" t="str">
        <f>IFERROR(__xludf.DUMMYFUNCTION("""COMPUTED_VALUE"""),"กานดาลิน (ทัตตกานต์)")</f>
        <v>กานดาลิน (ทัตตกานต์)</v>
      </c>
      <c r="H387" t="str">
        <f>IFERROR(__xludf.DUMMYFUNCTION("""COMPUTED_VALUE"""),"คุณแก้ว")</f>
        <v>คุณแก้ว</v>
      </c>
      <c r="I387" t="str">
        <f>IFERROR(__xludf.DUMMYFUNCTION("""COMPUTED_VALUE"""),"กานดาลิน คุณแก้ว")</f>
        <v>กานดาลิน คุณแก้ว</v>
      </c>
      <c r="J387" t="str">
        <f>IFERROR(__xludf.DUMMYFUNCTION("""COMPUTED_VALUE"""),"ปุ๋ย")</f>
        <v>ปุ๋ย</v>
      </c>
      <c r="K387" t="str">
        <f>IFERROR(__xludf.DUMMYFUNCTION("""COMPUTED_VALUE"""),"Cabin Crew - HKT")</f>
        <v>Cabin Crew - HKT</v>
      </c>
      <c r="L387" t="str">
        <f>IFERROR(__xludf.DUMMYFUNCTION("""COMPUTED_VALUE"""),"HKT")</f>
        <v>HKT</v>
      </c>
      <c r="M387" s="145" t="str">
        <f>IFERROR(__xludf.DUMMYFUNCTION("""COMPUTED_VALUE"""),"Kor Home")</f>
        <v>Kor Home</v>
      </c>
      <c r="N387" t="str">
        <f>IFERROR(__xludf.DUMMYFUNCTION("""COMPUTED_VALUE"""),"Active")</f>
        <v>Active</v>
      </c>
      <c r="P387" s="143">
        <f>IFERROR(__xludf.DUMMYFUNCTION("""COMPUTED_VALUE"""),32365.0)</f>
        <v>32365</v>
      </c>
      <c r="Q387" s="146" t="str">
        <f>IFERROR(__xludf.DUMMYFUNCTION("""COMPUTED_VALUE"""),"082 624 6515")</f>
        <v>082 624 6515</v>
      </c>
      <c r="R387" s="147">
        <f>IFERROR(__xludf.DUMMYFUNCTION("""COMPUTED_VALUE"""),1.319900150428E12)</f>
        <v>1319900150428</v>
      </c>
      <c r="S387" t="str">
        <f>IFERROR(__xludf.DUMMYFUNCTION("""COMPUTED_VALUE"""),"AC6097361")</f>
        <v>AC6097361</v>
      </c>
      <c r="T387" s="148">
        <f>IFERROR(__xludf.DUMMYFUNCTION("""COMPUTED_VALUE"""),45266.0)</f>
        <v>45266</v>
      </c>
      <c r="U387" s="148">
        <f>IFERROR(__xludf.DUMMYFUNCTION("""COMPUTED_VALUE"""),47092.0)</f>
        <v>47092</v>
      </c>
      <c r="V387" s="149">
        <f>IFERROR(__xludf.DUMMYFUNCTION("""COMPUTED_VALUE"""),46909.0)</f>
        <v>46909</v>
      </c>
      <c r="W387" t="str">
        <f>IFERROR(__xludf.DUMMYFUNCTION("""COMPUTED_VALUE"""),"ปลอดภัย")</f>
        <v>ปลอดภัย</v>
      </c>
      <c r="X387" t="str">
        <f>IFERROR(__xludf.DUMMYFUNCTION("""COMPUTED_VALUE"""),"Buriram Province")</f>
        <v>Buriram Province</v>
      </c>
      <c r="Y387" t="str">
        <f>IFERROR(__xludf.DUMMYFUNCTION("""COMPUTED_VALUE"""),"Ladprao")</f>
        <v>Ladprao</v>
      </c>
      <c r="Z387" t="str">
        <f>IFERROR(__xludf.DUMMYFUNCTION("""COMPUTED_VALUE"""),"02 942 2562 / 085 150 6207")</f>
        <v>02 942 2562 / 085 150 6207</v>
      </c>
      <c r="AA387" t="str">
        <f>IFERROR(__xludf.DUMMYFUNCTION("""COMPUTED_VALUE"""),"Home / Big Sister")</f>
        <v>Home / Big Sister</v>
      </c>
      <c r="AB387" t="str">
        <f>IFERROR(__xludf.DUMMYFUNCTION("""COMPUTED_VALUE"""),"kandalinkoon@airasia.com")</f>
        <v>kandalinkoon@airasia.com</v>
      </c>
    </row>
    <row r="388">
      <c r="AB388" t="str">
        <f>IFERROR(__xludf.DUMMYFUNCTION("""COMPUTED_VALUE"""),"")</f>
        <v/>
      </c>
    </row>
    <row r="389">
      <c r="A389">
        <f>IFERROR(__xludf.DUMMYFUNCTION("""COMPUTED_VALUE"""),1007194.0)</f>
        <v>1007194</v>
      </c>
      <c r="B389" t="str">
        <f>IFERROR(__xludf.DUMMYFUNCTION("""COMPUTED_VALUE"""),"Ms.")</f>
        <v>Ms.</v>
      </c>
      <c r="C389" t="str">
        <f>IFERROR(__xludf.DUMMYFUNCTION("""COMPUTED_VALUE"""),"Arparatt")</f>
        <v>Arparatt</v>
      </c>
      <c r="D389" t="str">
        <f>IFERROR(__xludf.DUMMYFUNCTION("""COMPUTED_VALUE"""),"Pengya")</f>
        <v>Pengya</v>
      </c>
      <c r="E389" t="str">
        <f>IFERROR(__xludf.DUMMYFUNCTION("""COMPUTED_VALUE"""),"Arparatt Pengya")</f>
        <v>Arparatt Pengya</v>
      </c>
      <c r="F389" t="str">
        <f>IFERROR(__xludf.DUMMYFUNCTION("""COMPUTED_VALUE"""),"นางสาว")</f>
        <v>นางสาว</v>
      </c>
      <c r="G389" t="str">
        <f>IFERROR(__xludf.DUMMYFUNCTION("""COMPUTED_VALUE"""),"อาภารัตน์")</f>
        <v>อาภารัตน์</v>
      </c>
      <c r="H389" t="str">
        <f>IFERROR(__xludf.DUMMYFUNCTION("""COMPUTED_VALUE"""),"เพ็งยา")</f>
        <v>เพ็งยา</v>
      </c>
      <c r="I389" t="str">
        <f>IFERROR(__xludf.DUMMYFUNCTION("""COMPUTED_VALUE"""),"อาภารัตน์ เพ็งยา")</f>
        <v>อาภารัตน์ เพ็งยา</v>
      </c>
      <c r="J389" t="str">
        <f>IFERROR(__xludf.DUMMYFUNCTION("""COMPUTED_VALUE"""),"ภา")</f>
        <v>ภา</v>
      </c>
      <c r="K389" t="str">
        <f>IFERROR(__xludf.DUMMYFUNCTION("""COMPUTED_VALUE"""),"Cabin Crew")</f>
        <v>Cabin Crew</v>
      </c>
      <c r="L389" t="str">
        <f>IFERROR(__xludf.DUMMYFUNCTION("""COMPUTED_VALUE"""),"DMK")</f>
        <v>DMK</v>
      </c>
      <c r="M389" s="145" t="str">
        <f>IFERROR(__xludf.DUMMYFUNCTION("""COMPUTED_VALUE"""),"Nhui Home")</f>
        <v>Nhui Home</v>
      </c>
      <c r="N389" t="str">
        <f>IFERROR(__xludf.DUMMYFUNCTION("""COMPUTED_VALUE"""),"V/LWP")</f>
        <v>V/LWP</v>
      </c>
      <c r="P389" s="143">
        <f>IFERROR(__xludf.DUMMYFUNCTION("""COMPUTED_VALUE"""),31795.0)</f>
        <v>31795</v>
      </c>
      <c r="Q389" s="146" t="str">
        <f>IFERROR(__xludf.DUMMYFUNCTION("""COMPUTED_VALUE"""),"065 229 4756")</f>
        <v>065 229 4756</v>
      </c>
      <c r="R389" s="147">
        <f>IFERROR(__xludf.DUMMYFUNCTION("""COMPUTED_VALUE"""),1.101400903367E12)</f>
        <v>1101400903367</v>
      </c>
      <c r="S389" t="str">
        <f>IFERROR(__xludf.DUMMYFUNCTION("""COMPUTED_VALUE"""),"AC2720117")</f>
        <v>AC2720117</v>
      </c>
      <c r="T389" s="148">
        <f>IFERROR(__xludf.DUMMYFUNCTION("""COMPUTED_VALUE"""),44474.0)</f>
        <v>44474</v>
      </c>
      <c r="U389" s="148">
        <f>IFERROR(__xludf.DUMMYFUNCTION("""COMPUTED_VALUE"""),48125.0)</f>
        <v>48125</v>
      </c>
      <c r="V389" s="149">
        <f>IFERROR(__xludf.DUMMYFUNCTION("""COMPUTED_VALUE"""),47942.0)</f>
        <v>47942</v>
      </c>
      <c r="W389" t="str">
        <f>IFERROR(__xludf.DUMMYFUNCTION("""COMPUTED_VALUE"""),"ปลอดภัย")</f>
        <v>ปลอดภัย</v>
      </c>
      <c r="X389" t="str">
        <f>IFERROR(__xludf.DUMMYFUNCTION("""COMPUTED_VALUE"""),"Bangkok")</f>
        <v>Bangkok</v>
      </c>
      <c r="Y389" t="str">
        <f>IFERROR(__xludf.DUMMYFUNCTION("""COMPUTED_VALUE"""),"Rangsit")</f>
        <v>Rangsit</v>
      </c>
      <c r="Z389" t="str">
        <f>IFERROR(__xludf.DUMMYFUNCTION("""COMPUTED_VALUE"""),"02 536 6396 / 081 805 5568")</f>
        <v>02 536 6396 / 081 805 5568</v>
      </c>
      <c r="AA389" t="str">
        <f>IFERROR(__xludf.DUMMYFUNCTION("""COMPUTED_VALUE"""),"Home / Mother")</f>
        <v>Home / Mother</v>
      </c>
      <c r="AB389" t="str">
        <f>IFERROR(__xludf.DUMMYFUNCTION("""COMPUTED_VALUE"""),"arparattp@airasia.com")</f>
        <v>arparattp@airasia.com</v>
      </c>
    </row>
    <row r="390">
      <c r="A390">
        <f>IFERROR(__xludf.DUMMYFUNCTION("""COMPUTED_VALUE"""),1007196.0)</f>
        <v>1007196</v>
      </c>
      <c r="B390" t="str">
        <f>IFERROR(__xludf.DUMMYFUNCTION("""COMPUTED_VALUE"""),"Ms.")</f>
        <v>Ms.</v>
      </c>
      <c r="C390" t="str">
        <f>IFERROR(__xludf.DUMMYFUNCTION("""COMPUTED_VALUE"""),"Chanyakorn")</f>
        <v>Chanyakorn</v>
      </c>
      <c r="D390" t="str">
        <f>IFERROR(__xludf.DUMMYFUNCTION("""COMPUTED_VALUE"""),"Amornkitvikai")</f>
        <v>Amornkitvikai</v>
      </c>
      <c r="E390" t="str">
        <f>IFERROR(__xludf.DUMMYFUNCTION("""COMPUTED_VALUE"""),"Chanyakorn Amornkitvikai")</f>
        <v>Chanyakorn Amornkitvikai</v>
      </c>
      <c r="F390" t="str">
        <f>IFERROR(__xludf.DUMMYFUNCTION("""COMPUTED_VALUE"""),"นางสาว")</f>
        <v>นางสาว</v>
      </c>
      <c r="G390" t="str">
        <f>IFERROR(__xludf.DUMMYFUNCTION("""COMPUTED_VALUE"""),"ชัญญกร")</f>
        <v>ชัญญกร</v>
      </c>
      <c r="H390" t="str">
        <f>IFERROR(__xludf.DUMMYFUNCTION("""COMPUTED_VALUE"""),"อมรกิจวิกัย")</f>
        <v>อมรกิจวิกัย</v>
      </c>
      <c r="I390" t="str">
        <f>IFERROR(__xludf.DUMMYFUNCTION("""COMPUTED_VALUE"""),"ชัญญกร อมรกิจวิกัย")</f>
        <v>ชัญญกร อมรกิจวิกัย</v>
      </c>
      <c r="J390" t="str">
        <f>IFERROR(__xludf.DUMMYFUNCTION("""COMPUTED_VALUE"""),"lekky")</f>
        <v>lekky</v>
      </c>
      <c r="K390" t="str">
        <f>IFERROR(__xludf.DUMMYFUNCTION("""COMPUTED_VALUE"""),"Cabin Crew")</f>
        <v>Cabin Crew</v>
      </c>
      <c r="L390" t="str">
        <f>IFERROR(__xludf.DUMMYFUNCTION("""COMPUTED_VALUE"""),"DMK")</f>
        <v>DMK</v>
      </c>
      <c r="M390" s="145" t="str">
        <f>IFERROR(__xludf.DUMMYFUNCTION("""COMPUTED_VALUE"""),"Toffy Home")</f>
        <v>Toffy Home</v>
      </c>
      <c r="N390" t="str">
        <f>IFERROR(__xludf.DUMMYFUNCTION("""COMPUTED_VALUE"""),"Active")</f>
        <v>Active</v>
      </c>
      <c r="P390" s="143">
        <f>IFERROR(__xludf.DUMMYFUNCTION("""COMPUTED_VALUE"""),30222.0)</f>
        <v>30222</v>
      </c>
      <c r="Q390" s="146" t="str">
        <f>IFERROR(__xludf.DUMMYFUNCTION("""COMPUTED_VALUE"""),"062 428 2924")</f>
        <v>062 428 2924</v>
      </c>
      <c r="R390" s="147">
        <f>IFERROR(__xludf.DUMMYFUNCTION("""COMPUTED_VALUE"""),3.101801412611E12)</f>
        <v>3101801412611</v>
      </c>
      <c r="S390" t="str">
        <f>IFERROR(__xludf.DUMMYFUNCTION("""COMPUTED_VALUE"""),"AC3151965")</f>
        <v>AC3151965</v>
      </c>
      <c r="T390" s="148">
        <f>IFERROR(__xludf.DUMMYFUNCTION("""COMPUTED_VALUE"""),44699.0)</f>
        <v>44699</v>
      </c>
      <c r="U390" s="148">
        <f>IFERROR(__xludf.DUMMYFUNCTION("""COMPUTED_VALUE"""),48351.0)</f>
        <v>48351</v>
      </c>
      <c r="V390" s="149">
        <f>IFERROR(__xludf.DUMMYFUNCTION("""COMPUTED_VALUE"""),48169.0)</f>
        <v>48169</v>
      </c>
      <c r="W390" t="str">
        <f>IFERROR(__xludf.DUMMYFUNCTION("""COMPUTED_VALUE"""),"ปลอดภัย")</f>
        <v>ปลอดภัย</v>
      </c>
      <c r="X390" t="str">
        <f>IFERROR(__xludf.DUMMYFUNCTION("""COMPUTED_VALUE"""),"Bangkok")</f>
        <v>Bangkok</v>
      </c>
      <c r="Y390" t="str">
        <f>IFERROR(__xludf.DUMMYFUNCTION("""COMPUTED_VALUE"""),"Jomthong")</f>
        <v>Jomthong</v>
      </c>
      <c r="Z390" t="str">
        <f>IFERROR(__xludf.DUMMYFUNCTION("""COMPUTED_VALUE"""),"02 875 7868 / 086 780 6556")</f>
        <v>02 875 7868 / 086 780 6556</v>
      </c>
      <c r="AA390" t="str">
        <f>IFERROR(__xludf.DUMMYFUNCTION("""COMPUTED_VALUE"""),"Home / Father")</f>
        <v>Home / Father</v>
      </c>
      <c r="AB390" t="str">
        <f>IFERROR(__xludf.DUMMYFUNCTION("""COMPUTED_VALUE"""),"chanyakorna@airasia.com")</f>
        <v>chanyakorna@airasia.com</v>
      </c>
    </row>
    <row r="391">
      <c r="A391">
        <f>IFERROR(__xludf.DUMMYFUNCTION("""COMPUTED_VALUE"""),1007198.0)</f>
        <v>1007198</v>
      </c>
      <c r="B391" t="str">
        <f>IFERROR(__xludf.DUMMYFUNCTION("""COMPUTED_VALUE"""),"Mr.")</f>
        <v>Mr.</v>
      </c>
      <c r="C391" t="str">
        <f>IFERROR(__xludf.DUMMYFUNCTION("""COMPUTED_VALUE"""),"Danny Richmond")</f>
        <v>Danny Richmond</v>
      </c>
      <c r="D391" t="str">
        <f>IFERROR(__xludf.DUMMYFUNCTION("""COMPUTED_VALUE"""),"Beaver")</f>
        <v>Beaver</v>
      </c>
      <c r="E391" t="str">
        <f>IFERROR(__xludf.DUMMYFUNCTION("""COMPUTED_VALUE"""),"Danny Richmond Beaver")</f>
        <v>Danny Richmond Beaver</v>
      </c>
      <c r="F391" t="str">
        <f>IFERROR(__xludf.DUMMYFUNCTION("""COMPUTED_VALUE"""),"นาย")</f>
        <v>นาย</v>
      </c>
      <c r="G391" t="str">
        <f>IFERROR(__xludf.DUMMYFUNCTION("""COMPUTED_VALUE"""),"แดนนี่ริชมอนด์")</f>
        <v>แดนนี่ริชมอนด์</v>
      </c>
      <c r="H391" t="str">
        <f>IFERROR(__xludf.DUMMYFUNCTION("""COMPUTED_VALUE"""),"วิชมอนด์ บีเวอร์")</f>
        <v>วิชมอนด์ บีเวอร์</v>
      </c>
      <c r="I391" t="str">
        <f>IFERROR(__xludf.DUMMYFUNCTION("""COMPUTED_VALUE"""),"แดนนี่ วิชมอนด์ บีเวอร์")</f>
        <v>แดนนี่ วิชมอนด์ บีเวอร์</v>
      </c>
      <c r="J391" t="str">
        <f>IFERROR(__xludf.DUMMYFUNCTION("""COMPUTED_VALUE"""),"แดน")</f>
        <v>แดน</v>
      </c>
      <c r="K391" t="str">
        <f>IFERROR(__xludf.DUMMYFUNCTION("""COMPUTED_VALUE"""),"Cabin Crew")</f>
        <v>Cabin Crew</v>
      </c>
      <c r="L391" t="str">
        <f>IFERROR(__xludf.DUMMYFUNCTION("""COMPUTED_VALUE"""),"DMK")</f>
        <v>DMK</v>
      </c>
      <c r="M391" s="145" t="str">
        <f>IFERROR(__xludf.DUMMYFUNCTION("""COMPUTED_VALUE"""),"Namfon Home")</f>
        <v>Namfon Home</v>
      </c>
      <c r="N391" t="str">
        <f>IFERROR(__xludf.DUMMYFUNCTION("""COMPUTED_VALUE"""),"Active")</f>
        <v>Active</v>
      </c>
      <c r="P391" s="143">
        <f>IFERROR(__xludf.DUMMYFUNCTION("""COMPUTED_VALUE"""),32420.0)</f>
        <v>32420</v>
      </c>
      <c r="Q391" s="146" t="str">
        <f>IFERROR(__xludf.DUMMYFUNCTION("""COMPUTED_VALUE"""),"083 996 9164")</f>
        <v>083 996 9164</v>
      </c>
      <c r="R391" s="147">
        <f>IFERROR(__xludf.DUMMYFUNCTION("""COMPUTED_VALUE"""),5.103800002884E12)</f>
        <v>5103800002884</v>
      </c>
      <c r="S391" t="str">
        <f>IFERROR(__xludf.DUMMYFUNCTION("""COMPUTED_VALUE"""),"AC6816674")</f>
        <v>AC6816674</v>
      </c>
      <c r="T391" s="148">
        <f>IFERROR(__xludf.DUMMYFUNCTION("""COMPUTED_VALUE"""),45449.0)</f>
        <v>45449</v>
      </c>
      <c r="U391" s="148">
        <f>IFERROR(__xludf.DUMMYFUNCTION("""COMPUTED_VALUE"""),49100.0)</f>
        <v>49100</v>
      </c>
      <c r="V391" s="149">
        <f>IFERROR(__xludf.DUMMYFUNCTION("""COMPUTED_VALUE"""),48918.0)</f>
        <v>48918</v>
      </c>
      <c r="W391" t="str">
        <f>IFERROR(__xludf.DUMMYFUNCTION("""COMPUTED_VALUE"""),"ปลอดภัย")</f>
        <v>ปลอดภัย</v>
      </c>
      <c r="X391" t="str">
        <f>IFERROR(__xludf.DUMMYFUNCTION("""COMPUTED_VALUE"""),"Bangkok")</f>
        <v>Bangkok</v>
      </c>
      <c r="Y391" t="str">
        <f>IFERROR(__xludf.DUMMYFUNCTION("""COMPUTED_VALUE"""),"Ladprao")</f>
        <v>Ladprao</v>
      </c>
      <c r="Z391" t="str">
        <f>IFERROR(__xludf.DUMMYFUNCTION("""COMPUTED_VALUE"""),"02 578 2714")</f>
        <v>02 578 2714</v>
      </c>
      <c r="AA391" t="str">
        <f>IFERROR(__xludf.DUMMYFUNCTION("""COMPUTED_VALUE"""),"Home")</f>
        <v>Home</v>
      </c>
      <c r="AB391" t="str">
        <f>IFERROR(__xludf.DUMMYFUNCTION("""COMPUTED_VALUE"""),"dannyrichmondb@airasia.com")</f>
        <v>dannyrichmondb@airasia.com</v>
      </c>
    </row>
    <row r="392">
      <c r="A392">
        <f>IFERROR(__xludf.DUMMYFUNCTION("""COMPUTED_VALUE"""),1007201.0)</f>
        <v>1007201</v>
      </c>
      <c r="B392" t="str">
        <f>IFERROR(__xludf.DUMMYFUNCTION("""COMPUTED_VALUE"""),"Ms.")</f>
        <v>Ms.</v>
      </c>
      <c r="C392" t="str">
        <f>IFERROR(__xludf.DUMMYFUNCTION("""COMPUTED_VALUE"""),"Juthaporn")</f>
        <v>Juthaporn</v>
      </c>
      <c r="D392" t="str">
        <f>IFERROR(__xludf.DUMMYFUNCTION("""COMPUTED_VALUE"""),"Ratanavaraporn")</f>
        <v>Ratanavaraporn</v>
      </c>
      <c r="E392" t="str">
        <f>IFERROR(__xludf.DUMMYFUNCTION("""COMPUTED_VALUE"""),"Juthaporn Ratanavaraporn")</f>
        <v>Juthaporn Ratanavaraporn</v>
      </c>
      <c r="F392" t="str">
        <f>IFERROR(__xludf.DUMMYFUNCTION("""COMPUTED_VALUE"""),"นางสาว")</f>
        <v>นางสาว</v>
      </c>
      <c r="G392" t="str">
        <f>IFERROR(__xludf.DUMMYFUNCTION("""COMPUTED_VALUE"""),"จุฑาภรณ์")</f>
        <v>จุฑาภรณ์</v>
      </c>
      <c r="H392" t="str">
        <f>IFERROR(__xludf.DUMMYFUNCTION("""COMPUTED_VALUE"""),"รัตนวราภรณ์")</f>
        <v>รัตนวราภรณ์</v>
      </c>
      <c r="I392" t="str">
        <f>IFERROR(__xludf.DUMMYFUNCTION("""COMPUTED_VALUE"""),"จุฑาภรณ์ รัตนวราภรณ์")</f>
        <v>จุฑาภรณ์ รัตนวราภรณ์</v>
      </c>
      <c r="J392" t="str">
        <f>IFERROR(__xludf.DUMMYFUNCTION("""COMPUTED_VALUE"""),"กบ")</f>
        <v>กบ</v>
      </c>
      <c r="K392" t="str">
        <f>IFERROR(__xludf.DUMMYFUNCTION("""COMPUTED_VALUE"""),"Cabin Crew")</f>
        <v>Cabin Crew</v>
      </c>
      <c r="L392" t="str">
        <f>IFERROR(__xludf.DUMMYFUNCTION("""COMPUTED_VALUE"""),"DMK")</f>
        <v>DMK</v>
      </c>
      <c r="M392" s="145" t="str">
        <f>IFERROR(__xludf.DUMMYFUNCTION("""COMPUTED_VALUE"""),"Nhui Home")</f>
        <v>Nhui Home</v>
      </c>
      <c r="N392" t="str">
        <f>IFERROR(__xludf.DUMMYFUNCTION("""COMPUTED_VALUE"""),"V/LWP")</f>
        <v>V/LWP</v>
      </c>
      <c r="P392" s="143">
        <f>IFERROR(__xludf.DUMMYFUNCTION("""COMPUTED_VALUE"""),30365.0)</f>
        <v>30365</v>
      </c>
      <c r="Q392" s="146" t="str">
        <f>IFERROR(__xludf.DUMMYFUNCTION("""COMPUTED_VALUE"""),"081 989 4553")</f>
        <v>081 989 4553</v>
      </c>
      <c r="R392" s="147">
        <f>IFERROR(__xludf.DUMMYFUNCTION("""COMPUTED_VALUE"""),3.100601994993E12)</f>
        <v>3100601994993</v>
      </c>
      <c r="S392" t="str">
        <f>IFERROR(__xludf.DUMMYFUNCTION("""COMPUTED_VALUE"""),"AC6207778")</f>
        <v>AC6207778</v>
      </c>
      <c r="T392" s="148">
        <f>IFERROR(__xludf.DUMMYFUNCTION("""COMPUTED_VALUE"""),45295.0)</f>
        <v>45295</v>
      </c>
      <c r="U392" s="148">
        <f>IFERROR(__xludf.DUMMYFUNCTION("""COMPUTED_VALUE"""),48947.0)</f>
        <v>48947</v>
      </c>
      <c r="V392" s="149">
        <f>IFERROR(__xludf.DUMMYFUNCTION("""COMPUTED_VALUE"""),48763.0)</f>
        <v>48763</v>
      </c>
      <c r="W392" t="str">
        <f>IFERROR(__xludf.DUMMYFUNCTION("""COMPUTED_VALUE"""),"ปลอดภัย")</f>
        <v>ปลอดภัย</v>
      </c>
      <c r="X392" t="str">
        <f>IFERROR(__xludf.DUMMYFUNCTION("""COMPUTED_VALUE"""),"Bangkok")</f>
        <v>Bangkok</v>
      </c>
      <c r="Y392" t="str">
        <f>IFERROR(__xludf.DUMMYFUNCTION("""COMPUTED_VALUE"""),"Bangkhane")</f>
        <v>Bangkhane</v>
      </c>
      <c r="Z392" t="str">
        <f>IFERROR(__xludf.DUMMYFUNCTION("""COMPUTED_VALUE"""),"02 552 1363 / 081 821 5489")</f>
        <v>02 552 1363 / 081 821 5489</v>
      </c>
      <c r="AA392" t="str">
        <f>IFERROR(__xludf.DUMMYFUNCTION("""COMPUTED_VALUE"""),"Home / Father")</f>
        <v>Home / Father</v>
      </c>
      <c r="AB392" t="str">
        <f>IFERROR(__xludf.DUMMYFUNCTION("""COMPUTED_VALUE"""),"juthapornr@airasia.com")</f>
        <v>juthapornr@airasia.com</v>
      </c>
    </row>
    <row r="393">
      <c r="A393">
        <f>IFERROR(__xludf.DUMMYFUNCTION("""COMPUTED_VALUE"""),1007202.0)</f>
        <v>1007202</v>
      </c>
      <c r="B393" t="str">
        <f>IFERROR(__xludf.DUMMYFUNCTION("""COMPUTED_VALUE"""),"Mr.")</f>
        <v>Mr.</v>
      </c>
      <c r="C393" t="str">
        <f>IFERROR(__xludf.DUMMYFUNCTION("""COMPUTED_VALUE"""),"Kritsada")</f>
        <v>Kritsada</v>
      </c>
      <c r="D393" t="str">
        <f>IFERROR(__xludf.DUMMYFUNCTION("""COMPUTED_VALUE"""),"Prachanuchit")</f>
        <v>Prachanuchit</v>
      </c>
      <c r="E393" t="str">
        <f>IFERROR(__xludf.DUMMYFUNCTION("""COMPUTED_VALUE"""),"Kritsada Prachanuchit")</f>
        <v>Kritsada Prachanuchit</v>
      </c>
      <c r="F393" t="str">
        <f>IFERROR(__xludf.DUMMYFUNCTION("""COMPUTED_VALUE"""),"นาย")</f>
        <v>นาย</v>
      </c>
      <c r="G393" t="str">
        <f>IFERROR(__xludf.DUMMYFUNCTION("""COMPUTED_VALUE"""),"กฤษฎา")</f>
        <v>กฤษฎา</v>
      </c>
      <c r="H393" t="str">
        <f>IFERROR(__xludf.DUMMYFUNCTION("""COMPUTED_VALUE"""),"ประชานุชิต")</f>
        <v>ประชานุชิต</v>
      </c>
      <c r="I393" t="str">
        <f>IFERROR(__xludf.DUMMYFUNCTION("""COMPUTED_VALUE"""),"กฤษฎา ประชานุชิต")</f>
        <v>กฤษฎา ประชานุชิต</v>
      </c>
      <c r="J393" t="str">
        <f>IFERROR(__xludf.DUMMYFUNCTION("""COMPUTED_VALUE"""),"กัน")</f>
        <v>กัน</v>
      </c>
      <c r="K393" t="str">
        <f>IFERROR(__xludf.DUMMYFUNCTION("""COMPUTED_VALUE"""),"Senior Cabin Crew")</f>
        <v>Senior Cabin Crew</v>
      </c>
      <c r="L393" t="str">
        <f>IFERROR(__xludf.DUMMYFUNCTION("""COMPUTED_VALUE"""),"DMK")</f>
        <v>DMK</v>
      </c>
      <c r="M393" s="145" t="str">
        <f>IFERROR(__xludf.DUMMYFUNCTION("""COMPUTED_VALUE"""),"Kor Home")</f>
        <v>Kor Home</v>
      </c>
      <c r="N393" t="str">
        <f>IFERROR(__xludf.DUMMYFUNCTION("""COMPUTED_VALUE"""),"Active")</f>
        <v>Active</v>
      </c>
      <c r="O393" t="str">
        <f>IFERROR(__xludf.DUMMYFUNCTION("""COMPUTED_VALUE"""),"SCC Line Checker 2025")</f>
        <v>SCC Line Checker 2025</v>
      </c>
      <c r="P393" s="143">
        <f>IFERROR(__xludf.DUMMYFUNCTION("""COMPUTED_VALUE"""),32500.0)</f>
        <v>32500</v>
      </c>
      <c r="Q393" s="146" t="str">
        <f>IFERROR(__xludf.DUMMYFUNCTION("""COMPUTED_VALUE"""),"089 649 8170")</f>
        <v>089 649 8170</v>
      </c>
      <c r="R393" s="147">
        <f>IFERROR(__xludf.DUMMYFUNCTION("""COMPUTED_VALUE"""),1.840400041341E12)</f>
        <v>1840400041341</v>
      </c>
      <c r="S393" t="str">
        <f>IFERROR(__xludf.DUMMYFUNCTION("""COMPUTED_VALUE"""),"AC6926647")</f>
        <v>AC6926647</v>
      </c>
      <c r="T393" s="148">
        <f>IFERROR(__xludf.DUMMYFUNCTION("""COMPUTED_VALUE"""),45522.0)</f>
        <v>45522</v>
      </c>
      <c r="U393" s="148">
        <f>IFERROR(__xludf.DUMMYFUNCTION("""COMPUTED_VALUE"""),47347.0)</f>
        <v>47347</v>
      </c>
      <c r="V393" s="149">
        <f>IFERROR(__xludf.DUMMYFUNCTION("""COMPUTED_VALUE"""),47166.0)</f>
        <v>47166</v>
      </c>
      <c r="W393" t="str">
        <f>IFERROR(__xludf.DUMMYFUNCTION("""COMPUTED_VALUE"""),"ปลอดภัย")</f>
        <v>ปลอดภัย</v>
      </c>
      <c r="X393" t="str">
        <f>IFERROR(__xludf.DUMMYFUNCTION("""COMPUTED_VALUE"""),"Surat Thani Province")</f>
        <v>Surat Thani Province</v>
      </c>
      <c r="Y393" t="str">
        <f>IFERROR(__xludf.DUMMYFUNCTION("""COMPUTED_VALUE"""),"Surat Thani")</f>
        <v>Surat Thani</v>
      </c>
      <c r="Z393" t="str">
        <f>IFERROR(__xludf.DUMMYFUNCTION("""COMPUTED_VALUE"""),"089 873 7594")</f>
        <v>089 873 7594</v>
      </c>
      <c r="AA393" t="str">
        <f>IFERROR(__xludf.DUMMYFUNCTION("""COMPUTED_VALUE"""),"Mother")</f>
        <v>Mother</v>
      </c>
      <c r="AB393" t="str">
        <f>IFERROR(__xludf.DUMMYFUNCTION("""COMPUTED_VALUE"""),"kritsadaa@airasia.com")</f>
        <v>kritsadaa@airasia.com</v>
      </c>
    </row>
    <row r="394">
      <c r="A394">
        <f>IFERROR(__xludf.DUMMYFUNCTION("""COMPUTED_VALUE"""),1007204.0)</f>
        <v>1007204</v>
      </c>
      <c r="B394" t="str">
        <f>IFERROR(__xludf.DUMMYFUNCTION("""COMPUTED_VALUE"""),"Ms.")</f>
        <v>Ms.</v>
      </c>
      <c r="C394" t="str">
        <f>IFERROR(__xludf.DUMMYFUNCTION("""COMPUTED_VALUE"""),"Neeranuch")</f>
        <v>Neeranuch</v>
      </c>
      <c r="D394" t="str">
        <f>IFERROR(__xludf.DUMMYFUNCTION("""COMPUTED_VALUE"""),"Chaveevorn")</f>
        <v>Chaveevorn</v>
      </c>
      <c r="E394" t="str">
        <f>IFERROR(__xludf.DUMMYFUNCTION("""COMPUTED_VALUE"""),"Neeranuch Chaveevorn")</f>
        <v>Neeranuch Chaveevorn</v>
      </c>
      <c r="F394" t="str">
        <f>IFERROR(__xludf.DUMMYFUNCTION("""COMPUTED_VALUE"""),"นางสาว")</f>
        <v>นางสาว</v>
      </c>
      <c r="G394" t="str">
        <f>IFERROR(__xludf.DUMMYFUNCTION("""COMPUTED_VALUE"""),"ณีรนุช")</f>
        <v>ณีรนุช</v>
      </c>
      <c r="H394" t="str">
        <f>IFERROR(__xludf.DUMMYFUNCTION("""COMPUTED_VALUE"""),"ฉวีวรณ์")</f>
        <v>ฉวีวรณ์</v>
      </c>
      <c r="I394" t="str">
        <f>IFERROR(__xludf.DUMMYFUNCTION("""COMPUTED_VALUE"""),"ณีรนุช ฉวีวรณ์")</f>
        <v>ณีรนุช ฉวีวรณ์</v>
      </c>
      <c r="J394" t="str">
        <f>IFERROR(__xludf.DUMMYFUNCTION("""COMPUTED_VALUE"""),"แสตมป์")</f>
        <v>แสตมป์</v>
      </c>
      <c r="K394" t="str">
        <f>IFERROR(__xludf.DUMMYFUNCTION("""COMPUTED_VALUE"""),"Cabin Crew Checker")</f>
        <v>Cabin Crew Checker</v>
      </c>
      <c r="L394" t="str">
        <f>IFERROR(__xludf.DUMMYFUNCTION("""COMPUTED_VALUE"""),"DMK")</f>
        <v>DMK</v>
      </c>
      <c r="M394" s="145" t="str">
        <f>IFERROR(__xludf.DUMMYFUNCTION("""COMPUTED_VALUE"""),"CCD")</f>
        <v>CCD</v>
      </c>
      <c r="N394" t="str">
        <f>IFERROR(__xludf.DUMMYFUNCTION("""COMPUTED_VALUE"""),"Checker")</f>
        <v>Checker</v>
      </c>
      <c r="P394" s="143">
        <f>IFERROR(__xludf.DUMMYFUNCTION("""COMPUTED_VALUE"""),31340.0)</f>
        <v>31340</v>
      </c>
      <c r="Q394" s="146" t="str">
        <f>IFERROR(__xludf.DUMMYFUNCTION("""COMPUTED_VALUE"""),"086 006 8111")</f>
        <v>086 006 8111</v>
      </c>
      <c r="R394" s="147">
        <f>IFERROR(__xludf.DUMMYFUNCTION("""COMPUTED_VALUE"""),1.1014006227741E13)</f>
        <v>11014006227741</v>
      </c>
      <c r="S394" t="str">
        <f>IFERROR(__xludf.DUMMYFUNCTION("""COMPUTED_VALUE"""),"AC7920745")</f>
        <v>AC7920745</v>
      </c>
      <c r="T394" s="148">
        <f>IFERROR(__xludf.DUMMYFUNCTION("""COMPUTED_VALUE"""),45671.0)</f>
        <v>45671</v>
      </c>
      <c r="U394" s="148">
        <f>IFERROR(__xludf.DUMMYFUNCTION("""COMPUTED_VALUE"""),49322.0)</f>
        <v>49322</v>
      </c>
      <c r="V394" s="149">
        <f>IFERROR(__xludf.DUMMYFUNCTION("""COMPUTED_VALUE"""),49138.0)</f>
        <v>49138</v>
      </c>
      <c r="W394" t="str">
        <f>IFERROR(__xludf.DUMMYFUNCTION("""COMPUTED_VALUE"""),"ปลอดภัย")</f>
        <v>ปลอดภัย</v>
      </c>
      <c r="X394" t="str">
        <f>IFERROR(__xludf.DUMMYFUNCTION("""COMPUTED_VALUE"""),"Bangkok")</f>
        <v>Bangkok</v>
      </c>
      <c r="Y394" t="str">
        <f>IFERROR(__xludf.DUMMYFUNCTION("""COMPUTED_VALUE"""),"Ladprao")</f>
        <v>Ladprao</v>
      </c>
      <c r="Z394" t="str">
        <f>IFERROR(__xludf.DUMMYFUNCTION("""COMPUTED_VALUE"""),"02 370 1972 / 085 160 5563")</f>
        <v>02 370 1972 / 085 160 5563</v>
      </c>
      <c r="AA394" t="str">
        <f>IFERROR(__xludf.DUMMYFUNCTION("""COMPUTED_VALUE"""),"Home / Husband")</f>
        <v>Home / Husband</v>
      </c>
      <c r="AB394" t="str">
        <f>IFERROR(__xludf.DUMMYFUNCTION("""COMPUTED_VALUE"""),"neeranuchc@airasia.com")</f>
        <v>neeranuchc@airasia.com</v>
      </c>
    </row>
    <row r="395">
      <c r="A395">
        <f>IFERROR(__xludf.DUMMYFUNCTION("""COMPUTED_VALUE"""),1007206.0)</f>
        <v>1007206</v>
      </c>
      <c r="B395" t="str">
        <f>IFERROR(__xludf.DUMMYFUNCTION("""COMPUTED_VALUE"""),"Ms.")</f>
        <v>Ms.</v>
      </c>
      <c r="C395" t="str">
        <f>IFERROR(__xludf.DUMMYFUNCTION("""COMPUTED_VALUE"""),"Patcharida")</f>
        <v>Patcharida</v>
      </c>
      <c r="D395" t="str">
        <f>IFERROR(__xludf.DUMMYFUNCTION("""COMPUTED_VALUE"""),"Thanasarndechachai")</f>
        <v>Thanasarndechachai</v>
      </c>
      <c r="E395" t="str">
        <f>IFERROR(__xludf.DUMMYFUNCTION("""COMPUTED_VALUE"""),"Patcharida Thanasarndechachai")</f>
        <v>Patcharida Thanasarndechachai</v>
      </c>
      <c r="F395" t="str">
        <f>IFERROR(__xludf.DUMMYFUNCTION("""COMPUTED_VALUE"""),"นางสาว")</f>
        <v>นางสาว</v>
      </c>
      <c r="G395" t="str">
        <f>IFERROR(__xludf.DUMMYFUNCTION("""COMPUTED_VALUE"""),"พัชริดา")</f>
        <v>พัชริดา</v>
      </c>
      <c r="H395" t="str">
        <f>IFERROR(__xludf.DUMMYFUNCTION("""COMPUTED_VALUE"""),"ธนสารเดชาชัย")</f>
        <v>ธนสารเดชาชัย</v>
      </c>
      <c r="I395" t="str">
        <f>IFERROR(__xludf.DUMMYFUNCTION("""COMPUTED_VALUE"""),"พัชริดา ธนสารเดชาชัย")</f>
        <v>พัชริดา ธนสารเดชาชัย</v>
      </c>
      <c r="J395" t="str">
        <f>IFERROR(__xludf.DUMMYFUNCTION("""COMPUTED_VALUE"""),"เค้ก")</f>
        <v>เค้ก</v>
      </c>
      <c r="K395" t="str">
        <f>IFERROR(__xludf.DUMMYFUNCTION("""COMPUTED_VALUE"""),"Senior Cabin Crew")</f>
        <v>Senior Cabin Crew</v>
      </c>
      <c r="L395" t="str">
        <f>IFERROR(__xludf.DUMMYFUNCTION("""COMPUTED_VALUE"""),"DMK")</f>
        <v>DMK</v>
      </c>
      <c r="M395" s="145" t="str">
        <f>IFERROR(__xludf.DUMMYFUNCTION("""COMPUTED_VALUE"""),"Nhui Home")</f>
        <v>Nhui Home</v>
      </c>
      <c r="N395" t="str">
        <f>IFERROR(__xludf.DUMMYFUNCTION("""COMPUTED_VALUE"""),"Active")</f>
        <v>Active</v>
      </c>
      <c r="P395" s="143">
        <f>IFERROR(__xludf.DUMMYFUNCTION("""COMPUTED_VALUE"""),31359.0)</f>
        <v>31359</v>
      </c>
      <c r="Q395" s="146" t="str">
        <f>IFERROR(__xludf.DUMMYFUNCTION("""COMPUTED_VALUE"""),"086 618 6222")</f>
        <v>086 618 6222</v>
      </c>
      <c r="R395" s="147">
        <f>IFERROR(__xludf.DUMMYFUNCTION("""COMPUTED_VALUE"""),1.101200024319E12)</f>
        <v>1101200024319</v>
      </c>
      <c r="S395" t="str">
        <f>IFERROR(__xludf.DUMMYFUNCTION("""COMPUTED_VALUE"""),"AC7445353")</f>
        <v>AC7445353</v>
      </c>
      <c r="T395" s="148">
        <f>IFERROR(__xludf.DUMMYFUNCTION("""COMPUTED_VALUE"""),45586.0)</f>
        <v>45586</v>
      </c>
      <c r="U395" s="148">
        <f>IFERROR(__xludf.DUMMYFUNCTION("""COMPUTED_VALUE"""),49237.0)</f>
        <v>49237</v>
      </c>
      <c r="V395" s="149">
        <f>IFERROR(__xludf.DUMMYFUNCTION("""COMPUTED_VALUE"""),49054.0)</f>
        <v>49054</v>
      </c>
      <c r="W395" t="str">
        <f>IFERROR(__xludf.DUMMYFUNCTION("""COMPUTED_VALUE"""),"ปลอดภัย")</f>
        <v>ปลอดภัย</v>
      </c>
      <c r="X395" t="str">
        <f>IFERROR(__xludf.DUMMYFUNCTION("""COMPUTED_VALUE"""),"Bangkok")</f>
        <v>Bangkok</v>
      </c>
      <c r="Y395" t="str">
        <f>IFERROR(__xludf.DUMMYFUNCTION("""COMPUTED_VALUE"""),"Chatuchak")</f>
        <v>Chatuchak</v>
      </c>
      <c r="Z395" t="str">
        <f>IFERROR(__xludf.DUMMYFUNCTION("""COMPUTED_VALUE"""),"02 512 3243 4 / 089 782 5005")</f>
        <v>02 512 3243 4 / 089 782 5005</v>
      </c>
      <c r="AA395" t="str">
        <f>IFERROR(__xludf.DUMMYFUNCTION("""COMPUTED_VALUE"""),"Home / Mother")</f>
        <v>Home / Mother</v>
      </c>
      <c r="AB395" t="str">
        <f>IFERROR(__xludf.DUMMYFUNCTION("""COMPUTED_VALUE"""),"patcharidat@airasia.com")</f>
        <v>patcharidat@airasia.com</v>
      </c>
    </row>
    <row r="396">
      <c r="A396">
        <f>IFERROR(__xludf.DUMMYFUNCTION("""COMPUTED_VALUE"""),1007207.0)</f>
        <v>1007207</v>
      </c>
      <c r="B396" t="str">
        <f>IFERROR(__xludf.DUMMYFUNCTION("""COMPUTED_VALUE"""),"Ms.")</f>
        <v>Ms.</v>
      </c>
      <c r="C396" t="str">
        <f>IFERROR(__xludf.DUMMYFUNCTION("""COMPUTED_VALUE"""),"Sasiwan")</f>
        <v>Sasiwan</v>
      </c>
      <c r="D396" t="str">
        <f>IFERROR(__xludf.DUMMYFUNCTION("""COMPUTED_VALUE"""),"Nakate")</f>
        <v>Nakate</v>
      </c>
      <c r="E396" t="str">
        <f>IFERROR(__xludf.DUMMYFUNCTION("""COMPUTED_VALUE"""),"Sasiwan Nakate")</f>
        <v>Sasiwan Nakate</v>
      </c>
      <c r="F396" t="str">
        <f>IFERROR(__xludf.DUMMYFUNCTION("""COMPUTED_VALUE"""),"นางสาว")</f>
        <v>นางสาว</v>
      </c>
      <c r="G396" t="str">
        <f>IFERROR(__xludf.DUMMYFUNCTION("""COMPUTED_VALUE"""),"ศศิวัลย์")</f>
        <v>ศศิวัลย์</v>
      </c>
      <c r="H396" t="str">
        <f>IFERROR(__xludf.DUMMYFUNCTION("""COMPUTED_VALUE"""),"นาคะเต")</f>
        <v>นาคะเต</v>
      </c>
      <c r="I396" t="str">
        <f>IFERROR(__xludf.DUMMYFUNCTION("""COMPUTED_VALUE"""),"ศศิวัลย์ นาคะเต")</f>
        <v>ศศิวัลย์ นาคะเต</v>
      </c>
      <c r="J396" t="str">
        <f>IFERROR(__xludf.DUMMYFUNCTION("""COMPUTED_VALUE"""),"ต้อม")</f>
        <v>ต้อม</v>
      </c>
      <c r="K396" t="str">
        <f>IFERROR(__xludf.DUMMYFUNCTION("""COMPUTED_VALUE"""),"Senior Cabin Crew")</f>
        <v>Senior Cabin Crew</v>
      </c>
      <c r="L396" t="str">
        <f>IFERROR(__xludf.DUMMYFUNCTION("""COMPUTED_VALUE"""),"DMK")</f>
        <v>DMK</v>
      </c>
      <c r="M396" s="145" t="str">
        <f>IFERROR(__xludf.DUMMYFUNCTION("""COMPUTED_VALUE"""),"Um Home")</f>
        <v>Um Home</v>
      </c>
      <c r="N396" t="str">
        <f>IFERROR(__xludf.DUMMYFUNCTION("""COMPUTED_VALUE"""),"Active")</f>
        <v>Active</v>
      </c>
      <c r="P396" s="143">
        <f>IFERROR(__xludf.DUMMYFUNCTION("""COMPUTED_VALUE"""),30415.0)</f>
        <v>30415</v>
      </c>
      <c r="Q396" s="146" t="str">
        <f>IFERROR(__xludf.DUMMYFUNCTION("""COMPUTED_VALUE"""),"062 369 6244")</f>
        <v>062 369 6244</v>
      </c>
      <c r="R396" s="147">
        <f>IFERROR(__xludf.DUMMYFUNCTION("""COMPUTED_VALUE"""),3.100602351409E12)</f>
        <v>3100602351409</v>
      </c>
      <c r="S396" t="str">
        <f>IFERROR(__xludf.DUMMYFUNCTION("""COMPUTED_VALUE"""),"AC2916906")</f>
        <v>AC2916906</v>
      </c>
      <c r="T396" s="148">
        <f>IFERROR(__xludf.DUMMYFUNCTION("""COMPUTED_VALUE"""),44622.0)</f>
        <v>44622</v>
      </c>
      <c r="U396" s="148">
        <f>IFERROR(__xludf.DUMMYFUNCTION("""COMPUTED_VALUE"""),48274.0)</f>
        <v>48274</v>
      </c>
      <c r="V396" s="149">
        <f>IFERROR(__xludf.DUMMYFUNCTION("""COMPUTED_VALUE"""),48092.0)</f>
        <v>48092</v>
      </c>
      <c r="W396" t="str">
        <f>IFERROR(__xludf.DUMMYFUNCTION("""COMPUTED_VALUE"""),"ปลอดภัย")</f>
        <v>ปลอดภัย</v>
      </c>
      <c r="X396" t="str">
        <f>IFERROR(__xludf.DUMMYFUNCTION("""COMPUTED_VALUE"""),"Bangkok")</f>
        <v>Bangkok</v>
      </c>
      <c r="Y396" t="str">
        <f>IFERROR(__xludf.DUMMYFUNCTION("""COMPUTED_VALUE"""),"Nonthaburi")</f>
        <v>Nonthaburi</v>
      </c>
      <c r="Z396" t="str">
        <f>IFERROR(__xludf.DUMMYFUNCTION("""COMPUTED_VALUE"""),"02 195 6489 / 081 627 2777")</f>
        <v>02 195 6489 / 081 627 2777</v>
      </c>
      <c r="AA396" t="str">
        <f>IFERROR(__xludf.DUMMYFUNCTION("""COMPUTED_VALUE"""),"Home / Brother")</f>
        <v>Home / Brother</v>
      </c>
      <c r="AB396" t="str">
        <f>IFERROR(__xludf.DUMMYFUNCTION("""COMPUTED_VALUE"""),"sasiwann@airasia.com")</f>
        <v>sasiwann@airasia.com</v>
      </c>
    </row>
    <row r="397">
      <c r="A397">
        <f>IFERROR(__xludf.DUMMYFUNCTION("""COMPUTED_VALUE"""),1007208.0)</f>
        <v>1007208</v>
      </c>
      <c r="B397" t="str">
        <f>IFERROR(__xludf.DUMMYFUNCTION("""COMPUTED_VALUE"""),"Ms.")</f>
        <v>Ms.</v>
      </c>
      <c r="C397" t="str">
        <f>IFERROR(__xludf.DUMMYFUNCTION("""COMPUTED_VALUE"""),"Tamonwan")</f>
        <v>Tamonwan</v>
      </c>
      <c r="D397" t="str">
        <f>IFERROR(__xludf.DUMMYFUNCTION("""COMPUTED_VALUE"""),"Deesrisak")</f>
        <v>Deesrisak</v>
      </c>
      <c r="E397" t="str">
        <f>IFERROR(__xludf.DUMMYFUNCTION("""COMPUTED_VALUE"""),"Tamonwan Deesrisak")</f>
        <v>Tamonwan Deesrisak</v>
      </c>
      <c r="F397" t="str">
        <f>IFERROR(__xludf.DUMMYFUNCTION("""COMPUTED_VALUE"""),"นางสาว")</f>
        <v>นางสาว</v>
      </c>
      <c r="G397" t="str">
        <f>IFERROR(__xludf.DUMMYFUNCTION("""COMPUTED_VALUE"""),"ธมลวรรณ")</f>
        <v>ธมลวรรณ</v>
      </c>
      <c r="H397" t="str">
        <f>IFERROR(__xludf.DUMMYFUNCTION("""COMPUTED_VALUE"""),"ดีศรีศักดิ์")</f>
        <v>ดีศรีศักดิ์</v>
      </c>
      <c r="I397" t="str">
        <f>IFERROR(__xludf.DUMMYFUNCTION("""COMPUTED_VALUE"""),"ธมลวรรณ ดีศรีศักดิ์")</f>
        <v>ธมลวรรณ ดีศรีศักดิ์</v>
      </c>
      <c r="J397" t="str">
        <f>IFERROR(__xludf.DUMMYFUNCTION("""COMPUTED_VALUE"""),"พีช")</f>
        <v>พีช</v>
      </c>
      <c r="K397" t="str">
        <f>IFERROR(__xludf.DUMMYFUNCTION("""COMPUTED_VALUE"""),"Senior Cabin Crew - CNX")</f>
        <v>Senior Cabin Crew - CNX</v>
      </c>
      <c r="L397" t="str">
        <f>IFERROR(__xludf.DUMMYFUNCTION("""COMPUTED_VALUE"""),"CNX")</f>
        <v>CNX</v>
      </c>
      <c r="M397" s="145" t="str">
        <f>IFERROR(__xludf.DUMMYFUNCTION("""COMPUTED_VALUE"""),"Up Home")</f>
        <v>Up Home</v>
      </c>
      <c r="N397" t="str">
        <f>IFERROR(__xludf.DUMMYFUNCTION("""COMPUTED_VALUE"""),"Active")</f>
        <v>Active</v>
      </c>
      <c r="P397" s="143">
        <f>IFERROR(__xludf.DUMMYFUNCTION("""COMPUTED_VALUE"""),31747.0)</f>
        <v>31747</v>
      </c>
      <c r="Q397" s="146">
        <f>IFERROR(__xludf.DUMMYFUNCTION("""COMPUTED_VALUE"""),9.05959824E8)</f>
        <v>905959824</v>
      </c>
      <c r="R397" s="147">
        <f>IFERROR(__xludf.DUMMYFUNCTION("""COMPUTED_VALUE"""),1.100800313787E12)</f>
        <v>1100800313787</v>
      </c>
      <c r="S397" t="str">
        <f>IFERROR(__xludf.DUMMYFUNCTION("""COMPUTED_VALUE"""),"AC4390969")</f>
        <v>AC4390969</v>
      </c>
      <c r="T397" s="148">
        <f>IFERROR(__xludf.DUMMYFUNCTION("""COMPUTED_VALUE"""),44938.0)</f>
        <v>44938</v>
      </c>
      <c r="U397" s="148">
        <f>IFERROR(__xludf.DUMMYFUNCTION("""COMPUTED_VALUE"""),48590.0)</f>
        <v>48590</v>
      </c>
      <c r="V397" s="149">
        <f>IFERROR(__xludf.DUMMYFUNCTION("""COMPUTED_VALUE"""),48406.0)</f>
        <v>48406</v>
      </c>
      <c r="W397" t="str">
        <f>IFERROR(__xludf.DUMMYFUNCTION("""COMPUTED_VALUE"""),"ปลอดภัย")</f>
        <v>ปลอดภัย</v>
      </c>
      <c r="X397" t="str">
        <f>IFERROR(__xludf.DUMMYFUNCTION("""COMPUTED_VALUE"""),"Bangkok")</f>
        <v>Bangkok</v>
      </c>
      <c r="Y397" t="str">
        <f>IFERROR(__xludf.DUMMYFUNCTION("""COMPUTED_VALUE"""),"Ramintra")</f>
        <v>Ramintra</v>
      </c>
      <c r="Z397" t="str">
        <f>IFERROR(__xludf.DUMMYFUNCTION("""COMPUTED_VALUE"""),"02 945 7110 / 083 514 5422")</f>
        <v>02 945 7110 / 083 514 5422</v>
      </c>
      <c r="AA397" t="str">
        <f>IFERROR(__xludf.DUMMYFUNCTION("""COMPUTED_VALUE"""),"Home / Mother")</f>
        <v>Home / Mother</v>
      </c>
      <c r="AB397" t="str">
        <f>IFERROR(__xludf.DUMMYFUNCTION("""COMPUTED_VALUE"""),"tamonwand@airasia.com")</f>
        <v>tamonwand@airasia.com</v>
      </c>
    </row>
    <row r="398">
      <c r="A398">
        <f>IFERROR(__xludf.DUMMYFUNCTION("""COMPUTED_VALUE"""),1007209.0)</f>
        <v>1007209</v>
      </c>
      <c r="B398" t="str">
        <f>IFERROR(__xludf.DUMMYFUNCTION("""COMPUTED_VALUE"""),"Ms.")</f>
        <v>Ms.</v>
      </c>
      <c r="C398" t="str">
        <f>IFERROR(__xludf.DUMMYFUNCTION("""COMPUTED_VALUE"""),"Varangkana")</f>
        <v>Varangkana</v>
      </c>
      <c r="D398" t="str">
        <f>IFERROR(__xludf.DUMMYFUNCTION("""COMPUTED_VALUE"""),"Seanglai (Nokkaew)")</f>
        <v>Seanglai (Nokkaew)</v>
      </c>
      <c r="E398" t="str">
        <f>IFERROR(__xludf.DUMMYFUNCTION("""COMPUTED_VALUE"""),"Varangkana Seanglai")</f>
        <v>Varangkana Seanglai</v>
      </c>
      <c r="F398" t="str">
        <f>IFERROR(__xludf.DUMMYFUNCTION("""COMPUTED_VALUE"""),"นางสาว")</f>
        <v>นางสาว</v>
      </c>
      <c r="G398" t="str">
        <f>IFERROR(__xludf.DUMMYFUNCTION("""COMPUTED_VALUE"""),"วรางคณา")</f>
        <v>วรางคณา</v>
      </c>
      <c r="H398" t="str">
        <f>IFERROR(__xludf.DUMMYFUNCTION("""COMPUTED_VALUE"""),"เสียงหลาย (นกแก้ว)")</f>
        <v>เสียงหลาย (นกแก้ว)</v>
      </c>
      <c r="I398" t="str">
        <f>IFERROR(__xludf.DUMMYFUNCTION("""COMPUTED_VALUE"""),"วรางคณา เสียงหลาย")</f>
        <v>วรางคณา เสียงหลาย</v>
      </c>
      <c r="J398" t="str">
        <f>IFERROR(__xludf.DUMMYFUNCTION("""COMPUTED_VALUE"""),"ตาล")</f>
        <v>ตาล</v>
      </c>
      <c r="K398" t="str">
        <f>IFERROR(__xludf.DUMMYFUNCTION("""COMPUTED_VALUE"""),"Senior Cabin Crew - CNX")</f>
        <v>Senior Cabin Crew - CNX</v>
      </c>
      <c r="L398" t="str">
        <f>IFERROR(__xludf.DUMMYFUNCTION("""COMPUTED_VALUE"""),"CNX")</f>
        <v>CNX</v>
      </c>
      <c r="M398" s="145" t="str">
        <f>IFERROR(__xludf.DUMMYFUNCTION("""COMPUTED_VALUE"""),"Up Home")</f>
        <v>Up Home</v>
      </c>
      <c r="N398" t="str">
        <f>IFERROR(__xludf.DUMMYFUNCTION("""COMPUTED_VALUE"""),"Active")</f>
        <v>Active</v>
      </c>
      <c r="P398" s="143">
        <f>IFERROR(__xludf.DUMMYFUNCTION("""COMPUTED_VALUE"""),31117.0)</f>
        <v>31117</v>
      </c>
      <c r="Q398" s="146" t="str">
        <f>IFERROR(__xludf.DUMMYFUNCTION("""COMPUTED_VALUE"""),"062 445 9694")</f>
        <v>062 445 9694</v>
      </c>
      <c r="R398" s="147">
        <f>IFERROR(__xludf.DUMMYFUNCTION("""COMPUTED_VALUE"""),1.509900168741E12)</f>
        <v>1509900168741</v>
      </c>
      <c r="S398" t="str">
        <f>IFERROR(__xludf.DUMMYFUNCTION("""COMPUTED_VALUE"""),"AC6241206")</f>
        <v>AC6241206</v>
      </c>
      <c r="T398" s="148">
        <f>IFERROR(__xludf.DUMMYFUNCTION("""COMPUTED_VALUE"""),45303.0)</f>
        <v>45303</v>
      </c>
      <c r="U398" s="148">
        <f>IFERROR(__xludf.DUMMYFUNCTION("""COMPUTED_VALUE"""),48955.0)</f>
        <v>48955</v>
      </c>
      <c r="V398" s="149">
        <f>IFERROR(__xludf.DUMMYFUNCTION("""COMPUTED_VALUE"""),48771.0)</f>
        <v>48771</v>
      </c>
      <c r="W398" t="str">
        <f>IFERROR(__xludf.DUMMYFUNCTION("""COMPUTED_VALUE"""),"ปลอดภัย")</f>
        <v>ปลอดภัย</v>
      </c>
      <c r="X398" t="str">
        <f>IFERROR(__xludf.DUMMYFUNCTION("""COMPUTED_VALUE"""),"Chiang Mai Province")</f>
        <v>Chiang Mai Province</v>
      </c>
      <c r="Y398" t="str">
        <f>IFERROR(__xludf.DUMMYFUNCTION("""COMPUTED_VALUE"""),"Samutprakarn")</f>
        <v>Samutprakarn</v>
      </c>
      <c r="Z398" t="str">
        <f>IFERROR(__xludf.DUMMYFUNCTION("""COMPUTED_VALUE"""),"081 638 8494")</f>
        <v>081 638 8494</v>
      </c>
      <c r="AA398" t="str">
        <f>IFERROR(__xludf.DUMMYFUNCTION("""COMPUTED_VALUE"""),"Sister")</f>
        <v>Sister</v>
      </c>
      <c r="AB398" t="str">
        <f>IFERROR(__xludf.DUMMYFUNCTION("""COMPUTED_VALUE"""),"varangkanas@airasia.com")</f>
        <v>varangkanas@airasia.com</v>
      </c>
    </row>
    <row r="399">
      <c r="A399">
        <f>IFERROR(__xludf.DUMMYFUNCTION("""COMPUTED_VALUE"""),1007210.0)</f>
        <v>1007210</v>
      </c>
      <c r="B399" t="str">
        <f>IFERROR(__xludf.DUMMYFUNCTION("""COMPUTED_VALUE"""),"Mr.")</f>
        <v>Mr.</v>
      </c>
      <c r="C399" t="str">
        <f>IFERROR(__xludf.DUMMYFUNCTION("""COMPUTED_VALUE"""),"Wongsakorn")</f>
        <v>Wongsakorn</v>
      </c>
      <c r="D399" t="str">
        <f>IFERROR(__xludf.DUMMYFUNCTION("""COMPUTED_VALUE"""),"Chalerm")</f>
        <v>Chalerm</v>
      </c>
      <c r="E399" t="str">
        <f>IFERROR(__xludf.DUMMYFUNCTION("""COMPUTED_VALUE"""),"Wongsakorn Chalerm")</f>
        <v>Wongsakorn Chalerm</v>
      </c>
      <c r="F399" t="str">
        <f>IFERROR(__xludf.DUMMYFUNCTION("""COMPUTED_VALUE"""),"นาย")</f>
        <v>นาย</v>
      </c>
      <c r="G399" t="str">
        <f>IFERROR(__xludf.DUMMYFUNCTION("""COMPUTED_VALUE"""),"วงศกร")</f>
        <v>วงศกร</v>
      </c>
      <c r="H399" t="str">
        <f>IFERROR(__xludf.DUMMYFUNCTION("""COMPUTED_VALUE"""),"เฉลิม")</f>
        <v>เฉลิม</v>
      </c>
      <c r="I399" t="str">
        <f>IFERROR(__xludf.DUMMYFUNCTION("""COMPUTED_VALUE"""),"วงศกร เฉลิม")</f>
        <v>วงศกร เฉลิม</v>
      </c>
      <c r="J399" t="str">
        <f>IFERROR(__xludf.DUMMYFUNCTION("""COMPUTED_VALUE"""),"ปอ")</f>
        <v>ปอ</v>
      </c>
      <c r="K399" t="str">
        <f>IFERROR(__xludf.DUMMYFUNCTION("""COMPUTED_VALUE"""),"Cabin Crew - HKT")</f>
        <v>Cabin Crew - HKT</v>
      </c>
      <c r="L399" t="str">
        <f>IFERROR(__xludf.DUMMYFUNCTION("""COMPUTED_VALUE"""),"HKT")</f>
        <v>HKT</v>
      </c>
      <c r="M399" s="145" t="str">
        <f>IFERROR(__xludf.DUMMYFUNCTION("""COMPUTED_VALUE"""),"Kor Home")</f>
        <v>Kor Home</v>
      </c>
      <c r="N399" t="str">
        <f>IFERROR(__xludf.DUMMYFUNCTION("""COMPUTED_VALUE"""),"Active")</f>
        <v>Active</v>
      </c>
      <c r="P399" s="143">
        <f>IFERROR(__xludf.DUMMYFUNCTION("""COMPUTED_VALUE"""),31500.0)</f>
        <v>31500</v>
      </c>
      <c r="Q399" s="146">
        <f>IFERROR(__xludf.DUMMYFUNCTION("""COMPUTED_VALUE"""),9.69287915E8)</f>
        <v>969287915</v>
      </c>
      <c r="R399" s="147">
        <f>IFERROR(__xludf.DUMMYFUNCTION("""COMPUTED_VALUE"""),1.101499112553E12)</f>
        <v>1101499112553</v>
      </c>
      <c r="S399" t="str">
        <f>IFERROR(__xludf.DUMMYFUNCTION("""COMPUTED_VALUE"""),"AD1197505")</f>
        <v>AD1197505</v>
      </c>
      <c r="T399" s="148">
        <f>IFERROR(__xludf.DUMMYFUNCTION("""COMPUTED_VALUE"""),45320.0)</f>
        <v>45320</v>
      </c>
      <c r="U399" s="148">
        <f>IFERROR(__xludf.DUMMYFUNCTION("""COMPUTED_VALUE"""),48972.0)</f>
        <v>48972</v>
      </c>
      <c r="V399" s="149">
        <f>IFERROR(__xludf.DUMMYFUNCTION("""COMPUTED_VALUE"""),48788.0)</f>
        <v>48788</v>
      </c>
      <c r="W399" t="str">
        <f>IFERROR(__xludf.DUMMYFUNCTION("""COMPUTED_VALUE"""),"ปลอดภัย")</f>
        <v>ปลอดภัย</v>
      </c>
      <c r="X399" t="str">
        <f>IFERROR(__xludf.DUMMYFUNCTION("""COMPUTED_VALUE"""),"Bangkok")</f>
        <v>Bangkok</v>
      </c>
      <c r="Y399" t="str">
        <f>IFERROR(__xludf.DUMMYFUNCTION("""COMPUTED_VALUE"""),"Chasengsao")</f>
        <v>Chasengsao</v>
      </c>
      <c r="Z399" t="str">
        <f>IFERROR(__xludf.DUMMYFUNCTION("""COMPUTED_VALUE"""),"038 516 084 / 081 577 1315")</f>
        <v>038 516 084 / 081 577 1315</v>
      </c>
      <c r="AA399" t="str">
        <f>IFERROR(__xludf.DUMMYFUNCTION("""COMPUTED_VALUE"""),"Home / Mother")</f>
        <v>Home / Mother</v>
      </c>
      <c r="AB399" t="str">
        <f>IFERROR(__xludf.DUMMYFUNCTION("""COMPUTED_VALUE"""),"wongsakornh@airasia.com")</f>
        <v>wongsakornh@airasia.com</v>
      </c>
    </row>
    <row r="400">
      <c r="AB400" t="str">
        <f>IFERROR(__xludf.DUMMYFUNCTION("""COMPUTED_VALUE"""),"")</f>
        <v/>
      </c>
    </row>
    <row r="401">
      <c r="A401">
        <f>IFERROR(__xludf.DUMMYFUNCTION("""COMPUTED_VALUE"""),1001273.0)</f>
        <v>1001273</v>
      </c>
      <c r="B401" t="str">
        <f>IFERROR(__xludf.DUMMYFUNCTION("""COMPUTED_VALUE"""),"Ms.")</f>
        <v>Ms.</v>
      </c>
      <c r="C401" t="str">
        <f>IFERROR(__xludf.DUMMYFUNCTION("""COMPUTED_VALUE"""),"Chidchanok")</f>
        <v>Chidchanok</v>
      </c>
      <c r="D401" t="str">
        <f>IFERROR(__xludf.DUMMYFUNCTION("""COMPUTED_VALUE"""),"Seesorn")</f>
        <v>Seesorn</v>
      </c>
      <c r="E401" t="str">
        <f>IFERROR(__xludf.DUMMYFUNCTION("""COMPUTED_VALUE"""),"Chidchanok Seesorn")</f>
        <v>Chidchanok Seesorn</v>
      </c>
      <c r="F401" t="str">
        <f>IFERROR(__xludf.DUMMYFUNCTION("""COMPUTED_VALUE"""),"นางสาว")</f>
        <v>นางสาว</v>
      </c>
      <c r="G401" t="str">
        <f>IFERROR(__xludf.DUMMYFUNCTION("""COMPUTED_VALUE"""),"ชิดชนก")</f>
        <v>ชิดชนก</v>
      </c>
      <c r="H401" t="str">
        <f>IFERROR(__xludf.DUMMYFUNCTION("""COMPUTED_VALUE"""),"สีสอน")</f>
        <v>สีสอน</v>
      </c>
      <c r="I401" t="str">
        <f>IFERROR(__xludf.DUMMYFUNCTION("""COMPUTED_VALUE"""),"ชิดชนก สีสอน")</f>
        <v>ชิดชนก สีสอน</v>
      </c>
      <c r="J401" t="str">
        <f>IFERROR(__xludf.DUMMYFUNCTION("""COMPUTED_VALUE"""),"Kook")</f>
        <v>Kook</v>
      </c>
      <c r="K401" t="str">
        <f>IFERROR(__xludf.DUMMYFUNCTION("""COMPUTED_VALUE"""),"Cabin Crew")</f>
        <v>Cabin Crew</v>
      </c>
      <c r="L401" t="str">
        <f>IFERROR(__xludf.DUMMYFUNCTION("""COMPUTED_VALUE"""),"DMK")</f>
        <v>DMK</v>
      </c>
      <c r="M401" s="145" t="str">
        <f>IFERROR(__xludf.DUMMYFUNCTION("""COMPUTED_VALUE"""),"Namfon Home")</f>
        <v>Namfon Home</v>
      </c>
      <c r="N401" t="str">
        <f>IFERROR(__xludf.DUMMYFUNCTION("""COMPUTED_VALUE"""),"Active")</f>
        <v>Active</v>
      </c>
      <c r="P401" s="143">
        <f>IFERROR(__xludf.DUMMYFUNCTION("""COMPUTED_VALUE"""),30744.0)</f>
        <v>30744</v>
      </c>
      <c r="Q401" s="146" t="str">
        <f>IFERROR(__xludf.DUMMYFUNCTION("""COMPUTED_VALUE"""),"081 648 8543")</f>
        <v>081 648 8543</v>
      </c>
      <c r="R401" s="147">
        <f>IFERROR(__xludf.DUMMYFUNCTION("""COMPUTED_VALUE"""),1.101400053274E12)</f>
        <v>1101400053274</v>
      </c>
      <c r="S401" t="str">
        <f>IFERROR(__xludf.DUMMYFUNCTION("""COMPUTED_VALUE"""),"AC8237674")</f>
        <v>AC8237674</v>
      </c>
      <c r="T401" s="148">
        <f>IFERROR(__xludf.DUMMYFUNCTION("""COMPUTED_VALUE"""),45741.0)</f>
        <v>45741</v>
      </c>
      <c r="U401" s="148">
        <f>IFERROR(__xludf.DUMMYFUNCTION("""COMPUTED_VALUE"""),47566.0)</f>
        <v>47566</v>
      </c>
      <c r="V401" s="149">
        <f>IFERROR(__xludf.DUMMYFUNCTION("""COMPUTED_VALUE"""),47385.0)</f>
        <v>47385</v>
      </c>
      <c r="W401" t="str">
        <f>IFERROR(__xludf.DUMMYFUNCTION("""COMPUTED_VALUE"""),"ปลอดภัย")</f>
        <v>ปลอดภัย</v>
      </c>
      <c r="X401" t="str">
        <f>IFERROR(__xludf.DUMMYFUNCTION("""COMPUTED_VALUE"""),"Bangkok")</f>
        <v>Bangkok</v>
      </c>
      <c r="Y401" t="str">
        <f>IFERROR(__xludf.DUMMYFUNCTION("""COMPUTED_VALUE"""),"Klongkum")</f>
        <v>Klongkum</v>
      </c>
      <c r="Z401" t="str">
        <f>IFERROR(__xludf.DUMMYFUNCTION("""COMPUTED_VALUE"""),"02 509 4515 / 082 357 1499")</f>
        <v>02 509 4515 / 082 357 1499</v>
      </c>
      <c r="AA401" t="str">
        <f>IFERROR(__xludf.DUMMYFUNCTION("""COMPUTED_VALUE"""),"Home / Mother")</f>
        <v>Home / Mother</v>
      </c>
      <c r="AB401" t="str">
        <f>IFERROR(__xludf.DUMMYFUNCTION("""COMPUTED_VALUE"""),"chidchanoks@airasia.com")</f>
        <v>chidchanoks@airasia.com</v>
      </c>
    </row>
    <row r="402">
      <c r="A402">
        <f>IFERROR(__xludf.DUMMYFUNCTION("""COMPUTED_VALUE"""),1003135.0)</f>
        <v>1003135</v>
      </c>
      <c r="B402" t="str">
        <f>IFERROR(__xludf.DUMMYFUNCTION("""COMPUTED_VALUE"""),"Mrs.")</f>
        <v>Mrs.</v>
      </c>
      <c r="C402" t="str">
        <f>IFERROR(__xludf.DUMMYFUNCTION("""COMPUTED_VALUE"""),"Kantina")</f>
        <v>Kantina</v>
      </c>
      <c r="D402" t="str">
        <f>IFERROR(__xludf.DUMMYFUNCTION("""COMPUTED_VALUE"""),"Dittapan (O-Kela)")</f>
        <v>Dittapan (O-Kela)</v>
      </c>
      <c r="E402" t="str">
        <f>IFERROR(__xludf.DUMMYFUNCTION("""COMPUTED_VALUE"""),"Kantina Dittapan")</f>
        <v>Kantina Dittapan</v>
      </c>
      <c r="F402" t="str">
        <f>IFERROR(__xludf.DUMMYFUNCTION("""COMPUTED_VALUE"""),"นาง")</f>
        <v>นาง</v>
      </c>
      <c r="G402" t="str">
        <f>IFERROR(__xludf.DUMMYFUNCTION("""COMPUTED_VALUE"""),"กานตินา")</f>
        <v>กานตินา</v>
      </c>
      <c r="H402" t="str">
        <f>IFERROR(__xludf.DUMMYFUNCTION("""COMPUTED_VALUE"""),"ดิษฐปาน (โอเคลา)")</f>
        <v>ดิษฐปาน (โอเคลา)</v>
      </c>
      <c r="I402" t="str">
        <f>IFERROR(__xludf.DUMMYFUNCTION("""COMPUTED_VALUE"""),"กานตินา ดิษฐปาน")</f>
        <v>กานตินา ดิษฐปาน</v>
      </c>
      <c r="J402" t="str">
        <f>IFERROR(__xludf.DUMMYFUNCTION("""COMPUTED_VALUE"""),"Joy")</f>
        <v>Joy</v>
      </c>
      <c r="K402" t="str">
        <f>IFERROR(__xludf.DUMMYFUNCTION("""COMPUTED_VALUE"""),"Cabin Crew")</f>
        <v>Cabin Crew</v>
      </c>
      <c r="L402" t="str">
        <f>IFERROR(__xludf.DUMMYFUNCTION("""COMPUTED_VALUE"""),"DMK")</f>
        <v>DMK</v>
      </c>
      <c r="M402" s="145" t="str">
        <f>IFERROR(__xludf.DUMMYFUNCTION("""COMPUTED_VALUE"""),"Namfon Home")</f>
        <v>Namfon Home</v>
      </c>
      <c r="N402" t="str">
        <f>IFERROR(__xludf.DUMMYFUNCTION("""COMPUTED_VALUE"""),"Active")</f>
        <v>Active</v>
      </c>
      <c r="P402" s="143">
        <f>IFERROR(__xludf.DUMMYFUNCTION("""COMPUTED_VALUE"""),30820.0)</f>
        <v>30820</v>
      </c>
      <c r="Q402" s="146" t="str">
        <f>IFERROR(__xludf.DUMMYFUNCTION("""COMPUTED_VALUE"""),"086 745 2182")</f>
        <v>086 745 2182</v>
      </c>
      <c r="R402" s="147">
        <f>IFERROR(__xludf.DUMMYFUNCTION("""COMPUTED_VALUE"""),1.909900016076E12)</f>
        <v>1909900016076</v>
      </c>
      <c r="S402" t="str">
        <f>IFERROR(__xludf.DUMMYFUNCTION("""COMPUTED_VALUE"""),"AC5144579")</f>
        <v>AC5144579</v>
      </c>
      <c r="T402" s="148">
        <f>IFERROR(__xludf.DUMMYFUNCTION("""COMPUTED_VALUE"""),45097.0)</f>
        <v>45097</v>
      </c>
      <c r="U402" s="148">
        <f>IFERROR(__xludf.DUMMYFUNCTION("""COMPUTED_VALUE"""),48749.0)</f>
        <v>48749</v>
      </c>
      <c r="V402" s="149">
        <f>IFERROR(__xludf.DUMMYFUNCTION("""COMPUTED_VALUE"""),48567.0)</f>
        <v>48567</v>
      </c>
      <c r="W402" t="str">
        <f>IFERROR(__xludf.DUMMYFUNCTION("""COMPUTED_VALUE"""),"ปลอดภัย")</f>
        <v>ปลอดภัย</v>
      </c>
      <c r="X402" t="str">
        <f>IFERROR(__xludf.DUMMYFUNCTION("""COMPUTED_VALUE"""),"Songkhla Province")</f>
        <v>Songkhla Province</v>
      </c>
      <c r="Y402" t="str">
        <f>IFERROR(__xludf.DUMMYFUNCTION("""COMPUTED_VALUE"""),"Suratthani")</f>
        <v>Suratthani</v>
      </c>
      <c r="Z402" t="str">
        <f>IFERROR(__xludf.DUMMYFUNCTION("""COMPUTED_VALUE"""),"091 575 5987")</f>
        <v>091 575 5987</v>
      </c>
      <c r="AA402" t="str">
        <f>IFERROR(__xludf.DUMMYFUNCTION("""COMPUTED_VALUE"""),"Father")</f>
        <v>Father</v>
      </c>
      <c r="AB402" t="str">
        <f>IFERROR(__xludf.DUMMYFUNCTION("""COMPUTED_VALUE"""),"kantinad@airasia.com")</f>
        <v>kantinad@airasia.com</v>
      </c>
    </row>
    <row r="403">
      <c r="A403">
        <f>IFERROR(__xludf.DUMMYFUNCTION("""COMPUTED_VALUE"""),1003418.0)</f>
        <v>1003418</v>
      </c>
      <c r="B403" t="str">
        <f>IFERROR(__xludf.DUMMYFUNCTION("""COMPUTED_VALUE"""),"Mr.")</f>
        <v>Mr.</v>
      </c>
      <c r="C403" t="str">
        <f>IFERROR(__xludf.DUMMYFUNCTION("""COMPUTED_VALUE"""),"Chiravitch")</f>
        <v>Chiravitch</v>
      </c>
      <c r="D403" t="str">
        <f>IFERROR(__xludf.DUMMYFUNCTION("""COMPUTED_VALUE"""),"Kittiphongsathaporn")</f>
        <v>Kittiphongsathaporn</v>
      </c>
      <c r="E403" t="str">
        <f>IFERROR(__xludf.DUMMYFUNCTION("""COMPUTED_VALUE"""),"Chiravitch Kittiphongsathaporn")</f>
        <v>Chiravitch Kittiphongsathaporn</v>
      </c>
      <c r="F403" t="str">
        <f>IFERROR(__xludf.DUMMYFUNCTION("""COMPUTED_VALUE"""),"นาย")</f>
        <v>นาย</v>
      </c>
      <c r="G403" t="str">
        <f>IFERROR(__xludf.DUMMYFUNCTION("""COMPUTED_VALUE"""),"จิรวิชญ์")</f>
        <v>จิรวิชญ์</v>
      </c>
      <c r="H403" t="str">
        <f>IFERROR(__xludf.DUMMYFUNCTION("""COMPUTED_VALUE"""),"กิตติพงศ์สถาพร")</f>
        <v>กิตติพงศ์สถาพร</v>
      </c>
      <c r="I403" t="str">
        <f>IFERROR(__xludf.DUMMYFUNCTION("""COMPUTED_VALUE"""),"จิรวิชญ์ กิตติพงศ์สถาพร")</f>
        <v>จิรวิชญ์ กิตติพงศ์สถาพร</v>
      </c>
      <c r="J403" t="str">
        <f>IFERROR(__xludf.DUMMYFUNCTION("""COMPUTED_VALUE"""),"กอล์ฟ")</f>
        <v>กอล์ฟ</v>
      </c>
      <c r="K403" t="str">
        <f>IFERROR(__xludf.DUMMYFUNCTION("""COMPUTED_VALUE"""),"Senior Cabin Crew")</f>
        <v>Senior Cabin Crew</v>
      </c>
      <c r="L403" t="str">
        <f>IFERROR(__xludf.DUMMYFUNCTION("""COMPUTED_VALUE"""),"DMK")</f>
        <v>DMK</v>
      </c>
      <c r="M403" s="145" t="str">
        <f>IFERROR(__xludf.DUMMYFUNCTION("""COMPUTED_VALUE"""),"Namfon Home")</f>
        <v>Namfon Home</v>
      </c>
      <c r="N403" t="str">
        <f>IFERROR(__xludf.DUMMYFUNCTION("""COMPUTED_VALUE"""),"Active")</f>
        <v>Active</v>
      </c>
      <c r="P403" s="143">
        <f>IFERROR(__xludf.DUMMYFUNCTION("""COMPUTED_VALUE"""),31792.0)</f>
        <v>31792</v>
      </c>
      <c r="Q403" s="146" t="str">
        <f>IFERROR(__xludf.DUMMYFUNCTION("""COMPUTED_VALUE"""),"094 924 5156")</f>
        <v>094 924 5156</v>
      </c>
      <c r="R403" s="147">
        <f>IFERROR(__xludf.DUMMYFUNCTION("""COMPUTED_VALUE"""),1.1008003197E12)</f>
        <v>1100800319700</v>
      </c>
      <c r="S403" t="str">
        <f>IFERROR(__xludf.DUMMYFUNCTION("""COMPUTED_VALUE"""),"AC4359715")</f>
        <v>AC4359715</v>
      </c>
      <c r="T403" s="148">
        <f>IFERROR(__xludf.DUMMYFUNCTION("""COMPUTED_VALUE"""),44936.0)</f>
        <v>44936</v>
      </c>
      <c r="U403" s="148">
        <f>IFERROR(__xludf.DUMMYFUNCTION("""COMPUTED_VALUE"""),48588.0)</f>
        <v>48588</v>
      </c>
      <c r="V403" s="149">
        <f>IFERROR(__xludf.DUMMYFUNCTION("""COMPUTED_VALUE"""),48404.0)</f>
        <v>48404</v>
      </c>
      <c r="W403" t="str">
        <f>IFERROR(__xludf.DUMMYFUNCTION("""COMPUTED_VALUE"""),"ปลอดภัย")</f>
        <v>ปลอดภัย</v>
      </c>
      <c r="X403" t="str">
        <f>IFERROR(__xludf.DUMMYFUNCTION("""COMPUTED_VALUE"""),"Bangkok")</f>
        <v>Bangkok</v>
      </c>
      <c r="Y403" t="str">
        <f>IFERROR(__xludf.DUMMYFUNCTION("""COMPUTED_VALUE"""),"Samutprakarn")</f>
        <v>Samutprakarn</v>
      </c>
      <c r="Z403" t="str">
        <f>IFERROR(__xludf.DUMMYFUNCTION("""COMPUTED_VALUE"""),"02 756 1746 / 087 700 4032")</f>
        <v>02 756 1746 / 087 700 4032</v>
      </c>
      <c r="AA403" t="str">
        <f>IFERROR(__xludf.DUMMYFUNCTION("""COMPUTED_VALUE"""),"Home / Mother")</f>
        <v>Home / Mother</v>
      </c>
      <c r="AB403" t="str">
        <f>IFERROR(__xludf.DUMMYFUNCTION("""COMPUTED_VALUE"""),"chiravitchk@airasia.com")</f>
        <v>chiravitchk@airasia.com</v>
      </c>
    </row>
    <row r="404">
      <c r="A404">
        <f>IFERROR(__xludf.DUMMYFUNCTION("""COMPUTED_VALUE"""),1003420.0)</f>
        <v>1003420</v>
      </c>
      <c r="B404" t="str">
        <f>IFERROR(__xludf.DUMMYFUNCTION("""COMPUTED_VALUE"""),"Mrs.")</f>
        <v>Mrs.</v>
      </c>
      <c r="C404" t="str">
        <f>IFERROR(__xludf.DUMMYFUNCTION("""COMPUTED_VALUE"""),"Kewalin")</f>
        <v>Kewalin</v>
      </c>
      <c r="D404" t="str">
        <f>IFERROR(__xludf.DUMMYFUNCTION("""COMPUTED_VALUE"""),"Leksuksomboon (Chobthum)")</f>
        <v>Leksuksomboon (Chobthum)</v>
      </c>
      <c r="E404" t="str">
        <f>IFERROR(__xludf.DUMMYFUNCTION("""COMPUTED_VALUE"""),"Kewalin Leksuksomboon")</f>
        <v>Kewalin Leksuksomboon</v>
      </c>
      <c r="F404" t="str">
        <f>IFERROR(__xludf.DUMMYFUNCTION("""COMPUTED_VALUE"""),"นาง")</f>
        <v>นาง</v>
      </c>
      <c r="G404" t="str">
        <f>IFERROR(__xludf.DUMMYFUNCTION("""COMPUTED_VALUE"""),"เกวลิน")</f>
        <v>เกวลิน</v>
      </c>
      <c r="H404" t="str">
        <f>IFERROR(__xludf.DUMMYFUNCTION("""COMPUTED_VALUE"""),"เล็กสุขสมบูรณ์ (ชอบธรรม)")</f>
        <v>เล็กสุขสมบูรณ์ (ชอบธรรม)</v>
      </c>
      <c r="I404" t="str">
        <f>IFERROR(__xludf.DUMMYFUNCTION("""COMPUTED_VALUE"""),"เกวลิน เล็กสุขสมบูรณ์")</f>
        <v>เกวลิน เล็กสุขสมบูรณ์</v>
      </c>
      <c r="J404" t="str">
        <f>IFERROR(__xludf.DUMMYFUNCTION("""COMPUTED_VALUE"""),"เค้ก")</f>
        <v>เค้ก</v>
      </c>
      <c r="K404" t="str">
        <f>IFERROR(__xludf.DUMMYFUNCTION("""COMPUTED_VALUE"""),"Cabin Crew")</f>
        <v>Cabin Crew</v>
      </c>
      <c r="L404" t="str">
        <f>IFERROR(__xludf.DUMMYFUNCTION("""COMPUTED_VALUE"""),"DMK")</f>
        <v>DMK</v>
      </c>
      <c r="M404" s="145" t="str">
        <f>IFERROR(__xludf.DUMMYFUNCTION("""COMPUTED_VALUE"""),"Toffy Home")</f>
        <v>Toffy Home</v>
      </c>
      <c r="N404" t="str">
        <f>IFERROR(__xludf.DUMMYFUNCTION("""COMPUTED_VALUE"""),"Active")</f>
        <v>Active</v>
      </c>
      <c r="P404" s="143">
        <f>IFERROR(__xludf.DUMMYFUNCTION("""COMPUTED_VALUE"""),31762.0)</f>
        <v>31762</v>
      </c>
      <c r="Q404" s="146" t="str">
        <f>IFERROR(__xludf.DUMMYFUNCTION("""COMPUTED_VALUE"""),"088 245 4926")</f>
        <v>088 245 4926</v>
      </c>
      <c r="R404" s="147">
        <f>IFERROR(__xludf.DUMMYFUNCTION("""COMPUTED_VALUE"""),1.559900096006E12)</f>
        <v>1559900096006</v>
      </c>
      <c r="S404" t="str">
        <f>IFERROR(__xludf.DUMMYFUNCTION("""COMPUTED_VALUE"""),"AD0394959")</f>
        <v>AD0394959</v>
      </c>
      <c r="T404" s="148">
        <f>IFERROR(__xludf.DUMMYFUNCTION("""COMPUTED_VALUE"""),45244.0)</f>
        <v>45244</v>
      </c>
      <c r="U404" s="148">
        <f>IFERROR(__xludf.DUMMYFUNCTION("""COMPUTED_VALUE"""),48531.0)</f>
        <v>48531</v>
      </c>
      <c r="V404" s="149">
        <f>IFERROR(__xludf.DUMMYFUNCTION("""COMPUTED_VALUE"""),48347.0)</f>
        <v>48347</v>
      </c>
      <c r="W404" t="str">
        <f>IFERROR(__xludf.DUMMYFUNCTION("""COMPUTED_VALUE"""),"ปลอดภัย")</f>
        <v>ปลอดภัย</v>
      </c>
      <c r="X404" t="str">
        <f>IFERROR(__xludf.DUMMYFUNCTION("""COMPUTED_VALUE"""),"Nan Province")</f>
        <v>Nan Province</v>
      </c>
      <c r="Y404" t="str">
        <f>IFERROR(__xludf.DUMMYFUNCTION("""COMPUTED_VALUE"""),"Jatuchak")</f>
        <v>Jatuchak</v>
      </c>
      <c r="Z404" t="str">
        <f>IFERROR(__xludf.DUMMYFUNCTION("""COMPUTED_VALUE"""),"086 617 8554")</f>
        <v>086 617 8554</v>
      </c>
      <c r="AA404" t="str">
        <f>IFERROR(__xludf.DUMMYFUNCTION("""COMPUTED_VALUE"""),"Father")</f>
        <v>Father</v>
      </c>
      <c r="AB404" t="str">
        <f>IFERROR(__xludf.DUMMYFUNCTION("""COMPUTED_VALUE"""),"kewalinl@airasia.com")</f>
        <v>kewalinl@airasia.com</v>
      </c>
    </row>
    <row r="405">
      <c r="A405">
        <f>IFERROR(__xludf.DUMMYFUNCTION("""COMPUTED_VALUE"""),1004292.0)</f>
        <v>1004292</v>
      </c>
      <c r="B405" t="str">
        <f>IFERROR(__xludf.DUMMYFUNCTION("""COMPUTED_VALUE"""),"Ms.")</f>
        <v>Ms.</v>
      </c>
      <c r="C405" t="str">
        <f>IFERROR(__xludf.DUMMYFUNCTION("""COMPUTED_VALUE"""),"Darunee")</f>
        <v>Darunee</v>
      </c>
      <c r="D405" t="str">
        <f>IFERROR(__xludf.DUMMYFUNCTION("""COMPUTED_VALUE"""),"Anumat")</f>
        <v>Anumat</v>
      </c>
      <c r="E405" t="str">
        <f>IFERROR(__xludf.DUMMYFUNCTION("""COMPUTED_VALUE"""),"Darunee Anumat")</f>
        <v>Darunee Anumat</v>
      </c>
      <c r="F405" t="str">
        <f>IFERROR(__xludf.DUMMYFUNCTION("""COMPUTED_VALUE"""),"นางสาว")</f>
        <v>นางสาว</v>
      </c>
      <c r="G405" t="str">
        <f>IFERROR(__xludf.DUMMYFUNCTION("""COMPUTED_VALUE"""),"ดารุณี")</f>
        <v>ดารุณี</v>
      </c>
      <c r="H405" t="str">
        <f>IFERROR(__xludf.DUMMYFUNCTION("""COMPUTED_VALUE"""),"อนุมาศ")</f>
        <v>อนุมาศ</v>
      </c>
      <c r="I405" t="str">
        <f>IFERROR(__xludf.DUMMYFUNCTION("""COMPUTED_VALUE"""),"ดารุณี อนุมาศ")</f>
        <v>ดารุณี อนุมาศ</v>
      </c>
      <c r="J405" t="str">
        <f>IFERROR(__xludf.DUMMYFUNCTION("""COMPUTED_VALUE"""),"Dana")</f>
        <v>Dana</v>
      </c>
      <c r="K405" t="str">
        <f>IFERROR(__xludf.DUMMYFUNCTION("""COMPUTED_VALUE"""),"Cabin Crew")</f>
        <v>Cabin Crew</v>
      </c>
      <c r="L405" t="str">
        <f>IFERROR(__xludf.DUMMYFUNCTION("""COMPUTED_VALUE"""),"DMK")</f>
        <v>DMK</v>
      </c>
      <c r="M405" s="145" t="str">
        <f>IFERROR(__xludf.DUMMYFUNCTION("""COMPUTED_VALUE"""),"Por+ Home")</f>
        <v>Por+ Home</v>
      </c>
      <c r="N405" t="str">
        <f>IFERROR(__xludf.DUMMYFUNCTION("""COMPUTED_VALUE"""),"Active")</f>
        <v>Active</v>
      </c>
      <c r="P405" s="143">
        <f>IFERROR(__xludf.DUMMYFUNCTION("""COMPUTED_VALUE"""),31434.0)</f>
        <v>31434</v>
      </c>
      <c r="Q405" s="146" t="str">
        <f>IFERROR(__xludf.DUMMYFUNCTION("""COMPUTED_VALUE"""),"083 231 2582")</f>
        <v>083 231 2582</v>
      </c>
      <c r="R405" s="147">
        <f>IFERROR(__xludf.DUMMYFUNCTION("""COMPUTED_VALUE"""),1.841600022643E12)</f>
        <v>1841600022643</v>
      </c>
      <c r="S405" t="str">
        <f>IFERROR(__xludf.DUMMYFUNCTION("""COMPUTED_VALUE"""),"AC2341425")</f>
        <v>AC2341425</v>
      </c>
      <c r="T405" s="148">
        <f>IFERROR(__xludf.DUMMYFUNCTION("""COMPUTED_VALUE"""),44382.0)</f>
        <v>44382</v>
      </c>
      <c r="U405" s="148">
        <f>IFERROR(__xludf.DUMMYFUNCTION("""COMPUTED_VALUE"""),48033.0)</f>
        <v>48033</v>
      </c>
      <c r="V405" s="149">
        <f>IFERROR(__xludf.DUMMYFUNCTION("""COMPUTED_VALUE"""),47852.0)</f>
        <v>47852</v>
      </c>
      <c r="W405" t="str">
        <f>IFERROR(__xludf.DUMMYFUNCTION("""COMPUTED_VALUE"""),"ปลอดภัย")</f>
        <v>ปลอดภัย</v>
      </c>
      <c r="X405" t="str">
        <f>IFERROR(__xludf.DUMMYFUNCTION("""COMPUTED_VALUE"""),"Surat Thani Province")</f>
        <v>Surat Thani Province</v>
      </c>
      <c r="Y405" t="str">
        <f>IFERROR(__xludf.DUMMYFUNCTION("""COMPUTED_VALUE"""),"Suratthani")</f>
        <v>Suratthani</v>
      </c>
      <c r="Z405" t="str">
        <f>IFERROR(__xludf.DUMMYFUNCTION("""COMPUTED_VALUE"""),"087 894 2902")</f>
        <v>087 894 2902</v>
      </c>
      <c r="AA405" t="str">
        <f>IFERROR(__xludf.DUMMYFUNCTION("""COMPUTED_VALUE"""),"Relative")</f>
        <v>Relative</v>
      </c>
      <c r="AB405" t="str">
        <f>IFERROR(__xludf.DUMMYFUNCTION("""COMPUTED_VALUE"""),"daruneea@airasia.com")</f>
        <v>daruneea@airasia.com</v>
      </c>
    </row>
    <row r="406">
      <c r="A406">
        <f>IFERROR(__xludf.DUMMYFUNCTION("""COMPUTED_VALUE"""),1004375.0)</f>
        <v>1004375</v>
      </c>
      <c r="B406" t="str">
        <f>IFERROR(__xludf.DUMMYFUNCTION("""COMPUTED_VALUE"""),"Ms.")</f>
        <v>Ms.</v>
      </c>
      <c r="C406" t="str">
        <f>IFERROR(__xludf.DUMMYFUNCTION("""COMPUTED_VALUE"""),"Arpakorn")</f>
        <v>Arpakorn</v>
      </c>
      <c r="D406" t="str">
        <f>IFERROR(__xludf.DUMMYFUNCTION("""COMPUTED_VALUE"""),"Kultangwattana (Suksaeng)")</f>
        <v>Kultangwattana (Suksaeng)</v>
      </c>
      <c r="E406" t="str">
        <f>IFERROR(__xludf.DUMMYFUNCTION("""COMPUTED_VALUE"""),"Arpakorn Kultangwattana")</f>
        <v>Arpakorn Kultangwattana</v>
      </c>
      <c r="F406" t="str">
        <f>IFERROR(__xludf.DUMMYFUNCTION("""COMPUTED_VALUE"""),"นางสาว")</f>
        <v>นางสาว</v>
      </c>
      <c r="G406" t="str">
        <f>IFERROR(__xludf.DUMMYFUNCTION("""COMPUTED_VALUE"""),"อาภากร")</f>
        <v>อาภากร</v>
      </c>
      <c r="H406" t="str">
        <f>IFERROR(__xludf.DUMMYFUNCTION("""COMPUTED_VALUE"""),"กุลตังวัฒนา (สุขแสง)")</f>
        <v>กุลตังวัฒนา (สุขแสง)</v>
      </c>
      <c r="I406" t="str">
        <f>IFERROR(__xludf.DUMMYFUNCTION("""COMPUTED_VALUE"""),"อาภากร กุลตังวัฒนา")</f>
        <v>อาภากร กุลตังวัฒนา</v>
      </c>
      <c r="J406" t="str">
        <f>IFERROR(__xludf.DUMMYFUNCTION("""COMPUTED_VALUE"""),"Nune")</f>
        <v>Nune</v>
      </c>
      <c r="K406" t="str">
        <f>IFERROR(__xludf.DUMMYFUNCTION("""COMPUTED_VALUE"""),"Senior Cabin Crew")</f>
        <v>Senior Cabin Crew</v>
      </c>
      <c r="L406" t="str">
        <f>IFERROR(__xludf.DUMMYFUNCTION("""COMPUTED_VALUE"""),"DMK")</f>
        <v>DMK</v>
      </c>
      <c r="M406" s="145" t="str">
        <f>IFERROR(__xludf.DUMMYFUNCTION("""COMPUTED_VALUE"""),"Um Home")</f>
        <v>Um Home</v>
      </c>
      <c r="N406" t="str">
        <f>IFERROR(__xludf.DUMMYFUNCTION("""COMPUTED_VALUE"""),"Active")</f>
        <v>Active</v>
      </c>
      <c r="P406" s="143">
        <f>IFERROR(__xludf.DUMMYFUNCTION("""COMPUTED_VALUE"""),32229.0)</f>
        <v>32229</v>
      </c>
      <c r="Q406" s="146" t="str">
        <f>IFERROR(__xludf.DUMMYFUNCTION("""COMPUTED_VALUE"""),"089 666 2556")</f>
        <v>089 666 2556</v>
      </c>
      <c r="R406" s="147">
        <f>IFERROR(__xludf.DUMMYFUNCTION("""COMPUTED_VALUE"""),1.100800437176E12)</f>
        <v>1100800437176</v>
      </c>
      <c r="S406" t="str">
        <f>IFERROR(__xludf.DUMMYFUNCTION("""COMPUTED_VALUE"""),"AC2600807")</f>
        <v>AC2600807</v>
      </c>
      <c r="T406" s="148">
        <f>IFERROR(__xludf.DUMMYFUNCTION("""COMPUTED_VALUE"""),44532.0)</f>
        <v>44532</v>
      </c>
      <c r="U406" s="148">
        <f>IFERROR(__xludf.DUMMYFUNCTION("""COMPUTED_VALUE"""),48183.0)</f>
        <v>48183</v>
      </c>
      <c r="V406" s="149">
        <f>IFERROR(__xludf.DUMMYFUNCTION("""COMPUTED_VALUE"""),48000.0)</f>
        <v>48000</v>
      </c>
      <c r="W406" t="str">
        <f>IFERROR(__xludf.DUMMYFUNCTION("""COMPUTED_VALUE"""),"ปลอดภัย")</f>
        <v>ปลอดภัย</v>
      </c>
      <c r="X406" t="str">
        <f>IFERROR(__xludf.DUMMYFUNCTION("""COMPUTED_VALUE"""),"Bangkok")</f>
        <v>Bangkok</v>
      </c>
      <c r="Y406" t="str">
        <f>IFERROR(__xludf.DUMMYFUNCTION("""COMPUTED_VALUE"""),"Laksi")</f>
        <v>Laksi</v>
      </c>
      <c r="Z406" t="str">
        <f>IFERROR(__xludf.DUMMYFUNCTION("""COMPUTED_VALUE"""),"02 579 4697 / 089 767 5930")</f>
        <v>02 579 4697 / 089 767 5930</v>
      </c>
      <c r="AA406" t="str">
        <f>IFERROR(__xludf.DUMMYFUNCTION("""COMPUTED_VALUE"""),"Home / Mother")</f>
        <v>Home / Mother</v>
      </c>
      <c r="AB406" t="str">
        <f>IFERROR(__xludf.DUMMYFUNCTION("""COMPUTED_VALUE"""),"arpakornk@airasia.com")</f>
        <v>arpakornk@airasia.com</v>
      </c>
    </row>
    <row r="407">
      <c r="A407">
        <f>IFERROR(__xludf.DUMMYFUNCTION("""COMPUTED_VALUE"""),1007338.0)</f>
        <v>1007338</v>
      </c>
      <c r="B407" t="str">
        <f>IFERROR(__xludf.DUMMYFUNCTION("""COMPUTED_VALUE"""),"Mr.")</f>
        <v>Mr.</v>
      </c>
      <c r="C407" t="str">
        <f>IFERROR(__xludf.DUMMYFUNCTION("""COMPUTED_VALUE"""),"Chanawut")</f>
        <v>Chanawut</v>
      </c>
      <c r="D407" t="str">
        <f>IFERROR(__xludf.DUMMYFUNCTION("""COMPUTED_VALUE"""),"Nutakom")</f>
        <v>Nutakom</v>
      </c>
      <c r="E407" t="str">
        <f>IFERROR(__xludf.DUMMYFUNCTION("""COMPUTED_VALUE"""),"Chanawut Nutakom")</f>
        <v>Chanawut Nutakom</v>
      </c>
      <c r="F407" t="str">
        <f>IFERROR(__xludf.DUMMYFUNCTION("""COMPUTED_VALUE"""),"นาย")</f>
        <v>นาย</v>
      </c>
      <c r="G407" t="str">
        <f>IFERROR(__xludf.DUMMYFUNCTION("""COMPUTED_VALUE"""),"ชนาวุธ")</f>
        <v>ชนาวุธ</v>
      </c>
      <c r="H407" t="str">
        <f>IFERROR(__xludf.DUMMYFUNCTION("""COMPUTED_VALUE"""),"นุตคม")</f>
        <v>นุตคม</v>
      </c>
      <c r="I407" t="str">
        <f>IFERROR(__xludf.DUMMYFUNCTION("""COMPUTED_VALUE"""),"ชนาวุธ นุตคม")</f>
        <v>ชนาวุธ นุตคม</v>
      </c>
      <c r="J407" t="str">
        <f>IFERROR(__xludf.DUMMYFUNCTION("""COMPUTED_VALUE"""),"Bubb")</f>
        <v>Bubb</v>
      </c>
      <c r="K407" t="str">
        <f>IFERROR(__xludf.DUMMYFUNCTION("""COMPUTED_VALUE"""),"Cabin Crew - BKK")</f>
        <v>Cabin Crew - BKK</v>
      </c>
      <c r="L407" t="str">
        <f>IFERROR(__xludf.DUMMYFUNCTION("""COMPUTED_VALUE"""),"BKK")</f>
        <v>BKK</v>
      </c>
      <c r="M407" s="145" t="str">
        <f>IFERROR(__xludf.DUMMYFUNCTION("""COMPUTED_VALUE"""),"Nhui Home")</f>
        <v>Nhui Home</v>
      </c>
      <c r="N407" t="str">
        <f>IFERROR(__xludf.DUMMYFUNCTION("""COMPUTED_VALUE"""),"Active")</f>
        <v>Active</v>
      </c>
      <c r="P407" s="143">
        <f>IFERROR(__xludf.DUMMYFUNCTION("""COMPUTED_VALUE"""),31977.0)</f>
        <v>31977</v>
      </c>
      <c r="Q407" s="146" t="str">
        <f>IFERROR(__xludf.DUMMYFUNCTION("""COMPUTED_VALUE"""),"097-163-8951")</f>
        <v>097-163-8951</v>
      </c>
      <c r="R407" s="147">
        <f>IFERROR(__xludf.DUMMYFUNCTION("""COMPUTED_VALUE"""),1.101401038376E12)</f>
        <v>1101401038376</v>
      </c>
      <c r="S407" t="str">
        <f>IFERROR(__xludf.DUMMYFUNCTION("""COMPUTED_VALUE"""),"AC5000777")</f>
        <v>AC5000777</v>
      </c>
      <c r="T407" s="148">
        <f>IFERROR(__xludf.DUMMYFUNCTION("""COMPUTED_VALUE"""),45089.0)</f>
        <v>45089</v>
      </c>
      <c r="U407" s="148">
        <f>IFERROR(__xludf.DUMMYFUNCTION("""COMPUTED_VALUE"""),46915.0)</f>
        <v>46915</v>
      </c>
      <c r="V407" s="149">
        <f>IFERROR(__xludf.DUMMYFUNCTION("""COMPUTED_VALUE"""),46732.0)</f>
        <v>46732</v>
      </c>
      <c r="W407" t="str">
        <f>IFERROR(__xludf.DUMMYFUNCTION("""COMPUTED_VALUE"""),"ปลอดภัย")</f>
        <v>ปลอดภัย</v>
      </c>
      <c r="X407" t="str">
        <f>IFERROR(__xludf.DUMMYFUNCTION("""COMPUTED_VALUE"""),"Bangkok")</f>
        <v>Bangkok</v>
      </c>
      <c r="Y407" t="str">
        <f>IFERROR(__xludf.DUMMYFUNCTION("""COMPUTED_VALUE"""),"Huamakk")</f>
        <v>Huamakk</v>
      </c>
      <c r="AA407" t="str">
        <f>IFERROR(__xludf.DUMMYFUNCTION("""COMPUTED_VALUE"""),"-")</f>
        <v>-</v>
      </c>
      <c r="AB407" t="str">
        <f>IFERROR(__xludf.DUMMYFUNCTION("""COMPUTED_VALUE"""),"chanawutn@airasia.com")</f>
        <v>chanawutn@airasia.com</v>
      </c>
    </row>
    <row r="408">
      <c r="A408">
        <f>IFERROR(__xludf.DUMMYFUNCTION("""COMPUTED_VALUE"""),1007339.0)</f>
        <v>1007339</v>
      </c>
      <c r="B408" t="str">
        <f>IFERROR(__xludf.DUMMYFUNCTION("""COMPUTED_VALUE"""),"Ms.")</f>
        <v>Ms.</v>
      </c>
      <c r="C408" t="str">
        <f>IFERROR(__xludf.DUMMYFUNCTION("""COMPUTED_VALUE"""),"Chanicha")</f>
        <v>Chanicha</v>
      </c>
      <c r="D408" t="str">
        <f>IFERROR(__xludf.DUMMYFUNCTION("""COMPUTED_VALUE"""),"Songkrit")</f>
        <v>Songkrit</v>
      </c>
      <c r="E408" t="str">
        <f>IFERROR(__xludf.DUMMYFUNCTION("""COMPUTED_VALUE"""),"Chanicha Songkrit")</f>
        <v>Chanicha Songkrit</v>
      </c>
      <c r="F408" t="str">
        <f>IFERROR(__xludf.DUMMYFUNCTION("""COMPUTED_VALUE"""),"นางสาว")</f>
        <v>นางสาว</v>
      </c>
      <c r="G408" t="str">
        <f>IFERROR(__xludf.DUMMYFUNCTION("""COMPUTED_VALUE"""),"ฌณิฌา")</f>
        <v>ฌณิฌา</v>
      </c>
      <c r="H408" t="str">
        <f>IFERROR(__xludf.DUMMYFUNCTION("""COMPUTED_VALUE"""),"ทรงกฤษณ์")</f>
        <v>ทรงกฤษณ์</v>
      </c>
      <c r="I408" t="str">
        <f>IFERROR(__xludf.DUMMYFUNCTION("""COMPUTED_VALUE"""),"ฌณิฌา ทรงกฤษณ์")</f>
        <v>ฌณิฌา ทรงกฤษณ์</v>
      </c>
      <c r="J408" t="str">
        <f>IFERROR(__xludf.DUMMYFUNCTION("""COMPUTED_VALUE"""),"Oop-eip")</f>
        <v>Oop-eip</v>
      </c>
      <c r="K408" t="str">
        <f>IFERROR(__xludf.DUMMYFUNCTION("""COMPUTED_VALUE"""),"Cabin Crew")</f>
        <v>Cabin Crew</v>
      </c>
      <c r="L408" t="str">
        <f>IFERROR(__xludf.DUMMYFUNCTION("""COMPUTED_VALUE"""),"DMK")</f>
        <v>DMK</v>
      </c>
      <c r="M408" s="145" t="str">
        <f>IFERROR(__xludf.DUMMYFUNCTION("""COMPUTED_VALUE"""),"Um Home")</f>
        <v>Um Home</v>
      </c>
      <c r="N408" t="str">
        <f>IFERROR(__xludf.DUMMYFUNCTION("""COMPUTED_VALUE"""),"Active")</f>
        <v>Active</v>
      </c>
      <c r="P408" s="143">
        <f>IFERROR(__xludf.DUMMYFUNCTION("""COMPUTED_VALUE"""),32821.0)</f>
        <v>32821</v>
      </c>
      <c r="Q408" s="146" t="str">
        <f>IFERROR(__xludf.DUMMYFUNCTION("""COMPUTED_VALUE"""),"096 229 4565")</f>
        <v>096 229 4565</v>
      </c>
      <c r="R408" s="147">
        <f>IFERROR(__xludf.DUMMYFUNCTION("""COMPUTED_VALUE"""),1.309900538213E12)</f>
        <v>1309900538213</v>
      </c>
      <c r="S408" t="str">
        <f>IFERROR(__xludf.DUMMYFUNCTION("""COMPUTED_VALUE"""),"AC3589363")</f>
        <v>AC3589363</v>
      </c>
      <c r="T408" s="148">
        <f>IFERROR(__xludf.DUMMYFUNCTION("""COMPUTED_VALUE"""),44753.0)</f>
        <v>44753</v>
      </c>
      <c r="U408" s="148">
        <f>IFERROR(__xludf.DUMMYFUNCTION("""COMPUTED_VALUE"""),46578.0)</f>
        <v>46578</v>
      </c>
      <c r="V408" s="149">
        <f>IFERROR(__xludf.DUMMYFUNCTION("""COMPUTED_VALUE"""),46397.0)</f>
        <v>46397</v>
      </c>
      <c r="W408" t="str">
        <f>IFERROR(__xludf.DUMMYFUNCTION("""COMPUTED_VALUE"""),"ปลอดภัย")</f>
        <v>ปลอดภัย</v>
      </c>
      <c r="X408" t="str">
        <f>IFERROR(__xludf.DUMMYFUNCTION("""COMPUTED_VALUE"""),"Nakhon Ratchasima Province")</f>
        <v>Nakhon Ratchasima Province</v>
      </c>
      <c r="Y408" t="str">
        <f>IFERROR(__xludf.DUMMYFUNCTION("""COMPUTED_VALUE"""),"Pathumthani")</f>
        <v>Pathumthani</v>
      </c>
      <c r="Z408" t="str">
        <f>IFERROR(__xludf.DUMMYFUNCTION("""COMPUTED_VALUE"""),"02 956 8208 / 081 955 6540")</f>
        <v>02 956 8208 / 081 955 6540</v>
      </c>
      <c r="AA408" t="str">
        <f>IFERROR(__xludf.DUMMYFUNCTION("""COMPUTED_VALUE"""),"Home / Mother")</f>
        <v>Home / Mother</v>
      </c>
      <c r="AB408" t="str">
        <f>IFERROR(__xludf.DUMMYFUNCTION("""COMPUTED_VALUE"""),"chanichas@airasia.com")</f>
        <v>chanichas@airasia.com</v>
      </c>
    </row>
    <row r="409">
      <c r="A409">
        <f>IFERROR(__xludf.DUMMYFUNCTION("""COMPUTED_VALUE"""),1007340.0)</f>
        <v>1007340</v>
      </c>
      <c r="B409" t="str">
        <f>IFERROR(__xludf.DUMMYFUNCTION("""COMPUTED_VALUE"""),"Ms.")</f>
        <v>Ms.</v>
      </c>
      <c r="C409" t="str">
        <f>IFERROR(__xludf.DUMMYFUNCTION("""COMPUTED_VALUE"""),"Patpapada (Natwajee)")</f>
        <v>Patpapada (Natwajee)</v>
      </c>
      <c r="D409" t="str">
        <f>IFERROR(__xludf.DUMMYFUNCTION("""COMPUTED_VALUE"""),"Vadtanawat (Sawacaphan)")</f>
        <v>Vadtanawat (Sawacaphan)</v>
      </c>
      <c r="E409" t="str">
        <f>IFERROR(__xludf.DUMMYFUNCTION("""COMPUTED_VALUE"""),"Patpapada Vadtanawat")</f>
        <v>Patpapada Vadtanawat</v>
      </c>
      <c r="F409" t="str">
        <f>IFERROR(__xludf.DUMMYFUNCTION("""COMPUTED_VALUE"""),"นางสาว")</f>
        <v>นางสาว</v>
      </c>
      <c r="G409" t="str">
        <f>IFERROR(__xludf.DUMMYFUNCTION("""COMPUTED_VALUE"""),"พัชรปภาดา")</f>
        <v>พัชรปภาดา</v>
      </c>
      <c r="H409" t="str">
        <f>IFERROR(__xludf.DUMMYFUNCTION("""COMPUTED_VALUE"""),"วาสธนวรรธ")</f>
        <v>วาสธนวรรธ</v>
      </c>
      <c r="I409" t="str">
        <f>IFERROR(__xludf.DUMMYFUNCTION("""COMPUTED_VALUE"""),"พัชรปภาดา วาสธนวรรธ")</f>
        <v>พัชรปภาดา วาสธนวรรธ</v>
      </c>
      <c r="J409" t="str">
        <f>IFERROR(__xludf.DUMMYFUNCTION("""COMPUTED_VALUE"""),"แอน")</f>
        <v>แอน</v>
      </c>
      <c r="K409" t="str">
        <f>IFERROR(__xludf.DUMMYFUNCTION("""COMPUTED_VALUE"""),"Cabin Crew")</f>
        <v>Cabin Crew</v>
      </c>
      <c r="L409" t="str">
        <f>IFERROR(__xludf.DUMMYFUNCTION("""COMPUTED_VALUE"""),"DMK")</f>
        <v>DMK</v>
      </c>
      <c r="M409" s="145" t="str">
        <f>IFERROR(__xludf.DUMMYFUNCTION("""COMPUTED_VALUE"""),"Por+ Home")</f>
        <v>Por+ Home</v>
      </c>
      <c r="N409" t="str">
        <f>IFERROR(__xludf.DUMMYFUNCTION("""COMPUTED_VALUE"""),"Active")</f>
        <v>Active</v>
      </c>
      <c r="P409" s="143">
        <f>IFERROR(__xludf.DUMMYFUNCTION("""COMPUTED_VALUE"""),32098.0)</f>
        <v>32098</v>
      </c>
      <c r="Q409" s="146" t="str">
        <f>IFERROR(__xludf.DUMMYFUNCTION("""COMPUTED_VALUE"""),"094 924 4246")</f>
        <v>094 924 4246</v>
      </c>
      <c r="R409" s="147">
        <f>IFERROR(__xludf.DUMMYFUNCTION("""COMPUTED_VALUE"""),1.100500231939E12)</f>
        <v>1100500231939</v>
      </c>
      <c r="S409" t="str">
        <f>IFERROR(__xludf.DUMMYFUNCTION("""COMPUTED_VALUE"""),"AC2945456")</f>
        <v>AC2945456</v>
      </c>
      <c r="T409" s="148">
        <f>IFERROR(__xludf.DUMMYFUNCTION("""COMPUTED_VALUE"""),44636.0)</f>
        <v>44636</v>
      </c>
      <c r="U409" s="148">
        <f>IFERROR(__xludf.DUMMYFUNCTION("""COMPUTED_VALUE"""),48288.0)</f>
        <v>48288</v>
      </c>
      <c r="V409" s="149">
        <f>IFERROR(__xludf.DUMMYFUNCTION("""COMPUTED_VALUE"""),48106.0)</f>
        <v>48106</v>
      </c>
      <c r="W409" t="str">
        <f>IFERROR(__xludf.DUMMYFUNCTION("""COMPUTED_VALUE"""),"ปลอดภัย")</f>
        <v>ปลอดภัย</v>
      </c>
      <c r="X409" t="str">
        <f>IFERROR(__xludf.DUMMYFUNCTION("""COMPUTED_VALUE"""),"Bangkok")</f>
        <v>Bangkok</v>
      </c>
      <c r="Y409" t="str">
        <f>IFERROR(__xludf.DUMMYFUNCTION("""COMPUTED_VALUE"""),"Saimai")</f>
        <v>Saimai</v>
      </c>
      <c r="Z409" t="str">
        <f>IFERROR(__xludf.DUMMYFUNCTION("""COMPUTED_VALUE"""),"02 531 7154 / 081 914 3450")</f>
        <v>02 531 7154 / 081 914 3450</v>
      </c>
      <c r="AA409" t="str">
        <f>IFERROR(__xludf.DUMMYFUNCTION("""COMPUTED_VALUE"""),"Mother")</f>
        <v>Mother</v>
      </c>
      <c r="AB409" t="str">
        <f>IFERROR(__xludf.DUMMYFUNCTION("""COMPUTED_VALUE"""),"patpapadav@airasia.com")</f>
        <v>patpapadav@airasia.com</v>
      </c>
    </row>
    <row r="410">
      <c r="A410">
        <f>IFERROR(__xludf.DUMMYFUNCTION("""COMPUTED_VALUE"""),1007341.0)</f>
        <v>1007341</v>
      </c>
      <c r="B410" t="str">
        <f>IFERROR(__xludf.DUMMYFUNCTION("""COMPUTED_VALUE"""),"Mrs.")</f>
        <v>Mrs.</v>
      </c>
      <c r="C410" t="str">
        <f>IFERROR(__xludf.DUMMYFUNCTION("""COMPUTED_VALUE"""),"Phatrada")</f>
        <v>Phatrada</v>
      </c>
      <c r="D410" t="str">
        <f>IFERROR(__xludf.DUMMYFUNCTION("""COMPUTED_VALUE"""),"Treesuwan (Pumam)")</f>
        <v>Treesuwan (Pumam)</v>
      </c>
      <c r="E410" t="str">
        <f>IFERROR(__xludf.DUMMYFUNCTION("""COMPUTED_VALUE"""),"Phatrada Treesuwan")</f>
        <v>Phatrada Treesuwan</v>
      </c>
      <c r="F410" t="str">
        <f>IFERROR(__xludf.DUMMYFUNCTION("""COMPUTED_VALUE"""),"นางสาว")</f>
        <v>นางสาว</v>
      </c>
      <c r="G410" t="str">
        <f>IFERROR(__xludf.DUMMYFUNCTION("""COMPUTED_VALUE"""),"พัสตร์รดา")</f>
        <v>พัสตร์รดา</v>
      </c>
      <c r="H410" t="str">
        <f>IFERROR(__xludf.DUMMYFUNCTION("""COMPUTED_VALUE"""),"ตรีสุวรรณ (พุ่มอ่ำ)")</f>
        <v>ตรีสุวรรณ (พุ่มอ่ำ)</v>
      </c>
      <c r="I410" t="str">
        <f>IFERROR(__xludf.DUMMYFUNCTION("""COMPUTED_VALUE"""),"พัสตร์รดา ตรีสุวรรณ")</f>
        <v>พัสตร์รดา ตรีสุวรรณ</v>
      </c>
      <c r="J410" t="str">
        <f>IFERROR(__xludf.DUMMYFUNCTION("""COMPUTED_VALUE"""),"Mine")</f>
        <v>Mine</v>
      </c>
      <c r="K410" t="str">
        <f>IFERROR(__xludf.DUMMYFUNCTION("""COMPUTED_VALUE"""),"Cabin Crew")</f>
        <v>Cabin Crew</v>
      </c>
      <c r="L410" t="str">
        <f>IFERROR(__xludf.DUMMYFUNCTION("""COMPUTED_VALUE"""),"DMK")</f>
        <v>DMK</v>
      </c>
      <c r="M410" s="145" t="str">
        <f>IFERROR(__xludf.DUMMYFUNCTION("""COMPUTED_VALUE"""),"Namfon Home")</f>
        <v>Namfon Home</v>
      </c>
      <c r="N410" t="str">
        <f>IFERROR(__xludf.DUMMYFUNCTION("""COMPUTED_VALUE"""),"LWPP")</f>
        <v>LWPP</v>
      </c>
      <c r="P410" s="143">
        <f>IFERROR(__xludf.DUMMYFUNCTION("""COMPUTED_VALUE"""),32784.0)</f>
        <v>32784</v>
      </c>
      <c r="Q410" s="146" t="str">
        <f>IFERROR(__xludf.DUMMYFUNCTION("""COMPUTED_VALUE"""),"062 536 6224")</f>
        <v>062 536 6224</v>
      </c>
      <c r="R410" s="147">
        <f>IFERROR(__xludf.DUMMYFUNCTION("""COMPUTED_VALUE"""),1.709800112113E12)</f>
        <v>1709800112113</v>
      </c>
      <c r="S410" t="str">
        <f>IFERROR(__xludf.DUMMYFUNCTION("""COMPUTED_VALUE"""),"AD2255570")</f>
        <v>AD2255570</v>
      </c>
      <c r="T410" s="148">
        <f>IFERROR(__xludf.DUMMYFUNCTION("""COMPUTED_VALUE"""),45796.0)</f>
        <v>45796</v>
      </c>
      <c r="U410" s="148">
        <f>IFERROR(__xludf.DUMMYFUNCTION("""COMPUTED_VALUE"""),47621.0)</f>
        <v>47621</v>
      </c>
      <c r="V410" s="149">
        <f>IFERROR(__xludf.DUMMYFUNCTION("""COMPUTED_VALUE"""),47440.0)</f>
        <v>47440</v>
      </c>
      <c r="W410" t="str">
        <f>IFERROR(__xludf.DUMMYFUNCTION("""COMPUTED_VALUE"""),"ปลอดภัย")</f>
        <v>ปลอดภัย</v>
      </c>
      <c r="X410" t="str">
        <f>IFERROR(__xludf.DUMMYFUNCTION("""COMPUTED_VALUE"""),"Ratchaburi Province")</f>
        <v>Ratchaburi Province</v>
      </c>
      <c r="Y410" t="str">
        <f>IFERROR(__xludf.DUMMYFUNCTION("""COMPUTED_VALUE"""),"Nkornprathom")</f>
        <v>Nkornprathom</v>
      </c>
      <c r="Z410" t="str">
        <f>IFERROR(__xludf.DUMMYFUNCTION("""COMPUTED_VALUE"""),"034 339 735 / 086 396 9887")</f>
        <v>034 339 735 / 086 396 9887</v>
      </c>
      <c r="AA410" t="str">
        <f>IFERROR(__xludf.DUMMYFUNCTION("""COMPUTED_VALUE"""),"Home / Mother")</f>
        <v>Home / Mother</v>
      </c>
      <c r="AB410" t="str">
        <f>IFERROR(__xludf.DUMMYFUNCTION("""COMPUTED_VALUE"""),"phatradat@airasia.com")</f>
        <v>phatradat@airasia.com</v>
      </c>
    </row>
    <row r="411">
      <c r="A411">
        <f>IFERROR(__xludf.DUMMYFUNCTION("""COMPUTED_VALUE"""),1007342.0)</f>
        <v>1007342</v>
      </c>
      <c r="B411" t="str">
        <f>IFERROR(__xludf.DUMMYFUNCTION("""COMPUTED_VALUE"""),"Mrs.")</f>
        <v>Mrs.</v>
      </c>
      <c r="C411" t="str">
        <f>IFERROR(__xludf.DUMMYFUNCTION("""COMPUTED_VALUE"""),"Supitchaya")</f>
        <v>Supitchaya</v>
      </c>
      <c r="D411" t="str">
        <f>IFERROR(__xludf.DUMMYFUNCTION("""COMPUTED_VALUE"""),"Hongkajorn (Pornpitaktepkit)")</f>
        <v>Hongkajorn (Pornpitaktepkit)</v>
      </c>
      <c r="E411" t="str">
        <f>IFERROR(__xludf.DUMMYFUNCTION("""COMPUTED_VALUE"""),"Supitchaya Hongkajorn")</f>
        <v>Supitchaya Hongkajorn</v>
      </c>
      <c r="F411" t="str">
        <f>IFERROR(__xludf.DUMMYFUNCTION("""COMPUTED_VALUE"""),"นาง")</f>
        <v>นาง</v>
      </c>
      <c r="G411" t="str">
        <f>IFERROR(__xludf.DUMMYFUNCTION("""COMPUTED_VALUE"""),"สุพิชญา")</f>
        <v>สุพิชญา</v>
      </c>
      <c r="H411" t="str">
        <f>IFERROR(__xludf.DUMMYFUNCTION("""COMPUTED_VALUE"""),"หงษ์ขจร (พรพิทักษ์เทพกิจ)")</f>
        <v>หงษ์ขจร (พรพิทักษ์เทพกิจ)</v>
      </c>
      <c r="I411" t="str">
        <f>IFERROR(__xludf.DUMMYFUNCTION("""COMPUTED_VALUE"""),"สุพิชญา หงษ์ขจร")</f>
        <v>สุพิชญา หงษ์ขจร</v>
      </c>
      <c r="J411" t="str">
        <f>IFERROR(__xludf.DUMMYFUNCTION("""COMPUTED_VALUE"""),"บ๊วย")</f>
        <v>บ๊วย</v>
      </c>
      <c r="K411" t="str">
        <f>IFERROR(__xludf.DUMMYFUNCTION("""COMPUTED_VALUE"""),"Cabin Crew")</f>
        <v>Cabin Crew</v>
      </c>
      <c r="L411" t="str">
        <f>IFERROR(__xludf.DUMMYFUNCTION("""COMPUTED_VALUE"""),"DMK")</f>
        <v>DMK</v>
      </c>
      <c r="M411" s="145" t="str">
        <f>IFERROR(__xludf.DUMMYFUNCTION("""COMPUTED_VALUE"""),"Toffy Home")</f>
        <v>Toffy Home</v>
      </c>
      <c r="N411" t="str">
        <f>IFERROR(__xludf.DUMMYFUNCTION("""COMPUTED_VALUE"""),"Active")</f>
        <v>Active</v>
      </c>
      <c r="P411" s="143">
        <f>IFERROR(__xludf.DUMMYFUNCTION("""COMPUTED_VALUE"""),31587.0)</f>
        <v>31587</v>
      </c>
      <c r="Q411" s="146" t="str">
        <f>IFERROR(__xludf.DUMMYFUNCTION("""COMPUTED_VALUE"""),"081 496 4561")</f>
        <v>081 496 4561</v>
      </c>
      <c r="R411" s="147">
        <f>IFERROR(__xludf.DUMMYFUNCTION("""COMPUTED_VALUE"""),1.10080027983E12)</f>
        <v>1100800279830</v>
      </c>
      <c r="S411" t="str">
        <f>IFERROR(__xludf.DUMMYFUNCTION("""COMPUTED_VALUE"""),"AC6095942")</f>
        <v>AC6095942</v>
      </c>
      <c r="T411" s="148">
        <f>IFERROR(__xludf.DUMMYFUNCTION("""COMPUTED_VALUE"""),45272.0)</f>
        <v>45272</v>
      </c>
      <c r="U411" s="148">
        <f>IFERROR(__xludf.DUMMYFUNCTION("""COMPUTED_VALUE"""),48924.0)</f>
        <v>48924</v>
      </c>
      <c r="V411" s="149">
        <f>IFERROR(__xludf.DUMMYFUNCTION("""COMPUTED_VALUE"""),48741.0)</f>
        <v>48741</v>
      </c>
      <c r="W411" t="str">
        <f>IFERROR(__xludf.DUMMYFUNCTION("""COMPUTED_VALUE"""),"ปลอดภัย")</f>
        <v>ปลอดภัย</v>
      </c>
      <c r="X411" t="str">
        <f>IFERROR(__xludf.DUMMYFUNCTION("""COMPUTED_VALUE"""),"Bangkok")</f>
        <v>Bangkok</v>
      </c>
      <c r="Y411" t="str">
        <f>IFERROR(__xludf.DUMMYFUNCTION("""COMPUTED_VALUE"""),"Ladproa-Wanghin")</f>
        <v>Ladproa-Wanghin</v>
      </c>
      <c r="Z411" t="str">
        <f>IFERROR(__xludf.DUMMYFUNCTION("""COMPUTED_VALUE"""),"02 570 8872 / 081 626 5831")</f>
        <v>02 570 8872 / 081 626 5831</v>
      </c>
      <c r="AA411" t="str">
        <f>IFERROR(__xludf.DUMMYFUNCTION("""COMPUTED_VALUE"""),"Home / Relative")</f>
        <v>Home / Relative</v>
      </c>
      <c r="AB411" t="str">
        <f>IFERROR(__xludf.DUMMYFUNCTION("""COMPUTED_VALUE"""),"supitchayah@airasia.com")</f>
        <v>supitchayah@airasia.com</v>
      </c>
    </row>
    <row r="412">
      <c r="AB412" t="str">
        <f>IFERROR(__xludf.DUMMYFUNCTION("""COMPUTED_VALUE"""),"")</f>
        <v/>
      </c>
    </row>
    <row r="413">
      <c r="A413">
        <f>IFERROR(__xludf.DUMMYFUNCTION("""COMPUTED_VALUE"""),1007406.0)</f>
        <v>1007406</v>
      </c>
      <c r="B413" t="str">
        <f>IFERROR(__xludf.DUMMYFUNCTION("""COMPUTED_VALUE"""),"Mr.")</f>
        <v>Mr.</v>
      </c>
      <c r="C413" t="str">
        <f>IFERROR(__xludf.DUMMYFUNCTION("""COMPUTED_VALUE"""),"Chanapon")</f>
        <v>Chanapon</v>
      </c>
      <c r="D413" t="str">
        <f>IFERROR(__xludf.DUMMYFUNCTION("""COMPUTED_VALUE"""),"Phorungruang")</f>
        <v>Phorungruang</v>
      </c>
      <c r="E413" t="str">
        <f>IFERROR(__xludf.DUMMYFUNCTION("""COMPUTED_VALUE"""),"Chanapon Phorungruang")</f>
        <v>Chanapon Phorungruang</v>
      </c>
      <c r="F413" t="str">
        <f>IFERROR(__xludf.DUMMYFUNCTION("""COMPUTED_VALUE"""),"นาย")</f>
        <v>นาย</v>
      </c>
      <c r="G413" t="str">
        <f>IFERROR(__xludf.DUMMYFUNCTION("""COMPUTED_VALUE"""),"ชนภณ")</f>
        <v>ชนภณ</v>
      </c>
      <c r="H413" t="str">
        <f>IFERROR(__xludf.DUMMYFUNCTION("""COMPUTED_VALUE"""),"โพธิ์รุ่งเรือง")</f>
        <v>โพธิ์รุ่งเรือง</v>
      </c>
      <c r="I413" t="str">
        <f>IFERROR(__xludf.DUMMYFUNCTION("""COMPUTED_VALUE"""),"ชนภณ โพธิ์รุ่งเรือง")</f>
        <v>ชนภณ โพธิ์รุ่งเรือง</v>
      </c>
      <c r="J413" t="str">
        <f>IFERROR(__xludf.DUMMYFUNCTION("""COMPUTED_VALUE"""),"Art")</f>
        <v>Art</v>
      </c>
      <c r="K413" t="str">
        <f>IFERROR(__xludf.DUMMYFUNCTION("""COMPUTED_VALUE"""),"Senior Cabin Crew - BKK")</f>
        <v>Senior Cabin Crew - BKK</v>
      </c>
      <c r="L413" t="str">
        <f>IFERROR(__xludf.DUMMYFUNCTION("""COMPUTED_VALUE"""),"BKK")</f>
        <v>BKK</v>
      </c>
      <c r="M413" s="145" t="str">
        <f>IFERROR(__xludf.DUMMYFUNCTION("""COMPUTED_VALUE"""),"Nhui Home")</f>
        <v>Nhui Home</v>
      </c>
      <c r="N413" t="str">
        <f>IFERROR(__xludf.DUMMYFUNCTION("""COMPUTED_VALUE"""),"Active")</f>
        <v>Active</v>
      </c>
      <c r="P413" s="143">
        <f>IFERROR(__xludf.DUMMYFUNCTION("""COMPUTED_VALUE"""),30673.0)</f>
        <v>30673</v>
      </c>
      <c r="Q413" s="146" t="str">
        <f>IFERROR(__xludf.DUMMYFUNCTION("""COMPUTED_VALUE"""),"089 497 2552")</f>
        <v>089 497 2552</v>
      </c>
      <c r="R413" s="147">
        <f>IFERROR(__xludf.DUMMYFUNCTION("""COMPUTED_VALUE"""),3.660800474081E12)</f>
        <v>3660800474081</v>
      </c>
      <c r="S413" t="str">
        <f>IFERROR(__xludf.DUMMYFUNCTION("""COMPUTED_VALUE"""),"AC6630098")</f>
        <v>AC6630098</v>
      </c>
      <c r="T413" s="148">
        <f>IFERROR(__xludf.DUMMYFUNCTION("""COMPUTED_VALUE"""),45413.0)</f>
        <v>45413</v>
      </c>
      <c r="U413" s="148">
        <f>IFERROR(__xludf.DUMMYFUNCTION("""COMPUTED_VALUE"""),49064.0)</f>
        <v>49064</v>
      </c>
      <c r="V413" s="149">
        <f>IFERROR(__xludf.DUMMYFUNCTION("""COMPUTED_VALUE"""),48882.0)</f>
        <v>48882</v>
      </c>
      <c r="W413" t="str">
        <f>IFERROR(__xludf.DUMMYFUNCTION("""COMPUTED_VALUE"""),"ปลอดภัย")</f>
        <v>ปลอดภัย</v>
      </c>
      <c r="X413" t="str">
        <f>IFERROR(__xludf.DUMMYFUNCTION("""COMPUTED_VALUE"""),"Phichit Province")</f>
        <v>Phichit Province</v>
      </c>
      <c r="Y413" t="str">
        <f>IFERROR(__xludf.DUMMYFUNCTION("""COMPUTED_VALUE"""),"Bangkapi")</f>
        <v>Bangkapi</v>
      </c>
      <c r="Z413" t="str">
        <f>IFERROR(__xludf.DUMMYFUNCTION("""COMPUTED_VALUE"""),"089 959 5667")</f>
        <v>089 959 5667</v>
      </c>
      <c r="AA413" t="str">
        <f>IFERROR(__xludf.DUMMYFUNCTION("""COMPUTED_VALUE"""),"Relative")</f>
        <v>Relative</v>
      </c>
      <c r="AB413" t="str">
        <f>IFERROR(__xludf.DUMMYFUNCTION("""COMPUTED_VALUE"""),"chanaponp@airasia.com")</f>
        <v>chanaponp@airasia.com</v>
      </c>
    </row>
    <row r="414">
      <c r="A414">
        <f>IFERROR(__xludf.DUMMYFUNCTION("""COMPUTED_VALUE"""),1007410.0)</f>
        <v>1007410</v>
      </c>
      <c r="B414" t="str">
        <f>IFERROR(__xludf.DUMMYFUNCTION("""COMPUTED_VALUE"""),"Ms.")</f>
        <v>Ms.</v>
      </c>
      <c r="C414" t="str">
        <f>IFERROR(__xludf.DUMMYFUNCTION("""COMPUTED_VALUE"""),"Hathairat")</f>
        <v>Hathairat</v>
      </c>
      <c r="D414" t="str">
        <f>IFERROR(__xludf.DUMMYFUNCTION("""COMPUTED_VALUE"""),"Turongtanakul")</f>
        <v>Turongtanakul</v>
      </c>
      <c r="E414" t="str">
        <f>IFERROR(__xludf.DUMMYFUNCTION("""COMPUTED_VALUE"""),"Hathairat Turongtanakul")</f>
        <v>Hathairat Turongtanakul</v>
      </c>
      <c r="F414" t="str">
        <f>IFERROR(__xludf.DUMMYFUNCTION("""COMPUTED_VALUE"""),"นางสาว")</f>
        <v>นางสาว</v>
      </c>
      <c r="G414" t="str">
        <f>IFERROR(__xludf.DUMMYFUNCTION("""COMPUTED_VALUE"""),"หทัยรัตน์")</f>
        <v>หทัยรัตน์</v>
      </c>
      <c r="H414" t="str">
        <f>IFERROR(__xludf.DUMMYFUNCTION("""COMPUTED_VALUE"""),"ตุรงค์ธนากุล")</f>
        <v>ตุรงค์ธนากุล</v>
      </c>
      <c r="I414" t="str">
        <f>IFERROR(__xludf.DUMMYFUNCTION("""COMPUTED_VALUE"""),"หทัยรัตน์ ตุรงค์ธนากุล")</f>
        <v>หทัยรัตน์ ตุรงค์ธนากุล</v>
      </c>
      <c r="J414" t="str">
        <f>IFERROR(__xludf.DUMMYFUNCTION("""COMPUTED_VALUE"""),"Mint")</f>
        <v>Mint</v>
      </c>
      <c r="K414" t="str">
        <f>IFERROR(__xludf.DUMMYFUNCTION("""COMPUTED_VALUE"""),"Cabin Crew")</f>
        <v>Cabin Crew</v>
      </c>
      <c r="L414" t="str">
        <f>IFERROR(__xludf.DUMMYFUNCTION("""COMPUTED_VALUE"""),"DMK")</f>
        <v>DMK</v>
      </c>
      <c r="M414" s="145" t="str">
        <f>IFERROR(__xludf.DUMMYFUNCTION("""COMPUTED_VALUE"""),"Toffy Home")</f>
        <v>Toffy Home</v>
      </c>
      <c r="N414" t="str">
        <f>IFERROR(__xludf.DUMMYFUNCTION("""COMPUTED_VALUE"""),"Active")</f>
        <v>Active</v>
      </c>
      <c r="P414" s="143">
        <f>IFERROR(__xludf.DUMMYFUNCTION("""COMPUTED_VALUE"""),32428.0)</f>
        <v>32428</v>
      </c>
      <c r="Q414" s="146" t="str">
        <f>IFERROR(__xludf.DUMMYFUNCTION("""COMPUTED_VALUE"""),"081 817 5646")</f>
        <v>081 817 5646</v>
      </c>
      <c r="R414" s="147">
        <f>IFERROR(__xludf.DUMMYFUNCTION("""COMPUTED_VALUE"""),1.101401445869E12)</f>
        <v>1101401445869</v>
      </c>
      <c r="S414" t="str">
        <f>IFERROR(__xludf.DUMMYFUNCTION("""COMPUTED_VALUE"""),"AC2462852")</f>
        <v>AC2462852</v>
      </c>
      <c r="T414" s="148">
        <f>IFERROR(__xludf.DUMMYFUNCTION("""COMPUTED_VALUE"""),44468.0)</f>
        <v>44468</v>
      </c>
      <c r="U414" s="148">
        <f>IFERROR(__xludf.DUMMYFUNCTION("""COMPUTED_VALUE"""),48119.0)</f>
        <v>48119</v>
      </c>
      <c r="V414" s="149">
        <f>IFERROR(__xludf.DUMMYFUNCTION("""COMPUTED_VALUE"""),47935.0)</f>
        <v>47935</v>
      </c>
      <c r="W414" t="str">
        <f>IFERROR(__xludf.DUMMYFUNCTION("""COMPUTED_VALUE"""),"ปลอดภัย")</f>
        <v>ปลอดภัย</v>
      </c>
      <c r="X414" t="str">
        <f>IFERROR(__xludf.DUMMYFUNCTION("""COMPUTED_VALUE"""),"Bangkok")</f>
        <v>Bangkok</v>
      </c>
      <c r="Y414" t="str">
        <f>IFERROR(__xludf.DUMMYFUNCTION("""COMPUTED_VALUE"""),"Huai Kwang")</f>
        <v>Huai Kwang</v>
      </c>
      <c r="Z414" t="str">
        <f>IFERROR(__xludf.DUMMYFUNCTION("""COMPUTED_VALUE"""),"02 275 0275 / 081 646 2074")</f>
        <v>02 275 0275 / 081 646 2074</v>
      </c>
      <c r="AA414" t="str">
        <f>IFERROR(__xludf.DUMMYFUNCTION("""COMPUTED_VALUE"""),"Home / Father")</f>
        <v>Home / Father</v>
      </c>
      <c r="AB414" t="str">
        <f>IFERROR(__xludf.DUMMYFUNCTION("""COMPUTED_VALUE"""),"hathairatt@airasia.com")</f>
        <v>hathairatt@airasia.com</v>
      </c>
    </row>
    <row r="415">
      <c r="A415">
        <f>IFERROR(__xludf.DUMMYFUNCTION("""COMPUTED_VALUE"""),1007412.0)</f>
        <v>1007412</v>
      </c>
      <c r="B415" t="str">
        <f>IFERROR(__xludf.DUMMYFUNCTION("""COMPUTED_VALUE"""),"Ms.")</f>
        <v>Ms.</v>
      </c>
      <c r="C415" t="str">
        <f>IFERROR(__xludf.DUMMYFUNCTION("""COMPUTED_VALUE"""),"Jutaporn")</f>
        <v>Jutaporn</v>
      </c>
      <c r="D415" t="str">
        <f>IFERROR(__xludf.DUMMYFUNCTION("""COMPUTED_VALUE"""),"Jutarattanakul")</f>
        <v>Jutarattanakul</v>
      </c>
      <c r="E415" t="str">
        <f>IFERROR(__xludf.DUMMYFUNCTION("""COMPUTED_VALUE"""),"Jutaporn Jutarattanakul")</f>
        <v>Jutaporn Jutarattanakul</v>
      </c>
      <c r="F415" t="str">
        <f>IFERROR(__xludf.DUMMYFUNCTION("""COMPUTED_VALUE"""),"นางสาว")</f>
        <v>นางสาว</v>
      </c>
      <c r="G415" t="str">
        <f>IFERROR(__xludf.DUMMYFUNCTION("""COMPUTED_VALUE"""),"จุฑาภรณ์")</f>
        <v>จุฑาภรณ์</v>
      </c>
      <c r="H415" t="str">
        <f>IFERROR(__xludf.DUMMYFUNCTION("""COMPUTED_VALUE"""),"จุฑารัตนกุล")</f>
        <v>จุฑารัตนกุล</v>
      </c>
      <c r="I415" t="str">
        <f>IFERROR(__xludf.DUMMYFUNCTION("""COMPUTED_VALUE"""),"จุฑาภรณ์ จุฑารัตนกุล")</f>
        <v>จุฑาภรณ์ จุฑารัตนกุล</v>
      </c>
      <c r="J415" t="str">
        <f>IFERROR(__xludf.DUMMYFUNCTION("""COMPUTED_VALUE"""),"Pin")</f>
        <v>Pin</v>
      </c>
      <c r="K415" t="str">
        <f>IFERROR(__xludf.DUMMYFUNCTION("""COMPUTED_VALUE"""),"Cabin Crew")</f>
        <v>Cabin Crew</v>
      </c>
      <c r="L415" t="str">
        <f>IFERROR(__xludf.DUMMYFUNCTION("""COMPUTED_VALUE"""),"DMK")</f>
        <v>DMK</v>
      </c>
      <c r="M415" s="145" t="str">
        <f>IFERROR(__xludf.DUMMYFUNCTION("""COMPUTED_VALUE"""),"Toffy Home")</f>
        <v>Toffy Home</v>
      </c>
      <c r="N415" t="str">
        <f>IFERROR(__xludf.DUMMYFUNCTION("""COMPUTED_VALUE"""),"Active")</f>
        <v>Active</v>
      </c>
      <c r="P415" s="143">
        <f>IFERROR(__xludf.DUMMYFUNCTION("""COMPUTED_VALUE"""),32754.0)</f>
        <v>32754</v>
      </c>
      <c r="Q415" s="146" t="str">
        <f>IFERROR(__xludf.DUMMYFUNCTION("""COMPUTED_VALUE"""),"083-549-1544")</f>
        <v>083-549-1544</v>
      </c>
      <c r="R415" s="147">
        <f>IFERROR(__xludf.DUMMYFUNCTION("""COMPUTED_VALUE"""),1.809800074202E12)</f>
        <v>1809800074202</v>
      </c>
      <c r="S415" t="str">
        <f>IFERROR(__xludf.DUMMYFUNCTION("""COMPUTED_VALUE"""),"AC5624686")</f>
        <v>AC5624686</v>
      </c>
      <c r="T415" s="148">
        <f>IFERROR(__xludf.DUMMYFUNCTION("""COMPUTED_VALUE"""),45170.0)</f>
        <v>45170</v>
      </c>
      <c r="U415" s="148">
        <f>IFERROR(__xludf.DUMMYFUNCTION("""COMPUTED_VALUE"""),48822.0)</f>
        <v>48822</v>
      </c>
      <c r="V415" s="149">
        <f>IFERROR(__xludf.DUMMYFUNCTION("""COMPUTED_VALUE"""),48638.0)</f>
        <v>48638</v>
      </c>
      <c r="W415" t="str">
        <f>IFERROR(__xludf.DUMMYFUNCTION("""COMPUTED_VALUE"""),"ปลอดภัย")</f>
        <v>ปลอดภัย</v>
      </c>
      <c r="X415" t="str">
        <f>IFERROR(__xludf.DUMMYFUNCTION("""COMPUTED_VALUE"""),"Nakhon Si Thammarat Province")</f>
        <v>Nakhon Si Thammarat Province</v>
      </c>
      <c r="Y415" t="str">
        <f>IFERROR(__xludf.DUMMYFUNCTION("""COMPUTED_VALUE"""),"Ratchatewi")</f>
        <v>Ratchatewi</v>
      </c>
      <c r="Z415" t="str">
        <f>IFERROR(__xludf.DUMMYFUNCTION("""COMPUTED_VALUE"""),"081 536 9972")</f>
        <v>081 536 9972</v>
      </c>
      <c r="AA415" t="str">
        <f>IFERROR(__xludf.DUMMYFUNCTION("""COMPUTED_VALUE"""),"Relative")</f>
        <v>Relative</v>
      </c>
      <c r="AB415" t="str">
        <f>IFERROR(__xludf.DUMMYFUNCTION("""COMPUTED_VALUE"""),"jutapornj@airasia.com")</f>
        <v>jutapornj@airasia.com</v>
      </c>
    </row>
    <row r="416">
      <c r="A416">
        <f>IFERROR(__xludf.DUMMYFUNCTION("""COMPUTED_VALUE"""),1007416.0)</f>
        <v>1007416</v>
      </c>
      <c r="B416" t="str">
        <f>IFERROR(__xludf.DUMMYFUNCTION("""COMPUTED_VALUE"""),"Mr.")</f>
        <v>Mr.</v>
      </c>
      <c r="C416" t="str">
        <f>IFERROR(__xludf.DUMMYFUNCTION("""COMPUTED_VALUE"""),"Metus")</f>
        <v>Metus</v>
      </c>
      <c r="D416" t="str">
        <f>IFERROR(__xludf.DUMMYFUNCTION("""COMPUTED_VALUE"""),"Leearporn")</f>
        <v>Leearporn</v>
      </c>
      <c r="E416" t="str">
        <f>IFERROR(__xludf.DUMMYFUNCTION("""COMPUTED_VALUE"""),"Metus Leearporn")</f>
        <v>Metus Leearporn</v>
      </c>
      <c r="F416" t="str">
        <f>IFERROR(__xludf.DUMMYFUNCTION("""COMPUTED_VALUE"""),"นาย")</f>
        <v>นาย</v>
      </c>
      <c r="G416" t="str">
        <f>IFERROR(__xludf.DUMMYFUNCTION("""COMPUTED_VALUE"""),"เมธัส")</f>
        <v>เมธัส</v>
      </c>
      <c r="H416" t="str">
        <f>IFERROR(__xludf.DUMMYFUNCTION("""COMPUTED_VALUE"""),"หลีอาภรณ์")</f>
        <v>หลีอาภรณ์</v>
      </c>
      <c r="I416" t="str">
        <f>IFERROR(__xludf.DUMMYFUNCTION("""COMPUTED_VALUE"""),"เมธัส หลีอาภรณ์")</f>
        <v>เมธัส หลีอาภรณ์</v>
      </c>
      <c r="J416" t="str">
        <f>IFERROR(__xludf.DUMMYFUNCTION("""COMPUTED_VALUE"""),"ตั้ม")</f>
        <v>ตั้ม</v>
      </c>
      <c r="K416" t="str">
        <f>IFERROR(__xludf.DUMMYFUNCTION("""COMPUTED_VALUE"""),"Cabin Crew")</f>
        <v>Cabin Crew</v>
      </c>
      <c r="L416" t="str">
        <f>IFERROR(__xludf.DUMMYFUNCTION("""COMPUTED_VALUE"""),"DMK")</f>
        <v>DMK</v>
      </c>
      <c r="M416" s="145" t="str">
        <f>IFERROR(__xludf.DUMMYFUNCTION("""COMPUTED_VALUE"""),"Namfon Home")</f>
        <v>Namfon Home</v>
      </c>
      <c r="N416" t="str">
        <f>IFERROR(__xludf.DUMMYFUNCTION("""COMPUTED_VALUE"""),"Active")</f>
        <v>Active</v>
      </c>
      <c r="P416" s="143">
        <f>IFERROR(__xludf.DUMMYFUNCTION("""COMPUTED_VALUE"""),32862.0)</f>
        <v>32862</v>
      </c>
      <c r="Q416" s="146" t="str">
        <f>IFERROR(__xludf.DUMMYFUNCTION("""COMPUTED_VALUE"""),"061 194 9942")</f>
        <v>061 194 9942</v>
      </c>
      <c r="R416" s="147">
        <f>IFERROR(__xludf.DUMMYFUNCTION("""COMPUTED_VALUE"""),1.10200126552E12)</f>
        <v>1102001265520</v>
      </c>
      <c r="S416" t="str">
        <f>IFERROR(__xludf.DUMMYFUNCTION("""COMPUTED_VALUE"""),"AD1904318")</f>
        <v>AD1904318</v>
      </c>
      <c r="T416" s="148">
        <f>IFERROR(__xludf.DUMMYFUNCTION("""COMPUTED_VALUE"""),45490.0)</f>
        <v>45490</v>
      </c>
      <c r="U416" s="148">
        <f>IFERROR(__xludf.DUMMYFUNCTION("""COMPUTED_VALUE"""),49141.0)</f>
        <v>49141</v>
      </c>
      <c r="V416" s="149">
        <f>IFERROR(__xludf.DUMMYFUNCTION("""COMPUTED_VALUE"""),48960.0)</f>
        <v>48960</v>
      </c>
      <c r="W416" t="str">
        <f>IFERROR(__xludf.DUMMYFUNCTION("""COMPUTED_VALUE"""),"ปลอดภัย")</f>
        <v>ปลอดภัย</v>
      </c>
      <c r="X416" t="str">
        <f>IFERROR(__xludf.DUMMYFUNCTION("""COMPUTED_VALUE"""),"Bangkok")</f>
        <v>Bangkok</v>
      </c>
      <c r="Y416" t="str">
        <f>IFERROR(__xludf.DUMMYFUNCTION("""COMPUTED_VALUE"""),"Taweewattana")</f>
        <v>Taweewattana</v>
      </c>
      <c r="Z416" t="str">
        <f>IFERROR(__xludf.DUMMYFUNCTION("""COMPUTED_VALUE"""),"02 448 0167 8 / 083 753 7160")</f>
        <v>02 448 0167 8 / 083 753 7160</v>
      </c>
      <c r="AA416" t="str">
        <f>IFERROR(__xludf.DUMMYFUNCTION("""COMPUTED_VALUE"""),"Home / Relative")</f>
        <v>Home / Relative</v>
      </c>
      <c r="AB416" t="str">
        <f>IFERROR(__xludf.DUMMYFUNCTION("""COMPUTED_VALUE"""),"metusl@airasia.com")</f>
        <v>metusl@airasia.com</v>
      </c>
    </row>
    <row r="417">
      <c r="A417">
        <f>IFERROR(__xludf.DUMMYFUNCTION("""COMPUTED_VALUE"""),1007418.0)</f>
        <v>1007418</v>
      </c>
      <c r="B417" t="str">
        <f>IFERROR(__xludf.DUMMYFUNCTION("""COMPUTED_VALUE"""),"Ms.")</f>
        <v>Ms.</v>
      </c>
      <c r="C417" t="str">
        <f>IFERROR(__xludf.DUMMYFUNCTION("""COMPUTED_VALUE"""),"Nattaphat")</f>
        <v>Nattaphat</v>
      </c>
      <c r="D417" t="str">
        <f>IFERROR(__xludf.DUMMYFUNCTION("""COMPUTED_VALUE"""),"Boonprasit")</f>
        <v>Boonprasit</v>
      </c>
      <c r="E417" t="str">
        <f>IFERROR(__xludf.DUMMYFUNCTION("""COMPUTED_VALUE"""),"Nattaphat Boonprasit")</f>
        <v>Nattaphat Boonprasit</v>
      </c>
      <c r="F417" t="str">
        <f>IFERROR(__xludf.DUMMYFUNCTION("""COMPUTED_VALUE"""),"นางสาว")</f>
        <v>นางสาว</v>
      </c>
      <c r="G417" t="str">
        <f>IFERROR(__xludf.DUMMYFUNCTION("""COMPUTED_VALUE"""),"ณัฏฐพัชร์")</f>
        <v>ณัฏฐพัชร์</v>
      </c>
      <c r="H417" t="str">
        <f>IFERROR(__xludf.DUMMYFUNCTION("""COMPUTED_VALUE"""),"บุญประสิทธิ์")</f>
        <v>บุญประสิทธิ์</v>
      </c>
      <c r="I417" t="str">
        <f>IFERROR(__xludf.DUMMYFUNCTION("""COMPUTED_VALUE"""),"ณัฏฐพัชร์ บุญประสิทธิ์")</f>
        <v>ณัฏฐพัชร์ บุญประสิทธิ์</v>
      </c>
      <c r="J417" t="str">
        <f>IFERROR(__xludf.DUMMYFUNCTION("""COMPUTED_VALUE"""),"Rose")</f>
        <v>Rose</v>
      </c>
      <c r="K417" t="str">
        <f>IFERROR(__xludf.DUMMYFUNCTION("""COMPUTED_VALUE"""),"Cabin Crew")</f>
        <v>Cabin Crew</v>
      </c>
      <c r="L417" t="str">
        <f>IFERROR(__xludf.DUMMYFUNCTION("""COMPUTED_VALUE"""),"DMK")</f>
        <v>DMK</v>
      </c>
      <c r="M417" s="145" t="str">
        <f>IFERROR(__xludf.DUMMYFUNCTION("""COMPUTED_VALUE"""),"Kor Home")</f>
        <v>Kor Home</v>
      </c>
      <c r="N417" t="str">
        <f>IFERROR(__xludf.DUMMYFUNCTION("""COMPUTED_VALUE"""),"Active")</f>
        <v>Active</v>
      </c>
      <c r="P417" s="143">
        <f>IFERROR(__xludf.DUMMYFUNCTION("""COMPUTED_VALUE"""),31092.0)</f>
        <v>31092</v>
      </c>
      <c r="Q417" s="146" t="str">
        <f>IFERROR(__xludf.DUMMYFUNCTION("""COMPUTED_VALUE"""),"097 294 4241")</f>
        <v>097 294 4241</v>
      </c>
      <c r="R417" s="147">
        <f>IFERROR(__xludf.DUMMYFUNCTION("""COMPUTED_VALUE"""),1.209900007634E12)</f>
        <v>1209900007634</v>
      </c>
      <c r="S417" t="str">
        <f>IFERROR(__xludf.DUMMYFUNCTION("""COMPUTED_VALUE"""),"AC2624383")</f>
        <v>AC2624383</v>
      </c>
      <c r="T417" s="148">
        <f>IFERROR(__xludf.DUMMYFUNCTION("""COMPUTED_VALUE"""),44546.0)</f>
        <v>44546</v>
      </c>
      <c r="U417" s="148">
        <f>IFERROR(__xludf.DUMMYFUNCTION("""COMPUTED_VALUE"""),48197.0)</f>
        <v>48197</v>
      </c>
      <c r="V417" s="149">
        <f>IFERROR(__xludf.DUMMYFUNCTION("""COMPUTED_VALUE"""),48014.0)</f>
        <v>48014</v>
      </c>
      <c r="W417" t="str">
        <f>IFERROR(__xludf.DUMMYFUNCTION("""COMPUTED_VALUE"""),"ปลอดภัย")</f>
        <v>ปลอดภัย</v>
      </c>
      <c r="X417" t="str">
        <f>IFERROR(__xludf.DUMMYFUNCTION("""COMPUTED_VALUE"""),"Chonburi Province")</f>
        <v>Chonburi Province</v>
      </c>
      <c r="Y417" t="str">
        <f>IFERROR(__xludf.DUMMYFUNCTION("""COMPUTED_VALUE"""),"Chonburi")</f>
        <v>Chonburi</v>
      </c>
      <c r="Z417" t="str">
        <f>IFERROR(__xludf.DUMMYFUNCTION("""COMPUTED_VALUE"""),"089 206 4974")</f>
        <v>089 206 4974</v>
      </c>
      <c r="AA417" t="str">
        <f>IFERROR(__xludf.DUMMYFUNCTION("""COMPUTED_VALUE"""),"Relative")</f>
        <v>Relative</v>
      </c>
      <c r="AB417" t="str">
        <f>IFERROR(__xludf.DUMMYFUNCTION("""COMPUTED_VALUE"""),"nattaphatb@airasia.com")</f>
        <v>nattaphatb@airasia.com</v>
      </c>
    </row>
    <row r="418">
      <c r="A418">
        <f>IFERROR(__xludf.DUMMYFUNCTION("""COMPUTED_VALUE"""),1007419.0)</f>
        <v>1007419</v>
      </c>
      <c r="B418" t="str">
        <f>IFERROR(__xludf.DUMMYFUNCTION("""COMPUTED_VALUE"""),"Ms.")</f>
        <v>Ms.</v>
      </c>
      <c r="C418" t="str">
        <f>IFERROR(__xludf.DUMMYFUNCTION("""COMPUTED_VALUE"""),"Onwara")</f>
        <v>Onwara</v>
      </c>
      <c r="D418" t="str">
        <f>IFERROR(__xludf.DUMMYFUNCTION("""COMPUTED_VALUE"""),"Chongwijitkul")</f>
        <v>Chongwijitkul</v>
      </c>
      <c r="E418" t="str">
        <f>IFERROR(__xludf.DUMMYFUNCTION("""COMPUTED_VALUE"""),"Onwara Chongwijitkul")</f>
        <v>Onwara Chongwijitkul</v>
      </c>
      <c r="F418" t="str">
        <f>IFERROR(__xludf.DUMMYFUNCTION("""COMPUTED_VALUE"""),"นางสาว")</f>
        <v>นางสาว</v>
      </c>
      <c r="G418" t="str">
        <f>IFERROR(__xludf.DUMMYFUNCTION("""COMPUTED_VALUE"""),"อรวรา")</f>
        <v>อรวรา</v>
      </c>
      <c r="H418" t="str">
        <f>IFERROR(__xludf.DUMMYFUNCTION("""COMPUTED_VALUE"""),"จองวิจิตรกุล")</f>
        <v>จองวิจิตรกุล</v>
      </c>
      <c r="I418" t="str">
        <f>IFERROR(__xludf.DUMMYFUNCTION("""COMPUTED_VALUE"""),"อรวรา จองวิจิตรกุล")</f>
        <v>อรวรา จองวิจิตรกุล</v>
      </c>
      <c r="J418" t="str">
        <f>IFERROR(__xludf.DUMMYFUNCTION("""COMPUTED_VALUE"""),"Miew")</f>
        <v>Miew</v>
      </c>
      <c r="K418" t="str">
        <f>IFERROR(__xludf.DUMMYFUNCTION("""COMPUTED_VALUE"""),"Cabin Crew - CNX")</f>
        <v>Cabin Crew - CNX</v>
      </c>
      <c r="L418" t="str">
        <f>IFERROR(__xludf.DUMMYFUNCTION("""COMPUTED_VALUE"""),"CNX")</f>
        <v>CNX</v>
      </c>
      <c r="M418" s="145" t="str">
        <f>IFERROR(__xludf.DUMMYFUNCTION("""COMPUTED_VALUE"""),"Up Home")</f>
        <v>Up Home</v>
      </c>
      <c r="N418" t="str">
        <f>IFERROR(__xludf.DUMMYFUNCTION("""COMPUTED_VALUE"""),"Active")</f>
        <v>Active</v>
      </c>
      <c r="P418" s="143">
        <f>IFERROR(__xludf.DUMMYFUNCTION("""COMPUTED_VALUE"""),32411.0)</f>
        <v>32411</v>
      </c>
      <c r="Q418" s="146" t="str">
        <f>IFERROR(__xludf.DUMMYFUNCTION("""COMPUTED_VALUE"""),"092 992 9811")</f>
        <v>092 992 9811</v>
      </c>
      <c r="R418" s="147">
        <f>IFERROR(__xludf.DUMMYFUNCTION("""COMPUTED_VALUE"""),1.509900652111E12)</f>
        <v>1509900652111</v>
      </c>
      <c r="S418" t="str">
        <f>IFERROR(__xludf.DUMMYFUNCTION("""COMPUTED_VALUE"""),"AC2587257")</f>
        <v>AC2587257</v>
      </c>
      <c r="T418" s="148">
        <f>IFERROR(__xludf.DUMMYFUNCTION("""COMPUTED_VALUE"""),44669.0)</f>
        <v>44669</v>
      </c>
      <c r="U418" s="148">
        <f>IFERROR(__xludf.DUMMYFUNCTION("""COMPUTED_VALUE"""),48321.0)</f>
        <v>48321</v>
      </c>
      <c r="V418" s="149">
        <f>IFERROR(__xludf.DUMMYFUNCTION("""COMPUTED_VALUE"""),48138.0)</f>
        <v>48138</v>
      </c>
      <c r="W418" t="str">
        <f>IFERROR(__xludf.DUMMYFUNCTION("""COMPUTED_VALUE"""),"ปลอดภัย")</f>
        <v>ปลอดภัย</v>
      </c>
      <c r="X418" t="str">
        <f>IFERROR(__xludf.DUMMYFUNCTION("""COMPUTED_VALUE"""),"Chiang Mai Province")</f>
        <v>Chiang Mai Province</v>
      </c>
      <c r="Y418" t="str">
        <f>IFERROR(__xludf.DUMMYFUNCTION("""COMPUTED_VALUE"""),"Chiang Mai")</f>
        <v>Chiang Mai</v>
      </c>
      <c r="Z418" t="str">
        <f>IFERROR(__xludf.DUMMYFUNCTION("""COMPUTED_VALUE"""),"082 180 4705")</f>
        <v>082 180 4705</v>
      </c>
      <c r="AA418" t="str">
        <f>IFERROR(__xludf.DUMMYFUNCTION("""COMPUTED_VALUE"""),"Mother")</f>
        <v>Mother</v>
      </c>
      <c r="AB418" t="str">
        <f>IFERROR(__xludf.DUMMYFUNCTION("""COMPUTED_VALUE"""),"onwarac@airasia.com")</f>
        <v>onwarac@airasia.com</v>
      </c>
    </row>
    <row r="419">
      <c r="A419">
        <f>IFERROR(__xludf.DUMMYFUNCTION("""COMPUTED_VALUE"""),1007420.0)</f>
        <v>1007420</v>
      </c>
      <c r="B419" t="str">
        <f>IFERROR(__xludf.DUMMYFUNCTION("""COMPUTED_VALUE"""),"Ms.")</f>
        <v>Ms.</v>
      </c>
      <c r="C419" t="str">
        <f>IFERROR(__xludf.DUMMYFUNCTION("""COMPUTED_VALUE"""),"Parissara")</f>
        <v>Parissara</v>
      </c>
      <c r="D419" t="str">
        <f>IFERROR(__xludf.DUMMYFUNCTION("""COMPUTED_VALUE"""),"Visessmit")</f>
        <v>Visessmit</v>
      </c>
      <c r="E419" t="str">
        <f>IFERROR(__xludf.DUMMYFUNCTION("""COMPUTED_VALUE"""),"Parissara Visessmit")</f>
        <v>Parissara Visessmit</v>
      </c>
      <c r="F419" t="str">
        <f>IFERROR(__xludf.DUMMYFUNCTION("""COMPUTED_VALUE"""),"นางสาว")</f>
        <v>นางสาว</v>
      </c>
      <c r="G419" t="str">
        <f>IFERROR(__xludf.DUMMYFUNCTION("""COMPUTED_VALUE"""),"พริสรา")</f>
        <v>พริสรา</v>
      </c>
      <c r="H419" t="str">
        <f>IFERROR(__xludf.DUMMYFUNCTION("""COMPUTED_VALUE"""),"วิเศษสมิต")</f>
        <v>วิเศษสมิต</v>
      </c>
      <c r="I419" t="str">
        <f>IFERROR(__xludf.DUMMYFUNCTION("""COMPUTED_VALUE"""),"พริสรา วิเศษสมิต")</f>
        <v>พริสรา วิเศษสมิต</v>
      </c>
      <c r="J419" t="str">
        <f>IFERROR(__xludf.DUMMYFUNCTION("""COMPUTED_VALUE"""),"New")</f>
        <v>New</v>
      </c>
      <c r="K419" t="str">
        <f>IFERROR(__xludf.DUMMYFUNCTION("""COMPUTED_VALUE"""),"Cabin Crew")</f>
        <v>Cabin Crew</v>
      </c>
      <c r="L419" t="str">
        <f>IFERROR(__xludf.DUMMYFUNCTION("""COMPUTED_VALUE"""),"DMK")</f>
        <v>DMK</v>
      </c>
      <c r="M419" s="145" t="str">
        <f>IFERROR(__xludf.DUMMYFUNCTION("""COMPUTED_VALUE"""),"Por+ Home")</f>
        <v>Por+ Home</v>
      </c>
      <c r="N419" t="str">
        <f>IFERROR(__xludf.DUMMYFUNCTION("""COMPUTED_VALUE"""),"Active")</f>
        <v>Active</v>
      </c>
      <c r="P419" s="143">
        <f>IFERROR(__xludf.DUMMYFUNCTION("""COMPUTED_VALUE"""),32378.0)</f>
        <v>32378</v>
      </c>
      <c r="Q419" s="146" t="str">
        <f>IFERROR(__xludf.DUMMYFUNCTION("""COMPUTED_VALUE"""),"087 943 4498")</f>
        <v>087 943 4498</v>
      </c>
      <c r="R419" s="147">
        <f>IFERROR(__xludf.DUMMYFUNCTION("""COMPUTED_VALUE"""),1.100700889334E12)</f>
        <v>1100700889334</v>
      </c>
      <c r="S419" t="str">
        <f>IFERROR(__xludf.DUMMYFUNCTION("""COMPUTED_VALUE"""),"AC2972263")</f>
        <v>AC2972263</v>
      </c>
      <c r="T419" s="148">
        <f>IFERROR(__xludf.DUMMYFUNCTION("""COMPUTED_VALUE"""),44644.0)</f>
        <v>44644</v>
      </c>
      <c r="U419" s="148">
        <f>IFERROR(__xludf.DUMMYFUNCTION("""COMPUTED_VALUE"""),48296.0)</f>
        <v>48296</v>
      </c>
      <c r="V419" s="149">
        <f>IFERROR(__xludf.DUMMYFUNCTION("""COMPUTED_VALUE"""),48114.0)</f>
        <v>48114</v>
      </c>
      <c r="W419" t="str">
        <f>IFERROR(__xludf.DUMMYFUNCTION("""COMPUTED_VALUE"""),"ปลอดภัย")</f>
        <v>ปลอดภัย</v>
      </c>
      <c r="X419" t="str">
        <f>IFERROR(__xludf.DUMMYFUNCTION("""COMPUTED_VALUE"""),"Bangkok")</f>
        <v>Bangkok</v>
      </c>
      <c r="Y419" t="str">
        <f>IFERROR(__xludf.DUMMYFUNCTION("""COMPUTED_VALUE"""),"Bangsue")</f>
        <v>Bangsue</v>
      </c>
      <c r="Z419" t="str">
        <f>IFERROR(__xludf.DUMMYFUNCTION("""COMPUTED_VALUE"""),"02 586 8058 / 081 425 9988")</f>
        <v>02 586 8058 / 081 425 9988</v>
      </c>
      <c r="AA419" t="str">
        <f>IFERROR(__xludf.DUMMYFUNCTION("""COMPUTED_VALUE"""),"Home / Father")</f>
        <v>Home / Father</v>
      </c>
      <c r="AB419" t="str">
        <f>IFERROR(__xludf.DUMMYFUNCTION("""COMPUTED_VALUE"""),"parissarav@airasia.com")</f>
        <v>parissarav@airasia.com</v>
      </c>
    </row>
    <row r="420">
      <c r="A420">
        <f>IFERROR(__xludf.DUMMYFUNCTION("""COMPUTED_VALUE"""),1007423.0)</f>
        <v>1007423</v>
      </c>
      <c r="B420" t="str">
        <f>IFERROR(__xludf.DUMMYFUNCTION("""COMPUTED_VALUE"""),"Mr.")</f>
        <v>Mr.</v>
      </c>
      <c r="C420" t="str">
        <f>IFERROR(__xludf.DUMMYFUNCTION("""COMPUTED_VALUE"""),"Satawat")</f>
        <v>Satawat</v>
      </c>
      <c r="D420" t="str">
        <f>IFERROR(__xludf.DUMMYFUNCTION("""COMPUTED_VALUE"""),"Laohasereekul")</f>
        <v>Laohasereekul</v>
      </c>
      <c r="E420" t="str">
        <f>IFERROR(__xludf.DUMMYFUNCTION("""COMPUTED_VALUE"""),"Satawat Laohasereekul")</f>
        <v>Satawat Laohasereekul</v>
      </c>
      <c r="F420" t="str">
        <f>IFERROR(__xludf.DUMMYFUNCTION("""COMPUTED_VALUE"""),"นาย")</f>
        <v>นาย</v>
      </c>
      <c r="G420" t="str">
        <f>IFERROR(__xludf.DUMMYFUNCTION("""COMPUTED_VALUE"""),"ศตวรรษ")</f>
        <v>ศตวรรษ</v>
      </c>
      <c r="H420" t="str">
        <f>IFERROR(__xludf.DUMMYFUNCTION("""COMPUTED_VALUE"""),"เลาหเสรีกุล")</f>
        <v>เลาหเสรีกุล</v>
      </c>
      <c r="I420" t="str">
        <f>IFERROR(__xludf.DUMMYFUNCTION("""COMPUTED_VALUE"""),"ศตวรรษ เลาหเสรีกุล")</f>
        <v>ศตวรรษ เลาหเสรีกุล</v>
      </c>
      <c r="J420" t="str">
        <f>IFERROR(__xludf.DUMMYFUNCTION("""COMPUTED_VALUE"""),"Note")</f>
        <v>Note</v>
      </c>
      <c r="K420" t="str">
        <f>IFERROR(__xludf.DUMMYFUNCTION("""COMPUTED_VALUE"""),"Cabin Crew")</f>
        <v>Cabin Crew</v>
      </c>
      <c r="L420" t="str">
        <f>IFERROR(__xludf.DUMMYFUNCTION("""COMPUTED_VALUE"""),"DMK")</f>
        <v>DMK</v>
      </c>
      <c r="M420" s="145" t="str">
        <f>IFERROR(__xludf.DUMMYFUNCTION("""COMPUTED_VALUE"""),"Um Home")</f>
        <v>Um Home</v>
      </c>
      <c r="N420" t="str">
        <f>IFERROR(__xludf.DUMMYFUNCTION("""COMPUTED_VALUE"""),"Active")</f>
        <v>Active</v>
      </c>
      <c r="P420" s="143">
        <f>IFERROR(__xludf.DUMMYFUNCTION("""COMPUTED_VALUE"""),32587.0)</f>
        <v>32587</v>
      </c>
      <c r="Q420" s="146" t="str">
        <f>IFERROR(__xludf.DUMMYFUNCTION("""COMPUTED_VALUE"""),"083 577 7935")</f>
        <v>083 577 7935</v>
      </c>
      <c r="R420" s="147">
        <f>IFERROR(__xludf.DUMMYFUNCTION("""COMPUTED_VALUE"""),1.509900716276E12)</f>
        <v>1509900716276</v>
      </c>
      <c r="S420" t="str">
        <f>IFERROR(__xludf.DUMMYFUNCTION("""COMPUTED_VALUE"""),"AD1117346")</f>
        <v>AD1117346</v>
      </c>
      <c r="T420" s="148">
        <f>IFERROR(__xludf.DUMMYFUNCTION("""COMPUTED_VALUE"""),45110.0)</f>
        <v>45110</v>
      </c>
      <c r="U420" s="148">
        <f>IFERROR(__xludf.DUMMYFUNCTION("""COMPUTED_VALUE"""),48762.0)</f>
        <v>48762</v>
      </c>
      <c r="V420" s="149">
        <f>IFERROR(__xludf.DUMMYFUNCTION("""COMPUTED_VALUE"""),48581.0)</f>
        <v>48581</v>
      </c>
      <c r="W420" t="str">
        <f>IFERROR(__xludf.DUMMYFUNCTION("""COMPUTED_VALUE"""),"ปลอดภัย")</f>
        <v>ปลอดภัย</v>
      </c>
      <c r="X420" t="str">
        <f>IFERROR(__xludf.DUMMYFUNCTION("""COMPUTED_VALUE"""),"Chiang Mai Province")</f>
        <v>Chiang Mai Province</v>
      </c>
      <c r="Y420" t="str">
        <f>IFERROR(__xludf.DUMMYFUNCTION("""COMPUTED_VALUE"""),"Chiang Mai")</f>
        <v>Chiang Mai</v>
      </c>
      <c r="Z420" t="str">
        <f>IFERROR(__xludf.DUMMYFUNCTION("""COMPUTED_VALUE"""),"081 168 9152")</f>
        <v>081 168 9152</v>
      </c>
      <c r="AA420" t="str">
        <f>IFERROR(__xludf.DUMMYFUNCTION("""COMPUTED_VALUE"""),"Relative")</f>
        <v>Relative</v>
      </c>
      <c r="AB420" t="str">
        <f>IFERROR(__xludf.DUMMYFUNCTION("""COMPUTED_VALUE"""),"satawatl@airasia.com")</f>
        <v>satawatl@airasia.com</v>
      </c>
    </row>
    <row r="421">
      <c r="A421">
        <f>IFERROR(__xludf.DUMMYFUNCTION("""COMPUTED_VALUE"""),1007426.0)</f>
        <v>1007426</v>
      </c>
      <c r="B421" t="str">
        <f>IFERROR(__xludf.DUMMYFUNCTION("""COMPUTED_VALUE"""),"Ms.")</f>
        <v>Ms.</v>
      </c>
      <c r="C421" t="str">
        <f>IFERROR(__xludf.DUMMYFUNCTION("""COMPUTED_VALUE"""),"Tullaya")</f>
        <v>Tullaya</v>
      </c>
      <c r="D421" t="str">
        <f>IFERROR(__xludf.DUMMYFUNCTION("""COMPUTED_VALUE"""),"Bunnag")</f>
        <v>Bunnag</v>
      </c>
      <c r="E421" t="str">
        <f>IFERROR(__xludf.DUMMYFUNCTION("""COMPUTED_VALUE"""),"Tullaya Bunnag")</f>
        <v>Tullaya Bunnag</v>
      </c>
      <c r="F421" t="str">
        <f>IFERROR(__xludf.DUMMYFUNCTION("""COMPUTED_VALUE"""),"นางสาว")</f>
        <v>นางสาว</v>
      </c>
      <c r="G421" t="str">
        <f>IFERROR(__xludf.DUMMYFUNCTION("""COMPUTED_VALUE"""),"ตุลย์ยา")</f>
        <v>ตุลย์ยา</v>
      </c>
      <c r="H421" t="str">
        <f>IFERROR(__xludf.DUMMYFUNCTION("""COMPUTED_VALUE"""),"บุนนาค")</f>
        <v>บุนนาค</v>
      </c>
      <c r="I421" t="str">
        <f>IFERROR(__xludf.DUMMYFUNCTION("""COMPUTED_VALUE"""),"ตุลย์ยา บุนนาค")</f>
        <v>ตุลย์ยา บุนนาค</v>
      </c>
      <c r="J421" t="str">
        <f>IFERROR(__xludf.DUMMYFUNCTION("""COMPUTED_VALUE"""),"Toon")</f>
        <v>Toon</v>
      </c>
      <c r="K421" t="str">
        <f>IFERROR(__xludf.DUMMYFUNCTION("""COMPUTED_VALUE"""),"Cabin Crew - BKK")</f>
        <v>Cabin Crew - BKK</v>
      </c>
      <c r="L421" t="str">
        <f>IFERROR(__xludf.DUMMYFUNCTION("""COMPUTED_VALUE"""),"BKK")</f>
        <v>BKK</v>
      </c>
      <c r="M421" s="145" t="str">
        <f>IFERROR(__xludf.DUMMYFUNCTION("""COMPUTED_VALUE"""),"Nhui Home")</f>
        <v>Nhui Home</v>
      </c>
      <c r="N421" t="str">
        <f>IFERROR(__xludf.DUMMYFUNCTION("""COMPUTED_VALUE"""),"Active")</f>
        <v>Active</v>
      </c>
      <c r="P421" s="143">
        <f>IFERROR(__xludf.DUMMYFUNCTION("""COMPUTED_VALUE"""),32077.0)</f>
        <v>32077</v>
      </c>
      <c r="Q421" s="146" t="str">
        <f>IFERROR(__xludf.DUMMYFUNCTION("""COMPUTED_VALUE"""),"081 949 4126")</f>
        <v>081 949 4126</v>
      </c>
      <c r="R421" s="147">
        <f>IFERROR(__xludf.DUMMYFUNCTION("""COMPUTED_VALUE"""),1.100500228741E12)</f>
        <v>1100500228741</v>
      </c>
      <c r="S421" t="str">
        <f>IFERROR(__xludf.DUMMYFUNCTION("""COMPUTED_VALUE"""),"AC6731527")</f>
        <v>AC6731527</v>
      </c>
      <c r="T421" s="148">
        <f>IFERROR(__xludf.DUMMYFUNCTION("""COMPUTED_VALUE"""),45414.0)</f>
        <v>45414</v>
      </c>
      <c r="U421" s="148">
        <f>IFERROR(__xludf.DUMMYFUNCTION("""COMPUTED_VALUE"""),49065.0)</f>
        <v>49065</v>
      </c>
      <c r="V421" s="149">
        <f>IFERROR(__xludf.DUMMYFUNCTION("""COMPUTED_VALUE"""),48884.0)</f>
        <v>48884</v>
      </c>
      <c r="W421" t="str">
        <f>IFERROR(__xludf.DUMMYFUNCTION("""COMPUTED_VALUE"""),"ปลอดภัย")</f>
        <v>ปลอดภัย</v>
      </c>
      <c r="X421" t="str">
        <f>IFERROR(__xludf.DUMMYFUNCTION("""COMPUTED_VALUE"""),"Bangkok")</f>
        <v>Bangkok</v>
      </c>
      <c r="Y421" t="str">
        <f>IFERROR(__xludf.DUMMYFUNCTION("""COMPUTED_VALUE"""),"Suwinthawong")</f>
        <v>Suwinthawong</v>
      </c>
      <c r="Z421" t="str">
        <f>IFERROR(__xludf.DUMMYFUNCTION("""COMPUTED_VALUE"""),"02 956 6014 / 086 814 5665")</f>
        <v>02 956 6014 / 086 814 5665</v>
      </c>
      <c r="AA421" t="str">
        <f>IFERROR(__xludf.DUMMYFUNCTION("""COMPUTED_VALUE"""),"Home / Relative")</f>
        <v>Home / Relative</v>
      </c>
      <c r="AB421" t="str">
        <f>IFERROR(__xludf.DUMMYFUNCTION("""COMPUTED_VALUE"""),"tullayab@airasia.com")</f>
        <v>tullayab@airasia.com</v>
      </c>
    </row>
    <row r="422">
      <c r="A422">
        <f>IFERROR(__xludf.DUMMYFUNCTION("""COMPUTED_VALUE"""),1007427.0)</f>
        <v>1007427</v>
      </c>
      <c r="B422" t="str">
        <f>IFERROR(__xludf.DUMMYFUNCTION("""COMPUTED_VALUE"""),"Mr.")</f>
        <v>Mr.</v>
      </c>
      <c r="C422" t="str">
        <f>IFERROR(__xludf.DUMMYFUNCTION("""COMPUTED_VALUE"""),"Warasit")</f>
        <v>Warasit</v>
      </c>
      <c r="D422" t="str">
        <f>IFERROR(__xludf.DUMMYFUNCTION("""COMPUTED_VALUE"""),"Rittiruechaikul")</f>
        <v>Rittiruechaikul</v>
      </c>
      <c r="E422" t="str">
        <f>IFERROR(__xludf.DUMMYFUNCTION("""COMPUTED_VALUE"""),"Warasit Rittiruechaikul")</f>
        <v>Warasit Rittiruechaikul</v>
      </c>
      <c r="F422" t="str">
        <f>IFERROR(__xludf.DUMMYFUNCTION("""COMPUTED_VALUE"""),"นาย")</f>
        <v>นาย</v>
      </c>
      <c r="G422" t="str">
        <f>IFERROR(__xludf.DUMMYFUNCTION("""COMPUTED_VALUE"""),"วราสิทธิ์")</f>
        <v>วราสิทธิ์</v>
      </c>
      <c r="H422" t="str">
        <f>IFERROR(__xludf.DUMMYFUNCTION("""COMPUTED_VALUE"""),"ฤทธิฤาชัยกุล")</f>
        <v>ฤทธิฤาชัยกุล</v>
      </c>
      <c r="I422" t="str">
        <f>IFERROR(__xludf.DUMMYFUNCTION("""COMPUTED_VALUE"""),"วราสิทธิ์ ฤทธิฤาชัยกุล")</f>
        <v>วราสิทธิ์ ฤทธิฤาชัยกุล</v>
      </c>
      <c r="J422" t="str">
        <f>IFERROR(__xludf.DUMMYFUNCTION("""COMPUTED_VALUE"""),"Top")</f>
        <v>Top</v>
      </c>
      <c r="K422" t="str">
        <f>IFERROR(__xludf.DUMMYFUNCTION("""COMPUTED_VALUE"""),"Senior Cabin Crew")</f>
        <v>Senior Cabin Crew</v>
      </c>
      <c r="L422" t="str">
        <f>IFERROR(__xludf.DUMMYFUNCTION("""COMPUTED_VALUE"""),"DMK")</f>
        <v>DMK</v>
      </c>
      <c r="M422" s="145" t="str">
        <f>IFERROR(__xludf.DUMMYFUNCTION("""COMPUTED_VALUE"""),"Por+ Home")</f>
        <v>Por+ Home</v>
      </c>
      <c r="N422" t="str">
        <f>IFERROR(__xludf.DUMMYFUNCTION("""COMPUTED_VALUE"""),"Active")</f>
        <v>Active</v>
      </c>
      <c r="P422" s="143">
        <f>IFERROR(__xludf.DUMMYFUNCTION("""COMPUTED_VALUE"""),31388.0)</f>
        <v>31388</v>
      </c>
      <c r="Q422" s="146" t="str">
        <f>IFERROR(__xludf.DUMMYFUNCTION("""COMPUTED_VALUE"""),"087 711 2588")</f>
        <v>087 711 2588</v>
      </c>
      <c r="R422" s="147">
        <f>IFERROR(__xludf.DUMMYFUNCTION("""COMPUTED_VALUE"""),1.101400665474E12)</f>
        <v>1101400665474</v>
      </c>
      <c r="S422" t="str">
        <f>IFERROR(__xludf.DUMMYFUNCTION("""COMPUTED_VALUE"""),"AC2510990")</f>
        <v>AC2510990</v>
      </c>
      <c r="T422" s="148">
        <f>IFERROR(__xludf.DUMMYFUNCTION("""COMPUTED_VALUE"""),44524.0)</f>
        <v>44524</v>
      </c>
      <c r="U422" s="148">
        <f>IFERROR(__xludf.DUMMYFUNCTION("""COMPUTED_VALUE"""),48175.0)</f>
        <v>48175</v>
      </c>
      <c r="V422" s="149">
        <f>IFERROR(__xludf.DUMMYFUNCTION("""COMPUTED_VALUE"""),47991.0)</f>
        <v>47991</v>
      </c>
      <c r="W422" t="str">
        <f>IFERROR(__xludf.DUMMYFUNCTION("""COMPUTED_VALUE"""),"ปลอดภัย")</f>
        <v>ปลอดภัย</v>
      </c>
      <c r="X422" t="str">
        <f>IFERROR(__xludf.DUMMYFUNCTION("""COMPUTED_VALUE"""),"Bangkok")</f>
        <v>Bangkok</v>
      </c>
      <c r="Y422" t="str">
        <f>IFERROR(__xludf.DUMMYFUNCTION("""COMPUTED_VALUE"""),"Samranrat")</f>
        <v>Samranrat</v>
      </c>
      <c r="Z422" t="str">
        <f>IFERROR(__xludf.DUMMYFUNCTION("""COMPUTED_VALUE"""),"02 878 6227 / 081 488 4974")</f>
        <v>02 878 6227 / 081 488 4974</v>
      </c>
      <c r="AA422" t="str">
        <f>IFERROR(__xludf.DUMMYFUNCTION("""COMPUTED_VALUE"""),"Home / Father")</f>
        <v>Home / Father</v>
      </c>
      <c r="AB422" t="str">
        <f>IFERROR(__xludf.DUMMYFUNCTION("""COMPUTED_VALUE"""),"warasitr@airasia.com")</f>
        <v>warasitr@airasia.com</v>
      </c>
    </row>
    <row r="423">
      <c r="A423">
        <f>IFERROR(__xludf.DUMMYFUNCTION("""COMPUTED_VALUE"""),1007428.0)</f>
        <v>1007428</v>
      </c>
      <c r="B423" t="str">
        <f>IFERROR(__xludf.DUMMYFUNCTION("""COMPUTED_VALUE"""),"Ms.")</f>
        <v>Ms.</v>
      </c>
      <c r="C423" t="str">
        <f>IFERROR(__xludf.DUMMYFUNCTION("""COMPUTED_VALUE"""),"Watcharaporn")</f>
        <v>Watcharaporn</v>
      </c>
      <c r="D423" t="str">
        <f>IFERROR(__xludf.DUMMYFUNCTION("""COMPUTED_VALUE"""),"Chancharoen")</f>
        <v>Chancharoen</v>
      </c>
      <c r="E423" t="str">
        <f>IFERROR(__xludf.DUMMYFUNCTION("""COMPUTED_VALUE"""),"Watcharaporn Chancharoen")</f>
        <v>Watcharaporn Chancharoen</v>
      </c>
      <c r="F423" t="str">
        <f>IFERROR(__xludf.DUMMYFUNCTION("""COMPUTED_VALUE"""),"นางสาว")</f>
        <v>นางสาว</v>
      </c>
      <c r="G423" t="str">
        <f>IFERROR(__xludf.DUMMYFUNCTION("""COMPUTED_VALUE"""),"วัชราภรณ์")</f>
        <v>วัชราภรณ์</v>
      </c>
      <c r="H423" t="str">
        <f>IFERROR(__xludf.DUMMYFUNCTION("""COMPUTED_VALUE"""),"ชั้นเจริญ")</f>
        <v>ชั้นเจริญ</v>
      </c>
      <c r="I423" t="str">
        <f>IFERROR(__xludf.DUMMYFUNCTION("""COMPUTED_VALUE"""),"วัชราภรณ์ ชั้นเจริญ")</f>
        <v>วัชราภรณ์ ชั้นเจริญ</v>
      </c>
      <c r="J423" t="str">
        <f>IFERROR(__xludf.DUMMYFUNCTION("""COMPUTED_VALUE"""),"May")</f>
        <v>May</v>
      </c>
      <c r="K423" t="str">
        <f>IFERROR(__xludf.DUMMYFUNCTION("""COMPUTED_VALUE"""),"Cabin Crew - BKK")</f>
        <v>Cabin Crew - BKK</v>
      </c>
      <c r="L423" t="str">
        <f>IFERROR(__xludf.DUMMYFUNCTION("""COMPUTED_VALUE"""),"BKK")</f>
        <v>BKK</v>
      </c>
      <c r="M423" s="145" t="str">
        <f>IFERROR(__xludf.DUMMYFUNCTION("""COMPUTED_VALUE"""),"Nhui Home")</f>
        <v>Nhui Home</v>
      </c>
      <c r="N423" t="str">
        <f>IFERROR(__xludf.DUMMYFUNCTION("""COMPUTED_VALUE"""),"Active")</f>
        <v>Active</v>
      </c>
      <c r="P423" s="143">
        <f>IFERROR(__xludf.DUMMYFUNCTION("""COMPUTED_VALUE"""),32995.0)</f>
        <v>32995</v>
      </c>
      <c r="Q423" s="146" t="str">
        <f>IFERROR(__xludf.DUMMYFUNCTION("""COMPUTED_VALUE"""),"084 438 4246")</f>
        <v>084 438 4246</v>
      </c>
      <c r="R423" s="147">
        <f>IFERROR(__xludf.DUMMYFUNCTION("""COMPUTED_VALUE"""),1.103700119639E12)</f>
        <v>1103700119639</v>
      </c>
      <c r="S423" t="str">
        <f>IFERROR(__xludf.DUMMYFUNCTION("""COMPUTED_VALUE"""),"AC6730889")</f>
        <v>AC6730889</v>
      </c>
      <c r="T423" s="148">
        <f>IFERROR(__xludf.DUMMYFUNCTION("""COMPUTED_VALUE"""),45414.0)</f>
        <v>45414</v>
      </c>
      <c r="U423" s="148">
        <f>IFERROR(__xludf.DUMMYFUNCTION("""COMPUTED_VALUE"""),49065.0)</f>
        <v>49065</v>
      </c>
      <c r="V423" s="149">
        <f>IFERROR(__xludf.DUMMYFUNCTION("""COMPUTED_VALUE"""),48884.0)</f>
        <v>48884</v>
      </c>
      <c r="W423" t="str">
        <f>IFERROR(__xludf.DUMMYFUNCTION("""COMPUTED_VALUE"""),"ปลอดภัย")</f>
        <v>ปลอดภัย</v>
      </c>
      <c r="X423" t="str">
        <f>IFERROR(__xludf.DUMMYFUNCTION("""COMPUTED_VALUE"""),"Bangkok")</f>
        <v>Bangkok</v>
      </c>
      <c r="Y423" t="str">
        <f>IFERROR(__xludf.DUMMYFUNCTION("""COMPUTED_VALUE"""),"Bangplee")</f>
        <v>Bangplee</v>
      </c>
      <c r="Z423" t="str">
        <f>IFERROR(__xludf.DUMMYFUNCTION("""COMPUTED_VALUE"""),"02 181 9060 / 089 814 3835")</f>
        <v>02 181 9060 / 089 814 3835</v>
      </c>
      <c r="AA423" t="str">
        <f>IFERROR(__xludf.DUMMYFUNCTION("""COMPUTED_VALUE"""),"Home / Relative")</f>
        <v>Home / Relative</v>
      </c>
      <c r="AB423" t="str">
        <f>IFERROR(__xludf.DUMMYFUNCTION("""COMPUTED_VALUE"""),"watcharapornc@airasia.com")</f>
        <v>watcharapornc@airasia.com</v>
      </c>
    </row>
    <row r="424">
      <c r="AB424" t="str">
        <f>IFERROR(__xludf.DUMMYFUNCTION("""COMPUTED_VALUE"""),"")</f>
        <v/>
      </c>
    </row>
    <row r="425">
      <c r="A425">
        <f>IFERROR(__xludf.DUMMYFUNCTION("""COMPUTED_VALUE"""),1007260.0)</f>
        <v>1007260</v>
      </c>
      <c r="B425" t="str">
        <f>IFERROR(__xludf.DUMMYFUNCTION("""COMPUTED_VALUE"""),"Mr.")</f>
        <v>Mr.</v>
      </c>
      <c r="C425" t="str">
        <f>IFERROR(__xludf.DUMMYFUNCTION("""COMPUTED_VALUE"""),"Lunchakorn")</f>
        <v>Lunchakorn</v>
      </c>
      <c r="D425" t="str">
        <f>IFERROR(__xludf.DUMMYFUNCTION("""COMPUTED_VALUE"""),"Saengsiri")</f>
        <v>Saengsiri</v>
      </c>
      <c r="E425" t="str">
        <f>IFERROR(__xludf.DUMMYFUNCTION("""COMPUTED_VALUE"""),"Lunchakorn Saengsiri")</f>
        <v>Lunchakorn Saengsiri</v>
      </c>
      <c r="F425" t="str">
        <f>IFERROR(__xludf.DUMMYFUNCTION("""COMPUTED_VALUE"""),"นาย")</f>
        <v>นาย</v>
      </c>
      <c r="G425" t="str">
        <f>IFERROR(__xludf.DUMMYFUNCTION("""COMPUTED_VALUE"""),"ลัญฉกร")</f>
        <v>ลัญฉกร</v>
      </c>
      <c r="H425" t="str">
        <f>IFERROR(__xludf.DUMMYFUNCTION("""COMPUTED_VALUE"""),"แสงศิริ")</f>
        <v>แสงศิริ</v>
      </c>
      <c r="I425" t="str">
        <f>IFERROR(__xludf.DUMMYFUNCTION("""COMPUTED_VALUE"""),"ลัญฉกร แสงศิริ")</f>
        <v>ลัญฉกร แสงศิริ</v>
      </c>
      <c r="J425" t="str">
        <f>IFERROR(__xludf.DUMMYFUNCTION("""COMPUTED_VALUE"""),"โอ")</f>
        <v>โอ</v>
      </c>
      <c r="K425" t="str">
        <f>IFERROR(__xludf.DUMMYFUNCTION("""COMPUTED_VALUE"""),"Senior Cabin Crew")</f>
        <v>Senior Cabin Crew</v>
      </c>
      <c r="L425" t="str">
        <f>IFERROR(__xludf.DUMMYFUNCTION("""COMPUTED_VALUE"""),"DMK")</f>
        <v>DMK</v>
      </c>
      <c r="M425" s="145" t="str">
        <f>IFERROR(__xludf.DUMMYFUNCTION("""COMPUTED_VALUE"""),"Kor Home")</f>
        <v>Kor Home</v>
      </c>
      <c r="N425" t="str">
        <f>IFERROR(__xludf.DUMMYFUNCTION("""COMPUTED_VALUE"""),"Active")</f>
        <v>Active</v>
      </c>
      <c r="P425" s="143">
        <f>IFERROR(__xludf.DUMMYFUNCTION("""COMPUTED_VALUE"""),31173.0)</f>
        <v>31173</v>
      </c>
      <c r="Q425" s="146" t="str">
        <f>IFERROR(__xludf.DUMMYFUNCTION("""COMPUTED_VALUE"""),"090 442 4425")</f>
        <v>090 442 4425</v>
      </c>
      <c r="R425" s="147">
        <f>IFERROR(__xludf.DUMMYFUNCTION("""COMPUTED_VALUE"""),1.102000254672E12)</f>
        <v>1102000254672</v>
      </c>
      <c r="S425" t="str">
        <f>IFERROR(__xludf.DUMMYFUNCTION("""COMPUTED_VALUE"""),"AC2881312")</f>
        <v>AC2881312</v>
      </c>
      <c r="T425" s="148">
        <f>IFERROR(__xludf.DUMMYFUNCTION("""COMPUTED_VALUE"""),44609.0)</f>
        <v>44609</v>
      </c>
      <c r="U425" s="148">
        <f>IFERROR(__xludf.DUMMYFUNCTION("""COMPUTED_VALUE"""),48260.0)</f>
        <v>48260</v>
      </c>
      <c r="V425" s="149">
        <f>IFERROR(__xludf.DUMMYFUNCTION("""COMPUTED_VALUE"""),48076.0)</f>
        <v>48076</v>
      </c>
      <c r="W425" t="str">
        <f>IFERROR(__xludf.DUMMYFUNCTION("""COMPUTED_VALUE"""),"ปลอดภัย")</f>
        <v>ปลอดภัย</v>
      </c>
      <c r="X425" t="str">
        <f>IFERROR(__xludf.DUMMYFUNCTION("""COMPUTED_VALUE"""),"Bangkok")</f>
        <v>Bangkok</v>
      </c>
      <c r="Y425" t="str">
        <f>IFERROR(__xludf.DUMMYFUNCTION("""COMPUTED_VALUE"""),"Nonthaburi")</f>
        <v>Nonthaburi</v>
      </c>
      <c r="Z425" t="str">
        <f>IFERROR(__xludf.DUMMYFUNCTION("""COMPUTED_VALUE"""),"02 960 0925 / 086 306 2221 / 081 641 5008")</f>
        <v>02 960 0925 / 086 306 2221 / 081 641 5008</v>
      </c>
      <c r="AA425" t="str">
        <f>IFERROR(__xludf.DUMMYFUNCTION("""COMPUTED_VALUE"""),"Home / Relative")</f>
        <v>Home / Relative</v>
      </c>
      <c r="AB425" t="str">
        <f>IFERROR(__xludf.DUMMYFUNCTION("""COMPUTED_VALUE"""),"lunchakorns@airasia.com")</f>
        <v>lunchakorns@airasia.com</v>
      </c>
    </row>
    <row r="426">
      <c r="A426">
        <f>IFERROR(__xludf.DUMMYFUNCTION("""COMPUTED_VALUE"""),1007262.0)</f>
        <v>1007262</v>
      </c>
      <c r="B426" t="str">
        <f>IFERROR(__xludf.DUMMYFUNCTION("""COMPUTED_VALUE"""),"Ms.")</f>
        <v>Ms.</v>
      </c>
      <c r="D426" t="str">
        <f>IFERROR(__xludf.DUMMYFUNCTION("""COMPUTED_VALUE"""),"Kaeokumchai")</f>
        <v>Kaeokumchai</v>
      </c>
      <c r="E426" t="str">
        <f>IFERROR(__xludf.DUMMYFUNCTION("""COMPUTED_VALUE""")," Kaeokumchai")</f>
        <v> Kaeokumchai</v>
      </c>
      <c r="F426" t="str">
        <f>IFERROR(__xludf.DUMMYFUNCTION("""COMPUTED_VALUE"""),"นางสาว")</f>
        <v>นางสาว</v>
      </c>
      <c r="G426" t="str">
        <f>IFERROR(__xludf.DUMMYFUNCTION("""COMPUTED_VALUE"""),"นลิน")</f>
        <v>นลิน</v>
      </c>
      <c r="H426" t="str">
        <f>IFERROR(__xludf.DUMMYFUNCTION("""COMPUTED_VALUE"""),"แก้วกำชัย")</f>
        <v>แก้วกำชัย</v>
      </c>
      <c r="I426" t="str">
        <f>IFERROR(__xludf.DUMMYFUNCTION("""COMPUTED_VALUE"""),"นลิน แก้วกำชัย")</f>
        <v>นลิน แก้วกำชัย</v>
      </c>
      <c r="J426" t="str">
        <f>IFERROR(__xludf.DUMMYFUNCTION("""COMPUTED_VALUE"""),"เพลง")</f>
        <v>เพลง</v>
      </c>
      <c r="K426" t="str">
        <f>IFERROR(__xludf.DUMMYFUNCTION("""COMPUTED_VALUE"""),"Cabin Crew")</f>
        <v>Cabin Crew</v>
      </c>
      <c r="L426" t="str">
        <f>IFERROR(__xludf.DUMMYFUNCTION("""COMPUTED_VALUE"""),"DMK")</f>
        <v>DMK</v>
      </c>
      <c r="M426" s="145" t="str">
        <f>IFERROR(__xludf.DUMMYFUNCTION("""COMPUTED_VALUE"""),"Namfon Home")</f>
        <v>Namfon Home</v>
      </c>
      <c r="N426" t="str">
        <f>IFERROR(__xludf.DUMMYFUNCTION("""COMPUTED_VALUE"""),"Active")</f>
        <v>Active</v>
      </c>
      <c r="P426" s="143">
        <f>IFERROR(__xludf.DUMMYFUNCTION("""COMPUTED_VALUE"""),32083.0)</f>
        <v>32083</v>
      </c>
      <c r="Q426" s="146" t="str">
        <f>IFERROR(__xludf.DUMMYFUNCTION("""COMPUTED_VALUE"""),"094 929 6632")</f>
        <v>094 929 6632</v>
      </c>
      <c r="R426" s="147">
        <f>IFERROR(__xludf.DUMMYFUNCTION("""COMPUTED_VALUE"""),1.100400295986E12)</f>
        <v>1100400295986</v>
      </c>
      <c r="S426" t="str">
        <f>IFERROR(__xludf.DUMMYFUNCTION("""COMPUTED_VALUE"""),"AC4874728")</f>
        <v>AC4874728</v>
      </c>
      <c r="T426" s="148">
        <f>IFERROR(__xludf.DUMMYFUNCTION("""COMPUTED_VALUE"""),45042.0)</f>
        <v>45042</v>
      </c>
      <c r="U426" s="148">
        <f>IFERROR(__xludf.DUMMYFUNCTION("""COMPUTED_VALUE"""),48694.0)</f>
        <v>48694</v>
      </c>
      <c r="V426" s="149">
        <f>IFERROR(__xludf.DUMMYFUNCTION("""COMPUTED_VALUE"""),48512.0)</f>
        <v>48512</v>
      </c>
      <c r="W426" t="str">
        <f>IFERROR(__xludf.DUMMYFUNCTION("""COMPUTED_VALUE"""),"ปลอดภัย")</f>
        <v>ปลอดภัย</v>
      </c>
      <c r="X426" t="str">
        <f>IFERROR(__xludf.DUMMYFUNCTION("""COMPUTED_VALUE"""),"Bangkok")</f>
        <v>Bangkok</v>
      </c>
      <c r="Y426" t="str">
        <f>IFERROR(__xludf.DUMMYFUNCTION("""COMPUTED_VALUE"""),"Bangkapi")</f>
        <v>Bangkapi</v>
      </c>
      <c r="Z426" t="str">
        <f>IFERROR(__xludf.DUMMYFUNCTION("""COMPUTED_VALUE"""),"086 189 1451 / 081 700 2290 / 086 320 4717")</f>
        <v>086 189 1451 / 081 700 2290 / 086 320 4717</v>
      </c>
      <c r="AA426" t="str">
        <f>IFERROR(__xludf.DUMMYFUNCTION("""COMPUTED_VALUE"""),"Mother / Uncle / Uncle")</f>
        <v>Mother / Uncle / Uncle</v>
      </c>
      <c r="AB426" t="str">
        <f>IFERROR(__xludf.DUMMYFUNCTION("""COMPUTED_VALUE"""),"k@airasia.com")</f>
        <v>k@airasia.com</v>
      </c>
    </row>
    <row r="427">
      <c r="A427">
        <f>IFERROR(__xludf.DUMMYFUNCTION("""COMPUTED_VALUE"""),1007265.0)</f>
        <v>1007265</v>
      </c>
      <c r="B427" t="str">
        <f>IFERROR(__xludf.DUMMYFUNCTION("""COMPUTED_VALUE"""),"Ms.")</f>
        <v>Ms.</v>
      </c>
      <c r="C427" t="str">
        <f>IFERROR(__xludf.DUMMYFUNCTION("""COMPUTED_VALUE"""),"Nattaporn")</f>
        <v>Nattaporn</v>
      </c>
      <c r="D427" t="str">
        <f>IFERROR(__xludf.DUMMYFUNCTION("""COMPUTED_VALUE"""),"Poomgate")</f>
        <v>Poomgate</v>
      </c>
      <c r="E427" t="str">
        <f>IFERROR(__xludf.DUMMYFUNCTION("""COMPUTED_VALUE"""),"Nattaporn Poomgate")</f>
        <v>Nattaporn Poomgate</v>
      </c>
      <c r="F427" t="str">
        <f>IFERROR(__xludf.DUMMYFUNCTION("""COMPUTED_VALUE"""),"นางสาว")</f>
        <v>นางสาว</v>
      </c>
      <c r="G427" t="str">
        <f>IFERROR(__xludf.DUMMYFUNCTION("""COMPUTED_VALUE"""),"ณัฐพร")</f>
        <v>ณัฐพร</v>
      </c>
      <c r="H427" t="str">
        <f>IFERROR(__xludf.DUMMYFUNCTION("""COMPUTED_VALUE"""),"พุ่มเกตุ")</f>
        <v>พุ่มเกตุ</v>
      </c>
      <c r="I427" t="str">
        <f>IFERROR(__xludf.DUMMYFUNCTION("""COMPUTED_VALUE"""),"ณัฐพร พุ่มเกตุ")</f>
        <v>ณัฐพร พุ่มเกตุ</v>
      </c>
      <c r="J427" t="str">
        <f>IFERROR(__xludf.DUMMYFUNCTION("""COMPUTED_VALUE"""),"ฝ้าย")</f>
        <v>ฝ้าย</v>
      </c>
      <c r="K427" t="str">
        <f>IFERROR(__xludf.DUMMYFUNCTION("""COMPUTED_VALUE"""),"Cabin Crew")</f>
        <v>Cabin Crew</v>
      </c>
      <c r="L427" t="str">
        <f>IFERROR(__xludf.DUMMYFUNCTION("""COMPUTED_VALUE"""),"DMK")</f>
        <v>DMK</v>
      </c>
      <c r="M427" s="145" t="str">
        <f>IFERROR(__xludf.DUMMYFUNCTION("""COMPUTED_VALUE"""),"Por+ Home")</f>
        <v>Por+ Home</v>
      </c>
      <c r="N427" t="str">
        <f>IFERROR(__xludf.DUMMYFUNCTION("""COMPUTED_VALUE"""),"Active")</f>
        <v>Active</v>
      </c>
      <c r="P427" s="143">
        <f>IFERROR(__xludf.DUMMYFUNCTION("""COMPUTED_VALUE"""),32789.0)</f>
        <v>32789</v>
      </c>
      <c r="Q427" s="146" t="str">
        <f>IFERROR(__xludf.DUMMYFUNCTION("""COMPUTED_VALUE"""),"087 334 1458")</f>
        <v>087 334 1458</v>
      </c>
      <c r="R427" s="147">
        <f>IFERROR(__xludf.DUMMYFUNCTION("""COMPUTED_VALUE"""),1.101401816981E12)</f>
        <v>1101401816981</v>
      </c>
      <c r="S427" t="str">
        <f>IFERROR(__xludf.DUMMYFUNCTION("""COMPUTED_VALUE"""),"AC3132493")</f>
        <v>AC3132493</v>
      </c>
      <c r="T427" s="148">
        <f>IFERROR(__xludf.DUMMYFUNCTION("""COMPUTED_VALUE"""),44698.0)</f>
        <v>44698</v>
      </c>
      <c r="U427" s="148">
        <f>IFERROR(__xludf.DUMMYFUNCTION("""COMPUTED_VALUE"""),48350.0)</f>
        <v>48350</v>
      </c>
      <c r="V427" s="149">
        <f>IFERROR(__xludf.DUMMYFUNCTION("""COMPUTED_VALUE"""),48168.0)</f>
        <v>48168</v>
      </c>
      <c r="W427" t="str">
        <f>IFERROR(__xludf.DUMMYFUNCTION("""COMPUTED_VALUE"""),"ปลอดภัย")</f>
        <v>ปลอดภัย</v>
      </c>
      <c r="X427" t="str">
        <f>IFERROR(__xludf.DUMMYFUNCTION("""COMPUTED_VALUE"""),"Bangkok")</f>
        <v>Bangkok</v>
      </c>
      <c r="Y427" t="str">
        <f>IFERROR(__xludf.DUMMYFUNCTION("""COMPUTED_VALUE"""),"Donmueang")</f>
        <v>Donmueang</v>
      </c>
      <c r="Z427" t="str">
        <f>IFERROR(__xludf.DUMMYFUNCTION("""COMPUTED_VALUE"""),"02 995 1422 / 081 347 7560")</f>
        <v>02 995 1422 / 081 347 7560</v>
      </c>
      <c r="AA427" t="str">
        <f>IFERROR(__xludf.DUMMYFUNCTION("""COMPUTED_VALUE"""),"Home / Relative")</f>
        <v>Home / Relative</v>
      </c>
      <c r="AB427" t="str">
        <f>IFERROR(__xludf.DUMMYFUNCTION("""COMPUTED_VALUE"""),"nattapornp@airasia.com")</f>
        <v>nattapornp@airasia.com</v>
      </c>
    </row>
    <row r="428">
      <c r="A428">
        <f>IFERROR(__xludf.DUMMYFUNCTION("""COMPUTED_VALUE"""),1007266.0)</f>
        <v>1007266</v>
      </c>
      <c r="B428" t="str">
        <f>IFERROR(__xludf.DUMMYFUNCTION("""COMPUTED_VALUE"""),"Ms.")</f>
        <v>Ms.</v>
      </c>
      <c r="C428" t="str">
        <f>IFERROR(__xludf.DUMMYFUNCTION("""COMPUTED_VALUE"""),"Nattayanee")</f>
        <v>Nattayanee</v>
      </c>
      <c r="D428" t="str">
        <f>IFERROR(__xludf.DUMMYFUNCTION("""COMPUTED_VALUE"""),"Junnont")</f>
        <v>Junnont</v>
      </c>
      <c r="E428" t="str">
        <f>IFERROR(__xludf.DUMMYFUNCTION("""COMPUTED_VALUE"""),"Nattayanee Junnont")</f>
        <v>Nattayanee Junnont</v>
      </c>
      <c r="F428" t="str">
        <f>IFERROR(__xludf.DUMMYFUNCTION("""COMPUTED_VALUE"""),"นางสาว")</f>
        <v>นางสาว</v>
      </c>
      <c r="G428" t="str">
        <f>IFERROR(__xludf.DUMMYFUNCTION("""COMPUTED_VALUE"""),"นาตยาณี")</f>
        <v>นาตยาณี</v>
      </c>
      <c r="H428" t="str">
        <f>IFERROR(__xludf.DUMMYFUNCTION("""COMPUTED_VALUE"""),"จันนนท์")</f>
        <v>จันนนท์</v>
      </c>
      <c r="I428" t="str">
        <f>IFERROR(__xludf.DUMMYFUNCTION("""COMPUTED_VALUE"""),"นาตยาณี จันนนท์")</f>
        <v>นาตยาณี จันนนท์</v>
      </c>
      <c r="J428" t="str">
        <f>IFERROR(__xludf.DUMMYFUNCTION("""COMPUTED_VALUE"""),"Pui")</f>
        <v>Pui</v>
      </c>
      <c r="K428" t="str">
        <f>IFERROR(__xludf.DUMMYFUNCTION("""COMPUTED_VALUE"""),"Cabin Crew")</f>
        <v>Cabin Crew</v>
      </c>
      <c r="L428" t="str">
        <f>IFERROR(__xludf.DUMMYFUNCTION("""COMPUTED_VALUE"""),"DMK")</f>
        <v>DMK</v>
      </c>
      <c r="M428" s="145" t="str">
        <f>IFERROR(__xludf.DUMMYFUNCTION("""COMPUTED_VALUE"""),"Um Home")</f>
        <v>Um Home</v>
      </c>
      <c r="N428" t="str">
        <f>IFERROR(__xludf.DUMMYFUNCTION("""COMPUTED_VALUE"""),"V/LWP")</f>
        <v>V/LWP</v>
      </c>
      <c r="P428" s="143">
        <f>IFERROR(__xludf.DUMMYFUNCTION("""COMPUTED_VALUE"""),31251.0)</f>
        <v>31251</v>
      </c>
      <c r="Q428" s="146" t="str">
        <f>IFERROR(__xludf.DUMMYFUNCTION("""COMPUTED_VALUE"""),"086 895 6873")</f>
        <v>086 895 6873</v>
      </c>
      <c r="R428" s="147">
        <f>IFERROR(__xludf.DUMMYFUNCTION("""COMPUTED_VALUE"""),1.101400537549E12)</f>
        <v>1101400537549</v>
      </c>
      <c r="S428" t="str">
        <f>IFERROR(__xludf.DUMMYFUNCTION("""COMPUTED_VALUE"""),"AC3616097")</f>
        <v>AC3616097</v>
      </c>
      <c r="T428" s="148">
        <f>IFERROR(__xludf.DUMMYFUNCTION("""COMPUTED_VALUE"""),44754.0)</f>
        <v>44754</v>
      </c>
      <c r="U428" s="148">
        <f>IFERROR(__xludf.DUMMYFUNCTION("""COMPUTED_VALUE"""),48406.0)</f>
        <v>48406</v>
      </c>
      <c r="V428" s="149">
        <f>IFERROR(__xludf.DUMMYFUNCTION("""COMPUTED_VALUE"""),48224.0)</f>
        <v>48224</v>
      </c>
      <c r="W428" t="str">
        <f>IFERROR(__xludf.DUMMYFUNCTION("""COMPUTED_VALUE"""),"ปลอดภัย")</f>
        <v>ปลอดภัย</v>
      </c>
      <c r="X428" t="str">
        <f>IFERROR(__xludf.DUMMYFUNCTION("""COMPUTED_VALUE"""),"Bangkok")</f>
        <v>Bangkok</v>
      </c>
      <c r="Y428" t="str">
        <f>IFERROR(__xludf.DUMMYFUNCTION("""COMPUTED_VALUE"""),"Bangkhaen")</f>
        <v>Bangkhaen</v>
      </c>
      <c r="Z428" t="str">
        <f>IFERROR(__xludf.DUMMYFUNCTION("""COMPUTED_VALUE"""),"087 705 6181")</f>
        <v>087 705 6181</v>
      </c>
      <c r="AA428" t="str">
        <f>IFERROR(__xludf.DUMMYFUNCTION("""COMPUTED_VALUE"""),"Mother")</f>
        <v>Mother</v>
      </c>
      <c r="AB428" t="str">
        <f>IFERROR(__xludf.DUMMYFUNCTION("""COMPUTED_VALUE"""),"nattayaneej@airasia.com")</f>
        <v>nattayaneej@airasia.com</v>
      </c>
    </row>
    <row r="429">
      <c r="A429">
        <f>IFERROR(__xludf.DUMMYFUNCTION("""COMPUTED_VALUE"""),1007267.0)</f>
        <v>1007267</v>
      </c>
      <c r="B429" t="str">
        <f>IFERROR(__xludf.DUMMYFUNCTION("""COMPUTED_VALUE"""),"Ms.")</f>
        <v>Ms.</v>
      </c>
      <c r="C429" t="str">
        <f>IFERROR(__xludf.DUMMYFUNCTION("""COMPUTED_VALUE"""),"Navarat")</f>
        <v>Navarat</v>
      </c>
      <c r="D429" t="str">
        <f>IFERROR(__xludf.DUMMYFUNCTION("""COMPUTED_VALUE"""),"Chokbamrungcharoenkul")</f>
        <v>Chokbamrungcharoenkul</v>
      </c>
      <c r="E429" t="str">
        <f>IFERROR(__xludf.DUMMYFUNCTION("""COMPUTED_VALUE"""),"Navarat Chokbamrungcharoenkul")</f>
        <v>Navarat Chokbamrungcharoenkul</v>
      </c>
      <c r="F429" t="str">
        <f>IFERROR(__xludf.DUMMYFUNCTION("""COMPUTED_VALUE"""),"นางสาว")</f>
        <v>นางสาว</v>
      </c>
      <c r="G429" t="str">
        <f>IFERROR(__xludf.DUMMYFUNCTION("""COMPUTED_VALUE"""),"นวรัตน์")</f>
        <v>นวรัตน์</v>
      </c>
      <c r="H429" t="str">
        <f>IFERROR(__xludf.DUMMYFUNCTION("""COMPUTED_VALUE"""),"โชคบำรุงเจริญกุล")</f>
        <v>โชคบำรุงเจริญกุล</v>
      </c>
      <c r="I429" t="str">
        <f>IFERROR(__xludf.DUMMYFUNCTION("""COMPUTED_VALUE"""),"นวรัตน์ โชคบำรุงเจริญกุล")</f>
        <v>นวรัตน์ โชคบำรุงเจริญกุล</v>
      </c>
      <c r="J429" t="str">
        <f>IFERROR(__xludf.DUMMYFUNCTION("""COMPUTED_VALUE"""),"ทราย")</f>
        <v>ทราย</v>
      </c>
      <c r="K429" t="str">
        <f>IFERROR(__xludf.DUMMYFUNCTION("""COMPUTED_VALUE"""),"Cabin Crew")</f>
        <v>Cabin Crew</v>
      </c>
      <c r="L429" t="str">
        <f>IFERROR(__xludf.DUMMYFUNCTION("""COMPUTED_VALUE"""),"DMK")</f>
        <v>DMK</v>
      </c>
      <c r="M429" s="145" t="str">
        <f>IFERROR(__xludf.DUMMYFUNCTION("""COMPUTED_VALUE"""),"Por+ Home")</f>
        <v>Por+ Home</v>
      </c>
      <c r="N429" t="str">
        <f>IFERROR(__xludf.DUMMYFUNCTION("""COMPUTED_VALUE"""),"Active")</f>
        <v>Active</v>
      </c>
      <c r="P429" s="143">
        <f>IFERROR(__xludf.DUMMYFUNCTION("""COMPUTED_VALUE"""),31521.0)</f>
        <v>31521</v>
      </c>
      <c r="Q429" s="146" t="str">
        <f>IFERROR(__xludf.DUMMYFUNCTION("""COMPUTED_VALUE"""),"088 942 9541")</f>
        <v>088 942 9541</v>
      </c>
      <c r="R429" s="147">
        <f>IFERROR(__xludf.DUMMYFUNCTION("""COMPUTED_VALUE"""),1.101400657986E12)</f>
        <v>1101400657986</v>
      </c>
      <c r="S429" t="str">
        <f>IFERROR(__xludf.DUMMYFUNCTION("""COMPUTED_VALUE"""),"AC5214591")</f>
        <v>AC5214591</v>
      </c>
      <c r="T429" s="148">
        <f>IFERROR(__xludf.DUMMYFUNCTION("""COMPUTED_VALUE"""),45124.0)</f>
        <v>45124</v>
      </c>
      <c r="U429" s="148">
        <f>IFERROR(__xludf.DUMMYFUNCTION("""COMPUTED_VALUE"""),48776.0)</f>
        <v>48776</v>
      </c>
      <c r="V429" s="149">
        <f>IFERROR(__xludf.DUMMYFUNCTION("""COMPUTED_VALUE"""),48595.0)</f>
        <v>48595</v>
      </c>
      <c r="W429" t="str">
        <f>IFERROR(__xludf.DUMMYFUNCTION("""COMPUTED_VALUE"""),"ปลอดภัย")</f>
        <v>ปลอดภัย</v>
      </c>
      <c r="X429" t="str">
        <f>IFERROR(__xludf.DUMMYFUNCTION("""COMPUTED_VALUE"""),"Bangkok")</f>
        <v>Bangkok</v>
      </c>
      <c r="Y429" t="str">
        <f>IFERROR(__xludf.DUMMYFUNCTION("""COMPUTED_VALUE"""),"Phayathai")</f>
        <v>Phayathai</v>
      </c>
      <c r="Z429" t="str">
        <f>IFERROR(__xludf.DUMMYFUNCTION("""COMPUTED_VALUE"""),"02 278 5836 / 081 625 0767 / 02 411 3966")</f>
        <v>02 278 5836 / 081 625 0767 / 02 411 3966</v>
      </c>
      <c r="AA429" t="str">
        <f>IFERROR(__xludf.DUMMYFUNCTION("""COMPUTED_VALUE"""),"Home / Relative")</f>
        <v>Home / Relative</v>
      </c>
      <c r="AB429" t="str">
        <f>IFERROR(__xludf.DUMMYFUNCTION("""COMPUTED_VALUE"""),"navaratc@airasia.com")</f>
        <v>navaratc@airasia.com</v>
      </c>
    </row>
    <row r="430">
      <c r="A430">
        <f>IFERROR(__xludf.DUMMYFUNCTION("""COMPUTED_VALUE"""),1007268.0)</f>
        <v>1007268</v>
      </c>
      <c r="B430" t="str">
        <f>IFERROR(__xludf.DUMMYFUNCTION("""COMPUTED_VALUE"""),"Ms.")</f>
        <v>Ms.</v>
      </c>
      <c r="C430" t="str">
        <f>IFERROR(__xludf.DUMMYFUNCTION("""COMPUTED_VALUE"""),"Nujira")</f>
        <v>Nujira</v>
      </c>
      <c r="D430" t="str">
        <f>IFERROR(__xludf.DUMMYFUNCTION("""COMPUTED_VALUE"""),"Suwanasang")</f>
        <v>Suwanasang</v>
      </c>
      <c r="E430" t="str">
        <f>IFERROR(__xludf.DUMMYFUNCTION("""COMPUTED_VALUE"""),"Nujira Suwanasang")</f>
        <v>Nujira Suwanasang</v>
      </c>
      <c r="F430" t="str">
        <f>IFERROR(__xludf.DUMMYFUNCTION("""COMPUTED_VALUE"""),"นางสาว")</f>
        <v>นางสาว</v>
      </c>
      <c r="G430" t="str">
        <f>IFERROR(__xludf.DUMMYFUNCTION("""COMPUTED_VALUE"""),"นุจิรา")</f>
        <v>นุจิรา</v>
      </c>
      <c r="H430" t="str">
        <f>IFERROR(__xludf.DUMMYFUNCTION("""COMPUTED_VALUE"""),"สุวรรณสังข์")</f>
        <v>สุวรรณสังข์</v>
      </c>
      <c r="I430" t="str">
        <f>IFERROR(__xludf.DUMMYFUNCTION("""COMPUTED_VALUE"""),"นุจิรา สุวรรณสังข์")</f>
        <v>นุจิรา สุวรรณสังข์</v>
      </c>
      <c r="J430" t="str">
        <f>IFERROR(__xludf.DUMMYFUNCTION("""COMPUTED_VALUE"""),"โบว์")</f>
        <v>โบว์</v>
      </c>
      <c r="K430" t="str">
        <f>IFERROR(__xludf.DUMMYFUNCTION("""COMPUTED_VALUE"""),"Cabin Crew - CNX")</f>
        <v>Cabin Crew - CNX</v>
      </c>
      <c r="L430" t="str">
        <f>IFERROR(__xludf.DUMMYFUNCTION("""COMPUTED_VALUE"""),"CNX")</f>
        <v>CNX</v>
      </c>
      <c r="M430" s="145" t="str">
        <f>IFERROR(__xludf.DUMMYFUNCTION("""COMPUTED_VALUE"""),"Up Home")</f>
        <v>Up Home</v>
      </c>
      <c r="N430" t="str">
        <f>IFERROR(__xludf.DUMMYFUNCTION("""COMPUTED_VALUE"""),"MATL")</f>
        <v>MATL</v>
      </c>
      <c r="P430" s="143">
        <f>IFERROR(__xludf.DUMMYFUNCTION("""COMPUTED_VALUE"""),30645.0)</f>
        <v>30645</v>
      </c>
      <c r="Q430" s="146">
        <f>IFERROR(__xludf.DUMMYFUNCTION("""COMPUTED_VALUE"""),8.22819365E8)</f>
        <v>822819365</v>
      </c>
      <c r="R430" s="147">
        <f>IFERROR(__xludf.DUMMYFUNCTION("""COMPUTED_VALUE"""),4.100900042682E12)</f>
        <v>4100900042682</v>
      </c>
      <c r="S430" t="str">
        <f>IFERROR(__xludf.DUMMYFUNCTION("""COMPUTED_VALUE"""),"AC4189972")</f>
        <v>AC4189972</v>
      </c>
      <c r="T430" s="148">
        <f>IFERROR(__xludf.DUMMYFUNCTION("""COMPUTED_VALUE"""),44882.0)</f>
        <v>44882</v>
      </c>
      <c r="U430" s="148">
        <f>IFERROR(__xludf.DUMMYFUNCTION("""COMPUTED_VALUE"""),48534.0)</f>
        <v>48534</v>
      </c>
      <c r="V430" s="149">
        <f>IFERROR(__xludf.DUMMYFUNCTION("""COMPUTED_VALUE"""),48350.0)</f>
        <v>48350</v>
      </c>
      <c r="W430" t="str">
        <f>IFERROR(__xludf.DUMMYFUNCTION("""COMPUTED_VALUE"""),"ปลอดภัย")</f>
        <v>ปลอดภัย</v>
      </c>
      <c r="X430" t="str">
        <f>IFERROR(__xludf.DUMMYFUNCTION("""COMPUTED_VALUE"""),"Bangkok")</f>
        <v>Bangkok</v>
      </c>
      <c r="Y430" t="str">
        <f>IFERROR(__xludf.DUMMYFUNCTION("""COMPUTED_VALUE"""),"Pathumtani")</f>
        <v>Pathumtani</v>
      </c>
      <c r="Z430" t="str">
        <f>IFERROR(__xludf.DUMMYFUNCTION("""COMPUTED_VALUE"""),"089 137 5883")</f>
        <v>089 137 5883</v>
      </c>
      <c r="AA430" t="str">
        <f>IFERROR(__xludf.DUMMYFUNCTION("""COMPUTED_VALUE"""),"Father")</f>
        <v>Father</v>
      </c>
      <c r="AB430" t="str">
        <f>IFERROR(__xludf.DUMMYFUNCTION("""COMPUTED_VALUE"""),"nujiras@airasia.com")</f>
        <v>nujiras@airasia.com</v>
      </c>
    </row>
    <row r="431">
      <c r="A431">
        <f>IFERROR(__xludf.DUMMYFUNCTION("""COMPUTED_VALUE"""),1007269.0)</f>
        <v>1007269</v>
      </c>
      <c r="B431" t="str">
        <f>IFERROR(__xludf.DUMMYFUNCTION("""COMPUTED_VALUE"""),"Mr.")</f>
        <v>Mr.</v>
      </c>
      <c r="C431" t="str">
        <f>IFERROR(__xludf.DUMMYFUNCTION("""COMPUTED_VALUE"""),"Pattarapoom")</f>
        <v>Pattarapoom</v>
      </c>
      <c r="D431" t="str">
        <f>IFERROR(__xludf.DUMMYFUNCTION("""COMPUTED_VALUE"""),"Settaprasert")</f>
        <v>Settaprasert</v>
      </c>
      <c r="E431" t="str">
        <f>IFERROR(__xludf.DUMMYFUNCTION("""COMPUTED_VALUE"""),"Pattarapoom Settaprasert")</f>
        <v>Pattarapoom Settaprasert</v>
      </c>
      <c r="F431" t="str">
        <f>IFERROR(__xludf.DUMMYFUNCTION("""COMPUTED_VALUE"""),"นาย")</f>
        <v>นาย</v>
      </c>
      <c r="G431" t="str">
        <f>IFERROR(__xludf.DUMMYFUNCTION("""COMPUTED_VALUE"""),"ภัทรภูมิ")</f>
        <v>ภัทรภูมิ</v>
      </c>
      <c r="H431" t="str">
        <f>IFERROR(__xludf.DUMMYFUNCTION("""COMPUTED_VALUE"""),"เศรษฐประเสริฐ")</f>
        <v>เศรษฐประเสริฐ</v>
      </c>
      <c r="I431" t="str">
        <f>IFERROR(__xludf.DUMMYFUNCTION("""COMPUTED_VALUE"""),"ภัทรภูมิ เศรษฐประเสริฐ")</f>
        <v>ภัทรภูมิ เศรษฐประเสริฐ</v>
      </c>
      <c r="J431" t="str">
        <f>IFERROR(__xludf.DUMMYFUNCTION("""COMPUTED_VALUE"""),"Poom")</f>
        <v>Poom</v>
      </c>
      <c r="K431" t="str">
        <f>IFERROR(__xludf.DUMMYFUNCTION("""COMPUTED_VALUE"""),"Senior Cabin Crew")</f>
        <v>Senior Cabin Crew</v>
      </c>
      <c r="L431" t="str">
        <f>IFERROR(__xludf.DUMMYFUNCTION("""COMPUTED_VALUE"""),"DMK")</f>
        <v>DMK</v>
      </c>
      <c r="M431" s="145" t="str">
        <f>IFERROR(__xludf.DUMMYFUNCTION("""COMPUTED_VALUE"""),"Namfon Home")</f>
        <v>Namfon Home</v>
      </c>
      <c r="N431" t="str">
        <f>IFERROR(__xludf.DUMMYFUNCTION("""COMPUTED_VALUE"""),"Active")</f>
        <v>Active</v>
      </c>
      <c r="P431" s="143">
        <f>IFERROR(__xludf.DUMMYFUNCTION("""COMPUTED_VALUE"""),32021.0)</f>
        <v>32021</v>
      </c>
      <c r="Q431" s="146">
        <f>IFERROR(__xludf.DUMMYFUNCTION("""COMPUTED_VALUE"""),9.68791441E8)</f>
        <v>968791441</v>
      </c>
      <c r="R431" s="147">
        <f>IFERROR(__xludf.DUMMYFUNCTION("""COMPUTED_VALUE"""),1.959900131754E12)</f>
        <v>1959900131754</v>
      </c>
      <c r="S431" t="str">
        <f>IFERROR(__xludf.DUMMYFUNCTION("""COMPUTED_VALUE"""),"AC2759818")</f>
        <v>AC2759818</v>
      </c>
      <c r="T431" s="148">
        <f>IFERROR(__xludf.DUMMYFUNCTION("""COMPUTED_VALUE"""),44494.0)</f>
        <v>44494</v>
      </c>
      <c r="U431" s="148">
        <f>IFERROR(__xludf.DUMMYFUNCTION("""COMPUTED_VALUE"""),48145.0)</f>
        <v>48145</v>
      </c>
      <c r="V431" s="149">
        <f>IFERROR(__xludf.DUMMYFUNCTION("""COMPUTED_VALUE"""),47962.0)</f>
        <v>47962</v>
      </c>
      <c r="W431" t="str">
        <f>IFERROR(__xludf.DUMMYFUNCTION("""COMPUTED_VALUE"""),"ปลอดภัย")</f>
        <v>ปลอดภัย</v>
      </c>
      <c r="X431" t="str">
        <f>IFERROR(__xludf.DUMMYFUNCTION("""COMPUTED_VALUE"""),"Yala Province")</f>
        <v>Yala Province</v>
      </c>
      <c r="Y431" t="str">
        <f>IFERROR(__xludf.DUMMYFUNCTION("""COMPUTED_VALUE"""),"Dindaeng")</f>
        <v>Dindaeng</v>
      </c>
      <c r="Z431" t="str">
        <f>IFERROR(__xludf.DUMMYFUNCTION("""COMPUTED_VALUE"""),"074 312 338 / 089 467 0264 / 081 645 6919")</f>
        <v>074 312 338 / 089 467 0264 / 081 645 6919</v>
      </c>
      <c r="AA431" t="str">
        <f>IFERROR(__xludf.DUMMYFUNCTION("""COMPUTED_VALUE"""),"Home / Relative")</f>
        <v>Home / Relative</v>
      </c>
      <c r="AB431" t="str">
        <f>IFERROR(__xludf.DUMMYFUNCTION("""COMPUTED_VALUE"""),"pattarapooms@airasia.com")</f>
        <v>pattarapooms@airasia.com</v>
      </c>
    </row>
    <row r="432">
      <c r="A432">
        <f>IFERROR(__xludf.DUMMYFUNCTION("""COMPUTED_VALUE"""),1007270.0)</f>
        <v>1007270</v>
      </c>
      <c r="B432" t="str">
        <f>IFERROR(__xludf.DUMMYFUNCTION("""COMPUTED_VALUE"""),"Ms.")</f>
        <v>Ms.</v>
      </c>
      <c r="C432" t="str">
        <f>IFERROR(__xludf.DUMMYFUNCTION("""COMPUTED_VALUE"""),"Radarom")</f>
        <v>Radarom</v>
      </c>
      <c r="D432" t="str">
        <f>IFERROR(__xludf.DUMMYFUNCTION("""COMPUTED_VALUE"""),"Sunakorn")</f>
        <v>Sunakorn</v>
      </c>
      <c r="E432" t="str">
        <f>IFERROR(__xludf.DUMMYFUNCTION("""COMPUTED_VALUE"""),"Radarom Sunakorn")</f>
        <v>Radarom Sunakorn</v>
      </c>
      <c r="F432" t="str">
        <f>IFERROR(__xludf.DUMMYFUNCTION("""COMPUTED_VALUE"""),"นางสาว")</f>
        <v>นางสาว</v>
      </c>
      <c r="G432" t="str">
        <f>IFERROR(__xludf.DUMMYFUNCTION("""COMPUTED_VALUE"""),"รดารมย์")</f>
        <v>รดารมย์</v>
      </c>
      <c r="H432" t="str">
        <f>IFERROR(__xludf.DUMMYFUNCTION("""COMPUTED_VALUE"""),"สุนากร")</f>
        <v>สุนากร</v>
      </c>
      <c r="I432" t="str">
        <f>IFERROR(__xludf.DUMMYFUNCTION("""COMPUTED_VALUE"""),"รดารมย์ สุนากร")</f>
        <v>รดารมย์ สุนากร</v>
      </c>
      <c r="J432" t="str">
        <f>IFERROR(__xludf.DUMMYFUNCTION("""COMPUTED_VALUE"""),"ปุยฝ้าย")</f>
        <v>ปุยฝ้าย</v>
      </c>
      <c r="K432" t="str">
        <f>IFERROR(__xludf.DUMMYFUNCTION("""COMPUTED_VALUE"""),"Cabin Crew")</f>
        <v>Cabin Crew</v>
      </c>
      <c r="L432" t="str">
        <f>IFERROR(__xludf.DUMMYFUNCTION("""COMPUTED_VALUE"""),"DMK")</f>
        <v>DMK</v>
      </c>
      <c r="M432" s="145" t="str">
        <f>IFERROR(__xludf.DUMMYFUNCTION("""COMPUTED_VALUE"""),"Namfon Home")</f>
        <v>Namfon Home</v>
      </c>
      <c r="N432" t="str">
        <f>IFERROR(__xludf.DUMMYFUNCTION("""COMPUTED_VALUE"""),"Active")</f>
        <v>Active</v>
      </c>
      <c r="P432" s="143">
        <f>IFERROR(__xludf.DUMMYFUNCTION("""COMPUTED_VALUE"""),31746.0)</f>
        <v>31746</v>
      </c>
      <c r="Q432" s="146" t="str">
        <f>IFERROR(__xludf.DUMMYFUNCTION("""COMPUTED_VALUE"""),"092 319 6622")</f>
        <v>092 319 6622</v>
      </c>
      <c r="R432" s="147">
        <f>IFERROR(__xludf.DUMMYFUNCTION("""COMPUTED_VALUE"""),1.100800313698E12)</f>
        <v>1100800313698</v>
      </c>
      <c r="S432" t="str">
        <f>IFERROR(__xludf.DUMMYFUNCTION("""COMPUTED_VALUE"""),"AC3090647")</f>
        <v>AC3090647</v>
      </c>
      <c r="T432" s="148">
        <f>IFERROR(__xludf.DUMMYFUNCTION("""COMPUTED_VALUE"""),44687.0)</f>
        <v>44687</v>
      </c>
      <c r="U432" s="148">
        <f>IFERROR(__xludf.DUMMYFUNCTION("""COMPUTED_VALUE"""),48339.0)</f>
        <v>48339</v>
      </c>
      <c r="V432" s="149">
        <f>IFERROR(__xludf.DUMMYFUNCTION("""COMPUTED_VALUE"""),48157.0)</f>
        <v>48157</v>
      </c>
      <c r="W432" t="str">
        <f>IFERROR(__xludf.DUMMYFUNCTION("""COMPUTED_VALUE"""),"ปลอดภัย")</f>
        <v>ปลอดภัย</v>
      </c>
      <c r="X432" t="str">
        <f>IFERROR(__xludf.DUMMYFUNCTION("""COMPUTED_VALUE"""),"Bangkok")</f>
        <v>Bangkok</v>
      </c>
      <c r="Y432" t="str">
        <f>IFERROR(__xludf.DUMMYFUNCTION("""COMPUTED_VALUE"""),"Pakkret")</f>
        <v>Pakkret</v>
      </c>
      <c r="Z432" t="str">
        <f>IFERROR(__xludf.DUMMYFUNCTION("""COMPUTED_VALUE"""),"02 584 1459 / 081 337 3240")</f>
        <v>02 584 1459 / 081 337 3240</v>
      </c>
      <c r="AA432" t="str">
        <f>IFERROR(__xludf.DUMMYFUNCTION("""COMPUTED_VALUE"""),"Home / Relative")</f>
        <v>Home / Relative</v>
      </c>
      <c r="AB432" t="str">
        <f>IFERROR(__xludf.DUMMYFUNCTION("""COMPUTED_VALUE"""),"radaroms@airasia.com")</f>
        <v>radaroms@airasia.com</v>
      </c>
    </row>
    <row r="433">
      <c r="A433">
        <f>IFERROR(__xludf.DUMMYFUNCTION("""COMPUTED_VALUE"""),1007271.0)</f>
        <v>1007271</v>
      </c>
      <c r="B433" t="str">
        <f>IFERROR(__xludf.DUMMYFUNCTION("""COMPUTED_VALUE"""),"Ms.")</f>
        <v>Ms.</v>
      </c>
      <c r="C433" t="str">
        <f>IFERROR(__xludf.DUMMYFUNCTION("""COMPUTED_VALUE"""),"Ruchdaporn")</f>
        <v>Ruchdaporn</v>
      </c>
      <c r="D433" t="str">
        <f>IFERROR(__xludf.DUMMYFUNCTION("""COMPUTED_VALUE"""),"Niratch")</f>
        <v>Niratch</v>
      </c>
      <c r="E433" t="str">
        <f>IFERROR(__xludf.DUMMYFUNCTION("""COMPUTED_VALUE"""),"Ruchdaporn Niratch")</f>
        <v>Ruchdaporn Niratch</v>
      </c>
      <c r="F433" t="str">
        <f>IFERROR(__xludf.DUMMYFUNCTION("""COMPUTED_VALUE"""),"นางสาว")</f>
        <v>นางสาว</v>
      </c>
      <c r="G433" t="str">
        <f>IFERROR(__xludf.DUMMYFUNCTION("""COMPUTED_VALUE"""),"รัชฎาพร")</f>
        <v>รัชฎาพร</v>
      </c>
      <c r="H433" t="str">
        <f>IFERROR(__xludf.DUMMYFUNCTION("""COMPUTED_VALUE"""),"นิราช")</f>
        <v>นิราช</v>
      </c>
      <c r="I433" t="str">
        <f>IFERROR(__xludf.DUMMYFUNCTION("""COMPUTED_VALUE"""),"รัชฎาพร นิราช")</f>
        <v>รัชฎาพร นิราช</v>
      </c>
      <c r="J433" t="str">
        <f>IFERROR(__xludf.DUMMYFUNCTION("""COMPUTED_VALUE"""),"เมย์")</f>
        <v>เมย์</v>
      </c>
      <c r="K433" t="str">
        <f>IFERROR(__xludf.DUMMYFUNCTION("""COMPUTED_VALUE"""),"Cabin Crew - CNX")</f>
        <v>Cabin Crew - CNX</v>
      </c>
      <c r="L433" t="str">
        <f>IFERROR(__xludf.DUMMYFUNCTION("""COMPUTED_VALUE"""),"CNX")</f>
        <v>CNX</v>
      </c>
      <c r="M433" s="145" t="str">
        <f>IFERROR(__xludf.DUMMYFUNCTION("""COMPUTED_VALUE"""),"Up Home")</f>
        <v>Up Home</v>
      </c>
      <c r="N433" t="str">
        <f>IFERROR(__xludf.DUMMYFUNCTION("""COMPUTED_VALUE"""),"Active")</f>
        <v>Active</v>
      </c>
      <c r="P433" s="143">
        <f>IFERROR(__xludf.DUMMYFUNCTION("""COMPUTED_VALUE"""),31854.0)</f>
        <v>31854</v>
      </c>
      <c r="Q433" s="146" t="str">
        <f>IFERROR(__xludf.DUMMYFUNCTION("""COMPUTED_VALUE"""),"084 222 3902")</f>
        <v>084 222 3902</v>
      </c>
      <c r="R433" s="147">
        <f>IFERROR(__xludf.DUMMYFUNCTION("""COMPUTED_VALUE"""),1.509900470641E12)</f>
        <v>1509900470641</v>
      </c>
      <c r="S433" t="str">
        <f>IFERROR(__xludf.DUMMYFUNCTION("""COMPUTED_VALUE"""),"AD2527671")</f>
        <v>AD2527671</v>
      </c>
      <c r="T433" s="148">
        <f>IFERROR(__xludf.DUMMYFUNCTION("""COMPUTED_VALUE"""),45896.0)</f>
        <v>45896</v>
      </c>
      <c r="U433" s="148">
        <f>IFERROR(__xludf.DUMMYFUNCTION("""COMPUTED_VALUE"""),49547.0)</f>
        <v>49547</v>
      </c>
      <c r="V433" s="149">
        <f>IFERROR(__xludf.DUMMYFUNCTION("""COMPUTED_VALUE"""),49366.0)</f>
        <v>49366</v>
      </c>
      <c r="W433" t="str">
        <f>IFERROR(__xludf.DUMMYFUNCTION("""COMPUTED_VALUE"""),"ปลอดภัย")</f>
        <v>ปลอดภัย</v>
      </c>
      <c r="X433" t="str">
        <f>IFERROR(__xludf.DUMMYFUNCTION("""COMPUTED_VALUE"""),"Chiang Mai Province")</f>
        <v>Chiang Mai Province</v>
      </c>
      <c r="Y433" t="str">
        <f>IFERROR(__xludf.DUMMYFUNCTION("""COMPUTED_VALUE"""),"Donmueang")</f>
        <v>Donmueang</v>
      </c>
      <c r="Z433" t="str">
        <f>IFERROR(__xludf.DUMMYFUNCTION("""COMPUTED_VALUE"""),"082 033 1998 / 082 033 1990")</f>
        <v>082 033 1998 / 082 033 1990</v>
      </c>
      <c r="AA433" t="str">
        <f>IFERROR(__xludf.DUMMYFUNCTION("""COMPUTED_VALUE"""),"Relative")</f>
        <v>Relative</v>
      </c>
      <c r="AB433" t="str">
        <f>IFERROR(__xludf.DUMMYFUNCTION("""COMPUTED_VALUE"""),"ruchdapornn@airasia.com")</f>
        <v>ruchdapornn@airasia.com</v>
      </c>
    </row>
    <row r="434">
      <c r="A434">
        <f>IFERROR(__xludf.DUMMYFUNCTION("""COMPUTED_VALUE"""),1007272.0)</f>
        <v>1007272</v>
      </c>
      <c r="B434" t="str">
        <f>IFERROR(__xludf.DUMMYFUNCTION("""COMPUTED_VALUE"""),"Ms.")</f>
        <v>Ms.</v>
      </c>
      <c r="C434" t="str">
        <f>IFERROR(__xludf.DUMMYFUNCTION("""COMPUTED_VALUE"""),"Sadchakarn")</f>
        <v>Sadchakarn</v>
      </c>
      <c r="D434" t="str">
        <f>IFERROR(__xludf.DUMMYFUNCTION("""COMPUTED_VALUE"""),"Choochomchuen")</f>
        <v>Choochomchuen</v>
      </c>
      <c r="E434" t="str">
        <f>IFERROR(__xludf.DUMMYFUNCTION("""COMPUTED_VALUE"""),"Sadchakarn Choochomchuen")</f>
        <v>Sadchakarn Choochomchuen</v>
      </c>
      <c r="F434" t="str">
        <f>IFERROR(__xludf.DUMMYFUNCTION("""COMPUTED_VALUE"""),"นางสาว")</f>
        <v>นางสาว</v>
      </c>
      <c r="G434" t="str">
        <f>IFERROR(__xludf.DUMMYFUNCTION("""COMPUTED_VALUE"""),"สัชฌากาญจน์")</f>
        <v>สัชฌากาญจน์</v>
      </c>
      <c r="H434" t="str">
        <f>IFERROR(__xludf.DUMMYFUNCTION("""COMPUTED_VALUE"""),"ชูชมชื่น")</f>
        <v>ชูชมชื่น</v>
      </c>
      <c r="I434" t="str">
        <f>IFERROR(__xludf.DUMMYFUNCTION("""COMPUTED_VALUE"""),"สัชฌากาญจน์ ชูชมชื่น")</f>
        <v>สัชฌากาญจน์ ชูชมชื่น</v>
      </c>
      <c r="J434" t="str">
        <f>IFERROR(__xludf.DUMMYFUNCTION("""COMPUTED_VALUE"""),"เกด")</f>
        <v>เกด</v>
      </c>
      <c r="K434" t="str">
        <f>IFERROR(__xludf.DUMMYFUNCTION("""COMPUTED_VALUE"""),"Cabin Crew")</f>
        <v>Cabin Crew</v>
      </c>
      <c r="L434" t="str">
        <f>IFERROR(__xludf.DUMMYFUNCTION("""COMPUTED_VALUE"""),"DMK")</f>
        <v>DMK</v>
      </c>
      <c r="M434" s="145" t="str">
        <f>IFERROR(__xludf.DUMMYFUNCTION("""COMPUTED_VALUE"""),"Por+ Home")</f>
        <v>Por+ Home</v>
      </c>
      <c r="N434" t="str">
        <f>IFERROR(__xludf.DUMMYFUNCTION("""COMPUTED_VALUE"""),"V/LWP")</f>
        <v>V/LWP</v>
      </c>
      <c r="P434" s="143">
        <f>IFERROR(__xludf.DUMMYFUNCTION("""COMPUTED_VALUE"""),31003.0)</f>
        <v>31003</v>
      </c>
      <c r="Q434" s="146" t="str">
        <f>IFERROR(__xludf.DUMMYFUNCTION("""COMPUTED_VALUE"""),"087 595 4458")</f>
        <v>087 595 4458</v>
      </c>
      <c r="R434" s="147">
        <f>IFERROR(__xludf.DUMMYFUNCTION("""COMPUTED_VALUE"""),1.80970001576E12)</f>
        <v>1809700015760</v>
      </c>
      <c r="S434" t="str">
        <f>IFERROR(__xludf.DUMMYFUNCTION("""COMPUTED_VALUE"""),"AD1093284")</f>
        <v>AD1093284</v>
      </c>
      <c r="T434" s="148">
        <f>IFERROR(__xludf.DUMMYFUNCTION("""COMPUTED_VALUE"""),45065.0)</f>
        <v>45065</v>
      </c>
      <c r="U434" s="148">
        <f>IFERROR(__xludf.DUMMYFUNCTION("""COMPUTED_VALUE"""),48717.0)</f>
        <v>48717</v>
      </c>
      <c r="V434" s="149">
        <f>IFERROR(__xludf.DUMMYFUNCTION("""COMPUTED_VALUE"""),48536.0)</f>
        <v>48536</v>
      </c>
      <c r="W434" t="str">
        <f>IFERROR(__xludf.DUMMYFUNCTION("""COMPUTED_VALUE"""),"ปลอดภัย")</f>
        <v>ปลอดภัย</v>
      </c>
      <c r="X434" t="str">
        <f>IFERROR(__xludf.DUMMYFUNCTION("""COMPUTED_VALUE"""),"Nakhon Si Thammarat Province")</f>
        <v>Nakhon Si Thammarat Province</v>
      </c>
      <c r="Y434" t="str">
        <f>IFERROR(__xludf.DUMMYFUNCTION("""COMPUTED_VALUE"""),"Pravet")</f>
        <v>Pravet</v>
      </c>
      <c r="Z434" t="str">
        <f>IFERROR(__xludf.DUMMYFUNCTION("""COMPUTED_VALUE"""),"081 537 4699")</f>
        <v>081 537 4699</v>
      </c>
      <c r="AA434" t="str">
        <f>IFERROR(__xludf.DUMMYFUNCTION("""COMPUTED_VALUE"""),"Father")</f>
        <v>Father</v>
      </c>
      <c r="AB434" t="str">
        <f>IFERROR(__xludf.DUMMYFUNCTION("""COMPUTED_VALUE"""),"sadchakarnc@airasia.com")</f>
        <v>sadchakarnc@airasia.com</v>
      </c>
    </row>
    <row r="435">
      <c r="A435">
        <f>IFERROR(__xludf.DUMMYFUNCTION("""COMPUTED_VALUE"""),1007273.0)</f>
        <v>1007273</v>
      </c>
      <c r="B435" t="str">
        <f>IFERROR(__xludf.DUMMYFUNCTION("""COMPUTED_VALUE"""),"Ms.")</f>
        <v>Ms.</v>
      </c>
      <c r="C435" t="str">
        <f>IFERROR(__xludf.DUMMYFUNCTION("""COMPUTED_VALUE"""),"Sarinya")</f>
        <v>Sarinya</v>
      </c>
      <c r="D435" t="str">
        <f>IFERROR(__xludf.DUMMYFUNCTION("""COMPUTED_VALUE"""),"Phontong")</f>
        <v>Phontong</v>
      </c>
      <c r="E435" t="str">
        <f>IFERROR(__xludf.DUMMYFUNCTION("""COMPUTED_VALUE"""),"Sarinya Phontong")</f>
        <v>Sarinya Phontong</v>
      </c>
      <c r="F435" t="str">
        <f>IFERROR(__xludf.DUMMYFUNCTION("""COMPUTED_VALUE"""),"นางสาว")</f>
        <v>นางสาว</v>
      </c>
      <c r="G435" t="str">
        <f>IFERROR(__xludf.DUMMYFUNCTION("""COMPUTED_VALUE"""),"สริญญา")</f>
        <v>สริญญา</v>
      </c>
      <c r="H435" t="str">
        <f>IFERROR(__xludf.DUMMYFUNCTION("""COMPUTED_VALUE"""),"โพนทอง")</f>
        <v>โพนทอง</v>
      </c>
      <c r="I435" t="str">
        <f>IFERROR(__xludf.DUMMYFUNCTION("""COMPUTED_VALUE"""),"สริญญา โพนทอง")</f>
        <v>สริญญา โพนทอง</v>
      </c>
      <c r="J435" t="str">
        <f>IFERROR(__xludf.DUMMYFUNCTION("""COMPUTED_VALUE"""),"June")</f>
        <v>June</v>
      </c>
      <c r="K435" t="str">
        <f>IFERROR(__xludf.DUMMYFUNCTION("""COMPUTED_VALUE"""),"Cabin Crew")</f>
        <v>Cabin Crew</v>
      </c>
      <c r="L435" t="str">
        <f>IFERROR(__xludf.DUMMYFUNCTION("""COMPUTED_VALUE"""),"DMK")</f>
        <v>DMK</v>
      </c>
      <c r="M435" s="145" t="str">
        <f>IFERROR(__xludf.DUMMYFUNCTION("""COMPUTED_VALUE"""),"Namfon Home")</f>
        <v>Namfon Home</v>
      </c>
      <c r="N435" t="str">
        <f>IFERROR(__xludf.DUMMYFUNCTION("""COMPUTED_VALUE"""),"Active")</f>
        <v>Active</v>
      </c>
      <c r="P435" s="143">
        <f>IFERROR(__xludf.DUMMYFUNCTION("""COMPUTED_VALUE"""),31622.0)</f>
        <v>31622</v>
      </c>
      <c r="Q435" s="146" t="str">
        <f>IFERROR(__xludf.DUMMYFUNCTION("""COMPUTED_VALUE"""),"063 249 2336")</f>
        <v>063 249 2336</v>
      </c>
      <c r="R435" s="147">
        <f>IFERROR(__xludf.DUMMYFUNCTION("""COMPUTED_VALUE"""),1.460300085634E12)</f>
        <v>1460300085634</v>
      </c>
      <c r="S435" t="str">
        <f>IFERROR(__xludf.DUMMYFUNCTION("""COMPUTED_VALUE"""),"AC6146246")</f>
        <v>AC6146246</v>
      </c>
      <c r="T435" s="148">
        <f>IFERROR(__xludf.DUMMYFUNCTION("""COMPUTED_VALUE"""),45294.0)</f>
        <v>45294</v>
      </c>
      <c r="U435" s="148">
        <f>IFERROR(__xludf.DUMMYFUNCTION("""COMPUTED_VALUE"""),48946.0)</f>
        <v>48946</v>
      </c>
      <c r="V435" s="149">
        <f>IFERROR(__xludf.DUMMYFUNCTION("""COMPUTED_VALUE"""),48762.0)</f>
        <v>48762</v>
      </c>
      <c r="W435" t="str">
        <f>IFERROR(__xludf.DUMMYFUNCTION("""COMPUTED_VALUE"""),"ปลอดภัย")</f>
        <v>ปลอดภัย</v>
      </c>
      <c r="X435" t="str">
        <f>IFERROR(__xludf.DUMMYFUNCTION("""COMPUTED_VALUE"""),"Kalasin Province")</f>
        <v>Kalasin Province</v>
      </c>
      <c r="AB435" t="str">
        <f>IFERROR(__xludf.DUMMYFUNCTION("""COMPUTED_VALUE"""),"sarinyap@airasia.com")</f>
        <v>sarinyap@airasia.com</v>
      </c>
    </row>
    <row r="436">
      <c r="A436">
        <f>IFERROR(__xludf.DUMMYFUNCTION("""COMPUTED_VALUE"""),1007274.0)</f>
        <v>1007274</v>
      </c>
      <c r="B436" t="str">
        <f>IFERROR(__xludf.DUMMYFUNCTION("""COMPUTED_VALUE"""),"Ms.")</f>
        <v>Ms.</v>
      </c>
      <c r="C436" t="str">
        <f>IFERROR(__xludf.DUMMYFUNCTION("""COMPUTED_VALUE"""),"Sirapa")</f>
        <v>Sirapa</v>
      </c>
      <c r="D436" t="str">
        <f>IFERROR(__xludf.DUMMYFUNCTION("""COMPUTED_VALUE"""),"Luesut")</f>
        <v>Luesut</v>
      </c>
      <c r="E436" t="str">
        <f>IFERROR(__xludf.DUMMYFUNCTION("""COMPUTED_VALUE"""),"Sirapa Luesut")</f>
        <v>Sirapa Luesut</v>
      </c>
      <c r="F436" t="str">
        <f>IFERROR(__xludf.DUMMYFUNCTION("""COMPUTED_VALUE"""),"นางสาว")</f>
        <v>นางสาว</v>
      </c>
      <c r="G436" t="str">
        <f>IFERROR(__xludf.DUMMYFUNCTION("""COMPUTED_VALUE"""),"สิราภา")</f>
        <v>สิราภา</v>
      </c>
      <c r="H436" t="str">
        <f>IFERROR(__xludf.DUMMYFUNCTION("""COMPUTED_VALUE"""),"ลือสัตย์")</f>
        <v>ลือสัตย์</v>
      </c>
      <c r="I436" t="str">
        <f>IFERROR(__xludf.DUMMYFUNCTION("""COMPUTED_VALUE"""),"สิราภา ลือสัตย์")</f>
        <v>สิราภา ลือสัตย์</v>
      </c>
      <c r="J436" t="str">
        <f>IFERROR(__xludf.DUMMYFUNCTION("""COMPUTED_VALUE"""),"Baitoey")</f>
        <v>Baitoey</v>
      </c>
      <c r="K436" t="str">
        <f>IFERROR(__xludf.DUMMYFUNCTION("""COMPUTED_VALUE"""),"Cabin Crew")</f>
        <v>Cabin Crew</v>
      </c>
      <c r="L436" t="str">
        <f>IFERROR(__xludf.DUMMYFUNCTION("""COMPUTED_VALUE"""),"DMK")</f>
        <v>DMK</v>
      </c>
      <c r="M436" s="145" t="str">
        <f>IFERROR(__xludf.DUMMYFUNCTION("""COMPUTED_VALUE"""),"Namfon Home")</f>
        <v>Namfon Home</v>
      </c>
      <c r="N436" t="str">
        <f>IFERROR(__xludf.DUMMYFUNCTION("""COMPUTED_VALUE"""),"Active")</f>
        <v>Active</v>
      </c>
      <c r="P436" s="143">
        <f>IFERROR(__xludf.DUMMYFUNCTION("""COMPUTED_VALUE"""),31472.0)</f>
        <v>31472</v>
      </c>
      <c r="Q436" s="146" t="str">
        <f>IFERROR(__xludf.DUMMYFUNCTION("""COMPUTED_VALUE"""),"081 900 3553")</f>
        <v>081 900 3553</v>
      </c>
      <c r="R436" s="147">
        <f>IFERROR(__xludf.DUMMYFUNCTION("""COMPUTED_VALUE"""),1.100400195051E12)</f>
        <v>1100400195051</v>
      </c>
      <c r="S436" t="str">
        <f>IFERROR(__xludf.DUMMYFUNCTION("""COMPUTED_VALUE"""),"AD0959548")</f>
        <v>AD0959548</v>
      </c>
      <c r="T436" s="148">
        <f>IFERROR(__xludf.DUMMYFUNCTION("""COMPUTED_VALUE"""),45035.0)</f>
        <v>45035</v>
      </c>
      <c r="U436" s="148">
        <f>IFERROR(__xludf.DUMMYFUNCTION("""COMPUTED_VALUE"""),48687.0)</f>
        <v>48687</v>
      </c>
      <c r="V436" s="149">
        <f>IFERROR(__xludf.DUMMYFUNCTION("""COMPUTED_VALUE"""),48505.0)</f>
        <v>48505</v>
      </c>
      <c r="W436" t="str">
        <f>IFERROR(__xludf.DUMMYFUNCTION("""COMPUTED_VALUE"""),"ปลอดภัย")</f>
        <v>ปลอดภัย</v>
      </c>
      <c r="X436" t="str">
        <f>IFERROR(__xludf.DUMMYFUNCTION("""COMPUTED_VALUE"""),"Bangkok")</f>
        <v>Bangkok</v>
      </c>
      <c r="Y436" t="str">
        <f>IFERROR(__xludf.DUMMYFUNCTION("""COMPUTED_VALUE"""),"Wangthonglang")</f>
        <v>Wangthonglang</v>
      </c>
      <c r="Z436" t="str">
        <f>IFERROR(__xludf.DUMMYFUNCTION("""COMPUTED_VALUE"""),"02 539 8222 / 081 930 2525 / 087 930 2525")</f>
        <v>02 539 8222 / 081 930 2525 / 087 930 2525</v>
      </c>
      <c r="AA436" t="str">
        <f>IFERROR(__xludf.DUMMYFUNCTION("""COMPUTED_VALUE"""),"Home / Relative")</f>
        <v>Home / Relative</v>
      </c>
      <c r="AB436" t="str">
        <f>IFERROR(__xludf.DUMMYFUNCTION("""COMPUTED_VALUE"""),"sirapal@airasia.com")</f>
        <v>sirapal@airasia.com</v>
      </c>
    </row>
    <row r="437">
      <c r="A437">
        <f>IFERROR(__xludf.DUMMYFUNCTION("""COMPUTED_VALUE"""),1007275.0)</f>
        <v>1007275</v>
      </c>
      <c r="B437" t="str">
        <f>IFERROR(__xludf.DUMMYFUNCTION("""COMPUTED_VALUE"""),"Ms.")</f>
        <v>Ms.</v>
      </c>
      <c r="C437" t="str">
        <f>IFERROR(__xludf.DUMMYFUNCTION("""COMPUTED_VALUE"""),"Teeraporn")</f>
        <v>Teeraporn</v>
      </c>
      <c r="D437" t="str">
        <f>IFERROR(__xludf.DUMMYFUNCTION("""COMPUTED_VALUE"""),"Sutthumvilai")</f>
        <v>Sutthumvilai</v>
      </c>
      <c r="E437" t="str">
        <f>IFERROR(__xludf.DUMMYFUNCTION("""COMPUTED_VALUE"""),"Teeraporn Sutthumvilai")</f>
        <v>Teeraporn Sutthumvilai</v>
      </c>
      <c r="F437" t="str">
        <f>IFERROR(__xludf.DUMMYFUNCTION("""COMPUTED_VALUE"""),"นางสาว")</f>
        <v>นางสาว</v>
      </c>
      <c r="G437" t="str">
        <f>IFERROR(__xludf.DUMMYFUNCTION("""COMPUTED_VALUE"""),"ธีรพร")</f>
        <v>ธีรพร</v>
      </c>
      <c r="H437" t="str">
        <f>IFERROR(__xludf.DUMMYFUNCTION("""COMPUTED_VALUE"""),"สัทธรรมวิไล")</f>
        <v>สัทธรรมวิไล</v>
      </c>
      <c r="I437" t="str">
        <f>IFERROR(__xludf.DUMMYFUNCTION("""COMPUTED_VALUE"""),"ธีรพร สัทธรรมวิไล")</f>
        <v>ธีรพร สัทธรรมวิไล</v>
      </c>
      <c r="J437" t="str">
        <f>IFERROR(__xludf.DUMMYFUNCTION("""COMPUTED_VALUE"""),"Gift")</f>
        <v>Gift</v>
      </c>
      <c r="K437" t="str">
        <f>IFERROR(__xludf.DUMMYFUNCTION("""COMPUTED_VALUE"""),"Cabin Crew")</f>
        <v>Cabin Crew</v>
      </c>
      <c r="L437" t="str">
        <f>IFERROR(__xludf.DUMMYFUNCTION("""COMPUTED_VALUE"""),"DMK")</f>
        <v>DMK</v>
      </c>
      <c r="M437" s="145" t="str">
        <f>IFERROR(__xludf.DUMMYFUNCTION("""COMPUTED_VALUE"""),"Namfon Home")</f>
        <v>Namfon Home</v>
      </c>
      <c r="N437" t="str">
        <f>IFERROR(__xludf.DUMMYFUNCTION("""COMPUTED_VALUE"""),"LWP")</f>
        <v>LWP</v>
      </c>
      <c r="P437" s="143">
        <f>IFERROR(__xludf.DUMMYFUNCTION("""COMPUTED_VALUE"""),32085.0)</f>
        <v>32085</v>
      </c>
      <c r="Q437" s="146" t="str">
        <f>IFERROR(__xludf.DUMMYFUNCTION("""COMPUTED_VALUE"""),"086 798 7494")</f>
        <v>086 798 7494</v>
      </c>
      <c r="R437" s="147">
        <f>IFERROR(__xludf.DUMMYFUNCTION("""COMPUTED_VALUE"""),1.100400296095E12)</f>
        <v>1100400296095</v>
      </c>
      <c r="S437" t="str">
        <f>IFERROR(__xludf.DUMMYFUNCTION("""COMPUTED_VALUE"""),"AC4362356")</f>
        <v>AC4362356</v>
      </c>
      <c r="T437" s="148">
        <f>IFERROR(__xludf.DUMMYFUNCTION("""COMPUTED_VALUE"""),44943.0)</f>
        <v>44943</v>
      </c>
      <c r="U437" s="148">
        <f>IFERROR(__xludf.DUMMYFUNCTION("""COMPUTED_VALUE"""),48595.0)</f>
        <v>48595</v>
      </c>
      <c r="V437" s="149">
        <f>IFERROR(__xludf.DUMMYFUNCTION("""COMPUTED_VALUE"""),48411.0)</f>
        <v>48411</v>
      </c>
      <c r="W437" t="str">
        <f>IFERROR(__xludf.DUMMYFUNCTION("""COMPUTED_VALUE"""),"ปลอดภัย")</f>
        <v>ปลอดภัย</v>
      </c>
      <c r="X437" t="str">
        <f>IFERROR(__xludf.DUMMYFUNCTION("""COMPUTED_VALUE"""),"Bangkok")</f>
        <v>Bangkok</v>
      </c>
      <c r="Y437" t="str">
        <f>IFERROR(__xludf.DUMMYFUNCTION("""COMPUTED_VALUE"""),"Bangkhorleam")</f>
        <v>Bangkhorleam</v>
      </c>
      <c r="Z437" t="str">
        <f>IFERROR(__xludf.DUMMYFUNCTION("""COMPUTED_VALUE"""),"02 291 4216 / 089 160 8042")</f>
        <v>02 291 4216 / 089 160 8042</v>
      </c>
      <c r="AA437" t="str">
        <f>IFERROR(__xludf.DUMMYFUNCTION("""COMPUTED_VALUE"""),"Home / Father")</f>
        <v>Home / Father</v>
      </c>
      <c r="AB437" t="str">
        <f>IFERROR(__xludf.DUMMYFUNCTION("""COMPUTED_VALUE"""),"teeraporns@airasia.com")</f>
        <v>teeraporns@airasia.com</v>
      </c>
    </row>
    <row r="438">
      <c r="A438">
        <f>IFERROR(__xludf.DUMMYFUNCTION("""COMPUTED_VALUE"""),1007276.0)</f>
        <v>1007276</v>
      </c>
      <c r="B438" t="str">
        <f>IFERROR(__xludf.DUMMYFUNCTION("""COMPUTED_VALUE"""),"Mr.")</f>
        <v>Mr.</v>
      </c>
      <c r="C438" t="str">
        <f>IFERROR(__xludf.DUMMYFUNCTION("""COMPUTED_VALUE"""),"Teerayut")</f>
        <v>Teerayut</v>
      </c>
      <c r="D438" t="str">
        <f>IFERROR(__xludf.DUMMYFUNCTION("""COMPUTED_VALUE"""),"Worawejwisarn")</f>
        <v>Worawejwisarn</v>
      </c>
      <c r="E438" t="str">
        <f>IFERROR(__xludf.DUMMYFUNCTION("""COMPUTED_VALUE"""),"Teerayut Worawejwisarn")</f>
        <v>Teerayut Worawejwisarn</v>
      </c>
      <c r="F438" t="str">
        <f>IFERROR(__xludf.DUMMYFUNCTION("""COMPUTED_VALUE"""),"นาย")</f>
        <v>นาย</v>
      </c>
      <c r="G438" t="str">
        <f>IFERROR(__xludf.DUMMYFUNCTION("""COMPUTED_VALUE"""),"ธีรยุทธ")</f>
        <v>ธีรยุทธ</v>
      </c>
      <c r="H438" t="str">
        <f>IFERROR(__xludf.DUMMYFUNCTION("""COMPUTED_VALUE"""),"วรเวชวิศาล")</f>
        <v>วรเวชวิศาล</v>
      </c>
      <c r="I438" t="str">
        <f>IFERROR(__xludf.DUMMYFUNCTION("""COMPUTED_VALUE"""),"ธีรยุทธ วรเวชวิศาล")</f>
        <v>ธีรยุทธ วรเวชวิศาล</v>
      </c>
      <c r="J438" t="str">
        <f>IFERROR(__xludf.DUMMYFUNCTION("""COMPUTED_VALUE"""),"Bank")</f>
        <v>Bank</v>
      </c>
      <c r="K438" t="str">
        <f>IFERROR(__xludf.DUMMYFUNCTION("""COMPUTED_VALUE"""),"Cabin Crew")</f>
        <v>Cabin Crew</v>
      </c>
      <c r="L438" t="str">
        <f>IFERROR(__xludf.DUMMYFUNCTION("""COMPUTED_VALUE"""),"DMK")</f>
        <v>DMK</v>
      </c>
      <c r="M438" s="145" t="str">
        <f>IFERROR(__xludf.DUMMYFUNCTION("""COMPUTED_VALUE"""),"Namfon Home")</f>
        <v>Namfon Home</v>
      </c>
      <c r="N438" t="str">
        <f>IFERROR(__xludf.DUMMYFUNCTION("""COMPUTED_VALUE"""),"Active")</f>
        <v>Active</v>
      </c>
      <c r="P438" s="143">
        <f>IFERROR(__xludf.DUMMYFUNCTION("""COMPUTED_VALUE"""),32502.0)</f>
        <v>32502</v>
      </c>
      <c r="Q438" s="146" t="str">
        <f>IFERROR(__xludf.DUMMYFUNCTION("""COMPUTED_VALUE"""),"080 000 9493")</f>
        <v>080 000 9493</v>
      </c>
      <c r="R438" s="147">
        <f>IFERROR(__xludf.DUMMYFUNCTION("""COMPUTED_VALUE"""),1.100400370571E12)</f>
        <v>1100400370571</v>
      </c>
      <c r="S438" t="str">
        <f>IFERROR(__xludf.DUMMYFUNCTION("""COMPUTED_VALUE"""),"ad2118892")</f>
        <v>ad2118892</v>
      </c>
      <c r="T438" s="148">
        <f>IFERROR(__xludf.DUMMYFUNCTION("""COMPUTED_VALUE"""),45767.0)</f>
        <v>45767</v>
      </c>
      <c r="U438" s="148">
        <f>IFERROR(__xludf.DUMMYFUNCTION("""COMPUTED_VALUE"""),49418.0)</f>
        <v>49418</v>
      </c>
      <c r="V438" s="149">
        <f>IFERROR(__xludf.DUMMYFUNCTION("""COMPUTED_VALUE"""),49236.0)</f>
        <v>49236</v>
      </c>
      <c r="W438" t="str">
        <f>IFERROR(__xludf.DUMMYFUNCTION("""COMPUTED_VALUE"""),"ปลอดภัย")</f>
        <v>ปลอดภัย</v>
      </c>
      <c r="X438" t="str">
        <f>IFERROR(__xludf.DUMMYFUNCTION("""COMPUTED_VALUE"""),"Bangkok")</f>
        <v>Bangkok</v>
      </c>
      <c r="Y438" t="str">
        <f>IFERROR(__xludf.DUMMYFUNCTION("""COMPUTED_VALUE"""),"Samre")</f>
        <v>Samre</v>
      </c>
      <c r="Z438" t="str">
        <f>IFERROR(__xludf.DUMMYFUNCTION("""COMPUTED_VALUE"""),"02 438 7007 / 081 889 0998")</f>
        <v>02 438 7007 / 081 889 0998</v>
      </c>
      <c r="AA438" t="str">
        <f>IFERROR(__xludf.DUMMYFUNCTION("""COMPUTED_VALUE"""),"Home / Relative")</f>
        <v>Home / Relative</v>
      </c>
      <c r="AB438" t="str">
        <f>IFERROR(__xludf.DUMMYFUNCTION("""COMPUTED_VALUE"""),"teerayutw@airasia.com")</f>
        <v>teerayutw@airasia.com</v>
      </c>
    </row>
    <row r="439">
      <c r="A439">
        <f>IFERROR(__xludf.DUMMYFUNCTION("""COMPUTED_VALUE"""),1007277.0)</f>
        <v>1007277</v>
      </c>
      <c r="B439" t="str">
        <f>IFERROR(__xludf.DUMMYFUNCTION("""COMPUTED_VALUE"""),"Mr.")</f>
        <v>Mr.</v>
      </c>
      <c r="C439" t="str">
        <f>IFERROR(__xludf.DUMMYFUNCTION("""COMPUTED_VALUE"""),"Theerapat")</f>
        <v>Theerapat</v>
      </c>
      <c r="D439" t="str">
        <f>IFERROR(__xludf.DUMMYFUNCTION("""COMPUTED_VALUE"""),"Sudsawas")</f>
        <v>Sudsawas</v>
      </c>
      <c r="E439" t="str">
        <f>IFERROR(__xludf.DUMMYFUNCTION("""COMPUTED_VALUE"""),"Theerapat Sudsawas")</f>
        <v>Theerapat Sudsawas</v>
      </c>
      <c r="F439" t="str">
        <f>IFERROR(__xludf.DUMMYFUNCTION("""COMPUTED_VALUE"""),"นาย")</f>
        <v>นาย</v>
      </c>
      <c r="G439" t="str">
        <f>IFERROR(__xludf.DUMMYFUNCTION("""COMPUTED_VALUE"""),"ธีรภัทร์")</f>
        <v>ธีรภัทร์</v>
      </c>
      <c r="H439" t="str">
        <f>IFERROR(__xludf.DUMMYFUNCTION("""COMPUTED_VALUE"""),"สุดสวาสดิ์")</f>
        <v>สุดสวาสดิ์</v>
      </c>
      <c r="I439" t="str">
        <f>IFERROR(__xludf.DUMMYFUNCTION("""COMPUTED_VALUE"""),"ธีรภัทร์ สุดสวาสดิ์")</f>
        <v>ธีรภัทร์ สุดสวาสดิ์</v>
      </c>
      <c r="J439" t="str">
        <f>IFERROR(__xludf.DUMMYFUNCTION("""COMPUTED_VALUE"""),"ไอติม")</f>
        <v>ไอติม</v>
      </c>
      <c r="K439" t="str">
        <f>IFERROR(__xludf.DUMMYFUNCTION("""COMPUTED_VALUE"""),"Cabin Crew")</f>
        <v>Cabin Crew</v>
      </c>
      <c r="L439" t="str">
        <f>IFERROR(__xludf.DUMMYFUNCTION("""COMPUTED_VALUE"""),"DMK")</f>
        <v>DMK</v>
      </c>
      <c r="M439" s="145" t="str">
        <f>IFERROR(__xludf.DUMMYFUNCTION("""COMPUTED_VALUE"""),"Por+ Home")</f>
        <v>Por+ Home</v>
      </c>
      <c r="N439" t="str">
        <f>IFERROR(__xludf.DUMMYFUNCTION("""COMPUTED_VALUE"""),"Active")</f>
        <v>Active</v>
      </c>
      <c r="P439" s="143">
        <f>IFERROR(__xludf.DUMMYFUNCTION("""COMPUTED_VALUE"""),31842.0)</f>
        <v>31842</v>
      </c>
      <c r="Q439" s="146" t="str">
        <f>IFERROR(__xludf.DUMMYFUNCTION("""COMPUTED_VALUE"""),"062 914 4469")</f>
        <v>062 914 4469</v>
      </c>
      <c r="R439" s="147">
        <f>IFERROR(__xludf.DUMMYFUNCTION("""COMPUTED_VALUE"""),1.55990010095E12)</f>
        <v>1559900100950</v>
      </c>
      <c r="S439" t="str">
        <f>IFERROR(__xludf.DUMMYFUNCTION("""COMPUTED_VALUE"""),"AD0650291")</f>
        <v>AD0650291</v>
      </c>
      <c r="T439" s="148">
        <f>IFERROR(__xludf.DUMMYFUNCTION("""COMPUTED_VALUE"""),44945.0)</f>
        <v>44945</v>
      </c>
      <c r="U439" s="148">
        <f>IFERROR(__xludf.DUMMYFUNCTION("""COMPUTED_VALUE"""),48597.0)</f>
        <v>48597</v>
      </c>
      <c r="V439" s="149">
        <f>IFERROR(__xludf.DUMMYFUNCTION("""COMPUTED_VALUE"""),48413.0)</f>
        <v>48413</v>
      </c>
      <c r="W439" t="str">
        <f>IFERROR(__xludf.DUMMYFUNCTION("""COMPUTED_VALUE"""),"ปลอดภัย")</f>
        <v>ปลอดภัย</v>
      </c>
      <c r="X439" t="str">
        <f>IFERROR(__xludf.DUMMYFUNCTION("""COMPUTED_VALUE"""),"Nan Province")</f>
        <v>Nan Province</v>
      </c>
      <c r="Y439" t="str">
        <f>IFERROR(__xludf.DUMMYFUNCTION("""COMPUTED_VALUE"""),"Bangkhaen")</f>
        <v>Bangkhaen</v>
      </c>
      <c r="Z439" t="str">
        <f>IFERROR(__xludf.DUMMYFUNCTION("""COMPUTED_VALUE"""),"087 182 7437")</f>
        <v>087 182 7437</v>
      </c>
      <c r="AA439" t="str">
        <f>IFERROR(__xludf.DUMMYFUNCTION("""COMPUTED_VALUE"""),"Relative")</f>
        <v>Relative</v>
      </c>
      <c r="AB439" t="str">
        <f>IFERROR(__xludf.DUMMYFUNCTION("""COMPUTED_VALUE"""),"theerapats@airasia.com")</f>
        <v>theerapats@airasia.com</v>
      </c>
    </row>
    <row r="440">
      <c r="A440">
        <f>IFERROR(__xludf.DUMMYFUNCTION("""COMPUTED_VALUE"""),1007279.0)</f>
        <v>1007279</v>
      </c>
      <c r="B440" t="str">
        <f>IFERROR(__xludf.DUMMYFUNCTION("""COMPUTED_VALUE"""),"Ms.")</f>
        <v>Ms.</v>
      </c>
      <c r="C440" t="str">
        <f>IFERROR(__xludf.DUMMYFUNCTION("""COMPUTED_VALUE"""),"Tulaya")</f>
        <v>Tulaya</v>
      </c>
      <c r="D440" t="str">
        <f>IFERROR(__xludf.DUMMYFUNCTION("""COMPUTED_VALUE"""),"Arayapisutigoon")</f>
        <v>Arayapisutigoon</v>
      </c>
      <c r="E440" t="str">
        <f>IFERROR(__xludf.DUMMYFUNCTION("""COMPUTED_VALUE"""),"Tulaya Arayapisutigoon")</f>
        <v>Tulaya Arayapisutigoon</v>
      </c>
      <c r="F440" t="str">
        <f>IFERROR(__xludf.DUMMYFUNCTION("""COMPUTED_VALUE"""),"นางสาว")</f>
        <v>นางสาว</v>
      </c>
      <c r="G440" t="str">
        <f>IFERROR(__xludf.DUMMYFUNCTION("""COMPUTED_VALUE"""),"ตุลยา")</f>
        <v>ตุลยา</v>
      </c>
      <c r="H440" t="str">
        <f>IFERROR(__xludf.DUMMYFUNCTION("""COMPUTED_VALUE"""),"อารยะพิสุทธิกูร")</f>
        <v>อารยะพิสุทธิกูร</v>
      </c>
      <c r="I440" t="str">
        <f>IFERROR(__xludf.DUMMYFUNCTION("""COMPUTED_VALUE"""),"ตุลยา อารยะพิสุทธิกูร")</f>
        <v>ตุลยา อารยะพิสุทธิกูร</v>
      </c>
      <c r="J440" t="str">
        <f>IFERROR(__xludf.DUMMYFUNCTION("""COMPUTED_VALUE"""),"Nink")</f>
        <v>Nink</v>
      </c>
      <c r="K440" t="str">
        <f>IFERROR(__xludf.DUMMYFUNCTION("""COMPUTED_VALUE"""),"Senior Cabin Crew - CNX")</f>
        <v>Senior Cabin Crew - CNX</v>
      </c>
      <c r="L440" t="str">
        <f>IFERROR(__xludf.DUMMYFUNCTION("""COMPUTED_VALUE"""),"CNX")</f>
        <v>CNX</v>
      </c>
      <c r="M440" s="145" t="str">
        <f>IFERROR(__xludf.DUMMYFUNCTION("""COMPUTED_VALUE"""),"Up Home")</f>
        <v>Up Home</v>
      </c>
      <c r="N440" t="str">
        <f>IFERROR(__xludf.DUMMYFUNCTION("""COMPUTED_VALUE"""),"Active")</f>
        <v>Active</v>
      </c>
      <c r="P440" s="143">
        <f>IFERROR(__xludf.DUMMYFUNCTION("""COMPUTED_VALUE"""),30236.0)</f>
        <v>30236</v>
      </c>
      <c r="Q440" s="146" t="str">
        <f>IFERROR(__xludf.DUMMYFUNCTION("""COMPUTED_VALUE"""),"062 659 5624")</f>
        <v>062 659 5624</v>
      </c>
      <c r="R440" s="147">
        <f>IFERROR(__xludf.DUMMYFUNCTION("""COMPUTED_VALUE"""),3.102001028681E12)</f>
        <v>3102001028681</v>
      </c>
      <c r="S440" t="str">
        <f>IFERROR(__xludf.DUMMYFUNCTION("""COMPUTED_VALUE"""),"AC7968395")</f>
        <v>AC7968395</v>
      </c>
      <c r="T440" s="148">
        <f>IFERROR(__xludf.DUMMYFUNCTION("""COMPUTED_VALUE"""),45698.0)</f>
        <v>45698</v>
      </c>
      <c r="U440" s="148">
        <f>IFERROR(__xludf.DUMMYFUNCTION("""COMPUTED_VALUE"""),49349.0)</f>
        <v>49349</v>
      </c>
      <c r="V440" s="149">
        <f>IFERROR(__xludf.DUMMYFUNCTION("""COMPUTED_VALUE"""),49165.0)</f>
        <v>49165</v>
      </c>
      <c r="W440" t="str">
        <f>IFERROR(__xludf.DUMMYFUNCTION("""COMPUTED_VALUE"""),"ปลอดภัย")</f>
        <v>ปลอดภัย</v>
      </c>
      <c r="X440" t="str">
        <f>IFERROR(__xludf.DUMMYFUNCTION("""COMPUTED_VALUE"""),"Bangkok")</f>
        <v>Bangkok</v>
      </c>
      <c r="Y440" t="str">
        <f>IFERROR(__xludf.DUMMYFUNCTION("""COMPUTED_VALUE"""),"Talingchan")</f>
        <v>Talingchan</v>
      </c>
      <c r="Z440" t="str">
        <f>IFERROR(__xludf.DUMMYFUNCTION("""COMPUTED_VALUE"""),"02 887 6581 / 089 166 6360")</f>
        <v>02 887 6581 / 089 166 6360</v>
      </c>
      <c r="AA440" t="str">
        <f>IFERROR(__xludf.DUMMYFUNCTION("""COMPUTED_VALUE"""),"Home / Relative")</f>
        <v>Home / Relative</v>
      </c>
      <c r="AB440" t="str">
        <f>IFERROR(__xludf.DUMMYFUNCTION("""COMPUTED_VALUE"""),"tulayaa@airasia.com")</f>
        <v>tulayaa@airasia.com</v>
      </c>
    </row>
    <row r="441">
      <c r="A441">
        <f>IFERROR(__xludf.DUMMYFUNCTION("""COMPUTED_VALUE"""),1007280.0)</f>
        <v>1007280</v>
      </c>
      <c r="B441" t="str">
        <f>IFERROR(__xludf.DUMMYFUNCTION("""COMPUTED_VALUE"""),"Ms.")</f>
        <v>Ms.</v>
      </c>
      <c r="C441" t="str">
        <f>IFERROR(__xludf.DUMMYFUNCTION("""COMPUTED_VALUE"""),"Warittha")</f>
        <v>Warittha</v>
      </c>
      <c r="D441" t="str">
        <f>IFERROR(__xludf.DUMMYFUNCTION("""COMPUTED_VALUE"""),"Pinthong")</f>
        <v>Pinthong</v>
      </c>
      <c r="E441" t="str">
        <f>IFERROR(__xludf.DUMMYFUNCTION("""COMPUTED_VALUE"""),"Warittha Pinthong")</f>
        <v>Warittha Pinthong</v>
      </c>
      <c r="F441" t="str">
        <f>IFERROR(__xludf.DUMMYFUNCTION("""COMPUTED_VALUE"""),"นางสาว")</f>
        <v>นางสาว</v>
      </c>
      <c r="G441" t="str">
        <f>IFERROR(__xludf.DUMMYFUNCTION("""COMPUTED_VALUE"""),"วริษฐา")</f>
        <v>วริษฐา</v>
      </c>
      <c r="H441" t="str">
        <f>IFERROR(__xludf.DUMMYFUNCTION("""COMPUTED_VALUE"""),"ปินธง")</f>
        <v>ปินธง</v>
      </c>
      <c r="I441" t="str">
        <f>IFERROR(__xludf.DUMMYFUNCTION("""COMPUTED_VALUE"""),"วริษฐา ปินธง")</f>
        <v>วริษฐา ปินธง</v>
      </c>
      <c r="J441" t="str">
        <f>IFERROR(__xludf.DUMMYFUNCTION("""COMPUTED_VALUE"""),"บุ๊งกี๋")</f>
        <v>บุ๊งกี๋</v>
      </c>
      <c r="K441" t="str">
        <f>IFERROR(__xludf.DUMMYFUNCTION("""COMPUTED_VALUE"""),"Cabin Crew - CNX")</f>
        <v>Cabin Crew - CNX</v>
      </c>
      <c r="L441" t="str">
        <f>IFERROR(__xludf.DUMMYFUNCTION("""COMPUTED_VALUE"""),"CNX")</f>
        <v>CNX</v>
      </c>
      <c r="M441" s="145" t="str">
        <f>IFERROR(__xludf.DUMMYFUNCTION("""COMPUTED_VALUE"""),"Up Home")</f>
        <v>Up Home</v>
      </c>
      <c r="N441" t="str">
        <f>IFERROR(__xludf.DUMMYFUNCTION("""COMPUTED_VALUE"""),"Active")</f>
        <v>Active</v>
      </c>
      <c r="P441" s="143">
        <f>IFERROR(__xludf.DUMMYFUNCTION("""COMPUTED_VALUE"""),31854.0)</f>
        <v>31854</v>
      </c>
      <c r="Q441" s="146">
        <f>IFERROR(__xludf.DUMMYFUNCTION("""COMPUTED_VALUE"""),9.61682292E8)</f>
        <v>961682292</v>
      </c>
      <c r="R441" s="147">
        <f>IFERROR(__xludf.DUMMYFUNCTION("""COMPUTED_VALUE"""),1.509900470684E12)</f>
        <v>1509900470684</v>
      </c>
      <c r="S441" t="str">
        <f>IFERROR(__xludf.DUMMYFUNCTION("""COMPUTED_VALUE"""),"ad3327550")</f>
        <v>ad3327550</v>
      </c>
      <c r="T441" s="148">
        <f>IFERROR(__xludf.DUMMYFUNCTION("""COMPUTED_VALUE"""),46098.0)</f>
        <v>46098</v>
      </c>
      <c r="U441" s="148">
        <f>IFERROR(__xludf.DUMMYFUNCTION("""COMPUTED_VALUE"""),49750.0)</f>
        <v>49750</v>
      </c>
      <c r="V441" s="149">
        <f>IFERROR(__xludf.DUMMYFUNCTION("""COMPUTED_VALUE"""),49568.0)</f>
        <v>49568</v>
      </c>
      <c r="W441" t="str">
        <f>IFERROR(__xludf.DUMMYFUNCTION("""COMPUTED_VALUE"""),"ปลอดภัย")</f>
        <v>ปลอดภัย</v>
      </c>
      <c r="X441" t="str">
        <f>IFERROR(__xludf.DUMMYFUNCTION("""COMPUTED_VALUE"""),"Chiang Mai Province")</f>
        <v>Chiang Mai Province</v>
      </c>
      <c r="Y441" t="str">
        <f>IFERROR(__xludf.DUMMYFUNCTION("""COMPUTED_VALUE"""),"Donmueang")</f>
        <v>Donmueang</v>
      </c>
      <c r="Z441" t="str">
        <f>IFERROR(__xludf.DUMMYFUNCTION("""COMPUTED_VALUE"""),"083 092 3363 / 084 935 9877")</f>
        <v>083 092 3363 / 084 935 9877</v>
      </c>
      <c r="AA441" t="str">
        <f>IFERROR(__xludf.DUMMYFUNCTION("""COMPUTED_VALUE"""),"Relative")</f>
        <v>Relative</v>
      </c>
      <c r="AB441" t="str">
        <f>IFERROR(__xludf.DUMMYFUNCTION("""COMPUTED_VALUE"""),"waritthap@airasia.com")</f>
        <v>waritthap@airasia.com</v>
      </c>
    </row>
    <row r="442">
      <c r="A442">
        <f>IFERROR(__xludf.DUMMYFUNCTION("""COMPUTED_VALUE"""),1007281.0)</f>
        <v>1007281</v>
      </c>
      <c r="B442" t="str">
        <f>IFERROR(__xludf.DUMMYFUNCTION("""COMPUTED_VALUE"""),"Ms.")</f>
        <v>Ms.</v>
      </c>
      <c r="C442" t="str">
        <f>IFERROR(__xludf.DUMMYFUNCTION("""COMPUTED_VALUE"""),"Warodom")</f>
        <v>Warodom</v>
      </c>
      <c r="D442" t="str">
        <f>IFERROR(__xludf.DUMMYFUNCTION("""COMPUTED_VALUE"""),"Wongswasdi")</f>
        <v>Wongswasdi</v>
      </c>
      <c r="E442" t="str">
        <f>IFERROR(__xludf.DUMMYFUNCTION("""COMPUTED_VALUE"""),"Warodom Wongswasdi")</f>
        <v>Warodom Wongswasdi</v>
      </c>
      <c r="F442" t="str">
        <f>IFERROR(__xludf.DUMMYFUNCTION("""COMPUTED_VALUE"""),"นางสาว")</f>
        <v>นางสาว</v>
      </c>
      <c r="G442" t="str">
        <f>IFERROR(__xludf.DUMMYFUNCTION("""COMPUTED_VALUE"""),"วโรดม")</f>
        <v>วโรดม</v>
      </c>
      <c r="H442" t="str">
        <f>IFERROR(__xludf.DUMMYFUNCTION("""COMPUTED_VALUE"""),"วงศ์สวัสดิ์")</f>
        <v>วงศ์สวัสดิ์</v>
      </c>
      <c r="I442" t="str">
        <f>IFERROR(__xludf.DUMMYFUNCTION("""COMPUTED_VALUE"""),"วโรดม วงศ์สวัสดิ์")</f>
        <v>วโรดม วงศ์สวัสดิ์</v>
      </c>
      <c r="J442" t="str">
        <f>IFERROR(__xludf.DUMMYFUNCTION("""COMPUTED_VALUE"""),"Ice")</f>
        <v>Ice</v>
      </c>
      <c r="K442" t="str">
        <f>IFERROR(__xludf.DUMMYFUNCTION("""COMPUTED_VALUE"""),"Senior Cabin Crew")</f>
        <v>Senior Cabin Crew</v>
      </c>
      <c r="L442" t="str">
        <f>IFERROR(__xludf.DUMMYFUNCTION("""COMPUTED_VALUE"""),"DMK")</f>
        <v>DMK</v>
      </c>
      <c r="M442" s="145" t="str">
        <f>IFERROR(__xludf.DUMMYFUNCTION("""COMPUTED_VALUE"""),"Por+ Home")</f>
        <v>Por+ Home</v>
      </c>
      <c r="N442" t="str">
        <f>IFERROR(__xludf.DUMMYFUNCTION("""COMPUTED_VALUE"""),"Active")</f>
        <v>Active</v>
      </c>
      <c r="P442" s="143">
        <f>IFERROR(__xludf.DUMMYFUNCTION("""COMPUTED_VALUE"""),31595.0)</f>
        <v>31595</v>
      </c>
      <c r="Q442" s="146" t="str">
        <f>IFERROR(__xludf.DUMMYFUNCTION("""COMPUTED_VALUE"""),"090 969 6742")</f>
        <v>090 969 6742</v>
      </c>
      <c r="R442" s="147">
        <f>IFERROR(__xludf.DUMMYFUNCTION("""COMPUTED_VALUE"""),1.101400723083E12)</f>
        <v>1101400723083</v>
      </c>
      <c r="S442" t="str">
        <f>IFERROR(__xludf.DUMMYFUNCTION("""COMPUTED_VALUE"""),"AC7498030")</f>
        <v>AC7498030</v>
      </c>
      <c r="T442" s="148">
        <f>IFERROR(__xludf.DUMMYFUNCTION("""COMPUTED_VALUE"""),45534.0)</f>
        <v>45534</v>
      </c>
      <c r="U442" s="148">
        <f>IFERROR(__xludf.DUMMYFUNCTION("""COMPUTED_VALUE"""),49185.0)</f>
        <v>49185</v>
      </c>
      <c r="V442" s="149">
        <f>IFERROR(__xludf.DUMMYFUNCTION("""COMPUTED_VALUE"""),49003.0)</f>
        <v>49003</v>
      </c>
      <c r="W442" t="str">
        <f>IFERROR(__xludf.DUMMYFUNCTION("""COMPUTED_VALUE"""),"ปลอดภัย")</f>
        <v>ปลอดภัย</v>
      </c>
      <c r="X442" t="str">
        <f>IFERROR(__xludf.DUMMYFUNCTION("""COMPUTED_VALUE"""),"Bangkok")</f>
        <v>Bangkok</v>
      </c>
      <c r="Y442" t="str">
        <f>IFERROR(__xludf.DUMMYFUNCTION("""COMPUTED_VALUE"""),"Bangkhaen")</f>
        <v>Bangkhaen</v>
      </c>
      <c r="Z442" t="str">
        <f>IFERROR(__xludf.DUMMYFUNCTION("""COMPUTED_VALUE"""),"02 510 1756 / 085 907 8554")</f>
        <v>02 510 1756 / 085 907 8554</v>
      </c>
      <c r="AA442" t="str">
        <f>IFERROR(__xludf.DUMMYFUNCTION("""COMPUTED_VALUE"""),"Home / Mother")</f>
        <v>Home / Mother</v>
      </c>
      <c r="AB442" t="str">
        <f>IFERROR(__xludf.DUMMYFUNCTION("""COMPUTED_VALUE"""),"warodomw@airasia.com")</f>
        <v>warodomw@airasia.com</v>
      </c>
    </row>
    <row r="443">
      <c r="AB443" t="str">
        <f>IFERROR(__xludf.DUMMYFUNCTION("""COMPUTED_VALUE"""),"")</f>
        <v/>
      </c>
    </row>
    <row r="444">
      <c r="A444">
        <f>IFERROR(__xludf.DUMMYFUNCTION("""COMPUTED_VALUE"""),1002348.0)</f>
        <v>1002348</v>
      </c>
      <c r="B444" t="str">
        <f>IFERROR(__xludf.DUMMYFUNCTION("""COMPUTED_VALUE"""),"Ms.")</f>
        <v>Ms.</v>
      </c>
      <c r="C444" t="str">
        <f>IFERROR(__xludf.DUMMYFUNCTION("""COMPUTED_VALUE"""),"Warisa")</f>
        <v>Warisa</v>
      </c>
      <c r="D444" t="str">
        <f>IFERROR(__xludf.DUMMYFUNCTION("""COMPUTED_VALUE"""),"Ployruengrussamee")</f>
        <v>Ployruengrussamee</v>
      </c>
      <c r="E444" t="str">
        <f>IFERROR(__xludf.DUMMYFUNCTION("""COMPUTED_VALUE"""),"Warisa Ployruengrussamee")</f>
        <v>Warisa Ployruengrussamee</v>
      </c>
      <c r="F444" t="str">
        <f>IFERROR(__xludf.DUMMYFUNCTION("""COMPUTED_VALUE"""),"นางสาว")</f>
        <v>นางสาว</v>
      </c>
      <c r="G444" t="str">
        <f>IFERROR(__xludf.DUMMYFUNCTION("""COMPUTED_VALUE"""),"วริษา")</f>
        <v>วริษา</v>
      </c>
      <c r="H444" t="str">
        <f>IFERROR(__xludf.DUMMYFUNCTION("""COMPUTED_VALUE"""),"พลอยเรืองรัศมี")</f>
        <v>พลอยเรืองรัศมี</v>
      </c>
      <c r="I444" t="str">
        <f>IFERROR(__xludf.DUMMYFUNCTION("""COMPUTED_VALUE"""),"วริษา พลอยเรืองรัศมี")</f>
        <v>วริษา พลอยเรืองรัศมี</v>
      </c>
      <c r="J444" t="str">
        <f>IFERROR(__xludf.DUMMYFUNCTION("""COMPUTED_VALUE"""),"Poy")</f>
        <v>Poy</v>
      </c>
      <c r="K444" t="str">
        <f>IFERROR(__xludf.DUMMYFUNCTION("""COMPUTED_VALUE"""),"Cabin Crew")</f>
        <v>Cabin Crew</v>
      </c>
      <c r="L444" t="str">
        <f>IFERROR(__xludf.DUMMYFUNCTION("""COMPUTED_VALUE"""),"DMK")</f>
        <v>DMK</v>
      </c>
      <c r="M444" s="145" t="str">
        <f>IFERROR(__xludf.DUMMYFUNCTION("""COMPUTED_VALUE"""),"Toffy Home")</f>
        <v>Toffy Home</v>
      </c>
      <c r="N444" t="str">
        <f>IFERROR(__xludf.DUMMYFUNCTION("""COMPUTED_VALUE"""),"V/LWP")</f>
        <v>V/LWP</v>
      </c>
      <c r="P444" s="143">
        <f>IFERROR(__xludf.DUMMYFUNCTION("""COMPUTED_VALUE"""),31344.0)</f>
        <v>31344</v>
      </c>
      <c r="Q444" s="146" t="str">
        <f>IFERROR(__xludf.DUMMYFUNCTION("""COMPUTED_VALUE"""),"084 668 3791")</f>
        <v>084 668 3791</v>
      </c>
      <c r="R444" s="147">
        <f>IFERROR(__xludf.DUMMYFUNCTION("""COMPUTED_VALUE"""),1.100699007094E12)</f>
        <v>1100699007094</v>
      </c>
      <c r="S444" t="str">
        <f>IFERROR(__xludf.DUMMYFUNCTION("""COMPUTED_VALUE"""),"AC2657255")</f>
        <v>AC2657255</v>
      </c>
      <c r="T444" s="148">
        <f>IFERROR(__xludf.DUMMYFUNCTION("""COMPUTED_VALUE"""),44567.0)</f>
        <v>44567</v>
      </c>
      <c r="U444" s="148">
        <f>IFERROR(__xludf.DUMMYFUNCTION("""COMPUTED_VALUE"""),48218.0)</f>
        <v>48218</v>
      </c>
      <c r="V444" s="149">
        <f>IFERROR(__xludf.DUMMYFUNCTION("""COMPUTED_VALUE"""),48034.0)</f>
        <v>48034</v>
      </c>
      <c r="W444" t="str">
        <f>IFERROR(__xludf.DUMMYFUNCTION("""COMPUTED_VALUE"""),"ปลอดภัย")</f>
        <v>ปลอดภัย</v>
      </c>
      <c r="X444" t="str">
        <f>IFERROR(__xludf.DUMMYFUNCTION("""COMPUTED_VALUE"""),"Bangkok")</f>
        <v>Bangkok</v>
      </c>
      <c r="Y444" t="str">
        <f>IFERROR(__xludf.DUMMYFUNCTION("""COMPUTED_VALUE"""),"Buengkum")</f>
        <v>Buengkum</v>
      </c>
      <c r="Z444" t="str">
        <f>IFERROR(__xludf.DUMMYFUNCTION("""COMPUTED_VALUE"""),"02 733 6008 / 089 676 8225")</f>
        <v>02 733 6008 / 089 676 8225</v>
      </c>
      <c r="AA444" t="str">
        <f>IFERROR(__xludf.DUMMYFUNCTION("""COMPUTED_VALUE"""),"Father")</f>
        <v>Father</v>
      </c>
      <c r="AB444" t="str">
        <f>IFERROR(__xludf.DUMMYFUNCTION("""COMPUTED_VALUE"""),"warisap@airasia.com")</f>
        <v>warisap@airasia.com</v>
      </c>
    </row>
    <row r="445">
      <c r="A445">
        <f>IFERROR(__xludf.DUMMYFUNCTION("""COMPUTED_VALUE"""),1003373.0)</f>
        <v>1003373</v>
      </c>
      <c r="B445" t="str">
        <f>IFERROR(__xludf.DUMMYFUNCTION("""COMPUTED_VALUE"""),"Mr.")</f>
        <v>Mr.</v>
      </c>
      <c r="C445" t="str">
        <f>IFERROR(__xludf.DUMMYFUNCTION("""COMPUTED_VALUE"""),"Sarawut")</f>
        <v>Sarawut</v>
      </c>
      <c r="D445" t="str">
        <f>IFERROR(__xludf.DUMMYFUNCTION("""COMPUTED_VALUE"""),"Rakdee")</f>
        <v>Rakdee</v>
      </c>
      <c r="E445" t="str">
        <f>IFERROR(__xludf.DUMMYFUNCTION("""COMPUTED_VALUE"""),"Sarawut Rakdee")</f>
        <v>Sarawut Rakdee</v>
      </c>
      <c r="F445" t="str">
        <f>IFERROR(__xludf.DUMMYFUNCTION("""COMPUTED_VALUE"""),"นาย")</f>
        <v>นาย</v>
      </c>
      <c r="G445" t="str">
        <f>IFERROR(__xludf.DUMMYFUNCTION("""COMPUTED_VALUE"""),"ศราวุฒิ")</f>
        <v>ศราวุฒิ</v>
      </c>
      <c r="H445" t="str">
        <f>IFERROR(__xludf.DUMMYFUNCTION("""COMPUTED_VALUE"""),"รักดี")</f>
        <v>รักดี</v>
      </c>
      <c r="I445" t="str">
        <f>IFERROR(__xludf.DUMMYFUNCTION("""COMPUTED_VALUE"""),"ศราวุฒิ รักดี")</f>
        <v>ศราวุฒิ รักดี</v>
      </c>
      <c r="J445" t="str">
        <f>IFERROR(__xludf.DUMMYFUNCTION("""COMPUTED_VALUE"""),"Tum")</f>
        <v>Tum</v>
      </c>
      <c r="K445" t="str">
        <f>IFERROR(__xludf.DUMMYFUNCTION("""COMPUTED_VALUE"""),"Cabin Crew")</f>
        <v>Cabin Crew</v>
      </c>
      <c r="L445" t="str">
        <f>IFERROR(__xludf.DUMMYFUNCTION("""COMPUTED_VALUE"""),"DMK")</f>
        <v>DMK</v>
      </c>
      <c r="M445" s="145" t="str">
        <f>IFERROR(__xludf.DUMMYFUNCTION("""COMPUTED_VALUE"""),"Kor Home")</f>
        <v>Kor Home</v>
      </c>
      <c r="N445" t="str">
        <f>IFERROR(__xludf.DUMMYFUNCTION("""COMPUTED_VALUE"""),"Active")</f>
        <v>Active</v>
      </c>
      <c r="P445" s="143">
        <f>IFERROR(__xludf.DUMMYFUNCTION("""COMPUTED_VALUE"""),31745.0)</f>
        <v>31745</v>
      </c>
      <c r="Q445" s="146" t="str">
        <f>IFERROR(__xludf.DUMMYFUNCTION("""COMPUTED_VALUE"""),"089 725 0056")</f>
        <v>089 725 0056</v>
      </c>
      <c r="R445" s="147">
        <f>IFERROR(__xludf.DUMMYFUNCTION("""COMPUTED_VALUE"""),1.101400864345E12)</f>
        <v>1101400864345</v>
      </c>
      <c r="S445" t="str">
        <f>IFERROR(__xludf.DUMMYFUNCTION("""COMPUTED_VALUE"""),"AC6444514")</f>
        <v>AC6444514</v>
      </c>
      <c r="T445" s="148">
        <f>IFERROR(__xludf.DUMMYFUNCTION("""COMPUTED_VALUE"""),45372.0)</f>
        <v>45372</v>
      </c>
      <c r="U445" s="148">
        <f>IFERROR(__xludf.DUMMYFUNCTION("""COMPUTED_VALUE"""),49023.0)</f>
        <v>49023</v>
      </c>
      <c r="V445" s="149">
        <f>IFERROR(__xludf.DUMMYFUNCTION("""COMPUTED_VALUE"""),48842.0)</f>
        <v>48842</v>
      </c>
      <c r="W445" t="str">
        <f>IFERROR(__xludf.DUMMYFUNCTION("""COMPUTED_VALUE"""),"ปลอดภัย")</f>
        <v>ปลอดภัย</v>
      </c>
      <c r="X445" t="str">
        <f>IFERROR(__xludf.DUMMYFUNCTION("""COMPUTED_VALUE"""),"Bangkok")</f>
        <v>Bangkok</v>
      </c>
      <c r="Y445" t="str">
        <f>IFERROR(__xludf.DUMMYFUNCTION("""COMPUTED_VALUE"""),"Nakhon Si Thammarat")</f>
        <v>Nakhon Si Thammarat</v>
      </c>
      <c r="Z445" t="str">
        <f>IFERROR(__xludf.DUMMYFUNCTION("""COMPUTED_VALUE"""),"075 446 253 / 084 306 4141")</f>
        <v>075 446 253 / 084 306 4141</v>
      </c>
      <c r="AA445" t="str">
        <f>IFERROR(__xludf.DUMMYFUNCTION("""COMPUTED_VALUE"""),"Home / Relative")</f>
        <v>Home / Relative</v>
      </c>
      <c r="AB445" t="str">
        <f>IFERROR(__xludf.DUMMYFUNCTION("""COMPUTED_VALUE"""),"sarawutr@airasia.com")</f>
        <v>sarawutr@airasia.com</v>
      </c>
    </row>
    <row r="446">
      <c r="A446">
        <f>IFERROR(__xludf.DUMMYFUNCTION("""COMPUTED_VALUE"""),1003425.0)</f>
        <v>1003425</v>
      </c>
      <c r="B446" t="str">
        <f>IFERROR(__xludf.DUMMYFUNCTION("""COMPUTED_VALUE"""),"Mr.")</f>
        <v>Mr.</v>
      </c>
      <c r="C446" t="str">
        <f>IFERROR(__xludf.DUMMYFUNCTION("""COMPUTED_VALUE"""),"Ake")</f>
        <v>Ake</v>
      </c>
      <c r="D446" t="str">
        <f>IFERROR(__xludf.DUMMYFUNCTION("""COMPUTED_VALUE"""),"Choetsobhon")</f>
        <v>Choetsobhon</v>
      </c>
      <c r="E446" t="str">
        <f>IFERROR(__xludf.DUMMYFUNCTION("""COMPUTED_VALUE"""),"Ake Choetsobhon")</f>
        <v>Ake Choetsobhon</v>
      </c>
      <c r="F446" t="str">
        <f>IFERROR(__xludf.DUMMYFUNCTION("""COMPUTED_VALUE"""),"นาย")</f>
        <v>นาย</v>
      </c>
      <c r="G446" t="str">
        <f>IFERROR(__xludf.DUMMYFUNCTION("""COMPUTED_VALUE"""),"เอก")</f>
        <v>เอก</v>
      </c>
      <c r="H446" t="str">
        <f>IFERROR(__xludf.DUMMYFUNCTION("""COMPUTED_VALUE"""),"โชติโสภณ")</f>
        <v>โชติโสภณ</v>
      </c>
      <c r="I446" t="str">
        <f>IFERROR(__xludf.DUMMYFUNCTION("""COMPUTED_VALUE"""),"เอก โชติโสภณ")</f>
        <v>เอก โชติโสภณ</v>
      </c>
      <c r="J446" t="str">
        <f>IFERROR(__xludf.DUMMYFUNCTION("""COMPUTED_VALUE"""),"เอก")</f>
        <v>เอก</v>
      </c>
      <c r="K446" t="str">
        <f>IFERROR(__xludf.DUMMYFUNCTION("""COMPUTED_VALUE"""),"Cabin Crew")</f>
        <v>Cabin Crew</v>
      </c>
      <c r="L446" t="str">
        <f>IFERROR(__xludf.DUMMYFUNCTION("""COMPUTED_VALUE"""),"DMK")</f>
        <v>DMK</v>
      </c>
      <c r="M446" s="145" t="str">
        <f>IFERROR(__xludf.DUMMYFUNCTION("""COMPUTED_VALUE"""),"Um Home")</f>
        <v>Um Home</v>
      </c>
      <c r="N446" t="str">
        <f>IFERROR(__xludf.DUMMYFUNCTION("""COMPUTED_VALUE"""),"Active")</f>
        <v>Active</v>
      </c>
      <c r="P446" s="143">
        <f>IFERROR(__xludf.DUMMYFUNCTION("""COMPUTED_VALUE"""),31183.0)</f>
        <v>31183</v>
      </c>
      <c r="Q446" s="146" t="str">
        <f>IFERROR(__xludf.DUMMYFUNCTION("""COMPUTED_VALUE"""),"084 001 7429")</f>
        <v>084 001 7429</v>
      </c>
      <c r="R446" s="147">
        <f>IFERROR(__xludf.DUMMYFUNCTION("""COMPUTED_VALUE"""),1.100500079096E12)</f>
        <v>1100500079096</v>
      </c>
      <c r="S446" t="str">
        <f>IFERROR(__xludf.DUMMYFUNCTION("""COMPUTED_VALUE"""),"AC6247005")</f>
        <v>AC6247005</v>
      </c>
      <c r="T446" s="148">
        <f>IFERROR(__xludf.DUMMYFUNCTION("""COMPUTED_VALUE"""),45309.0)</f>
        <v>45309</v>
      </c>
      <c r="U446" s="148">
        <f>IFERROR(__xludf.DUMMYFUNCTION("""COMPUTED_VALUE"""),48961.0)</f>
        <v>48961</v>
      </c>
      <c r="V446" s="149">
        <f>IFERROR(__xludf.DUMMYFUNCTION("""COMPUTED_VALUE"""),48777.0)</f>
        <v>48777</v>
      </c>
      <c r="W446" t="str">
        <f>IFERROR(__xludf.DUMMYFUNCTION("""COMPUTED_VALUE"""),"ปลอดภัย")</f>
        <v>ปลอดภัย</v>
      </c>
      <c r="X446" t="str">
        <f>IFERROR(__xludf.DUMMYFUNCTION("""COMPUTED_VALUE"""),"Bangkok")</f>
        <v>Bangkok</v>
      </c>
      <c r="Y446" t="str">
        <f>IFERROR(__xludf.DUMMYFUNCTION("""COMPUTED_VALUE"""),"Pathumthani")</f>
        <v>Pathumthani</v>
      </c>
      <c r="Z446" t="str">
        <f>IFERROR(__xludf.DUMMYFUNCTION("""COMPUTED_VALUE"""),"02 567 3530 / 081 488 3907")</f>
        <v>02 567 3530 / 081 488 3907</v>
      </c>
      <c r="AA446" t="str">
        <f>IFERROR(__xludf.DUMMYFUNCTION("""COMPUTED_VALUE"""),"Home / Relative")</f>
        <v>Home / Relative</v>
      </c>
      <c r="AB446" t="str">
        <f>IFERROR(__xludf.DUMMYFUNCTION("""COMPUTED_VALUE"""),"akec@airasia.com")</f>
        <v>akec@airasia.com</v>
      </c>
    </row>
    <row r="447">
      <c r="A447">
        <f>IFERROR(__xludf.DUMMYFUNCTION("""COMPUTED_VALUE"""),1003942.0)</f>
        <v>1003942</v>
      </c>
      <c r="B447" t="str">
        <f>IFERROR(__xludf.DUMMYFUNCTION("""COMPUTED_VALUE"""),"Ms.")</f>
        <v>Ms.</v>
      </c>
      <c r="C447" t="str">
        <f>IFERROR(__xludf.DUMMYFUNCTION("""COMPUTED_VALUE"""),"Wilawan")</f>
        <v>Wilawan</v>
      </c>
      <c r="D447" t="str">
        <f>IFERROR(__xludf.DUMMYFUNCTION("""COMPUTED_VALUE"""),"Auttamaphan")</f>
        <v>Auttamaphan</v>
      </c>
      <c r="E447" t="str">
        <f>IFERROR(__xludf.DUMMYFUNCTION("""COMPUTED_VALUE"""),"Wilawan Auttamaphan")</f>
        <v>Wilawan Auttamaphan</v>
      </c>
      <c r="F447" t="str">
        <f>IFERROR(__xludf.DUMMYFUNCTION("""COMPUTED_VALUE"""),"นางสาว")</f>
        <v>นางสาว</v>
      </c>
      <c r="G447" t="str">
        <f>IFERROR(__xludf.DUMMYFUNCTION("""COMPUTED_VALUE"""),"วิลาวัณย์")</f>
        <v>วิลาวัณย์</v>
      </c>
      <c r="H447" t="str">
        <f>IFERROR(__xludf.DUMMYFUNCTION("""COMPUTED_VALUE"""),"อุตมะพันธุ์")</f>
        <v>อุตมะพันธุ์</v>
      </c>
      <c r="I447" t="str">
        <f>IFERROR(__xludf.DUMMYFUNCTION("""COMPUTED_VALUE"""),"วิลาวัณย์ อุตมะพันธุ์")</f>
        <v>วิลาวัณย์ อุตมะพันธุ์</v>
      </c>
      <c r="J447" t="str">
        <f>IFERROR(__xludf.DUMMYFUNCTION("""COMPUTED_VALUE"""),"กวาง")</f>
        <v>กวาง</v>
      </c>
      <c r="K447" t="str">
        <f>IFERROR(__xludf.DUMMYFUNCTION("""COMPUTED_VALUE"""),"Cabin Crew")</f>
        <v>Cabin Crew</v>
      </c>
      <c r="L447" t="str">
        <f>IFERROR(__xludf.DUMMYFUNCTION("""COMPUTED_VALUE"""),"DMK")</f>
        <v>DMK</v>
      </c>
      <c r="M447" s="145" t="str">
        <f>IFERROR(__xludf.DUMMYFUNCTION("""COMPUTED_VALUE"""),"Up Home")</f>
        <v>Up Home</v>
      </c>
      <c r="N447" t="str">
        <f>IFERROR(__xludf.DUMMYFUNCTION("""COMPUTED_VALUE"""),"Active")</f>
        <v>Active</v>
      </c>
      <c r="P447" s="143">
        <f>IFERROR(__xludf.DUMMYFUNCTION("""COMPUTED_VALUE"""),31210.0)</f>
        <v>31210</v>
      </c>
      <c r="Q447" s="146" t="str">
        <f>IFERROR(__xludf.DUMMYFUNCTION("""COMPUTED_VALUE"""),"083-909-8224")</f>
        <v>083-909-8224</v>
      </c>
      <c r="R447" s="147">
        <f>IFERROR(__xludf.DUMMYFUNCTION("""COMPUTED_VALUE"""),1.12010004144E12)</f>
        <v>1120100041440</v>
      </c>
      <c r="S447" t="str">
        <f>IFERROR(__xludf.DUMMYFUNCTION("""COMPUTED_VALUE"""),"AC2989879")</f>
        <v>AC2989879</v>
      </c>
      <c r="T447" s="148">
        <f>IFERROR(__xludf.DUMMYFUNCTION("""COMPUTED_VALUE"""),44650.0)</f>
        <v>44650</v>
      </c>
      <c r="U447" s="148">
        <f>IFERROR(__xludf.DUMMYFUNCTION("""COMPUTED_VALUE"""),48302.0)</f>
        <v>48302</v>
      </c>
      <c r="V447" s="149">
        <f>IFERROR(__xludf.DUMMYFUNCTION("""COMPUTED_VALUE"""),48120.0)</f>
        <v>48120</v>
      </c>
      <c r="W447" t="str">
        <f>IFERROR(__xludf.DUMMYFUNCTION("""COMPUTED_VALUE"""),"ปลอดภัย")</f>
        <v>ปลอดภัย</v>
      </c>
      <c r="X447" t="str">
        <f>IFERROR(__xludf.DUMMYFUNCTION("""COMPUTED_VALUE"""),"Nonthaburi Province")</f>
        <v>Nonthaburi Province</v>
      </c>
      <c r="Y447" t="str">
        <f>IFERROR(__xludf.DUMMYFUNCTION("""COMPUTED_VALUE"""),"Laksi")</f>
        <v>Laksi</v>
      </c>
      <c r="Z447" t="str">
        <f>IFERROR(__xludf.DUMMYFUNCTION("""COMPUTED_VALUE"""),"089 795 9045")</f>
        <v>089 795 9045</v>
      </c>
      <c r="AA447" t="str">
        <f>IFERROR(__xludf.DUMMYFUNCTION("""COMPUTED_VALUE"""),"Relative")</f>
        <v>Relative</v>
      </c>
      <c r="AB447" t="str">
        <f>IFERROR(__xludf.DUMMYFUNCTION("""COMPUTED_VALUE"""),"wilawana@airasia.com")</f>
        <v>wilawana@airasia.com</v>
      </c>
    </row>
    <row r="448">
      <c r="A448">
        <f>IFERROR(__xludf.DUMMYFUNCTION("""COMPUTED_VALUE"""),1004016.0)</f>
        <v>1004016</v>
      </c>
      <c r="B448" t="str">
        <f>IFERROR(__xludf.DUMMYFUNCTION("""COMPUTED_VALUE"""),"Mr.")</f>
        <v>Mr.</v>
      </c>
      <c r="C448" t="str">
        <f>IFERROR(__xludf.DUMMYFUNCTION("""COMPUTED_VALUE"""),"Khamkhun (Aphichat)")</f>
        <v>Khamkhun (Aphichat)</v>
      </c>
      <c r="D448" t="str">
        <f>IFERROR(__xludf.DUMMYFUNCTION("""COMPUTED_VALUE"""),"Thapnoo")</f>
        <v>Thapnoo</v>
      </c>
      <c r="E448" t="str">
        <f>IFERROR(__xludf.DUMMYFUNCTION("""COMPUTED_VALUE"""),"Khamkhun Thapnoo")</f>
        <v>Khamkhun Thapnoo</v>
      </c>
      <c r="F448" t="str">
        <f>IFERROR(__xludf.DUMMYFUNCTION("""COMPUTED_VALUE"""),"นาย")</f>
        <v>นาย</v>
      </c>
      <c r="G448" t="str">
        <f>IFERROR(__xludf.DUMMYFUNCTION("""COMPUTED_VALUE"""),"คัมคุน (อภิชาติ)")</f>
        <v>คัมคุน (อภิชาติ)</v>
      </c>
      <c r="H448" t="str">
        <f>IFERROR(__xludf.DUMMYFUNCTION("""COMPUTED_VALUE"""),"เทพหนู")</f>
        <v>เทพหนู</v>
      </c>
      <c r="I448" t="str">
        <f>IFERROR(__xludf.DUMMYFUNCTION("""COMPUTED_VALUE"""),"คัมคุน เทพหนู")</f>
        <v>คัมคุน เทพหนู</v>
      </c>
      <c r="J448" t="str">
        <f>IFERROR(__xludf.DUMMYFUNCTION("""COMPUTED_VALUE"""),"ไอซ์")</f>
        <v>ไอซ์</v>
      </c>
      <c r="K448" t="str">
        <f>IFERROR(__xludf.DUMMYFUNCTION("""COMPUTED_VALUE"""),"Cabin Crew - CNX")</f>
        <v>Cabin Crew - CNX</v>
      </c>
      <c r="L448" t="str">
        <f>IFERROR(__xludf.DUMMYFUNCTION("""COMPUTED_VALUE"""),"CNX")</f>
        <v>CNX</v>
      </c>
      <c r="M448" s="145" t="str">
        <f>IFERROR(__xludf.DUMMYFUNCTION("""COMPUTED_VALUE"""),"Up Home")</f>
        <v>Up Home</v>
      </c>
      <c r="N448" t="str">
        <f>IFERROR(__xludf.DUMMYFUNCTION("""COMPUTED_VALUE"""),"Active")</f>
        <v>Active</v>
      </c>
      <c r="P448" s="143">
        <f>IFERROR(__xludf.DUMMYFUNCTION("""COMPUTED_VALUE"""),32141.0)</f>
        <v>32141</v>
      </c>
      <c r="Q448" s="146">
        <f>IFERROR(__xludf.DUMMYFUNCTION("""COMPUTED_VALUE"""),8.26697962E8)</f>
        <v>826697962</v>
      </c>
      <c r="R448" s="147">
        <f>IFERROR(__xludf.DUMMYFUNCTION("""COMPUTED_VALUE"""),1.93090010672E12)</f>
        <v>1930900106720</v>
      </c>
      <c r="S448" t="str">
        <f>IFERROR(__xludf.DUMMYFUNCTION("""COMPUTED_VALUE"""),"AC6651513")</f>
        <v>AC6651513</v>
      </c>
      <c r="T448" s="148">
        <f>IFERROR(__xludf.DUMMYFUNCTION("""COMPUTED_VALUE"""),45408.0)</f>
        <v>45408</v>
      </c>
      <c r="U448" s="148">
        <f>IFERROR(__xludf.DUMMYFUNCTION("""COMPUTED_VALUE"""),49059.0)</f>
        <v>49059</v>
      </c>
      <c r="V448" s="149">
        <f>IFERROR(__xludf.DUMMYFUNCTION("""COMPUTED_VALUE"""),48877.0)</f>
        <v>48877</v>
      </c>
      <c r="W448" t="str">
        <f>IFERROR(__xludf.DUMMYFUNCTION("""COMPUTED_VALUE"""),"ปลอดภัย")</f>
        <v>ปลอดภัย</v>
      </c>
      <c r="X448" t="str">
        <f>IFERROR(__xludf.DUMMYFUNCTION("""COMPUTED_VALUE"""),"Phatthalung Province")</f>
        <v>Phatthalung Province</v>
      </c>
      <c r="Y448" t="str">
        <f>IFERROR(__xludf.DUMMYFUNCTION("""COMPUTED_VALUE"""),"Ramindra")</f>
        <v>Ramindra</v>
      </c>
      <c r="Z448" t="str">
        <f>IFERROR(__xludf.DUMMYFUNCTION("""COMPUTED_VALUE"""),"086 284 5458")</f>
        <v>086 284 5458</v>
      </c>
      <c r="AA448" t="str">
        <f>IFERROR(__xludf.DUMMYFUNCTION("""COMPUTED_VALUE"""),"Relative")</f>
        <v>Relative</v>
      </c>
      <c r="AB448" t="str">
        <f>IFERROR(__xludf.DUMMYFUNCTION("""COMPUTED_VALUE"""),"khamkhunt@airasia.com")</f>
        <v>khamkhunt@airasia.com</v>
      </c>
    </row>
    <row r="449">
      <c r="A449">
        <f>IFERROR(__xludf.DUMMYFUNCTION("""COMPUTED_VALUE"""),1004069.0)</f>
        <v>1004069</v>
      </c>
      <c r="B449" t="str">
        <f>IFERROR(__xludf.DUMMYFUNCTION("""COMPUTED_VALUE"""),"Ms.")</f>
        <v>Ms.</v>
      </c>
      <c r="C449" t="str">
        <f>IFERROR(__xludf.DUMMYFUNCTION("""COMPUTED_VALUE"""),"Pimnicha")</f>
        <v>Pimnicha</v>
      </c>
      <c r="D449" t="str">
        <f>IFERROR(__xludf.DUMMYFUNCTION("""COMPUTED_VALUE"""),"Boriromyawong")</f>
        <v>Boriromyawong</v>
      </c>
      <c r="E449" t="str">
        <f>IFERROR(__xludf.DUMMYFUNCTION("""COMPUTED_VALUE"""),"Pimnicha Boriromyawong")</f>
        <v>Pimnicha Boriromyawong</v>
      </c>
      <c r="F449" t="str">
        <f>IFERROR(__xludf.DUMMYFUNCTION("""COMPUTED_VALUE"""),"นางสาว")</f>
        <v>นางสาว</v>
      </c>
      <c r="G449" t="str">
        <f>IFERROR(__xludf.DUMMYFUNCTION("""COMPUTED_VALUE"""),"พิมพ์ณิชา")</f>
        <v>พิมพ์ณิชา</v>
      </c>
      <c r="H449" t="str">
        <f>IFERROR(__xludf.DUMMYFUNCTION("""COMPUTED_VALUE"""),"บริรมยาวงศ์")</f>
        <v>บริรมยาวงศ์</v>
      </c>
      <c r="I449" t="str">
        <f>IFERROR(__xludf.DUMMYFUNCTION("""COMPUTED_VALUE"""),"พิมพ์ณิชา บริรมยาวงศ์")</f>
        <v>พิมพ์ณิชา บริรมยาวงศ์</v>
      </c>
      <c r="J449" t="str">
        <f>IFERROR(__xludf.DUMMYFUNCTION("""COMPUTED_VALUE"""),"Dear")</f>
        <v>Dear</v>
      </c>
      <c r="K449" t="str">
        <f>IFERROR(__xludf.DUMMYFUNCTION("""COMPUTED_VALUE"""),"Cabin Crew - HKT")</f>
        <v>Cabin Crew - HKT</v>
      </c>
      <c r="L449" t="str">
        <f>IFERROR(__xludf.DUMMYFUNCTION("""COMPUTED_VALUE"""),"HKT")</f>
        <v>HKT</v>
      </c>
      <c r="M449" s="145" t="str">
        <f>IFERROR(__xludf.DUMMYFUNCTION("""COMPUTED_VALUE"""),"Kor Home")</f>
        <v>Kor Home</v>
      </c>
      <c r="N449" t="str">
        <f>IFERROR(__xludf.DUMMYFUNCTION("""COMPUTED_VALUE"""),"Active")</f>
        <v>Active</v>
      </c>
      <c r="P449" s="143">
        <f>IFERROR(__xludf.DUMMYFUNCTION("""COMPUTED_VALUE"""),32406.0)</f>
        <v>32406</v>
      </c>
      <c r="Q449" s="146" t="str">
        <f>IFERROR(__xludf.DUMMYFUNCTION("""COMPUTED_VALUE"""),"080 991 7965")</f>
        <v>080 991 7965</v>
      </c>
      <c r="R449" s="147">
        <f>IFERROR(__xludf.DUMMYFUNCTION("""COMPUTED_VALUE"""),1.929900162226E12)</f>
        <v>1929900162226</v>
      </c>
      <c r="S449" t="str">
        <f>IFERROR(__xludf.DUMMYFUNCTION("""COMPUTED_VALUE"""),"AD2096477")</f>
        <v>AD2096477</v>
      </c>
      <c r="T449" s="148">
        <f>IFERROR(__xludf.DUMMYFUNCTION("""COMPUTED_VALUE"""),45726.0)</f>
        <v>45726</v>
      </c>
      <c r="U449" s="148">
        <f>IFERROR(__xludf.DUMMYFUNCTION("""COMPUTED_VALUE"""),49377.0)</f>
        <v>49377</v>
      </c>
      <c r="V449" s="149">
        <f>IFERROR(__xludf.DUMMYFUNCTION("""COMPUTED_VALUE"""),49196.0)</f>
        <v>49196</v>
      </c>
      <c r="W449" t="str">
        <f>IFERROR(__xludf.DUMMYFUNCTION("""COMPUTED_VALUE"""),"ปลอดภัย")</f>
        <v>ปลอดภัย</v>
      </c>
      <c r="X449" t="str">
        <f>IFERROR(__xludf.DUMMYFUNCTION("""COMPUTED_VALUE"""),"Trang Province")</f>
        <v>Trang Province</v>
      </c>
      <c r="Y449" t="str">
        <f>IFERROR(__xludf.DUMMYFUNCTION("""COMPUTED_VALUE"""),"Phuket")</f>
        <v>Phuket</v>
      </c>
      <c r="Z449" t="str">
        <f>IFERROR(__xludf.DUMMYFUNCTION("""COMPUTED_VALUE"""),"081 691 7105")</f>
        <v>081 691 7105</v>
      </c>
      <c r="AA449" t="str">
        <f>IFERROR(__xludf.DUMMYFUNCTION("""COMPUTED_VALUE"""),"Mother")</f>
        <v>Mother</v>
      </c>
      <c r="AB449" t="str">
        <f>IFERROR(__xludf.DUMMYFUNCTION("""COMPUTED_VALUE"""),"pimnichab@airasia.com")</f>
        <v>pimnichab@airasia.com</v>
      </c>
    </row>
    <row r="450">
      <c r="A450">
        <f>IFERROR(__xludf.DUMMYFUNCTION("""COMPUTED_VALUE"""),1004294.0)</f>
        <v>1004294</v>
      </c>
      <c r="B450" t="str">
        <f>IFERROR(__xludf.DUMMYFUNCTION("""COMPUTED_VALUE"""),"Mr.")</f>
        <v>Mr.</v>
      </c>
      <c r="C450" t="str">
        <f>IFERROR(__xludf.DUMMYFUNCTION("""COMPUTED_VALUE"""),"Kawinwat")</f>
        <v>Kawinwat</v>
      </c>
      <c r="D450" t="str">
        <f>IFERROR(__xludf.DUMMYFUNCTION("""COMPUTED_VALUE"""),"Pringplert")</f>
        <v>Pringplert</v>
      </c>
      <c r="E450" t="str">
        <f>IFERROR(__xludf.DUMMYFUNCTION("""COMPUTED_VALUE"""),"Kawinwat Pringplert")</f>
        <v>Kawinwat Pringplert</v>
      </c>
      <c r="F450" t="str">
        <f>IFERROR(__xludf.DUMMYFUNCTION("""COMPUTED_VALUE"""),"นาย")</f>
        <v>นาย</v>
      </c>
      <c r="G450" t="str">
        <f>IFERROR(__xludf.DUMMYFUNCTION("""COMPUTED_VALUE"""),"กวินวัฒน์")</f>
        <v>กวินวัฒน์</v>
      </c>
      <c r="H450" t="str">
        <f>IFERROR(__xludf.DUMMYFUNCTION("""COMPUTED_VALUE"""),"พริ้งเพริด")</f>
        <v>พริ้งเพริด</v>
      </c>
      <c r="I450" t="str">
        <f>IFERROR(__xludf.DUMMYFUNCTION("""COMPUTED_VALUE"""),"กวินวัฒน์ พริ้งเพริด")</f>
        <v>กวินวัฒน์ พริ้งเพริด</v>
      </c>
      <c r="J450" t="str">
        <f>IFERROR(__xludf.DUMMYFUNCTION("""COMPUTED_VALUE"""),"Eve")</f>
        <v>Eve</v>
      </c>
      <c r="K450" t="str">
        <f>IFERROR(__xludf.DUMMYFUNCTION("""COMPUTED_VALUE"""),"Cabin Crew")</f>
        <v>Cabin Crew</v>
      </c>
      <c r="L450" t="str">
        <f>IFERROR(__xludf.DUMMYFUNCTION("""COMPUTED_VALUE"""),"DMK")</f>
        <v>DMK</v>
      </c>
      <c r="M450" s="145" t="str">
        <f>IFERROR(__xludf.DUMMYFUNCTION("""COMPUTED_VALUE"""),"Por+ Home")</f>
        <v>Por+ Home</v>
      </c>
      <c r="N450" t="str">
        <f>IFERROR(__xludf.DUMMYFUNCTION("""COMPUTED_VALUE"""),"Active")</f>
        <v>Active</v>
      </c>
      <c r="P450" s="143">
        <f>IFERROR(__xludf.DUMMYFUNCTION("""COMPUTED_VALUE"""),31758.0)</f>
        <v>31758</v>
      </c>
      <c r="Q450" s="146" t="str">
        <f>IFERROR(__xludf.DUMMYFUNCTION("""COMPUTED_VALUE"""),"084 146 1931")</f>
        <v>084 146 1931</v>
      </c>
      <c r="R450" s="147">
        <f>IFERROR(__xludf.DUMMYFUNCTION("""COMPUTED_VALUE"""),1.549900102901E12)</f>
        <v>1549900102901</v>
      </c>
      <c r="S450" t="str">
        <f>IFERROR(__xludf.DUMMYFUNCTION("""COMPUTED_VALUE"""),"AC5420115")</f>
        <v>AC5420115</v>
      </c>
      <c r="T450" s="148">
        <f>IFERROR(__xludf.DUMMYFUNCTION("""COMPUTED_VALUE"""),45145.0)</f>
        <v>45145</v>
      </c>
      <c r="U450" s="148">
        <f>IFERROR(__xludf.DUMMYFUNCTION("""COMPUTED_VALUE"""),48797.0)</f>
        <v>48797</v>
      </c>
      <c r="V450" s="149">
        <f>IFERROR(__xludf.DUMMYFUNCTION("""COMPUTED_VALUE"""),48616.0)</f>
        <v>48616</v>
      </c>
      <c r="W450" t="str">
        <f>IFERROR(__xludf.DUMMYFUNCTION("""COMPUTED_VALUE"""),"ปลอดภัย")</f>
        <v>ปลอดภัย</v>
      </c>
      <c r="X450" t="str">
        <f>IFERROR(__xludf.DUMMYFUNCTION("""COMPUTED_VALUE"""),"Phrae Province")</f>
        <v>Phrae Province</v>
      </c>
      <c r="Y450" t="str">
        <f>IFERROR(__xludf.DUMMYFUNCTION("""COMPUTED_VALUE"""),"Jatuchak")</f>
        <v>Jatuchak</v>
      </c>
      <c r="Z450" t="str">
        <f>IFERROR(__xludf.DUMMYFUNCTION("""COMPUTED_VALUE"""),"081 022 4105")</f>
        <v>081 022 4105</v>
      </c>
      <c r="AA450" t="str">
        <f>IFERROR(__xludf.DUMMYFUNCTION("""COMPUTED_VALUE"""),"Father")</f>
        <v>Father</v>
      </c>
      <c r="AB450" t="str">
        <f>IFERROR(__xludf.DUMMYFUNCTION("""COMPUTED_VALUE"""),"kawinwatp@airasia.com")</f>
        <v>kawinwatp@airasia.com</v>
      </c>
    </row>
    <row r="451">
      <c r="A451">
        <f>IFERROR(__xludf.DUMMYFUNCTION("""COMPUTED_VALUE"""),1004297.0)</f>
        <v>1004297</v>
      </c>
      <c r="B451" t="str">
        <f>IFERROR(__xludf.DUMMYFUNCTION("""COMPUTED_VALUE"""),"Ms.")</f>
        <v>Ms.</v>
      </c>
      <c r="C451" t="str">
        <f>IFERROR(__xludf.DUMMYFUNCTION("""COMPUTED_VALUE"""),"Palil")</f>
        <v>Palil</v>
      </c>
      <c r="D451" t="str">
        <f>IFERROR(__xludf.DUMMYFUNCTION("""COMPUTED_VALUE"""),"Borisutsuwan")</f>
        <v>Borisutsuwan</v>
      </c>
      <c r="E451" t="str">
        <f>IFERROR(__xludf.DUMMYFUNCTION("""COMPUTED_VALUE"""),"Palil Borisutsuwan")</f>
        <v>Palil Borisutsuwan</v>
      </c>
      <c r="F451" t="str">
        <f>IFERROR(__xludf.DUMMYFUNCTION("""COMPUTED_VALUE"""),"นางสาว")</f>
        <v>นางสาว</v>
      </c>
      <c r="G451" t="str">
        <f>IFERROR(__xludf.DUMMYFUNCTION("""COMPUTED_VALUE"""),"ปาลิล")</f>
        <v>ปาลิล</v>
      </c>
      <c r="H451" t="str">
        <f>IFERROR(__xludf.DUMMYFUNCTION("""COMPUTED_VALUE"""),"บริสุทธิ์สุวรรณ์")</f>
        <v>บริสุทธิ์สุวรรณ์</v>
      </c>
      <c r="I451" t="str">
        <f>IFERROR(__xludf.DUMMYFUNCTION("""COMPUTED_VALUE"""),"ปาลิล บริสุทธิ์สุวรรณ์")</f>
        <v>ปาลิล บริสุทธิ์สุวรรณ์</v>
      </c>
      <c r="J451" t="str">
        <f>IFERROR(__xludf.DUMMYFUNCTION("""COMPUTED_VALUE"""),"Lil")</f>
        <v>Lil</v>
      </c>
      <c r="K451" t="str">
        <f>IFERROR(__xludf.DUMMYFUNCTION("""COMPUTED_VALUE"""),"Senior Cabin Crew")</f>
        <v>Senior Cabin Crew</v>
      </c>
      <c r="L451" t="str">
        <f>IFERROR(__xludf.DUMMYFUNCTION("""COMPUTED_VALUE"""),"DMK")</f>
        <v>DMK</v>
      </c>
      <c r="M451" s="145" t="str">
        <f>IFERROR(__xludf.DUMMYFUNCTION("""COMPUTED_VALUE"""),"Toffy Home")</f>
        <v>Toffy Home</v>
      </c>
      <c r="N451" t="str">
        <f>IFERROR(__xludf.DUMMYFUNCTION("""COMPUTED_VALUE"""),"Active")</f>
        <v>Active</v>
      </c>
      <c r="P451" s="143">
        <f>IFERROR(__xludf.DUMMYFUNCTION("""COMPUTED_VALUE"""),31407.0)</f>
        <v>31407</v>
      </c>
      <c r="Q451" s="146" t="str">
        <f>IFERROR(__xludf.DUMMYFUNCTION("""COMPUTED_VALUE"""),"095-252-1169")</f>
        <v>095-252-1169</v>
      </c>
      <c r="R451" s="147">
        <f>IFERROR(__xludf.DUMMYFUNCTION("""COMPUTED_VALUE"""),1.250200041904E12)</f>
        <v>1250200041904</v>
      </c>
      <c r="S451" t="str">
        <f>IFERROR(__xludf.DUMMYFUNCTION("""COMPUTED_VALUE"""),"AC3405726")</f>
        <v>AC3405726</v>
      </c>
      <c r="T451" s="148">
        <f>IFERROR(__xludf.DUMMYFUNCTION("""COMPUTED_VALUE"""),44732.0)</f>
        <v>44732</v>
      </c>
      <c r="U451" s="148">
        <f>IFERROR(__xludf.DUMMYFUNCTION("""COMPUTED_VALUE"""),48384.0)</f>
        <v>48384</v>
      </c>
      <c r="V451" s="149">
        <f>IFERROR(__xludf.DUMMYFUNCTION("""COMPUTED_VALUE"""),48201.0)</f>
        <v>48201</v>
      </c>
      <c r="W451" t="str">
        <f>IFERROR(__xludf.DUMMYFUNCTION("""COMPUTED_VALUE"""),"ปลอดภัย")</f>
        <v>ปลอดภัย</v>
      </c>
      <c r="X451" t="str">
        <f>IFERROR(__xludf.DUMMYFUNCTION("""COMPUTED_VALUE"""),"Prachinburi Province")</f>
        <v>Prachinburi Province</v>
      </c>
      <c r="Y451" t="str">
        <f>IFERROR(__xludf.DUMMYFUNCTION("""COMPUTED_VALUE"""),"Bangkhaen")</f>
        <v>Bangkhaen</v>
      </c>
      <c r="Z451" t="str">
        <f>IFERROR(__xludf.DUMMYFUNCTION("""COMPUTED_VALUE"""),"095-252-1169")</f>
        <v>095-252-1169</v>
      </c>
      <c r="AA451" t="str">
        <f>IFERROR(__xludf.DUMMYFUNCTION("""COMPUTED_VALUE"""),"Relative")</f>
        <v>Relative</v>
      </c>
      <c r="AB451" t="str">
        <f>IFERROR(__xludf.DUMMYFUNCTION("""COMPUTED_VALUE"""),"palilb@airasia.com")</f>
        <v>palilb@airasia.com</v>
      </c>
    </row>
    <row r="452">
      <c r="A452">
        <f>IFERROR(__xludf.DUMMYFUNCTION("""COMPUTED_VALUE"""),1004298.0)</f>
        <v>1004298</v>
      </c>
      <c r="B452" t="str">
        <f>IFERROR(__xludf.DUMMYFUNCTION("""COMPUTED_VALUE"""),"Mr.")</f>
        <v>Mr.</v>
      </c>
      <c r="C452" t="str">
        <f>IFERROR(__xludf.DUMMYFUNCTION("""COMPUTED_VALUE"""),"Teerapat")</f>
        <v>Teerapat</v>
      </c>
      <c r="D452" t="str">
        <f>IFERROR(__xludf.DUMMYFUNCTION("""COMPUTED_VALUE"""),"Kasemphongsakorn")</f>
        <v>Kasemphongsakorn</v>
      </c>
      <c r="E452" t="str">
        <f>IFERROR(__xludf.DUMMYFUNCTION("""COMPUTED_VALUE"""),"Teerapat Kasemphongsakorn")</f>
        <v>Teerapat Kasemphongsakorn</v>
      </c>
      <c r="F452" t="str">
        <f>IFERROR(__xludf.DUMMYFUNCTION("""COMPUTED_VALUE"""),"นาย")</f>
        <v>นาย</v>
      </c>
      <c r="G452" t="str">
        <f>IFERROR(__xludf.DUMMYFUNCTION("""COMPUTED_VALUE"""),"ธีภัทร")</f>
        <v>ธีภัทร</v>
      </c>
      <c r="H452" t="str">
        <f>IFERROR(__xludf.DUMMYFUNCTION("""COMPUTED_VALUE"""),"เกษมพงศากร")</f>
        <v>เกษมพงศากร</v>
      </c>
      <c r="I452" t="str">
        <f>IFERROR(__xludf.DUMMYFUNCTION("""COMPUTED_VALUE"""),"ธีภัทร เกษมพงศากร")</f>
        <v>ธีภัทร เกษมพงศากร</v>
      </c>
      <c r="J452" t="str">
        <f>IFERROR(__xludf.DUMMYFUNCTION("""COMPUTED_VALUE"""),"Tee")</f>
        <v>Tee</v>
      </c>
      <c r="K452" t="str">
        <f>IFERROR(__xludf.DUMMYFUNCTION("""COMPUTED_VALUE"""),"Senior Cabin Crew")</f>
        <v>Senior Cabin Crew</v>
      </c>
      <c r="L452" t="str">
        <f>IFERROR(__xludf.DUMMYFUNCTION("""COMPUTED_VALUE"""),"DMK")</f>
        <v>DMK</v>
      </c>
      <c r="M452" s="145" t="str">
        <f>IFERROR(__xludf.DUMMYFUNCTION("""COMPUTED_VALUE"""),"Up Home")</f>
        <v>Up Home</v>
      </c>
      <c r="N452" t="str">
        <f>IFERROR(__xludf.DUMMYFUNCTION("""COMPUTED_VALUE"""),"Active")</f>
        <v>Active</v>
      </c>
      <c r="O452" t="str">
        <f>IFERROR(__xludf.DUMMYFUNCTION("""COMPUTED_VALUE"""),"SCC Line Checker 2025")</f>
        <v>SCC Line Checker 2025</v>
      </c>
      <c r="P452" s="143">
        <f>IFERROR(__xludf.DUMMYFUNCTION("""COMPUTED_VALUE"""),32140.0)</f>
        <v>32140</v>
      </c>
      <c r="Q452" s="146" t="str">
        <f>IFERROR(__xludf.DUMMYFUNCTION("""COMPUTED_VALUE"""),"099-893-6988")</f>
        <v>099-893-6988</v>
      </c>
      <c r="R452" s="147">
        <f>IFERROR(__xludf.DUMMYFUNCTION("""COMPUTED_VALUE"""),1.92990013818E12)</f>
        <v>1929900138180</v>
      </c>
      <c r="S452" t="str">
        <f>IFERROR(__xludf.DUMMYFUNCTION("""COMPUTED_VALUE"""),"AD3287794")</f>
        <v>AD3287794</v>
      </c>
      <c r="T452" s="148">
        <f>IFERROR(__xludf.DUMMYFUNCTION("""COMPUTED_VALUE"""),46048.0)</f>
        <v>46048</v>
      </c>
      <c r="U452" s="148">
        <f>IFERROR(__xludf.DUMMYFUNCTION("""COMPUTED_VALUE"""),49699.0)</f>
        <v>49699</v>
      </c>
      <c r="V452" s="149">
        <f>IFERROR(__xludf.DUMMYFUNCTION("""COMPUTED_VALUE"""),49515.0)</f>
        <v>49515</v>
      </c>
      <c r="W452" t="str">
        <f>IFERROR(__xludf.DUMMYFUNCTION("""COMPUTED_VALUE"""),"ปลอดภัย")</f>
        <v>ปลอดภัย</v>
      </c>
      <c r="X452" t="str">
        <f>IFERROR(__xludf.DUMMYFUNCTION("""COMPUTED_VALUE"""),"Trang Province")</f>
        <v>Trang Province</v>
      </c>
      <c r="Y452" t="str">
        <f>IFERROR(__xludf.DUMMYFUNCTION("""COMPUTED_VALUE"""),"Ladkrabang")</f>
        <v>Ladkrabang</v>
      </c>
      <c r="Z452" t="str">
        <f>IFERROR(__xludf.DUMMYFUNCTION("""COMPUTED_VALUE"""),"089 650 2370")</f>
        <v>089 650 2370</v>
      </c>
      <c r="AA452" t="str">
        <f>IFERROR(__xludf.DUMMYFUNCTION("""COMPUTED_VALUE"""),"Mother")</f>
        <v>Mother</v>
      </c>
      <c r="AB452" t="str">
        <f>IFERROR(__xludf.DUMMYFUNCTION("""COMPUTED_VALUE"""),"teerapatk@airasia.com")</f>
        <v>teerapatk@airasia.com</v>
      </c>
    </row>
    <row r="453">
      <c r="A453">
        <f>IFERROR(__xludf.DUMMYFUNCTION("""COMPUTED_VALUE"""),1004308.0)</f>
        <v>1004308</v>
      </c>
      <c r="B453" t="str">
        <f>IFERROR(__xludf.DUMMYFUNCTION("""COMPUTED_VALUE"""),"Ms.")</f>
        <v>Ms.</v>
      </c>
      <c r="C453" t="str">
        <f>IFERROR(__xludf.DUMMYFUNCTION("""COMPUTED_VALUE"""),"Kamalas")</f>
        <v>Kamalas</v>
      </c>
      <c r="D453" t="str">
        <f>IFERROR(__xludf.DUMMYFUNCTION("""COMPUTED_VALUE"""),"Wittayametakul")</f>
        <v>Wittayametakul</v>
      </c>
      <c r="E453" t="str">
        <f>IFERROR(__xludf.DUMMYFUNCTION("""COMPUTED_VALUE"""),"Kamalas Wittayametakul")</f>
        <v>Kamalas Wittayametakul</v>
      </c>
      <c r="F453" t="str">
        <f>IFERROR(__xludf.DUMMYFUNCTION("""COMPUTED_VALUE"""),"นางสาว")</f>
        <v>นางสาว</v>
      </c>
      <c r="G453" t="str">
        <f>IFERROR(__xludf.DUMMYFUNCTION("""COMPUTED_VALUE"""),"กมลาสน์")</f>
        <v>กมลาสน์</v>
      </c>
      <c r="H453" t="str">
        <f>IFERROR(__xludf.DUMMYFUNCTION("""COMPUTED_VALUE"""),"วิทยเมธากุล")</f>
        <v>วิทยเมธากุล</v>
      </c>
      <c r="I453" t="str">
        <f>IFERROR(__xludf.DUMMYFUNCTION("""COMPUTED_VALUE"""),"กมลาสน์ วิทยเมธากุล")</f>
        <v>กมลาสน์ วิทยเมธากุล</v>
      </c>
      <c r="J453" t="str">
        <f>IFERROR(__xludf.DUMMYFUNCTION("""COMPUTED_VALUE"""),"Yok")</f>
        <v>Yok</v>
      </c>
      <c r="K453" t="str">
        <f>IFERROR(__xludf.DUMMYFUNCTION("""COMPUTED_VALUE"""),"Senior Cabin Crew - HKT")</f>
        <v>Senior Cabin Crew - HKT</v>
      </c>
      <c r="L453" t="str">
        <f>IFERROR(__xludf.DUMMYFUNCTION("""COMPUTED_VALUE"""),"HKT")</f>
        <v>HKT</v>
      </c>
      <c r="M453" s="145" t="str">
        <f>IFERROR(__xludf.DUMMYFUNCTION("""COMPUTED_VALUE"""),"Kor Home")</f>
        <v>Kor Home</v>
      </c>
      <c r="N453" t="str">
        <f>IFERROR(__xludf.DUMMYFUNCTION("""COMPUTED_VALUE"""),"Active")</f>
        <v>Active</v>
      </c>
      <c r="P453" s="143">
        <f>IFERROR(__xludf.DUMMYFUNCTION("""COMPUTED_VALUE"""),31733.0)</f>
        <v>31733</v>
      </c>
      <c r="Q453" s="146" t="str">
        <f>IFERROR(__xludf.DUMMYFUNCTION("""COMPUTED_VALUE"""),"081 651 6975")</f>
        <v>081 651 6975</v>
      </c>
      <c r="R453" s="147">
        <f>IFERROR(__xludf.DUMMYFUNCTION("""COMPUTED_VALUE"""),1.809900134762E12)</f>
        <v>1809900134762</v>
      </c>
      <c r="S453" t="str">
        <f>IFERROR(__xludf.DUMMYFUNCTION("""COMPUTED_VALUE"""),"AC2879028")</f>
        <v>AC2879028</v>
      </c>
      <c r="T453" s="148">
        <f>IFERROR(__xludf.DUMMYFUNCTION("""COMPUTED_VALUE"""),44607.0)</f>
        <v>44607</v>
      </c>
      <c r="U453" s="148">
        <f>IFERROR(__xludf.DUMMYFUNCTION("""COMPUTED_VALUE"""),48258.0)</f>
        <v>48258</v>
      </c>
      <c r="V453" s="149">
        <f>IFERROR(__xludf.DUMMYFUNCTION("""COMPUTED_VALUE"""),48074.0)</f>
        <v>48074</v>
      </c>
      <c r="W453" t="str">
        <f>IFERROR(__xludf.DUMMYFUNCTION("""COMPUTED_VALUE"""),"ปลอดภัย")</f>
        <v>ปลอดภัย</v>
      </c>
      <c r="X453" t="str">
        <f>IFERROR(__xludf.DUMMYFUNCTION("""COMPUTED_VALUE"""),"Nakhon Si Thammarat Province")</f>
        <v>Nakhon Si Thammarat Province</v>
      </c>
      <c r="Y453" t="str">
        <f>IFERROR(__xludf.DUMMYFUNCTION("""COMPUTED_VALUE"""),"Nakhon Si Thammarat")</f>
        <v>Nakhon Si Thammarat</v>
      </c>
      <c r="Z453" t="str">
        <f>IFERROR(__xludf.DUMMYFUNCTION("""COMPUTED_VALUE"""),"089 648 1591")</f>
        <v>089 648 1591</v>
      </c>
      <c r="AA453" t="str">
        <f>IFERROR(__xludf.DUMMYFUNCTION("""COMPUTED_VALUE"""),"Mother")</f>
        <v>Mother</v>
      </c>
      <c r="AB453" t="str">
        <f>IFERROR(__xludf.DUMMYFUNCTION("""COMPUTED_VALUE"""),"kamalasw@airasia.com")</f>
        <v>kamalasw@airasia.com</v>
      </c>
    </row>
    <row r="454">
      <c r="A454">
        <f>IFERROR(__xludf.DUMMYFUNCTION("""COMPUTED_VALUE"""),1004317.0)</f>
        <v>1004317</v>
      </c>
      <c r="B454" t="str">
        <f>IFERROR(__xludf.DUMMYFUNCTION("""COMPUTED_VALUE"""),"Mr.")</f>
        <v>Mr.</v>
      </c>
      <c r="C454" t="str">
        <f>IFERROR(__xludf.DUMMYFUNCTION("""COMPUTED_VALUE"""),"Narit")</f>
        <v>Narit</v>
      </c>
      <c r="D454" t="str">
        <f>IFERROR(__xludf.DUMMYFUNCTION("""COMPUTED_VALUE"""),"Aimwat (Islam)")</f>
        <v>Aimwat (Islam)</v>
      </c>
      <c r="E454" t="str">
        <f>IFERROR(__xludf.DUMMYFUNCTION("""COMPUTED_VALUE"""),"Narit Aimwat")</f>
        <v>Narit Aimwat</v>
      </c>
      <c r="F454" t="str">
        <f>IFERROR(__xludf.DUMMYFUNCTION("""COMPUTED_VALUE"""),"นาย")</f>
        <v>นาย</v>
      </c>
      <c r="G454" t="str">
        <f>IFERROR(__xludf.DUMMYFUNCTION("""COMPUTED_VALUE"""),"นริศ")</f>
        <v>นริศ</v>
      </c>
      <c r="H454" t="str">
        <f>IFERROR(__xludf.DUMMYFUNCTION("""COMPUTED_VALUE"""),"เอมวัฒน์ (อิสลาม)")</f>
        <v>เอมวัฒน์ (อิสลาม)</v>
      </c>
      <c r="I454" t="str">
        <f>IFERROR(__xludf.DUMMYFUNCTION("""COMPUTED_VALUE"""),"นริศ เอมวัฒน์")</f>
        <v>นริศ เอมวัฒน์</v>
      </c>
      <c r="J454" t="str">
        <f>IFERROR(__xludf.DUMMYFUNCTION("""COMPUTED_VALUE"""),"Games")</f>
        <v>Games</v>
      </c>
      <c r="K454" t="str">
        <f>IFERROR(__xludf.DUMMYFUNCTION("""COMPUTED_VALUE"""),"Senior Cabin Crew")</f>
        <v>Senior Cabin Crew</v>
      </c>
      <c r="L454" t="str">
        <f>IFERROR(__xludf.DUMMYFUNCTION("""COMPUTED_VALUE"""),"DMK")</f>
        <v>DMK</v>
      </c>
      <c r="M454" s="145" t="str">
        <f>IFERROR(__xludf.DUMMYFUNCTION("""COMPUTED_VALUE"""),"Namfon Home")</f>
        <v>Namfon Home</v>
      </c>
      <c r="N454" t="str">
        <f>IFERROR(__xludf.DUMMYFUNCTION("""COMPUTED_VALUE"""),"Active")</f>
        <v>Active</v>
      </c>
      <c r="P454" s="143">
        <f>IFERROR(__xludf.DUMMYFUNCTION("""COMPUTED_VALUE"""),32277.0)</f>
        <v>32277</v>
      </c>
      <c r="Q454" s="146" t="str">
        <f>IFERROR(__xludf.DUMMYFUNCTION("""COMPUTED_VALUE"""),"083 604 6649")</f>
        <v>083 604 6649</v>
      </c>
      <c r="R454" s="147">
        <f>IFERROR(__xludf.DUMMYFUNCTION("""COMPUTED_VALUE"""),1.909900170113E12)</f>
        <v>1909900170113</v>
      </c>
      <c r="S454" t="str">
        <f>IFERROR(__xludf.DUMMYFUNCTION("""COMPUTED_VALUE"""),"AD1870423")</f>
        <v>AD1870423</v>
      </c>
      <c r="T454" s="148">
        <f>IFERROR(__xludf.DUMMYFUNCTION("""COMPUTED_VALUE"""),45476.0)</f>
        <v>45476</v>
      </c>
      <c r="U454" s="148">
        <f>IFERROR(__xludf.DUMMYFUNCTION("""COMPUTED_VALUE"""),49127.0)</f>
        <v>49127</v>
      </c>
      <c r="V454" s="149">
        <f>IFERROR(__xludf.DUMMYFUNCTION("""COMPUTED_VALUE"""),48946.0)</f>
        <v>48946</v>
      </c>
      <c r="W454" t="str">
        <f>IFERROR(__xludf.DUMMYFUNCTION("""COMPUTED_VALUE"""),"ปลอดภัย")</f>
        <v>ปลอดภัย</v>
      </c>
      <c r="X454" t="str">
        <f>IFERROR(__xludf.DUMMYFUNCTION("""COMPUTED_VALUE"""),"Songkhla Province")</f>
        <v>Songkhla Province</v>
      </c>
      <c r="Y454" t="str">
        <f>IFERROR(__xludf.DUMMYFUNCTION("""COMPUTED_VALUE"""),"Bangkhae")</f>
        <v>Bangkhae</v>
      </c>
      <c r="Z454" t="str">
        <f>IFERROR(__xludf.DUMMYFUNCTION("""COMPUTED_VALUE"""),"081 676 9789")</f>
        <v>081 676 9789</v>
      </c>
      <c r="AA454" t="str">
        <f>IFERROR(__xludf.DUMMYFUNCTION("""COMPUTED_VALUE"""),"Father")</f>
        <v>Father</v>
      </c>
      <c r="AB454" t="str">
        <f>IFERROR(__xludf.DUMMYFUNCTION("""COMPUTED_VALUE"""),"narita@airasia.com")</f>
        <v>narita@airasia.com</v>
      </c>
    </row>
    <row r="455">
      <c r="A455">
        <f>IFERROR(__xludf.DUMMYFUNCTION("""COMPUTED_VALUE"""),1004318.0)</f>
        <v>1004318</v>
      </c>
      <c r="B455" t="str">
        <f>IFERROR(__xludf.DUMMYFUNCTION("""COMPUTED_VALUE"""),"Mr.")</f>
        <v>Mr.</v>
      </c>
      <c r="C455" t="str">
        <f>IFERROR(__xludf.DUMMYFUNCTION("""COMPUTED_VALUE"""),"Nattapong")</f>
        <v>Nattapong</v>
      </c>
      <c r="D455" t="str">
        <f>IFERROR(__xludf.DUMMYFUNCTION("""COMPUTED_VALUE"""),"Kao-Ngampanich")</f>
        <v>Kao-Ngampanich</v>
      </c>
      <c r="E455" t="str">
        <f>IFERROR(__xludf.DUMMYFUNCTION("""COMPUTED_VALUE"""),"Nattapong Kao-Ngampanich")</f>
        <v>Nattapong Kao-Ngampanich</v>
      </c>
      <c r="F455" t="str">
        <f>IFERROR(__xludf.DUMMYFUNCTION("""COMPUTED_VALUE"""),"นาย")</f>
        <v>นาย</v>
      </c>
      <c r="G455" t="str">
        <f>IFERROR(__xludf.DUMMYFUNCTION("""COMPUTED_VALUE"""),"ณัฐพงศ์")</f>
        <v>ณัฐพงศ์</v>
      </c>
      <c r="H455" t="str">
        <f>IFERROR(__xludf.DUMMYFUNCTION("""COMPUTED_VALUE"""),"ก้าวงามพาณิชย์")</f>
        <v>ก้าวงามพาณิชย์</v>
      </c>
      <c r="I455" t="str">
        <f>IFERROR(__xludf.DUMMYFUNCTION("""COMPUTED_VALUE"""),"ณัฐพงศ์ ก้าวงามพาณิชย์")</f>
        <v>ณัฐพงศ์ ก้าวงามพาณิชย์</v>
      </c>
      <c r="J455" t="str">
        <f>IFERROR(__xludf.DUMMYFUNCTION("""COMPUTED_VALUE"""),"Win")</f>
        <v>Win</v>
      </c>
      <c r="K455" t="str">
        <f>IFERROR(__xludf.DUMMYFUNCTION("""COMPUTED_VALUE"""),"Senior Cabin Crew")</f>
        <v>Senior Cabin Crew</v>
      </c>
      <c r="L455" t="str">
        <f>IFERROR(__xludf.DUMMYFUNCTION("""COMPUTED_VALUE"""),"DMK")</f>
        <v>DMK</v>
      </c>
      <c r="M455" s="145" t="str">
        <f>IFERROR(__xludf.DUMMYFUNCTION("""COMPUTED_VALUE"""),"Por+ Home")</f>
        <v>Por+ Home</v>
      </c>
      <c r="N455" t="str">
        <f>IFERROR(__xludf.DUMMYFUNCTION("""COMPUTED_VALUE"""),"Active")</f>
        <v>Active</v>
      </c>
      <c r="O455" t="str">
        <f>IFERROR(__xludf.DUMMYFUNCTION("""COMPUTED_VALUE"""),"Chinese Speaking")</f>
        <v>Chinese Speaking</v>
      </c>
      <c r="P455" s="143">
        <f>IFERROR(__xludf.DUMMYFUNCTION("""COMPUTED_VALUE"""),30953.0)</f>
        <v>30953</v>
      </c>
      <c r="Q455" s="146" t="str">
        <f>IFERROR(__xludf.DUMMYFUNCTION("""COMPUTED_VALUE"""),"089 035 0794")</f>
        <v>089 035 0794</v>
      </c>
      <c r="R455" s="147">
        <f>IFERROR(__xludf.DUMMYFUNCTION("""COMPUTED_VALUE"""),1.102000141967E12)</f>
        <v>1102000141967</v>
      </c>
      <c r="S455" t="str">
        <f>IFERROR(__xludf.DUMMYFUNCTION("""COMPUTED_VALUE"""),"AC3619779")</f>
        <v>AC3619779</v>
      </c>
      <c r="T455" s="148">
        <f>IFERROR(__xludf.DUMMYFUNCTION("""COMPUTED_VALUE"""),44760.0)</f>
        <v>44760</v>
      </c>
      <c r="U455" s="148">
        <f>IFERROR(__xludf.DUMMYFUNCTION("""COMPUTED_VALUE"""),46585.0)</f>
        <v>46585</v>
      </c>
      <c r="V455" s="149">
        <f>IFERROR(__xludf.DUMMYFUNCTION("""COMPUTED_VALUE"""),46404.0)</f>
        <v>46404</v>
      </c>
      <c r="W455" t="str">
        <f>IFERROR(__xludf.DUMMYFUNCTION("""COMPUTED_VALUE"""),"ปลอดภัย")</f>
        <v>ปลอดภัย</v>
      </c>
      <c r="X455" t="str">
        <f>IFERROR(__xludf.DUMMYFUNCTION("""COMPUTED_VALUE"""),"Bangkok")</f>
        <v>Bangkok</v>
      </c>
      <c r="Y455" t="str">
        <f>IFERROR(__xludf.DUMMYFUNCTION("""COMPUTED_VALUE"""),"Bang Bua thong")</f>
        <v>Bang Bua thong</v>
      </c>
      <c r="Z455" t="str">
        <f>IFERROR(__xludf.DUMMYFUNCTION("""COMPUTED_VALUE"""),"089 238 4959")</f>
        <v>089 238 4959</v>
      </c>
      <c r="AA455" t="str">
        <f>IFERROR(__xludf.DUMMYFUNCTION("""COMPUTED_VALUE"""),"Relative")</f>
        <v>Relative</v>
      </c>
      <c r="AB455" t="str">
        <f>IFERROR(__xludf.DUMMYFUNCTION("""COMPUTED_VALUE"""),"nattaponga@airasia.com")</f>
        <v>nattaponga@airasia.com</v>
      </c>
    </row>
    <row r="456">
      <c r="A456">
        <f>IFERROR(__xludf.DUMMYFUNCTION("""COMPUTED_VALUE"""),1004329.0)</f>
        <v>1004329</v>
      </c>
      <c r="B456" t="str">
        <f>IFERROR(__xludf.DUMMYFUNCTION("""COMPUTED_VALUE"""),"Ms.")</f>
        <v>Ms.</v>
      </c>
      <c r="C456" t="str">
        <f>IFERROR(__xludf.DUMMYFUNCTION("""COMPUTED_VALUE"""),"Supattra")</f>
        <v>Supattra</v>
      </c>
      <c r="D456" t="str">
        <f>IFERROR(__xludf.DUMMYFUNCTION("""COMPUTED_VALUE"""),"Narattaraksa")</f>
        <v>Narattaraksa</v>
      </c>
      <c r="E456" t="str">
        <f>IFERROR(__xludf.DUMMYFUNCTION("""COMPUTED_VALUE"""),"Supattra Narattaraksa")</f>
        <v>Supattra Narattaraksa</v>
      </c>
      <c r="F456" t="str">
        <f>IFERROR(__xludf.DUMMYFUNCTION("""COMPUTED_VALUE"""),"นางสาว")</f>
        <v>นางสาว</v>
      </c>
      <c r="G456" t="str">
        <f>IFERROR(__xludf.DUMMYFUNCTION("""COMPUTED_VALUE"""),"สุภัทรา")</f>
        <v>สุภัทรา</v>
      </c>
      <c r="H456" t="str">
        <f>IFERROR(__xludf.DUMMYFUNCTION("""COMPUTED_VALUE"""),"นรัตถรักษา")</f>
        <v>นรัตถรักษา</v>
      </c>
      <c r="I456" t="str">
        <f>IFERROR(__xludf.DUMMYFUNCTION("""COMPUTED_VALUE"""),"สุภัทรา นรัตถรักษา")</f>
        <v>สุภัทรา นรัตถรักษา</v>
      </c>
      <c r="J456" t="str">
        <f>IFERROR(__xludf.DUMMYFUNCTION("""COMPUTED_VALUE"""),"Gift")</f>
        <v>Gift</v>
      </c>
      <c r="K456" t="str">
        <f>IFERROR(__xludf.DUMMYFUNCTION("""COMPUTED_VALUE"""),"Cabin Crew")</f>
        <v>Cabin Crew</v>
      </c>
      <c r="L456" t="str">
        <f>IFERROR(__xludf.DUMMYFUNCTION("""COMPUTED_VALUE"""),"DMK")</f>
        <v>DMK</v>
      </c>
      <c r="M456" s="145" t="str">
        <f>IFERROR(__xludf.DUMMYFUNCTION("""COMPUTED_VALUE"""),"Por+ Home")</f>
        <v>Por+ Home</v>
      </c>
      <c r="N456" t="str">
        <f>IFERROR(__xludf.DUMMYFUNCTION("""COMPUTED_VALUE"""),"Active")</f>
        <v>Active</v>
      </c>
      <c r="P456" s="143">
        <f>IFERROR(__xludf.DUMMYFUNCTION("""COMPUTED_VALUE"""),32487.0)</f>
        <v>32487</v>
      </c>
      <c r="Q456" s="146" t="str">
        <f>IFERROR(__xludf.DUMMYFUNCTION("""COMPUTED_VALUE"""),"088 611 1255")</f>
        <v>088 611 1255</v>
      </c>
      <c r="R456" s="147">
        <f>IFERROR(__xludf.DUMMYFUNCTION("""COMPUTED_VALUE"""),1.101401486786E12)</f>
        <v>1101401486786</v>
      </c>
      <c r="S456" t="str">
        <f>IFERROR(__xludf.DUMMYFUNCTION("""COMPUTED_VALUE"""),"AC3077285")</f>
        <v>AC3077285</v>
      </c>
      <c r="T456" s="148">
        <f>IFERROR(__xludf.DUMMYFUNCTION("""COMPUTED_VALUE"""),44684.0)</f>
        <v>44684</v>
      </c>
      <c r="U456" s="148">
        <f>IFERROR(__xludf.DUMMYFUNCTION("""COMPUTED_VALUE"""),48336.0)</f>
        <v>48336</v>
      </c>
      <c r="V456" s="149">
        <f>IFERROR(__xludf.DUMMYFUNCTION("""COMPUTED_VALUE"""),48154.0)</f>
        <v>48154</v>
      </c>
      <c r="W456" t="str">
        <f>IFERROR(__xludf.DUMMYFUNCTION("""COMPUTED_VALUE"""),"ปลอดภัย")</f>
        <v>ปลอดภัย</v>
      </c>
      <c r="X456" t="str">
        <f>IFERROR(__xludf.DUMMYFUNCTION("""COMPUTED_VALUE"""),"Bangkok")</f>
        <v>Bangkok</v>
      </c>
      <c r="Y456" t="str">
        <f>IFERROR(__xludf.DUMMYFUNCTION("""COMPUTED_VALUE"""),"Ladprao")</f>
        <v>Ladprao</v>
      </c>
      <c r="Z456" t="str">
        <f>IFERROR(__xludf.DUMMYFUNCTION("""COMPUTED_VALUE"""),"02 933 0614 / 089 894 1041")</f>
        <v>02 933 0614 / 089 894 1041</v>
      </c>
      <c r="AA456" t="str">
        <f>IFERROR(__xludf.DUMMYFUNCTION("""COMPUTED_VALUE"""),"Home / Relative")</f>
        <v>Home / Relative</v>
      </c>
      <c r="AB456" t="str">
        <f>IFERROR(__xludf.DUMMYFUNCTION("""COMPUTED_VALUE"""),"supattran@airasia.com")</f>
        <v>supattran@airasia.com</v>
      </c>
    </row>
    <row r="457">
      <c r="A457">
        <f>IFERROR(__xludf.DUMMYFUNCTION("""COMPUTED_VALUE"""),1004381.0)</f>
        <v>1004381</v>
      </c>
      <c r="B457" t="str">
        <f>IFERROR(__xludf.DUMMYFUNCTION("""COMPUTED_VALUE"""),"Ms.")</f>
        <v>Ms.</v>
      </c>
      <c r="C457" t="str">
        <f>IFERROR(__xludf.DUMMYFUNCTION("""COMPUTED_VALUE"""),"Nawaporn")</f>
        <v>Nawaporn</v>
      </c>
      <c r="D457" t="str">
        <f>IFERROR(__xludf.DUMMYFUNCTION("""COMPUTED_VALUE"""),"Ratianan")</f>
        <v>Ratianan</v>
      </c>
      <c r="E457" t="str">
        <f>IFERROR(__xludf.DUMMYFUNCTION("""COMPUTED_VALUE"""),"Nawaporn Ratianan")</f>
        <v>Nawaporn Ratianan</v>
      </c>
      <c r="F457" t="str">
        <f>IFERROR(__xludf.DUMMYFUNCTION("""COMPUTED_VALUE"""),"นางสาว")</f>
        <v>นางสาว</v>
      </c>
      <c r="G457" t="str">
        <f>IFERROR(__xludf.DUMMYFUNCTION("""COMPUTED_VALUE"""),"นวพร")</f>
        <v>นวพร</v>
      </c>
      <c r="H457" t="str">
        <f>IFERROR(__xludf.DUMMYFUNCTION("""COMPUTED_VALUE"""),"รติอนันต์")</f>
        <v>รติอนันต์</v>
      </c>
      <c r="I457" t="str">
        <f>IFERROR(__xludf.DUMMYFUNCTION("""COMPUTED_VALUE"""),"นวพร รติอนันต์")</f>
        <v>นวพร รติอนันต์</v>
      </c>
      <c r="J457" t="str">
        <f>IFERROR(__xludf.DUMMYFUNCTION("""COMPUTED_VALUE"""),"YooHoo")</f>
        <v>YooHoo</v>
      </c>
      <c r="K457" t="str">
        <f>IFERROR(__xludf.DUMMYFUNCTION("""COMPUTED_VALUE"""),"Cabin Crew")</f>
        <v>Cabin Crew</v>
      </c>
      <c r="L457" t="str">
        <f>IFERROR(__xludf.DUMMYFUNCTION("""COMPUTED_VALUE"""),"DMK")</f>
        <v>DMK</v>
      </c>
      <c r="M457" s="145" t="str">
        <f>IFERROR(__xludf.DUMMYFUNCTION("""COMPUTED_VALUE"""),"Namfon Home")</f>
        <v>Namfon Home</v>
      </c>
      <c r="N457" t="str">
        <f>IFERROR(__xludf.DUMMYFUNCTION("""COMPUTED_VALUE"""),"Active")</f>
        <v>Active</v>
      </c>
      <c r="O457" t="str">
        <f>IFERROR(__xludf.DUMMYFUNCTION("""COMPUTED_VALUE"""),"Chinese Speaking")</f>
        <v>Chinese Speaking</v>
      </c>
      <c r="P457" s="143">
        <f>IFERROR(__xludf.DUMMYFUNCTION("""COMPUTED_VALUE"""),32622.0)</f>
        <v>32622</v>
      </c>
      <c r="Q457" s="146" t="str">
        <f>IFERROR(__xludf.DUMMYFUNCTION("""COMPUTED_VALUE"""),"082 485 2223")</f>
        <v>082 485 2223</v>
      </c>
      <c r="R457" s="147">
        <f>IFERROR(__xludf.DUMMYFUNCTION("""COMPUTED_VALUE"""),1.10040039173E12)</f>
        <v>1100400391730</v>
      </c>
      <c r="S457" t="str">
        <f>IFERROR(__xludf.DUMMYFUNCTION("""COMPUTED_VALUE"""),"AC6207767")</f>
        <v>AC6207767</v>
      </c>
      <c r="T457" s="148">
        <f>IFERROR(__xludf.DUMMYFUNCTION("""COMPUTED_VALUE"""),45295.0)</f>
        <v>45295</v>
      </c>
      <c r="U457" s="148">
        <f>IFERROR(__xludf.DUMMYFUNCTION("""COMPUTED_VALUE"""),48947.0)</f>
        <v>48947</v>
      </c>
      <c r="V457" s="149">
        <f>IFERROR(__xludf.DUMMYFUNCTION("""COMPUTED_VALUE"""),48763.0)</f>
        <v>48763</v>
      </c>
      <c r="W457" t="str">
        <f>IFERROR(__xludf.DUMMYFUNCTION("""COMPUTED_VALUE"""),"ปลอดภัย")</f>
        <v>ปลอดภัย</v>
      </c>
      <c r="X457" t="str">
        <f>IFERROR(__xludf.DUMMYFUNCTION("""COMPUTED_VALUE"""),"Bangkok")</f>
        <v>Bangkok</v>
      </c>
      <c r="Y457" t="str">
        <f>IFERROR(__xludf.DUMMYFUNCTION("""COMPUTED_VALUE"""),"Saimai")</f>
        <v>Saimai</v>
      </c>
      <c r="Z457" t="str">
        <f>IFERROR(__xludf.DUMMYFUNCTION("""COMPUTED_VALUE"""),"02 998 3005 / 085 126 0538")</f>
        <v>02 998 3005 / 085 126 0538</v>
      </c>
      <c r="AA457" t="str">
        <f>IFERROR(__xludf.DUMMYFUNCTION("""COMPUTED_VALUE"""),"Relative")</f>
        <v>Relative</v>
      </c>
      <c r="AB457" t="str">
        <f>IFERROR(__xludf.DUMMYFUNCTION("""COMPUTED_VALUE"""),"nawapornr@airasia.com")</f>
        <v>nawapornr@airasia.com</v>
      </c>
    </row>
    <row r="458">
      <c r="A458">
        <f>IFERROR(__xludf.DUMMYFUNCTION("""COMPUTED_VALUE"""),1004489.0)</f>
        <v>1004489</v>
      </c>
      <c r="B458" t="str">
        <f>IFERROR(__xludf.DUMMYFUNCTION("""COMPUTED_VALUE"""),"Ms.")</f>
        <v>Ms.</v>
      </c>
      <c r="C458" t="str">
        <f>IFERROR(__xludf.DUMMYFUNCTION("""COMPUTED_VALUE"""),"Sunisa")</f>
        <v>Sunisa</v>
      </c>
      <c r="D458" t="str">
        <f>IFERROR(__xludf.DUMMYFUNCTION("""COMPUTED_VALUE"""),"Vanavit (Sukrungruang)")</f>
        <v>Vanavit (Sukrungruang)</v>
      </c>
      <c r="E458" t="str">
        <f>IFERROR(__xludf.DUMMYFUNCTION("""COMPUTED_VALUE"""),"Sunisa Vanavit")</f>
        <v>Sunisa Vanavit</v>
      </c>
      <c r="F458" t="str">
        <f>IFERROR(__xludf.DUMMYFUNCTION("""COMPUTED_VALUE"""),"นางสาว")</f>
        <v>นางสาว</v>
      </c>
      <c r="G458" t="str">
        <f>IFERROR(__xludf.DUMMYFUNCTION("""COMPUTED_VALUE"""),"สุนิษา")</f>
        <v>สุนิษา</v>
      </c>
      <c r="H458" t="str">
        <f>IFERROR(__xludf.DUMMYFUNCTION("""COMPUTED_VALUE"""),"วนวิทย์ (สุขรุ่งเรือง)")</f>
        <v>วนวิทย์ (สุขรุ่งเรือง)</v>
      </c>
      <c r="I458" t="str">
        <f>IFERROR(__xludf.DUMMYFUNCTION("""COMPUTED_VALUE"""),"สุนิษา วนวิทย์")</f>
        <v>สุนิษา วนวิทย์</v>
      </c>
      <c r="J458" t="str">
        <f>IFERROR(__xludf.DUMMYFUNCTION("""COMPUTED_VALUE"""),"พลอย")</f>
        <v>พลอย</v>
      </c>
      <c r="K458" t="str">
        <f>IFERROR(__xludf.DUMMYFUNCTION("""COMPUTED_VALUE"""),"Cabin Crew")</f>
        <v>Cabin Crew</v>
      </c>
      <c r="L458" t="str">
        <f>IFERROR(__xludf.DUMMYFUNCTION("""COMPUTED_VALUE"""),"DMK")</f>
        <v>DMK</v>
      </c>
      <c r="M458" s="145" t="str">
        <f>IFERROR(__xludf.DUMMYFUNCTION("""COMPUTED_VALUE"""),"Toffy Home")</f>
        <v>Toffy Home</v>
      </c>
      <c r="N458" t="str">
        <f>IFERROR(__xludf.DUMMYFUNCTION("""COMPUTED_VALUE"""),"Active")</f>
        <v>Active</v>
      </c>
      <c r="P458" s="143">
        <f>IFERROR(__xludf.DUMMYFUNCTION("""COMPUTED_VALUE"""),33082.0)</f>
        <v>33082</v>
      </c>
      <c r="Q458" s="146" t="str">
        <f>IFERROR(__xludf.DUMMYFUNCTION("""COMPUTED_VALUE"""),"088 207 2097")</f>
        <v>088 207 2097</v>
      </c>
      <c r="R458" s="147">
        <f>IFERROR(__xludf.DUMMYFUNCTION("""COMPUTED_VALUE"""),1.249900203301E12)</f>
        <v>1249900203301</v>
      </c>
      <c r="S458" t="str">
        <f>IFERROR(__xludf.DUMMYFUNCTION("""COMPUTED_VALUE"""),"ac6201028")</f>
        <v>ac6201028</v>
      </c>
      <c r="T458" s="148">
        <f>IFERROR(__xludf.DUMMYFUNCTION("""COMPUTED_VALUE"""),45642.0)</f>
        <v>45642</v>
      </c>
      <c r="U458" s="148">
        <f>IFERROR(__xludf.DUMMYFUNCTION("""COMPUTED_VALUE"""),48928.0)</f>
        <v>48928</v>
      </c>
      <c r="V458" s="149">
        <f>IFERROR(__xludf.DUMMYFUNCTION("""COMPUTED_VALUE"""),48745.0)</f>
        <v>48745</v>
      </c>
      <c r="W458" t="str">
        <f>IFERROR(__xludf.DUMMYFUNCTION("""COMPUTED_VALUE"""),"ปลอดภัย")</f>
        <v>ปลอดภัย</v>
      </c>
      <c r="X458" t="str">
        <f>IFERROR(__xludf.DUMMYFUNCTION("""COMPUTED_VALUE"""),"Chachoengsao Province")</f>
        <v>Chachoengsao Province</v>
      </c>
      <c r="Y458" t="str">
        <f>IFERROR(__xludf.DUMMYFUNCTION("""COMPUTED_VALUE"""),"Chachoengsao")</f>
        <v>Chachoengsao</v>
      </c>
      <c r="Z458" t="str">
        <f>IFERROR(__xludf.DUMMYFUNCTION("""COMPUTED_VALUE"""),"038 593 240 / 084 712 6483")</f>
        <v>038 593 240 / 084 712 6483</v>
      </c>
      <c r="AA458" t="str">
        <f>IFERROR(__xludf.DUMMYFUNCTION("""COMPUTED_VALUE"""),"Home / Relative")</f>
        <v>Home / Relative</v>
      </c>
      <c r="AB458" t="str">
        <f>IFERROR(__xludf.DUMMYFUNCTION("""COMPUTED_VALUE"""),"sunisav@airasia.com")</f>
        <v>sunisav@airasia.com</v>
      </c>
    </row>
    <row r="459">
      <c r="A459">
        <f>IFERROR(__xludf.DUMMYFUNCTION("""COMPUTED_VALUE"""),1004502.0)</f>
        <v>1004502</v>
      </c>
      <c r="B459" t="str">
        <f>IFERROR(__xludf.DUMMYFUNCTION("""COMPUTED_VALUE"""),"Ms.")</f>
        <v>Ms.</v>
      </c>
      <c r="C459" t="str">
        <f>IFERROR(__xludf.DUMMYFUNCTION("""COMPUTED_VALUE"""),"Pichaya")</f>
        <v>Pichaya</v>
      </c>
      <c r="D459" t="str">
        <f>IFERROR(__xludf.DUMMYFUNCTION("""COMPUTED_VALUE"""),"Kristisiri")</f>
        <v>Kristisiri</v>
      </c>
      <c r="E459" t="str">
        <f>IFERROR(__xludf.DUMMYFUNCTION("""COMPUTED_VALUE"""),"Pichaya Kristisiri")</f>
        <v>Pichaya Kristisiri</v>
      </c>
      <c r="F459" t="str">
        <f>IFERROR(__xludf.DUMMYFUNCTION("""COMPUTED_VALUE"""),"นางสาว")</f>
        <v>นางสาว</v>
      </c>
      <c r="G459" t="str">
        <f>IFERROR(__xludf.DUMMYFUNCTION("""COMPUTED_VALUE"""),"พิชญา")</f>
        <v>พิชญา</v>
      </c>
      <c r="H459" t="str">
        <f>IFERROR(__xludf.DUMMYFUNCTION("""COMPUTED_VALUE"""),"เกียรติศิริ")</f>
        <v>เกียรติศิริ</v>
      </c>
      <c r="I459" t="str">
        <f>IFERROR(__xludf.DUMMYFUNCTION("""COMPUTED_VALUE"""),"พิชญา เกียรติศิริ")</f>
        <v>พิชญา เกียรติศิริ</v>
      </c>
      <c r="J459" t="str">
        <f>IFERROR(__xludf.DUMMYFUNCTION("""COMPUTED_VALUE"""),"Pear")</f>
        <v>Pear</v>
      </c>
      <c r="K459" t="str">
        <f>IFERROR(__xludf.DUMMYFUNCTION("""COMPUTED_VALUE"""),"Cabin Crew")</f>
        <v>Cabin Crew</v>
      </c>
      <c r="L459" t="str">
        <f>IFERROR(__xludf.DUMMYFUNCTION("""COMPUTED_VALUE"""),"DMK")</f>
        <v>DMK</v>
      </c>
      <c r="M459" s="145" t="str">
        <f>IFERROR(__xludf.DUMMYFUNCTION("""COMPUTED_VALUE"""),"Nhui Home")</f>
        <v>Nhui Home</v>
      </c>
      <c r="N459" t="str">
        <f>IFERROR(__xludf.DUMMYFUNCTION("""COMPUTED_VALUE"""),"Active")</f>
        <v>Active</v>
      </c>
      <c r="P459" s="143">
        <f>IFERROR(__xludf.DUMMYFUNCTION("""COMPUTED_VALUE"""),31679.0)</f>
        <v>31679</v>
      </c>
      <c r="Q459" s="146" t="str">
        <f>IFERROR(__xludf.DUMMYFUNCTION("""COMPUTED_VALUE"""),"083 715 0981")</f>
        <v>083 715 0981</v>
      </c>
      <c r="R459" s="147">
        <f>IFERROR(__xludf.DUMMYFUNCTION("""COMPUTED_VALUE"""),1.101400785488E12)</f>
        <v>1101400785488</v>
      </c>
      <c r="S459" t="str">
        <f>IFERROR(__xludf.DUMMYFUNCTION("""COMPUTED_VALUE"""),"AC4337406")</f>
        <v>AC4337406</v>
      </c>
      <c r="T459" s="148">
        <f>IFERROR(__xludf.DUMMYFUNCTION("""COMPUTED_VALUE"""),44931.0)</f>
        <v>44931</v>
      </c>
      <c r="U459" s="148">
        <f>IFERROR(__xludf.DUMMYFUNCTION("""COMPUTED_VALUE"""),48583.0)</f>
        <v>48583</v>
      </c>
      <c r="V459" s="149">
        <f>IFERROR(__xludf.DUMMYFUNCTION("""COMPUTED_VALUE"""),48399.0)</f>
        <v>48399</v>
      </c>
      <c r="W459" t="str">
        <f>IFERROR(__xludf.DUMMYFUNCTION("""COMPUTED_VALUE"""),"ปลอดภัย")</f>
        <v>ปลอดภัย</v>
      </c>
      <c r="X459" t="str">
        <f>IFERROR(__xludf.DUMMYFUNCTION("""COMPUTED_VALUE"""),"Bangkok")</f>
        <v>Bangkok</v>
      </c>
      <c r="Y459" t="str">
        <f>IFERROR(__xludf.DUMMYFUNCTION("""COMPUTED_VALUE"""),"Donmueang")</f>
        <v>Donmueang</v>
      </c>
      <c r="Z459" t="str">
        <f>IFERROR(__xludf.DUMMYFUNCTION("""COMPUTED_VALUE"""),"086 604 2491")</f>
        <v>086 604 2491</v>
      </c>
      <c r="AA459" t="str">
        <f>IFERROR(__xludf.DUMMYFUNCTION("""COMPUTED_VALUE"""),"Relative")</f>
        <v>Relative</v>
      </c>
      <c r="AB459" t="str">
        <f>IFERROR(__xludf.DUMMYFUNCTION("""COMPUTED_VALUE"""),"pichayak@airasia.com")</f>
        <v>pichayak@airasia.com</v>
      </c>
    </row>
    <row r="460">
      <c r="AB460" t="str">
        <f>IFERROR(__xludf.DUMMYFUNCTION("""COMPUTED_VALUE"""),"")</f>
        <v/>
      </c>
    </row>
    <row r="461">
      <c r="A461">
        <f>IFERROR(__xludf.DUMMYFUNCTION("""COMPUTED_VALUE"""),1008754.0)</f>
        <v>1008754</v>
      </c>
      <c r="B461" t="str">
        <f>IFERROR(__xludf.DUMMYFUNCTION("""COMPUTED_VALUE"""),"Ms.")</f>
        <v>Ms.</v>
      </c>
      <c r="C461" t="str">
        <f>IFERROR(__xludf.DUMMYFUNCTION("""COMPUTED_VALUE"""),"Pimlapas")</f>
        <v>Pimlapas</v>
      </c>
      <c r="D461" t="str">
        <f>IFERROR(__xludf.DUMMYFUNCTION("""COMPUTED_VALUE"""),"Tanapatpongsapas")</f>
        <v>Tanapatpongsapas</v>
      </c>
      <c r="E461" t="str">
        <f>IFERROR(__xludf.DUMMYFUNCTION("""COMPUTED_VALUE"""),"Pimlapas Tanapatpongsapas")</f>
        <v>Pimlapas Tanapatpongsapas</v>
      </c>
      <c r="F461" t="str">
        <f>IFERROR(__xludf.DUMMYFUNCTION("""COMPUTED_VALUE"""),"นางสาว")</f>
        <v>นางสาว</v>
      </c>
      <c r="G461" t="str">
        <f>IFERROR(__xludf.DUMMYFUNCTION("""COMPUTED_VALUE"""),"พิมพ์ลภัส")</f>
        <v>พิมพ์ลภัส</v>
      </c>
      <c r="H461" t="str">
        <f>IFERROR(__xludf.DUMMYFUNCTION("""COMPUTED_VALUE"""),"ธนพัฒน์พงศพัศ")</f>
        <v>ธนพัฒน์พงศพัศ</v>
      </c>
      <c r="I461" t="str">
        <f>IFERROR(__xludf.DUMMYFUNCTION("""COMPUTED_VALUE"""),"พิมพ์ลภัส ธนพัฒน์พงศพัศ")</f>
        <v>พิมพ์ลภัส ธนพัฒน์พงศพัศ</v>
      </c>
      <c r="J461" t="str">
        <f>IFERROR(__xludf.DUMMYFUNCTION("""COMPUTED_VALUE"""),"โอ๋")</f>
        <v>โอ๋</v>
      </c>
      <c r="K461" t="str">
        <f>IFERROR(__xludf.DUMMYFUNCTION("""COMPUTED_VALUE"""),"Cabin Crew")</f>
        <v>Cabin Crew</v>
      </c>
      <c r="L461" t="str">
        <f>IFERROR(__xludf.DUMMYFUNCTION("""COMPUTED_VALUE"""),"DMK")</f>
        <v>DMK</v>
      </c>
      <c r="M461" s="145" t="str">
        <f>IFERROR(__xludf.DUMMYFUNCTION("""COMPUTED_VALUE"""),"Toffy Home")</f>
        <v>Toffy Home</v>
      </c>
      <c r="N461" t="str">
        <f>IFERROR(__xludf.DUMMYFUNCTION("""COMPUTED_VALUE"""),"Active")</f>
        <v>Active</v>
      </c>
      <c r="P461" s="143">
        <f>IFERROR(__xludf.DUMMYFUNCTION("""COMPUTED_VALUE"""),32473.0)</f>
        <v>32473</v>
      </c>
      <c r="Q461" s="146" t="str">
        <f>IFERROR(__xludf.DUMMYFUNCTION("""COMPUTED_VALUE"""),"083 005 1000")</f>
        <v>083 005 1000</v>
      </c>
      <c r="R461" s="147">
        <f>IFERROR(__xludf.DUMMYFUNCTION("""COMPUTED_VALUE"""),1.909800323937E12)</f>
        <v>1909800323937</v>
      </c>
      <c r="S461" t="str">
        <f>IFERROR(__xludf.DUMMYFUNCTION("""COMPUTED_VALUE"""),"AC2578752")</f>
        <v>AC2578752</v>
      </c>
      <c r="T461" s="148">
        <f>IFERROR(__xludf.DUMMYFUNCTION("""COMPUTED_VALUE"""),44652.0)</f>
        <v>44652</v>
      </c>
      <c r="U461" s="148">
        <f>IFERROR(__xludf.DUMMYFUNCTION("""COMPUTED_VALUE"""),48304.0)</f>
        <v>48304</v>
      </c>
      <c r="V461" s="149">
        <f>IFERROR(__xludf.DUMMYFUNCTION("""COMPUTED_VALUE"""),48121.0)</f>
        <v>48121</v>
      </c>
      <c r="W461" t="str">
        <f>IFERROR(__xludf.DUMMYFUNCTION("""COMPUTED_VALUE"""),"ปลอดภัย")</f>
        <v>ปลอดภัย</v>
      </c>
      <c r="X461" t="str">
        <f>IFERROR(__xludf.DUMMYFUNCTION("""COMPUTED_VALUE"""),"Songkhla Province")</f>
        <v>Songkhla Province</v>
      </c>
      <c r="Z461" t="str">
        <f>IFERROR(__xludf.DUMMYFUNCTION("""COMPUTED_VALUE"""),"074-355-306")</f>
        <v>074-355-306</v>
      </c>
      <c r="AA461" t="str">
        <f>IFERROR(__xludf.DUMMYFUNCTION("""COMPUTED_VALUE"""),"บ้าน")</f>
        <v>บ้าน</v>
      </c>
      <c r="AB461" t="str">
        <f>IFERROR(__xludf.DUMMYFUNCTION("""COMPUTED_VALUE"""),"pimlapasa@airasia.com")</f>
        <v>pimlapasa@airasia.com</v>
      </c>
    </row>
    <row r="462">
      <c r="A462">
        <f>IFERROR(__xludf.DUMMYFUNCTION("""COMPUTED_VALUE"""),1009156.0)</f>
        <v>1009156</v>
      </c>
      <c r="B462" t="str">
        <f>IFERROR(__xludf.DUMMYFUNCTION("""COMPUTED_VALUE"""),"Mr.")</f>
        <v>Mr.</v>
      </c>
      <c r="C462" t="str">
        <f>IFERROR(__xludf.DUMMYFUNCTION("""COMPUTED_VALUE"""),"Peamkate")</f>
        <v>Peamkate</v>
      </c>
      <c r="D462" t="str">
        <f>IFERROR(__xludf.DUMMYFUNCTION("""COMPUTED_VALUE"""),"Kullasit")</f>
        <v>Kullasit</v>
      </c>
      <c r="E462" t="str">
        <f>IFERROR(__xludf.DUMMYFUNCTION("""COMPUTED_VALUE"""),"Peamkate Kullasit")</f>
        <v>Peamkate Kullasit</v>
      </c>
      <c r="F462" t="str">
        <f>IFERROR(__xludf.DUMMYFUNCTION("""COMPUTED_VALUE"""),"นาย")</f>
        <v>นาย</v>
      </c>
      <c r="G462" t="str">
        <f>IFERROR(__xludf.DUMMYFUNCTION("""COMPUTED_VALUE"""),"ภีมเขตร")</f>
        <v>ภีมเขตร</v>
      </c>
      <c r="H462" t="str">
        <f>IFERROR(__xludf.DUMMYFUNCTION("""COMPUTED_VALUE"""),"กุลศิษฏ์")</f>
        <v>กุลศิษฏ์</v>
      </c>
      <c r="I462" t="str">
        <f>IFERROR(__xludf.DUMMYFUNCTION("""COMPUTED_VALUE"""),"ภีมเขตร กุลศิษฏ์")</f>
        <v>ภีมเขตร กุลศิษฏ์</v>
      </c>
      <c r="J462" t="str">
        <f>IFERROR(__xludf.DUMMYFUNCTION("""COMPUTED_VALUE"""),"ภีมป์")</f>
        <v>ภีมป์</v>
      </c>
      <c r="K462" t="str">
        <f>IFERROR(__xludf.DUMMYFUNCTION("""COMPUTED_VALUE"""),"Cabin Crew")</f>
        <v>Cabin Crew</v>
      </c>
      <c r="L462" t="str">
        <f>IFERROR(__xludf.DUMMYFUNCTION("""COMPUTED_VALUE"""),"DMK")</f>
        <v>DMK</v>
      </c>
      <c r="M462" s="145" t="str">
        <f>IFERROR(__xludf.DUMMYFUNCTION("""COMPUTED_VALUE"""),"Kor Home")</f>
        <v>Kor Home</v>
      </c>
      <c r="N462" t="str">
        <f>IFERROR(__xludf.DUMMYFUNCTION("""COMPUTED_VALUE"""),"Active")</f>
        <v>Active</v>
      </c>
      <c r="P462" s="143">
        <f>IFERROR(__xludf.DUMMYFUNCTION("""COMPUTED_VALUE"""),31956.0)</f>
        <v>31956</v>
      </c>
      <c r="Q462" s="146" t="str">
        <f>IFERROR(__xludf.DUMMYFUNCTION("""COMPUTED_VALUE"""),"094 519 9623")</f>
        <v>094 519 9623</v>
      </c>
      <c r="R462" s="147">
        <f>IFERROR(__xludf.DUMMYFUNCTION("""COMPUTED_VALUE"""),1.709900301139E12)</f>
        <v>1709900301139</v>
      </c>
      <c r="S462" t="str">
        <f>IFERROR(__xludf.DUMMYFUNCTION("""COMPUTED_VALUE"""),"AC7238469")</f>
        <v>AC7238469</v>
      </c>
      <c r="T462" s="148">
        <f>IFERROR(__xludf.DUMMYFUNCTION("""COMPUTED_VALUE"""),45642.0)</f>
        <v>45642</v>
      </c>
      <c r="U462" s="148">
        <f>IFERROR(__xludf.DUMMYFUNCTION("""COMPUTED_VALUE"""),49293.0)</f>
        <v>49293</v>
      </c>
      <c r="V462" s="149">
        <f>IFERROR(__xludf.DUMMYFUNCTION("""COMPUTED_VALUE"""),49110.0)</f>
        <v>49110</v>
      </c>
      <c r="W462" t="str">
        <f>IFERROR(__xludf.DUMMYFUNCTION("""COMPUTED_VALUE"""),"ปลอดภัย")</f>
        <v>ปลอดภัย</v>
      </c>
      <c r="X462" t="str">
        <f>IFERROR(__xludf.DUMMYFUNCTION("""COMPUTED_VALUE"""),"Ratchaburi Province")</f>
        <v>Ratchaburi Province</v>
      </c>
      <c r="Z462" t="str">
        <f>IFERROR(__xludf.DUMMYFUNCTION("""COMPUTED_VALUE"""),"032 325 895 / 081 587 6187")</f>
        <v>032 325 895 / 081 587 6187</v>
      </c>
      <c r="AA462" t="str">
        <f>IFERROR(__xludf.DUMMYFUNCTION("""COMPUTED_VALUE"""),"บ้าน / Kongpon Kullasit")</f>
        <v>บ้าน / Kongpon Kullasit</v>
      </c>
      <c r="AB462" t="str">
        <f>IFERROR(__xludf.DUMMYFUNCTION("""COMPUTED_VALUE"""),"peamkatek@airasia.com")</f>
        <v>peamkatek@airasia.com</v>
      </c>
    </row>
    <row r="463">
      <c r="AB463" t="str">
        <f>IFERROR(__xludf.DUMMYFUNCTION("""COMPUTED_VALUE"""),"")</f>
        <v/>
      </c>
    </row>
    <row r="464">
      <c r="A464">
        <f>IFERROR(__xludf.DUMMYFUNCTION("""COMPUTED_VALUE"""),1005119.0)</f>
        <v>1005119</v>
      </c>
      <c r="B464" t="str">
        <f>IFERROR(__xludf.DUMMYFUNCTION("""COMPUTED_VALUE"""),"Ms.")</f>
        <v>Ms.</v>
      </c>
      <c r="C464" t="str">
        <f>IFERROR(__xludf.DUMMYFUNCTION("""COMPUTED_VALUE"""),"Supharee")</f>
        <v>Supharee</v>
      </c>
      <c r="D464" t="str">
        <f>IFERROR(__xludf.DUMMYFUNCTION("""COMPUTED_VALUE"""),"Mutthaputthipong")</f>
        <v>Mutthaputthipong</v>
      </c>
      <c r="E464" t="str">
        <f>IFERROR(__xludf.DUMMYFUNCTION("""COMPUTED_VALUE"""),"Supharee Mutthaputthipong")</f>
        <v>Supharee Mutthaputthipong</v>
      </c>
      <c r="F464" t="str">
        <f>IFERROR(__xludf.DUMMYFUNCTION("""COMPUTED_VALUE"""),"นางสาว")</f>
        <v>นางสาว</v>
      </c>
      <c r="G464" t="str">
        <f>IFERROR(__xludf.DUMMYFUNCTION("""COMPUTED_VALUE"""),"สุภารี")</f>
        <v>สุภารี</v>
      </c>
      <c r="H464" t="str">
        <f>IFERROR(__xludf.DUMMYFUNCTION("""COMPUTED_VALUE"""),"มุทธาพุทธิพงศ์")</f>
        <v>มุทธาพุทธิพงศ์</v>
      </c>
      <c r="I464" t="str">
        <f>IFERROR(__xludf.DUMMYFUNCTION("""COMPUTED_VALUE"""),"สุภารี มุทธาพุทธิพงศ์")</f>
        <v>สุภารี มุทธาพุทธิพงศ์</v>
      </c>
      <c r="J464" t="str">
        <f>IFERROR(__xludf.DUMMYFUNCTION("""COMPUTED_VALUE"""),"ไหม")</f>
        <v>ไหม</v>
      </c>
      <c r="K464" t="str">
        <f>IFERROR(__xludf.DUMMYFUNCTION("""COMPUTED_VALUE"""),"Senior Cabin Crew - HKT")</f>
        <v>Senior Cabin Crew - HKT</v>
      </c>
      <c r="L464" t="str">
        <f>IFERROR(__xludf.DUMMYFUNCTION("""COMPUTED_VALUE"""),"HKT")</f>
        <v>HKT</v>
      </c>
      <c r="M464" s="145" t="str">
        <f>IFERROR(__xludf.DUMMYFUNCTION("""COMPUTED_VALUE"""),"Kor Home")</f>
        <v>Kor Home</v>
      </c>
      <c r="N464" t="str">
        <f>IFERROR(__xludf.DUMMYFUNCTION("""COMPUTED_VALUE"""),"Active")</f>
        <v>Active</v>
      </c>
      <c r="O464" t="str">
        <f>IFERROR(__xludf.DUMMYFUNCTION("""COMPUTED_VALUE"""),"Chinese Speaking")</f>
        <v>Chinese Speaking</v>
      </c>
      <c r="P464" s="143">
        <f>IFERROR(__xludf.DUMMYFUNCTION("""COMPUTED_VALUE"""),32601.0)</f>
        <v>32601</v>
      </c>
      <c r="Q464" s="146" t="str">
        <f>IFERROR(__xludf.DUMMYFUNCTION("""COMPUTED_VALUE"""),"094 826 2469")</f>
        <v>094 826 2469</v>
      </c>
      <c r="R464" s="147">
        <f>IFERROR(__xludf.DUMMYFUNCTION("""COMPUTED_VALUE"""),1.929900182707E12)</f>
        <v>1929900182707</v>
      </c>
      <c r="S464" t="str">
        <f>IFERROR(__xludf.DUMMYFUNCTION("""COMPUTED_VALUE"""),"AC5762181")</f>
        <v>AC5762181</v>
      </c>
      <c r="T464" s="148">
        <f>IFERROR(__xludf.DUMMYFUNCTION("""COMPUTED_VALUE"""),45210.0)</f>
        <v>45210</v>
      </c>
      <c r="U464" s="148">
        <f>IFERROR(__xludf.DUMMYFUNCTION("""COMPUTED_VALUE"""),48862.0)</f>
        <v>48862</v>
      </c>
      <c r="V464" s="149">
        <f>IFERROR(__xludf.DUMMYFUNCTION("""COMPUTED_VALUE"""),48679.0)</f>
        <v>48679</v>
      </c>
      <c r="W464" t="str">
        <f>IFERROR(__xludf.DUMMYFUNCTION("""COMPUTED_VALUE"""),"ปลอดภัย")</f>
        <v>ปลอดภัย</v>
      </c>
      <c r="X464" t="str">
        <f>IFERROR(__xludf.DUMMYFUNCTION("""COMPUTED_VALUE"""),"Trang Province")</f>
        <v>Trang Province</v>
      </c>
      <c r="Y464" t="str">
        <f>IFERROR(__xludf.DUMMYFUNCTION("""COMPUTED_VALUE"""),"Phuket")</f>
        <v>Phuket</v>
      </c>
      <c r="Z464" t="str">
        <f>IFERROR(__xludf.DUMMYFUNCTION("""COMPUTED_VALUE"""),"085 881 1195")</f>
        <v>085 881 1195</v>
      </c>
      <c r="AA464" t="str">
        <f>IFERROR(__xludf.DUMMYFUNCTION("""COMPUTED_VALUE"""),"Toophum Bunjan")</f>
        <v>Toophum Bunjan</v>
      </c>
      <c r="AB464" t="str">
        <f>IFERROR(__xludf.DUMMYFUNCTION("""COMPUTED_VALUE"""),"suphareem@airasia.com")</f>
        <v>suphareem@airasia.com</v>
      </c>
    </row>
    <row r="465">
      <c r="A465">
        <f>IFERROR(__xludf.DUMMYFUNCTION("""COMPUTED_VALUE"""),1008952.0)</f>
        <v>1008952</v>
      </c>
      <c r="B465" t="str">
        <f>IFERROR(__xludf.DUMMYFUNCTION("""COMPUTED_VALUE"""),"Mr.")</f>
        <v>Mr.</v>
      </c>
      <c r="C465" t="str">
        <f>IFERROR(__xludf.DUMMYFUNCTION("""COMPUTED_VALUE"""),"Chatdanai")</f>
        <v>Chatdanai</v>
      </c>
      <c r="D465" t="str">
        <f>IFERROR(__xludf.DUMMYFUNCTION("""COMPUTED_VALUE"""),"Insawang")</f>
        <v>Insawang</v>
      </c>
      <c r="E465" t="str">
        <f>IFERROR(__xludf.DUMMYFUNCTION("""COMPUTED_VALUE"""),"Chatdanai Insawang")</f>
        <v>Chatdanai Insawang</v>
      </c>
      <c r="F465" t="str">
        <f>IFERROR(__xludf.DUMMYFUNCTION("""COMPUTED_VALUE"""),"นาย")</f>
        <v>นาย</v>
      </c>
      <c r="G465" t="str">
        <f>IFERROR(__xludf.DUMMYFUNCTION("""COMPUTED_VALUE"""),"ฉัตรดนัย")</f>
        <v>ฉัตรดนัย</v>
      </c>
      <c r="H465" t="str">
        <f>IFERROR(__xludf.DUMMYFUNCTION("""COMPUTED_VALUE"""),"อินสว่าง")</f>
        <v>อินสว่าง</v>
      </c>
      <c r="I465" t="str">
        <f>IFERROR(__xludf.DUMMYFUNCTION("""COMPUTED_VALUE"""),"ฉัตรดนัย อินสว่าง")</f>
        <v>ฉัตรดนัย อินสว่าง</v>
      </c>
      <c r="J465" t="str">
        <f>IFERROR(__xludf.DUMMYFUNCTION("""COMPUTED_VALUE"""),"Tor")</f>
        <v>Tor</v>
      </c>
      <c r="K465" t="str">
        <f>IFERROR(__xludf.DUMMYFUNCTION("""COMPUTED_VALUE"""),"Cabin Crew - CNX")</f>
        <v>Cabin Crew - CNX</v>
      </c>
      <c r="L465" t="str">
        <f>IFERROR(__xludf.DUMMYFUNCTION("""COMPUTED_VALUE"""),"CNX")</f>
        <v>CNX</v>
      </c>
      <c r="M465" s="145" t="str">
        <f>IFERROR(__xludf.DUMMYFUNCTION("""COMPUTED_VALUE"""),"Up Home")</f>
        <v>Up Home</v>
      </c>
      <c r="N465" t="str">
        <f>IFERROR(__xludf.DUMMYFUNCTION("""COMPUTED_VALUE"""),"Active")</f>
        <v>Active</v>
      </c>
      <c r="O465" t="str">
        <f>IFERROR(__xludf.DUMMYFUNCTION("""COMPUTED_VALUE"""),"Chinese Speaking")</f>
        <v>Chinese Speaking</v>
      </c>
      <c r="P465" s="143">
        <f>IFERROR(__xludf.DUMMYFUNCTION("""COMPUTED_VALUE"""),32357.0)</f>
        <v>32357</v>
      </c>
      <c r="Q465" s="146">
        <f>IFERROR(__xludf.DUMMYFUNCTION("""COMPUTED_VALUE"""),9.09195562E8)</f>
        <v>909195562</v>
      </c>
      <c r="R465" s="147" t="str">
        <f>IFERROR(__xludf.DUMMYFUNCTION("""COMPUTED_VALUE"""),"2579900-02-3376")</f>
        <v>2579900-02-3376</v>
      </c>
      <c r="S465" t="str">
        <f>IFERROR(__xludf.DUMMYFUNCTION("""COMPUTED_VALUE"""),"AD0702739")</f>
        <v>AD0702739</v>
      </c>
      <c r="T465" s="148">
        <f>IFERROR(__xludf.DUMMYFUNCTION("""COMPUTED_VALUE"""),44953.0)</f>
        <v>44953</v>
      </c>
      <c r="U465" s="148">
        <f>IFERROR(__xludf.DUMMYFUNCTION("""COMPUTED_VALUE"""),48605.0)</f>
        <v>48605</v>
      </c>
      <c r="V465" s="149">
        <f>IFERROR(__xludf.DUMMYFUNCTION("""COMPUTED_VALUE"""),48421.0)</f>
        <v>48421</v>
      </c>
      <c r="W465" t="str">
        <f>IFERROR(__xludf.DUMMYFUNCTION("""COMPUTED_VALUE"""),"ปลอดภัย")</f>
        <v>ปลอดภัย</v>
      </c>
      <c r="X465" t="str">
        <f>IFERROR(__xludf.DUMMYFUNCTION("""COMPUTED_VALUE"""),"Chiang Rai Province")</f>
        <v>Chiang Rai Province</v>
      </c>
      <c r="Y465" t="str">
        <f>IFERROR(__xludf.DUMMYFUNCTION("""COMPUTED_VALUE"""),"Buenggloum")</f>
        <v>Buenggloum</v>
      </c>
      <c r="Z465" t="str">
        <f>IFERROR(__xludf.DUMMYFUNCTION("""COMPUTED_VALUE"""),"081 611 8183")</f>
        <v>081 611 8183</v>
      </c>
      <c r="AA465" t="str">
        <f>IFERROR(__xludf.DUMMYFUNCTION("""COMPUTED_VALUE"""),"Sumalee Porncheewanon")</f>
        <v>Sumalee Porncheewanon</v>
      </c>
      <c r="AB465" t="str">
        <f>IFERROR(__xludf.DUMMYFUNCTION("""COMPUTED_VALUE"""),"chatdanaii@airasia.com")</f>
        <v>chatdanaii@airasia.com</v>
      </c>
    </row>
    <row r="466">
      <c r="A466">
        <f>IFERROR(__xludf.DUMMYFUNCTION("""COMPUTED_VALUE"""),1008956.0)</f>
        <v>1008956</v>
      </c>
      <c r="B466" t="str">
        <f>IFERROR(__xludf.DUMMYFUNCTION("""COMPUTED_VALUE"""),"Ms.")</f>
        <v>Ms.</v>
      </c>
      <c r="C466" t="str">
        <f>IFERROR(__xludf.DUMMYFUNCTION("""COMPUTED_VALUE"""),"Duangkamon")</f>
        <v>Duangkamon</v>
      </c>
      <c r="D466" t="str">
        <f>IFERROR(__xludf.DUMMYFUNCTION("""COMPUTED_VALUE"""),"Thongfuang")</f>
        <v>Thongfuang</v>
      </c>
      <c r="E466" t="str">
        <f>IFERROR(__xludf.DUMMYFUNCTION("""COMPUTED_VALUE"""),"Duangkamon Thongfuang")</f>
        <v>Duangkamon Thongfuang</v>
      </c>
      <c r="F466" t="str">
        <f>IFERROR(__xludf.DUMMYFUNCTION("""COMPUTED_VALUE"""),"นางสาว")</f>
        <v>นางสาว</v>
      </c>
      <c r="G466" t="str">
        <f>IFERROR(__xludf.DUMMYFUNCTION("""COMPUTED_VALUE"""),"ดวงกมล")</f>
        <v>ดวงกมล</v>
      </c>
      <c r="H466" t="str">
        <f>IFERROR(__xludf.DUMMYFUNCTION("""COMPUTED_VALUE"""),"ทองเฟื่อง")</f>
        <v>ทองเฟื่อง</v>
      </c>
      <c r="I466" t="str">
        <f>IFERROR(__xludf.DUMMYFUNCTION("""COMPUTED_VALUE"""),"ดวงกมล ทองเฟื่อง")</f>
        <v>ดวงกมล ทองเฟื่อง</v>
      </c>
      <c r="J466" t="str">
        <f>IFERROR(__xludf.DUMMYFUNCTION("""COMPUTED_VALUE"""),"Ploy")</f>
        <v>Ploy</v>
      </c>
      <c r="K466" t="str">
        <f>IFERROR(__xludf.DUMMYFUNCTION("""COMPUTED_VALUE"""),"Cabin Crew")</f>
        <v>Cabin Crew</v>
      </c>
      <c r="L466" t="str">
        <f>IFERROR(__xludf.DUMMYFUNCTION("""COMPUTED_VALUE"""),"DMK")</f>
        <v>DMK</v>
      </c>
      <c r="M466" s="145" t="str">
        <f>IFERROR(__xludf.DUMMYFUNCTION("""COMPUTED_VALUE"""),"Kor Home")</f>
        <v>Kor Home</v>
      </c>
      <c r="N466" t="str">
        <f>IFERROR(__xludf.DUMMYFUNCTION("""COMPUTED_VALUE"""),"Active")</f>
        <v>Active</v>
      </c>
      <c r="O466" t="str">
        <f>IFERROR(__xludf.DUMMYFUNCTION("""COMPUTED_VALUE"""),"Chinese Speaking")</f>
        <v>Chinese Speaking</v>
      </c>
      <c r="P466" s="143">
        <f>IFERROR(__xludf.DUMMYFUNCTION("""COMPUTED_VALUE"""),32006.0)</f>
        <v>32006</v>
      </c>
      <c r="Q466" s="146" t="str">
        <f>IFERROR(__xludf.DUMMYFUNCTION("""COMPUTED_VALUE"""),"090 319 5562")</f>
        <v>090 319 5562</v>
      </c>
      <c r="R466" s="147" t="str">
        <f>IFERROR(__xludf.DUMMYFUNCTION("""COMPUTED_VALUE"""),"1100200-32-6594")</f>
        <v>1100200-32-6594</v>
      </c>
      <c r="S466" t="str">
        <f>IFERROR(__xludf.DUMMYFUNCTION("""COMPUTED_VALUE"""),"AC7669452")</f>
        <v>AC7669452</v>
      </c>
      <c r="T466" s="148">
        <f>IFERROR(__xludf.DUMMYFUNCTION("""COMPUTED_VALUE"""),45821.0)</f>
        <v>45821</v>
      </c>
      <c r="U466" s="148">
        <f>IFERROR(__xludf.DUMMYFUNCTION("""COMPUTED_VALUE"""),49472.0)</f>
        <v>49472</v>
      </c>
      <c r="V466" s="149">
        <f>IFERROR(__xludf.DUMMYFUNCTION("""COMPUTED_VALUE"""),49290.0)</f>
        <v>49290</v>
      </c>
      <c r="W466" t="str">
        <f>IFERROR(__xludf.DUMMYFUNCTION("""COMPUTED_VALUE"""),"ปลอดภัย")</f>
        <v>ปลอดภัย</v>
      </c>
      <c r="X466" t="str">
        <f>IFERROR(__xludf.DUMMYFUNCTION("""COMPUTED_VALUE"""),"Bangkok")</f>
        <v>Bangkok</v>
      </c>
      <c r="Y466" t="str">
        <f>IFERROR(__xludf.DUMMYFUNCTION("""COMPUTED_VALUE"""),"Pathumthani")</f>
        <v>Pathumthani</v>
      </c>
      <c r="Z466" t="str">
        <f>IFERROR(__xludf.DUMMYFUNCTION("""COMPUTED_VALUE"""),"085 328 9592")</f>
        <v>085 328 9592</v>
      </c>
      <c r="AA466" t="str">
        <f>IFERROR(__xludf.DUMMYFUNCTION("""COMPUTED_VALUE"""),"Samrit Thongfuang")</f>
        <v>Samrit Thongfuang</v>
      </c>
      <c r="AB466" t="str">
        <f>IFERROR(__xludf.DUMMYFUNCTION("""COMPUTED_VALUE"""),"duangkamont@airasia.com")</f>
        <v>duangkamont@airasia.com</v>
      </c>
    </row>
    <row r="467">
      <c r="A467">
        <f>IFERROR(__xludf.DUMMYFUNCTION("""COMPUTED_VALUE"""),1008963.0)</f>
        <v>1008963</v>
      </c>
      <c r="B467" t="str">
        <f>IFERROR(__xludf.DUMMYFUNCTION("""COMPUTED_VALUE"""),"Ms.")</f>
        <v>Ms.</v>
      </c>
      <c r="C467" t="str">
        <f>IFERROR(__xludf.DUMMYFUNCTION("""COMPUTED_VALUE"""),"Jirawan")</f>
        <v>Jirawan</v>
      </c>
      <c r="D467" t="str">
        <f>IFERROR(__xludf.DUMMYFUNCTION("""COMPUTED_VALUE"""),"Hansajaroonroj")</f>
        <v>Hansajaroonroj</v>
      </c>
      <c r="E467" t="str">
        <f>IFERROR(__xludf.DUMMYFUNCTION("""COMPUTED_VALUE"""),"Jirawan Hansajaroonroj")</f>
        <v>Jirawan Hansajaroonroj</v>
      </c>
      <c r="F467" t="str">
        <f>IFERROR(__xludf.DUMMYFUNCTION("""COMPUTED_VALUE"""),"นางสาว")</f>
        <v>นางสาว</v>
      </c>
      <c r="G467" t="str">
        <f>IFERROR(__xludf.DUMMYFUNCTION("""COMPUTED_VALUE"""),"จิราวรรณ")</f>
        <v>จิราวรรณ</v>
      </c>
      <c r="H467" t="str">
        <f>IFERROR(__xludf.DUMMYFUNCTION("""COMPUTED_VALUE"""),"หรรษาจรูญโรจน์")</f>
        <v>หรรษาจรูญโรจน์</v>
      </c>
      <c r="I467" t="str">
        <f>IFERROR(__xludf.DUMMYFUNCTION("""COMPUTED_VALUE"""),"จิราวรรณ หรรษาจรูญโรจน์")</f>
        <v>จิราวรรณ หรรษาจรูญโรจน์</v>
      </c>
      <c r="J467" t="str">
        <f>IFERROR(__xludf.DUMMYFUNCTION("""COMPUTED_VALUE"""),"Cha-Aim")</f>
        <v>Cha-Aim</v>
      </c>
      <c r="K467" t="str">
        <f>IFERROR(__xludf.DUMMYFUNCTION("""COMPUTED_VALUE"""),"Cabin Crew - CNX")</f>
        <v>Cabin Crew - CNX</v>
      </c>
      <c r="L467" t="str">
        <f>IFERROR(__xludf.DUMMYFUNCTION("""COMPUTED_VALUE"""),"CNX")</f>
        <v>CNX</v>
      </c>
      <c r="M467" s="145" t="str">
        <f>IFERROR(__xludf.DUMMYFUNCTION("""COMPUTED_VALUE"""),"Up Home")</f>
        <v>Up Home</v>
      </c>
      <c r="N467" t="str">
        <f>IFERROR(__xludf.DUMMYFUNCTION("""COMPUTED_VALUE"""),"Active")</f>
        <v>Active</v>
      </c>
      <c r="O467" t="str">
        <f>IFERROR(__xludf.DUMMYFUNCTION("""COMPUTED_VALUE"""),"Chinese Speaking")</f>
        <v>Chinese Speaking</v>
      </c>
      <c r="P467" s="143">
        <f>IFERROR(__xludf.DUMMYFUNCTION("""COMPUTED_VALUE"""),32466.0)</f>
        <v>32466</v>
      </c>
      <c r="Q467" s="146" t="str">
        <f>IFERROR(__xludf.DUMMYFUNCTION("""COMPUTED_VALUE"""),"081-162-8997")</f>
        <v>081-162-8997</v>
      </c>
      <c r="R467" s="147" t="str">
        <f>IFERROR(__xludf.DUMMYFUNCTION("""COMPUTED_VALUE"""),"1101401-48-5674")</f>
        <v>1101401-48-5674</v>
      </c>
      <c r="S467" t="str">
        <f>IFERROR(__xludf.DUMMYFUNCTION("""COMPUTED_VALUE"""),"AC2216946")</f>
        <v>AC2216946</v>
      </c>
      <c r="T467" s="148">
        <f>IFERROR(__xludf.DUMMYFUNCTION("""COMPUTED_VALUE"""),44267.0)</f>
        <v>44267</v>
      </c>
      <c r="U467" s="148">
        <f>IFERROR(__xludf.DUMMYFUNCTION("""COMPUTED_VALUE"""),47918.0)</f>
        <v>47918</v>
      </c>
      <c r="V467" s="149">
        <f>IFERROR(__xludf.DUMMYFUNCTION("""COMPUTED_VALUE"""),47737.0)</f>
        <v>47737</v>
      </c>
      <c r="W467" t="str">
        <f>IFERROR(__xludf.DUMMYFUNCTION("""COMPUTED_VALUE"""),"ปลอดภัย")</f>
        <v>ปลอดภัย</v>
      </c>
      <c r="X467" t="str">
        <f>IFERROR(__xludf.DUMMYFUNCTION("""COMPUTED_VALUE"""),"Bangkok")</f>
        <v>Bangkok</v>
      </c>
      <c r="Y467" t="str">
        <f>IFERROR(__xludf.DUMMYFUNCTION("""COMPUTED_VALUE"""),"Dindaeng")</f>
        <v>Dindaeng</v>
      </c>
      <c r="Z467" t="str">
        <f>IFERROR(__xludf.DUMMYFUNCTION("""COMPUTED_VALUE"""),"083 891 8288")</f>
        <v>083 891 8288</v>
      </c>
      <c r="AA467" t="str">
        <f>IFERROR(__xludf.DUMMYFUNCTION("""COMPUTED_VALUE"""),"Jirasri Hansajaroonroj")</f>
        <v>Jirasri Hansajaroonroj</v>
      </c>
      <c r="AB467" t="str">
        <f>IFERROR(__xludf.DUMMYFUNCTION("""COMPUTED_VALUE"""),"jirawanh@airasia.com")</f>
        <v>jirawanh@airasia.com</v>
      </c>
    </row>
    <row r="468">
      <c r="A468">
        <f>IFERROR(__xludf.DUMMYFUNCTION("""COMPUTED_VALUE"""),1008968.0)</f>
        <v>1008968</v>
      </c>
      <c r="B468" t="str">
        <f>IFERROR(__xludf.DUMMYFUNCTION("""COMPUTED_VALUE"""),"Ms.")</f>
        <v>Ms.</v>
      </c>
      <c r="C468" t="str">
        <f>IFERROR(__xludf.DUMMYFUNCTION("""COMPUTED_VALUE"""),"Lalita")</f>
        <v>Lalita</v>
      </c>
      <c r="D468" t="str">
        <f>IFERROR(__xludf.DUMMYFUNCTION("""COMPUTED_VALUE"""),"Chaichanapoonpol")</f>
        <v>Chaichanapoonpol</v>
      </c>
      <c r="E468" t="str">
        <f>IFERROR(__xludf.DUMMYFUNCTION("""COMPUTED_VALUE"""),"Lalita Chaichanapoonpol")</f>
        <v>Lalita Chaichanapoonpol</v>
      </c>
      <c r="F468" t="str">
        <f>IFERROR(__xludf.DUMMYFUNCTION("""COMPUTED_VALUE"""),"นางสาว")</f>
        <v>นางสาว</v>
      </c>
      <c r="G468" t="str">
        <f>IFERROR(__xludf.DUMMYFUNCTION("""COMPUTED_VALUE"""),"ลลิตา")</f>
        <v>ลลิตา</v>
      </c>
      <c r="H468" t="str">
        <f>IFERROR(__xludf.DUMMYFUNCTION("""COMPUTED_VALUE"""),"ชัยชนะพูนผล")</f>
        <v>ชัยชนะพูนผล</v>
      </c>
      <c r="I468" t="str">
        <f>IFERROR(__xludf.DUMMYFUNCTION("""COMPUTED_VALUE"""),"ลลิตา ชัยชนะพูนผล")</f>
        <v>ลลิตา ชัยชนะพูนผล</v>
      </c>
      <c r="J468" t="str">
        <f>IFERROR(__xludf.DUMMYFUNCTION("""COMPUTED_VALUE"""),"Wei")</f>
        <v>Wei</v>
      </c>
      <c r="K468" t="str">
        <f>IFERROR(__xludf.DUMMYFUNCTION("""COMPUTED_VALUE"""),"Cabin Crew - CNX")</f>
        <v>Cabin Crew - CNX</v>
      </c>
      <c r="L468" t="str">
        <f>IFERROR(__xludf.DUMMYFUNCTION("""COMPUTED_VALUE"""),"CNX")</f>
        <v>CNX</v>
      </c>
      <c r="M468" s="145" t="str">
        <f>IFERROR(__xludf.DUMMYFUNCTION("""COMPUTED_VALUE"""),"Up Home")</f>
        <v>Up Home</v>
      </c>
      <c r="N468" t="str">
        <f>IFERROR(__xludf.DUMMYFUNCTION("""COMPUTED_VALUE"""),"Active")</f>
        <v>Active</v>
      </c>
      <c r="O468" t="str">
        <f>IFERROR(__xludf.DUMMYFUNCTION("""COMPUTED_VALUE"""),"Chinese Speaking")</f>
        <v>Chinese Speaking</v>
      </c>
      <c r="P468" s="143">
        <f>IFERROR(__xludf.DUMMYFUNCTION("""COMPUTED_VALUE"""),32820.0)</f>
        <v>32820</v>
      </c>
      <c r="Q468" s="146" t="str">
        <f>IFERROR(__xludf.DUMMYFUNCTION("""COMPUTED_VALUE"""),"062-649-3698")</f>
        <v>062-649-3698</v>
      </c>
      <c r="R468" s="147" t="str">
        <f>IFERROR(__xludf.DUMMYFUNCTION("""COMPUTED_VALUE"""),"5509900-09-5274")</f>
        <v>5509900-09-5274</v>
      </c>
      <c r="S468" t="str">
        <f>IFERROR(__xludf.DUMMYFUNCTION("""COMPUTED_VALUE"""),"AC8183450")</f>
        <v>AC8183450</v>
      </c>
      <c r="T468" s="148">
        <f>IFERROR(__xludf.DUMMYFUNCTION("""COMPUTED_VALUE"""),46048.0)</f>
        <v>46048</v>
      </c>
      <c r="U468" s="148">
        <f>IFERROR(__xludf.DUMMYFUNCTION("""COMPUTED_VALUE"""),49699.0)</f>
        <v>49699</v>
      </c>
      <c r="V468" s="149">
        <f>IFERROR(__xludf.DUMMYFUNCTION("""COMPUTED_VALUE"""),49515.0)</f>
        <v>49515</v>
      </c>
      <c r="W468" t="str">
        <f>IFERROR(__xludf.DUMMYFUNCTION("""COMPUTED_VALUE"""),"ปลอดภัย")</f>
        <v>ปลอดภัย</v>
      </c>
      <c r="X468" t="str">
        <f>IFERROR(__xludf.DUMMYFUNCTION("""COMPUTED_VALUE"""),"Chiang Mai Province")</f>
        <v>Chiang Mai Province</v>
      </c>
      <c r="Y468" t="str">
        <f>IFERROR(__xludf.DUMMYFUNCTION("""COMPUTED_VALUE"""),"Chiang Mai")</f>
        <v>Chiang Mai</v>
      </c>
      <c r="Z468" t="str">
        <f>IFERROR(__xludf.DUMMYFUNCTION("""COMPUTED_VALUE"""),"089 433 4351")</f>
        <v>089 433 4351</v>
      </c>
      <c r="AA468" t="str">
        <f>IFERROR(__xludf.DUMMYFUNCTION("""COMPUTED_VALUE"""),"Wittaya Chaichanapoonpol")</f>
        <v>Wittaya Chaichanapoonpol</v>
      </c>
      <c r="AB468" t="str">
        <f>IFERROR(__xludf.DUMMYFUNCTION("""COMPUTED_VALUE"""),"lalitac@airasia.com")</f>
        <v>lalitac@airasia.com</v>
      </c>
    </row>
    <row r="469">
      <c r="A469">
        <f>IFERROR(__xludf.DUMMYFUNCTION("""COMPUTED_VALUE"""),1008981.0)</f>
        <v>1008981</v>
      </c>
      <c r="B469" t="str">
        <f>IFERROR(__xludf.DUMMYFUNCTION("""COMPUTED_VALUE"""),"Ms.")</f>
        <v>Ms.</v>
      </c>
      <c r="C469" t="str">
        <f>IFERROR(__xludf.DUMMYFUNCTION("""COMPUTED_VALUE"""),"Nichanan")</f>
        <v>Nichanan</v>
      </c>
      <c r="D469" t="str">
        <f>IFERROR(__xludf.DUMMYFUNCTION("""COMPUTED_VALUE"""),"Soonthornpanyawut")</f>
        <v>Soonthornpanyawut</v>
      </c>
      <c r="E469" t="str">
        <f>IFERROR(__xludf.DUMMYFUNCTION("""COMPUTED_VALUE"""),"Nichanan Soonthornpanyawut")</f>
        <v>Nichanan Soonthornpanyawut</v>
      </c>
      <c r="F469" t="str">
        <f>IFERROR(__xludf.DUMMYFUNCTION("""COMPUTED_VALUE"""),"นางสาว")</f>
        <v>นางสาว</v>
      </c>
      <c r="G469" t="str">
        <f>IFERROR(__xludf.DUMMYFUNCTION("""COMPUTED_VALUE"""),"นิชณัน")</f>
        <v>นิชณัน</v>
      </c>
      <c r="H469" t="str">
        <f>IFERROR(__xludf.DUMMYFUNCTION("""COMPUTED_VALUE"""),"สุนทรปัญญาวุธ")</f>
        <v>สุนทรปัญญาวุธ</v>
      </c>
      <c r="I469" t="str">
        <f>IFERROR(__xludf.DUMMYFUNCTION("""COMPUTED_VALUE"""),"นิชณัน สุนทรปัญญาวุธ")</f>
        <v>นิชณัน สุนทรปัญญาวุธ</v>
      </c>
      <c r="J469" t="str">
        <f>IFERROR(__xludf.DUMMYFUNCTION("""COMPUTED_VALUE"""),"Jern")</f>
        <v>Jern</v>
      </c>
      <c r="K469" t="str">
        <f>IFERROR(__xludf.DUMMYFUNCTION("""COMPUTED_VALUE"""),"Cabin Crew")</f>
        <v>Cabin Crew</v>
      </c>
      <c r="L469" t="str">
        <f>IFERROR(__xludf.DUMMYFUNCTION("""COMPUTED_VALUE"""),"DMK")</f>
        <v>DMK</v>
      </c>
      <c r="M469" s="145" t="str">
        <f>IFERROR(__xludf.DUMMYFUNCTION("""COMPUTED_VALUE"""),"Um Home")</f>
        <v>Um Home</v>
      </c>
      <c r="N469" t="str">
        <f>IFERROR(__xludf.DUMMYFUNCTION("""COMPUTED_VALUE"""),"Active")</f>
        <v>Active</v>
      </c>
      <c r="O469" t="str">
        <f>IFERROR(__xludf.DUMMYFUNCTION("""COMPUTED_VALUE"""),"Chinese Speaking")</f>
        <v>Chinese Speaking</v>
      </c>
      <c r="P469" s="143">
        <f>IFERROR(__xludf.DUMMYFUNCTION("""COMPUTED_VALUE"""),31969.0)</f>
        <v>31969</v>
      </c>
      <c r="Q469" s="146" t="str">
        <f>IFERROR(__xludf.DUMMYFUNCTION("""COMPUTED_VALUE"""),"095-419-3635")</f>
        <v>095-419-3635</v>
      </c>
      <c r="R469" s="147" t="str">
        <f>IFERROR(__xludf.DUMMYFUNCTION("""COMPUTED_VALUE"""),"1909800-22-0917")</f>
        <v>1909800-22-0917</v>
      </c>
      <c r="S469" t="str">
        <f>IFERROR(__xludf.DUMMYFUNCTION("""COMPUTED_VALUE"""),"AC4361595")</f>
        <v>AC4361595</v>
      </c>
      <c r="T469" s="148">
        <f>IFERROR(__xludf.DUMMYFUNCTION("""COMPUTED_VALUE"""),44939.0)</f>
        <v>44939</v>
      </c>
      <c r="U469" s="148">
        <f>IFERROR(__xludf.DUMMYFUNCTION("""COMPUTED_VALUE"""),48591.0)</f>
        <v>48591</v>
      </c>
      <c r="V469" s="149">
        <f>IFERROR(__xludf.DUMMYFUNCTION("""COMPUTED_VALUE"""),48407.0)</f>
        <v>48407</v>
      </c>
      <c r="W469" t="str">
        <f>IFERROR(__xludf.DUMMYFUNCTION("""COMPUTED_VALUE"""),"ปลอดภัย")</f>
        <v>ปลอดภัย</v>
      </c>
      <c r="X469" t="str">
        <f>IFERROR(__xludf.DUMMYFUNCTION("""COMPUTED_VALUE"""),"Songkhla Province")</f>
        <v>Songkhla Province</v>
      </c>
      <c r="Y469" t="str">
        <f>IFERROR(__xludf.DUMMYFUNCTION("""COMPUTED_VALUE"""),"Songkhla")</f>
        <v>Songkhla</v>
      </c>
      <c r="Z469" t="str">
        <f>IFERROR(__xludf.DUMMYFUNCTION("""COMPUTED_VALUE"""),"084 854 4514")</f>
        <v>084 854 4514</v>
      </c>
      <c r="AA469" t="str">
        <f>IFERROR(__xludf.DUMMYFUNCTION("""COMPUTED_VALUE"""),"Saksiri Soonthronpanyawut")</f>
        <v>Saksiri Soonthronpanyawut</v>
      </c>
      <c r="AB469" t="str">
        <f>IFERROR(__xludf.DUMMYFUNCTION("""COMPUTED_VALUE"""),"nichanano@airasia.com")</f>
        <v>nichanano@airasia.com</v>
      </c>
    </row>
    <row r="470">
      <c r="A470">
        <f>IFERROR(__xludf.DUMMYFUNCTION("""COMPUTED_VALUE"""),1008984.0)</f>
        <v>1008984</v>
      </c>
      <c r="B470" t="str">
        <f>IFERROR(__xludf.DUMMYFUNCTION("""COMPUTED_VALUE"""),"Ms.")</f>
        <v>Ms.</v>
      </c>
      <c r="C470" t="str">
        <f>IFERROR(__xludf.DUMMYFUNCTION("""COMPUTED_VALUE"""),"Orapan")</f>
        <v>Orapan</v>
      </c>
      <c r="D470" t="str">
        <f>IFERROR(__xludf.DUMMYFUNCTION("""COMPUTED_VALUE"""),"Bangprapakorn")</f>
        <v>Bangprapakorn</v>
      </c>
      <c r="E470" t="str">
        <f>IFERROR(__xludf.DUMMYFUNCTION("""COMPUTED_VALUE"""),"Orapan Bangprapakorn")</f>
        <v>Orapan Bangprapakorn</v>
      </c>
      <c r="F470" t="str">
        <f>IFERROR(__xludf.DUMMYFUNCTION("""COMPUTED_VALUE"""),"นางสาว")</f>
        <v>นางสาว</v>
      </c>
      <c r="G470" t="str">
        <f>IFERROR(__xludf.DUMMYFUNCTION("""COMPUTED_VALUE"""),"อรพรรณ")</f>
        <v>อรพรรณ</v>
      </c>
      <c r="H470" t="str">
        <f>IFERROR(__xludf.DUMMYFUNCTION("""COMPUTED_VALUE"""),"บางประภากร")</f>
        <v>บางประภากร</v>
      </c>
      <c r="I470" t="str">
        <f>IFERROR(__xludf.DUMMYFUNCTION("""COMPUTED_VALUE"""),"อรพรรณ บางประภากร")</f>
        <v>อรพรรณ บางประภากร</v>
      </c>
      <c r="J470" t="str">
        <f>IFERROR(__xludf.DUMMYFUNCTION("""COMPUTED_VALUE"""),"Apple")</f>
        <v>Apple</v>
      </c>
      <c r="K470" t="str">
        <f>IFERROR(__xludf.DUMMYFUNCTION("""COMPUTED_VALUE"""),"Cabin Crew")</f>
        <v>Cabin Crew</v>
      </c>
      <c r="L470" t="str">
        <f>IFERROR(__xludf.DUMMYFUNCTION("""COMPUTED_VALUE"""),"DMK")</f>
        <v>DMK</v>
      </c>
      <c r="M470" s="145" t="str">
        <f>IFERROR(__xludf.DUMMYFUNCTION("""COMPUTED_VALUE"""),"Nhui Home")</f>
        <v>Nhui Home</v>
      </c>
      <c r="N470" t="str">
        <f>IFERROR(__xludf.DUMMYFUNCTION("""COMPUTED_VALUE"""),"V/LWP")</f>
        <v>V/LWP</v>
      </c>
      <c r="O470" t="str">
        <f>IFERROR(__xludf.DUMMYFUNCTION("""COMPUTED_VALUE"""),"Chinese Speaking")</f>
        <v>Chinese Speaking</v>
      </c>
      <c r="P470" s="143">
        <f>IFERROR(__xludf.DUMMYFUNCTION("""COMPUTED_VALUE"""),31524.0)</f>
        <v>31524</v>
      </c>
      <c r="Q470" s="146" t="str">
        <f>IFERROR(__xludf.DUMMYFUNCTION("""COMPUTED_VALUE"""),"081-4416942")</f>
        <v>081-4416942</v>
      </c>
      <c r="R470" s="147" t="str">
        <f>IFERROR(__xludf.DUMMYFUNCTION("""COMPUTED_VALUE"""),"1101400-66-2017")</f>
        <v>1101400-66-2017</v>
      </c>
      <c r="S470" t="str">
        <f>IFERROR(__xludf.DUMMYFUNCTION("""COMPUTED_VALUE"""),"AD0647609")</f>
        <v>AD0647609</v>
      </c>
      <c r="T470" s="148">
        <f>IFERROR(__xludf.DUMMYFUNCTION("""COMPUTED_VALUE"""),44945.0)</f>
        <v>44945</v>
      </c>
      <c r="U470" s="148">
        <f>IFERROR(__xludf.DUMMYFUNCTION("""COMPUTED_VALUE"""),48597.0)</f>
        <v>48597</v>
      </c>
      <c r="V470" s="149">
        <f>IFERROR(__xludf.DUMMYFUNCTION("""COMPUTED_VALUE"""),48413.0)</f>
        <v>48413</v>
      </c>
      <c r="W470" t="str">
        <f>IFERROR(__xludf.DUMMYFUNCTION("""COMPUTED_VALUE"""),"ปลอดภัย")</f>
        <v>ปลอดภัย</v>
      </c>
      <c r="X470" t="str">
        <f>IFERROR(__xludf.DUMMYFUNCTION("""COMPUTED_VALUE"""),"Bangkok")</f>
        <v>Bangkok</v>
      </c>
      <c r="Y470" t="str">
        <f>IFERROR(__xludf.DUMMYFUNCTION("""COMPUTED_VALUE"""),"Bangkapi")</f>
        <v>Bangkapi</v>
      </c>
      <c r="Z470" t="str">
        <f>IFERROR(__xludf.DUMMYFUNCTION("""COMPUTED_VALUE"""),"086 777 8177")</f>
        <v>086 777 8177</v>
      </c>
      <c r="AA470" t="str">
        <f>IFERROR(__xludf.DUMMYFUNCTION("""COMPUTED_VALUE"""),"Pansiri Bangprapakorn")</f>
        <v>Pansiri Bangprapakorn</v>
      </c>
      <c r="AB470" t="str">
        <f>IFERROR(__xludf.DUMMYFUNCTION("""COMPUTED_VALUE"""),"orapanb@airasia.com")</f>
        <v>orapanb@airasia.com</v>
      </c>
    </row>
    <row r="471">
      <c r="A471">
        <f>IFERROR(__xludf.DUMMYFUNCTION("""COMPUTED_VALUE"""),1008987.0)</f>
        <v>1008987</v>
      </c>
      <c r="B471" t="str">
        <f>IFERROR(__xludf.DUMMYFUNCTION("""COMPUTED_VALUE"""),"Mr.")</f>
        <v>Mr.</v>
      </c>
      <c r="C471" t="str">
        <f>IFERROR(__xludf.DUMMYFUNCTION("""COMPUTED_VALUE"""),"Punnasisth (Phasin)")</f>
        <v>Punnasisth (Phasin)</v>
      </c>
      <c r="D471" t="str">
        <f>IFERROR(__xludf.DUMMYFUNCTION("""COMPUTED_VALUE"""),"Rangshirinanthakorn (Jirapattanatad)")</f>
        <v>Rangshirinanthakorn (Jirapattanatad)</v>
      </c>
      <c r="E471" t="str">
        <f>IFERROR(__xludf.DUMMYFUNCTION("""COMPUTED_VALUE"""),"Punnasisth Rangshirinanthakorn")</f>
        <v>Punnasisth Rangshirinanthakorn</v>
      </c>
      <c r="F471" t="str">
        <f>IFERROR(__xludf.DUMMYFUNCTION("""COMPUTED_VALUE"""),"นาย")</f>
        <v>นาย</v>
      </c>
      <c r="G471" t="str">
        <f>IFERROR(__xludf.DUMMYFUNCTION("""COMPUTED_VALUE"""),"ปุณศิษฐ์")</f>
        <v>ปุณศิษฐ์</v>
      </c>
      <c r="H471" t="str">
        <f>IFERROR(__xludf.DUMMYFUNCTION("""COMPUTED_VALUE"""),"รังสิรินันทกรณ์")</f>
        <v>รังสิรินันทกรณ์</v>
      </c>
      <c r="I471" t="str">
        <f>IFERROR(__xludf.DUMMYFUNCTION("""COMPUTED_VALUE"""),"ปุณศิษฐ์ รังสิรินันทกรณ์")</f>
        <v>ปุณศิษฐ์ รังสิรินันทกรณ์</v>
      </c>
      <c r="J471" t="str">
        <f>IFERROR(__xludf.DUMMYFUNCTION("""COMPUTED_VALUE"""),"Woody")</f>
        <v>Woody</v>
      </c>
      <c r="K471" t="str">
        <f>IFERROR(__xludf.DUMMYFUNCTION("""COMPUTED_VALUE"""),"Senior Cabin Crew")</f>
        <v>Senior Cabin Crew</v>
      </c>
      <c r="L471" t="str">
        <f>IFERROR(__xludf.DUMMYFUNCTION("""COMPUTED_VALUE"""),"DMK")</f>
        <v>DMK</v>
      </c>
      <c r="M471" s="145" t="str">
        <f>IFERROR(__xludf.DUMMYFUNCTION("""COMPUTED_VALUE"""),"Toffy Home")</f>
        <v>Toffy Home</v>
      </c>
      <c r="N471" t="str">
        <f>IFERROR(__xludf.DUMMYFUNCTION("""COMPUTED_VALUE"""),"Active")</f>
        <v>Active</v>
      </c>
      <c r="O471" t="str">
        <f>IFERROR(__xludf.DUMMYFUNCTION("""COMPUTED_VALUE"""),"Chinese Speaking")</f>
        <v>Chinese Speaking</v>
      </c>
      <c r="P471" s="143">
        <f>IFERROR(__xludf.DUMMYFUNCTION("""COMPUTED_VALUE"""),32098.0)</f>
        <v>32098</v>
      </c>
      <c r="Q471" s="146" t="str">
        <f>IFERROR(__xludf.DUMMYFUNCTION("""COMPUTED_VALUE"""),"083-5569169")</f>
        <v>083-5569169</v>
      </c>
      <c r="R471" s="147" t="str">
        <f>IFERROR(__xludf.DUMMYFUNCTION("""COMPUTED_VALUE"""),"1909800-24-8765")</f>
        <v>1909800-24-8765</v>
      </c>
      <c r="S471" t="str">
        <f>IFERROR(__xludf.DUMMYFUNCTION("""COMPUTED_VALUE"""),"AD2842425")</f>
        <v>AD2842425</v>
      </c>
      <c r="T471" s="148">
        <f>IFERROR(__xludf.DUMMYFUNCTION("""COMPUTED_VALUE"""),46055.0)</f>
        <v>46055</v>
      </c>
      <c r="U471" s="148">
        <f>IFERROR(__xludf.DUMMYFUNCTION("""COMPUTED_VALUE"""),49706.0)</f>
        <v>49706</v>
      </c>
      <c r="V471" s="149">
        <f>IFERROR(__xludf.DUMMYFUNCTION("""COMPUTED_VALUE"""),49522.0)</f>
        <v>49522</v>
      </c>
      <c r="W471" t="str">
        <f>IFERROR(__xludf.DUMMYFUNCTION("""COMPUTED_VALUE"""),"ปลอดภัย")</f>
        <v>ปลอดภัย</v>
      </c>
      <c r="X471" t="str">
        <f>IFERROR(__xludf.DUMMYFUNCTION("""COMPUTED_VALUE"""),"Songkhla Province")</f>
        <v>Songkhla Province</v>
      </c>
      <c r="Y471" t="str">
        <f>IFERROR(__xludf.DUMMYFUNCTION("""COMPUTED_VALUE"""),"Suanluang")</f>
        <v>Suanluang</v>
      </c>
      <c r="Z471" t="str">
        <f>IFERROR(__xludf.DUMMYFUNCTION("""COMPUTED_VALUE"""),"083 295 1811")</f>
        <v>083 295 1811</v>
      </c>
      <c r="AA471" t="str">
        <f>IFERROR(__xludf.DUMMYFUNCTION("""COMPUTED_VALUE"""),"Kankanit Jirapattanatad")</f>
        <v>Kankanit Jirapattanatad</v>
      </c>
      <c r="AB471" t="str">
        <f>IFERROR(__xludf.DUMMYFUNCTION("""COMPUTED_VALUE"""),"punnasisthran@airasia.com")</f>
        <v>punnasisthran@airasia.com</v>
      </c>
    </row>
    <row r="472">
      <c r="A472">
        <f>IFERROR(__xludf.DUMMYFUNCTION("""COMPUTED_VALUE"""),1008989.0)</f>
        <v>1008989</v>
      </c>
      <c r="B472" t="str">
        <f>IFERROR(__xludf.DUMMYFUNCTION("""COMPUTED_VALUE"""),"Ms.")</f>
        <v>Ms.</v>
      </c>
      <c r="C472" t="str">
        <f>IFERROR(__xludf.DUMMYFUNCTION("""COMPUTED_VALUE"""),"Pornpimon")</f>
        <v>Pornpimon</v>
      </c>
      <c r="D472" t="str">
        <f>IFERROR(__xludf.DUMMYFUNCTION("""COMPUTED_VALUE"""),"Booranawattanakul")</f>
        <v>Booranawattanakul</v>
      </c>
      <c r="E472" t="str">
        <f>IFERROR(__xludf.DUMMYFUNCTION("""COMPUTED_VALUE"""),"Pornpimon Booranawattanakul")</f>
        <v>Pornpimon Booranawattanakul</v>
      </c>
      <c r="F472" t="str">
        <f>IFERROR(__xludf.DUMMYFUNCTION("""COMPUTED_VALUE"""),"นางสาว")</f>
        <v>นางสาว</v>
      </c>
      <c r="G472" t="str">
        <f>IFERROR(__xludf.DUMMYFUNCTION("""COMPUTED_VALUE"""),"พรพิมล")</f>
        <v>พรพิมล</v>
      </c>
      <c r="H472" t="str">
        <f>IFERROR(__xludf.DUMMYFUNCTION("""COMPUTED_VALUE"""),"บูรณวัฒนกุล")</f>
        <v>บูรณวัฒนกุล</v>
      </c>
      <c r="I472" t="str">
        <f>IFERROR(__xludf.DUMMYFUNCTION("""COMPUTED_VALUE"""),"พรพิมล บูรณวัฒนกุล")</f>
        <v>พรพิมล บูรณวัฒนกุล</v>
      </c>
      <c r="J472" t="str">
        <f>IFERROR(__xludf.DUMMYFUNCTION("""COMPUTED_VALUE"""),"Pat")</f>
        <v>Pat</v>
      </c>
      <c r="K472" t="str">
        <f>IFERROR(__xludf.DUMMYFUNCTION("""COMPUTED_VALUE"""),"Cabin Crew - BKK")</f>
        <v>Cabin Crew - BKK</v>
      </c>
      <c r="L472" t="str">
        <f>IFERROR(__xludf.DUMMYFUNCTION("""COMPUTED_VALUE"""),"BKK")</f>
        <v>BKK</v>
      </c>
      <c r="M472" s="145" t="str">
        <f>IFERROR(__xludf.DUMMYFUNCTION("""COMPUTED_VALUE"""),"Nhui Home")</f>
        <v>Nhui Home</v>
      </c>
      <c r="N472" t="str">
        <f>IFERROR(__xludf.DUMMYFUNCTION("""COMPUTED_VALUE"""),"Active")</f>
        <v>Active</v>
      </c>
      <c r="O472" t="str">
        <f>IFERROR(__xludf.DUMMYFUNCTION("""COMPUTED_VALUE"""),"Chinese Speaking")</f>
        <v>Chinese Speaking</v>
      </c>
      <c r="P472" s="143">
        <f>IFERROR(__xludf.DUMMYFUNCTION("""COMPUTED_VALUE"""),33633.0)</f>
        <v>33633</v>
      </c>
      <c r="Q472" s="146" t="str">
        <f>IFERROR(__xludf.DUMMYFUNCTION("""COMPUTED_VALUE"""),"062 826 4935")</f>
        <v>062 826 4935</v>
      </c>
      <c r="R472" s="147" t="str">
        <f>IFERROR(__xludf.DUMMYFUNCTION("""COMPUTED_VALUE"""),"1103700-67-2761")</f>
        <v>1103700-67-2761</v>
      </c>
      <c r="S472" t="str">
        <f>IFERROR(__xludf.DUMMYFUNCTION("""COMPUTED_VALUE"""),"AC7240377")</f>
        <v>AC7240377</v>
      </c>
      <c r="T472" s="148">
        <f>IFERROR(__xludf.DUMMYFUNCTION("""COMPUTED_VALUE"""),45659.0)</f>
        <v>45659</v>
      </c>
      <c r="U472" s="148">
        <f>IFERROR(__xludf.DUMMYFUNCTION("""COMPUTED_VALUE"""),49310.0)</f>
        <v>49310</v>
      </c>
      <c r="V472" s="149">
        <f>IFERROR(__xludf.DUMMYFUNCTION("""COMPUTED_VALUE"""),49126.0)</f>
        <v>49126</v>
      </c>
      <c r="W472" t="str">
        <f>IFERROR(__xludf.DUMMYFUNCTION("""COMPUTED_VALUE"""),"ปลอดภัย")</f>
        <v>ปลอดภัย</v>
      </c>
      <c r="X472" t="str">
        <f>IFERROR(__xludf.DUMMYFUNCTION("""COMPUTED_VALUE"""),"Bangkok")</f>
        <v>Bangkok</v>
      </c>
      <c r="Y472" t="str">
        <f>IFERROR(__xludf.DUMMYFUNCTION("""COMPUTED_VALUE"""),"Wangthonglang")</f>
        <v>Wangthonglang</v>
      </c>
      <c r="Z472" t="str">
        <f>IFERROR(__xludf.DUMMYFUNCTION("""COMPUTED_VALUE"""),"089 096 6930  ")</f>
        <v>089 096 6930  </v>
      </c>
      <c r="AA472" t="str">
        <f>IFERROR(__xludf.DUMMYFUNCTION("""COMPUTED_VALUE"""),"Chisanu (Husband)")</f>
        <v>Chisanu (Husband)</v>
      </c>
      <c r="AB472" t="str">
        <f>IFERROR(__xludf.DUMMYFUNCTION("""COMPUTED_VALUE"""),"pornpimonb@airasia.com")</f>
        <v>pornpimonb@airasia.com</v>
      </c>
    </row>
    <row r="473">
      <c r="A473">
        <f>IFERROR(__xludf.DUMMYFUNCTION("""COMPUTED_VALUE"""),1008991.0)</f>
        <v>1008991</v>
      </c>
      <c r="B473" t="str">
        <f>IFERROR(__xludf.DUMMYFUNCTION("""COMPUTED_VALUE"""),"Ms.")</f>
        <v>Ms.</v>
      </c>
      <c r="C473" t="str">
        <f>IFERROR(__xludf.DUMMYFUNCTION("""COMPUTED_VALUE"""),"Premkamon")</f>
        <v>Premkamon</v>
      </c>
      <c r="D473" t="str">
        <f>IFERROR(__xludf.DUMMYFUNCTION("""COMPUTED_VALUE"""),"Changsuwan")</f>
        <v>Changsuwan</v>
      </c>
      <c r="E473" t="str">
        <f>IFERROR(__xludf.DUMMYFUNCTION("""COMPUTED_VALUE"""),"Premkamon Changsuwan")</f>
        <v>Premkamon Changsuwan</v>
      </c>
      <c r="F473" t="str">
        <f>IFERROR(__xludf.DUMMYFUNCTION("""COMPUTED_VALUE"""),"นางสาว")</f>
        <v>นางสาว</v>
      </c>
      <c r="G473" t="str">
        <f>IFERROR(__xludf.DUMMYFUNCTION("""COMPUTED_VALUE"""),"เปรมกมล")</f>
        <v>เปรมกมล</v>
      </c>
      <c r="H473" t="str">
        <f>IFERROR(__xludf.DUMMYFUNCTION("""COMPUTED_VALUE"""),"ช่างสุวรรณ")</f>
        <v>ช่างสุวรรณ</v>
      </c>
      <c r="I473" t="str">
        <f>IFERROR(__xludf.DUMMYFUNCTION("""COMPUTED_VALUE"""),"เปรมกมล ช่างสุวรรณ")</f>
        <v>เปรมกมล ช่างสุวรรณ</v>
      </c>
      <c r="J473" t="str">
        <f>IFERROR(__xludf.DUMMYFUNCTION("""COMPUTED_VALUE"""),"Som-O")</f>
        <v>Som-O</v>
      </c>
      <c r="K473" t="str">
        <f>IFERROR(__xludf.DUMMYFUNCTION("""COMPUTED_VALUE"""),"Senior Cabin Crew")</f>
        <v>Senior Cabin Crew</v>
      </c>
      <c r="L473" t="str">
        <f>IFERROR(__xludf.DUMMYFUNCTION("""COMPUTED_VALUE"""),"DMK")</f>
        <v>DMK</v>
      </c>
      <c r="M473" s="145" t="str">
        <f>IFERROR(__xludf.DUMMYFUNCTION("""COMPUTED_VALUE"""),"Kor Home")</f>
        <v>Kor Home</v>
      </c>
      <c r="N473" t="str">
        <f>IFERROR(__xludf.DUMMYFUNCTION("""COMPUTED_VALUE"""),"Active")</f>
        <v>Active</v>
      </c>
      <c r="O473" t="str">
        <f>IFERROR(__xludf.DUMMYFUNCTION("""COMPUTED_VALUE"""),"Chinese Speaking")</f>
        <v>Chinese Speaking</v>
      </c>
      <c r="P473" s="143">
        <f>IFERROR(__xludf.DUMMYFUNCTION("""COMPUTED_VALUE"""),33535.0)</f>
        <v>33535</v>
      </c>
      <c r="Q473" s="146" t="str">
        <f>IFERROR(__xludf.DUMMYFUNCTION("""COMPUTED_VALUE"""),"081 234 4926")</f>
        <v>081 234 4926</v>
      </c>
      <c r="R473" s="147" t="str">
        <f>IFERROR(__xludf.DUMMYFUNCTION("""COMPUTED_VALUE"""),"1759900-20-0014")</f>
        <v>1759900-20-0014</v>
      </c>
      <c r="S473" t="str">
        <f>IFERROR(__xludf.DUMMYFUNCTION("""COMPUTED_VALUE"""),"AC4124057")</f>
        <v>AC4124057</v>
      </c>
      <c r="T473" s="148">
        <f>IFERROR(__xludf.DUMMYFUNCTION("""COMPUTED_VALUE"""),44853.0)</f>
        <v>44853</v>
      </c>
      <c r="U473" s="148">
        <f>IFERROR(__xludf.DUMMYFUNCTION("""COMPUTED_VALUE"""),48505.0)</f>
        <v>48505</v>
      </c>
      <c r="V473" s="149">
        <f>IFERROR(__xludf.DUMMYFUNCTION("""COMPUTED_VALUE"""),48322.0)</f>
        <v>48322</v>
      </c>
      <c r="W473" t="str">
        <f>IFERROR(__xludf.DUMMYFUNCTION("""COMPUTED_VALUE"""),"ปลอดภัย")</f>
        <v>ปลอดภัย</v>
      </c>
      <c r="X473" t="str">
        <f>IFERROR(__xludf.DUMMYFUNCTION("""COMPUTED_VALUE"""),"Samut Songkhram Province")</f>
        <v>Samut Songkhram Province</v>
      </c>
      <c r="Y473" t="str">
        <f>IFERROR(__xludf.DUMMYFUNCTION("""COMPUTED_VALUE"""),"Maeklong")</f>
        <v>Maeklong</v>
      </c>
      <c r="Z473" t="str">
        <f>IFERROR(__xludf.DUMMYFUNCTION("""COMPUTED_VALUE"""),"084 674 9395")</f>
        <v>084 674 9395</v>
      </c>
      <c r="AA473" t="str">
        <f>IFERROR(__xludf.DUMMYFUNCTION("""COMPUTED_VALUE"""),"Phattara Ngernchangsuean")</f>
        <v>Phattara Ngernchangsuean</v>
      </c>
      <c r="AB473" t="str">
        <f>IFERROR(__xludf.DUMMYFUNCTION("""COMPUTED_VALUE"""),"premkamonc@airasia.com")</f>
        <v>premkamonc@airasia.com</v>
      </c>
    </row>
    <row r="474">
      <c r="A474">
        <f>IFERROR(__xludf.DUMMYFUNCTION("""COMPUTED_VALUE"""),1008992.0)</f>
        <v>1008992</v>
      </c>
      <c r="B474" t="str">
        <f>IFERROR(__xludf.DUMMYFUNCTION("""COMPUTED_VALUE"""),"Ms.")</f>
        <v>Ms.</v>
      </c>
      <c r="C474" t="str">
        <f>IFERROR(__xludf.DUMMYFUNCTION("""COMPUTED_VALUE"""),"Pundharee")</f>
        <v>Pundharee</v>
      </c>
      <c r="D474" t="str">
        <f>IFERROR(__xludf.DUMMYFUNCTION("""COMPUTED_VALUE"""),"Manosirinukul")</f>
        <v>Manosirinukul</v>
      </c>
      <c r="E474" t="str">
        <f>IFERROR(__xludf.DUMMYFUNCTION("""COMPUTED_VALUE"""),"Pundharee Manosirinukul")</f>
        <v>Pundharee Manosirinukul</v>
      </c>
      <c r="F474" t="str">
        <f>IFERROR(__xludf.DUMMYFUNCTION("""COMPUTED_VALUE"""),"นางสาว")</f>
        <v>นางสาว</v>
      </c>
      <c r="G474" t="str">
        <f>IFERROR(__xludf.DUMMYFUNCTION("""COMPUTED_VALUE"""),"ปัญฑารีย์")</f>
        <v>ปัญฑารีย์</v>
      </c>
      <c r="H474" t="str">
        <f>IFERROR(__xludf.DUMMYFUNCTION("""COMPUTED_VALUE"""),"มโนศิริยุกูล")</f>
        <v>มโนศิริยุกูล</v>
      </c>
      <c r="I474" t="str">
        <f>IFERROR(__xludf.DUMMYFUNCTION("""COMPUTED_VALUE"""),"ปัญฑารีย์ มโนศิริยุกูล")</f>
        <v>ปัญฑารีย์ มโนศิริยุกูล</v>
      </c>
      <c r="J474" t="str">
        <f>IFERROR(__xludf.DUMMYFUNCTION("""COMPUTED_VALUE"""),"Pat")</f>
        <v>Pat</v>
      </c>
      <c r="K474" t="str">
        <f>IFERROR(__xludf.DUMMYFUNCTION("""COMPUTED_VALUE"""),"Cabin Crew")</f>
        <v>Cabin Crew</v>
      </c>
      <c r="L474" t="str">
        <f>IFERROR(__xludf.DUMMYFUNCTION("""COMPUTED_VALUE"""),"DMK")</f>
        <v>DMK</v>
      </c>
      <c r="M474" s="145" t="str">
        <f>IFERROR(__xludf.DUMMYFUNCTION("""COMPUTED_VALUE"""),"Um Home")</f>
        <v>Um Home</v>
      </c>
      <c r="N474" t="str">
        <f>IFERROR(__xludf.DUMMYFUNCTION("""COMPUTED_VALUE"""),"V/LWP")</f>
        <v>V/LWP</v>
      </c>
      <c r="O474" t="str">
        <f>IFERROR(__xludf.DUMMYFUNCTION("""COMPUTED_VALUE"""),"Chinese Speaking")</f>
        <v>Chinese Speaking</v>
      </c>
      <c r="P474" s="143">
        <f>IFERROR(__xludf.DUMMYFUNCTION("""COMPUTED_VALUE"""),32723.0)</f>
        <v>32723</v>
      </c>
      <c r="Q474" s="146" t="str">
        <f>IFERROR(__xludf.DUMMYFUNCTION("""COMPUTED_VALUE"""),"084-6395979")</f>
        <v>084-6395979</v>
      </c>
      <c r="R474" s="147" t="str">
        <f>IFERROR(__xludf.DUMMYFUNCTION("""COMPUTED_VALUE"""),"1100400-40-6036")</f>
        <v>1100400-40-6036</v>
      </c>
      <c r="S474" t="str">
        <f>IFERROR(__xludf.DUMMYFUNCTION("""COMPUTED_VALUE"""),"AC4424779")</f>
        <v>AC4424779</v>
      </c>
      <c r="T474" s="148">
        <f>IFERROR(__xludf.DUMMYFUNCTION("""COMPUTED_VALUE"""),44958.0)</f>
        <v>44958</v>
      </c>
      <c r="U474" s="148">
        <f>IFERROR(__xludf.DUMMYFUNCTION("""COMPUTED_VALUE"""),48610.0)</f>
        <v>48610</v>
      </c>
      <c r="V474" s="149">
        <f>IFERROR(__xludf.DUMMYFUNCTION("""COMPUTED_VALUE"""),48426.0)</f>
        <v>48426</v>
      </c>
      <c r="W474" t="str">
        <f>IFERROR(__xludf.DUMMYFUNCTION("""COMPUTED_VALUE"""),"ปลอดภัย")</f>
        <v>ปลอดภัย</v>
      </c>
      <c r="X474" t="str">
        <f>IFERROR(__xludf.DUMMYFUNCTION("""COMPUTED_VALUE"""),"Bangkok")</f>
        <v>Bangkok</v>
      </c>
      <c r="Y474" t="str">
        <f>IFERROR(__xludf.DUMMYFUNCTION("""COMPUTED_VALUE"""),"Samutprakarn")</f>
        <v>Samutprakarn</v>
      </c>
      <c r="Z474" t="str">
        <f>IFERROR(__xludf.DUMMYFUNCTION("""COMPUTED_VALUE"""),"086 369 8306")</f>
        <v>086 369 8306</v>
      </c>
      <c r="AA474" t="str">
        <f>IFERROR(__xludf.DUMMYFUNCTION("""COMPUTED_VALUE"""),"Jiramate Mangsirinukul")</f>
        <v>Jiramate Mangsirinukul</v>
      </c>
      <c r="AB474" t="str">
        <f>IFERROR(__xludf.DUMMYFUNCTION("""COMPUTED_VALUE"""),"pundhareem@airasia.com")</f>
        <v>pundhareem@airasia.com</v>
      </c>
    </row>
    <row r="475">
      <c r="A475">
        <f>IFERROR(__xludf.DUMMYFUNCTION("""COMPUTED_VALUE"""),1008997.0)</f>
        <v>1008997</v>
      </c>
      <c r="B475" t="str">
        <f>IFERROR(__xludf.DUMMYFUNCTION("""COMPUTED_VALUE"""),"Ms.")</f>
        <v>Ms.</v>
      </c>
      <c r="C475" t="str">
        <f>IFERROR(__xludf.DUMMYFUNCTION("""COMPUTED_VALUE"""),"Sirikarn")</f>
        <v>Sirikarn</v>
      </c>
      <c r="D475" t="str">
        <f>IFERROR(__xludf.DUMMYFUNCTION("""COMPUTED_VALUE"""),"Thipakarnkul")</f>
        <v>Thipakarnkul</v>
      </c>
      <c r="E475" t="str">
        <f>IFERROR(__xludf.DUMMYFUNCTION("""COMPUTED_VALUE"""),"Sirikarn Thipakarnkul")</f>
        <v>Sirikarn Thipakarnkul</v>
      </c>
      <c r="F475" t="str">
        <f>IFERROR(__xludf.DUMMYFUNCTION("""COMPUTED_VALUE"""),"นางสาว")</f>
        <v>นางสาว</v>
      </c>
      <c r="G475" t="str">
        <f>IFERROR(__xludf.DUMMYFUNCTION("""COMPUTED_VALUE"""),"สิริกาญจน์")</f>
        <v>สิริกาญจน์</v>
      </c>
      <c r="H475" t="str">
        <f>IFERROR(__xludf.DUMMYFUNCTION("""COMPUTED_VALUE"""),"ที่ปกาญจน์กุล")</f>
        <v>ที่ปกาญจน์กุล</v>
      </c>
      <c r="I475" t="str">
        <f>IFERROR(__xludf.DUMMYFUNCTION("""COMPUTED_VALUE"""),"สิริกาญจน์ ที่ปกาญจน์กุล")</f>
        <v>สิริกาญจน์ ที่ปกาญจน์กุล</v>
      </c>
      <c r="J475" t="str">
        <f>IFERROR(__xludf.DUMMYFUNCTION("""COMPUTED_VALUE"""),"Fai")</f>
        <v>Fai</v>
      </c>
      <c r="K475" t="str">
        <f>IFERROR(__xludf.DUMMYFUNCTION("""COMPUTED_VALUE"""),"Cabin Crew - CNX")</f>
        <v>Cabin Crew - CNX</v>
      </c>
      <c r="L475" t="str">
        <f>IFERROR(__xludf.DUMMYFUNCTION("""COMPUTED_VALUE"""),"CNX")</f>
        <v>CNX</v>
      </c>
      <c r="M475" s="145" t="str">
        <f>IFERROR(__xludf.DUMMYFUNCTION("""COMPUTED_VALUE"""),"Up Home")</f>
        <v>Up Home</v>
      </c>
      <c r="N475" t="str">
        <f>IFERROR(__xludf.DUMMYFUNCTION("""COMPUTED_VALUE"""),"Active")</f>
        <v>Active</v>
      </c>
      <c r="O475" t="str">
        <f>IFERROR(__xludf.DUMMYFUNCTION("""COMPUTED_VALUE"""),"Chinese Speaking")</f>
        <v>Chinese Speaking</v>
      </c>
      <c r="P475" s="143">
        <f>IFERROR(__xludf.DUMMYFUNCTION("""COMPUTED_VALUE"""),32491.0)</f>
        <v>32491</v>
      </c>
      <c r="Q475" s="146" t="str">
        <f>IFERROR(__xludf.DUMMYFUNCTION("""COMPUTED_VALUE"""),"093-3245141")</f>
        <v>093-3245141</v>
      </c>
      <c r="R475" s="147" t="str">
        <f>IFERROR(__xludf.DUMMYFUNCTION("""COMPUTED_VALUE"""),"1509900-67-9923")</f>
        <v>1509900-67-9923</v>
      </c>
      <c r="S475" t="str">
        <f>IFERROR(__xludf.DUMMYFUNCTION("""COMPUTED_VALUE"""),"AC6653280")</f>
        <v>AC6653280</v>
      </c>
      <c r="T475" s="148">
        <f>IFERROR(__xludf.DUMMYFUNCTION("""COMPUTED_VALUE"""),45412.0)</f>
        <v>45412</v>
      </c>
      <c r="U475" s="148">
        <f>IFERROR(__xludf.DUMMYFUNCTION("""COMPUTED_VALUE"""),49063.0)</f>
        <v>49063</v>
      </c>
      <c r="V475" s="149">
        <f>IFERROR(__xludf.DUMMYFUNCTION("""COMPUTED_VALUE"""),48881.0)</f>
        <v>48881</v>
      </c>
      <c r="W475" t="str">
        <f>IFERROR(__xludf.DUMMYFUNCTION("""COMPUTED_VALUE"""),"ปลอดภัย")</f>
        <v>ปลอดภัย</v>
      </c>
      <c r="X475" t="str">
        <f>IFERROR(__xludf.DUMMYFUNCTION("""COMPUTED_VALUE"""),"Chiang Mai Province")</f>
        <v>Chiang Mai Province</v>
      </c>
      <c r="Y475" t="str">
        <f>IFERROR(__xludf.DUMMYFUNCTION("""COMPUTED_VALUE"""),"Chiang Mai")</f>
        <v>Chiang Mai</v>
      </c>
      <c r="Z475" t="str">
        <f>IFERROR(__xludf.DUMMYFUNCTION("""COMPUTED_VALUE"""),"095 447 9228")</f>
        <v>095 447 9228</v>
      </c>
      <c r="AA475" t="str">
        <f>IFERROR(__xludf.DUMMYFUNCTION("""COMPUTED_VALUE"""),"Lee")</f>
        <v>Lee</v>
      </c>
      <c r="AB475" t="str">
        <f>IFERROR(__xludf.DUMMYFUNCTION("""COMPUTED_VALUE"""),"sirikarnt@airasia.com")</f>
        <v>sirikarnt@airasia.com</v>
      </c>
    </row>
    <row r="476">
      <c r="A476">
        <f>IFERROR(__xludf.DUMMYFUNCTION("""COMPUTED_VALUE"""),1008998.0)</f>
        <v>1008998</v>
      </c>
      <c r="B476" t="str">
        <f>IFERROR(__xludf.DUMMYFUNCTION("""COMPUTED_VALUE"""),"Mr.")</f>
        <v>Mr.</v>
      </c>
      <c r="C476" t="str">
        <f>IFERROR(__xludf.DUMMYFUNCTION("""COMPUTED_VALUE"""),"Sitsutporn")</f>
        <v>Sitsutporn</v>
      </c>
      <c r="D476" t="str">
        <f>IFERROR(__xludf.DUMMYFUNCTION("""COMPUTED_VALUE"""),"Amornthatri")</f>
        <v>Amornthatri</v>
      </c>
      <c r="E476" t="str">
        <f>IFERROR(__xludf.DUMMYFUNCTION("""COMPUTED_VALUE"""),"Sitsutporn Amornthatri")</f>
        <v>Sitsutporn Amornthatri</v>
      </c>
      <c r="F476" t="str">
        <f>IFERROR(__xludf.DUMMYFUNCTION("""COMPUTED_VALUE"""),"นาย")</f>
        <v>นาย</v>
      </c>
      <c r="G476" t="str">
        <f>IFERROR(__xludf.DUMMYFUNCTION("""COMPUTED_VALUE"""),"ศิษฐ์ศุภร")</f>
        <v>ศิษฐ์ศุภร</v>
      </c>
      <c r="H476" t="str">
        <f>IFERROR(__xludf.DUMMYFUNCTION("""COMPUTED_VALUE"""),"อมรธาตรี")</f>
        <v>อมรธาตรี</v>
      </c>
      <c r="I476" t="str">
        <f>IFERROR(__xludf.DUMMYFUNCTION("""COMPUTED_VALUE"""),"ศิษฐ์ศุภร อมรธาตรี")</f>
        <v>ศิษฐ์ศุภร อมรธาตรี</v>
      </c>
      <c r="J476" t="str">
        <f>IFERROR(__xludf.DUMMYFUNCTION("""COMPUTED_VALUE"""),"Tommy")</f>
        <v>Tommy</v>
      </c>
      <c r="K476" t="str">
        <f>IFERROR(__xludf.DUMMYFUNCTION("""COMPUTED_VALUE"""),"Cabin Crew - CNX")</f>
        <v>Cabin Crew - CNX</v>
      </c>
      <c r="L476" t="str">
        <f>IFERROR(__xludf.DUMMYFUNCTION("""COMPUTED_VALUE"""),"CNX")</f>
        <v>CNX</v>
      </c>
      <c r="M476" s="145" t="str">
        <f>IFERROR(__xludf.DUMMYFUNCTION("""COMPUTED_VALUE"""),"Up Home")</f>
        <v>Up Home</v>
      </c>
      <c r="N476" t="str">
        <f>IFERROR(__xludf.DUMMYFUNCTION("""COMPUTED_VALUE"""),"Active")</f>
        <v>Active</v>
      </c>
      <c r="O476" t="str">
        <f>IFERROR(__xludf.DUMMYFUNCTION("""COMPUTED_VALUE"""),"Chinese Speaking")</f>
        <v>Chinese Speaking</v>
      </c>
      <c r="P476" s="143">
        <f>IFERROR(__xludf.DUMMYFUNCTION("""COMPUTED_VALUE"""),32196.0)</f>
        <v>32196</v>
      </c>
      <c r="Q476" s="146" t="str">
        <f>IFERROR(__xludf.DUMMYFUNCTION("""COMPUTED_VALUE"""),"095-134-9689")</f>
        <v>095-134-9689</v>
      </c>
      <c r="R476" s="147" t="str">
        <f>IFERROR(__xludf.DUMMYFUNCTION("""COMPUTED_VALUE"""),"2969800-01-1097")</f>
        <v>2969800-01-1097</v>
      </c>
      <c r="S476" t="str">
        <f>IFERROR(__xludf.DUMMYFUNCTION("""COMPUTED_VALUE"""),"AC4879264")</f>
        <v>AC4879264</v>
      </c>
      <c r="T476" s="148">
        <f>IFERROR(__xludf.DUMMYFUNCTION("""COMPUTED_VALUE"""),45035.0)</f>
        <v>45035</v>
      </c>
      <c r="U476" s="148">
        <f>IFERROR(__xludf.DUMMYFUNCTION("""COMPUTED_VALUE"""),48687.0)</f>
        <v>48687</v>
      </c>
      <c r="V476" s="149">
        <f>IFERROR(__xludf.DUMMYFUNCTION("""COMPUTED_VALUE"""),48505.0)</f>
        <v>48505</v>
      </c>
      <c r="W476" t="str">
        <f>IFERROR(__xludf.DUMMYFUNCTION("""COMPUTED_VALUE"""),"ปลอดภัย")</f>
        <v>ปลอดภัย</v>
      </c>
      <c r="X476" t="str">
        <f>IFERROR(__xludf.DUMMYFUNCTION("""COMPUTED_VALUE"""),"Narathiwat Province")</f>
        <v>Narathiwat Province</v>
      </c>
      <c r="Y476" t="str">
        <f>IFERROR(__xludf.DUMMYFUNCTION("""COMPUTED_VALUE"""),"Klongsan")</f>
        <v>Klongsan</v>
      </c>
      <c r="Z476" t="str">
        <f>IFERROR(__xludf.DUMMYFUNCTION("""COMPUTED_VALUE"""),"089 976 6622")</f>
        <v>089 976 6622</v>
      </c>
      <c r="AA476" t="str">
        <f>IFERROR(__xludf.DUMMYFUNCTION("""COMPUTED_VALUE"""),"Jaturawit Amornthatri")</f>
        <v>Jaturawit Amornthatri</v>
      </c>
      <c r="AB476" t="str">
        <f>IFERROR(__xludf.DUMMYFUNCTION("""COMPUTED_VALUE"""),"sitsutporna@airasia.com")</f>
        <v>sitsutporna@airasia.com</v>
      </c>
    </row>
    <row r="477">
      <c r="A477">
        <f>IFERROR(__xludf.DUMMYFUNCTION("""COMPUTED_VALUE"""),1009001.0)</f>
        <v>1009001</v>
      </c>
      <c r="B477" t="str">
        <f>IFERROR(__xludf.DUMMYFUNCTION("""COMPUTED_VALUE"""),"Mr.")</f>
        <v>Mr.</v>
      </c>
      <c r="C477" t="str">
        <f>IFERROR(__xludf.DUMMYFUNCTION("""COMPUTED_VALUE"""),"Suphachok")</f>
        <v>Suphachok</v>
      </c>
      <c r="D477" t="str">
        <f>IFERROR(__xludf.DUMMYFUNCTION("""COMPUTED_VALUE"""),"Pannakitchakul")</f>
        <v>Pannakitchakul</v>
      </c>
      <c r="E477" t="str">
        <f>IFERROR(__xludf.DUMMYFUNCTION("""COMPUTED_VALUE"""),"Suphachok Pannakitchakul")</f>
        <v>Suphachok Pannakitchakul</v>
      </c>
      <c r="F477" t="str">
        <f>IFERROR(__xludf.DUMMYFUNCTION("""COMPUTED_VALUE"""),"นาย")</f>
        <v>นาย</v>
      </c>
      <c r="G477" t="str">
        <f>IFERROR(__xludf.DUMMYFUNCTION("""COMPUTED_VALUE"""),"ศุภโชค")</f>
        <v>ศุภโชค</v>
      </c>
      <c r="H477" t="str">
        <f>IFERROR(__xludf.DUMMYFUNCTION("""COMPUTED_VALUE"""),"ปัณณกิจจากุล")</f>
        <v>ปัณณกิจจากุล</v>
      </c>
      <c r="I477" t="str">
        <f>IFERROR(__xludf.DUMMYFUNCTION("""COMPUTED_VALUE"""),"ศุภโชค ปัณณกิจจากุล")</f>
        <v>ศุภโชค ปัณณกิจจากุล</v>
      </c>
      <c r="J477" t="str">
        <f>IFERROR(__xludf.DUMMYFUNCTION("""COMPUTED_VALUE"""),"Jonh")</f>
        <v>Jonh</v>
      </c>
      <c r="K477" t="str">
        <f>IFERROR(__xludf.DUMMYFUNCTION("""COMPUTED_VALUE"""),"Cabin Crew - CNX")</f>
        <v>Cabin Crew - CNX</v>
      </c>
      <c r="L477" t="str">
        <f>IFERROR(__xludf.DUMMYFUNCTION("""COMPUTED_VALUE"""),"CNX")</f>
        <v>CNX</v>
      </c>
      <c r="M477" s="145" t="str">
        <f>IFERROR(__xludf.DUMMYFUNCTION("""COMPUTED_VALUE"""),"Up Home")</f>
        <v>Up Home</v>
      </c>
      <c r="N477" t="str">
        <f>IFERROR(__xludf.DUMMYFUNCTION("""COMPUTED_VALUE"""),"Active")</f>
        <v>Active</v>
      </c>
      <c r="O477" t="str">
        <f>IFERROR(__xludf.DUMMYFUNCTION("""COMPUTED_VALUE"""),"Chinese Speaking")</f>
        <v>Chinese Speaking</v>
      </c>
      <c r="P477" s="143">
        <f>IFERROR(__xludf.DUMMYFUNCTION("""COMPUTED_VALUE"""),32514.0)</f>
        <v>32514</v>
      </c>
      <c r="Q477" s="146" t="str">
        <f>IFERROR(__xludf.DUMMYFUNCTION("""COMPUTED_VALUE"""),"098-654-1941")</f>
        <v>098-654-1941</v>
      </c>
      <c r="R477" s="147" t="str">
        <f>IFERROR(__xludf.DUMMYFUNCTION("""COMPUTED_VALUE"""),"1100800-48-9699")</f>
        <v>1100800-48-9699</v>
      </c>
      <c r="S477" t="str">
        <f>IFERROR(__xludf.DUMMYFUNCTION("""COMPUTED_VALUE"""),"AC2248870")</f>
        <v>AC2248870</v>
      </c>
      <c r="T477" s="148">
        <f>IFERROR(__xludf.DUMMYFUNCTION("""COMPUTED_VALUE"""),44315.0)</f>
        <v>44315</v>
      </c>
      <c r="U477" s="148">
        <f>IFERROR(__xludf.DUMMYFUNCTION("""COMPUTED_VALUE"""),47966.0)</f>
        <v>47966</v>
      </c>
      <c r="V477" s="149">
        <f>IFERROR(__xludf.DUMMYFUNCTION("""COMPUTED_VALUE"""),47784.0)</f>
        <v>47784</v>
      </c>
      <c r="W477" t="str">
        <f>IFERROR(__xludf.DUMMYFUNCTION("""COMPUTED_VALUE"""),"ปลอดภัย")</f>
        <v>ปลอดภัย</v>
      </c>
      <c r="X477" t="str">
        <f>IFERROR(__xludf.DUMMYFUNCTION("""COMPUTED_VALUE"""),"Bangkok")</f>
        <v>Bangkok</v>
      </c>
      <c r="Y477" t="str">
        <f>IFERROR(__xludf.DUMMYFUNCTION("""COMPUTED_VALUE"""),"Bangkhae")</f>
        <v>Bangkhae</v>
      </c>
      <c r="Z477" t="str">
        <f>IFERROR(__xludf.DUMMYFUNCTION("""COMPUTED_VALUE"""),"085 133 2795")</f>
        <v>085 133 2795</v>
      </c>
      <c r="AA477" t="str">
        <f>IFERROR(__xludf.DUMMYFUNCTION("""COMPUTED_VALUE"""),"Nawaporn Sukhumphong")</f>
        <v>Nawaporn Sukhumphong</v>
      </c>
      <c r="AB477" t="str">
        <f>IFERROR(__xludf.DUMMYFUNCTION("""COMPUTED_VALUE"""),"suphachokp@airasia.com")</f>
        <v>suphachokp@airasia.com</v>
      </c>
    </row>
    <row r="478">
      <c r="A478">
        <f>IFERROR(__xludf.DUMMYFUNCTION("""COMPUTED_VALUE"""),1009011.0)</f>
        <v>1009011</v>
      </c>
      <c r="B478" t="str">
        <f>IFERROR(__xludf.DUMMYFUNCTION("""COMPUTED_VALUE"""),"Mr.")</f>
        <v>Mr.</v>
      </c>
      <c r="C478" t="str">
        <f>IFERROR(__xludf.DUMMYFUNCTION("""COMPUTED_VALUE"""),"Weerayos")</f>
        <v>Weerayos</v>
      </c>
      <c r="D478" t="str">
        <f>IFERROR(__xludf.DUMMYFUNCTION("""COMPUTED_VALUE"""),"Rungudomsinsakul")</f>
        <v>Rungudomsinsakul</v>
      </c>
      <c r="E478" t="str">
        <f>IFERROR(__xludf.DUMMYFUNCTION("""COMPUTED_VALUE"""),"Weerayos Rungudomsinsakul")</f>
        <v>Weerayos Rungudomsinsakul</v>
      </c>
      <c r="F478" t="str">
        <f>IFERROR(__xludf.DUMMYFUNCTION("""COMPUTED_VALUE"""),"นาย")</f>
        <v>นาย</v>
      </c>
      <c r="G478" t="str">
        <f>IFERROR(__xludf.DUMMYFUNCTION("""COMPUTED_VALUE"""),"วีรยศ")</f>
        <v>วีรยศ</v>
      </c>
      <c r="H478" t="str">
        <f>IFERROR(__xludf.DUMMYFUNCTION("""COMPUTED_VALUE"""),"รุ่งอุดมสินสกุล")</f>
        <v>รุ่งอุดมสินสกุล</v>
      </c>
      <c r="I478" t="str">
        <f>IFERROR(__xludf.DUMMYFUNCTION("""COMPUTED_VALUE"""),"วีรยศ รุ่งอุดมสินสกุล")</f>
        <v>วีรยศ รุ่งอุดมสินสกุล</v>
      </c>
      <c r="J478" t="str">
        <f>IFERROR(__xludf.DUMMYFUNCTION("""COMPUTED_VALUE"""),"ตง ตง")</f>
        <v>ตง ตง</v>
      </c>
      <c r="K478" t="str">
        <f>IFERROR(__xludf.DUMMYFUNCTION("""COMPUTED_VALUE"""),"Cabin Crew")</f>
        <v>Cabin Crew</v>
      </c>
      <c r="L478" t="str">
        <f>IFERROR(__xludf.DUMMYFUNCTION("""COMPUTED_VALUE"""),"DMK")</f>
        <v>DMK</v>
      </c>
      <c r="M478" s="145" t="str">
        <f>IFERROR(__xludf.DUMMYFUNCTION("""COMPUTED_VALUE"""),"Up Home")</f>
        <v>Up Home</v>
      </c>
      <c r="N478" t="str">
        <f>IFERROR(__xludf.DUMMYFUNCTION("""COMPUTED_VALUE"""),"Active")</f>
        <v>Active</v>
      </c>
      <c r="O478" t="str">
        <f>IFERROR(__xludf.DUMMYFUNCTION("""COMPUTED_VALUE"""),"Chinese Speaking")</f>
        <v>Chinese Speaking</v>
      </c>
      <c r="P478" s="143">
        <f>IFERROR(__xludf.DUMMYFUNCTION("""COMPUTED_VALUE"""),32162.0)</f>
        <v>32162</v>
      </c>
      <c r="Q478" s="146" t="str">
        <f>IFERROR(__xludf.DUMMYFUNCTION("""COMPUTED_VALUE"""),"086-1282809")</f>
        <v>086-1282809</v>
      </c>
      <c r="R478" s="147" t="str">
        <f>IFERROR(__xludf.DUMMYFUNCTION("""COMPUTED_VALUE"""),"1100800-39-1486")</f>
        <v>1100800-39-1486</v>
      </c>
      <c r="S478" t="str">
        <f>IFERROR(__xludf.DUMMYFUNCTION("""COMPUTED_VALUE"""),"AC2467153")</f>
        <v>AC2467153</v>
      </c>
      <c r="T478" s="148">
        <f>IFERROR(__xludf.DUMMYFUNCTION("""COMPUTED_VALUE"""),44470.0)</f>
        <v>44470</v>
      </c>
      <c r="U478" s="148">
        <f>IFERROR(__xludf.DUMMYFUNCTION("""COMPUTED_VALUE"""),48121.0)</f>
        <v>48121</v>
      </c>
      <c r="V478" s="149">
        <f>IFERROR(__xludf.DUMMYFUNCTION("""COMPUTED_VALUE"""),47937.0)</f>
        <v>47937</v>
      </c>
      <c r="W478" t="str">
        <f>IFERROR(__xludf.DUMMYFUNCTION("""COMPUTED_VALUE"""),"ปลอดภัย")</f>
        <v>ปลอดภัย</v>
      </c>
      <c r="X478" t="str">
        <f>IFERROR(__xludf.DUMMYFUNCTION("""COMPUTED_VALUE"""),"Bangkok")</f>
        <v>Bangkok</v>
      </c>
      <c r="Y478" t="str">
        <f>IFERROR(__xludf.DUMMYFUNCTION("""COMPUTED_VALUE"""),"Bangkapi")</f>
        <v>Bangkapi</v>
      </c>
      <c r="Z478" t="str">
        <f>IFERROR(__xludf.DUMMYFUNCTION("""COMPUTED_VALUE"""),"02 180 0488 / 091 108 8188")</f>
        <v>02 180 0488 / 091 108 8188</v>
      </c>
      <c r="AA478" t="str">
        <f>IFERROR(__xludf.DUMMYFUNCTION("""COMPUTED_VALUE"""),"Home / Boonliang")</f>
        <v>Home / Boonliang</v>
      </c>
      <c r="AB478" t="str">
        <f>IFERROR(__xludf.DUMMYFUNCTION("""COMPUTED_VALUE"""),"weerayosr@airasia.com")</f>
        <v>weerayosr@airasia.com</v>
      </c>
    </row>
    <row r="479">
      <c r="AB479" t="str">
        <f>IFERROR(__xludf.DUMMYFUNCTION("""COMPUTED_VALUE"""),"")</f>
        <v/>
      </c>
    </row>
    <row r="480">
      <c r="A480">
        <f>IFERROR(__xludf.DUMMYFUNCTION("""COMPUTED_VALUE"""),1008966.0)</f>
        <v>1008966</v>
      </c>
      <c r="B480" t="str">
        <f>IFERROR(__xludf.DUMMYFUNCTION("""COMPUTED_VALUE"""),"Ms.")</f>
        <v>Ms.</v>
      </c>
      <c r="C480" t="str">
        <f>IFERROR(__xludf.DUMMYFUNCTION("""COMPUTED_VALUE"""),"Krittaya")</f>
        <v>Krittaya</v>
      </c>
      <c r="D480" t="str">
        <f>IFERROR(__xludf.DUMMYFUNCTION("""COMPUTED_VALUE"""),"Panyalee")</f>
        <v>Panyalee</v>
      </c>
      <c r="E480" t="str">
        <f>IFERROR(__xludf.DUMMYFUNCTION("""COMPUTED_VALUE"""),"Krittaya Panyalee")</f>
        <v>Krittaya Panyalee</v>
      </c>
      <c r="F480" t="str">
        <f>IFERROR(__xludf.DUMMYFUNCTION("""COMPUTED_VALUE"""),"นางสาว")</f>
        <v>นางสาว</v>
      </c>
      <c r="G480" t="str">
        <f>IFERROR(__xludf.DUMMYFUNCTION("""COMPUTED_VALUE"""),"กฤตยา")</f>
        <v>กฤตยา</v>
      </c>
      <c r="H480" t="str">
        <f>IFERROR(__xludf.DUMMYFUNCTION("""COMPUTED_VALUE"""),"ปัญญาหลี")</f>
        <v>ปัญญาหลี</v>
      </c>
      <c r="I480" t="str">
        <f>IFERROR(__xludf.DUMMYFUNCTION("""COMPUTED_VALUE"""),"กฤตยา ปัญญาหลี")</f>
        <v>กฤตยา ปัญญาหลี</v>
      </c>
      <c r="J480" t="str">
        <f>IFERROR(__xludf.DUMMYFUNCTION("""COMPUTED_VALUE"""),"GopGap")</f>
        <v>GopGap</v>
      </c>
      <c r="K480" t="str">
        <f>IFERROR(__xludf.DUMMYFUNCTION("""COMPUTED_VALUE"""),"Cabin Crew - CNX")</f>
        <v>Cabin Crew - CNX</v>
      </c>
      <c r="L480" t="str">
        <f>IFERROR(__xludf.DUMMYFUNCTION("""COMPUTED_VALUE"""),"CNX")</f>
        <v>CNX</v>
      </c>
      <c r="M480" s="145" t="str">
        <f>IFERROR(__xludf.DUMMYFUNCTION("""COMPUTED_VALUE"""),"Up Home")</f>
        <v>Up Home</v>
      </c>
      <c r="N480" t="str">
        <f>IFERROR(__xludf.DUMMYFUNCTION("""COMPUTED_VALUE"""),"Active")</f>
        <v>Active</v>
      </c>
      <c r="P480" s="143">
        <f>IFERROR(__xludf.DUMMYFUNCTION("""COMPUTED_VALUE"""),32059.0)</f>
        <v>32059</v>
      </c>
      <c r="Q480" s="146" t="str">
        <f>IFERROR(__xludf.DUMMYFUNCTION("""COMPUTED_VALUE"""),"081 466 5382")</f>
        <v>081 466 5382</v>
      </c>
      <c r="R480" s="147">
        <f>IFERROR(__xludf.DUMMYFUNCTION("""COMPUTED_VALUE"""),1.31070011781E12)</f>
        <v>1310700117810</v>
      </c>
      <c r="S480" t="str">
        <f>IFERROR(__xludf.DUMMYFUNCTION("""COMPUTED_VALUE"""),"AC6652936")</f>
        <v>AC6652936</v>
      </c>
      <c r="T480" s="148">
        <f>IFERROR(__xludf.DUMMYFUNCTION("""COMPUTED_VALUE"""),45411.0)</f>
        <v>45411</v>
      </c>
      <c r="U480" s="148">
        <f>IFERROR(__xludf.DUMMYFUNCTION("""COMPUTED_VALUE"""),49062.0)</f>
        <v>49062</v>
      </c>
      <c r="V480" s="149">
        <f>IFERROR(__xludf.DUMMYFUNCTION("""COMPUTED_VALUE"""),48880.0)</f>
        <v>48880</v>
      </c>
      <c r="W480" t="str">
        <f>IFERROR(__xludf.DUMMYFUNCTION("""COMPUTED_VALUE"""),"ปลอดภัย")</f>
        <v>ปลอดภัย</v>
      </c>
      <c r="X480" t="str">
        <f>IFERROR(__xludf.DUMMYFUNCTION("""COMPUTED_VALUE"""),"Buriram Province")</f>
        <v>Buriram Province</v>
      </c>
      <c r="Y480" t="str">
        <f>IFERROR(__xludf.DUMMYFUNCTION("""COMPUTED_VALUE"""),"Lampoon")</f>
        <v>Lampoon</v>
      </c>
      <c r="Z480" t="str">
        <f>IFERROR(__xludf.DUMMYFUNCTION("""COMPUTED_VALUE"""),"053 529 198 / 089 552 9245")</f>
        <v>053 529 198 / 089 552 9245</v>
      </c>
      <c r="AA480" t="str">
        <f>IFERROR(__xludf.DUMMYFUNCTION("""COMPUTED_VALUE"""),"Home / Thongsri")</f>
        <v>Home / Thongsri</v>
      </c>
      <c r="AB480" t="str">
        <f>IFERROR(__xludf.DUMMYFUNCTION("""COMPUTED_VALUE"""),"krittayap@airasia.com")</f>
        <v>krittayap@airasia.com</v>
      </c>
    </row>
    <row r="481">
      <c r="A481">
        <f>IFERROR(__xludf.DUMMYFUNCTION("""COMPUTED_VALUE"""),1008977.0)</f>
        <v>1008977</v>
      </c>
      <c r="B481" t="str">
        <f>IFERROR(__xludf.DUMMYFUNCTION("""COMPUTED_VALUE"""),"Mrs.")</f>
        <v>Mrs.</v>
      </c>
      <c r="C481" t="str">
        <f>IFERROR(__xludf.DUMMYFUNCTION("""COMPUTED_VALUE"""),"Nalaphan")</f>
        <v>Nalaphan</v>
      </c>
      <c r="D481" t="str">
        <f>IFERROR(__xludf.DUMMYFUNCTION("""COMPUTED_VALUE"""),"Suppaboriwat (Suwannasit)")</f>
        <v>Suppaboriwat (Suwannasit)</v>
      </c>
      <c r="E481" t="str">
        <f>IFERROR(__xludf.DUMMYFUNCTION("""COMPUTED_VALUE"""),"Nalaphan Suppaboriwat")</f>
        <v>Nalaphan Suppaboriwat</v>
      </c>
      <c r="F481" t="str">
        <f>IFERROR(__xludf.DUMMYFUNCTION("""COMPUTED_VALUE"""),"นาง")</f>
        <v>นาง</v>
      </c>
      <c r="G481" t="str">
        <f>IFERROR(__xludf.DUMMYFUNCTION("""COMPUTED_VALUE"""),"นลพรรณ")</f>
        <v>นลพรรณ</v>
      </c>
      <c r="H481" t="str">
        <f>IFERROR(__xludf.DUMMYFUNCTION("""COMPUTED_VALUE"""),"ศุภบริวัตร(สุวรรณสิทธิ์)")</f>
        <v>ศุภบริวัตร(สุวรรณสิทธิ์)</v>
      </c>
      <c r="I481" t="str">
        <f>IFERROR(__xludf.DUMMYFUNCTION("""COMPUTED_VALUE"""),"นลพรรณ ศุภบริวัตร")</f>
        <v>นลพรรณ ศุภบริวัตร</v>
      </c>
      <c r="J481" t="str">
        <f>IFERROR(__xludf.DUMMYFUNCTION("""COMPUTED_VALUE"""),"นุ่น")</f>
        <v>นุ่น</v>
      </c>
      <c r="K481" t="str">
        <f>IFERROR(__xludf.DUMMYFUNCTION("""COMPUTED_VALUE"""),"Cabin Crew - CNX")</f>
        <v>Cabin Crew - CNX</v>
      </c>
      <c r="L481" t="str">
        <f>IFERROR(__xludf.DUMMYFUNCTION("""COMPUTED_VALUE"""),"CNX")</f>
        <v>CNX</v>
      </c>
      <c r="M481" s="145" t="str">
        <f>IFERROR(__xludf.DUMMYFUNCTION("""COMPUTED_VALUE"""),"Up Home")</f>
        <v>Up Home</v>
      </c>
      <c r="N481" t="str">
        <f>IFERROR(__xludf.DUMMYFUNCTION("""COMPUTED_VALUE"""),"Active")</f>
        <v>Active</v>
      </c>
      <c r="P481" s="143">
        <f>IFERROR(__xludf.DUMMYFUNCTION("""COMPUTED_VALUE"""),31341.0)</f>
        <v>31341</v>
      </c>
      <c r="Q481" s="146" t="str">
        <f>IFERROR(__xludf.DUMMYFUNCTION("""COMPUTED_VALUE"""),"064-346-6662")</f>
        <v>064-346-6662</v>
      </c>
      <c r="R481" s="147">
        <f>IFERROR(__xludf.DUMMYFUNCTION("""COMPUTED_VALUE"""),1.509900254281E12)</f>
        <v>1509900254281</v>
      </c>
      <c r="S481" t="str">
        <f>IFERROR(__xludf.DUMMYFUNCTION("""COMPUTED_VALUE"""),"AC2237140")</f>
        <v>AC2237140</v>
      </c>
      <c r="T481" s="148">
        <f>IFERROR(__xludf.DUMMYFUNCTION("""COMPUTED_VALUE"""),44291.0)</f>
        <v>44291</v>
      </c>
      <c r="U481" s="148">
        <f>IFERROR(__xludf.DUMMYFUNCTION("""COMPUTED_VALUE"""),47942.0)</f>
        <v>47942</v>
      </c>
      <c r="V481" s="149">
        <f>IFERROR(__xludf.DUMMYFUNCTION("""COMPUTED_VALUE"""),47760.0)</f>
        <v>47760</v>
      </c>
      <c r="W481" t="str">
        <f>IFERROR(__xludf.DUMMYFUNCTION("""COMPUTED_VALUE"""),"ปลอดภัย")</f>
        <v>ปลอดภัย</v>
      </c>
      <c r="X481" t="str">
        <f>IFERROR(__xludf.DUMMYFUNCTION("""COMPUTED_VALUE"""),"Chiang Mai Province")</f>
        <v>Chiang Mai Province</v>
      </c>
      <c r="Y481" t="str">
        <f>IFERROR(__xludf.DUMMYFUNCTION("""COMPUTED_VALUE"""),"-")</f>
        <v>-</v>
      </c>
      <c r="Z481" t="str">
        <f>IFERROR(__xludf.DUMMYFUNCTION("""COMPUTED_VALUE"""),"053 271 439 / 081 883 6794")</f>
        <v>053 271 439 / 081 883 6794</v>
      </c>
      <c r="AA481" t="str">
        <f>IFERROR(__xludf.DUMMYFUNCTION("""COMPUTED_VALUE"""),"Home / Wilaiwan")</f>
        <v>Home / Wilaiwan</v>
      </c>
      <c r="AB481" t="str">
        <f>IFERROR(__xludf.DUMMYFUNCTION("""COMPUTED_VALUE"""),"nalaphans@airasia.com")</f>
        <v>nalaphans@airasia.com</v>
      </c>
    </row>
    <row r="482">
      <c r="A482">
        <f>IFERROR(__xludf.DUMMYFUNCTION("""COMPUTED_VALUE"""),1008985.0)</f>
        <v>1008985</v>
      </c>
      <c r="B482" t="str">
        <f>IFERROR(__xludf.DUMMYFUNCTION("""COMPUTED_VALUE"""),"Ms.")</f>
        <v>Ms.</v>
      </c>
      <c r="C482" t="str">
        <f>IFERROR(__xludf.DUMMYFUNCTION("""COMPUTED_VALUE"""),"Pangphet")</f>
        <v>Pangphet</v>
      </c>
      <c r="D482" t="str">
        <f>IFERROR(__xludf.DUMMYFUNCTION("""COMPUTED_VALUE"""),"Nannar (Ruankampa)")</f>
        <v>Nannar (Ruankampa)</v>
      </c>
      <c r="E482" t="str">
        <f>IFERROR(__xludf.DUMMYFUNCTION("""COMPUTED_VALUE"""),"Pangphet Nannar")</f>
        <v>Pangphet Nannar</v>
      </c>
      <c r="F482" t="str">
        <f>IFERROR(__xludf.DUMMYFUNCTION("""COMPUTED_VALUE"""),"นางสาว")</f>
        <v>นางสาว</v>
      </c>
      <c r="G482" t="str">
        <f>IFERROR(__xludf.DUMMYFUNCTION("""COMPUTED_VALUE"""),"ปางเพชร")</f>
        <v>ปางเพชร</v>
      </c>
      <c r="H482" t="str">
        <f>IFERROR(__xludf.DUMMYFUNCTION("""COMPUTED_VALUE"""),"แน่นหนา (เรือนคำปา)")</f>
        <v>แน่นหนา (เรือนคำปา)</v>
      </c>
      <c r="I482" t="str">
        <f>IFERROR(__xludf.DUMMYFUNCTION("""COMPUTED_VALUE"""),"ปางเพชร แน่นหนา")</f>
        <v>ปางเพชร แน่นหนา</v>
      </c>
      <c r="J482" t="str">
        <f>IFERROR(__xludf.DUMMYFUNCTION("""COMPUTED_VALUE"""),"ปีใหม่")</f>
        <v>ปีใหม่</v>
      </c>
      <c r="K482" t="str">
        <f>IFERROR(__xludf.DUMMYFUNCTION("""COMPUTED_VALUE"""),"Cabin Crew - CNX")</f>
        <v>Cabin Crew - CNX</v>
      </c>
      <c r="L482" t="str">
        <f>IFERROR(__xludf.DUMMYFUNCTION("""COMPUTED_VALUE"""),"CNX")</f>
        <v>CNX</v>
      </c>
      <c r="M482" s="145" t="str">
        <f>IFERROR(__xludf.DUMMYFUNCTION("""COMPUTED_VALUE"""),"Up Home")</f>
        <v>Up Home</v>
      </c>
      <c r="N482" t="str">
        <f>IFERROR(__xludf.DUMMYFUNCTION("""COMPUTED_VALUE"""),"Active")</f>
        <v>Active</v>
      </c>
      <c r="P482" s="143">
        <f>IFERROR(__xludf.DUMMYFUNCTION("""COMPUTED_VALUE"""),32876.0)</f>
        <v>32876</v>
      </c>
      <c r="Q482" s="146" t="str">
        <f>IFERROR(__xludf.DUMMYFUNCTION("""COMPUTED_VALUE"""),"092-6429954")</f>
        <v>092-6429954</v>
      </c>
      <c r="R482" s="147">
        <f>IFERROR(__xludf.DUMMYFUNCTION("""COMPUTED_VALUE"""),1.629900174031E12)</f>
        <v>1629900174031</v>
      </c>
      <c r="S482" t="str">
        <f>IFERROR(__xludf.DUMMYFUNCTION("""COMPUTED_VALUE"""),"AC4735870")</f>
        <v>AC4735870</v>
      </c>
      <c r="T482" s="148">
        <f>IFERROR(__xludf.DUMMYFUNCTION("""COMPUTED_VALUE"""),45012.0)</f>
        <v>45012</v>
      </c>
      <c r="U482" s="148">
        <f>IFERROR(__xludf.DUMMYFUNCTION("""COMPUTED_VALUE"""),48664.0)</f>
        <v>48664</v>
      </c>
      <c r="V482" s="149">
        <f>IFERROR(__xludf.DUMMYFUNCTION("""COMPUTED_VALUE"""),48483.0)</f>
        <v>48483</v>
      </c>
      <c r="W482" t="str">
        <f>IFERROR(__xludf.DUMMYFUNCTION("""COMPUTED_VALUE"""),"ปลอดภัย")</f>
        <v>ปลอดภัย</v>
      </c>
      <c r="X482" t="str">
        <f>IFERROR(__xludf.DUMMYFUNCTION("""COMPUTED_VALUE"""),"Kamphaeng Phet Province")</f>
        <v>Kamphaeng Phet Province</v>
      </c>
      <c r="Y482" t="str">
        <f>IFERROR(__xludf.DUMMYFUNCTION("""COMPUTED_VALUE"""),"Don Mueang")</f>
        <v>Don Mueang</v>
      </c>
      <c r="Z482" t="str">
        <f>IFERROR(__xludf.DUMMYFUNCTION("""COMPUTED_VALUE"""),"089 020 1972")</f>
        <v>089 020 1972</v>
      </c>
      <c r="AA482" t="str">
        <f>IFERROR(__xludf.DUMMYFUNCTION("""COMPUTED_VALUE"""),"Wipanee")</f>
        <v>Wipanee</v>
      </c>
      <c r="AB482" t="str">
        <f>IFERROR(__xludf.DUMMYFUNCTION("""COMPUTED_VALUE"""),"pangphetn@airasia.com")</f>
        <v>pangphetn@airasia.com</v>
      </c>
    </row>
    <row r="483">
      <c r="AB483" t="str">
        <f>IFERROR(__xludf.DUMMYFUNCTION("""COMPUTED_VALUE"""),"")</f>
        <v/>
      </c>
    </row>
    <row r="484">
      <c r="A484">
        <f>IFERROR(__xludf.DUMMYFUNCTION("""COMPUTED_VALUE"""),1009670.0)</f>
        <v>1009670</v>
      </c>
      <c r="B484" t="str">
        <f>IFERROR(__xludf.DUMMYFUNCTION("""COMPUTED_VALUE"""),"Ms.")</f>
        <v>Ms.</v>
      </c>
      <c r="C484" t="str">
        <f>IFERROR(__xludf.DUMMYFUNCTION("""COMPUTED_VALUE"""),"Sasima")</f>
        <v>Sasima</v>
      </c>
      <c r="D484" t="str">
        <f>IFERROR(__xludf.DUMMYFUNCTION("""COMPUTED_VALUE"""),"Rattanasumrit")</f>
        <v>Rattanasumrit</v>
      </c>
      <c r="E484" t="str">
        <f>IFERROR(__xludf.DUMMYFUNCTION("""COMPUTED_VALUE"""),"Sasima Rattanasumrit")</f>
        <v>Sasima Rattanasumrit</v>
      </c>
      <c r="F484" t="str">
        <f>IFERROR(__xludf.DUMMYFUNCTION("""COMPUTED_VALUE"""),"นางสาว")</f>
        <v>นางสาว</v>
      </c>
      <c r="G484" t="str">
        <f>IFERROR(__xludf.DUMMYFUNCTION("""COMPUTED_VALUE"""),"ศศิมา")</f>
        <v>ศศิมา</v>
      </c>
      <c r="H484" t="str">
        <f>IFERROR(__xludf.DUMMYFUNCTION("""COMPUTED_VALUE"""),"รัตนสัมฤทธิ์")</f>
        <v>รัตนสัมฤทธิ์</v>
      </c>
      <c r="I484" t="str">
        <f>IFERROR(__xludf.DUMMYFUNCTION("""COMPUTED_VALUE"""),"ศศิมา รัตนสัมฤทธิ์")</f>
        <v>ศศิมา รัตนสัมฤทธิ์</v>
      </c>
      <c r="J484" t="str">
        <f>IFERROR(__xludf.DUMMYFUNCTION("""COMPUTED_VALUE"""),"Nice")</f>
        <v>Nice</v>
      </c>
      <c r="K484" t="str">
        <f>IFERROR(__xludf.DUMMYFUNCTION("""COMPUTED_VALUE"""),"Cabin Crew")</f>
        <v>Cabin Crew</v>
      </c>
      <c r="L484" t="str">
        <f>IFERROR(__xludf.DUMMYFUNCTION("""COMPUTED_VALUE"""),"DMK")</f>
        <v>DMK</v>
      </c>
      <c r="M484" s="145" t="str">
        <f>IFERROR(__xludf.DUMMYFUNCTION("""COMPUTED_VALUE"""),"Por+ Home")</f>
        <v>Por+ Home</v>
      </c>
      <c r="N484" t="str">
        <f>IFERROR(__xludf.DUMMYFUNCTION("""COMPUTED_VALUE"""),"Active")</f>
        <v>Active</v>
      </c>
      <c r="P484" s="143">
        <f>IFERROR(__xludf.DUMMYFUNCTION("""COMPUTED_VALUE"""),33087.0)</f>
        <v>33087</v>
      </c>
      <c r="Q484" s="146" t="str">
        <f>IFERROR(__xludf.DUMMYFUNCTION("""COMPUTED_VALUE"""),"094 4542492")</f>
        <v>094 4542492</v>
      </c>
      <c r="R484" s="147">
        <f>IFERROR(__xludf.DUMMYFUNCTION("""COMPUTED_VALUE"""),1.101401704996E12)</f>
        <v>1101401704996</v>
      </c>
      <c r="S484" t="str">
        <f>IFERROR(__xludf.DUMMYFUNCTION("""COMPUTED_VALUE"""),"AC7501139")</f>
        <v>AC7501139</v>
      </c>
      <c r="T484" s="148">
        <f>IFERROR(__xludf.DUMMYFUNCTION("""COMPUTED_VALUE"""),45531.0)</f>
        <v>45531</v>
      </c>
      <c r="U484" s="148">
        <f>IFERROR(__xludf.DUMMYFUNCTION("""COMPUTED_VALUE"""),49182.0)</f>
        <v>49182</v>
      </c>
      <c r="V484" s="149">
        <f>IFERROR(__xludf.DUMMYFUNCTION("""COMPUTED_VALUE"""),49001.0)</f>
        <v>49001</v>
      </c>
      <c r="W484" t="str">
        <f>IFERROR(__xludf.DUMMYFUNCTION("""COMPUTED_VALUE"""),"ปลอดภัย")</f>
        <v>ปลอดภัย</v>
      </c>
      <c r="X484" t="str">
        <f>IFERROR(__xludf.DUMMYFUNCTION("""COMPUTED_VALUE"""),"Bangkok")</f>
        <v>Bangkok</v>
      </c>
      <c r="Z484" t="str">
        <f>IFERROR(__xludf.DUMMYFUNCTION("""COMPUTED_VALUE"""),"-")</f>
        <v>-</v>
      </c>
      <c r="AB484" t="str">
        <f>IFERROR(__xludf.DUMMYFUNCTION("""COMPUTED_VALUE"""),"sasimar@airasia.com")</f>
        <v>sasimar@airasia.com</v>
      </c>
    </row>
    <row r="485">
      <c r="A485">
        <f>IFERROR(__xludf.DUMMYFUNCTION("""COMPUTED_VALUE"""),1009741.0)</f>
        <v>1009741</v>
      </c>
      <c r="B485" t="str">
        <f>IFERROR(__xludf.DUMMYFUNCTION("""COMPUTED_VALUE"""),"Ms.")</f>
        <v>Ms.</v>
      </c>
      <c r="C485" t="str">
        <f>IFERROR(__xludf.DUMMYFUNCTION("""COMPUTED_VALUE"""),"Amika")</f>
        <v>Amika</v>
      </c>
      <c r="D485" t="str">
        <f>IFERROR(__xludf.DUMMYFUNCTION("""COMPUTED_VALUE"""),"Katchapanan")</f>
        <v>Katchapanan</v>
      </c>
      <c r="E485" t="str">
        <f>IFERROR(__xludf.DUMMYFUNCTION("""COMPUTED_VALUE"""),"Amika Katchapanan")</f>
        <v>Amika Katchapanan</v>
      </c>
      <c r="F485" t="str">
        <f>IFERROR(__xludf.DUMMYFUNCTION("""COMPUTED_VALUE"""),"นางสาว")</f>
        <v>นางสาว</v>
      </c>
      <c r="G485" t="str">
        <f>IFERROR(__xludf.DUMMYFUNCTION("""COMPUTED_VALUE"""),"เอมิกา")</f>
        <v>เอมิกา</v>
      </c>
      <c r="H485" t="str">
        <f>IFERROR(__xludf.DUMMYFUNCTION("""COMPUTED_VALUE"""),"กัจฉปานันท์")</f>
        <v>กัจฉปานันท์</v>
      </c>
      <c r="I485" t="str">
        <f>IFERROR(__xludf.DUMMYFUNCTION("""COMPUTED_VALUE"""),"เอมิกา กัจฉปานันท์")</f>
        <v>เอมิกา กัจฉปานันท์</v>
      </c>
      <c r="J485" t="str">
        <f>IFERROR(__xludf.DUMMYFUNCTION("""COMPUTED_VALUE"""),"เอ็มมี่")</f>
        <v>เอ็มมี่</v>
      </c>
      <c r="K485" t="str">
        <f>IFERROR(__xludf.DUMMYFUNCTION("""COMPUTED_VALUE"""),"Cabin Crew")</f>
        <v>Cabin Crew</v>
      </c>
      <c r="L485" t="str">
        <f>IFERROR(__xludf.DUMMYFUNCTION("""COMPUTED_VALUE"""),"DMK")</f>
        <v>DMK</v>
      </c>
      <c r="M485" s="145" t="str">
        <f>IFERROR(__xludf.DUMMYFUNCTION("""COMPUTED_VALUE"""),"Nhui Home")</f>
        <v>Nhui Home</v>
      </c>
      <c r="N485" t="str">
        <f>IFERROR(__xludf.DUMMYFUNCTION("""COMPUTED_VALUE"""),"Active")</f>
        <v>Active</v>
      </c>
      <c r="P485" s="143">
        <f>IFERROR(__xludf.DUMMYFUNCTION("""COMPUTED_VALUE"""),33248.0)</f>
        <v>33248</v>
      </c>
      <c r="Q485" s="146" t="str">
        <f>IFERROR(__xludf.DUMMYFUNCTION("""COMPUTED_VALUE"""),"081 667 0333")</f>
        <v>081 667 0333</v>
      </c>
      <c r="R485" s="147" t="str">
        <f>IFERROR(__xludf.DUMMYFUNCTION("""COMPUTED_VALUE"""),"1101401-88-3602")</f>
        <v>1101401-88-3602</v>
      </c>
      <c r="S485" t="str">
        <f>IFERROR(__xludf.DUMMYFUNCTION("""COMPUTED_VALUE"""),"AD2335008")</f>
        <v>AD2335008</v>
      </c>
      <c r="T485" s="148">
        <f>IFERROR(__xludf.DUMMYFUNCTION("""COMPUTED_VALUE"""),45831.0)</f>
        <v>45831</v>
      </c>
      <c r="U485" s="148">
        <f>IFERROR(__xludf.DUMMYFUNCTION("""COMPUTED_VALUE"""),49482.0)</f>
        <v>49482</v>
      </c>
      <c r="V485" s="149">
        <f>IFERROR(__xludf.DUMMYFUNCTION("""COMPUTED_VALUE"""),49300.0)</f>
        <v>49300</v>
      </c>
      <c r="W485" t="str">
        <f>IFERROR(__xludf.DUMMYFUNCTION("""COMPUTED_VALUE"""),"ปลอดภัย")</f>
        <v>ปลอดภัย</v>
      </c>
      <c r="X485" t="str">
        <f>IFERROR(__xludf.DUMMYFUNCTION("""COMPUTED_VALUE"""),"Bangkok")</f>
        <v>Bangkok</v>
      </c>
      <c r="Y485" t="str">
        <f>IFERROR(__xludf.DUMMYFUNCTION("""COMPUTED_VALUE"""),"Payathai")</f>
        <v>Payathai</v>
      </c>
      <c r="Z485" t="str">
        <f>IFERROR(__xludf.DUMMYFUNCTION("""COMPUTED_VALUE"""),"02 272 6463 / 081 635 5575")</f>
        <v>02 272 6463 / 081 635 5575</v>
      </c>
      <c r="AA485" t="str">
        <f>IFERROR(__xludf.DUMMYFUNCTION("""COMPUTED_VALUE"""),"Home/ Mother")</f>
        <v>Home/ Mother</v>
      </c>
      <c r="AB485" t="str">
        <f>IFERROR(__xludf.DUMMYFUNCTION("""COMPUTED_VALUE"""),"amikak@airasia.com")</f>
        <v>amikak@airasia.com</v>
      </c>
    </row>
    <row r="486">
      <c r="A486">
        <f>IFERROR(__xludf.DUMMYFUNCTION("""COMPUTED_VALUE"""),1009756.0)</f>
        <v>1009756</v>
      </c>
      <c r="B486" t="str">
        <f>IFERROR(__xludf.DUMMYFUNCTION("""COMPUTED_VALUE"""),"Ms.")</f>
        <v>Ms.</v>
      </c>
      <c r="C486" t="str">
        <f>IFERROR(__xludf.DUMMYFUNCTION("""COMPUTED_VALUE"""),"Panisara")</f>
        <v>Panisara</v>
      </c>
      <c r="D486" t="str">
        <f>IFERROR(__xludf.DUMMYFUNCTION("""COMPUTED_VALUE"""),"Purintraphiban")</f>
        <v>Purintraphiban</v>
      </c>
      <c r="E486" t="str">
        <f>IFERROR(__xludf.DUMMYFUNCTION("""COMPUTED_VALUE"""),"Panisara Purintraphiban")</f>
        <v>Panisara Purintraphiban</v>
      </c>
      <c r="F486" t="str">
        <f>IFERROR(__xludf.DUMMYFUNCTION("""COMPUTED_VALUE"""),"นางสาว")</f>
        <v>นางสาว</v>
      </c>
      <c r="G486" t="str">
        <f>IFERROR(__xludf.DUMMYFUNCTION("""COMPUTED_VALUE"""),"ปาณิสรา")</f>
        <v>ปาณิสรา</v>
      </c>
      <c r="H486" t="str">
        <f>IFERROR(__xludf.DUMMYFUNCTION("""COMPUTED_VALUE"""),"ปุรินทราภิบาล")</f>
        <v>ปุรินทราภิบาล</v>
      </c>
      <c r="I486" t="str">
        <f>IFERROR(__xludf.DUMMYFUNCTION("""COMPUTED_VALUE"""),"ปาณิสรา ปุรินทราภิบาล")</f>
        <v>ปาณิสรา ปุรินทราภิบาล</v>
      </c>
      <c r="J486" t="str">
        <f>IFERROR(__xludf.DUMMYFUNCTION("""COMPUTED_VALUE"""),"แคท")</f>
        <v>แคท</v>
      </c>
      <c r="K486" t="str">
        <f>IFERROR(__xludf.DUMMYFUNCTION("""COMPUTED_VALUE"""),"Cabin Crew")</f>
        <v>Cabin Crew</v>
      </c>
      <c r="L486" t="str">
        <f>IFERROR(__xludf.DUMMYFUNCTION("""COMPUTED_VALUE"""),"DMK")</f>
        <v>DMK</v>
      </c>
      <c r="M486" s="145" t="str">
        <f>IFERROR(__xludf.DUMMYFUNCTION("""COMPUTED_VALUE"""),"Um Home")</f>
        <v>Um Home</v>
      </c>
      <c r="N486" t="str">
        <f>IFERROR(__xludf.DUMMYFUNCTION("""COMPUTED_VALUE"""),"Active")</f>
        <v>Active</v>
      </c>
      <c r="P486" s="143">
        <f>IFERROR(__xludf.DUMMYFUNCTION("""COMPUTED_VALUE"""),33106.0)</f>
        <v>33106</v>
      </c>
      <c r="Q486" s="146" t="str">
        <f>IFERROR(__xludf.DUMMYFUNCTION("""COMPUTED_VALUE"""),"087 396 9747")</f>
        <v>087 396 9747</v>
      </c>
      <c r="R486" s="147" t="str">
        <f>IFERROR(__xludf.DUMMYFUNCTION("""COMPUTED_VALUE"""),"1103700-22-2375")</f>
        <v>1103700-22-2375</v>
      </c>
      <c r="S486" t="str">
        <f>IFERROR(__xludf.DUMMYFUNCTION("""COMPUTED_VALUE"""),"AC5391832")</f>
        <v>AC5391832</v>
      </c>
      <c r="T486" s="148">
        <f>IFERROR(__xludf.DUMMYFUNCTION("""COMPUTED_VALUE"""),45147.0)</f>
        <v>45147</v>
      </c>
      <c r="U486" s="148">
        <f>IFERROR(__xludf.DUMMYFUNCTION("""COMPUTED_VALUE"""),48799.0)</f>
        <v>48799</v>
      </c>
      <c r="V486" s="149">
        <f>IFERROR(__xludf.DUMMYFUNCTION("""COMPUTED_VALUE"""),48618.0)</f>
        <v>48618</v>
      </c>
      <c r="W486" t="str">
        <f>IFERROR(__xludf.DUMMYFUNCTION("""COMPUTED_VALUE"""),"ปลอดภัย")</f>
        <v>ปลอดภัย</v>
      </c>
      <c r="X486" t="str">
        <f>IFERROR(__xludf.DUMMYFUNCTION("""COMPUTED_VALUE"""),"Bangkok")</f>
        <v>Bangkok</v>
      </c>
      <c r="Y486" t="str">
        <f>IFERROR(__xludf.DUMMYFUNCTION("""COMPUTED_VALUE"""),"Thanyaburi")</f>
        <v>Thanyaburi</v>
      </c>
      <c r="Z486" t="str">
        <f>IFERROR(__xludf.DUMMYFUNCTION("""COMPUTED_VALUE"""),"087 393 1603")</f>
        <v>087 393 1603</v>
      </c>
      <c r="AA486" t="str">
        <f>IFERROR(__xludf.DUMMYFUNCTION("""COMPUTED_VALUE"""),"Suchada")</f>
        <v>Suchada</v>
      </c>
      <c r="AB486" t="str">
        <f>IFERROR(__xludf.DUMMYFUNCTION("""COMPUTED_VALUE"""),"panisarap@airasia.com")</f>
        <v>panisarap@airasia.com</v>
      </c>
    </row>
    <row r="487">
      <c r="A487">
        <f>IFERROR(__xludf.DUMMYFUNCTION("""COMPUTED_VALUE"""),1009757.0)</f>
        <v>1009757</v>
      </c>
      <c r="B487" t="str">
        <f>IFERROR(__xludf.DUMMYFUNCTION("""COMPUTED_VALUE"""),"Ms.")</f>
        <v>Ms.</v>
      </c>
      <c r="C487" t="str">
        <f>IFERROR(__xludf.DUMMYFUNCTION("""COMPUTED_VALUE"""),"Pattrawan")</f>
        <v>Pattrawan</v>
      </c>
      <c r="D487" t="str">
        <f>IFERROR(__xludf.DUMMYFUNCTION("""COMPUTED_VALUE"""),"Wongchirawat")</f>
        <v>Wongchirawat</v>
      </c>
      <c r="E487" t="str">
        <f>IFERROR(__xludf.DUMMYFUNCTION("""COMPUTED_VALUE"""),"Pattrawan Wongchirawat")</f>
        <v>Pattrawan Wongchirawat</v>
      </c>
      <c r="F487" t="str">
        <f>IFERROR(__xludf.DUMMYFUNCTION("""COMPUTED_VALUE"""),"นางสาว")</f>
        <v>นางสาว</v>
      </c>
      <c r="G487" t="str">
        <f>IFERROR(__xludf.DUMMYFUNCTION("""COMPUTED_VALUE"""),"ภัทราวรรณ")</f>
        <v>ภัทราวรรณ</v>
      </c>
      <c r="H487" t="str">
        <f>IFERROR(__xludf.DUMMYFUNCTION("""COMPUTED_VALUE"""),"วงษ์จิรวัฒน์")</f>
        <v>วงษ์จิรวัฒน์</v>
      </c>
      <c r="I487" t="str">
        <f>IFERROR(__xludf.DUMMYFUNCTION("""COMPUTED_VALUE"""),"ภัทราวรรณ วงษ์จิรวัฒน์")</f>
        <v>ภัทราวรรณ วงษ์จิรวัฒน์</v>
      </c>
      <c r="J487" t="str">
        <f>IFERROR(__xludf.DUMMYFUNCTION("""COMPUTED_VALUE"""),"กระแต")</f>
        <v>กระแต</v>
      </c>
      <c r="K487" t="str">
        <f>IFERROR(__xludf.DUMMYFUNCTION("""COMPUTED_VALUE"""),"Cabin Crew - CNX")</f>
        <v>Cabin Crew - CNX</v>
      </c>
      <c r="L487" t="str">
        <f>IFERROR(__xludf.DUMMYFUNCTION("""COMPUTED_VALUE"""),"CNX")</f>
        <v>CNX</v>
      </c>
      <c r="M487" s="145" t="str">
        <f>IFERROR(__xludf.DUMMYFUNCTION("""COMPUTED_VALUE"""),"Up Home")</f>
        <v>Up Home</v>
      </c>
      <c r="N487" t="str">
        <f>IFERROR(__xludf.DUMMYFUNCTION("""COMPUTED_VALUE"""),"Active")</f>
        <v>Active</v>
      </c>
      <c r="P487" s="143">
        <f>IFERROR(__xludf.DUMMYFUNCTION("""COMPUTED_VALUE"""),32832.0)</f>
        <v>32832</v>
      </c>
      <c r="Q487" s="146" t="str">
        <f>IFERROR(__xludf.DUMMYFUNCTION("""COMPUTED_VALUE"""),"099 536 9242")</f>
        <v>099 536 9242</v>
      </c>
      <c r="R487" s="147" t="str">
        <f>IFERROR(__xludf.DUMMYFUNCTION("""COMPUTED_VALUE"""),"1303300-52-4671")</f>
        <v>1303300-52-4671</v>
      </c>
      <c r="S487" t="str">
        <f>IFERROR(__xludf.DUMMYFUNCTION("""COMPUTED_VALUE"""),"AD3271356")</f>
        <v>AD3271356</v>
      </c>
      <c r="T487" s="148">
        <f>IFERROR(__xludf.DUMMYFUNCTION("""COMPUTED_VALUE"""),46045.0)</f>
        <v>46045</v>
      </c>
      <c r="U487" s="148">
        <f>IFERROR(__xludf.DUMMYFUNCTION("""COMPUTED_VALUE"""),49696.0)</f>
        <v>49696</v>
      </c>
      <c r="V487" s="149">
        <f>IFERROR(__xludf.DUMMYFUNCTION("""COMPUTED_VALUE"""),49512.0)</f>
        <v>49512</v>
      </c>
      <c r="W487" t="str">
        <f>IFERROR(__xludf.DUMMYFUNCTION("""COMPUTED_VALUE"""),"ปลอดภัย")</f>
        <v>ปลอดภัย</v>
      </c>
      <c r="X487" t="str">
        <f>IFERROR(__xludf.DUMMYFUNCTION("""COMPUTED_VALUE"""),"Nakhon Ratchasima Province")</f>
        <v>Nakhon Ratchasima Province</v>
      </c>
      <c r="Y487" t="str">
        <f>IFERROR(__xludf.DUMMYFUNCTION("""COMPUTED_VALUE"""),"Nahkonratchasima")</f>
        <v>Nahkonratchasima</v>
      </c>
      <c r="Z487" t="str">
        <f>IFERROR(__xludf.DUMMYFUNCTION("""COMPUTED_VALUE"""),"083 938 7577")</f>
        <v>083 938 7577</v>
      </c>
      <c r="AA487" t="str">
        <f>IFERROR(__xludf.DUMMYFUNCTION("""COMPUTED_VALUE"""),"Thareeerat")</f>
        <v>Thareeerat</v>
      </c>
      <c r="AB487" t="str">
        <f>IFERROR(__xludf.DUMMYFUNCTION("""COMPUTED_VALUE"""),"pattrawanw@airasia.com")</f>
        <v>pattrawanw@airasia.com</v>
      </c>
    </row>
    <row r="488">
      <c r="A488">
        <f>IFERROR(__xludf.DUMMYFUNCTION("""COMPUTED_VALUE"""),1009759.0)</f>
        <v>1009759</v>
      </c>
      <c r="B488" t="str">
        <f>IFERROR(__xludf.DUMMYFUNCTION("""COMPUTED_VALUE"""),"Ms.")</f>
        <v>Ms.</v>
      </c>
      <c r="C488" t="str">
        <f>IFERROR(__xludf.DUMMYFUNCTION("""COMPUTED_VALUE"""),"Rattanaporn")</f>
        <v>Rattanaporn</v>
      </c>
      <c r="D488" t="str">
        <f>IFERROR(__xludf.DUMMYFUNCTION("""COMPUTED_VALUE"""),"Boonin")</f>
        <v>Boonin</v>
      </c>
      <c r="E488" t="str">
        <f>IFERROR(__xludf.DUMMYFUNCTION("""COMPUTED_VALUE"""),"Rattanaporn Boonin")</f>
        <v>Rattanaporn Boonin</v>
      </c>
      <c r="F488" t="str">
        <f>IFERROR(__xludf.DUMMYFUNCTION("""COMPUTED_VALUE"""),"นางสาว")</f>
        <v>นางสาว</v>
      </c>
      <c r="G488" t="str">
        <f>IFERROR(__xludf.DUMMYFUNCTION("""COMPUTED_VALUE"""),"รัตนาภรณ์")</f>
        <v>รัตนาภรณ์</v>
      </c>
      <c r="H488" t="str">
        <f>IFERROR(__xludf.DUMMYFUNCTION("""COMPUTED_VALUE"""),"บุญอินทร์")</f>
        <v>บุญอินทร์</v>
      </c>
      <c r="I488" t="str">
        <f>IFERROR(__xludf.DUMMYFUNCTION("""COMPUTED_VALUE"""),"รัตนาภรณ์ บุญอินทร์")</f>
        <v>รัตนาภรณ์ บุญอินทร์</v>
      </c>
      <c r="J488" t="str">
        <f>IFERROR(__xludf.DUMMYFUNCTION("""COMPUTED_VALUE"""),"แป้ง")</f>
        <v>แป้ง</v>
      </c>
      <c r="K488" t="str">
        <f>IFERROR(__xludf.DUMMYFUNCTION("""COMPUTED_VALUE"""),"Cabin Crew")</f>
        <v>Cabin Crew</v>
      </c>
      <c r="L488" t="str">
        <f>IFERROR(__xludf.DUMMYFUNCTION("""COMPUTED_VALUE"""),"DMK")</f>
        <v>DMK</v>
      </c>
      <c r="M488" s="145" t="str">
        <f>IFERROR(__xludf.DUMMYFUNCTION("""COMPUTED_VALUE"""),"Nhui Home")</f>
        <v>Nhui Home</v>
      </c>
      <c r="N488" t="str">
        <f>IFERROR(__xludf.DUMMYFUNCTION("""COMPUTED_VALUE"""),"Active")</f>
        <v>Active</v>
      </c>
      <c r="P488" s="143">
        <f>IFERROR(__xludf.DUMMYFUNCTION("""COMPUTED_VALUE"""),32386.0)</f>
        <v>32386</v>
      </c>
      <c r="Q488" s="146" t="str">
        <f>IFERROR(__xludf.DUMMYFUNCTION("""COMPUTED_VALUE"""),"094 445 9664")</f>
        <v>094 445 9664</v>
      </c>
      <c r="R488" s="147" t="str">
        <f>IFERROR(__xludf.DUMMYFUNCTION("""COMPUTED_VALUE"""),"1100700-85-5057")</f>
        <v>1100700-85-5057</v>
      </c>
      <c r="S488" t="str">
        <f>IFERROR(__xludf.DUMMYFUNCTION("""COMPUTED_VALUE"""),"AC3060898")</f>
        <v>AC3060898</v>
      </c>
      <c r="T488" s="148">
        <f>IFERROR(__xludf.DUMMYFUNCTION("""COMPUTED_VALUE"""),44681.0)</f>
        <v>44681</v>
      </c>
      <c r="U488" s="148">
        <f>IFERROR(__xludf.DUMMYFUNCTION("""COMPUTED_VALUE"""),48333.0)</f>
        <v>48333</v>
      </c>
      <c r="V488" s="149">
        <f>IFERROR(__xludf.DUMMYFUNCTION("""COMPUTED_VALUE"""),48150.0)</f>
        <v>48150</v>
      </c>
      <c r="W488" t="str">
        <f>IFERROR(__xludf.DUMMYFUNCTION("""COMPUTED_VALUE"""),"ปลอดภัย")</f>
        <v>ปลอดภัย</v>
      </c>
      <c r="X488" t="str">
        <f>IFERROR(__xludf.DUMMYFUNCTION("""COMPUTED_VALUE"""),"Bangkok")</f>
        <v>Bangkok</v>
      </c>
      <c r="Y488" t="str">
        <f>IFERROR(__xludf.DUMMYFUNCTION("""COMPUTED_VALUE"""),"Saimai")</f>
        <v>Saimai</v>
      </c>
      <c r="Z488" t="str">
        <f>IFERROR(__xludf.DUMMYFUNCTION("""COMPUTED_VALUE"""),"081 612 8347")</f>
        <v>081 612 8347</v>
      </c>
      <c r="AA488" t="str">
        <f>IFERROR(__xludf.DUMMYFUNCTION("""COMPUTED_VALUE"""),"Father")</f>
        <v>Father</v>
      </c>
      <c r="AB488" t="str">
        <f>IFERROR(__xludf.DUMMYFUNCTION("""COMPUTED_VALUE"""),"rattanapornb@airasia.com")</f>
        <v>rattanapornb@airasia.com</v>
      </c>
    </row>
    <row r="489">
      <c r="A489">
        <f>IFERROR(__xludf.DUMMYFUNCTION("""COMPUTED_VALUE"""),1009764.0)</f>
        <v>1009764</v>
      </c>
      <c r="B489" t="str">
        <f>IFERROR(__xludf.DUMMYFUNCTION("""COMPUTED_VALUE"""),"Mr.")</f>
        <v>Mr.</v>
      </c>
      <c r="C489" t="str">
        <f>IFERROR(__xludf.DUMMYFUNCTION("""COMPUTED_VALUE"""),"Sittichai")</f>
        <v>Sittichai</v>
      </c>
      <c r="D489" t="str">
        <f>IFERROR(__xludf.DUMMYFUNCTION("""COMPUTED_VALUE"""),"Kaewsuriyan")</f>
        <v>Kaewsuriyan</v>
      </c>
      <c r="E489" t="str">
        <f>IFERROR(__xludf.DUMMYFUNCTION("""COMPUTED_VALUE"""),"Sittichai Kaewsuriyan")</f>
        <v>Sittichai Kaewsuriyan</v>
      </c>
      <c r="F489" t="str">
        <f>IFERROR(__xludf.DUMMYFUNCTION("""COMPUTED_VALUE"""),"นาย")</f>
        <v>นาย</v>
      </c>
      <c r="G489" t="str">
        <f>IFERROR(__xludf.DUMMYFUNCTION("""COMPUTED_VALUE"""),"สิทธิชัย")</f>
        <v>สิทธิชัย</v>
      </c>
      <c r="H489" t="str">
        <f>IFERROR(__xludf.DUMMYFUNCTION("""COMPUTED_VALUE"""),"แก้วสุริยันต์")</f>
        <v>แก้วสุริยันต์</v>
      </c>
      <c r="I489" t="str">
        <f>IFERROR(__xludf.DUMMYFUNCTION("""COMPUTED_VALUE"""),"สิทธิชัย แก้วสุริยันต์")</f>
        <v>สิทธิชัย แก้วสุริยันต์</v>
      </c>
      <c r="J489" t="str">
        <f>IFERROR(__xludf.DUMMYFUNCTION("""COMPUTED_VALUE"""),"Dash")</f>
        <v>Dash</v>
      </c>
      <c r="K489" t="str">
        <f>IFERROR(__xludf.DUMMYFUNCTION("""COMPUTED_VALUE"""),"Senior Cabin Crew")</f>
        <v>Senior Cabin Crew</v>
      </c>
      <c r="L489" t="str">
        <f>IFERROR(__xludf.DUMMYFUNCTION("""COMPUTED_VALUE"""),"DMK")</f>
        <v>DMK</v>
      </c>
      <c r="M489" s="145" t="str">
        <f>IFERROR(__xludf.DUMMYFUNCTION("""COMPUTED_VALUE"""),"Um Home")</f>
        <v>Um Home</v>
      </c>
      <c r="N489" t="str">
        <f>IFERROR(__xludf.DUMMYFUNCTION("""COMPUTED_VALUE"""),"Active")</f>
        <v>Active</v>
      </c>
      <c r="P489" s="143">
        <f>IFERROR(__xludf.DUMMYFUNCTION("""COMPUTED_VALUE"""),32991.0)</f>
        <v>32991</v>
      </c>
      <c r="Q489" s="146" t="str">
        <f>IFERROR(__xludf.DUMMYFUNCTION("""COMPUTED_VALUE"""),"084 436 5190")</f>
        <v>084 436 5190</v>
      </c>
      <c r="R489" s="147" t="str">
        <f>IFERROR(__xludf.DUMMYFUNCTION("""COMPUTED_VALUE"""),"1909800-43-7215")</f>
        <v>1909800-43-7215</v>
      </c>
      <c r="S489" t="str">
        <f>IFERROR(__xludf.DUMMYFUNCTION("""COMPUTED_VALUE"""),"AC4944986")</f>
        <v>AC4944986</v>
      </c>
      <c r="T489" s="148">
        <f>IFERROR(__xludf.DUMMYFUNCTION("""COMPUTED_VALUE"""),45065.0)</f>
        <v>45065</v>
      </c>
      <c r="U489" s="148">
        <f>IFERROR(__xludf.DUMMYFUNCTION("""COMPUTED_VALUE"""),48717.0)</f>
        <v>48717</v>
      </c>
      <c r="V489" s="149">
        <f>IFERROR(__xludf.DUMMYFUNCTION("""COMPUTED_VALUE"""),48536.0)</f>
        <v>48536</v>
      </c>
      <c r="W489" t="str">
        <f>IFERROR(__xludf.DUMMYFUNCTION("""COMPUTED_VALUE"""),"ปลอดภัย")</f>
        <v>ปลอดภัย</v>
      </c>
      <c r="X489" t="str">
        <f>IFERROR(__xludf.DUMMYFUNCTION("""COMPUTED_VALUE"""),"Songkhla Province")</f>
        <v>Songkhla Province</v>
      </c>
      <c r="Y489" t="str">
        <f>IFERROR(__xludf.DUMMYFUNCTION("""COMPUTED_VALUE"""),"Hadyai")</f>
        <v>Hadyai</v>
      </c>
      <c r="Z489" t="str">
        <f>IFERROR(__xludf.DUMMYFUNCTION("""COMPUTED_VALUE"""),"086 284 8777")</f>
        <v>086 284 8777</v>
      </c>
      <c r="AA489" t="str">
        <f>IFERROR(__xludf.DUMMYFUNCTION("""COMPUTED_VALUE"""),"Monthip")</f>
        <v>Monthip</v>
      </c>
      <c r="AB489" t="str">
        <f>IFERROR(__xludf.DUMMYFUNCTION("""COMPUTED_VALUE"""),"sittichaik@airasia.com")</f>
        <v>sittichaik@airasia.com</v>
      </c>
    </row>
    <row r="490">
      <c r="A490">
        <f>IFERROR(__xludf.DUMMYFUNCTION("""COMPUTED_VALUE"""),1009765.0)</f>
        <v>1009765</v>
      </c>
      <c r="B490" t="str">
        <f>IFERROR(__xludf.DUMMYFUNCTION("""COMPUTED_VALUE"""),"Ms.")</f>
        <v>Ms.</v>
      </c>
      <c r="C490" t="str">
        <f>IFERROR(__xludf.DUMMYFUNCTION("""COMPUTED_VALUE"""),"Sumitra")</f>
        <v>Sumitra</v>
      </c>
      <c r="D490" t="str">
        <f>IFERROR(__xludf.DUMMYFUNCTION("""COMPUTED_VALUE"""),"Nipanutiyan")</f>
        <v>Nipanutiyan</v>
      </c>
      <c r="E490" t="str">
        <f>IFERROR(__xludf.DUMMYFUNCTION("""COMPUTED_VALUE"""),"Sumitra Nipanutiyan")</f>
        <v>Sumitra Nipanutiyan</v>
      </c>
      <c r="F490" t="str">
        <f>IFERROR(__xludf.DUMMYFUNCTION("""COMPUTED_VALUE"""),"นางสาว")</f>
        <v>นางสาว</v>
      </c>
      <c r="G490" t="str">
        <f>IFERROR(__xludf.DUMMYFUNCTION("""COMPUTED_VALUE"""),"สุมิตรา")</f>
        <v>สุมิตรา</v>
      </c>
      <c r="H490" t="str">
        <f>IFERROR(__xludf.DUMMYFUNCTION("""COMPUTED_VALUE"""),"นิพนุติยันต์")</f>
        <v>นิพนุติยันต์</v>
      </c>
      <c r="I490" t="str">
        <f>IFERROR(__xludf.DUMMYFUNCTION("""COMPUTED_VALUE"""),"สุมิตรา นิพนุติยันต์")</f>
        <v>สุมิตรา นิพนุติยันต์</v>
      </c>
      <c r="J490" t="str">
        <f>IFERROR(__xludf.DUMMYFUNCTION("""COMPUTED_VALUE"""),"แป้ง")</f>
        <v>แป้ง</v>
      </c>
      <c r="K490" t="str">
        <f>IFERROR(__xludf.DUMMYFUNCTION("""COMPUTED_VALUE"""),"Cabin Crew - CNX")</f>
        <v>Cabin Crew - CNX</v>
      </c>
      <c r="L490" t="str">
        <f>IFERROR(__xludf.DUMMYFUNCTION("""COMPUTED_VALUE"""),"CNX")</f>
        <v>CNX</v>
      </c>
      <c r="M490" s="145" t="str">
        <f>IFERROR(__xludf.DUMMYFUNCTION("""COMPUTED_VALUE"""),"Up Home")</f>
        <v>Up Home</v>
      </c>
      <c r="N490" t="str">
        <f>IFERROR(__xludf.DUMMYFUNCTION("""COMPUTED_VALUE"""),"Active")</f>
        <v>Active</v>
      </c>
      <c r="P490" s="143">
        <f>IFERROR(__xludf.DUMMYFUNCTION("""COMPUTED_VALUE"""),33584.0)</f>
        <v>33584</v>
      </c>
      <c r="Q490" s="146" t="str">
        <f>IFERROR(__xludf.DUMMYFUNCTION("""COMPUTED_VALUE"""),"085 035 1551")</f>
        <v>085 035 1551</v>
      </c>
      <c r="R490" s="147" t="str">
        <f>IFERROR(__xludf.DUMMYFUNCTION("""COMPUTED_VALUE"""),"1101800-50-3820")</f>
        <v>1101800-50-3820</v>
      </c>
      <c r="S490" t="str">
        <f>IFERROR(__xludf.DUMMYFUNCTION("""COMPUTED_VALUE"""),"AC7193121")</f>
        <v>AC7193121</v>
      </c>
      <c r="T490" s="148">
        <f>IFERROR(__xludf.DUMMYFUNCTION("""COMPUTED_VALUE"""),45638.0)</f>
        <v>45638</v>
      </c>
      <c r="U490" s="148">
        <f>IFERROR(__xludf.DUMMYFUNCTION("""COMPUTED_VALUE"""),49289.0)</f>
        <v>49289</v>
      </c>
      <c r="V490" s="149">
        <f>IFERROR(__xludf.DUMMYFUNCTION("""COMPUTED_VALUE"""),49106.0)</f>
        <v>49106</v>
      </c>
      <c r="W490" t="str">
        <f>IFERROR(__xludf.DUMMYFUNCTION("""COMPUTED_VALUE"""),"ปลอดภัย")</f>
        <v>ปลอดภัย</v>
      </c>
      <c r="X490" t="str">
        <f>IFERROR(__xludf.DUMMYFUNCTION("""COMPUTED_VALUE"""),"Bangkok")</f>
        <v>Bangkok</v>
      </c>
      <c r="Y490" t="str">
        <f>IFERROR(__xludf.DUMMYFUNCTION("""COMPUTED_VALUE"""),"Chiangmai")</f>
        <v>Chiangmai</v>
      </c>
      <c r="Z490" t="str">
        <f>IFERROR(__xludf.DUMMYFUNCTION("""COMPUTED_VALUE"""),"080-853-7062")</f>
        <v>080-853-7062</v>
      </c>
      <c r="AA490" t="str">
        <f>IFERROR(__xludf.DUMMYFUNCTION("""COMPUTED_VALUE"""),"Pravit")</f>
        <v>Pravit</v>
      </c>
      <c r="AB490" t="str">
        <f>IFERROR(__xludf.DUMMYFUNCTION("""COMPUTED_VALUE"""),"sumitran@airasia.com")</f>
        <v>sumitran@airasia.com</v>
      </c>
    </row>
    <row r="491">
      <c r="A491">
        <f>IFERROR(__xludf.DUMMYFUNCTION("""COMPUTED_VALUE"""),1009768.0)</f>
        <v>1009768</v>
      </c>
      <c r="B491" t="str">
        <f>IFERROR(__xludf.DUMMYFUNCTION("""COMPUTED_VALUE"""),"Mr.")</f>
        <v>Mr.</v>
      </c>
      <c r="C491" t="str">
        <f>IFERROR(__xludf.DUMMYFUNCTION("""COMPUTED_VALUE"""),"Thidech")</f>
        <v>Thidech</v>
      </c>
      <c r="D491" t="str">
        <f>IFERROR(__xludf.DUMMYFUNCTION("""COMPUTED_VALUE"""),"Eakmongkollert")</f>
        <v>Eakmongkollert</v>
      </c>
      <c r="E491" t="str">
        <f>IFERROR(__xludf.DUMMYFUNCTION("""COMPUTED_VALUE"""),"Thidech Eakmongkollert")</f>
        <v>Thidech Eakmongkollert</v>
      </c>
      <c r="F491" t="str">
        <f>IFERROR(__xludf.DUMMYFUNCTION("""COMPUTED_VALUE"""),"นาย")</f>
        <v>นาย</v>
      </c>
      <c r="G491" t="str">
        <f>IFERROR(__xludf.DUMMYFUNCTION("""COMPUTED_VALUE"""),"ฐิต์เดช")</f>
        <v>ฐิต์เดช</v>
      </c>
      <c r="H491" t="str">
        <f>IFERROR(__xludf.DUMMYFUNCTION("""COMPUTED_VALUE"""),"เอกมงคลเลิศ")</f>
        <v>เอกมงคลเลิศ</v>
      </c>
      <c r="I491" t="str">
        <f>IFERROR(__xludf.DUMMYFUNCTION("""COMPUTED_VALUE"""),"ฐิต์เดช เอกมงคลเลิศ")</f>
        <v>ฐิต์เดช เอกมงคลเลิศ</v>
      </c>
      <c r="J491" t="str">
        <f>IFERROR(__xludf.DUMMYFUNCTION("""COMPUTED_VALUE"""),"วี")</f>
        <v>วี</v>
      </c>
      <c r="K491" t="str">
        <f>IFERROR(__xludf.DUMMYFUNCTION("""COMPUTED_VALUE"""),"Senior Cabin Crew")</f>
        <v>Senior Cabin Crew</v>
      </c>
      <c r="L491" t="str">
        <f>IFERROR(__xludf.DUMMYFUNCTION("""COMPUTED_VALUE"""),"DMK")</f>
        <v>DMK</v>
      </c>
      <c r="M491" s="145" t="str">
        <f>IFERROR(__xludf.DUMMYFUNCTION("""COMPUTED_VALUE"""),"Toffy Home")</f>
        <v>Toffy Home</v>
      </c>
      <c r="N491" t="str">
        <f>IFERROR(__xludf.DUMMYFUNCTION("""COMPUTED_VALUE"""),"Active")</f>
        <v>Active</v>
      </c>
      <c r="P491" s="143">
        <f>IFERROR(__xludf.DUMMYFUNCTION("""COMPUTED_VALUE"""),31390.0)</f>
        <v>31390</v>
      </c>
      <c r="Q491" s="146" t="str">
        <f>IFERROR(__xludf.DUMMYFUNCTION("""COMPUTED_VALUE"""),"081 010 0008")</f>
        <v>081 010 0008</v>
      </c>
      <c r="R491" s="147" t="str">
        <f>IFERROR(__xludf.DUMMYFUNCTION("""COMPUTED_VALUE"""),"1100400-13-9968")</f>
        <v>1100400-13-9968</v>
      </c>
      <c r="S491" t="str">
        <f>IFERROR(__xludf.DUMMYFUNCTION("""COMPUTED_VALUE"""),"AC2234187")</f>
        <v>AC2234187</v>
      </c>
      <c r="T491" s="148">
        <f>IFERROR(__xludf.DUMMYFUNCTION("""COMPUTED_VALUE"""),44284.0)</f>
        <v>44284</v>
      </c>
      <c r="U491" s="148">
        <f>IFERROR(__xludf.DUMMYFUNCTION("""COMPUTED_VALUE"""),47935.0)</f>
        <v>47935</v>
      </c>
      <c r="V491" s="149">
        <f>IFERROR(__xludf.DUMMYFUNCTION("""COMPUTED_VALUE"""),47754.0)</f>
        <v>47754</v>
      </c>
      <c r="W491" t="str">
        <f>IFERROR(__xludf.DUMMYFUNCTION("""COMPUTED_VALUE"""),"ปลอดภัย")</f>
        <v>ปลอดภัย</v>
      </c>
      <c r="X491" t="str">
        <f>IFERROR(__xludf.DUMMYFUNCTION("""COMPUTED_VALUE"""),"Bangkok")</f>
        <v>Bangkok</v>
      </c>
      <c r="Y491" t="str">
        <f>IFERROR(__xludf.DUMMYFUNCTION("""COMPUTED_VALUE"""),"Thonburi")</f>
        <v>Thonburi</v>
      </c>
      <c r="Z491" t="str">
        <f>IFERROR(__xludf.DUMMYFUNCTION("""COMPUTED_VALUE"""),"02 465 2909 / 089 456 6789")</f>
        <v>02 465 2909 / 089 456 6789</v>
      </c>
      <c r="AA491" t="str">
        <f>IFERROR(__xludf.DUMMYFUNCTION("""COMPUTED_VALUE"""),"Home / Duangporn")</f>
        <v>Home / Duangporn</v>
      </c>
      <c r="AB491" t="str">
        <f>IFERROR(__xludf.DUMMYFUNCTION("""COMPUTED_VALUE"""),"thideche@airasia.com")</f>
        <v>thideche@airasia.com</v>
      </c>
    </row>
    <row r="492">
      <c r="A492">
        <f>IFERROR(__xludf.DUMMYFUNCTION("""COMPUTED_VALUE"""),1009770.0)</f>
        <v>1009770</v>
      </c>
      <c r="B492" t="str">
        <f>IFERROR(__xludf.DUMMYFUNCTION("""COMPUTED_VALUE"""),"Mr.")</f>
        <v>Mr.</v>
      </c>
      <c r="C492" t="str">
        <f>IFERROR(__xludf.DUMMYFUNCTION("""COMPUTED_VALUE"""),"Wuttiphat")</f>
        <v>Wuttiphat</v>
      </c>
      <c r="D492" t="str">
        <f>IFERROR(__xludf.DUMMYFUNCTION("""COMPUTED_VALUE"""),"Akenoot")</f>
        <v>Akenoot</v>
      </c>
      <c r="E492" t="str">
        <f>IFERROR(__xludf.DUMMYFUNCTION("""COMPUTED_VALUE"""),"Wuttiphat Akenoot")</f>
        <v>Wuttiphat Akenoot</v>
      </c>
      <c r="F492" t="str">
        <f>IFERROR(__xludf.DUMMYFUNCTION("""COMPUTED_VALUE"""),"นาย")</f>
        <v>นาย</v>
      </c>
      <c r="G492" t="str">
        <f>IFERROR(__xludf.DUMMYFUNCTION("""COMPUTED_VALUE"""),"วุฒิภัทร")</f>
        <v>วุฒิภัทร</v>
      </c>
      <c r="H492" t="str">
        <f>IFERROR(__xludf.DUMMYFUNCTION("""COMPUTED_VALUE"""),"เอกนุช")</f>
        <v>เอกนุช</v>
      </c>
      <c r="I492" t="str">
        <f>IFERROR(__xludf.DUMMYFUNCTION("""COMPUTED_VALUE"""),"วุฒิภัทร เอกนุช")</f>
        <v>วุฒิภัทร เอกนุช</v>
      </c>
      <c r="J492" t="str">
        <f>IFERROR(__xludf.DUMMYFUNCTION("""COMPUTED_VALUE"""),"คิม")</f>
        <v>คิม</v>
      </c>
      <c r="K492" t="str">
        <f>IFERROR(__xludf.DUMMYFUNCTION("""COMPUTED_VALUE"""),"Cabin Crew")</f>
        <v>Cabin Crew</v>
      </c>
      <c r="L492" t="str">
        <f>IFERROR(__xludf.DUMMYFUNCTION("""COMPUTED_VALUE"""),"DMK")</f>
        <v>DMK</v>
      </c>
      <c r="M492" s="145" t="str">
        <f>IFERROR(__xludf.DUMMYFUNCTION("""COMPUTED_VALUE"""),"Por+ Home")</f>
        <v>Por+ Home</v>
      </c>
      <c r="N492" t="str">
        <f>IFERROR(__xludf.DUMMYFUNCTION("""COMPUTED_VALUE"""),"Active")</f>
        <v>Active</v>
      </c>
      <c r="P492" s="143">
        <f>IFERROR(__xludf.DUMMYFUNCTION("""COMPUTED_VALUE"""),32166.0)</f>
        <v>32166</v>
      </c>
      <c r="Q492" s="146" t="str">
        <f>IFERROR(__xludf.DUMMYFUNCTION("""COMPUTED_VALUE"""),"095 052 4191")</f>
        <v>095 052 4191</v>
      </c>
      <c r="R492" s="147" t="str">
        <f>IFERROR(__xludf.DUMMYFUNCTION("""COMPUTED_VALUE"""),"1600800-11-4739")</f>
        <v>1600800-11-4739</v>
      </c>
      <c r="S492" t="str">
        <f>IFERROR(__xludf.DUMMYFUNCTION("""COMPUTED_VALUE"""),"AC3585793")</f>
        <v>AC3585793</v>
      </c>
      <c r="T492" s="148">
        <f>IFERROR(__xludf.DUMMYFUNCTION("""COMPUTED_VALUE"""),44753.0)</f>
        <v>44753</v>
      </c>
      <c r="U492" s="148">
        <f>IFERROR(__xludf.DUMMYFUNCTION("""COMPUTED_VALUE"""),48405.0)</f>
        <v>48405</v>
      </c>
      <c r="V492" s="149">
        <f>IFERROR(__xludf.DUMMYFUNCTION("""COMPUTED_VALUE"""),48223.0)</f>
        <v>48223</v>
      </c>
      <c r="W492" t="str">
        <f>IFERROR(__xludf.DUMMYFUNCTION("""COMPUTED_VALUE"""),"ปลอดภัย")</f>
        <v>ปลอดภัย</v>
      </c>
      <c r="X492" t="str">
        <f>IFERROR(__xludf.DUMMYFUNCTION("""COMPUTED_VALUE"""),"Nakhon Sawan Province")</f>
        <v>Nakhon Sawan Province</v>
      </c>
      <c r="Y492" t="str">
        <f>IFERROR(__xludf.DUMMYFUNCTION("""COMPUTED_VALUE"""),"Nakhonsawan")</f>
        <v>Nakhonsawan</v>
      </c>
      <c r="Z492" t="str">
        <f>IFERROR(__xludf.DUMMYFUNCTION("""COMPUTED_VALUE"""),"087 204 2246")</f>
        <v>087 204 2246</v>
      </c>
      <c r="AA492" t="str">
        <f>IFERROR(__xludf.DUMMYFUNCTION("""COMPUTED_VALUE"""),"Father")</f>
        <v>Father</v>
      </c>
      <c r="AB492" t="str">
        <f>IFERROR(__xludf.DUMMYFUNCTION("""COMPUTED_VALUE"""),"wuttiphata@airasia.com")</f>
        <v>wuttiphata@airasia.com</v>
      </c>
    </row>
    <row r="493">
      <c r="AB493" t="str">
        <f>IFERROR(__xludf.DUMMYFUNCTION("""COMPUTED_VALUE"""),"")</f>
        <v/>
      </c>
    </row>
    <row r="494">
      <c r="A494">
        <f>IFERROR(__xludf.DUMMYFUNCTION("""COMPUTED_VALUE"""),1009799.0)</f>
        <v>1009799</v>
      </c>
      <c r="B494" t="str">
        <f>IFERROR(__xludf.DUMMYFUNCTION("""COMPUTED_VALUE"""),"Mr.")</f>
        <v>Mr.</v>
      </c>
      <c r="C494" t="str">
        <f>IFERROR(__xludf.DUMMYFUNCTION("""COMPUTED_VALUE"""),"Kittirat")</f>
        <v>Kittirat</v>
      </c>
      <c r="D494" t="str">
        <f>IFERROR(__xludf.DUMMYFUNCTION("""COMPUTED_VALUE"""),"Aujsri")</f>
        <v>Aujsri</v>
      </c>
      <c r="E494" t="str">
        <f>IFERROR(__xludf.DUMMYFUNCTION("""COMPUTED_VALUE"""),"Kittirat Aujsri")</f>
        <v>Kittirat Aujsri</v>
      </c>
      <c r="F494" t="str">
        <f>IFERROR(__xludf.DUMMYFUNCTION("""COMPUTED_VALUE"""),"นาย")</f>
        <v>นาย</v>
      </c>
      <c r="G494" t="str">
        <f>IFERROR(__xludf.DUMMYFUNCTION("""COMPUTED_VALUE"""),"กฤติรัฐ")</f>
        <v>กฤติรัฐ</v>
      </c>
      <c r="H494" t="str">
        <f>IFERROR(__xludf.DUMMYFUNCTION("""COMPUTED_VALUE"""),"เอื้อศรี")</f>
        <v>เอื้อศรี</v>
      </c>
      <c r="I494" t="str">
        <f>IFERROR(__xludf.DUMMYFUNCTION("""COMPUTED_VALUE"""),"กฤติรัฐ เอื้อศรี")</f>
        <v>กฤติรัฐ เอื้อศรี</v>
      </c>
      <c r="J494" t="str">
        <f>IFERROR(__xludf.DUMMYFUNCTION("""COMPUTED_VALUE"""),"พีท")</f>
        <v>พีท</v>
      </c>
      <c r="K494" t="str">
        <f>IFERROR(__xludf.DUMMYFUNCTION("""COMPUTED_VALUE"""),"Cabin Crew")</f>
        <v>Cabin Crew</v>
      </c>
      <c r="L494" t="str">
        <f>IFERROR(__xludf.DUMMYFUNCTION("""COMPUTED_VALUE"""),"DMK")</f>
        <v>DMK</v>
      </c>
      <c r="M494" s="145" t="str">
        <f>IFERROR(__xludf.DUMMYFUNCTION("""COMPUTED_VALUE"""),"Por+ Home")</f>
        <v>Por+ Home</v>
      </c>
      <c r="N494" t="str">
        <f>IFERROR(__xludf.DUMMYFUNCTION("""COMPUTED_VALUE"""),"Active")</f>
        <v>Active</v>
      </c>
      <c r="P494" s="143">
        <f>IFERROR(__xludf.DUMMYFUNCTION("""COMPUTED_VALUE"""),31616.0)</f>
        <v>31616</v>
      </c>
      <c r="Q494" s="146" t="str">
        <f>IFERROR(__xludf.DUMMYFUNCTION("""COMPUTED_VALUE"""),"080 088 6736")</f>
        <v>080 088 6736</v>
      </c>
      <c r="R494" s="147" t="str">
        <f>IFERROR(__xludf.DUMMYFUNCTION("""COMPUTED_VALUE"""),"1449900-08-6401")</f>
        <v>1449900-08-6401</v>
      </c>
      <c r="S494" t="str">
        <f>IFERROR(__xludf.DUMMYFUNCTION("""COMPUTED_VALUE"""),"AC4778504")</f>
        <v>AC4778504</v>
      </c>
      <c r="T494" s="148">
        <f>IFERROR(__xludf.DUMMYFUNCTION("""COMPUTED_VALUE"""),45040.0)</f>
        <v>45040</v>
      </c>
      <c r="U494" s="148">
        <f>IFERROR(__xludf.DUMMYFUNCTION("""COMPUTED_VALUE"""),48692.0)</f>
        <v>48692</v>
      </c>
      <c r="V494" s="149">
        <f>IFERROR(__xludf.DUMMYFUNCTION("""COMPUTED_VALUE"""),48510.0)</f>
        <v>48510</v>
      </c>
      <c r="W494" t="str">
        <f>IFERROR(__xludf.DUMMYFUNCTION("""COMPUTED_VALUE"""),"ปลอดภัย")</f>
        <v>ปลอดภัย</v>
      </c>
      <c r="X494" t="str">
        <f>IFERROR(__xludf.DUMMYFUNCTION("""COMPUTED_VALUE"""),"Maha Sarakham Province")</f>
        <v>Maha Sarakham Province</v>
      </c>
      <c r="Y494" t="str">
        <f>IFERROR(__xludf.DUMMYFUNCTION("""COMPUTED_VALUE"""),"Pathumwan")</f>
        <v>Pathumwan</v>
      </c>
      <c r="Z494" t="str">
        <f>IFERROR(__xludf.DUMMYFUNCTION("""COMPUTED_VALUE"""),"087 234 8505")</f>
        <v>087 234 8505</v>
      </c>
      <c r="AA494" t="str">
        <f>IFERROR(__xludf.DUMMYFUNCTION("""COMPUTED_VALUE"""),"Chuchart")</f>
        <v>Chuchart</v>
      </c>
      <c r="AB494" t="str">
        <f>IFERROR(__xludf.DUMMYFUNCTION("""COMPUTED_VALUE"""),"kittirata@airasia.com")</f>
        <v>kittirata@airasia.com</v>
      </c>
    </row>
    <row r="495">
      <c r="A495">
        <f>IFERROR(__xludf.DUMMYFUNCTION("""COMPUTED_VALUE"""),1009809.0)</f>
        <v>1009809</v>
      </c>
      <c r="B495" t="str">
        <f>IFERROR(__xludf.DUMMYFUNCTION("""COMPUTED_VALUE"""),"Mr.")</f>
        <v>Mr.</v>
      </c>
      <c r="C495" t="str">
        <f>IFERROR(__xludf.DUMMYFUNCTION("""COMPUTED_VALUE"""),"Naphat")</f>
        <v>Naphat</v>
      </c>
      <c r="D495" t="str">
        <f>IFERROR(__xludf.DUMMYFUNCTION("""COMPUTED_VALUE"""),"Yantaragorn")</f>
        <v>Yantaragorn</v>
      </c>
      <c r="E495" t="str">
        <f>IFERROR(__xludf.DUMMYFUNCTION("""COMPUTED_VALUE"""),"Naphat Yantaragorn")</f>
        <v>Naphat Yantaragorn</v>
      </c>
      <c r="F495" t="str">
        <f>IFERROR(__xludf.DUMMYFUNCTION("""COMPUTED_VALUE"""),"นาย")</f>
        <v>นาย</v>
      </c>
      <c r="G495" t="str">
        <f>IFERROR(__xludf.DUMMYFUNCTION("""COMPUTED_VALUE"""),"ณภัทร")</f>
        <v>ณภัทร</v>
      </c>
      <c r="H495" t="str">
        <f>IFERROR(__xludf.DUMMYFUNCTION("""COMPUTED_VALUE"""),"ยันตรกร")</f>
        <v>ยันตรกร</v>
      </c>
      <c r="I495" t="str">
        <f>IFERROR(__xludf.DUMMYFUNCTION("""COMPUTED_VALUE"""),"ณภัทร ยันตรกร")</f>
        <v>ณภัทร ยันตรกร</v>
      </c>
      <c r="J495" t="str">
        <f>IFERROR(__xludf.DUMMYFUNCTION("""COMPUTED_VALUE"""),"นท")</f>
        <v>นท</v>
      </c>
      <c r="K495" t="str">
        <f>IFERROR(__xludf.DUMMYFUNCTION("""COMPUTED_VALUE"""),"Cabin Crew")</f>
        <v>Cabin Crew</v>
      </c>
      <c r="L495" t="str">
        <f>IFERROR(__xludf.DUMMYFUNCTION("""COMPUTED_VALUE"""),"DMK")</f>
        <v>DMK</v>
      </c>
      <c r="M495" s="145" t="str">
        <f>IFERROR(__xludf.DUMMYFUNCTION("""COMPUTED_VALUE"""),"Um Home")</f>
        <v>Um Home</v>
      </c>
      <c r="N495" t="str">
        <f>IFERROR(__xludf.DUMMYFUNCTION("""COMPUTED_VALUE"""),"Active")</f>
        <v>Active</v>
      </c>
      <c r="P495" s="143">
        <f>IFERROR(__xludf.DUMMYFUNCTION("""COMPUTED_VALUE"""),33267.0)</f>
        <v>33267</v>
      </c>
      <c r="Q495" s="146" t="str">
        <f>IFERROR(__xludf.DUMMYFUNCTION("""COMPUTED_VALUE"""),"081-385-6029")</f>
        <v>081-385-6029</v>
      </c>
      <c r="R495" s="147" t="str">
        <f>IFERROR(__xludf.DUMMYFUNCTION("""COMPUTED_VALUE"""),"1509900-97-3422")</f>
        <v>1509900-97-3422</v>
      </c>
      <c r="S495" t="str">
        <f>IFERROR(__xludf.DUMMYFUNCTION("""COMPUTED_VALUE"""),"AC5366159")</f>
        <v>AC5366159</v>
      </c>
      <c r="T495" s="148">
        <f>IFERROR(__xludf.DUMMYFUNCTION("""COMPUTED_VALUE"""),45134.0)</f>
        <v>45134</v>
      </c>
      <c r="U495" s="148">
        <f>IFERROR(__xludf.DUMMYFUNCTION("""COMPUTED_VALUE"""),48786.0)</f>
        <v>48786</v>
      </c>
      <c r="V495" s="149">
        <f>IFERROR(__xludf.DUMMYFUNCTION("""COMPUTED_VALUE"""),48605.0)</f>
        <v>48605</v>
      </c>
      <c r="W495" t="str">
        <f>IFERROR(__xludf.DUMMYFUNCTION("""COMPUTED_VALUE"""),"ปลอดภัย")</f>
        <v>ปลอดภัย</v>
      </c>
      <c r="X495" t="str">
        <f>IFERROR(__xludf.DUMMYFUNCTION("""COMPUTED_VALUE"""),"Chiang Mai Province")</f>
        <v>Chiang Mai Province</v>
      </c>
      <c r="Y495" t="str">
        <f>IFERROR(__xludf.DUMMYFUNCTION("""COMPUTED_VALUE"""),"Chiangmai")</f>
        <v>Chiangmai</v>
      </c>
      <c r="Z495" t="str">
        <f>IFERROR(__xludf.DUMMYFUNCTION("""COMPUTED_VALUE"""),"081 993 2905")</f>
        <v>081 993 2905</v>
      </c>
      <c r="AA495" t="str">
        <f>IFERROR(__xludf.DUMMYFUNCTION("""COMPUTED_VALUE"""),"Patara")</f>
        <v>Patara</v>
      </c>
      <c r="AB495" t="str">
        <f>IFERROR(__xludf.DUMMYFUNCTION("""COMPUTED_VALUE"""),"naphaty@airasia.com")</f>
        <v>naphaty@airasia.com</v>
      </c>
    </row>
    <row r="496">
      <c r="A496">
        <f>IFERROR(__xludf.DUMMYFUNCTION("""COMPUTED_VALUE"""),1009811.0)</f>
        <v>1009811</v>
      </c>
      <c r="B496" t="str">
        <f>IFERROR(__xludf.DUMMYFUNCTION("""COMPUTED_VALUE"""),"Ms.")</f>
        <v>Ms.</v>
      </c>
      <c r="C496" t="str">
        <f>IFERROR(__xludf.DUMMYFUNCTION("""COMPUTED_VALUE"""),"Natchanan")</f>
        <v>Natchanan</v>
      </c>
      <c r="D496" t="str">
        <f>IFERROR(__xludf.DUMMYFUNCTION("""COMPUTED_VALUE"""),"Pena Viegas ")</f>
        <v>Pena Viegas </v>
      </c>
      <c r="E496" t="str">
        <f>IFERROR(__xludf.DUMMYFUNCTION("""COMPUTED_VALUE"""),"Natchanan Pena Viegas")</f>
        <v>Natchanan Pena Viegas</v>
      </c>
      <c r="F496" t="str">
        <f>IFERROR(__xludf.DUMMYFUNCTION("""COMPUTED_VALUE"""),"นางสาว")</f>
        <v>นางสาว</v>
      </c>
      <c r="G496" t="str">
        <f>IFERROR(__xludf.DUMMYFUNCTION("""COMPUTED_VALUE"""),"ณัฐชนันต์")</f>
        <v>ณัฐชนันต์</v>
      </c>
      <c r="H496" t="str">
        <f>IFERROR(__xludf.DUMMYFUNCTION("""COMPUTED_VALUE"""),"เพนา เวียกัส (ไกรวิลาส)")</f>
        <v>เพนา เวียกัส (ไกรวิลาส)</v>
      </c>
      <c r="I496" t="str">
        <f>IFERROR(__xludf.DUMMYFUNCTION("""COMPUTED_VALUE"""),"ณัฐชนันต์ เพนา เวียกัส")</f>
        <v>ณัฐชนันต์ เพนา เวียกัส</v>
      </c>
      <c r="J496" t="str">
        <f>IFERROR(__xludf.DUMMYFUNCTION("""COMPUTED_VALUE"""),"อั๋น")</f>
        <v>อั๋น</v>
      </c>
      <c r="K496" t="str">
        <f>IFERROR(__xludf.DUMMYFUNCTION("""COMPUTED_VALUE"""),"Cabin Crew")</f>
        <v>Cabin Crew</v>
      </c>
      <c r="L496" t="str">
        <f>IFERROR(__xludf.DUMMYFUNCTION("""COMPUTED_VALUE"""),"DMK")</f>
        <v>DMK</v>
      </c>
      <c r="M496" s="145" t="str">
        <f>IFERROR(__xludf.DUMMYFUNCTION("""COMPUTED_VALUE"""),"Up Home")</f>
        <v>Up Home</v>
      </c>
      <c r="N496" t="str">
        <f>IFERROR(__xludf.DUMMYFUNCTION("""COMPUTED_VALUE"""),"Active")</f>
        <v>Active</v>
      </c>
      <c r="P496" s="143">
        <f>IFERROR(__xludf.DUMMYFUNCTION("""COMPUTED_VALUE"""),32496.0)</f>
        <v>32496</v>
      </c>
      <c r="Q496" s="146">
        <f>IFERROR(__xludf.DUMMYFUNCTION("""COMPUTED_VALUE"""),9.19963622E8)</f>
        <v>919963622</v>
      </c>
      <c r="R496" s="147" t="str">
        <f>IFERROR(__xludf.DUMMYFUNCTION("""COMPUTED_VALUE"""),"1869900-09-3390")</f>
        <v>1869900-09-3390</v>
      </c>
      <c r="S496" t="str">
        <f>IFERROR(__xludf.DUMMYFUNCTION("""COMPUTED_VALUE"""),"AC2446821")</f>
        <v>AC2446821</v>
      </c>
      <c r="T496" s="148">
        <f>IFERROR(__xludf.DUMMYFUNCTION("""COMPUTED_VALUE"""),44460.0)</f>
        <v>44460</v>
      </c>
      <c r="U496" s="148">
        <f>IFERROR(__xludf.DUMMYFUNCTION("""COMPUTED_VALUE"""),48111.0)</f>
        <v>48111</v>
      </c>
      <c r="V496" s="149">
        <f>IFERROR(__xludf.DUMMYFUNCTION("""COMPUTED_VALUE"""),47927.0)</f>
        <v>47927</v>
      </c>
      <c r="W496" t="str">
        <f>IFERROR(__xludf.DUMMYFUNCTION("""COMPUTED_VALUE"""),"ปลอดภัย")</f>
        <v>ปลอดภัย</v>
      </c>
      <c r="X496" t="str">
        <f>IFERROR(__xludf.DUMMYFUNCTION("""COMPUTED_VALUE"""),"Chumphon Province")</f>
        <v>Chumphon Province</v>
      </c>
      <c r="Y496" t="str">
        <f>IFERROR(__xludf.DUMMYFUNCTION("""COMPUTED_VALUE"""),"Hyaykwang")</f>
        <v>Hyaykwang</v>
      </c>
      <c r="Z496" t="str">
        <f>IFERROR(__xludf.DUMMYFUNCTION("""COMPUTED_VALUE"""),"089 737 5134")</f>
        <v>089 737 5134</v>
      </c>
      <c r="AA496" t="str">
        <f>IFERROR(__xludf.DUMMYFUNCTION("""COMPUTED_VALUE"""),"Panjaporn")</f>
        <v>Panjaporn</v>
      </c>
      <c r="AB496" t="str">
        <f>IFERROR(__xludf.DUMMYFUNCTION("""COMPUTED_VALUE"""),"natchananp@airasia.com")</f>
        <v>natchananp@airasia.com</v>
      </c>
    </row>
    <row r="497">
      <c r="A497">
        <f>IFERROR(__xludf.DUMMYFUNCTION("""COMPUTED_VALUE"""),1009816.0)</f>
        <v>1009816</v>
      </c>
      <c r="B497" t="str">
        <f>IFERROR(__xludf.DUMMYFUNCTION("""COMPUTED_VALUE"""),"Ms.")</f>
        <v>Ms.</v>
      </c>
      <c r="C497" t="str">
        <f>IFERROR(__xludf.DUMMYFUNCTION("""COMPUTED_VALUE"""),"Patteya")</f>
        <v>Patteya</v>
      </c>
      <c r="D497" t="str">
        <f>IFERROR(__xludf.DUMMYFUNCTION("""COMPUTED_VALUE"""),"Nukong")</f>
        <v>Nukong</v>
      </c>
      <c r="E497" t="str">
        <f>IFERROR(__xludf.DUMMYFUNCTION("""COMPUTED_VALUE"""),"Patteya Nukong")</f>
        <v>Patteya Nukong</v>
      </c>
      <c r="F497" t="str">
        <f>IFERROR(__xludf.DUMMYFUNCTION("""COMPUTED_VALUE"""),"นางสาว")</f>
        <v>นางสาว</v>
      </c>
      <c r="G497" t="str">
        <f>IFERROR(__xludf.DUMMYFUNCTION("""COMPUTED_VALUE"""),"ภัชธีญา")</f>
        <v>ภัชธีญา</v>
      </c>
      <c r="H497" t="str">
        <f>IFERROR(__xludf.DUMMYFUNCTION("""COMPUTED_VALUE"""),"หนูคง")</f>
        <v>หนูคง</v>
      </c>
      <c r="I497" t="str">
        <f>IFERROR(__xludf.DUMMYFUNCTION("""COMPUTED_VALUE"""),"ภัชธีญา หนูคง")</f>
        <v>ภัชธีญา หนูคง</v>
      </c>
      <c r="J497" t="str">
        <f>IFERROR(__xludf.DUMMYFUNCTION("""COMPUTED_VALUE"""),"เดียร์")</f>
        <v>เดียร์</v>
      </c>
      <c r="K497" t="str">
        <f>IFERROR(__xludf.DUMMYFUNCTION("""COMPUTED_VALUE"""),"Cabin Crew")</f>
        <v>Cabin Crew</v>
      </c>
      <c r="L497" t="str">
        <f>IFERROR(__xludf.DUMMYFUNCTION("""COMPUTED_VALUE"""),"DMK")</f>
        <v>DMK</v>
      </c>
      <c r="M497" s="145" t="str">
        <f>IFERROR(__xludf.DUMMYFUNCTION("""COMPUTED_VALUE"""),"Namfon Home")</f>
        <v>Namfon Home</v>
      </c>
      <c r="N497" t="str">
        <f>IFERROR(__xludf.DUMMYFUNCTION("""COMPUTED_VALUE"""),"Active")</f>
        <v>Active</v>
      </c>
      <c r="P497" s="143">
        <f>IFERROR(__xludf.DUMMYFUNCTION("""COMPUTED_VALUE"""),32927.0)</f>
        <v>32927</v>
      </c>
      <c r="Q497" s="146" t="str">
        <f>IFERROR(__xludf.DUMMYFUNCTION("""COMPUTED_VALUE"""),"096 646 2656")</f>
        <v>096 646 2656</v>
      </c>
      <c r="R497" s="147" t="str">
        <f>IFERROR(__xludf.DUMMYFUNCTION("""COMPUTED_VALUE"""),"1100701-16-0427")</f>
        <v>1100701-16-0427</v>
      </c>
      <c r="S497" t="str">
        <f>IFERROR(__xludf.DUMMYFUNCTION("""COMPUTED_VALUE"""),"AD1133299")</f>
        <v>AD1133299</v>
      </c>
      <c r="T497" s="148">
        <f>IFERROR(__xludf.DUMMYFUNCTION("""COMPUTED_VALUE"""),45344.0)</f>
        <v>45344</v>
      </c>
      <c r="U497" s="148">
        <f>IFERROR(__xludf.DUMMYFUNCTION("""COMPUTED_VALUE"""),47170.0)</f>
        <v>47170</v>
      </c>
      <c r="V497" s="149">
        <f>IFERROR(__xludf.DUMMYFUNCTION("""COMPUTED_VALUE"""),46986.0)</f>
        <v>46986</v>
      </c>
      <c r="W497" t="str">
        <f>IFERROR(__xludf.DUMMYFUNCTION("""COMPUTED_VALUE"""),"ปลอดภัย")</f>
        <v>ปลอดภัย</v>
      </c>
      <c r="X497" t="str">
        <f>IFERROR(__xludf.DUMMYFUNCTION("""COMPUTED_VALUE"""),"Bangkok")</f>
        <v>Bangkok</v>
      </c>
      <c r="Y497" t="str">
        <f>IFERROR(__xludf.DUMMYFUNCTION("""COMPUTED_VALUE"""),"Bangrak")</f>
        <v>Bangrak</v>
      </c>
      <c r="Z497" t="str">
        <f>IFERROR(__xludf.DUMMYFUNCTION("""COMPUTED_VALUE"""),"02 233 4107 / 086 823 1951")</f>
        <v>02 233 4107 / 086 823 1951</v>
      </c>
      <c r="AA497" t="str">
        <f>IFERROR(__xludf.DUMMYFUNCTION("""COMPUTED_VALUE"""),"Home / Piyachai")</f>
        <v>Home / Piyachai</v>
      </c>
      <c r="AB497" t="str">
        <f>IFERROR(__xludf.DUMMYFUNCTION("""COMPUTED_VALUE"""),"patteyan@airasia.com")</f>
        <v>patteyan@airasia.com</v>
      </c>
    </row>
    <row r="498">
      <c r="A498">
        <f>IFERROR(__xludf.DUMMYFUNCTION("""COMPUTED_VALUE"""),1009837.0)</f>
        <v>1009837</v>
      </c>
      <c r="B498" t="str">
        <f>IFERROR(__xludf.DUMMYFUNCTION("""COMPUTED_VALUE"""),"Ms.")</f>
        <v>Ms.</v>
      </c>
      <c r="C498" t="str">
        <f>IFERROR(__xludf.DUMMYFUNCTION("""COMPUTED_VALUE"""),"Toonkeawo")</f>
        <v>Toonkeawo</v>
      </c>
      <c r="D498" t="str">
        <f>IFERROR(__xludf.DUMMYFUNCTION("""COMPUTED_VALUE"""),"Shimada")</f>
        <v>Shimada</v>
      </c>
      <c r="E498" t="str">
        <f>IFERROR(__xludf.DUMMYFUNCTION("""COMPUTED_VALUE"""),"Toonkeawo Shimada")</f>
        <v>Toonkeawo Shimada</v>
      </c>
      <c r="F498" t="str">
        <f>IFERROR(__xludf.DUMMYFUNCTION("""COMPUTED_VALUE"""),"นางสาว")</f>
        <v>นางสาว</v>
      </c>
      <c r="G498" t="str">
        <f>IFERROR(__xludf.DUMMYFUNCTION("""COMPUTED_VALUE"""),"ทูลแก้ว")</f>
        <v>ทูลแก้ว</v>
      </c>
      <c r="H498" t="str">
        <f>IFERROR(__xludf.DUMMYFUNCTION("""COMPUTED_VALUE"""),"ชิมาดะ")</f>
        <v>ชิมาดะ</v>
      </c>
      <c r="I498" t="str">
        <f>IFERROR(__xludf.DUMMYFUNCTION("""COMPUTED_VALUE"""),"ทูลแก้ว ชิมาดะ")</f>
        <v>ทูลแก้ว ชิมาดะ</v>
      </c>
      <c r="J498" t="str">
        <f>IFERROR(__xludf.DUMMYFUNCTION("""COMPUTED_VALUE"""),"คาโอริ")</f>
        <v>คาโอริ</v>
      </c>
      <c r="K498" t="str">
        <f>IFERROR(__xludf.DUMMYFUNCTION("""COMPUTED_VALUE"""),"Cabin Crew - CNX")</f>
        <v>Cabin Crew - CNX</v>
      </c>
      <c r="L498" t="str">
        <f>IFERROR(__xludf.DUMMYFUNCTION("""COMPUTED_VALUE"""),"CNX")</f>
        <v>CNX</v>
      </c>
      <c r="M498" s="145" t="str">
        <f>IFERROR(__xludf.DUMMYFUNCTION("""COMPUTED_VALUE"""),"Up Home")</f>
        <v>Up Home</v>
      </c>
      <c r="N498" t="str">
        <f>IFERROR(__xludf.DUMMYFUNCTION("""COMPUTED_VALUE"""),"Active")</f>
        <v>Active</v>
      </c>
      <c r="P498" s="143">
        <f>IFERROR(__xludf.DUMMYFUNCTION("""COMPUTED_VALUE"""),33495.0)</f>
        <v>33495</v>
      </c>
      <c r="Q498" s="146" t="str">
        <f>IFERROR(__xludf.DUMMYFUNCTION("""COMPUTED_VALUE"""),"086-655-9441")</f>
        <v>086-655-9441</v>
      </c>
      <c r="R498" s="147" t="str">
        <f>IFERROR(__xludf.DUMMYFUNCTION("""COMPUTED_VALUE"""),"1509901-06-7492")</f>
        <v>1509901-06-7492</v>
      </c>
      <c r="S498" t="str">
        <f>IFERROR(__xludf.DUMMYFUNCTION("""COMPUTED_VALUE"""),"AC5380943")</f>
        <v>AC5380943</v>
      </c>
      <c r="T498" s="148">
        <f>IFERROR(__xludf.DUMMYFUNCTION("""COMPUTED_VALUE"""),45141.0)</f>
        <v>45141</v>
      </c>
      <c r="U498" s="148">
        <f>IFERROR(__xludf.DUMMYFUNCTION("""COMPUTED_VALUE"""),48793.0)</f>
        <v>48793</v>
      </c>
      <c r="V498" s="149">
        <f>IFERROR(__xludf.DUMMYFUNCTION("""COMPUTED_VALUE"""),48612.0)</f>
        <v>48612</v>
      </c>
      <c r="W498" t="str">
        <f>IFERROR(__xludf.DUMMYFUNCTION("""COMPUTED_VALUE"""),"ปลอดภัย")</f>
        <v>ปลอดภัย</v>
      </c>
      <c r="X498" t="str">
        <f>IFERROR(__xludf.DUMMYFUNCTION("""COMPUTED_VALUE"""),"Chiang Mai Province")</f>
        <v>Chiang Mai Province</v>
      </c>
      <c r="Y498" t="str">
        <f>IFERROR(__xludf.DUMMYFUNCTION("""COMPUTED_VALUE"""),"Ladkrabang")</f>
        <v>Ladkrabang</v>
      </c>
      <c r="Z498" t="str">
        <f>IFERROR(__xludf.DUMMYFUNCTION("""COMPUTED_VALUE"""),"053 244506 / 094 051 1036")</f>
        <v>053 244506 / 094 051 1036</v>
      </c>
      <c r="AA498" t="str">
        <f>IFERROR(__xludf.DUMMYFUNCTION("""COMPUTED_VALUE"""),"Home / Benjaporn")</f>
        <v>Home / Benjaporn</v>
      </c>
      <c r="AB498" t="str">
        <f>IFERROR(__xludf.DUMMYFUNCTION("""COMPUTED_VALUE"""),"toonkeawos@airasia.com")</f>
        <v>toonkeawos@airasia.com</v>
      </c>
    </row>
    <row r="499">
      <c r="A499">
        <f>IFERROR(__xludf.DUMMYFUNCTION("""COMPUTED_VALUE"""),1010430.0)</f>
        <v>1010430</v>
      </c>
      <c r="B499" t="str">
        <f>IFERROR(__xludf.DUMMYFUNCTION("""COMPUTED_VALUE"""),"Ms.")</f>
        <v>Ms.</v>
      </c>
      <c r="C499" t="str">
        <f>IFERROR(__xludf.DUMMYFUNCTION("""COMPUTED_VALUE"""),"Yamintar (Thapachcha)")</f>
        <v>Yamintar (Thapachcha)</v>
      </c>
      <c r="D499" t="str">
        <f>IFERROR(__xludf.DUMMYFUNCTION("""COMPUTED_VALUE"""),"Khanpimool")</f>
        <v>Khanpimool</v>
      </c>
      <c r="E499" t="str">
        <f>IFERROR(__xludf.DUMMYFUNCTION("""COMPUTED_VALUE"""),"Yamintar Khanpimool")</f>
        <v>Yamintar Khanpimool</v>
      </c>
      <c r="F499" t="str">
        <f>IFERROR(__xludf.DUMMYFUNCTION("""COMPUTED_VALUE"""),"นางสาว")</f>
        <v>นางสาว</v>
      </c>
      <c r="G499" t="str">
        <f>IFERROR(__xludf.DUMMYFUNCTION("""COMPUTED_VALUE"""),"ญามิณตาษ์ (ธภัชชา)")</f>
        <v>ญามิณตาษ์ (ธภัชชา)</v>
      </c>
      <c r="H499" t="str">
        <f>IFERROR(__xludf.DUMMYFUNCTION("""COMPUTED_VALUE"""),"ขันธิ์พิมูล")</f>
        <v>ขันธิ์พิมูล</v>
      </c>
      <c r="I499" t="str">
        <f>IFERROR(__xludf.DUMMYFUNCTION("""COMPUTED_VALUE"""),"ญามิณตาษ์ ขันธิ์พิมูล")</f>
        <v>ญามิณตาษ์ ขันธิ์พิมูล</v>
      </c>
      <c r="J499" t="str">
        <f>IFERROR(__xludf.DUMMYFUNCTION("""COMPUTED_VALUE"""),"มิน")</f>
        <v>มิน</v>
      </c>
      <c r="K499" t="str">
        <f>IFERROR(__xludf.DUMMYFUNCTION("""COMPUTED_VALUE"""),"Senior Cabin Crew")</f>
        <v>Senior Cabin Crew</v>
      </c>
      <c r="L499" t="str">
        <f>IFERROR(__xludf.DUMMYFUNCTION("""COMPUTED_VALUE"""),"DMK")</f>
        <v>DMK</v>
      </c>
      <c r="M499" s="145" t="str">
        <f>IFERROR(__xludf.DUMMYFUNCTION("""COMPUTED_VALUE"""),"Por+ Home")</f>
        <v>Por+ Home</v>
      </c>
      <c r="N499" t="str">
        <f>IFERROR(__xludf.DUMMYFUNCTION("""COMPUTED_VALUE"""),"Active")</f>
        <v>Active</v>
      </c>
      <c r="P499" s="143">
        <f>IFERROR(__xludf.DUMMYFUNCTION("""COMPUTED_VALUE"""),32416.0)</f>
        <v>32416</v>
      </c>
      <c r="Q499" s="146" t="str">
        <f>IFERROR(__xludf.DUMMYFUNCTION("""COMPUTED_VALUE"""),"061 924 4655")</f>
        <v>061 924 4655</v>
      </c>
      <c r="R499" s="147">
        <f>IFERROR(__xludf.DUMMYFUNCTION("""COMPUTED_VALUE"""),1.149900140009E12)</f>
        <v>1149900140009</v>
      </c>
      <c r="S499" t="str">
        <f>IFERROR(__xludf.DUMMYFUNCTION("""COMPUTED_VALUE"""),"AC4360651")</f>
        <v>AC4360651</v>
      </c>
      <c r="T499" s="148">
        <f>IFERROR(__xludf.DUMMYFUNCTION("""COMPUTED_VALUE"""),44937.0)</f>
        <v>44937</v>
      </c>
      <c r="U499" s="148">
        <f>IFERROR(__xludf.DUMMYFUNCTION("""COMPUTED_VALUE"""),46762.0)</f>
        <v>46762</v>
      </c>
      <c r="V499" s="149">
        <f>IFERROR(__xludf.DUMMYFUNCTION("""COMPUTED_VALUE"""),46578.0)</f>
        <v>46578</v>
      </c>
      <c r="W499" t="str">
        <f>IFERROR(__xludf.DUMMYFUNCTION("""COMPUTED_VALUE"""),"ปลอดภัย")</f>
        <v>ปลอดภัย</v>
      </c>
      <c r="X499" t="str">
        <f>IFERROR(__xludf.DUMMYFUNCTION("""COMPUTED_VALUE"""),"Phra Nakhon Si Ayutthaya Province")</f>
        <v>Phra Nakhon Si Ayutthaya Province</v>
      </c>
      <c r="Y499" t="str">
        <f>IFERROR(__xludf.DUMMYFUNCTION("""COMPUTED_VALUE"""),"Phayathai")</f>
        <v>Phayathai</v>
      </c>
      <c r="Z499" t="str">
        <f>IFERROR(__xludf.DUMMYFUNCTION("""COMPUTED_VALUE"""),"086-388-4124")</f>
        <v>086-388-4124</v>
      </c>
      <c r="AA499" t="str">
        <f>IFERROR(__xludf.DUMMYFUNCTION("""COMPUTED_VALUE"""),"Brother")</f>
        <v>Brother</v>
      </c>
      <c r="AB499" t="str">
        <f>IFERROR(__xludf.DUMMYFUNCTION("""COMPUTED_VALUE"""),"yamintarkhanpimool@airasia.com")</f>
        <v>yamintarkhanpimool@airasia.com</v>
      </c>
    </row>
    <row r="500">
      <c r="A500">
        <f>IFERROR(__xludf.DUMMYFUNCTION("""COMPUTED_VALUE"""),1010700.0)</f>
        <v>1010700</v>
      </c>
      <c r="B500" t="str">
        <f>IFERROR(__xludf.DUMMYFUNCTION("""COMPUTED_VALUE"""),"Ms.")</f>
        <v>Ms.</v>
      </c>
      <c r="C500" t="str">
        <f>IFERROR(__xludf.DUMMYFUNCTION("""COMPUTED_VALUE"""),"Buntika")</f>
        <v>Buntika</v>
      </c>
      <c r="D500" t="str">
        <f>IFERROR(__xludf.DUMMYFUNCTION("""COMPUTED_VALUE"""),"Wongkham")</f>
        <v>Wongkham</v>
      </c>
      <c r="E500" t="str">
        <f>IFERROR(__xludf.DUMMYFUNCTION("""COMPUTED_VALUE"""),"Buntika Wongkham")</f>
        <v>Buntika Wongkham</v>
      </c>
      <c r="F500" t="str">
        <f>IFERROR(__xludf.DUMMYFUNCTION("""COMPUTED_VALUE"""),"นางสาว")</f>
        <v>นางสาว</v>
      </c>
      <c r="G500" t="str">
        <f>IFERROR(__xludf.DUMMYFUNCTION("""COMPUTED_VALUE"""),"บุญฑิกา")</f>
        <v>บุญฑิกา</v>
      </c>
      <c r="H500" t="str">
        <f>IFERROR(__xludf.DUMMYFUNCTION("""COMPUTED_VALUE"""),"วงค์คำ")</f>
        <v>วงค์คำ</v>
      </c>
      <c r="I500" t="str">
        <f>IFERROR(__xludf.DUMMYFUNCTION("""COMPUTED_VALUE"""),"บุญฑิกา วงศ์คำ")</f>
        <v>บุญฑิกา วงศ์คำ</v>
      </c>
      <c r="J500" t="str">
        <f>IFERROR(__xludf.DUMMYFUNCTION("""COMPUTED_VALUE"""),"Parn")</f>
        <v>Parn</v>
      </c>
      <c r="K500" t="str">
        <f>IFERROR(__xludf.DUMMYFUNCTION("""COMPUTED_VALUE"""),"Senior Cabin Crew - CNX")</f>
        <v>Senior Cabin Crew - CNX</v>
      </c>
      <c r="L500" t="str">
        <f>IFERROR(__xludf.DUMMYFUNCTION("""COMPUTED_VALUE"""),"CNX")</f>
        <v>CNX</v>
      </c>
      <c r="M500" s="145" t="str">
        <f>IFERROR(__xludf.DUMMYFUNCTION("""COMPUTED_VALUE"""),"Up Home")</f>
        <v>Up Home</v>
      </c>
      <c r="N500" t="str">
        <f>IFERROR(__xludf.DUMMYFUNCTION("""COMPUTED_VALUE"""),"Active")</f>
        <v>Active</v>
      </c>
      <c r="P500" s="143">
        <f>IFERROR(__xludf.DUMMYFUNCTION("""COMPUTED_VALUE"""),32341.0)</f>
        <v>32341</v>
      </c>
      <c r="Q500" s="146" t="str">
        <f>IFERROR(__xludf.DUMMYFUNCTION("""COMPUTED_VALUE"""),"085 864 7633")</f>
        <v>085 864 7633</v>
      </c>
      <c r="R500" s="147">
        <f>IFERROR(__xludf.DUMMYFUNCTION("""COMPUTED_VALUE"""),3.509900432193E12)</f>
        <v>3509900432193</v>
      </c>
      <c r="S500" t="str">
        <f>IFERROR(__xludf.DUMMYFUNCTION("""COMPUTED_VALUE"""),"AD2090934")</f>
        <v>AD2090934</v>
      </c>
      <c r="T500" s="148">
        <f>IFERROR(__xludf.DUMMYFUNCTION("""COMPUTED_VALUE"""),45726.0)</f>
        <v>45726</v>
      </c>
      <c r="U500" s="148">
        <f>IFERROR(__xludf.DUMMYFUNCTION("""COMPUTED_VALUE"""),49377.0)</f>
        <v>49377</v>
      </c>
      <c r="V500" s="149">
        <f>IFERROR(__xludf.DUMMYFUNCTION("""COMPUTED_VALUE"""),49196.0)</f>
        <v>49196</v>
      </c>
      <c r="W500" t="str">
        <f>IFERROR(__xludf.DUMMYFUNCTION("""COMPUTED_VALUE"""),"ปลอดภัย")</f>
        <v>ปลอดภัย</v>
      </c>
      <c r="X500" t="str">
        <f>IFERROR(__xludf.DUMMYFUNCTION("""COMPUTED_VALUE"""),"Chiang Mai Province")</f>
        <v>Chiang Mai Province</v>
      </c>
      <c r="Y500" t="str">
        <f>IFERROR(__xludf.DUMMYFUNCTION("""COMPUTED_VALUE"""),"Chiangmai")</f>
        <v>Chiangmai</v>
      </c>
      <c r="Z500" t="str">
        <f>IFERROR(__xludf.DUMMYFUNCTION("""COMPUTED_VALUE"""),"086 732 1921")</f>
        <v>086 732 1921</v>
      </c>
      <c r="AA500" t="str">
        <f>IFERROR(__xludf.DUMMYFUNCTION("""COMPUTED_VALUE"""),"Mother")</f>
        <v>Mother</v>
      </c>
      <c r="AB500" t="str">
        <f>IFERROR(__xludf.DUMMYFUNCTION("""COMPUTED_VALUE"""),"buntikawongkham@airasia.com")</f>
        <v>buntikawongkham@airasia.com</v>
      </c>
    </row>
    <row r="501">
      <c r="A501">
        <f>IFERROR(__xludf.DUMMYFUNCTION("""COMPUTED_VALUE"""),1010731.0)</f>
        <v>1010731</v>
      </c>
      <c r="B501" t="str">
        <f>IFERROR(__xludf.DUMMYFUNCTION("""COMPUTED_VALUE"""),"Ms.")</f>
        <v>Ms.</v>
      </c>
      <c r="C501" t="str">
        <f>IFERROR(__xludf.DUMMYFUNCTION("""COMPUTED_VALUE"""),"Samatikan")</f>
        <v>Samatikan</v>
      </c>
      <c r="D501" t="str">
        <f>IFERROR(__xludf.DUMMYFUNCTION("""COMPUTED_VALUE"""),"Boonket")</f>
        <v>Boonket</v>
      </c>
      <c r="E501" t="str">
        <f>IFERROR(__xludf.DUMMYFUNCTION("""COMPUTED_VALUE"""),"Samatikan Boonket")</f>
        <v>Samatikan Boonket</v>
      </c>
      <c r="F501" t="str">
        <f>IFERROR(__xludf.DUMMYFUNCTION("""COMPUTED_VALUE"""),"นางสาว")</f>
        <v>นางสาว</v>
      </c>
      <c r="G501" t="str">
        <f>IFERROR(__xludf.DUMMYFUNCTION("""COMPUTED_VALUE"""),"สมาธิการ")</f>
        <v>สมาธิการ</v>
      </c>
      <c r="H501" t="str">
        <f>IFERROR(__xludf.DUMMYFUNCTION("""COMPUTED_VALUE"""),"บุญเกตุ")</f>
        <v>บุญเกตุ</v>
      </c>
      <c r="I501" t="str">
        <f>IFERROR(__xludf.DUMMYFUNCTION("""COMPUTED_VALUE"""),"สมาธิการ บุญเกตุ")</f>
        <v>สมาธิการ บุญเกตุ</v>
      </c>
      <c r="J501" t="str">
        <f>IFERROR(__xludf.DUMMYFUNCTION("""COMPUTED_VALUE"""),"ส้มหล่น")</f>
        <v>ส้มหล่น</v>
      </c>
      <c r="K501" t="str">
        <f>IFERROR(__xludf.DUMMYFUNCTION("""COMPUTED_VALUE"""),"Cabin Crew")</f>
        <v>Cabin Crew</v>
      </c>
      <c r="L501" t="str">
        <f>IFERROR(__xludf.DUMMYFUNCTION("""COMPUTED_VALUE"""),"DMK")</f>
        <v>DMK</v>
      </c>
      <c r="M501" s="145" t="str">
        <f>IFERROR(__xludf.DUMMYFUNCTION("""COMPUTED_VALUE"""),"Um Home")</f>
        <v>Um Home</v>
      </c>
      <c r="N501" t="str">
        <f>IFERROR(__xludf.DUMMYFUNCTION("""COMPUTED_VALUE"""),"Active")</f>
        <v>Active</v>
      </c>
      <c r="P501" s="143">
        <f>IFERROR(__xludf.DUMMYFUNCTION("""COMPUTED_VALUE"""),32807.0)</f>
        <v>32807</v>
      </c>
      <c r="Q501" s="146" t="str">
        <f>IFERROR(__xludf.DUMMYFUNCTION("""COMPUTED_VALUE"""),"095-047-8889")</f>
        <v>095-047-8889</v>
      </c>
      <c r="R501" s="147">
        <f>IFERROR(__xludf.DUMMYFUNCTION("""COMPUTED_VALUE"""),1.600100344448E12)</f>
        <v>1600100344448</v>
      </c>
      <c r="S501" t="str">
        <f>IFERROR(__xludf.DUMMYFUNCTION("""COMPUTED_VALUE"""),"AC2495153")</f>
        <v>AC2495153</v>
      </c>
      <c r="T501" s="148">
        <f>IFERROR(__xludf.DUMMYFUNCTION("""COMPUTED_VALUE"""),44533.0)</f>
        <v>44533</v>
      </c>
      <c r="U501" s="148">
        <f>IFERROR(__xludf.DUMMYFUNCTION("""COMPUTED_VALUE"""),48184.0)</f>
        <v>48184</v>
      </c>
      <c r="V501" s="149">
        <f>IFERROR(__xludf.DUMMYFUNCTION("""COMPUTED_VALUE"""),48001.0)</f>
        <v>48001</v>
      </c>
      <c r="W501" t="str">
        <f>IFERROR(__xludf.DUMMYFUNCTION("""COMPUTED_VALUE"""),"ปลอดภัย")</f>
        <v>ปลอดภัย</v>
      </c>
      <c r="X501" t="str">
        <f>IFERROR(__xludf.DUMMYFUNCTION("""COMPUTED_VALUE"""),"Nakhon Sawan Province")</f>
        <v>Nakhon Sawan Province</v>
      </c>
      <c r="Y501" t="str">
        <f>IFERROR(__xludf.DUMMYFUNCTION("""COMPUTED_VALUE"""),"Nakhonsawan")</f>
        <v>Nakhonsawan</v>
      </c>
      <c r="Z501" t="str">
        <f>IFERROR(__xludf.DUMMYFUNCTION("""COMPUTED_VALUE"""),"081 680 9418 / 081 615 2015")</f>
        <v>081 680 9418 / 081 615 2015</v>
      </c>
      <c r="AA501" t="str">
        <f>IFERROR(__xludf.DUMMYFUNCTION("""COMPUTED_VALUE"""),"Mother / Father")</f>
        <v>Mother / Father</v>
      </c>
      <c r="AB501" t="str">
        <f>IFERROR(__xludf.DUMMYFUNCTION("""COMPUTED_VALUE"""),"samatikanb@airasia.com")</f>
        <v>samatikanb@airasia.com</v>
      </c>
    </row>
    <row r="502">
      <c r="AB502" t="str">
        <f>IFERROR(__xludf.DUMMYFUNCTION("""COMPUTED_VALUE"""),"")</f>
        <v/>
      </c>
    </row>
    <row r="503">
      <c r="A503">
        <f>IFERROR(__xludf.DUMMYFUNCTION("""COMPUTED_VALUE"""),1010884.0)</f>
        <v>1010884</v>
      </c>
      <c r="B503" t="str">
        <f>IFERROR(__xludf.DUMMYFUNCTION("""COMPUTED_VALUE"""),"Mr.")</f>
        <v>Mr.</v>
      </c>
      <c r="C503" t="str">
        <f>IFERROR(__xludf.DUMMYFUNCTION("""COMPUTED_VALUE"""),"Gridsapol")</f>
        <v>Gridsapol</v>
      </c>
      <c r="D503" t="str">
        <f>IFERROR(__xludf.DUMMYFUNCTION("""COMPUTED_VALUE"""),"Kittipakorn")</f>
        <v>Kittipakorn</v>
      </c>
      <c r="E503" t="str">
        <f>IFERROR(__xludf.DUMMYFUNCTION("""COMPUTED_VALUE"""),"Gridsapol Kittipakorn")</f>
        <v>Gridsapol Kittipakorn</v>
      </c>
      <c r="F503" t="str">
        <f>IFERROR(__xludf.DUMMYFUNCTION("""COMPUTED_VALUE"""),"นาย")</f>
        <v>นาย</v>
      </c>
      <c r="G503" t="str">
        <f>IFERROR(__xludf.DUMMYFUNCTION("""COMPUTED_VALUE"""),"กฤศภณ")</f>
        <v>กฤศภณ</v>
      </c>
      <c r="H503" t="str">
        <f>IFERROR(__xludf.DUMMYFUNCTION("""COMPUTED_VALUE"""),"กิตติภากรณ์")</f>
        <v>กิตติภากรณ์</v>
      </c>
      <c r="I503" t="str">
        <f>IFERROR(__xludf.DUMMYFUNCTION("""COMPUTED_VALUE"""),"กฤศภณ กิตติภากรณ์")</f>
        <v>กฤศภณ กิตติภากรณ์</v>
      </c>
      <c r="J503" t="str">
        <f>IFERROR(__xludf.DUMMYFUNCTION("""COMPUTED_VALUE"""),"Benz")</f>
        <v>Benz</v>
      </c>
      <c r="K503" t="str">
        <f>IFERROR(__xludf.DUMMYFUNCTION("""COMPUTED_VALUE"""),"Senior Cabin Crew")</f>
        <v>Senior Cabin Crew</v>
      </c>
      <c r="L503" t="str">
        <f>IFERROR(__xludf.DUMMYFUNCTION("""COMPUTED_VALUE"""),"DMK")</f>
        <v>DMK</v>
      </c>
      <c r="M503" s="145" t="str">
        <f>IFERROR(__xludf.DUMMYFUNCTION("""COMPUTED_VALUE"""),"Namfon Home")</f>
        <v>Namfon Home</v>
      </c>
      <c r="N503" t="str">
        <f>IFERROR(__xludf.DUMMYFUNCTION("""COMPUTED_VALUE"""),"Active")</f>
        <v>Active</v>
      </c>
      <c r="P503" s="143">
        <f>IFERROR(__xludf.DUMMYFUNCTION("""COMPUTED_VALUE"""),32403.0)</f>
        <v>32403</v>
      </c>
      <c r="Q503" s="146" t="str">
        <f>IFERROR(__xludf.DUMMYFUNCTION("""COMPUTED_VALUE"""),"097-424-1456")</f>
        <v>097-424-1456</v>
      </c>
      <c r="R503" s="147" t="str">
        <f>IFERROR(__xludf.DUMMYFUNCTION("""COMPUTED_VALUE"""),"1100400-35-0243")</f>
        <v>1100400-35-0243</v>
      </c>
      <c r="S503" t="str">
        <f>IFERROR(__xludf.DUMMYFUNCTION("""COMPUTED_VALUE"""),"AD1692850")</f>
        <v>AD1692850</v>
      </c>
      <c r="T503" s="148">
        <f>IFERROR(__xludf.DUMMYFUNCTION("""COMPUTED_VALUE"""),45327.0)</f>
        <v>45327</v>
      </c>
      <c r="U503" s="148">
        <f>IFERROR(__xludf.DUMMYFUNCTION("""COMPUTED_VALUE"""),48979.0)</f>
        <v>48979</v>
      </c>
      <c r="V503" s="149">
        <f>IFERROR(__xludf.DUMMYFUNCTION("""COMPUTED_VALUE"""),48795.0)</f>
        <v>48795</v>
      </c>
      <c r="W503" t="str">
        <f>IFERROR(__xludf.DUMMYFUNCTION("""COMPUTED_VALUE"""),"ปลอดภัย")</f>
        <v>ปลอดภัย</v>
      </c>
      <c r="X503" t="str">
        <f>IFERROR(__xludf.DUMMYFUNCTION("""COMPUTED_VALUE"""),"Bangkok")</f>
        <v>Bangkok</v>
      </c>
      <c r="Y503" t="str">
        <f>IFERROR(__xludf.DUMMYFUNCTION("""COMPUTED_VALUE"""),"Pasicharoen")</f>
        <v>Pasicharoen</v>
      </c>
      <c r="Z503" t="str">
        <f>IFERROR(__xludf.DUMMYFUNCTION("""COMPUTED_VALUE"""),"086 345 5397")</f>
        <v>086 345 5397</v>
      </c>
      <c r="AA503" t="str">
        <f>IFERROR(__xludf.DUMMYFUNCTION("""COMPUTED_VALUE"""),"Pakamon")</f>
        <v>Pakamon</v>
      </c>
      <c r="AB503" t="str">
        <f>IFERROR(__xludf.DUMMYFUNCTION("""COMPUTED_VALUE"""),"gridsapolk@airasia.com")</f>
        <v>gridsapolk@airasia.com</v>
      </c>
    </row>
    <row r="504">
      <c r="A504">
        <f>IFERROR(__xludf.DUMMYFUNCTION("""COMPUTED_VALUE"""),1010904.0)</f>
        <v>1010904</v>
      </c>
      <c r="B504" t="str">
        <f>IFERROR(__xludf.DUMMYFUNCTION("""COMPUTED_VALUE"""),"Mr.")</f>
        <v>Mr.</v>
      </c>
      <c r="C504" t="str">
        <f>IFERROR(__xludf.DUMMYFUNCTION("""COMPUTED_VALUE"""),"Phadoongkiat")</f>
        <v>Phadoongkiat</v>
      </c>
      <c r="D504" t="str">
        <f>IFERROR(__xludf.DUMMYFUNCTION("""COMPUTED_VALUE"""),"Phanwilai")</f>
        <v>Phanwilai</v>
      </c>
      <c r="E504" t="str">
        <f>IFERROR(__xludf.DUMMYFUNCTION("""COMPUTED_VALUE"""),"Phadoongkiat Phanwilai")</f>
        <v>Phadoongkiat Phanwilai</v>
      </c>
      <c r="F504" t="str">
        <f>IFERROR(__xludf.DUMMYFUNCTION("""COMPUTED_VALUE"""),"นาย")</f>
        <v>นาย</v>
      </c>
      <c r="G504" t="str">
        <f>IFERROR(__xludf.DUMMYFUNCTION("""COMPUTED_VALUE"""),"ผดุงเกียรติ")</f>
        <v>ผดุงเกียรติ</v>
      </c>
      <c r="H504" t="str">
        <f>IFERROR(__xludf.DUMMYFUNCTION("""COMPUTED_VALUE"""),"พันธ์วิไล")</f>
        <v>พันธ์วิไล</v>
      </c>
      <c r="I504" t="str">
        <f>IFERROR(__xludf.DUMMYFUNCTION("""COMPUTED_VALUE"""),"ผดุงเกียรติ พันธ์วิไล")</f>
        <v>ผดุงเกียรติ พันธ์วิไล</v>
      </c>
      <c r="J504" t="str">
        <f>IFERROR(__xludf.DUMMYFUNCTION("""COMPUTED_VALUE"""),"Kio")</f>
        <v>Kio</v>
      </c>
      <c r="K504" t="str">
        <f>IFERROR(__xludf.DUMMYFUNCTION("""COMPUTED_VALUE"""),"Senior Cabin Crew")</f>
        <v>Senior Cabin Crew</v>
      </c>
      <c r="L504" t="str">
        <f>IFERROR(__xludf.DUMMYFUNCTION("""COMPUTED_VALUE"""),"DMK")</f>
        <v>DMK</v>
      </c>
      <c r="M504" s="145" t="str">
        <f>IFERROR(__xludf.DUMMYFUNCTION("""COMPUTED_VALUE"""),"Namfon Home")</f>
        <v>Namfon Home</v>
      </c>
      <c r="N504" t="str">
        <f>IFERROR(__xludf.DUMMYFUNCTION("""COMPUTED_VALUE"""),"Active")</f>
        <v>Active</v>
      </c>
      <c r="P504" s="143">
        <f>IFERROR(__xludf.DUMMYFUNCTION("""COMPUTED_VALUE"""),32116.0)</f>
        <v>32116</v>
      </c>
      <c r="Q504" s="146" t="str">
        <f>IFERROR(__xludf.DUMMYFUNCTION("""COMPUTED_VALUE"""),"086-728-7178")</f>
        <v>086-728-7178</v>
      </c>
      <c r="R504" s="147" t="str">
        <f>IFERROR(__xludf.DUMMYFUNCTION("""COMPUTED_VALUE"""),"1509900-55-6198")</f>
        <v>1509900-55-6198</v>
      </c>
      <c r="S504" t="str">
        <f>IFERROR(__xludf.DUMMYFUNCTION("""COMPUTED_VALUE"""),"AC2317575")</f>
        <v>AC2317575</v>
      </c>
      <c r="T504" s="148">
        <f>IFERROR(__xludf.DUMMYFUNCTION("""COMPUTED_VALUE"""),44368.0)</f>
        <v>44368</v>
      </c>
      <c r="U504" s="148">
        <f>IFERROR(__xludf.DUMMYFUNCTION("""COMPUTED_VALUE"""),48019.0)</f>
        <v>48019</v>
      </c>
      <c r="V504" s="149">
        <f>IFERROR(__xludf.DUMMYFUNCTION("""COMPUTED_VALUE"""),47837.0)</f>
        <v>47837</v>
      </c>
      <c r="W504" t="str">
        <f>IFERROR(__xludf.DUMMYFUNCTION("""COMPUTED_VALUE"""),"ปลอดภัย")</f>
        <v>ปลอดภัย</v>
      </c>
      <c r="X504" t="str">
        <f>IFERROR(__xludf.DUMMYFUNCTION("""COMPUTED_VALUE"""),"Chiang Mai Province")</f>
        <v>Chiang Mai Province</v>
      </c>
      <c r="Y504" t="str">
        <f>IFERROR(__xludf.DUMMYFUNCTION("""COMPUTED_VALUE"""),"Chatujak")</f>
        <v>Chatujak</v>
      </c>
      <c r="Z504" t="str">
        <f>IFERROR(__xludf.DUMMYFUNCTION("""COMPUTED_VALUE"""),"084 222 0180")</f>
        <v>084 222 0180</v>
      </c>
      <c r="AA504" t="str">
        <f>IFERROR(__xludf.DUMMYFUNCTION("""COMPUTED_VALUE"""),"Sister")</f>
        <v>Sister</v>
      </c>
      <c r="AB504" t="str">
        <f>IFERROR(__xludf.DUMMYFUNCTION("""COMPUTED_VALUE"""),"phadoongkiatp@airasia.com")</f>
        <v>phadoongkiatp@airasia.com</v>
      </c>
    </row>
    <row r="505">
      <c r="A505">
        <f>IFERROR(__xludf.DUMMYFUNCTION("""COMPUTED_VALUE"""),1010916.0)</f>
        <v>1010916</v>
      </c>
      <c r="B505" t="str">
        <f>IFERROR(__xludf.DUMMYFUNCTION("""COMPUTED_VALUE"""),"Mr.")</f>
        <v>Mr.</v>
      </c>
      <c r="C505" t="str">
        <f>IFERROR(__xludf.DUMMYFUNCTION("""COMPUTED_VALUE"""),"Sivakorn")</f>
        <v>Sivakorn</v>
      </c>
      <c r="D505" t="str">
        <f>IFERROR(__xludf.DUMMYFUNCTION("""COMPUTED_VALUE"""),"Sangsukiam")</f>
        <v>Sangsukiam</v>
      </c>
      <c r="E505" t="str">
        <f>IFERROR(__xludf.DUMMYFUNCTION("""COMPUTED_VALUE"""),"Sivakorn Sangsukiam")</f>
        <v>Sivakorn Sangsukiam</v>
      </c>
      <c r="F505" t="str">
        <f>IFERROR(__xludf.DUMMYFUNCTION("""COMPUTED_VALUE"""),"นาย")</f>
        <v>นาย</v>
      </c>
      <c r="G505" t="str">
        <f>IFERROR(__xludf.DUMMYFUNCTION("""COMPUTED_VALUE"""),"ศิวากร")</f>
        <v>ศิวากร</v>
      </c>
      <c r="H505" t="str">
        <f>IFERROR(__xludf.DUMMYFUNCTION("""COMPUTED_VALUE"""),"แสงสุขเอี่ยม")</f>
        <v>แสงสุขเอี่ยม</v>
      </c>
      <c r="I505" t="str">
        <f>IFERROR(__xludf.DUMMYFUNCTION("""COMPUTED_VALUE"""),"ศิวากร แสงสุขเอี่ยม")</f>
        <v>ศิวากร แสงสุขเอี่ยม</v>
      </c>
      <c r="J505" t="str">
        <f>IFERROR(__xludf.DUMMYFUNCTION("""COMPUTED_VALUE"""),"M")</f>
        <v>M</v>
      </c>
      <c r="K505" t="str">
        <f>IFERROR(__xludf.DUMMYFUNCTION("""COMPUTED_VALUE"""),"Senior Cabin Crew")</f>
        <v>Senior Cabin Crew</v>
      </c>
      <c r="L505" t="str">
        <f>IFERROR(__xludf.DUMMYFUNCTION("""COMPUTED_VALUE"""),"DMK")</f>
        <v>DMK</v>
      </c>
      <c r="M505" s="145" t="str">
        <f>IFERROR(__xludf.DUMMYFUNCTION("""COMPUTED_VALUE"""),"Por+ Home")</f>
        <v>Por+ Home</v>
      </c>
      <c r="N505" t="str">
        <f>IFERROR(__xludf.DUMMYFUNCTION("""COMPUTED_VALUE"""),"Active")</f>
        <v>Active</v>
      </c>
      <c r="O505" t="str">
        <f>IFERROR(__xludf.DUMMYFUNCTION("""COMPUTED_VALUE"""),"SCC Line Checker 2025")</f>
        <v>SCC Line Checker 2025</v>
      </c>
      <c r="P505" s="143">
        <f>IFERROR(__xludf.DUMMYFUNCTION("""COMPUTED_VALUE"""),32633.0)</f>
        <v>32633</v>
      </c>
      <c r="Q505" s="146" t="str">
        <f>IFERROR(__xludf.DUMMYFUNCTION("""COMPUTED_VALUE"""),"092 280 4926")</f>
        <v>092 280 4926</v>
      </c>
      <c r="R505" s="147" t="str">
        <f>IFERROR(__xludf.DUMMYFUNCTION("""COMPUTED_VALUE"""),"110150-03-4683")</f>
        <v>110150-03-4683</v>
      </c>
      <c r="S505" t="str">
        <f>IFERROR(__xludf.DUMMYFUNCTION("""COMPUTED_VALUE"""),"AC2284653")</f>
        <v>AC2284653</v>
      </c>
      <c r="T505" s="148">
        <f>IFERROR(__xludf.DUMMYFUNCTION("""COMPUTED_VALUE"""),44340.0)</f>
        <v>44340</v>
      </c>
      <c r="U505" s="148">
        <f>IFERROR(__xludf.DUMMYFUNCTION("""COMPUTED_VALUE"""),47991.0)</f>
        <v>47991</v>
      </c>
      <c r="V505" s="149">
        <f>IFERROR(__xludf.DUMMYFUNCTION("""COMPUTED_VALUE"""),47810.0)</f>
        <v>47810</v>
      </c>
      <c r="W505" t="str">
        <f>IFERROR(__xludf.DUMMYFUNCTION("""COMPUTED_VALUE"""),"ปลอดภัย")</f>
        <v>ปลอดภัย</v>
      </c>
      <c r="X505" t="str">
        <f>IFERROR(__xludf.DUMMYFUNCTION("""COMPUTED_VALUE"""),"Bangkok")</f>
        <v>Bangkok</v>
      </c>
      <c r="Y505" t="str">
        <f>IFERROR(__xludf.DUMMYFUNCTION("""COMPUTED_VALUE"""),"Samutsakorn")</f>
        <v>Samutsakorn</v>
      </c>
      <c r="Z505" t="str">
        <f>IFERROR(__xludf.DUMMYFUNCTION("""COMPUTED_VALUE"""),"097 029 3864")</f>
        <v>097 029 3864</v>
      </c>
      <c r="AA505" t="str">
        <f>IFERROR(__xludf.DUMMYFUNCTION("""COMPUTED_VALUE"""),"Mother")</f>
        <v>Mother</v>
      </c>
      <c r="AB505" t="str">
        <f>IFERROR(__xludf.DUMMYFUNCTION("""COMPUTED_VALUE"""),"sivakorns@airasia.com")</f>
        <v>sivakorns@airasia.com</v>
      </c>
    </row>
    <row r="506">
      <c r="A506">
        <f>IFERROR(__xludf.DUMMYFUNCTION("""COMPUTED_VALUE"""),1010934.0)</f>
        <v>1010934</v>
      </c>
      <c r="B506" t="str">
        <f>IFERROR(__xludf.DUMMYFUNCTION("""COMPUTED_VALUE"""),"Mr.")</f>
        <v>Mr.</v>
      </c>
      <c r="C506" t="str">
        <f>IFERROR(__xludf.DUMMYFUNCTION("""COMPUTED_VALUE"""),"Werawat")</f>
        <v>Werawat</v>
      </c>
      <c r="D506" t="str">
        <f>IFERROR(__xludf.DUMMYFUNCTION("""COMPUTED_VALUE"""),"Sittipachaikul")</f>
        <v>Sittipachaikul</v>
      </c>
      <c r="E506" t="str">
        <f>IFERROR(__xludf.DUMMYFUNCTION("""COMPUTED_VALUE"""),"Werawat Sittipachaikul")</f>
        <v>Werawat Sittipachaikul</v>
      </c>
      <c r="F506" t="str">
        <f>IFERROR(__xludf.DUMMYFUNCTION("""COMPUTED_VALUE"""),"นาย")</f>
        <v>นาย</v>
      </c>
      <c r="G506" t="str">
        <f>IFERROR(__xludf.DUMMYFUNCTION("""COMPUTED_VALUE"""),"วีรวัฒน์")</f>
        <v>วีรวัฒน์</v>
      </c>
      <c r="H506" t="str">
        <f>IFERROR(__xludf.DUMMYFUNCTION("""COMPUTED_VALUE"""),"สิทธิพาชัยกุล")</f>
        <v>สิทธิพาชัยกุล</v>
      </c>
      <c r="I506" t="str">
        <f>IFERROR(__xludf.DUMMYFUNCTION("""COMPUTED_VALUE"""),"วีรวัฒน์ สิทธิพาชัยกุล")</f>
        <v>วีรวัฒน์ สิทธิพาชัยกุล</v>
      </c>
      <c r="J506" t="str">
        <f>IFERROR(__xludf.DUMMYFUNCTION("""COMPUTED_VALUE"""),"Top")</f>
        <v>Top</v>
      </c>
      <c r="K506" t="str">
        <f>IFERROR(__xludf.DUMMYFUNCTION("""COMPUTED_VALUE"""),"Senior Cabin Crew")</f>
        <v>Senior Cabin Crew</v>
      </c>
      <c r="L506" t="str">
        <f>IFERROR(__xludf.DUMMYFUNCTION("""COMPUTED_VALUE"""),"DMK")</f>
        <v>DMK</v>
      </c>
      <c r="M506" s="145" t="str">
        <f>IFERROR(__xludf.DUMMYFUNCTION("""COMPUTED_VALUE"""),"Namfon Home")</f>
        <v>Namfon Home</v>
      </c>
      <c r="N506" t="str">
        <f>IFERROR(__xludf.DUMMYFUNCTION("""COMPUTED_VALUE"""),"Active")</f>
        <v>Active</v>
      </c>
      <c r="O506" t="str">
        <f>IFERROR(__xludf.DUMMYFUNCTION("""COMPUTED_VALUE"""),"Japanese Speaking")</f>
        <v>Japanese Speaking</v>
      </c>
      <c r="P506" s="143">
        <f>IFERROR(__xludf.DUMMYFUNCTION("""COMPUTED_VALUE"""),31321.0)</f>
        <v>31321</v>
      </c>
      <c r="Q506" s="146" t="str">
        <f>IFERROR(__xludf.DUMMYFUNCTION("""COMPUTED_VALUE"""),"061 469 9166")</f>
        <v>061 469 9166</v>
      </c>
      <c r="R506" s="147">
        <f>IFERROR(__xludf.DUMMYFUNCTION("""COMPUTED_VALUE"""),1.100800190341E12)</f>
        <v>1100800190341</v>
      </c>
      <c r="S506" t="str">
        <f>IFERROR(__xludf.DUMMYFUNCTION("""COMPUTED_VALUE"""),"AC2290737")</f>
        <v>AC2290737</v>
      </c>
      <c r="T506" s="148">
        <f>IFERROR(__xludf.DUMMYFUNCTION("""COMPUTED_VALUE"""),44343.0)</f>
        <v>44343</v>
      </c>
      <c r="U506" s="148">
        <f>IFERROR(__xludf.DUMMYFUNCTION("""COMPUTED_VALUE"""),47994.0)</f>
        <v>47994</v>
      </c>
      <c r="V506" s="149">
        <f>IFERROR(__xludf.DUMMYFUNCTION("""COMPUTED_VALUE"""),47813.0)</f>
        <v>47813</v>
      </c>
      <c r="W506" t="str">
        <f>IFERROR(__xludf.DUMMYFUNCTION("""COMPUTED_VALUE"""),"ปลอดภัย")</f>
        <v>ปลอดภัย</v>
      </c>
      <c r="X506" t="str">
        <f>IFERROR(__xludf.DUMMYFUNCTION("""COMPUTED_VALUE"""),"Bangkok")</f>
        <v>Bangkok</v>
      </c>
      <c r="Y506" t="str">
        <f>IFERROR(__xludf.DUMMYFUNCTION("""COMPUTED_VALUE"""),"Pakkred")</f>
        <v>Pakkred</v>
      </c>
      <c r="Z506" t="str">
        <f>IFERROR(__xludf.DUMMYFUNCTION("""COMPUTED_VALUE"""),"087 455 7631")</f>
        <v>087 455 7631</v>
      </c>
      <c r="AA506" t="str">
        <f>IFERROR(__xludf.DUMMYFUNCTION("""COMPUTED_VALUE"""),"Mother")</f>
        <v>Mother</v>
      </c>
      <c r="AB506" t="str">
        <f>IFERROR(__xludf.DUMMYFUNCTION("""COMPUTED_VALUE"""),"werawats@airasia.com")</f>
        <v>werawats@airasia.com</v>
      </c>
    </row>
    <row r="507">
      <c r="A507">
        <f>IFERROR(__xludf.DUMMYFUNCTION("""COMPUTED_VALUE"""),1010939.0)</f>
        <v>1010939</v>
      </c>
      <c r="B507" t="str">
        <f>IFERROR(__xludf.DUMMYFUNCTION("""COMPUTED_VALUE"""),"Mr.")</f>
        <v>Mr.</v>
      </c>
      <c r="C507" t="str">
        <f>IFERROR(__xludf.DUMMYFUNCTION("""COMPUTED_VALUE"""),"Yuwarat")</f>
        <v>Yuwarat</v>
      </c>
      <c r="D507" t="str">
        <f>IFERROR(__xludf.DUMMYFUNCTION("""COMPUTED_VALUE"""),"Meesap")</f>
        <v>Meesap</v>
      </c>
      <c r="E507" t="str">
        <f>IFERROR(__xludf.DUMMYFUNCTION("""COMPUTED_VALUE"""),"Yuwarat Meesap")</f>
        <v>Yuwarat Meesap</v>
      </c>
      <c r="F507" t="str">
        <f>IFERROR(__xludf.DUMMYFUNCTION("""COMPUTED_VALUE"""),"นาย")</f>
        <v>นาย</v>
      </c>
      <c r="G507" t="str">
        <f>IFERROR(__xludf.DUMMYFUNCTION("""COMPUTED_VALUE"""),"ยุวรัตน์")</f>
        <v>ยุวรัตน์</v>
      </c>
      <c r="H507" t="str">
        <f>IFERROR(__xludf.DUMMYFUNCTION("""COMPUTED_VALUE"""),"มีทรัพย์")</f>
        <v>มีทรัพย์</v>
      </c>
      <c r="I507" t="str">
        <f>IFERROR(__xludf.DUMMYFUNCTION("""COMPUTED_VALUE"""),"ยุวรัตน์ มีทรัพย์")</f>
        <v>ยุวรัตน์ มีทรัพย์</v>
      </c>
      <c r="J507" t="str">
        <f>IFERROR(__xludf.DUMMYFUNCTION("""COMPUTED_VALUE"""),"Ice")</f>
        <v>Ice</v>
      </c>
      <c r="K507" t="str">
        <f>IFERROR(__xludf.DUMMYFUNCTION("""COMPUTED_VALUE"""),"Senior Cabin Crew")</f>
        <v>Senior Cabin Crew</v>
      </c>
      <c r="L507" t="str">
        <f>IFERROR(__xludf.DUMMYFUNCTION("""COMPUTED_VALUE"""),"DMK")</f>
        <v>DMK</v>
      </c>
      <c r="M507" s="145" t="str">
        <f>IFERROR(__xludf.DUMMYFUNCTION("""COMPUTED_VALUE"""),"Nhui Home")</f>
        <v>Nhui Home</v>
      </c>
      <c r="N507" t="str">
        <f>IFERROR(__xludf.DUMMYFUNCTION("""COMPUTED_VALUE"""),"Active")</f>
        <v>Active</v>
      </c>
      <c r="P507" s="143">
        <f>IFERROR(__xludf.DUMMYFUNCTION("""COMPUTED_VALUE"""),32425.0)</f>
        <v>32425</v>
      </c>
      <c r="Q507" s="146" t="str">
        <f>IFERROR(__xludf.DUMMYFUNCTION("""COMPUTED_VALUE"""),"086-055-9693")</f>
        <v>086-055-9693</v>
      </c>
      <c r="R507" s="147" t="str">
        <f>IFERROR(__xludf.DUMMYFUNCTION("""COMPUTED_VALUE"""),"1102001-02-8927")</f>
        <v>1102001-02-8927</v>
      </c>
      <c r="S507" t="str">
        <f>IFERROR(__xludf.DUMMYFUNCTION("""COMPUTED_VALUE"""),"AC8174264")</f>
        <v>AC8174264</v>
      </c>
      <c r="T507" s="148">
        <f>IFERROR(__xludf.DUMMYFUNCTION("""COMPUTED_VALUE"""),45980.0)</f>
        <v>45980</v>
      </c>
      <c r="U507" s="148">
        <f>IFERROR(__xludf.DUMMYFUNCTION("""COMPUTED_VALUE"""),47805.0)</f>
        <v>47805</v>
      </c>
      <c r="V507" s="149">
        <f>IFERROR(__xludf.DUMMYFUNCTION("""COMPUTED_VALUE"""),47621.0)</f>
        <v>47621</v>
      </c>
      <c r="W507" t="str">
        <f>IFERROR(__xludf.DUMMYFUNCTION("""COMPUTED_VALUE"""),"ปลอดภัย")</f>
        <v>ปลอดภัย</v>
      </c>
      <c r="X507" t="str">
        <f>IFERROR(__xludf.DUMMYFUNCTION("""COMPUTED_VALUE"""),"Bangkok")</f>
        <v>Bangkok</v>
      </c>
      <c r="Y507" t="str">
        <f>IFERROR(__xludf.DUMMYFUNCTION("""COMPUTED_VALUE"""),"Thalingchan")</f>
        <v>Thalingchan</v>
      </c>
      <c r="Z507" t="str">
        <f>IFERROR(__xludf.DUMMYFUNCTION("""COMPUTED_VALUE"""),"081 988 8267")</f>
        <v>081 988 8267</v>
      </c>
      <c r="AA507" t="str">
        <f>IFERROR(__xludf.DUMMYFUNCTION("""COMPUTED_VALUE"""),"Kantop")</f>
        <v>Kantop</v>
      </c>
      <c r="AB507" t="str">
        <f>IFERROR(__xludf.DUMMYFUNCTION("""COMPUTED_VALUE"""),"yuwaratm@airasia.com")</f>
        <v>yuwaratm@airasia.com</v>
      </c>
    </row>
    <row r="508">
      <c r="AB508" t="str">
        <f>IFERROR(__xludf.DUMMYFUNCTION("""COMPUTED_VALUE"""),"")</f>
        <v/>
      </c>
    </row>
    <row r="509">
      <c r="A509">
        <f>IFERROR(__xludf.DUMMYFUNCTION("""COMPUTED_VALUE"""),1010879.0)</f>
        <v>1010879</v>
      </c>
      <c r="B509" t="str">
        <f>IFERROR(__xludf.DUMMYFUNCTION("""COMPUTED_VALUE"""),"Ms.")</f>
        <v>Ms.</v>
      </c>
      <c r="C509" t="str">
        <f>IFERROR(__xludf.DUMMYFUNCTION("""COMPUTED_VALUE"""),"Bhasana")</f>
        <v>Bhasana</v>
      </c>
      <c r="D509" t="str">
        <f>IFERROR(__xludf.DUMMYFUNCTION("""COMPUTED_VALUE"""),"Chindalat")</f>
        <v>Chindalat</v>
      </c>
      <c r="E509" t="str">
        <f>IFERROR(__xludf.DUMMYFUNCTION("""COMPUTED_VALUE"""),"Bhasana Chindalat")</f>
        <v>Bhasana Chindalat</v>
      </c>
      <c r="F509" t="str">
        <f>IFERROR(__xludf.DUMMYFUNCTION("""COMPUTED_VALUE"""),"นางสาว")</f>
        <v>นางสาว</v>
      </c>
      <c r="G509" t="str">
        <f>IFERROR(__xludf.DUMMYFUNCTION("""COMPUTED_VALUE"""),"ภาสณา")</f>
        <v>ภาสณา</v>
      </c>
      <c r="H509" t="str">
        <f>IFERROR(__xludf.DUMMYFUNCTION("""COMPUTED_VALUE"""),"จินดาลัทธ")</f>
        <v>จินดาลัทธ</v>
      </c>
      <c r="I509" t="str">
        <f>IFERROR(__xludf.DUMMYFUNCTION("""COMPUTED_VALUE"""),"ภาสณา จินดาลัทธ")</f>
        <v>ภาสณา จินดาลัทธ</v>
      </c>
      <c r="J509" t="str">
        <f>IFERROR(__xludf.DUMMYFUNCTION("""COMPUTED_VALUE"""),"กวาง")</f>
        <v>กวาง</v>
      </c>
      <c r="K509" t="str">
        <f>IFERROR(__xludf.DUMMYFUNCTION("""COMPUTED_VALUE"""),"Cabin Crew")</f>
        <v>Cabin Crew</v>
      </c>
      <c r="L509" t="str">
        <f>IFERROR(__xludf.DUMMYFUNCTION("""COMPUTED_VALUE"""),"DMK")</f>
        <v>DMK</v>
      </c>
      <c r="M509" s="145" t="str">
        <f>IFERROR(__xludf.DUMMYFUNCTION("""COMPUTED_VALUE"""),"Kor Home")</f>
        <v>Kor Home</v>
      </c>
      <c r="N509" t="str">
        <f>IFERROR(__xludf.DUMMYFUNCTION("""COMPUTED_VALUE"""),"Active")</f>
        <v>Active</v>
      </c>
      <c r="P509" s="143">
        <f>IFERROR(__xludf.DUMMYFUNCTION("""COMPUTED_VALUE"""),31828.0)</f>
        <v>31828</v>
      </c>
      <c r="Q509" s="146" t="str">
        <f>IFERROR(__xludf.DUMMYFUNCTION("""COMPUTED_VALUE"""),"084-752-7508")</f>
        <v>084-752-7508</v>
      </c>
      <c r="R509" s="147" t="str">
        <f>IFERROR(__xludf.DUMMYFUNCTION("""COMPUTED_VALUE"""),"1120100-08-8667")</f>
        <v>1120100-08-8667</v>
      </c>
      <c r="S509" t="str">
        <f>IFERROR(__xludf.DUMMYFUNCTION("""COMPUTED_VALUE"""),"AC5885474")</f>
        <v>AC5885474</v>
      </c>
      <c r="T509" s="148">
        <f>IFERROR(__xludf.DUMMYFUNCTION("""COMPUTED_VALUE"""),45217.0)</f>
        <v>45217</v>
      </c>
      <c r="U509" s="148">
        <f>IFERROR(__xludf.DUMMYFUNCTION("""COMPUTED_VALUE"""),48869.0)</f>
        <v>48869</v>
      </c>
      <c r="V509" s="149">
        <f>IFERROR(__xludf.DUMMYFUNCTION("""COMPUTED_VALUE"""),48686.0)</f>
        <v>48686</v>
      </c>
      <c r="W509" t="str">
        <f>IFERROR(__xludf.DUMMYFUNCTION("""COMPUTED_VALUE"""),"ปลอดภัย")</f>
        <v>ปลอดภัย</v>
      </c>
      <c r="X509" t="str">
        <f>IFERROR(__xludf.DUMMYFUNCTION("""COMPUTED_VALUE"""),"Bangkok")</f>
        <v>Bangkok</v>
      </c>
      <c r="Y509" t="str">
        <f>IFERROR(__xludf.DUMMYFUNCTION("""COMPUTED_VALUE"""),"Lamlukka")</f>
        <v>Lamlukka</v>
      </c>
      <c r="Z509" t="str">
        <f>IFERROR(__xludf.DUMMYFUNCTION("""COMPUTED_VALUE"""),"02 153 8292 / 081 890 6751")</f>
        <v>02 153 8292 / 081 890 6751</v>
      </c>
      <c r="AA509" t="str">
        <f>IFERROR(__xludf.DUMMYFUNCTION("""COMPUTED_VALUE"""),"Kalayanee Chindalat")</f>
        <v>Kalayanee Chindalat</v>
      </c>
      <c r="AB509" t="str">
        <f>IFERROR(__xludf.DUMMYFUNCTION("""COMPUTED_VALUE"""),"bhasanac@airasia.com")</f>
        <v>bhasanac@airasia.com</v>
      </c>
    </row>
    <row r="510">
      <c r="A510">
        <f>IFERROR(__xludf.DUMMYFUNCTION("""COMPUTED_VALUE"""),1010880.0)</f>
        <v>1010880</v>
      </c>
      <c r="B510" t="str">
        <f>IFERROR(__xludf.DUMMYFUNCTION("""COMPUTED_VALUE"""),"Ms.")</f>
        <v>Ms.</v>
      </c>
      <c r="C510" t="str">
        <f>IFERROR(__xludf.DUMMYFUNCTION("""COMPUTED_VALUE"""),"Chutima")</f>
        <v>Chutima</v>
      </c>
      <c r="D510" t="str">
        <f>IFERROR(__xludf.DUMMYFUNCTION("""COMPUTED_VALUE"""),"Thitisantikhun")</f>
        <v>Thitisantikhun</v>
      </c>
      <c r="E510" t="str">
        <f>IFERROR(__xludf.DUMMYFUNCTION("""COMPUTED_VALUE"""),"Chutima Thitisantikhun")</f>
        <v>Chutima Thitisantikhun</v>
      </c>
      <c r="F510" t="str">
        <f>IFERROR(__xludf.DUMMYFUNCTION("""COMPUTED_VALUE"""),"นางสาว")</f>
        <v>นางสาว</v>
      </c>
      <c r="G510" t="str">
        <f>IFERROR(__xludf.DUMMYFUNCTION("""COMPUTED_VALUE"""),"ชุติมา")</f>
        <v>ชุติมา</v>
      </c>
      <c r="H510" t="str">
        <f>IFERROR(__xludf.DUMMYFUNCTION("""COMPUTED_VALUE"""),"ธิติสันติคุณ")</f>
        <v>ธิติสันติคุณ</v>
      </c>
      <c r="I510" t="str">
        <f>IFERROR(__xludf.DUMMYFUNCTION("""COMPUTED_VALUE"""),"ชุติมา ธิติสันติคุณ")</f>
        <v>ชุติมา ธิติสันติคุณ</v>
      </c>
      <c r="J510" t="str">
        <f>IFERROR(__xludf.DUMMYFUNCTION("""COMPUTED_VALUE"""),"ฟิว / Fuse")</f>
        <v>ฟิว / Fuse</v>
      </c>
      <c r="K510" t="str">
        <f>IFERROR(__xludf.DUMMYFUNCTION("""COMPUTED_VALUE"""),"Cabin Crew")</f>
        <v>Cabin Crew</v>
      </c>
      <c r="L510" t="str">
        <f>IFERROR(__xludf.DUMMYFUNCTION("""COMPUTED_VALUE"""),"DMK")</f>
        <v>DMK</v>
      </c>
      <c r="M510" s="145" t="str">
        <f>IFERROR(__xludf.DUMMYFUNCTION("""COMPUTED_VALUE"""),"Up Home")</f>
        <v>Up Home</v>
      </c>
      <c r="N510" t="str">
        <f>IFERROR(__xludf.DUMMYFUNCTION("""COMPUTED_VALUE"""),"Active")</f>
        <v>Active</v>
      </c>
      <c r="P510" s="143">
        <f>IFERROR(__xludf.DUMMYFUNCTION("""COMPUTED_VALUE"""),32378.0)</f>
        <v>32378</v>
      </c>
      <c r="Q510" s="146" t="str">
        <f>IFERROR(__xludf.DUMMYFUNCTION("""COMPUTED_VALUE"""),"062 693 5542")</f>
        <v>062 693 5542</v>
      </c>
      <c r="R510" s="147" t="str">
        <f>IFERROR(__xludf.DUMMYFUNCTION("""COMPUTED_VALUE"""),"1101401-39-7236")</f>
        <v>1101401-39-7236</v>
      </c>
      <c r="S510" t="str">
        <f>IFERROR(__xludf.DUMMYFUNCTION("""COMPUTED_VALUE"""),"AC4165899")</f>
        <v>AC4165899</v>
      </c>
      <c r="T510" s="148">
        <f>IFERROR(__xludf.DUMMYFUNCTION("""COMPUTED_VALUE"""),44887.0)</f>
        <v>44887</v>
      </c>
      <c r="U510" s="148">
        <f>IFERROR(__xludf.DUMMYFUNCTION("""COMPUTED_VALUE"""),48539.0)</f>
        <v>48539</v>
      </c>
      <c r="V510" s="149">
        <f>IFERROR(__xludf.DUMMYFUNCTION("""COMPUTED_VALUE"""),48355.0)</f>
        <v>48355</v>
      </c>
      <c r="W510" t="str">
        <f>IFERROR(__xludf.DUMMYFUNCTION("""COMPUTED_VALUE"""),"ปลอดภัย")</f>
        <v>ปลอดภัย</v>
      </c>
      <c r="X510" t="str">
        <f>IFERROR(__xludf.DUMMYFUNCTION("""COMPUTED_VALUE"""),"Bangkok")</f>
        <v>Bangkok</v>
      </c>
      <c r="Y510" t="str">
        <f>IFERROR(__xludf.DUMMYFUNCTION("""COMPUTED_VALUE"""),"Donmueang")</f>
        <v>Donmueang</v>
      </c>
      <c r="Z510" t="str">
        <f>IFERROR(__xludf.DUMMYFUNCTION("""COMPUTED_VALUE"""),"084 666 0492")</f>
        <v>084 666 0492</v>
      </c>
      <c r="AA510" t="str">
        <f>IFERROR(__xludf.DUMMYFUNCTION("""COMPUTED_VALUE"""),"Navarat Jirakorn")</f>
        <v>Navarat Jirakorn</v>
      </c>
      <c r="AB510" t="str">
        <f>IFERROR(__xludf.DUMMYFUNCTION("""COMPUTED_VALUE"""),"chutimat@airasia.com")</f>
        <v>chutimat@airasia.com</v>
      </c>
    </row>
    <row r="511">
      <c r="A511">
        <f>IFERROR(__xludf.DUMMYFUNCTION("""COMPUTED_VALUE"""),1010890.0)</f>
        <v>1010890</v>
      </c>
      <c r="B511" t="str">
        <f>IFERROR(__xludf.DUMMYFUNCTION("""COMPUTED_VALUE"""),"Ms.")</f>
        <v>Ms.</v>
      </c>
      <c r="C511" t="str">
        <f>IFERROR(__xludf.DUMMYFUNCTION("""COMPUTED_VALUE"""),"Keetawan")</f>
        <v>Keetawan</v>
      </c>
      <c r="D511" t="str">
        <f>IFERROR(__xludf.DUMMYFUNCTION("""COMPUTED_VALUE"""),"Udomkiattikul (Pansomboon)")</f>
        <v>Udomkiattikul (Pansomboon)</v>
      </c>
      <c r="E511" t="str">
        <f>IFERROR(__xludf.DUMMYFUNCTION("""COMPUTED_VALUE"""),"Keetawan Udomkiattikul")</f>
        <v>Keetawan Udomkiattikul</v>
      </c>
      <c r="F511" t="str">
        <f>IFERROR(__xludf.DUMMYFUNCTION("""COMPUTED_VALUE"""),"นางสาว")</f>
        <v>นางสาว</v>
      </c>
      <c r="G511" t="str">
        <f>IFERROR(__xludf.DUMMYFUNCTION("""COMPUTED_VALUE"""),"คีตวัลย์")</f>
        <v>คีตวัลย์</v>
      </c>
      <c r="H511" t="str">
        <f>IFERROR(__xludf.DUMMYFUNCTION("""COMPUTED_VALUE"""),"อุดมเกียรติกูล (แผนสมบูรณ์)")</f>
        <v>อุดมเกียรติกูล (แผนสมบูรณ์)</v>
      </c>
      <c r="I511" t="str">
        <f>IFERROR(__xludf.DUMMYFUNCTION("""COMPUTED_VALUE"""),"คีตวัลย์ อุดมเกียรติกูล")</f>
        <v>คีตวัลย์ อุดมเกียรติกูล</v>
      </c>
      <c r="J511" t="str">
        <f>IFERROR(__xludf.DUMMYFUNCTION("""COMPUTED_VALUE"""),"แพร")</f>
        <v>แพร</v>
      </c>
      <c r="K511" t="str">
        <f>IFERROR(__xludf.DUMMYFUNCTION("""COMPUTED_VALUE"""),"Cabin Crew")</f>
        <v>Cabin Crew</v>
      </c>
      <c r="L511" t="str">
        <f>IFERROR(__xludf.DUMMYFUNCTION("""COMPUTED_VALUE"""),"DMK")</f>
        <v>DMK</v>
      </c>
      <c r="M511" s="145" t="str">
        <f>IFERROR(__xludf.DUMMYFUNCTION("""COMPUTED_VALUE"""),"Kor Home")</f>
        <v>Kor Home</v>
      </c>
      <c r="N511" t="str">
        <f>IFERROR(__xludf.DUMMYFUNCTION("""COMPUTED_VALUE"""),"Active")</f>
        <v>Active</v>
      </c>
      <c r="P511" s="143">
        <f>IFERROR(__xludf.DUMMYFUNCTION("""COMPUTED_VALUE"""),32407.0)</f>
        <v>32407</v>
      </c>
      <c r="Q511" s="146" t="str">
        <f>IFERROR(__xludf.DUMMYFUNCTION("""COMPUTED_VALUE"""),"062-456-9269")</f>
        <v>062-456-9269</v>
      </c>
      <c r="R511" s="147" t="str">
        <f>IFERROR(__xludf.DUMMYFUNCTION("""COMPUTED_VALUE"""),"1600100-29-0615")</f>
        <v>1600100-29-0615</v>
      </c>
      <c r="S511" t="str">
        <f>IFERROR(__xludf.DUMMYFUNCTION("""COMPUTED_VALUE"""),"AC6234479")</f>
        <v>AC6234479</v>
      </c>
      <c r="T511" s="148">
        <f>IFERROR(__xludf.DUMMYFUNCTION("""COMPUTED_VALUE"""),45302.0)</f>
        <v>45302</v>
      </c>
      <c r="U511" s="148">
        <f>IFERROR(__xludf.DUMMYFUNCTION("""COMPUTED_VALUE"""),48954.0)</f>
        <v>48954</v>
      </c>
      <c r="V511" s="149">
        <f>IFERROR(__xludf.DUMMYFUNCTION("""COMPUTED_VALUE"""),48770.0)</f>
        <v>48770</v>
      </c>
      <c r="W511" t="str">
        <f>IFERROR(__xludf.DUMMYFUNCTION("""COMPUTED_VALUE"""),"ปลอดภัย")</f>
        <v>ปลอดภัย</v>
      </c>
      <c r="X511" t="str">
        <f>IFERROR(__xludf.DUMMYFUNCTION("""COMPUTED_VALUE"""),"Nakhon Sawan Province")</f>
        <v>Nakhon Sawan Province</v>
      </c>
      <c r="Y511" t="str">
        <f>IFERROR(__xludf.DUMMYFUNCTION("""COMPUTED_VALUE"""),"Jatujak")</f>
        <v>Jatujak</v>
      </c>
      <c r="Z511" t="str">
        <f>IFERROR(__xludf.DUMMYFUNCTION("""COMPUTED_VALUE"""),"081 918 5639")</f>
        <v>081 918 5639</v>
      </c>
      <c r="AA511" t="str">
        <f>IFERROR(__xludf.DUMMYFUNCTION("""COMPUTED_VALUE"""),"Daranee Matchona")</f>
        <v>Daranee Matchona</v>
      </c>
      <c r="AB511" t="str">
        <f>IFERROR(__xludf.DUMMYFUNCTION("""COMPUTED_VALUE"""),"keetawanu@airasia.com")</f>
        <v>keetawanu@airasia.com</v>
      </c>
    </row>
    <row r="512">
      <c r="A512">
        <f>IFERROR(__xludf.DUMMYFUNCTION("""COMPUTED_VALUE"""),1010897.0)</f>
        <v>1010897</v>
      </c>
      <c r="B512" t="str">
        <f>IFERROR(__xludf.DUMMYFUNCTION("""COMPUTED_VALUE"""),"Ms.")</f>
        <v>Ms.</v>
      </c>
      <c r="C512" t="str">
        <f>IFERROR(__xludf.DUMMYFUNCTION("""COMPUTED_VALUE"""),"Natcharee")</f>
        <v>Natcharee</v>
      </c>
      <c r="D512" t="str">
        <f>IFERROR(__xludf.DUMMYFUNCTION("""COMPUTED_VALUE"""),"Wisespun")</f>
        <v>Wisespun</v>
      </c>
      <c r="E512" t="str">
        <f>IFERROR(__xludf.DUMMYFUNCTION("""COMPUTED_VALUE"""),"Natcharee Wisespun")</f>
        <v>Natcharee Wisespun</v>
      </c>
      <c r="F512" t="str">
        <f>IFERROR(__xludf.DUMMYFUNCTION("""COMPUTED_VALUE"""),"นางสาว")</f>
        <v>นางสาว</v>
      </c>
      <c r="G512" t="str">
        <f>IFERROR(__xludf.DUMMYFUNCTION("""COMPUTED_VALUE"""),"ณัชชารีย์")</f>
        <v>ณัชชารีย์</v>
      </c>
      <c r="H512" t="str">
        <f>IFERROR(__xludf.DUMMYFUNCTION("""COMPUTED_VALUE"""),"วิเศษพันธ์")</f>
        <v>วิเศษพันธ์</v>
      </c>
      <c r="I512" t="str">
        <f>IFERROR(__xludf.DUMMYFUNCTION("""COMPUTED_VALUE"""),"ณัชชารีย์ วิเศษพันธ์")</f>
        <v>ณัชชารีย์ วิเศษพันธ์</v>
      </c>
      <c r="J512" t="str">
        <f>IFERROR(__xludf.DUMMYFUNCTION("""COMPUTED_VALUE"""),"ป่าน")</f>
        <v>ป่าน</v>
      </c>
      <c r="K512" t="str">
        <f>IFERROR(__xludf.DUMMYFUNCTION("""COMPUTED_VALUE"""),"Cabin Crew")</f>
        <v>Cabin Crew</v>
      </c>
      <c r="L512" t="str">
        <f>IFERROR(__xludf.DUMMYFUNCTION("""COMPUTED_VALUE"""),"DMK")</f>
        <v>DMK</v>
      </c>
      <c r="M512" s="145" t="str">
        <f>IFERROR(__xludf.DUMMYFUNCTION("""COMPUTED_VALUE"""),"Kor Home")</f>
        <v>Kor Home</v>
      </c>
      <c r="N512" t="str">
        <f>IFERROR(__xludf.DUMMYFUNCTION("""COMPUTED_VALUE"""),"Active")</f>
        <v>Active</v>
      </c>
      <c r="P512" s="143">
        <f>IFERROR(__xludf.DUMMYFUNCTION("""COMPUTED_VALUE"""),32439.0)</f>
        <v>32439</v>
      </c>
      <c r="Q512" s="146" t="str">
        <f>IFERROR(__xludf.DUMMYFUNCTION("""COMPUTED_VALUE"""),"089-094-8576")</f>
        <v>089-094-8576</v>
      </c>
      <c r="R512" s="147" t="str">
        <f>IFERROR(__xludf.DUMMYFUNCTION("""COMPUTED_VALUE"""),"1219800-09-3849")</f>
        <v>1219800-09-3849</v>
      </c>
      <c r="S512" t="str">
        <f>IFERROR(__xludf.DUMMYFUNCTION("""COMPUTED_VALUE"""),"AD1401734")</f>
        <v>AD1401734</v>
      </c>
      <c r="T512" s="148">
        <f>IFERROR(__xludf.DUMMYFUNCTION("""COMPUTED_VALUE"""),45238.0)</f>
        <v>45238</v>
      </c>
      <c r="U512" s="148">
        <f>IFERROR(__xludf.DUMMYFUNCTION("""COMPUTED_VALUE"""),48890.0)</f>
        <v>48890</v>
      </c>
      <c r="V512" s="149">
        <f>IFERROR(__xludf.DUMMYFUNCTION("""COMPUTED_VALUE"""),48706.0)</f>
        <v>48706</v>
      </c>
      <c r="W512" t="str">
        <f>IFERROR(__xludf.DUMMYFUNCTION("""COMPUTED_VALUE"""),"ปลอดภัย")</f>
        <v>ปลอดภัย</v>
      </c>
      <c r="X512" t="str">
        <f>IFERROR(__xludf.DUMMYFUNCTION("""COMPUTED_VALUE"""),"Rayong Province")</f>
        <v>Rayong Province</v>
      </c>
      <c r="Y512" t="str">
        <f>IFERROR(__xludf.DUMMYFUNCTION("""COMPUTED_VALUE"""),"Rayong")</f>
        <v>Rayong</v>
      </c>
      <c r="Z512" t="str">
        <f>IFERROR(__xludf.DUMMYFUNCTION("""COMPUTED_VALUE"""),"089 252 3787")</f>
        <v>089 252 3787</v>
      </c>
      <c r="AA512" t="str">
        <f>IFERROR(__xludf.DUMMYFUNCTION("""COMPUTED_VALUE"""),"Patita")</f>
        <v>Patita</v>
      </c>
      <c r="AB512" t="str">
        <f>IFERROR(__xludf.DUMMYFUNCTION("""COMPUTED_VALUE"""),"natchareew@airasia.com")</f>
        <v>natchareew@airasia.com</v>
      </c>
    </row>
    <row r="513">
      <c r="A513">
        <f>IFERROR(__xludf.DUMMYFUNCTION("""COMPUTED_VALUE"""),1010905.0)</f>
        <v>1010905</v>
      </c>
      <c r="B513" t="str">
        <f>IFERROR(__xludf.DUMMYFUNCTION("""COMPUTED_VALUE"""),"Ms.")</f>
        <v>Ms.</v>
      </c>
      <c r="C513" t="str">
        <f>IFERROR(__xludf.DUMMYFUNCTION("""COMPUTED_VALUE"""),"Phiraya")</f>
        <v>Phiraya</v>
      </c>
      <c r="D513" t="str">
        <f>IFERROR(__xludf.DUMMYFUNCTION("""COMPUTED_VALUE"""),"Panthongkum")</f>
        <v>Panthongkum</v>
      </c>
      <c r="E513" t="str">
        <f>IFERROR(__xludf.DUMMYFUNCTION("""COMPUTED_VALUE"""),"Phiraya Panthongkum")</f>
        <v>Phiraya Panthongkum</v>
      </c>
      <c r="F513" t="str">
        <f>IFERROR(__xludf.DUMMYFUNCTION("""COMPUTED_VALUE"""),"นางสาว")</f>
        <v>นางสาว</v>
      </c>
      <c r="G513" t="str">
        <f>IFERROR(__xludf.DUMMYFUNCTION("""COMPUTED_VALUE"""),"พีรยา")</f>
        <v>พีรยา</v>
      </c>
      <c r="H513" t="str">
        <f>IFERROR(__xludf.DUMMYFUNCTION("""COMPUTED_VALUE"""),"ปานทองคำ")</f>
        <v>ปานทองคำ</v>
      </c>
      <c r="I513" t="str">
        <f>IFERROR(__xludf.DUMMYFUNCTION("""COMPUTED_VALUE"""),"พีรยา ปานทองคำ")</f>
        <v>พีรยา ปานทองคำ</v>
      </c>
      <c r="J513" t="str">
        <f>IFERROR(__xludf.DUMMYFUNCTION("""COMPUTED_VALUE"""),"Pla")</f>
        <v>Pla</v>
      </c>
      <c r="K513" t="str">
        <f>IFERROR(__xludf.DUMMYFUNCTION("""COMPUTED_VALUE"""),"Senior Cabin Crew")</f>
        <v>Senior Cabin Crew</v>
      </c>
      <c r="L513" t="str">
        <f>IFERROR(__xludf.DUMMYFUNCTION("""COMPUTED_VALUE"""),"DMK")</f>
        <v>DMK</v>
      </c>
      <c r="M513" s="145" t="str">
        <f>IFERROR(__xludf.DUMMYFUNCTION("""COMPUTED_VALUE"""),"Um Home")</f>
        <v>Um Home</v>
      </c>
      <c r="N513" t="str">
        <f>IFERROR(__xludf.DUMMYFUNCTION("""COMPUTED_VALUE"""),"Active")</f>
        <v>Active</v>
      </c>
      <c r="P513" s="143">
        <f>IFERROR(__xludf.DUMMYFUNCTION("""COMPUTED_VALUE"""),32547.0)</f>
        <v>32547</v>
      </c>
      <c r="Q513" s="146" t="str">
        <f>IFERROR(__xludf.DUMMYFUNCTION("""COMPUTED_VALUE"""),"085-982-9356")</f>
        <v>085-982-9356</v>
      </c>
      <c r="R513" s="147" t="str">
        <f>IFERROR(__xludf.DUMMYFUNCTION("""COMPUTED_VALUE"""),"1100800-50-2962")</f>
        <v>1100800-50-2962</v>
      </c>
      <c r="S513" t="str">
        <f>IFERROR(__xludf.DUMMYFUNCTION("""COMPUTED_VALUE"""),"AD0231548")</f>
        <v>AD0231548</v>
      </c>
      <c r="T513" s="148">
        <f>IFERROR(__xludf.DUMMYFUNCTION("""COMPUTED_VALUE"""),44860.0)</f>
        <v>44860</v>
      </c>
      <c r="U513" s="148">
        <f>IFERROR(__xludf.DUMMYFUNCTION("""COMPUTED_VALUE"""),48512.0)</f>
        <v>48512</v>
      </c>
      <c r="V513" s="149">
        <f>IFERROR(__xludf.DUMMYFUNCTION("""COMPUTED_VALUE"""),48329.0)</f>
        <v>48329</v>
      </c>
      <c r="W513" t="str">
        <f>IFERROR(__xludf.DUMMYFUNCTION("""COMPUTED_VALUE"""),"ปลอดภัย")</f>
        <v>ปลอดภัย</v>
      </c>
      <c r="X513" t="str">
        <f>IFERROR(__xludf.DUMMYFUNCTION("""COMPUTED_VALUE"""),"Bangkok")</f>
        <v>Bangkok</v>
      </c>
      <c r="Y513" t="str">
        <f>IFERROR(__xludf.DUMMYFUNCTION("""COMPUTED_VALUE"""),"Phathumwan")</f>
        <v>Phathumwan</v>
      </c>
      <c r="Z513" t="str">
        <f>IFERROR(__xludf.DUMMYFUNCTION("""COMPUTED_VALUE"""),"02 613 9659 / 082 054 2899")</f>
        <v>02 613 9659 / 082 054 2899</v>
      </c>
      <c r="AA513" t="str">
        <f>IFERROR(__xludf.DUMMYFUNCTION("""COMPUTED_VALUE"""),"Prtuengtip")</f>
        <v>Prtuengtip</v>
      </c>
      <c r="AB513" t="str">
        <f>IFERROR(__xludf.DUMMYFUNCTION("""COMPUTED_VALUE"""),"phirayap@airasia.com")</f>
        <v>phirayap@airasia.com</v>
      </c>
    </row>
    <row r="514">
      <c r="A514">
        <f>IFERROR(__xludf.DUMMYFUNCTION("""COMPUTED_VALUE"""),1010906.0)</f>
        <v>1010906</v>
      </c>
      <c r="B514" t="str">
        <f>IFERROR(__xludf.DUMMYFUNCTION("""COMPUTED_VALUE"""),"Mr.")</f>
        <v>Mr.</v>
      </c>
      <c r="C514" t="str">
        <f>IFERROR(__xludf.DUMMYFUNCTION("""COMPUTED_VALUE"""),"Pirathat")</f>
        <v>Pirathat</v>
      </c>
      <c r="D514" t="str">
        <f>IFERROR(__xludf.DUMMYFUNCTION("""COMPUTED_VALUE"""),"Tima")</f>
        <v>Tima</v>
      </c>
      <c r="E514" t="str">
        <f>IFERROR(__xludf.DUMMYFUNCTION("""COMPUTED_VALUE"""),"Pirathat Tima")</f>
        <v>Pirathat Tima</v>
      </c>
      <c r="F514" t="str">
        <f>IFERROR(__xludf.DUMMYFUNCTION("""COMPUTED_VALUE"""),"นาย")</f>
        <v>นาย</v>
      </c>
      <c r="G514" t="str">
        <f>IFERROR(__xludf.DUMMYFUNCTION("""COMPUTED_VALUE"""),"พีรธัช")</f>
        <v>พีรธัช</v>
      </c>
      <c r="H514" t="str">
        <f>IFERROR(__xludf.DUMMYFUNCTION("""COMPUTED_VALUE"""),"ทิมา")</f>
        <v>ทิมา</v>
      </c>
      <c r="I514" t="str">
        <f>IFERROR(__xludf.DUMMYFUNCTION("""COMPUTED_VALUE"""),"พีรธัช ทิมา")</f>
        <v>พีรธัช ทิมา</v>
      </c>
      <c r="J514" t="str">
        <f>IFERROR(__xludf.DUMMYFUNCTION("""COMPUTED_VALUE"""),"พิน")</f>
        <v>พิน</v>
      </c>
      <c r="K514" t="str">
        <f>IFERROR(__xludf.DUMMYFUNCTION("""COMPUTED_VALUE"""),"Cabin Crew - BKK")</f>
        <v>Cabin Crew - BKK</v>
      </c>
      <c r="L514" t="str">
        <f>IFERROR(__xludf.DUMMYFUNCTION("""COMPUTED_VALUE"""),"BKK")</f>
        <v>BKK</v>
      </c>
      <c r="M514" s="145" t="str">
        <f>IFERROR(__xludf.DUMMYFUNCTION("""COMPUTED_VALUE"""),"Nhui Home")</f>
        <v>Nhui Home</v>
      </c>
      <c r="N514" t="str">
        <f>IFERROR(__xludf.DUMMYFUNCTION("""COMPUTED_VALUE"""),"Active")</f>
        <v>Active</v>
      </c>
      <c r="P514" s="143">
        <f>IFERROR(__xludf.DUMMYFUNCTION("""COMPUTED_VALUE"""),32127.0)</f>
        <v>32127</v>
      </c>
      <c r="Q514" s="146" t="str">
        <f>IFERROR(__xludf.DUMMYFUNCTION("""COMPUTED_VALUE"""),"081-346-8613")</f>
        <v>081-346-8613</v>
      </c>
      <c r="R514" s="147" t="str">
        <f>IFERROR(__xludf.DUMMYFUNCTION("""COMPUTED_VALUE"""),"1101401-19-4769")</f>
        <v>1101401-19-4769</v>
      </c>
      <c r="S514" t="str">
        <f>IFERROR(__xludf.DUMMYFUNCTION("""COMPUTED_VALUE"""),"AC6192108")</f>
        <v>AC6192108</v>
      </c>
      <c r="T514" s="148">
        <f>IFERROR(__xludf.DUMMYFUNCTION("""COMPUTED_VALUE"""),45273.0)</f>
        <v>45273</v>
      </c>
      <c r="U514" s="148">
        <f>IFERROR(__xludf.DUMMYFUNCTION("""COMPUTED_VALUE"""),48925.0)</f>
        <v>48925</v>
      </c>
      <c r="V514" s="149">
        <f>IFERROR(__xludf.DUMMYFUNCTION("""COMPUTED_VALUE"""),48742.0)</f>
        <v>48742</v>
      </c>
      <c r="W514" t="str">
        <f>IFERROR(__xludf.DUMMYFUNCTION("""COMPUTED_VALUE"""),"ปลอดภัย")</f>
        <v>ปลอดภัย</v>
      </c>
      <c r="X514" t="str">
        <f>IFERROR(__xludf.DUMMYFUNCTION("""COMPUTED_VALUE"""),"Bangkok")</f>
        <v>Bangkok</v>
      </c>
      <c r="Y514" t="str">
        <f>IFERROR(__xludf.DUMMYFUNCTION("""COMPUTED_VALUE"""),"Tiwanon")</f>
        <v>Tiwanon</v>
      </c>
      <c r="Z514" t="str">
        <f>IFERROR(__xludf.DUMMYFUNCTION("""COMPUTED_VALUE"""),"02 589 2227 / 081 803 6890 / 084 668 2606")</f>
        <v>02 589 2227 / 081 803 6890 / 084 668 2606</v>
      </c>
      <c r="AA514" t="str">
        <f>IFERROR(__xludf.DUMMYFUNCTION("""COMPUTED_VALUE"""),"Home / Narintr")</f>
        <v>Home / Narintr</v>
      </c>
      <c r="AB514" t="str">
        <f>IFERROR(__xludf.DUMMYFUNCTION("""COMPUTED_VALUE"""),"pirathatt@airasia.com")</f>
        <v>pirathatt@airasia.com</v>
      </c>
    </row>
    <row r="515">
      <c r="A515">
        <f>IFERROR(__xludf.DUMMYFUNCTION("""COMPUTED_VALUE"""),1010915.0)</f>
        <v>1010915</v>
      </c>
      <c r="B515" t="str">
        <f>IFERROR(__xludf.DUMMYFUNCTION("""COMPUTED_VALUE"""),"Ms.")</f>
        <v>Ms.</v>
      </c>
      <c r="C515" t="str">
        <f>IFERROR(__xludf.DUMMYFUNCTION("""COMPUTED_VALUE"""),"Sirirut")</f>
        <v>Sirirut</v>
      </c>
      <c r="D515" t="str">
        <f>IFERROR(__xludf.DUMMYFUNCTION("""COMPUTED_VALUE"""),"Ruasomboon")</f>
        <v>Ruasomboon</v>
      </c>
      <c r="E515" t="str">
        <f>IFERROR(__xludf.DUMMYFUNCTION("""COMPUTED_VALUE"""),"Sirirut Ruasomboon")</f>
        <v>Sirirut Ruasomboon</v>
      </c>
      <c r="F515" t="str">
        <f>IFERROR(__xludf.DUMMYFUNCTION("""COMPUTED_VALUE"""),"นางสาว")</f>
        <v>นางสาว</v>
      </c>
      <c r="G515" t="str">
        <f>IFERROR(__xludf.DUMMYFUNCTION("""COMPUTED_VALUE"""),"ศิริรัตน์")</f>
        <v>ศิริรัตน์</v>
      </c>
      <c r="H515" t="str">
        <f>IFERROR(__xludf.DUMMYFUNCTION("""COMPUTED_VALUE"""),"หรือสมบูรณ์")</f>
        <v>หรือสมบูรณ์</v>
      </c>
      <c r="I515" t="str">
        <f>IFERROR(__xludf.DUMMYFUNCTION("""COMPUTED_VALUE"""),"ศิริรัตน์ หรือสมบูรณ์")</f>
        <v>ศิริรัตน์ หรือสมบูรณ์</v>
      </c>
      <c r="J515" t="str">
        <f>IFERROR(__xludf.DUMMYFUNCTION("""COMPUTED_VALUE"""),"Yo")</f>
        <v>Yo</v>
      </c>
      <c r="K515" t="str">
        <f>IFERROR(__xludf.DUMMYFUNCTION("""COMPUTED_VALUE"""),"Senior Cabin Crew")</f>
        <v>Senior Cabin Crew</v>
      </c>
      <c r="L515" t="str">
        <f>IFERROR(__xludf.DUMMYFUNCTION("""COMPUTED_VALUE"""),"DMK")</f>
        <v>DMK</v>
      </c>
      <c r="M515" s="145" t="str">
        <f>IFERROR(__xludf.DUMMYFUNCTION("""COMPUTED_VALUE"""),"Namfon Home")</f>
        <v>Namfon Home</v>
      </c>
      <c r="N515" t="str">
        <f>IFERROR(__xludf.DUMMYFUNCTION("""COMPUTED_VALUE"""),"Active")</f>
        <v>Active</v>
      </c>
      <c r="P515" s="143">
        <f>IFERROR(__xludf.DUMMYFUNCTION("""COMPUTED_VALUE"""),31410.0)</f>
        <v>31410</v>
      </c>
      <c r="Q515" s="146" t="str">
        <f>IFERROR(__xludf.DUMMYFUNCTION("""COMPUTED_VALUE"""),"081-451-2363")</f>
        <v>081-451-2363</v>
      </c>
      <c r="R515" s="147" t="str">
        <f>IFERROR(__xludf.DUMMYFUNCTION("""COMPUTED_VALUE"""),"1102000-54-2724")</f>
        <v>1102000-54-2724</v>
      </c>
      <c r="S515" t="str">
        <f>IFERROR(__xludf.DUMMYFUNCTION("""COMPUTED_VALUE"""),"AC3168667")</f>
        <v>AC3168667</v>
      </c>
      <c r="T515" s="148">
        <f>IFERROR(__xludf.DUMMYFUNCTION("""COMPUTED_VALUE"""),44704.0)</f>
        <v>44704</v>
      </c>
      <c r="U515" s="148">
        <f>IFERROR(__xludf.DUMMYFUNCTION("""COMPUTED_VALUE"""),48356.0)</f>
        <v>48356</v>
      </c>
      <c r="V515" s="149">
        <f>IFERROR(__xludf.DUMMYFUNCTION("""COMPUTED_VALUE"""),48174.0)</f>
        <v>48174</v>
      </c>
      <c r="W515" t="str">
        <f>IFERROR(__xludf.DUMMYFUNCTION("""COMPUTED_VALUE"""),"ปลอดภัย")</f>
        <v>ปลอดภัย</v>
      </c>
      <c r="X515" t="str">
        <f>IFERROR(__xludf.DUMMYFUNCTION("""COMPUTED_VALUE"""),"Bangkok")</f>
        <v>Bangkok</v>
      </c>
      <c r="Y515" t="str">
        <f>IFERROR(__xludf.DUMMYFUNCTION("""COMPUTED_VALUE"""),"Bangplad")</f>
        <v>Bangplad</v>
      </c>
      <c r="Z515" t="str">
        <f>IFERROR(__xludf.DUMMYFUNCTION("""COMPUTED_VALUE"""),"02 808 0048")</f>
        <v>02 808 0048</v>
      </c>
      <c r="AA515" t="str">
        <f>IFERROR(__xludf.DUMMYFUNCTION("""COMPUTED_VALUE"""),"Home")</f>
        <v>Home</v>
      </c>
      <c r="AB515" t="str">
        <f>IFERROR(__xludf.DUMMYFUNCTION("""COMPUTED_VALUE"""),"sirirutr@airasia.com")</f>
        <v>sirirutr@airasia.com</v>
      </c>
    </row>
    <row r="516">
      <c r="A516">
        <f>IFERROR(__xludf.DUMMYFUNCTION("""COMPUTED_VALUE"""),1010919.0)</f>
        <v>1010919</v>
      </c>
      <c r="B516" t="str">
        <f>IFERROR(__xludf.DUMMYFUNCTION("""COMPUTED_VALUE"""),"Mr.")</f>
        <v>Mr.</v>
      </c>
      <c r="C516" t="str">
        <f>IFERROR(__xludf.DUMMYFUNCTION("""COMPUTED_VALUE"""),"Suntorn")</f>
        <v>Suntorn</v>
      </c>
      <c r="D516" t="str">
        <f>IFERROR(__xludf.DUMMYFUNCTION("""COMPUTED_VALUE"""),"Srimasongserm")</f>
        <v>Srimasongserm</v>
      </c>
      <c r="E516" t="str">
        <f>IFERROR(__xludf.DUMMYFUNCTION("""COMPUTED_VALUE"""),"Suntorn Srimasongserm")</f>
        <v>Suntorn Srimasongserm</v>
      </c>
      <c r="F516" t="str">
        <f>IFERROR(__xludf.DUMMYFUNCTION("""COMPUTED_VALUE"""),"นาย")</f>
        <v>นาย</v>
      </c>
      <c r="G516" t="str">
        <f>IFERROR(__xludf.DUMMYFUNCTION("""COMPUTED_VALUE"""),"สุนทร")</f>
        <v>สุนทร</v>
      </c>
      <c r="H516" t="str">
        <f>IFERROR(__xludf.DUMMYFUNCTION("""COMPUTED_VALUE"""),"สีมาส่งเสริม")</f>
        <v>สีมาส่งเสริม</v>
      </c>
      <c r="I516" t="str">
        <f>IFERROR(__xludf.DUMMYFUNCTION("""COMPUTED_VALUE"""),"สุนทร สีมาส่งเสริม")</f>
        <v>สุนทร สีมาส่งเสริม</v>
      </c>
      <c r="J516" t="str">
        <f>IFERROR(__xludf.DUMMYFUNCTION("""COMPUTED_VALUE"""),"คุง")</f>
        <v>คุง</v>
      </c>
      <c r="K516" t="str">
        <f>IFERROR(__xludf.DUMMYFUNCTION("""COMPUTED_VALUE"""),"Senior Cabin Crew")</f>
        <v>Senior Cabin Crew</v>
      </c>
      <c r="L516" t="str">
        <f>IFERROR(__xludf.DUMMYFUNCTION("""COMPUTED_VALUE"""),"DMK")</f>
        <v>DMK</v>
      </c>
      <c r="M516" s="145" t="str">
        <f>IFERROR(__xludf.DUMMYFUNCTION("""COMPUTED_VALUE"""),"Um Home")</f>
        <v>Um Home</v>
      </c>
      <c r="N516" t="str">
        <f>IFERROR(__xludf.DUMMYFUNCTION("""COMPUTED_VALUE"""),"Active")</f>
        <v>Active</v>
      </c>
      <c r="P516" s="143">
        <f>IFERROR(__xludf.DUMMYFUNCTION("""COMPUTED_VALUE"""),32092.0)</f>
        <v>32092</v>
      </c>
      <c r="Q516" s="146" t="str">
        <f>IFERROR(__xludf.DUMMYFUNCTION("""COMPUTED_VALUE"""),"086-525-5441")</f>
        <v>086-525-5441</v>
      </c>
      <c r="R516" s="147" t="str">
        <f>IFERROR(__xludf.DUMMYFUNCTION("""COMPUTED_VALUE"""),"1101800-26-8006")</f>
        <v>1101800-26-8006</v>
      </c>
      <c r="S516" t="str">
        <f>IFERROR(__xludf.DUMMYFUNCTION("""COMPUTED_VALUE"""),"AC2374804")</f>
        <v>AC2374804</v>
      </c>
      <c r="T516" s="148">
        <f>IFERROR(__xludf.DUMMYFUNCTION("""COMPUTED_VALUE"""),44390.0)</f>
        <v>44390</v>
      </c>
      <c r="U516" s="148">
        <f>IFERROR(__xludf.DUMMYFUNCTION("""COMPUTED_VALUE"""),48041.0)</f>
        <v>48041</v>
      </c>
      <c r="V516" s="149">
        <f>IFERROR(__xludf.DUMMYFUNCTION("""COMPUTED_VALUE"""),47860.0)</f>
        <v>47860</v>
      </c>
      <c r="W516" t="str">
        <f>IFERROR(__xludf.DUMMYFUNCTION("""COMPUTED_VALUE"""),"ปลอดภัย")</f>
        <v>ปลอดภัย</v>
      </c>
      <c r="X516" t="str">
        <f>IFERROR(__xludf.DUMMYFUNCTION("""COMPUTED_VALUE"""),"Bangkok")</f>
        <v>Bangkok</v>
      </c>
      <c r="Y516" t="str">
        <f>IFERROR(__xludf.DUMMYFUNCTION("""COMPUTED_VALUE"""),"Jomthong")</f>
        <v>Jomthong</v>
      </c>
      <c r="Z516" t="str">
        <f>IFERROR(__xludf.DUMMYFUNCTION("""COMPUTED_VALUE"""),"098 260 9778")</f>
        <v>098 260 9778</v>
      </c>
      <c r="AA516" t="str">
        <f>IFERROR(__xludf.DUMMYFUNCTION("""COMPUTED_VALUE"""),"Kanokporn")</f>
        <v>Kanokporn</v>
      </c>
      <c r="AB516" t="str">
        <f>IFERROR(__xludf.DUMMYFUNCTION("""COMPUTED_VALUE"""),"suntorns@airasia.com")</f>
        <v>suntorns@airasia.com</v>
      </c>
    </row>
    <row r="517">
      <c r="A517">
        <f>IFERROR(__xludf.DUMMYFUNCTION("""COMPUTED_VALUE"""),1010922.0)</f>
        <v>1010922</v>
      </c>
      <c r="B517" t="str">
        <f>IFERROR(__xludf.DUMMYFUNCTION("""COMPUTED_VALUE"""),"Mr.")</f>
        <v>Mr.</v>
      </c>
      <c r="C517" t="str">
        <f>IFERROR(__xludf.DUMMYFUNCTION("""COMPUTED_VALUE"""),"Taks")</f>
        <v>Taks</v>
      </c>
      <c r="D517" t="str">
        <f>IFERROR(__xludf.DUMMYFUNCTION("""COMPUTED_VALUE"""),"Boonpradit")</f>
        <v>Boonpradit</v>
      </c>
      <c r="E517" t="str">
        <f>IFERROR(__xludf.DUMMYFUNCTION("""COMPUTED_VALUE"""),"Taks Boonpradit")</f>
        <v>Taks Boonpradit</v>
      </c>
      <c r="F517" t="str">
        <f>IFERROR(__xludf.DUMMYFUNCTION("""COMPUTED_VALUE"""),"นาย")</f>
        <v>นาย</v>
      </c>
      <c r="G517" t="str">
        <f>IFERROR(__xludf.DUMMYFUNCTION("""COMPUTED_VALUE"""),"ทักษ์")</f>
        <v>ทักษ์</v>
      </c>
      <c r="H517" t="str">
        <f>IFERROR(__xludf.DUMMYFUNCTION("""COMPUTED_VALUE"""),"บุญประดิษฐ์")</f>
        <v>บุญประดิษฐ์</v>
      </c>
      <c r="I517" t="str">
        <f>IFERROR(__xludf.DUMMYFUNCTION("""COMPUTED_VALUE"""),"ทักษ์ บุญประดิษฐ์")</f>
        <v>ทักษ์ บุญประดิษฐ์</v>
      </c>
      <c r="J517" t="str">
        <f>IFERROR(__xludf.DUMMYFUNCTION("""COMPUTED_VALUE"""),"Top")</f>
        <v>Top</v>
      </c>
      <c r="K517" t="str">
        <f>IFERROR(__xludf.DUMMYFUNCTION("""COMPUTED_VALUE"""),"Senior Cabin Crew")</f>
        <v>Senior Cabin Crew</v>
      </c>
      <c r="L517" t="str">
        <f>IFERROR(__xludf.DUMMYFUNCTION("""COMPUTED_VALUE"""),"DMK")</f>
        <v>DMK</v>
      </c>
      <c r="M517" s="145" t="str">
        <f>IFERROR(__xludf.DUMMYFUNCTION("""COMPUTED_VALUE"""),"Kor Home")</f>
        <v>Kor Home</v>
      </c>
      <c r="N517" t="str">
        <f>IFERROR(__xludf.DUMMYFUNCTION("""COMPUTED_VALUE"""),"Active")</f>
        <v>Active</v>
      </c>
      <c r="P517" s="143">
        <f>IFERROR(__xludf.DUMMYFUNCTION("""COMPUTED_VALUE"""),31926.0)</f>
        <v>31926</v>
      </c>
      <c r="Q517" s="146" t="str">
        <f>IFERROR(__xludf.DUMMYFUNCTION("""COMPUTED_VALUE"""),"086-909-1114")</f>
        <v>086-909-1114</v>
      </c>
      <c r="R517" s="147" t="str">
        <f>IFERROR(__xludf.DUMMYFUNCTION("""COMPUTED_VALUE"""),"1101401-01-9410")</f>
        <v>1101401-01-9410</v>
      </c>
      <c r="S517" t="str">
        <f>IFERROR(__xludf.DUMMYFUNCTION("""COMPUTED_VALUE"""),"AC3972625")</f>
        <v>AC3972625</v>
      </c>
      <c r="T517" s="148">
        <f>IFERROR(__xludf.DUMMYFUNCTION("""COMPUTED_VALUE"""),44809.0)</f>
        <v>44809</v>
      </c>
      <c r="U517" s="148">
        <f>IFERROR(__xludf.DUMMYFUNCTION("""COMPUTED_VALUE"""),48461.0)</f>
        <v>48461</v>
      </c>
      <c r="V517" s="149">
        <f>IFERROR(__xludf.DUMMYFUNCTION("""COMPUTED_VALUE"""),48277.0)</f>
        <v>48277</v>
      </c>
      <c r="W517" t="str">
        <f>IFERROR(__xludf.DUMMYFUNCTION("""COMPUTED_VALUE"""),"ปลอดภัย")</f>
        <v>ปลอดภัย</v>
      </c>
      <c r="X517" t="str">
        <f>IFERROR(__xludf.DUMMYFUNCTION("""COMPUTED_VALUE"""),"Bangkok")</f>
        <v>Bangkok</v>
      </c>
      <c r="Y517" t="str">
        <f>IFERROR(__xludf.DUMMYFUNCTION("""COMPUTED_VALUE"""),"Saimai")</f>
        <v>Saimai</v>
      </c>
      <c r="Z517" t="str">
        <f>IFERROR(__xludf.DUMMYFUNCTION("""COMPUTED_VALUE"""),"087 636 1405 / 087 037 8009")</f>
        <v>087 636 1405 / 087 037 8009</v>
      </c>
      <c r="AA517" t="str">
        <f>IFERROR(__xludf.DUMMYFUNCTION("""COMPUTED_VALUE"""),"Russamee")</f>
        <v>Russamee</v>
      </c>
      <c r="AB517" t="str">
        <f>IFERROR(__xludf.DUMMYFUNCTION("""COMPUTED_VALUE"""),"taksb@airasia.com")</f>
        <v>taksb@airasia.com</v>
      </c>
    </row>
    <row r="518">
      <c r="A518">
        <f>IFERROR(__xludf.DUMMYFUNCTION("""COMPUTED_VALUE"""),1010924.0)</f>
        <v>1010924</v>
      </c>
      <c r="B518" t="str">
        <f>IFERROR(__xludf.DUMMYFUNCTION("""COMPUTED_VALUE"""),"Ms.")</f>
        <v>Ms.</v>
      </c>
      <c r="C518" t="str">
        <f>IFERROR(__xludf.DUMMYFUNCTION("""COMPUTED_VALUE"""),"Thanarat")</f>
        <v>Thanarat</v>
      </c>
      <c r="D518" t="str">
        <f>IFERROR(__xludf.DUMMYFUNCTION("""COMPUTED_VALUE"""),"Juangpanich")</f>
        <v>Juangpanich</v>
      </c>
      <c r="E518" t="str">
        <f>IFERROR(__xludf.DUMMYFUNCTION("""COMPUTED_VALUE"""),"Thanarat Juangpanich")</f>
        <v>Thanarat Juangpanich</v>
      </c>
      <c r="F518" t="str">
        <f>IFERROR(__xludf.DUMMYFUNCTION("""COMPUTED_VALUE"""),"นางสาว")</f>
        <v>นางสาว</v>
      </c>
      <c r="G518" t="str">
        <f>IFERROR(__xludf.DUMMYFUNCTION("""COMPUTED_VALUE"""),"ธนารัตน์")</f>
        <v>ธนารัตน์</v>
      </c>
      <c r="H518" t="str">
        <f>IFERROR(__xludf.DUMMYFUNCTION("""COMPUTED_VALUE"""),"จ๋วงพานิช")</f>
        <v>จ๋วงพานิช</v>
      </c>
      <c r="I518" t="str">
        <f>IFERROR(__xludf.DUMMYFUNCTION("""COMPUTED_VALUE"""),"ธนารัตน์ จ๋วงพานิช")</f>
        <v>ธนารัตน์ จ๋วงพานิช</v>
      </c>
      <c r="J518" t="str">
        <f>IFERROR(__xludf.DUMMYFUNCTION("""COMPUTED_VALUE"""),"นิ")</f>
        <v>นิ</v>
      </c>
      <c r="K518" t="str">
        <f>IFERROR(__xludf.DUMMYFUNCTION("""COMPUTED_VALUE"""),"Senior Cabin Crew")</f>
        <v>Senior Cabin Crew</v>
      </c>
      <c r="L518" t="str">
        <f>IFERROR(__xludf.DUMMYFUNCTION("""COMPUTED_VALUE"""),"DMK")</f>
        <v>DMK</v>
      </c>
      <c r="M518" s="145" t="str">
        <f>IFERROR(__xludf.DUMMYFUNCTION("""COMPUTED_VALUE"""),"Toffy Home")</f>
        <v>Toffy Home</v>
      </c>
      <c r="N518" t="str">
        <f>IFERROR(__xludf.DUMMYFUNCTION("""COMPUTED_VALUE"""),"Active")</f>
        <v>Active</v>
      </c>
      <c r="P518" s="143">
        <f>IFERROR(__xludf.DUMMYFUNCTION("""COMPUTED_VALUE"""),32866.0)</f>
        <v>32866</v>
      </c>
      <c r="Q518" s="146" t="str">
        <f>IFERROR(__xludf.DUMMYFUNCTION("""COMPUTED_VALUE"""),"092-424-9629")</f>
        <v>092-424-9629</v>
      </c>
      <c r="R518" s="147" t="str">
        <f>IFERROR(__xludf.DUMMYFUNCTION("""COMPUTED_VALUE"""),"1101401-68-5576")</f>
        <v>1101401-68-5576</v>
      </c>
      <c r="S518" t="str">
        <f>IFERROR(__xludf.DUMMYFUNCTION("""COMPUTED_VALUE"""),"AD1260947")</f>
        <v>AD1260947</v>
      </c>
      <c r="T518" s="148">
        <f>IFERROR(__xludf.DUMMYFUNCTION("""COMPUTED_VALUE"""),45197.0)</f>
        <v>45197</v>
      </c>
      <c r="U518" s="148">
        <f>IFERROR(__xludf.DUMMYFUNCTION("""COMPUTED_VALUE"""),48849.0)</f>
        <v>48849</v>
      </c>
      <c r="V518" s="149">
        <f>IFERROR(__xludf.DUMMYFUNCTION("""COMPUTED_VALUE"""),48665.0)</f>
        <v>48665</v>
      </c>
      <c r="W518" t="str">
        <f>IFERROR(__xludf.DUMMYFUNCTION("""COMPUTED_VALUE"""),"ปลอดภัย")</f>
        <v>ปลอดภัย</v>
      </c>
      <c r="X518" t="str">
        <f>IFERROR(__xludf.DUMMYFUNCTION("""COMPUTED_VALUE"""),"Bangkok")</f>
        <v>Bangkok</v>
      </c>
      <c r="Y518" t="str">
        <f>IFERROR(__xludf.DUMMYFUNCTION("""COMPUTED_VALUE"""),"Tung Song Hong")</f>
        <v>Tung Song Hong</v>
      </c>
      <c r="Z518" t="str">
        <f>IFERROR(__xludf.DUMMYFUNCTION("""COMPUTED_VALUE"""),"089 703 5094")</f>
        <v>089 703 5094</v>
      </c>
      <c r="AA518" t="str">
        <f>IFERROR(__xludf.DUMMYFUNCTION("""COMPUTED_VALUE"""),"Patthama")</f>
        <v>Patthama</v>
      </c>
      <c r="AB518" t="str">
        <f>IFERROR(__xludf.DUMMYFUNCTION("""COMPUTED_VALUE"""),"thanaratj@airasia.com")</f>
        <v>thanaratj@airasia.com</v>
      </c>
    </row>
    <row r="519">
      <c r="A519">
        <f>IFERROR(__xludf.DUMMYFUNCTION("""COMPUTED_VALUE"""),1010925.0)</f>
        <v>1010925</v>
      </c>
      <c r="B519" t="str">
        <f>IFERROR(__xludf.DUMMYFUNCTION("""COMPUTED_VALUE"""),"Mr.")</f>
        <v>Mr.</v>
      </c>
      <c r="C519" t="str">
        <f>IFERROR(__xludf.DUMMYFUNCTION("""COMPUTED_VALUE"""),"Thanatdanai")</f>
        <v>Thanatdanai</v>
      </c>
      <c r="D519" t="str">
        <f>IFERROR(__xludf.DUMMYFUNCTION("""COMPUTED_VALUE"""),"Kaewchusen")</f>
        <v>Kaewchusen</v>
      </c>
      <c r="E519" t="str">
        <f>IFERROR(__xludf.DUMMYFUNCTION("""COMPUTED_VALUE"""),"Thanatdanai Kaewchusen")</f>
        <v>Thanatdanai Kaewchusen</v>
      </c>
      <c r="F519" t="str">
        <f>IFERROR(__xludf.DUMMYFUNCTION("""COMPUTED_VALUE"""),"นาย")</f>
        <v>นาย</v>
      </c>
      <c r="G519" t="str">
        <f>IFERROR(__xludf.DUMMYFUNCTION("""COMPUTED_VALUE"""),"ธนัชดนัย")</f>
        <v>ธนัชดนัย</v>
      </c>
      <c r="H519" t="str">
        <f>IFERROR(__xludf.DUMMYFUNCTION("""COMPUTED_VALUE"""),"แก้วชูเสน")</f>
        <v>แก้วชูเสน</v>
      </c>
      <c r="I519" t="str">
        <f>IFERROR(__xludf.DUMMYFUNCTION("""COMPUTED_VALUE"""),"ธนัชดนัย แก้วชูเสน")</f>
        <v>ธนัชดนัย แก้วชูเสน</v>
      </c>
      <c r="J519" t="str">
        <f>IFERROR(__xludf.DUMMYFUNCTION("""COMPUTED_VALUE"""),"ข้าวโอ้ต")</f>
        <v>ข้าวโอ้ต</v>
      </c>
      <c r="K519" t="str">
        <f>IFERROR(__xludf.DUMMYFUNCTION("""COMPUTED_VALUE"""),"Senior Cabin Crew")</f>
        <v>Senior Cabin Crew</v>
      </c>
      <c r="L519" t="str">
        <f>IFERROR(__xludf.DUMMYFUNCTION("""COMPUTED_VALUE"""),"DMK")</f>
        <v>DMK</v>
      </c>
      <c r="M519" s="145" t="str">
        <f>IFERROR(__xludf.DUMMYFUNCTION("""COMPUTED_VALUE"""),"Toffy Home")</f>
        <v>Toffy Home</v>
      </c>
      <c r="N519" t="str">
        <f>IFERROR(__xludf.DUMMYFUNCTION("""COMPUTED_VALUE"""),"V/LWP")</f>
        <v>V/LWP</v>
      </c>
      <c r="O519" t="str">
        <f>IFERROR(__xludf.DUMMYFUNCTION("""COMPUTED_VALUE"""),"Chinese Speaking")</f>
        <v>Chinese Speaking</v>
      </c>
      <c r="P519" s="143">
        <f>IFERROR(__xludf.DUMMYFUNCTION("""COMPUTED_VALUE"""),32700.0)</f>
        <v>32700</v>
      </c>
      <c r="Q519" s="146" t="str">
        <f>IFERROR(__xludf.DUMMYFUNCTION("""COMPUTED_VALUE"""),"086-697-5995")</f>
        <v>086-697-5995</v>
      </c>
      <c r="R519" s="147" t="str">
        <f>IFERROR(__xludf.DUMMYFUNCTION("""COMPUTED_VALUE"""),"1669900-13-5744")</f>
        <v>1669900-13-5744</v>
      </c>
      <c r="S519" t="str">
        <f>IFERROR(__xludf.DUMMYFUNCTION("""COMPUTED_VALUE"""),"AC6416053")</f>
        <v>AC6416053</v>
      </c>
      <c r="T519" s="148">
        <f>IFERROR(__xludf.DUMMYFUNCTION("""COMPUTED_VALUE"""),45363.0)</f>
        <v>45363</v>
      </c>
      <c r="U519" s="148">
        <f>IFERROR(__xludf.DUMMYFUNCTION("""COMPUTED_VALUE"""),49014.0)</f>
        <v>49014</v>
      </c>
      <c r="V519" s="149">
        <f>IFERROR(__xludf.DUMMYFUNCTION("""COMPUTED_VALUE"""),48833.0)</f>
        <v>48833</v>
      </c>
      <c r="W519" t="str">
        <f>IFERROR(__xludf.DUMMYFUNCTION("""COMPUTED_VALUE"""),"ปลอดภัย")</f>
        <v>ปลอดภัย</v>
      </c>
      <c r="X519" t="str">
        <f>IFERROR(__xludf.DUMMYFUNCTION("""COMPUTED_VALUE"""),"Phichit Province")</f>
        <v>Phichit Province</v>
      </c>
      <c r="Y519" t="str">
        <f>IFERROR(__xludf.DUMMYFUNCTION("""COMPUTED_VALUE"""),"Nonthaburi")</f>
        <v>Nonthaburi</v>
      </c>
      <c r="Z519" t="str">
        <f>IFERROR(__xludf.DUMMYFUNCTION("""COMPUTED_VALUE"""),"074 445 425 / 095 440 5924 / 089 203 1029")</f>
        <v>074 445 425 / 095 440 5924 / 089 203 1029</v>
      </c>
      <c r="AA519" t="str">
        <f>IFERROR(__xludf.DUMMYFUNCTION("""COMPUTED_VALUE"""),"Home / Boonyanut")</f>
        <v>Home / Boonyanut</v>
      </c>
      <c r="AB519" t="str">
        <f>IFERROR(__xludf.DUMMYFUNCTION("""COMPUTED_VALUE"""),"thanatdanaik@airasia.com")</f>
        <v>thanatdanaik@airasia.com</v>
      </c>
    </row>
    <row r="520">
      <c r="A520">
        <f>IFERROR(__xludf.DUMMYFUNCTION("""COMPUTED_VALUE"""),1010926.0)</f>
        <v>1010926</v>
      </c>
      <c r="B520" t="str">
        <f>IFERROR(__xludf.DUMMYFUNCTION("""COMPUTED_VALUE"""),"Mr.")</f>
        <v>Mr.</v>
      </c>
      <c r="C520" t="str">
        <f>IFERROR(__xludf.DUMMYFUNCTION("""COMPUTED_VALUE"""),"Thanchanoth")</f>
        <v>Thanchanoth</v>
      </c>
      <c r="D520" t="str">
        <f>IFERROR(__xludf.DUMMYFUNCTION("""COMPUTED_VALUE"""),"Chiwnarupai")</f>
        <v>Chiwnarupai</v>
      </c>
      <c r="E520" t="str">
        <f>IFERROR(__xludf.DUMMYFUNCTION("""COMPUTED_VALUE"""),"Thanchanoth Chiwnarupai")</f>
        <v>Thanchanoth Chiwnarupai</v>
      </c>
      <c r="F520" t="str">
        <f>IFERROR(__xludf.DUMMYFUNCTION("""COMPUTED_VALUE"""),"นาย")</f>
        <v>นาย</v>
      </c>
      <c r="G520" t="str">
        <f>IFERROR(__xludf.DUMMYFUNCTION("""COMPUTED_VALUE"""),"ธัณชณท")</f>
        <v>ธัณชณท</v>
      </c>
      <c r="H520" t="str">
        <f>IFERROR(__xludf.DUMMYFUNCTION("""COMPUTED_VALUE"""),"ชิ้วนฤภัย")</f>
        <v>ชิ้วนฤภัย</v>
      </c>
      <c r="I520" t="str">
        <f>IFERROR(__xludf.DUMMYFUNCTION("""COMPUTED_VALUE"""),"ธัณชณท ชิ้วนฤภัย")</f>
        <v>ธัณชณท ชิ้วนฤภัย</v>
      </c>
      <c r="J520" t="str">
        <f>IFERROR(__xludf.DUMMYFUNCTION("""COMPUTED_VALUE"""),"แม็ก")</f>
        <v>แม็ก</v>
      </c>
      <c r="K520" t="str">
        <f>IFERROR(__xludf.DUMMYFUNCTION("""COMPUTED_VALUE"""),"Cabin Crew")</f>
        <v>Cabin Crew</v>
      </c>
      <c r="L520" t="str">
        <f>IFERROR(__xludf.DUMMYFUNCTION("""COMPUTED_VALUE"""),"DMK")</f>
        <v>DMK</v>
      </c>
      <c r="M520" s="145" t="str">
        <f>IFERROR(__xludf.DUMMYFUNCTION("""COMPUTED_VALUE"""),"Toffy Home")</f>
        <v>Toffy Home</v>
      </c>
      <c r="N520" t="str">
        <f>IFERROR(__xludf.DUMMYFUNCTION("""COMPUTED_VALUE"""),"Active")</f>
        <v>Active</v>
      </c>
      <c r="P520" s="143">
        <f>IFERROR(__xludf.DUMMYFUNCTION("""COMPUTED_VALUE"""),32549.0)</f>
        <v>32549</v>
      </c>
      <c r="Q520" s="146" t="str">
        <f>IFERROR(__xludf.DUMMYFUNCTION("""COMPUTED_VALUE"""),"062 428 2926")</f>
        <v>062 428 2926</v>
      </c>
      <c r="R520" s="147" t="str">
        <f>IFERROR(__xludf.DUMMYFUNCTION("""COMPUTED_VALUE"""),"1739900-18-7808")</f>
        <v>1739900-18-7808</v>
      </c>
      <c r="S520" t="str">
        <f>IFERROR(__xludf.DUMMYFUNCTION("""COMPUTED_VALUE"""),"AC2904373")</f>
        <v>AC2904373</v>
      </c>
      <c r="T520" s="148">
        <f>IFERROR(__xludf.DUMMYFUNCTION("""COMPUTED_VALUE"""),44616.0)</f>
        <v>44616</v>
      </c>
      <c r="U520" s="148">
        <f>IFERROR(__xludf.DUMMYFUNCTION("""COMPUTED_VALUE"""),48267.0)</f>
        <v>48267</v>
      </c>
      <c r="V520" s="149">
        <f>IFERROR(__xludf.DUMMYFUNCTION("""COMPUTED_VALUE"""),48083.0)</f>
        <v>48083</v>
      </c>
      <c r="W520" t="str">
        <f>IFERROR(__xludf.DUMMYFUNCTION("""COMPUTED_VALUE"""),"ปลอดภัย")</f>
        <v>ปลอดภัย</v>
      </c>
      <c r="X520" t="str">
        <f>IFERROR(__xludf.DUMMYFUNCTION("""COMPUTED_VALUE"""),"Nakhon Pathom Province")</f>
        <v>Nakhon Pathom Province</v>
      </c>
      <c r="Y520" t="str">
        <f>IFERROR(__xludf.DUMMYFUNCTION("""COMPUTED_VALUE"""),"Huay Kwang")</f>
        <v>Huay Kwang</v>
      </c>
      <c r="Z520" t="str">
        <f>IFERROR(__xludf.DUMMYFUNCTION("""COMPUTED_VALUE"""),"034 344 226 / 081 917 7512")</f>
        <v>034 344 226 / 081 917 7512</v>
      </c>
      <c r="AA520" t="str">
        <f>IFERROR(__xludf.DUMMYFUNCTION("""COMPUTED_VALUE"""),"Home / Monchita")</f>
        <v>Home / Monchita</v>
      </c>
      <c r="AB520" t="str">
        <f>IFERROR(__xludf.DUMMYFUNCTION("""COMPUTED_VALUE"""),"thanchanothc@airasia.com")</f>
        <v>thanchanothc@airasia.com</v>
      </c>
    </row>
    <row r="521">
      <c r="A521">
        <f>IFERROR(__xludf.DUMMYFUNCTION("""COMPUTED_VALUE"""),1010932.0)</f>
        <v>1010932</v>
      </c>
      <c r="B521" t="str">
        <f>IFERROR(__xludf.DUMMYFUNCTION("""COMPUTED_VALUE"""),"Ms.")</f>
        <v>Ms.</v>
      </c>
      <c r="C521" t="str">
        <f>IFERROR(__xludf.DUMMYFUNCTION("""COMPUTED_VALUE"""),"Wanunyapat")</f>
        <v>Wanunyapat</v>
      </c>
      <c r="D521" t="str">
        <f>IFERROR(__xludf.DUMMYFUNCTION("""COMPUTED_VALUE"""),"Wongvichien")</f>
        <v>Wongvichien</v>
      </c>
      <c r="E521" t="str">
        <f>IFERROR(__xludf.DUMMYFUNCTION("""COMPUTED_VALUE"""),"Wanunyapat Wongvichien")</f>
        <v>Wanunyapat Wongvichien</v>
      </c>
      <c r="F521" t="str">
        <f>IFERROR(__xludf.DUMMYFUNCTION("""COMPUTED_VALUE"""),"นางสาว")</f>
        <v>นางสาว</v>
      </c>
      <c r="G521" t="str">
        <f>IFERROR(__xludf.DUMMYFUNCTION("""COMPUTED_VALUE"""),"วณัญญาพัชร")</f>
        <v>วณัญญาพัชร</v>
      </c>
      <c r="H521" t="str">
        <f>IFERROR(__xludf.DUMMYFUNCTION("""COMPUTED_VALUE"""),"วงศ์วิเชียร")</f>
        <v>วงศ์วิเชียร</v>
      </c>
      <c r="I521" t="str">
        <f>IFERROR(__xludf.DUMMYFUNCTION("""COMPUTED_VALUE"""),"วณัญญาพัชร วงศ์วิเชียร")</f>
        <v>วณัญญาพัชร วงศ์วิเชียร</v>
      </c>
      <c r="J521" t="str">
        <f>IFERROR(__xludf.DUMMYFUNCTION("""COMPUTED_VALUE"""),"แทน")</f>
        <v>แทน</v>
      </c>
      <c r="K521" t="str">
        <f>IFERROR(__xludf.DUMMYFUNCTION("""COMPUTED_VALUE"""),"Senior Cabin Crew")</f>
        <v>Senior Cabin Crew</v>
      </c>
      <c r="L521" t="str">
        <f>IFERROR(__xludf.DUMMYFUNCTION("""COMPUTED_VALUE"""),"DMK")</f>
        <v>DMK</v>
      </c>
      <c r="M521" s="145" t="str">
        <f>IFERROR(__xludf.DUMMYFUNCTION("""COMPUTED_VALUE"""),"Toffy Home")</f>
        <v>Toffy Home</v>
      </c>
      <c r="N521" t="str">
        <f>IFERROR(__xludf.DUMMYFUNCTION("""COMPUTED_VALUE"""),"Active")</f>
        <v>Active</v>
      </c>
      <c r="P521" s="143">
        <f>IFERROR(__xludf.DUMMYFUNCTION("""COMPUTED_VALUE"""),31967.0)</f>
        <v>31967</v>
      </c>
      <c r="Q521" s="146" t="str">
        <f>IFERROR(__xludf.DUMMYFUNCTION("""COMPUTED_VALUE"""),"061 596 1949")</f>
        <v>061 596 1949</v>
      </c>
      <c r="R521" s="147" t="str">
        <f>IFERROR(__xludf.DUMMYFUNCTION("""COMPUTED_VALUE"""),"1101401-04-2870")</f>
        <v>1101401-04-2870</v>
      </c>
      <c r="S521" t="str">
        <f>IFERROR(__xludf.DUMMYFUNCTION("""COMPUTED_VALUE"""),"AC8154876")</f>
        <v>AC8154876</v>
      </c>
      <c r="T521" s="148">
        <f>IFERROR(__xludf.DUMMYFUNCTION("""COMPUTED_VALUE"""),45870.0)</f>
        <v>45870</v>
      </c>
      <c r="U521" s="148">
        <f>IFERROR(__xludf.DUMMYFUNCTION("""COMPUTED_VALUE"""),49521.0)</f>
        <v>49521</v>
      </c>
      <c r="V521" s="149">
        <f>IFERROR(__xludf.DUMMYFUNCTION("""COMPUTED_VALUE"""),49340.0)</f>
        <v>49340</v>
      </c>
      <c r="W521" t="str">
        <f>IFERROR(__xludf.DUMMYFUNCTION("""COMPUTED_VALUE"""),"ปลอดภัย")</f>
        <v>ปลอดภัย</v>
      </c>
      <c r="X521" t="str">
        <f>IFERROR(__xludf.DUMMYFUNCTION("""COMPUTED_VALUE"""),"Bangkok")</f>
        <v>Bangkok</v>
      </c>
      <c r="Y521" t="str">
        <f>IFERROR(__xludf.DUMMYFUNCTION("""COMPUTED_VALUE"""),"Beungkum")</f>
        <v>Beungkum</v>
      </c>
      <c r="Z521" t="str">
        <f>IFERROR(__xludf.DUMMYFUNCTION("""COMPUTED_VALUE"""),"02 949 7998 / 081 854 1118")</f>
        <v>02 949 7998 / 081 854 1118</v>
      </c>
      <c r="AA521" t="str">
        <f>IFERROR(__xludf.DUMMYFUNCTION("""COMPUTED_VALUE"""),"Home / Scrum")</f>
        <v>Home / Scrum</v>
      </c>
      <c r="AB521" t="str">
        <f>IFERROR(__xludf.DUMMYFUNCTION("""COMPUTED_VALUE"""),"wanunyapatw@airasia.com")</f>
        <v>wanunyapatw@airasia.com</v>
      </c>
    </row>
    <row r="522">
      <c r="AB522" t="str">
        <f>IFERROR(__xludf.DUMMYFUNCTION("""COMPUTED_VALUE"""),"")</f>
        <v/>
      </c>
    </row>
    <row r="523">
      <c r="A523">
        <f>IFERROR(__xludf.DUMMYFUNCTION("""COMPUTED_VALUE"""),1011303.0)</f>
        <v>1011303</v>
      </c>
      <c r="B523" t="str">
        <f>IFERROR(__xludf.DUMMYFUNCTION("""COMPUTED_VALUE"""),"Ms.")</f>
        <v>Ms.</v>
      </c>
      <c r="C523" t="str">
        <f>IFERROR(__xludf.DUMMYFUNCTION("""COMPUTED_VALUE"""),"Awassada")</f>
        <v>Awassada</v>
      </c>
      <c r="D523" t="str">
        <f>IFERROR(__xludf.DUMMYFUNCTION("""COMPUTED_VALUE"""),"Somprasertsri")</f>
        <v>Somprasertsri</v>
      </c>
      <c r="E523" t="str">
        <f>IFERROR(__xludf.DUMMYFUNCTION("""COMPUTED_VALUE"""),"Awassada Somprasertsri")</f>
        <v>Awassada Somprasertsri</v>
      </c>
      <c r="F523" t="str">
        <f>IFERROR(__xludf.DUMMYFUNCTION("""COMPUTED_VALUE"""),"นางสาว")</f>
        <v>นางสาว</v>
      </c>
      <c r="G523" t="str">
        <f>IFERROR(__xludf.DUMMYFUNCTION("""COMPUTED_VALUE"""),"อวัสดา")</f>
        <v>อวัสดา</v>
      </c>
      <c r="H523" t="str">
        <f>IFERROR(__xludf.DUMMYFUNCTION("""COMPUTED_VALUE"""),"สมประเสริฐศรี")</f>
        <v>สมประเสริฐศรี</v>
      </c>
      <c r="I523" t="str">
        <f>IFERROR(__xludf.DUMMYFUNCTION("""COMPUTED_VALUE"""),"อวัสดา สมประเสริฐศรี")</f>
        <v>อวัสดา สมประเสริฐศรี</v>
      </c>
      <c r="J523" t="str">
        <f>IFERROR(__xludf.DUMMYFUNCTION("""COMPUTED_VALUE"""),"Goi ก้อย")</f>
        <v>Goi ก้อย</v>
      </c>
      <c r="K523" t="str">
        <f>IFERROR(__xludf.DUMMYFUNCTION("""COMPUTED_VALUE"""),"Cabin Crew")</f>
        <v>Cabin Crew</v>
      </c>
      <c r="L523" t="str">
        <f>IFERROR(__xludf.DUMMYFUNCTION("""COMPUTED_VALUE"""),"DMK")</f>
        <v>DMK</v>
      </c>
      <c r="M523" s="145" t="str">
        <f>IFERROR(__xludf.DUMMYFUNCTION("""COMPUTED_VALUE"""),"Namfon Home")</f>
        <v>Namfon Home</v>
      </c>
      <c r="N523" t="str">
        <f>IFERROR(__xludf.DUMMYFUNCTION("""COMPUTED_VALUE"""),"V/LWP")</f>
        <v>V/LWP</v>
      </c>
      <c r="P523" s="143">
        <f>IFERROR(__xludf.DUMMYFUNCTION("""COMPUTED_VALUE"""),33232.0)</f>
        <v>33232</v>
      </c>
      <c r="Q523" s="146" t="str">
        <f>IFERROR(__xludf.DUMMYFUNCTION("""COMPUTED_VALUE"""),"062-249-4596")</f>
        <v>062-249-4596</v>
      </c>
      <c r="R523" s="147" t="str">
        <f>IFERROR(__xludf.DUMMYFUNCTION("""COMPUTED_VALUE"""),"1909800-49-6149")</f>
        <v>1909800-49-6149</v>
      </c>
      <c r="S523" t="str">
        <f>IFERROR(__xludf.DUMMYFUNCTION("""COMPUTED_VALUE"""),"AD1515820")</f>
        <v>AD1515820</v>
      </c>
      <c r="T523" s="148">
        <f>IFERROR(__xludf.DUMMYFUNCTION("""COMPUTED_VALUE"""),45295.0)</f>
        <v>45295</v>
      </c>
      <c r="U523" s="148">
        <f>IFERROR(__xludf.DUMMYFUNCTION("""COMPUTED_VALUE"""),48947.0)</f>
        <v>48947</v>
      </c>
      <c r="V523" s="149">
        <f>IFERROR(__xludf.DUMMYFUNCTION("""COMPUTED_VALUE"""),48763.0)</f>
        <v>48763</v>
      </c>
      <c r="W523" t="str">
        <f>IFERROR(__xludf.DUMMYFUNCTION("""COMPUTED_VALUE"""),"ปลอดภัย")</f>
        <v>ปลอดภัย</v>
      </c>
      <c r="X523" t="str">
        <f>IFERROR(__xludf.DUMMYFUNCTION("""COMPUTED_VALUE"""),"Songkhla Province")</f>
        <v>Songkhla Province</v>
      </c>
      <c r="Y523" t="str">
        <f>IFERROR(__xludf.DUMMYFUNCTION("""COMPUTED_VALUE"""),"Suan Luang")</f>
        <v>Suan Luang</v>
      </c>
      <c r="Z523" t="str">
        <f>IFERROR(__xludf.DUMMYFUNCTION("""COMPUTED_VALUE"""),"0281-959-4799")</f>
        <v>0281-959-4799</v>
      </c>
      <c r="AA523" t="str">
        <f>IFERROR(__xludf.DUMMYFUNCTION("""COMPUTED_VALUE"""),"Ariya")</f>
        <v>Ariya</v>
      </c>
      <c r="AB523" t="str">
        <f>IFERROR(__xludf.DUMMYFUNCTION("""COMPUTED_VALUE"""),"awassadas@airasia.com")</f>
        <v>awassadas@airasia.com</v>
      </c>
    </row>
    <row r="524">
      <c r="A524">
        <f>IFERROR(__xludf.DUMMYFUNCTION("""COMPUTED_VALUE"""),1011306.0)</f>
        <v>1011306</v>
      </c>
      <c r="B524" t="str">
        <f>IFERROR(__xludf.DUMMYFUNCTION("""COMPUTED_VALUE"""),"Ms.")</f>
        <v>Ms.</v>
      </c>
      <c r="C524" t="str">
        <f>IFERROR(__xludf.DUMMYFUNCTION("""COMPUTED_VALUE"""),"Kanthanuch")</f>
        <v>Kanthanuch</v>
      </c>
      <c r="D524" t="str">
        <f>IFERROR(__xludf.DUMMYFUNCTION("""COMPUTED_VALUE"""),"Boonlor")</f>
        <v>Boonlor</v>
      </c>
      <c r="E524" t="str">
        <f>IFERROR(__xludf.DUMMYFUNCTION("""COMPUTED_VALUE"""),"Kanthanuch Boonlor")</f>
        <v>Kanthanuch Boonlor</v>
      </c>
      <c r="F524" t="str">
        <f>IFERROR(__xludf.DUMMYFUNCTION("""COMPUTED_VALUE"""),"นางสาว")</f>
        <v>นางสาว</v>
      </c>
      <c r="G524" t="str">
        <f>IFERROR(__xludf.DUMMYFUNCTION("""COMPUTED_VALUE"""),"กัณฐนุช")</f>
        <v>กัณฐนุช</v>
      </c>
      <c r="H524" t="str">
        <f>IFERROR(__xludf.DUMMYFUNCTION("""COMPUTED_VALUE"""),"บุญหล่อ")</f>
        <v>บุญหล่อ</v>
      </c>
      <c r="I524" t="str">
        <f>IFERROR(__xludf.DUMMYFUNCTION("""COMPUTED_VALUE"""),"กัณฐนุช บุญหล่อ")</f>
        <v>กัณฐนุช บุญหล่อ</v>
      </c>
      <c r="J524" t="str">
        <f>IFERROR(__xludf.DUMMYFUNCTION("""COMPUTED_VALUE"""),"Tangmo แตงโม")</f>
        <v>Tangmo แตงโม</v>
      </c>
      <c r="K524" t="str">
        <f>IFERROR(__xludf.DUMMYFUNCTION("""COMPUTED_VALUE"""),"Senior Cabin Crew")</f>
        <v>Senior Cabin Crew</v>
      </c>
      <c r="L524" t="str">
        <f>IFERROR(__xludf.DUMMYFUNCTION("""COMPUTED_VALUE"""),"DMK")</f>
        <v>DMK</v>
      </c>
      <c r="M524" s="145" t="str">
        <f>IFERROR(__xludf.DUMMYFUNCTION("""COMPUTED_VALUE"""),"Por+ Home")</f>
        <v>Por+ Home</v>
      </c>
      <c r="N524" t="str">
        <f>IFERROR(__xludf.DUMMYFUNCTION("""COMPUTED_VALUE"""),"Active")</f>
        <v>Active</v>
      </c>
      <c r="P524" s="143">
        <f>IFERROR(__xludf.DUMMYFUNCTION("""COMPUTED_VALUE"""),32037.0)</f>
        <v>32037</v>
      </c>
      <c r="Q524" s="146" t="str">
        <f>IFERROR(__xludf.DUMMYFUNCTION("""COMPUTED_VALUE"""),"085-935-4982")</f>
        <v>085-935-4982</v>
      </c>
      <c r="R524" s="147" t="str">
        <f>IFERROR(__xludf.DUMMYFUNCTION("""COMPUTED_VALUE"""),"1100200-33-9564")</f>
        <v>1100200-33-9564</v>
      </c>
      <c r="S524" t="str">
        <f>IFERROR(__xludf.DUMMYFUNCTION("""COMPUTED_VALUE"""),"AC2341440")</f>
        <v>AC2341440</v>
      </c>
      <c r="T524" s="148">
        <f>IFERROR(__xludf.DUMMYFUNCTION("""COMPUTED_VALUE"""),44382.0)</f>
        <v>44382</v>
      </c>
      <c r="U524" s="148">
        <f>IFERROR(__xludf.DUMMYFUNCTION("""COMPUTED_VALUE"""),48033.0)</f>
        <v>48033</v>
      </c>
      <c r="V524" s="149">
        <f>IFERROR(__xludf.DUMMYFUNCTION("""COMPUTED_VALUE"""),47852.0)</f>
        <v>47852</v>
      </c>
      <c r="W524" t="str">
        <f>IFERROR(__xludf.DUMMYFUNCTION("""COMPUTED_VALUE"""),"ปลอดภัย")</f>
        <v>ปลอดภัย</v>
      </c>
      <c r="X524" t="str">
        <f>IFERROR(__xludf.DUMMYFUNCTION("""COMPUTED_VALUE"""),"Bangkok")</f>
        <v>Bangkok</v>
      </c>
      <c r="Y524" t="str">
        <f>IFERROR(__xludf.DUMMYFUNCTION("""COMPUTED_VALUE"""),"Bangwa")</f>
        <v>Bangwa</v>
      </c>
      <c r="Z524" t="str">
        <f>IFERROR(__xludf.DUMMYFUNCTION("""COMPUTED_VALUE"""),"091995-2615")</f>
        <v>091995-2615</v>
      </c>
      <c r="AA524" t="str">
        <f>IFERROR(__xludf.DUMMYFUNCTION("""COMPUTED_VALUE"""),"Jakkapan")</f>
        <v>Jakkapan</v>
      </c>
      <c r="AB524" t="str">
        <f>IFERROR(__xludf.DUMMYFUNCTION("""COMPUTED_VALUE"""),"kanthanuchb@airasia.com")</f>
        <v>kanthanuchb@airasia.com</v>
      </c>
    </row>
    <row r="525">
      <c r="A525">
        <f>IFERROR(__xludf.DUMMYFUNCTION("""COMPUTED_VALUE"""),1011307.0)</f>
        <v>1011307</v>
      </c>
      <c r="B525" t="str">
        <f>IFERROR(__xludf.DUMMYFUNCTION("""COMPUTED_VALUE"""),"Ms.")</f>
        <v>Ms.</v>
      </c>
      <c r="C525" t="str">
        <f>IFERROR(__xludf.DUMMYFUNCTION("""COMPUTED_VALUE"""),"Munnanicha")</f>
        <v>Munnanicha</v>
      </c>
      <c r="D525" t="str">
        <f>IFERROR(__xludf.DUMMYFUNCTION("""COMPUTED_VALUE"""),"Sarakong")</f>
        <v>Sarakong</v>
      </c>
      <c r="E525" t="str">
        <f>IFERROR(__xludf.DUMMYFUNCTION("""COMPUTED_VALUE"""),"Munnanicha Sarakong")</f>
        <v>Munnanicha Sarakong</v>
      </c>
      <c r="F525" t="str">
        <f>IFERROR(__xludf.DUMMYFUNCTION("""COMPUTED_VALUE"""),"นางสาว")</f>
        <v>นางสาว</v>
      </c>
      <c r="G525" t="str">
        <f>IFERROR(__xludf.DUMMYFUNCTION("""COMPUTED_VALUE"""),"มัญช์ณณิชา")</f>
        <v>มัญช์ณณิชา</v>
      </c>
      <c r="H525" t="str">
        <f>IFERROR(__xludf.DUMMYFUNCTION("""COMPUTED_VALUE"""),"สาระคง")</f>
        <v>สาระคง</v>
      </c>
      <c r="I525" t="str">
        <f>IFERROR(__xludf.DUMMYFUNCTION("""COMPUTED_VALUE"""),"มัญช์ณณิชา สาระคง")</f>
        <v>มัญช์ณณิชา สาระคง</v>
      </c>
      <c r="J525" t="str">
        <f>IFERROR(__xludf.DUMMYFUNCTION("""COMPUTED_VALUE"""),"Meaw เหมี่ยว")</f>
        <v>Meaw เหมี่ยว</v>
      </c>
      <c r="K525" t="str">
        <f>IFERROR(__xludf.DUMMYFUNCTION("""COMPUTED_VALUE"""),"Cabin Crew")</f>
        <v>Cabin Crew</v>
      </c>
      <c r="L525" t="str">
        <f>IFERROR(__xludf.DUMMYFUNCTION("""COMPUTED_VALUE"""),"DMK")</f>
        <v>DMK</v>
      </c>
      <c r="M525" s="145" t="str">
        <f>IFERROR(__xludf.DUMMYFUNCTION("""COMPUTED_VALUE"""),"Por+ Home")</f>
        <v>Por+ Home</v>
      </c>
      <c r="N525" t="str">
        <f>IFERROR(__xludf.DUMMYFUNCTION("""COMPUTED_VALUE"""),"Active")</f>
        <v>Active</v>
      </c>
      <c r="P525" s="143">
        <f>IFERROR(__xludf.DUMMYFUNCTION("""COMPUTED_VALUE"""),33241.0)</f>
        <v>33241</v>
      </c>
      <c r="Q525" s="146" t="str">
        <f>IFERROR(__xludf.DUMMYFUNCTION("""COMPUTED_VALUE"""),"091 553 5664")</f>
        <v>091 553 5664</v>
      </c>
      <c r="R525" s="147" t="str">
        <f>IFERROR(__xludf.DUMMYFUNCTION("""COMPUTED_VALUE"""),"1909800-49-9831")</f>
        <v>1909800-49-9831</v>
      </c>
      <c r="S525" t="str">
        <f>IFERROR(__xludf.DUMMYFUNCTION("""COMPUTED_VALUE"""),"AC5895921")</f>
        <v>AC5895921</v>
      </c>
      <c r="T525" s="148">
        <f>IFERROR(__xludf.DUMMYFUNCTION("""COMPUTED_VALUE"""),45219.0)</f>
        <v>45219</v>
      </c>
      <c r="U525" s="148">
        <f>IFERROR(__xludf.DUMMYFUNCTION("""COMPUTED_VALUE"""),48871.0)</f>
        <v>48871</v>
      </c>
      <c r="V525" s="149">
        <f>IFERROR(__xludf.DUMMYFUNCTION("""COMPUTED_VALUE"""),48688.0)</f>
        <v>48688</v>
      </c>
      <c r="W525" t="str">
        <f>IFERROR(__xludf.DUMMYFUNCTION("""COMPUTED_VALUE"""),"ปลอดภัย")</f>
        <v>ปลอดภัย</v>
      </c>
      <c r="X525" t="str">
        <f>IFERROR(__xludf.DUMMYFUNCTION("""COMPUTED_VALUE"""),"Songkhla Province")</f>
        <v>Songkhla Province</v>
      </c>
      <c r="Y525" t="str">
        <f>IFERROR(__xludf.DUMMYFUNCTION("""COMPUTED_VALUE"""),"Rama 9")</f>
        <v>Rama 9</v>
      </c>
      <c r="Z525" t="str">
        <f>IFERROR(__xludf.DUMMYFUNCTION("""COMPUTED_VALUE"""),"086-940-3295")</f>
        <v>086-940-3295</v>
      </c>
      <c r="AA525" t="str">
        <f>IFERROR(__xludf.DUMMYFUNCTION("""COMPUTED_VALUE"""),"Viganda")</f>
        <v>Viganda</v>
      </c>
      <c r="AB525" t="str">
        <f>IFERROR(__xludf.DUMMYFUNCTION("""COMPUTED_VALUE"""),"munnanichas@airasia.com")</f>
        <v>munnanichas@airasia.com</v>
      </c>
    </row>
    <row r="526">
      <c r="A526">
        <f>IFERROR(__xludf.DUMMYFUNCTION("""COMPUTED_VALUE"""),1011308.0)</f>
        <v>1011308</v>
      </c>
      <c r="B526" t="str">
        <f>IFERROR(__xludf.DUMMYFUNCTION("""COMPUTED_VALUE"""),"Ms.")</f>
        <v>Ms.</v>
      </c>
      <c r="C526" t="str">
        <f>IFERROR(__xludf.DUMMYFUNCTION("""COMPUTED_VALUE"""),"Narisa")</f>
        <v>Narisa</v>
      </c>
      <c r="D526" t="str">
        <f>IFERROR(__xludf.DUMMYFUNCTION("""COMPUTED_VALUE"""),"Jotikasathira")</f>
        <v>Jotikasathira</v>
      </c>
      <c r="E526" t="str">
        <f>IFERROR(__xludf.DUMMYFUNCTION("""COMPUTED_VALUE"""),"Narisa Jotikasathira")</f>
        <v>Narisa Jotikasathira</v>
      </c>
      <c r="F526" t="str">
        <f>IFERROR(__xludf.DUMMYFUNCTION("""COMPUTED_VALUE"""),"นางสาว")</f>
        <v>นางสาว</v>
      </c>
      <c r="G526" t="str">
        <f>IFERROR(__xludf.DUMMYFUNCTION("""COMPUTED_VALUE"""),"ณริสา")</f>
        <v>ณริสา</v>
      </c>
      <c r="H526" t="str">
        <f>IFERROR(__xludf.DUMMYFUNCTION("""COMPUTED_VALUE"""),"โชติกเสถียร")</f>
        <v>โชติกเสถียร</v>
      </c>
      <c r="I526" t="str">
        <f>IFERROR(__xludf.DUMMYFUNCTION("""COMPUTED_VALUE"""),"ณริสา โชติกเสถียร")</f>
        <v>ณริสา โชติกเสถียร</v>
      </c>
      <c r="J526" t="str">
        <f>IFERROR(__xludf.DUMMYFUNCTION("""COMPUTED_VALUE"""),"Ming หมิง")</f>
        <v>Ming หมิง</v>
      </c>
      <c r="K526" t="str">
        <f>IFERROR(__xludf.DUMMYFUNCTION("""COMPUTED_VALUE"""),"Cabin Crew - CNX")</f>
        <v>Cabin Crew - CNX</v>
      </c>
      <c r="L526" t="str">
        <f>IFERROR(__xludf.DUMMYFUNCTION("""COMPUTED_VALUE"""),"CNX")</f>
        <v>CNX</v>
      </c>
      <c r="M526" s="145" t="str">
        <f>IFERROR(__xludf.DUMMYFUNCTION("""COMPUTED_VALUE"""),"Up Home")</f>
        <v>Up Home</v>
      </c>
      <c r="N526" t="str">
        <f>IFERROR(__xludf.DUMMYFUNCTION("""COMPUTED_VALUE"""),"Active/V/DMK")</f>
        <v>Active/V/DMK</v>
      </c>
      <c r="O526" t="str">
        <f>IFERROR(__xludf.DUMMYFUNCTION("""COMPUTED_VALUE"""),"Chinese Speaking")</f>
        <v>Chinese Speaking</v>
      </c>
      <c r="P526" s="143">
        <f>IFERROR(__xludf.DUMMYFUNCTION("""COMPUTED_VALUE"""),32558.0)</f>
        <v>32558</v>
      </c>
      <c r="Q526" s="146" t="str">
        <f>IFERROR(__xludf.DUMMYFUNCTION("""COMPUTED_VALUE"""),"089 419 2954")</f>
        <v>089 419 2954</v>
      </c>
      <c r="R526" s="147" t="str">
        <f>IFERROR(__xludf.DUMMYFUNCTION("""COMPUTED_VALUE"""),"1860400-06-0991")</f>
        <v>1860400-06-0991</v>
      </c>
      <c r="S526" t="str">
        <f>IFERROR(__xludf.DUMMYFUNCTION("""COMPUTED_VALUE"""),"AD2128350")</f>
        <v>AD2128350</v>
      </c>
      <c r="T526" s="148">
        <f>IFERROR(__xludf.DUMMYFUNCTION("""COMPUTED_VALUE"""),45748.0)</f>
        <v>45748</v>
      </c>
      <c r="U526" s="148">
        <f>IFERROR(__xludf.DUMMYFUNCTION("""COMPUTED_VALUE"""),49399.0)</f>
        <v>49399</v>
      </c>
      <c r="V526" s="149">
        <f>IFERROR(__xludf.DUMMYFUNCTION("""COMPUTED_VALUE"""),49217.0)</f>
        <v>49217</v>
      </c>
      <c r="W526" t="str">
        <f>IFERROR(__xludf.DUMMYFUNCTION("""COMPUTED_VALUE"""),"ปลอดภัย")</f>
        <v>ปลอดภัย</v>
      </c>
      <c r="X526" t="str">
        <f>IFERROR(__xludf.DUMMYFUNCTION("""COMPUTED_VALUE"""),"Chumphon Province")</f>
        <v>Chumphon Province</v>
      </c>
      <c r="Y526" t="str">
        <f>IFERROR(__xludf.DUMMYFUNCTION("""COMPUTED_VALUE"""),"Lampang")</f>
        <v>Lampang</v>
      </c>
      <c r="Z526" t="str">
        <f>IFERROR(__xludf.DUMMYFUNCTION("""COMPUTED_VALUE"""),"095-706-3401")</f>
        <v>095-706-3401</v>
      </c>
      <c r="AA526" t="str">
        <f>IFERROR(__xludf.DUMMYFUNCTION("""COMPUTED_VALUE"""),"Ahttapron")</f>
        <v>Ahttapron</v>
      </c>
      <c r="AB526" t="str">
        <f>IFERROR(__xludf.DUMMYFUNCTION("""COMPUTED_VALUE"""),"narisaj@airasia.com")</f>
        <v>narisaj@airasia.com</v>
      </c>
    </row>
    <row r="527">
      <c r="A527">
        <f>IFERROR(__xludf.DUMMYFUNCTION("""COMPUTED_VALUE"""),1011310.0)</f>
        <v>1011310</v>
      </c>
      <c r="B527" t="str">
        <f>IFERROR(__xludf.DUMMYFUNCTION("""COMPUTED_VALUE"""),"Ms.")</f>
        <v>Ms.</v>
      </c>
      <c r="C527" t="str">
        <f>IFERROR(__xludf.DUMMYFUNCTION("""COMPUTED_VALUE"""),"Nicha")</f>
        <v>Nicha</v>
      </c>
      <c r="D527" t="str">
        <f>IFERROR(__xludf.DUMMYFUNCTION("""COMPUTED_VALUE"""),"Manapradit")</f>
        <v>Manapradit</v>
      </c>
      <c r="E527" t="str">
        <f>IFERROR(__xludf.DUMMYFUNCTION("""COMPUTED_VALUE"""),"Nicha Manapradit")</f>
        <v>Nicha Manapradit</v>
      </c>
      <c r="F527" t="str">
        <f>IFERROR(__xludf.DUMMYFUNCTION("""COMPUTED_VALUE"""),"นางสาว")</f>
        <v>นางสาว</v>
      </c>
      <c r="G527" t="str">
        <f>IFERROR(__xludf.DUMMYFUNCTION("""COMPUTED_VALUE"""),"นิชา")</f>
        <v>นิชา</v>
      </c>
      <c r="H527" t="str">
        <f>IFERROR(__xludf.DUMMYFUNCTION("""COMPUTED_VALUE"""),"มานะประดิษฐ์")</f>
        <v>มานะประดิษฐ์</v>
      </c>
      <c r="I527" t="str">
        <f>IFERROR(__xludf.DUMMYFUNCTION("""COMPUTED_VALUE"""),"นิชา มานะประดิษฐ์")</f>
        <v>นิชา มานะประดิษฐ์</v>
      </c>
      <c r="J527" t="str">
        <f>IFERROR(__xludf.DUMMYFUNCTION("""COMPUTED_VALUE"""),"Fam แฟ้ม")</f>
        <v>Fam แฟ้ม</v>
      </c>
      <c r="K527" t="str">
        <f>IFERROR(__xludf.DUMMYFUNCTION("""COMPUTED_VALUE"""),"Senior Cabin Crew")</f>
        <v>Senior Cabin Crew</v>
      </c>
      <c r="L527" t="str">
        <f>IFERROR(__xludf.DUMMYFUNCTION("""COMPUTED_VALUE"""),"DMK")</f>
        <v>DMK</v>
      </c>
      <c r="M527" s="145" t="str">
        <f>IFERROR(__xludf.DUMMYFUNCTION("""COMPUTED_VALUE"""),"Kor Home")</f>
        <v>Kor Home</v>
      </c>
      <c r="N527" t="str">
        <f>IFERROR(__xludf.DUMMYFUNCTION("""COMPUTED_VALUE"""),"Active")</f>
        <v>Active</v>
      </c>
      <c r="P527" s="143">
        <f>IFERROR(__xludf.DUMMYFUNCTION("""COMPUTED_VALUE"""),32024.0)</f>
        <v>32024</v>
      </c>
      <c r="Q527" s="146" t="str">
        <f>IFERROR(__xludf.DUMMYFUNCTION("""COMPUTED_VALUE"""),"087-129-8432")</f>
        <v>087-129-8432</v>
      </c>
      <c r="R527" s="147" t="str">
        <f>IFERROR(__xludf.DUMMYFUNCTION("""COMPUTED_VALUE"""),"1200100-16-3129")</f>
        <v>1200100-16-3129</v>
      </c>
      <c r="S527" t="str">
        <f>IFERROR(__xludf.DUMMYFUNCTION("""COMPUTED_VALUE"""),"AD1093778")</f>
        <v>AD1093778</v>
      </c>
      <c r="T527" s="148">
        <f>IFERROR(__xludf.DUMMYFUNCTION("""COMPUTED_VALUE"""),45065.0)</f>
        <v>45065</v>
      </c>
      <c r="U527" s="148">
        <f>IFERROR(__xludf.DUMMYFUNCTION("""COMPUTED_VALUE"""),48717.0)</f>
        <v>48717</v>
      </c>
      <c r="V527" s="149">
        <f>IFERROR(__xludf.DUMMYFUNCTION("""COMPUTED_VALUE"""),48536.0)</f>
        <v>48536</v>
      </c>
      <c r="W527" t="str">
        <f>IFERROR(__xludf.DUMMYFUNCTION("""COMPUTED_VALUE"""),"ปลอดภัย")</f>
        <v>ปลอดภัย</v>
      </c>
      <c r="X527" t="str">
        <f>IFERROR(__xludf.DUMMYFUNCTION("""COMPUTED_VALUE"""),"Chonburi Province")</f>
        <v>Chonburi Province</v>
      </c>
      <c r="Y527" t="str">
        <f>IFERROR(__xludf.DUMMYFUNCTION("""COMPUTED_VALUE"""),"Jatujak")</f>
        <v>Jatujak</v>
      </c>
      <c r="Z527" t="str">
        <f>IFERROR(__xludf.DUMMYFUNCTION("""COMPUTED_VALUE"""),"081-987-5358")</f>
        <v>081-987-5358</v>
      </c>
      <c r="AA527" t="str">
        <f>IFERROR(__xludf.DUMMYFUNCTION("""COMPUTED_VALUE"""),"Sakda")</f>
        <v>Sakda</v>
      </c>
      <c r="AB527" t="str">
        <f>IFERROR(__xludf.DUMMYFUNCTION("""COMPUTED_VALUE"""),"nicham@airasia.com")</f>
        <v>nicham@airasia.com</v>
      </c>
    </row>
    <row r="528">
      <c r="A528">
        <f>IFERROR(__xludf.DUMMYFUNCTION("""COMPUTED_VALUE"""),1011312.0)</f>
        <v>1011312</v>
      </c>
      <c r="B528" t="str">
        <f>IFERROR(__xludf.DUMMYFUNCTION("""COMPUTED_VALUE"""),"Ms.")</f>
        <v>Ms.</v>
      </c>
      <c r="C528" t="str">
        <f>IFERROR(__xludf.DUMMYFUNCTION("""COMPUTED_VALUE"""),"Patchara")</f>
        <v>Patchara</v>
      </c>
      <c r="D528" t="str">
        <f>IFERROR(__xludf.DUMMYFUNCTION("""COMPUTED_VALUE"""),"Penpaijit")</f>
        <v>Penpaijit</v>
      </c>
      <c r="E528" t="str">
        <f>IFERROR(__xludf.DUMMYFUNCTION("""COMPUTED_VALUE"""),"Patchara Penpaijit")</f>
        <v>Patchara Penpaijit</v>
      </c>
      <c r="F528" t="str">
        <f>IFERROR(__xludf.DUMMYFUNCTION("""COMPUTED_VALUE"""),"นางสาว")</f>
        <v>นางสาว</v>
      </c>
      <c r="G528" t="str">
        <f>IFERROR(__xludf.DUMMYFUNCTION("""COMPUTED_VALUE"""),"พัชรา")</f>
        <v>พัชรา</v>
      </c>
      <c r="H528" t="str">
        <f>IFERROR(__xludf.DUMMYFUNCTION("""COMPUTED_VALUE"""),"เพ็ญไพจิตร์")</f>
        <v>เพ็ญไพจิตร์</v>
      </c>
      <c r="I528" t="str">
        <f>IFERROR(__xludf.DUMMYFUNCTION("""COMPUTED_VALUE"""),"พัชรา เพ็ญไพจิตร์")</f>
        <v>พัชรา เพ็ญไพจิตร์</v>
      </c>
      <c r="J528" t="str">
        <f>IFERROR(__xludf.DUMMYFUNCTION("""COMPUTED_VALUE"""),"Mai ใหม่")</f>
        <v>Mai ใหม่</v>
      </c>
      <c r="K528" t="str">
        <f>IFERROR(__xludf.DUMMYFUNCTION("""COMPUTED_VALUE"""),"Cabin Crew")</f>
        <v>Cabin Crew</v>
      </c>
      <c r="L528" t="str">
        <f>IFERROR(__xludf.DUMMYFUNCTION("""COMPUTED_VALUE"""),"DMK")</f>
        <v>DMK</v>
      </c>
      <c r="M528" s="145" t="str">
        <f>IFERROR(__xludf.DUMMYFUNCTION("""COMPUTED_VALUE"""),"Toffy Home")</f>
        <v>Toffy Home</v>
      </c>
      <c r="N528" t="str">
        <f>IFERROR(__xludf.DUMMYFUNCTION("""COMPUTED_VALUE"""),"Active")</f>
        <v>Active</v>
      </c>
      <c r="O528" t="str">
        <f>IFERROR(__xludf.DUMMYFUNCTION("""COMPUTED_VALUE"""),"Korean Speaking")</f>
        <v>Korean Speaking</v>
      </c>
      <c r="P528" s="143">
        <f>IFERROR(__xludf.DUMMYFUNCTION("""COMPUTED_VALUE"""),33505.0)</f>
        <v>33505</v>
      </c>
      <c r="Q528" s="146" t="str">
        <f>IFERROR(__xludf.DUMMYFUNCTION("""COMPUTED_VALUE"""),"083-587-5582")</f>
        <v>083-587-5582</v>
      </c>
      <c r="R528" s="147" t="str">
        <f>IFERROR(__xludf.DUMMYFUNCTION("""COMPUTED_VALUE"""),"1200100-36-9941")</f>
        <v>1200100-36-9941</v>
      </c>
      <c r="S528" t="str">
        <f>IFERROR(__xludf.DUMMYFUNCTION("""COMPUTED_VALUE"""),"AC4616229")</f>
        <v>AC4616229</v>
      </c>
      <c r="T528" s="148">
        <f>IFERROR(__xludf.DUMMYFUNCTION("""COMPUTED_VALUE"""),44999.0)</f>
        <v>44999</v>
      </c>
      <c r="U528" s="148">
        <f>IFERROR(__xludf.DUMMYFUNCTION("""COMPUTED_VALUE"""),48651.0)</f>
        <v>48651</v>
      </c>
      <c r="V528" s="149">
        <f>IFERROR(__xludf.DUMMYFUNCTION("""COMPUTED_VALUE"""),48470.0)</f>
        <v>48470</v>
      </c>
      <c r="W528" t="str">
        <f>IFERROR(__xludf.DUMMYFUNCTION("""COMPUTED_VALUE"""),"ปลอดภัย")</f>
        <v>ปลอดภัย</v>
      </c>
      <c r="X528" t="str">
        <f>IFERROR(__xludf.DUMMYFUNCTION("""COMPUTED_VALUE"""),"Chonburi Province")</f>
        <v>Chonburi Province</v>
      </c>
      <c r="Y528" t="str">
        <f>IFERROR(__xludf.DUMMYFUNCTION("""COMPUTED_VALUE"""),"Chachoengsao")</f>
        <v>Chachoengsao</v>
      </c>
      <c r="Z528" t="str">
        <f>IFERROR(__xludf.DUMMYFUNCTION("""COMPUTED_VALUE"""),"083-120-5399")</f>
        <v>083-120-5399</v>
      </c>
      <c r="AA528" t="str">
        <f>IFERROR(__xludf.DUMMYFUNCTION("""COMPUTED_VALUE"""),"Wimonrat")</f>
        <v>Wimonrat</v>
      </c>
      <c r="AB528" t="str">
        <f>IFERROR(__xludf.DUMMYFUNCTION("""COMPUTED_VALUE"""),"patcharae@airasia.com")</f>
        <v>patcharae@airasia.com</v>
      </c>
    </row>
    <row r="529">
      <c r="A529">
        <f>IFERROR(__xludf.DUMMYFUNCTION("""COMPUTED_VALUE"""),1011314.0)</f>
        <v>1011314</v>
      </c>
      <c r="B529" t="str">
        <f>IFERROR(__xludf.DUMMYFUNCTION("""COMPUTED_VALUE"""),"Mr.")</f>
        <v>Mr.</v>
      </c>
      <c r="C529" t="str">
        <f>IFERROR(__xludf.DUMMYFUNCTION("""COMPUTED_VALUE"""),"Pichayapich")</f>
        <v>Pichayapich</v>
      </c>
      <c r="D529" t="str">
        <f>IFERROR(__xludf.DUMMYFUNCTION("""COMPUTED_VALUE"""),"Nimphya")</f>
        <v>Nimphya</v>
      </c>
      <c r="E529" t="str">
        <f>IFERROR(__xludf.DUMMYFUNCTION("""COMPUTED_VALUE"""),"Pichayapich Nimphya")</f>
        <v>Pichayapich Nimphya</v>
      </c>
      <c r="F529" t="str">
        <f>IFERROR(__xludf.DUMMYFUNCTION("""COMPUTED_VALUE"""),"นาย")</f>
        <v>นาย</v>
      </c>
      <c r="G529" t="str">
        <f>IFERROR(__xludf.DUMMYFUNCTION("""COMPUTED_VALUE"""),"พิชญพิชญ์")</f>
        <v>พิชญพิชญ์</v>
      </c>
      <c r="H529" t="str">
        <f>IFERROR(__xludf.DUMMYFUNCTION("""COMPUTED_VALUE"""),"นิ่มพยา")</f>
        <v>นิ่มพยา</v>
      </c>
      <c r="I529" t="str">
        <f>IFERROR(__xludf.DUMMYFUNCTION("""COMPUTED_VALUE"""),"พิชญพิชญ์ นิ่มพยา")</f>
        <v>พิชญพิชญ์ นิ่มพยา</v>
      </c>
      <c r="J529" t="str">
        <f>IFERROR(__xludf.DUMMYFUNCTION("""COMPUTED_VALUE"""),"Golf กอล์ฟ")</f>
        <v>Golf กอล์ฟ</v>
      </c>
      <c r="K529" t="str">
        <f>IFERROR(__xludf.DUMMYFUNCTION("""COMPUTED_VALUE"""),"Senior Cabin Crew")</f>
        <v>Senior Cabin Crew</v>
      </c>
      <c r="L529" t="str">
        <f>IFERROR(__xludf.DUMMYFUNCTION("""COMPUTED_VALUE"""),"DMK")</f>
        <v>DMK</v>
      </c>
      <c r="M529" s="145" t="str">
        <f>IFERROR(__xludf.DUMMYFUNCTION("""COMPUTED_VALUE"""),"Namfon Home")</f>
        <v>Namfon Home</v>
      </c>
      <c r="N529" t="str">
        <f>IFERROR(__xludf.DUMMYFUNCTION("""COMPUTED_VALUE"""),"Active")</f>
        <v>Active</v>
      </c>
      <c r="P529" s="143">
        <f>IFERROR(__xludf.DUMMYFUNCTION("""COMPUTED_VALUE"""),32787.0)</f>
        <v>32787</v>
      </c>
      <c r="Q529" s="146" t="str">
        <f>IFERROR(__xludf.DUMMYFUNCTION("""COMPUTED_VALUE"""),"064-929-4554")</f>
        <v>064-929-4554</v>
      </c>
      <c r="R529" s="147" t="str">
        <f>IFERROR(__xludf.DUMMYFUNCTION("""COMPUTED_VALUE"""),"1259700-09-0473")</f>
        <v>1259700-09-0473</v>
      </c>
      <c r="S529" t="str">
        <f>IFERROR(__xludf.DUMMYFUNCTION("""COMPUTED_VALUE"""),"AC4684258")</f>
        <v>AC4684258</v>
      </c>
      <c r="T529" s="148">
        <f>IFERROR(__xludf.DUMMYFUNCTION("""COMPUTED_VALUE"""),45003.0)</f>
        <v>45003</v>
      </c>
      <c r="U529" s="148">
        <f>IFERROR(__xludf.DUMMYFUNCTION("""COMPUTED_VALUE"""),48655.0)</f>
        <v>48655</v>
      </c>
      <c r="V529" s="149">
        <f>IFERROR(__xludf.DUMMYFUNCTION("""COMPUTED_VALUE"""),48474.0)</f>
        <v>48474</v>
      </c>
      <c r="W529" t="str">
        <f>IFERROR(__xludf.DUMMYFUNCTION("""COMPUTED_VALUE"""),"ปลอดภัย")</f>
        <v>ปลอดภัย</v>
      </c>
      <c r="X529" t="str">
        <f>IFERROR(__xludf.DUMMYFUNCTION("""COMPUTED_VALUE"""),"Prachinburi Province")</f>
        <v>Prachinburi Province</v>
      </c>
      <c r="Y529" t="str">
        <f>IFERROR(__xludf.DUMMYFUNCTION("""COMPUTED_VALUE"""),"Sukhumvit")</f>
        <v>Sukhumvit</v>
      </c>
      <c r="Z529" t="str">
        <f>IFERROR(__xludf.DUMMYFUNCTION("""COMPUTED_VALUE"""),"089-251-0699")</f>
        <v>089-251-0699</v>
      </c>
      <c r="AA529" t="str">
        <f>IFERROR(__xludf.DUMMYFUNCTION("""COMPUTED_VALUE"""),"Anan")</f>
        <v>Anan</v>
      </c>
      <c r="AB529" t="str">
        <f>IFERROR(__xludf.DUMMYFUNCTION("""COMPUTED_VALUE"""),"pichayapichn@airasia.com")</f>
        <v>pichayapichn@airasia.com</v>
      </c>
    </row>
    <row r="530">
      <c r="A530">
        <f>IFERROR(__xludf.DUMMYFUNCTION("""COMPUTED_VALUE"""),1011315.0)</f>
        <v>1011315</v>
      </c>
      <c r="B530" t="str">
        <f>IFERROR(__xludf.DUMMYFUNCTION("""COMPUTED_VALUE"""),"Ms.")</f>
        <v>Ms.</v>
      </c>
      <c r="C530" t="str">
        <f>IFERROR(__xludf.DUMMYFUNCTION("""COMPUTED_VALUE"""),"Pranapan")</f>
        <v>Pranapan</v>
      </c>
      <c r="D530" t="str">
        <f>IFERROR(__xludf.DUMMYFUNCTION("""COMPUTED_VALUE"""),"Songsuk (Kongprasert)")</f>
        <v>Songsuk (Kongprasert)</v>
      </c>
      <c r="E530" t="str">
        <f>IFERROR(__xludf.DUMMYFUNCTION("""COMPUTED_VALUE"""),"Pranapan Songsuk")</f>
        <v>Pranapan Songsuk</v>
      </c>
      <c r="F530" t="str">
        <f>IFERROR(__xludf.DUMMYFUNCTION("""COMPUTED_VALUE"""),"นางสาว")</f>
        <v>นางสาว</v>
      </c>
      <c r="G530" t="str">
        <f>IFERROR(__xludf.DUMMYFUNCTION("""COMPUTED_VALUE"""),"ปราณพรรณ")</f>
        <v>ปราณพรรณ</v>
      </c>
      <c r="H530" t="str">
        <f>IFERROR(__xludf.DUMMYFUNCTION("""COMPUTED_VALUE"""),"ซ้องสุข (คงประเสริฐ)")</f>
        <v>ซ้องสุข (คงประเสริฐ)</v>
      </c>
      <c r="I530" t="str">
        <f>IFERROR(__xludf.DUMMYFUNCTION("""COMPUTED_VALUE"""),"ปราณพรรณ ซ้องสุข")</f>
        <v>ปราณพรรณ ซ้องสุข</v>
      </c>
      <c r="J530" t="str">
        <f>IFERROR(__xludf.DUMMYFUNCTION("""COMPUTED_VALUE"""),"Blue บลู")</f>
        <v>Blue บลู</v>
      </c>
      <c r="K530" t="str">
        <f>IFERROR(__xludf.DUMMYFUNCTION("""COMPUTED_VALUE"""),"Cabin Crew")</f>
        <v>Cabin Crew</v>
      </c>
      <c r="L530" t="str">
        <f>IFERROR(__xludf.DUMMYFUNCTION("""COMPUTED_VALUE"""),"DMK")</f>
        <v>DMK</v>
      </c>
      <c r="M530" s="145" t="str">
        <f>IFERROR(__xludf.DUMMYFUNCTION("""COMPUTED_VALUE"""),"Kor Home")</f>
        <v>Kor Home</v>
      </c>
      <c r="N530" t="str">
        <f>IFERROR(__xludf.DUMMYFUNCTION("""COMPUTED_VALUE"""),"Active")</f>
        <v>Active</v>
      </c>
      <c r="P530" s="143">
        <f>IFERROR(__xludf.DUMMYFUNCTION("""COMPUTED_VALUE"""),31330.0)</f>
        <v>31330</v>
      </c>
      <c r="Q530" s="146" t="str">
        <f>IFERROR(__xludf.DUMMYFUNCTION("""COMPUTED_VALUE"""),"080-424-1495")</f>
        <v>080-424-1495</v>
      </c>
      <c r="R530" s="147" t="str">
        <f>IFERROR(__xludf.DUMMYFUNCTION("""COMPUTED_VALUE"""),"1659900-10-1491")</f>
        <v>1659900-10-1491</v>
      </c>
      <c r="S530" t="str">
        <f>IFERROR(__xludf.DUMMYFUNCTION("""COMPUTED_VALUE"""),"AD0781183")</f>
        <v>AD0781183</v>
      </c>
      <c r="T530" s="148">
        <f>IFERROR(__xludf.DUMMYFUNCTION("""COMPUTED_VALUE"""),44953.0)</f>
        <v>44953</v>
      </c>
      <c r="U530" s="148">
        <f>IFERROR(__xludf.DUMMYFUNCTION("""COMPUTED_VALUE"""),46778.0)</f>
        <v>46778</v>
      </c>
      <c r="V530" s="149">
        <f>IFERROR(__xludf.DUMMYFUNCTION("""COMPUTED_VALUE"""),46594.0)</f>
        <v>46594</v>
      </c>
      <c r="W530" t="str">
        <f>IFERROR(__xludf.DUMMYFUNCTION("""COMPUTED_VALUE"""),"ปลอดภัย")</f>
        <v>ปลอดภัย</v>
      </c>
      <c r="X530" t="str">
        <f>IFERROR(__xludf.DUMMYFUNCTION("""COMPUTED_VALUE"""),"Phitsanulok Province")</f>
        <v>Phitsanulok Province</v>
      </c>
      <c r="Y530" t="str">
        <f>IFERROR(__xludf.DUMMYFUNCTION("""COMPUTED_VALUE"""),"Phitsanulok")</f>
        <v>Phitsanulok</v>
      </c>
      <c r="Z530" t="str">
        <f>IFERROR(__xludf.DUMMYFUNCTION("""COMPUTED_VALUE"""),"094-423-6551")</f>
        <v>094-423-6551</v>
      </c>
      <c r="AA530" t="str">
        <f>IFERROR(__xludf.DUMMYFUNCTION("""COMPUTED_VALUE"""),"Nongnuch")</f>
        <v>Nongnuch</v>
      </c>
      <c r="AB530" t="str">
        <f>IFERROR(__xludf.DUMMYFUNCTION("""COMPUTED_VALUE"""),"pranapans@airasia.com")</f>
        <v>pranapans@airasia.com</v>
      </c>
    </row>
    <row r="531">
      <c r="A531">
        <f>IFERROR(__xludf.DUMMYFUNCTION("""COMPUTED_VALUE"""),1011318.0)</f>
        <v>1011318</v>
      </c>
      <c r="B531" t="str">
        <f>IFERROR(__xludf.DUMMYFUNCTION("""COMPUTED_VALUE"""),"Ms.")</f>
        <v>Ms.</v>
      </c>
      <c r="C531" t="str">
        <f>IFERROR(__xludf.DUMMYFUNCTION("""COMPUTED_VALUE"""),"Rudeemas")</f>
        <v>Rudeemas</v>
      </c>
      <c r="D531" t="str">
        <f>IFERROR(__xludf.DUMMYFUNCTION("""COMPUTED_VALUE"""),"Thiangthat")</f>
        <v>Thiangthat</v>
      </c>
      <c r="E531" t="str">
        <f>IFERROR(__xludf.DUMMYFUNCTION("""COMPUTED_VALUE"""),"Rudeemas Thiangthat")</f>
        <v>Rudeemas Thiangthat</v>
      </c>
      <c r="F531" t="str">
        <f>IFERROR(__xludf.DUMMYFUNCTION("""COMPUTED_VALUE"""),"นางสาว")</f>
        <v>นางสาว</v>
      </c>
      <c r="G531" t="str">
        <f>IFERROR(__xludf.DUMMYFUNCTION("""COMPUTED_VALUE"""),"ฤดีมาศ")</f>
        <v>ฤดีมาศ</v>
      </c>
      <c r="H531" t="str">
        <f>IFERROR(__xludf.DUMMYFUNCTION("""COMPUTED_VALUE"""),"เที่ยงทัศน์")</f>
        <v>เที่ยงทัศน์</v>
      </c>
      <c r="I531" t="str">
        <f>IFERROR(__xludf.DUMMYFUNCTION("""COMPUTED_VALUE"""),"ฤดีมาศ เที่ยงทัศน์")</f>
        <v>ฤดีมาศ เที่ยงทัศน์</v>
      </c>
      <c r="J531" t="str">
        <f>IFERROR(__xludf.DUMMYFUNCTION("""COMPUTED_VALUE"""),"Oil ออย")</f>
        <v>Oil ออย</v>
      </c>
      <c r="K531" t="str">
        <f>IFERROR(__xludf.DUMMYFUNCTION("""COMPUTED_VALUE"""),"Cabin Crew")</f>
        <v>Cabin Crew</v>
      </c>
      <c r="L531" t="str">
        <f>IFERROR(__xludf.DUMMYFUNCTION("""COMPUTED_VALUE"""),"DMK")</f>
        <v>DMK</v>
      </c>
      <c r="M531" s="145" t="str">
        <f>IFERROR(__xludf.DUMMYFUNCTION("""COMPUTED_VALUE"""),"Nhui Home")</f>
        <v>Nhui Home</v>
      </c>
      <c r="N531" t="str">
        <f>IFERROR(__xludf.DUMMYFUNCTION("""COMPUTED_VALUE"""),"Active")</f>
        <v>Active</v>
      </c>
      <c r="O531" t="str">
        <f>IFERROR(__xludf.DUMMYFUNCTION("""COMPUTED_VALUE"""),"Japanese Speaking")</f>
        <v>Japanese Speaking</v>
      </c>
      <c r="P531" s="143">
        <f>IFERROR(__xludf.DUMMYFUNCTION("""COMPUTED_VALUE"""),33552.0)</f>
        <v>33552</v>
      </c>
      <c r="Q531" s="146" t="str">
        <f>IFERROR(__xludf.DUMMYFUNCTION("""COMPUTED_VALUE"""),"089 992 6782")</f>
        <v>089 992 6782</v>
      </c>
      <c r="R531" s="147" t="str">
        <f>IFERROR(__xludf.DUMMYFUNCTION("""COMPUTED_VALUE"""),"1219900-32-8813")</f>
        <v>1219900-32-8813</v>
      </c>
      <c r="S531" t="str">
        <f>IFERROR(__xludf.DUMMYFUNCTION("""COMPUTED_VALUE"""),"AC7921966")</f>
        <v>AC7921966</v>
      </c>
      <c r="T531" s="148">
        <f>IFERROR(__xludf.DUMMYFUNCTION("""COMPUTED_VALUE"""),45674.0)</f>
        <v>45674</v>
      </c>
      <c r="U531" s="148">
        <f>IFERROR(__xludf.DUMMYFUNCTION("""COMPUTED_VALUE"""),49325.0)</f>
        <v>49325</v>
      </c>
      <c r="V531" s="149">
        <f>IFERROR(__xludf.DUMMYFUNCTION("""COMPUTED_VALUE"""),49141.0)</f>
        <v>49141</v>
      </c>
      <c r="W531" t="str">
        <f>IFERROR(__xludf.DUMMYFUNCTION("""COMPUTED_VALUE"""),"ปลอดภัย")</f>
        <v>ปลอดภัย</v>
      </c>
      <c r="X531" t="str">
        <f>IFERROR(__xludf.DUMMYFUNCTION("""COMPUTED_VALUE"""),"Rayong Province")</f>
        <v>Rayong Province</v>
      </c>
      <c r="Y531" t="str">
        <f>IFERROR(__xludf.DUMMYFUNCTION("""COMPUTED_VALUE"""),"Saimai")</f>
        <v>Saimai</v>
      </c>
      <c r="Z531" t="str">
        <f>IFERROR(__xludf.DUMMYFUNCTION("""COMPUTED_VALUE"""),"089-116-1507")</f>
        <v>089-116-1507</v>
      </c>
      <c r="AA531" t="str">
        <f>IFERROR(__xludf.DUMMYFUNCTION("""COMPUTED_VALUE"""),"Jitsupa")</f>
        <v>Jitsupa</v>
      </c>
      <c r="AB531" t="str">
        <f>IFERROR(__xludf.DUMMYFUNCTION("""COMPUTED_VALUE"""),"rudeemash@airasia.com")</f>
        <v>rudeemash@airasia.com</v>
      </c>
    </row>
    <row r="532">
      <c r="A532">
        <f>IFERROR(__xludf.DUMMYFUNCTION("""COMPUTED_VALUE"""),1011319.0)</f>
        <v>1011319</v>
      </c>
      <c r="B532" t="str">
        <f>IFERROR(__xludf.DUMMYFUNCTION("""COMPUTED_VALUE"""),"Ms.")</f>
        <v>Ms.</v>
      </c>
      <c r="C532" t="str">
        <f>IFERROR(__xludf.DUMMYFUNCTION("""COMPUTED_VALUE"""),"Sakaow")</f>
        <v>Sakaow</v>
      </c>
      <c r="D532" t="str">
        <f>IFERROR(__xludf.DUMMYFUNCTION("""COMPUTED_VALUE"""),"Homtrakul (Ruaksasarn)")</f>
        <v>Homtrakul (Ruaksasarn)</v>
      </c>
      <c r="E532" t="str">
        <f>IFERROR(__xludf.DUMMYFUNCTION("""COMPUTED_VALUE"""),"Sakaow Homtrakul")</f>
        <v>Sakaow Homtrakul</v>
      </c>
      <c r="F532" t="str">
        <f>IFERROR(__xludf.DUMMYFUNCTION("""COMPUTED_VALUE"""),"นางสาว")</f>
        <v>นางสาว</v>
      </c>
      <c r="G532" t="str">
        <f>IFERROR(__xludf.DUMMYFUNCTION("""COMPUTED_VALUE"""),"สกาว")</f>
        <v>สกาว</v>
      </c>
      <c r="H532" t="str">
        <f>IFERROR(__xludf.DUMMYFUNCTION("""COMPUTED_VALUE"""),"หอมตระกูล (ฤกษะสาร)")</f>
        <v>หอมตระกูล (ฤกษะสาร)</v>
      </c>
      <c r="I532" t="str">
        <f>IFERROR(__xludf.DUMMYFUNCTION("""COMPUTED_VALUE"""),"สกาว หอมตระกูล")</f>
        <v>สกาว หอมตระกูล</v>
      </c>
      <c r="J532" t="str">
        <f>IFERROR(__xludf.DUMMYFUNCTION("""COMPUTED_VALUE"""),"Diamond")</f>
        <v>Diamond</v>
      </c>
      <c r="K532" t="str">
        <f>IFERROR(__xludf.DUMMYFUNCTION("""COMPUTED_VALUE"""),"Cabin Crew")</f>
        <v>Cabin Crew</v>
      </c>
      <c r="L532" t="str">
        <f>IFERROR(__xludf.DUMMYFUNCTION("""COMPUTED_VALUE"""),"DMK")</f>
        <v>DMK</v>
      </c>
      <c r="M532" s="145" t="str">
        <f>IFERROR(__xludf.DUMMYFUNCTION("""COMPUTED_VALUE"""),"Namfon Home")</f>
        <v>Namfon Home</v>
      </c>
      <c r="N532" t="str">
        <f>IFERROR(__xludf.DUMMYFUNCTION("""COMPUTED_VALUE"""),"V/LWP")</f>
        <v>V/LWP</v>
      </c>
      <c r="P532" s="143">
        <f>IFERROR(__xludf.DUMMYFUNCTION("""COMPUTED_VALUE"""),32993.0)</f>
        <v>32993</v>
      </c>
      <c r="Q532" s="146" t="str">
        <f>IFERROR(__xludf.DUMMYFUNCTION("""COMPUTED_VALUE"""),"062-249-4598")</f>
        <v>062-249-4598</v>
      </c>
      <c r="R532" s="147" t="str">
        <f>IFERROR(__xludf.DUMMYFUNCTION("""COMPUTED_VALUE"""),"1103700-11-8519")</f>
        <v>1103700-11-8519</v>
      </c>
      <c r="S532" t="str">
        <f>IFERROR(__xludf.DUMMYFUNCTION("""COMPUTED_VALUE"""),"AD2236765")</f>
        <v>AD2236765</v>
      </c>
      <c r="T532" s="148">
        <f>IFERROR(__xludf.DUMMYFUNCTION("""COMPUTED_VALUE"""),45792.0)</f>
        <v>45792</v>
      </c>
      <c r="U532" s="148">
        <f>IFERROR(__xludf.DUMMYFUNCTION("""COMPUTED_VALUE"""),49443.0)</f>
        <v>49443</v>
      </c>
      <c r="V532" s="149">
        <f>IFERROR(__xludf.DUMMYFUNCTION("""COMPUTED_VALUE"""),49262.0)</f>
        <v>49262</v>
      </c>
      <c r="W532" t="str">
        <f>IFERROR(__xludf.DUMMYFUNCTION("""COMPUTED_VALUE"""),"ปลอดภัย")</f>
        <v>ปลอดภัย</v>
      </c>
      <c r="X532" t="str">
        <f>IFERROR(__xludf.DUMMYFUNCTION("""COMPUTED_VALUE"""),"Bangkok")</f>
        <v>Bangkok</v>
      </c>
      <c r="Y532" t="str">
        <f>IFERROR(__xludf.DUMMYFUNCTION("""COMPUTED_VALUE"""),"Bangkok Noi")</f>
        <v>Bangkok Noi</v>
      </c>
      <c r="Z532" t="str">
        <f>IFERROR(__xludf.DUMMYFUNCTION("""COMPUTED_VALUE"""),"089-696-2242")</f>
        <v>089-696-2242</v>
      </c>
      <c r="AA532" t="str">
        <f>IFERROR(__xludf.DUMMYFUNCTION("""COMPUTED_VALUE"""),"Kasem")</f>
        <v>Kasem</v>
      </c>
      <c r="AB532" t="str">
        <f>IFERROR(__xludf.DUMMYFUNCTION("""COMPUTED_VALUE"""),"sakaowh@airasia.com")</f>
        <v>sakaowh@airasia.com</v>
      </c>
    </row>
    <row r="533">
      <c r="A533">
        <f>IFERROR(__xludf.DUMMYFUNCTION("""COMPUTED_VALUE"""),1011320.0)</f>
        <v>1011320</v>
      </c>
      <c r="B533" t="str">
        <f>IFERROR(__xludf.DUMMYFUNCTION("""COMPUTED_VALUE"""),"Mr.")</f>
        <v>Mr.</v>
      </c>
      <c r="C533" t="str">
        <f>IFERROR(__xludf.DUMMYFUNCTION("""COMPUTED_VALUE"""),"Sudhat")</f>
        <v>Sudhat</v>
      </c>
      <c r="D533" t="str">
        <f>IFERROR(__xludf.DUMMYFUNCTION("""COMPUTED_VALUE"""),"Bunnag")</f>
        <v>Bunnag</v>
      </c>
      <c r="E533" t="str">
        <f>IFERROR(__xludf.DUMMYFUNCTION("""COMPUTED_VALUE"""),"Sudhat Bunnag")</f>
        <v>Sudhat Bunnag</v>
      </c>
      <c r="F533" t="str">
        <f>IFERROR(__xludf.DUMMYFUNCTION("""COMPUTED_VALUE"""),"นาย")</f>
        <v>นาย</v>
      </c>
      <c r="G533" t="str">
        <f>IFERROR(__xludf.DUMMYFUNCTION("""COMPUTED_VALUE"""),"สุธัช")</f>
        <v>สุธัช</v>
      </c>
      <c r="H533" t="str">
        <f>IFERROR(__xludf.DUMMYFUNCTION("""COMPUTED_VALUE"""),"บุนนาค")</f>
        <v>บุนนาค</v>
      </c>
      <c r="I533" t="str">
        <f>IFERROR(__xludf.DUMMYFUNCTION("""COMPUTED_VALUE"""),"สุธัช บุนนาค")</f>
        <v>สุธัช บุนนาค</v>
      </c>
      <c r="J533" t="str">
        <f>IFERROR(__xludf.DUMMYFUNCTION("""COMPUTED_VALUE"""),"Arm อาร์ม")</f>
        <v>Arm อาร์ม</v>
      </c>
      <c r="K533" t="str">
        <f>IFERROR(__xludf.DUMMYFUNCTION("""COMPUTED_VALUE"""),"Cabin Crew")</f>
        <v>Cabin Crew</v>
      </c>
      <c r="L533" t="str">
        <f>IFERROR(__xludf.DUMMYFUNCTION("""COMPUTED_VALUE"""),"DMK")</f>
        <v>DMK</v>
      </c>
      <c r="M533" s="145" t="str">
        <f>IFERROR(__xludf.DUMMYFUNCTION("""COMPUTED_VALUE"""),"Um Home")</f>
        <v>Um Home</v>
      </c>
      <c r="N533" t="str">
        <f>IFERROR(__xludf.DUMMYFUNCTION("""COMPUTED_VALUE"""),"Active")</f>
        <v>Active</v>
      </c>
      <c r="P533" s="143">
        <f>IFERROR(__xludf.DUMMYFUNCTION("""COMPUTED_VALUE"""),32514.0)</f>
        <v>32514</v>
      </c>
      <c r="Q533" s="146" t="str">
        <f>IFERROR(__xludf.DUMMYFUNCTION("""COMPUTED_VALUE"""),"087-686-6480")</f>
        <v>087-686-6480</v>
      </c>
      <c r="R533" s="147" t="str">
        <f>IFERROR(__xludf.DUMMYFUNCTION("""COMPUTED_VALUE"""),"1101401-53-5523")</f>
        <v>1101401-53-5523</v>
      </c>
      <c r="S533" t="str">
        <f>IFERROR(__xludf.DUMMYFUNCTION("""COMPUTED_VALUE"""),"AC7710369")</f>
        <v>AC7710369</v>
      </c>
      <c r="T533" s="148">
        <f>IFERROR(__xludf.DUMMYFUNCTION("""COMPUTED_VALUE"""),45859.0)</f>
        <v>45859</v>
      </c>
      <c r="U533" s="148">
        <f>IFERROR(__xludf.DUMMYFUNCTION("""COMPUTED_VALUE"""),49510.0)</f>
        <v>49510</v>
      </c>
      <c r="V533" s="149">
        <f>IFERROR(__xludf.DUMMYFUNCTION("""COMPUTED_VALUE"""),49329.0)</f>
        <v>49329</v>
      </c>
      <c r="W533" t="str">
        <f>IFERROR(__xludf.DUMMYFUNCTION("""COMPUTED_VALUE"""),"ปลอดภัย")</f>
        <v>ปลอดภัย</v>
      </c>
      <c r="X533" t="str">
        <f>IFERROR(__xludf.DUMMYFUNCTION("""COMPUTED_VALUE"""),"Bangkok")</f>
        <v>Bangkok</v>
      </c>
      <c r="Y533" t="str">
        <f>IFERROR(__xludf.DUMMYFUNCTION("""COMPUTED_VALUE"""),"Pathumthani")</f>
        <v>Pathumthani</v>
      </c>
      <c r="Z533" t="str">
        <f>IFERROR(__xludf.DUMMYFUNCTION("""COMPUTED_VALUE"""),"095-598-8999")</f>
        <v>095-598-8999</v>
      </c>
      <c r="AA533" t="str">
        <f>IFERROR(__xludf.DUMMYFUNCTION("""COMPUTED_VALUE"""),"Sarawit")</f>
        <v>Sarawit</v>
      </c>
      <c r="AB533" t="str">
        <f>IFERROR(__xludf.DUMMYFUNCTION("""COMPUTED_VALUE"""),"sudhatu@airasia.com")</f>
        <v>sudhatu@airasia.com</v>
      </c>
    </row>
    <row r="534">
      <c r="A534">
        <f>IFERROR(__xludf.DUMMYFUNCTION("""COMPUTED_VALUE"""),1011321.0)</f>
        <v>1011321</v>
      </c>
      <c r="B534" t="str">
        <f>IFERROR(__xludf.DUMMYFUNCTION("""COMPUTED_VALUE"""),"Ms.")</f>
        <v>Ms.</v>
      </c>
      <c r="C534" t="str">
        <f>IFERROR(__xludf.DUMMYFUNCTION("""COMPUTED_VALUE"""),"Tasaneewan")</f>
        <v>Tasaneewan</v>
      </c>
      <c r="D534" t="str">
        <f>IFERROR(__xludf.DUMMYFUNCTION("""COMPUTED_VALUE"""),"Buri")</f>
        <v>Buri</v>
      </c>
      <c r="E534" t="str">
        <f>IFERROR(__xludf.DUMMYFUNCTION("""COMPUTED_VALUE"""),"Tasaneewan Buri")</f>
        <v>Tasaneewan Buri</v>
      </c>
      <c r="F534" t="str">
        <f>IFERROR(__xludf.DUMMYFUNCTION("""COMPUTED_VALUE"""),"นางสาว")</f>
        <v>นางสาว</v>
      </c>
      <c r="G534" t="str">
        <f>IFERROR(__xludf.DUMMYFUNCTION("""COMPUTED_VALUE"""),"ทัศนีววรณ")</f>
        <v>ทัศนีววรณ</v>
      </c>
      <c r="H534" t="str">
        <f>IFERROR(__xludf.DUMMYFUNCTION("""COMPUTED_VALUE"""),"บุรี")</f>
        <v>บุรี</v>
      </c>
      <c r="I534" t="str">
        <f>IFERROR(__xludf.DUMMYFUNCTION("""COMPUTED_VALUE"""),"ทัศนีววรณ บุรี")</f>
        <v>ทัศนีววรณ บุรี</v>
      </c>
      <c r="J534" t="str">
        <f>IFERROR(__xludf.DUMMYFUNCTION("""COMPUTED_VALUE"""),"Nink นิ้ง")</f>
        <v>Nink นิ้ง</v>
      </c>
      <c r="K534" t="str">
        <f>IFERROR(__xludf.DUMMYFUNCTION("""COMPUTED_VALUE"""),"Cabin Crew")</f>
        <v>Cabin Crew</v>
      </c>
      <c r="L534" t="str">
        <f>IFERROR(__xludf.DUMMYFUNCTION("""COMPUTED_VALUE"""),"DMK")</f>
        <v>DMK</v>
      </c>
      <c r="M534" s="145" t="str">
        <f>IFERROR(__xludf.DUMMYFUNCTION("""COMPUTED_VALUE"""),"Nhui Home")</f>
        <v>Nhui Home</v>
      </c>
      <c r="N534" t="str">
        <f>IFERROR(__xludf.DUMMYFUNCTION("""COMPUTED_VALUE"""),"Active")</f>
        <v>Active</v>
      </c>
      <c r="P534" s="143">
        <f>IFERROR(__xludf.DUMMYFUNCTION("""COMPUTED_VALUE"""),33662.0)</f>
        <v>33662</v>
      </c>
      <c r="Q534" s="146" t="str">
        <f>IFERROR(__xludf.DUMMYFUNCTION("""COMPUTED_VALUE"""),"081-640-2356")</f>
        <v>081-640-2356</v>
      </c>
      <c r="R534" s="147" t="str">
        <f>IFERROR(__xludf.DUMMYFUNCTION("""COMPUTED_VALUE"""),"1103700-72-0740")</f>
        <v>1103700-72-0740</v>
      </c>
      <c r="S534" t="str">
        <f>IFERROR(__xludf.DUMMYFUNCTION("""COMPUTED_VALUE"""),"AC4043542")</f>
        <v>AC4043542</v>
      </c>
      <c r="T534" s="148">
        <f>IFERROR(__xludf.DUMMYFUNCTION("""COMPUTED_VALUE"""),44819.0)</f>
        <v>44819</v>
      </c>
      <c r="U534" s="148">
        <f>IFERROR(__xludf.DUMMYFUNCTION("""COMPUTED_VALUE"""),48471.0)</f>
        <v>48471</v>
      </c>
      <c r="V534" s="149">
        <f>IFERROR(__xludf.DUMMYFUNCTION("""COMPUTED_VALUE"""),48287.0)</f>
        <v>48287</v>
      </c>
      <c r="W534" t="str">
        <f>IFERROR(__xludf.DUMMYFUNCTION("""COMPUTED_VALUE"""),"ปลอดภัย")</f>
        <v>ปลอดภัย</v>
      </c>
      <c r="X534" t="str">
        <f>IFERROR(__xludf.DUMMYFUNCTION("""COMPUTED_VALUE"""),"Bangkok")</f>
        <v>Bangkok</v>
      </c>
      <c r="Y534" t="str">
        <f>IFERROR(__xludf.DUMMYFUNCTION("""COMPUTED_VALUE"""),"Jatujak")</f>
        <v>Jatujak</v>
      </c>
      <c r="Z534" t="str">
        <f>IFERROR(__xludf.DUMMYFUNCTION("""COMPUTED_VALUE"""),"085-807-6705")</f>
        <v>085-807-6705</v>
      </c>
      <c r="AA534" t="str">
        <f>IFERROR(__xludf.DUMMYFUNCTION("""COMPUTED_VALUE"""),"Nattaya")</f>
        <v>Nattaya</v>
      </c>
      <c r="AB534" t="str">
        <f>IFERROR(__xludf.DUMMYFUNCTION("""COMPUTED_VALUE"""),"tasaneewanb@airasia.com")</f>
        <v>tasaneewanb@airasia.com</v>
      </c>
    </row>
    <row r="535">
      <c r="A535">
        <f>IFERROR(__xludf.DUMMYFUNCTION("""COMPUTED_VALUE"""),1011322.0)</f>
        <v>1011322</v>
      </c>
      <c r="B535" t="str">
        <f>IFERROR(__xludf.DUMMYFUNCTION("""COMPUTED_VALUE"""),"Ms.")</f>
        <v>Ms.</v>
      </c>
      <c r="C535" t="str">
        <f>IFERROR(__xludf.DUMMYFUNCTION("""COMPUTED_VALUE"""),"Thanaporn")</f>
        <v>Thanaporn</v>
      </c>
      <c r="D535" t="str">
        <f>IFERROR(__xludf.DUMMYFUNCTION("""COMPUTED_VALUE"""),"Thong-In")</f>
        <v>Thong-In</v>
      </c>
      <c r="E535" t="str">
        <f>IFERROR(__xludf.DUMMYFUNCTION("""COMPUTED_VALUE"""),"Thanaporn Thong-In")</f>
        <v>Thanaporn Thong-In</v>
      </c>
      <c r="F535" t="str">
        <f>IFERROR(__xludf.DUMMYFUNCTION("""COMPUTED_VALUE"""),"นางสาว")</f>
        <v>นางสาว</v>
      </c>
      <c r="G535" t="str">
        <f>IFERROR(__xludf.DUMMYFUNCTION("""COMPUTED_VALUE"""),"ธนภรณ์")</f>
        <v>ธนภรณ์</v>
      </c>
      <c r="H535" t="str">
        <f>IFERROR(__xludf.DUMMYFUNCTION("""COMPUTED_VALUE"""),"ทองอินทร์")</f>
        <v>ทองอินทร์</v>
      </c>
      <c r="I535" t="str">
        <f>IFERROR(__xludf.DUMMYFUNCTION("""COMPUTED_VALUE"""),"ธนภรณ์ ทองอินทร์")</f>
        <v>ธนภรณ์ ทองอินทร์</v>
      </c>
      <c r="J535" t="str">
        <f>IFERROR(__xludf.DUMMYFUNCTION("""COMPUTED_VALUE"""),"Prang ปราง")</f>
        <v>Prang ปราง</v>
      </c>
      <c r="K535" t="str">
        <f>IFERROR(__xludf.DUMMYFUNCTION("""COMPUTED_VALUE"""),"Senior Cabin Crew - BKK")</f>
        <v>Senior Cabin Crew - BKK</v>
      </c>
      <c r="L535" t="str">
        <f>IFERROR(__xludf.DUMMYFUNCTION("""COMPUTED_VALUE"""),"BKK")</f>
        <v>BKK</v>
      </c>
      <c r="M535" s="145" t="str">
        <f>IFERROR(__xludf.DUMMYFUNCTION("""COMPUTED_VALUE"""),"Nhui Home")</f>
        <v>Nhui Home</v>
      </c>
      <c r="N535" t="str">
        <f>IFERROR(__xludf.DUMMYFUNCTION("""COMPUTED_VALUE"""),"Active/V/DMK")</f>
        <v>Active/V/DMK</v>
      </c>
      <c r="P535" s="143">
        <f>IFERROR(__xludf.DUMMYFUNCTION("""COMPUTED_VALUE"""),33623.0)</f>
        <v>33623</v>
      </c>
      <c r="Q535" s="146" t="str">
        <f>IFERROR(__xludf.DUMMYFUNCTION("""COMPUTED_VALUE"""),"087-543-0692")</f>
        <v>087-543-0692</v>
      </c>
      <c r="R535" s="147" t="str">
        <f>IFERROR(__xludf.DUMMYFUNCTION("""COMPUTED_VALUE"""),"1869900-16-0399")</f>
        <v>1869900-16-0399</v>
      </c>
      <c r="S535" t="str">
        <f>IFERROR(__xludf.DUMMYFUNCTION("""COMPUTED_VALUE"""),"AC2462501")</f>
        <v>AC2462501</v>
      </c>
      <c r="T535" s="148">
        <f>IFERROR(__xludf.DUMMYFUNCTION("""COMPUTED_VALUE"""),44468.0)</f>
        <v>44468</v>
      </c>
      <c r="U535" s="148">
        <f>IFERROR(__xludf.DUMMYFUNCTION("""COMPUTED_VALUE"""),48119.0)</f>
        <v>48119</v>
      </c>
      <c r="V535" s="149">
        <f>IFERROR(__xludf.DUMMYFUNCTION("""COMPUTED_VALUE"""),47935.0)</f>
        <v>47935</v>
      </c>
      <c r="W535" t="str">
        <f>IFERROR(__xludf.DUMMYFUNCTION("""COMPUTED_VALUE"""),"ปลอดภัย")</f>
        <v>ปลอดภัย</v>
      </c>
      <c r="X535" t="str">
        <f>IFERROR(__xludf.DUMMYFUNCTION("""COMPUTED_VALUE"""),"Chumphon Province")</f>
        <v>Chumphon Province</v>
      </c>
      <c r="Y535" t="str">
        <f>IFERROR(__xludf.DUMMYFUNCTION("""COMPUTED_VALUE"""),"Ladprao")</f>
        <v>Ladprao</v>
      </c>
      <c r="Z535" t="str">
        <f>IFERROR(__xludf.DUMMYFUNCTION("""COMPUTED_VALUE"""),"085-488-4379")</f>
        <v>085-488-4379</v>
      </c>
      <c r="AA535" t="str">
        <f>IFERROR(__xludf.DUMMYFUNCTION("""COMPUTED_VALUE"""),"Truenjit")</f>
        <v>Truenjit</v>
      </c>
      <c r="AB535" t="str">
        <f>IFERROR(__xludf.DUMMYFUNCTION("""COMPUTED_VALUE"""),"thanapornt@airasia.com")</f>
        <v>thanapornt@airasia.com</v>
      </c>
    </row>
    <row r="536">
      <c r="A536">
        <f>IFERROR(__xludf.DUMMYFUNCTION("""COMPUTED_VALUE"""),1011323.0)</f>
        <v>1011323</v>
      </c>
      <c r="B536" t="str">
        <f>IFERROR(__xludf.DUMMYFUNCTION("""COMPUTED_VALUE"""),"Mr.")</f>
        <v>Mr.</v>
      </c>
      <c r="C536" t="str">
        <f>IFERROR(__xludf.DUMMYFUNCTION("""COMPUTED_VALUE"""),"Yommana")</f>
        <v>Yommana</v>
      </c>
      <c r="D536" t="str">
        <f>IFERROR(__xludf.DUMMYFUNCTION("""COMPUTED_VALUE"""),"Arunrat")</f>
        <v>Arunrat</v>
      </c>
      <c r="E536" t="str">
        <f>IFERROR(__xludf.DUMMYFUNCTION("""COMPUTED_VALUE"""),"Yommana Arunrat")</f>
        <v>Yommana Arunrat</v>
      </c>
      <c r="F536" t="str">
        <f>IFERROR(__xludf.DUMMYFUNCTION("""COMPUTED_VALUE"""),"นาย")</f>
        <v>นาย</v>
      </c>
      <c r="G536" t="str">
        <f>IFERROR(__xludf.DUMMYFUNCTION("""COMPUTED_VALUE"""),"ยมนา")</f>
        <v>ยมนา</v>
      </c>
      <c r="H536" t="str">
        <f>IFERROR(__xludf.DUMMYFUNCTION("""COMPUTED_VALUE"""),"อรุณรัตน์")</f>
        <v>อรุณรัตน์</v>
      </c>
      <c r="I536" t="str">
        <f>IFERROR(__xludf.DUMMYFUNCTION("""COMPUTED_VALUE"""),"ยมนา อรุณรัตน์")</f>
        <v>ยมนา อรุณรัตน์</v>
      </c>
      <c r="J536" t="str">
        <f>IFERROR(__xludf.DUMMYFUNCTION("""COMPUTED_VALUE"""),"M")</f>
        <v>M</v>
      </c>
      <c r="K536" t="str">
        <f>IFERROR(__xludf.DUMMYFUNCTION("""COMPUTED_VALUE"""),"Cabin Crew")</f>
        <v>Cabin Crew</v>
      </c>
      <c r="L536" t="str">
        <f>IFERROR(__xludf.DUMMYFUNCTION("""COMPUTED_VALUE"""),"DMK")</f>
        <v>DMK</v>
      </c>
      <c r="M536" s="145" t="str">
        <f>IFERROR(__xludf.DUMMYFUNCTION("""COMPUTED_VALUE"""),"Toffy Home")</f>
        <v>Toffy Home</v>
      </c>
      <c r="N536" t="str">
        <f>IFERROR(__xludf.DUMMYFUNCTION("""COMPUTED_VALUE"""),"Active")</f>
        <v>Active</v>
      </c>
      <c r="P536" s="143">
        <f>IFERROR(__xludf.DUMMYFUNCTION("""COMPUTED_VALUE"""),32894.0)</f>
        <v>32894</v>
      </c>
      <c r="Q536" s="146" t="str">
        <f>IFERROR(__xludf.DUMMYFUNCTION("""COMPUTED_VALUE"""),"083-717- 9153")</f>
        <v>083-717- 9153</v>
      </c>
      <c r="R536" s="147" t="str">
        <f>IFERROR(__xludf.DUMMYFUNCTION("""COMPUTED_VALUE"""),"1101800-39-1681")</f>
        <v>1101800-39-1681</v>
      </c>
      <c r="S536" t="str">
        <f>IFERROR(__xludf.DUMMYFUNCTION("""COMPUTED_VALUE"""),"AC4778383")</f>
        <v>AC4778383</v>
      </c>
      <c r="T536" s="148">
        <f>IFERROR(__xludf.DUMMYFUNCTION("""COMPUTED_VALUE"""),45037.0)</f>
        <v>45037</v>
      </c>
      <c r="U536" s="148">
        <f>IFERROR(__xludf.DUMMYFUNCTION("""COMPUTED_VALUE"""),46863.0)</f>
        <v>46863</v>
      </c>
      <c r="V536" s="149">
        <f>IFERROR(__xludf.DUMMYFUNCTION("""COMPUTED_VALUE"""),46680.0)</f>
        <v>46680</v>
      </c>
      <c r="W536" t="str">
        <f>IFERROR(__xludf.DUMMYFUNCTION("""COMPUTED_VALUE"""),"ปลอดภัย")</f>
        <v>ปลอดภัย</v>
      </c>
      <c r="X536" t="str">
        <f>IFERROR(__xludf.DUMMYFUNCTION("""COMPUTED_VALUE"""),"Bangkok")</f>
        <v>Bangkok</v>
      </c>
      <c r="Y536" t="str">
        <f>IFERROR(__xludf.DUMMYFUNCTION("""COMPUTED_VALUE"""),"Samutprakan")</f>
        <v>Samutprakan</v>
      </c>
      <c r="Z536" t="str">
        <f>IFERROR(__xludf.DUMMYFUNCTION("""COMPUTED_VALUE"""),"080-274-4952")</f>
        <v>080-274-4952</v>
      </c>
      <c r="AA536" t="str">
        <f>IFERROR(__xludf.DUMMYFUNCTION("""COMPUTED_VALUE"""),"Nikoon")</f>
        <v>Nikoon</v>
      </c>
      <c r="AB536" t="str">
        <f>IFERROR(__xludf.DUMMYFUNCTION("""COMPUTED_VALUE"""),"yommanaa@airasia.com")</f>
        <v>yommanaa@airasia.com</v>
      </c>
    </row>
    <row r="537">
      <c r="AB537" t="str">
        <f>IFERROR(__xludf.DUMMYFUNCTION("""COMPUTED_VALUE"""),"")</f>
        <v/>
      </c>
    </row>
    <row r="538">
      <c r="A538">
        <f>IFERROR(__xludf.DUMMYFUNCTION("""COMPUTED_VALUE"""),1004526.0)</f>
        <v>1004526</v>
      </c>
      <c r="B538" t="str">
        <f>IFERROR(__xludf.DUMMYFUNCTION("""COMPUTED_VALUE"""),"Ms.")</f>
        <v>Ms.</v>
      </c>
      <c r="C538" t="str">
        <f>IFERROR(__xludf.DUMMYFUNCTION("""COMPUTED_VALUE"""),"Karita")</f>
        <v>Karita</v>
      </c>
      <c r="D538" t="str">
        <f>IFERROR(__xludf.DUMMYFUNCTION("""COMPUTED_VALUE"""),"Champaphan ")</f>
        <v>Champaphan </v>
      </c>
      <c r="E538" t="str">
        <f>IFERROR(__xludf.DUMMYFUNCTION("""COMPUTED_VALUE"""),"Karita Champaphan")</f>
        <v>Karita Champaphan</v>
      </c>
      <c r="F538" t="str">
        <f>IFERROR(__xludf.DUMMYFUNCTION("""COMPUTED_VALUE"""),"นางสาว")</f>
        <v>นางสาว</v>
      </c>
      <c r="G538" t="str">
        <f>IFERROR(__xludf.DUMMYFUNCTION("""COMPUTED_VALUE"""),"ฆริตา")</f>
        <v>ฆริตา</v>
      </c>
      <c r="H538" t="str">
        <f>IFERROR(__xludf.DUMMYFUNCTION("""COMPUTED_VALUE"""),"จำปาพันธุ์ (พูนสีมา)")</f>
        <v>จำปาพันธุ์ (พูนสีมา)</v>
      </c>
      <c r="I538" t="str">
        <f>IFERROR(__xludf.DUMMYFUNCTION("""COMPUTED_VALUE"""),"ฆริตา จำปาพันธุ์")</f>
        <v>ฆริตา จำปาพันธุ์</v>
      </c>
      <c r="J538" t="str">
        <f>IFERROR(__xludf.DUMMYFUNCTION("""COMPUTED_VALUE"""),"แอร์")</f>
        <v>แอร์</v>
      </c>
      <c r="K538" t="str">
        <f>IFERROR(__xludf.DUMMYFUNCTION("""COMPUTED_VALUE"""),"Cabin Crew")</f>
        <v>Cabin Crew</v>
      </c>
      <c r="L538" t="str">
        <f>IFERROR(__xludf.DUMMYFUNCTION("""COMPUTED_VALUE"""),"DMK")</f>
        <v>DMK</v>
      </c>
      <c r="M538" s="145" t="str">
        <f>IFERROR(__xludf.DUMMYFUNCTION("""COMPUTED_VALUE"""),"Por+ Home")</f>
        <v>Por+ Home</v>
      </c>
      <c r="N538" t="str">
        <f>IFERROR(__xludf.DUMMYFUNCTION("""COMPUTED_VALUE"""),"Active")</f>
        <v>Active</v>
      </c>
      <c r="P538" s="143">
        <f>IFERROR(__xludf.DUMMYFUNCTION("""COMPUTED_VALUE"""),32557.0)</f>
        <v>32557</v>
      </c>
      <c r="Q538" s="146" t="str">
        <f>IFERROR(__xludf.DUMMYFUNCTION("""COMPUTED_VALUE"""),"099-2653655")</f>
        <v>099-2653655</v>
      </c>
      <c r="R538" s="147" t="str">
        <f>IFERROR(__xludf.DUMMYFUNCTION("""COMPUTED_VALUE"""),"1302000-12-6745")</f>
        <v>1302000-12-6745</v>
      </c>
      <c r="S538" t="str">
        <f>IFERROR(__xludf.DUMMYFUNCTION("""COMPUTED_VALUE"""),"AC4692052")</f>
        <v>AC4692052</v>
      </c>
      <c r="T538" s="148">
        <f>IFERROR(__xludf.DUMMYFUNCTION("""COMPUTED_VALUE"""),45005.0)</f>
        <v>45005</v>
      </c>
      <c r="U538" s="148">
        <f>IFERROR(__xludf.DUMMYFUNCTION("""COMPUTED_VALUE"""),48657.0)</f>
        <v>48657</v>
      </c>
      <c r="V538" s="149">
        <f>IFERROR(__xludf.DUMMYFUNCTION("""COMPUTED_VALUE"""),48476.0)</f>
        <v>48476</v>
      </c>
      <c r="W538" t="str">
        <f>IFERROR(__xludf.DUMMYFUNCTION("""COMPUTED_VALUE"""),"ปลอดภัย")</f>
        <v>ปลอดภัย</v>
      </c>
      <c r="X538" t="str">
        <f>IFERROR(__xludf.DUMMYFUNCTION("""COMPUTED_VALUE"""),"Nakhon Ratchasima Province")</f>
        <v>Nakhon Ratchasima Province</v>
      </c>
      <c r="Y538" t="str">
        <f>IFERROR(__xludf.DUMMYFUNCTION("""COMPUTED_VALUE"""),"Donmueang")</f>
        <v>Donmueang</v>
      </c>
      <c r="Z538" t="str">
        <f>IFERROR(__xludf.DUMMYFUNCTION("""COMPUTED_VALUE"""),"087 259 8880")</f>
        <v>087 259 8880</v>
      </c>
      <c r="AA538" t="str">
        <f>IFERROR(__xludf.DUMMYFUNCTION("""COMPUTED_VALUE"""),"Atsawarak")</f>
        <v>Atsawarak</v>
      </c>
      <c r="AB538" t="str">
        <f>IFERROR(__xludf.DUMMYFUNCTION("""COMPUTED_VALUE"""),"karitac@airasia.com")</f>
        <v>karitac@airasia.com</v>
      </c>
    </row>
    <row r="539">
      <c r="A539">
        <f>IFERROR(__xludf.DUMMYFUNCTION("""COMPUTED_VALUE"""),1004683.0)</f>
        <v>1004683</v>
      </c>
      <c r="B539" t="str">
        <f>IFERROR(__xludf.DUMMYFUNCTION("""COMPUTED_VALUE"""),"Mr.")</f>
        <v>Mr.</v>
      </c>
      <c r="C539" t="str">
        <f>IFERROR(__xludf.DUMMYFUNCTION("""COMPUTED_VALUE"""),"Prok")</f>
        <v>Prok</v>
      </c>
      <c r="D539" t="str">
        <f>IFERROR(__xludf.DUMMYFUNCTION("""COMPUTED_VALUE"""),"Lartham")</f>
        <v>Lartham</v>
      </c>
      <c r="E539" t="str">
        <f>IFERROR(__xludf.DUMMYFUNCTION("""COMPUTED_VALUE"""),"Prok Lartham")</f>
        <v>Prok Lartham</v>
      </c>
      <c r="F539" t="str">
        <f>IFERROR(__xludf.DUMMYFUNCTION("""COMPUTED_VALUE"""),"นาย")</f>
        <v>นาย</v>
      </c>
      <c r="G539" t="str">
        <f>IFERROR(__xludf.DUMMYFUNCTION("""COMPUTED_VALUE"""),"ปรก")</f>
        <v>ปรก</v>
      </c>
      <c r="H539" t="str">
        <f>IFERROR(__xludf.DUMMYFUNCTION("""COMPUTED_VALUE"""),"หล้าธรรม")</f>
        <v>หล้าธรรม</v>
      </c>
      <c r="I539" t="str">
        <f>IFERROR(__xludf.DUMMYFUNCTION("""COMPUTED_VALUE"""),"ปรก หล้าธรรม")</f>
        <v>ปรก หล้าธรรม</v>
      </c>
      <c r="J539" t="str">
        <f>IFERROR(__xludf.DUMMYFUNCTION("""COMPUTED_VALUE"""),"โป้")</f>
        <v>โป้</v>
      </c>
      <c r="K539" t="str">
        <f>IFERROR(__xludf.DUMMYFUNCTION("""COMPUTED_VALUE"""),"Cabin Crew - CNX")</f>
        <v>Cabin Crew - CNX</v>
      </c>
      <c r="L539" t="str">
        <f>IFERROR(__xludf.DUMMYFUNCTION("""COMPUTED_VALUE"""),"CNX")</f>
        <v>CNX</v>
      </c>
      <c r="M539" s="145" t="str">
        <f>IFERROR(__xludf.DUMMYFUNCTION("""COMPUTED_VALUE"""),"Up Home")</f>
        <v>Up Home</v>
      </c>
      <c r="N539" t="str">
        <f>IFERROR(__xludf.DUMMYFUNCTION("""COMPUTED_VALUE"""),"Active")</f>
        <v>Active</v>
      </c>
      <c r="P539" s="143">
        <f>IFERROR(__xludf.DUMMYFUNCTION("""COMPUTED_VALUE"""),32300.0)</f>
        <v>32300</v>
      </c>
      <c r="Q539" s="146" t="str">
        <f>IFERROR(__xludf.DUMMYFUNCTION("""COMPUTED_VALUE"""),"098 226 4622 ")</f>
        <v>098 226 4622 </v>
      </c>
      <c r="R539" s="147" t="str">
        <f>IFERROR(__xludf.DUMMYFUNCTION("""COMPUTED_VALUE"""),"1579900-20-4178")</f>
        <v>1579900-20-4178</v>
      </c>
      <c r="S539" t="str">
        <f>IFERROR(__xludf.DUMMYFUNCTION("""COMPUTED_VALUE"""),"AC6452312")</f>
        <v>AC6452312</v>
      </c>
      <c r="T539" s="148">
        <f>IFERROR(__xludf.DUMMYFUNCTION("""COMPUTED_VALUE"""),45376.0)</f>
        <v>45376</v>
      </c>
      <c r="U539" s="148">
        <f>IFERROR(__xludf.DUMMYFUNCTION("""COMPUTED_VALUE"""),49027.0)</f>
        <v>49027</v>
      </c>
      <c r="V539" s="149">
        <f>IFERROR(__xludf.DUMMYFUNCTION("""COMPUTED_VALUE"""),48846.0)</f>
        <v>48846</v>
      </c>
      <c r="W539" t="str">
        <f>IFERROR(__xludf.DUMMYFUNCTION("""COMPUTED_VALUE"""),"ปลอดภัย")</f>
        <v>ปลอดภัย</v>
      </c>
      <c r="X539" t="str">
        <f>IFERROR(__xludf.DUMMYFUNCTION("""COMPUTED_VALUE"""),"Chiang Rai Province")</f>
        <v>Chiang Rai Province</v>
      </c>
      <c r="Y539" t="str">
        <f>IFERROR(__xludf.DUMMYFUNCTION("""COMPUTED_VALUE"""),"Donmueang")</f>
        <v>Donmueang</v>
      </c>
      <c r="Z539" t="str">
        <f>IFERROR(__xludf.DUMMYFUNCTION("""COMPUTED_VALUE"""),"080 597 9993")</f>
        <v>080 597 9993</v>
      </c>
      <c r="AA539" t="str">
        <f>IFERROR(__xludf.DUMMYFUNCTION("""COMPUTED_VALUE"""),"Wipada")</f>
        <v>Wipada</v>
      </c>
      <c r="AB539" t="str">
        <f>IFERROR(__xludf.DUMMYFUNCTION("""COMPUTED_VALUE"""),"prokl@airasia.com")</f>
        <v>prokl@airasia.com</v>
      </c>
    </row>
    <row r="540">
      <c r="A540">
        <f>IFERROR(__xludf.DUMMYFUNCTION("""COMPUTED_VALUE"""),1011507.0)</f>
        <v>1011507</v>
      </c>
      <c r="B540" t="str">
        <f>IFERROR(__xludf.DUMMYFUNCTION("""COMPUTED_VALUE"""),"Ms.")</f>
        <v>Ms.</v>
      </c>
      <c r="C540" t="str">
        <f>IFERROR(__xludf.DUMMYFUNCTION("""COMPUTED_VALUE"""),"Weerinpimon (Isarapha)")</f>
        <v>Weerinpimon (Isarapha)</v>
      </c>
      <c r="D540" t="str">
        <f>IFERROR(__xludf.DUMMYFUNCTION("""COMPUTED_VALUE"""),"Rhuecharoen (Srimontrivegin)")</f>
        <v>Rhuecharoen (Srimontrivegin)</v>
      </c>
      <c r="E540" t="str">
        <f>IFERROR(__xludf.DUMMYFUNCTION("""COMPUTED_VALUE"""),"Weerinpimon Rhuecharoen")</f>
        <v>Weerinpimon Rhuecharoen</v>
      </c>
      <c r="F540" t="str">
        <f>IFERROR(__xludf.DUMMYFUNCTION("""COMPUTED_VALUE"""),"นางสาว")</f>
        <v>นางสาว</v>
      </c>
      <c r="G540" t="str">
        <f>IFERROR(__xludf.DUMMYFUNCTION("""COMPUTED_VALUE"""),"วีรินทร์พิมล (อิศราภาณิ์)")</f>
        <v>วีรินทร์พิมล (อิศราภาณิ์)</v>
      </c>
      <c r="H540" t="str">
        <f>IFERROR(__xludf.DUMMYFUNCTION("""COMPUTED_VALUE"""),"หรือเจริญ (ศรีมนตริเวคิน)")</f>
        <v>หรือเจริญ (ศรีมนตริเวคิน)</v>
      </c>
      <c r="I540" t="str">
        <f>IFERROR(__xludf.DUMMYFUNCTION("""COMPUTED_VALUE"""),"วีรินทร์พิมล หรือเจริญ")</f>
        <v>วีรินทร์พิมล หรือเจริญ</v>
      </c>
      <c r="J540" t="str">
        <f>IFERROR(__xludf.DUMMYFUNCTION("""COMPUTED_VALUE"""),"Meen")</f>
        <v>Meen</v>
      </c>
      <c r="K540" t="str">
        <f>IFERROR(__xludf.DUMMYFUNCTION("""COMPUTED_VALUE"""),"Cabin Crew")</f>
        <v>Cabin Crew</v>
      </c>
      <c r="L540" t="str">
        <f>IFERROR(__xludf.DUMMYFUNCTION("""COMPUTED_VALUE"""),"DMK")</f>
        <v>DMK</v>
      </c>
      <c r="M540" s="145" t="str">
        <f>IFERROR(__xludf.DUMMYFUNCTION("""COMPUTED_VALUE"""),"Nhui Home")</f>
        <v>Nhui Home</v>
      </c>
      <c r="N540" t="str">
        <f>IFERROR(__xludf.DUMMYFUNCTION("""COMPUTED_VALUE"""),"Active")</f>
        <v>Active</v>
      </c>
      <c r="P540" s="143">
        <f>IFERROR(__xludf.DUMMYFUNCTION("""COMPUTED_VALUE"""),32582.0)</f>
        <v>32582</v>
      </c>
      <c r="Q540" s="146" t="str">
        <f>IFERROR(__xludf.DUMMYFUNCTION("""COMPUTED_VALUE"""),"099-626-4963")</f>
        <v>099-626-4963</v>
      </c>
      <c r="R540" s="147" t="str">
        <f>IFERROR(__xludf.DUMMYFUNCTION("""COMPUTED_VALUE"""),"1100200-45-3448")</f>
        <v>1100200-45-3448</v>
      </c>
      <c r="S540" t="str">
        <f>IFERROR(__xludf.DUMMYFUNCTION("""COMPUTED_VALUE"""),"AC5178975")</f>
        <v>AC5178975</v>
      </c>
      <c r="T540" s="148">
        <f>IFERROR(__xludf.DUMMYFUNCTION("""COMPUTED_VALUE"""),45104.0)</f>
        <v>45104</v>
      </c>
      <c r="U540" s="148">
        <f>IFERROR(__xludf.DUMMYFUNCTION("""COMPUTED_VALUE"""),48756.0)</f>
        <v>48756</v>
      </c>
      <c r="V540" s="149">
        <f>IFERROR(__xludf.DUMMYFUNCTION("""COMPUTED_VALUE"""),48574.0)</f>
        <v>48574</v>
      </c>
      <c r="W540" t="str">
        <f>IFERROR(__xludf.DUMMYFUNCTION("""COMPUTED_VALUE"""),"ปลอดภัย")</f>
        <v>ปลอดภัย</v>
      </c>
      <c r="X540" t="str">
        <f>IFERROR(__xludf.DUMMYFUNCTION("""COMPUTED_VALUE"""),"Bangkok")</f>
        <v>Bangkok</v>
      </c>
      <c r="Y540" t="str">
        <f>IFERROR(__xludf.DUMMYFUNCTION("""COMPUTED_VALUE"""),"Huaykwang")</f>
        <v>Huaykwang</v>
      </c>
      <c r="Z540" t="str">
        <f>IFERROR(__xludf.DUMMYFUNCTION("""COMPUTED_VALUE"""),"02 423 0129 / 086 318 6412 / 086 565 8828")</f>
        <v>02 423 0129 / 086 318 6412 / 086 565 8828</v>
      </c>
      <c r="AA540" t="str">
        <f>IFERROR(__xludf.DUMMYFUNCTION("""COMPUTED_VALUE"""),"Home / Mother")</f>
        <v>Home / Mother</v>
      </c>
      <c r="AB540" t="str">
        <f>IFERROR(__xludf.DUMMYFUNCTION("""COMPUTED_VALUE"""),"weerinpimonr@airasia.com")</f>
        <v>weerinpimonr@airasia.com</v>
      </c>
    </row>
    <row r="541">
      <c r="A541">
        <f>IFERROR(__xludf.DUMMYFUNCTION("""COMPUTED_VALUE"""),1011509.0)</f>
        <v>1011509</v>
      </c>
      <c r="B541" t="str">
        <f>IFERROR(__xludf.DUMMYFUNCTION("""COMPUTED_VALUE"""),"Ms.")</f>
        <v>Ms.</v>
      </c>
      <c r="C541" t="str">
        <f>IFERROR(__xludf.DUMMYFUNCTION("""COMPUTED_VALUE"""),"Natcha")</f>
        <v>Natcha</v>
      </c>
      <c r="D541" t="str">
        <f>IFERROR(__xludf.DUMMYFUNCTION("""COMPUTED_VALUE"""),"Supakhong")</f>
        <v>Supakhong</v>
      </c>
      <c r="E541" t="str">
        <f>IFERROR(__xludf.DUMMYFUNCTION("""COMPUTED_VALUE"""),"Natcha Supakhong")</f>
        <v>Natcha Supakhong</v>
      </c>
      <c r="F541" t="str">
        <f>IFERROR(__xludf.DUMMYFUNCTION("""COMPUTED_VALUE"""),"นางสาว")</f>
        <v>นางสาว</v>
      </c>
      <c r="G541" t="str">
        <f>IFERROR(__xludf.DUMMYFUNCTION("""COMPUTED_VALUE"""),"นัฐชา")</f>
        <v>นัฐชา</v>
      </c>
      <c r="H541" t="str">
        <f>IFERROR(__xludf.DUMMYFUNCTION("""COMPUTED_VALUE"""),"สุภาโขง")</f>
        <v>สุภาโขง</v>
      </c>
      <c r="I541" t="str">
        <f>IFERROR(__xludf.DUMMYFUNCTION("""COMPUTED_VALUE"""),"นัฐชา สุภาโขง")</f>
        <v>นัฐชา สุภาโขง</v>
      </c>
      <c r="J541" t="str">
        <f>IFERROR(__xludf.DUMMYFUNCTION("""COMPUTED_VALUE"""),"Amm")</f>
        <v>Amm</v>
      </c>
      <c r="K541" t="str">
        <f>IFERROR(__xludf.DUMMYFUNCTION("""COMPUTED_VALUE"""),"Cabin Crew")</f>
        <v>Cabin Crew</v>
      </c>
      <c r="L541" t="str">
        <f>IFERROR(__xludf.DUMMYFUNCTION("""COMPUTED_VALUE"""),"DMK")</f>
        <v>DMK</v>
      </c>
      <c r="M541" s="145" t="str">
        <f>IFERROR(__xludf.DUMMYFUNCTION("""COMPUTED_VALUE"""),"Um Home")</f>
        <v>Um Home</v>
      </c>
      <c r="N541" t="str">
        <f>IFERROR(__xludf.DUMMYFUNCTION("""COMPUTED_VALUE"""),"Active")</f>
        <v>Active</v>
      </c>
      <c r="P541" s="143">
        <f>IFERROR(__xludf.DUMMYFUNCTION("""COMPUTED_VALUE"""),32936.0)</f>
        <v>32936</v>
      </c>
      <c r="Q541" s="146" t="str">
        <f>IFERROR(__xludf.DUMMYFUNCTION("""COMPUTED_VALUE"""),"085-395-8333")</f>
        <v>085-395-8333</v>
      </c>
      <c r="R541" s="147" t="str">
        <f>IFERROR(__xludf.DUMMYFUNCTION("""COMPUTED_VALUE"""),"1319900-20-2665")</f>
        <v>1319900-20-2665</v>
      </c>
      <c r="S541" t="str">
        <f>IFERROR(__xludf.DUMMYFUNCTION("""COMPUTED_VALUE"""),"AC3984743")</f>
        <v>AC3984743</v>
      </c>
      <c r="T541" s="148">
        <f>IFERROR(__xludf.DUMMYFUNCTION("""COMPUTED_VALUE"""),44810.0)</f>
        <v>44810</v>
      </c>
      <c r="U541" s="148">
        <f>IFERROR(__xludf.DUMMYFUNCTION("""COMPUTED_VALUE"""),48462.0)</f>
        <v>48462</v>
      </c>
      <c r="V541" s="149">
        <f>IFERROR(__xludf.DUMMYFUNCTION("""COMPUTED_VALUE"""),48278.0)</f>
        <v>48278</v>
      </c>
      <c r="W541" t="str">
        <f>IFERROR(__xludf.DUMMYFUNCTION("""COMPUTED_VALUE"""),"ปลอดภัย")</f>
        <v>ปลอดภัย</v>
      </c>
      <c r="X541" t="str">
        <f>IFERROR(__xludf.DUMMYFUNCTION("""COMPUTED_VALUE"""),"Buriram Province")</f>
        <v>Buriram Province</v>
      </c>
      <c r="Y541" t="str">
        <f>IFERROR(__xludf.DUMMYFUNCTION("""COMPUTED_VALUE"""),"Ladkrabang")</f>
        <v>Ladkrabang</v>
      </c>
      <c r="Z541" t="str">
        <f>IFERROR(__xludf.DUMMYFUNCTION("""COMPUTED_VALUE"""),"081 646 4250")</f>
        <v>081 646 4250</v>
      </c>
      <c r="AA541" t="str">
        <f>IFERROR(__xludf.DUMMYFUNCTION("""COMPUTED_VALUE"""),"Doungjai")</f>
        <v>Doungjai</v>
      </c>
      <c r="AB541" t="str">
        <f>IFERROR(__xludf.DUMMYFUNCTION("""COMPUTED_VALUE"""),"natchau@airasia.com")</f>
        <v>natchau@airasia.com</v>
      </c>
    </row>
    <row r="542">
      <c r="A542">
        <f>IFERROR(__xludf.DUMMYFUNCTION("""COMPUTED_VALUE"""),1011510.0)</f>
        <v>1011510</v>
      </c>
      <c r="B542" t="str">
        <f>IFERROR(__xludf.DUMMYFUNCTION("""COMPUTED_VALUE"""),"Mr.")</f>
        <v>Mr.</v>
      </c>
      <c r="C542" t="str">
        <f>IFERROR(__xludf.DUMMYFUNCTION("""COMPUTED_VALUE"""),"Nitinai")</f>
        <v>Nitinai</v>
      </c>
      <c r="D542" t="str">
        <f>IFERROR(__xludf.DUMMYFUNCTION("""COMPUTED_VALUE"""),"Chalongtrakul")</f>
        <v>Chalongtrakul</v>
      </c>
      <c r="E542" t="str">
        <f>IFERROR(__xludf.DUMMYFUNCTION("""COMPUTED_VALUE"""),"Nitinai Chalongtrakul")</f>
        <v>Nitinai Chalongtrakul</v>
      </c>
      <c r="F542" t="str">
        <f>IFERROR(__xludf.DUMMYFUNCTION("""COMPUTED_VALUE"""),"นาย")</f>
        <v>นาย</v>
      </c>
      <c r="G542" t="str">
        <f>IFERROR(__xludf.DUMMYFUNCTION("""COMPUTED_VALUE"""),"นิตินัย")</f>
        <v>นิตินัย</v>
      </c>
      <c r="H542" t="str">
        <f>IFERROR(__xludf.DUMMYFUNCTION("""COMPUTED_VALUE"""),"ฉลองตระกูล")</f>
        <v>ฉลองตระกูล</v>
      </c>
      <c r="I542" t="str">
        <f>IFERROR(__xludf.DUMMYFUNCTION("""COMPUTED_VALUE"""),"นิตินัย ฉลองตระกูล")</f>
        <v>นิตินัย ฉลองตระกูล</v>
      </c>
      <c r="J542" t="str">
        <f>IFERROR(__xludf.DUMMYFUNCTION("""COMPUTED_VALUE"""),"Lotus")</f>
        <v>Lotus</v>
      </c>
      <c r="K542" t="str">
        <f>IFERROR(__xludf.DUMMYFUNCTION("""COMPUTED_VALUE"""),"Senior Cabin Crew")</f>
        <v>Senior Cabin Crew</v>
      </c>
      <c r="L542" t="str">
        <f>IFERROR(__xludf.DUMMYFUNCTION("""COMPUTED_VALUE"""),"DMK")</f>
        <v>DMK</v>
      </c>
      <c r="M542" s="145" t="str">
        <f>IFERROR(__xludf.DUMMYFUNCTION("""COMPUTED_VALUE"""),"Toffy Home")</f>
        <v>Toffy Home</v>
      </c>
      <c r="N542" t="str">
        <f>IFERROR(__xludf.DUMMYFUNCTION("""COMPUTED_VALUE"""),"Active")</f>
        <v>Active</v>
      </c>
      <c r="P542" s="143">
        <f>IFERROR(__xludf.DUMMYFUNCTION("""COMPUTED_VALUE"""),32007.0)</f>
        <v>32007</v>
      </c>
      <c r="Q542" s="146" t="str">
        <f>IFERROR(__xludf.DUMMYFUNCTION("""COMPUTED_VALUE"""),"085-580-0033")</f>
        <v>085-580-0033</v>
      </c>
      <c r="R542" s="147" t="str">
        <f>IFERROR(__xludf.DUMMYFUNCTION("""COMPUTED_VALUE"""),"1100800-36-9201")</f>
        <v>1100800-36-9201</v>
      </c>
      <c r="S542" t="str">
        <f>IFERROR(__xludf.DUMMYFUNCTION("""COMPUTED_VALUE"""),"AC6289043")</f>
        <v>AC6289043</v>
      </c>
      <c r="T542" s="148">
        <f>IFERROR(__xludf.DUMMYFUNCTION("""COMPUTED_VALUE"""),45282.0)</f>
        <v>45282</v>
      </c>
      <c r="U542" s="148">
        <f>IFERROR(__xludf.DUMMYFUNCTION("""COMPUTED_VALUE"""),48934.0)</f>
        <v>48934</v>
      </c>
      <c r="V542" s="149">
        <f>IFERROR(__xludf.DUMMYFUNCTION("""COMPUTED_VALUE"""),48751.0)</f>
        <v>48751</v>
      </c>
      <c r="W542" t="str">
        <f>IFERROR(__xludf.DUMMYFUNCTION("""COMPUTED_VALUE"""),"ปลอดภัย")</f>
        <v>ปลอดภัย</v>
      </c>
      <c r="X542" t="str">
        <f>IFERROR(__xludf.DUMMYFUNCTION("""COMPUTED_VALUE"""),"Bangkok")</f>
        <v>Bangkok</v>
      </c>
      <c r="Y542" t="str">
        <f>IFERROR(__xludf.DUMMYFUNCTION("""COMPUTED_VALUE"""),"Dindeang")</f>
        <v>Dindeang</v>
      </c>
      <c r="Z542" t="str">
        <f>IFERROR(__xludf.DUMMYFUNCTION("""COMPUTED_VALUE"""),"086 369 5332")</f>
        <v>086 369 5332</v>
      </c>
      <c r="AA542" t="str">
        <f>IFERROR(__xludf.DUMMYFUNCTION("""COMPUTED_VALUE"""),"Niramai")</f>
        <v>Niramai</v>
      </c>
      <c r="AB542" t="str">
        <f>IFERROR(__xludf.DUMMYFUNCTION("""COMPUTED_VALUE"""),"nitinaic@airasia.com")</f>
        <v>nitinaic@airasia.com</v>
      </c>
    </row>
    <row r="543">
      <c r="A543">
        <f>IFERROR(__xludf.DUMMYFUNCTION("""COMPUTED_VALUE"""),1011513.0)</f>
        <v>1011513</v>
      </c>
      <c r="B543" t="str">
        <f>IFERROR(__xludf.DUMMYFUNCTION("""COMPUTED_VALUE"""),"Mr.")</f>
        <v>Mr.</v>
      </c>
      <c r="C543" t="str">
        <f>IFERROR(__xludf.DUMMYFUNCTION("""COMPUTED_VALUE"""),"Rawitnat")</f>
        <v>Rawitnat</v>
      </c>
      <c r="D543" t="str">
        <f>IFERROR(__xludf.DUMMYFUNCTION("""COMPUTED_VALUE"""),"Marayat")</f>
        <v>Marayat</v>
      </c>
      <c r="E543" t="str">
        <f>IFERROR(__xludf.DUMMYFUNCTION("""COMPUTED_VALUE"""),"Rawitnat Marayat")</f>
        <v>Rawitnat Marayat</v>
      </c>
      <c r="F543" t="str">
        <f>IFERROR(__xludf.DUMMYFUNCTION("""COMPUTED_VALUE"""),"นาย")</f>
        <v>นาย</v>
      </c>
      <c r="G543" t="str">
        <f>IFERROR(__xludf.DUMMYFUNCTION("""COMPUTED_VALUE"""),"รวิชญ์ณัฏฐ์")</f>
        <v>รวิชญ์ณัฏฐ์</v>
      </c>
      <c r="H543" t="str">
        <f>IFERROR(__xludf.DUMMYFUNCTION("""COMPUTED_VALUE"""),"มารยาตร์")</f>
        <v>มารยาตร์</v>
      </c>
      <c r="I543" t="str">
        <f>IFERROR(__xludf.DUMMYFUNCTION("""COMPUTED_VALUE"""),"รวิชญ์ณัฏฐ์ มารยาตร์")</f>
        <v>รวิชญ์ณัฏฐ์ มารยาตร์</v>
      </c>
      <c r="J543" t="str">
        <f>IFERROR(__xludf.DUMMYFUNCTION("""COMPUTED_VALUE"""),"โจ้")</f>
        <v>โจ้</v>
      </c>
      <c r="K543" t="str">
        <f>IFERROR(__xludf.DUMMYFUNCTION("""COMPUTED_VALUE"""),"Cabin Crew")</f>
        <v>Cabin Crew</v>
      </c>
      <c r="L543" t="str">
        <f>IFERROR(__xludf.DUMMYFUNCTION("""COMPUTED_VALUE"""),"DMK")</f>
        <v>DMK</v>
      </c>
      <c r="M543" s="145" t="str">
        <f>IFERROR(__xludf.DUMMYFUNCTION("""COMPUTED_VALUE"""),"Por+ Home")</f>
        <v>Por+ Home</v>
      </c>
      <c r="N543" t="str">
        <f>IFERROR(__xludf.DUMMYFUNCTION("""COMPUTED_VALUE"""),"Active")</f>
        <v>Active</v>
      </c>
      <c r="P543" s="143">
        <f>IFERROR(__xludf.DUMMYFUNCTION("""COMPUTED_VALUE"""),32961.0)</f>
        <v>32961</v>
      </c>
      <c r="Q543" s="146" t="str">
        <f>IFERROR(__xludf.DUMMYFUNCTION("""COMPUTED_VALUE"""),"084-910-1752")</f>
        <v>084-910-1752</v>
      </c>
      <c r="R543" s="147" t="str">
        <f>IFERROR(__xludf.DUMMYFUNCTION("""COMPUTED_VALUE"""),"1809900-30-2509")</f>
        <v>1809900-30-2509</v>
      </c>
      <c r="S543" t="str">
        <f>IFERROR(__xludf.DUMMYFUNCTION("""COMPUTED_VALUE"""),"AC5238546")</f>
        <v>AC5238546</v>
      </c>
      <c r="T543" s="148">
        <f>IFERROR(__xludf.DUMMYFUNCTION("""COMPUTED_VALUE"""),45108.0)</f>
        <v>45108</v>
      </c>
      <c r="U543" s="148">
        <f>IFERROR(__xludf.DUMMYFUNCTION("""COMPUTED_VALUE"""),48760.0)</f>
        <v>48760</v>
      </c>
      <c r="V543" s="149">
        <f>IFERROR(__xludf.DUMMYFUNCTION("""COMPUTED_VALUE"""),48578.0)</f>
        <v>48578</v>
      </c>
      <c r="W543" t="str">
        <f>IFERROR(__xludf.DUMMYFUNCTION("""COMPUTED_VALUE"""),"ปลอดภัย")</f>
        <v>ปลอดภัย</v>
      </c>
      <c r="X543" t="str">
        <f>IFERROR(__xludf.DUMMYFUNCTION("""COMPUTED_VALUE"""),"Nakhon Si Thammarat Province")</f>
        <v>Nakhon Si Thammarat Province</v>
      </c>
      <c r="Y543" t="str">
        <f>IFERROR(__xludf.DUMMYFUNCTION("""COMPUTED_VALUE"""),"Jatujak")</f>
        <v>Jatujak</v>
      </c>
      <c r="Z543" t="str">
        <f>IFERROR(__xludf.DUMMYFUNCTION("""COMPUTED_VALUE"""),"02 587 5656 / 089 650 3313")</f>
        <v>02 587 5656 / 089 650 3313</v>
      </c>
      <c r="AA543" t="str">
        <f>IFERROR(__xludf.DUMMYFUNCTION("""COMPUTED_VALUE"""),"Home / Bussakorn")</f>
        <v>Home / Bussakorn</v>
      </c>
      <c r="AB543" t="str">
        <f>IFERROR(__xludf.DUMMYFUNCTION("""COMPUTED_VALUE"""),"rawitnatm@airasia.com")</f>
        <v>rawitnatm@airasia.com</v>
      </c>
    </row>
    <row r="544">
      <c r="A544">
        <f>IFERROR(__xludf.DUMMYFUNCTION("""COMPUTED_VALUE"""),1011514.0)</f>
        <v>1011514</v>
      </c>
      <c r="B544" t="str">
        <f>IFERROR(__xludf.DUMMYFUNCTION("""COMPUTED_VALUE"""),"Ms.")</f>
        <v>Ms.</v>
      </c>
      <c r="C544" t="str">
        <f>IFERROR(__xludf.DUMMYFUNCTION("""COMPUTED_VALUE"""),"Phapada (Siriporn)")</f>
        <v>Phapada (Siriporn)</v>
      </c>
      <c r="D544" t="str">
        <f>IFERROR(__xludf.DUMMYFUNCTION("""COMPUTED_VALUE"""),"Chukavirote")</f>
        <v>Chukavirote</v>
      </c>
      <c r="E544" t="str">
        <f>IFERROR(__xludf.DUMMYFUNCTION("""COMPUTED_VALUE"""),"Phapada Chukavirote")</f>
        <v>Phapada Chukavirote</v>
      </c>
      <c r="F544" t="str">
        <f>IFERROR(__xludf.DUMMYFUNCTION("""COMPUTED_VALUE"""),"นางสาว")</f>
        <v>นางสาว</v>
      </c>
      <c r="G544" t="str">
        <f>IFERROR(__xludf.DUMMYFUNCTION("""COMPUTED_VALUE"""),"ปภาดา (สิริพร)")</f>
        <v>ปภาดา (สิริพร)</v>
      </c>
      <c r="H544" t="str">
        <f>IFERROR(__xludf.DUMMYFUNCTION("""COMPUTED_VALUE"""),"ฌูกะวิโรจน์")</f>
        <v>ฌูกะวิโรจน์</v>
      </c>
      <c r="I544" t="str">
        <f>IFERROR(__xludf.DUMMYFUNCTION("""COMPUTED_VALUE"""),"ปภาดา ฌูกะวิโรจน์")</f>
        <v>ปภาดา ฌูกะวิโรจน์</v>
      </c>
      <c r="J544" t="str">
        <f>IFERROR(__xludf.DUMMYFUNCTION("""COMPUTED_VALUE"""),"Pla")</f>
        <v>Pla</v>
      </c>
      <c r="K544" t="str">
        <f>IFERROR(__xludf.DUMMYFUNCTION("""COMPUTED_VALUE"""),"Cabin Crew")</f>
        <v>Cabin Crew</v>
      </c>
      <c r="L544" t="str">
        <f>IFERROR(__xludf.DUMMYFUNCTION("""COMPUTED_VALUE"""),"DMK")</f>
        <v>DMK</v>
      </c>
      <c r="M544" s="145" t="str">
        <f>IFERROR(__xludf.DUMMYFUNCTION("""COMPUTED_VALUE"""),"Um Home")</f>
        <v>Um Home</v>
      </c>
      <c r="N544" t="str">
        <f>IFERROR(__xludf.DUMMYFUNCTION("""COMPUTED_VALUE"""),"Active")</f>
        <v>Active</v>
      </c>
      <c r="P544" s="143">
        <f>IFERROR(__xludf.DUMMYFUNCTION("""COMPUTED_VALUE"""),33140.0)</f>
        <v>33140</v>
      </c>
      <c r="Q544" s="146" t="str">
        <f>IFERROR(__xludf.DUMMYFUNCTION("""COMPUTED_VALUE"""),"086-993-4191")</f>
        <v>086-993-4191</v>
      </c>
      <c r="R544" s="147" t="str">
        <f>IFERROR(__xludf.DUMMYFUNCTION("""COMPUTED_VALUE"""),"1102700-05-3092")</f>
        <v>1102700-05-3092</v>
      </c>
      <c r="S544" t="str">
        <f>IFERROR(__xludf.DUMMYFUNCTION("""COMPUTED_VALUE"""),"AC4480148")</f>
        <v>AC4480148</v>
      </c>
      <c r="T544" s="148">
        <f>IFERROR(__xludf.DUMMYFUNCTION("""COMPUTED_VALUE"""),44977.0)</f>
        <v>44977</v>
      </c>
      <c r="U544" s="148">
        <f>IFERROR(__xludf.DUMMYFUNCTION("""COMPUTED_VALUE"""),48629.0)</f>
        <v>48629</v>
      </c>
      <c r="V544" s="149">
        <f>IFERROR(__xludf.DUMMYFUNCTION("""COMPUTED_VALUE"""),48445.0)</f>
        <v>48445</v>
      </c>
      <c r="W544" t="str">
        <f>IFERROR(__xludf.DUMMYFUNCTION("""COMPUTED_VALUE"""),"ปลอดภัย")</f>
        <v>ปลอดภัย</v>
      </c>
      <c r="X544" t="str">
        <f>IFERROR(__xludf.DUMMYFUNCTION("""COMPUTED_VALUE"""),"Bangkok")</f>
        <v>Bangkok</v>
      </c>
      <c r="Y544" t="str">
        <f>IFERROR(__xludf.DUMMYFUNCTION("""COMPUTED_VALUE"""),"Jatujak")</f>
        <v>Jatujak</v>
      </c>
      <c r="Z544" t="str">
        <f>IFERROR(__xludf.DUMMYFUNCTION("""COMPUTED_VALUE"""),"02 510 4729 / 086 315 0816")</f>
        <v>02 510 4729 / 086 315 0816</v>
      </c>
      <c r="AA544" t="str">
        <f>IFERROR(__xludf.DUMMYFUNCTION("""COMPUTED_VALUE"""),"Home / Sirima")</f>
        <v>Home / Sirima</v>
      </c>
      <c r="AB544" t="str">
        <f>IFERROR(__xludf.DUMMYFUNCTION("""COMPUTED_VALUE"""),"phapadac@airasia.com")</f>
        <v>phapadac@airasia.com</v>
      </c>
    </row>
    <row r="545">
      <c r="A545">
        <f>IFERROR(__xludf.DUMMYFUNCTION("""COMPUTED_VALUE"""),1011515.0)</f>
        <v>1011515</v>
      </c>
      <c r="B545" t="str">
        <f>IFERROR(__xludf.DUMMYFUNCTION("""COMPUTED_VALUE"""),"Mr.")</f>
        <v>Mr.</v>
      </c>
      <c r="C545" t="str">
        <f>IFERROR(__xludf.DUMMYFUNCTION("""COMPUTED_VALUE"""),"Sopark")</f>
        <v>Sopark</v>
      </c>
      <c r="D545" t="str">
        <f>IFERROR(__xludf.DUMMYFUNCTION("""COMPUTED_VALUE"""),"Phosiri")</f>
        <v>Phosiri</v>
      </c>
      <c r="E545" t="str">
        <f>IFERROR(__xludf.DUMMYFUNCTION("""COMPUTED_VALUE"""),"Sopark Phosiri")</f>
        <v>Sopark Phosiri</v>
      </c>
      <c r="F545" t="str">
        <f>IFERROR(__xludf.DUMMYFUNCTION("""COMPUTED_VALUE"""),"นาย")</f>
        <v>นาย</v>
      </c>
      <c r="G545" t="str">
        <f>IFERROR(__xludf.DUMMYFUNCTION("""COMPUTED_VALUE"""),"โสภาคย์")</f>
        <v>โสภาคย์</v>
      </c>
      <c r="H545" t="str">
        <f>IFERROR(__xludf.DUMMYFUNCTION("""COMPUTED_VALUE"""),"โพธิ์ศิริ")</f>
        <v>โพธิ์ศิริ</v>
      </c>
      <c r="I545" t="str">
        <f>IFERROR(__xludf.DUMMYFUNCTION("""COMPUTED_VALUE"""),"โสภาคย์ โพธิ์ศิริ")</f>
        <v>โสภาคย์ โพธิ์ศิริ</v>
      </c>
      <c r="J545" t="str">
        <f>IFERROR(__xludf.DUMMYFUNCTION("""COMPUTED_VALUE"""),"Shan")</f>
        <v>Shan</v>
      </c>
      <c r="K545" t="str">
        <f>IFERROR(__xludf.DUMMYFUNCTION("""COMPUTED_VALUE"""),"Cabin Crew")</f>
        <v>Cabin Crew</v>
      </c>
      <c r="L545" t="str">
        <f>IFERROR(__xludf.DUMMYFUNCTION("""COMPUTED_VALUE"""),"DMK")</f>
        <v>DMK</v>
      </c>
      <c r="M545" s="145" t="str">
        <f>IFERROR(__xludf.DUMMYFUNCTION("""COMPUTED_VALUE"""),"Namfon Home")</f>
        <v>Namfon Home</v>
      </c>
      <c r="N545" t="str">
        <f>IFERROR(__xludf.DUMMYFUNCTION("""COMPUTED_VALUE"""),"Active")</f>
        <v>Active</v>
      </c>
      <c r="P545" s="143">
        <f>IFERROR(__xludf.DUMMYFUNCTION("""COMPUTED_VALUE"""),31827.0)</f>
        <v>31827</v>
      </c>
      <c r="Q545" s="146" t="str">
        <f>IFERROR(__xludf.DUMMYFUNCTION("""COMPUTED_VALUE"""),"089-047-3636")</f>
        <v>089-047-3636</v>
      </c>
      <c r="R545" s="147" t="str">
        <f>IFERROR(__xludf.DUMMYFUNCTION("""COMPUTED_VALUE"""),"1101400-93-1140")</f>
        <v>1101400-93-1140</v>
      </c>
      <c r="S545" t="str">
        <f>IFERROR(__xludf.DUMMYFUNCTION("""COMPUTED_VALUE"""),"AD0760225")</f>
        <v>AD0760225</v>
      </c>
      <c r="T545" s="148">
        <f>IFERROR(__xludf.DUMMYFUNCTION("""COMPUTED_VALUE"""),44970.0)</f>
        <v>44970</v>
      </c>
      <c r="U545" s="148">
        <f>IFERROR(__xludf.DUMMYFUNCTION("""COMPUTED_VALUE"""),48622.0)</f>
        <v>48622</v>
      </c>
      <c r="V545" s="149">
        <f>IFERROR(__xludf.DUMMYFUNCTION("""COMPUTED_VALUE"""),48438.0)</f>
        <v>48438</v>
      </c>
      <c r="W545" t="str">
        <f>IFERROR(__xludf.DUMMYFUNCTION("""COMPUTED_VALUE"""),"ปลอดภัย")</f>
        <v>ปลอดภัย</v>
      </c>
      <c r="X545" t="str">
        <f>IFERROR(__xludf.DUMMYFUNCTION("""COMPUTED_VALUE"""),"Bangkok")</f>
        <v>Bangkok</v>
      </c>
      <c r="Y545" t="str">
        <f>IFERROR(__xludf.DUMMYFUNCTION("""COMPUTED_VALUE"""),"Nonthaburi")</f>
        <v>Nonthaburi</v>
      </c>
      <c r="Z545" t="str">
        <f>IFERROR(__xludf.DUMMYFUNCTION("""COMPUTED_VALUE"""),"02 526 7928 / 084 861 5888")</f>
        <v>02 526 7928 / 084 861 5888</v>
      </c>
      <c r="AA545" t="str">
        <f>IFERROR(__xludf.DUMMYFUNCTION("""COMPUTED_VALUE"""),"Home / Sethirun")</f>
        <v>Home / Sethirun</v>
      </c>
      <c r="AB545" t="str">
        <f>IFERROR(__xludf.DUMMYFUNCTION("""COMPUTED_VALUE"""),"soparkp@airasia.com")</f>
        <v>soparkp@airasia.com</v>
      </c>
    </row>
    <row r="546">
      <c r="A546">
        <f>IFERROR(__xludf.DUMMYFUNCTION("""COMPUTED_VALUE"""),1011516.0)</f>
        <v>1011516</v>
      </c>
      <c r="B546" t="str">
        <f>IFERROR(__xludf.DUMMYFUNCTION("""COMPUTED_VALUE"""),"Mr.")</f>
        <v>Mr.</v>
      </c>
      <c r="C546" t="str">
        <f>IFERROR(__xludf.DUMMYFUNCTION("""COMPUTED_VALUE"""),"Thitipol")</f>
        <v>Thitipol</v>
      </c>
      <c r="D546" t="str">
        <f>IFERROR(__xludf.DUMMYFUNCTION("""COMPUTED_VALUE"""),"Soontorn-Anantakul")</f>
        <v>Soontorn-Anantakul</v>
      </c>
      <c r="E546" t="str">
        <f>IFERROR(__xludf.DUMMYFUNCTION("""COMPUTED_VALUE"""),"Thitipol Soontorn-Anantakul")</f>
        <v>Thitipol Soontorn-Anantakul</v>
      </c>
      <c r="F546" t="str">
        <f>IFERROR(__xludf.DUMMYFUNCTION("""COMPUTED_VALUE"""),"นาย")</f>
        <v>นาย</v>
      </c>
      <c r="G546" t="str">
        <f>IFERROR(__xludf.DUMMYFUNCTION("""COMPUTED_VALUE"""),"ฐิติพล")</f>
        <v>ฐิติพล</v>
      </c>
      <c r="H546" t="str">
        <f>IFERROR(__xludf.DUMMYFUNCTION("""COMPUTED_VALUE"""),"สุนทรอนันตกุล")</f>
        <v>สุนทรอนันตกุล</v>
      </c>
      <c r="I546" t="str">
        <f>IFERROR(__xludf.DUMMYFUNCTION("""COMPUTED_VALUE"""),"ฐิติพล สุนทรอนันตกุล")</f>
        <v>ฐิติพล สุนทรอนันตกุล</v>
      </c>
      <c r="J546" t="str">
        <f>IFERROR(__xludf.DUMMYFUNCTION("""COMPUTED_VALUE"""),"อู๋จี๊")</f>
        <v>อู๋จี๊</v>
      </c>
      <c r="K546" t="str">
        <f>IFERROR(__xludf.DUMMYFUNCTION("""COMPUTED_VALUE"""),"Cabin Crew")</f>
        <v>Cabin Crew</v>
      </c>
      <c r="L546" t="str">
        <f>IFERROR(__xludf.DUMMYFUNCTION("""COMPUTED_VALUE"""),"DMK")</f>
        <v>DMK</v>
      </c>
      <c r="M546" s="145" t="str">
        <f>IFERROR(__xludf.DUMMYFUNCTION("""COMPUTED_VALUE"""),"Um Home")</f>
        <v>Um Home</v>
      </c>
      <c r="N546" t="str">
        <f>IFERROR(__xludf.DUMMYFUNCTION("""COMPUTED_VALUE"""),"Active")</f>
        <v>Active</v>
      </c>
      <c r="P546" s="143">
        <f>IFERROR(__xludf.DUMMYFUNCTION("""COMPUTED_VALUE"""),32281.0)</f>
        <v>32281</v>
      </c>
      <c r="Q546" s="146" t="str">
        <f>IFERROR(__xludf.DUMMYFUNCTION("""COMPUTED_VALUE"""),"081-689-1885")</f>
        <v>081-689-1885</v>
      </c>
      <c r="R546" s="147" t="str">
        <f>IFERROR(__xludf.DUMMYFUNCTION("""COMPUTED_VALUE"""),"1101401-31-8794")</f>
        <v>1101401-31-8794</v>
      </c>
      <c r="S546" t="str">
        <f>IFERROR(__xludf.DUMMYFUNCTION("""COMPUTED_VALUE"""),"AC5917713")</f>
        <v>AC5917713</v>
      </c>
      <c r="T546" s="148">
        <f>IFERROR(__xludf.DUMMYFUNCTION("""COMPUTED_VALUE"""),45224.0)</f>
        <v>45224</v>
      </c>
      <c r="U546" s="148">
        <f>IFERROR(__xludf.DUMMYFUNCTION("""COMPUTED_VALUE"""),48876.0)</f>
        <v>48876</v>
      </c>
      <c r="V546" s="149">
        <f>IFERROR(__xludf.DUMMYFUNCTION("""COMPUTED_VALUE"""),48693.0)</f>
        <v>48693</v>
      </c>
      <c r="W546" t="str">
        <f>IFERROR(__xludf.DUMMYFUNCTION("""COMPUTED_VALUE"""),"ปลอดภัย")</f>
        <v>ปลอดภัย</v>
      </c>
      <c r="X546" t="str">
        <f>IFERROR(__xludf.DUMMYFUNCTION("""COMPUTED_VALUE"""),"Bangkok")</f>
        <v>Bangkok</v>
      </c>
      <c r="Y546" t="str">
        <f>IFERROR(__xludf.DUMMYFUNCTION("""COMPUTED_VALUE"""),"Minburi")</f>
        <v>Minburi</v>
      </c>
      <c r="Z546" t="str">
        <f>IFERROR(__xludf.DUMMYFUNCTION("""COMPUTED_VALUE"""),"02 171 5019 / 081 456 8779")</f>
        <v>02 171 5019 / 081 456 8779</v>
      </c>
      <c r="AA546" t="str">
        <f>IFERROR(__xludf.DUMMYFUNCTION("""COMPUTED_VALUE"""),"Home / Pittayaporn")</f>
        <v>Home / Pittayaporn</v>
      </c>
      <c r="AB546" t="str">
        <f>IFERROR(__xludf.DUMMYFUNCTION("""COMPUTED_VALUE"""),"thitipols@airasia.com")</f>
        <v>thitipols@airasia.com</v>
      </c>
    </row>
    <row r="547">
      <c r="AB547" t="str">
        <f>IFERROR(__xludf.DUMMYFUNCTION("""COMPUTED_VALUE"""),"")</f>
        <v/>
      </c>
    </row>
    <row r="548">
      <c r="A548">
        <f>IFERROR(__xludf.DUMMYFUNCTION("""COMPUTED_VALUE"""),1004950.0)</f>
        <v>1004950</v>
      </c>
      <c r="B548" t="str">
        <f>IFERROR(__xludf.DUMMYFUNCTION("""COMPUTED_VALUE"""),"Ms.")</f>
        <v>Ms.</v>
      </c>
      <c r="C548" t="str">
        <f>IFERROR(__xludf.DUMMYFUNCTION("""COMPUTED_VALUE"""),"Sirirat")</f>
        <v>Sirirat</v>
      </c>
      <c r="D548" t="str">
        <f>IFERROR(__xludf.DUMMYFUNCTION("""COMPUTED_VALUE"""),"Phummarin")</f>
        <v>Phummarin</v>
      </c>
      <c r="E548" t="str">
        <f>IFERROR(__xludf.DUMMYFUNCTION("""COMPUTED_VALUE"""),"Sirirat Phummarin")</f>
        <v>Sirirat Phummarin</v>
      </c>
      <c r="F548" t="str">
        <f>IFERROR(__xludf.DUMMYFUNCTION("""COMPUTED_VALUE"""),"นางสาว")</f>
        <v>นางสาว</v>
      </c>
      <c r="G548" t="str">
        <f>IFERROR(__xludf.DUMMYFUNCTION("""COMPUTED_VALUE"""),"ศิริรัตน์")</f>
        <v>ศิริรัตน์</v>
      </c>
      <c r="H548" t="str">
        <f>IFERROR(__xludf.DUMMYFUNCTION("""COMPUTED_VALUE"""),"ภุมรินทร์")</f>
        <v>ภุมรินทร์</v>
      </c>
      <c r="I548" t="str">
        <f>IFERROR(__xludf.DUMMYFUNCTION("""COMPUTED_VALUE"""),"ศิริรัตน์ ภุมรินทร์")</f>
        <v>ศิริรัตน์ ภุมรินทร์</v>
      </c>
      <c r="J548" t="str">
        <f>IFERROR(__xludf.DUMMYFUNCTION("""COMPUTED_VALUE"""),"Bee")</f>
        <v>Bee</v>
      </c>
      <c r="K548" t="str">
        <f>IFERROR(__xludf.DUMMYFUNCTION("""COMPUTED_VALUE"""),"Cabin Crew - HKT")</f>
        <v>Cabin Crew - HKT</v>
      </c>
      <c r="L548" t="str">
        <f>IFERROR(__xludf.DUMMYFUNCTION("""COMPUTED_VALUE"""),"HKT")</f>
        <v>HKT</v>
      </c>
      <c r="M548" s="145" t="str">
        <f>IFERROR(__xludf.DUMMYFUNCTION("""COMPUTED_VALUE"""),"Kor Home")</f>
        <v>Kor Home</v>
      </c>
      <c r="N548" t="str">
        <f>IFERROR(__xludf.DUMMYFUNCTION("""COMPUTED_VALUE"""),"Active")</f>
        <v>Active</v>
      </c>
      <c r="P548" s="143">
        <f>IFERROR(__xludf.DUMMYFUNCTION("""COMPUTED_VALUE"""),31283.0)</f>
        <v>31283</v>
      </c>
      <c r="Q548" s="146" t="str">
        <f>IFERROR(__xludf.DUMMYFUNCTION("""COMPUTED_VALUE"""),"080-535-0845")</f>
        <v>080-535-0845</v>
      </c>
      <c r="R548" s="147" t="str">
        <f>IFERROR(__xludf.DUMMYFUNCTION("""COMPUTED_VALUE"""),"1820800-01-4023")</f>
        <v>1820800-01-4023</v>
      </c>
      <c r="S548" t="str">
        <f>IFERROR(__xludf.DUMMYFUNCTION("""COMPUTED_VALUE"""),"AC2776424")</f>
        <v>AC2776424</v>
      </c>
      <c r="T548" s="148">
        <f>IFERROR(__xludf.DUMMYFUNCTION("""COMPUTED_VALUE"""),44501.0)</f>
        <v>44501</v>
      </c>
      <c r="U548" s="148">
        <f>IFERROR(__xludf.DUMMYFUNCTION("""COMPUTED_VALUE"""),48152.0)</f>
        <v>48152</v>
      </c>
      <c r="V548" s="149">
        <f>IFERROR(__xludf.DUMMYFUNCTION("""COMPUTED_VALUE"""),47968.0)</f>
        <v>47968</v>
      </c>
      <c r="W548" t="str">
        <f>IFERROR(__xludf.DUMMYFUNCTION("""COMPUTED_VALUE"""),"ปลอดภัย")</f>
        <v>ปลอดภัย</v>
      </c>
      <c r="X548" t="str">
        <f>IFERROR(__xludf.DUMMYFUNCTION("""COMPUTED_VALUE"""),"Phang Nga Province")</f>
        <v>Phang Nga Province</v>
      </c>
      <c r="Y548" t="str">
        <f>IFERROR(__xludf.DUMMYFUNCTION("""COMPUTED_VALUE"""),"Phuket")</f>
        <v>Phuket</v>
      </c>
      <c r="Z548" t="str">
        <f>IFERROR(__xludf.DUMMYFUNCTION("""COMPUTED_VALUE"""),"082-287-3037")</f>
        <v>082-287-3037</v>
      </c>
      <c r="AA548" t="str">
        <f>IFERROR(__xludf.DUMMYFUNCTION("""COMPUTED_VALUE"""),"Wanthanee")</f>
        <v>Wanthanee</v>
      </c>
      <c r="AB548" t="str">
        <f>IFERROR(__xludf.DUMMYFUNCTION("""COMPUTED_VALUE"""),"siriratp@airasia.com")</f>
        <v>siriratp@airasia.com</v>
      </c>
    </row>
    <row r="549">
      <c r="A549">
        <f>IFERROR(__xludf.DUMMYFUNCTION("""COMPUTED_VALUE"""),1005326.0)</f>
        <v>1005326</v>
      </c>
      <c r="B549" t="str">
        <f>IFERROR(__xludf.DUMMYFUNCTION("""COMPUTED_VALUE"""),"Mr.")</f>
        <v>Mr.</v>
      </c>
      <c r="C549" t="str">
        <f>IFERROR(__xludf.DUMMYFUNCTION("""COMPUTED_VALUE"""),"Pakornpoj")</f>
        <v>Pakornpoj</v>
      </c>
      <c r="D549" t="str">
        <f>IFERROR(__xludf.DUMMYFUNCTION("""COMPUTED_VALUE"""),"Lertsmitivant")</f>
        <v>Lertsmitivant</v>
      </c>
      <c r="E549" t="str">
        <f>IFERROR(__xludf.DUMMYFUNCTION("""COMPUTED_VALUE"""),"Pakornpoj Lertsmitivant")</f>
        <v>Pakornpoj Lertsmitivant</v>
      </c>
      <c r="F549" t="str">
        <f>IFERROR(__xludf.DUMMYFUNCTION("""COMPUTED_VALUE"""),"นาย")</f>
        <v>นาย</v>
      </c>
      <c r="G549" t="str">
        <f>IFERROR(__xludf.DUMMYFUNCTION("""COMPUTED_VALUE"""),"ปกรณ์พจน์")</f>
        <v>ปกรณ์พจน์</v>
      </c>
      <c r="H549" t="str">
        <f>IFERROR(__xludf.DUMMYFUNCTION("""COMPUTED_VALUE"""),"เลิศสมิติวันท์")</f>
        <v>เลิศสมิติวันท์</v>
      </c>
      <c r="I549" t="str">
        <f>IFERROR(__xludf.DUMMYFUNCTION("""COMPUTED_VALUE"""),"ปกรณ์พจน์ เลิศสมิติวันท์")</f>
        <v>ปกรณ์พจน์ เลิศสมิติวันท์</v>
      </c>
      <c r="J549" t="str">
        <f>IFERROR(__xludf.DUMMYFUNCTION("""COMPUTED_VALUE"""),"Mike")</f>
        <v>Mike</v>
      </c>
      <c r="K549" t="str">
        <f>IFERROR(__xludf.DUMMYFUNCTION("""COMPUTED_VALUE"""),"Cabin Crew")</f>
        <v>Cabin Crew</v>
      </c>
      <c r="L549" t="str">
        <f>IFERROR(__xludf.DUMMYFUNCTION("""COMPUTED_VALUE"""),"DMK")</f>
        <v>DMK</v>
      </c>
      <c r="M549" s="145" t="str">
        <f>IFERROR(__xludf.DUMMYFUNCTION("""COMPUTED_VALUE"""),"Um Home")</f>
        <v>Um Home</v>
      </c>
      <c r="N549" t="str">
        <f>IFERROR(__xludf.DUMMYFUNCTION("""COMPUTED_VALUE"""),"Active")</f>
        <v>Active</v>
      </c>
      <c r="P549" s="143">
        <f>IFERROR(__xludf.DUMMYFUNCTION("""COMPUTED_VALUE"""),31817.0)</f>
        <v>31817</v>
      </c>
      <c r="Q549" s="146" t="str">
        <f>IFERROR(__xludf.DUMMYFUNCTION("""COMPUTED_VALUE"""),"095-241-6599")</f>
        <v>095-241-6599</v>
      </c>
      <c r="R549" s="147" t="str">
        <f>IFERROR(__xludf.DUMMYFUNCTION("""COMPUTED_VALUE"""),"1101400-92-8521")</f>
        <v>1101400-92-8521</v>
      </c>
      <c r="S549" t="str">
        <f>IFERROR(__xludf.DUMMYFUNCTION("""COMPUTED_VALUE"""),"AC8422562")</f>
        <v>AC8422562</v>
      </c>
      <c r="T549" s="148">
        <f>IFERROR(__xludf.DUMMYFUNCTION("""COMPUTED_VALUE"""),46107.0)</f>
        <v>46107</v>
      </c>
      <c r="U549" s="148">
        <f>IFERROR(__xludf.DUMMYFUNCTION("""COMPUTED_VALUE"""),49759.0)</f>
        <v>49759</v>
      </c>
      <c r="V549" s="149">
        <f>IFERROR(__xludf.DUMMYFUNCTION("""COMPUTED_VALUE"""),49577.0)</f>
        <v>49577</v>
      </c>
      <c r="W549" t="str">
        <f>IFERROR(__xludf.DUMMYFUNCTION("""COMPUTED_VALUE"""),"ปลอดภัย")</f>
        <v>ปลอดภัย</v>
      </c>
      <c r="X549" t="str">
        <f>IFERROR(__xludf.DUMMYFUNCTION("""COMPUTED_VALUE"""),"Bangkok")</f>
        <v>Bangkok</v>
      </c>
      <c r="Y549" t="str">
        <f>IFERROR(__xludf.DUMMYFUNCTION("""COMPUTED_VALUE"""),"Lumlukka")</f>
        <v>Lumlukka</v>
      </c>
      <c r="Z549" t="str">
        <f>IFERROR(__xludf.DUMMYFUNCTION("""COMPUTED_VALUE"""),"093-170-9571")</f>
        <v>093-170-9571</v>
      </c>
      <c r="AA549" t="str">
        <f>IFERROR(__xludf.DUMMYFUNCTION("""COMPUTED_VALUE"""),"Siripak")</f>
        <v>Siripak</v>
      </c>
      <c r="AB549" t="str">
        <f>IFERROR(__xludf.DUMMYFUNCTION("""COMPUTED_VALUE"""),"pakornpojl@airasia.com")</f>
        <v>pakornpojl@airasia.com</v>
      </c>
    </row>
    <row r="550">
      <c r="A550">
        <f>IFERROR(__xludf.DUMMYFUNCTION("""COMPUTED_VALUE"""),1011716.0)</f>
        <v>1011716</v>
      </c>
      <c r="B550" t="str">
        <f>IFERROR(__xludf.DUMMYFUNCTION("""COMPUTED_VALUE"""),"Ms.")</f>
        <v>Ms.</v>
      </c>
      <c r="C550" t="str">
        <f>IFERROR(__xludf.DUMMYFUNCTION("""COMPUTED_VALUE"""),"Arjarree")</f>
        <v>Arjarree</v>
      </c>
      <c r="D550" t="str">
        <f>IFERROR(__xludf.DUMMYFUNCTION("""COMPUTED_VALUE"""),"Intharapaijit")</f>
        <v>Intharapaijit</v>
      </c>
      <c r="E550" t="str">
        <f>IFERROR(__xludf.DUMMYFUNCTION("""COMPUTED_VALUE"""),"Arjarree Intharapaijit")</f>
        <v>Arjarree Intharapaijit</v>
      </c>
      <c r="F550" t="str">
        <f>IFERROR(__xludf.DUMMYFUNCTION("""COMPUTED_VALUE"""),"นางสาว")</f>
        <v>นางสาว</v>
      </c>
      <c r="G550" t="str">
        <f>IFERROR(__xludf.DUMMYFUNCTION("""COMPUTED_VALUE"""),"อาจรีย์")</f>
        <v>อาจรีย์</v>
      </c>
      <c r="H550" t="str">
        <f>IFERROR(__xludf.DUMMYFUNCTION("""COMPUTED_VALUE"""),"อินทรไพจิตร")</f>
        <v>อินทรไพจิตร</v>
      </c>
      <c r="I550" t="str">
        <f>IFERROR(__xludf.DUMMYFUNCTION("""COMPUTED_VALUE"""),"อาจรีย์ อินทรไพจิตร")</f>
        <v>อาจรีย์ อินทรไพจิตร</v>
      </c>
      <c r="J550" t="str">
        <f>IFERROR(__xludf.DUMMYFUNCTION("""COMPUTED_VALUE"""),"Mim มิ้ม")</f>
        <v>Mim มิ้ม</v>
      </c>
      <c r="K550" t="str">
        <f>IFERROR(__xludf.DUMMYFUNCTION("""COMPUTED_VALUE"""),"Cabin Crew")</f>
        <v>Cabin Crew</v>
      </c>
      <c r="L550" t="str">
        <f>IFERROR(__xludf.DUMMYFUNCTION("""COMPUTED_VALUE"""),"DMK")</f>
        <v>DMK</v>
      </c>
      <c r="M550" s="145" t="str">
        <f>IFERROR(__xludf.DUMMYFUNCTION("""COMPUTED_VALUE"""),"Um Home")</f>
        <v>Um Home</v>
      </c>
      <c r="N550" t="str">
        <f>IFERROR(__xludf.DUMMYFUNCTION("""COMPUTED_VALUE"""),"V/LWP")</f>
        <v>V/LWP</v>
      </c>
      <c r="P550" s="143">
        <f>IFERROR(__xludf.DUMMYFUNCTION("""COMPUTED_VALUE"""),33139.0)</f>
        <v>33139</v>
      </c>
      <c r="Q550" s="146" t="str">
        <f>IFERROR(__xludf.DUMMYFUNCTION("""COMPUTED_VALUE"""),"089 944 2379")</f>
        <v>089 944 2379</v>
      </c>
      <c r="R550" s="147" t="str">
        <f>IFERROR(__xludf.DUMMYFUNCTION("""COMPUTED_VALUE"""),"1600100-39-0750")</f>
        <v>1600100-39-0750</v>
      </c>
      <c r="S550" t="str">
        <f>IFERROR(__xludf.DUMMYFUNCTION("""COMPUTED_VALUE"""),"AD1677525")</f>
        <v>AD1677525</v>
      </c>
      <c r="T550" s="148">
        <f>IFERROR(__xludf.DUMMYFUNCTION("""COMPUTED_VALUE"""),45322.0)</f>
        <v>45322</v>
      </c>
      <c r="U550" s="148">
        <f>IFERROR(__xludf.DUMMYFUNCTION("""COMPUTED_VALUE"""),47148.0)</f>
        <v>47148</v>
      </c>
      <c r="V550" s="149">
        <f>IFERROR(__xludf.DUMMYFUNCTION("""COMPUTED_VALUE"""),46964.0)</f>
        <v>46964</v>
      </c>
      <c r="W550" t="str">
        <f>IFERROR(__xludf.DUMMYFUNCTION("""COMPUTED_VALUE"""),"ปลอดภัย")</f>
        <v>ปลอดภัย</v>
      </c>
      <c r="X550" t="str">
        <f>IFERROR(__xludf.DUMMYFUNCTION("""COMPUTED_VALUE"""),"Nakhon Sawan Province")</f>
        <v>Nakhon Sawan Province</v>
      </c>
      <c r="Y550" t="str">
        <f>IFERROR(__xludf.DUMMYFUNCTION("""COMPUTED_VALUE"""),"Jatujak")</f>
        <v>Jatujak</v>
      </c>
      <c r="Z550" t="str">
        <f>IFERROR(__xludf.DUMMYFUNCTION("""COMPUTED_VALUE"""),"081-727-8864")</f>
        <v>081-727-8864</v>
      </c>
      <c r="AA550" t="str">
        <f>IFERROR(__xludf.DUMMYFUNCTION("""COMPUTED_VALUE"""),"Prasert")</f>
        <v>Prasert</v>
      </c>
      <c r="AB550" t="str">
        <f>IFERROR(__xludf.DUMMYFUNCTION("""COMPUTED_VALUE"""),"arjarreei@airasia.com")</f>
        <v>arjarreei@airasia.com</v>
      </c>
    </row>
    <row r="551">
      <c r="A551">
        <f>IFERROR(__xludf.DUMMYFUNCTION("""COMPUTED_VALUE"""),1011719.0)</f>
        <v>1011719</v>
      </c>
      <c r="B551" t="str">
        <f>IFERROR(__xludf.DUMMYFUNCTION("""COMPUTED_VALUE"""),"Ms.")</f>
        <v>Ms.</v>
      </c>
      <c r="C551" t="str">
        <f>IFERROR(__xludf.DUMMYFUNCTION("""COMPUTED_VALUE"""),"Chiraporn")</f>
        <v>Chiraporn</v>
      </c>
      <c r="D551" t="str">
        <f>IFERROR(__xludf.DUMMYFUNCTION("""COMPUTED_VALUE"""),"Suriwan")</f>
        <v>Suriwan</v>
      </c>
      <c r="E551" t="str">
        <f>IFERROR(__xludf.DUMMYFUNCTION("""COMPUTED_VALUE"""),"Chiraporn Suriwan")</f>
        <v>Chiraporn Suriwan</v>
      </c>
      <c r="F551" t="str">
        <f>IFERROR(__xludf.DUMMYFUNCTION("""COMPUTED_VALUE"""),"นางสาว")</f>
        <v>นางสาว</v>
      </c>
      <c r="G551" t="str">
        <f>IFERROR(__xludf.DUMMYFUNCTION("""COMPUTED_VALUE"""),"จิรพร")</f>
        <v>จิรพร</v>
      </c>
      <c r="H551" t="str">
        <f>IFERROR(__xludf.DUMMYFUNCTION("""COMPUTED_VALUE"""),"สุริวรรณ")</f>
        <v>สุริวรรณ</v>
      </c>
      <c r="I551" t="str">
        <f>IFERROR(__xludf.DUMMYFUNCTION("""COMPUTED_VALUE"""),"จิรพร สุริวรรณ")</f>
        <v>จิรพร สุริวรรณ</v>
      </c>
      <c r="J551" t="str">
        <f>IFERROR(__xludf.DUMMYFUNCTION("""COMPUTED_VALUE"""),"Aom ออม")</f>
        <v>Aom ออม</v>
      </c>
      <c r="K551" t="str">
        <f>IFERROR(__xludf.DUMMYFUNCTION("""COMPUTED_VALUE"""),"Cabin Crew")</f>
        <v>Cabin Crew</v>
      </c>
      <c r="L551" t="str">
        <f>IFERROR(__xludf.DUMMYFUNCTION("""COMPUTED_VALUE"""),"DMK")</f>
        <v>DMK</v>
      </c>
      <c r="M551" s="145" t="str">
        <f>IFERROR(__xludf.DUMMYFUNCTION("""COMPUTED_VALUE"""),"Namfon Home")</f>
        <v>Namfon Home</v>
      </c>
      <c r="N551" t="str">
        <f>IFERROR(__xludf.DUMMYFUNCTION("""COMPUTED_VALUE"""),"Active")</f>
        <v>Active</v>
      </c>
      <c r="P551" s="143">
        <f>IFERROR(__xludf.DUMMYFUNCTION("""COMPUTED_VALUE"""),33351.0)</f>
        <v>33351</v>
      </c>
      <c r="Q551" s="146" t="str">
        <f>IFERROR(__xludf.DUMMYFUNCTION("""COMPUTED_VALUE"""),"086-884-1685")</f>
        <v>086-884-1685</v>
      </c>
      <c r="R551" s="147" t="str">
        <f>IFERROR(__xludf.DUMMYFUNCTION("""COMPUTED_VALUE"""),"1103700-43-8955")</f>
        <v>1103700-43-8955</v>
      </c>
      <c r="S551" t="str">
        <f>IFERROR(__xludf.DUMMYFUNCTION("""COMPUTED_VALUE"""),"AD1751653")</f>
        <v>AD1751653</v>
      </c>
      <c r="T551" s="148">
        <f>IFERROR(__xludf.DUMMYFUNCTION("""COMPUTED_VALUE"""),45441.0)</f>
        <v>45441</v>
      </c>
      <c r="U551" s="148">
        <f>IFERROR(__xludf.DUMMYFUNCTION("""COMPUTED_VALUE"""),49092.0)</f>
        <v>49092</v>
      </c>
      <c r="V551" s="149">
        <f>IFERROR(__xludf.DUMMYFUNCTION("""COMPUTED_VALUE"""),48911.0)</f>
        <v>48911</v>
      </c>
      <c r="W551" t="str">
        <f>IFERROR(__xludf.DUMMYFUNCTION("""COMPUTED_VALUE"""),"ปลอดภัย")</f>
        <v>ปลอดภัย</v>
      </c>
      <c r="X551" t="str">
        <f>IFERROR(__xludf.DUMMYFUNCTION("""COMPUTED_VALUE"""),"Bangkok")</f>
        <v>Bangkok</v>
      </c>
      <c r="Y551" t="str">
        <f>IFERROR(__xludf.DUMMYFUNCTION("""COMPUTED_VALUE"""),"Rajvitee")</f>
        <v>Rajvitee</v>
      </c>
      <c r="Z551" t="str">
        <f>IFERROR(__xludf.DUMMYFUNCTION("""COMPUTED_VALUE"""),"089-812-0084")</f>
        <v>089-812-0084</v>
      </c>
      <c r="AA551" t="str">
        <f>IFERROR(__xludf.DUMMYFUNCTION("""COMPUTED_VALUE"""),"Pattira")</f>
        <v>Pattira</v>
      </c>
      <c r="AB551" t="str">
        <f>IFERROR(__xludf.DUMMYFUNCTION("""COMPUTED_VALUE"""),"chiraporns@airasia.com")</f>
        <v>chiraporns@airasia.com</v>
      </c>
    </row>
    <row r="552">
      <c r="A552">
        <f>IFERROR(__xludf.DUMMYFUNCTION("""COMPUTED_VALUE"""),1011720.0)</f>
        <v>1011720</v>
      </c>
      <c r="B552" t="str">
        <f>IFERROR(__xludf.DUMMYFUNCTION("""COMPUTED_VALUE"""),"Ms.")</f>
        <v>Ms.</v>
      </c>
      <c r="C552" t="str">
        <f>IFERROR(__xludf.DUMMYFUNCTION("""COMPUTED_VALUE"""),"Chomsorn")</f>
        <v>Chomsorn</v>
      </c>
      <c r="D552" t="str">
        <f>IFERROR(__xludf.DUMMYFUNCTION("""COMPUTED_VALUE"""),"Kongwiroj")</f>
        <v>Kongwiroj</v>
      </c>
      <c r="E552" t="str">
        <f>IFERROR(__xludf.DUMMYFUNCTION("""COMPUTED_VALUE"""),"Chomsorn Kongwiroj")</f>
        <v>Chomsorn Kongwiroj</v>
      </c>
      <c r="F552" t="str">
        <f>IFERROR(__xludf.DUMMYFUNCTION("""COMPUTED_VALUE"""),"นางสาว")</f>
        <v>นางสาว</v>
      </c>
      <c r="G552" t="str">
        <f>IFERROR(__xludf.DUMMYFUNCTION("""COMPUTED_VALUE"""),"ชมษร")</f>
        <v>ชมษร</v>
      </c>
      <c r="H552" t="str">
        <f>IFERROR(__xludf.DUMMYFUNCTION("""COMPUTED_VALUE"""),"คงวิโรจน์")</f>
        <v>คงวิโรจน์</v>
      </c>
      <c r="I552" t="str">
        <f>IFERROR(__xludf.DUMMYFUNCTION("""COMPUTED_VALUE"""),"ชมษร คงวิโรจน์")</f>
        <v>ชมษร คงวิโรจน์</v>
      </c>
      <c r="J552" t="str">
        <f>IFERROR(__xludf.DUMMYFUNCTION("""COMPUTED_VALUE"""),"Vhaan หวาน")</f>
        <v>Vhaan หวาน</v>
      </c>
      <c r="K552" t="str">
        <f>IFERROR(__xludf.DUMMYFUNCTION("""COMPUTED_VALUE"""),"Cabin Crew")</f>
        <v>Cabin Crew</v>
      </c>
      <c r="L552" t="str">
        <f>IFERROR(__xludf.DUMMYFUNCTION("""COMPUTED_VALUE"""),"DMK")</f>
        <v>DMK</v>
      </c>
      <c r="M552" s="145" t="str">
        <f>IFERROR(__xludf.DUMMYFUNCTION("""COMPUTED_VALUE"""),"Por+ Home")</f>
        <v>Por+ Home</v>
      </c>
      <c r="N552" t="str">
        <f>IFERROR(__xludf.DUMMYFUNCTION("""COMPUTED_VALUE"""),"Active")</f>
        <v>Active</v>
      </c>
      <c r="P552" s="143">
        <f>IFERROR(__xludf.DUMMYFUNCTION("""COMPUTED_VALUE"""),32930.0)</f>
        <v>32930</v>
      </c>
      <c r="Q552" s="146" t="str">
        <f>IFERROR(__xludf.DUMMYFUNCTION("""COMPUTED_VALUE""")," ")</f>
        <v> </v>
      </c>
      <c r="R552" s="147" t="str">
        <f>IFERROR(__xludf.DUMMYFUNCTION("""COMPUTED_VALUE"""),"1102001-29-6441")</f>
        <v>1102001-29-6441</v>
      </c>
      <c r="S552" t="str">
        <f>IFERROR(__xludf.DUMMYFUNCTION("""COMPUTED_VALUE"""),"AD0976751")</f>
        <v>AD0976751</v>
      </c>
      <c r="T552" s="148">
        <f>IFERROR(__xludf.DUMMYFUNCTION("""COMPUTED_VALUE"""),45040.0)</f>
        <v>45040</v>
      </c>
      <c r="U552" s="148">
        <f>IFERROR(__xludf.DUMMYFUNCTION("""COMPUTED_VALUE"""),48692.0)</f>
        <v>48692</v>
      </c>
      <c r="V552" s="149">
        <f>IFERROR(__xludf.DUMMYFUNCTION("""COMPUTED_VALUE"""),48510.0)</f>
        <v>48510</v>
      </c>
      <c r="W552" t="str">
        <f>IFERROR(__xludf.DUMMYFUNCTION("""COMPUTED_VALUE"""),"ปลอดภัย")</f>
        <v>ปลอดภัย</v>
      </c>
      <c r="X552" t="str">
        <f>IFERROR(__xludf.DUMMYFUNCTION("""COMPUTED_VALUE"""),"Bangkok")</f>
        <v>Bangkok</v>
      </c>
      <c r="Y552" t="str">
        <f>IFERROR(__xludf.DUMMYFUNCTION("""COMPUTED_VALUE"""),"Bangkae")</f>
        <v>Bangkae</v>
      </c>
      <c r="Z552" t="str">
        <f>IFERROR(__xludf.DUMMYFUNCTION("""COMPUTED_VALUE"""),"080-445-2229")</f>
        <v>080-445-2229</v>
      </c>
      <c r="AA552" t="str">
        <f>IFERROR(__xludf.DUMMYFUNCTION("""COMPUTED_VALUE"""),"Apinya")</f>
        <v>Apinya</v>
      </c>
      <c r="AB552" t="str">
        <f>IFERROR(__xludf.DUMMYFUNCTION("""COMPUTED_VALUE"""),"chomsornk@airasia.com")</f>
        <v>chomsornk@airasia.com</v>
      </c>
    </row>
    <row r="553">
      <c r="A553">
        <f>IFERROR(__xludf.DUMMYFUNCTION("""COMPUTED_VALUE"""),1011730.0)</f>
        <v>1011730</v>
      </c>
      <c r="B553" t="str">
        <f>IFERROR(__xludf.DUMMYFUNCTION("""COMPUTED_VALUE"""),"Mr.")</f>
        <v>Mr.</v>
      </c>
      <c r="C553" t="str">
        <f>IFERROR(__xludf.DUMMYFUNCTION("""COMPUTED_VALUE"""),"Keitiyot")</f>
        <v>Keitiyot</v>
      </c>
      <c r="D553" t="str">
        <f>IFERROR(__xludf.DUMMYFUNCTION("""COMPUTED_VALUE"""),"Chaisurisri")</f>
        <v>Chaisurisri</v>
      </c>
      <c r="E553" t="str">
        <f>IFERROR(__xludf.DUMMYFUNCTION("""COMPUTED_VALUE"""),"Keitiyot Chaisurisri")</f>
        <v>Keitiyot Chaisurisri</v>
      </c>
      <c r="F553" t="str">
        <f>IFERROR(__xludf.DUMMYFUNCTION("""COMPUTED_VALUE"""),"นาย")</f>
        <v>นาย</v>
      </c>
      <c r="G553" t="str">
        <f>IFERROR(__xludf.DUMMYFUNCTION("""COMPUTED_VALUE"""),"เกียรติยศ")</f>
        <v>เกียรติยศ</v>
      </c>
      <c r="H553" t="str">
        <f>IFERROR(__xludf.DUMMYFUNCTION("""COMPUTED_VALUE"""),"ฉายสุรีย์ศรี")</f>
        <v>ฉายสุรีย์ศรี</v>
      </c>
      <c r="I553" t="str">
        <f>IFERROR(__xludf.DUMMYFUNCTION("""COMPUTED_VALUE"""),"เกียรติยศ ฉายสุรีย์ศรี")</f>
        <v>เกียรติยศ ฉายสุรีย์ศรี</v>
      </c>
      <c r="J553" t="str">
        <f>IFERROR(__xludf.DUMMYFUNCTION("""COMPUTED_VALUE"""),"Card")</f>
        <v>Card</v>
      </c>
      <c r="K553" t="str">
        <f>IFERROR(__xludf.DUMMYFUNCTION("""COMPUTED_VALUE"""),"Cabin Crew")</f>
        <v>Cabin Crew</v>
      </c>
      <c r="L553" t="str">
        <f>IFERROR(__xludf.DUMMYFUNCTION("""COMPUTED_VALUE"""),"DMK")</f>
        <v>DMK</v>
      </c>
      <c r="M553" s="145" t="str">
        <f>IFERROR(__xludf.DUMMYFUNCTION("""COMPUTED_VALUE"""),"Um Home")</f>
        <v>Um Home</v>
      </c>
      <c r="N553" t="str">
        <f>IFERROR(__xludf.DUMMYFUNCTION("""COMPUTED_VALUE"""),"Active")</f>
        <v>Active</v>
      </c>
      <c r="O553" t="str">
        <f>IFERROR(__xludf.DUMMYFUNCTION("""COMPUTED_VALUE"""),"Chinese Speaking")</f>
        <v>Chinese Speaking</v>
      </c>
      <c r="P553" s="143">
        <f>IFERROR(__xludf.DUMMYFUNCTION("""COMPUTED_VALUE"""),32879.0)</f>
        <v>32879</v>
      </c>
      <c r="Q553" s="146" t="str">
        <f>IFERROR(__xludf.DUMMYFUNCTION("""COMPUTED_VALUE"""),"086-518-4826")</f>
        <v>086-518-4826</v>
      </c>
      <c r="R553" s="147" t="str">
        <f>IFERROR(__xludf.DUMMYFUNCTION("""COMPUTED_VALUE"""),"1120600-13-3866")</f>
        <v>1120600-13-3866</v>
      </c>
      <c r="S553" t="str">
        <f>IFERROR(__xludf.DUMMYFUNCTION("""COMPUTED_VALUE"""),"AC6145572")</f>
        <v>AC6145572</v>
      </c>
      <c r="T553" s="148">
        <f>IFERROR(__xludf.DUMMYFUNCTION("""COMPUTED_VALUE"""),45293.0)</f>
        <v>45293</v>
      </c>
      <c r="U553" s="150">
        <f>IFERROR(__xludf.DUMMYFUNCTION("""COMPUTED_VALUE"""),48945.0)</f>
        <v>48945</v>
      </c>
      <c r="V553" s="149">
        <f>IFERROR(__xludf.DUMMYFUNCTION("""COMPUTED_VALUE"""),48761.0)</f>
        <v>48761</v>
      </c>
      <c r="W553" t="str">
        <f>IFERROR(__xludf.DUMMYFUNCTION("""COMPUTED_VALUE"""),"ปลอดภัย")</f>
        <v>ปลอดภัย</v>
      </c>
      <c r="X553" t="str">
        <f>IFERROR(__xludf.DUMMYFUNCTION("""COMPUTED_VALUE"""),"Nonthaburi Province")</f>
        <v>Nonthaburi Province</v>
      </c>
      <c r="Y553" t="str">
        <f>IFERROR(__xludf.DUMMYFUNCTION("""COMPUTED_VALUE"""),"Jatujak")</f>
        <v>Jatujak</v>
      </c>
      <c r="Z553" t="str">
        <f>IFERROR(__xludf.DUMMYFUNCTION("""COMPUTED_VALUE"""),"087-984-1748")</f>
        <v>087-984-1748</v>
      </c>
      <c r="AA553" t="str">
        <f>IFERROR(__xludf.DUMMYFUNCTION("""COMPUTED_VALUE"""),"Kowit")</f>
        <v>Kowit</v>
      </c>
      <c r="AB553" t="str">
        <f>IFERROR(__xludf.DUMMYFUNCTION("""COMPUTED_VALUE"""),"keitiyotc@airasia.com")</f>
        <v>keitiyotc@airasia.com</v>
      </c>
    </row>
    <row r="554">
      <c r="A554">
        <f>IFERROR(__xludf.DUMMYFUNCTION("""COMPUTED_VALUE"""),1011741.0)</f>
        <v>1011741</v>
      </c>
      <c r="B554" t="str">
        <f>IFERROR(__xludf.DUMMYFUNCTION("""COMPUTED_VALUE"""),"Ms.")</f>
        <v>Ms.</v>
      </c>
      <c r="C554" t="str">
        <f>IFERROR(__xludf.DUMMYFUNCTION("""COMPUTED_VALUE"""),"Naphak (Niyawan)")</f>
        <v>Naphak (Niyawan)</v>
      </c>
      <c r="D554" t="str">
        <f>IFERROR(__xludf.DUMMYFUNCTION("""COMPUTED_VALUE"""),"Aussanon (Kitvorawuth)")</f>
        <v>Aussanon (Kitvorawuth)</v>
      </c>
      <c r="E554" t="str">
        <f>IFERROR(__xludf.DUMMYFUNCTION("""COMPUTED_VALUE"""),"Naphak Aussanon")</f>
        <v>Naphak Aussanon</v>
      </c>
      <c r="F554" t="str">
        <f>IFERROR(__xludf.DUMMYFUNCTION("""COMPUTED_VALUE"""),"นางสาว")</f>
        <v>นางสาว</v>
      </c>
      <c r="G554" t="str">
        <f>IFERROR(__xludf.DUMMYFUNCTION("""COMPUTED_VALUE"""),"ณภัค (นิยวัน)")</f>
        <v>ณภัค (นิยวัน)</v>
      </c>
      <c r="H554" t="str">
        <f>IFERROR(__xludf.DUMMYFUNCTION("""COMPUTED_VALUE"""),"อัสสานนท์ (กิจวรวุฒิ)")</f>
        <v>อัสสานนท์ (กิจวรวุฒิ)</v>
      </c>
      <c r="I554" t="str">
        <f>IFERROR(__xludf.DUMMYFUNCTION("""COMPUTED_VALUE"""),"ณภัค อัสสานนท์")</f>
        <v>ณภัค อัสสานนท์</v>
      </c>
      <c r="J554" t="str">
        <f>IFERROR(__xludf.DUMMYFUNCTION("""COMPUTED_VALUE"""),"Faii ฝ้าย")</f>
        <v>Faii ฝ้าย</v>
      </c>
      <c r="K554" t="str">
        <f>IFERROR(__xludf.DUMMYFUNCTION("""COMPUTED_VALUE"""),"Cabin Crew")</f>
        <v>Cabin Crew</v>
      </c>
      <c r="L554" t="str">
        <f>IFERROR(__xludf.DUMMYFUNCTION("""COMPUTED_VALUE"""),"DMK")</f>
        <v>DMK</v>
      </c>
      <c r="M554" s="145" t="str">
        <f>IFERROR(__xludf.DUMMYFUNCTION("""COMPUTED_VALUE"""),"Toffy Home")</f>
        <v>Toffy Home</v>
      </c>
      <c r="N554" t="str">
        <f>IFERROR(__xludf.DUMMYFUNCTION("""COMPUTED_VALUE"""),"Active")</f>
        <v>Active</v>
      </c>
      <c r="P554" s="143">
        <f>IFERROR(__xludf.DUMMYFUNCTION("""COMPUTED_VALUE"""),32679.0)</f>
        <v>32679</v>
      </c>
      <c r="Q554" s="146" t="str">
        <f>IFERROR(__xludf.DUMMYFUNCTION("""COMPUTED_VALUE"""),"062 554 2656")</f>
        <v>062 554 2656</v>
      </c>
      <c r="R554" s="147" t="str">
        <f>IFERROR(__xludf.DUMMYFUNCTION("""COMPUTED_VALUE"""),"1160100-25-5253")</f>
        <v>1160100-25-5253</v>
      </c>
      <c r="S554" t="str">
        <f>IFERROR(__xludf.DUMMYFUNCTION("""COMPUTED_VALUE"""),"AC8228038")</f>
        <v>AC8228038</v>
      </c>
      <c r="T554" s="148">
        <f>IFERROR(__xludf.DUMMYFUNCTION("""COMPUTED_VALUE"""),45741.0)</f>
        <v>45741</v>
      </c>
      <c r="U554" s="148">
        <f>IFERROR(__xludf.DUMMYFUNCTION("""COMPUTED_VALUE"""),49392.0)</f>
        <v>49392</v>
      </c>
      <c r="V554" s="149">
        <f>IFERROR(__xludf.DUMMYFUNCTION("""COMPUTED_VALUE"""),49211.0)</f>
        <v>49211</v>
      </c>
      <c r="W554" t="str">
        <f>IFERROR(__xludf.DUMMYFUNCTION("""COMPUTED_VALUE"""),"ปลอดภัย")</f>
        <v>ปลอดภัย</v>
      </c>
      <c r="X554" t="str">
        <f>IFERROR(__xludf.DUMMYFUNCTION("""COMPUTED_VALUE"""),"Lopburi Province")</f>
        <v>Lopburi Province</v>
      </c>
      <c r="Y554" t="str">
        <f>IFERROR(__xludf.DUMMYFUNCTION("""COMPUTED_VALUE"""),"Samutprakarn")</f>
        <v>Samutprakarn</v>
      </c>
      <c r="Z554" t="str">
        <f>IFERROR(__xludf.DUMMYFUNCTION("""COMPUTED_VALUE"""),"081-528-7900")</f>
        <v>081-528-7900</v>
      </c>
      <c r="AA554" t="str">
        <f>IFERROR(__xludf.DUMMYFUNCTION("""COMPUTED_VALUE"""),"Brother")</f>
        <v>Brother</v>
      </c>
      <c r="AB554" t="str">
        <f>IFERROR(__xludf.DUMMYFUNCTION("""COMPUTED_VALUE"""),"naphaka@airasia.com")</f>
        <v>naphaka@airasia.com</v>
      </c>
    </row>
    <row r="555">
      <c r="A555">
        <f>IFERROR(__xludf.DUMMYFUNCTION("""COMPUTED_VALUE"""),1011743.0)</f>
        <v>1011743</v>
      </c>
      <c r="B555" t="str">
        <f>IFERROR(__xludf.DUMMYFUNCTION("""COMPUTED_VALUE"""),"Ms.")</f>
        <v>Ms.</v>
      </c>
      <c r="C555" t="str">
        <f>IFERROR(__xludf.DUMMYFUNCTION("""COMPUTED_VALUE"""),"Praditchaya")</f>
        <v>Praditchaya</v>
      </c>
      <c r="D555" t="str">
        <f>IFERROR(__xludf.DUMMYFUNCTION("""COMPUTED_VALUE"""),"La-ongpraw")</f>
        <v>La-ongpraw</v>
      </c>
      <c r="E555" t="str">
        <f>IFERROR(__xludf.DUMMYFUNCTION("""COMPUTED_VALUE"""),"Praditchaya La-ongpraw")</f>
        <v>Praditchaya La-ongpraw</v>
      </c>
      <c r="F555" t="str">
        <f>IFERROR(__xludf.DUMMYFUNCTION("""COMPUTED_VALUE"""),"นางสาว")</f>
        <v>นางสาว</v>
      </c>
      <c r="G555" t="str">
        <f>IFERROR(__xludf.DUMMYFUNCTION("""COMPUTED_VALUE"""),"ประดิชญา")</f>
        <v>ประดิชญา</v>
      </c>
      <c r="H555" t="str">
        <f>IFERROR(__xludf.DUMMYFUNCTION("""COMPUTED_VALUE"""),"ละอองพราว")</f>
        <v>ละอองพราว</v>
      </c>
      <c r="I555" t="str">
        <f>IFERROR(__xludf.DUMMYFUNCTION("""COMPUTED_VALUE"""),"ประดิชญา ละอองพราว")</f>
        <v>ประดิชญา ละอองพราว</v>
      </c>
      <c r="J555" t="str">
        <f>IFERROR(__xludf.DUMMYFUNCTION("""COMPUTED_VALUE"""),"Noomnim นุ่มนิ่ม")</f>
        <v>Noomnim นุ่มนิ่ม</v>
      </c>
      <c r="K555" t="str">
        <f>IFERROR(__xludf.DUMMYFUNCTION("""COMPUTED_VALUE"""),"Cabin Crew")</f>
        <v>Cabin Crew</v>
      </c>
      <c r="L555" t="str">
        <f>IFERROR(__xludf.DUMMYFUNCTION("""COMPUTED_VALUE"""),"DMK")</f>
        <v>DMK</v>
      </c>
      <c r="M555" s="145" t="str">
        <f>IFERROR(__xludf.DUMMYFUNCTION("""COMPUTED_VALUE"""),"Toffy Home")</f>
        <v>Toffy Home</v>
      </c>
      <c r="N555" t="str">
        <f>IFERROR(__xludf.DUMMYFUNCTION("""COMPUTED_VALUE"""),"Active")</f>
        <v>Active</v>
      </c>
      <c r="P555" s="143">
        <f>IFERROR(__xludf.DUMMYFUNCTION("""COMPUTED_VALUE"""),33436.0)</f>
        <v>33436</v>
      </c>
      <c r="Q555" s="146" t="str">
        <f>IFERROR(__xludf.DUMMYFUNCTION("""COMPUTED_VALUE"""),"061 461 4454")</f>
        <v>061 461 4454</v>
      </c>
      <c r="R555" s="147" t="str">
        <f>IFERROR(__xludf.DUMMYFUNCTION("""COMPUTED_VALUE"""),"1839900-23-1237")</f>
        <v>1839900-23-1237</v>
      </c>
      <c r="S555" t="str">
        <f>IFERROR(__xludf.DUMMYFUNCTION("""COMPUTED_VALUE"""),"AC5561408")</f>
        <v>AC5561408</v>
      </c>
      <c r="T555" s="148">
        <f>IFERROR(__xludf.DUMMYFUNCTION("""COMPUTED_VALUE"""),45166.0)</f>
        <v>45166</v>
      </c>
      <c r="U555" s="148">
        <f>IFERROR(__xludf.DUMMYFUNCTION("""COMPUTED_VALUE"""),48818.0)</f>
        <v>48818</v>
      </c>
      <c r="V555" s="149">
        <f>IFERROR(__xludf.DUMMYFUNCTION("""COMPUTED_VALUE"""),48637.0)</f>
        <v>48637</v>
      </c>
      <c r="W555" t="str">
        <f>IFERROR(__xludf.DUMMYFUNCTION("""COMPUTED_VALUE"""),"ปลอดภัย")</f>
        <v>ปลอดภัย</v>
      </c>
      <c r="X555" t="str">
        <f>IFERROR(__xludf.DUMMYFUNCTION("""COMPUTED_VALUE"""),"Phuket Province")</f>
        <v>Phuket Province</v>
      </c>
      <c r="Y555" t="str">
        <f>IFERROR(__xludf.DUMMYFUNCTION("""COMPUTED_VALUE"""),"Phuket")</f>
        <v>Phuket</v>
      </c>
      <c r="Z555" t="str">
        <f>IFERROR(__xludf.DUMMYFUNCTION("""COMPUTED_VALUE"""),"092-445-4454")</f>
        <v>092-445-4454</v>
      </c>
      <c r="AA555" t="str">
        <f>IFERROR(__xludf.DUMMYFUNCTION("""COMPUTED_VALUE"""),"Father")</f>
        <v>Father</v>
      </c>
      <c r="AB555" t="str">
        <f>IFERROR(__xludf.DUMMYFUNCTION("""COMPUTED_VALUE"""),"praditchayal@airasia.com")</f>
        <v>praditchayal@airasia.com</v>
      </c>
    </row>
    <row r="556">
      <c r="A556">
        <f>IFERROR(__xludf.DUMMYFUNCTION("""COMPUTED_VALUE"""),1011758.0)</f>
        <v>1011758</v>
      </c>
      <c r="B556" t="str">
        <f>IFERROR(__xludf.DUMMYFUNCTION("""COMPUTED_VALUE"""),"Ms.")</f>
        <v>Ms.</v>
      </c>
      <c r="C556" t="str">
        <f>IFERROR(__xludf.DUMMYFUNCTION("""COMPUTED_VALUE"""),"Suwannee")</f>
        <v>Suwannee</v>
      </c>
      <c r="D556" t="str">
        <f>IFERROR(__xludf.DUMMYFUNCTION("""COMPUTED_VALUE"""),"Phrueksachiwa")</f>
        <v>Phrueksachiwa</v>
      </c>
      <c r="E556" t="str">
        <f>IFERROR(__xludf.DUMMYFUNCTION("""COMPUTED_VALUE"""),"Suwannee Phrueksachiwa")</f>
        <v>Suwannee Phrueksachiwa</v>
      </c>
      <c r="F556" t="str">
        <f>IFERROR(__xludf.DUMMYFUNCTION("""COMPUTED_VALUE"""),"นางสาว")</f>
        <v>นางสาว</v>
      </c>
      <c r="G556" t="str">
        <f>IFERROR(__xludf.DUMMYFUNCTION("""COMPUTED_VALUE"""),"สุวรรณี")</f>
        <v>สุวรรณี</v>
      </c>
      <c r="H556" t="str">
        <f>IFERROR(__xludf.DUMMYFUNCTION("""COMPUTED_VALUE"""),"พฤกษาชีวะ")</f>
        <v>พฤกษาชีวะ</v>
      </c>
      <c r="I556" t="str">
        <f>IFERROR(__xludf.DUMMYFUNCTION("""COMPUTED_VALUE"""),"สุวรรณี พฤกษาชีวะ")</f>
        <v>สุวรรณี พฤกษาชีวะ</v>
      </c>
      <c r="J556" t="str">
        <f>IFERROR(__xludf.DUMMYFUNCTION("""COMPUTED_VALUE"""),"Sine ทราย")</f>
        <v>Sine ทราย</v>
      </c>
      <c r="K556" t="str">
        <f>IFERROR(__xludf.DUMMYFUNCTION("""COMPUTED_VALUE"""),"Senior Cabin Crew")</f>
        <v>Senior Cabin Crew</v>
      </c>
      <c r="L556" t="str">
        <f>IFERROR(__xludf.DUMMYFUNCTION("""COMPUTED_VALUE"""),"DMK")</f>
        <v>DMK</v>
      </c>
      <c r="M556" s="145" t="str">
        <f>IFERROR(__xludf.DUMMYFUNCTION("""COMPUTED_VALUE"""),"Um Home")</f>
        <v>Um Home</v>
      </c>
      <c r="N556" t="str">
        <f>IFERROR(__xludf.DUMMYFUNCTION("""COMPUTED_VALUE"""),"Active")</f>
        <v>Active</v>
      </c>
      <c r="P556" s="143">
        <f>IFERROR(__xludf.DUMMYFUNCTION("""COMPUTED_VALUE"""),32032.0)</f>
        <v>32032</v>
      </c>
      <c r="Q556" s="146" t="str">
        <f>IFERROR(__xludf.DUMMYFUNCTION("""COMPUTED_VALUE"""),"085-150-4001")</f>
        <v>085-150-4001</v>
      </c>
      <c r="R556" s="147" t="str">
        <f>IFERROR(__xludf.DUMMYFUNCTION("""COMPUTED_VALUE"""),"1100400-28-6618")</f>
        <v>1100400-28-6618</v>
      </c>
      <c r="S556" t="str">
        <f>IFERROR(__xludf.DUMMYFUNCTION("""COMPUTED_VALUE"""),"AC2814159")</f>
        <v>AC2814159</v>
      </c>
      <c r="T556" s="148">
        <f>IFERROR(__xludf.DUMMYFUNCTION("""COMPUTED_VALUE"""),44512.0)</f>
        <v>44512</v>
      </c>
      <c r="U556" s="148">
        <f>IFERROR(__xludf.DUMMYFUNCTION("""COMPUTED_VALUE"""),48163.0)</f>
        <v>48163</v>
      </c>
      <c r="V556" s="149">
        <f>IFERROR(__xludf.DUMMYFUNCTION("""COMPUTED_VALUE"""),47979.0)</f>
        <v>47979</v>
      </c>
      <c r="W556" t="str">
        <f>IFERROR(__xludf.DUMMYFUNCTION("""COMPUTED_VALUE"""),"ปลอดภัย")</f>
        <v>ปลอดภัย</v>
      </c>
      <c r="X556" t="str">
        <f>IFERROR(__xludf.DUMMYFUNCTION("""COMPUTED_VALUE"""),"Bangkok")</f>
        <v>Bangkok</v>
      </c>
      <c r="Y556" t="str">
        <f>IFERROR(__xludf.DUMMYFUNCTION("""COMPUTED_VALUE"""),"Samutprakarn")</f>
        <v>Samutprakarn</v>
      </c>
      <c r="Z556" t="str">
        <f>IFERROR(__xludf.DUMMYFUNCTION("""COMPUTED_VALUE"""),"085-352-9360")</f>
        <v>085-352-9360</v>
      </c>
      <c r="AA556" t="str">
        <f>IFERROR(__xludf.DUMMYFUNCTION("""COMPUTED_VALUE"""),"Amporn")</f>
        <v>Amporn</v>
      </c>
      <c r="AB556" t="str">
        <f>IFERROR(__xludf.DUMMYFUNCTION("""COMPUTED_VALUE"""),"suwanneep@airasia.com")</f>
        <v>suwanneep@airasia.com</v>
      </c>
    </row>
    <row r="557">
      <c r="A557">
        <f>IFERROR(__xludf.DUMMYFUNCTION("""COMPUTED_VALUE"""),1011759.0)</f>
        <v>1011759</v>
      </c>
      <c r="B557" t="str">
        <f>IFERROR(__xludf.DUMMYFUNCTION("""COMPUTED_VALUE"""),"Mr.")</f>
        <v>Mr.</v>
      </c>
      <c r="C557" t="str">
        <f>IFERROR(__xludf.DUMMYFUNCTION("""COMPUTED_VALUE"""),"Thanawat")</f>
        <v>Thanawat</v>
      </c>
      <c r="D557" t="str">
        <f>IFERROR(__xludf.DUMMYFUNCTION("""COMPUTED_VALUE"""),"Suphitukkul")</f>
        <v>Suphitukkul</v>
      </c>
      <c r="E557" t="str">
        <f>IFERROR(__xludf.DUMMYFUNCTION("""COMPUTED_VALUE"""),"Thanawat Suphitukkul")</f>
        <v>Thanawat Suphitukkul</v>
      </c>
      <c r="F557" t="str">
        <f>IFERROR(__xludf.DUMMYFUNCTION("""COMPUTED_VALUE"""),"นาย")</f>
        <v>นาย</v>
      </c>
      <c r="G557" t="str">
        <f>IFERROR(__xludf.DUMMYFUNCTION("""COMPUTED_VALUE"""),"ธนวัฒน์")</f>
        <v>ธนวัฒน์</v>
      </c>
      <c r="H557" t="str">
        <f>IFERROR(__xludf.DUMMYFUNCTION("""COMPUTED_VALUE"""),"สุพิทักษ์กุล")</f>
        <v>สุพิทักษ์กุล</v>
      </c>
      <c r="I557" t="str">
        <f>IFERROR(__xludf.DUMMYFUNCTION("""COMPUTED_VALUE"""),"ธนวัฒน์ สุพิทักษ์กุล")</f>
        <v>ธนวัฒน์ สุพิทักษ์กุล</v>
      </c>
      <c r="J557" t="str">
        <f>IFERROR(__xludf.DUMMYFUNCTION("""COMPUTED_VALUE"""),"Jay เจ")</f>
        <v>Jay เจ</v>
      </c>
      <c r="K557" t="str">
        <f>IFERROR(__xludf.DUMMYFUNCTION("""COMPUTED_VALUE"""),"Cabin Crew")</f>
        <v>Cabin Crew</v>
      </c>
      <c r="L557" t="str">
        <f>IFERROR(__xludf.DUMMYFUNCTION("""COMPUTED_VALUE"""),"DMK")</f>
        <v>DMK</v>
      </c>
      <c r="M557" s="145" t="str">
        <f>IFERROR(__xludf.DUMMYFUNCTION("""COMPUTED_VALUE"""),"Um Home")</f>
        <v>Um Home</v>
      </c>
      <c r="N557" t="str">
        <f>IFERROR(__xludf.DUMMYFUNCTION("""COMPUTED_VALUE"""),"Active")</f>
        <v>Active</v>
      </c>
      <c r="O557" t="str">
        <f>IFERROR(__xludf.DUMMYFUNCTION("""COMPUTED_VALUE"""),"Japanese Speaking / Chinese Speaking")</f>
        <v>Japanese Speaking / Chinese Speaking</v>
      </c>
      <c r="P557" s="143">
        <f>IFERROR(__xludf.DUMMYFUNCTION("""COMPUTED_VALUE"""),33412.0)</f>
        <v>33412</v>
      </c>
      <c r="Q557" s="146" t="str">
        <f>IFERROR(__xludf.DUMMYFUNCTION("""COMPUTED_VALUE"""),"099-052-8883")</f>
        <v>099-052-8883</v>
      </c>
      <c r="R557" s="147" t="str">
        <f>IFERROR(__xludf.DUMMYFUNCTION("""COMPUTED_VALUE"""),"1101500-51-2971")</f>
        <v>1101500-51-2971</v>
      </c>
      <c r="S557" t="str">
        <f>IFERROR(__xludf.DUMMYFUNCTION("""COMPUTED_VALUE"""),"AC6523834")</f>
        <v>AC6523834</v>
      </c>
      <c r="T557" s="148">
        <f>IFERROR(__xludf.DUMMYFUNCTION("""COMPUTED_VALUE"""),45375.0)</f>
        <v>45375</v>
      </c>
      <c r="U557" s="148">
        <f>IFERROR(__xludf.DUMMYFUNCTION("""COMPUTED_VALUE"""),49026.0)</f>
        <v>49026</v>
      </c>
      <c r="V557" s="149">
        <f>IFERROR(__xludf.DUMMYFUNCTION("""COMPUTED_VALUE"""),48845.0)</f>
        <v>48845</v>
      </c>
      <c r="W557" t="str">
        <f>IFERROR(__xludf.DUMMYFUNCTION("""COMPUTED_VALUE"""),"ปลอดภัย")</f>
        <v>ปลอดภัย</v>
      </c>
      <c r="X557" t="str">
        <f>IFERROR(__xludf.DUMMYFUNCTION("""COMPUTED_VALUE"""),"Bangkok")</f>
        <v>Bangkok</v>
      </c>
      <c r="Y557" t="str">
        <f>IFERROR(__xludf.DUMMYFUNCTION("""COMPUTED_VALUE"""),"Phasicharoen")</f>
        <v>Phasicharoen</v>
      </c>
      <c r="Z557" t="str">
        <f>IFERROR(__xludf.DUMMYFUNCTION("""COMPUTED_VALUE"""),"081-699-6260")</f>
        <v>081-699-6260</v>
      </c>
      <c r="AA557" t="str">
        <f>IFERROR(__xludf.DUMMYFUNCTION("""COMPUTED_VALUE"""),"Wichai")</f>
        <v>Wichai</v>
      </c>
      <c r="AB557" t="str">
        <f>IFERROR(__xludf.DUMMYFUNCTION("""COMPUTED_VALUE"""),"thanawatu@airasia.com")</f>
        <v>thanawatu@airasia.com</v>
      </c>
    </row>
    <row r="558">
      <c r="A558">
        <f>IFERROR(__xludf.DUMMYFUNCTION("""COMPUTED_VALUE"""),1011762.0)</f>
        <v>1011762</v>
      </c>
      <c r="B558" t="str">
        <f>IFERROR(__xludf.DUMMYFUNCTION("""COMPUTED_VALUE"""),"Mr.")</f>
        <v>Mr.</v>
      </c>
      <c r="C558" t="str">
        <f>IFERROR(__xludf.DUMMYFUNCTION("""COMPUTED_VALUE"""),"Tritotsaporn")</f>
        <v>Tritotsaporn</v>
      </c>
      <c r="D558" t="str">
        <f>IFERROR(__xludf.DUMMYFUNCTION("""COMPUTED_VALUE"""),"Ketudat")</f>
        <v>Ketudat</v>
      </c>
      <c r="E558" t="str">
        <f>IFERROR(__xludf.DUMMYFUNCTION("""COMPUTED_VALUE"""),"Tritotsaporn Ketudat")</f>
        <v>Tritotsaporn Ketudat</v>
      </c>
      <c r="F558" t="str">
        <f>IFERROR(__xludf.DUMMYFUNCTION("""COMPUTED_VALUE"""),"นาย")</f>
        <v>นาย</v>
      </c>
      <c r="G558" t="str">
        <f>IFERROR(__xludf.DUMMYFUNCTION("""COMPUTED_VALUE"""),"ไตรทศพร")</f>
        <v>ไตรทศพร</v>
      </c>
      <c r="H558" t="str">
        <f>IFERROR(__xludf.DUMMYFUNCTION("""COMPUTED_VALUE"""),"เกตุทัต")</f>
        <v>เกตุทัต</v>
      </c>
      <c r="I558" t="str">
        <f>IFERROR(__xludf.DUMMYFUNCTION("""COMPUTED_VALUE"""),"ไตรทศพร เกตุทัต")</f>
        <v>ไตรทศพร เกตุทัต</v>
      </c>
      <c r="J558" t="str">
        <f>IFERROR(__xludf.DUMMYFUNCTION("""COMPUTED_VALUE"""),"Pae")</f>
        <v>Pae</v>
      </c>
      <c r="K558" t="str">
        <f>IFERROR(__xludf.DUMMYFUNCTION("""COMPUTED_VALUE"""),"Senior Cabin Crew")</f>
        <v>Senior Cabin Crew</v>
      </c>
      <c r="L558" t="str">
        <f>IFERROR(__xludf.DUMMYFUNCTION("""COMPUTED_VALUE"""),"DMK")</f>
        <v>DMK</v>
      </c>
      <c r="M558" s="145" t="str">
        <f>IFERROR(__xludf.DUMMYFUNCTION("""COMPUTED_VALUE"""),"Por+ Home")</f>
        <v>Por+ Home</v>
      </c>
      <c r="N558" t="str">
        <f>IFERROR(__xludf.DUMMYFUNCTION("""COMPUTED_VALUE"""),"Active")</f>
        <v>Active</v>
      </c>
      <c r="P558" s="143">
        <f>IFERROR(__xludf.DUMMYFUNCTION("""COMPUTED_VALUE"""),32069.0)</f>
        <v>32069</v>
      </c>
      <c r="Q558" s="146" t="str">
        <f>IFERROR(__xludf.DUMMYFUNCTION("""COMPUTED_VALUE"""),"061-496-4963")</f>
        <v>061-496-4963</v>
      </c>
      <c r="R558" s="147" t="str">
        <f>IFERROR(__xludf.DUMMYFUNCTION("""COMPUTED_VALUE"""),"1100500-22-6455")</f>
        <v>1100500-22-6455</v>
      </c>
      <c r="S558" t="str">
        <f>IFERROR(__xludf.DUMMYFUNCTION("""COMPUTED_VALUE"""),"AC5722444")</f>
        <v>AC5722444</v>
      </c>
      <c r="T558" s="148">
        <f>IFERROR(__xludf.DUMMYFUNCTION("""COMPUTED_VALUE"""),45182.0)</f>
        <v>45182</v>
      </c>
      <c r="U558" s="148">
        <f>IFERROR(__xludf.DUMMYFUNCTION("""COMPUTED_VALUE"""),47008.0)</f>
        <v>47008</v>
      </c>
      <c r="V558" s="149">
        <f>IFERROR(__xludf.DUMMYFUNCTION("""COMPUTED_VALUE"""),46824.0)</f>
        <v>46824</v>
      </c>
      <c r="W558" t="str">
        <f>IFERROR(__xludf.DUMMYFUNCTION("""COMPUTED_VALUE"""),"ปลอดภัย")</f>
        <v>ปลอดภัย</v>
      </c>
      <c r="X558" t="str">
        <f>IFERROR(__xludf.DUMMYFUNCTION("""COMPUTED_VALUE"""),"Bangkok")</f>
        <v>Bangkok</v>
      </c>
      <c r="Y558" t="str">
        <f>IFERROR(__xludf.DUMMYFUNCTION("""COMPUTED_VALUE"""),"Donmuang")</f>
        <v>Donmuang</v>
      </c>
      <c r="Z558" t="str">
        <f>IFERROR(__xludf.DUMMYFUNCTION("""COMPUTED_VALUE"""),"081-267-9870")</f>
        <v>081-267-9870</v>
      </c>
      <c r="AA558" t="str">
        <f>IFERROR(__xludf.DUMMYFUNCTION("""COMPUTED_VALUE"""),"Pisamai")</f>
        <v>Pisamai</v>
      </c>
      <c r="AB558" t="str">
        <f>IFERROR(__xludf.DUMMYFUNCTION("""COMPUTED_VALUE"""),"tritotsapornk@airasia.com")</f>
        <v>tritotsapornk@airasia.com</v>
      </c>
    </row>
    <row r="559">
      <c r="AB559" t="str">
        <f>IFERROR(__xludf.DUMMYFUNCTION("""COMPUTED_VALUE"""),"")</f>
        <v/>
      </c>
    </row>
    <row r="560">
      <c r="A560">
        <f>IFERROR(__xludf.DUMMYFUNCTION("""COMPUTED_VALUE"""),1005824.0)</f>
        <v>1005824</v>
      </c>
      <c r="B560" t="str">
        <f>IFERROR(__xludf.DUMMYFUNCTION("""COMPUTED_VALUE"""),"Ms.")</f>
        <v>Ms.</v>
      </c>
      <c r="C560" t="str">
        <f>IFERROR(__xludf.DUMMYFUNCTION("""COMPUTED_VALUE"""),"Panchita")</f>
        <v>Panchita</v>
      </c>
      <c r="D560" t="str">
        <f>IFERROR(__xludf.DUMMYFUNCTION("""COMPUTED_VALUE"""),"Swangarom")</f>
        <v>Swangarom</v>
      </c>
      <c r="E560" t="str">
        <f>IFERROR(__xludf.DUMMYFUNCTION("""COMPUTED_VALUE"""),"Panchita Swangarom")</f>
        <v>Panchita Swangarom</v>
      </c>
      <c r="F560" t="str">
        <f>IFERROR(__xludf.DUMMYFUNCTION("""COMPUTED_VALUE"""),"นางสาว")</f>
        <v>นางสาว</v>
      </c>
      <c r="G560" t="str">
        <f>IFERROR(__xludf.DUMMYFUNCTION("""COMPUTED_VALUE"""),"พัณณ์ชิตา")</f>
        <v>พัณณ์ชิตา</v>
      </c>
      <c r="H560" t="str">
        <f>IFERROR(__xludf.DUMMYFUNCTION("""COMPUTED_VALUE"""),"สว่างอารมย์")</f>
        <v>สว่างอารมย์</v>
      </c>
      <c r="I560" t="str">
        <f>IFERROR(__xludf.DUMMYFUNCTION("""COMPUTED_VALUE"""),"พัณณ์ชิตา สว่างอารมย์")</f>
        <v>พัณณ์ชิตา สว่างอารมย์</v>
      </c>
      <c r="J560" t="str">
        <f>IFERROR(__xludf.DUMMYFUNCTION("""COMPUTED_VALUE"""),"Preaw")</f>
        <v>Preaw</v>
      </c>
      <c r="K560" t="str">
        <f>IFERROR(__xludf.DUMMYFUNCTION("""COMPUTED_VALUE"""),"Cabin Crew")</f>
        <v>Cabin Crew</v>
      </c>
      <c r="L560" t="str">
        <f>IFERROR(__xludf.DUMMYFUNCTION("""COMPUTED_VALUE"""),"DMK")</f>
        <v>DMK</v>
      </c>
      <c r="M560" s="145" t="str">
        <f>IFERROR(__xludf.DUMMYFUNCTION("""COMPUTED_VALUE"""),"Nhui Home")</f>
        <v>Nhui Home</v>
      </c>
      <c r="N560" t="str">
        <f>IFERROR(__xludf.DUMMYFUNCTION("""COMPUTED_VALUE"""),"Active")</f>
        <v>Active</v>
      </c>
      <c r="P560" s="143">
        <f>IFERROR(__xludf.DUMMYFUNCTION("""COMPUTED_VALUE"""),32786.0)</f>
        <v>32786</v>
      </c>
      <c r="Q560" s="146" t="str">
        <f>IFERROR(__xludf.DUMMYFUNCTION("""COMPUTED_VALUE"""),"091-436-1488")</f>
        <v>091-436-1488</v>
      </c>
      <c r="R560" s="147" t="str">
        <f>IFERROR(__xludf.DUMMYFUNCTION("""COMPUTED_VALUE"""),"1100500-36-5862")</f>
        <v>1100500-36-5862</v>
      </c>
      <c r="S560" t="str">
        <f>IFERROR(__xludf.DUMMYFUNCTION("""COMPUTED_VALUE"""),"AC2455544")</f>
        <v>AC2455544</v>
      </c>
      <c r="T560" s="148">
        <f>IFERROR(__xludf.DUMMYFUNCTION("""COMPUTED_VALUE"""),44466.0)</f>
        <v>44466</v>
      </c>
      <c r="U560" s="148">
        <f>IFERROR(__xludf.DUMMYFUNCTION("""COMPUTED_VALUE"""),48117.0)</f>
        <v>48117</v>
      </c>
      <c r="V560" s="149">
        <f>IFERROR(__xludf.DUMMYFUNCTION("""COMPUTED_VALUE"""),47933.0)</f>
        <v>47933</v>
      </c>
      <c r="W560" t="str">
        <f>IFERROR(__xludf.DUMMYFUNCTION("""COMPUTED_VALUE"""),"ปลอดภัย")</f>
        <v>ปลอดภัย</v>
      </c>
      <c r="X560" t="str">
        <f>IFERROR(__xludf.DUMMYFUNCTION("""COMPUTED_VALUE"""),"Bangkok")</f>
        <v>Bangkok</v>
      </c>
      <c r="Y560" t="str">
        <f>IFERROR(__xludf.DUMMYFUNCTION("""COMPUTED_VALUE"""),"Donmuang")</f>
        <v>Donmuang</v>
      </c>
      <c r="Z560" t="str">
        <f>IFERROR(__xludf.DUMMYFUNCTION("""COMPUTED_VALUE"""),"081-836-7447")</f>
        <v>081-836-7447</v>
      </c>
      <c r="AA560" t="str">
        <f>IFERROR(__xludf.DUMMYFUNCTION("""COMPUTED_VALUE"""),"Somsak")</f>
        <v>Somsak</v>
      </c>
      <c r="AB560" t="str">
        <f>IFERROR(__xludf.DUMMYFUNCTION("""COMPUTED_VALUE"""),"panchitas@airasia.com")</f>
        <v>panchitas@airasia.com</v>
      </c>
    </row>
    <row r="561">
      <c r="A561">
        <f>IFERROR(__xludf.DUMMYFUNCTION("""COMPUTED_VALUE"""),1005906.0)</f>
        <v>1005906</v>
      </c>
      <c r="B561" t="str">
        <f>IFERROR(__xludf.DUMMYFUNCTION("""COMPUTED_VALUE"""),"Ms.")</f>
        <v>Ms.</v>
      </c>
      <c r="C561" t="str">
        <f>IFERROR(__xludf.DUMMYFUNCTION("""COMPUTED_VALUE"""),"Supatra")</f>
        <v>Supatra</v>
      </c>
      <c r="D561" t="str">
        <f>IFERROR(__xludf.DUMMYFUNCTION("""COMPUTED_VALUE"""),"Pokkhabut")</f>
        <v>Pokkhabut</v>
      </c>
      <c r="E561" t="str">
        <f>IFERROR(__xludf.DUMMYFUNCTION("""COMPUTED_VALUE"""),"Supatra Pokkhabut")</f>
        <v>Supatra Pokkhabut</v>
      </c>
      <c r="F561" t="str">
        <f>IFERROR(__xludf.DUMMYFUNCTION("""COMPUTED_VALUE"""),"นางสาว")</f>
        <v>นางสาว</v>
      </c>
      <c r="G561" t="str">
        <f>IFERROR(__xludf.DUMMYFUNCTION("""COMPUTED_VALUE"""),"สุพัตรา")</f>
        <v>สุพัตรา</v>
      </c>
      <c r="H561" t="str">
        <f>IFERROR(__xludf.DUMMYFUNCTION("""COMPUTED_VALUE"""),"โภกบุตร")</f>
        <v>โภกบุตร</v>
      </c>
      <c r="I561" t="str">
        <f>IFERROR(__xludf.DUMMYFUNCTION("""COMPUTED_VALUE"""),"สุพัตรา โภกบุตร")</f>
        <v>สุพัตรา โภกบุตร</v>
      </c>
      <c r="J561" t="str">
        <f>IFERROR(__xludf.DUMMYFUNCTION("""COMPUTED_VALUE"""),"Gift")</f>
        <v>Gift</v>
      </c>
      <c r="K561" t="str">
        <f>IFERROR(__xludf.DUMMYFUNCTION("""COMPUTED_VALUE"""),"Cabin Crew")</f>
        <v>Cabin Crew</v>
      </c>
      <c r="L561" t="str">
        <f>IFERROR(__xludf.DUMMYFUNCTION("""COMPUTED_VALUE"""),"DMK")</f>
        <v>DMK</v>
      </c>
      <c r="M561" s="145" t="str">
        <f>IFERROR(__xludf.DUMMYFUNCTION("""COMPUTED_VALUE"""),"Kor Home")</f>
        <v>Kor Home</v>
      </c>
      <c r="N561" t="str">
        <f>IFERROR(__xludf.DUMMYFUNCTION("""COMPUTED_VALUE"""),"Active")</f>
        <v>Active</v>
      </c>
      <c r="P561" s="143">
        <f>IFERROR(__xludf.DUMMYFUNCTION("""COMPUTED_VALUE"""),32718.0)</f>
        <v>32718</v>
      </c>
      <c r="Q561" s="146" t="str">
        <f>IFERROR(__xludf.DUMMYFUNCTION("""COMPUTED_VALUE"""),"088-768-3778")</f>
        <v>088-768-3778</v>
      </c>
      <c r="R561" s="147" t="str">
        <f>IFERROR(__xludf.DUMMYFUNCTION("""COMPUTED_VALUE"""),"1820800-05-1182")</f>
        <v>1820800-05-1182</v>
      </c>
      <c r="S561" t="str">
        <f>IFERROR(__xludf.DUMMYFUNCTION("""COMPUTED_VALUE"""),"AC5520777")</f>
        <v>AC5520777</v>
      </c>
      <c r="T561" s="148">
        <f>IFERROR(__xludf.DUMMYFUNCTION("""COMPUTED_VALUE"""),45159.0)</f>
        <v>45159</v>
      </c>
      <c r="U561" s="148">
        <f>IFERROR(__xludf.DUMMYFUNCTION("""COMPUTED_VALUE"""),48811.0)</f>
        <v>48811</v>
      </c>
      <c r="V561" s="149">
        <f>IFERROR(__xludf.DUMMYFUNCTION("""COMPUTED_VALUE"""),48630.0)</f>
        <v>48630</v>
      </c>
      <c r="W561" t="str">
        <f>IFERROR(__xludf.DUMMYFUNCTION("""COMPUTED_VALUE"""),"ปลอดภัย")</f>
        <v>ปลอดภัย</v>
      </c>
      <c r="X561" t="str">
        <f>IFERROR(__xludf.DUMMYFUNCTION("""COMPUTED_VALUE"""),"Phang Nga Province")</f>
        <v>Phang Nga Province</v>
      </c>
      <c r="Y561" t="str">
        <f>IFERROR(__xludf.DUMMYFUNCTION("""COMPUTED_VALUE"""),"Jatujak")</f>
        <v>Jatujak</v>
      </c>
      <c r="Z561" t="str">
        <f>IFERROR(__xludf.DUMMYFUNCTION("""COMPUTED_VALUE"""),"082-520-9877")</f>
        <v>082-520-9877</v>
      </c>
      <c r="AA561" t="str">
        <f>IFERROR(__xludf.DUMMYFUNCTION("""COMPUTED_VALUE"""),"Victor Wang")</f>
        <v>Victor Wang</v>
      </c>
      <c r="AB561" t="str">
        <f>IFERROR(__xludf.DUMMYFUNCTION("""COMPUTED_VALUE"""),"supatrap@airasia.com")</f>
        <v>supatrap@airasia.com</v>
      </c>
    </row>
    <row r="562">
      <c r="A562">
        <f>IFERROR(__xludf.DUMMYFUNCTION("""COMPUTED_VALUE"""),1012155.0)</f>
        <v>1012155</v>
      </c>
      <c r="B562" t="str">
        <f>IFERROR(__xludf.DUMMYFUNCTION("""COMPUTED_VALUE"""),"Ms.")</f>
        <v>Ms.</v>
      </c>
      <c r="C562" t="str">
        <f>IFERROR(__xludf.DUMMYFUNCTION("""COMPUTED_VALUE"""),"Duangsuree")</f>
        <v>Duangsuree</v>
      </c>
      <c r="D562" t="str">
        <f>IFERROR(__xludf.DUMMYFUNCTION("""COMPUTED_VALUE"""),"Krairatanalerk")</f>
        <v>Krairatanalerk</v>
      </c>
      <c r="E562" t="str">
        <f>IFERROR(__xludf.DUMMYFUNCTION("""COMPUTED_VALUE"""),"Duangsuree Krairatanalerk")</f>
        <v>Duangsuree Krairatanalerk</v>
      </c>
      <c r="F562" t="str">
        <f>IFERROR(__xludf.DUMMYFUNCTION("""COMPUTED_VALUE"""),"นางสาว")</f>
        <v>นางสาว</v>
      </c>
      <c r="G562" t="str">
        <f>IFERROR(__xludf.DUMMYFUNCTION("""COMPUTED_VALUE"""),"ดวงสุรีย์")</f>
        <v>ดวงสุรีย์</v>
      </c>
      <c r="H562" t="str">
        <f>IFERROR(__xludf.DUMMYFUNCTION("""COMPUTED_VALUE"""),"ไกรรัตน์ฤกษ์")</f>
        <v>ไกรรัตน์ฤกษ์</v>
      </c>
      <c r="I562" t="str">
        <f>IFERROR(__xludf.DUMMYFUNCTION("""COMPUTED_VALUE"""),"ดวงสุรีย์ ไกรรัตน์ฤกษ์")</f>
        <v>ดวงสุรีย์ ไกรรัตน์ฤกษ์</v>
      </c>
      <c r="J562" t="str">
        <f>IFERROR(__xludf.DUMMYFUNCTION("""COMPUTED_VALUE"""),"Eve")</f>
        <v>Eve</v>
      </c>
      <c r="K562" t="str">
        <f>IFERROR(__xludf.DUMMYFUNCTION("""COMPUTED_VALUE"""),"Cabin Crew")</f>
        <v>Cabin Crew</v>
      </c>
      <c r="L562" t="str">
        <f>IFERROR(__xludf.DUMMYFUNCTION("""COMPUTED_VALUE"""),"DMK")</f>
        <v>DMK</v>
      </c>
      <c r="M562" s="145" t="str">
        <f>IFERROR(__xludf.DUMMYFUNCTION("""COMPUTED_VALUE"""),"Um Home")</f>
        <v>Um Home</v>
      </c>
      <c r="N562" t="str">
        <f>IFERROR(__xludf.DUMMYFUNCTION("""COMPUTED_VALUE"""),"Active")</f>
        <v>Active</v>
      </c>
      <c r="P562" s="143">
        <f>IFERROR(__xludf.DUMMYFUNCTION("""COMPUTED_VALUE"""),32742.0)</f>
        <v>32742</v>
      </c>
      <c r="Q562" s="146" t="str">
        <f>IFERROR(__xludf.DUMMYFUNCTION("""COMPUTED_VALUE"""),"064 245 5391 ")</f>
        <v>064 245 5391 </v>
      </c>
      <c r="R562" s="147" t="str">
        <f>IFERROR(__xludf.DUMMYFUNCTION("""COMPUTED_VALUE"""),"1101800-36-5087")</f>
        <v>1101800-36-5087</v>
      </c>
      <c r="S562" t="str">
        <f>IFERROR(__xludf.DUMMYFUNCTION("""COMPUTED_VALUE"""),"AC6223835")</f>
        <v>AC6223835</v>
      </c>
      <c r="T562" s="148">
        <f>IFERROR(__xludf.DUMMYFUNCTION("""COMPUTED_VALUE"""),45299.0)</f>
        <v>45299</v>
      </c>
      <c r="U562" s="148">
        <f>IFERROR(__xludf.DUMMYFUNCTION("""COMPUTED_VALUE"""),48951.0)</f>
        <v>48951</v>
      </c>
      <c r="V562" s="149">
        <f>IFERROR(__xludf.DUMMYFUNCTION("""COMPUTED_VALUE"""),48767.0)</f>
        <v>48767</v>
      </c>
      <c r="W562" t="str">
        <f>IFERROR(__xludf.DUMMYFUNCTION("""COMPUTED_VALUE"""),"ปลอดภัย")</f>
        <v>ปลอดภัย</v>
      </c>
      <c r="X562" t="str">
        <f>IFERROR(__xludf.DUMMYFUNCTION("""COMPUTED_VALUE"""),"Bangkok")</f>
        <v>Bangkok</v>
      </c>
      <c r="Y562" t="str">
        <f>IFERROR(__xludf.DUMMYFUNCTION("""COMPUTED_VALUE"""),"Bangplad")</f>
        <v>Bangplad</v>
      </c>
      <c r="Z562" t="str">
        <f>IFERROR(__xludf.DUMMYFUNCTION("""COMPUTED_VALUE"""),"086-550-1798")</f>
        <v>086-550-1798</v>
      </c>
      <c r="AA562" t="str">
        <f>IFERROR(__xludf.DUMMYFUNCTION("""COMPUTED_VALUE"""),"Ladawan")</f>
        <v>Ladawan</v>
      </c>
      <c r="AB562" t="str">
        <f>IFERROR(__xludf.DUMMYFUNCTION("""COMPUTED_VALUE"""),"duangsureek@airasia.com")</f>
        <v>duangsureek@airasia.com</v>
      </c>
    </row>
    <row r="563">
      <c r="A563">
        <f>IFERROR(__xludf.DUMMYFUNCTION("""COMPUTED_VALUE"""),1012158.0)</f>
        <v>1012158</v>
      </c>
      <c r="B563" t="str">
        <f>IFERROR(__xludf.DUMMYFUNCTION("""COMPUTED_VALUE"""),"Mr.")</f>
        <v>Mr.</v>
      </c>
      <c r="C563" t="str">
        <f>IFERROR(__xludf.DUMMYFUNCTION("""COMPUTED_VALUE"""),"Itthipong")</f>
        <v>Itthipong</v>
      </c>
      <c r="D563" t="str">
        <f>IFERROR(__xludf.DUMMYFUNCTION("""COMPUTED_VALUE"""),"Itthipong")</f>
        <v>Itthipong</v>
      </c>
      <c r="E563" t="str">
        <f>IFERROR(__xludf.DUMMYFUNCTION("""COMPUTED_VALUE"""),"Itthipong Khanthonglor")</f>
        <v>Itthipong Khanthonglor</v>
      </c>
      <c r="F563" t="str">
        <f>IFERROR(__xludf.DUMMYFUNCTION("""COMPUTED_VALUE"""),"นาย")</f>
        <v>นาย</v>
      </c>
      <c r="G563" t="str">
        <f>IFERROR(__xludf.DUMMYFUNCTION("""COMPUTED_VALUE"""),"อิทธิพงษ์")</f>
        <v>อิทธิพงษ์</v>
      </c>
      <c r="H563" t="str">
        <f>IFERROR(__xludf.DUMMYFUNCTION("""COMPUTED_VALUE"""),"ขันทองหล่อ")</f>
        <v>ขันทองหล่อ</v>
      </c>
      <c r="I563" t="str">
        <f>IFERROR(__xludf.DUMMYFUNCTION("""COMPUTED_VALUE"""),"อิทธิพงษ์ ขันทองหล่อ")</f>
        <v>อิทธิพงษ์ ขันทองหล่อ</v>
      </c>
      <c r="J563" t="str">
        <f>IFERROR(__xludf.DUMMYFUNCTION("""COMPUTED_VALUE"""),"Ith อิฐ")</f>
        <v>Ith อิฐ</v>
      </c>
      <c r="K563" t="str">
        <f>IFERROR(__xludf.DUMMYFUNCTION("""COMPUTED_VALUE"""),"Cabin Crew")</f>
        <v>Cabin Crew</v>
      </c>
      <c r="L563" t="str">
        <f>IFERROR(__xludf.DUMMYFUNCTION("""COMPUTED_VALUE"""),"DMK")</f>
        <v>DMK</v>
      </c>
      <c r="M563" s="145" t="str">
        <f>IFERROR(__xludf.DUMMYFUNCTION("""COMPUTED_VALUE"""),"Nhui Home")</f>
        <v>Nhui Home</v>
      </c>
      <c r="N563" t="str">
        <f>IFERROR(__xludf.DUMMYFUNCTION("""COMPUTED_VALUE"""),"Active")</f>
        <v>Active</v>
      </c>
      <c r="P563" s="143">
        <f>IFERROR(__xludf.DUMMYFUNCTION("""COMPUTED_VALUE"""),32962.0)</f>
        <v>32962</v>
      </c>
      <c r="Q563" s="146" t="str">
        <f>IFERROR(__xludf.DUMMYFUNCTION("""COMPUTED_VALUE"""),"083 060 2335")</f>
        <v>083 060 2335</v>
      </c>
      <c r="R563" s="147" t="str">
        <f>IFERROR(__xludf.DUMMYFUNCTION("""COMPUTED_VALUE"""),"1102200-07-3485")</f>
        <v>1102200-07-3485</v>
      </c>
      <c r="S563" t="str">
        <f>IFERROR(__xludf.DUMMYFUNCTION("""COMPUTED_VALUE"""),"AC6187517")</f>
        <v>AC6187517</v>
      </c>
      <c r="T563" s="148">
        <f>IFERROR(__xludf.DUMMYFUNCTION("""COMPUTED_VALUE"""),45272.0)</f>
        <v>45272</v>
      </c>
      <c r="U563" s="148">
        <f>IFERROR(__xludf.DUMMYFUNCTION("""COMPUTED_VALUE"""),48924.0)</f>
        <v>48924</v>
      </c>
      <c r="V563" s="149">
        <f>IFERROR(__xludf.DUMMYFUNCTION("""COMPUTED_VALUE"""),48741.0)</f>
        <v>48741</v>
      </c>
      <c r="W563" t="str">
        <f>IFERROR(__xludf.DUMMYFUNCTION("""COMPUTED_VALUE"""),"ปลอดภัย")</f>
        <v>ปลอดภัย</v>
      </c>
      <c r="X563" t="str">
        <f>IFERROR(__xludf.DUMMYFUNCTION("""COMPUTED_VALUE"""),"Bangkok")</f>
        <v>Bangkok</v>
      </c>
      <c r="Y563" t="str">
        <f>IFERROR(__xludf.DUMMYFUNCTION("""COMPUTED_VALUE"""),"Nakhonprathom")</f>
        <v>Nakhonprathom</v>
      </c>
      <c r="Z563" t="str">
        <f>IFERROR(__xludf.DUMMYFUNCTION("""COMPUTED_VALUE"""),"086-056-8103")</f>
        <v>086-056-8103</v>
      </c>
      <c r="AA563" t="str">
        <f>IFERROR(__xludf.DUMMYFUNCTION("""COMPUTED_VALUE"""),"Uraiwan")</f>
        <v>Uraiwan</v>
      </c>
      <c r="AB563" t="str">
        <f>IFERROR(__xludf.DUMMYFUNCTION("""COMPUTED_VALUE"""),"itthipongk@airasia.com")</f>
        <v>itthipongk@airasia.com</v>
      </c>
    </row>
    <row r="564">
      <c r="A564">
        <f>IFERROR(__xludf.DUMMYFUNCTION("""COMPUTED_VALUE"""),1012166.0)</f>
        <v>1012166</v>
      </c>
      <c r="B564" t="str">
        <f>IFERROR(__xludf.DUMMYFUNCTION("""COMPUTED_VALUE"""),"Ms.")</f>
        <v>Ms.</v>
      </c>
      <c r="C564" t="str">
        <f>IFERROR(__xludf.DUMMYFUNCTION("""COMPUTED_VALUE"""),"Monthira")</f>
        <v>Monthira</v>
      </c>
      <c r="D564" t="str">
        <f>IFERROR(__xludf.DUMMYFUNCTION("""COMPUTED_VALUE"""),"Modesanga")</f>
        <v>Modesanga</v>
      </c>
      <c r="E564" t="str">
        <f>IFERROR(__xludf.DUMMYFUNCTION("""COMPUTED_VALUE"""),"Monthira Modesanga")</f>
        <v>Monthira Modesanga</v>
      </c>
      <c r="F564" t="str">
        <f>IFERROR(__xludf.DUMMYFUNCTION("""COMPUTED_VALUE"""),"นางสาว")</f>
        <v>นางสาว</v>
      </c>
      <c r="G564" t="str">
        <f>IFERROR(__xludf.DUMMYFUNCTION("""COMPUTED_VALUE"""),"มณฑิรา")</f>
        <v>มณฑิรา</v>
      </c>
      <c r="H564" t="str">
        <f>IFERROR(__xludf.DUMMYFUNCTION("""COMPUTED_VALUE"""),"โหมดสง่า")</f>
        <v>โหมดสง่า</v>
      </c>
      <c r="I564" t="str">
        <f>IFERROR(__xludf.DUMMYFUNCTION("""COMPUTED_VALUE"""),"มณฑิรา โหมดสง่า")</f>
        <v>มณฑิรา โหมดสง่า</v>
      </c>
      <c r="J564" t="str">
        <f>IFERROR(__xludf.DUMMYFUNCTION("""COMPUTED_VALUE"""),"Orn")</f>
        <v>Orn</v>
      </c>
      <c r="K564" t="str">
        <f>IFERROR(__xludf.DUMMYFUNCTION("""COMPUTED_VALUE"""),"Cabin Crew")</f>
        <v>Cabin Crew</v>
      </c>
      <c r="L564" t="str">
        <f>IFERROR(__xludf.DUMMYFUNCTION("""COMPUTED_VALUE"""),"DMK")</f>
        <v>DMK</v>
      </c>
      <c r="M564" s="145" t="str">
        <f>IFERROR(__xludf.DUMMYFUNCTION("""COMPUTED_VALUE"""),"Nhui Home")</f>
        <v>Nhui Home</v>
      </c>
      <c r="N564" t="str">
        <f>IFERROR(__xludf.DUMMYFUNCTION("""COMPUTED_VALUE"""),"Active")</f>
        <v>Active</v>
      </c>
      <c r="P564" s="143">
        <f>IFERROR(__xludf.DUMMYFUNCTION("""COMPUTED_VALUE"""),32877.0)</f>
        <v>32877</v>
      </c>
      <c r="Q564" s="146" t="str">
        <f>IFERROR(__xludf.DUMMYFUNCTION("""COMPUTED_VALUE"""),"085-832-7458")</f>
        <v>085-832-7458</v>
      </c>
      <c r="R564" s="147" t="str">
        <f>IFERROR(__xludf.DUMMYFUNCTION("""COMPUTED_VALUE"""),"1100701-11-6495")</f>
        <v>1100701-11-6495</v>
      </c>
      <c r="S564" t="str">
        <f>IFERROR(__xludf.DUMMYFUNCTION("""COMPUTED_VALUE"""),"AC6191262")</f>
        <v>AC6191262</v>
      </c>
      <c r="T564" s="148">
        <f>IFERROR(__xludf.DUMMYFUNCTION("""COMPUTED_VALUE"""),45273.0)</f>
        <v>45273</v>
      </c>
      <c r="U564" s="148">
        <f>IFERROR(__xludf.DUMMYFUNCTION("""COMPUTED_VALUE"""),48925.0)</f>
        <v>48925</v>
      </c>
      <c r="V564" s="149">
        <f>IFERROR(__xludf.DUMMYFUNCTION("""COMPUTED_VALUE"""),48742.0)</f>
        <v>48742</v>
      </c>
      <c r="W564" t="str">
        <f>IFERROR(__xludf.DUMMYFUNCTION("""COMPUTED_VALUE"""),"ปลอดภัย")</f>
        <v>ปลอดภัย</v>
      </c>
      <c r="X564" t="str">
        <f>IFERROR(__xludf.DUMMYFUNCTION("""COMPUTED_VALUE"""),"Bangkok")</f>
        <v>Bangkok</v>
      </c>
      <c r="Y564" t="str">
        <f>IFERROR(__xludf.DUMMYFUNCTION("""COMPUTED_VALUE"""),"Bangsue")</f>
        <v>Bangsue</v>
      </c>
      <c r="Z564" t="str">
        <f>IFERROR(__xludf.DUMMYFUNCTION("""COMPUTED_VALUE"""),"086-556-8109")</f>
        <v>086-556-8109</v>
      </c>
      <c r="AA564" t="str">
        <f>IFERROR(__xludf.DUMMYFUNCTION("""COMPUTED_VALUE"""),"Chutima")</f>
        <v>Chutima</v>
      </c>
      <c r="AB564" t="str">
        <f>IFERROR(__xludf.DUMMYFUNCTION("""COMPUTED_VALUE"""),"monthiram@airasia.com")</f>
        <v>monthiram@airasia.com</v>
      </c>
    </row>
    <row r="565">
      <c r="A565">
        <f>IFERROR(__xludf.DUMMYFUNCTION("""COMPUTED_VALUE"""),1012170.0)</f>
        <v>1012170</v>
      </c>
      <c r="B565" t="str">
        <f>IFERROR(__xludf.DUMMYFUNCTION("""COMPUTED_VALUE"""),"Ms.")</f>
        <v>Ms.</v>
      </c>
      <c r="C565" t="str">
        <f>IFERROR(__xludf.DUMMYFUNCTION("""COMPUTED_VALUE"""),"Natchanapatch")</f>
        <v>Natchanapatch</v>
      </c>
      <c r="D565" t="str">
        <f>IFERROR(__xludf.DUMMYFUNCTION("""COMPUTED_VALUE"""),"Sakunsmithikorn (Phalapruek)")</f>
        <v>Sakunsmithikorn (Phalapruek)</v>
      </c>
      <c r="E565" t="str">
        <f>IFERROR(__xludf.DUMMYFUNCTION("""COMPUTED_VALUE"""),"Natchanapatch Sakunsmithikorn ")</f>
        <v>Natchanapatch Sakunsmithikorn </v>
      </c>
      <c r="F565" t="str">
        <f>IFERROR(__xludf.DUMMYFUNCTION("""COMPUTED_VALUE"""),"นางสาว")</f>
        <v>นางสาว</v>
      </c>
      <c r="G565" t="str">
        <f>IFERROR(__xludf.DUMMYFUNCTION("""COMPUTED_VALUE"""),"ณัชณภัทร")</f>
        <v>ณัชณภัทร</v>
      </c>
      <c r="H565" t="str">
        <f>IFERROR(__xludf.DUMMYFUNCTION("""COMPUTED_VALUE"""),"สกุลสมิทธิกร (ผลาพฤกษ์)")</f>
        <v>สกุลสมิทธิกร (ผลาพฤกษ์)</v>
      </c>
      <c r="I565" t="str">
        <f>IFERROR(__xludf.DUMMYFUNCTION("""COMPUTED_VALUE"""),"ณัชณภัทร สกุลสมิทธิกร ")</f>
        <v>ณัชณภัทร สกุลสมิทธิกร </v>
      </c>
      <c r="J565" t="str">
        <f>IFERROR(__xludf.DUMMYFUNCTION("""COMPUTED_VALUE"""),"Nui นุ้ย")</f>
        <v>Nui นุ้ย</v>
      </c>
      <c r="K565" t="str">
        <f>IFERROR(__xludf.DUMMYFUNCTION("""COMPUTED_VALUE"""),"Cabin Crew")</f>
        <v>Cabin Crew</v>
      </c>
      <c r="L565" t="str">
        <f>IFERROR(__xludf.DUMMYFUNCTION("""COMPUTED_VALUE"""),"DMK")</f>
        <v>DMK</v>
      </c>
      <c r="M565" s="145" t="str">
        <f>IFERROR(__xludf.DUMMYFUNCTION("""COMPUTED_VALUE"""),"Namfon Home")</f>
        <v>Namfon Home</v>
      </c>
      <c r="N565" t="str">
        <f>IFERROR(__xludf.DUMMYFUNCTION("""COMPUTED_VALUE"""),"MATL")</f>
        <v>MATL</v>
      </c>
      <c r="O565" t="str">
        <f>IFERROR(__xludf.DUMMYFUNCTION("""COMPUTED_VALUE"""),"Chinese Speaking")</f>
        <v>Chinese Speaking</v>
      </c>
      <c r="P565" s="143">
        <f>IFERROR(__xludf.DUMMYFUNCTION("""COMPUTED_VALUE"""),32965.0)</f>
        <v>32965</v>
      </c>
      <c r="Q565" s="146" t="str">
        <f>IFERROR(__xludf.DUMMYFUNCTION("""COMPUTED_VALUE"""),"095-514-4499")</f>
        <v>095-514-4499</v>
      </c>
      <c r="R565" s="147" t="str">
        <f>IFERROR(__xludf.DUMMYFUNCTION("""COMPUTED_VALUE"""),"1419900-22-4196")</f>
        <v>1419900-22-4196</v>
      </c>
      <c r="S565" t="str">
        <f>IFERROR(__xludf.DUMMYFUNCTION("""COMPUTED_VALUE"""),"AD0778124")</f>
        <v>AD0778124</v>
      </c>
      <c r="T565" s="148">
        <f>IFERROR(__xludf.DUMMYFUNCTION("""COMPUTED_VALUE"""),44952.0)</f>
        <v>44952</v>
      </c>
      <c r="U565" s="148">
        <f>IFERROR(__xludf.DUMMYFUNCTION("""COMPUTED_VALUE"""),48604.0)</f>
        <v>48604</v>
      </c>
      <c r="V565" s="149">
        <f>IFERROR(__xludf.DUMMYFUNCTION("""COMPUTED_VALUE"""),48420.0)</f>
        <v>48420</v>
      </c>
      <c r="W565" t="str">
        <f>IFERROR(__xludf.DUMMYFUNCTION("""COMPUTED_VALUE"""),"ปลอดภัย")</f>
        <v>ปลอดภัย</v>
      </c>
      <c r="X565" t="str">
        <f>IFERROR(__xludf.DUMMYFUNCTION("""COMPUTED_VALUE"""),"Udon Thani Province")</f>
        <v>Udon Thani Province</v>
      </c>
      <c r="Y565" t="str">
        <f>IFERROR(__xludf.DUMMYFUNCTION("""COMPUTED_VALUE"""),"Bangkean")</f>
        <v>Bangkean</v>
      </c>
      <c r="Z565" t="str">
        <f>IFERROR(__xludf.DUMMYFUNCTION("""COMPUTED_VALUE"""),"084-785-9988/086-224-6565")</f>
        <v>084-785-9988/086-224-6565</v>
      </c>
      <c r="AA565" t="str">
        <f>IFERROR(__xludf.DUMMYFUNCTION("""COMPUTED_VALUE"""),"Narong Phalapruek")</f>
        <v>Narong Phalapruek</v>
      </c>
      <c r="AB565" t="str">
        <f>IFERROR(__xludf.DUMMYFUNCTION("""COMPUTED_VALUE"""),"natchanapatchs@airasia.com")</f>
        <v>natchanapatchs@airasia.com</v>
      </c>
    </row>
    <row r="566">
      <c r="A566">
        <f>IFERROR(__xludf.DUMMYFUNCTION("""COMPUTED_VALUE"""),1012174.0)</f>
        <v>1012174</v>
      </c>
      <c r="B566" t="str">
        <f>IFERROR(__xludf.DUMMYFUNCTION("""COMPUTED_VALUE"""),"Mr.")</f>
        <v>Mr.</v>
      </c>
      <c r="C566" t="str">
        <f>IFERROR(__xludf.DUMMYFUNCTION("""COMPUTED_VALUE"""),"Parnnachai")</f>
        <v>Parnnachai</v>
      </c>
      <c r="D566" t="str">
        <f>IFERROR(__xludf.DUMMYFUNCTION("""COMPUTED_VALUE"""),"Srirat")</f>
        <v>Srirat</v>
      </c>
      <c r="E566" t="str">
        <f>IFERROR(__xludf.DUMMYFUNCTION("""COMPUTED_VALUE"""),"Parnnachai Srirat")</f>
        <v>Parnnachai Srirat</v>
      </c>
      <c r="F566" t="str">
        <f>IFERROR(__xludf.DUMMYFUNCTION("""COMPUTED_VALUE"""),"นาย")</f>
        <v>นาย</v>
      </c>
      <c r="G566" t="str">
        <f>IFERROR(__xludf.DUMMYFUNCTION("""COMPUTED_VALUE"""),"ปาณชัย")</f>
        <v>ปาณชัย</v>
      </c>
      <c r="H566" t="str">
        <f>IFERROR(__xludf.DUMMYFUNCTION("""COMPUTED_VALUE"""),"ศรีรัตน์")</f>
        <v>ศรีรัตน์</v>
      </c>
      <c r="I566" t="str">
        <f>IFERROR(__xludf.DUMMYFUNCTION("""COMPUTED_VALUE"""),"ปาณชัย ศรีรัตน์")</f>
        <v>ปาณชัย ศรีรัตน์</v>
      </c>
      <c r="J566" t="str">
        <f>IFERROR(__xludf.DUMMYFUNCTION("""COMPUTED_VALUE"""),"Ize ไอซ์")</f>
        <v>Ize ไอซ์</v>
      </c>
      <c r="K566" t="str">
        <f>IFERROR(__xludf.DUMMYFUNCTION("""COMPUTED_VALUE"""),"Senior Cabin Crew - BKK")</f>
        <v>Senior Cabin Crew - BKK</v>
      </c>
      <c r="L566" t="str">
        <f>IFERROR(__xludf.DUMMYFUNCTION("""COMPUTED_VALUE"""),"BKK")</f>
        <v>BKK</v>
      </c>
      <c r="M566" s="145" t="str">
        <f>IFERROR(__xludf.DUMMYFUNCTION("""COMPUTED_VALUE"""),"Nhui Home")</f>
        <v>Nhui Home</v>
      </c>
      <c r="N566" t="str">
        <f>IFERROR(__xludf.DUMMYFUNCTION("""COMPUTED_VALUE"""),"Active/V/DMK")</f>
        <v>Active/V/DMK</v>
      </c>
      <c r="P566" s="143">
        <f>IFERROR(__xludf.DUMMYFUNCTION("""COMPUTED_VALUE"""),32157.0)</f>
        <v>32157</v>
      </c>
      <c r="Q566" s="146" t="str">
        <f>IFERROR(__xludf.DUMMYFUNCTION("""COMPUTED_VALUE"""),"063-532-8229")</f>
        <v>063-532-8229</v>
      </c>
      <c r="R566" s="147" t="str">
        <f>IFERROR(__xludf.DUMMYFUNCTION("""COMPUTED_VALUE"""),"1101401-21-4824")</f>
        <v>1101401-21-4824</v>
      </c>
      <c r="S566" t="str">
        <f>IFERROR(__xludf.DUMMYFUNCTION("""COMPUTED_VALUE"""),"AC3476312")</f>
        <v>AC3476312</v>
      </c>
      <c r="T566" s="148">
        <f>IFERROR(__xludf.DUMMYFUNCTION("""COMPUTED_VALUE"""),44742.0)</f>
        <v>44742</v>
      </c>
      <c r="U566" s="148">
        <f>IFERROR(__xludf.DUMMYFUNCTION("""COMPUTED_VALUE"""),48394.0)</f>
        <v>48394</v>
      </c>
      <c r="V566" s="149">
        <f>IFERROR(__xludf.DUMMYFUNCTION("""COMPUTED_VALUE"""),48211.0)</f>
        <v>48211</v>
      </c>
      <c r="W566" t="str">
        <f>IFERROR(__xludf.DUMMYFUNCTION("""COMPUTED_VALUE"""),"ปลอดภัย")</f>
        <v>ปลอดภัย</v>
      </c>
      <c r="X566" t="str">
        <f>IFERROR(__xludf.DUMMYFUNCTION("""COMPUTED_VALUE"""),"Bangkok")</f>
        <v>Bangkok</v>
      </c>
      <c r="Y566" t="str">
        <f>IFERROR(__xludf.DUMMYFUNCTION("""COMPUTED_VALUE"""),"Nawamin")</f>
        <v>Nawamin</v>
      </c>
      <c r="Z566" t="str">
        <f>IFERROR(__xludf.DUMMYFUNCTION("""COMPUTED_VALUE"""),"093-515-6265")</f>
        <v>093-515-6265</v>
      </c>
      <c r="AA566" t="str">
        <f>IFERROR(__xludf.DUMMYFUNCTION("""COMPUTED_VALUE"""),"Mother")</f>
        <v>Mother</v>
      </c>
      <c r="AB566" t="str">
        <f>IFERROR(__xludf.DUMMYFUNCTION("""COMPUTED_VALUE"""),"parnnachais@airasia.com")</f>
        <v>parnnachais@airasia.com</v>
      </c>
    </row>
    <row r="567">
      <c r="A567">
        <f>IFERROR(__xludf.DUMMYFUNCTION("""COMPUTED_VALUE"""),1012182.0)</f>
        <v>1012182</v>
      </c>
      <c r="B567" t="str">
        <f>IFERROR(__xludf.DUMMYFUNCTION("""COMPUTED_VALUE"""),"Ms.")</f>
        <v>Ms.</v>
      </c>
      <c r="C567" t="str">
        <f>IFERROR(__xludf.DUMMYFUNCTION("""COMPUTED_VALUE"""),"Soikamol")</f>
        <v>Soikamol</v>
      </c>
      <c r="D567" t="str">
        <f>IFERROR(__xludf.DUMMYFUNCTION("""COMPUTED_VALUE"""),"Phonakhon")</f>
        <v>Phonakhon</v>
      </c>
      <c r="E567" t="str">
        <f>IFERROR(__xludf.DUMMYFUNCTION("""COMPUTED_VALUE"""),"Soikamol Phonakhon")</f>
        <v>Soikamol Phonakhon</v>
      </c>
      <c r="F567" t="str">
        <f>IFERROR(__xludf.DUMMYFUNCTION("""COMPUTED_VALUE"""),"นางสาว")</f>
        <v>นางสาว</v>
      </c>
      <c r="G567" t="str">
        <f>IFERROR(__xludf.DUMMYFUNCTION("""COMPUTED_VALUE"""),"สร้อยกมล")</f>
        <v>สร้อยกมล</v>
      </c>
      <c r="H567" t="str">
        <f>IFERROR(__xludf.DUMMYFUNCTION("""COMPUTED_VALUE"""),"โพธิ์นคร")</f>
        <v>โพธิ์นคร</v>
      </c>
      <c r="I567" t="str">
        <f>IFERROR(__xludf.DUMMYFUNCTION("""COMPUTED_VALUE"""),"สร้อยกมล โพธิ์นคร")</f>
        <v>สร้อยกมล โพธิ์นคร</v>
      </c>
      <c r="J567" t="str">
        <f>IFERROR(__xludf.DUMMYFUNCTION("""COMPUTED_VALUE"""),"Soi สร้อย")</f>
        <v>Soi สร้อย</v>
      </c>
      <c r="K567" t="str">
        <f>IFERROR(__xludf.DUMMYFUNCTION("""COMPUTED_VALUE"""),"Cabin Crew")</f>
        <v>Cabin Crew</v>
      </c>
      <c r="L567" t="str">
        <f>IFERROR(__xludf.DUMMYFUNCTION("""COMPUTED_VALUE"""),"DMK")</f>
        <v>DMK</v>
      </c>
      <c r="M567" s="145" t="str">
        <f>IFERROR(__xludf.DUMMYFUNCTION("""COMPUTED_VALUE"""),"Por+ Home")</f>
        <v>Por+ Home</v>
      </c>
      <c r="N567" t="str">
        <f>IFERROR(__xludf.DUMMYFUNCTION("""COMPUTED_VALUE"""),"Active")</f>
        <v>Active</v>
      </c>
      <c r="P567" s="143">
        <f>IFERROR(__xludf.DUMMYFUNCTION("""COMPUTED_VALUE"""),31964.0)</f>
        <v>31964</v>
      </c>
      <c r="Q567" s="146" t="str">
        <f>IFERROR(__xludf.DUMMYFUNCTION("""COMPUTED_VALUE"""),"084-045-1650")</f>
        <v>084-045-1650</v>
      </c>
      <c r="R567" s="147" t="str">
        <f>IFERROR(__xludf.DUMMYFUNCTION("""COMPUTED_VALUE"""),"1609990-03-5434")</f>
        <v>1609990-03-5434</v>
      </c>
      <c r="S567" t="str">
        <f>IFERROR(__xludf.DUMMYFUNCTION("""COMPUTED_VALUE"""),"AC6010694")</f>
        <v>AC6010694</v>
      </c>
      <c r="T567" s="148">
        <f>IFERROR(__xludf.DUMMYFUNCTION("""COMPUTED_VALUE"""),45229.0)</f>
        <v>45229</v>
      </c>
      <c r="U567" s="148">
        <f>IFERROR(__xludf.DUMMYFUNCTION("""COMPUTED_VALUE"""),48881.0)</f>
        <v>48881</v>
      </c>
      <c r="V567" s="149">
        <f>IFERROR(__xludf.DUMMYFUNCTION("""COMPUTED_VALUE"""),48698.0)</f>
        <v>48698</v>
      </c>
      <c r="W567" t="str">
        <f>IFERROR(__xludf.DUMMYFUNCTION("""COMPUTED_VALUE"""),"ปลอดภัย")</f>
        <v>ปลอดภัย</v>
      </c>
      <c r="X567" t="str">
        <f>IFERROR(__xludf.DUMMYFUNCTION("""COMPUTED_VALUE"""),"Nakhon Sawan Province")</f>
        <v>Nakhon Sawan Province</v>
      </c>
      <c r="Y567" t="str">
        <f>IFERROR(__xludf.DUMMYFUNCTION("""COMPUTED_VALUE"""),"Bangkean")</f>
        <v>Bangkean</v>
      </c>
      <c r="Z567" t="str">
        <f>IFERROR(__xludf.DUMMYFUNCTION("""COMPUTED_VALUE"""),"086-196-5398")</f>
        <v>086-196-5398</v>
      </c>
      <c r="AA567" t="str">
        <f>IFERROR(__xludf.DUMMYFUNCTION("""COMPUTED_VALUE"""),"Vanee Phonakhon")</f>
        <v>Vanee Phonakhon</v>
      </c>
      <c r="AB567" t="str">
        <f>IFERROR(__xludf.DUMMYFUNCTION("""COMPUTED_VALUE"""),"soikamolp@airasia.com")</f>
        <v>soikamolp@airasia.com</v>
      </c>
    </row>
    <row r="568">
      <c r="A568">
        <f>IFERROR(__xludf.DUMMYFUNCTION("""COMPUTED_VALUE"""),1012183.0)</f>
        <v>1012183</v>
      </c>
      <c r="B568" t="str">
        <f>IFERROR(__xludf.DUMMYFUNCTION("""COMPUTED_VALUE"""),"Mr.")</f>
        <v>Mr.</v>
      </c>
      <c r="C568" t="str">
        <f>IFERROR(__xludf.DUMMYFUNCTION("""COMPUTED_VALUE"""),"Tatree")</f>
        <v>Tatree</v>
      </c>
      <c r="D568" t="str">
        <f>IFERROR(__xludf.DUMMYFUNCTION("""COMPUTED_VALUE"""),"Phakaew")</f>
        <v>Phakaew</v>
      </c>
      <c r="E568" t="str">
        <f>IFERROR(__xludf.DUMMYFUNCTION("""COMPUTED_VALUE"""),"Tatree Phakaew")</f>
        <v>Tatree Phakaew</v>
      </c>
      <c r="F568" t="str">
        <f>IFERROR(__xludf.DUMMYFUNCTION("""COMPUTED_VALUE"""),"นาย")</f>
        <v>นาย</v>
      </c>
      <c r="G568" t="str">
        <f>IFERROR(__xludf.DUMMYFUNCTION("""COMPUTED_VALUE"""),"ธาตรี")</f>
        <v>ธาตรี</v>
      </c>
      <c r="H568" t="str">
        <f>IFERROR(__xludf.DUMMYFUNCTION("""COMPUTED_VALUE"""),"ผาแก้ว")</f>
        <v>ผาแก้ว</v>
      </c>
      <c r="I568" t="str">
        <f>IFERROR(__xludf.DUMMYFUNCTION("""COMPUTED_VALUE"""),"ธาตรี ผาแก้ว")</f>
        <v>ธาตรี ผาแก้ว</v>
      </c>
      <c r="J568" t="str">
        <f>IFERROR(__xludf.DUMMYFUNCTION("""COMPUTED_VALUE"""),"Buz บัส")</f>
        <v>Buz บัส</v>
      </c>
      <c r="K568" t="str">
        <f>IFERROR(__xludf.DUMMYFUNCTION("""COMPUTED_VALUE"""),"Cabin Crew")</f>
        <v>Cabin Crew</v>
      </c>
      <c r="L568" t="str">
        <f>IFERROR(__xludf.DUMMYFUNCTION("""COMPUTED_VALUE"""),"DMK")</f>
        <v>DMK</v>
      </c>
      <c r="M568" s="145" t="str">
        <f>IFERROR(__xludf.DUMMYFUNCTION("""COMPUTED_VALUE"""),"Por+ Home")</f>
        <v>Por+ Home</v>
      </c>
      <c r="N568" t="str">
        <f>IFERROR(__xludf.DUMMYFUNCTION("""COMPUTED_VALUE"""),"Active")</f>
        <v>Active</v>
      </c>
      <c r="P568" s="143">
        <f>IFERROR(__xludf.DUMMYFUNCTION("""COMPUTED_VALUE"""),32711.0)</f>
        <v>32711</v>
      </c>
      <c r="Q568" s="146" t="str">
        <f>IFERROR(__xludf.DUMMYFUNCTION("""COMPUTED_VALUE"""),"092-942-4654")</f>
        <v>092-942-4654</v>
      </c>
      <c r="R568" s="147" t="str">
        <f>IFERROR(__xludf.DUMMYFUNCTION("""COMPUTED_VALUE"""),"1559900-14-9517")</f>
        <v>1559900-14-9517</v>
      </c>
      <c r="S568" t="str">
        <f>IFERROR(__xludf.DUMMYFUNCTION("""COMPUTED_VALUE"""),"AC4712116")</f>
        <v>AC4712116</v>
      </c>
      <c r="T568" s="148">
        <f>IFERROR(__xludf.DUMMYFUNCTION("""COMPUTED_VALUE"""),45006.0)</f>
        <v>45006</v>
      </c>
      <c r="U568" s="148">
        <f>IFERROR(__xludf.DUMMYFUNCTION("""COMPUTED_VALUE"""),48658.0)</f>
        <v>48658</v>
      </c>
      <c r="V568" s="149">
        <f>IFERROR(__xludf.DUMMYFUNCTION("""COMPUTED_VALUE"""),48477.0)</f>
        <v>48477</v>
      </c>
      <c r="W568" t="str">
        <f>IFERROR(__xludf.DUMMYFUNCTION("""COMPUTED_VALUE"""),"ปลอดภัย")</f>
        <v>ปลอดภัย</v>
      </c>
      <c r="X568" t="str">
        <f>IFERROR(__xludf.DUMMYFUNCTION("""COMPUTED_VALUE"""),"Nan Province")</f>
        <v>Nan Province</v>
      </c>
      <c r="Y568" t="str">
        <f>IFERROR(__xludf.DUMMYFUNCTION("""COMPUTED_VALUE"""),"Ratchadheve")</f>
        <v>Ratchadheve</v>
      </c>
      <c r="Z568" t="str">
        <f>IFERROR(__xludf.DUMMYFUNCTION("""COMPUTED_VALUE"""),"089-956-5435")</f>
        <v>089-956-5435</v>
      </c>
      <c r="AA568" t="str">
        <f>IFERROR(__xludf.DUMMYFUNCTION("""COMPUTED_VALUE"""),"Father")</f>
        <v>Father</v>
      </c>
      <c r="AB568" t="str">
        <f>IFERROR(__xludf.DUMMYFUNCTION("""COMPUTED_VALUE"""),"tatreep@airasia.com")</f>
        <v>tatreep@airasia.com</v>
      </c>
    </row>
    <row r="569">
      <c r="A569">
        <f>IFERROR(__xludf.DUMMYFUNCTION("""COMPUTED_VALUE"""),1012186.0)</f>
        <v>1012186</v>
      </c>
      <c r="B569" t="str">
        <f>IFERROR(__xludf.DUMMYFUNCTION("""COMPUTED_VALUE"""),"Ms.")</f>
        <v>Ms.</v>
      </c>
      <c r="C569" t="str">
        <f>IFERROR(__xludf.DUMMYFUNCTION("""COMPUTED_VALUE"""),"Tulaporn")</f>
        <v>Tulaporn</v>
      </c>
      <c r="D569" t="str">
        <f>IFERROR(__xludf.DUMMYFUNCTION("""COMPUTED_VALUE"""),"Treetasent")</f>
        <v>Treetasent</v>
      </c>
      <c r="E569" t="str">
        <f>IFERROR(__xludf.DUMMYFUNCTION("""COMPUTED_VALUE"""),"Tulaporn Treetasent")</f>
        <v>Tulaporn Treetasent</v>
      </c>
      <c r="F569" t="str">
        <f>IFERROR(__xludf.DUMMYFUNCTION("""COMPUTED_VALUE"""),"นางสาว")</f>
        <v>นางสาว</v>
      </c>
      <c r="G569" t="str">
        <f>IFERROR(__xludf.DUMMYFUNCTION("""COMPUTED_VALUE"""),"ตุลพร")</f>
        <v>ตุลพร</v>
      </c>
      <c r="H569" t="str">
        <f>IFERROR(__xludf.DUMMYFUNCTION("""COMPUTED_VALUE"""),"ตรีทเศนทร์")</f>
        <v>ตรีทเศนทร์</v>
      </c>
      <c r="I569" t="str">
        <f>IFERROR(__xludf.DUMMYFUNCTION("""COMPUTED_VALUE"""),"ตุลพร ตรีทเศนทร์")</f>
        <v>ตุลพร ตรีทเศนทร์</v>
      </c>
      <c r="J569" t="str">
        <f>IFERROR(__xludf.DUMMYFUNCTION("""COMPUTED_VALUE"""),"Dew ดิว")</f>
        <v>Dew ดิว</v>
      </c>
      <c r="K569" t="str">
        <f>IFERROR(__xludf.DUMMYFUNCTION("""COMPUTED_VALUE"""),"Cabin Crew")</f>
        <v>Cabin Crew</v>
      </c>
      <c r="L569" t="str">
        <f>IFERROR(__xludf.DUMMYFUNCTION("""COMPUTED_VALUE"""),"DMK")</f>
        <v>DMK</v>
      </c>
      <c r="M569" s="145" t="str">
        <f>IFERROR(__xludf.DUMMYFUNCTION("""COMPUTED_VALUE"""),"Up Home")</f>
        <v>Up Home</v>
      </c>
      <c r="N569" t="str">
        <f>IFERROR(__xludf.DUMMYFUNCTION("""COMPUTED_VALUE"""),"Active")</f>
        <v>Active</v>
      </c>
      <c r="P569" s="143">
        <f>IFERROR(__xludf.DUMMYFUNCTION("""COMPUTED_VALUE"""),32445.0)</f>
        <v>32445</v>
      </c>
      <c r="Q569" s="146" t="str">
        <f>IFERROR(__xludf.DUMMYFUNCTION("""COMPUTED_VALUE"""),"091-741-4207")</f>
        <v>091-741-4207</v>
      </c>
      <c r="R569" s="147" t="str">
        <f>IFERROR(__xludf.DUMMYFUNCTION("""COMPUTED_VALUE"""),"1129900-03-8425")</f>
        <v>1129900-03-8425</v>
      </c>
      <c r="S569" t="str">
        <f>IFERROR(__xludf.DUMMYFUNCTION("""COMPUTED_VALUE"""),"AC6229790")</f>
        <v>AC6229790</v>
      </c>
      <c r="T569" s="148">
        <f>IFERROR(__xludf.DUMMYFUNCTION("""COMPUTED_VALUE"""),45301.0)</f>
        <v>45301</v>
      </c>
      <c r="U569" s="148">
        <f>IFERROR(__xludf.DUMMYFUNCTION("""COMPUTED_VALUE"""),48953.0)</f>
        <v>48953</v>
      </c>
      <c r="V569" s="149">
        <f>IFERROR(__xludf.DUMMYFUNCTION("""COMPUTED_VALUE"""),48769.0)</f>
        <v>48769</v>
      </c>
      <c r="W569" t="str">
        <f>IFERROR(__xludf.DUMMYFUNCTION("""COMPUTED_VALUE"""),"ปลอดภัย")</f>
        <v>ปลอดภัย</v>
      </c>
      <c r="X569" t="str">
        <f>IFERROR(__xludf.DUMMYFUNCTION("""COMPUTED_VALUE"""),"Bangkok")</f>
        <v>Bangkok</v>
      </c>
      <c r="Y569" t="str">
        <f>IFERROR(__xludf.DUMMYFUNCTION("""COMPUTED_VALUE"""),"Jatujak")</f>
        <v>Jatujak</v>
      </c>
      <c r="Z569" t="str">
        <f>IFERROR(__xludf.DUMMYFUNCTION("""COMPUTED_VALUE"""),"085-917-3319")</f>
        <v>085-917-3319</v>
      </c>
      <c r="AA569" t="str">
        <f>IFERROR(__xludf.DUMMYFUNCTION("""COMPUTED_VALUE"""),"Kultida")</f>
        <v>Kultida</v>
      </c>
      <c r="AB569" t="str">
        <f>IFERROR(__xludf.DUMMYFUNCTION("""COMPUTED_VALUE"""),"tulapornt@airasia.com")</f>
        <v>tulapornt@airasia.com</v>
      </c>
    </row>
    <row r="570">
      <c r="A570">
        <f>IFERROR(__xludf.DUMMYFUNCTION("""COMPUTED_VALUE"""),1012187.0)</f>
        <v>1012187</v>
      </c>
      <c r="B570" t="str">
        <f>IFERROR(__xludf.DUMMYFUNCTION("""COMPUTED_VALUE"""),"Ms.")</f>
        <v>Ms.</v>
      </c>
      <c r="C570" t="str">
        <f>IFERROR(__xludf.DUMMYFUNCTION("""COMPUTED_VALUE"""),"Warangkana")</f>
        <v>Warangkana</v>
      </c>
      <c r="D570" t="str">
        <f>IFERROR(__xludf.DUMMYFUNCTION("""COMPUTED_VALUE"""),"Mattaweewong")</f>
        <v>Mattaweewong</v>
      </c>
      <c r="E570" t="str">
        <f>IFERROR(__xludf.DUMMYFUNCTION("""COMPUTED_VALUE"""),"Warangkana Mattaweewong")</f>
        <v>Warangkana Mattaweewong</v>
      </c>
      <c r="F570" t="str">
        <f>IFERROR(__xludf.DUMMYFUNCTION("""COMPUTED_VALUE"""),"นางสาว")</f>
        <v>นางสาว</v>
      </c>
      <c r="G570" t="str">
        <f>IFERROR(__xludf.DUMMYFUNCTION("""COMPUTED_VALUE"""),"วรางคณา")</f>
        <v>วรางคณา</v>
      </c>
      <c r="H570" t="str">
        <f>IFERROR(__xludf.DUMMYFUNCTION("""COMPUTED_VALUE"""),"มัททวีวงศ์")</f>
        <v>มัททวีวงศ์</v>
      </c>
      <c r="I570" t="str">
        <f>IFERROR(__xludf.DUMMYFUNCTION("""COMPUTED_VALUE"""),"วรางคณา มัททวีวงศ์")</f>
        <v>วรางคณา มัททวีวงศ์</v>
      </c>
      <c r="J570" t="str">
        <f>IFERROR(__xludf.DUMMYFUNCTION("""COMPUTED_VALUE"""),"Mint มิ้น")</f>
        <v>Mint มิ้น</v>
      </c>
      <c r="K570" t="str">
        <f>IFERROR(__xludf.DUMMYFUNCTION("""COMPUTED_VALUE"""),"Cabin Crew")</f>
        <v>Cabin Crew</v>
      </c>
      <c r="L570" t="str">
        <f>IFERROR(__xludf.DUMMYFUNCTION("""COMPUTED_VALUE"""),"DMK")</f>
        <v>DMK</v>
      </c>
      <c r="M570" s="145" t="str">
        <f>IFERROR(__xludf.DUMMYFUNCTION("""COMPUTED_VALUE"""),"Nhui Home")</f>
        <v>Nhui Home</v>
      </c>
      <c r="N570" t="str">
        <f>IFERROR(__xludf.DUMMYFUNCTION("""COMPUTED_VALUE"""),"Active")</f>
        <v>Active</v>
      </c>
      <c r="P570" s="143">
        <f>IFERROR(__xludf.DUMMYFUNCTION("""COMPUTED_VALUE"""),33156.0)</f>
        <v>33156</v>
      </c>
      <c r="Q570" s="146" t="str">
        <f>IFERROR(__xludf.DUMMYFUNCTION("""COMPUTED_VALUE"""),"099-2479794")</f>
        <v>099-2479794</v>
      </c>
      <c r="R570" s="147" t="str">
        <f>IFERROR(__xludf.DUMMYFUNCTION("""COMPUTED_VALUE"""),"1302000-15-0247")</f>
        <v>1302000-15-0247</v>
      </c>
      <c r="S570" t="str">
        <f>IFERROR(__xludf.DUMMYFUNCTION("""COMPUTED_VALUE"""),"AD1079948")</f>
        <v>AD1079948</v>
      </c>
      <c r="T570" s="148">
        <f>IFERROR(__xludf.DUMMYFUNCTION("""COMPUTED_VALUE"""),45061.0)</f>
        <v>45061</v>
      </c>
      <c r="U570" s="148">
        <f>IFERROR(__xludf.DUMMYFUNCTION("""COMPUTED_VALUE"""),48713.0)</f>
        <v>48713</v>
      </c>
      <c r="V570" s="149">
        <f>IFERROR(__xludf.DUMMYFUNCTION("""COMPUTED_VALUE"""),48532.0)</f>
        <v>48532</v>
      </c>
      <c r="W570" t="str">
        <f>IFERROR(__xludf.DUMMYFUNCTION("""COMPUTED_VALUE"""),"ปลอดภัย")</f>
        <v>ปลอดภัย</v>
      </c>
      <c r="X570" t="str">
        <f>IFERROR(__xludf.DUMMYFUNCTION("""COMPUTED_VALUE"""),"Nakhon Ratchasima Province")</f>
        <v>Nakhon Ratchasima Province</v>
      </c>
      <c r="Y570" t="str">
        <f>IFERROR(__xludf.DUMMYFUNCTION("""COMPUTED_VALUE"""),"Nakhonratchsima")</f>
        <v>Nakhonratchsima</v>
      </c>
      <c r="Z570" t="str">
        <f>IFERROR(__xludf.DUMMYFUNCTION("""COMPUTED_VALUE"""),"093-062-7669")</f>
        <v>093-062-7669</v>
      </c>
      <c r="AA570" t="str">
        <f>IFERROR(__xludf.DUMMYFUNCTION("""COMPUTED_VALUE"""),"Wanna(Mother)")</f>
        <v>Wanna(Mother)</v>
      </c>
      <c r="AB570" t="str">
        <f>IFERROR(__xludf.DUMMYFUNCTION("""COMPUTED_VALUE"""),"warangkanam@airasia.com")</f>
        <v>warangkanam@airasia.com</v>
      </c>
    </row>
    <row r="571">
      <c r="A571">
        <f>IFERROR(__xludf.DUMMYFUNCTION("""COMPUTED_VALUE"""),1012188.0)</f>
        <v>1012188</v>
      </c>
      <c r="B571" t="str">
        <f>IFERROR(__xludf.DUMMYFUNCTION("""COMPUTED_VALUE"""),"Mr.")</f>
        <v>Mr.</v>
      </c>
      <c r="C571" t="str">
        <f>IFERROR(__xludf.DUMMYFUNCTION("""COMPUTED_VALUE"""),"Warut")</f>
        <v>Warut</v>
      </c>
      <c r="D571" t="str">
        <f>IFERROR(__xludf.DUMMYFUNCTION("""COMPUTED_VALUE"""),"Sritham")</f>
        <v>Sritham</v>
      </c>
      <c r="E571" t="str">
        <f>IFERROR(__xludf.DUMMYFUNCTION("""COMPUTED_VALUE"""),"Warut Sritham")</f>
        <v>Warut Sritham</v>
      </c>
      <c r="F571" t="str">
        <f>IFERROR(__xludf.DUMMYFUNCTION("""COMPUTED_VALUE"""),"นาย")</f>
        <v>นาย</v>
      </c>
      <c r="G571" t="str">
        <f>IFERROR(__xludf.DUMMYFUNCTION("""COMPUTED_VALUE"""),"วรุตม์")</f>
        <v>วรุตม์</v>
      </c>
      <c r="H571" t="str">
        <f>IFERROR(__xludf.DUMMYFUNCTION("""COMPUTED_VALUE"""),"ศรีธรรม")</f>
        <v>ศรีธรรม</v>
      </c>
      <c r="I571" t="str">
        <f>IFERROR(__xludf.DUMMYFUNCTION("""COMPUTED_VALUE"""),"วรุตม์ ศรีธรรม")</f>
        <v>วรุตม์ ศรีธรรม</v>
      </c>
      <c r="J571" t="str">
        <f>IFERROR(__xludf.DUMMYFUNCTION("""COMPUTED_VALUE"""),"ต๊อป Top")</f>
        <v>ต๊อป Top</v>
      </c>
      <c r="K571" t="str">
        <f>IFERROR(__xludf.DUMMYFUNCTION("""COMPUTED_VALUE"""),"Cabin Crew")</f>
        <v>Cabin Crew</v>
      </c>
      <c r="L571" t="str">
        <f>IFERROR(__xludf.DUMMYFUNCTION("""COMPUTED_VALUE"""),"DMK")</f>
        <v>DMK</v>
      </c>
      <c r="M571" s="145" t="str">
        <f>IFERROR(__xludf.DUMMYFUNCTION("""COMPUTED_VALUE"""),"Nhui Home")</f>
        <v>Nhui Home</v>
      </c>
      <c r="N571" t="str">
        <f>IFERROR(__xludf.DUMMYFUNCTION("""COMPUTED_VALUE"""),"Active")</f>
        <v>Active</v>
      </c>
      <c r="O571" t="str">
        <f>IFERROR(__xludf.DUMMYFUNCTION("""COMPUTED_VALUE"""),"Chinese Speaking")</f>
        <v>Chinese Speaking</v>
      </c>
      <c r="P571" s="143">
        <f>IFERROR(__xludf.DUMMYFUNCTION("""COMPUTED_VALUE"""),33278.0)</f>
        <v>33278</v>
      </c>
      <c r="Q571" s="146" t="str">
        <f>IFERROR(__xludf.DUMMYFUNCTION("""COMPUTED_VALUE"""),"081-999-1317")</f>
        <v>081-999-1317</v>
      </c>
      <c r="R571" s="147" t="str">
        <f>IFERROR(__xludf.DUMMYFUNCTION("""COMPUTED_VALUE"""),"1509900-97-7711")</f>
        <v>1509900-97-7711</v>
      </c>
      <c r="S571" t="str">
        <f>IFERROR(__xludf.DUMMYFUNCTION("""COMPUTED_VALUE"""),"AC2261839")</f>
        <v>AC2261839</v>
      </c>
      <c r="T571" s="148">
        <f>IFERROR(__xludf.DUMMYFUNCTION("""COMPUTED_VALUE"""),44319.0)</f>
        <v>44319</v>
      </c>
      <c r="U571" s="148">
        <f>IFERROR(__xludf.DUMMYFUNCTION("""COMPUTED_VALUE"""),47970.0)</f>
        <v>47970</v>
      </c>
      <c r="V571" s="149">
        <f>IFERROR(__xludf.DUMMYFUNCTION("""COMPUTED_VALUE"""),47789.0)</f>
        <v>47789</v>
      </c>
      <c r="W571" t="str">
        <f>IFERROR(__xludf.DUMMYFUNCTION("""COMPUTED_VALUE"""),"ปลอดภัย")</f>
        <v>ปลอดภัย</v>
      </c>
      <c r="X571" t="str">
        <f>IFERROR(__xludf.DUMMYFUNCTION("""COMPUTED_VALUE"""),"Chiang Mai Province")</f>
        <v>Chiang Mai Province</v>
      </c>
      <c r="Y571" t="str">
        <f>IFERROR(__xludf.DUMMYFUNCTION("""COMPUTED_VALUE"""),"Samutprakarn")</f>
        <v>Samutprakarn</v>
      </c>
      <c r="Z571" t="str">
        <f>IFERROR(__xludf.DUMMYFUNCTION("""COMPUTED_VALUE"""),"086-969-1100")</f>
        <v>086-969-1100</v>
      </c>
      <c r="AA571" t="str">
        <f>IFERROR(__xludf.DUMMYFUNCTION("""COMPUTED_VALUE"""),"Phasin")</f>
        <v>Phasin</v>
      </c>
      <c r="AB571" t="str">
        <f>IFERROR(__xludf.DUMMYFUNCTION("""COMPUTED_VALUE"""),"waruts@airasia.com")</f>
        <v>waruts@airasia.com</v>
      </c>
    </row>
    <row r="572">
      <c r="AB572" t="str">
        <f>IFERROR(__xludf.DUMMYFUNCTION("""COMPUTED_VALUE"""),"")</f>
        <v/>
      </c>
    </row>
    <row r="573">
      <c r="A573">
        <f>IFERROR(__xludf.DUMMYFUNCTION("""COMPUTED_VALUE"""),1011053.0)</f>
        <v>1011053</v>
      </c>
      <c r="B573" t="str">
        <f>IFERROR(__xludf.DUMMYFUNCTION("""COMPUTED_VALUE"""),"Mr.")</f>
        <v>Mr.</v>
      </c>
      <c r="C573" t="str">
        <f>IFERROR(__xludf.DUMMYFUNCTION("""COMPUTED_VALUE"""),"Athit")</f>
        <v>Athit</v>
      </c>
      <c r="D573" t="str">
        <f>IFERROR(__xludf.DUMMYFUNCTION("""COMPUTED_VALUE"""),"Sornsiriwong")</f>
        <v>Sornsiriwong</v>
      </c>
      <c r="E573" t="str">
        <f>IFERROR(__xludf.DUMMYFUNCTION("""COMPUTED_VALUE"""),"Athit Sornsiriwong")</f>
        <v>Athit Sornsiriwong</v>
      </c>
      <c r="F573" t="str">
        <f>IFERROR(__xludf.DUMMYFUNCTION("""COMPUTED_VALUE"""),"นาย")</f>
        <v>นาย</v>
      </c>
      <c r="G573" t="str">
        <f>IFERROR(__xludf.DUMMYFUNCTION("""COMPUTED_VALUE"""),"อธิษฐ์")</f>
        <v>อธิษฐ์</v>
      </c>
      <c r="H573" t="str">
        <f>IFERROR(__xludf.DUMMYFUNCTION("""COMPUTED_VALUE"""),"ศรศิริวงศ์")</f>
        <v>ศรศิริวงศ์</v>
      </c>
      <c r="I573" t="str">
        <f>IFERROR(__xludf.DUMMYFUNCTION("""COMPUTED_VALUE"""),"อธิษฐ์ ศรศิริวงศ์")</f>
        <v>อธิษฐ์ ศรศิริวงศ์</v>
      </c>
      <c r="J573" t="str">
        <f>IFERROR(__xludf.DUMMYFUNCTION("""COMPUTED_VALUE"""),"Tee ตี๋")</f>
        <v>Tee ตี๋</v>
      </c>
      <c r="K573" t="str">
        <f>IFERROR(__xludf.DUMMYFUNCTION("""COMPUTED_VALUE"""),"Senior Cabin Crew")</f>
        <v>Senior Cabin Crew</v>
      </c>
      <c r="L573" t="str">
        <f>IFERROR(__xludf.DUMMYFUNCTION("""COMPUTED_VALUE"""),"DMK")</f>
        <v>DMK</v>
      </c>
      <c r="M573" s="145" t="str">
        <f>IFERROR(__xludf.DUMMYFUNCTION("""COMPUTED_VALUE"""),"Por+ Home")</f>
        <v>Por+ Home</v>
      </c>
      <c r="N573" t="str">
        <f>IFERROR(__xludf.DUMMYFUNCTION("""COMPUTED_VALUE"""),"Active")</f>
        <v>Active</v>
      </c>
      <c r="O573" t="str">
        <f>IFERROR(__xludf.DUMMYFUNCTION("""COMPUTED_VALUE"""),"Chinese Speaking / Korean Speaking")</f>
        <v>Chinese Speaking / Korean Speaking</v>
      </c>
      <c r="P573" s="143">
        <f>IFERROR(__xludf.DUMMYFUNCTION("""COMPUTED_VALUE"""),32456.0)</f>
        <v>32456</v>
      </c>
      <c r="Q573" s="146" t="str">
        <f>IFERROR(__xludf.DUMMYFUNCTION("""COMPUTED_VALUE"""),"088-244-4256")</f>
        <v>088-244-4256</v>
      </c>
      <c r="R573" s="147" t="str">
        <f>IFERROR(__xludf.DUMMYFUNCTION("""COMPUTED_VALUE"""),"1700400-12-4361")</f>
        <v>1700400-12-4361</v>
      </c>
      <c r="S573" t="str">
        <f>IFERROR(__xludf.DUMMYFUNCTION("""COMPUTED_VALUE"""),"AC2359726")</f>
        <v>AC2359726</v>
      </c>
      <c r="T573" s="148">
        <f>IFERROR(__xludf.DUMMYFUNCTION("""COMPUTED_VALUE"""),44271.0)</f>
        <v>44271</v>
      </c>
      <c r="U573" s="148">
        <f>IFERROR(__xludf.DUMMYFUNCTION("""COMPUTED_VALUE"""),47922.0)</f>
        <v>47922</v>
      </c>
      <c r="V573" s="149">
        <f>IFERROR(__xludf.DUMMYFUNCTION("""COMPUTED_VALUE"""),47741.0)</f>
        <v>47741</v>
      </c>
      <c r="W573" t="str">
        <f>IFERROR(__xludf.DUMMYFUNCTION("""COMPUTED_VALUE"""),"ปลอดภัย")</f>
        <v>ปลอดภัย</v>
      </c>
      <c r="X573" t="str">
        <f>IFERROR(__xludf.DUMMYFUNCTION("""COMPUTED_VALUE"""),"Ratchaburi Province")</f>
        <v>Ratchaburi Province</v>
      </c>
      <c r="Y573" t="str">
        <f>IFERROR(__xludf.DUMMYFUNCTION("""COMPUTED_VALUE"""),"Ratchaburi")</f>
        <v>Ratchaburi</v>
      </c>
      <c r="Z573" t="str">
        <f>IFERROR(__xludf.DUMMYFUNCTION("""COMPUTED_VALUE"""),"083-556-1556")</f>
        <v>083-556-1556</v>
      </c>
      <c r="AA573" t="str">
        <f>IFERROR(__xludf.DUMMYFUNCTION("""COMPUTED_VALUE"""),"Suvijak")</f>
        <v>Suvijak</v>
      </c>
      <c r="AB573" t="str">
        <f>IFERROR(__xludf.DUMMYFUNCTION("""COMPUTED_VALUE"""),"athits@airasia.com")</f>
        <v>athits@airasia.com</v>
      </c>
    </row>
    <row r="574">
      <c r="A574">
        <f>IFERROR(__xludf.DUMMYFUNCTION("""COMPUTED_VALUE"""),1011058.0)</f>
        <v>1011058</v>
      </c>
      <c r="B574" t="str">
        <f>IFERROR(__xludf.DUMMYFUNCTION("""COMPUTED_VALUE"""),"Ms.")</f>
        <v>Ms.</v>
      </c>
      <c r="C574" t="str">
        <f>IFERROR(__xludf.DUMMYFUNCTION("""COMPUTED_VALUE"""),"Hunsa")</f>
        <v>Hunsa</v>
      </c>
      <c r="D574" t="str">
        <f>IFERROR(__xludf.DUMMYFUNCTION("""COMPUTED_VALUE"""),"Dechthanaphaisan")</f>
        <v>Dechthanaphaisan</v>
      </c>
      <c r="E574" t="str">
        <f>IFERROR(__xludf.DUMMYFUNCTION("""COMPUTED_VALUE"""),"Hunsa Dechthanaphaisan")</f>
        <v>Hunsa Dechthanaphaisan</v>
      </c>
      <c r="F574" t="str">
        <f>IFERROR(__xludf.DUMMYFUNCTION("""COMPUTED_VALUE"""),"นางสาว")</f>
        <v>นางสาว</v>
      </c>
      <c r="G574" t="str">
        <f>IFERROR(__xludf.DUMMYFUNCTION("""COMPUTED_VALUE"""),"หรรษา")</f>
        <v>หรรษา</v>
      </c>
      <c r="H574" t="str">
        <f>IFERROR(__xludf.DUMMYFUNCTION("""COMPUTED_VALUE"""),"เดชธนไพศาล")</f>
        <v>เดชธนไพศาล</v>
      </c>
      <c r="I574" t="str">
        <f>IFERROR(__xludf.DUMMYFUNCTION("""COMPUTED_VALUE"""),"หรรษา เดชธนไพศาล")</f>
        <v>หรรษา เดชธนไพศาล</v>
      </c>
      <c r="J574" t="str">
        <f>IFERROR(__xludf.DUMMYFUNCTION("""COMPUTED_VALUE"""),"Gib กิ๊บ")</f>
        <v>Gib กิ๊บ</v>
      </c>
      <c r="K574" t="str">
        <f>IFERROR(__xludf.DUMMYFUNCTION("""COMPUTED_VALUE"""),"Cabin Crew")</f>
        <v>Cabin Crew</v>
      </c>
      <c r="L574" t="str">
        <f>IFERROR(__xludf.DUMMYFUNCTION("""COMPUTED_VALUE"""),"DMK")</f>
        <v>DMK</v>
      </c>
      <c r="M574" s="145" t="str">
        <f>IFERROR(__xludf.DUMMYFUNCTION("""COMPUTED_VALUE"""),"Kor Home")</f>
        <v>Kor Home</v>
      </c>
      <c r="N574" t="str">
        <f>IFERROR(__xludf.DUMMYFUNCTION("""COMPUTED_VALUE"""),"Active")</f>
        <v>Active</v>
      </c>
      <c r="P574" s="143">
        <f>IFERROR(__xludf.DUMMYFUNCTION("""COMPUTED_VALUE"""),32256.0)</f>
        <v>32256</v>
      </c>
      <c r="Q574" s="146" t="str">
        <f>IFERROR(__xludf.DUMMYFUNCTION("""COMPUTED_VALUE"""),"083-050-5496")</f>
        <v>083-050-5496</v>
      </c>
      <c r="R574" s="147" t="str">
        <f>IFERROR(__xludf.DUMMYFUNCTION("""COMPUTED_VALUE"""),"1100400-32-5001")</f>
        <v>1100400-32-5001</v>
      </c>
      <c r="S574" t="str">
        <f>IFERROR(__xludf.DUMMYFUNCTION("""COMPUTED_VALUE"""),"AD1026011")</f>
        <v>AD1026011</v>
      </c>
      <c r="T574" s="148">
        <f>IFERROR(__xludf.DUMMYFUNCTION("""COMPUTED_VALUE"""),45047.0)</f>
        <v>45047</v>
      </c>
      <c r="U574" s="148">
        <f>IFERROR(__xludf.DUMMYFUNCTION("""COMPUTED_VALUE"""),48699.0)</f>
        <v>48699</v>
      </c>
      <c r="V574" s="149">
        <f>IFERROR(__xludf.DUMMYFUNCTION("""COMPUTED_VALUE"""),48517.0)</f>
        <v>48517</v>
      </c>
      <c r="W574" t="str">
        <f>IFERROR(__xludf.DUMMYFUNCTION("""COMPUTED_VALUE"""),"ปลอดภัย")</f>
        <v>ปลอดภัย</v>
      </c>
      <c r="X574" t="str">
        <f>IFERROR(__xludf.DUMMYFUNCTION("""COMPUTED_VALUE"""),"Bangkok")</f>
        <v>Bangkok</v>
      </c>
      <c r="Y574" t="str">
        <f>IFERROR(__xludf.DUMMYFUNCTION("""COMPUTED_VALUE"""),"Bangjak")</f>
        <v>Bangjak</v>
      </c>
      <c r="Z574" t="str">
        <f>IFERROR(__xludf.DUMMYFUNCTION("""COMPUTED_VALUE"""),"087-673-3354")</f>
        <v>087-673-3354</v>
      </c>
      <c r="AA574" t="str">
        <f>IFERROR(__xludf.DUMMYFUNCTION("""COMPUTED_VALUE"""),"Nawat")</f>
        <v>Nawat</v>
      </c>
      <c r="AB574" t="str">
        <f>IFERROR(__xludf.DUMMYFUNCTION("""COMPUTED_VALUE"""),"hunsad@airasia.com")</f>
        <v>hunsad@airasia.com</v>
      </c>
    </row>
    <row r="575">
      <c r="A575">
        <f>IFERROR(__xludf.DUMMYFUNCTION("""COMPUTED_VALUE"""),1011059.0)</f>
        <v>1011059</v>
      </c>
      <c r="B575" t="str">
        <f>IFERROR(__xludf.DUMMYFUNCTION("""COMPUTED_VALUE"""),"Ms.")</f>
        <v>Ms.</v>
      </c>
      <c r="C575" t="str">
        <f>IFERROR(__xludf.DUMMYFUNCTION("""COMPUTED_VALUE"""),"Janejira")</f>
        <v>Janejira</v>
      </c>
      <c r="D575" t="str">
        <f>IFERROR(__xludf.DUMMYFUNCTION("""COMPUTED_VALUE"""),"Kavetreerawat")</f>
        <v>Kavetreerawat</v>
      </c>
      <c r="E575" t="str">
        <f>IFERROR(__xludf.DUMMYFUNCTION("""COMPUTED_VALUE"""),"Janejira Kavetreerawat")</f>
        <v>Janejira Kavetreerawat</v>
      </c>
      <c r="F575" t="str">
        <f>IFERROR(__xludf.DUMMYFUNCTION("""COMPUTED_VALUE"""),"นางสาว")</f>
        <v>นางสาว</v>
      </c>
      <c r="G575" t="str">
        <f>IFERROR(__xludf.DUMMYFUNCTION("""COMPUTED_VALUE"""),"เจนจิรา")</f>
        <v>เจนจิรา</v>
      </c>
      <c r="H575" t="str">
        <f>IFERROR(__xludf.DUMMYFUNCTION("""COMPUTED_VALUE"""),"กวีธีระวัฒน์")</f>
        <v>กวีธีระวัฒน์</v>
      </c>
      <c r="I575" t="str">
        <f>IFERROR(__xludf.DUMMYFUNCTION("""COMPUTED_VALUE"""),"เจนจิรา กวีธีระวัฒน์")</f>
        <v>เจนจิรา กวีธีระวัฒน์</v>
      </c>
      <c r="J575" t="str">
        <f>IFERROR(__xludf.DUMMYFUNCTION("""COMPUTED_VALUE"""),"Jane")</f>
        <v>Jane</v>
      </c>
      <c r="K575" t="str">
        <f>IFERROR(__xludf.DUMMYFUNCTION("""COMPUTED_VALUE"""),"Cabin Crew")</f>
        <v>Cabin Crew</v>
      </c>
      <c r="L575" t="str">
        <f>IFERROR(__xludf.DUMMYFUNCTION("""COMPUTED_VALUE"""),"DMK")</f>
        <v>DMK</v>
      </c>
      <c r="M575" s="145" t="str">
        <f>IFERROR(__xludf.DUMMYFUNCTION("""COMPUTED_VALUE"""),"Up Home")</f>
        <v>Up Home</v>
      </c>
      <c r="N575" t="str">
        <f>IFERROR(__xludf.DUMMYFUNCTION("""COMPUTED_VALUE"""),"V/LWP")</f>
        <v>V/LWP</v>
      </c>
      <c r="P575" s="143">
        <f>IFERROR(__xludf.DUMMYFUNCTION("""COMPUTED_VALUE"""),32914.0)</f>
        <v>32914</v>
      </c>
      <c r="Q575" s="146" t="str">
        <f>IFERROR(__xludf.DUMMYFUNCTION("""COMPUTED_VALUE"""),"086-348-0841")</f>
        <v>086-348-0841</v>
      </c>
      <c r="R575" s="147" t="str">
        <f>IFERROR(__xludf.DUMMYFUNCTION("""COMPUTED_VALUE"""),"1100800-59-7599")</f>
        <v>1100800-59-7599</v>
      </c>
      <c r="S575" t="str">
        <f>IFERROR(__xludf.DUMMYFUNCTION("""COMPUTED_VALUE"""),"AC5832112")</f>
        <v>AC5832112</v>
      </c>
      <c r="T575" s="148">
        <f>IFERROR(__xludf.DUMMYFUNCTION("""COMPUTED_VALUE"""),45194.0)</f>
        <v>45194</v>
      </c>
      <c r="U575" s="148">
        <f>IFERROR(__xludf.DUMMYFUNCTION("""COMPUTED_VALUE"""),48846.0)</f>
        <v>48846</v>
      </c>
      <c r="V575" s="149">
        <f>IFERROR(__xludf.DUMMYFUNCTION("""COMPUTED_VALUE"""),48662.0)</f>
        <v>48662</v>
      </c>
      <c r="W575" t="str">
        <f>IFERROR(__xludf.DUMMYFUNCTION("""COMPUTED_VALUE"""),"ปลอดภัย")</f>
        <v>ปลอดภัย</v>
      </c>
      <c r="X575" t="str">
        <f>IFERROR(__xludf.DUMMYFUNCTION("""COMPUTED_VALUE"""),"Bangkok")</f>
        <v>Bangkok</v>
      </c>
      <c r="Y575" t="str">
        <f>IFERROR(__xludf.DUMMYFUNCTION("""COMPUTED_VALUE"""),"Buengkum")</f>
        <v>Buengkum</v>
      </c>
      <c r="Z575" t="str">
        <f>IFERROR(__xludf.DUMMYFUNCTION("""COMPUTED_VALUE"""),"097-045-2204")</f>
        <v>097-045-2204</v>
      </c>
      <c r="AA575" t="str">
        <f>IFERROR(__xludf.DUMMYFUNCTION("""COMPUTED_VALUE"""),"Watcharee")</f>
        <v>Watcharee</v>
      </c>
      <c r="AB575" t="str">
        <f>IFERROR(__xludf.DUMMYFUNCTION("""COMPUTED_VALUE"""),"janejirak@airasia.com")</f>
        <v>janejirak@airasia.com</v>
      </c>
    </row>
    <row r="576">
      <c r="A576">
        <f>IFERROR(__xludf.DUMMYFUNCTION("""COMPUTED_VALUE"""),1011060.0)</f>
        <v>1011060</v>
      </c>
      <c r="B576" t="str">
        <f>IFERROR(__xludf.DUMMYFUNCTION("""COMPUTED_VALUE"""),"Ms.")</f>
        <v>Ms.</v>
      </c>
      <c r="C576" t="str">
        <f>IFERROR(__xludf.DUMMYFUNCTION("""COMPUTED_VALUE"""),"Jariya")</f>
        <v>Jariya</v>
      </c>
      <c r="D576" t="str">
        <f>IFERROR(__xludf.DUMMYFUNCTION("""COMPUTED_VALUE"""),"Paopan")</f>
        <v>Paopan</v>
      </c>
      <c r="E576" t="str">
        <f>IFERROR(__xludf.DUMMYFUNCTION("""COMPUTED_VALUE"""),"Jariya Paopan")</f>
        <v>Jariya Paopan</v>
      </c>
      <c r="F576" t="str">
        <f>IFERROR(__xludf.DUMMYFUNCTION("""COMPUTED_VALUE"""),"นางสาว")</f>
        <v>นางสาว</v>
      </c>
      <c r="G576" t="str">
        <f>IFERROR(__xludf.DUMMYFUNCTION("""COMPUTED_VALUE"""),"จริยา")</f>
        <v>จริยา</v>
      </c>
      <c r="H576" t="str">
        <f>IFERROR(__xludf.DUMMYFUNCTION("""COMPUTED_VALUE"""),"เผ่าพันธ์")</f>
        <v>เผ่าพันธ์</v>
      </c>
      <c r="I576" t="str">
        <f>IFERROR(__xludf.DUMMYFUNCTION("""COMPUTED_VALUE"""),"จริยา เผ่าพันธ์")</f>
        <v>จริยา เผ่าพันธ์</v>
      </c>
      <c r="J576" t="str">
        <f>IFERROR(__xludf.DUMMYFUNCTION("""COMPUTED_VALUE"""),"Plair แพร")</f>
        <v>Plair แพร</v>
      </c>
      <c r="K576" t="str">
        <f>IFERROR(__xludf.DUMMYFUNCTION("""COMPUTED_VALUE"""),"Cabin Crew")</f>
        <v>Cabin Crew</v>
      </c>
      <c r="L576" t="str">
        <f>IFERROR(__xludf.DUMMYFUNCTION("""COMPUTED_VALUE"""),"DMK")</f>
        <v>DMK</v>
      </c>
      <c r="M576" s="145" t="str">
        <f>IFERROR(__xludf.DUMMYFUNCTION("""COMPUTED_VALUE"""),"Kor Home")</f>
        <v>Kor Home</v>
      </c>
      <c r="N576" t="str">
        <f>IFERROR(__xludf.DUMMYFUNCTION("""COMPUTED_VALUE"""),"Active")</f>
        <v>Active</v>
      </c>
      <c r="P576" s="143">
        <f>IFERROR(__xludf.DUMMYFUNCTION("""COMPUTED_VALUE"""),32923.0)</f>
        <v>32923</v>
      </c>
      <c r="Q576" s="146" t="str">
        <f>IFERROR(__xludf.DUMMYFUNCTION("""COMPUTED_VALUE"""),"087 989 8795")</f>
        <v>087 989 8795</v>
      </c>
      <c r="R576" s="147" t="str">
        <f>IFERROR(__xludf.DUMMYFUNCTION("""COMPUTED_VALUE"""),"1101401-69-0472")</f>
        <v>1101401-69-0472</v>
      </c>
      <c r="S576" t="str">
        <f>IFERROR(__xludf.DUMMYFUNCTION("""COMPUTED_VALUE"""),"AD0125902")</f>
        <v>AD0125902</v>
      </c>
      <c r="T576" s="148">
        <f>IFERROR(__xludf.DUMMYFUNCTION("""COMPUTED_VALUE"""),44837.0)</f>
        <v>44837</v>
      </c>
      <c r="U576" s="148">
        <f>IFERROR(__xludf.DUMMYFUNCTION("""COMPUTED_VALUE"""),48489.0)</f>
        <v>48489</v>
      </c>
      <c r="V576" s="149">
        <f>IFERROR(__xludf.DUMMYFUNCTION("""COMPUTED_VALUE"""),48306.0)</f>
        <v>48306</v>
      </c>
      <c r="W576" t="str">
        <f>IFERROR(__xludf.DUMMYFUNCTION("""COMPUTED_VALUE"""),"ปลอดภัย")</f>
        <v>ปลอดภัย</v>
      </c>
      <c r="X576" t="str">
        <f>IFERROR(__xludf.DUMMYFUNCTION("""COMPUTED_VALUE"""),"Bangkok")</f>
        <v>Bangkok</v>
      </c>
      <c r="Y576" t="str">
        <f>IFERROR(__xludf.DUMMYFUNCTION("""COMPUTED_VALUE"""),"Jatujak")</f>
        <v>Jatujak</v>
      </c>
      <c r="Z576" t="str">
        <f>IFERROR(__xludf.DUMMYFUNCTION("""COMPUTED_VALUE"""),"089-218-4441")</f>
        <v>089-218-4441</v>
      </c>
      <c r="AA576" t="str">
        <f>IFERROR(__xludf.DUMMYFUNCTION("""COMPUTED_VALUE"""),"Arpa")</f>
        <v>Arpa</v>
      </c>
      <c r="AB576" t="str">
        <f>IFERROR(__xludf.DUMMYFUNCTION("""COMPUTED_VALUE"""),"jariyaa@airasia.com")</f>
        <v>jariyaa@airasia.com</v>
      </c>
    </row>
    <row r="577">
      <c r="A577">
        <f>IFERROR(__xludf.DUMMYFUNCTION("""COMPUTED_VALUE"""),1011061.0)</f>
        <v>1011061</v>
      </c>
      <c r="B577" t="str">
        <f>IFERROR(__xludf.DUMMYFUNCTION("""COMPUTED_VALUE"""),"Ms.")</f>
        <v>Ms.</v>
      </c>
      <c r="C577" t="str">
        <f>IFERROR(__xludf.DUMMYFUNCTION("""COMPUTED_VALUE"""),"Jatuporn")</f>
        <v>Jatuporn</v>
      </c>
      <c r="D577" t="str">
        <f>IFERROR(__xludf.DUMMYFUNCTION("""COMPUTED_VALUE"""),"Samanchunt")</f>
        <v>Samanchunt</v>
      </c>
      <c r="E577" t="str">
        <f>IFERROR(__xludf.DUMMYFUNCTION("""COMPUTED_VALUE"""),"Jatuporn Samanchunt")</f>
        <v>Jatuporn Samanchunt</v>
      </c>
      <c r="F577" t="str">
        <f>IFERROR(__xludf.DUMMYFUNCTION("""COMPUTED_VALUE"""),"นางสาว")</f>
        <v>นางสาว</v>
      </c>
      <c r="G577" t="str">
        <f>IFERROR(__xludf.DUMMYFUNCTION("""COMPUTED_VALUE"""),"จตุภรณ์")</f>
        <v>จตุภรณ์</v>
      </c>
      <c r="H577" t="str">
        <f>IFERROR(__xludf.DUMMYFUNCTION("""COMPUTED_VALUE"""),"สมานฉันท์")</f>
        <v>สมานฉันท์</v>
      </c>
      <c r="I577" t="str">
        <f>IFERROR(__xludf.DUMMYFUNCTION("""COMPUTED_VALUE"""),"จตุภรณ์ สมานฉันท์")</f>
        <v>จตุภรณ์ สมานฉันท์</v>
      </c>
      <c r="J577" t="str">
        <f>IFERROR(__xludf.DUMMYFUNCTION("""COMPUTED_VALUE"""),"โปรด")</f>
        <v>โปรด</v>
      </c>
      <c r="K577" t="str">
        <f>IFERROR(__xludf.DUMMYFUNCTION("""COMPUTED_VALUE"""),"Cabin Crew")</f>
        <v>Cabin Crew</v>
      </c>
      <c r="L577" t="str">
        <f>IFERROR(__xludf.DUMMYFUNCTION("""COMPUTED_VALUE"""),"DMK")</f>
        <v>DMK</v>
      </c>
      <c r="M577" s="145" t="str">
        <f>IFERROR(__xludf.DUMMYFUNCTION("""COMPUTED_VALUE"""),"Por+ Home")</f>
        <v>Por+ Home</v>
      </c>
      <c r="N577" t="str">
        <f>IFERROR(__xludf.DUMMYFUNCTION("""COMPUTED_VALUE"""),"Active")</f>
        <v>Active</v>
      </c>
      <c r="P577" s="143">
        <f>IFERROR(__xludf.DUMMYFUNCTION("""COMPUTED_VALUE"""),32441.0)</f>
        <v>32441</v>
      </c>
      <c r="Q577" s="146" t="str">
        <f>IFERROR(__xludf.DUMMYFUNCTION("""COMPUTED_VALUE"""),"094-6654932")</f>
        <v>094-6654932</v>
      </c>
      <c r="R577" s="147" t="str">
        <f>IFERROR(__xludf.DUMMYFUNCTION("""COMPUTED_VALUE"""),"1100700-90-4261")</f>
        <v>1100700-90-4261</v>
      </c>
      <c r="S577" t="str">
        <f>IFERROR(__xludf.DUMMYFUNCTION("""COMPUTED_VALUE"""),"AD1203890")</f>
        <v>AD1203890</v>
      </c>
      <c r="T577" s="148">
        <f>IFERROR(__xludf.DUMMYFUNCTION("""COMPUTED_VALUE"""),45322.0)</f>
        <v>45322</v>
      </c>
      <c r="U577" s="148">
        <f>IFERROR(__xludf.DUMMYFUNCTION("""COMPUTED_VALUE"""),48974.0)</f>
        <v>48974</v>
      </c>
      <c r="V577" s="149">
        <f>IFERROR(__xludf.DUMMYFUNCTION("""COMPUTED_VALUE"""),48790.0)</f>
        <v>48790</v>
      </c>
      <c r="W577" t="str">
        <f>IFERROR(__xludf.DUMMYFUNCTION("""COMPUTED_VALUE"""),"ปลอดภัย")</f>
        <v>ปลอดภัย</v>
      </c>
      <c r="X577" t="str">
        <f>IFERROR(__xludf.DUMMYFUNCTION("""COMPUTED_VALUE"""),"Bangkok")</f>
        <v>Bangkok</v>
      </c>
      <c r="Y577" t="str">
        <f>IFERROR(__xludf.DUMMYFUNCTION("""COMPUTED_VALUE"""),"Bang Plee")</f>
        <v>Bang Plee</v>
      </c>
      <c r="Z577" t="str">
        <f>IFERROR(__xludf.DUMMYFUNCTION("""COMPUTED_VALUE"""),"02 328 7516 / 086 324 6548")</f>
        <v>02 328 7516 / 086 324 6548</v>
      </c>
      <c r="AA577" t="str">
        <f>IFERROR(__xludf.DUMMYFUNCTION("""COMPUTED_VALUE"""),"Home / Mother")</f>
        <v>Home / Mother</v>
      </c>
      <c r="AB577" t="str">
        <f>IFERROR(__xludf.DUMMYFUNCTION("""COMPUTED_VALUE"""),"jatuporns@airasia.com")</f>
        <v>jatuporns@airasia.com</v>
      </c>
    </row>
    <row r="578">
      <c r="A578">
        <f>IFERROR(__xludf.DUMMYFUNCTION("""COMPUTED_VALUE"""),1011062.0)</f>
        <v>1011062</v>
      </c>
      <c r="B578" t="str">
        <f>IFERROR(__xludf.DUMMYFUNCTION("""COMPUTED_VALUE"""),"Mr.")</f>
        <v>Mr.</v>
      </c>
      <c r="C578" t="str">
        <f>IFERROR(__xludf.DUMMYFUNCTION("""COMPUTED_VALUE"""),"Jutapong")</f>
        <v>Jutapong</v>
      </c>
      <c r="D578" t="str">
        <f>IFERROR(__xludf.DUMMYFUNCTION("""COMPUTED_VALUE"""),"Un-On")</f>
        <v>Un-On</v>
      </c>
      <c r="E578" t="str">
        <f>IFERROR(__xludf.DUMMYFUNCTION("""COMPUTED_VALUE"""),"Jutapong Un-On")</f>
        <v>Jutapong Un-On</v>
      </c>
      <c r="F578" t="str">
        <f>IFERROR(__xludf.DUMMYFUNCTION("""COMPUTED_VALUE"""),"นาย")</f>
        <v>นาย</v>
      </c>
      <c r="G578" t="str">
        <f>IFERROR(__xludf.DUMMYFUNCTION("""COMPUTED_VALUE"""),"จุฑาพงศ์")</f>
        <v>จุฑาพงศ์</v>
      </c>
      <c r="H578" t="str">
        <f>IFERROR(__xludf.DUMMYFUNCTION("""COMPUTED_VALUE"""),"อุ่นอ่อน")</f>
        <v>อุ่นอ่อน</v>
      </c>
      <c r="I578" t="str">
        <f>IFERROR(__xludf.DUMMYFUNCTION("""COMPUTED_VALUE"""),"จุฑาพงศ์ อุ่นอ่อน")</f>
        <v>จุฑาพงศ์ อุ่นอ่อน</v>
      </c>
      <c r="J578" t="str">
        <f>IFERROR(__xludf.DUMMYFUNCTION("""COMPUTED_VALUE"""),"Nat")</f>
        <v>Nat</v>
      </c>
      <c r="K578" t="str">
        <f>IFERROR(__xludf.DUMMYFUNCTION("""COMPUTED_VALUE"""),"Cabin Crew")</f>
        <v>Cabin Crew</v>
      </c>
      <c r="L578" t="str">
        <f>IFERROR(__xludf.DUMMYFUNCTION("""COMPUTED_VALUE"""),"DMK")</f>
        <v>DMK</v>
      </c>
      <c r="M578" s="145" t="str">
        <f>IFERROR(__xludf.DUMMYFUNCTION("""COMPUTED_VALUE"""),"Namfon Home")</f>
        <v>Namfon Home</v>
      </c>
      <c r="N578" t="str">
        <f>IFERROR(__xludf.DUMMYFUNCTION("""COMPUTED_VALUE"""),"Active")</f>
        <v>Active</v>
      </c>
      <c r="P578" s="143">
        <f>IFERROR(__xludf.DUMMYFUNCTION("""COMPUTED_VALUE"""),33025.0)</f>
        <v>33025</v>
      </c>
      <c r="Q578" s="146">
        <f>IFERROR(__xludf.DUMMYFUNCTION("""COMPUTED_VALUE"""),6.55145669E8)</f>
        <v>655145669</v>
      </c>
      <c r="R578" s="147" t="str">
        <f>IFERROR(__xludf.DUMMYFUNCTION("""COMPUTED_VALUE"""),"1102001-34-0653")</f>
        <v>1102001-34-0653</v>
      </c>
      <c r="S578" t="str">
        <f>IFERROR(__xludf.DUMMYFUNCTION("""COMPUTED_VALUE"""),"AC4092867")</f>
        <v>AC4092867</v>
      </c>
      <c r="T578" s="148">
        <f>IFERROR(__xludf.DUMMYFUNCTION("""COMPUTED_VALUE"""),44839.0)</f>
        <v>44839</v>
      </c>
      <c r="U578" s="148">
        <f>IFERROR(__xludf.DUMMYFUNCTION("""COMPUTED_VALUE"""),48491.0)</f>
        <v>48491</v>
      </c>
      <c r="V578" s="149">
        <f>IFERROR(__xludf.DUMMYFUNCTION("""COMPUTED_VALUE"""),48308.0)</f>
        <v>48308</v>
      </c>
      <c r="W578" t="str">
        <f>IFERROR(__xludf.DUMMYFUNCTION("""COMPUTED_VALUE"""),"ปลอดภัย")</f>
        <v>ปลอดภัย</v>
      </c>
      <c r="X578" t="str">
        <f>IFERROR(__xludf.DUMMYFUNCTION("""COMPUTED_VALUE"""),"Bangkok")</f>
        <v>Bangkok</v>
      </c>
      <c r="Y578" t="str">
        <f>IFERROR(__xludf.DUMMYFUNCTION("""COMPUTED_VALUE"""),"Bangkhae")</f>
        <v>Bangkhae</v>
      </c>
      <c r="Z578" t="str">
        <f>IFERROR(__xludf.DUMMYFUNCTION("""COMPUTED_VALUE"""),"02 454 0858 / 081 938 7948")</f>
        <v>02 454 0858 / 081 938 7948</v>
      </c>
      <c r="AA578" t="str">
        <f>IFERROR(__xludf.DUMMYFUNCTION("""COMPUTED_VALUE"""),"Home / Sivakorn")</f>
        <v>Home / Sivakorn</v>
      </c>
      <c r="AB578" t="str">
        <f>IFERROR(__xludf.DUMMYFUNCTION("""COMPUTED_VALUE"""),"jutapongu@airasia.com")</f>
        <v>jutapongu@airasia.com</v>
      </c>
    </row>
    <row r="579">
      <c r="A579">
        <f>IFERROR(__xludf.DUMMYFUNCTION("""COMPUTED_VALUE"""),1011065.0)</f>
        <v>1011065</v>
      </c>
      <c r="B579" t="str">
        <f>IFERROR(__xludf.DUMMYFUNCTION("""COMPUTED_VALUE"""),"Mr.")</f>
        <v>Mr.</v>
      </c>
      <c r="C579" t="str">
        <f>IFERROR(__xludf.DUMMYFUNCTION("""COMPUTED_VALUE"""),"krittapak")</f>
        <v>krittapak</v>
      </c>
      <c r="D579" t="str">
        <f>IFERROR(__xludf.DUMMYFUNCTION("""COMPUTED_VALUE"""),"Chuchuaisuwan")</f>
        <v>Chuchuaisuwan</v>
      </c>
      <c r="E579" t="str">
        <f>IFERROR(__xludf.DUMMYFUNCTION("""COMPUTED_VALUE"""),"Krittapak Chuchuaisuwan")</f>
        <v>Krittapak Chuchuaisuwan</v>
      </c>
      <c r="F579" t="str">
        <f>IFERROR(__xludf.DUMMYFUNCTION("""COMPUTED_VALUE"""),"นาย")</f>
        <v>นาย</v>
      </c>
      <c r="G579" t="str">
        <f>IFERROR(__xludf.DUMMYFUNCTION("""COMPUTED_VALUE"""),"กฤตาภัค")</f>
        <v>กฤตาภัค</v>
      </c>
      <c r="H579" t="str">
        <f>IFERROR(__xludf.DUMMYFUNCTION("""COMPUTED_VALUE"""),"ชูช่วยสุวรรณ")</f>
        <v>ชูช่วยสุวรรณ</v>
      </c>
      <c r="I579" t="str">
        <f>IFERROR(__xludf.DUMMYFUNCTION("""COMPUTED_VALUE"""),"กฤตาภัค ชูช่วยสุวรรณ")</f>
        <v>กฤตาภัค ชูช่วยสุวรรณ</v>
      </c>
      <c r="J579" t="str">
        <f>IFERROR(__xludf.DUMMYFUNCTION("""COMPUTED_VALUE"""),"Tone โตน")</f>
        <v>Tone โตน</v>
      </c>
      <c r="K579" t="str">
        <f>IFERROR(__xludf.DUMMYFUNCTION("""COMPUTED_VALUE"""),"Cabin Crew")</f>
        <v>Cabin Crew</v>
      </c>
      <c r="L579" t="str">
        <f>IFERROR(__xludf.DUMMYFUNCTION("""COMPUTED_VALUE"""),"DMK")</f>
        <v>DMK</v>
      </c>
      <c r="M579" s="145" t="str">
        <f>IFERROR(__xludf.DUMMYFUNCTION("""COMPUTED_VALUE"""),"Kor Home")</f>
        <v>Kor Home</v>
      </c>
      <c r="N579" t="str">
        <f>IFERROR(__xludf.DUMMYFUNCTION("""COMPUTED_VALUE"""),"Active")</f>
        <v>Active</v>
      </c>
      <c r="P579" s="143">
        <f>IFERROR(__xludf.DUMMYFUNCTION("""COMPUTED_VALUE"""),30211.0)</f>
        <v>30211</v>
      </c>
      <c r="Q579" s="146" t="str">
        <f>IFERROR(__xludf.DUMMYFUNCTION("""COMPUTED_VALUE"""),"098-797-4282")</f>
        <v>098-797-4282</v>
      </c>
      <c r="R579" s="147" t="str">
        <f>IFERROR(__xludf.DUMMYFUNCTION("""COMPUTED_VALUE"""),"3841200-32-3707")</f>
        <v>3841200-32-3707</v>
      </c>
      <c r="S579" t="str">
        <f>IFERROR(__xludf.DUMMYFUNCTION("""COMPUTED_VALUE"""),"AD1755122")</f>
        <v>AD1755122</v>
      </c>
      <c r="T579" s="148">
        <f>IFERROR(__xludf.DUMMYFUNCTION("""COMPUTED_VALUE"""),45443.0)</f>
        <v>45443</v>
      </c>
      <c r="U579" s="148">
        <f>IFERROR(__xludf.DUMMYFUNCTION("""COMPUTED_VALUE"""),49094.0)</f>
        <v>49094</v>
      </c>
      <c r="V579" s="149">
        <f>IFERROR(__xludf.DUMMYFUNCTION("""COMPUTED_VALUE"""),48913.0)</f>
        <v>48913</v>
      </c>
      <c r="W579" t="str">
        <f>IFERROR(__xludf.DUMMYFUNCTION("""COMPUTED_VALUE"""),"ปลอดภัย")</f>
        <v>ปลอดภัย</v>
      </c>
      <c r="X579" t="str">
        <f>IFERROR(__xludf.DUMMYFUNCTION("""COMPUTED_VALUE"""),"Surat Thani Province")</f>
        <v>Surat Thani Province</v>
      </c>
      <c r="Y579" t="str">
        <f>IFERROR(__xludf.DUMMYFUNCTION("""COMPUTED_VALUE"""),"Jatujak")</f>
        <v>Jatujak</v>
      </c>
      <c r="Z579" t="str">
        <f>IFERROR(__xludf.DUMMYFUNCTION("""COMPUTED_VALUE"""),"089-210-0038")</f>
        <v>089-210-0038</v>
      </c>
      <c r="AA579" t="str">
        <f>IFERROR(__xludf.DUMMYFUNCTION("""COMPUTED_VALUE"""),"Pannatthat")</f>
        <v>Pannatthat</v>
      </c>
      <c r="AB579" t="str">
        <f>IFERROR(__xludf.DUMMYFUNCTION("""COMPUTED_VALUE"""),"krittapakc@airasia.com")</f>
        <v>krittapakc@airasia.com</v>
      </c>
    </row>
    <row r="580">
      <c r="A580">
        <f>IFERROR(__xludf.DUMMYFUNCTION("""COMPUTED_VALUE"""),1011071.0)</f>
        <v>1011071</v>
      </c>
      <c r="B580" t="str">
        <f>IFERROR(__xludf.DUMMYFUNCTION("""COMPUTED_VALUE"""),"Ms.")</f>
        <v>Ms.</v>
      </c>
      <c r="C580" t="str">
        <f>IFERROR(__xludf.DUMMYFUNCTION("""COMPUTED_VALUE"""),"Puttinee")</f>
        <v>Puttinee</v>
      </c>
      <c r="D580" t="str">
        <f>IFERROR(__xludf.DUMMYFUNCTION("""COMPUTED_VALUE"""),"Satjapanpong (Kichpechr)")</f>
        <v>Satjapanpong (Kichpechr)</v>
      </c>
      <c r="E580" t="str">
        <f>IFERROR(__xludf.DUMMYFUNCTION("""COMPUTED_VALUE"""),"Puttinee Satjapanpong ")</f>
        <v>Puttinee Satjapanpong </v>
      </c>
      <c r="F580" t="str">
        <f>IFERROR(__xludf.DUMMYFUNCTION("""COMPUTED_VALUE"""),"นางสาว")</f>
        <v>นางสาว</v>
      </c>
      <c r="G580" t="str">
        <f>IFERROR(__xludf.DUMMYFUNCTION("""COMPUTED_VALUE"""),"พุทธินี")</f>
        <v>พุทธินี</v>
      </c>
      <c r="H580" t="str">
        <f>IFERROR(__xludf.DUMMYFUNCTION("""COMPUTED_VALUE"""),"สัจจพันธ์พงษ์ (กฤชเพ็ชร)")</f>
        <v>สัจจพันธ์พงษ์ (กฤชเพ็ชร)</v>
      </c>
      <c r="I580" t="str">
        <f>IFERROR(__xludf.DUMMYFUNCTION("""COMPUTED_VALUE"""),"พุทธินี สัจจพันธ์พงษ์ ")</f>
        <v>พุทธินี สัจจพันธ์พงษ์ </v>
      </c>
      <c r="J580" t="str">
        <f>IFERROR(__xludf.DUMMYFUNCTION("""COMPUTED_VALUE"""),"Aui อุ้ย")</f>
        <v>Aui อุ้ย</v>
      </c>
      <c r="K580" t="str">
        <f>IFERROR(__xludf.DUMMYFUNCTION("""COMPUTED_VALUE"""),"Cabin Crew")</f>
        <v>Cabin Crew</v>
      </c>
      <c r="L580" t="str">
        <f>IFERROR(__xludf.DUMMYFUNCTION("""COMPUTED_VALUE"""),"DMK")</f>
        <v>DMK</v>
      </c>
      <c r="M580" s="145" t="str">
        <f>IFERROR(__xludf.DUMMYFUNCTION("""COMPUTED_VALUE"""),"Nhui Home")</f>
        <v>Nhui Home</v>
      </c>
      <c r="N580" t="str">
        <f>IFERROR(__xludf.DUMMYFUNCTION("""COMPUTED_VALUE"""),"Active")</f>
        <v>Active</v>
      </c>
      <c r="P580" s="143">
        <f>IFERROR(__xludf.DUMMYFUNCTION("""COMPUTED_VALUE"""),32519.0)</f>
        <v>32519</v>
      </c>
      <c r="Q580" s="146">
        <f>IFERROR(__xludf.DUMMYFUNCTION("""COMPUTED_VALUE"""),9.29942641E8)</f>
        <v>929942641</v>
      </c>
      <c r="R580" s="147" t="str">
        <f>IFERROR(__xludf.DUMMYFUNCTION("""COMPUTED_VALUE"""),"1101401-54-4069")</f>
        <v>1101401-54-4069</v>
      </c>
      <c r="S580" t="str">
        <f>IFERROR(__xludf.DUMMYFUNCTION("""COMPUTED_VALUE"""),"AD1087154")</f>
        <v>AD1087154</v>
      </c>
      <c r="T580" s="148">
        <f>IFERROR(__xludf.DUMMYFUNCTION("""COMPUTED_VALUE"""),45064.0)</f>
        <v>45064</v>
      </c>
      <c r="U580" s="148">
        <f>IFERROR(__xludf.DUMMYFUNCTION("""COMPUTED_VALUE"""),48716.0)</f>
        <v>48716</v>
      </c>
      <c r="V580" s="149">
        <f>IFERROR(__xludf.DUMMYFUNCTION("""COMPUTED_VALUE"""),48535.0)</f>
        <v>48535</v>
      </c>
      <c r="W580" t="str">
        <f>IFERROR(__xludf.DUMMYFUNCTION("""COMPUTED_VALUE"""),"ปลอดภัย")</f>
        <v>ปลอดภัย</v>
      </c>
      <c r="X580" t="str">
        <f>IFERROR(__xludf.DUMMYFUNCTION("""COMPUTED_VALUE"""),"Bangkok")</f>
        <v>Bangkok</v>
      </c>
      <c r="Y580" t="str">
        <f>IFERROR(__xludf.DUMMYFUNCTION("""COMPUTED_VALUE"""),"Buengkhum")</f>
        <v>Buengkhum</v>
      </c>
      <c r="Z580" t="str">
        <f>IFERROR(__xludf.DUMMYFUNCTION("""COMPUTED_VALUE"""),"081-910-6937")</f>
        <v>081-910-6937</v>
      </c>
      <c r="AA580" t="str">
        <f>IFERROR(__xludf.DUMMYFUNCTION("""COMPUTED_VALUE"""),"Sanya")</f>
        <v>Sanya</v>
      </c>
      <c r="AB580" t="str">
        <f>IFERROR(__xludf.DUMMYFUNCTION("""COMPUTED_VALUE"""),"puttinees@airasia.com")</f>
        <v>puttinees@airasia.com</v>
      </c>
    </row>
    <row r="581">
      <c r="A581">
        <f>IFERROR(__xludf.DUMMYFUNCTION("""COMPUTED_VALUE"""),1011075.0)</f>
        <v>1011075</v>
      </c>
      <c r="B581" t="str">
        <f>IFERROR(__xludf.DUMMYFUNCTION("""COMPUTED_VALUE"""),"Ms.")</f>
        <v>Ms.</v>
      </c>
      <c r="C581" t="str">
        <f>IFERROR(__xludf.DUMMYFUNCTION("""COMPUTED_VALUE"""),"Sasisomapa")</f>
        <v>Sasisomapa</v>
      </c>
      <c r="D581" t="str">
        <f>IFERROR(__xludf.DUMMYFUNCTION("""COMPUTED_VALUE"""),"Vatchareewong Na Ayudthaya")</f>
        <v>Vatchareewong Na Ayudthaya</v>
      </c>
      <c r="E581" t="str">
        <f>IFERROR(__xludf.DUMMYFUNCTION("""COMPUTED_VALUE"""),"Sasisomapa Vatchareewong Na Ayudthaya")</f>
        <v>Sasisomapa Vatchareewong Na Ayudthaya</v>
      </c>
      <c r="F581" t="str">
        <f>IFERROR(__xludf.DUMMYFUNCTION("""COMPUTED_VALUE"""),"นางสาว")</f>
        <v>นางสาว</v>
      </c>
      <c r="G581" t="str">
        <f>IFERROR(__xludf.DUMMYFUNCTION("""COMPUTED_VALUE"""),"ศศิโสมาภา")</f>
        <v>ศศิโสมาภา</v>
      </c>
      <c r="H581" t="str">
        <f>IFERROR(__xludf.DUMMYFUNCTION("""COMPUTED_VALUE"""),"วัชรีวงศ์ ณ อยุธยา")</f>
        <v>วัชรีวงศ์ ณ อยุธยา</v>
      </c>
      <c r="I581" t="str">
        <f>IFERROR(__xludf.DUMMYFUNCTION("""COMPUTED_VALUE"""),"ศศิโสมาภา วัชรีวงศ์ ณ อยุธยา")</f>
        <v>ศศิโสมาภา วัชรีวงศ์ ณ อยุธยา</v>
      </c>
      <c r="J581" t="str">
        <f>IFERROR(__xludf.DUMMYFUNCTION("""COMPUTED_VALUE"""),"Noey เนย")</f>
        <v>Noey เนย</v>
      </c>
      <c r="K581" t="str">
        <f>IFERROR(__xludf.DUMMYFUNCTION("""COMPUTED_VALUE"""),"Cabin Crew - BKK")</f>
        <v>Cabin Crew - BKK</v>
      </c>
      <c r="L581" t="str">
        <f>IFERROR(__xludf.DUMMYFUNCTION("""COMPUTED_VALUE"""),"BKK")</f>
        <v>BKK</v>
      </c>
      <c r="M581" s="145" t="str">
        <f>IFERROR(__xludf.DUMMYFUNCTION("""COMPUTED_VALUE"""),"Nhui Home")</f>
        <v>Nhui Home</v>
      </c>
      <c r="N581" t="str">
        <f>IFERROR(__xludf.DUMMYFUNCTION("""COMPUTED_VALUE"""),"Active")</f>
        <v>Active</v>
      </c>
      <c r="P581" s="143">
        <f>IFERROR(__xludf.DUMMYFUNCTION("""COMPUTED_VALUE"""),32437.0)</f>
        <v>32437</v>
      </c>
      <c r="Q581" s="146" t="str">
        <f>IFERROR(__xludf.DUMMYFUNCTION("""COMPUTED_VALUE"""),"062 249 4691")</f>
        <v>062 249 4691</v>
      </c>
      <c r="R581" s="147" t="str">
        <f>IFERROR(__xludf.DUMMYFUNCTION("""COMPUTED_VALUE"""),"1100600-17-2462")</f>
        <v>1100600-17-2462</v>
      </c>
      <c r="S581" t="str">
        <f>IFERROR(__xludf.DUMMYFUNCTION("""COMPUTED_VALUE"""),"AD0062521")</f>
        <v>AD0062521</v>
      </c>
      <c r="T581" s="148">
        <f>IFERROR(__xludf.DUMMYFUNCTION("""COMPUTED_VALUE"""),44830.0)</f>
        <v>44830</v>
      </c>
      <c r="U581" s="148">
        <f>IFERROR(__xludf.DUMMYFUNCTION("""COMPUTED_VALUE"""),46655.0)</f>
        <v>46655</v>
      </c>
      <c r="V581" s="149">
        <f>IFERROR(__xludf.DUMMYFUNCTION("""COMPUTED_VALUE"""),46471.0)</f>
        <v>46471</v>
      </c>
      <c r="W581" t="str">
        <f>IFERROR(__xludf.DUMMYFUNCTION("""COMPUTED_VALUE"""),"ปลอดภัย")</f>
        <v>ปลอดภัย</v>
      </c>
      <c r="X581" t="str">
        <f>IFERROR(__xludf.DUMMYFUNCTION("""COMPUTED_VALUE"""),"Bangkok")</f>
        <v>Bangkok</v>
      </c>
      <c r="Y581" t="str">
        <f>IFERROR(__xludf.DUMMYFUNCTION("""COMPUTED_VALUE"""),"Nimidmai")</f>
        <v>Nimidmai</v>
      </c>
      <c r="Z581" t="str">
        <f>IFERROR(__xludf.DUMMYFUNCTION("""COMPUTED_VALUE"""),"081-274-6220")</f>
        <v>081-274-6220</v>
      </c>
      <c r="AA581" t="str">
        <f>IFERROR(__xludf.DUMMYFUNCTION("""COMPUTED_VALUE"""),"Saifon")</f>
        <v>Saifon</v>
      </c>
      <c r="AB581" t="str">
        <f>IFERROR(__xludf.DUMMYFUNCTION("""COMPUTED_VALUE"""),"sasisomapav@airasia.com")</f>
        <v>sasisomapav@airasia.com</v>
      </c>
    </row>
    <row r="582">
      <c r="A582">
        <f>IFERROR(__xludf.DUMMYFUNCTION("""COMPUTED_VALUE"""),1011082.0)</f>
        <v>1011082</v>
      </c>
      <c r="B582" t="str">
        <f>IFERROR(__xludf.DUMMYFUNCTION("""COMPUTED_VALUE"""),"Ms.")</f>
        <v>Ms.</v>
      </c>
      <c r="C582" t="str">
        <f>IFERROR(__xludf.DUMMYFUNCTION("""COMPUTED_VALUE"""),"Tida")</f>
        <v>Tida</v>
      </c>
      <c r="D582" t="str">
        <f>IFERROR(__xludf.DUMMYFUNCTION("""COMPUTED_VALUE"""),"Pheechapand")</f>
        <v>Pheechapand</v>
      </c>
      <c r="E582" t="str">
        <f>IFERROR(__xludf.DUMMYFUNCTION("""COMPUTED_VALUE"""),"Tida Pheechapand")</f>
        <v>Tida Pheechapand</v>
      </c>
      <c r="F582" t="str">
        <f>IFERROR(__xludf.DUMMYFUNCTION("""COMPUTED_VALUE"""),"นางสาว")</f>
        <v>นางสาว</v>
      </c>
      <c r="G582" t="str">
        <f>IFERROR(__xludf.DUMMYFUNCTION("""COMPUTED_VALUE"""),"ธิดา")</f>
        <v>ธิดา</v>
      </c>
      <c r="H582" t="str">
        <f>IFERROR(__xludf.DUMMYFUNCTION("""COMPUTED_VALUE"""),"พีชาพันธุ์")</f>
        <v>พีชาพันธุ์</v>
      </c>
      <c r="I582" t="str">
        <f>IFERROR(__xludf.DUMMYFUNCTION("""COMPUTED_VALUE"""),"ธิดา พีชาพันธุ์")</f>
        <v>ธิดา พีชาพันธุ์</v>
      </c>
      <c r="J582" t="str">
        <f>IFERROR(__xludf.DUMMYFUNCTION("""COMPUTED_VALUE"""),"June")</f>
        <v>June</v>
      </c>
      <c r="K582" t="str">
        <f>IFERROR(__xludf.DUMMYFUNCTION("""COMPUTED_VALUE"""),"Cabin Crew")</f>
        <v>Cabin Crew</v>
      </c>
      <c r="L582" t="str">
        <f>IFERROR(__xludf.DUMMYFUNCTION("""COMPUTED_VALUE"""),"DMK")</f>
        <v>DMK</v>
      </c>
      <c r="M582" s="145" t="str">
        <f>IFERROR(__xludf.DUMMYFUNCTION("""COMPUTED_VALUE"""),"Toffy Home")</f>
        <v>Toffy Home</v>
      </c>
      <c r="N582" t="str">
        <f>IFERROR(__xludf.DUMMYFUNCTION("""COMPUTED_VALUE"""),"Active")</f>
        <v>Active</v>
      </c>
      <c r="P582" s="143">
        <f>IFERROR(__xludf.DUMMYFUNCTION("""COMPUTED_VALUE"""),32683.0)</f>
        <v>32683</v>
      </c>
      <c r="Q582" s="146" t="str">
        <f>IFERROR(__xludf.DUMMYFUNCTION("""COMPUTED_VALUE"""),"096-554-5199")</f>
        <v>096-554-5199</v>
      </c>
      <c r="R582" s="147" t="str">
        <f>IFERROR(__xludf.DUMMYFUNCTION("""COMPUTED_VALUE"""),"5103600-00-3089")</f>
        <v>5103600-00-3089</v>
      </c>
      <c r="S582" t="str">
        <f>IFERROR(__xludf.DUMMYFUNCTION("""COMPUTED_VALUE"""),"AC4488378")</f>
        <v>AC4488378</v>
      </c>
      <c r="T582" s="148">
        <f>IFERROR(__xludf.DUMMYFUNCTION("""COMPUTED_VALUE"""),44988.0)</f>
        <v>44988</v>
      </c>
      <c r="U582" s="148">
        <f>IFERROR(__xludf.DUMMYFUNCTION("""COMPUTED_VALUE"""),48640.0)</f>
        <v>48640</v>
      </c>
      <c r="V582" s="149">
        <f>IFERROR(__xludf.DUMMYFUNCTION("""COMPUTED_VALUE"""),48459.0)</f>
        <v>48459</v>
      </c>
      <c r="W582" t="str">
        <f>IFERROR(__xludf.DUMMYFUNCTION("""COMPUTED_VALUE"""),"ปลอดภัย")</f>
        <v>ปลอดภัย</v>
      </c>
      <c r="X582" t="str">
        <f>IFERROR(__xludf.DUMMYFUNCTION("""COMPUTED_VALUE"""),"Bangkok")</f>
        <v>Bangkok</v>
      </c>
      <c r="Y582" t="str">
        <f>IFERROR(__xludf.DUMMYFUNCTION("""COMPUTED_VALUE"""),"Thonburi")</f>
        <v>Thonburi</v>
      </c>
      <c r="Z582" t="str">
        <f>IFERROR(__xludf.DUMMYFUNCTION("""COMPUTED_VALUE"""),"089-205-9214")</f>
        <v>089-205-9214</v>
      </c>
      <c r="AA582" t="str">
        <f>IFERROR(__xludf.DUMMYFUNCTION("""COMPUTED_VALUE"""),"Munthana")</f>
        <v>Munthana</v>
      </c>
      <c r="AB582" t="str">
        <f>IFERROR(__xludf.DUMMYFUNCTION("""COMPUTED_VALUE"""),"tidap@airasia.com")</f>
        <v>tidap@airasia.com</v>
      </c>
    </row>
    <row r="583">
      <c r="A583">
        <f>IFERROR(__xludf.DUMMYFUNCTION("""COMPUTED_VALUE"""),1011083.0)</f>
        <v>1011083</v>
      </c>
      <c r="B583" t="str">
        <f>IFERROR(__xludf.DUMMYFUNCTION("""COMPUTED_VALUE"""),"Ms.")</f>
        <v>Ms.</v>
      </c>
      <c r="C583" t="str">
        <f>IFERROR(__xludf.DUMMYFUNCTION("""COMPUTED_VALUE"""),"Wanliya")</f>
        <v>Wanliya</v>
      </c>
      <c r="D583" t="str">
        <f>IFERROR(__xludf.DUMMYFUNCTION("""COMPUTED_VALUE"""),"Choosiri")</f>
        <v>Choosiri</v>
      </c>
      <c r="E583" t="str">
        <f>IFERROR(__xludf.DUMMYFUNCTION("""COMPUTED_VALUE"""),"Wanliya Choosiri")</f>
        <v>Wanliya Choosiri</v>
      </c>
      <c r="F583" t="str">
        <f>IFERROR(__xludf.DUMMYFUNCTION("""COMPUTED_VALUE"""),"นางสาว")</f>
        <v>นางสาว</v>
      </c>
      <c r="G583" t="str">
        <f>IFERROR(__xludf.DUMMYFUNCTION("""COMPUTED_VALUE"""),"วัลลิยา")</f>
        <v>วัลลิยา</v>
      </c>
      <c r="H583" t="str">
        <f>IFERROR(__xludf.DUMMYFUNCTION("""COMPUTED_VALUE"""),"ชูศิริ")</f>
        <v>ชูศิริ</v>
      </c>
      <c r="I583" t="str">
        <f>IFERROR(__xludf.DUMMYFUNCTION("""COMPUTED_VALUE"""),"วัลลิยา ชูศิริ")</f>
        <v>วัลลิยา ชูศิริ</v>
      </c>
      <c r="J583" t="str">
        <f>IFERROR(__xludf.DUMMYFUNCTION("""COMPUTED_VALUE"""),"GookGik")</f>
        <v>GookGik</v>
      </c>
      <c r="K583" t="str">
        <f>IFERROR(__xludf.DUMMYFUNCTION("""COMPUTED_VALUE"""),"Cabin Crew")</f>
        <v>Cabin Crew</v>
      </c>
      <c r="L583" t="str">
        <f>IFERROR(__xludf.DUMMYFUNCTION("""COMPUTED_VALUE"""),"DMK")</f>
        <v>DMK</v>
      </c>
      <c r="M583" s="145" t="str">
        <f>IFERROR(__xludf.DUMMYFUNCTION("""COMPUTED_VALUE"""),"Por+ Home")</f>
        <v>Por+ Home</v>
      </c>
      <c r="N583" t="str">
        <f>IFERROR(__xludf.DUMMYFUNCTION("""COMPUTED_VALUE"""),"Active")</f>
        <v>Active</v>
      </c>
      <c r="P583" s="143">
        <f>IFERROR(__xludf.DUMMYFUNCTION("""COMPUTED_VALUE"""),32749.0)</f>
        <v>32749</v>
      </c>
      <c r="Q583" s="146" t="str">
        <f>IFERROR(__xludf.DUMMYFUNCTION("""COMPUTED_VALUE"""),"082-942-6959")</f>
        <v>082-942-6959</v>
      </c>
      <c r="R583" s="147" t="str">
        <f>IFERROR(__xludf.DUMMYFUNCTION("""COMPUTED_VALUE"""),"1239900-13-0932")</f>
        <v>1239900-13-0932</v>
      </c>
      <c r="S583" t="str">
        <f>IFERROR(__xludf.DUMMYFUNCTION("""COMPUTED_VALUE"""),"AC6126374")</f>
        <v>AC6126374</v>
      </c>
      <c r="T583" s="148">
        <f>IFERROR(__xludf.DUMMYFUNCTION("""COMPUTED_VALUE"""),45647.0)</f>
        <v>45647</v>
      </c>
      <c r="U583" s="148">
        <f>IFERROR(__xludf.DUMMYFUNCTION("""COMPUTED_VALUE"""),48933.0)</f>
        <v>48933</v>
      </c>
      <c r="V583" s="149">
        <f>IFERROR(__xludf.DUMMYFUNCTION("""COMPUTED_VALUE"""),48750.0)</f>
        <v>48750</v>
      </c>
      <c r="W583" t="str">
        <f>IFERROR(__xludf.DUMMYFUNCTION("""COMPUTED_VALUE"""),"ปลอดภัย")</f>
        <v>ปลอดภัย</v>
      </c>
      <c r="X583" t="str">
        <f>IFERROR(__xludf.DUMMYFUNCTION("""COMPUTED_VALUE"""),"Trat Province")</f>
        <v>Trat Province</v>
      </c>
      <c r="Y583" t="str">
        <f>IFERROR(__xludf.DUMMYFUNCTION("""COMPUTED_VALUE"""),"Jatujak")</f>
        <v>Jatujak</v>
      </c>
      <c r="Z583" t="str">
        <f>IFERROR(__xludf.DUMMYFUNCTION("""COMPUTED_VALUE"""),"080 199 1992")</f>
        <v>080 199 1992</v>
      </c>
      <c r="AA583" t="str">
        <f>IFERROR(__xludf.DUMMYFUNCTION("""COMPUTED_VALUE"""),"Papawee")</f>
        <v>Papawee</v>
      </c>
      <c r="AB583" t="str">
        <f>IFERROR(__xludf.DUMMYFUNCTION("""COMPUTED_VALUE"""),"wanliyac@airasia.com")</f>
        <v>wanliyac@airasia.com</v>
      </c>
    </row>
    <row r="584">
      <c r="A584">
        <f>IFERROR(__xludf.DUMMYFUNCTION("""COMPUTED_VALUE"""),1011084.0)</f>
        <v>1011084</v>
      </c>
      <c r="B584" t="str">
        <f>IFERROR(__xludf.DUMMYFUNCTION("""COMPUTED_VALUE"""),"Mr.")</f>
        <v>Mr.</v>
      </c>
      <c r="C584" t="str">
        <f>IFERROR(__xludf.DUMMYFUNCTION("""COMPUTED_VALUE"""),"Warich")</f>
        <v>Warich</v>
      </c>
      <c r="D584" t="str">
        <f>IFERROR(__xludf.DUMMYFUNCTION("""COMPUTED_VALUE"""),"Nathtigoon")</f>
        <v>Nathtigoon</v>
      </c>
      <c r="E584" t="str">
        <f>IFERROR(__xludf.DUMMYFUNCTION("""COMPUTED_VALUE"""),"Warich Nathtigoon")</f>
        <v>Warich Nathtigoon</v>
      </c>
      <c r="F584" t="str">
        <f>IFERROR(__xludf.DUMMYFUNCTION("""COMPUTED_VALUE"""),"นาย")</f>
        <v>นาย</v>
      </c>
      <c r="G584" t="str">
        <f>IFERROR(__xludf.DUMMYFUNCTION("""COMPUTED_VALUE"""),"วริชน์")</f>
        <v>วริชน์</v>
      </c>
      <c r="H584" t="str">
        <f>IFERROR(__xludf.DUMMYFUNCTION("""COMPUTED_VALUE"""),"นัทธิกูล")</f>
        <v>นัทธิกูล</v>
      </c>
      <c r="I584" t="str">
        <f>IFERROR(__xludf.DUMMYFUNCTION("""COMPUTED_VALUE"""),"วริชน์ นัทธิกูล")</f>
        <v>วริชน์ นัทธิกูล</v>
      </c>
      <c r="J584" t="str">
        <f>IFERROR(__xludf.DUMMYFUNCTION("""COMPUTED_VALUE"""),"Win")</f>
        <v>Win</v>
      </c>
      <c r="K584" t="str">
        <f>IFERROR(__xludf.DUMMYFUNCTION("""COMPUTED_VALUE"""),"Senior Cabin Crew - BKK")</f>
        <v>Senior Cabin Crew - BKK</v>
      </c>
      <c r="L584" t="str">
        <f>IFERROR(__xludf.DUMMYFUNCTION("""COMPUTED_VALUE"""),"BKK")</f>
        <v>BKK</v>
      </c>
      <c r="M584" s="145" t="str">
        <f>IFERROR(__xludf.DUMMYFUNCTION("""COMPUTED_VALUE"""),"Nhui Home")</f>
        <v>Nhui Home</v>
      </c>
      <c r="N584" t="str">
        <f>IFERROR(__xludf.DUMMYFUNCTION("""COMPUTED_VALUE"""),"Active/V/DMK")</f>
        <v>Active/V/DMK</v>
      </c>
      <c r="O584" t="str">
        <f>IFERROR(__xludf.DUMMYFUNCTION("""COMPUTED_VALUE"""),"Chinese Speaking")</f>
        <v>Chinese Speaking</v>
      </c>
      <c r="P584" s="143">
        <f>IFERROR(__xludf.DUMMYFUNCTION("""COMPUTED_VALUE"""),32055.0)</f>
        <v>32055</v>
      </c>
      <c r="Q584" s="146" t="str">
        <f>IFERROR(__xludf.DUMMYFUNCTION("""COMPUTED_VALUE"""),"092 259 7198")</f>
        <v>092 259 7198</v>
      </c>
      <c r="R584" s="147" t="str">
        <f>IFERROR(__xludf.DUMMYFUNCTION("""COMPUTED_VALUE"""),"1100700-72-5366")</f>
        <v>1100700-72-5366</v>
      </c>
      <c r="S584" t="str">
        <f>IFERROR(__xludf.DUMMYFUNCTION("""COMPUTED_VALUE"""),"AC2729011")</f>
        <v>AC2729011</v>
      </c>
      <c r="T584" s="148">
        <f>IFERROR(__xludf.DUMMYFUNCTION("""COMPUTED_VALUE"""),44476.0)</f>
        <v>44476</v>
      </c>
      <c r="U584" s="148">
        <f>IFERROR(__xludf.DUMMYFUNCTION("""COMPUTED_VALUE"""),48127.0)</f>
        <v>48127</v>
      </c>
      <c r="V584" s="149">
        <f>IFERROR(__xludf.DUMMYFUNCTION("""COMPUTED_VALUE"""),47944.0)</f>
        <v>47944</v>
      </c>
      <c r="W584" t="str">
        <f>IFERROR(__xludf.DUMMYFUNCTION("""COMPUTED_VALUE"""),"ปลอดภัย")</f>
        <v>ปลอดภัย</v>
      </c>
      <c r="X584" t="str">
        <f>IFERROR(__xludf.DUMMYFUNCTION("""COMPUTED_VALUE"""),"Bangkok")</f>
        <v>Bangkok</v>
      </c>
      <c r="Y584" t="str">
        <f>IFERROR(__xludf.DUMMYFUNCTION("""COMPUTED_VALUE"""),"Klongtoei")</f>
        <v>Klongtoei</v>
      </c>
      <c r="Z584" t="str">
        <f>IFERROR(__xludf.DUMMYFUNCTION("""COMPUTED_VALUE"""),"081-861-1718")</f>
        <v>081-861-1718</v>
      </c>
      <c r="AA584" t="str">
        <f>IFERROR(__xludf.DUMMYFUNCTION("""COMPUTED_VALUE"""),"Ubonrat")</f>
        <v>Ubonrat</v>
      </c>
      <c r="AB584" t="str">
        <f>IFERROR(__xludf.DUMMYFUNCTION("""COMPUTED_VALUE"""),"waricha@airasia.com")</f>
        <v>waricha@airasia.com</v>
      </c>
    </row>
    <row r="585">
      <c r="AB585" t="str">
        <f>IFERROR(__xludf.DUMMYFUNCTION("""COMPUTED_VALUE"""),"")</f>
        <v/>
      </c>
    </row>
    <row r="586">
      <c r="A586">
        <f>IFERROR(__xludf.DUMMYFUNCTION("""COMPUTED_VALUE"""),1011500.0)</f>
        <v>1011500</v>
      </c>
      <c r="B586" t="str">
        <f>IFERROR(__xludf.DUMMYFUNCTION("""COMPUTED_VALUE"""),"Ms.")</f>
        <v>Ms.</v>
      </c>
      <c r="C586" t="str">
        <f>IFERROR(__xludf.DUMMYFUNCTION("""COMPUTED_VALUE"""),"Chonlada")</f>
        <v>Chonlada</v>
      </c>
      <c r="D586" t="str">
        <f>IFERROR(__xludf.DUMMYFUNCTION("""COMPUTED_VALUE"""),"Vongjun")</f>
        <v>Vongjun</v>
      </c>
      <c r="E586" t="str">
        <f>IFERROR(__xludf.DUMMYFUNCTION("""COMPUTED_VALUE"""),"Chonlada Vongjun")</f>
        <v>Chonlada Vongjun</v>
      </c>
      <c r="F586" t="str">
        <f>IFERROR(__xludf.DUMMYFUNCTION("""COMPUTED_VALUE"""),"นางสาว")</f>
        <v>นางสาว</v>
      </c>
      <c r="G586" t="str">
        <f>IFERROR(__xludf.DUMMYFUNCTION("""COMPUTED_VALUE"""),"ชลดา")</f>
        <v>ชลดา</v>
      </c>
      <c r="H586" t="str">
        <f>IFERROR(__xludf.DUMMYFUNCTION("""COMPUTED_VALUE"""),"วงษ์จันทร์")</f>
        <v>วงษ์จันทร์</v>
      </c>
      <c r="I586" t="str">
        <f>IFERROR(__xludf.DUMMYFUNCTION("""COMPUTED_VALUE"""),"ชลดา วงษ์จันทร์")</f>
        <v>ชลดา วงษ์จันทร์</v>
      </c>
      <c r="J586" t="str">
        <f>IFERROR(__xludf.DUMMYFUNCTION("""COMPUTED_VALUE"""),"ต้นฝ้าย")</f>
        <v>ต้นฝ้าย</v>
      </c>
      <c r="K586" t="str">
        <f>IFERROR(__xludf.DUMMYFUNCTION("""COMPUTED_VALUE"""),"Cabin Crew")</f>
        <v>Cabin Crew</v>
      </c>
      <c r="L586" t="str">
        <f>IFERROR(__xludf.DUMMYFUNCTION("""COMPUTED_VALUE"""),"DMK")</f>
        <v>DMK</v>
      </c>
      <c r="M586" s="145" t="str">
        <f>IFERROR(__xludf.DUMMYFUNCTION("""COMPUTED_VALUE"""),"Up Home")</f>
        <v>Up Home</v>
      </c>
      <c r="N586" t="str">
        <f>IFERROR(__xludf.DUMMYFUNCTION("""COMPUTED_VALUE"""),"Active")</f>
        <v>Active</v>
      </c>
      <c r="P586" s="143">
        <f>IFERROR(__xludf.DUMMYFUNCTION("""COMPUTED_VALUE"""),33117.0)</f>
        <v>33117</v>
      </c>
      <c r="Q586" s="146" t="str">
        <f>IFERROR(__xludf.DUMMYFUNCTION("""COMPUTED_VALUE"""),"062 424 1662")</f>
        <v>062 424 1662</v>
      </c>
      <c r="R586" s="147" t="str">
        <f>IFERROR(__xludf.DUMMYFUNCTION("""COMPUTED_VALUE"""),"1600100-38-7104")</f>
        <v>1600100-38-7104</v>
      </c>
      <c r="S586" t="str">
        <f>IFERROR(__xludf.DUMMYFUNCTION("""COMPUTED_VALUE"""),"AC6685122")</f>
        <v>AC6685122</v>
      </c>
      <c r="T586" s="148">
        <f>IFERROR(__xludf.DUMMYFUNCTION("""COMPUTED_VALUE"""),45404.0)</f>
        <v>45404</v>
      </c>
      <c r="U586" s="148">
        <f>IFERROR(__xludf.DUMMYFUNCTION("""COMPUTED_VALUE"""),49055.0)</f>
        <v>49055</v>
      </c>
      <c r="V586" s="149">
        <f>IFERROR(__xludf.DUMMYFUNCTION("""COMPUTED_VALUE"""),48873.0)</f>
        <v>48873</v>
      </c>
      <c r="W586" t="str">
        <f>IFERROR(__xludf.DUMMYFUNCTION("""COMPUTED_VALUE"""),"ปลอดภัย")</f>
        <v>ปลอดภัย</v>
      </c>
      <c r="X586" t="str">
        <f>IFERROR(__xludf.DUMMYFUNCTION("""COMPUTED_VALUE"""),"Nakhon Sawan Province")</f>
        <v>Nakhon Sawan Province</v>
      </c>
      <c r="Y586" t="str">
        <f>IFERROR(__xludf.DUMMYFUNCTION("""COMPUTED_VALUE"""),"Sumpantawong")</f>
        <v>Sumpantawong</v>
      </c>
      <c r="Z586" t="str">
        <f>IFERROR(__xludf.DUMMYFUNCTION("""COMPUTED_VALUE"""),"084 337 7872")</f>
        <v>084 337 7872</v>
      </c>
      <c r="AA586" t="str">
        <f>IFERROR(__xludf.DUMMYFUNCTION("""COMPUTED_VALUE"""),"Mother")</f>
        <v>Mother</v>
      </c>
      <c r="AB586" t="str">
        <f>IFERROR(__xludf.DUMMYFUNCTION("""COMPUTED_VALUE"""),"chonladav@airasia.com")</f>
        <v>chonladav@airasia.com</v>
      </c>
    </row>
    <row r="587">
      <c r="A587">
        <f>IFERROR(__xludf.DUMMYFUNCTION("""COMPUTED_VALUE"""),1011501.0)</f>
        <v>1011501</v>
      </c>
      <c r="B587" t="str">
        <f>IFERROR(__xludf.DUMMYFUNCTION("""COMPUTED_VALUE"""),"Ms.")</f>
        <v>Ms.</v>
      </c>
      <c r="C587" t="str">
        <f>IFERROR(__xludf.DUMMYFUNCTION("""COMPUTED_VALUE"""),"Jinbulla")</f>
        <v>Jinbulla</v>
      </c>
      <c r="D587" t="str">
        <f>IFERROR(__xludf.DUMMYFUNCTION("""COMPUTED_VALUE"""),"Pranom")</f>
        <v>Pranom</v>
      </c>
      <c r="E587" t="str">
        <f>IFERROR(__xludf.DUMMYFUNCTION("""COMPUTED_VALUE"""),"Jinbulla Pranom")</f>
        <v>Jinbulla Pranom</v>
      </c>
      <c r="F587" t="str">
        <f>IFERROR(__xludf.DUMMYFUNCTION("""COMPUTED_VALUE"""),"นางสาว")</f>
        <v>นางสาว</v>
      </c>
      <c r="G587" t="str">
        <f>IFERROR(__xludf.DUMMYFUNCTION("""COMPUTED_VALUE"""),"จิณห์บุลลา ")</f>
        <v>จิณห์บุลลา </v>
      </c>
      <c r="H587" t="str">
        <f>IFERROR(__xludf.DUMMYFUNCTION("""COMPUTED_VALUE"""),"ประนม")</f>
        <v>ประนม</v>
      </c>
      <c r="I587" t="str">
        <f>IFERROR(__xludf.DUMMYFUNCTION("""COMPUTED_VALUE"""),"จิณห์บุลลา ประนม")</f>
        <v>จิณห์บุลลา ประนม</v>
      </c>
      <c r="J587" t="str">
        <f>IFERROR(__xludf.DUMMYFUNCTION("""COMPUTED_VALUE"""),"ส้มโอ")</f>
        <v>ส้มโอ</v>
      </c>
      <c r="K587" t="str">
        <f>IFERROR(__xludf.DUMMYFUNCTION("""COMPUTED_VALUE"""),"Cabin Crew")</f>
        <v>Cabin Crew</v>
      </c>
      <c r="L587" t="str">
        <f>IFERROR(__xludf.DUMMYFUNCTION("""COMPUTED_VALUE"""),"DMK")</f>
        <v>DMK</v>
      </c>
      <c r="M587" s="145" t="str">
        <f>IFERROR(__xludf.DUMMYFUNCTION("""COMPUTED_VALUE"""),"Namfon Home")</f>
        <v>Namfon Home</v>
      </c>
      <c r="N587" t="str">
        <f>IFERROR(__xludf.DUMMYFUNCTION("""COMPUTED_VALUE"""),"Active")</f>
        <v>Active</v>
      </c>
      <c r="O587" t="str">
        <f>IFERROR(__xludf.DUMMYFUNCTION("""COMPUTED_VALUE"""),"Japanese Speaking")</f>
        <v>Japanese Speaking</v>
      </c>
      <c r="P587" s="143">
        <f>IFERROR(__xludf.DUMMYFUNCTION("""COMPUTED_VALUE"""),32142.0)</f>
        <v>32142</v>
      </c>
      <c r="Q587" s="146" t="str">
        <f>IFERROR(__xludf.DUMMYFUNCTION("""COMPUTED_VALUE"""),"092 470 7614")</f>
        <v>092 470 7614</v>
      </c>
      <c r="R587" s="147" t="str">
        <f>IFERROR(__xludf.DUMMYFUNCTION("""COMPUTED_VALUE"""),"1100600-13-2851")</f>
        <v>1100600-13-2851</v>
      </c>
      <c r="S587" t="str">
        <f>IFERROR(__xludf.DUMMYFUNCTION("""COMPUTED_VALUE"""),"AC7806569")</f>
        <v>AC7806569</v>
      </c>
      <c r="T587" s="148">
        <f>IFERROR(__xludf.DUMMYFUNCTION("""COMPUTED_VALUE"""),45660.0)</f>
        <v>45660</v>
      </c>
      <c r="U587" s="148">
        <f>IFERROR(__xludf.DUMMYFUNCTION("""COMPUTED_VALUE"""),49311.0)</f>
        <v>49311</v>
      </c>
      <c r="V587" s="149">
        <f>IFERROR(__xludf.DUMMYFUNCTION("""COMPUTED_VALUE"""),49127.0)</f>
        <v>49127</v>
      </c>
      <c r="W587" t="str">
        <f>IFERROR(__xludf.DUMMYFUNCTION("""COMPUTED_VALUE"""),"ปลอดภัย")</f>
        <v>ปลอดภัย</v>
      </c>
      <c r="X587" t="str">
        <f>IFERROR(__xludf.DUMMYFUNCTION("""COMPUTED_VALUE"""),"Bangkok")</f>
        <v>Bangkok</v>
      </c>
      <c r="Y587" t="str">
        <f>IFERROR(__xludf.DUMMYFUNCTION("""COMPUTED_VALUE"""),"Kannayao")</f>
        <v>Kannayao</v>
      </c>
      <c r="Z587" t="str">
        <f>IFERROR(__xludf.DUMMYFUNCTION("""COMPUTED_VALUE"""),"089 039 6357 / 02 509 7188")</f>
        <v>089 039 6357 / 02 509 7188</v>
      </c>
      <c r="AA587" t="str">
        <f>IFERROR(__xludf.DUMMYFUNCTION("""COMPUTED_VALUE"""),"Pornkamon / Home")</f>
        <v>Pornkamon / Home</v>
      </c>
      <c r="AB587" t="str">
        <f>IFERROR(__xludf.DUMMYFUNCTION("""COMPUTED_VALUE"""),"jinbullap@airasia.com")</f>
        <v>jinbullap@airasia.com</v>
      </c>
    </row>
    <row r="588">
      <c r="A588">
        <f>IFERROR(__xludf.DUMMYFUNCTION("""COMPUTED_VALUE"""),1011502.0)</f>
        <v>1011502</v>
      </c>
      <c r="B588" t="str">
        <f>IFERROR(__xludf.DUMMYFUNCTION("""COMPUTED_VALUE"""),"Mr.")</f>
        <v>Mr.</v>
      </c>
      <c r="C588" t="str">
        <f>IFERROR(__xludf.DUMMYFUNCTION("""COMPUTED_VALUE"""),"Kritskorn (Kritsana)")</f>
        <v>Kritskorn (Kritsana)</v>
      </c>
      <c r="D588" t="str">
        <f>IFERROR(__xludf.DUMMYFUNCTION("""COMPUTED_VALUE"""),"Kathinthong")</f>
        <v>Kathinthong</v>
      </c>
      <c r="E588" t="str">
        <f>IFERROR(__xludf.DUMMYFUNCTION("""COMPUTED_VALUE"""),"Kritskorn Kathinthong")</f>
        <v>Kritskorn Kathinthong</v>
      </c>
      <c r="F588" t="str">
        <f>IFERROR(__xludf.DUMMYFUNCTION("""COMPUTED_VALUE"""),"นาย")</f>
        <v>นาย</v>
      </c>
      <c r="G588" t="str">
        <f>IFERROR(__xludf.DUMMYFUNCTION("""COMPUTED_VALUE"""),"กฤศกร (กฤษณะ)")</f>
        <v>กฤศกร (กฤษณะ)</v>
      </c>
      <c r="H588" t="str">
        <f>IFERROR(__xludf.DUMMYFUNCTION("""COMPUTED_VALUE"""),"กฐินทอง")</f>
        <v>กฐินทอง</v>
      </c>
      <c r="I588" t="str">
        <f>IFERROR(__xludf.DUMMYFUNCTION("""COMPUTED_VALUE"""),"กฤศกร กฐินทอง")</f>
        <v>กฤศกร กฐินทอง</v>
      </c>
      <c r="J588" t="str">
        <f>IFERROR(__xludf.DUMMYFUNCTION("""COMPUTED_VALUE"""),"อู๋ Ooh")</f>
        <v>อู๋ Ooh</v>
      </c>
      <c r="K588" t="str">
        <f>IFERROR(__xludf.DUMMYFUNCTION("""COMPUTED_VALUE"""),"Senior Cabin Crew")</f>
        <v>Senior Cabin Crew</v>
      </c>
      <c r="L588" t="str">
        <f>IFERROR(__xludf.DUMMYFUNCTION("""COMPUTED_VALUE"""),"DMK")</f>
        <v>DMK</v>
      </c>
      <c r="M588" s="145" t="str">
        <f>IFERROR(__xludf.DUMMYFUNCTION("""COMPUTED_VALUE"""),"Por+ Home")</f>
        <v>Por+ Home</v>
      </c>
      <c r="N588" t="str">
        <f>IFERROR(__xludf.DUMMYFUNCTION("""COMPUTED_VALUE"""),"Active")</f>
        <v>Active</v>
      </c>
      <c r="P588" s="143">
        <f>IFERROR(__xludf.DUMMYFUNCTION("""COMPUTED_VALUE"""),31707.0)</f>
        <v>31707</v>
      </c>
      <c r="Q588" s="146" t="str">
        <f>IFERROR(__xludf.DUMMYFUNCTION("""COMPUTED_VALUE"""),"085 511 1519")</f>
        <v>085 511 1519</v>
      </c>
      <c r="R588" s="147">
        <f>IFERROR(__xludf.DUMMYFUNCTION("""COMPUTED_VALUE"""),1.10080030768E12)</f>
        <v>1100800307680</v>
      </c>
      <c r="S588" t="str">
        <f>IFERROR(__xludf.DUMMYFUNCTION("""COMPUTED_VALUE"""),"AC8018437")</f>
        <v>AC8018437</v>
      </c>
      <c r="T588" s="148">
        <f>IFERROR(__xludf.DUMMYFUNCTION("""COMPUTED_VALUE"""),45727.0)</f>
        <v>45727</v>
      </c>
      <c r="U588" s="148">
        <f>IFERROR(__xludf.DUMMYFUNCTION("""COMPUTED_VALUE"""),49378.0)</f>
        <v>49378</v>
      </c>
      <c r="V588" s="149">
        <f>IFERROR(__xludf.DUMMYFUNCTION("""COMPUTED_VALUE"""),49197.0)</f>
        <v>49197</v>
      </c>
      <c r="W588" t="str">
        <f>IFERROR(__xludf.DUMMYFUNCTION("""COMPUTED_VALUE"""),"ปลอดภัย")</f>
        <v>ปลอดภัย</v>
      </c>
      <c r="X588" t="str">
        <f>IFERROR(__xludf.DUMMYFUNCTION("""COMPUTED_VALUE"""),"Bangkok")</f>
        <v>Bangkok</v>
      </c>
      <c r="Y588" t="str">
        <f>IFERROR(__xludf.DUMMYFUNCTION("""COMPUTED_VALUE"""),"Suan Luang")</f>
        <v>Suan Luang</v>
      </c>
      <c r="Z588" t="str">
        <f>IFERROR(__xludf.DUMMYFUNCTION("""COMPUTED_VALUE"""),"081 488 2730")</f>
        <v>081 488 2730</v>
      </c>
      <c r="AA588" t="str">
        <f>IFERROR(__xludf.DUMMYFUNCTION("""COMPUTED_VALUE"""),"Jiraporn")</f>
        <v>Jiraporn</v>
      </c>
      <c r="AB588" t="str">
        <f>IFERROR(__xludf.DUMMYFUNCTION("""COMPUTED_VALUE"""),"kritskornk@airasia.com")</f>
        <v>kritskornk@airasia.com</v>
      </c>
    </row>
    <row r="589">
      <c r="A589">
        <f>IFERROR(__xludf.DUMMYFUNCTION("""COMPUTED_VALUE"""),1011504.0)</f>
        <v>1011504</v>
      </c>
      <c r="B589" t="str">
        <f>IFERROR(__xludf.DUMMYFUNCTION("""COMPUTED_VALUE"""),"Ms.")</f>
        <v>Ms.</v>
      </c>
      <c r="C589" t="str">
        <f>IFERROR(__xludf.DUMMYFUNCTION("""COMPUTED_VALUE"""),"Punyanuch (Panthira)")</f>
        <v>Punyanuch (Panthira)</v>
      </c>
      <c r="D589" t="str">
        <f>IFERROR(__xludf.DUMMYFUNCTION("""COMPUTED_VALUE"""),"Skulnukulkit( Nukulkit)")</f>
        <v>Skulnukulkit( Nukulkit)</v>
      </c>
      <c r="E589" t="str">
        <f>IFERROR(__xludf.DUMMYFUNCTION("""COMPUTED_VALUE"""),"Punyanuch Skulnukulkit")</f>
        <v>Punyanuch Skulnukulkit</v>
      </c>
      <c r="F589" t="str">
        <f>IFERROR(__xludf.DUMMYFUNCTION("""COMPUTED_VALUE"""),"นางสาว")</f>
        <v>นางสาว</v>
      </c>
      <c r="G589" t="str">
        <f>IFERROR(__xludf.DUMMYFUNCTION("""COMPUTED_VALUE"""),"ปุณยนุช")</f>
        <v>ปุณยนุช</v>
      </c>
      <c r="H589" t="str">
        <f>IFERROR(__xludf.DUMMYFUNCTION("""COMPUTED_VALUE"""),"สกุลนุกูลกิจ")</f>
        <v>สกุลนุกูลกิจ</v>
      </c>
      <c r="I589" t="str">
        <f>IFERROR(__xludf.DUMMYFUNCTION("""COMPUTED_VALUE"""),"ปุณยนุช สกุลนุกูลกิจ")</f>
        <v>ปุณยนุช สกุลนุกูลกิจ</v>
      </c>
      <c r="J589" t="str">
        <f>IFERROR(__xludf.DUMMYFUNCTION("""COMPUTED_VALUE"""),"Pias")</f>
        <v>Pias</v>
      </c>
      <c r="K589" t="str">
        <f>IFERROR(__xludf.DUMMYFUNCTION("""COMPUTED_VALUE"""),"Cabin Crew")</f>
        <v>Cabin Crew</v>
      </c>
      <c r="L589" t="str">
        <f>IFERROR(__xludf.DUMMYFUNCTION("""COMPUTED_VALUE"""),"DMK")</f>
        <v>DMK</v>
      </c>
      <c r="M589" s="145" t="str">
        <f>IFERROR(__xludf.DUMMYFUNCTION("""COMPUTED_VALUE"""),"Toffy Home")</f>
        <v>Toffy Home</v>
      </c>
      <c r="N589" t="str">
        <f>IFERROR(__xludf.DUMMYFUNCTION("""COMPUTED_VALUE"""),"Active")</f>
        <v>Active</v>
      </c>
      <c r="P589" s="143">
        <f>IFERROR(__xludf.DUMMYFUNCTION("""COMPUTED_VALUE"""),32182.0)</f>
        <v>32182</v>
      </c>
      <c r="Q589" s="146" t="str">
        <f>IFERROR(__xludf.DUMMYFUNCTION("""COMPUTED_VALUE"""),"065-6646164")</f>
        <v>065-6646164</v>
      </c>
      <c r="R589" s="147" t="str">
        <f>IFERROR(__xludf.DUMMYFUNCTION("""COMPUTED_VALUE"""),"1102800-27-9121")</f>
        <v>1102800-27-9121</v>
      </c>
      <c r="S589" t="str">
        <f>IFERROR(__xludf.DUMMYFUNCTION("""COMPUTED_VALUE"""),"AC7551621")</f>
        <v>AC7551621</v>
      </c>
      <c r="T589" s="148">
        <f>IFERROR(__xludf.DUMMYFUNCTION("""COMPUTED_VALUE"""),45566.0)</f>
        <v>45566</v>
      </c>
      <c r="U589" s="148">
        <f>IFERROR(__xludf.DUMMYFUNCTION("""COMPUTED_VALUE"""),47391.0)</f>
        <v>47391</v>
      </c>
      <c r="V589" s="149">
        <f>IFERROR(__xludf.DUMMYFUNCTION("""COMPUTED_VALUE"""),47207.0)</f>
        <v>47207</v>
      </c>
      <c r="W589" t="str">
        <f>IFERROR(__xludf.DUMMYFUNCTION("""COMPUTED_VALUE"""),"ปลอดภัย")</f>
        <v>ปลอดภัย</v>
      </c>
      <c r="X589" t="str">
        <f>IFERROR(__xludf.DUMMYFUNCTION("""COMPUTED_VALUE"""),"Bangkok")</f>
        <v>Bangkok</v>
      </c>
      <c r="Y589" t="str">
        <f>IFERROR(__xludf.DUMMYFUNCTION("""COMPUTED_VALUE"""),"Donmueang")</f>
        <v>Donmueang</v>
      </c>
      <c r="Z589" t="str">
        <f>IFERROR(__xludf.DUMMYFUNCTION("""COMPUTED_VALUE"""),"098 565 9224")</f>
        <v>098 565 9224</v>
      </c>
      <c r="AA589" t="str">
        <f>IFERROR(__xludf.DUMMYFUNCTION("""COMPUTED_VALUE"""),"Mother")</f>
        <v>Mother</v>
      </c>
      <c r="AB589" t="str">
        <f>IFERROR(__xludf.DUMMYFUNCTION("""COMPUTED_VALUE"""),"punyanuchs@airasia.com")</f>
        <v>punyanuchs@airasia.com</v>
      </c>
    </row>
    <row r="590">
      <c r="AB590" t="str">
        <f>IFERROR(__xludf.DUMMYFUNCTION("""COMPUTED_VALUE"""),"")</f>
        <v/>
      </c>
    </row>
    <row r="591">
      <c r="A591">
        <f>IFERROR(__xludf.DUMMYFUNCTION("""COMPUTED_VALUE"""),1011800.0)</f>
        <v>1011800</v>
      </c>
      <c r="B591" t="str">
        <f>IFERROR(__xludf.DUMMYFUNCTION("""COMPUTED_VALUE"""),"Ms.")</f>
        <v>Ms.</v>
      </c>
      <c r="C591" t="str">
        <f>IFERROR(__xludf.DUMMYFUNCTION("""COMPUTED_VALUE"""),"Arisa")</f>
        <v>Arisa</v>
      </c>
      <c r="D591" t="str">
        <f>IFERROR(__xludf.DUMMYFUNCTION("""COMPUTED_VALUE"""),"Witthawaskul")</f>
        <v>Witthawaskul</v>
      </c>
      <c r="E591" t="str">
        <f>IFERROR(__xludf.DUMMYFUNCTION("""COMPUTED_VALUE"""),"Arisa Witthawaskul")</f>
        <v>Arisa Witthawaskul</v>
      </c>
      <c r="F591" t="str">
        <f>IFERROR(__xludf.DUMMYFUNCTION("""COMPUTED_VALUE"""),"นางสาว")</f>
        <v>นางสาว</v>
      </c>
      <c r="G591" t="str">
        <f>IFERROR(__xludf.DUMMYFUNCTION("""COMPUTED_VALUE"""),"อลิสา")</f>
        <v>อลิสา</v>
      </c>
      <c r="H591" t="str">
        <f>IFERROR(__xludf.DUMMYFUNCTION("""COMPUTED_VALUE"""),"วิทวัสกุล")</f>
        <v>วิทวัสกุล</v>
      </c>
      <c r="I591" t="str">
        <f>IFERROR(__xludf.DUMMYFUNCTION("""COMPUTED_VALUE"""),"อลิสา วิทวัสกุล")</f>
        <v>อลิสา วิทวัสกุล</v>
      </c>
      <c r="J591" t="str">
        <f>IFERROR(__xludf.DUMMYFUNCTION("""COMPUTED_VALUE"""),"แพม Pam")</f>
        <v>แพม Pam</v>
      </c>
      <c r="K591" t="str">
        <f>IFERROR(__xludf.DUMMYFUNCTION("""COMPUTED_VALUE"""),"Senior Cabin Crew")</f>
        <v>Senior Cabin Crew</v>
      </c>
      <c r="L591" t="str">
        <f>IFERROR(__xludf.DUMMYFUNCTION("""COMPUTED_VALUE"""),"DMK")</f>
        <v>DMK</v>
      </c>
      <c r="M591" s="145" t="str">
        <f>IFERROR(__xludf.DUMMYFUNCTION("""COMPUTED_VALUE"""),"Namfon Home")</f>
        <v>Namfon Home</v>
      </c>
      <c r="N591" t="str">
        <f>IFERROR(__xludf.DUMMYFUNCTION("""COMPUTED_VALUE"""),"Active")</f>
        <v>Active</v>
      </c>
      <c r="O591" t="str">
        <f>IFERROR(__xludf.DUMMYFUNCTION("""COMPUTED_VALUE"""),"SCC Line Checker 2025")</f>
        <v>SCC Line Checker 2025</v>
      </c>
      <c r="P591" s="143">
        <f>IFERROR(__xludf.DUMMYFUNCTION("""COMPUTED_VALUE"""),30304.0)</f>
        <v>30304</v>
      </c>
      <c r="Q591" s="146" t="str">
        <f>IFERROR(__xludf.DUMMYFUNCTION("""COMPUTED_VALUE"""),"095-295-1624")</f>
        <v>095-295-1624</v>
      </c>
      <c r="R591" s="147" t="str">
        <f>IFERROR(__xludf.DUMMYFUNCTION("""COMPUTED_VALUE"""),"3-1006-02906-93-1")</f>
        <v>3-1006-02906-93-1</v>
      </c>
      <c r="S591" t="str">
        <f>IFERROR(__xludf.DUMMYFUNCTION("""COMPUTED_VALUE"""),"AC2862085")</f>
        <v>AC2862085</v>
      </c>
      <c r="T591" s="148">
        <f>IFERROR(__xludf.DUMMYFUNCTION("""COMPUTED_VALUE"""),44600.0)</f>
        <v>44600</v>
      </c>
      <c r="U591" s="148">
        <f>IFERROR(__xludf.DUMMYFUNCTION("""COMPUTED_VALUE"""),48251.0)</f>
        <v>48251</v>
      </c>
      <c r="V591" s="149">
        <f>IFERROR(__xludf.DUMMYFUNCTION("""COMPUTED_VALUE"""),48067.0)</f>
        <v>48067</v>
      </c>
      <c r="W591" t="str">
        <f>IFERROR(__xludf.DUMMYFUNCTION("""COMPUTED_VALUE"""),"ปลอดภัย")</f>
        <v>ปลอดภัย</v>
      </c>
      <c r="X591" t="str">
        <f>IFERROR(__xludf.DUMMYFUNCTION("""COMPUTED_VALUE"""),"Bangkok")</f>
        <v>Bangkok</v>
      </c>
      <c r="Y591" t="str">
        <f>IFERROR(__xludf.DUMMYFUNCTION("""COMPUTED_VALUE"""),"Wangthonglang")</f>
        <v>Wangthonglang</v>
      </c>
      <c r="Z591" t="str">
        <f>IFERROR(__xludf.DUMMYFUNCTION("""COMPUTED_VALUE"""),"086-588-5006")</f>
        <v>086-588-5006</v>
      </c>
      <c r="AA591" t="str">
        <f>IFERROR(__xludf.DUMMYFUNCTION("""COMPUTED_VALUE"""),"Araya")</f>
        <v>Araya</v>
      </c>
      <c r="AB591" t="str">
        <f>IFERROR(__xludf.DUMMYFUNCTION("""COMPUTED_VALUE"""),"arisaw@airasia.com")</f>
        <v>arisaw@airasia.com</v>
      </c>
    </row>
    <row r="592">
      <c r="A592">
        <f>IFERROR(__xludf.DUMMYFUNCTION("""COMPUTED_VALUE"""),1011806.0)</f>
        <v>1011806</v>
      </c>
      <c r="B592" t="str">
        <f>IFERROR(__xludf.DUMMYFUNCTION("""COMPUTED_VALUE"""),"Ms.")</f>
        <v>Ms.</v>
      </c>
      <c r="C592" t="str">
        <f>IFERROR(__xludf.DUMMYFUNCTION("""COMPUTED_VALUE"""),"Chonthicha")</f>
        <v>Chonthicha</v>
      </c>
      <c r="D592" t="str">
        <f>IFERROR(__xludf.DUMMYFUNCTION("""COMPUTED_VALUE"""),"Chanpanitkitchot")</f>
        <v>Chanpanitkitchot</v>
      </c>
      <c r="E592" t="str">
        <f>IFERROR(__xludf.DUMMYFUNCTION("""COMPUTED_VALUE"""),"Chonthicha Chanpanitkitchot")</f>
        <v>Chonthicha Chanpanitkitchot</v>
      </c>
      <c r="F592" t="str">
        <f>IFERROR(__xludf.DUMMYFUNCTION("""COMPUTED_VALUE"""),"นางสาว")</f>
        <v>นางสาว</v>
      </c>
      <c r="G592" t="str">
        <f>IFERROR(__xludf.DUMMYFUNCTION("""COMPUTED_VALUE"""),"ชลธิชา")</f>
        <v>ชลธิชา</v>
      </c>
      <c r="H592" t="str">
        <f>IFERROR(__xludf.DUMMYFUNCTION("""COMPUTED_VALUE"""),"ชาญพานิชกิจโชติ")</f>
        <v>ชาญพานิชกิจโชติ</v>
      </c>
      <c r="I592" t="str">
        <f>IFERROR(__xludf.DUMMYFUNCTION("""COMPUTED_VALUE"""),"ชลธิชา ชาญพานิชกิจโชติ")</f>
        <v>ชลธิชา ชาญพานิชกิจโชติ</v>
      </c>
      <c r="J592" t="str">
        <f>IFERROR(__xludf.DUMMYFUNCTION("""COMPUTED_VALUE"""),"ฝน Fon")</f>
        <v>ฝน Fon</v>
      </c>
      <c r="K592" t="str">
        <f>IFERROR(__xludf.DUMMYFUNCTION("""COMPUTED_VALUE"""),"Senior Cabin Crew - BKK")</f>
        <v>Senior Cabin Crew - BKK</v>
      </c>
      <c r="L592" t="str">
        <f>IFERROR(__xludf.DUMMYFUNCTION("""COMPUTED_VALUE"""),"BKK")</f>
        <v>BKK</v>
      </c>
      <c r="M592" s="145" t="str">
        <f>IFERROR(__xludf.DUMMYFUNCTION("""COMPUTED_VALUE"""),"Nhui Home")</f>
        <v>Nhui Home</v>
      </c>
      <c r="N592" t="str">
        <f>IFERROR(__xludf.DUMMYFUNCTION("""COMPUTED_VALUE"""),"Active")</f>
        <v>Active</v>
      </c>
      <c r="P592" s="143">
        <f>IFERROR(__xludf.DUMMYFUNCTION("""COMPUTED_VALUE"""),30215.0)</f>
        <v>30215</v>
      </c>
      <c r="Q592" s="146" t="str">
        <f>IFERROR(__xludf.DUMMYFUNCTION("""COMPUTED_VALUE"""),"081-907-2014")</f>
        <v>081-907-2014</v>
      </c>
      <c r="R592" s="147" t="str">
        <f>IFERROR(__xludf.DUMMYFUNCTION("""COMPUTED_VALUE"""),"3-1101-01281-62-9")</f>
        <v>3-1101-01281-62-9</v>
      </c>
      <c r="S592" t="str">
        <f>IFERROR(__xludf.DUMMYFUNCTION("""COMPUTED_VALUE"""),"AC8234546")</f>
        <v>AC8234546</v>
      </c>
      <c r="T592" s="148">
        <f>IFERROR(__xludf.DUMMYFUNCTION("""COMPUTED_VALUE"""),45740.0)</f>
        <v>45740</v>
      </c>
      <c r="U592" s="148">
        <f>IFERROR(__xludf.DUMMYFUNCTION("""COMPUTED_VALUE"""),49391.0)</f>
        <v>49391</v>
      </c>
      <c r="V592" s="149">
        <f>IFERROR(__xludf.DUMMYFUNCTION("""COMPUTED_VALUE"""),49210.0)</f>
        <v>49210</v>
      </c>
      <c r="W592" t="str">
        <f>IFERROR(__xludf.DUMMYFUNCTION("""COMPUTED_VALUE"""),"ปลอดภัย")</f>
        <v>ปลอดภัย</v>
      </c>
      <c r="X592" t="str">
        <f>IFERROR(__xludf.DUMMYFUNCTION("""COMPUTED_VALUE"""),"Bangkok")</f>
        <v>Bangkok</v>
      </c>
      <c r="Y592" t="str">
        <f>IFERROR(__xludf.DUMMYFUNCTION("""COMPUTED_VALUE"""),"Samutpakan")</f>
        <v>Samutpakan</v>
      </c>
      <c r="Z592" t="str">
        <f>IFERROR(__xludf.DUMMYFUNCTION("""COMPUTED_VALUE"""),"089-892-8982")</f>
        <v>089-892-8982</v>
      </c>
      <c r="AA592" t="str">
        <f>IFERROR(__xludf.DUMMYFUNCTION("""COMPUTED_VALUE"""),"Chalermchai")</f>
        <v>Chalermchai</v>
      </c>
      <c r="AB592" t="str">
        <f>IFERROR(__xludf.DUMMYFUNCTION("""COMPUTED_VALUE"""),"chonthichac@airasia.com")</f>
        <v>chonthichac@airasia.com</v>
      </c>
    </row>
    <row r="593">
      <c r="A593">
        <f>IFERROR(__xludf.DUMMYFUNCTION("""COMPUTED_VALUE"""),1011807.0)</f>
        <v>1011807</v>
      </c>
      <c r="B593" t="str">
        <f>IFERROR(__xludf.DUMMYFUNCTION("""COMPUTED_VALUE"""),"Ms.")</f>
        <v>Ms.</v>
      </c>
      <c r="C593" t="str">
        <f>IFERROR(__xludf.DUMMYFUNCTION("""COMPUTED_VALUE"""),"Chulalak")</f>
        <v>Chulalak</v>
      </c>
      <c r="D593" t="str">
        <f>IFERROR(__xludf.DUMMYFUNCTION("""COMPUTED_VALUE"""),"Raksafoongchon")</f>
        <v>Raksafoongchon</v>
      </c>
      <c r="E593" t="str">
        <f>IFERROR(__xludf.DUMMYFUNCTION("""COMPUTED_VALUE"""),"Chulalak Raksafoongchon")</f>
        <v>Chulalak Raksafoongchon</v>
      </c>
      <c r="F593" t="str">
        <f>IFERROR(__xludf.DUMMYFUNCTION("""COMPUTED_VALUE"""),"นางสาว")</f>
        <v>นางสาว</v>
      </c>
      <c r="G593" t="str">
        <f>IFERROR(__xludf.DUMMYFUNCTION("""COMPUTED_VALUE"""),"จุฬาลักษณ์")</f>
        <v>จุฬาลักษณ์</v>
      </c>
      <c r="H593" t="str">
        <f>IFERROR(__xludf.DUMMYFUNCTION("""COMPUTED_VALUE"""),"รักษาฝูงชน")</f>
        <v>รักษาฝูงชน</v>
      </c>
      <c r="I593" t="str">
        <f>IFERROR(__xludf.DUMMYFUNCTION("""COMPUTED_VALUE"""),"จุฬาลักษณ์ รักษาฝูงชน")</f>
        <v>จุฬาลักษณ์ รักษาฝูงชน</v>
      </c>
      <c r="J593" t="str">
        <f>IFERROR(__xludf.DUMMYFUNCTION("""COMPUTED_VALUE"""),"เปิ้ล Apple")</f>
        <v>เปิ้ล Apple</v>
      </c>
      <c r="K593" t="str">
        <f>IFERROR(__xludf.DUMMYFUNCTION("""COMPUTED_VALUE"""),"Cabin Crew")</f>
        <v>Cabin Crew</v>
      </c>
      <c r="L593" t="str">
        <f>IFERROR(__xludf.DUMMYFUNCTION("""COMPUTED_VALUE"""),"DMK")</f>
        <v>DMK</v>
      </c>
      <c r="M593" s="145" t="str">
        <f>IFERROR(__xludf.DUMMYFUNCTION("""COMPUTED_VALUE"""),"Por+ Home")</f>
        <v>Por+ Home</v>
      </c>
      <c r="N593" t="str">
        <f>IFERROR(__xludf.DUMMYFUNCTION("""COMPUTED_VALUE"""),"Active")</f>
        <v>Active</v>
      </c>
      <c r="P593" s="143">
        <f>IFERROR(__xludf.DUMMYFUNCTION("""COMPUTED_VALUE"""),31491.0)</f>
        <v>31491</v>
      </c>
      <c r="Q593" s="146" t="str">
        <f>IFERROR(__xludf.DUMMYFUNCTION("""COMPUTED_VALUE""")," 096-9616916")</f>
        <v> 096-9616916</v>
      </c>
      <c r="R593" s="147" t="str">
        <f>IFERROR(__xludf.DUMMYFUNCTION("""COMPUTED_VALUE"""),"1-5299-00142-55-5")</f>
        <v>1-5299-00142-55-5</v>
      </c>
      <c r="S593" t="str">
        <f>IFERROR(__xludf.DUMMYFUNCTION("""COMPUTED_VALUE"""),"AC3583005")</f>
        <v>AC3583005</v>
      </c>
      <c r="T593" s="148">
        <f>IFERROR(__xludf.DUMMYFUNCTION("""COMPUTED_VALUE"""),44748.0)</f>
        <v>44748</v>
      </c>
      <c r="U593" s="148">
        <f>IFERROR(__xludf.DUMMYFUNCTION("""COMPUTED_VALUE"""),46575.0)</f>
        <v>46575</v>
      </c>
      <c r="V593" s="149">
        <f>IFERROR(__xludf.DUMMYFUNCTION("""COMPUTED_VALUE"""),46394.0)</f>
        <v>46394</v>
      </c>
      <c r="W593" t="str">
        <f>IFERROR(__xludf.DUMMYFUNCTION("""COMPUTED_VALUE"""),"ปลอดภัย")</f>
        <v>ปลอดภัย</v>
      </c>
      <c r="X593" t="str">
        <f>IFERROR(__xludf.DUMMYFUNCTION("""COMPUTED_VALUE"""),"Lampang Province")</f>
        <v>Lampang Province</v>
      </c>
      <c r="Y593" t="str">
        <f>IFERROR(__xludf.DUMMYFUNCTION("""COMPUTED_VALUE"""),"Suanluang")</f>
        <v>Suanluang</v>
      </c>
      <c r="Z593" t="str">
        <f>IFERROR(__xludf.DUMMYFUNCTION("""COMPUTED_VALUE"""),"086-659-3692")</f>
        <v>086-659-3692</v>
      </c>
      <c r="AA593" t="str">
        <f>IFERROR(__xludf.DUMMYFUNCTION("""COMPUTED_VALUE"""),"Srisuntorn")</f>
        <v>Srisuntorn</v>
      </c>
      <c r="AB593" t="str">
        <f>IFERROR(__xludf.DUMMYFUNCTION("""COMPUTED_VALUE"""),"chulalakr@airasia.com")</f>
        <v>chulalakr@airasia.com</v>
      </c>
    </row>
    <row r="594">
      <c r="A594">
        <f>IFERROR(__xludf.DUMMYFUNCTION("""COMPUTED_VALUE"""),1011811.0)</f>
        <v>1011811</v>
      </c>
      <c r="B594" t="str">
        <f>IFERROR(__xludf.DUMMYFUNCTION("""COMPUTED_VALUE"""),"Ms.")</f>
        <v>Ms.</v>
      </c>
      <c r="C594" t="str">
        <f>IFERROR(__xludf.DUMMYFUNCTION("""COMPUTED_VALUE"""),"Jinnapitch")</f>
        <v>Jinnapitch</v>
      </c>
      <c r="D594" t="str">
        <f>IFERROR(__xludf.DUMMYFUNCTION("""COMPUTED_VALUE"""),"Napisitsopa (Watanabe)")</f>
        <v>Napisitsopa (Watanabe)</v>
      </c>
      <c r="E594" t="str">
        <f>IFERROR(__xludf.DUMMYFUNCTION("""COMPUTED_VALUE"""),"Jinnapitch Napisitsopa")</f>
        <v>Jinnapitch Napisitsopa</v>
      </c>
      <c r="F594" t="str">
        <f>IFERROR(__xludf.DUMMYFUNCTION("""COMPUTED_VALUE"""),"นางสาว")</f>
        <v>นางสาว</v>
      </c>
      <c r="G594" t="str">
        <f>IFERROR(__xludf.DUMMYFUNCTION("""COMPUTED_VALUE"""),"จินพิชญ์")</f>
        <v>จินพิชญ์</v>
      </c>
      <c r="H594" t="str">
        <f>IFERROR(__xludf.DUMMYFUNCTION("""COMPUTED_VALUE"""),"ณพิสิษฐ์โสภา(วาทานาเบ้)")</f>
        <v>ณพิสิษฐ์โสภา(วาทานาเบ้)</v>
      </c>
      <c r="I594" t="str">
        <f>IFERROR(__xludf.DUMMYFUNCTION("""COMPUTED_VALUE"""),"จินพิชญ์ ณพิสิษฐ์โสภา")</f>
        <v>จินพิชญ์ ณพิสิษฐ์โสภา</v>
      </c>
      <c r="J594" t="str">
        <f>IFERROR(__xludf.DUMMYFUNCTION("""COMPUTED_VALUE"""),"เอ๋ Ehh")</f>
        <v>เอ๋ Ehh</v>
      </c>
      <c r="K594" t="str">
        <f>IFERROR(__xludf.DUMMYFUNCTION("""COMPUTED_VALUE"""),"Cabin Crew")</f>
        <v>Cabin Crew</v>
      </c>
      <c r="L594" t="str">
        <f>IFERROR(__xludf.DUMMYFUNCTION("""COMPUTED_VALUE"""),"DMK")</f>
        <v>DMK</v>
      </c>
      <c r="M594" s="145" t="str">
        <f>IFERROR(__xludf.DUMMYFUNCTION("""COMPUTED_VALUE"""),"Nhui Home")</f>
        <v>Nhui Home</v>
      </c>
      <c r="N594" t="str">
        <f>IFERROR(__xludf.DUMMYFUNCTION("""COMPUTED_VALUE"""),"Active")</f>
        <v>Active</v>
      </c>
      <c r="P594" s="143">
        <f>IFERROR(__xludf.DUMMYFUNCTION("""COMPUTED_VALUE"""),29889.0)</f>
        <v>29889</v>
      </c>
      <c r="Q594" s="146" t="str">
        <f>IFERROR(__xludf.DUMMYFUNCTION("""COMPUTED_VALUE"""),"086-614-4955")</f>
        <v>086-614-4955</v>
      </c>
      <c r="R594" s="147" t="str">
        <f>IFERROR(__xludf.DUMMYFUNCTION("""COMPUTED_VALUE"""),"3-2199-00009-68-4")</f>
        <v>3-2199-00009-68-4</v>
      </c>
      <c r="S594" t="str">
        <f>IFERROR(__xludf.DUMMYFUNCTION("""COMPUTED_VALUE"""),"AC3660334")</f>
        <v>AC3660334</v>
      </c>
      <c r="T594" s="148">
        <f>IFERROR(__xludf.DUMMYFUNCTION("""COMPUTED_VALUE"""),44764.0)</f>
        <v>44764</v>
      </c>
      <c r="U594" s="148">
        <f>IFERROR(__xludf.DUMMYFUNCTION("""COMPUTED_VALUE"""),48416.0)</f>
        <v>48416</v>
      </c>
      <c r="V594" s="149">
        <f>IFERROR(__xludf.DUMMYFUNCTION("""COMPUTED_VALUE"""),48234.0)</f>
        <v>48234</v>
      </c>
      <c r="W594" t="str">
        <f>IFERROR(__xludf.DUMMYFUNCTION("""COMPUTED_VALUE"""),"ปลอดภัย")</f>
        <v>ปลอดภัย</v>
      </c>
      <c r="X594" t="str">
        <f>IFERROR(__xludf.DUMMYFUNCTION("""COMPUTED_VALUE"""),"Rayong Province")</f>
        <v>Rayong Province</v>
      </c>
      <c r="Y594" t="str">
        <f>IFERROR(__xludf.DUMMYFUNCTION("""COMPUTED_VALUE"""),"Nonthaburi")</f>
        <v>Nonthaburi</v>
      </c>
      <c r="Z594" t="str">
        <f>IFERROR(__xludf.DUMMYFUNCTION("""COMPUTED_VALUE"""),"087-280-2254")</f>
        <v>087-280-2254</v>
      </c>
      <c r="AA594" t="str">
        <f>IFERROR(__xludf.DUMMYFUNCTION("""COMPUTED_VALUE"""),"Hiroaki Watanabe")</f>
        <v>Hiroaki Watanabe</v>
      </c>
      <c r="AB594" t="str">
        <f>IFERROR(__xludf.DUMMYFUNCTION("""COMPUTED_VALUE"""),"jinnapitchn@airasia.com")</f>
        <v>jinnapitchn@airasia.com</v>
      </c>
    </row>
    <row r="595">
      <c r="A595">
        <f>IFERROR(__xludf.DUMMYFUNCTION("""COMPUTED_VALUE"""),1011813.0)</f>
        <v>1011813</v>
      </c>
      <c r="B595" t="str">
        <f>IFERROR(__xludf.DUMMYFUNCTION("""COMPUTED_VALUE"""),"Ms.")</f>
        <v>Ms.</v>
      </c>
      <c r="C595" t="str">
        <f>IFERROR(__xludf.DUMMYFUNCTION("""COMPUTED_VALUE"""),"Kathaleeya")</f>
        <v>Kathaleeya</v>
      </c>
      <c r="D595" t="str">
        <f>IFERROR(__xludf.DUMMYFUNCTION("""COMPUTED_VALUE"""),"Jaroensuk")</f>
        <v>Jaroensuk</v>
      </c>
      <c r="E595" t="str">
        <f>IFERROR(__xludf.DUMMYFUNCTION("""COMPUTED_VALUE"""),"Kathaleeya Jaroensuk")</f>
        <v>Kathaleeya Jaroensuk</v>
      </c>
      <c r="F595" t="str">
        <f>IFERROR(__xludf.DUMMYFUNCTION("""COMPUTED_VALUE"""),"นางสาว")</f>
        <v>นางสาว</v>
      </c>
      <c r="G595" t="str">
        <f>IFERROR(__xludf.DUMMYFUNCTION("""COMPUTED_VALUE"""),"คัทลียา")</f>
        <v>คัทลียา</v>
      </c>
      <c r="H595" t="str">
        <f>IFERROR(__xludf.DUMMYFUNCTION("""COMPUTED_VALUE"""),"เจริญสุข")</f>
        <v>เจริญสุข</v>
      </c>
      <c r="I595" t="str">
        <f>IFERROR(__xludf.DUMMYFUNCTION("""COMPUTED_VALUE"""),"คัทลียา เจริญสุข")</f>
        <v>คัทลียา เจริญสุข</v>
      </c>
      <c r="J595" t="str">
        <f>IFERROR(__xludf.DUMMYFUNCTION("""COMPUTED_VALUE"""),"ติ๊ก Tik")</f>
        <v>ติ๊ก Tik</v>
      </c>
      <c r="K595" t="str">
        <f>IFERROR(__xludf.DUMMYFUNCTION("""COMPUTED_VALUE"""),"Cabin Crew")</f>
        <v>Cabin Crew</v>
      </c>
      <c r="L595" t="str">
        <f>IFERROR(__xludf.DUMMYFUNCTION("""COMPUTED_VALUE"""),"DMK")</f>
        <v>DMK</v>
      </c>
      <c r="M595" s="145" t="str">
        <f>IFERROR(__xludf.DUMMYFUNCTION("""COMPUTED_VALUE"""),"Up Home")</f>
        <v>Up Home</v>
      </c>
      <c r="N595" t="str">
        <f>IFERROR(__xludf.DUMMYFUNCTION("""COMPUTED_VALUE"""),"Active")</f>
        <v>Active</v>
      </c>
      <c r="P595" s="143">
        <f>IFERROR(__xludf.DUMMYFUNCTION("""COMPUTED_VALUE"""),29647.0)</f>
        <v>29647</v>
      </c>
      <c r="Q595" s="146" t="str">
        <f>IFERROR(__xludf.DUMMYFUNCTION("""COMPUTED_VALUE"""),"086-569-4046")</f>
        <v>086-569-4046</v>
      </c>
      <c r="R595" s="147" t="str">
        <f>IFERROR(__xludf.DUMMYFUNCTION("""COMPUTED_VALUE"""),"3-6599-00617-19-2")</f>
        <v>3-6599-00617-19-2</v>
      </c>
      <c r="S595" t="str">
        <f>IFERROR(__xludf.DUMMYFUNCTION("""COMPUTED_VALUE"""),"AC2697728")</f>
        <v>AC2697728</v>
      </c>
      <c r="T595" s="148">
        <f>IFERROR(__xludf.DUMMYFUNCTION("""COMPUTED_VALUE"""),44587.0)</f>
        <v>44587</v>
      </c>
      <c r="U595" s="148">
        <f>IFERROR(__xludf.DUMMYFUNCTION("""COMPUTED_VALUE"""),48238.0)</f>
        <v>48238</v>
      </c>
      <c r="V595" s="149">
        <f>IFERROR(__xludf.DUMMYFUNCTION("""COMPUTED_VALUE"""),48054.0)</f>
        <v>48054</v>
      </c>
      <c r="W595" t="str">
        <f>IFERROR(__xludf.DUMMYFUNCTION("""COMPUTED_VALUE"""),"ปลอดภัย")</f>
        <v>ปลอดภัย</v>
      </c>
      <c r="X595" t="str">
        <f>IFERROR(__xludf.DUMMYFUNCTION("""COMPUTED_VALUE"""),"Phitsanulok Province")</f>
        <v>Phitsanulok Province</v>
      </c>
      <c r="Y595" t="str">
        <f>IFERROR(__xludf.DUMMYFUNCTION("""COMPUTED_VALUE"""),"Nonthaburi")</f>
        <v>Nonthaburi</v>
      </c>
      <c r="Z595" t="str">
        <f>IFERROR(__xludf.DUMMYFUNCTION("""COMPUTED_VALUE"""),"089-859-5471")</f>
        <v>089-859-5471</v>
      </c>
      <c r="AA595" t="str">
        <f>IFERROR(__xludf.DUMMYFUNCTION("""COMPUTED_VALUE"""),"Tawach")</f>
        <v>Tawach</v>
      </c>
      <c r="AB595" t="str">
        <f>IFERROR(__xludf.DUMMYFUNCTION("""COMPUTED_VALUE"""),"kathaleeyaj@airasia.com")</f>
        <v>kathaleeyaj@airasia.com</v>
      </c>
    </row>
    <row r="596">
      <c r="A596">
        <f>IFERROR(__xludf.DUMMYFUNCTION("""COMPUTED_VALUE"""),1011816.0)</f>
        <v>1011816</v>
      </c>
      <c r="B596" t="str">
        <f>IFERROR(__xludf.DUMMYFUNCTION("""COMPUTED_VALUE"""),"Ms.")</f>
        <v>Ms.</v>
      </c>
      <c r="C596" t="str">
        <f>IFERROR(__xludf.DUMMYFUNCTION("""COMPUTED_VALUE"""),"Michelle")</f>
        <v>Michelle</v>
      </c>
      <c r="D596" t="str">
        <f>IFERROR(__xludf.DUMMYFUNCTION("""COMPUTED_VALUE"""),"Potaya")</f>
        <v>Potaya</v>
      </c>
      <c r="E596" t="str">
        <f>IFERROR(__xludf.DUMMYFUNCTION("""COMPUTED_VALUE"""),"Michelle Potaya")</f>
        <v>Michelle Potaya</v>
      </c>
      <c r="F596" t="str">
        <f>IFERROR(__xludf.DUMMYFUNCTION("""COMPUTED_VALUE"""),"นางสาว")</f>
        <v>นางสาว</v>
      </c>
      <c r="G596" t="str">
        <f>IFERROR(__xludf.DUMMYFUNCTION("""COMPUTED_VALUE"""),"มิเชล")</f>
        <v>มิเชล</v>
      </c>
      <c r="H596" t="str">
        <f>IFERROR(__xludf.DUMMYFUNCTION("""COMPUTED_VALUE"""),"โพทะยะ")</f>
        <v>โพทะยะ</v>
      </c>
      <c r="I596" t="str">
        <f>IFERROR(__xludf.DUMMYFUNCTION("""COMPUTED_VALUE"""),"มิเชล โพทะยะ")</f>
        <v>มิเชล โพทะยะ</v>
      </c>
      <c r="J596" t="str">
        <f>IFERROR(__xludf.DUMMYFUNCTION("""COMPUTED_VALUE"""),"มิ้งค์ Mink")</f>
        <v>มิ้งค์ Mink</v>
      </c>
      <c r="K596" t="str">
        <f>IFERROR(__xludf.DUMMYFUNCTION("""COMPUTED_VALUE"""),"Cabin Crew - BKK")</f>
        <v>Cabin Crew - BKK</v>
      </c>
      <c r="L596" t="str">
        <f>IFERROR(__xludf.DUMMYFUNCTION("""COMPUTED_VALUE"""),"BKK")</f>
        <v>BKK</v>
      </c>
      <c r="M596" s="145" t="str">
        <f>IFERROR(__xludf.DUMMYFUNCTION("""COMPUTED_VALUE"""),"Nhui Home")</f>
        <v>Nhui Home</v>
      </c>
      <c r="N596" t="str">
        <f>IFERROR(__xludf.DUMMYFUNCTION("""COMPUTED_VALUE"""),"Active/V/DMK")</f>
        <v>Active/V/DMK</v>
      </c>
      <c r="P596" s="143">
        <f>IFERROR(__xludf.DUMMYFUNCTION("""COMPUTED_VALUE"""),29918.0)</f>
        <v>29918</v>
      </c>
      <c r="Q596" s="146" t="str">
        <f>IFERROR(__xludf.DUMMYFUNCTION("""COMPUTED_VALUE"""),"092-694-0886")</f>
        <v>092-694-0886</v>
      </c>
      <c r="R596" s="147" t="str">
        <f>IFERROR(__xludf.DUMMYFUNCTION("""COMPUTED_VALUE"""),"3-1006-03388-18-7")</f>
        <v>3-1006-03388-18-7</v>
      </c>
      <c r="S596" t="str">
        <f>IFERROR(__xludf.DUMMYFUNCTION("""COMPUTED_VALUE"""),"AC5392125")</f>
        <v>AC5392125</v>
      </c>
      <c r="T596" s="148">
        <f>IFERROR(__xludf.DUMMYFUNCTION("""COMPUTED_VALUE"""),45149.0)</f>
        <v>45149</v>
      </c>
      <c r="U596" s="148">
        <f>IFERROR(__xludf.DUMMYFUNCTION("""COMPUTED_VALUE"""),48801.0)</f>
        <v>48801</v>
      </c>
      <c r="V596" s="149">
        <f>IFERROR(__xludf.DUMMYFUNCTION("""COMPUTED_VALUE"""),48620.0)</f>
        <v>48620</v>
      </c>
      <c r="W596" t="str">
        <f>IFERROR(__xludf.DUMMYFUNCTION("""COMPUTED_VALUE"""),"ปลอดภัย")</f>
        <v>ปลอดภัย</v>
      </c>
      <c r="X596" t="str">
        <f>IFERROR(__xludf.DUMMYFUNCTION("""COMPUTED_VALUE"""),"Bangkok")</f>
        <v>Bangkok</v>
      </c>
      <c r="Y596" t="str">
        <f>IFERROR(__xludf.DUMMYFUNCTION("""COMPUTED_VALUE"""),"Ladprao")</f>
        <v>Ladprao</v>
      </c>
      <c r="Z596" t="str">
        <f>IFERROR(__xludf.DUMMYFUNCTION("""COMPUTED_VALUE"""),"084-756-0088")</f>
        <v>084-756-0088</v>
      </c>
      <c r="AA596" t="str">
        <f>IFERROR(__xludf.DUMMYFUNCTION("""COMPUTED_VALUE"""),"Pakvipa")</f>
        <v>Pakvipa</v>
      </c>
      <c r="AB596" t="str">
        <f>IFERROR(__xludf.DUMMYFUNCTION("""COMPUTED_VALUE"""),"michellep@airasia.com")</f>
        <v>michellep@airasia.com</v>
      </c>
    </row>
    <row r="597">
      <c r="A597">
        <f>IFERROR(__xludf.DUMMYFUNCTION("""COMPUTED_VALUE"""),1011820.0)</f>
        <v>1011820</v>
      </c>
      <c r="B597" t="str">
        <f>IFERROR(__xludf.DUMMYFUNCTION("""COMPUTED_VALUE"""),"Mr.")</f>
        <v>Mr.</v>
      </c>
      <c r="C597" t="str">
        <f>IFERROR(__xludf.DUMMYFUNCTION("""COMPUTED_VALUE"""),"Nitithorn")</f>
        <v>Nitithorn</v>
      </c>
      <c r="D597" t="str">
        <f>IFERROR(__xludf.DUMMYFUNCTION("""COMPUTED_VALUE"""),"Chiangpradit")</f>
        <v>Chiangpradit</v>
      </c>
      <c r="E597" t="str">
        <f>IFERROR(__xludf.DUMMYFUNCTION("""COMPUTED_VALUE"""),"Nitithorn Chiangpradit")</f>
        <v>Nitithorn Chiangpradit</v>
      </c>
      <c r="F597" t="str">
        <f>IFERROR(__xludf.DUMMYFUNCTION("""COMPUTED_VALUE"""),"นาย")</f>
        <v>นาย</v>
      </c>
      <c r="G597" t="str">
        <f>IFERROR(__xludf.DUMMYFUNCTION("""COMPUTED_VALUE"""),"นิติธร")</f>
        <v>นิติธร</v>
      </c>
      <c r="H597" t="str">
        <f>IFERROR(__xludf.DUMMYFUNCTION("""COMPUTED_VALUE"""),"เจียงประดิษฐ์")</f>
        <v>เจียงประดิษฐ์</v>
      </c>
      <c r="I597" t="str">
        <f>IFERROR(__xludf.DUMMYFUNCTION("""COMPUTED_VALUE"""),"นิติธร เจียงประดิษฐ์")</f>
        <v>นิติธร เจียงประดิษฐ์</v>
      </c>
      <c r="J597" t="str">
        <f>IFERROR(__xludf.DUMMYFUNCTION("""COMPUTED_VALUE"""),"บาส Bas")</f>
        <v>บาส Bas</v>
      </c>
      <c r="K597" t="str">
        <f>IFERROR(__xludf.DUMMYFUNCTION("""COMPUTED_VALUE"""),"Cabin Crew")</f>
        <v>Cabin Crew</v>
      </c>
      <c r="L597" t="str">
        <f>IFERROR(__xludf.DUMMYFUNCTION("""COMPUTED_VALUE"""),"DMK")</f>
        <v>DMK</v>
      </c>
      <c r="M597" s="145" t="str">
        <f>IFERROR(__xludf.DUMMYFUNCTION("""COMPUTED_VALUE"""),"Toffy Home")</f>
        <v>Toffy Home</v>
      </c>
      <c r="N597" t="str">
        <f>IFERROR(__xludf.DUMMYFUNCTION("""COMPUTED_VALUE"""),"Active")</f>
        <v>Active</v>
      </c>
      <c r="P597" s="143">
        <f>IFERROR(__xludf.DUMMYFUNCTION("""COMPUTED_VALUE"""),32854.0)</f>
        <v>32854</v>
      </c>
      <c r="Q597" s="146" t="str">
        <f>IFERROR(__xludf.DUMMYFUNCTION("""COMPUTED_VALUE"""),"086-887-3353")</f>
        <v>086-887-3353</v>
      </c>
      <c r="R597" s="147" t="str">
        <f>IFERROR(__xludf.DUMMYFUNCTION("""COMPUTED_VALUE"""),"1-1020-01259-29-5")</f>
        <v>1-1020-01259-29-5</v>
      </c>
      <c r="S597" t="str">
        <f>IFERROR(__xludf.DUMMYFUNCTION("""COMPUTED_VALUE"""),"AC4927577")</f>
        <v>AC4927577</v>
      </c>
      <c r="T597" s="148">
        <f>IFERROR(__xludf.DUMMYFUNCTION("""COMPUTED_VALUE"""),45055.0)</f>
        <v>45055</v>
      </c>
      <c r="U597" s="148">
        <f>IFERROR(__xludf.DUMMYFUNCTION("""COMPUTED_VALUE"""),48707.0)</f>
        <v>48707</v>
      </c>
      <c r="V597" s="149">
        <f>IFERROR(__xludf.DUMMYFUNCTION("""COMPUTED_VALUE"""),48526.0)</f>
        <v>48526</v>
      </c>
      <c r="W597" t="str">
        <f>IFERROR(__xludf.DUMMYFUNCTION("""COMPUTED_VALUE"""),"ปลอดภัย")</f>
        <v>ปลอดภัย</v>
      </c>
      <c r="X597" t="str">
        <f>IFERROR(__xludf.DUMMYFUNCTION("""COMPUTED_VALUE"""),"Bangkok")</f>
        <v>Bangkok</v>
      </c>
      <c r="Y597" t="str">
        <f>IFERROR(__xludf.DUMMYFUNCTION("""COMPUTED_VALUE"""),"Bangkhen")</f>
        <v>Bangkhen</v>
      </c>
      <c r="Z597" t="str">
        <f>IFERROR(__xludf.DUMMYFUNCTION("""COMPUTED_VALUE"""),"094-898-1962")</f>
        <v>094-898-1962</v>
      </c>
      <c r="AA597" t="str">
        <f>IFERROR(__xludf.DUMMYFUNCTION("""COMPUTED_VALUE"""),"Yosita")</f>
        <v>Yosita</v>
      </c>
      <c r="AB597" t="str">
        <f>IFERROR(__xludf.DUMMYFUNCTION("""COMPUTED_VALUE"""),"nitithornc@airasia.com")</f>
        <v>nitithornc@airasia.com</v>
      </c>
    </row>
    <row r="598">
      <c r="A598">
        <f>IFERROR(__xludf.DUMMYFUNCTION("""COMPUTED_VALUE"""),1011824.0)</f>
        <v>1011824</v>
      </c>
      <c r="B598" t="str">
        <f>IFERROR(__xludf.DUMMYFUNCTION("""COMPUTED_VALUE"""),"Ms.")</f>
        <v>Ms.</v>
      </c>
      <c r="C598" t="str">
        <f>IFERROR(__xludf.DUMMYFUNCTION("""COMPUTED_VALUE"""),"Pimnipa")</f>
        <v>Pimnipa</v>
      </c>
      <c r="D598" t="str">
        <f>IFERROR(__xludf.DUMMYFUNCTION("""COMPUTED_VALUE"""),"Limpatawonpong")</f>
        <v>Limpatawonpong</v>
      </c>
      <c r="E598" t="str">
        <f>IFERROR(__xludf.DUMMYFUNCTION("""COMPUTED_VALUE"""),"Pimnipa Limpatawonpong")</f>
        <v>Pimnipa Limpatawonpong</v>
      </c>
      <c r="F598" t="str">
        <f>IFERROR(__xludf.DUMMYFUNCTION("""COMPUTED_VALUE"""),"นางสาว")</f>
        <v>นางสาว</v>
      </c>
      <c r="G598" t="str">
        <f>IFERROR(__xludf.DUMMYFUNCTION("""COMPUTED_VALUE"""),"พิมพ์นิภา")</f>
        <v>พิมพ์นิภา</v>
      </c>
      <c r="H598" t="str">
        <f>IFERROR(__xludf.DUMMYFUNCTION("""COMPUTED_VALUE"""),"ลิมปะถาวรพงศ์")</f>
        <v>ลิมปะถาวรพงศ์</v>
      </c>
      <c r="I598" t="str">
        <f>IFERROR(__xludf.DUMMYFUNCTION("""COMPUTED_VALUE"""),"พิมพ์นิภา ลิมปะถาวรพงศ์")</f>
        <v>พิมพ์นิภา ลิมปะถาวรพงศ์</v>
      </c>
      <c r="J598" t="str">
        <f>IFERROR(__xludf.DUMMYFUNCTION("""COMPUTED_VALUE"""),"บุ๊ค Book")</f>
        <v>บุ๊ค Book</v>
      </c>
      <c r="K598" t="str">
        <f>IFERROR(__xludf.DUMMYFUNCTION("""COMPUTED_VALUE"""),"Cabin Crew")</f>
        <v>Cabin Crew</v>
      </c>
      <c r="L598" t="str">
        <f>IFERROR(__xludf.DUMMYFUNCTION("""COMPUTED_VALUE"""),"DMK")</f>
        <v>DMK</v>
      </c>
      <c r="M598" s="145" t="str">
        <f>IFERROR(__xludf.DUMMYFUNCTION("""COMPUTED_VALUE"""),"Up Home")</f>
        <v>Up Home</v>
      </c>
      <c r="N598" t="str">
        <f>IFERROR(__xludf.DUMMYFUNCTION("""COMPUTED_VALUE"""),"Active")</f>
        <v>Active</v>
      </c>
      <c r="P598" s="143">
        <f>IFERROR(__xludf.DUMMYFUNCTION("""COMPUTED_VALUE"""),31638.0)</f>
        <v>31638</v>
      </c>
      <c r="Q598" s="146" t="str">
        <f>IFERROR(__xludf.DUMMYFUNCTION("""COMPUTED_VALUE"""),"098-249-6625")</f>
        <v>098-249-6625</v>
      </c>
      <c r="R598" s="147" t="str">
        <f>IFERROR(__xludf.DUMMYFUNCTION("""COMPUTED_VALUE"""),"1-1004-00221-53-2")</f>
        <v>1-1004-00221-53-2</v>
      </c>
      <c r="S598" t="str">
        <f>IFERROR(__xludf.DUMMYFUNCTION("""COMPUTED_VALUE"""),"AC2887275")</f>
        <v>AC2887275</v>
      </c>
      <c r="T598" s="148">
        <f>IFERROR(__xludf.DUMMYFUNCTION("""COMPUTED_VALUE"""),44613.0)</f>
        <v>44613</v>
      </c>
      <c r="U598" s="148">
        <f>IFERROR(__xludf.DUMMYFUNCTION("""COMPUTED_VALUE"""),48264.0)</f>
        <v>48264</v>
      </c>
      <c r="V598" s="149">
        <f>IFERROR(__xludf.DUMMYFUNCTION("""COMPUTED_VALUE"""),48080.0)</f>
        <v>48080</v>
      </c>
      <c r="W598" t="str">
        <f>IFERROR(__xludf.DUMMYFUNCTION("""COMPUTED_VALUE"""),"ปลอดภัย")</f>
        <v>ปลอดภัย</v>
      </c>
      <c r="X598" t="str">
        <f>IFERROR(__xludf.DUMMYFUNCTION("""COMPUTED_VALUE"""),"Bangkok")</f>
        <v>Bangkok</v>
      </c>
      <c r="Y598" t="str">
        <f>IFERROR(__xludf.DUMMYFUNCTION("""COMPUTED_VALUE"""),"Rama 2")</f>
        <v>Rama 2</v>
      </c>
      <c r="Z598" t="str">
        <f>IFERROR(__xludf.DUMMYFUNCTION("""COMPUTED_VALUE"""),"087-565-2244")</f>
        <v>087-565-2244</v>
      </c>
      <c r="AA598" t="str">
        <f>IFERROR(__xludf.DUMMYFUNCTION("""COMPUTED_VALUE"""),"Wanna")</f>
        <v>Wanna</v>
      </c>
      <c r="AB598" t="str">
        <f>IFERROR(__xludf.DUMMYFUNCTION("""COMPUTED_VALUE"""),"pimnipal@airasia.com")</f>
        <v>pimnipal@airasia.com</v>
      </c>
    </row>
    <row r="599">
      <c r="A599">
        <f>IFERROR(__xludf.DUMMYFUNCTION("""COMPUTED_VALUE"""),1011825.0)</f>
        <v>1011825</v>
      </c>
      <c r="B599" t="str">
        <f>IFERROR(__xludf.DUMMYFUNCTION("""COMPUTED_VALUE"""),"Mr.")</f>
        <v>Mr.</v>
      </c>
      <c r="C599" t="str">
        <f>IFERROR(__xludf.DUMMYFUNCTION("""COMPUTED_VALUE"""),"Pinu")</f>
        <v>Pinu</v>
      </c>
      <c r="D599" t="str">
        <f>IFERROR(__xludf.DUMMYFUNCTION("""COMPUTED_VALUE"""),"Saiseenopakun")</f>
        <v>Saiseenopakun</v>
      </c>
      <c r="E599" t="str">
        <f>IFERROR(__xludf.DUMMYFUNCTION("""COMPUTED_VALUE"""),"Pinu Saiseenopakun")</f>
        <v>Pinu Saiseenopakun</v>
      </c>
      <c r="F599" t="str">
        <f>IFERROR(__xludf.DUMMYFUNCTION("""COMPUTED_VALUE"""),"นาย")</f>
        <v>นาย</v>
      </c>
      <c r="G599" t="str">
        <f>IFERROR(__xludf.DUMMYFUNCTION("""COMPUTED_VALUE"""),"พิณุ")</f>
        <v>พิณุ</v>
      </c>
      <c r="H599" t="str">
        <f>IFERROR(__xludf.DUMMYFUNCTION("""COMPUTED_VALUE"""),"สายสีนพคุณ")</f>
        <v>สายสีนพคุณ</v>
      </c>
      <c r="I599" t="str">
        <f>IFERROR(__xludf.DUMMYFUNCTION("""COMPUTED_VALUE"""),"พิณุ สายสีนพคุณ")</f>
        <v>พิณุ สายสีนพคุณ</v>
      </c>
      <c r="J599" t="str">
        <f>IFERROR(__xludf.DUMMYFUNCTION("""COMPUTED_VALUE"""),"แดม Dam")</f>
        <v>แดม Dam</v>
      </c>
      <c r="K599" t="str">
        <f>IFERROR(__xludf.DUMMYFUNCTION("""COMPUTED_VALUE"""),"Cabin Crew - CNX")</f>
        <v>Cabin Crew - CNX</v>
      </c>
      <c r="L599" t="str">
        <f>IFERROR(__xludf.DUMMYFUNCTION("""COMPUTED_VALUE"""),"CNX")</f>
        <v>CNX</v>
      </c>
      <c r="M599" s="145" t="str">
        <f>IFERROR(__xludf.DUMMYFUNCTION("""COMPUTED_VALUE"""),"Up Home")</f>
        <v>Up Home</v>
      </c>
      <c r="N599" t="str">
        <f>IFERROR(__xludf.DUMMYFUNCTION("""COMPUTED_VALUE"""),"Active")</f>
        <v>Active</v>
      </c>
      <c r="P599" s="143">
        <f>IFERROR(__xludf.DUMMYFUNCTION("""COMPUTED_VALUE"""),29881.0)</f>
        <v>29881</v>
      </c>
      <c r="Q599" s="146" t="str">
        <f>IFERROR(__xludf.DUMMYFUNCTION("""COMPUTED_VALUE"""),"081-366-8951")</f>
        <v>081-366-8951</v>
      </c>
      <c r="R599" s="147" t="str">
        <f>IFERROR(__xludf.DUMMYFUNCTION("""COMPUTED_VALUE"""),"3-5402-00215-29-9")</f>
        <v>3-5402-00215-29-9</v>
      </c>
      <c r="S599" t="str">
        <f>IFERROR(__xludf.DUMMYFUNCTION("""COMPUTED_VALUE"""),"AC279865")</f>
        <v>AC279865</v>
      </c>
      <c r="T599" s="148">
        <f>IFERROR(__xludf.DUMMYFUNCTION("""COMPUTED_VALUE"""),44510.0)</f>
        <v>44510</v>
      </c>
      <c r="U599" s="148">
        <f>IFERROR(__xludf.DUMMYFUNCTION("""COMPUTED_VALUE"""),48161.0)</f>
        <v>48161</v>
      </c>
      <c r="V599" s="149">
        <f>IFERROR(__xludf.DUMMYFUNCTION("""COMPUTED_VALUE"""),47977.0)</f>
        <v>47977</v>
      </c>
      <c r="W599" t="str">
        <f>IFERROR(__xludf.DUMMYFUNCTION("""COMPUTED_VALUE"""),"ปลอดภัย")</f>
        <v>ปลอดภัย</v>
      </c>
      <c r="X599" t="str">
        <f>IFERROR(__xludf.DUMMYFUNCTION("""COMPUTED_VALUE"""),"Phrae Province")</f>
        <v>Phrae Province</v>
      </c>
      <c r="Y599" t="str">
        <f>IFERROR(__xludf.DUMMYFUNCTION("""COMPUTED_VALUE"""),"Donmuang")</f>
        <v>Donmuang</v>
      </c>
      <c r="Z599" t="str">
        <f>IFERROR(__xludf.DUMMYFUNCTION("""COMPUTED_VALUE"""),"086-264-2436")</f>
        <v>086-264-2436</v>
      </c>
      <c r="AA599" t="str">
        <f>IFERROR(__xludf.DUMMYFUNCTION("""COMPUTED_VALUE"""),"Watcharin")</f>
        <v>Watcharin</v>
      </c>
      <c r="AB599" t="str">
        <f>IFERROR(__xludf.DUMMYFUNCTION("""COMPUTED_VALUE"""),"pinus@airasia.com")</f>
        <v>pinus@airasia.com</v>
      </c>
    </row>
    <row r="600">
      <c r="A600">
        <f>IFERROR(__xludf.DUMMYFUNCTION("""COMPUTED_VALUE"""),1011829.0)</f>
        <v>1011829</v>
      </c>
      <c r="B600" t="str">
        <f>IFERROR(__xludf.DUMMYFUNCTION("""COMPUTED_VALUE"""),"Ms.")</f>
        <v>Ms.</v>
      </c>
      <c r="C600" t="str">
        <f>IFERROR(__xludf.DUMMYFUNCTION("""COMPUTED_VALUE"""),"Primlisa")</f>
        <v>Primlisa</v>
      </c>
      <c r="D600" t="str">
        <f>IFERROR(__xludf.DUMMYFUNCTION("""COMPUTED_VALUE"""),"Tatha")</f>
        <v>Tatha</v>
      </c>
      <c r="E600" t="str">
        <f>IFERROR(__xludf.DUMMYFUNCTION("""COMPUTED_VALUE"""),"Primlisa Tatha")</f>
        <v>Primlisa Tatha</v>
      </c>
      <c r="F600" t="str">
        <f>IFERROR(__xludf.DUMMYFUNCTION("""COMPUTED_VALUE"""),"นางสาว")</f>
        <v>นางสาว</v>
      </c>
      <c r="G600" t="str">
        <f>IFERROR(__xludf.DUMMYFUNCTION("""COMPUTED_VALUE"""),"พริมลิษา")</f>
        <v>พริมลิษา</v>
      </c>
      <c r="H600" t="str">
        <f>IFERROR(__xludf.DUMMYFUNCTION("""COMPUTED_VALUE"""),"ตะถา")</f>
        <v>ตะถา</v>
      </c>
      <c r="I600" t="str">
        <f>IFERROR(__xludf.DUMMYFUNCTION("""COMPUTED_VALUE"""),"พริมลิษา ตะถา")</f>
        <v>พริมลิษา ตะถา</v>
      </c>
      <c r="J600" t="str">
        <f>IFERROR(__xludf.DUMMYFUNCTION("""COMPUTED_VALUE"""),"เนเน่ Nene")</f>
        <v>เนเน่ Nene</v>
      </c>
      <c r="K600" t="str">
        <f>IFERROR(__xludf.DUMMYFUNCTION("""COMPUTED_VALUE"""),"Senior Cabin Crew")</f>
        <v>Senior Cabin Crew</v>
      </c>
      <c r="L600" t="str">
        <f>IFERROR(__xludf.DUMMYFUNCTION("""COMPUTED_VALUE"""),"DMK")</f>
        <v>DMK</v>
      </c>
      <c r="M600" s="145" t="str">
        <f>IFERROR(__xludf.DUMMYFUNCTION("""COMPUTED_VALUE"""),"Um Home")</f>
        <v>Um Home</v>
      </c>
      <c r="N600" t="str">
        <f>IFERROR(__xludf.DUMMYFUNCTION("""COMPUTED_VALUE"""),"Active")</f>
        <v>Active</v>
      </c>
      <c r="P600" s="143">
        <f>IFERROR(__xludf.DUMMYFUNCTION("""COMPUTED_VALUE"""),31631.0)</f>
        <v>31631</v>
      </c>
      <c r="Q600" s="146" t="str">
        <f>IFERROR(__xludf.DUMMYFUNCTION("""COMPUTED_VALUE"""),"085-100-5665")</f>
        <v>085-100-5665</v>
      </c>
      <c r="R600" s="147" t="str">
        <f>IFERROR(__xludf.DUMMYFUNCTION("""COMPUTED_VALUE"""),"1-1007-00516-48-1")</f>
        <v>1-1007-00516-48-1</v>
      </c>
      <c r="S600" t="str">
        <f>IFERROR(__xludf.DUMMYFUNCTION("""COMPUTED_VALUE"""),"AC5800815")</f>
        <v>AC5800815</v>
      </c>
      <c r="T600" s="148">
        <f>IFERROR(__xludf.DUMMYFUNCTION("""COMPUTED_VALUE"""),45230.0)</f>
        <v>45230</v>
      </c>
      <c r="U600" s="148">
        <f>IFERROR(__xludf.DUMMYFUNCTION("""COMPUTED_VALUE"""),47056.0)</f>
        <v>47056</v>
      </c>
      <c r="V600" s="149">
        <f>IFERROR(__xludf.DUMMYFUNCTION("""COMPUTED_VALUE"""),46873.0)</f>
        <v>46873</v>
      </c>
      <c r="W600" t="str">
        <f>IFERROR(__xludf.DUMMYFUNCTION("""COMPUTED_VALUE"""),"ปลอดภัย")</f>
        <v>ปลอดภัย</v>
      </c>
      <c r="X600" t="str">
        <f>IFERROR(__xludf.DUMMYFUNCTION("""COMPUTED_VALUE"""),"Bangkok")</f>
        <v>Bangkok</v>
      </c>
      <c r="Y600" t="str">
        <f>IFERROR(__xludf.DUMMYFUNCTION("""COMPUTED_VALUE"""),"Bangkhen")</f>
        <v>Bangkhen</v>
      </c>
      <c r="Z600" t="str">
        <f>IFERROR(__xludf.DUMMYFUNCTION("""COMPUTED_VALUE"""),"098-002-3563")</f>
        <v>098-002-3563</v>
      </c>
      <c r="AA600" t="str">
        <f>IFERROR(__xludf.DUMMYFUNCTION("""COMPUTED_VALUE"""),"Ramida")</f>
        <v>Ramida</v>
      </c>
      <c r="AB600" t="str">
        <f>IFERROR(__xludf.DUMMYFUNCTION("""COMPUTED_VALUE"""),"primlisat@airasia.com")</f>
        <v>primlisat@airasia.com</v>
      </c>
    </row>
    <row r="601">
      <c r="A601">
        <f>IFERROR(__xludf.DUMMYFUNCTION("""COMPUTED_VALUE"""),1011830.0)</f>
        <v>1011830</v>
      </c>
      <c r="B601" t="str">
        <f>IFERROR(__xludf.DUMMYFUNCTION("""COMPUTED_VALUE"""),"Mr.")</f>
        <v>Mr.</v>
      </c>
      <c r="C601" t="str">
        <f>IFERROR(__xludf.DUMMYFUNCTION("""COMPUTED_VALUE"""),"Rathaphon")</f>
        <v>Rathaphon</v>
      </c>
      <c r="D601" t="str">
        <f>IFERROR(__xludf.DUMMYFUNCTION("""COMPUTED_VALUE"""),"Pratheappornsak")</f>
        <v>Pratheappornsak</v>
      </c>
      <c r="E601" t="str">
        <f>IFERROR(__xludf.DUMMYFUNCTION("""COMPUTED_VALUE"""),"Rathaphon Pratheappornsak")</f>
        <v>Rathaphon Pratheappornsak</v>
      </c>
      <c r="F601" t="str">
        <f>IFERROR(__xludf.DUMMYFUNCTION("""COMPUTED_VALUE"""),"นาย")</f>
        <v>นาย</v>
      </c>
      <c r="G601" t="str">
        <f>IFERROR(__xludf.DUMMYFUNCTION("""COMPUTED_VALUE"""),"รัฐพล")</f>
        <v>รัฐพล</v>
      </c>
      <c r="H601" t="str">
        <f>IFERROR(__xludf.DUMMYFUNCTION("""COMPUTED_VALUE"""),"ประทีปพรศักดิ์")</f>
        <v>ประทีปพรศักดิ์</v>
      </c>
      <c r="I601" t="str">
        <f>IFERROR(__xludf.DUMMYFUNCTION("""COMPUTED_VALUE"""),"รัฐพล ประทีปพรศักดิ์")</f>
        <v>รัฐพล ประทีปพรศักดิ์</v>
      </c>
      <c r="J601" t="str">
        <f>IFERROR(__xludf.DUMMYFUNCTION("""COMPUTED_VALUE"""),"โอ O")</f>
        <v>โอ O</v>
      </c>
      <c r="K601" t="str">
        <f>IFERROR(__xludf.DUMMYFUNCTION("""COMPUTED_VALUE"""),"Senior Cabin Crew")</f>
        <v>Senior Cabin Crew</v>
      </c>
      <c r="L601" t="str">
        <f>IFERROR(__xludf.DUMMYFUNCTION("""COMPUTED_VALUE"""),"DMK")</f>
        <v>DMK</v>
      </c>
      <c r="M601" s="145" t="str">
        <f>IFERROR(__xludf.DUMMYFUNCTION("""COMPUTED_VALUE"""),"Um Home")</f>
        <v>Um Home</v>
      </c>
      <c r="N601" t="str">
        <f>IFERROR(__xludf.DUMMYFUNCTION("""COMPUTED_VALUE"""),"Active")</f>
        <v>Active</v>
      </c>
      <c r="O601" t="str">
        <f>IFERROR(__xludf.DUMMYFUNCTION("""COMPUTED_VALUE"""),"Chinese Speaking / SCC Line Checker 2025")</f>
        <v>Chinese Speaking / SCC Line Checker 2025</v>
      </c>
      <c r="P601" s="143">
        <f>IFERROR(__xludf.DUMMYFUNCTION("""COMPUTED_VALUE"""),31015.0)</f>
        <v>31015</v>
      </c>
      <c r="Q601" s="146" t="str">
        <f>IFERROR(__xludf.DUMMYFUNCTION("""COMPUTED_VALUE"""),"081-889-0998")</f>
        <v>081-889-0998</v>
      </c>
      <c r="R601" s="147" t="str">
        <f>IFERROR(__xludf.DUMMYFUNCTION("""COMPUTED_VALUE"""),"1-1020-00177-55-4")</f>
        <v>1-1020-00177-55-4</v>
      </c>
      <c r="S601" t="str">
        <f>IFERROR(__xludf.DUMMYFUNCTION("""COMPUTED_VALUE"""),"AC2836137")</f>
        <v>AC2836137</v>
      </c>
      <c r="T601" s="148">
        <f>IFERROR(__xludf.DUMMYFUNCTION("""COMPUTED_VALUE"""),44523.0)</f>
        <v>44523</v>
      </c>
      <c r="U601" s="148">
        <f>IFERROR(__xludf.DUMMYFUNCTION("""COMPUTED_VALUE"""),48174.0)</f>
        <v>48174</v>
      </c>
      <c r="V601" s="149">
        <f>IFERROR(__xludf.DUMMYFUNCTION("""COMPUTED_VALUE"""),47990.0)</f>
        <v>47990</v>
      </c>
      <c r="W601" t="str">
        <f>IFERROR(__xludf.DUMMYFUNCTION("""COMPUTED_VALUE"""),"ปลอดภัย")</f>
        <v>ปลอดภัย</v>
      </c>
      <c r="X601" t="str">
        <f>IFERROR(__xludf.DUMMYFUNCTION("""COMPUTED_VALUE"""),"Bangkok")</f>
        <v>Bangkok</v>
      </c>
      <c r="Y601" t="str">
        <f>IFERROR(__xludf.DUMMYFUNCTION("""COMPUTED_VALUE"""),"Nonthaburi")</f>
        <v>Nonthaburi</v>
      </c>
      <c r="Z601" t="str">
        <f>IFERROR(__xludf.DUMMYFUNCTION("""COMPUTED_VALUE"""),"089-129-0998")</f>
        <v>089-129-0998</v>
      </c>
      <c r="AA601" t="str">
        <f>IFERROR(__xludf.DUMMYFUNCTION("""COMPUTED_VALUE"""),"Chumpol")</f>
        <v>Chumpol</v>
      </c>
      <c r="AB601" t="str">
        <f>IFERROR(__xludf.DUMMYFUNCTION("""COMPUTED_VALUE"""),"rathaphonp@airasia.com")</f>
        <v>rathaphonp@airasia.com</v>
      </c>
    </row>
    <row r="602">
      <c r="A602">
        <f>IFERROR(__xludf.DUMMYFUNCTION("""COMPUTED_VALUE"""),1011836.0)</f>
        <v>1011836</v>
      </c>
      <c r="B602" t="str">
        <f>IFERROR(__xludf.DUMMYFUNCTION("""COMPUTED_VALUE"""),"Mr.")</f>
        <v>Mr.</v>
      </c>
      <c r="C602" t="str">
        <f>IFERROR(__xludf.DUMMYFUNCTION("""COMPUTED_VALUE"""),"Sirapong (Natthanon)")</f>
        <v>Sirapong (Natthanon)</v>
      </c>
      <c r="D602" t="str">
        <f>IFERROR(__xludf.DUMMYFUNCTION("""COMPUTED_VALUE"""),"Charoenwutbhawonrat")</f>
        <v>Charoenwutbhawonrat</v>
      </c>
      <c r="E602" t="str">
        <f>IFERROR(__xludf.DUMMYFUNCTION("""COMPUTED_VALUE"""),"Sirapong Charoenwutbhawonrat")</f>
        <v>Sirapong Charoenwutbhawonrat</v>
      </c>
      <c r="F602" t="str">
        <f>IFERROR(__xludf.DUMMYFUNCTION("""COMPUTED_VALUE"""),"นาย")</f>
        <v>นาย</v>
      </c>
      <c r="G602" t="str">
        <f>IFERROR(__xludf.DUMMYFUNCTION("""COMPUTED_VALUE"""),"ศิรพงศ์ (ณัฐธนนท์)")</f>
        <v>ศิรพงศ์ (ณัฐธนนท์)</v>
      </c>
      <c r="H602" t="str">
        <f>IFERROR(__xludf.DUMMYFUNCTION("""COMPUTED_VALUE"""),"เจริญวุฒิบวรรัฐ")</f>
        <v>เจริญวุฒิบวรรัฐ</v>
      </c>
      <c r="I602" t="str">
        <f>IFERROR(__xludf.DUMMYFUNCTION("""COMPUTED_VALUE"""),"ศิรพงศ์ เจริญวุฒิบวรรัฐ")</f>
        <v>ศิรพงศ์ เจริญวุฒิบวรรัฐ</v>
      </c>
      <c r="J602" t="str">
        <f>IFERROR(__xludf.DUMMYFUNCTION("""COMPUTED_VALUE"""),"อั้ม Umm")</f>
        <v>อั้ม Umm</v>
      </c>
      <c r="K602" t="str">
        <f>IFERROR(__xludf.DUMMYFUNCTION("""COMPUTED_VALUE"""),"Senior Cabin Crew - BKK")</f>
        <v>Senior Cabin Crew - BKK</v>
      </c>
      <c r="L602" t="str">
        <f>IFERROR(__xludf.DUMMYFUNCTION("""COMPUTED_VALUE"""),"BKK")</f>
        <v>BKK</v>
      </c>
      <c r="M602" s="145" t="str">
        <f>IFERROR(__xludf.DUMMYFUNCTION("""COMPUTED_VALUE"""),"Nhui Home")</f>
        <v>Nhui Home</v>
      </c>
      <c r="N602" t="str">
        <f>IFERROR(__xludf.DUMMYFUNCTION("""COMPUTED_VALUE"""),"Active")</f>
        <v>Active</v>
      </c>
      <c r="P602" s="143">
        <f>IFERROR(__xludf.DUMMYFUNCTION("""COMPUTED_VALUE"""),29335.0)</f>
        <v>29335</v>
      </c>
      <c r="Q602" s="146" t="str">
        <f>IFERROR(__xludf.DUMMYFUNCTION("""COMPUTED_VALUE"""),"092-594-9266")</f>
        <v>092-594-9266</v>
      </c>
      <c r="R602" s="147" t="str">
        <f>IFERROR(__xludf.DUMMYFUNCTION("""COMPUTED_VALUE"""),"3-1006-02544-82-7")</f>
        <v>3-1006-02544-82-7</v>
      </c>
      <c r="S602" t="str">
        <f>IFERROR(__xludf.DUMMYFUNCTION("""COMPUTED_VALUE"""),"AC5892104")</f>
        <v>AC5892104</v>
      </c>
      <c r="T602" s="148">
        <f>IFERROR(__xludf.DUMMYFUNCTION("""COMPUTED_VALUE"""),45218.0)</f>
        <v>45218</v>
      </c>
      <c r="U602" s="148">
        <f>IFERROR(__xludf.DUMMYFUNCTION("""COMPUTED_VALUE"""),48870.0)</f>
        <v>48870</v>
      </c>
      <c r="V602" s="149">
        <f>IFERROR(__xludf.DUMMYFUNCTION("""COMPUTED_VALUE"""),48687.0)</f>
        <v>48687</v>
      </c>
      <c r="W602" t="str">
        <f>IFERROR(__xludf.DUMMYFUNCTION("""COMPUTED_VALUE"""),"ปลอดภัย")</f>
        <v>ปลอดภัย</v>
      </c>
      <c r="X602" t="str">
        <f>IFERROR(__xludf.DUMMYFUNCTION("""COMPUTED_VALUE"""),"Bangkok")</f>
        <v>Bangkok</v>
      </c>
      <c r="Y602" t="str">
        <f>IFERROR(__xludf.DUMMYFUNCTION("""COMPUTED_VALUE"""),"Samutpakan")</f>
        <v>Samutpakan</v>
      </c>
      <c r="Z602" t="str">
        <f>IFERROR(__xludf.DUMMYFUNCTION("""COMPUTED_VALUE"""),"082-495-1199")</f>
        <v>082-495-1199</v>
      </c>
      <c r="AA602" t="str">
        <f>IFERROR(__xludf.DUMMYFUNCTION("""COMPUTED_VALUE"""),"Anuwat")</f>
        <v>Anuwat</v>
      </c>
      <c r="AB602" t="str">
        <f>IFERROR(__xludf.DUMMYFUNCTION("""COMPUTED_VALUE"""),"sirapongh@airasia.com")</f>
        <v>sirapongh@airasia.com</v>
      </c>
    </row>
    <row r="603">
      <c r="A603">
        <f>IFERROR(__xludf.DUMMYFUNCTION("""COMPUTED_VALUE"""),1011838.0)</f>
        <v>1011838</v>
      </c>
      <c r="B603" t="str">
        <f>IFERROR(__xludf.DUMMYFUNCTION("""COMPUTED_VALUE"""),"Ms.")</f>
        <v>Ms.</v>
      </c>
      <c r="C603" t="str">
        <f>IFERROR(__xludf.DUMMYFUNCTION("""COMPUTED_VALUE"""),"Supichaya")</f>
        <v>Supichaya</v>
      </c>
      <c r="D603" t="str">
        <f>IFERROR(__xludf.DUMMYFUNCTION("""COMPUTED_VALUE"""),"Tongthip")</f>
        <v>Tongthip</v>
      </c>
      <c r="E603" t="str">
        <f>IFERROR(__xludf.DUMMYFUNCTION("""COMPUTED_VALUE"""),"Supichaya Tongthip")</f>
        <v>Supichaya Tongthip</v>
      </c>
      <c r="F603" t="str">
        <f>IFERROR(__xludf.DUMMYFUNCTION("""COMPUTED_VALUE"""),"นางสาว")</f>
        <v>นางสาว</v>
      </c>
      <c r="G603" t="str">
        <f>IFERROR(__xludf.DUMMYFUNCTION("""COMPUTED_VALUE"""),"สุพิชญา")</f>
        <v>สุพิชญา</v>
      </c>
      <c r="H603" t="str">
        <f>IFERROR(__xludf.DUMMYFUNCTION("""COMPUTED_VALUE"""),"ทองทิพย์")</f>
        <v>ทองทิพย์</v>
      </c>
      <c r="I603" t="str">
        <f>IFERROR(__xludf.DUMMYFUNCTION("""COMPUTED_VALUE"""),"สุพิชญา ทองทิพย์")</f>
        <v>สุพิชญา ทองทิพย์</v>
      </c>
      <c r="J603" t="str">
        <f>IFERROR(__xludf.DUMMYFUNCTION("""COMPUTED_VALUE"""),"แก้ม Tam")</f>
        <v>แก้ม Tam</v>
      </c>
      <c r="K603" t="str">
        <f>IFERROR(__xludf.DUMMYFUNCTION("""COMPUTED_VALUE"""),"Cabin Crew - CNX")</f>
        <v>Cabin Crew - CNX</v>
      </c>
      <c r="L603" t="str">
        <f>IFERROR(__xludf.DUMMYFUNCTION("""COMPUTED_VALUE"""),"CNX")</f>
        <v>CNX</v>
      </c>
      <c r="M603" s="145" t="str">
        <f>IFERROR(__xludf.DUMMYFUNCTION("""COMPUTED_VALUE"""),"Up Home")</f>
        <v>Up Home</v>
      </c>
      <c r="N603" t="str">
        <f>IFERROR(__xludf.DUMMYFUNCTION("""COMPUTED_VALUE"""),"Active")</f>
        <v>Active</v>
      </c>
      <c r="P603" s="143">
        <f>IFERROR(__xludf.DUMMYFUNCTION("""COMPUTED_VALUE"""),31297.0)</f>
        <v>31297</v>
      </c>
      <c r="Q603" s="146" t="str">
        <f>IFERROR(__xludf.DUMMYFUNCTION("""COMPUTED_VALUE"""),"081-968-9195")</f>
        <v>081-968-9195</v>
      </c>
      <c r="R603" s="147" t="str">
        <f>IFERROR(__xludf.DUMMYFUNCTION("""COMPUTED_VALUE"""),"1-5099-00234-64-6")</f>
        <v>1-5099-00234-64-6</v>
      </c>
      <c r="S603" t="str">
        <f>IFERROR(__xludf.DUMMYFUNCTION("""COMPUTED_VALUE"""),"AC7910758")</f>
        <v>AC7910758</v>
      </c>
      <c r="T603" s="148">
        <f>IFERROR(__xludf.DUMMYFUNCTION("""COMPUTED_VALUE"""),45659.0)</f>
        <v>45659</v>
      </c>
      <c r="U603" s="148">
        <f>IFERROR(__xludf.DUMMYFUNCTION("""COMPUTED_VALUE"""),49310.0)</f>
        <v>49310</v>
      </c>
      <c r="V603" s="149">
        <f>IFERROR(__xludf.DUMMYFUNCTION("""COMPUTED_VALUE"""),49126.0)</f>
        <v>49126</v>
      </c>
      <c r="W603" t="str">
        <f>IFERROR(__xludf.DUMMYFUNCTION("""COMPUTED_VALUE"""),"ปลอดภัย")</f>
        <v>ปลอดภัย</v>
      </c>
      <c r="X603" t="str">
        <f>IFERROR(__xludf.DUMMYFUNCTION("""COMPUTED_VALUE"""),"Chiang Mai Province")</f>
        <v>Chiang Mai Province</v>
      </c>
      <c r="Y603" t="str">
        <f>IFERROR(__xludf.DUMMYFUNCTION("""COMPUTED_VALUE"""),"Phayatai")</f>
        <v>Phayatai</v>
      </c>
      <c r="Z603" t="str">
        <f>IFERROR(__xludf.DUMMYFUNCTION("""COMPUTED_VALUE"""),"092-592-6464")</f>
        <v>092-592-6464</v>
      </c>
      <c r="AA603" t="str">
        <f>IFERROR(__xludf.DUMMYFUNCTION("""COMPUTED_VALUE"""),"Wanvisa")</f>
        <v>Wanvisa</v>
      </c>
      <c r="AB603" t="str">
        <f>IFERROR(__xludf.DUMMYFUNCTION("""COMPUTED_VALUE"""),"supichayat@airasia.com")</f>
        <v>supichayat@airasia.com</v>
      </c>
    </row>
    <row r="604">
      <c r="A604">
        <f>IFERROR(__xludf.DUMMYFUNCTION("""COMPUTED_VALUE"""),1011843.0)</f>
        <v>1011843</v>
      </c>
      <c r="B604" t="str">
        <f>IFERROR(__xludf.DUMMYFUNCTION("""COMPUTED_VALUE"""),"Mr.")</f>
        <v>Mr.</v>
      </c>
      <c r="C604" t="str">
        <f>IFERROR(__xludf.DUMMYFUNCTION("""COMPUTED_VALUE"""),"Teetawat")</f>
        <v>Teetawat</v>
      </c>
      <c r="D604" t="str">
        <f>IFERROR(__xludf.DUMMYFUNCTION("""COMPUTED_VALUE"""),"Vanaphuti")</f>
        <v>Vanaphuti</v>
      </c>
      <c r="E604" t="str">
        <f>IFERROR(__xludf.DUMMYFUNCTION("""COMPUTED_VALUE"""),"Teetawat Vanaphuti")</f>
        <v>Teetawat Vanaphuti</v>
      </c>
      <c r="F604" t="str">
        <f>IFERROR(__xludf.DUMMYFUNCTION("""COMPUTED_VALUE"""),"นาย")</f>
        <v>นาย</v>
      </c>
      <c r="G604" t="str">
        <f>IFERROR(__xludf.DUMMYFUNCTION("""COMPUTED_VALUE"""),"ธีร์ธวัช")</f>
        <v>ธีร์ธวัช</v>
      </c>
      <c r="H604" t="str">
        <f>IFERROR(__xludf.DUMMYFUNCTION("""COMPUTED_VALUE"""),"วนะภูติ")</f>
        <v>วนะภูติ</v>
      </c>
      <c r="I604" t="str">
        <f>IFERROR(__xludf.DUMMYFUNCTION("""COMPUTED_VALUE"""),"ธีร์ธวัช วนะภูติ")</f>
        <v>ธีร์ธวัช วนะภูติ</v>
      </c>
      <c r="J604" t="str">
        <f>IFERROR(__xludf.DUMMYFUNCTION("""COMPUTED_VALUE"""),"เชน Shane")</f>
        <v>เชน Shane</v>
      </c>
      <c r="K604" t="str">
        <f>IFERROR(__xludf.DUMMYFUNCTION("""COMPUTED_VALUE"""),"Cabin Crew")</f>
        <v>Cabin Crew</v>
      </c>
      <c r="L604" t="str">
        <f>IFERROR(__xludf.DUMMYFUNCTION("""COMPUTED_VALUE"""),"DMK")</f>
        <v>DMK</v>
      </c>
      <c r="M604" s="145" t="str">
        <f>IFERROR(__xludf.DUMMYFUNCTION("""COMPUTED_VALUE"""),"Toffy Home")</f>
        <v>Toffy Home</v>
      </c>
      <c r="N604" t="str">
        <f>IFERROR(__xludf.DUMMYFUNCTION("""COMPUTED_VALUE"""),"Active")</f>
        <v>Active</v>
      </c>
      <c r="P604" s="143">
        <f>IFERROR(__xludf.DUMMYFUNCTION("""COMPUTED_VALUE"""),32722.0)</f>
        <v>32722</v>
      </c>
      <c r="Q604" s="146" t="str">
        <f>IFERROR(__xludf.DUMMYFUNCTION("""COMPUTED_VALUE"""),"084-356-1942")</f>
        <v>084-356-1942</v>
      </c>
      <c r="R604" s="147" t="str">
        <f>IFERROR(__xludf.DUMMYFUNCTION("""COMPUTED_VALUE"""),"1-1014-01659-84-2")</f>
        <v>1-1014-01659-84-2</v>
      </c>
      <c r="S604" t="str">
        <f>IFERROR(__xludf.DUMMYFUNCTION("""COMPUTED_VALUE"""),"AC5966295")</f>
        <v>AC5966295</v>
      </c>
      <c r="T604" s="148">
        <f>IFERROR(__xludf.DUMMYFUNCTION("""COMPUTED_VALUE"""),45258.0)</f>
        <v>45258</v>
      </c>
      <c r="U604" s="148">
        <f>IFERROR(__xludf.DUMMYFUNCTION("""COMPUTED_VALUE"""),48910.0)</f>
        <v>48910</v>
      </c>
      <c r="V604" s="149">
        <f>IFERROR(__xludf.DUMMYFUNCTION("""COMPUTED_VALUE"""),48726.0)</f>
        <v>48726</v>
      </c>
      <c r="W604" t="str">
        <f>IFERROR(__xludf.DUMMYFUNCTION("""COMPUTED_VALUE"""),"ปลอดภัย")</f>
        <v>ปลอดภัย</v>
      </c>
      <c r="X604" t="str">
        <f>IFERROR(__xludf.DUMMYFUNCTION("""COMPUTED_VALUE"""),"Bangkok")</f>
        <v>Bangkok</v>
      </c>
      <c r="Y604" t="str">
        <f>IFERROR(__xludf.DUMMYFUNCTION("""COMPUTED_VALUE"""),"Rama 6")</f>
        <v>Rama 6</v>
      </c>
      <c r="Z604" t="str">
        <f>IFERROR(__xludf.DUMMYFUNCTION("""COMPUTED_VALUE"""),"085-352-7284")</f>
        <v>085-352-7284</v>
      </c>
      <c r="AA604" t="str">
        <f>IFERROR(__xludf.DUMMYFUNCTION("""COMPUTED_VALUE"""),"Banjong")</f>
        <v>Banjong</v>
      </c>
      <c r="AB604" t="str">
        <f>IFERROR(__xludf.DUMMYFUNCTION("""COMPUTED_VALUE"""),"teetawatv@airasia.com")</f>
        <v>teetawatv@airasia.com</v>
      </c>
    </row>
    <row r="605">
      <c r="A605">
        <f>IFERROR(__xludf.DUMMYFUNCTION("""COMPUTED_VALUE"""),1011844.0)</f>
        <v>1011844</v>
      </c>
      <c r="B605" t="str">
        <f>IFERROR(__xludf.DUMMYFUNCTION("""COMPUTED_VALUE"""),"Ms.")</f>
        <v>Ms.</v>
      </c>
      <c r="C605" t="str">
        <f>IFERROR(__xludf.DUMMYFUNCTION("""COMPUTED_VALUE"""),"Thanyaporn")</f>
        <v>Thanyaporn</v>
      </c>
      <c r="D605" t="str">
        <f>IFERROR(__xludf.DUMMYFUNCTION("""COMPUTED_VALUE"""),"Vaivattana")</f>
        <v>Vaivattana</v>
      </c>
      <c r="E605" t="str">
        <f>IFERROR(__xludf.DUMMYFUNCTION("""COMPUTED_VALUE"""),"Thanyaporn Vaivattana")</f>
        <v>Thanyaporn Vaivattana</v>
      </c>
      <c r="F605" t="str">
        <f>IFERROR(__xludf.DUMMYFUNCTION("""COMPUTED_VALUE"""),"นางสาว")</f>
        <v>นางสาว</v>
      </c>
      <c r="G605" t="str">
        <f>IFERROR(__xludf.DUMMYFUNCTION("""COMPUTED_VALUE"""),"ธัญพร")</f>
        <v>ธัญพร</v>
      </c>
      <c r="H605" t="str">
        <f>IFERROR(__xludf.DUMMYFUNCTION("""COMPUTED_VALUE"""),"วัยวัฒนะ")</f>
        <v>วัยวัฒนะ</v>
      </c>
      <c r="I605" t="str">
        <f>IFERROR(__xludf.DUMMYFUNCTION("""COMPUTED_VALUE"""),"ธัญพร วัยวัฒนะ")</f>
        <v>ธัญพร วัยวัฒนะ</v>
      </c>
      <c r="J605" t="str">
        <f>IFERROR(__xludf.DUMMYFUNCTION("""COMPUTED_VALUE"""),"แนท Natt")</f>
        <v>แนท Natt</v>
      </c>
      <c r="K605" t="str">
        <f>IFERROR(__xludf.DUMMYFUNCTION("""COMPUTED_VALUE"""),"Cabin Crew")</f>
        <v>Cabin Crew</v>
      </c>
      <c r="L605" t="str">
        <f>IFERROR(__xludf.DUMMYFUNCTION("""COMPUTED_VALUE"""),"DMK")</f>
        <v>DMK</v>
      </c>
      <c r="M605" s="145" t="str">
        <f>IFERROR(__xludf.DUMMYFUNCTION("""COMPUTED_VALUE"""),"Toffy Home")</f>
        <v>Toffy Home</v>
      </c>
      <c r="N605" t="str">
        <f>IFERROR(__xludf.DUMMYFUNCTION("""COMPUTED_VALUE"""),"Active")</f>
        <v>Active</v>
      </c>
      <c r="P605" s="143">
        <f>IFERROR(__xludf.DUMMYFUNCTION("""COMPUTED_VALUE"""),31628.0)</f>
        <v>31628</v>
      </c>
      <c r="Q605" s="146" t="str">
        <f>IFERROR(__xludf.DUMMYFUNCTION("""COMPUTED_VALUE"""),"062-6964241")</f>
        <v>062-6964241</v>
      </c>
      <c r="R605" s="147" t="str">
        <f>IFERROR(__xludf.DUMMYFUNCTION("""COMPUTED_VALUE"""),"1-1008-00295-85-1")</f>
        <v>1-1008-00295-85-1</v>
      </c>
      <c r="S605" t="str">
        <f>IFERROR(__xludf.DUMMYFUNCTION("""COMPUTED_VALUE"""),"AC4361039")</f>
        <v>AC4361039</v>
      </c>
      <c r="T605" s="148">
        <f>IFERROR(__xludf.DUMMYFUNCTION("""COMPUTED_VALUE"""),44938.0)</f>
        <v>44938</v>
      </c>
      <c r="U605" s="148">
        <f>IFERROR(__xludf.DUMMYFUNCTION("""COMPUTED_VALUE"""),48590.0)</f>
        <v>48590</v>
      </c>
      <c r="V605" s="149">
        <f>IFERROR(__xludf.DUMMYFUNCTION("""COMPUTED_VALUE"""),48406.0)</f>
        <v>48406</v>
      </c>
      <c r="W605" t="str">
        <f>IFERROR(__xludf.DUMMYFUNCTION("""COMPUTED_VALUE"""),"ปลอดภัย")</f>
        <v>ปลอดภัย</v>
      </c>
      <c r="X605" t="str">
        <f>IFERROR(__xludf.DUMMYFUNCTION("""COMPUTED_VALUE"""),"Bangkok")</f>
        <v>Bangkok</v>
      </c>
      <c r="Y605" t="str">
        <f>IFERROR(__xludf.DUMMYFUNCTION("""COMPUTED_VALUE"""),"Suanluang")</f>
        <v>Suanluang</v>
      </c>
      <c r="Z605" t="str">
        <f>IFERROR(__xludf.DUMMYFUNCTION("""COMPUTED_VALUE"""),"089-926-7537")</f>
        <v>089-926-7537</v>
      </c>
      <c r="AA605" t="str">
        <f>IFERROR(__xludf.DUMMYFUNCTION("""COMPUTED_VALUE"""),"Chatchawal")</f>
        <v>Chatchawal</v>
      </c>
      <c r="AB605" t="str">
        <f>IFERROR(__xludf.DUMMYFUNCTION("""COMPUTED_VALUE"""),"thanyapornv@airasia.com")</f>
        <v>thanyapornv@airasia.com</v>
      </c>
    </row>
    <row r="606">
      <c r="A606">
        <f>IFERROR(__xludf.DUMMYFUNCTION("""COMPUTED_VALUE"""),1011845.0)</f>
        <v>1011845</v>
      </c>
      <c r="B606" t="str">
        <f>IFERROR(__xludf.DUMMYFUNCTION("""COMPUTED_VALUE"""),"Ms.")</f>
        <v>Ms.</v>
      </c>
      <c r="C606" t="str">
        <f>IFERROR(__xludf.DUMMYFUNCTION("""COMPUTED_VALUE"""),"Thitima")</f>
        <v>Thitima</v>
      </c>
      <c r="D606" t="str">
        <f>IFERROR(__xludf.DUMMYFUNCTION("""COMPUTED_VALUE"""),"Yoosaeng")</f>
        <v>Yoosaeng</v>
      </c>
      <c r="E606" t="str">
        <f>IFERROR(__xludf.DUMMYFUNCTION("""COMPUTED_VALUE"""),"Thitima Yoosaeng")</f>
        <v>Thitima Yoosaeng</v>
      </c>
      <c r="F606" t="str">
        <f>IFERROR(__xludf.DUMMYFUNCTION("""COMPUTED_VALUE"""),"นางสาว")</f>
        <v>นางสาว</v>
      </c>
      <c r="G606" t="str">
        <f>IFERROR(__xludf.DUMMYFUNCTION("""COMPUTED_VALUE"""),"ธิติมา")</f>
        <v>ธิติมา</v>
      </c>
      <c r="H606" t="str">
        <f>IFERROR(__xludf.DUMMYFUNCTION("""COMPUTED_VALUE"""),"อยู่แสง")</f>
        <v>อยู่แสง</v>
      </c>
      <c r="I606" t="str">
        <f>IFERROR(__xludf.DUMMYFUNCTION("""COMPUTED_VALUE"""),"ธิติมา อยู่แสง")</f>
        <v>ธิติมา อยู่แสง</v>
      </c>
      <c r="J606" t="str">
        <f>IFERROR(__xludf.DUMMYFUNCTION("""COMPUTED_VALUE"""),"ก้อย Koi")</f>
        <v>ก้อย Koi</v>
      </c>
      <c r="K606" t="str">
        <f>IFERROR(__xludf.DUMMYFUNCTION("""COMPUTED_VALUE"""),"Cabin Crew")</f>
        <v>Cabin Crew</v>
      </c>
      <c r="L606" t="str">
        <f>IFERROR(__xludf.DUMMYFUNCTION("""COMPUTED_VALUE"""),"DMK")</f>
        <v>DMK</v>
      </c>
      <c r="M606" s="145" t="str">
        <f>IFERROR(__xludf.DUMMYFUNCTION("""COMPUTED_VALUE"""),"Kor Home")</f>
        <v>Kor Home</v>
      </c>
      <c r="N606" t="str">
        <f>IFERROR(__xludf.DUMMYFUNCTION("""COMPUTED_VALUE"""),"Active")</f>
        <v>Active</v>
      </c>
      <c r="P606" s="143">
        <f>IFERROR(__xludf.DUMMYFUNCTION("""COMPUTED_VALUE"""),30104.0)</f>
        <v>30104</v>
      </c>
      <c r="Q606" s="146" t="str">
        <f>IFERROR(__xludf.DUMMYFUNCTION("""COMPUTED_VALUE"""),"099-959-1955")</f>
        <v>099-959-1955</v>
      </c>
      <c r="R606" s="147" t="str">
        <f>IFERROR(__xludf.DUMMYFUNCTION("""COMPUTED_VALUE"""),"3-1005-02531-76-6")</f>
        <v>3-1005-02531-76-6</v>
      </c>
      <c r="S606" t="str">
        <f>IFERROR(__xludf.DUMMYFUNCTION("""COMPUTED_VALUE"""),"AC7590954")</f>
        <v>AC7590954</v>
      </c>
      <c r="T606" s="148">
        <f>IFERROR(__xludf.DUMMYFUNCTION("""COMPUTED_VALUE"""),45581.0)</f>
        <v>45581</v>
      </c>
      <c r="U606" s="148">
        <f>IFERROR(__xludf.DUMMYFUNCTION("""COMPUTED_VALUE"""),49232.0)</f>
        <v>49232</v>
      </c>
      <c r="V606" s="149">
        <f>IFERROR(__xludf.DUMMYFUNCTION("""COMPUTED_VALUE"""),49049.0)</f>
        <v>49049</v>
      </c>
      <c r="W606" t="str">
        <f>IFERROR(__xludf.DUMMYFUNCTION("""COMPUTED_VALUE"""),"ปลอดภัย")</f>
        <v>ปลอดภัย</v>
      </c>
      <c r="X606" t="str">
        <f>IFERROR(__xludf.DUMMYFUNCTION("""COMPUTED_VALUE"""),"Bangkok")</f>
        <v>Bangkok</v>
      </c>
      <c r="Y606" t="str">
        <f>IFERROR(__xludf.DUMMYFUNCTION("""COMPUTED_VALUE"""),"Bangkhen")</f>
        <v>Bangkhen</v>
      </c>
      <c r="Z606" t="str">
        <f>IFERROR(__xludf.DUMMYFUNCTION("""COMPUTED_VALUE"""),"081-811-6975")</f>
        <v>081-811-6975</v>
      </c>
      <c r="AA606" t="str">
        <f>IFERROR(__xludf.DUMMYFUNCTION("""COMPUTED_VALUE"""),"Chana")</f>
        <v>Chana</v>
      </c>
      <c r="AB606" t="str">
        <f>IFERROR(__xludf.DUMMYFUNCTION("""COMPUTED_VALUE"""),"thitimay@airasia.com")</f>
        <v>thitimay@airasia.com</v>
      </c>
    </row>
    <row r="607">
      <c r="A607">
        <f>IFERROR(__xludf.DUMMYFUNCTION("""COMPUTED_VALUE"""),1011846.0)</f>
        <v>1011846</v>
      </c>
      <c r="B607" t="str">
        <f>IFERROR(__xludf.DUMMYFUNCTION("""COMPUTED_VALUE"""),"Ms.")</f>
        <v>Ms.</v>
      </c>
      <c r="C607" t="str">
        <f>IFERROR(__xludf.DUMMYFUNCTION("""COMPUTED_VALUE"""),"Waleeporn")</f>
        <v>Waleeporn</v>
      </c>
      <c r="D607" t="str">
        <f>IFERROR(__xludf.DUMMYFUNCTION("""COMPUTED_VALUE"""),"Jongkaewwattana")</f>
        <v>Jongkaewwattana</v>
      </c>
      <c r="E607" t="str">
        <f>IFERROR(__xludf.DUMMYFUNCTION("""COMPUTED_VALUE"""),"Waleeporn Jongkaewwattana")</f>
        <v>Waleeporn Jongkaewwattana</v>
      </c>
      <c r="F607" t="str">
        <f>IFERROR(__xludf.DUMMYFUNCTION("""COMPUTED_VALUE"""),"นางสาว")</f>
        <v>นางสาว</v>
      </c>
      <c r="G607" t="str">
        <f>IFERROR(__xludf.DUMMYFUNCTION("""COMPUTED_VALUE"""),"วลีภรณ์")</f>
        <v>วลีภรณ์</v>
      </c>
      <c r="H607" t="str">
        <f>IFERROR(__xludf.DUMMYFUNCTION("""COMPUTED_VALUE"""),"จงแก้ววัฒนา")</f>
        <v>จงแก้ววัฒนา</v>
      </c>
      <c r="I607" t="str">
        <f>IFERROR(__xludf.DUMMYFUNCTION("""COMPUTED_VALUE"""),"วลีภรณ์ จงแก้ววัฒนา")</f>
        <v>วลีภรณ์ จงแก้ววัฒนา</v>
      </c>
      <c r="J607" t="str">
        <f>IFERROR(__xludf.DUMMYFUNCTION("""COMPUTED_VALUE"""),"เอิน Earn")</f>
        <v>เอิน Earn</v>
      </c>
      <c r="K607" t="str">
        <f>IFERROR(__xludf.DUMMYFUNCTION("""COMPUTED_VALUE"""),"Cabin Crew")</f>
        <v>Cabin Crew</v>
      </c>
      <c r="L607" t="str">
        <f>IFERROR(__xludf.DUMMYFUNCTION("""COMPUTED_VALUE"""),"DMK")</f>
        <v>DMK</v>
      </c>
      <c r="M607" s="145" t="str">
        <f>IFERROR(__xludf.DUMMYFUNCTION("""COMPUTED_VALUE"""),"Nhui Home")</f>
        <v>Nhui Home</v>
      </c>
      <c r="N607" t="str">
        <f>IFERROR(__xludf.DUMMYFUNCTION("""COMPUTED_VALUE"""),"Active")</f>
        <v>Active</v>
      </c>
      <c r="P607" s="143">
        <f>IFERROR(__xludf.DUMMYFUNCTION("""COMPUTED_VALUE"""),30720.0)</f>
        <v>30720</v>
      </c>
      <c r="Q607" s="146">
        <f>IFERROR(__xludf.DUMMYFUNCTION("""COMPUTED_VALUE"""),9.42694287E8)</f>
        <v>942694287</v>
      </c>
      <c r="R607" s="147" t="str">
        <f>IFERROR(__xludf.DUMMYFUNCTION("""COMPUTED_VALUE"""),"1-7098-00003-01-2")</f>
        <v>1-7098-00003-01-2</v>
      </c>
      <c r="S607" t="str">
        <f>IFERROR(__xludf.DUMMYFUNCTION("""COMPUTED_VALUE"""),"AD1344035")</f>
        <v>AD1344035</v>
      </c>
      <c r="T607" s="148">
        <f>IFERROR(__xludf.DUMMYFUNCTION("""COMPUTED_VALUE"""),45343.0)</f>
        <v>45343</v>
      </c>
      <c r="U607" s="148">
        <f>IFERROR(__xludf.DUMMYFUNCTION("""COMPUTED_VALUE"""),48995.0)</f>
        <v>48995</v>
      </c>
      <c r="V607" s="149">
        <f>IFERROR(__xludf.DUMMYFUNCTION("""COMPUTED_VALUE"""),48811.0)</f>
        <v>48811</v>
      </c>
      <c r="W607" t="str">
        <f>IFERROR(__xludf.DUMMYFUNCTION("""COMPUTED_VALUE"""),"ปลอดภัย")</f>
        <v>ปลอดภัย</v>
      </c>
      <c r="X607" t="str">
        <f>IFERROR(__xludf.DUMMYFUNCTION("""COMPUTED_VALUE"""),"Ratchaburi Province")</f>
        <v>Ratchaburi Province</v>
      </c>
      <c r="Y607" t="str">
        <f>IFERROR(__xludf.DUMMYFUNCTION("""COMPUTED_VALUE"""),"Pathumtani")</f>
        <v>Pathumtani</v>
      </c>
      <c r="Z607" t="str">
        <f>IFERROR(__xludf.DUMMYFUNCTION("""COMPUTED_VALUE"""),"085-550-5785")</f>
        <v>085-550-5785</v>
      </c>
      <c r="AA607" t="str">
        <f>IFERROR(__xludf.DUMMYFUNCTION("""COMPUTED_VALUE"""),"Lucksamee")</f>
        <v>Lucksamee</v>
      </c>
      <c r="AB607" t="str">
        <f>IFERROR(__xludf.DUMMYFUNCTION("""COMPUTED_VALUE"""),"waleepornj@airasia.com")</f>
        <v>waleepornj@airasia.com</v>
      </c>
    </row>
    <row r="608">
      <c r="A608">
        <f>IFERROR(__xludf.DUMMYFUNCTION("""COMPUTED_VALUE"""),1011848.0)</f>
        <v>1011848</v>
      </c>
      <c r="B608" t="str">
        <f>IFERROR(__xludf.DUMMYFUNCTION("""COMPUTED_VALUE"""),"Mr.")</f>
        <v>Mr.</v>
      </c>
      <c r="C608" t="str">
        <f>IFERROR(__xludf.DUMMYFUNCTION("""COMPUTED_VALUE"""),"Wiput")</f>
        <v>Wiput</v>
      </c>
      <c r="D608" t="str">
        <f>IFERROR(__xludf.DUMMYFUNCTION("""COMPUTED_VALUE"""),"Janvanichstaporn")</f>
        <v>Janvanichstaporn</v>
      </c>
      <c r="E608" t="str">
        <f>IFERROR(__xludf.DUMMYFUNCTION("""COMPUTED_VALUE"""),"Wiput Janvanichstaporn")</f>
        <v>Wiput Janvanichstaporn</v>
      </c>
      <c r="F608" t="str">
        <f>IFERROR(__xludf.DUMMYFUNCTION("""COMPUTED_VALUE"""),"นาย")</f>
        <v>นาย</v>
      </c>
      <c r="G608" t="str">
        <f>IFERROR(__xludf.DUMMYFUNCTION("""COMPUTED_VALUE"""),"วิพุธ")</f>
        <v>วิพุธ</v>
      </c>
      <c r="H608" t="str">
        <f>IFERROR(__xludf.DUMMYFUNCTION("""COMPUTED_VALUE"""),"เจนวณิชสถาพร")</f>
        <v>เจนวณิชสถาพร</v>
      </c>
      <c r="I608" t="str">
        <f>IFERROR(__xludf.DUMMYFUNCTION("""COMPUTED_VALUE"""),"วิพุธ เจนวณิชสถาพร")</f>
        <v>วิพุธ เจนวณิชสถาพร</v>
      </c>
      <c r="J608" t="str">
        <f>IFERROR(__xludf.DUMMYFUNCTION("""COMPUTED_VALUE"""),"โหน่ง Nhong")</f>
        <v>โหน่ง Nhong</v>
      </c>
      <c r="K608" t="str">
        <f>IFERROR(__xludf.DUMMYFUNCTION("""COMPUTED_VALUE"""),"Senior Cabin Crew")</f>
        <v>Senior Cabin Crew</v>
      </c>
      <c r="L608" t="str">
        <f>IFERROR(__xludf.DUMMYFUNCTION("""COMPUTED_VALUE"""),"DMK")</f>
        <v>DMK</v>
      </c>
      <c r="M608" s="145" t="str">
        <f>IFERROR(__xludf.DUMMYFUNCTION("""COMPUTED_VALUE"""),"Nhui Home")</f>
        <v>Nhui Home</v>
      </c>
      <c r="N608" t="str">
        <f>IFERROR(__xludf.DUMMYFUNCTION("""COMPUTED_VALUE"""),"Active")</f>
        <v>Active</v>
      </c>
      <c r="P608" s="143">
        <f>IFERROR(__xludf.DUMMYFUNCTION("""COMPUTED_VALUE"""),32688.0)</f>
        <v>32688</v>
      </c>
      <c r="Q608" s="146" t="str">
        <f>IFERROR(__xludf.DUMMYFUNCTION("""COMPUTED_VALUE"""),"062-302-1428")</f>
        <v>062-302-1428</v>
      </c>
      <c r="R608" s="147" t="str">
        <f>IFERROR(__xludf.DUMMYFUNCTION("""COMPUTED_VALUE"""),"1-7399-00204-69-9")</f>
        <v>1-7399-00204-69-9</v>
      </c>
      <c r="S608" t="str">
        <f>IFERROR(__xludf.DUMMYFUNCTION("""COMPUTED_VALUE"""),"AC7087401")</f>
        <v>AC7087401</v>
      </c>
      <c r="T608" s="148">
        <f>IFERROR(__xludf.DUMMYFUNCTION("""COMPUTED_VALUE"""),45601.0)</f>
        <v>45601</v>
      </c>
      <c r="U608" s="148">
        <f>IFERROR(__xludf.DUMMYFUNCTION("""COMPUTED_VALUE"""),49252.0)</f>
        <v>49252</v>
      </c>
      <c r="V608" s="149">
        <f>IFERROR(__xludf.DUMMYFUNCTION("""COMPUTED_VALUE"""),49068.0)</f>
        <v>49068</v>
      </c>
      <c r="W608" t="str">
        <f>IFERROR(__xludf.DUMMYFUNCTION("""COMPUTED_VALUE"""),"ปลอดภัย")</f>
        <v>ปลอดภัย</v>
      </c>
      <c r="X608" t="str">
        <f>IFERROR(__xludf.DUMMYFUNCTION("""COMPUTED_VALUE"""),"Nakhon Pathom Province")</f>
        <v>Nakhon Pathom Province</v>
      </c>
      <c r="Y608" t="str">
        <f>IFERROR(__xludf.DUMMYFUNCTION("""COMPUTED_VALUE"""),"Nakornpathom")</f>
        <v>Nakornpathom</v>
      </c>
      <c r="Z608" t="str">
        <f>IFERROR(__xludf.DUMMYFUNCTION("""COMPUTED_VALUE"""),"081-423-3812")</f>
        <v>081-423-3812</v>
      </c>
      <c r="AA608" t="str">
        <f>IFERROR(__xludf.DUMMYFUNCTION("""COMPUTED_VALUE"""),"Niran")</f>
        <v>Niran</v>
      </c>
      <c r="AB608" t="str">
        <f>IFERROR(__xludf.DUMMYFUNCTION("""COMPUTED_VALUE"""),"wiputj@airasia.com")</f>
        <v>wiputj@airasia.com</v>
      </c>
    </row>
    <row r="609">
      <c r="AB609" t="str">
        <f>IFERROR(__xludf.DUMMYFUNCTION("""COMPUTED_VALUE"""),"")</f>
        <v/>
      </c>
    </row>
    <row r="610">
      <c r="A610">
        <f>IFERROR(__xludf.DUMMYFUNCTION("""COMPUTED_VALUE"""),1012355.0)</f>
        <v>1012355</v>
      </c>
      <c r="B610" t="str">
        <f>IFERROR(__xludf.DUMMYFUNCTION("""COMPUTED_VALUE"""),"Mr.")</f>
        <v>Mr.</v>
      </c>
      <c r="C610" t="str">
        <f>IFERROR(__xludf.DUMMYFUNCTION("""COMPUTED_VALUE"""),"Benjapol")</f>
        <v>Benjapol</v>
      </c>
      <c r="D610" t="str">
        <f>IFERROR(__xludf.DUMMYFUNCTION("""COMPUTED_VALUE"""),"Boriruklert")</f>
        <v>Boriruklert</v>
      </c>
      <c r="E610" t="str">
        <f>IFERROR(__xludf.DUMMYFUNCTION("""COMPUTED_VALUE"""),"Benjapol Boriruklert")</f>
        <v>Benjapol Boriruklert</v>
      </c>
      <c r="F610" t="str">
        <f>IFERROR(__xludf.DUMMYFUNCTION("""COMPUTED_VALUE"""),"นาย")</f>
        <v>นาย</v>
      </c>
      <c r="G610" t="str">
        <f>IFERROR(__xludf.DUMMYFUNCTION("""COMPUTED_VALUE"""),"เบญจพล")</f>
        <v>เบญจพล</v>
      </c>
      <c r="H610" t="str">
        <f>IFERROR(__xludf.DUMMYFUNCTION("""COMPUTED_VALUE"""),"บริรักษ์เลิศ")</f>
        <v>บริรักษ์เลิศ</v>
      </c>
      <c r="I610" t="str">
        <f>IFERROR(__xludf.DUMMYFUNCTION("""COMPUTED_VALUE"""),"เบญจพล บริรักษ์เลิศ")</f>
        <v>เบญจพล บริรักษ์เลิศ</v>
      </c>
      <c r="J610" t="str">
        <f>IFERROR(__xludf.DUMMYFUNCTION("""COMPUTED_VALUE"""),"เบน Ben")</f>
        <v>เบน Ben</v>
      </c>
      <c r="K610" t="str">
        <f>IFERROR(__xludf.DUMMYFUNCTION("""COMPUTED_VALUE"""),"Cabin Crew - CNX")</f>
        <v>Cabin Crew - CNX</v>
      </c>
      <c r="L610" t="str">
        <f>IFERROR(__xludf.DUMMYFUNCTION("""COMPUTED_VALUE"""),"CNX")</f>
        <v>CNX</v>
      </c>
      <c r="M610" s="145" t="str">
        <f>IFERROR(__xludf.DUMMYFUNCTION("""COMPUTED_VALUE"""),"Up Home")</f>
        <v>Up Home</v>
      </c>
      <c r="N610" t="str">
        <f>IFERROR(__xludf.DUMMYFUNCTION("""COMPUTED_VALUE"""),"Active")</f>
        <v>Active</v>
      </c>
      <c r="O610" t="str">
        <f>IFERROR(__xludf.DUMMYFUNCTION("""COMPUTED_VALUE"""),"Chinese Speaking")</f>
        <v>Chinese Speaking</v>
      </c>
      <c r="P610" s="143">
        <f>IFERROR(__xludf.DUMMYFUNCTION("""COMPUTED_VALUE"""),33280.0)</f>
        <v>33280</v>
      </c>
      <c r="Q610" s="146" t="str">
        <f>IFERROR(__xludf.DUMMYFUNCTION("""COMPUTED_VALUE"""),"089-956-8680")</f>
        <v>089-956-8680</v>
      </c>
      <c r="R610" s="147" t="str">
        <f>IFERROR(__xludf.DUMMYFUNCTION("""COMPUTED_VALUE"""),"1-5399-00304-32-6")</f>
        <v>1-5399-00304-32-6</v>
      </c>
      <c r="S610" t="str">
        <f>IFERROR(__xludf.DUMMYFUNCTION("""COMPUTED_VALUE"""),"AC2217911")</f>
        <v>AC2217911</v>
      </c>
      <c r="T610" s="148">
        <f>IFERROR(__xludf.DUMMYFUNCTION("""COMPUTED_VALUE"""),44271.0)</f>
        <v>44271</v>
      </c>
      <c r="U610" s="148">
        <f>IFERROR(__xludf.DUMMYFUNCTION("""COMPUTED_VALUE"""),47922.0)</f>
        <v>47922</v>
      </c>
      <c r="V610" s="149">
        <f>IFERROR(__xludf.DUMMYFUNCTION("""COMPUTED_VALUE"""),47741.0)</f>
        <v>47741</v>
      </c>
      <c r="W610" t="str">
        <f>IFERROR(__xludf.DUMMYFUNCTION("""COMPUTED_VALUE"""),"ปลอดภัย")</f>
        <v>ปลอดภัย</v>
      </c>
      <c r="X610" t="str">
        <f>IFERROR(__xludf.DUMMYFUNCTION("""COMPUTED_VALUE"""),"Uttaradit Province")</f>
        <v>Uttaradit Province</v>
      </c>
      <c r="Y610" t="str">
        <f>IFERROR(__xludf.DUMMYFUNCTION("""COMPUTED_VALUE"""),"Chiangmai")</f>
        <v>Chiangmai</v>
      </c>
      <c r="Z610" t="str">
        <f>IFERROR(__xludf.DUMMYFUNCTION("""COMPUTED_VALUE"""),"080-508-0409")</f>
        <v>080-508-0409</v>
      </c>
      <c r="AA610" t="str">
        <f>IFERROR(__xludf.DUMMYFUNCTION("""COMPUTED_VALUE"""),"Bunjurd")</f>
        <v>Bunjurd</v>
      </c>
      <c r="AB610" t="str">
        <f>IFERROR(__xludf.DUMMYFUNCTION("""COMPUTED_VALUE"""),"benjapolb@airasia.com")</f>
        <v>benjapolb@airasia.com</v>
      </c>
    </row>
    <row r="611">
      <c r="A611">
        <f>IFERROR(__xludf.DUMMYFUNCTION("""COMPUTED_VALUE"""),1012357.0)</f>
        <v>1012357</v>
      </c>
      <c r="B611" t="str">
        <f>IFERROR(__xludf.DUMMYFUNCTION("""COMPUTED_VALUE"""),"Mr.")</f>
        <v>Mr.</v>
      </c>
      <c r="C611" t="str">
        <f>IFERROR(__xludf.DUMMYFUNCTION("""COMPUTED_VALUE"""),"Ekkaphon")</f>
        <v>Ekkaphon</v>
      </c>
      <c r="D611" t="str">
        <f>IFERROR(__xludf.DUMMYFUNCTION("""COMPUTED_VALUE"""),"Mengchuai")</f>
        <v>Mengchuai</v>
      </c>
      <c r="E611" t="str">
        <f>IFERROR(__xludf.DUMMYFUNCTION("""COMPUTED_VALUE"""),"Ekkaphon Mengchuai")</f>
        <v>Ekkaphon Mengchuai</v>
      </c>
      <c r="F611" t="str">
        <f>IFERROR(__xludf.DUMMYFUNCTION("""COMPUTED_VALUE"""),"นาย")</f>
        <v>นาย</v>
      </c>
      <c r="G611" t="str">
        <f>IFERROR(__xludf.DUMMYFUNCTION("""COMPUTED_VALUE"""),"เอกพล")</f>
        <v>เอกพล</v>
      </c>
      <c r="H611" t="str">
        <f>IFERROR(__xludf.DUMMYFUNCTION("""COMPUTED_VALUE"""),"เม่งช่วย")</f>
        <v>เม่งช่วย</v>
      </c>
      <c r="I611" t="str">
        <f>IFERROR(__xludf.DUMMYFUNCTION("""COMPUTED_VALUE"""),"เอกพล เม่งช่วย")</f>
        <v>เอกพล เม่งช่วย</v>
      </c>
      <c r="J611" t="str">
        <f>IFERROR(__xludf.DUMMYFUNCTION("""COMPUTED_VALUE"""),"จอม Jomm")</f>
        <v>จอม Jomm</v>
      </c>
      <c r="K611" t="str">
        <f>IFERROR(__xludf.DUMMYFUNCTION("""COMPUTED_VALUE"""),"Cabin Crew")</f>
        <v>Cabin Crew</v>
      </c>
      <c r="L611" t="str">
        <f>IFERROR(__xludf.DUMMYFUNCTION("""COMPUTED_VALUE"""),"DMK")</f>
        <v>DMK</v>
      </c>
      <c r="M611" s="145" t="str">
        <f>IFERROR(__xludf.DUMMYFUNCTION("""COMPUTED_VALUE"""),"Por+ Home")</f>
        <v>Por+ Home</v>
      </c>
      <c r="N611" t="str">
        <f>IFERROR(__xludf.DUMMYFUNCTION("""COMPUTED_VALUE"""),"Active")</f>
        <v>Active</v>
      </c>
      <c r="P611" s="143">
        <f>IFERROR(__xludf.DUMMYFUNCTION("""COMPUTED_VALUE"""),30573.0)</f>
        <v>30573</v>
      </c>
      <c r="Q611" s="146" t="str">
        <f>IFERROR(__xludf.DUMMYFUNCTION("""COMPUTED_VALUE"""),"084-144-8945")</f>
        <v>084-144-8945</v>
      </c>
      <c r="R611" s="147" t="str">
        <f>IFERROR(__xludf.DUMMYFUNCTION("""COMPUTED_VALUE"""),"3-9299-00308-36-7")</f>
        <v>3-9299-00308-36-7</v>
      </c>
      <c r="S611" t="str">
        <f>IFERROR(__xludf.DUMMYFUNCTION("""COMPUTED_VALUE"""),"AC6759315")</f>
        <v>AC6759315</v>
      </c>
      <c r="T611" s="148">
        <f>IFERROR(__xludf.DUMMYFUNCTION("""COMPUTED_VALUE"""),45425.0)</f>
        <v>45425</v>
      </c>
      <c r="U611" s="148">
        <f>IFERROR(__xludf.DUMMYFUNCTION("""COMPUTED_VALUE"""),49076.0)</f>
        <v>49076</v>
      </c>
      <c r="V611" s="149">
        <f>IFERROR(__xludf.DUMMYFUNCTION("""COMPUTED_VALUE"""),48895.0)</f>
        <v>48895</v>
      </c>
      <c r="W611" t="str">
        <f>IFERROR(__xludf.DUMMYFUNCTION("""COMPUTED_VALUE"""),"ปลอดภัย")</f>
        <v>ปลอดภัย</v>
      </c>
      <c r="X611" t="str">
        <f>IFERROR(__xludf.DUMMYFUNCTION("""COMPUTED_VALUE"""),"Trang Province")</f>
        <v>Trang Province</v>
      </c>
      <c r="Y611" t="str">
        <f>IFERROR(__xludf.DUMMYFUNCTION("""COMPUTED_VALUE"""),"Ladprao")</f>
        <v>Ladprao</v>
      </c>
      <c r="Z611" t="str">
        <f>IFERROR(__xludf.DUMMYFUNCTION("""COMPUTED_VALUE"""),"089-724-5012")</f>
        <v>089-724-5012</v>
      </c>
      <c r="AA611" t="str">
        <f>IFERROR(__xludf.DUMMYFUNCTION("""COMPUTED_VALUE"""),"Atita")</f>
        <v>Atita</v>
      </c>
      <c r="AB611" t="str">
        <f>IFERROR(__xludf.DUMMYFUNCTION("""COMPUTED_VALUE"""),"ekkaphonm@airasia.com")</f>
        <v>ekkaphonm@airasia.com</v>
      </c>
    </row>
    <row r="612">
      <c r="A612">
        <f>IFERROR(__xludf.DUMMYFUNCTION("""COMPUTED_VALUE"""),1012358.0)</f>
        <v>1012358</v>
      </c>
      <c r="B612" t="str">
        <f>IFERROR(__xludf.DUMMYFUNCTION("""COMPUTED_VALUE"""),"Ms.")</f>
        <v>Ms.</v>
      </c>
      <c r="C612" t="str">
        <f>IFERROR(__xludf.DUMMYFUNCTION("""COMPUTED_VALUE"""),"Kohchamon")</f>
        <v>Kohchamon</v>
      </c>
      <c r="D612" t="str">
        <f>IFERROR(__xludf.DUMMYFUNCTION("""COMPUTED_VALUE"""),"Pithayapitpat")</f>
        <v>Pithayapitpat</v>
      </c>
      <c r="E612" t="str">
        <f>IFERROR(__xludf.DUMMYFUNCTION("""COMPUTED_VALUE"""),"Kohchamon Pithayapitpat")</f>
        <v>Kohchamon Pithayapitpat</v>
      </c>
      <c r="F612" t="str">
        <f>IFERROR(__xludf.DUMMYFUNCTION("""COMPUTED_VALUE"""),"นางสาว")</f>
        <v>นางสาว</v>
      </c>
      <c r="G612" t="str">
        <f>IFERROR(__xludf.DUMMYFUNCTION("""COMPUTED_VALUE"""),"กชมน")</f>
        <v>กชมน</v>
      </c>
      <c r="H612" t="str">
        <f>IFERROR(__xludf.DUMMYFUNCTION("""COMPUTED_VALUE"""),"พิทยาพิพัฒน์")</f>
        <v>พิทยาพิพัฒน์</v>
      </c>
      <c r="I612" t="str">
        <f>IFERROR(__xludf.DUMMYFUNCTION("""COMPUTED_VALUE"""),"กชมน พิทยาพิพัฒน์")</f>
        <v>กชมน พิทยาพิพัฒน์</v>
      </c>
      <c r="J612" t="str">
        <f>IFERROR(__xludf.DUMMYFUNCTION("""COMPUTED_VALUE"""),"เรย์ Ray")</f>
        <v>เรย์ Ray</v>
      </c>
      <c r="K612" t="str">
        <f>IFERROR(__xludf.DUMMYFUNCTION("""COMPUTED_VALUE"""),"Cabin Crew")</f>
        <v>Cabin Crew</v>
      </c>
      <c r="L612" t="str">
        <f>IFERROR(__xludf.DUMMYFUNCTION("""COMPUTED_VALUE"""),"DMK")</f>
        <v>DMK</v>
      </c>
      <c r="M612" s="145" t="str">
        <f>IFERROR(__xludf.DUMMYFUNCTION("""COMPUTED_VALUE"""),"Kor Home")</f>
        <v>Kor Home</v>
      </c>
      <c r="N612" t="str">
        <f>IFERROR(__xludf.DUMMYFUNCTION("""COMPUTED_VALUE"""),"Active")</f>
        <v>Active</v>
      </c>
      <c r="O612" t="str">
        <f>IFERROR(__xludf.DUMMYFUNCTION("""COMPUTED_VALUE"""),"Chinese Speaking")</f>
        <v>Chinese Speaking</v>
      </c>
      <c r="P612" s="143">
        <f>IFERROR(__xludf.DUMMYFUNCTION("""COMPUTED_VALUE"""),33008.0)</f>
        <v>33008</v>
      </c>
      <c r="Q612" s="146" t="str">
        <f>IFERROR(__xludf.DUMMYFUNCTION("""COMPUTED_VALUE"""),"083-578-9578")</f>
        <v>083-578-9578</v>
      </c>
      <c r="R612" s="147" t="str">
        <f>IFERROR(__xludf.DUMMYFUNCTION("""COMPUTED_VALUE"""),"1-1004-00453-42-5")</f>
        <v>1-1004-00453-42-5</v>
      </c>
      <c r="S612" t="str">
        <f>IFERROR(__xludf.DUMMYFUNCTION("""COMPUTED_VALUE"""),"AC6680548")</f>
        <v>AC6680548</v>
      </c>
      <c r="T612" s="148">
        <f>IFERROR(__xludf.DUMMYFUNCTION("""COMPUTED_VALUE"""),45403.0)</f>
        <v>45403</v>
      </c>
      <c r="U612" s="148">
        <f>IFERROR(__xludf.DUMMYFUNCTION("""COMPUTED_VALUE"""),49054.0)</f>
        <v>49054</v>
      </c>
      <c r="V612" s="149">
        <f>IFERROR(__xludf.DUMMYFUNCTION("""COMPUTED_VALUE"""),48872.0)</f>
        <v>48872</v>
      </c>
      <c r="W612" t="str">
        <f>IFERROR(__xludf.DUMMYFUNCTION("""COMPUTED_VALUE"""),"ปลอดภัย")</f>
        <v>ปลอดภัย</v>
      </c>
      <c r="X612" t="str">
        <f>IFERROR(__xludf.DUMMYFUNCTION("""COMPUTED_VALUE"""),"Bangkok")</f>
        <v>Bangkok</v>
      </c>
      <c r="Y612" t="str">
        <f>IFERROR(__xludf.DUMMYFUNCTION("""COMPUTED_VALUE"""),"Bangrak")</f>
        <v>Bangrak</v>
      </c>
      <c r="Z612" t="str">
        <f>IFERROR(__xludf.DUMMYFUNCTION("""COMPUTED_VALUE"""),"086-407-4737")</f>
        <v>086-407-4737</v>
      </c>
      <c r="AA612" t="str">
        <f>IFERROR(__xludf.DUMMYFUNCTION("""COMPUTED_VALUE"""),"Vachira")</f>
        <v>Vachira</v>
      </c>
      <c r="AB612" t="str">
        <f>IFERROR(__xludf.DUMMYFUNCTION("""COMPUTED_VALUE"""),"kohchamonp@airasia.com")</f>
        <v>kohchamonp@airasia.com</v>
      </c>
    </row>
    <row r="613">
      <c r="A613">
        <f>IFERROR(__xludf.DUMMYFUNCTION("""COMPUTED_VALUE"""),1012359.0)</f>
        <v>1012359</v>
      </c>
      <c r="B613" t="str">
        <f>IFERROR(__xludf.DUMMYFUNCTION("""COMPUTED_VALUE"""),"Ms.")</f>
        <v>Ms.</v>
      </c>
      <c r="C613" t="str">
        <f>IFERROR(__xludf.DUMMYFUNCTION("""COMPUTED_VALUE"""),"Kotchakon")</f>
        <v>Kotchakon</v>
      </c>
      <c r="D613" t="str">
        <f>IFERROR(__xludf.DUMMYFUNCTION("""COMPUTED_VALUE"""),"Kanchanamethakul")</f>
        <v>Kanchanamethakul</v>
      </c>
      <c r="E613" t="str">
        <f>IFERROR(__xludf.DUMMYFUNCTION("""COMPUTED_VALUE"""),"Kotchakon Kanchanamethakul")</f>
        <v>Kotchakon Kanchanamethakul</v>
      </c>
      <c r="F613" t="str">
        <f>IFERROR(__xludf.DUMMYFUNCTION("""COMPUTED_VALUE"""),"นางสาว")</f>
        <v>นางสาว</v>
      </c>
      <c r="G613" t="str">
        <f>IFERROR(__xludf.DUMMYFUNCTION("""COMPUTED_VALUE"""),"กชกร")</f>
        <v>กชกร</v>
      </c>
      <c r="H613" t="str">
        <f>IFERROR(__xludf.DUMMYFUNCTION("""COMPUTED_VALUE"""),"กาญจนเมธากุล")</f>
        <v>กาญจนเมธากุล</v>
      </c>
      <c r="I613" t="str">
        <f>IFERROR(__xludf.DUMMYFUNCTION("""COMPUTED_VALUE"""),"กชกร กาญจนเมธากุล")</f>
        <v>กชกร กาญจนเมธากุล</v>
      </c>
      <c r="J613" t="str">
        <f>IFERROR(__xludf.DUMMYFUNCTION("""COMPUTED_VALUE"""),"เน็ต Net")</f>
        <v>เน็ต Net</v>
      </c>
      <c r="K613" t="str">
        <f>IFERROR(__xludf.DUMMYFUNCTION("""COMPUTED_VALUE"""),"Cabin Crew")</f>
        <v>Cabin Crew</v>
      </c>
      <c r="L613" t="str">
        <f>IFERROR(__xludf.DUMMYFUNCTION("""COMPUTED_VALUE"""),"DMK")</f>
        <v>DMK</v>
      </c>
      <c r="M613" s="145" t="str">
        <f>IFERROR(__xludf.DUMMYFUNCTION("""COMPUTED_VALUE"""),"Um Home")</f>
        <v>Um Home</v>
      </c>
      <c r="N613" t="str">
        <f>IFERROR(__xludf.DUMMYFUNCTION("""COMPUTED_VALUE"""),"Active")</f>
        <v>Active</v>
      </c>
      <c r="O613" t="str">
        <f>IFERROR(__xludf.DUMMYFUNCTION("""COMPUTED_VALUE"""),"Chinese Speaking")</f>
        <v>Chinese Speaking</v>
      </c>
      <c r="P613" s="143">
        <f>IFERROR(__xludf.DUMMYFUNCTION("""COMPUTED_VALUE"""),33672.0)</f>
        <v>33672</v>
      </c>
      <c r="Q613" s="146" t="str">
        <f>IFERROR(__xludf.DUMMYFUNCTION("""COMPUTED_VALUE"""),"088-506-7290")</f>
        <v>088-506-7290</v>
      </c>
      <c r="R613" s="147" t="str">
        <f>IFERROR(__xludf.DUMMYFUNCTION("""COMPUTED_VALUE"""),"1-1037-00607-39-1")</f>
        <v>1-1037-00607-39-1</v>
      </c>
      <c r="S613" t="str">
        <f>IFERROR(__xludf.DUMMYFUNCTION("""COMPUTED_VALUE"""),"AC2692656")</f>
        <v>AC2692656</v>
      </c>
      <c r="T613" s="148">
        <f>IFERROR(__xludf.DUMMYFUNCTION("""COMPUTED_VALUE"""),44585.0)</f>
        <v>44585</v>
      </c>
      <c r="U613" s="148">
        <f>IFERROR(__xludf.DUMMYFUNCTION("""COMPUTED_VALUE"""),48236.0)</f>
        <v>48236</v>
      </c>
      <c r="V613" s="149">
        <f>IFERROR(__xludf.DUMMYFUNCTION("""COMPUTED_VALUE"""),48052.0)</f>
        <v>48052</v>
      </c>
      <c r="W613" t="str">
        <f>IFERROR(__xludf.DUMMYFUNCTION("""COMPUTED_VALUE"""),"ปลอดภัย")</f>
        <v>ปลอดภัย</v>
      </c>
      <c r="X613" t="str">
        <f>IFERROR(__xludf.DUMMYFUNCTION("""COMPUTED_VALUE"""),"Bangkok")</f>
        <v>Bangkok</v>
      </c>
      <c r="Y613" t="str">
        <f>IFERROR(__xludf.DUMMYFUNCTION("""COMPUTED_VALUE"""),"Jatujak")</f>
        <v>Jatujak</v>
      </c>
      <c r="Z613" t="str">
        <f>IFERROR(__xludf.DUMMYFUNCTION("""COMPUTED_VALUE"""),"084-184-9462")</f>
        <v>084-184-9462</v>
      </c>
      <c r="AA613" t="str">
        <f>IFERROR(__xludf.DUMMYFUNCTION("""COMPUTED_VALUE"""),"Jaruwan")</f>
        <v>Jaruwan</v>
      </c>
      <c r="AB613" t="str">
        <f>IFERROR(__xludf.DUMMYFUNCTION("""COMPUTED_VALUE"""),"kotchakonk@airasia.com")</f>
        <v>kotchakonk@airasia.com</v>
      </c>
    </row>
    <row r="614">
      <c r="A614">
        <f>IFERROR(__xludf.DUMMYFUNCTION("""COMPUTED_VALUE"""),1012360.0)</f>
        <v>1012360</v>
      </c>
      <c r="B614" t="str">
        <f>IFERROR(__xludf.DUMMYFUNCTION("""COMPUTED_VALUE"""),"Ms.")</f>
        <v>Ms.</v>
      </c>
      <c r="C614" t="str">
        <f>IFERROR(__xludf.DUMMYFUNCTION("""COMPUTED_VALUE"""),"Mintra")</f>
        <v>Mintra</v>
      </c>
      <c r="D614" t="str">
        <f>IFERROR(__xludf.DUMMYFUNCTION("""COMPUTED_VALUE"""),"Tunta-A-Riya")</f>
        <v>Tunta-A-Riya</v>
      </c>
      <c r="E614" t="str">
        <f>IFERROR(__xludf.DUMMYFUNCTION("""COMPUTED_VALUE"""),"Mintra Tunta-A-Riya")</f>
        <v>Mintra Tunta-A-Riya</v>
      </c>
      <c r="F614" t="str">
        <f>IFERROR(__xludf.DUMMYFUNCTION("""COMPUTED_VALUE"""),"นางสาว")</f>
        <v>นางสาว</v>
      </c>
      <c r="G614" t="str">
        <f>IFERROR(__xludf.DUMMYFUNCTION("""COMPUTED_VALUE"""),"มินตรา")</f>
        <v>มินตรา</v>
      </c>
      <c r="H614" t="str">
        <f>IFERROR(__xludf.DUMMYFUNCTION("""COMPUTED_VALUE"""),"ตันฑอาริยะ")</f>
        <v>ตันฑอาริยะ</v>
      </c>
      <c r="I614" t="str">
        <f>IFERROR(__xludf.DUMMYFUNCTION("""COMPUTED_VALUE"""),"มินตรา ตันฑอาริยะ")</f>
        <v>มินตรา ตันฑอาริยะ</v>
      </c>
      <c r="J614" t="str">
        <f>IFERROR(__xludf.DUMMYFUNCTION("""COMPUTED_VALUE"""),"มิ้น Mint")</f>
        <v>มิ้น Mint</v>
      </c>
      <c r="K614" t="str">
        <f>IFERROR(__xludf.DUMMYFUNCTION("""COMPUTED_VALUE"""),"Cabin Crew")</f>
        <v>Cabin Crew</v>
      </c>
      <c r="L614" t="str">
        <f>IFERROR(__xludf.DUMMYFUNCTION("""COMPUTED_VALUE"""),"DMK")</f>
        <v>DMK</v>
      </c>
      <c r="M614" s="145" t="str">
        <f>IFERROR(__xludf.DUMMYFUNCTION("""COMPUTED_VALUE"""),"Um Home")</f>
        <v>Um Home</v>
      </c>
      <c r="N614" t="str">
        <f>IFERROR(__xludf.DUMMYFUNCTION("""COMPUTED_VALUE"""),"Active")</f>
        <v>Active</v>
      </c>
      <c r="O614" t="str">
        <f>IFERROR(__xludf.DUMMYFUNCTION("""COMPUTED_VALUE"""),"Chinese Speaking")</f>
        <v>Chinese Speaking</v>
      </c>
      <c r="P614" s="143">
        <f>IFERROR(__xludf.DUMMYFUNCTION("""COMPUTED_VALUE"""),32760.0)</f>
        <v>32760</v>
      </c>
      <c r="Q614" s="146" t="str">
        <f>IFERROR(__xludf.DUMMYFUNCTION("""COMPUTED_VALUE"""),"088-491-2414")</f>
        <v>088-491-2414</v>
      </c>
      <c r="R614" s="147" t="str">
        <f>IFERROR(__xludf.DUMMYFUNCTION("""COMPUTED_VALUE"""),"1-1004-00411-88-9")</f>
        <v>1-1004-00411-88-9</v>
      </c>
      <c r="S614" t="str">
        <f>IFERROR(__xludf.DUMMYFUNCTION("""COMPUTED_VALUE"""),"AC7241004")</f>
        <v>AC7241004</v>
      </c>
      <c r="T614" s="148">
        <f>IFERROR(__xludf.DUMMYFUNCTION("""COMPUTED_VALUE"""),45660.0)</f>
        <v>45660</v>
      </c>
      <c r="U614" s="148">
        <f>IFERROR(__xludf.DUMMYFUNCTION("""COMPUTED_VALUE"""),49311.0)</f>
        <v>49311</v>
      </c>
      <c r="V614" s="149">
        <f>IFERROR(__xludf.DUMMYFUNCTION("""COMPUTED_VALUE"""),49127.0)</f>
        <v>49127</v>
      </c>
      <c r="W614" t="str">
        <f>IFERROR(__xludf.DUMMYFUNCTION("""COMPUTED_VALUE"""),"ปลอดภัย")</f>
        <v>ปลอดภัย</v>
      </c>
      <c r="X614" t="str">
        <f>IFERROR(__xludf.DUMMYFUNCTION("""COMPUTED_VALUE"""),"Bangkok")</f>
        <v>Bangkok</v>
      </c>
      <c r="Y614" t="str">
        <f>IFERROR(__xludf.DUMMYFUNCTION("""COMPUTED_VALUE"""),"Huai-kwang")</f>
        <v>Huai-kwang</v>
      </c>
      <c r="Z614" t="str">
        <f>IFERROR(__xludf.DUMMYFUNCTION("""COMPUTED_VALUE"""),"086-712-8512")</f>
        <v>086-712-8512</v>
      </c>
      <c r="AA614" t="str">
        <f>IFERROR(__xludf.DUMMYFUNCTION("""COMPUTED_VALUE"""),"Nopparat")</f>
        <v>Nopparat</v>
      </c>
      <c r="AB614" t="str">
        <f>IFERROR(__xludf.DUMMYFUNCTION("""COMPUTED_VALUE"""),"mintrau@airasia.com")</f>
        <v>mintrau@airasia.com</v>
      </c>
    </row>
    <row r="615">
      <c r="A615">
        <f>IFERROR(__xludf.DUMMYFUNCTION("""COMPUTED_VALUE"""),1012361.0)</f>
        <v>1012361</v>
      </c>
      <c r="B615" t="str">
        <f>IFERROR(__xludf.DUMMYFUNCTION("""COMPUTED_VALUE"""),"Ms.")</f>
        <v>Ms.</v>
      </c>
      <c r="C615" t="str">
        <f>IFERROR(__xludf.DUMMYFUNCTION("""COMPUTED_VALUE"""),"Natcha")</f>
        <v>Natcha</v>
      </c>
      <c r="D615" t="str">
        <f>IFERROR(__xludf.DUMMYFUNCTION("""COMPUTED_VALUE"""),"Poopong")</f>
        <v>Poopong</v>
      </c>
      <c r="E615" t="str">
        <f>IFERROR(__xludf.DUMMYFUNCTION("""COMPUTED_VALUE"""),"Natcha Poopong")</f>
        <v>Natcha Poopong</v>
      </c>
      <c r="F615" t="str">
        <f>IFERROR(__xludf.DUMMYFUNCTION("""COMPUTED_VALUE"""),"นางสาว")</f>
        <v>นางสาว</v>
      </c>
      <c r="G615" t="str">
        <f>IFERROR(__xludf.DUMMYFUNCTION("""COMPUTED_VALUE"""),"ณัฐชา")</f>
        <v>ณัฐชา</v>
      </c>
      <c r="H615" t="str">
        <f>IFERROR(__xludf.DUMMYFUNCTION("""COMPUTED_VALUE"""),"ภู่พงษ์")</f>
        <v>ภู่พงษ์</v>
      </c>
      <c r="I615" t="str">
        <f>IFERROR(__xludf.DUMMYFUNCTION("""COMPUTED_VALUE"""),"ณัฐชา ภู่พงษ์")</f>
        <v>ณัฐชา ภู่พงษ์</v>
      </c>
      <c r="J615" t="str">
        <f>IFERROR(__xludf.DUMMYFUNCTION("""COMPUTED_VALUE"""),"Natcha")</f>
        <v>Natcha</v>
      </c>
      <c r="K615" t="str">
        <f>IFERROR(__xludf.DUMMYFUNCTION("""COMPUTED_VALUE"""),"Senior Cabin Crew")</f>
        <v>Senior Cabin Crew</v>
      </c>
      <c r="L615" t="str">
        <f>IFERROR(__xludf.DUMMYFUNCTION("""COMPUTED_VALUE"""),"DMK")</f>
        <v>DMK</v>
      </c>
      <c r="M615" s="145" t="str">
        <f>IFERROR(__xludf.DUMMYFUNCTION("""COMPUTED_VALUE"""),"Up Home")</f>
        <v>Up Home</v>
      </c>
      <c r="N615" t="str">
        <f>IFERROR(__xludf.DUMMYFUNCTION("""COMPUTED_VALUE"""),"Active")</f>
        <v>Active</v>
      </c>
      <c r="P615" s="143">
        <f>IFERROR(__xludf.DUMMYFUNCTION("""COMPUTED_VALUE"""),32717.0)</f>
        <v>32717</v>
      </c>
      <c r="Q615" s="146" t="str">
        <f>IFERROR(__xludf.DUMMYFUNCTION("""COMPUTED_VALUE"""),"085-134-9859")</f>
        <v>085-134-9859</v>
      </c>
      <c r="R615" s="147" t="str">
        <f>IFERROR(__xludf.DUMMYFUNCTION("""COMPUTED_VALUE"""),"5-2299-00017-57-8")</f>
        <v>5-2299-00017-57-8</v>
      </c>
      <c r="S615" t="str">
        <f>IFERROR(__xludf.DUMMYFUNCTION("""COMPUTED_VALUE"""),"AC5617846")</f>
        <v>AC5617846</v>
      </c>
      <c r="T615" s="148">
        <f>IFERROR(__xludf.DUMMYFUNCTION("""COMPUTED_VALUE"""),45166.0)</f>
        <v>45166</v>
      </c>
      <c r="U615" s="148">
        <f>IFERROR(__xludf.DUMMYFUNCTION("""COMPUTED_VALUE"""),48818.0)</f>
        <v>48818</v>
      </c>
      <c r="V615" s="149">
        <f>IFERROR(__xludf.DUMMYFUNCTION("""COMPUTED_VALUE"""),48637.0)</f>
        <v>48637</v>
      </c>
      <c r="W615" t="str">
        <f>IFERROR(__xludf.DUMMYFUNCTION("""COMPUTED_VALUE"""),"ปลอดภัย")</f>
        <v>ปลอดภัย</v>
      </c>
      <c r="X615" t="str">
        <f>IFERROR(__xludf.DUMMYFUNCTION("""COMPUTED_VALUE"""),"Bangkok")</f>
        <v>Bangkok</v>
      </c>
      <c r="Y615" t="str">
        <f>IFERROR(__xludf.DUMMYFUNCTION("""COMPUTED_VALUE"""),"Ladprao")</f>
        <v>Ladprao</v>
      </c>
      <c r="Z615" t="str">
        <f>IFERROR(__xludf.DUMMYFUNCTION("""COMPUTED_VALUE"""),"087-920-9131")</f>
        <v>087-920-9131</v>
      </c>
      <c r="AA615" t="str">
        <f>IFERROR(__xludf.DUMMYFUNCTION("""COMPUTED_VALUE"""),"Pipaporn")</f>
        <v>Pipaporn</v>
      </c>
      <c r="AB615" t="str">
        <f>IFERROR(__xludf.DUMMYFUNCTION("""COMPUTED_VALUE"""),"natchag@airasia.com")</f>
        <v>natchag@airasia.com</v>
      </c>
    </row>
    <row r="616">
      <c r="A616">
        <f>IFERROR(__xludf.DUMMYFUNCTION("""COMPUTED_VALUE"""),1012362.0)</f>
        <v>1012362</v>
      </c>
      <c r="B616" t="str">
        <f>IFERROR(__xludf.DUMMYFUNCTION("""COMPUTED_VALUE"""),"Ms.")</f>
        <v>Ms.</v>
      </c>
      <c r="C616" t="str">
        <f>IFERROR(__xludf.DUMMYFUNCTION("""COMPUTED_VALUE"""),"Patcharagorn")</f>
        <v>Patcharagorn</v>
      </c>
      <c r="D616" t="str">
        <f>IFERROR(__xludf.DUMMYFUNCTION("""COMPUTED_VALUE"""),"Chankhong")</f>
        <v>Chankhong</v>
      </c>
      <c r="E616" t="str">
        <f>IFERROR(__xludf.DUMMYFUNCTION("""COMPUTED_VALUE"""),"Patcharagorn Chankhong")</f>
        <v>Patcharagorn Chankhong</v>
      </c>
      <c r="F616" t="str">
        <f>IFERROR(__xludf.DUMMYFUNCTION("""COMPUTED_VALUE"""),"นางสาว")</f>
        <v>นางสาว</v>
      </c>
      <c r="G616" t="str">
        <f>IFERROR(__xludf.DUMMYFUNCTION("""COMPUTED_VALUE"""),"พัชรากร")</f>
        <v>พัชรากร</v>
      </c>
      <c r="H616" t="str">
        <f>IFERROR(__xludf.DUMMYFUNCTION("""COMPUTED_VALUE"""),"จันทร์คง")</f>
        <v>จันทร์คง</v>
      </c>
      <c r="I616" t="str">
        <f>IFERROR(__xludf.DUMMYFUNCTION("""COMPUTED_VALUE"""),"พัชรากร จันทร์คง")</f>
        <v>พัชรากร จันทร์คง</v>
      </c>
      <c r="J616" t="str">
        <f>IFERROR(__xludf.DUMMYFUNCTION("""COMPUTED_VALUE"""),"กวาง Kwang")</f>
        <v>กวาง Kwang</v>
      </c>
      <c r="K616" t="str">
        <f>IFERROR(__xludf.DUMMYFUNCTION("""COMPUTED_VALUE"""),"Cabin Crew")</f>
        <v>Cabin Crew</v>
      </c>
      <c r="L616" t="str">
        <f>IFERROR(__xludf.DUMMYFUNCTION("""COMPUTED_VALUE"""),"DMK")</f>
        <v>DMK</v>
      </c>
      <c r="M616" s="145" t="str">
        <f>IFERROR(__xludf.DUMMYFUNCTION("""COMPUTED_VALUE"""),"Nhui Home")</f>
        <v>Nhui Home</v>
      </c>
      <c r="N616" t="str">
        <f>IFERROR(__xludf.DUMMYFUNCTION("""COMPUTED_VALUE"""),"Active")</f>
        <v>Active</v>
      </c>
      <c r="O616" t="str">
        <f>IFERROR(__xludf.DUMMYFUNCTION("""COMPUTED_VALUE"""),"Chinese Speaking")</f>
        <v>Chinese Speaking</v>
      </c>
      <c r="P616" s="143">
        <f>IFERROR(__xludf.DUMMYFUNCTION("""COMPUTED_VALUE"""),33185.0)</f>
        <v>33185</v>
      </c>
      <c r="Q616" s="146" t="str">
        <f>IFERROR(__xludf.DUMMYFUNCTION("""COMPUTED_VALUE"""),"091-942-4228")</f>
        <v>091-942-4228</v>
      </c>
      <c r="R616" s="147" t="str">
        <f>IFERROR(__xludf.DUMMYFUNCTION("""COMPUTED_VALUE"""),"1-1037-00268-94-4")</f>
        <v>1-1037-00268-94-4</v>
      </c>
      <c r="S616" t="str">
        <f>IFERROR(__xludf.DUMMYFUNCTION("""COMPUTED_VALUE"""),"AD1825305")</f>
        <v>AD1825305</v>
      </c>
      <c r="T616" s="148">
        <f>IFERROR(__xludf.DUMMYFUNCTION("""COMPUTED_VALUE"""),45464.0)</f>
        <v>45464</v>
      </c>
      <c r="U616" s="148">
        <f>IFERROR(__xludf.DUMMYFUNCTION("""COMPUTED_VALUE"""),49115.0)</f>
        <v>49115</v>
      </c>
      <c r="V616" s="149">
        <f>IFERROR(__xludf.DUMMYFUNCTION("""COMPUTED_VALUE"""),48933.0)</f>
        <v>48933</v>
      </c>
      <c r="W616" t="str">
        <f>IFERROR(__xludf.DUMMYFUNCTION("""COMPUTED_VALUE"""),"ปลอดภัย")</f>
        <v>ปลอดภัย</v>
      </c>
      <c r="X616" t="str">
        <f>IFERROR(__xludf.DUMMYFUNCTION("""COMPUTED_VALUE"""),"Bangkok")</f>
        <v>Bangkok</v>
      </c>
      <c r="Y616" t="str">
        <f>IFERROR(__xludf.DUMMYFUNCTION("""COMPUTED_VALUE"""),"Bangkhen")</f>
        <v>Bangkhen</v>
      </c>
      <c r="Z616" t="str">
        <f>IFERROR(__xludf.DUMMYFUNCTION("""COMPUTED_VALUE"""),"081-833-5633")</f>
        <v>081-833-5633</v>
      </c>
      <c r="AA616" t="str">
        <f>IFERROR(__xludf.DUMMYFUNCTION("""COMPUTED_VALUE"""),"Kittichai")</f>
        <v>Kittichai</v>
      </c>
      <c r="AB616" t="str">
        <f>IFERROR(__xludf.DUMMYFUNCTION("""COMPUTED_VALUE"""),"patcharagornc@airasia.com")</f>
        <v>patcharagornc@airasia.com</v>
      </c>
    </row>
    <row r="617">
      <c r="A617">
        <f>IFERROR(__xludf.DUMMYFUNCTION("""COMPUTED_VALUE"""),1012365.0)</f>
        <v>1012365</v>
      </c>
      <c r="B617" t="str">
        <f>IFERROR(__xludf.DUMMYFUNCTION("""COMPUTED_VALUE"""),"Ms.")</f>
        <v>Ms.</v>
      </c>
      <c r="C617" t="str">
        <f>IFERROR(__xludf.DUMMYFUNCTION("""COMPUTED_VALUE"""),"Manassaphorn (Ployphan)")</f>
        <v>Manassaphorn (Ployphan)</v>
      </c>
      <c r="D617" t="str">
        <f>IFERROR(__xludf.DUMMYFUNCTION("""COMPUTED_VALUE"""),"Boonprasertwattana")</f>
        <v>Boonprasertwattana</v>
      </c>
      <c r="E617" t="str">
        <f>IFERROR(__xludf.DUMMYFUNCTION("""COMPUTED_VALUE"""),"Manassaphorn Boonprasertwattana")</f>
        <v>Manassaphorn Boonprasertwattana</v>
      </c>
      <c r="F617" t="str">
        <f>IFERROR(__xludf.DUMMYFUNCTION("""COMPUTED_VALUE"""),"นางสาว")</f>
        <v>นางสาว</v>
      </c>
      <c r="G617" t="str">
        <f>IFERROR(__xludf.DUMMYFUNCTION("""COMPUTED_VALUE"""),"มนัสภรณ์  (พลอยพรรณ)")</f>
        <v>มนัสภรณ์  (พลอยพรรณ)</v>
      </c>
      <c r="H617" t="str">
        <f>IFERROR(__xludf.DUMMYFUNCTION("""COMPUTED_VALUE"""),"บุญประเสริฐวัฒนา")</f>
        <v>บุญประเสริฐวัฒนา</v>
      </c>
      <c r="I617" t="str">
        <f>IFERROR(__xludf.DUMMYFUNCTION("""COMPUTED_VALUE"""),"มนัสภรณ์  บุญประเสริฐวัฒนา")</f>
        <v>มนัสภรณ์  บุญประเสริฐวัฒนา</v>
      </c>
      <c r="J617" t="str">
        <f>IFERROR(__xludf.DUMMYFUNCTION("""COMPUTED_VALUE"""),"น้ำทิพย์ Namthip")</f>
        <v>น้ำทิพย์ Namthip</v>
      </c>
      <c r="K617" t="str">
        <f>IFERROR(__xludf.DUMMYFUNCTION("""COMPUTED_VALUE"""),"Senior Cabin Crew")</f>
        <v>Senior Cabin Crew</v>
      </c>
      <c r="L617" t="str">
        <f>IFERROR(__xludf.DUMMYFUNCTION("""COMPUTED_VALUE"""),"DMK")</f>
        <v>DMK</v>
      </c>
      <c r="M617" s="145" t="str">
        <f>IFERROR(__xludf.DUMMYFUNCTION("""COMPUTED_VALUE"""),"Namfon Home")</f>
        <v>Namfon Home</v>
      </c>
      <c r="N617" t="str">
        <f>IFERROR(__xludf.DUMMYFUNCTION("""COMPUTED_VALUE"""),"Active")</f>
        <v>Active</v>
      </c>
      <c r="O617" t="str">
        <f>IFERROR(__xludf.DUMMYFUNCTION("""COMPUTED_VALUE"""),"Chinese Speaking")</f>
        <v>Chinese Speaking</v>
      </c>
      <c r="P617" s="143">
        <f>IFERROR(__xludf.DUMMYFUNCTION("""COMPUTED_VALUE"""),33476.0)</f>
        <v>33476</v>
      </c>
      <c r="Q617" s="146" t="str">
        <f>IFERROR(__xludf.DUMMYFUNCTION("""COMPUTED_VALUE"""),"094 479 4149")</f>
        <v>094 479 4149</v>
      </c>
      <c r="R617" s="147" t="str">
        <f>IFERROR(__xludf.DUMMYFUNCTION("""COMPUTED_VALUE"""),"1-1008-00729-59-2")</f>
        <v>1-1008-00729-59-2</v>
      </c>
      <c r="S617" t="str">
        <f>IFERROR(__xludf.DUMMYFUNCTION("""COMPUTED_VALUE"""),"AC2915200")</f>
        <v>AC2915200</v>
      </c>
      <c r="T617" s="148">
        <f>IFERROR(__xludf.DUMMYFUNCTION("""COMPUTED_VALUE"""),44621.0)</f>
        <v>44621</v>
      </c>
      <c r="U617" s="148">
        <f>IFERROR(__xludf.DUMMYFUNCTION("""COMPUTED_VALUE"""),48273.0)</f>
        <v>48273</v>
      </c>
      <c r="V617" s="149">
        <f>IFERROR(__xludf.DUMMYFUNCTION("""COMPUTED_VALUE"""),48089.0)</f>
        <v>48089</v>
      </c>
      <c r="W617" t="str">
        <f>IFERROR(__xludf.DUMMYFUNCTION("""COMPUTED_VALUE"""),"ปลอดภัย")</f>
        <v>ปลอดภัย</v>
      </c>
      <c r="X617" t="str">
        <f>IFERROR(__xludf.DUMMYFUNCTION("""COMPUTED_VALUE"""),"Bangkok")</f>
        <v>Bangkok</v>
      </c>
      <c r="Y617" t="str">
        <f>IFERROR(__xludf.DUMMYFUNCTION("""COMPUTED_VALUE"""),"Bangbon")</f>
        <v>Bangbon</v>
      </c>
      <c r="Z617" t="str">
        <f>IFERROR(__xludf.DUMMYFUNCTION("""COMPUTED_VALUE"""),"081-454-8695")</f>
        <v>081-454-8695</v>
      </c>
      <c r="AA617" t="str">
        <f>IFERROR(__xludf.DUMMYFUNCTION("""COMPUTED_VALUE"""),"Nida")</f>
        <v>Nida</v>
      </c>
      <c r="AB617" t="str">
        <f>IFERROR(__xludf.DUMMYFUNCTION("""COMPUTED_VALUE"""),"manassaphornb@airasia.com")</f>
        <v>manassaphornb@airasia.com</v>
      </c>
    </row>
    <row r="618">
      <c r="A618">
        <f>IFERROR(__xludf.DUMMYFUNCTION("""COMPUTED_VALUE"""),1012366.0)</f>
        <v>1012366</v>
      </c>
      <c r="B618" t="str">
        <f>IFERROR(__xludf.DUMMYFUNCTION("""COMPUTED_VALUE"""),"Mr.")</f>
        <v>Mr.</v>
      </c>
      <c r="C618" t="str">
        <f>IFERROR(__xludf.DUMMYFUNCTION("""COMPUTED_VALUE"""),"Ronnachai")</f>
        <v>Ronnachai</v>
      </c>
      <c r="D618" t="str">
        <f>IFERROR(__xludf.DUMMYFUNCTION("""COMPUTED_VALUE"""),"Wannarat")</f>
        <v>Wannarat</v>
      </c>
      <c r="E618" t="str">
        <f>IFERROR(__xludf.DUMMYFUNCTION("""COMPUTED_VALUE"""),"Ronnachai Wannarat")</f>
        <v>Ronnachai Wannarat</v>
      </c>
      <c r="F618" t="str">
        <f>IFERROR(__xludf.DUMMYFUNCTION("""COMPUTED_VALUE"""),"นาย")</f>
        <v>นาย</v>
      </c>
      <c r="G618" t="str">
        <f>IFERROR(__xludf.DUMMYFUNCTION("""COMPUTED_VALUE"""),"รณชัย")</f>
        <v>รณชัย</v>
      </c>
      <c r="H618" t="str">
        <f>IFERROR(__xludf.DUMMYFUNCTION("""COMPUTED_VALUE"""),"วรรณรัตน์")</f>
        <v>วรรณรัตน์</v>
      </c>
      <c r="I618" t="str">
        <f>IFERROR(__xludf.DUMMYFUNCTION("""COMPUTED_VALUE"""),"รณชัย วรรณรัตน์")</f>
        <v>รณชัย วรรณรัตน์</v>
      </c>
      <c r="J618" t="str">
        <f>IFERROR(__xludf.DUMMYFUNCTION("""COMPUTED_VALUE"""),"ณะ Na")</f>
        <v>ณะ Na</v>
      </c>
      <c r="K618" t="str">
        <f>IFERROR(__xludf.DUMMYFUNCTION("""COMPUTED_VALUE"""),"Cabin Crew")</f>
        <v>Cabin Crew</v>
      </c>
      <c r="L618" t="str">
        <f>IFERROR(__xludf.DUMMYFUNCTION("""COMPUTED_VALUE"""),"DMK")</f>
        <v>DMK</v>
      </c>
      <c r="M618" s="145" t="str">
        <f>IFERROR(__xludf.DUMMYFUNCTION("""COMPUTED_VALUE"""),"Kor Home")</f>
        <v>Kor Home</v>
      </c>
      <c r="N618" t="str">
        <f>IFERROR(__xludf.DUMMYFUNCTION("""COMPUTED_VALUE"""),"Active")</f>
        <v>Active</v>
      </c>
      <c r="O618" t="str">
        <f>IFERROR(__xludf.DUMMYFUNCTION("""COMPUTED_VALUE"""),"Chinese Speaking")</f>
        <v>Chinese Speaking</v>
      </c>
      <c r="P618" s="143">
        <f>IFERROR(__xludf.DUMMYFUNCTION("""COMPUTED_VALUE"""),31792.0)</f>
        <v>31792</v>
      </c>
      <c r="Q618" s="146" t="str">
        <f>IFERROR(__xludf.DUMMYFUNCTION("""COMPUTED_VALUE"""),"090-103-2828")</f>
        <v>090-103-2828</v>
      </c>
      <c r="R618" s="147" t="str">
        <f>IFERROR(__xludf.DUMMYFUNCTION("""COMPUTED_VALUE"""),"1-5099-00450-42-0")</f>
        <v>1-5099-00450-42-0</v>
      </c>
      <c r="S618" t="str">
        <f>IFERROR(__xludf.DUMMYFUNCTION("""COMPUTED_VALUE"""),"AC2920960")</f>
        <v>AC2920960</v>
      </c>
      <c r="T618" s="148">
        <f>IFERROR(__xludf.DUMMYFUNCTION("""COMPUTED_VALUE"""),44623.0)</f>
        <v>44623</v>
      </c>
      <c r="U618" s="148">
        <f>IFERROR(__xludf.DUMMYFUNCTION("""COMPUTED_VALUE"""),48275.0)</f>
        <v>48275</v>
      </c>
      <c r="V618" s="149">
        <f>IFERROR(__xludf.DUMMYFUNCTION("""COMPUTED_VALUE"""),48093.0)</f>
        <v>48093</v>
      </c>
      <c r="W618" t="str">
        <f>IFERROR(__xludf.DUMMYFUNCTION("""COMPUTED_VALUE"""),"ปลอดภัย")</f>
        <v>ปลอดภัย</v>
      </c>
      <c r="X618" t="str">
        <f>IFERROR(__xludf.DUMMYFUNCTION("""COMPUTED_VALUE"""),"Chiang Mai Province")</f>
        <v>Chiang Mai Province</v>
      </c>
      <c r="Y618" t="str">
        <f>IFERROR(__xludf.DUMMYFUNCTION("""COMPUTED_VALUE"""),"Ladkrabang")</f>
        <v>Ladkrabang</v>
      </c>
      <c r="Z618" t="str">
        <f>IFERROR(__xludf.DUMMYFUNCTION("""COMPUTED_VALUE"""),"089-953-6017")</f>
        <v>089-953-6017</v>
      </c>
      <c r="AA618" t="str">
        <f>IFERROR(__xludf.DUMMYFUNCTION("""COMPUTED_VALUE"""),"Ganjanat")</f>
        <v>Ganjanat</v>
      </c>
      <c r="AB618" t="str">
        <f>IFERROR(__xludf.DUMMYFUNCTION("""COMPUTED_VALUE"""),"ronnachaiw@airasia.com")</f>
        <v>ronnachaiw@airasia.com</v>
      </c>
    </row>
    <row r="619">
      <c r="A619">
        <f>IFERROR(__xludf.DUMMYFUNCTION("""COMPUTED_VALUE"""),1012369.0)</f>
        <v>1012369</v>
      </c>
      <c r="B619" t="str">
        <f>IFERROR(__xludf.DUMMYFUNCTION("""COMPUTED_VALUE"""),"Ms.")</f>
        <v>Ms.</v>
      </c>
      <c r="C619" t="str">
        <f>IFERROR(__xludf.DUMMYFUNCTION("""COMPUTED_VALUE"""),"Savitree")</f>
        <v>Savitree</v>
      </c>
      <c r="D619" t="str">
        <f>IFERROR(__xludf.DUMMYFUNCTION("""COMPUTED_VALUE"""),"Sukprakop (Sukprakob)")</f>
        <v>Sukprakop (Sukprakob)</v>
      </c>
      <c r="E619" t="str">
        <f>IFERROR(__xludf.DUMMYFUNCTION("""COMPUTED_VALUE"""),"Savitree Sukprakop")</f>
        <v>Savitree Sukprakop</v>
      </c>
      <c r="F619" t="str">
        <f>IFERROR(__xludf.DUMMYFUNCTION("""COMPUTED_VALUE"""),"นางสาว")</f>
        <v>นางสาว</v>
      </c>
      <c r="G619" t="str">
        <f>IFERROR(__xludf.DUMMYFUNCTION("""COMPUTED_VALUE"""),"สาวิตรี")</f>
        <v>สาวิตรี</v>
      </c>
      <c r="H619" t="str">
        <f>IFERROR(__xludf.DUMMYFUNCTION("""COMPUTED_VALUE"""),"สุขประกอบ")</f>
        <v>สุขประกอบ</v>
      </c>
      <c r="I619" t="str">
        <f>IFERROR(__xludf.DUMMYFUNCTION("""COMPUTED_VALUE"""),"สาวิตรี สุขประกอบ")</f>
        <v>สาวิตรี สุขประกอบ</v>
      </c>
      <c r="J619" t="str">
        <f>IFERROR(__xludf.DUMMYFUNCTION("""COMPUTED_VALUE"""),"อุ๊ Au")</f>
        <v>อุ๊ Au</v>
      </c>
      <c r="K619" t="str">
        <f>IFERROR(__xludf.DUMMYFUNCTION("""COMPUTED_VALUE"""),"Cabin Crew")</f>
        <v>Cabin Crew</v>
      </c>
      <c r="L619" t="str">
        <f>IFERROR(__xludf.DUMMYFUNCTION("""COMPUTED_VALUE"""),"DMK")</f>
        <v>DMK</v>
      </c>
      <c r="M619" s="145" t="str">
        <f>IFERROR(__xludf.DUMMYFUNCTION("""COMPUTED_VALUE"""),"Kor Home")</f>
        <v>Kor Home</v>
      </c>
      <c r="N619" t="str">
        <f>IFERROR(__xludf.DUMMYFUNCTION("""COMPUTED_VALUE"""),"Active")</f>
        <v>Active</v>
      </c>
      <c r="O619" t="str">
        <f>IFERROR(__xludf.DUMMYFUNCTION("""COMPUTED_VALUE"""),"Chinese Speaking")</f>
        <v>Chinese Speaking</v>
      </c>
      <c r="P619" s="143">
        <f>IFERROR(__xludf.DUMMYFUNCTION("""COMPUTED_VALUE"""),32974.0)</f>
        <v>32974</v>
      </c>
      <c r="Q619" s="146" t="str">
        <f>IFERROR(__xludf.DUMMYFUNCTION("""COMPUTED_VALUE"""),"085-556-8607")</f>
        <v>085-556-8607</v>
      </c>
      <c r="R619" s="147" t="str">
        <f>IFERROR(__xludf.DUMMYFUNCTION("""COMPUTED_VALUE"""),"1-1007-01171-82-8")</f>
        <v>1-1007-01171-82-8</v>
      </c>
      <c r="S619" t="str">
        <f>IFERROR(__xludf.DUMMYFUNCTION("""COMPUTED_VALUE"""),"AC4955940")</f>
        <v>AC4955940</v>
      </c>
      <c r="T619" s="148">
        <f>IFERROR(__xludf.DUMMYFUNCTION("""COMPUTED_VALUE"""),45069.0)</f>
        <v>45069</v>
      </c>
      <c r="U619" s="148">
        <f>IFERROR(__xludf.DUMMYFUNCTION("""COMPUTED_VALUE"""),48721.0)</f>
        <v>48721</v>
      </c>
      <c r="V619" s="149">
        <f>IFERROR(__xludf.DUMMYFUNCTION("""COMPUTED_VALUE"""),48540.0)</f>
        <v>48540</v>
      </c>
      <c r="W619" t="str">
        <f>IFERROR(__xludf.DUMMYFUNCTION("""COMPUTED_VALUE"""),"ปลอดภัย")</f>
        <v>ปลอดภัย</v>
      </c>
      <c r="X619" t="str">
        <f>IFERROR(__xludf.DUMMYFUNCTION("""COMPUTED_VALUE"""),"Bangkok")</f>
        <v>Bangkok</v>
      </c>
      <c r="Y619" t="str">
        <f>IFERROR(__xludf.DUMMYFUNCTION("""COMPUTED_VALUE"""),"Pathumwan")</f>
        <v>Pathumwan</v>
      </c>
      <c r="Z619" t="str">
        <f>IFERROR(__xludf.DUMMYFUNCTION("""COMPUTED_VALUE"""),"081-361-1122")</f>
        <v>081-361-1122</v>
      </c>
      <c r="AA619" t="str">
        <f>IFERROR(__xludf.DUMMYFUNCTION("""COMPUTED_VALUE"""),"Chavakorn")</f>
        <v>Chavakorn</v>
      </c>
      <c r="AB619" t="str">
        <f>IFERROR(__xludf.DUMMYFUNCTION("""COMPUTED_VALUE"""),"savitrees@airasia.com")</f>
        <v>savitrees@airasia.com</v>
      </c>
    </row>
    <row r="620">
      <c r="A620">
        <f>IFERROR(__xludf.DUMMYFUNCTION("""COMPUTED_VALUE"""),1012370.0)</f>
        <v>1012370</v>
      </c>
      <c r="B620" t="str">
        <f>IFERROR(__xludf.DUMMYFUNCTION("""COMPUTED_VALUE"""),"Mr.")</f>
        <v>Mr.</v>
      </c>
      <c r="C620" t="str">
        <f>IFERROR(__xludf.DUMMYFUNCTION("""COMPUTED_VALUE"""),"Thanapiphat (Toranin)")</f>
        <v>Thanapiphat (Toranin)</v>
      </c>
      <c r="D620" t="str">
        <f>IFERROR(__xludf.DUMMYFUNCTION("""COMPUTED_VALUE"""),"Kasempitirat (Kasempiti)")</f>
        <v>Kasempitirat (Kasempiti)</v>
      </c>
      <c r="E620" t="str">
        <f>IFERROR(__xludf.DUMMYFUNCTION("""COMPUTED_VALUE"""),"Thanapiphat Kasempitirat")</f>
        <v>Thanapiphat Kasempitirat</v>
      </c>
      <c r="F620" t="str">
        <f>IFERROR(__xludf.DUMMYFUNCTION("""COMPUTED_VALUE"""),"นาย")</f>
        <v>นาย</v>
      </c>
      <c r="G620" t="str">
        <f>IFERROR(__xludf.DUMMYFUNCTION("""COMPUTED_VALUE"""),"ธนพิพัฒน์ (ธรณินทร์)")</f>
        <v>ธนพิพัฒน์ (ธรณินทร์)</v>
      </c>
      <c r="H620" t="str">
        <f>IFERROR(__xludf.DUMMYFUNCTION("""COMPUTED_VALUE"""),"เกษมปิติรัตน์ (เกษมปิติ)")</f>
        <v>เกษมปิติรัตน์ (เกษมปิติ)</v>
      </c>
      <c r="I620" t="str">
        <f>IFERROR(__xludf.DUMMYFUNCTION("""COMPUTED_VALUE"""),"ธนพิพัฒน์ เกษมปิติรัตน์")</f>
        <v>ธนพิพัฒน์ เกษมปิติรัตน์</v>
      </c>
      <c r="J620" t="str">
        <f>IFERROR(__xludf.DUMMYFUNCTION("""COMPUTED_VALUE"""),"เต้ Tae")</f>
        <v>เต้ Tae</v>
      </c>
      <c r="K620" t="str">
        <f>IFERROR(__xludf.DUMMYFUNCTION("""COMPUTED_VALUE"""),"Cabin Crew")</f>
        <v>Cabin Crew</v>
      </c>
      <c r="L620" t="str">
        <f>IFERROR(__xludf.DUMMYFUNCTION("""COMPUTED_VALUE"""),"DMK")</f>
        <v>DMK</v>
      </c>
      <c r="M620" s="145" t="str">
        <f>IFERROR(__xludf.DUMMYFUNCTION("""COMPUTED_VALUE"""),"Por+ Home")</f>
        <v>Por+ Home</v>
      </c>
      <c r="N620" t="str">
        <f>IFERROR(__xludf.DUMMYFUNCTION("""COMPUTED_VALUE"""),"Active")</f>
        <v>Active</v>
      </c>
      <c r="O620" t="str">
        <f>IFERROR(__xludf.DUMMYFUNCTION("""COMPUTED_VALUE"""),"Chinese Speaking")</f>
        <v>Chinese Speaking</v>
      </c>
      <c r="P620" s="143">
        <f>IFERROR(__xludf.DUMMYFUNCTION("""COMPUTED_VALUE"""),33806.0)</f>
        <v>33806</v>
      </c>
      <c r="Q620" s="146" t="str">
        <f>IFERROR(__xludf.DUMMYFUNCTION("""COMPUTED_VALUE"""),"087-565-0177")</f>
        <v>087-565-0177</v>
      </c>
      <c r="R620" s="147" t="str">
        <f>IFERROR(__xludf.DUMMYFUNCTION("""COMPUTED_VALUE"""),"1-9098-00658-55-6")</f>
        <v>1-9098-00658-55-6</v>
      </c>
      <c r="S620" t="str">
        <f>IFERROR(__xludf.DUMMYFUNCTION("""COMPUTED_VALUE"""),"AC8418540")</f>
        <v>AC8418540</v>
      </c>
      <c r="T620" s="148">
        <f>IFERROR(__xludf.DUMMYFUNCTION("""COMPUTED_VALUE"""),46066.0)</f>
        <v>46066</v>
      </c>
      <c r="U620" s="148">
        <f>IFERROR(__xludf.DUMMYFUNCTION("""COMPUTED_VALUE"""),49717.0)</f>
        <v>49717</v>
      </c>
      <c r="V620" s="149">
        <f>IFERROR(__xludf.DUMMYFUNCTION("""COMPUTED_VALUE"""),49533.0)</f>
        <v>49533</v>
      </c>
      <c r="W620" t="str">
        <f>IFERROR(__xludf.DUMMYFUNCTION("""COMPUTED_VALUE"""),"ปลอดภัย")</f>
        <v>ปลอดภัย</v>
      </c>
      <c r="X620" t="str">
        <f>IFERROR(__xludf.DUMMYFUNCTION("""COMPUTED_VALUE"""),"Songkhla Province")</f>
        <v>Songkhla Province</v>
      </c>
      <c r="Y620" t="str">
        <f>IFERROR(__xludf.DUMMYFUNCTION("""COMPUTED_VALUE"""),"Phuket")</f>
        <v>Phuket</v>
      </c>
      <c r="Z620" t="str">
        <f>IFERROR(__xludf.DUMMYFUNCTION("""COMPUTED_VALUE"""),"089-586-9852")</f>
        <v>089-586-9852</v>
      </c>
      <c r="AA620" t="str">
        <f>IFERROR(__xludf.DUMMYFUNCTION("""COMPUTED_VALUE"""),"Khanisorn")</f>
        <v>Khanisorn</v>
      </c>
      <c r="AB620" t="str">
        <f>IFERROR(__xludf.DUMMYFUNCTION("""COMPUTED_VALUE"""),"thanapiphatkas@airasia.com ")</f>
        <v>thanapiphatkas@airasia.com </v>
      </c>
    </row>
    <row r="621">
      <c r="A621">
        <f>IFERROR(__xludf.DUMMYFUNCTION("""COMPUTED_VALUE"""),1012371.0)</f>
        <v>1012371</v>
      </c>
      <c r="B621" t="str">
        <f>IFERROR(__xludf.DUMMYFUNCTION("""COMPUTED_VALUE"""),"Ms.")</f>
        <v>Ms.</v>
      </c>
      <c r="C621" t="str">
        <f>IFERROR(__xludf.DUMMYFUNCTION("""COMPUTED_VALUE"""),"Tunyakarn")</f>
        <v>Tunyakarn</v>
      </c>
      <c r="D621" t="str">
        <f>IFERROR(__xludf.DUMMYFUNCTION("""COMPUTED_VALUE"""),"Boonchuay")</f>
        <v>Boonchuay</v>
      </c>
      <c r="E621" t="str">
        <f>IFERROR(__xludf.DUMMYFUNCTION("""COMPUTED_VALUE"""),"Tunyakarn Boonchuay")</f>
        <v>Tunyakarn Boonchuay</v>
      </c>
      <c r="F621" t="str">
        <f>IFERROR(__xludf.DUMMYFUNCTION("""COMPUTED_VALUE"""),"นางสาว")</f>
        <v>นางสาว</v>
      </c>
      <c r="G621" t="str">
        <f>IFERROR(__xludf.DUMMYFUNCTION("""COMPUTED_VALUE"""),"ธันยกานต์")</f>
        <v>ธันยกานต์</v>
      </c>
      <c r="H621" t="str">
        <f>IFERROR(__xludf.DUMMYFUNCTION("""COMPUTED_VALUE"""),"บุญช่วย")</f>
        <v>บุญช่วย</v>
      </c>
      <c r="I621" t="str">
        <f>IFERROR(__xludf.DUMMYFUNCTION("""COMPUTED_VALUE"""),"ธันยกานต์ บุญช่วย")</f>
        <v>ธันยกานต์ บุญช่วย</v>
      </c>
      <c r="J621" t="str">
        <f>IFERROR(__xludf.DUMMYFUNCTION("""COMPUTED_VALUE"""),"พิมพลอย Pimploi")</f>
        <v>พิมพลอย Pimploi</v>
      </c>
      <c r="K621" t="str">
        <f>IFERROR(__xludf.DUMMYFUNCTION("""COMPUTED_VALUE"""),"Cabin Crew - BKK")</f>
        <v>Cabin Crew - BKK</v>
      </c>
      <c r="L621" t="str">
        <f>IFERROR(__xludf.DUMMYFUNCTION("""COMPUTED_VALUE"""),"BKK")</f>
        <v>BKK</v>
      </c>
      <c r="M621" s="145" t="str">
        <f>IFERROR(__xludf.DUMMYFUNCTION("""COMPUTED_VALUE"""),"Nhui Home")</f>
        <v>Nhui Home</v>
      </c>
      <c r="N621" t="str">
        <f>IFERROR(__xludf.DUMMYFUNCTION("""COMPUTED_VALUE"""),"Active")</f>
        <v>Active</v>
      </c>
      <c r="P621" s="143">
        <f>IFERROR(__xludf.DUMMYFUNCTION("""COMPUTED_VALUE"""),32638.0)</f>
        <v>32638</v>
      </c>
      <c r="Q621" s="146" t="str">
        <f>IFERROR(__xludf.DUMMYFUNCTION("""COMPUTED_VALUE"""),"062-442-2822")</f>
        <v>062-442-2822</v>
      </c>
      <c r="R621" s="147" t="str">
        <f>IFERROR(__xludf.DUMMYFUNCTION("""COMPUTED_VALUE"""),"1-1005-00331-78-0")</f>
        <v>1-1005-00331-78-0</v>
      </c>
      <c r="S621" t="str">
        <f>IFERROR(__xludf.DUMMYFUNCTION("""COMPUTED_VALUE"""),"AC6349053")</f>
        <v>AC6349053</v>
      </c>
      <c r="T621" s="148">
        <f>IFERROR(__xludf.DUMMYFUNCTION("""COMPUTED_VALUE"""),45351.0)</f>
        <v>45351</v>
      </c>
      <c r="U621" s="148">
        <f>IFERROR(__xludf.DUMMYFUNCTION("""COMPUTED_VALUE"""),47176.0)</f>
        <v>47176</v>
      </c>
      <c r="V621" s="149">
        <f>IFERROR(__xludf.DUMMYFUNCTION("""COMPUTED_VALUE"""),46992.0)</f>
        <v>46992</v>
      </c>
      <c r="W621" t="str">
        <f>IFERROR(__xludf.DUMMYFUNCTION("""COMPUTED_VALUE"""),"ปลอดภัย")</f>
        <v>ปลอดภัย</v>
      </c>
      <c r="X621" t="str">
        <f>IFERROR(__xludf.DUMMYFUNCTION("""COMPUTED_VALUE"""),"Bangkok")</f>
        <v>Bangkok</v>
      </c>
      <c r="Y621" t="str">
        <f>IFERROR(__xludf.DUMMYFUNCTION("""COMPUTED_VALUE"""),"Huai-kwang")</f>
        <v>Huai-kwang</v>
      </c>
      <c r="Z621" t="str">
        <f>IFERROR(__xludf.DUMMYFUNCTION("""COMPUTED_VALUE"""),"081-814-5743")</f>
        <v>081-814-5743</v>
      </c>
      <c r="AA621" t="str">
        <f>IFERROR(__xludf.DUMMYFUNCTION("""COMPUTED_VALUE"""),"Pattamaporn")</f>
        <v>Pattamaporn</v>
      </c>
      <c r="AB621" t="str">
        <f>IFERROR(__xludf.DUMMYFUNCTION("""COMPUTED_VALUE"""),"tunyakarnb@airasia.com")</f>
        <v>tunyakarnb@airasia.com</v>
      </c>
    </row>
    <row r="622">
      <c r="A622">
        <f>IFERROR(__xludf.DUMMYFUNCTION("""COMPUTED_VALUE"""),1012372.0)</f>
        <v>1012372</v>
      </c>
      <c r="B622" t="str">
        <f>IFERROR(__xludf.DUMMYFUNCTION("""COMPUTED_VALUE"""),"Ms.")</f>
        <v>Ms.</v>
      </c>
      <c r="C622" t="str">
        <f>IFERROR(__xludf.DUMMYFUNCTION("""COMPUTED_VALUE"""),"Vinida")</f>
        <v>Vinida</v>
      </c>
      <c r="D622" t="str">
        <f>IFERROR(__xludf.DUMMYFUNCTION("""COMPUTED_VALUE"""),"Ma")</f>
        <v>Ma</v>
      </c>
      <c r="E622" t="str">
        <f>IFERROR(__xludf.DUMMYFUNCTION("""COMPUTED_VALUE"""),"Vinida Ma")</f>
        <v>Vinida Ma</v>
      </c>
      <c r="F622" t="str">
        <f>IFERROR(__xludf.DUMMYFUNCTION("""COMPUTED_VALUE"""),"นางสาว")</f>
        <v>นางสาว</v>
      </c>
      <c r="G622" t="str">
        <f>IFERROR(__xludf.DUMMYFUNCTION("""COMPUTED_VALUE"""),"วินิดา")</f>
        <v>วินิดา</v>
      </c>
      <c r="H622" t="str">
        <f>IFERROR(__xludf.DUMMYFUNCTION("""COMPUTED_VALUE"""),"หม่า")</f>
        <v>หม่า</v>
      </c>
      <c r="I622" t="str">
        <f>IFERROR(__xludf.DUMMYFUNCTION("""COMPUTED_VALUE"""),"วินิดา หม่า")</f>
        <v>วินิดา หม่า</v>
      </c>
      <c r="J622" t="str">
        <f>IFERROR(__xludf.DUMMYFUNCTION("""COMPUTED_VALUE"""),"หลิน Lin")</f>
        <v>หลิน Lin</v>
      </c>
      <c r="K622" t="str">
        <f>IFERROR(__xludf.DUMMYFUNCTION("""COMPUTED_VALUE"""),"Senior Cabin Crew")</f>
        <v>Senior Cabin Crew</v>
      </c>
      <c r="L622" t="str">
        <f>IFERROR(__xludf.DUMMYFUNCTION("""COMPUTED_VALUE"""),"DMK")</f>
        <v>DMK</v>
      </c>
      <c r="M622" s="145" t="str">
        <f>IFERROR(__xludf.DUMMYFUNCTION("""COMPUTED_VALUE"""),"Kor Home")</f>
        <v>Kor Home</v>
      </c>
      <c r="N622" t="str">
        <f>IFERROR(__xludf.DUMMYFUNCTION("""COMPUTED_VALUE"""),"Active")</f>
        <v>Active</v>
      </c>
      <c r="O622" t="str">
        <f>IFERROR(__xludf.DUMMYFUNCTION("""COMPUTED_VALUE"""),"Chinese Speaking")</f>
        <v>Chinese Speaking</v>
      </c>
      <c r="P622" s="143">
        <f>IFERROR(__xludf.DUMMYFUNCTION("""COMPUTED_VALUE"""),33670.0)</f>
        <v>33670</v>
      </c>
      <c r="Q622" s="146" t="str">
        <f>IFERROR(__xludf.DUMMYFUNCTION("""COMPUTED_VALUE"""),"081-700-7577")</f>
        <v>081-700-7577</v>
      </c>
      <c r="R622" s="147" t="str">
        <f>IFERROR(__xludf.DUMMYFUNCTION("""COMPUTED_VALUE"""),"5-1018-00046-84-7")</f>
        <v>5-1018-00046-84-7</v>
      </c>
      <c r="S622" t="str">
        <f>IFERROR(__xludf.DUMMYFUNCTION("""COMPUTED_VALUE"""),"AC5924316")</f>
        <v>AC5924316</v>
      </c>
      <c r="T622" s="148">
        <f>IFERROR(__xludf.DUMMYFUNCTION("""COMPUTED_VALUE"""),45237.0)</f>
        <v>45237</v>
      </c>
      <c r="U622" s="148">
        <f>IFERROR(__xludf.DUMMYFUNCTION("""COMPUTED_VALUE"""),48891.0)</f>
        <v>48891</v>
      </c>
      <c r="V622" s="149">
        <f>IFERROR(__xludf.DUMMYFUNCTION("""COMPUTED_VALUE"""),48707.0)</f>
        <v>48707</v>
      </c>
      <c r="W622" t="str">
        <f>IFERROR(__xludf.DUMMYFUNCTION("""COMPUTED_VALUE"""),"ปลอดภัย")</f>
        <v>ปลอดภัย</v>
      </c>
      <c r="X622" t="str">
        <f>IFERROR(__xludf.DUMMYFUNCTION("""COMPUTED_VALUE"""),"Bangkok")</f>
        <v>Bangkok</v>
      </c>
      <c r="Y622" t="str">
        <f>IFERROR(__xludf.DUMMYFUNCTION("""COMPUTED_VALUE"""),"Bangbon")</f>
        <v>Bangbon</v>
      </c>
      <c r="Z622" t="str">
        <f>IFERROR(__xludf.DUMMYFUNCTION("""COMPUTED_VALUE"""),"081-822-2053")</f>
        <v>081-822-2053</v>
      </c>
      <c r="AA622" t="str">
        <f>IFERROR(__xludf.DUMMYFUNCTION("""COMPUTED_VALUE"""),"Pittaya")</f>
        <v>Pittaya</v>
      </c>
      <c r="AB622" t="str">
        <f>IFERROR(__xludf.DUMMYFUNCTION("""COMPUTED_VALUE"""),"vinidam@airasia.com")</f>
        <v>vinidam@airasia.com</v>
      </c>
    </row>
    <row r="623">
      <c r="AB623" t="str">
        <f>IFERROR(__xludf.DUMMYFUNCTION("""COMPUTED_VALUE"""),"")</f>
        <v/>
      </c>
    </row>
    <row r="624">
      <c r="A624">
        <f>IFERROR(__xludf.DUMMYFUNCTION("""COMPUTED_VALUE"""),1012970.0)</f>
        <v>1012970</v>
      </c>
      <c r="B624" t="str">
        <f>IFERROR(__xludf.DUMMYFUNCTION("""COMPUTED_VALUE"""),"Mr.")</f>
        <v>Mr.</v>
      </c>
      <c r="C624" t="str">
        <f>IFERROR(__xludf.DUMMYFUNCTION("""COMPUTED_VALUE"""),"Amornwech")</f>
        <v>Amornwech</v>
      </c>
      <c r="D624" t="str">
        <f>IFERROR(__xludf.DUMMYFUNCTION("""COMPUTED_VALUE"""),"Jullanate")</f>
        <v>Jullanate</v>
      </c>
      <c r="E624" t="str">
        <f>IFERROR(__xludf.DUMMYFUNCTION("""COMPUTED_VALUE"""),"Amornwech Jullanate")</f>
        <v>Amornwech Jullanate</v>
      </c>
      <c r="F624" t="str">
        <f>IFERROR(__xludf.DUMMYFUNCTION("""COMPUTED_VALUE"""),"นาย")</f>
        <v>นาย</v>
      </c>
      <c r="G624" t="str">
        <f>IFERROR(__xludf.DUMMYFUNCTION("""COMPUTED_VALUE"""),"อมรเวช")</f>
        <v>อมรเวช</v>
      </c>
      <c r="H624" t="str">
        <f>IFERROR(__xludf.DUMMYFUNCTION("""COMPUTED_VALUE"""),"จุลเนตร")</f>
        <v>จุลเนตร</v>
      </c>
      <c r="I624" t="str">
        <f>IFERROR(__xludf.DUMMYFUNCTION("""COMPUTED_VALUE"""),"อมรเวช จุลเนตร")</f>
        <v>อมรเวช จุลเนตร</v>
      </c>
      <c r="J624" t="str">
        <f>IFERROR(__xludf.DUMMYFUNCTION("""COMPUTED_VALUE"""),"จ๊อบ/Jobie")</f>
        <v>จ๊อบ/Jobie</v>
      </c>
      <c r="K624" t="str">
        <f>IFERROR(__xludf.DUMMYFUNCTION("""COMPUTED_VALUE"""),"Cabin Crew - BKK")</f>
        <v>Cabin Crew - BKK</v>
      </c>
      <c r="L624" t="str">
        <f>IFERROR(__xludf.DUMMYFUNCTION("""COMPUTED_VALUE"""),"BKK")</f>
        <v>BKK</v>
      </c>
      <c r="M624" s="145" t="str">
        <f>IFERROR(__xludf.DUMMYFUNCTION("""COMPUTED_VALUE"""),"Nhui Home")</f>
        <v>Nhui Home</v>
      </c>
      <c r="N624" t="str">
        <f>IFERROR(__xludf.DUMMYFUNCTION("""COMPUTED_VALUE"""),"Active")</f>
        <v>Active</v>
      </c>
      <c r="P624" s="143">
        <f>IFERROR(__xludf.DUMMYFUNCTION("""COMPUTED_VALUE"""),32719.0)</f>
        <v>32719</v>
      </c>
      <c r="Q624" s="146" t="str">
        <f>IFERROR(__xludf.DUMMYFUNCTION("""COMPUTED_VALUE"""),"093-592-5261")</f>
        <v>093-592-5261</v>
      </c>
      <c r="R624" s="147" t="str">
        <f>IFERROR(__xludf.DUMMYFUNCTION("""COMPUTED_VALUE"""),"1100600-23-5570")</f>
        <v>1100600-23-5570</v>
      </c>
      <c r="S624" t="str">
        <f>IFERROR(__xludf.DUMMYFUNCTION("""COMPUTED_VALUE"""),"AC3720433")</f>
        <v>AC3720433</v>
      </c>
      <c r="T624" s="148">
        <f>IFERROR(__xludf.DUMMYFUNCTION("""COMPUTED_VALUE"""),44774.0)</f>
        <v>44774</v>
      </c>
      <c r="U624" s="148">
        <f>IFERROR(__xludf.DUMMYFUNCTION("""COMPUTED_VALUE"""),48426.0)</f>
        <v>48426</v>
      </c>
      <c r="V624" s="149">
        <f>IFERROR(__xludf.DUMMYFUNCTION("""COMPUTED_VALUE"""),48244.0)</f>
        <v>48244</v>
      </c>
      <c r="W624" t="str">
        <f>IFERROR(__xludf.DUMMYFUNCTION("""COMPUTED_VALUE"""),"ปลอดภัย")</f>
        <v>ปลอดภัย</v>
      </c>
      <c r="X624" t="str">
        <f>IFERROR(__xludf.DUMMYFUNCTION("""COMPUTED_VALUE"""),"Bangkok")</f>
        <v>Bangkok</v>
      </c>
      <c r="Y624" t="str">
        <f>IFERROR(__xludf.DUMMYFUNCTION("""COMPUTED_VALUE"""),"Sapaansoong")</f>
        <v>Sapaansoong</v>
      </c>
      <c r="Z624" t="str">
        <f>IFERROR(__xludf.DUMMYFUNCTION("""COMPUTED_VALUE"""),"086-314-2661")</f>
        <v>086-314-2661</v>
      </c>
      <c r="AA624" t="str">
        <f>IFERROR(__xludf.DUMMYFUNCTION("""COMPUTED_VALUE"""),"Father")</f>
        <v>Father</v>
      </c>
      <c r="AB624" t="str">
        <f>IFERROR(__xludf.DUMMYFUNCTION("""COMPUTED_VALUE"""),"amornwechj@airasia.com")</f>
        <v>amornwechj@airasia.com</v>
      </c>
    </row>
    <row r="625">
      <c r="A625">
        <f>IFERROR(__xludf.DUMMYFUNCTION("""COMPUTED_VALUE"""),1012975.0)</f>
        <v>1012975</v>
      </c>
      <c r="B625" t="str">
        <f>IFERROR(__xludf.DUMMYFUNCTION("""COMPUTED_VALUE"""),"Ms.")</f>
        <v>Ms.</v>
      </c>
      <c r="C625" t="str">
        <f>IFERROR(__xludf.DUMMYFUNCTION("""COMPUTED_VALUE"""),"Chalintara")</f>
        <v>Chalintara</v>
      </c>
      <c r="D625" t="str">
        <f>IFERROR(__xludf.DUMMYFUNCTION("""COMPUTED_VALUE"""),"Chinaratana")</f>
        <v>Chinaratana</v>
      </c>
      <c r="E625" t="str">
        <f>IFERROR(__xludf.DUMMYFUNCTION("""COMPUTED_VALUE"""),"Chalintara Chinaratana")</f>
        <v>Chalintara Chinaratana</v>
      </c>
      <c r="F625" t="str">
        <f>IFERROR(__xludf.DUMMYFUNCTION("""COMPUTED_VALUE"""),"นางสาว")</f>
        <v>นางสาว</v>
      </c>
      <c r="G625" t="str">
        <f>IFERROR(__xludf.DUMMYFUNCTION("""COMPUTED_VALUE"""),"ชลินทรา")</f>
        <v>ชลินทรา</v>
      </c>
      <c r="H625" t="str">
        <f>IFERROR(__xludf.DUMMYFUNCTION("""COMPUTED_VALUE"""),"จินารัตน์")</f>
        <v>จินารัตน์</v>
      </c>
      <c r="I625" t="str">
        <f>IFERROR(__xludf.DUMMYFUNCTION("""COMPUTED_VALUE"""),"ชลินทรา จินารัตน์")</f>
        <v>ชลินทรา จินารัตน์</v>
      </c>
      <c r="J625" t="str">
        <f>IFERROR(__xludf.DUMMYFUNCTION("""COMPUTED_VALUE"""),"Jib / จิ๊บ")</f>
        <v>Jib / จิ๊บ</v>
      </c>
      <c r="K625" t="str">
        <f>IFERROR(__xludf.DUMMYFUNCTION("""COMPUTED_VALUE"""),"Cabin Crew")</f>
        <v>Cabin Crew</v>
      </c>
      <c r="L625" t="str">
        <f>IFERROR(__xludf.DUMMYFUNCTION("""COMPUTED_VALUE"""),"DMK")</f>
        <v>DMK</v>
      </c>
      <c r="M625" s="145" t="str">
        <f>IFERROR(__xludf.DUMMYFUNCTION("""COMPUTED_VALUE"""),"Kor Home")</f>
        <v>Kor Home</v>
      </c>
      <c r="N625" t="str">
        <f>IFERROR(__xludf.DUMMYFUNCTION("""COMPUTED_VALUE"""),"Active")</f>
        <v>Active</v>
      </c>
      <c r="P625" s="143">
        <f>IFERROR(__xludf.DUMMYFUNCTION("""COMPUTED_VALUE"""),30768.0)</f>
        <v>30768</v>
      </c>
      <c r="Q625" s="146" t="str">
        <f>IFERROR(__xludf.DUMMYFUNCTION("""COMPUTED_VALUE"""),"096-151-4464")</f>
        <v>096-151-4464</v>
      </c>
      <c r="R625" s="147" t="str">
        <f>IFERROR(__xludf.DUMMYFUNCTION("""COMPUTED_VALUE"""),"1349900-01-0201")</f>
        <v>1349900-01-0201</v>
      </c>
      <c r="S625" t="str">
        <f>IFERROR(__xludf.DUMMYFUNCTION("""COMPUTED_VALUE"""),"AD1579438")</f>
        <v>AD1579438</v>
      </c>
      <c r="T625" s="148">
        <f>IFERROR(__xludf.DUMMYFUNCTION("""COMPUTED_VALUE"""),45307.0)</f>
        <v>45307</v>
      </c>
      <c r="U625" s="148">
        <f>IFERROR(__xludf.DUMMYFUNCTION("""COMPUTED_VALUE"""),48959.0)</f>
        <v>48959</v>
      </c>
      <c r="V625" s="149">
        <f>IFERROR(__xludf.DUMMYFUNCTION("""COMPUTED_VALUE"""),48775.0)</f>
        <v>48775</v>
      </c>
      <c r="W625" t="str">
        <f>IFERROR(__xludf.DUMMYFUNCTION("""COMPUTED_VALUE"""),"ปลอดภัย")</f>
        <v>ปลอดภัย</v>
      </c>
      <c r="X625" t="str">
        <f>IFERROR(__xludf.DUMMYFUNCTION("""COMPUTED_VALUE"""),"Ubon Ratchathani Province")</f>
        <v>Ubon Ratchathani Province</v>
      </c>
      <c r="Y625" t="str">
        <f>IFERROR(__xludf.DUMMYFUNCTION("""COMPUTED_VALUE"""),"Jatujak")</f>
        <v>Jatujak</v>
      </c>
      <c r="Z625" t="str">
        <f>IFERROR(__xludf.DUMMYFUNCTION("""COMPUTED_VALUE"""),"089-681-9328")</f>
        <v>089-681-9328</v>
      </c>
      <c r="AA625" t="str">
        <f>IFERROR(__xludf.DUMMYFUNCTION("""COMPUTED_VALUE"""),"Sister")</f>
        <v>Sister</v>
      </c>
      <c r="AB625" t="str">
        <f>IFERROR(__xludf.DUMMYFUNCTION("""COMPUTED_VALUE"""),"chalintarac@airasia.com")</f>
        <v>chalintarac@airasia.com</v>
      </c>
    </row>
    <row r="626">
      <c r="A626">
        <f>IFERROR(__xludf.DUMMYFUNCTION("""COMPUTED_VALUE"""),1012981.0)</f>
        <v>1012981</v>
      </c>
      <c r="B626" t="str">
        <f>IFERROR(__xludf.DUMMYFUNCTION("""COMPUTED_VALUE"""),"Mr.")</f>
        <v>Mr.</v>
      </c>
      <c r="C626" t="str">
        <f>IFERROR(__xludf.DUMMYFUNCTION("""COMPUTED_VALUE"""),"Chinakrit")</f>
        <v>Chinakrit</v>
      </c>
      <c r="D626" t="str">
        <f>IFERROR(__xludf.DUMMYFUNCTION("""COMPUTED_VALUE"""),"Boonyapiwat")</f>
        <v>Boonyapiwat</v>
      </c>
      <c r="E626" t="str">
        <f>IFERROR(__xludf.DUMMYFUNCTION("""COMPUTED_VALUE"""),"Chinakrit Boonyapiwat")</f>
        <v>Chinakrit Boonyapiwat</v>
      </c>
      <c r="F626" t="str">
        <f>IFERROR(__xludf.DUMMYFUNCTION("""COMPUTED_VALUE"""),"นาย")</f>
        <v>นาย</v>
      </c>
      <c r="G626" t="str">
        <f>IFERROR(__xludf.DUMMYFUNCTION("""COMPUTED_VALUE"""),"ชินกฤต")</f>
        <v>ชินกฤต</v>
      </c>
      <c r="H626" t="str">
        <f>IFERROR(__xludf.DUMMYFUNCTION("""COMPUTED_VALUE"""),"บุญญาภิวัฒน์")</f>
        <v>บุญญาภิวัฒน์</v>
      </c>
      <c r="I626" t="str">
        <f>IFERROR(__xludf.DUMMYFUNCTION("""COMPUTED_VALUE"""),"ชินกฤต บุญญาภิวัฒน์")</f>
        <v>ชินกฤต บุญญาภิวัฒน์</v>
      </c>
      <c r="J626" t="str">
        <f>IFERROR(__xludf.DUMMYFUNCTION("""COMPUTED_VALUE"""),"Ong / อ๋อง")</f>
        <v>Ong / อ๋อง</v>
      </c>
      <c r="K626" t="str">
        <f>IFERROR(__xludf.DUMMYFUNCTION("""COMPUTED_VALUE"""),"Cabin Crew")</f>
        <v>Cabin Crew</v>
      </c>
      <c r="L626" t="str">
        <f>IFERROR(__xludf.DUMMYFUNCTION("""COMPUTED_VALUE"""),"DMK")</f>
        <v>DMK</v>
      </c>
      <c r="M626" s="145" t="str">
        <f>IFERROR(__xludf.DUMMYFUNCTION("""COMPUTED_VALUE"""),"Kor Home")</f>
        <v>Kor Home</v>
      </c>
      <c r="N626" t="str">
        <f>IFERROR(__xludf.DUMMYFUNCTION("""COMPUTED_VALUE"""),"Active")</f>
        <v>Active</v>
      </c>
      <c r="P626" s="143">
        <f>IFERROR(__xludf.DUMMYFUNCTION("""COMPUTED_VALUE"""),32829.0)</f>
        <v>32829</v>
      </c>
      <c r="Q626" s="146" t="str">
        <f>IFERROR(__xludf.DUMMYFUNCTION("""COMPUTED_VALUE"""),"095-629-2654")</f>
        <v>095-629-2654</v>
      </c>
      <c r="R626" s="147" t="str">
        <f>IFERROR(__xludf.DUMMYFUNCTION("""COMPUTED_VALUE"""),"1100600-19-1416")</f>
        <v>1100600-19-1416</v>
      </c>
      <c r="S626" t="str">
        <f>IFERROR(__xludf.DUMMYFUNCTION("""COMPUTED_VALUE"""),"AC5252025")</f>
        <v>AC5252025</v>
      </c>
      <c r="T626" s="148">
        <f>IFERROR(__xludf.DUMMYFUNCTION("""COMPUTED_VALUE"""),45109.0)</f>
        <v>45109</v>
      </c>
      <c r="U626" s="148">
        <f>IFERROR(__xludf.DUMMYFUNCTION("""COMPUTED_VALUE"""),48761.0)</f>
        <v>48761</v>
      </c>
      <c r="V626" s="149">
        <f>IFERROR(__xludf.DUMMYFUNCTION("""COMPUTED_VALUE"""),48580.0)</f>
        <v>48580</v>
      </c>
      <c r="W626" t="str">
        <f>IFERROR(__xludf.DUMMYFUNCTION("""COMPUTED_VALUE"""),"ปลอดภัย")</f>
        <v>ปลอดภัย</v>
      </c>
      <c r="X626" t="str">
        <f>IFERROR(__xludf.DUMMYFUNCTION("""COMPUTED_VALUE"""),"Bangkok")</f>
        <v>Bangkok</v>
      </c>
      <c r="Y626" t="str">
        <f>IFERROR(__xludf.DUMMYFUNCTION("""COMPUTED_VALUE"""),"Bangkapi")</f>
        <v>Bangkapi</v>
      </c>
      <c r="Z626" t="str">
        <f>IFERROR(__xludf.DUMMYFUNCTION("""COMPUTED_VALUE"""),"081-829-7714")</f>
        <v>081-829-7714</v>
      </c>
      <c r="AA626" t="str">
        <f>IFERROR(__xludf.DUMMYFUNCTION("""COMPUTED_VALUE"""),"Mother")</f>
        <v>Mother</v>
      </c>
      <c r="AB626" t="str">
        <f>IFERROR(__xludf.DUMMYFUNCTION("""COMPUTED_VALUE"""),"chinakritb@airasia.com")</f>
        <v>chinakritb@airasia.com</v>
      </c>
    </row>
    <row r="627">
      <c r="A627">
        <f>IFERROR(__xludf.DUMMYFUNCTION("""COMPUTED_VALUE"""),1012984.0)</f>
        <v>1012984</v>
      </c>
      <c r="B627" t="str">
        <f>IFERROR(__xludf.DUMMYFUNCTION("""COMPUTED_VALUE"""),"Ms.")</f>
        <v>Ms.</v>
      </c>
      <c r="C627" t="str">
        <f>IFERROR(__xludf.DUMMYFUNCTION("""COMPUTED_VALUE"""),"Issaree")</f>
        <v>Issaree</v>
      </c>
      <c r="D627" t="str">
        <f>IFERROR(__xludf.DUMMYFUNCTION("""COMPUTED_VALUE"""),"Opasvimud")</f>
        <v>Opasvimud</v>
      </c>
      <c r="E627" t="str">
        <f>IFERROR(__xludf.DUMMYFUNCTION("""COMPUTED_VALUE"""),"Issaree Opasvimud")</f>
        <v>Issaree Opasvimud</v>
      </c>
      <c r="F627" t="str">
        <f>IFERROR(__xludf.DUMMYFUNCTION("""COMPUTED_VALUE"""),"นางสาว")</f>
        <v>นางสาว</v>
      </c>
      <c r="G627" t="str">
        <f>IFERROR(__xludf.DUMMYFUNCTION("""COMPUTED_VALUE"""),"อิสรีย์")</f>
        <v>อิสรีย์</v>
      </c>
      <c r="H627" t="str">
        <f>IFERROR(__xludf.DUMMYFUNCTION("""COMPUTED_VALUE"""),"โอภาสวิมุตติ์")</f>
        <v>โอภาสวิมุตติ์</v>
      </c>
      <c r="I627" t="str">
        <f>IFERROR(__xludf.DUMMYFUNCTION("""COMPUTED_VALUE"""),"อิสรีย์ โอภาสวิมุตติ์")</f>
        <v>อิสรีย์ โอภาสวิมุตติ์</v>
      </c>
      <c r="J627" t="str">
        <f>IFERROR(__xludf.DUMMYFUNCTION("""COMPUTED_VALUE"""),"Poupee/ปูเป้")</f>
        <v>Poupee/ปูเป้</v>
      </c>
      <c r="K627" t="str">
        <f>IFERROR(__xludf.DUMMYFUNCTION("""COMPUTED_VALUE"""),"Cabin Crew")</f>
        <v>Cabin Crew</v>
      </c>
      <c r="L627" t="str">
        <f>IFERROR(__xludf.DUMMYFUNCTION("""COMPUTED_VALUE"""),"DMK")</f>
        <v>DMK</v>
      </c>
      <c r="M627" s="145" t="str">
        <f>IFERROR(__xludf.DUMMYFUNCTION("""COMPUTED_VALUE"""),"Kor Home")</f>
        <v>Kor Home</v>
      </c>
      <c r="N627" t="str">
        <f>IFERROR(__xludf.DUMMYFUNCTION("""COMPUTED_VALUE"""),"Active")</f>
        <v>Active</v>
      </c>
      <c r="P627" s="143">
        <f>IFERROR(__xludf.DUMMYFUNCTION("""COMPUTED_VALUE"""),30364.0)</f>
        <v>30364</v>
      </c>
      <c r="Q627" s="146" t="str">
        <f>IFERROR(__xludf.DUMMYFUNCTION("""COMPUTED_VALUE"""),"086-565-2423")</f>
        <v>086-565-2423</v>
      </c>
      <c r="R627" s="147" t="str">
        <f>IFERROR(__xludf.DUMMYFUNCTION("""COMPUTED_VALUE"""),"3101400-52-1045")</f>
        <v>3101400-52-1045</v>
      </c>
      <c r="S627" t="str">
        <f>IFERROR(__xludf.DUMMYFUNCTION("""COMPUTED_VALUE"""),"AC4359717")</f>
        <v>AC4359717</v>
      </c>
      <c r="T627" s="148">
        <f>IFERROR(__xludf.DUMMYFUNCTION("""COMPUTED_VALUE"""),44936.0)</f>
        <v>44936</v>
      </c>
      <c r="U627" s="148">
        <f>IFERROR(__xludf.DUMMYFUNCTION("""COMPUTED_VALUE"""),48588.0)</f>
        <v>48588</v>
      </c>
      <c r="V627" s="149">
        <f>IFERROR(__xludf.DUMMYFUNCTION("""COMPUTED_VALUE"""),48404.0)</f>
        <v>48404</v>
      </c>
      <c r="W627" t="str">
        <f>IFERROR(__xludf.DUMMYFUNCTION("""COMPUTED_VALUE"""),"ปลอดภัย")</f>
        <v>ปลอดภัย</v>
      </c>
      <c r="X627" t="str">
        <f>IFERROR(__xludf.DUMMYFUNCTION("""COMPUTED_VALUE"""),"Bangkok")</f>
        <v>Bangkok</v>
      </c>
      <c r="Y627" t="str">
        <f>IFERROR(__xludf.DUMMYFUNCTION("""COMPUTED_VALUE"""),"Nongkheam")</f>
        <v>Nongkheam</v>
      </c>
      <c r="Z627" t="str">
        <f>IFERROR(__xludf.DUMMYFUNCTION("""COMPUTED_VALUE"""),"095-932-8244")</f>
        <v>095-932-8244</v>
      </c>
      <c r="AA627" t="str">
        <f>IFERROR(__xludf.DUMMYFUNCTION("""COMPUTED_VALUE"""),"Mother")</f>
        <v>Mother</v>
      </c>
      <c r="AB627" t="str">
        <f>IFERROR(__xludf.DUMMYFUNCTION("""COMPUTED_VALUE"""),"issareeo@airasia.com")</f>
        <v>issareeo@airasia.com</v>
      </c>
    </row>
    <row r="628">
      <c r="A628">
        <f>IFERROR(__xludf.DUMMYFUNCTION("""COMPUTED_VALUE"""),1012989.0)</f>
        <v>1012989</v>
      </c>
      <c r="B628" t="str">
        <f>IFERROR(__xludf.DUMMYFUNCTION("""COMPUTED_VALUE"""),"Mr.")</f>
        <v>Mr.</v>
      </c>
      <c r="C628" t="str">
        <f>IFERROR(__xludf.DUMMYFUNCTION("""COMPUTED_VALUE"""),"Kitibodee")</f>
        <v>Kitibodee</v>
      </c>
      <c r="D628" t="str">
        <f>IFERROR(__xludf.DUMMYFUNCTION("""COMPUTED_VALUE"""),"Harnkunthamart")</f>
        <v>Harnkunthamart</v>
      </c>
      <c r="E628" t="str">
        <f>IFERROR(__xludf.DUMMYFUNCTION("""COMPUTED_VALUE"""),"Kitibodee Harnkunthamart")</f>
        <v>Kitibodee Harnkunthamart</v>
      </c>
      <c r="F628" t="str">
        <f>IFERROR(__xludf.DUMMYFUNCTION("""COMPUTED_VALUE"""),"นาย")</f>
        <v>นาย</v>
      </c>
      <c r="G628" t="str">
        <f>IFERROR(__xludf.DUMMYFUNCTION("""COMPUTED_VALUE"""),"กิติบดี")</f>
        <v>กิติบดี</v>
      </c>
      <c r="H628" t="str">
        <f>IFERROR(__xludf.DUMMYFUNCTION("""COMPUTED_VALUE"""),"หาญคันธมาศ")</f>
        <v>หาญคันธมาศ</v>
      </c>
      <c r="I628" t="str">
        <f>IFERROR(__xludf.DUMMYFUNCTION("""COMPUTED_VALUE"""),"กิติบดี หาญคันธมาศ")</f>
        <v>กิติบดี หาญคันธมาศ</v>
      </c>
      <c r="J628" t="str">
        <f>IFERROR(__xludf.DUMMYFUNCTION("""COMPUTED_VALUE"""),"Mim / มิ้ม")</f>
        <v>Mim / มิ้ม</v>
      </c>
      <c r="K628" t="str">
        <f>IFERROR(__xludf.DUMMYFUNCTION("""COMPUTED_VALUE"""),"Senior Cabin Crew")</f>
        <v>Senior Cabin Crew</v>
      </c>
      <c r="L628" t="str">
        <f>IFERROR(__xludf.DUMMYFUNCTION("""COMPUTED_VALUE"""),"DMK")</f>
        <v>DMK</v>
      </c>
      <c r="M628" s="145" t="str">
        <f>IFERROR(__xludf.DUMMYFUNCTION("""COMPUTED_VALUE"""),"Up Home")</f>
        <v>Up Home</v>
      </c>
      <c r="N628" t="str">
        <f>IFERROR(__xludf.DUMMYFUNCTION("""COMPUTED_VALUE"""),"Active")</f>
        <v>Active</v>
      </c>
      <c r="P628" s="143">
        <f>IFERROR(__xludf.DUMMYFUNCTION("""COMPUTED_VALUE"""),31142.0)</f>
        <v>31142</v>
      </c>
      <c r="Q628" s="146" t="str">
        <f>IFERROR(__xludf.DUMMYFUNCTION("""COMPUTED_VALUE"""),"093-265-8468")</f>
        <v>093-265-8468</v>
      </c>
      <c r="R628" s="147" t="str">
        <f>IFERROR(__xludf.DUMMYFUNCTION("""COMPUTED_VALUE"""),"1869900-01-7715")</f>
        <v>1869900-01-7715</v>
      </c>
      <c r="S628" t="str">
        <f>IFERROR(__xludf.DUMMYFUNCTION("""COMPUTED_VALUE"""),"AC3883464")</f>
        <v>AC3883464</v>
      </c>
      <c r="T628" s="148">
        <f>IFERROR(__xludf.DUMMYFUNCTION("""COMPUTED_VALUE"""),44795.0)</f>
        <v>44795</v>
      </c>
      <c r="U628" s="148">
        <f>IFERROR(__xludf.DUMMYFUNCTION("""COMPUTED_VALUE"""),48447.0)</f>
        <v>48447</v>
      </c>
      <c r="V628" s="149">
        <f>IFERROR(__xludf.DUMMYFUNCTION("""COMPUTED_VALUE"""),48265.0)</f>
        <v>48265</v>
      </c>
      <c r="W628" t="str">
        <f>IFERROR(__xludf.DUMMYFUNCTION("""COMPUTED_VALUE"""),"ปลอดภัย")</f>
        <v>ปลอดภัย</v>
      </c>
      <c r="X628" t="str">
        <f>IFERROR(__xludf.DUMMYFUNCTION("""COMPUTED_VALUE"""),"Chumphon Province")</f>
        <v>Chumphon Province</v>
      </c>
      <c r="Y628" t="str">
        <f>IFERROR(__xludf.DUMMYFUNCTION("""COMPUTED_VALUE"""),"Chiangmai")</f>
        <v>Chiangmai</v>
      </c>
      <c r="Z628" t="str">
        <f>IFERROR(__xludf.DUMMYFUNCTION("""COMPUTED_VALUE"""),"086-659-5060")</f>
        <v>086-659-5060</v>
      </c>
      <c r="AA628" t="str">
        <f>IFERROR(__xludf.DUMMYFUNCTION("""COMPUTED_VALUE"""),"Mother")</f>
        <v>Mother</v>
      </c>
      <c r="AB628" t="str">
        <f>IFERROR(__xludf.DUMMYFUNCTION("""COMPUTED_VALUE"""),"kitibodeea@airasia.com")</f>
        <v>kitibodeea@airasia.com</v>
      </c>
    </row>
    <row r="629">
      <c r="A629">
        <f>IFERROR(__xludf.DUMMYFUNCTION("""COMPUTED_VALUE"""),1013000.0)</f>
        <v>1013000</v>
      </c>
      <c r="B629" t="str">
        <f>IFERROR(__xludf.DUMMYFUNCTION("""COMPUTED_VALUE"""),"Ms.")</f>
        <v>Ms.</v>
      </c>
      <c r="C629" t="str">
        <f>IFERROR(__xludf.DUMMYFUNCTION("""COMPUTED_VALUE"""),"Matsarin")</f>
        <v>Matsarin</v>
      </c>
      <c r="D629" t="str">
        <f>IFERROR(__xludf.DUMMYFUNCTION("""COMPUTED_VALUE"""),"Kaprasob")</f>
        <v>Kaprasob</v>
      </c>
      <c r="E629" t="str">
        <f>IFERROR(__xludf.DUMMYFUNCTION("""COMPUTED_VALUE"""),"Matsarin Kaprasob")</f>
        <v>Matsarin Kaprasob</v>
      </c>
      <c r="F629" t="str">
        <f>IFERROR(__xludf.DUMMYFUNCTION("""COMPUTED_VALUE"""),"นางสาว")</f>
        <v>นางสาว</v>
      </c>
      <c r="G629" t="str">
        <f>IFERROR(__xludf.DUMMYFUNCTION("""COMPUTED_VALUE"""),"มาศรินทร์")</f>
        <v>มาศรินทร์</v>
      </c>
      <c r="H629" t="str">
        <f>IFERROR(__xludf.DUMMYFUNCTION("""COMPUTED_VALUE"""),"คะประสบ")</f>
        <v>คะประสบ</v>
      </c>
      <c r="I629" t="str">
        <f>IFERROR(__xludf.DUMMYFUNCTION("""COMPUTED_VALUE"""),"มาศรินทร์ คะประสบ")</f>
        <v>มาศรินทร์ คะประสบ</v>
      </c>
      <c r="J629" t="str">
        <f>IFERROR(__xludf.DUMMYFUNCTION("""COMPUTED_VALUE"""),"Mas / มาศ")</f>
        <v>Mas / มาศ</v>
      </c>
      <c r="K629" t="str">
        <f>IFERROR(__xludf.DUMMYFUNCTION("""COMPUTED_VALUE"""),"Cabin Crew")</f>
        <v>Cabin Crew</v>
      </c>
      <c r="L629" t="str">
        <f>IFERROR(__xludf.DUMMYFUNCTION("""COMPUTED_VALUE"""),"DMK")</f>
        <v>DMK</v>
      </c>
      <c r="M629" s="145" t="str">
        <f>IFERROR(__xludf.DUMMYFUNCTION("""COMPUTED_VALUE"""),"Kor Home")</f>
        <v>Kor Home</v>
      </c>
      <c r="N629" t="str">
        <f>IFERROR(__xludf.DUMMYFUNCTION("""COMPUTED_VALUE"""),"Active")</f>
        <v>Active</v>
      </c>
      <c r="P629" s="143">
        <f>IFERROR(__xludf.DUMMYFUNCTION("""COMPUTED_VALUE"""),32420.0)</f>
        <v>32420</v>
      </c>
      <c r="Q629" s="146" t="str">
        <f>IFERROR(__xludf.DUMMYFUNCTION("""COMPUTED_VALUE"""),"089-932-1835")</f>
        <v>089-932-1835</v>
      </c>
      <c r="R629" s="147" t="str">
        <f>IFERROR(__xludf.DUMMYFUNCTION("""COMPUTED_VALUE"""),"2110400-02-6240")</f>
        <v>2110400-02-6240</v>
      </c>
      <c r="S629" t="str">
        <f>IFERROR(__xludf.DUMMYFUNCTION("""COMPUTED_VALUE"""),"AC6151324")</f>
        <v>AC6151324</v>
      </c>
      <c r="T629" s="148">
        <f>IFERROR(__xludf.DUMMYFUNCTION("""COMPUTED_VALUE"""),45261.0)</f>
        <v>45261</v>
      </c>
      <c r="U629" s="148">
        <f>IFERROR(__xludf.DUMMYFUNCTION("""COMPUTED_VALUE"""),48913.0)</f>
        <v>48913</v>
      </c>
      <c r="V629" s="149">
        <f>IFERROR(__xludf.DUMMYFUNCTION("""COMPUTED_VALUE"""),48729.0)</f>
        <v>48729</v>
      </c>
      <c r="W629" t="str">
        <f>IFERROR(__xludf.DUMMYFUNCTION("""COMPUTED_VALUE"""),"ปลอดภัย")</f>
        <v>ปลอดภัย</v>
      </c>
      <c r="X629" t="str">
        <f>IFERROR(__xludf.DUMMYFUNCTION("""COMPUTED_VALUE"""),"Samut Prakan Province")</f>
        <v>Samut Prakan Province</v>
      </c>
      <c r="Y629" t="str">
        <f>IFERROR(__xludf.DUMMYFUNCTION("""COMPUTED_VALUE"""),"Huaykwang")</f>
        <v>Huaykwang</v>
      </c>
      <c r="Z629" t="str">
        <f>IFERROR(__xludf.DUMMYFUNCTION("""COMPUTED_VALUE"""),"088-294-8990")</f>
        <v>088-294-8990</v>
      </c>
      <c r="AA629" t="str">
        <f>IFERROR(__xludf.DUMMYFUNCTION("""COMPUTED_VALUE"""),"Brother")</f>
        <v>Brother</v>
      </c>
      <c r="AB629" t="str">
        <f>IFERROR(__xludf.DUMMYFUNCTION("""COMPUTED_VALUE"""),"matsarink@airasia.com")</f>
        <v>matsarink@airasia.com</v>
      </c>
    </row>
    <row r="630">
      <c r="A630">
        <f>IFERROR(__xludf.DUMMYFUNCTION("""COMPUTED_VALUE"""),1013018.0)</f>
        <v>1013018</v>
      </c>
      <c r="B630" t="str">
        <f>IFERROR(__xludf.DUMMYFUNCTION("""COMPUTED_VALUE"""),"Mr.")</f>
        <v>Mr.</v>
      </c>
      <c r="C630" t="str">
        <f>IFERROR(__xludf.DUMMYFUNCTION("""COMPUTED_VALUE"""),"Panuwat")</f>
        <v>Panuwat</v>
      </c>
      <c r="D630" t="str">
        <f>IFERROR(__xludf.DUMMYFUNCTION("""COMPUTED_VALUE"""),"Warunyaporn")</f>
        <v>Warunyaporn</v>
      </c>
      <c r="E630" t="str">
        <f>IFERROR(__xludf.DUMMYFUNCTION("""COMPUTED_VALUE"""),"Panuwat Warunyaporn")</f>
        <v>Panuwat Warunyaporn</v>
      </c>
      <c r="F630" t="str">
        <f>IFERROR(__xludf.DUMMYFUNCTION("""COMPUTED_VALUE"""),"นาย")</f>
        <v>นาย</v>
      </c>
      <c r="G630" t="str">
        <f>IFERROR(__xludf.DUMMYFUNCTION("""COMPUTED_VALUE"""),"ภานุวัฒน์")</f>
        <v>ภานุวัฒน์</v>
      </c>
      <c r="H630" t="str">
        <f>IFERROR(__xludf.DUMMYFUNCTION("""COMPUTED_VALUE"""),"วรัญญาพร")</f>
        <v>วรัญญาพร</v>
      </c>
      <c r="I630" t="str">
        <f>IFERROR(__xludf.DUMMYFUNCTION("""COMPUTED_VALUE"""),"ภานุวัฒน์ วรัญญาพร")</f>
        <v>ภานุวัฒน์ วรัญญาพร</v>
      </c>
      <c r="J630" t="str">
        <f>IFERROR(__xludf.DUMMYFUNCTION("""COMPUTED_VALUE"""),"Sand/แซน")</f>
        <v>Sand/แซน</v>
      </c>
      <c r="K630" t="str">
        <f>IFERROR(__xludf.DUMMYFUNCTION("""COMPUTED_VALUE"""),"Senior Cabin Crew")</f>
        <v>Senior Cabin Crew</v>
      </c>
      <c r="L630" t="str">
        <f>IFERROR(__xludf.DUMMYFUNCTION("""COMPUTED_VALUE"""),"DMK")</f>
        <v>DMK</v>
      </c>
      <c r="M630" s="145" t="str">
        <f>IFERROR(__xludf.DUMMYFUNCTION("""COMPUTED_VALUE"""),"Toffy Home")</f>
        <v>Toffy Home</v>
      </c>
      <c r="N630" t="str">
        <f>IFERROR(__xludf.DUMMYFUNCTION("""COMPUTED_VALUE"""),"Active")</f>
        <v>Active</v>
      </c>
      <c r="P630" s="143">
        <f>IFERROR(__xludf.DUMMYFUNCTION("""COMPUTED_VALUE"""),32000.0)</f>
        <v>32000</v>
      </c>
      <c r="Q630" s="146" t="str">
        <f>IFERROR(__xludf.DUMMYFUNCTION("""COMPUTED_VALUE"""),"098-261-6624")</f>
        <v>098-261-6624</v>
      </c>
      <c r="R630" s="147" t="str">
        <f>IFERROR(__xludf.DUMMYFUNCTION("""COMPUTED_VALUE"""),"1100400-28-0890")</f>
        <v>1100400-28-0890</v>
      </c>
      <c r="S630" t="str">
        <f>IFERROR(__xludf.DUMMYFUNCTION("""COMPUTED_VALUE"""),"AD1300961")</f>
        <v>AD1300961</v>
      </c>
      <c r="T630" s="148">
        <f>IFERROR(__xludf.DUMMYFUNCTION("""COMPUTED_VALUE"""),45335.0)</f>
        <v>45335</v>
      </c>
      <c r="U630" s="148">
        <f>IFERROR(__xludf.DUMMYFUNCTION("""COMPUTED_VALUE"""),48987.0)</f>
        <v>48987</v>
      </c>
      <c r="V630" s="149">
        <f>IFERROR(__xludf.DUMMYFUNCTION("""COMPUTED_VALUE"""),48803.0)</f>
        <v>48803</v>
      </c>
      <c r="W630" t="str">
        <f>IFERROR(__xludf.DUMMYFUNCTION("""COMPUTED_VALUE"""),"ปลอดภัย")</f>
        <v>ปลอดภัย</v>
      </c>
      <c r="X630" t="str">
        <f>IFERROR(__xludf.DUMMYFUNCTION("""COMPUTED_VALUE"""),"Bangkok")</f>
        <v>Bangkok</v>
      </c>
      <c r="Y630" t="str">
        <f>IFERROR(__xludf.DUMMYFUNCTION("""COMPUTED_VALUE"""),"Jatujak")</f>
        <v>Jatujak</v>
      </c>
      <c r="Z630" t="str">
        <f>IFERROR(__xludf.DUMMYFUNCTION("""COMPUTED_VALUE"""),"081-552-4928/081-817-8347")</f>
        <v>081-552-4928/081-817-8347</v>
      </c>
      <c r="AA630" t="str">
        <f>IFERROR(__xludf.DUMMYFUNCTION("""COMPUTED_VALUE"""),"Sister")</f>
        <v>Sister</v>
      </c>
      <c r="AB630" t="str">
        <f>IFERROR(__xludf.DUMMYFUNCTION("""COMPUTED_VALUE"""),"panuwatw@airasia.com")</f>
        <v>panuwatw@airasia.com</v>
      </c>
    </row>
    <row r="631">
      <c r="A631">
        <f>IFERROR(__xludf.DUMMYFUNCTION("""COMPUTED_VALUE"""),1013019.0)</f>
        <v>1013019</v>
      </c>
      <c r="B631" t="str">
        <f>IFERROR(__xludf.DUMMYFUNCTION("""COMPUTED_VALUE"""),"Ms.")</f>
        <v>Ms.</v>
      </c>
      <c r="C631" t="str">
        <f>IFERROR(__xludf.DUMMYFUNCTION("""COMPUTED_VALUE"""),"Parujee")</f>
        <v>Parujee</v>
      </c>
      <c r="D631" t="str">
        <f>IFERROR(__xludf.DUMMYFUNCTION("""COMPUTED_VALUE"""),"Charoensook")</f>
        <v>Charoensook</v>
      </c>
      <c r="E631" t="str">
        <f>IFERROR(__xludf.DUMMYFUNCTION("""COMPUTED_VALUE"""),"Parujee Charoensook")</f>
        <v>Parujee Charoensook</v>
      </c>
      <c r="F631" t="str">
        <f>IFERROR(__xludf.DUMMYFUNCTION("""COMPUTED_VALUE"""),"นางสาว")</f>
        <v>นางสาว</v>
      </c>
      <c r="G631" t="str">
        <f>IFERROR(__xludf.DUMMYFUNCTION("""COMPUTED_VALUE"""),"ภารุจีร์")</f>
        <v>ภารุจีร์</v>
      </c>
      <c r="H631" t="str">
        <f>IFERROR(__xludf.DUMMYFUNCTION("""COMPUTED_VALUE"""),"เจริญสุข")</f>
        <v>เจริญสุข</v>
      </c>
      <c r="I631" t="str">
        <f>IFERROR(__xludf.DUMMYFUNCTION("""COMPUTED_VALUE"""),"ภารุจีร์ เจริญสุข")</f>
        <v>ภารุจีร์ เจริญสุข</v>
      </c>
      <c r="J631" t="str">
        <f>IFERROR(__xludf.DUMMYFUNCTION("""COMPUTED_VALUE"""),"Poom / ปุ้ม")</f>
        <v>Poom / ปุ้ม</v>
      </c>
      <c r="K631" t="str">
        <f>IFERROR(__xludf.DUMMYFUNCTION("""COMPUTED_VALUE"""),"Cabin Crew")</f>
        <v>Cabin Crew</v>
      </c>
      <c r="L631" t="str">
        <f>IFERROR(__xludf.DUMMYFUNCTION("""COMPUTED_VALUE"""),"DMK")</f>
        <v>DMK</v>
      </c>
      <c r="M631" s="145" t="str">
        <f>IFERROR(__xludf.DUMMYFUNCTION("""COMPUTED_VALUE"""),"Um Home")</f>
        <v>Um Home</v>
      </c>
      <c r="N631" t="str">
        <f>IFERROR(__xludf.DUMMYFUNCTION("""COMPUTED_VALUE"""),"Active")</f>
        <v>Active</v>
      </c>
      <c r="P631" s="143">
        <f>IFERROR(__xludf.DUMMYFUNCTION("""COMPUTED_VALUE"""),30518.0)</f>
        <v>30518</v>
      </c>
      <c r="Q631" s="146" t="str">
        <f>IFERROR(__xludf.DUMMYFUNCTION("""COMPUTED_VALUE"""),"089-7938690")</f>
        <v>089-7938690</v>
      </c>
      <c r="R631" s="147" t="str">
        <f>IFERROR(__xludf.DUMMYFUNCTION("""COMPUTED_VALUE"""),"5200200-00-5170")</f>
        <v>5200200-00-5170</v>
      </c>
      <c r="S631" t="str">
        <f>IFERROR(__xludf.DUMMYFUNCTION("""COMPUTED_VALUE"""),"AC8084610")</f>
        <v>AC8084610</v>
      </c>
      <c r="T631" s="148">
        <f>IFERROR(__xludf.DUMMYFUNCTION("""COMPUTED_VALUE"""),45702.0)</f>
        <v>45702</v>
      </c>
      <c r="U631" s="148">
        <f>IFERROR(__xludf.DUMMYFUNCTION("""COMPUTED_VALUE"""),49353.0)</f>
        <v>49353</v>
      </c>
      <c r="V631" s="149">
        <f>IFERROR(__xludf.DUMMYFUNCTION("""COMPUTED_VALUE"""),49169.0)</f>
        <v>49169</v>
      </c>
      <c r="W631" t="str">
        <f>IFERROR(__xludf.DUMMYFUNCTION("""COMPUTED_VALUE"""),"ปลอดภัย")</f>
        <v>ปลอดภัย</v>
      </c>
      <c r="X631" t="str">
        <f>IFERROR(__xludf.DUMMYFUNCTION("""COMPUTED_VALUE"""),"Chonburi Province")</f>
        <v>Chonburi Province</v>
      </c>
      <c r="Y631" t="str">
        <f>IFERROR(__xludf.DUMMYFUNCTION("""COMPUTED_VALUE"""),"Banbung")</f>
        <v>Banbung</v>
      </c>
      <c r="Z631" t="str">
        <f>IFERROR(__xludf.DUMMYFUNCTION("""COMPUTED_VALUE"""),"083-112-2995")</f>
        <v>083-112-2995</v>
      </c>
      <c r="AA631" t="str">
        <f>IFERROR(__xludf.DUMMYFUNCTION("""COMPUTED_VALUE"""),"Mother")</f>
        <v>Mother</v>
      </c>
      <c r="AB631" t="str">
        <f>IFERROR(__xludf.DUMMYFUNCTION("""COMPUTED_VALUE"""),"parujeec@airasia.com")</f>
        <v>parujeec@airasia.com</v>
      </c>
    </row>
    <row r="632">
      <c r="A632">
        <f>IFERROR(__xludf.DUMMYFUNCTION("""COMPUTED_VALUE"""),1013023.0)</f>
        <v>1013023</v>
      </c>
      <c r="B632" t="str">
        <f>IFERROR(__xludf.DUMMYFUNCTION("""COMPUTED_VALUE"""),"Ms.")</f>
        <v>Ms.</v>
      </c>
      <c r="C632" t="str">
        <f>IFERROR(__xludf.DUMMYFUNCTION("""COMPUTED_VALUE"""),"Pinyapat")</f>
        <v>Pinyapat</v>
      </c>
      <c r="D632" t="str">
        <f>IFERROR(__xludf.DUMMYFUNCTION("""COMPUTED_VALUE"""),"Methawatthanasin")</f>
        <v>Methawatthanasin</v>
      </c>
      <c r="E632" t="str">
        <f>IFERROR(__xludf.DUMMYFUNCTION("""COMPUTED_VALUE"""),"Pinyapat Methawatthanasin")</f>
        <v>Pinyapat Methawatthanasin</v>
      </c>
      <c r="F632" t="str">
        <f>IFERROR(__xludf.DUMMYFUNCTION("""COMPUTED_VALUE"""),"นางสาว")</f>
        <v>นางสาว</v>
      </c>
      <c r="G632" t="str">
        <f>IFERROR(__xludf.DUMMYFUNCTION("""COMPUTED_VALUE"""),"ภิญญาพัชร์")</f>
        <v>ภิญญาพัชร์</v>
      </c>
      <c r="H632" t="str">
        <f>IFERROR(__xludf.DUMMYFUNCTION("""COMPUTED_VALUE"""),"เมธวัฒน์ธนสิน")</f>
        <v>เมธวัฒน์ธนสิน</v>
      </c>
      <c r="I632" t="str">
        <f>IFERROR(__xludf.DUMMYFUNCTION("""COMPUTED_VALUE"""),"ภิญญาพัชร์ เมธวัฒน์ธนสิน")</f>
        <v>ภิญญาพัชร์ เมธวัฒน์ธนสิน</v>
      </c>
      <c r="J632" t="str">
        <f>IFERROR(__xludf.DUMMYFUNCTION("""COMPUTED_VALUE"""),"กิฟ / Gift")</f>
        <v>กิฟ / Gift</v>
      </c>
      <c r="K632" t="str">
        <f>IFERROR(__xludf.DUMMYFUNCTION("""COMPUTED_VALUE"""),"Cabin Crew")</f>
        <v>Cabin Crew</v>
      </c>
      <c r="L632" t="str">
        <f>IFERROR(__xludf.DUMMYFUNCTION("""COMPUTED_VALUE"""),"DMK")</f>
        <v>DMK</v>
      </c>
      <c r="M632" s="145" t="str">
        <f>IFERROR(__xludf.DUMMYFUNCTION("""COMPUTED_VALUE"""),"Por+ Home")</f>
        <v>Por+ Home</v>
      </c>
      <c r="N632" t="str">
        <f>IFERROR(__xludf.DUMMYFUNCTION("""COMPUTED_VALUE"""),"Active")</f>
        <v>Active</v>
      </c>
      <c r="P632" s="143">
        <f>IFERROR(__xludf.DUMMYFUNCTION("""COMPUTED_VALUE"""),30696.0)</f>
        <v>30696</v>
      </c>
      <c r="Q632" s="146" t="str">
        <f>IFERROR(__xludf.DUMMYFUNCTION("""COMPUTED_VALUE"""),"083 549 5165")</f>
        <v>083 549 5165</v>
      </c>
      <c r="R632" s="147" t="str">
        <f>IFERROR(__xludf.DUMMYFUNCTION("""COMPUTED_VALUE"""),"1101400-00-9895")</f>
        <v>1101400-00-9895</v>
      </c>
      <c r="S632" t="str">
        <f>IFERROR(__xludf.DUMMYFUNCTION("""COMPUTED_VALUE"""),"AC2808809")</f>
        <v>AC2808809</v>
      </c>
      <c r="T632" s="148">
        <f>IFERROR(__xludf.DUMMYFUNCTION("""COMPUTED_VALUE"""),44510.0)</f>
        <v>44510</v>
      </c>
      <c r="U632" s="148">
        <f>IFERROR(__xludf.DUMMYFUNCTION("""COMPUTED_VALUE"""),48161.0)</f>
        <v>48161</v>
      </c>
      <c r="V632" s="149">
        <f>IFERROR(__xludf.DUMMYFUNCTION("""COMPUTED_VALUE"""),47977.0)</f>
        <v>47977</v>
      </c>
      <c r="W632" t="str">
        <f>IFERROR(__xludf.DUMMYFUNCTION("""COMPUTED_VALUE"""),"ปลอดภัย")</f>
        <v>ปลอดภัย</v>
      </c>
      <c r="X632" t="str">
        <f>IFERROR(__xludf.DUMMYFUNCTION("""COMPUTED_VALUE"""),"Bangkok")</f>
        <v>Bangkok</v>
      </c>
      <c r="Y632" t="str">
        <f>IFERROR(__xludf.DUMMYFUNCTION("""COMPUTED_VALUE"""),"Laksi")</f>
        <v>Laksi</v>
      </c>
      <c r="Z632" t="str">
        <f>IFERROR(__xludf.DUMMYFUNCTION("""COMPUTED_VALUE"""),"089-770-0363")</f>
        <v>089-770-0363</v>
      </c>
      <c r="AA632" t="str">
        <f>IFERROR(__xludf.DUMMYFUNCTION("""COMPUTED_VALUE"""),"Sister")</f>
        <v>Sister</v>
      </c>
      <c r="AB632" t="str">
        <f>IFERROR(__xludf.DUMMYFUNCTION("""COMPUTED_VALUE"""),"pinyapatm@airasia.com")</f>
        <v>pinyapatm@airasia.com</v>
      </c>
    </row>
    <row r="633">
      <c r="A633">
        <f>IFERROR(__xludf.DUMMYFUNCTION("""COMPUTED_VALUE"""),1013025.0)</f>
        <v>1013025</v>
      </c>
      <c r="B633" t="str">
        <f>IFERROR(__xludf.DUMMYFUNCTION("""COMPUTED_VALUE"""),"Ms.")</f>
        <v>Ms.</v>
      </c>
      <c r="C633" t="str">
        <f>IFERROR(__xludf.DUMMYFUNCTION("""COMPUTED_VALUE"""),"Pirawan")</f>
        <v>Pirawan</v>
      </c>
      <c r="D633" t="str">
        <f>IFERROR(__xludf.DUMMYFUNCTION("""COMPUTED_VALUE"""),"Sarobol")</f>
        <v>Sarobol</v>
      </c>
      <c r="E633" t="str">
        <f>IFERROR(__xludf.DUMMYFUNCTION("""COMPUTED_VALUE"""),"Pirawan Sarobol")</f>
        <v>Pirawan Sarobol</v>
      </c>
      <c r="F633" t="str">
        <f>IFERROR(__xludf.DUMMYFUNCTION("""COMPUTED_VALUE"""),"นางสาว")</f>
        <v>นางสาว</v>
      </c>
      <c r="G633" t="str">
        <f>IFERROR(__xludf.DUMMYFUNCTION("""COMPUTED_VALUE"""),"พิรวรรณ")</f>
        <v>พิรวรรณ</v>
      </c>
      <c r="H633" t="str">
        <f>IFERROR(__xludf.DUMMYFUNCTION("""COMPUTED_VALUE"""),"สโรบล")</f>
        <v>สโรบล</v>
      </c>
      <c r="I633" t="str">
        <f>IFERROR(__xludf.DUMMYFUNCTION("""COMPUTED_VALUE"""),"พิรวรรณ สโรบล")</f>
        <v>พิรวรรณ สโรบล</v>
      </c>
      <c r="J633" t="str">
        <f>IFERROR(__xludf.DUMMYFUNCTION("""COMPUTED_VALUE"""),"Tawarn / ตาหวาน")</f>
        <v>Tawarn / ตาหวาน</v>
      </c>
      <c r="K633" t="str">
        <f>IFERROR(__xludf.DUMMYFUNCTION("""COMPUTED_VALUE"""),"Cabin Crew")</f>
        <v>Cabin Crew</v>
      </c>
      <c r="L633" t="str">
        <f>IFERROR(__xludf.DUMMYFUNCTION("""COMPUTED_VALUE"""),"DMK")</f>
        <v>DMK</v>
      </c>
      <c r="M633" s="145" t="str">
        <f>IFERROR(__xludf.DUMMYFUNCTION("""COMPUTED_VALUE"""),"Toffy Home")</f>
        <v>Toffy Home</v>
      </c>
      <c r="N633" t="str">
        <f>IFERROR(__xludf.DUMMYFUNCTION("""COMPUTED_VALUE"""),"Active")</f>
        <v>Active</v>
      </c>
      <c r="P633" s="143">
        <f>IFERROR(__xludf.DUMMYFUNCTION("""COMPUTED_VALUE"""),33003.0)</f>
        <v>33003</v>
      </c>
      <c r="Q633" s="146" t="str">
        <f>IFERROR(__xludf.DUMMYFUNCTION("""COMPUTED_VALUE"""),"084-145-5580")</f>
        <v>084-145-5580</v>
      </c>
      <c r="R633" s="147" t="str">
        <f>IFERROR(__xludf.DUMMYFUNCTION("""COMPUTED_VALUE"""),"1103700-12-6791")</f>
        <v>1103700-12-6791</v>
      </c>
      <c r="S633" t="str">
        <f>IFERROR(__xludf.DUMMYFUNCTION("""COMPUTED_VALUE"""),"AC7966211")</f>
        <v>AC7966211</v>
      </c>
      <c r="T633" s="148">
        <f>IFERROR(__xludf.DUMMYFUNCTION("""COMPUTED_VALUE"""),45709.0)</f>
        <v>45709</v>
      </c>
      <c r="U633" s="148">
        <f>IFERROR(__xludf.DUMMYFUNCTION("""COMPUTED_VALUE"""),49360.0)</f>
        <v>49360</v>
      </c>
      <c r="V633" s="149">
        <f>IFERROR(__xludf.DUMMYFUNCTION("""COMPUTED_VALUE"""),49176.0)</f>
        <v>49176</v>
      </c>
      <c r="W633" t="str">
        <f>IFERROR(__xludf.DUMMYFUNCTION("""COMPUTED_VALUE"""),"ปลอดภัย")</f>
        <v>ปลอดภัย</v>
      </c>
      <c r="X633" t="str">
        <f>IFERROR(__xludf.DUMMYFUNCTION("""COMPUTED_VALUE"""),"Bangkok")</f>
        <v>Bangkok</v>
      </c>
      <c r="Y633" t="str">
        <f>IFERROR(__xludf.DUMMYFUNCTION("""COMPUTED_VALUE"""),"Bangplad")</f>
        <v>Bangplad</v>
      </c>
      <c r="Z633" t="str">
        <f>IFERROR(__xludf.DUMMYFUNCTION("""COMPUTED_VALUE"""),"081-933-4673")</f>
        <v>081-933-4673</v>
      </c>
      <c r="AA633" t="str">
        <f>IFERROR(__xludf.DUMMYFUNCTION("""COMPUTED_VALUE"""),"Mother")</f>
        <v>Mother</v>
      </c>
      <c r="AB633" t="str">
        <f>IFERROR(__xludf.DUMMYFUNCTION("""COMPUTED_VALUE"""),"pirawans@airasia.com")</f>
        <v>pirawans@airasia.com</v>
      </c>
    </row>
    <row r="634">
      <c r="A634">
        <f>IFERROR(__xludf.DUMMYFUNCTION("""COMPUTED_VALUE"""),1013028.0)</f>
        <v>1013028</v>
      </c>
      <c r="B634" t="str">
        <f>IFERROR(__xludf.DUMMYFUNCTION("""COMPUTED_VALUE"""),"Ms.")</f>
        <v>Ms.</v>
      </c>
      <c r="C634" t="str">
        <f>IFERROR(__xludf.DUMMYFUNCTION("""COMPUTED_VALUE"""),"Premaporn")</f>
        <v>Premaporn</v>
      </c>
      <c r="D634" t="str">
        <f>IFERROR(__xludf.DUMMYFUNCTION("""COMPUTED_VALUE"""),"Preechanonda")</f>
        <v>Preechanonda</v>
      </c>
      <c r="E634" t="str">
        <f>IFERROR(__xludf.DUMMYFUNCTION("""COMPUTED_VALUE"""),"Premaporn Preechanonda")</f>
        <v>Premaporn Preechanonda</v>
      </c>
      <c r="F634" t="str">
        <f>IFERROR(__xludf.DUMMYFUNCTION("""COMPUTED_VALUE"""),"นางสาว")</f>
        <v>นางสาว</v>
      </c>
      <c r="G634" t="str">
        <f>IFERROR(__xludf.DUMMYFUNCTION("""COMPUTED_VALUE"""),"เปรมาภรณ์")</f>
        <v>เปรมาภรณ์</v>
      </c>
      <c r="H634" t="str">
        <f>IFERROR(__xludf.DUMMYFUNCTION("""COMPUTED_VALUE"""),"ปรีชานนท์")</f>
        <v>ปรีชานนท์</v>
      </c>
      <c r="I634" t="str">
        <f>IFERROR(__xludf.DUMMYFUNCTION("""COMPUTED_VALUE"""),"เปรมาภรณ์ ปรีชานนท์")</f>
        <v>เปรมาภรณ์ ปรีชานนท์</v>
      </c>
      <c r="J634" t="str">
        <f>IFERROR(__xludf.DUMMYFUNCTION("""COMPUTED_VALUE"""),"Yam/แยม")</f>
        <v>Yam/แยม</v>
      </c>
      <c r="K634" t="str">
        <f>IFERROR(__xludf.DUMMYFUNCTION("""COMPUTED_VALUE"""),"Cabin Crew - BKK")</f>
        <v>Cabin Crew - BKK</v>
      </c>
      <c r="L634" t="str">
        <f>IFERROR(__xludf.DUMMYFUNCTION("""COMPUTED_VALUE"""),"BKK")</f>
        <v>BKK</v>
      </c>
      <c r="M634" s="145" t="str">
        <f>IFERROR(__xludf.DUMMYFUNCTION("""COMPUTED_VALUE"""),"Nhui Home")</f>
        <v>Nhui Home</v>
      </c>
      <c r="N634" t="str">
        <f>IFERROR(__xludf.DUMMYFUNCTION("""COMPUTED_VALUE"""),"Active")</f>
        <v>Active</v>
      </c>
      <c r="P634" s="143">
        <f>IFERROR(__xludf.DUMMYFUNCTION("""COMPUTED_VALUE"""),32744.0)</f>
        <v>32744</v>
      </c>
      <c r="Q634" s="146" t="str">
        <f>IFERROR(__xludf.DUMMYFUNCTION("""COMPUTED_VALUE"""),"086-776-4929")</f>
        <v>086-776-4929</v>
      </c>
      <c r="R634" s="147" t="str">
        <f>IFERROR(__xludf.DUMMYFUNCTION("""COMPUTED_VALUE"""),"1101500-36-8765")</f>
        <v>1101500-36-8765</v>
      </c>
      <c r="S634" t="str">
        <f>IFERROR(__xludf.DUMMYFUNCTION("""COMPUTED_VALUE"""),"AC2540053")</f>
        <v>AC2540053</v>
      </c>
      <c r="T634" s="148">
        <f>IFERROR(__xludf.DUMMYFUNCTION("""COMPUTED_VALUE"""),44642.0)</f>
        <v>44642</v>
      </c>
      <c r="U634" s="148">
        <f>IFERROR(__xludf.DUMMYFUNCTION("""COMPUTED_VALUE"""),46467.0)</f>
        <v>46467</v>
      </c>
      <c r="V634" s="149">
        <f>IFERROR(__xludf.DUMMYFUNCTION("""COMPUTED_VALUE"""),46286.0)</f>
        <v>46286</v>
      </c>
      <c r="W634" t="str">
        <f>IFERROR(__xludf.DUMMYFUNCTION("""COMPUTED_VALUE"""),"ปลอดภัย")</f>
        <v>ปลอดภัย</v>
      </c>
      <c r="X634" t="str">
        <f>IFERROR(__xludf.DUMMYFUNCTION("""COMPUTED_VALUE"""),"Bangkok")</f>
        <v>Bangkok</v>
      </c>
      <c r="Y634" t="str">
        <f>IFERROR(__xludf.DUMMYFUNCTION("""COMPUTED_VALUE"""),"Wattana")</f>
        <v>Wattana</v>
      </c>
      <c r="Z634" t="str">
        <f>IFERROR(__xludf.DUMMYFUNCTION("""COMPUTED_VALUE"""),"087-490-1012")</f>
        <v>087-490-1012</v>
      </c>
      <c r="AA634" t="str">
        <f>IFERROR(__xludf.DUMMYFUNCTION("""COMPUTED_VALUE"""),"Mother")</f>
        <v>Mother</v>
      </c>
      <c r="AB634" t="str">
        <f>IFERROR(__xludf.DUMMYFUNCTION("""COMPUTED_VALUE"""),"premapornp@airasia.com")</f>
        <v>premapornp@airasia.com</v>
      </c>
    </row>
    <row r="635">
      <c r="A635">
        <f>IFERROR(__xludf.DUMMYFUNCTION("""COMPUTED_VALUE"""),1013031.0)</f>
        <v>1013031</v>
      </c>
      <c r="B635" t="str">
        <f>IFERROR(__xludf.DUMMYFUNCTION("""COMPUTED_VALUE"""),"Ms.")</f>
        <v>Ms.</v>
      </c>
      <c r="C635" t="str">
        <f>IFERROR(__xludf.DUMMYFUNCTION("""COMPUTED_VALUE"""),"Sasima")</f>
        <v>Sasima</v>
      </c>
      <c r="D635" t="str">
        <f>IFERROR(__xludf.DUMMYFUNCTION("""COMPUTED_VALUE"""),"Boonthanakorn")</f>
        <v>Boonthanakorn</v>
      </c>
      <c r="E635" t="str">
        <f>IFERROR(__xludf.DUMMYFUNCTION("""COMPUTED_VALUE"""),"Sasima Boonthanakorn")</f>
        <v>Sasima Boonthanakorn</v>
      </c>
      <c r="F635" t="str">
        <f>IFERROR(__xludf.DUMMYFUNCTION("""COMPUTED_VALUE"""),"นางสาว")</f>
        <v>นางสาว</v>
      </c>
      <c r="G635" t="str">
        <f>IFERROR(__xludf.DUMMYFUNCTION("""COMPUTED_VALUE"""),"ศศิมา")</f>
        <v>ศศิมา</v>
      </c>
      <c r="H635" t="str">
        <f>IFERROR(__xludf.DUMMYFUNCTION("""COMPUTED_VALUE"""),"บุญธนากร")</f>
        <v>บุญธนากร</v>
      </c>
      <c r="I635" t="str">
        <f>IFERROR(__xludf.DUMMYFUNCTION("""COMPUTED_VALUE"""),"ศศิมา บุญธนากร")</f>
        <v>ศศิมา บุญธนากร</v>
      </c>
      <c r="J635" t="str">
        <f>IFERROR(__xludf.DUMMYFUNCTION("""COMPUTED_VALUE"""),"Pook/ปุ๊ก")</f>
        <v>Pook/ปุ๊ก</v>
      </c>
      <c r="K635" t="str">
        <f>IFERROR(__xludf.DUMMYFUNCTION("""COMPUTED_VALUE"""),"Cabin Crew")</f>
        <v>Cabin Crew</v>
      </c>
      <c r="L635" t="str">
        <f>IFERROR(__xludf.DUMMYFUNCTION("""COMPUTED_VALUE"""),"DMK")</f>
        <v>DMK</v>
      </c>
      <c r="M635" s="145" t="str">
        <f>IFERROR(__xludf.DUMMYFUNCTION("""COMPUTED_VALUE"""),"Nhui Home")</f>
        <v>Nhui Home</v>
      </c>
      <c r="N635" t="str">
        <f>IFERROR(__xludf.DUMMYFUNCTION("""COMPUTED_VALUE"""),"V/LWP")</f>
        <v>V/LWP</v>
      </c>
      <c r="P635" s="143">
        <f>IFERROR(__xludf.DUMMYFUNCTION("""COMPUTED_VALUE"""),31376.0)</f>
        <v>31376</v>
      </c>
      <c r="Q635" s="146" t="str">
        <f>IFERROR(__xludf.DUMMYFUNCTION("""COMPUTED_VALUE"""),"099-3942259")</f>
        <v>099-3942259</v>
      </c>
      <c r="R635" s="147" t="str">
        <f>IFERROR(__xludf.DUMMYFUNCTION("""COMPUTED_VALUE"""),"1102000-34-5686")</f>
        <v>1102000-34-5686</v>
      </c>
      <c r="S635" t="str">
        <f>IFERROR(__xludf.DUMMYFUNCTION("""COMPUTED_VALUE"""),"AC3158571")</f>
        <v>AC3158571</v>
      </c>
      <c r="T635" s="148">
        <f>IFERROR(__xludf.DUMMYFUNCTION("""COMPUTED_VALUE"""),44700.0)</f>
        <v>44700</v>
      </c>
      <c r="U635" s="148">
        <f>IFERROR(__xludf.DUMMYFUNCTION("""COMPUTED_VALUE"""),48352.0)</f>
        <v>48352</v>
      </c>
      <c r="V635" s="149">
        <f>IFERROR(__xludf.DUMMYFUNCTION("""COMPUTED_VALUE"""),48170.0)</f>
        <v>48170</v>
      </c>
      <c r="W635" t="str">
        <f>IFERROR(__xludf.DUMMYFUNCTION("""COMPUTED_VALUE"""),"ปลอดภัย")</f>
        <v>ปลอดภัย</v>
      </c>
      <c r="X635" t="str">
        <f>IFERROR(__xludf.DUMMYFUNCTION("""COMPUTED_VALUE"""),"Bangkok")</f>
        <v>Bangkok</v>
      </c>
      <c r="Y635" t="str">
        <f>IFERROR(__xludf.DUMMYFUNCTION("""COMPUTED_VALUE"""),"Bangkae")</f>
        <v>Bangkae</v>
      </c>
      <c r="Z635" t="str">
        <f>IFERROR(__xludf.DUMMYFUNCTION("""COMPUTED_VALUE"""),"085-812-2408")</f>
        <v>085-812-2408</v>
      </c>
      <c r="AA635" t="str">
        <f>IFERROR(__xludf.DUMMYFUNCTION("""COMPUTED_VALUE"""),"Sister")</f>
        <v>Sister</v>
      </c>
      <c r="AB635" t="str">
        <f>IFERROR(__xludf.DUMMYFUNCTION("""COMPUTED_VALUE"""),"sasimab@airasia.com")</f>
        <v>sasimab@airasia.com</v>
      </c>
    </row>
    <row r="636">
      <c r="A636">
        <f>IFERROR(__xludf.DUMMYFUNCTION("""COMPUTED_VALUE"""),1013033.0)</f>
        <v>1013033</v>
      </c>
      <c r="B636" t="str">
        <f>IFERROR(__xludf.DUMMYFUNCTION("""COMPUTED_VALUE"""),"Ms.")</f>
        <v>Ms.</v>
      </c>
      <c r="C636" t="str">
        <f>IFERROR(__xludf.DUMMYFUNCTION("""COMPUTED_VALUE"""),"Sirirat")</f>
        <v>Sirirat</v>
      </c>
      <c r="D636" t="str">
        <f>IFERROR(__xludf.DUMMYFUNCTION("""COMPUTED_VALUE"""),"Thampipat")</f>
        <v>Thampipat</v>
      </c>
      <c r="E636" t="str">
        <f>IFERROR(__xludf.DUMMYFUNCTION("""COMPUTED_VALUE"""),"Sirirat Thampipat")</f>
        <v>Sirirat Thampipat</v>
      </c>
      <c r="F636" t="str">
        <f>IFERROR(__xludf.DUMMYFUNCTION("""COMPUTED_VALUE"""),"นางสาว")</f>
        <v>นางสาว</v>
      </c>
      <c r="G636" t="str">
        <f>IFERROR(__xludf.DUMMYFUNCTION("""COMPUTED_VALUE"""),"สิริรัตน์")</f>
        <v>สิริรัตน์</v>
      </c>
      <c r="H636" t="str">
        <f>IFERROR(__xludf.DUMMYFUNCTION("""COMPUTED_VALUE"""),"ธรรมพิพัฒน์")</f>
        <v>ธรรมพิพัฒน์</v>
      </c>
      <c r="I636" t="str">
        <f>IFERROR(__xludf.DUMMYFUNCTION("""COMPUTED_VALUE"""),"สิริรัตน์ ธรรมพิพัฒน์")</f>
        <v>สิริรัตน์ ธรรมพิพัฒน์</v>
      </c>
      <c r="J636" t="str">
        <f>IFERROR(__xludf.DUMMYFUNCTION("""COMPUTED_VALUE"""),"Bee/บี")</f>
        <v>Bee/บี</v>
      </c>
      <c r="K636" t="str">
        <f>IFERROR(__xludf.DUMMYFUNCTION("""COMPUTED_VALUE"""),"Cabin Crew")</f>
        <v>Cabin Crew</v>
      </c>
      <c r="L636" t="str">
        <f>IFERROR(__xludf.DUMMYFUNCTION("""COMPUTED_VALUE"""),"DMK")</f>
        <v>DMK</v>
      </c>
      <c r="M636" s="145" t="str">
        <f>IFERROR(__xludf.DUMMYFUNCTION("""COMPUTED_VALUE"""),"Namfon Home")</f>
        <v>Namfon Home</v>
      </c>
      <c r="N636" t="str">
        <f>IFERROR(__xludf.DUMMYFUNCTION("""COMPUTED_VALUE"""),"Active")</f>
        <v>Active</v>
      </c>
      <c r="P636" s="143">
        <f>IFERROR(__xludf.DUMMYFUNCTION("""COMPUTED_VALUE"""),32753.0)</f>
        <v>32753</v>
      </c>
      <c r="Q636" s="146" t="str">
        <f>IFERROR(__xludf.DUMMYFUNCTION("""COMPUTED_VALUE"""),"089-693-6962")</f>
        <v>089-693-6962</v>
      </c>
      <c r="R636" s="147" t="str">
        <f>IFERROR(__xludf.DUMMYFUNCTION("""COMPUTED_VALUE"""),"1101401-67-6445")</f>
        <v>1101401-67-6445</v>
      </c>
      <c r="S636" t="str">
        <f>IFERROR(__xludf.DUMMYFUNCTION("""COMPUTED_VALUE"""),"AC5215380")</f>
        <v>AC5215380</v>
      </c>
      <c r="T636" s="148">
        <f>IFERROR(__xludf.DUMMYFUNCTION("""COMPUTED_VALUE"""),45120.0)</f>
        <v>45120</v>
      </c>
      <c r="U636" s="148">
        <f>IFERROR(__xludf.DUMMYFUNCTION("""COMPUTED_VALUE"""),48772.0)</f>
        <v>48772</v>
      </c>
      <c r="V636" s="149">
        <f>IFERROR(__xludf.DUMMYFUNCTION("""COMPUTED_VALUE"""),48591.0)</f>
        <v>48591</v>
      </c>
      <c r="W636" t="str">
        <f>IFERROR(__xludf.DUMMYFUNCTION("""COMPUTED_VALUE"""),"ปลอดภัย")</f>
        <v>ปลอดภัย</v>
      </c>
      <c r="X636" t="str">
        <f>IFERROR(__xludf.DUMMYFUNCTION("""COMPUTED_VALUE"""),"Bangkok")</f>
        <v>Bangkok</v>
      </c>
      <c r="Y636" t="str">
        <f>IFERROR(__xludf.DUMMYFUNCTION("""COMPUTED_VALUE"""),"Nonthaburi")</f>
        <v>Nonthaburi</v>
      </c>
      <c r="Z636" t="str">
        <f>IFERROR(__xludf.DUMMYFUNCTION("""COMPUTED_VALUE"""),"086-789-6558")</f>
        <v>086-789-6558</v>
      </c>
      <c r="AA636" t="str">
        <f>IFERROR(__xludf.DUMMYFUNCTION("""COMPUTED_VALUE"""),"Father")</f>
        <v>Father</v>
      </c>
      <c r="AB636" t="str">
        <f>IFERROR(__xludf.DUMMYFUNCTION("""COMPUTED_VALUE"""),"siriratt@airasia.com")</f>
        <v>siriratt@airasia.com</v>
      </c>
    </row>
    <row r="637">
      <c r="A637">
        <f>IFERROR(__xludf.DUMMYFUNCTION("""COMPUTED_VALUE"""),1013034.0)</f>
        <v>1013034</v>
      </c>
      <c r="B637" t="str">
        <f>IFERROR(__xludf.DUMMYFUNCTION("""COMPUTED_VALUE"""),"Mr.")</f>
        <v>Mr.</v>
      </c>
      <c r="C637" t="str">
        <f>IFERROR(__xludf.DUMMYFUNCTION("""COMPUTED_VALUE"""),"Sitthiphan")</f>
        <v>Sitthiphan</v>
      </c>
      <c r="D637" t="str">
        <f>IFERROR(__xludf.DUMMYFUNCTION("""COMPUTED_VALUE"""),"Chansawang")</f>
        <v>Chansawang</v>
      </c>
      <c r="E637" t="str">
        <f>IFERROR(__xludf.DUMMYFUNCTION("""COMPUTED_VALUE"""),"Sitthiphan Chansawang")</f>
        <v>Sitthiphan Chansawang</v>
      </c>
      <c r="F637" t="str">
        <f>IFERROR(__xludf.DUMMYFUNCTION("""COMPUTED_VALUE"""),"นาย")</f>
        <v>นาย</v>
      </c>
      <c r="G637" t="str">
        <f>IFERROR(__xludf.DUMMYFUNCTION("""COMPUTED_VALUE"""),"สิทธิพันธ์")</f>
        <v>สิทธิพันธ์</v>
      </c>
      <c r="H637" t="str">
        <f>IFERROR(__xludf.DUMMYFUNCTION("""COMPUTED_VALUE"""),"จันทร์สว่าง")</f>
        <v>จันทร์สว่าง</v>
      </c>
      <c r="I637" t="str">
        <f>IFERROR(__xludf.DUMMYFUNCTION("""COMPUTED_VALUE"""),"สิทธิพันธ์ จันทร์สว่าง")</f>
        <v>สิทธิพันธ์ จันทร์สว่าง</v>
      </c>
      <c r="J637" t="str">
        <f>IFERROR(__xludf.DUMMYFUNCTION("""COMPUTED_VALUE"""),"Patrick / แพท")</f>
        <v>Patrick / แพท</v>
      </c>
      <c r="K637" t="str">
        <f>IFERROR(__xludf.DUMMYFUNCTION("""COMPUTED_VALUE"""),"Cabin Crew")</f>
        <v>Cabin Crew</v>
      </c>
      <c r="L637" t="str">
        <f>IFERROR(__xludf.DUMMYFUNCTION("""COMPUTED_VALUE"""),"DMK")</f>
        <v>DMK</v>
      </c>
      <c r="M637" s="145" t="str">
        <f>IFERROR(__xludf.DUMMYFUNCTION("""COMPUTED_VALUE"""),"Namfon Home")</f>
        <v>Namfon Home</v>
      </c>
      <c r="N637" t="str">
        <f>IFERROR(__xludf.DUMMYFUNCTION("""COMPUTED_VALUE"""),"Active")</f>
        <v>Active</v>
      </c>
      <c r="P637" s="143">
        <f>IFERROR(__xludf.DUMMYFUNCTION("""COMPUTED_VALUE"""),33198.0)</f>
        <v>33198</v>
      </c>
      <c r="Q637" s="146" t="str">
        <f>IFERROR(__xludf.DUMMYFUNCTION("""COMPUTED_VALUE"""),"092 991 6662")</f>
        <v>092 991 6662</v>
      </c>
      <c r="R637" s="147" t="str">
        <f>IFERROR(__xludf.DUMMYFUNCTION("""COMPUTED_VALUE"""),"1229900-37-3665")</f>
        <v>1229900-37-3665</v>
      </c>
      <c r="S637" t="str">
        <f>IFERROR(__xludf.DUMMYFUNCTION("""COMPUTED_VALUE"""),"AC7464515")</f>
        <v>AC7464515</v>
      </c>
      <c r="T637" s="148">
        <f>IFERROR(__xludf.DUMMYFUNCTION("""COMPUTED_VALUE"""),45593.0)</f>
        <v>45593</v>
      </c>
      <c r="U637" s="148">
        <f>IFERROR(__xludf.DUMMYFUNCTION("""COMPUTED_VALUE"""),49244.0)</f>
        <v>49244</v>
      </c>
      <c r="V637" s="149">
        <f>IFERROR(__xludf.DUMMYFUNCTION("""COMPUTED_VALUE"""),49061.0)</f>
        <v>49061</v>
      </c>
      <c r="W637" t="str">
        <f>IFERROR(__xludf.DUMMYFUNCTION("""COMPUTED_VALUE"""),"ปลอดภัย")</f>
        <v>ปลอดภัย</v>
      </c>
      <c r="X637" t="str">
        <f>IFERROR(__xludf.DUMMYFUNCTION("""COMPUTED_VALUE"""),"Chanthaburi Province")</f>
        <v>Chanthaburi Province</v>
      </c>
      <c r="Y637" t="str">
        <f>IFERROR(__xludf.DUMMYFUNCTION("""COMPUTED_VALUE"""),"Khonkaen")</f>
        <v>Khonkaen</v>
      </c>
      <c r="Z637" t="str">
        <f>IFERROR(__xludf.DUMMYFUNCTION("""COMPUTED_VALUE"""),"087-379-7315")</f>
        <v>087-379-7315</v>
      </c>
      <c r="AA637" t="str">
        <f>IFERROR(__xludf.DUMMYFUNCTION("""COMPUTED_VALUE"""),"Father")</f>
        <v>Father</v>
      </c>
      <c r="AB637" t="str">
        <f>IFERROR(__xludf.DUMMYFUNCTION("""COMPUTED_VALUE"""),"sitthiphanc@airasia.com")</f>
        <v>sitthiphanc@airasia.com</v>
      </c>
    </row>
    <row r="638">
      <c r="A638">
        <f>IFERROR(__xludf.DUMMYFUNCTION("""COMPUTED_VALUE"""),1013048.0)</f>
        <v>1013048</v>
      </c>
      <c r="B638" t="str">
        <f>IFERROR(__xludf.DUMMYFUNCTION("""COMPUTED_VALUE"""),"Ms.")</f>
        <v>Ms.</v>
      </c>
      <c r="C638" t="str">
        <f>IFERROR(__xludf.DUMMYFUNCTION("""COMPUTED_VALUE"""),"Thanchanok")</f>
        <v>Thanchanok</v>
      </c>
      <c r="D638" t="str">
        <f>IFERROR(__xludf.DUMMYFUNCTION("""COMPUTED_VALUE"""),"Srisawang")</f>
        <v>Srisawang</v>
      </c>
      <c r="E638" t="str">
        <f>IFERROR(__xludf.DUMMYFUNCTION("""COMPUTED_VALUE"""),"Thanchanok Srisawang")</f>
        <v>Thanchanok Srisawang</v>
      </c>
      <c r="F638" t="str">
        <f>IFERROR(__xludf.DUMMYFUNCTION("""COMPUTED_VALUE"""),"นางสาว")</f>
        <v>นางสาว</v>
      </c>
      <c r="G638" t="str">
        <f>IFERROR(__xludf.DUMMYFUNCTION("""COMPUTED_VALUE"""),"ธันย์ชนก")</f>
        <v>ธันย์ชนก</v>
      </c>
      <c r="H638" t="str">
        <f>IFERROR(__xludf.DUMMYFUNCTION("""COMPUTED_VALUE"""),"ศรีสว่าง")</f>
        <v>ศรีสว่าง</v>
      </c>
      <c r="I638" t="str">
        <f>IFERROR(__xludf.DUMMYFUNCTION("""COMPUTED_VALUE"""),"ธันย์ชนก ศรีสว่าง")</f>
        <v>ธันย์ชนก ศรีสว่าง</v>
      </c>
      <c r="J638" t="str">
        <f>IFERROR(__xludf.DUMMYFUNCTION("""COMPUTED_VALUE"""),"Nink/นิ้ง")</f>
        <v>Nink/นิ้ง</v>
      </c>
      <c r="K638" t="str">
        <f>IFERROR(__xludf.DUMMYFUNCTION("""COMPUTED_VALUE"""),"Senior Cabin Crew")</f>
        <v>Senior Cabin Crew</v>
      </c>
      <c r="L638" t="str">
        <f>IFERROR(__xludf.DUMMYFUNCTION("""COMPUTED_VALUE"""),"DMK")</f>
        <v>DMK</v>
      </c>
      <c r="M638" s="145" t="str">
        <f>IFERROR(__xludf.DUMMYFUNCTION("""COMPUTED_VALUE"""),"Um Home")</f>
        <v>Um Home</v>
      </c>
      <c r="N638" t="str">
        <f>IFERROR(__xludf.DUMMYFUNCTION("""COMPUTED_VALUE"""),"Active")</f>
        <v>Active</v>
      </c>
      <c r="P638" s="143">
        <f>IFERROR(__xludf.DUMMYFUNCTION("""COMPUTED_VALUE"""),33196.0)</f>
        <v>33196</v>
      </c>
      <c r="Q638" s="146" t="str">
        <f>IFERROR(__xludf.DUMMYFUNCTION("""COMPUTED_VALUE"""),"065-626-2947")</f>
        <v>065-626-2947</v>
      </c>
      <c r="R638" s="147" t="str">
        <f>IFERROR(__xludf.DUMMYFUNCTION("""COMPUTED_VALUE"""),"1509900-94-1041")</f>
        <v>1509900-94-1041</v>
      </c>
      <c r="S638" t="str">
        <f>IFERROR(__xludf.DUMMYFUNCTION("""COMPUTED_VALUE"""),"AD0277054")</f>
        <v>AD0277054</v>
      </c>
      <c r="T638" s="148">
        <f>IFERROR(__xludf.DUMMYFUNCTION("""COMPUTED_VALUE"""),44866.0)</f>
        <v>44866</v>
      </c>
      <c r="U638" s="148">
        <f>IFERROR(__xludf.DUMMYFUNCTION("""COMPUTED_VALUE"""),48518.0)</f>
        <v>48518</v>
      </c>
      <c r="V638" s="149">
        <f>IFERROR(__xludf.DUMMYFUNCTION("""COMPUTED_VALUE"""),48334.0)</f>
        <v>48334</v>
      </c>
      <c r="W638" t="str">
        <f>IFERROR(__xludf.DUMMYFUNCTION("""COMPUTED_VALUE"""),"ปลอดภัย")</f>
        <v>ปลอดภัย</v>
      </c>
      <c r="X638" t="str">
        <f>IFERROR(__xludf.DUMMYFUNCTION("""COMPUTED_VALUE"""),"Chiang Mai Province")</f>
        <v>Chiang Mai Province</v>
      </c>
      <c r="Y638" t="str">
        <f>IFERROR(__xludf.DUMMYFUNCTION("""COMPUTED_VALUE"""),"Muang")</f>
        <v>Muang</v>
      </c>
      <c r="Z638" t="str">
        <f>IFERROR(__xludf.DUMMYFUNCTION("""COMPUTED_VALUE"""),"087-305-6591")</f>
        <v>087-305-6591</v>
      </c>
      <c r="AA638" t="str">
        <f>IFERROR(__xludf.DUMMYFUNCTION("""COMPUTED_VALUE"""),"Sister")</f>
        <v>Sister</v>
      </c>
      <c r="AB638" t="str">
        <f>IFERROR(__xludf.DUMMYFUNCTION("""COMPUTED_VALUE"""),"thanchanoks@airasia.com")</f>
        <v>thanchanoks@airasia.com</v>
      </c>
    </row>
    <row r="639">
      <c r="AB639" t="str">
        <f>IFERROR(__xludf.DUMMYFUNCTION("""COMPUTED_VALUE"""),"")</f>
        <v/>
      </c>
    </row>
    <row r="640">
      <c r="A640">
        <f>IFERROR(__xludf.DUMMYFUNCTION("""COMPUTED_VALUE"""),1012892.0)</f>
        <v>1012892</v>
      </c>
      <c r="B640" t="str">
        <f>IFERROR(__xludf.DUMMYFUNCTION("""COMPUTED_VALUE"""),"Ms.")</f>
        <v>Ms.</v>
      </c>
      <c r="C640" t="str">
        <f>IFERROR(__xludf.DUMMYFUNCTION("""COMPUTED_VALUE"""),"Apinya")</f>
        <v>Apinya</v>
      </c>
      <c r="D640" t="str">
        <f>IFERROR(__xludf.DUMMYFUNCTION("""COMPUTED_VALUE"""),"Phiphatwatanarkul")</f>
        <v>Phiphatwatanarkul</v>
      </c>
      <c r="E640" t="str">
        <f>IFERROR(__xludf.DUMMYFUNCTION("""COMPUTED_VALUE"""),"Apinya Phiphatwatanarkul")</f>
        <v>Apinya Phiphatwatanarkul</v>
      </c>
      <c r="F640" t="str">
        <f>IFERROR(__xludf.DUMMYFUNCTION("""COMPUTED_VALUE"""),"นางสาว")</f>
        <v>นางสาว</v>
      </c>
      <c r="G640" t="str">
        <f>IFERROR(__xludf.DUMMYFUNCTION("""COMPUTED_VALUE"""),"อภิญญา")</f>
        <v>อภิญญา</v>
      </c>
      <c r="H640" t="str">
        <f>IFERROR(__xludf.DUMMYFUNCTION("""COMPUTED_VALUE"""),"พิพัฒนวัฒนากุล")</f>
        <v>พิพัฒนวัฒนากุล</v>
      </c>
      <c r="I640" t="str">
        <f>IFERROR(__xludf.DUMMYFUNCTION("""COMPUTED_VALUE"""),"อภิญญา พิพัฒนวัฒนากุล")</f>
        <v>อภิญญา พิพัฒนวัฒนากุล</v>
      </c>
      <c r="J640" t="str">
        <f>IFERROR(__xludf.DUMMYFUNCTION("""COMPUTED_VALUE"""),"หนาม")</f>
        <v>หนาม</v>
      </c>
      <c r="K640" t="str">
        <f>IFERROR(__xludf.DUMMYFUNCTION("""COMPUTED_VALUE"""),"Cabin Crew")</f>
        <v>Cabin Crew</v>
      </c>
      <c r="L640" t="str">
        <f>IFERROR(__xludf.DUMMYFUNCTION("""COMPUTED_VALUE"""),"DMK")</f>
        <v>DMK</v>
      </c>
      <c r="M640" s="145" t="str">
        <f>IFERROR(__xludf.DUMMYFUNCTION("""COMPUTED_VALUE"""),"Nhui Home")</f>
        <v>Nhui Home</v>
      </c>
      <c r="N640" t="str">
        <f>IFERROR(__xludf.DUMMYFUNCTION("""COMPUTED_VALUE"""),"Active")</f>
        <v>Active</v>
      </c>
      <c r="P640" s="143">
        <f>IFERROR(__xludf.DUMMYFUNCTION("""COMPUTED_VALUE"""),33741.0)</f>
        <v>33741</v>
      </c>
      <c r="Q640" s="146" t="str">
        <f>IFERROR(__xludf.DUMMYFUNCTION("""COMPUTED_VALUE"""),"093 915 9297")</f>
        <v>093 915 9297</v>
      </c>
      <c r="R640" s="147" t="str">
        <f>IFERROR(__xludf.DUMMYFUNCTION("""COMPUTED_VALUE"""),"1309900-76-6054")</f>
        <v>1309900-76-6054</v>
      </c>
      <c r="S640" t="str">
        <f>IFERROR(__xludf.DUMMYFUNCTION("""COMPUTED_VALUE"""),"AC6230105")</f>
        <v>AC6230105</v>
      </c>
      <c r="T640" s="148">
        <f>IFERROR(__xludf.DUMMYFUNCTION("""COMPUTED_VALUE"""),45302.0)</f>
        <v>45302</v>
      </c>
      <c r="U640" s="148">
        <f>IFERROR(__xludf.DUMMYFUNCTION("""COMPUTED_VALUE"""),48954.0)</f>
        <v>48954</v>
      </c>
      <c r="V640" s="149">
        <f>IFERROR(__xludf.DUMMYFUNCTION("""COMPUTED_VALUE"""),48770.0)</f>
        <v>48770</v>
      </c>
      <c r="W640" t="str">
        <f>IFERROR(__xludf.DUMMYFUNCTION("""COMPUTED_VALUE"""),"ปลอดภัย")</f>
        <v>ปลอดภัย</v>
      </c>
      <c r="X640" t="str">
        <f>IFERROR(__xludf.DUMMYFUNCTION("""COMPUTED_VALUE"""),"Nakhon Ratchasima Province")</f>
        <v>Nakhon Ratchasima Province</v>
      </c>
      <c r="Y640" t="str">
        <f>IFERROR(__xludf.DUMMYFUNCTION("""COMPUTED_VALUE"""),"Bangphat")</f>
        <v>Bangphat</v>
      </c>
      <c r="Z640" t="str">
        <f>IFERROR(__xludf.DUMMYFUNCTION("""COMPUTED_VALUE"""),"098 103 5946")</f>
        <v>098 103 5946</v>
      </c>
      <c r="AA640" t="str">
        <f>IFERROR(__xludf.DUMMYFUNCTION("""COMPUTED_VALUE"""),"ประดับดวง สิงห์น้อย")</f>
        <v>ประดับดวง สิงห์น้อย</v>
      </c>
      <c r="AB640" t="str">
        <f>IFERROR(__xludf.DUMMYFUNCTION("""COMPUTED_VALUE"""),"apinyah@airasia.com")</f>
        <v>apinyah@airasia.com</v>
      </c>
    </row>
    <row r="641">
      <c r="A641">
        <f>IFERROR(__xludf.DUMMYFUNCTION("""COMPUTED_VALUE"""),1012893.0)</f>
        <v>1012893</v>
      </c>
      <c r="B641" t="str">
        <f>IFERROR(__xludf.DUMMYFUNCTION("""COMPUTED_VALUE"""),"Ms.")</f>
        <v>Ms.</v>
      </c>
      <c r="C641" t="str">
        <f>IFERROR(__xludf.DUMMYFUNCTION("""COMPUTED_VALUE"""),"Areeya")</f>
        <v>Areeya</v>
      </c>
      <c r="D641" t="str">
        <f>IFERROR(__xludf.DUMMYFUNCTION("""COMPUTED_VALUE"""),"Payap")</f>
        <v>Payap</v>
      </c>
      <c r="E641" t="str">
        <f>IFERROR(__xludf.DUMMYFUNCTION("""COMPUTED_VALUE"""),"Areeya Payap")</f>
        <v>Areeya Payap</v>
      </c>
      <c r="F641" t="str">
        <f>IFERROR(__xludf.DUMMYFUNCTION("""COMPUTED_VALUE"""),"นางสาว")</f>
        <v>นางสาว</v>
      </c>
      <c r="G641" t="str">
        <f>IFERROR(__xludf.DUMMYFUNCTION("""COMPUTED_VALUE"""),"อารียา")</f>
        <v>อารียา</v>
      </c>
      <c r="H641" t="str">
        <f>IFERROR(__xludf.DUMMYFUNCTION("""COMPUTED_VALUE"""),"พายัพ")</f>
        <v>พายัพ</v>
      </c>
      <c r="I641" t="str">
        <f>IFERROR(__xludf.DUMMYFUNCTION("""COMPUTED_VALUE"""),"อารียา พายัพ")</f>
        <v>อารียา พายัพ</v>
      </c>
      <c r="J641" t="str">
        <f>IFERROR(__xludf.DUMMYFUNCTION("""COMPUTED_VALUE"""),"ยิ้ม")</f>
        <v>ยิ้ม</v>
      </c>
      <c r="K641" t="str">
        <f>IFERROR(__xludf.DUMMYFUNCTION("""COMPUTED_VALUE"""),"Senior Cabin Crew")</f>
        <v>Senior Cabin Crew</v>
      </c>
      <c r="L641" t="str">
        <f>IFERROR(__xludf.DUMMYFUNCTION("""COMPUTED_VALUE"""),"DMK")</f>
        <v>DMK</v>
      </c>
      <c r="M641" s="145" t="str">
        <f>IFERROR(__xludf.DUMMYFUNCTION("""COMPUTED_VALUE"""),"Um Home")</f>
        <v>Um Home</v>
      </c>
      <c r="N641" t="str">
        <f>IFERROR(__xludf.DUMMYFUNCTION("""COMPUTED_VALUE"""),"Active")</f>
        <v>Active</v>
      </c>
      <c r="O641" t="str">
        <f>IFERROR(__xludf.DUMMYFUNCTION("""COMPUTED_VALUE"""),"Chinese Speaking")</f>
        <v>Chinese Speaking</v>
      </c>
      <c r="P641" s="143">
        <f>IFERROR(__xludf.DUMMYFUNCTION("""COMPUTED_VALUE"""),33433.0)</f>
        <v>33433</v>
      </c>
      <c r="Q641" s="146" t="str">
        <f>IFERROR(__xludf.DUMMYFUNCTION("""COMPUTED_VALUE"""),"082 242 9193")</f>
        <v>082 242 9193</v>
      </c>
      <c r="R641" s="147" t="str">
        <f>IFERROR(__xludf.DUMMYFUNCTION("""COMPUTED_VALUE"""),"1549900-26-0272")</f>
        <v>1549900-26-0272</v>
      </c>
      <c r="S641" t="str">
        <f>IFERROR(__xludf.DUMMYFUNCTION("""COMPUTED_VALUE"""),"AC2856636")</f>
        <v>AC2856636</v>
      </c>
      <c r="T641" s="148">
        <f>IFERROR(__xludf.DUMMYFUNCTION("""COMPUTED_VALUE"""),44600.0)</f>
        <v>44600</v>
      </c>
      <c r="U641" s="148">
        <f>IFERROR(__xludf.DUMMYFUNCTION("""COMPUTED_VALUE"""),48251.0)</f>
        <v>48251</v>
      </c>
      <c r="V641" s="149">
        <f>IFERROR(__xludf.DUMMYFUNCTION("""COMPUTED_VALUE"""),48067.0)</f>
        <v>48067</v>
      </c>
      <c r="W641" t="str">
        <f>IFERROR(__xludf.DUMMYFUNCTION("""COMPUTED_VALUE"""),"ปลอดภัย")</f>
        <v>ปลอดภัย</v>
      </c>
      <c r="X641" t="str">
        <f>IFERROR(__xludf.DUMMYFUNCTION("""COMPUTED_VALUE"""),"Phrae Province")</f>
        <v>Phrae Province</v>
      </c>
      <c r="Y641" t="str">
        <f>IFERROR(__xludf.DUMMYFUNCTION("""COMPUTED_VALUE"""),"Phuket")</f>
        <v>Phuket</v>
      </c>
      <c r="Z641" t="str">
        <f>IFERROR(__xludf.DUMMYFUNCTION("""COMPUTED_VALUE"""),"-")</f>
        <v>-</v>
      </c>
      <c r="AA641" t="str">
        <f>IFERROR(__xludf.DUMMYFUNCTION("""COMPUTED_VALUE"""),"-")</f>
        <v>-</v>
      </c>
      <c r="AB641" t="str">
        <f>IFERROR(__xludf.DUMMYFUNCTION("""COMPUTED_VALUE"""),"areeyap@airasia.com")</f>
        <v>areeyap@airasia.com</v>
      </c>
    </row>
    <row r="642">
      <c r="A642">
        <f>IFERROR(__xludf.DUMMYFUNCTION("""COMPUTED_VALUE"""),1012894.0)</f>
        <v>1012894</v>
      </c>
      <c r="B642" t="str">
        <f>IFERROR(__xludf.DUMMYFUNCTION("""COMPUTED_VALUE"""),"Ms.")</f>
        <v>Ms.</v>
      </c>
      <c r="C642" t="str">
        <f>IFERROR(__xludf.DUMMYFUNCTION("""COMPUTED_VALUE"""),"Issarawadee")</f>
        <v>Issarawadee</v>
      </c>
      <c r="D642" t="str">
        <f>IFERROR(__xludf.DUMMYFUNCTION("""COMPUTED_VALUE"""),"Chaihan")</f>
        <v>Chaihan</v>
      </c>
      <c r="E642" t="str">
        <f>IFERROR(__xludf.DUMMYFUNCTION("""COMPUTED_VALUE"""),"Issarawadee Chaihan")</f>
        <v>Issarawadee Chaihan</v>
      </c>
      <c r="F642" t="str">
        <f>IFERROR(__xludf.DUMMYFUNCTION("""COMPUTED_VALUE"""),"นางสาว")</f>
        <v>นางสาว</v>
      </c>
      <c r="G642" t="str">
        <f>IFERROR(__xludf.DUMMYFUNCTION("""COMPUTED_VALUE"""),"อิสราวดี")</f>
        <v>อิสราวดี</v>
      </c>
      <c r="H642" t="str">
        <f>IFERROR(__xludf.DUMMYFUNCTION("""COMPUTED_VALUE"""),"ไชยหาญ")</f>
        <v>ไชยหาญ</v>
      </c>
      <c r="I642" t="str">
        <f>IFERROR(__xludf.DUMMYFUNCTION("""COMPUTED_VALUE"""),"อิสราวดี ไชยหาญ")</f>
        <v>อิสราวดี ไชยหาญ</v>
      </c>
      <c r="J642" t="str">
        <f>IFERROR(__xludf.DUMMYFUNCTION("""COMPUTED_VALUE"""),"น้ำ")</f>
        <v>น้ำ</v>
      </c>
      <c r="K642" t="str">
        <f>IFERROR(__xludf.DUMMYFUNCTION("""COMPUTED_VALUE"""),"Cabin Crew")</f>
        <v>Cabin Crew</v>
      </c>
      <c r="L642" t="str">
        <f>IFERROR(__xludf.DUMMYFUNCTION("""COMPUTED_VALUE"""),"DMK")</f>
        <v>DMK</v>
      </c>
      <c r="M642" s="145" t="str">
        <f>IFERROR(__xludf.DUMMYFUNCTION("""COMPUTED_VALUE"""),"Toffy Home")</f>
        <v>Toffy Home</v>
      </c>
      <c r="N642" t="str">
        <f>IFERROR(__xludf.DUMMYFUNCTION("""COMPUTED_VALUE"""),"Active")</f>
        <v>Active</v>
      </c>
      <c r="O642" t="str">
        <f>IFERROR(__xludf.DUMMYFUNCTION("""COMPUTED_VALUE"""),"Chinese Speaking")</f>
        <v>Chinese Speaking</v>
      </c>
      <c r="P642" s="143">
        <f>IFERROR(__xludf.DUMMYFUNCTION("""COMPUTED_VALUE"""),33885.0)</f>
        <v>33885</v>
      </c>
      <c r="Q642" s="146" t="str">
        <f>IFERROR(__xludf.DUMMYFUNCTION("""COMPUTED_VALUE"""),"083-9924864")</f>
        <v>083-9924864</v>
      </c>
      <c r="R642" s="147" t="str">
        <f>IFERROR(__xludf.DUMMYFUNCTION("""COMPUTED_VALUE"""),"1900200-06-1127")</f>
        <v>1900200-06-1127</v>
      </c>
      <c r="S642" t="str">
        <f>IFERROR(__xludf.DUMMYFUNCTION("""COMPUTED_VALUE"""),"AD1955608")</f>
        <v>AD1955608</v>
      </c>
      <c r="T642" s="149">
        <f>IFERROR(__xludf.DUMMYFUNCTION("""COMPUTED_VALUE"""),45499.0)</f>
        <v>45499</v>
      </c>
      <c r="U642" s="148">
        <f>IFERROR(__xludf.DUMMYFUNCTION("""COMPUTED_VALUE"""),49150.0)</f>
        <v>49150</v>
      </c>
      <c r="V642" s="149">
        <f>IFERROR(__xludf.DUMMYFUNCTION("""COMPUTED_VALUE"""),48969.0)</f>
        <v>48969</v>
      </c>
      <c r="W642" t="str">
        <f>IFERROR(__xludf.DUMMYFUNCTION("""COMPUTED_VALUE"""),"ปลอดภัย")</f>
        <v>ปลอดภัย</v>
      </c>
      <c r="X642" t="str">
        <f>IFERROR(__xludf.DUMMYFUNCTION("""COMPUTED_VALUE"""),"Songkhla Province")</f>
        <v>Songkhla Province</v>
      </c>
      <c r="Y642" t="str">
        <f>IFERROR(__xludf.DUMMYFUNCTION("""COMPUTED_VALUE"""),"Songkhla")</f>
        <v>Songkhla</v>
      </c>
      <c r="Z642" t="str">
        <f>IFERROR(__xludf.DUMMYFUNCTION("""COMPUTED_VALUE"""),"095 575 3799")</f>
        <v>095 575 3799</v>
      </c>
      <c r="AA642" t="str">
        <f>IFERROR(__xludf.DUMMYFUNCTION("""COMPUTED_VALUE"""),"Mother")</f>
        <v>Mother</v>
      </c>
      <c r="AB642" t="str">
        <f>IFERROR(__xludf.DUMMYFUNCTION("""COMPUTED_VALUE"""),"issarawadeec@airasia.com")</f>
        <v>issarawadeec@airasia.com</v>
      </c>
    </row>
    <row r="643">
      <c r="A643">
        <f>IFERROR(__xludf.DUMMYFUNCTION("""COMPUTED_VALUE"""),1012895.0)</f>
        <v>1012895</v>
      </c>
      <c r="B643" t="str">
        <f>IFERROR(__xludf.DUMMYFUNCTION("""COMPUTED_VALUE"""),"Mr.")</f>
        <v>Mr.</v>
      </c>
      <c r="C643" t="str">
        <f>IFERROR(__xludf.DUMMYFUNCTION("""COMPUTED_VALUE"""),"Pannawach (Nutchanon)")</f>
        <v>Pannawach (Nutchanon)</v>
      </c>
      <c r="D643" t="str">
        <f>IFERROR(__xludf.DUMMYFUNCTION("""COMPUTED_VALUE"""),"Kiatmethinpol (Wattanalee)")</f>
        <v>Kiatmethinpol (Wattanalee)</v>
      </c>
      <c r="E643" t="str">
        <f>IFERROR(__xludf.DUMMYFUNCTION("""COMPUTED_VALUE"""),"Pannawach Kiatmethinpol")</f>
        <v>Pannawach Kiatmethinpol</v>
      </c>
      <c r="F643" t="str">
        <f>IFERROR(__xludf.DUMMYFUNCTION("""COMPUTED_VALUE"""),"นาย")</f>
        <v>นาย</v>
      </c>
      <c r="G643" t="str">
        <f>IFERROR(__xludf.DUMMYFUNCTION("""COMPUTED_VALUE"""),"ปัณณวัชร์ (ณัฐชนน)")</f>
        <v>ปัณณวัชร์ (ณัฐชนน)</v>
      </c>
      <c r="H643" t="str">
        <f>IFERROR(__xludf.DUMMYFUNCTION("""COMPUTED_VALUE"""),"เกียรติเมธินพล (วัฒนลี)")</f>
        <v>เกียรติเมธินพล (วัฒนลี)</v>
      </c>
      <c r="I643" t="str">
        <f>IFERROR(__xludf.DUMMYFUNCTION("""COMPUTED_VALUE"""),"ปัณณวัชร์ เกียรติเมธินพล")</f>
        <v>ปัณณวัชร์ เกียรติเมธินพล</v>
      </c>
      <c r="J643" t="str">
        <f>IFERROR(__xludf.DUMMYFUNCTION("""COMPUTED_VALUE"""),"Non")</f>
        <v>Non</v>
      </c>
      <c r="K643" t="str">
        <f>IFERROR(__xludf.DUMMYFUNCTION("""COMPUTED_VALUE"""),"Cabin Crew")</f>
        <v>Cabin Crew</v>
      </c>
      <c r="L643" t="str">
        <f>IFERROR(__xludf.DUMMYFUNCTION("""COMPUTED_VALUE"""),"DMK")</f>
        <v>DMK</v>
      </c>
      <c r="M643" s="145" t="str">
        <f>IFERROR(__xludf.DUMMYFUNCTION("""COMPUTED_VALUE"""),"Kor Home")</f>
        <v>Kor Home</v>
      </c>
      <c r="N643" t="str">
        <f>IFERROR(__xludf.DUMMYFUNCTION("""COMPUTED_VALUE"""),"Active")</f>
        <v>Active</v>
      </c>
      <c r="P643" s="143">
        <f>IFERROR(__xludf.DUMMYFUNCTION("""COMPUTED_VALUE"""),33343.0)</f>
        <v>33343</v>
      </c>
      <c r="Q643" s="146" t="str">
        <f>IFERROR(__xludf.DUMMYFUNCTION("""COMPUTED_VALUE"""),"085 115 8959")</f>
        <v>085 115 8959</v>
      </c>
      <c r="R643" s="147" t="str">
        <f>IFERROR(__xludf.DUMMYFUNCTION("""COMPUTED_VALUE"""),"1103300-03-6302")</f>
        <v>1103300-03-6302</v>
      </c>
      <c r="S643" t="str">
        <f>IFERROR(__xludf.DUMMYFUNCTION("""COMPUTED_VALUE"""),"AC5629025")</f>
        <v>AC5629025</v>
      </c>
      <c r="T643" s="148">
        <f>IFERROR(__xludf.DUMMYFUNCTION("""COMPUTED_VALUE"""),45173.0)</f>
        <v>45173</v>
      </c>
      <c r="U643" s="148">
        <f>IFERROR(__xludf.DUMMYFUNCTION("""COMPUTED_VALUE"""),48825.0)</f>
        <v>48825</v>
      </c>
      <c r="V643" s="149">
        <f>IFERROR(__xludf.DUMMYFUNCTION("""COMPUTED_VALUE"""),48641.0)</f>
        <v>48641</v>
      </c>
      <c r="W643" t="str">
        <f>IFERROR(__xludf.DUMMYFUNCTION("""COMPUTED_VALUE"""),"ปลอดภัย")</f>
        <v>ปลอดภัย</v>
      </c>
      <c r="X643" t="str">
        <f>IFERROR(__xludf.DUMMYFUNCTION("""COMPUTED_VALUE"""),"Bangkok")</f>
        <v>Bangkok</v>
      </c>
      <c r="Y643" t="str">
        <f>IFERROR(__xludf.DUMMYFUNCTION("""COMPUTED_VALUE"""),"Klongtoey")</f>
        <v>Klongtoey</v>
      </c>
      <c r="Z643" t="str">
        <f>IFERROR(__xludf.DUMMYFUNCTION("""COMPUTED_VALUE"""),"089 455 9542")</f>
        <v>089 455 9542</v>
      </c>
      <c r="AA643" t="str">
        <f>IFERROR(__xludf.DUMMYFUNCTION("""COMPUTED_VALUE"""),"Putthi Wattanalee")</f>
        <v>Putthi Wattanalee</v>
      </c>
      <c r="AB643" t="str">
        <f>IFERROR(__xludf.DUMMYFUNCTION("""COMPUTED_VALUE"""),"pannawachk@airasia.com")</f>
        <v>pannawachk@airasia.com</v>
      </c>
    </row>
    <row r="644">
      <c r="A644">
        <f>IFERROR(__xludf.DUMMYFUNCTION("""COMPUTED_VALUE"""),1012896.0)</f>
        <v>1012896</v>
      </c>
      <c r="B644" t="str">
        <f>IFERROR(__xludf.DUMMYFUNCTION("""COMPUTED_VALUE"""),"Mr.")</f>
        <v>Mr.</v>
      </c>
      <c r="C644" t="str">
        <f>IFERROR(__xludf.DUMMYFUNCTION("""COMPUTED_VALUE"""),"Nuttawut")</f>
        <v>Nuttawut</v>
      </c>
      <c r="D644" t="str">
        <f>IFERROR(__xludf.DUMMYFUNCTION("""COMPUTED_VALUE"""),"Choonam")</f>
        <v>Choonam</v>
      </c>
      <c r="E644" t="str">
        <f>IFERROR(__xludf.DUMMYFUNCTION("""COMPUTED_VALUE"""),"Nuttawut Choonam")</f>
        <v>Nuttawut Choonam</v>
      </c>
      <c r="F644" t="str">
        <f>IFERROR(__xludf.DUMMYFUNCTION("""COMPUTED_VALUE"""),"นาย")</f>
        <v>นาย</v>
      </c>
      <c r="G644" t="str">
        <f>IFERROR(__xludf.DUMMYFUNCTION("""COMPUTED_VALUE"""),"ณัฐวุฒิ")</f>
        <v>ณัฐวุฒิ</v>
      </c>
      <c r="H644" t="str">
        <f>IFERROR(__xludf.DUMMYFUNCTION("""COMPUTED_VALUE"""),"ชูนาม")</f>
        <v>ชูนาม</v>
      </c>
      <c r="I644" t="str">
        <f>IFERROR(__xludf.DUMMYFUNCTION("""COMPUTED_VALUE"""),"ณัฐวุฒิ ชูนาม")</f>
        <v>ณัฐวุฒิ ชูนาม</v>
      </c>
      <c r="J644" t="str">
        <f>IFERROR(__xludf.DUMMYFUNCTION("""COMPUTED_VALUE"""),"อาร์ม")</f>
        <v>อาร์ม</v>
      </c>
      <c r="K644" t="str">
        <f>IFERROR(__xludf.DUMMYFUNCTION("""COMPUTED_VALUE"""),"Cabin Crew - BKK")</f>
        <v>Cabin Crew - BKK</v>
      </c>
      <c r="L644" t="str">
        <f>IFERROR(__xludf.DUMMYFUNCTION("""COMPUTED_VALUE"""),"BKK")</f>
        <v>BKK</v>
      </c>
      <c r="M644" s="145" t="str">
        <f>IFERROR(__xludf.DUMMYFUNCTION("""COMPUTED_VALUE"""),"Nhui Home")</f>
        <v>Nhui Home</v>
      </c>
      <c r="N644" t="str">
        <f>IFERROR(__xludf.DUMMYFUNCTION("""COMPUTED_VALUE"""),"Active")</f>
        <v>Active</v>
      </c>
      <c r="P644" s="143">
        <f>IFERROR(__xludf.DUMMYFUNCTION("""COMPUTED_VALUE"""),33197.0)</f>
        <v>33197</v>
      </c>
      <c r="Q644" s="146" t="str">
        <f>IFERROR(__xludf.DUMMYFUNCTION("""COMPUTED_VALUE"""),"089 745 4708")</f>
        <v>089 745 4708</v>
      </c>
      <c r="R644" s="147" t="str">
        <f>IFERROR(__xludf.DUMMYFUNCTION("""COMPUTED_VALUE"""),"1709900-57-9340")</f>
        <v>1709900-57-9340</v>
      </c>
      <c r="S644" t="str">
        <f>IFERROR(__xludf.DUMMYFUNCTION("""COMPUTED_VALUE"""),"AC3537765")</f>
        <v>AC3537765</v>
      </c>
      <c r="T644" s="148">
        <f>IFERROR(__xludf.DUMMYFUNCTION("""COMPUTED_VALUE"""),44747.0)</f>
        <v>44747</v>
      </c>
      <c r="U644" s="148">
        <f>IFERROR(__xludf.DUMMYFUNCTION("""COMPUTED_VALUE"""),48399.0)</f>
        <v>48399</v>
      </c>
      <c r="V644" s="149">
        <f>IFERROR(__xludf.DUMMYFUNCTION("""COMPUTED_VALUE"""),48217.0)</f>
        <v>48217</v>
      </c>
      <c r="W644" t="str">
        <f>IFERROR(__xludf.DUMMYFUNCTION("""COMPUTED_VALUE"""),"ปลอดภัย")</f>
        <v>ปลอดภัย</v>
      </c>
      <c r="X644" t="str">
        <f>IFERROR(__xludf.DUMMYFUNCTION("""COMPUTED_VALUE"""),"Ratchaburi Province")</f>
        <v>Ratchaburi Province</v>
      </c>
      <c r="Y644" t="str">
        <f>IFERROR(__xludf.DUMMYFUNCTION("""COMPUTED_VALUE"""),"Din Deang")</f>
        <v>Din Deang</v>
      </c>
      <c r="Z644" t="str">
        <f>IFERROR(__xludf.DUMMYFUNCTION("""COMPUTED_VALUE"""),"087 926 1314")</f>
        <v>087 926 1314</v>
      </c>
      <c r="AA644" t="str">
        <f>IFERROR(__xludf.DUMMYFUNCTION("""COMPUTED_VALUE"""),"Somsri Choonam")</f>
        <v>Somsri Choonam</v>
      </c>
      <c r="AB644" t="str">
        <f>IFERROR(__xludf.DUMMYFUNCTION("""COMPUTED_VALUE"""),"nuttawuth@airasia.com")</f>
        <v>nuttawuth@airasia.com</v>
      </c>
    </row>
    <row r="645">
      <c r="A645">
        <f>IFERROR(__xludf.DUMMYFUNCTION("""COMPUTED_VALUE"""),1012898.0)</f>
        <v>1012898</v>
      </c>
      <c r="B645" t="str">
        <f>IFERROR(__xludf.DUMMYFUNCTION("""COMPUTED_VALUE"""),"Mr.")</f>
        <v>Mr.</v>
      </c>
      <c r="C645" t="str">
        <f>IFERROR(__xludf.DUMMYFUNCTION("""COMPUTED_VALUE"""),"Paranyu")</f>
        <v>Paranyu</v>
      </c>
      <c r="D645" t="str">
        <f>IFERROR(__xludf.DUMMYFUNCTION("""COMPUTED_VALUE"""),"Sukthanakij")</f>
        <v>Sukthanakij</v>
      </c>
      <c r="E645" t="str">
        <f>IFERROR(__xludf.DUMMYFUNCTION("""COMPUTED_VALUE"""),"Paranyu Sukthanakij")</f>
        <v>Paranyu Sukthanakij</v>
      </c>
      <c r="F645" t="str">
        <f>IFERROR(__xludf.DUMMYFUNCTION("""COMPUTED_VALUE"""),"นาย")</f>
        <v>นาย</v>
      </c>
      <c r="G645" t="str">
        <f>IFERROR(__xludf.DUMMYFUNCTION("""COMPUTED_VALUE"""),"ภรัณยู")</f>
        <v>ภรัณยู</v>
      </c>
      <c r="H645" t="str">
        <f>IFERROR(__xludf.DUMMYFUNCTION("""COMPUTED_VALUE"""),"สุขธนกิจ")</f>
        <v>สุขธนกิจ</v>
      </c>
      <c r="I645" t="str">
        <f>IFERROR(__xludf.DUMMYFUNCTION("""COMPUTED_VALUE"""),"ภรัณยู สุขธนกิจ")</f>
        <v>ภรัณยู สุขธนกิจ</v>
      </c>
      <c r="J645" t="str">
        <f>IFERROR(__xludf.DUMMYFUNCTION("""COMPUTED_VALUE"""),"ซัน")</f>
        <v>ซัน</v>
      </c>
      <c r="K645" t="str">
        <f>IFERROR(__xludf.DUMMYFUNCTION("""COMPUTED_VALUE"""),"Senior Cabin Crew")</f>
        <v>Senior Cabin Crew</v>
      </c>
      <c r="L645" t="str">
        <f>IFERROR(__xludf.DUMMYFUNCTION("""COMPUTED_VALUE"""),"DMK")</f>
        <v>DMK</v>
      </c>
      <c r="M645" s="145" t="str">
        <f>IFERROR(__xludf.DUMMYFUNCTION("""COMPUTED_VALUE"""),"Namfon Home")</f>
        <v>Namfon Home</v>
      </c>
      <c r="N645" t="str">
        <f>IFERROR(__xludf.DUMMYFUNCTION("""COMPUTED_VALUE"""),"Active")</f>
        <v>Active</v>
      </c>
      <c r="P645" s="143">
        <f>IFERROR(__xludf.DUMMYFUNCTION("""COMPUTED_VALUE"""),33359.0)</f>
        <v>33359</v>
      </c>
      <c r="Q645" s="146" t="str">
        <f>IFERROR(__xludf.DUMMYFUNCTION("""COMPUTED_VALUE"""),"094 446 4163")</f>
        <v>094 446 4163</v>
      </c>
      <c r="R645" s="147" t="str">
        <f>IFERROR(__xludf.DUMMYFUNCTION("""COMPUTED_VALUE"""),"1100400-51-5722")</f>
        <v>1100400-51-5722</v>
      </c>
      <c r="S645" t="str">
        <f>IFERROR(__xludf.DUMMYFUNCTION("""COMPUTED_VALUE"""),"AC3008529")</f>
        <v>AC3008529</v>
      </c>
      <c r="T645" s="148">
        <f>IFERROR(__xludf.DUMMYFUNCTION("""COMPUTED_VALUE"""),44671.0)</f>
        <v>44671</v>
      </c>
      <c r="U645" s="148">
        <f>IFERROR(__xludf.DUMMYFUNCTION("""COMPUTED_VALUE"""),48323.0)</f>
        <v>48323</v>
      </c>
      <c r="V645" s="149">
        <f>IFERROR(__xludf.DUMMYFUNCTION("""COMPUTED_VALUE"""),48140.0)</f>
        <v>48140</v>
      </c>
      <c r="W645" t="str">
        <f>IFERROR(__xludf.DUMMYFUNCTION("""COMPUTED_VALUE"""),"ปลอดภัย")</f>
        <v>ปลอดภัย</v>
      </c>
      <c r="X645" t="str">
        <f>IFERROR(__xludf.DUMMYFUNCTION("""COMPUTED_VALUE"""),"Bangkok")</f>
        <v>Bangkok</v>
      </c>
      <c r="Y645" t="str">
        <f>IFERROR(__xludf.DUMMYFUNCTION("""COMPUTED_VALUE"""),"Wang Thong Lang")</f>
        <v>Wang Thong Lang</v>
      </c>
      <c r="Z645" t="str">
        <f>IFERROR(__xludf.DUMMYFUNCTION("""COMPUTED_VALUE"""),"089 116 2480")</f>
        <v>089 116 2480</v>
      </c>
      <c r="AA645" t="str">
        <f>IFERROR(__xludf.DUMMYFUNCTION("""COMPUTED_VALUE"""),"Somsak Sukthanakij")</f>
        <v>Somsak Sukthanakij</v>
      </c>
      <c r="AB645" t="str">
        <f>IFERROR(__xludf.DUMMYFUNCTION("""COMPUTED_VALUE"""),"paranyus@airasia.com")</f>
        <v>paranyus@airasia.com</v>
      </c>
    </row>
    <row r="646">
      <c r="A646">
        <f>IFERROR(__xludf.DUMMYFUNCTION("""COMPUTED_VALUE"""),1012899.0)</f>
        <v>1012899</v>
      </c>
      <c r="B646" t="str">
        <f>IFERROR(__xludf.DUMMYFUNCTION("""COMPUTED_VALUE"""),"Mr.")</f>
        <v>Mr.</v>
      </c>
      <c r="C646" t="str">
        <f>IFERROR(__xludf.DUMMYFUNCTION("""COMPUTED_VALUE"""),"Pichaya")</f>
        <v>Pichaya</v>
      </c>
      <c r="D646" t="str">
        <f>IFERROR(__xludf.DUMMYFUNCTION("""COMPUTED_VALUE"""),"Sonthigorn")</f>
        <v>Sonthigorn</v>
      </c>
      <c r="E646" t="str">
        <f>IFERROR(__xludf.DUMMYFUNCTION("""COMPUTED_VALUE"""),"Pichaya Sonthigorn")</f>
        <v>Pichaya Sonthigorn</v>
      </c>
      <c r="F646" t="str">
        <f>IFERROR(__xludf.DUMMYFUNCTION("""COMPUTED_VALUE"""),"นาย")</f>
        <v>นาย</v>
      </c>
      <c r="G646" t="str">
        <f>IFERROR(__xludf.DUMMYFUNCTION("""COMPUTED_VALUE"""),"พิชญะ")</f>
        <v>พิชญะ</v>
      </c>
      <c r="H646" t="str">
        <f>IFERROR(__xludf.DUMMYFUNCTION("""COMPUTED_VALUE"""),"สนธิกรณ์")</f>
        <v>สนธิกรณ์</v>
      </c>
      <c r="I646" t="str">
        <f>IFERROR(__xludf.DUMMYFUNCTION("""COMPUTED_VALUE"""),"พิชญะ สนธิกรณ์")</f>
        <v>พิชญะ สนธิกรณ์</v>
      </c>
      <c r="J646" t="str">
        <f>IFERROR(__xludf.DUMMYFUNCTION("""COMPUTED_VALUE"""),"พี")</f>
        <v>พี</v>
      </c>
      <c r="K646" t="str">
        <f>IFERROR(__xludf.DUMMYFUNCTION("""COMPUTED_VALUE"""),"Senior Cabin Crew")</f>
        <v>Senior Cabin Crew</v>
      </c>
      <c r="L646" t="str">
        <f>IFERROR(__xludf.DUMMYFUNCTION("""COMPUTED_VALUE"""),"DMK")</f>
        <v>DMK</v>
      </c>
      <c r="M646" s="145" t="str">
        <f>IFERROR(__xludf.DUMMYFUNCTION("""COMPUTED_VALUE"""),"Por+ Home")</f>
        <v>Por+ Home</v>
      </c>
      <c r="N646" t="str">
        <f>IFERROR(__xludf.DUMMYFUNCTION("""COMPUTED_VALUE"""),"Active")</f>
        <v>Active</v>
      </c>
      <c r="P646" s="143">
        <f>IFERROR(__xludf.DUMMYFUNCTION("""COMPUTED_VALUE"""),33347.0)</f>
        <v>33347</v>
      </c>
      <c r="Q646" s="146" t="str">
        <f>IFERROR(__xludf.DUMMYFUNCTION("""COMPUTED_VALUE"""),"085 559 5979")</f>
        <v>085 559 5979</v>
      </c>
      <c r="R646" s="147" t="str">
        <f>IFERROR(__xludf.DUMMYFUNCTION("""COMPUTED_VALUE"""),"1250100-19-3117")</f>
        <v>1250100-19-3117</v>
      </c>
      <c r="S646" t="str">
        <f>IFERROR(__xludf.DUMMYFUNCTION("""COMPUTED_VALUE"""),"AC3083615")</f>
        <v>AC3083615</v>
      </c>
      <c r="T646" s="148">
        <f>IFERROR(__xludf.DUMMYFUNCTION("""COMPUTED_VALUE"""),44686.0)</f>
        <v>44686</v>
      </c>
      <c r="U646" s="148">
        <f>IFERROR(__xludf.DUMMYFUNCTION("""COMPUTED_VALUE"""),48338.0)</f>
        <v>48338</v>
      </c>
      <c r="V646" s="149">
        <f>IFERROR(__xludf.DUMMYFUNCTION("""COMPUTED_VALUE"""),48156.0)</f>
        <v>48156</v>
      </c>
      <c r="W646" t="str">
        <f>IFERROR(__xludf.DUMMYFUNCTION("""COMPUTED_VALUE"""),"ปลอดภัย")</f>
        <v>ปลอดภัย</v>
      </c>
      <c r="X646" t="str">
        <f>IFERROR(__xludf.DUMMYFUNCTION("""COMPUTED_VALUE"""),"Prachinburi Province")</f>
        <v>Prachinburi Province</v>
      </c>
      <c r="Y646" t="str">
        <f>IFERROR(__xludf.DUMMYFUNCTION("""COMPUTED_VALUE"""),"Sara Buri")</f>
        <v>Sara Buri</v>
      </c>
      <c r="Z646" t="str">
        <f>IFERROR(__xludf.DUMMYFUNCTION("""COMPUTED_VALUE"""),"086 387 0813")</f>
        <v>086 387 0813</v>
      </c>
      <c r="AA646" t="str">
        <f>IFERROR(__xludf.DUMMYFUNCTION("""COMPUTED_VALUE"""),"Kuljira Boonsaner")</f>
        <v>Kuljira Boonsaner</v>
      </c>
      <c r="AB646" t="str">
        <f>IFERROR(__xludf.DUMMYFUNCTION("""COMPUTED_VALUE"""),"pichayas@airasia.com")</f>
        <v>pichayas@airasia.com</v>
      </c>
    </row>
    <row r="647">
      <c r="A647">
        <f>IFERROR(__xludf.DUMMYFUNCTION("""COMPUTED_VALUE"""),1012900.0)</f>
        <v>1012900</v>
      </c>
      <c r="B647" t="str">
        <f>IFERROR(__xludf.DUMMYFUNCTION("""COMPUTED_VALUE"""),"Ms.")</f>
        <v>Ms.</v>
      </c>
      <c r="C647" t="str">
        <f>IFERROR(__xludf.DUMMYFUNCTION("""COMPUTED_VALUE"""),"Ratchadaporn")</f>
        <v>Ratchadaporn</v>
      </c>
      <c r="D647" t="str">
        <f>IFERROR(__xludf.DUMMYFUNCTION("""COMPUTED_VALUE"""),"Trakoolchai (Nongkarn)")</f>
        <v>Trakoolchai (Nongkarn)</v>
      </c>
      <c r="E647" t="str">
        <f>IFERROR(__xludf.DUMMYFUNCTION("""COMPUTED_VALUE"""),"Ratchadaporn Trakoolchai ")</f>
        <v>Ratchadaporn Trakoolchai </v>
      </c>
      <c r="F647" t="str">
        <f>IFERROR(__xludf.DUMMYFUNCTION("""COMPUTED_VALUE"""),"นางสาว")</f>
        <v>นางสาว</v>
      </c>
      <c r="G647" t="str">
        <f>IFERROR(__xludf.DUMMYFUNCTION("""COMPUTED_VALUE"""),"รัชฎาภรณ์")</f>
        <v>รัชฎาภรณ์</v>
      </c>
      <c r="H647" t="str">
        <f>IFERROR(__xludf.DUMMYFUNCTION("""COMPUTED_VALUE"""),"ตระกูลชัย (น้องการ)")</f>
        <v>ตระกูลชัย (น้องการ)</v>
      </c>
      <c r="I647" t="str">
        <f>IFERROR(__xludf.DUMMYFUNCTION("""COMPUTED_VALUE"""),"รัชฎาภรณ์ ตระกูลชัย")</f>
        <v>รัชฎาภรณ์ ตระกูลชัย</v>
      </c>
      <c r="J647" t="str">
        <f>IFERROR(__xludf.DUMMYFUNCTION("""COMPUTED_VALUE"""),"มิว")</f>
        <v>มิว</v>
      </c>
      <c r="K647" t="str">
        <f>IFERROR(__xludf.DUMMYFUNCTION("""COMPUTED_VALUE"""),"Cabin Crew - BKK")</f>
        <v>Cabin Crew - BKK</v>
      </c>
      <c r="L647" t="str">
        <f>IFERROR(__xludf.DUMMYFUNCTION("""COMPUTED_VALUE"""),"BKK")</f>
        <v>BKK</v>
      </c>
      <c r="M647" s="145" t="str">
        <f>IFERROR(__xludf.DUMMYFUNCTION("""COMPUTED_VALUE"""),"Nhui Home")</f>
        <v>Nhui Home</v>
      </c>
      <c r="N647" t="str">
        <f>IFERROR(__xludf.DUMMYFUNCTION("""COMPUTED_VALUE"""),"Active")</f>
        <v>Active</v>
      </c>
      <c r="P647" s="143">
        <f>IFERROR(__xludf.DUMMYFUNCTION("""COMPUTED_VALUE"""),32750.0)</f>
        <v>32750</v>
      </c>
      <c r="Q647" s="146" t="str">
        <f>IFERROR(__xludf.DUMMYFUNCTION("""COMPUTED_VALUE"""),"084 299 6145")</f>
        <v>084 299 6145</v>
      </c>
      <c r="R647" s="147" t="str">
        <f>IFERROR(__xludf.DUMMYFUNCTION("""COMPUTED_VALUE"""),"1559900-15-1899")</f>
        <v>1559900-15-1899</v>
      </c>
      <c r="S647" t="str">
        <f>IFERROR(__xludf.DUMMYFUNCTION("""COMPUTED_VALUE"""),"AC5657047")</f>
        <v>AC5657047</v>
      </c>
      <c r="T647" s="148">
        <f>IFERROR(__xludf.DUMMYFUNCTION("""COMPUTED_VALUE"""),45176.0)</f>
        <v>45176</v>
      </c>
      <c r="U647" s="148">
        <f>IFERROR(__xludf.DUMMYFUNCTION("""COMPUTED_VALUE"""),48828.0)</f>
        <v>48828</v>
      </c>
      <c r="V647" s="149">
        <f>IFERROR(__xludf.DUMMYFUNCTION("""COMPUTED_VALUE"""),48644.0)</f>
        <v>48644</v>
      </c>
      <c r="W647" t="str">
        <f>IFERROR(__xludf.DUMMYFUNCTION("""COMPUTED_VALUE"""),"ปลอดภัย")</f>
        <v>ปลอดภัย</v>
      </c>
      <c r="X647" t="str">
        <f>IFERROR(__xludf.DUMMYFUNCTION("""COMPUTED_VALUE"""),"Nan Province")</f>
        <v>Nan Province</v>
      </c>
      <c r="Y647" t="str">
        <f>IFERROR(__xludf.DUMMYFUNCTION("""COMPUTED_VALUE"""),"Ladkrabang")</f>
        <v>Ladkrabang</v>
      </c>
      <c r="Z647" t="str">
        <f>IFERROR(__xludf.DUMMYFUNCTION("""COMPUTED_VALUE"""),"092 654 2254")</f>
        <v>092 654 2254</v>
      </c>
      <c r="AA647" t="str">
        <f>IFERROR(__xludf.DUMMYFUNCTION("""COMPUTED_VALUE"""),"Malee Nongkarn")</f>
        <v>Malee Nongkarn</v>
      </c>
      <c r="AB647" t="str">
        <f>IFERROR(__xludf.DUMMYFUNCTION("""COMPUTED_VALUE"""),"ratchadaporntrakool@airasia.com")</f>
        <v>ratchadaporntrakool@airasia.com</v>
      </c>
    </row>
    <row r="648">
      <c r="A648">
        <f>IFERROR(__xludf.DUMMYFUNCTION("""COMPUTED_VALUE"""),1012901.0)</f>
        <v>1012901</v>
      </c>
      <c r="B648" t="str">
        <f>IFERROR(__xludf.DUMMYFUNCTION("""COMPUTED_VALUE"""),"Ms.")</f>
        <v>Ms.</v>
      </c>
      <c r="C648" t="str">
        <f>IFERROR(__xludf.DUMMYFUNCTION("""COMPUTED_VALUE"""),"Sandao")</f>
        <v>Sandao</v>
      </c>
      <c r="D648" t="str">
        <f>IFERROR(__xludf.DUMMYFUNCTION("""COMPUTED_VALUE"""),"Siriwarunrak")</f>
        <v>Siriwarunrak</v>
      </c>
      <c r="E648" t="str">
        <f>IFERROR(__xludf.DUMMYFUNCTION("""COMPUTED_VALUE"""),"Sandao Siriwarunrak")</f>
        <v>Sandao Siriwarunrak</v>
      </c>
      <c r="F648" t="str">
        <f>IFERROR(__xludf.DUMMYFUNCTION("""COMPUTED_VALUE"""),"นางสาว")</f>
        <v>นางสาว</v>
      </c>
      <c r="G648" t="str">
        <f>IFERROR(__xludf.DUMMYFUNCTION("""COMPUTED_VALUE"""),"แสนดาว")</f>
        <v>แสนดาว</v>
      </c>
      <c r="H648" t="str">
        <f>IFERROR(__xludf.DUMMYFUNCTION("""COMPUTED_VALUE"""),"ศิริวรุณรักษ์")</f>
        <v>ศิริวรุณรักษ์</v>
      </c>
      <c r="I648" t="str">
        <f>IFERROR(__xludf.DUMMYFUNCTION("""COMPUTED_VALUE"""),"แสนดาว ศิริวรุณรักษ์")</f>
        <v>แสนดาว ศิริวรุณรักษ์</v>
      </c>
      <c r="J648" t="str">
        <f>IFERROR(__xludf.DUMMYFUNCTION("""COMPUTED_VALUE"""),"มะเหมี่ยว")</f>
        <v>มะเหมี่ยว</v>
      </c>
      <c r="K648" t="str">
        <f>IFERROR(__xludf.DUMMYFUNCTION("""COMPUTED_VALUE"""),"Cabin Crew")</f>
        <v>Cabin Crew</v>
      </c>
      <c r="L648" t="str">
        <f>IFERROR(__xludf.DUMMYFUNCTION("""COMPUTED_VALUE"""),"DMK")</f>
        <v>DMK</v>
      </c>
      <c r="M648" s="145" t="str">
        <f>IFERROR(__xludf.DUMMYFUNCTION("""COMPUTED_VALUE"""),"Kor Home")</f>
        <v>Kor Home</v>
      </c>
      <c r="N648" t="str">
        <f>IFERROR(__xludf.DUMMYFUNCTION("""COMPUTED_VALUE"""),"Active")</f>
        <v>Active</v>
      </c>
      <c r="P648" s="143">
        <f>IFERROR(__xludf.DUMMYFUNCTION("""COMPUTED_VALUE"""),33132.0)</f>
        <v>33132</v>
      </c>
      <c r="Q648" s="146" t="str">
        <f>IFERROR(__xludf.DUMMYFUNCTION("""COMPUTED_VALUE"""),"089 944 8820")</f>
        <v>089 944 8820</v>
      </c>
      <c r="R648" s="147" t="str">
        <f>IFERROR(__xludf.DUMMYFUNCTION("""COMPUTED_VALUE"""),"1419900-24-2453")</f>
        <v>1419900-24-2453</v>
      </c>
      <c r="S648" t="str">
        <f>IFERROR(__xludf.DUMMYFUNCTION("""COMPUTED_VALUE"""),"AC6441538")</f>
        <v>AC6441538</v>
      </c>
      <c r="T648" s="148">
        <f>IFERROR(__xludf.DUMMYFUNCTION("""COMPUTED_VALUE"""),45355.0)</f>
        <v>45355</v>
      </c>
      <c r="U648" s="148">
        <f>IFERROR(__xludf.DUMMYFUNCTION("""COMPUTED_VALUE"""),49006.0)</f>
        <v>49006</v>
      </c>
      <c r="V648" s="149">
        <f>IFERROR(__xludf.DUMMYFUNCTION("""COMPUTED_VALUE"""),48825.0)</f>
        <v>48825</v>
      </c>
      <c r="W648" t="str">
        <f>IFERROR(__xludf.DUMMYFUNCTION("""COMPUTED_VALUE"""),"ปลอดภัย")</f>
        <v>ปลอดภัย</v>
      </c>
      <c r="X648" t="str">
        <f>IFERROR(__xludf.DUMMYFUNCTION("""COMPUTED_VALUE"""),"Udon Thani Province")</f>
        <v>Udon Thani Province</v>
      </c>
      <c r="Y648" t="str">
        <f>IFERROR(__xludf.DUMMYFUNCTION("""COMPUTED_VALUE"""),"Bangkok Yai")</f>
        <v>Bangkok Yai</v>
      </c>
      <c r="Z648" t="str">
        <f>IFERROR(__xludf.DUMMYFUNCTION("""COMPUTED_VALUE"""),"086 222 7681")</f>
        <v>086 222 7681</v>
      </c>
      <c r="AA648" t="str">
        <f>IFERROR(__xludf.DUMMYFUNCTION("""COMPUTED_VALUE"""),"Dujdao Siriwarunrak")</f>
        <v>Dujdao Siriwarunrak</v>
      </c>
      <c r="AB648" t="str">
        <f>IFERROR(__xludf.DUMMYFUNCTION("""COMPUTED_VALUE"""),"sandaos@airasia.com")</f>
        <v>sandaos@airasia.com</v>
      </c>
    </row>
    <row r="649">
      <c r="A649">
        <f>IFERROR(__xludf.DUMMYFUNCTION("""COMPUTED_VALUE"""),1012902.0)</f>
        <v>1012902</v>
      </c>
      <c r="B649" t="str">
        <f>IFERROR(__xludf.DUMMYFUNCTION("""COMPUTED_VALUE"""),"Ms.")</f>
        <v>Ms.</v>
      </c>
      <c r="C649" t="str">
        <f>IFERROR(__xludf.DUMMYFUNCTION("""COMPUTED_VALUE"""),"Saowarat")</f>
        <v>Saowarat</v>
      </c>
      <c r="D649" t="str">
        <f>IFERROR(__xludf.DUMMYFUNCTION("""COMPUTED_VALUE"""),"Sowa")</f>
        <v>Sowa</v>
      </c>
      <c r="E649" t="str">
        <f>IFERROR(__xludf.DUMMYFUNCTION("""COMPUTED_VALUE"""),"Saowarat Sowa")</f>
        <v>Saowarat Sowa</v>
      </c>
      <c r="F649" t="str">
        <f>IFERROR(__xludf.DUMMYFUNCTION("""COMPUTED_VALUE"""),"นางสาว")</f>
        <v>นางสาว</v>
      </c>
      <c r="G649" t="str">
        <f>IFERROR(__xludf.DUMMYFUNCTION("""COMPUTED_VALUE"""),"เสาวรัตน์")</f>
        <v>เสาวรัตน์</v>
      </c>
      <c r="H649" t="str">
        <f>IFERROR(__xludf.DUMMYFUNCTION("""COMPUTED_VALUE"""),"โสวะ")</f>
        <v>โสวะ</v>
      </c>
      <c r="I649" t="str">
        <f>IFERROR(__xludf.DUMMYFUNCTION("""COMPUTED_VALUE"""),"เสาวรัตน์ โสวะ")</f>
        <v>เสาวรัตน์ โสวะ</v>
      </c>
      <c r="J649" t="str">
        <f>IFERROR(__xludf.DUMMYFUNCTION("""COMPUTED_VALUE"""),"ไอซ์")</f>
        <v>ไอซ์</v>
      </c>
      <c r="K649" t="str">
        <f>IFERROR(__xludf.DUMMYFUNCTION("""COMPUTED_VALUE"""),"Cabin Crew")</f>
        <v>Cabin Crew</v>
      </c>
      <c r="L649" t="str">
        <f>IFERROR(__xludf.DUMMYFUNCTION("""COMPUTED_VALUE"""),"DMK")</f>
        <v>DMK</v>
      </c>
      <c r="M649" s="145" t="str">
        <f>IFERROR(__xludf.DUMMYFUNCTION("""COMPUTED_VALUE"""),"Up Home")</f>
        <v>Up Home</v>
      </c>
      <c r="N649" t="str">
        <f>IFERROR(__xludf.DUMMYFUNCTION("""COMPUTED_VALUE"""),"Active")</f>
        <v>Active</v>
      </c>
      <c r="O649" t="str">
        <f>IFERROR(__xludf.DUMMYFUNCTION("""COMPUTED_VALUE"""),"Chinese Speaking")</f>
        <v>Chinese Speaking</v>
      </c>
      <c r="P649" s="143">
        <f>IFERROR(__xludf.DUMMYFUNCTION("""COMPUTED_VALUE"""),32613.0)</f>
        <v>32613</v>
      </c>
      <c r="Q649" s="146" t="str">
        <f>IFERROR(__xludf.DUMMYFUNCTION("""COMPUTED_VALUE"""),"089 559 6514")</f>
        <v>089 559 6514</v>
      </c>
      <c r="R649" s="147" t="str">
        <f>IFERROR(__xludf.DUMMYFUNCTION("""COMPUTED_VALUE"""),"1509900-72-2233")</f>
        <v>1509900-72-2233</v>
      </c>
      <c r="S649" t="str">
        <f>IFERROR(__xludf.DUMMYFUNCTION("""COMPUTED_VALUE"""),"AC7500282")</f>
        <v>AC7500282</v>
      </c>
      <c r="T649" s="150">
        <f>IFERROR(__xludf.DUMMYFUNCTION("""COMPUTED_VALUE"""),45545.0)</f>
        <v>45545</v>
      </c>
      <c r="U649" s="148">
        <f>IFERROR(__xludf.DUMMYFUNCTION("""COMPUTED_VALUE"""),49196.0)</f>
        <v>49196</v>
      </c>
      <c r="V649" s="149">
        <f>IFERROR(__xludf.DUMMYFUNCTION("""COMPUTED_VALUE"""),49012.0)</f>
        <v>49012</v>
      </c>
      <c r="W649" t="str">
        <f>IFERROR(__xludf.DUMMYFUNCTION("""COMPUTED_VALUE"""),"ปลอดภัย")</f>
        <v>ปลอดภัย</v>
      </c>
      <c r="X649" t="str">
        <f>IFERROR(__xludf.DUMMYFUNCTION("""COMPUTED_VALUE"""),"Chiang Mai Province")</f>
        <v>Chiang Mai Province</v>
      </c>
      <c r="Y649" t="str">
        <f>IFERROR(__xludf.DUMMYFUNCTION("""COMPUTED_VALUE"""),"Sukhunvit")</f>
        <v>Sukhunvit</v>
      </c>
      <c r="Z649" t="str">
        <f>IFERROR(__xludf.DUMMYFUNCTION("""COMPUTED_VALUE"""),"089 611 1419")</f>
        <v>089 611 1419</v>
      </c>
      <c r="AA649" t="str">
        <f>IFERROR(__xludf.DUMMYFUNCTION("""COMPUTED_VALUE"""),"Somjit Sowa")</f>
        <v>Somjit Sowa</v>
      </c>
      <c r="AB649" t="str">
        <f>IFERROR(__xludf.DUMMYFUNCTION("""COMPUTED_VALUE"""),"saowarats@airasia.com")</f>
        <v>saowarats@airasia.com</v>
      </c>
    </row>
    <row r="650">
      <c r="A650">
        <f>IFERROR(__xludf.DUMMYFUNCTION("""COMPUTED_VALUE"""),1012904.0)</f>
        <v>1012904</v>
      </c>
      <c r="B650" t="str">
        <f>IFERROR(__xludf.DUMMYFUNCTION("""COMPUTED_VALUE"""),"Mr.")</f>
        <v>Mr.</v>
      </c>
      <c r="C650" t="str">
        <f>IFERROR(__xludf.DUMMYFUNCTION("""COMPUTED_VALUE"""),"Suteerapong")</f>
        <v>Suteerapong</v>
      </c>
      <c r="D650" t="str">
        <f>IFERROR(__xludf.DUMMYFUNCTION("""COMPUTED_VALUE"""),"Sawangwong")</f>
        <v>Sawangwong</v>
      </c>
      <c r="E650" t="str">
        <f>IFERROR(__xludf.DUMMYFUNCTION("""COMPUTED_VALUE"""),"Suteerapong Sawangwong")</f>
        <v>Suteerapong Sawangwong</v>
      </c>
      <c r="F650" t="str">
        <f>IFERROR(__xludf.DUMMYFUNCTION("""COMPUTED_VALUE"""),"นาย")</f>
        <v>นาย</v>
      </c>
      <c r="G650" t="str">
        <f>IFERROR(__xludf.DUMMYFUNCTION("""COMPUTED_VALUE"""),"สุธีระพงษ์")</f>
        <v>สุธีระพงษ์</v>
      </c>
      <c r="H650" t="str">
        <f>IFERROR(__xludf.DUMMYFUNCTION("""COMPUTED_VALUE"""),"สว่างวงศ์")</f>
        <v>สว่างวงศ์</v>
      </c>
      <c r="I650" t="str">
        <f>IFERROR(__xludf.DUMMYFUNCTION("""COMPUTED_VALUE"""),"สุธีระพงษ์ สว่างวงศ์")</f>
        <v>สุธีระพงษ์ สว่างวงศ์</v>
      </c>
      <c r="J650" t="str">
        <f>IFERROR(__xludf.DUMMYFUNCTION("""COMPUTED_VALUE"""),"เอฟ")</f>
        <v>เอฟ</v>
      </c>
      <c r="K650" t="str">
        <f>IFERROR(__xludf.DUMMYFUNCTION("""COMPUTED_VALUE"""),"Cabin Crew")</f>
        <v>Cabin Crew</v>
      </c>
      <c r="L650" t="str">
        <f>IFERROR(__xludf.DUMMYFUNCTION("""COMPUTED_VALUE"""),"DMK")</f>
        <v>DMK</v>
      </c>
      <c r="M650" s="145" t="str">
        <f>IFERROR(__xludf.DUMMYFUNCTION("""COMPUTED_VALUE"""),"Namfon Home")</f>
        <v>Namfon Home</v>
      </c>
      <c r="N650" t="str">
        <f>IFERROR(__xludf.DUMMYFUNCTION("""COMPUTED_VALUE"""),"Active")</f>
        <v>Active</v>
      </c>
      <c r="P650" s="143">
        <f>IFERROR(__xludf.DUMMYFUNCTION("""COMPUTED_VALUE"""),31718.0)</f>
        <v>31718</v>
      </c>
      <c r="Q650" s="146" t="str">
        <f>IFERROR(__xludf.DUMMYFUNCTION("""COMPUTED_VALUE"""),"081 297 1422")</f>
        <v>081 297 1422</v>
      </c>
      <c r="R650" s="147" t="str">
        <f>IFERROR(__xludf.DUMMYFUNCTION("""COMPUTED_VALUE"""),"1800200-03-4350")</f>
        <v>1800200-03-4350</v>
      </c>
      <c r="S650" t="str">
        <f>IFERROR(__xludf.DUMMYFUNCTION("""COMPUTED_VALUE"""),"AC7463520")</f>
        <v>AC7463520</v>
      </c>
      <c r="T650" s="148">
        <f>IFERROR(__xludf.DUMMYFUNCTION("""COMPUTED_VALUE"""),45593.0)</f>
        <v>45593</v>
      </c>
      <c r="U650" s="148">
        <f>IFERROR(__xludf.DUMMYFUNCTION("""COMPUTED_VALUE"""),49244.0)</f>
        <v>49244</v>
      </c>
      <c r="V650" s="149">
        <f>IFERROR(__xludf.DUMMYFUNCTION("""COMPUTED_VALUE"""),49061.0)</f>
        <v>49061</v>
      </c>
      <c r="W650" t="str">
        <f>IFERROR(__xludf.DUMMYFUNCTION("""COMPUTED_VALUE"""),"ปลอดภัย")</f>
        <v>ปลอดภัย</v>
      </c>
      <c r="X650" t="str">
        <f>IFERROR(__xludf.DUMMYFUNCTION("""COMPUTED_VALUE"""),"Nakhon Si Thammarat Province")</f>
        <v>Nakhon Si Thammarat Province</v>
      </c>
      <c r="Y650" t="str">
        <f>IFERROR(__xludf.DUMMYFUNCTION("""COMPUTED_VALUE"""),"Chom Thong")</f>
        <v>Chom Thong</v>
      </c>
      <c r="Z650" t="str">
        <f>IFERROR(__xludf.DUMMYFUNCTION("""COMPUTED_VALUE"""),"081 877 6771")</f>
        <v>081 877 6771</v>
      </c>
      <c r="AA650" t="str">
        <f>IFERROR(__xludf.DUMMYFUNCTION("""COMPUTED_VALUE"""),"ตรีภาค ทัตศรี")</f>
        <v>ตรีภาค ทัตศรี</v>
      </c>
      <c r="AB650" t="str">
        <f>IFERROR(__xludf.DUMMYFUNCTION("""COMPUTED_VALUE"""),"suteerapongs@airasia.com")</f>
        <v>suteerapongs@airasia.com</v>
      </c>
    </row>
    <row r="651">
      <c r="A651">
        <f>IFERROR(__xludf.DUMMYFUNCTION("""COMPUTED_VALUE"""),1012905.0)</f>
        <v>1012905</v>
      </c>
      <c r="B651" t="str">
        <f>IFERROR(__xludf.DUMMYFUNCTION("""COMPUTED_VALUE"""),"Ms.")</f>
        <v>Ms.</v>
      </c>
      <c r="C651" t="str">
        <f>IFERROR(__xludf.DUMMYFUNCTION("""COMPUTED_VALUE"""),"Paweerisa (Taratikal)")</f>
        <v>Paweerisa (Taratikal)</v>
      </c>
      <c r="D651" t="str">
        <f>IFERROR(__xludf.DUMMYFUNCTION("""COMPUTED_VALUE"""),"Tantijaratchai (Saiwan)")</f>
        <v>Tantijaratchai (Saiwan)</v>
      </c>
      <c r="E651" t="str">
        <f>IFERROR(__xludf.DUMMYFUNCTION("""COMPUTED_VALUE"""),"Paweerisa Tantijaratchai")</f>
        <v>Paweerisa Tantijaratchai</v>
      </c>
      <c r="F651" t="str">
        <f>IFERROR(__xludf.DUMMYFUNCTION("""COMPUTED_VALUE"""),"นางสาว")</f>
        <v>นางสาว</v>
      </c>
      <c r="G651" t="str">
        <f>IFERROR(__xludf.DUMMYFUNCTION("""COMPUTED_VALUE"""),"ปวีณ์ริศา (ธาราติกาล)")</f>
        <v>ปวีณ์ริศา (ธาราติกาล)</v>
      </c>
      <c r="H651" t="str">
        <f>IFERROR(__xludf.DUMMYFUNCTION("""COMPUTED_VALUE"""),"ตันติจรัสไชย (สายวัน)")</f>
        <v>ตันติจรัสไชย (สายวัน)</v>
      </c>
      <c r="I651" t="str">
        <f>IFERROR(__xludf.DUMMYFUNCTION("""COMPUTED_VALUE"""),"ปวีณ์ริศา ตันติจรัสไชย")</f>
        <v>ปวีณ์ริศา ตันติจรัสไชย</v>
      </c>
      <c r="J651" t="str">
        <f>IFERROR(__xludf.DUMMYFUNCTION("""COMPUTED_VALUE"""),"ตูเช่")</f>
        <v>ตูเช่</v>
      </c>
      <c r="K651" t="str">
        <f>IFERROR(__xludf.DUMMYFUNCTION("""COMPUTED_VALUE"""),"Cabin Crew")</f>
        <v>Cabin Crew</v>
      </c>
      <c r="L651" t="str">
        <f>IFERROR(__xludf.DUMMYFUNCTION("""COMPUTED_VALUE"""),"DMK")</f>
        <v>DMK</v>
      </c>
      <c r="M651" s="145" t="str">
        <f>IFERROR(__xludf.DUMMYFUNCTION("""COMPUTED_VALUE"""),"Namfon Home")</f>
        <v>Namfon Home</v>
      </c>
      <c r="N651" t="str">
        <f>IFERROR(__xludf.DUMMYFUNCTION("""COMPUTED_VALUE"""),"Active")</f>
        <v>Active</v>
      </c>
      <c r="P651" s="143">
        <f>IFERROR(__xludf.DUMMYFUNCTION("""COMPUTED_VALUE"""),32294.0)</f>
        <v>32294</v>
      </c>
      <c r="Q651" s="146" t="str">
        <f>IFERROR(__xludf.DUMMYFUNCTION("""COMPUTED_VALUE"""),"092 250 8172")</f>
        <v>092 250 8172</v>
      </c>
      <c r="R651" s="147" t="str">
        <f>IFERROR(__xludf.DUMMYFUNCTION("""COMPUTED_VALUE"""),"1321000-13-9315")</f>
        <v>1321000-13-9315</v>
      </c>
      <c r="S651" t="str">
        <f>IFERROR(__xludf.DUMMYFUNCTION("""COMPUTED_VALUE"""),"AC6367522")</f>
        <v>AC6367522</v>
      </c>
      <c r="T651" s="148">
        <f>IFERROR(__xludf.DUMMYFUNCTION("""COMPUTED_VALUE"""),45355.0)</f>
        <v>45355</v>
      </c>
      <c r="U651" s="148">
        <f>IFERROR(__xludf.DUMMYFUNCTION("""COMPUTED_VALUE"""),49006.0)</f>
        <v>49006</v>
      </c>
      <c r="V651" s="149">
        <f>IFERROR(__xludf.DUMMYFUNCTION("""COMPUTED_VALUE"""),48825.0)</f>
        <v>48825</v>
      </c>
      <c r="W651" t="str">
        <f>IFERROR(__xludf.DUMMYFUNCTION("""COMPUTED_VALUE"""),"ปลอดภัย")</f>
        <v>ปลอดภัย</v>
      </c>
      <c r="X651" t="str">
        <f>IFERROR(__xludf.DUMMYFUNCTION("""COMPUTED_VALUE"""),"Surin Province")</f>
        <v>Surin Province</v>
      </c>
      <c r="Y651" t="str">
        <f>IFERROR(__xludf.DUMMYFUNCTION("""COMPUTED_VALUE"""),"Chonburi")</f>
        <v>Chonburi</v>
      </c>
      <c r="Z651" t="str">
        <f>IFERROR(__xludf.DUMMYFUNCTION("""COMPUTED_VALUE"""),"081 670 6151")</f>
        <v>081 670 6151</v>
      </c>
      <c r="AA651" t="str">
        <f>IFERROR(__xludf.DUMMYFUNCTION("""COMPUTED_VALUE"""),"Anong Saiwan")</f>
        <v>Anong Saiwan</v>
      </c>
      <c r="AB651" t="str">
        <f>IFERROR(__xludf.DUMMYFUNCTION("""COMPUTED_VALUE"""),"paweerisat@airasia.com")</f>
        <v>paweerisat@airasia.com</v>
      </c>
    </row>
    <row r="652">
      <c r="A652">
        <f>IFERROR(__xludf.DUMMYFUNCTION("""COMPUTED_VALUE"""),1012906.0)</f>
        <v>1012906</v>
      </c>
      <c r="B652" t="str">
        <f>IFERROR(__xludf.DUMMYFUNCTION("""COMPUTED_VALUE"""),"Mr.")</f>
        <v>Mr.</v>
      </c>
      <c r="C652" t="str">
        <f>IFERROR(__xludf.DUMMYFUNCTION("""COMPUTED_VALUE"""),"Thanametth")</f>
        <v>Thanametth</v>
      </c>
      <c r="D652" t="str">
        <f>IFERROR(__xludf.DUMMYFUNCTION("""COMPUTED_VALUE"""),"Wachiradatsathien")</f>
        <v>Wachiradatsathien</v>
      </c>
      <c r="E652" t="str">
        <f>IFERROR(__xludf.DUMMYFUNCTION("""COMPUTED_VALUE"""),"Thanametth Wachiradatsathien")</f>
        <v>Thanametth Wachiradatsathien</v>
      </c>
      <c r="F652" t="str">
        <f>IFERROR(__xludf.DUMMYFUNCTION("""COMPUTED_VALUE"""),"นาย")</f>
        <v>นาย</v>
      </c>
      <c r="G652" t="str">
        <f>IFERROR(__xludf.DUMMYFUNCTION("""COMPUTED_VALUE"""),"ธนะเมศฐ์")</f>
        <v>ธนะเมศฐ์</v>
      </c>
      <c r="H652" t="str">
        <f>IFERROR(__xludf.DUMMYFUNCTION("""COMPUTED_VALUE"""),"วชิรเดชเสถียร")</f>
        <v>วชิรเดชเสถียร</v>
      </c>
      <c r="I652" t="str">
        <f>IFERROR(__xludf.DUMMYFUNCTION("""COMPUTED_VALUE"""),"ธนะเมศฐ์ วชิรเดชเสถียร")</f>
        <v>ธนะเมศฐ์ วชิรเดชเสถียร</v>
      </c>
      <c r="J652" t="str">
        <f>IFERROR(__xludf.DUMMYFUNCTION("""COMPUTED_VALUE"""),"เฮง")</f>
        <v>เฮง</v>
      </c>
      <c r="K652" t="str">
        <f>IFERROR(__xludf.DUMMYFUNCTION("""COMPUTED_VALUE"""),"Cabin Crew")</f>
        <v>Cabin Crew</v>
      </c>
      <c r="L652" t="str">
        <f>IFERROR(__xludf.DUMMYFUNCTION("""COMPUTED_VALUE"""),"DMK")</f>
        <v>DMK</v>
      </c>
      <c r="M652" s="145" t="str">
        <f>IFERROR(__xludf.DUMMYFUNCTION("""COMPUTED_VALUE"""),"Kor Home")</f>
        <v>Kor Home</v>
      </c>
      <c r="N652" t="str">
        <f>IFERROR(__xludf.DUMMYFUNCTION("""COMPUTED_VALUE"""),"Active")</f>
        <v>Active</v>
      </c>
      <c r="P652" s="143">
        <f>IFERROR(__xludf.DUMMYFUNCTION("""COMPUTED_VALUE"""),32745.0)</f>
        <v>32745</v>
      </c>
      <c r="Q652" s="146" t="str">
        <f>IFERROR(__xludf.DUMMYFUNCTION("""COMPUTED_VALUE"""),"087 505 8751")</f>
        <v>087 505 8751</v>
      </c>
      <c r="R652" s="147" t="str">
        <f>IFERROR(__xludf.DUMMYFUNCTION("""COMPUTED_VALUE"""),"1209700-25-5286")</f>
        <v>1209700-25-5286</v>
      </c>
      <c r="S652" t="str">
        <f>IFERROR(__xludf.DUMMYFUNCTION("""COMPUTED_VALUE"""),"AC5541102")</f>
        <v>AC5541102</v>
      </c>
      <c r="T652" s="148">
        <f>IFERROR(__xludf.DUMMYFUNCTION("""COMPUTED_VALUE"""),45162.0)</f>
        <v>45162</v>
      </c>
      <c r="U652" s="148">
        <f>IFERROR(__xludf.DUMMYFUNCTION("""COMPUTED_VALUE"""),48814.0)</f>
        <v>48814</v>
      </c>
      <c r="V652" s="149">
        <f>IFERROR(__xludf.DUMMYFUNCTION("""COMPUTED_VALUE"""),48633.0)</f>
        <v>48633</v>
      </c>
      <c r="W652" t="str">
        <f>IFERROR(__xludf.DUMMYFUNCTION("""COMPUTED_VALUE"""),"ปลอดภัย")</f>
        <v>ปลอดภัย</v>
      </c>
      <c r="X652" t="str">
        <f>IFERROR(__xludf.DUMMYFUNCTION("""COMPUTED_VALUE"""),"Chonburi Province")</f>
        <v>Chonburi Province</v>
      </c>
      <c r="Y652" t="str">
        <f>IFERROR(__xludf.DUMMYFUNCTION("""COMPUTED_VALUE"""),"Klongtoey")</f>
        <v>Klongtoey</v>
      </c>
      <c r="Z652" t="str">
        <f>IFERROR(__xludf.DUMMYFUNCTION("""COMPUTED_VALUE"""),"080 220 5225")</f>
        <v>080 220 5225</v>
      </c>
      <c r="AA652" t="str">
        <f>IFERROR(__xludf.DUMMYFUNCTION("""COMPUTED_VALUE"""),"Apinya Wachiradatsathien")</f>
        <v>Apinya Wachiradatsathien</v>
      </c>
      <c r="AB652" t="str">
        <f>IFERROR(__xludf.DUMMYFUNCTION("""COMPUTED_VALUE"""),"thanametthw@airasia.com")</f>
        <v>thanametthw@airasia.com</v>
      </c>
    </row>
    <row r="653">
      <c r="A653">
        <f>IFERROR(__xludf.DUMMYFUNCTION("""COMPUTED_VALUE"""),1012907.0)</f>
        <v>1012907</v>
      </c>
      <c r="B653" t="str">
        <f>IFERROR(__xludf.DUMMYFUNCTION("""COMPUTED_VALUE"""),"Ms.")</f>
        <v>Ms.</v>
      </c>
      <c r="C653" t="str">
        <f>IFERROR(__xludf.DUMMYFUNCTION("""COMPUTED_VALUE"""),"Thiranuch")</f>
        <v>Thiranuch</v>
      </c>
      <c r="D653" t="str">
        <f>IFERROR(__xludf.DUMMYFUNCTION("""COMPUTED_VALUE"""),"Chantavarin")</f>
        <v>Chantavarin</v>
      </c>
      <c r="E653" t="str">
        <f>IFERROR(__xludf.DUMMYFUNCTION("""COMPUTED_VALUE"""),"Thiranuch Chantavarin")</f>
        <v>Thiranuch Chantavarin</v>
      </c>
      <c r="F653" t="str">
        <f>IFERROR(__xludf.DUMMYFUNCTION("""COMPUTED_VALUE"""),"นางสาว")</f>
        <v>นางสาว</v>
      </c>
      <c r="G653" t="str">
        <f>IFERROR(__xludf.DUMMYFUNCTION("""COMPUTED_VALUE"""),"ถิรนุช")</f>
        <v>ถิรนุช</v>
      </c>
      <c r="H653" t="str">
        <f>IFERROR(__xludf.DUMMYFUNCTION("""COMPUTED_VALUE"""),"จันทวรินทร์")</f>
        <v>จันทวรินทร์</v>
      </c>
      <c r="I653" t="str">
        <f>IFERROR(__xludf.DUMMYFUNCTION("""COMPUTED_VALUE"""),"ถิรนุช จันทวรินทร์")</f>
        <v>ถิรนุช จันทวรินทร์</v>
      </c>
      <c r="J653" t="str">
        <f>IFERROR(__xludf.DUMMYFUNCTION("""COMPUTED_VALUE"""),"ป่าน")</f>
        <v>ป่าน</v>
      </c>
      <c r="K653" t="str">
        <f>IFERROR(__xludf.DUMMYFUNCTION("""COMPUTED_VALUE"""),"Senior Cabin Crew")</f>
        <v>Senior Cabin Crew</v>
      </c>
      <c r="L653" t="str">
        <f>IFERROR(__xludf.DUMMYFUNCTION("""COMPUTED_VALUE"""),"DMK")</f>
        <v>DMK</v>
      </c>
      <c r="M653" s="145" t="str">
        <f>IFERROR(__xludf.DUMMYFUNCTION("""COMPUTED_VALUE"""),"Namfon Home")</f>
        <v>Namfon Home</v>
      </c>
      <c r="N653" t="str">
        <f>IFERROR(__xludf.DUMMYFUNCTION("""COMPUTED_VALUE"""),"Active")</f>
        <v>Active</v>
      </c>
      <c r="P653" s="143">
        <f>IFERROR(__xludf.DUMMYFUNCTION("""COMPUTED_VALUE"""),34237.0)</f>
        <v>34237</v>
      </c>
      <c r="Q653" s="146" t="str">
        <f>IFERROR(__xludf.DUMMYFUNCTION("""COMPUTED_VALUE"""),"062 469 6690 ")</f>
        <v>062 469 6690 </v>
      </c>
      <c r="R653" s="147" t="str">
        <f>IFERROR(__xludf.DUMMYFUNCTION("""COMPUTED_VALUE"""),"1103701-19-4740")</f>
        <v>1103701-19-4740</v>
      </c>
      <c r="S653" t="str">
        <f>IFERROR(__xludf.DUMMYFUNCTION("""COMPUTED_VALUE"""),"AD1620164")</f>
        <v>AD1620164</v>
      </c>
      <c r="T653" s="148">
        <f>IFERROR(__xludf.DUMMYFUNCTION("""COMPUTED_VALUE"""),45316.0)</f>
        <v>45316</v>
      </c>
      <c r="U653" s="148">
        <f>IFERROR(__xludf.DUMMYFUNCTION("""COMPUTED_VALUE"""),48968.0)</f>
        <v>48968</v>
      </c>
      <c r="V653" s="149">
        <f>IFERROR(__xludf.DUMMYFUNCTION("""COMPUTED_VALUE"""),48784.0)</f>
        <v>48784</v>
      </c>
      <c r="W653" t="str">
        <f>IFERROR(__xludf.DUMMYFUNCTION("""COMPUTED_VALUE"""),"ปลอดภัย")</f>
        <v>ปลอดภัย</v>
      </c>
      <c r="X653" t="str">
        <f>IFERROR(__xludf.DUMMYFUNCTION("""COMPUTED_VALUE"""),"Bangkok")</f>
        <v>Bangkok</v>
      </c>
      <c r="Y653" t="str">
        <f>IFERROR(__xludf.DUMMYFUNCTION("""COMPUTED_VALUE"""),"Huaykwang")</f>
        <v>Huaykwang</v>
      </c>
      <c r="Z653" t="str">
        <f>IFERROR(__xludf.DUMMYFUNCTION("""COMPUTED_VALUE"""),"086 898 0900")</f>
        <v>086 898 0900</v>
      </c>
      <c r="AA653" t="str">
        <f>IFERROR(__xludf.DUMMYFUNCTION("""COMPUTED_VALUE"""),"Wanna Chatavarin")</f>
        <v>Wanna Chatavarin</v>
      </c>
      <c r="AB653" t="str">
        <f>IFERROR(__xludf.DUMMYFUNCTION("""COMPUTED_VALUE"""),"thiranuchc@airasia.com")</f>
        <v>thiranuchc@airasia.com</v>
      </c>
    </row>
    <row r="654">
      <c r="A654">
        <f>IFERROR(__xludf.DUMMYFUNCTION("""COMPUTED_VALUE"""),1012908.0)</f>
        <v>1012908</v>
      </c>
      <c r="B654" t="str">
        <f>IFERROR(__xludf.DUMMYFUNCTION("""COMPUTED_VALUE"""),"Ms.")</f>
        <v>Ms.</v>
      </c>
      <c r="C654" t="str">
        <f>IFERROR(__xludf.DUMMYFUNCTION("""COMPUTED_VALUE"""),"Worakamol")</f>
        <v>Worakamol</v>
      </c>
      <c r="D654" t="str">
        <f>IFERROR(__xludf.DUMMYFUNCTION("""COMPUTED_VALUE"""),"Tiamboonprasert")</f>
        <v>Tiamboonprasert</v>
      </c>
      <c r="E654" t="str">
        <f>IFERROR(__xludf.DUMMYFUNCTION("""COMPUTED_VALUE"""),"Worakamol Tiamboonprasert")</f>
        <v>Worakamol Tiamboonprasert</v>
      </c>
      <c r="F654" t="str">
        <f>IFERROR(__xludf.DUMMYFUNCTION("""COMPUTED_VALUE"""),"นางสาว")</f>
        <v>นางสาว</v>
      </c>
      <c r="G654" t="str">
        <f>IFERROR(__xludf.DUMMYFUNCTION("""COMPUTED_VALUE"""),"วรกมล")</f>
        <v>วรกมล</v>
      </c>
      <c r="H654" t="str">
        <f>IFERROR(__xludf.DUMMYFUNCTION("""COMPUTED_VALUE"""),"เทียมบุญประเสริฐ")</f>
        <v>เทียมบุญประเสริฐ</v>
      </c>
      <c r="I654" t="str">
        <f>IFERROR(__xludf.DUMMYFUNCTION("""COMPUTED_VALUE"""),"วรกมล เทียมบุญประเสริฐ")</f>
        <v>วรกมล เทียมบุญประเสริฐ</v>
      </c>
      <c r="J654" t="str">
        <f>IFERROR(__xludf.DUMMYFUNCTION("""COMPUTED_VALUE"""),"ขวัญใจ")</f>
        <v>ขวัญใจ</v>
      </c>
      <c r="K654" t="str">
        <f>IFERROR(__xludf.DUMMYFUNCTION("""COMPUTED_VALUE"""),"Cabin Crew - BKK")</f>
        <v>Cabin Crew - BKK</v>
      </c>
      <c r="L654" t="str">
        <f>IFERROR(__xludf.DUMMYFUNCTION("""COMPUTED_VALUE"""),"BKK")</f>
        <v>BKK</v>
      </c>
      <c r="M654" s="145" t="str">
        <f>IFERROR(__xludf.DUMMYFUNCTION("""COMPUTED_VALUE"""),"Nhui Home")</f>
        <v>Nhui Home</v>
      </c>
      <c r="N654" t="str">
        <f>IFERROR(__xludf.DUMMYFUNCTION("""COMPUTED_VALUE"""),"LWP")</f>
        <v>LWP</v>
      </c>
      <c r="P654" s="143">
        <f>IFERROR(__xludf.DUMMYFUNCTION("""COMPUTED_VALUE"""),32958.0)</f>
        <v>32958</v>
      </c>
      <c r="Q654" s="146" t="str">
        <f>IFERROR(__xludf.DUMMYFUNCTION("""COMPUTED_VALUE"""),"090 971 2239")</f>
        <v>090 971 2239</v>
      </c>
      <c r="R654" s="147" t="str">
        <f>IFERROR(__xludf.DUMMYFUNCTION("""COMPUTED_VALUE"""),"1102700-02-0241")</f>
        <v>1102700-02-0241</v>
      </c>
      <c r="S654" t="str">
        <f>IFERROR(__xludf.DUMMYFUNCTION("""COMPUTED_VALUE"""),"AD1968513")</f>
        <v>AD1968513</v>
      </c>
      <c r="T654" s="148">
        <f>IFERROR(__xludf.DUMMYFUNCTION("""COMPUTED_VALUE"""),45503.0)</f>
        <v>45503</v>
      </c>
      <c r="U654" s="148">
        <f>IFERROR(__xludf.DUMMYFUNCTION("""COMPUTED_VALUE"""),49154.0)</f>
        <v>49154</v>
      </c>
      <c r="V654" s="149">
        <f>IFERROR(__xludf.DUMMYFUNCTION("""COMPUTED_VALUE"""),48973.0)</f>
        <v>48973</v>
      </c>
      <c r="W654" t="str">
        <f>IFERROR(__xludf.DUMMYFUNCTION("""COMPUTED_VALUE"""),"ปลอดภัย")</f>
        <v>ปลอดภัย</v>
      </c>
      <c r="X654" t="str">
        <f>IFERROR(__xludf.DUMMYFUNCTION("""COMPUTED_VALUE"""),"Bangkok")</f>
        <v>Bangkok</v>
      </c>
      <c r="Y654" t="str">
        <f>IFERROR(__xludf.DUMMYFUNCTION("""COMPUTED_VALUE"""),"Beungkhum")</f>
        <v>Beungkhum</v>
      </c>
      <c r="Z654" t="str">
        <f>IFERROR(__xludf.DUMMYFUNCTION("""COMPUTED_VALUE"""),"085 045 8384")</f>
        <v>085 045 8384</v>
      </c>
      <c r="AA654" t="str">
        <f>IFERROR(__xludf.DUMMYFUNCTION("""COMPUTED_VALUE"""),"Kallaya Tiamboonprasert")</f>
        <v>Kallaya Tiamboonprasert</v>
      </c>
      <c r="AB654" t="str">
        <f>IFERROR(__xludf.DUMMYFUNCTION("""COMPUTED_VALUE"""),"worakamolt@airasia.com")</f>
        <v>worakamolt@airasia.com</v>
      </c>
    </row>
    <row r="655">
      <c r="AB655" t="str">
        <f>IFERROR(__xludf.DUMMYFUNCTION("""COMPUTED_VALUE"""),"")</f>
        <v/>
      </c>
    </row>
    <row r="656">
      <c r="A656">
        <f>IFERROR(__xludf.DUMMYFUNCTION("""COMPUTED_VALUE"""),1005329.0)</f>
        <v>1005329</v>
      </c>
      <c r="B656" t="str">
        <f>IFERROR(__xludf.DUMMYFUNCTION("""COMPUTED_VALUE"""),"Ms.")</f>
        <v>Ms.</v>
      </c>
      <c r="C656" t="str">
        <f>IFERROR(__xludf.DUMMYFUNCTION("""COMPUTED_VALUE"""),"Thunchanok")</f>
        <v>Thunchanok</v>
      </c>
      <c r="D656" t="str">
        <f>IFERROR(__xludf.DUMMYFUNCTION("""COMPUTED_VALUE"""),"Phasukcharoen")</f>
        <v>Phasukcharoen</v>
      </c>
      <c r="E656" t="str">
        <f>IFERROR(__xludf.DUMMYFUNCTION("""COMPUTED_VALUE"""),"Thunchanok Phasukcharoen")</f>
        <v>Thunchanok Phasukcharoen</v>
      </c>
      <c r="F656" t="str">
        <f>IFERROR(__xludf.DUMMYFUNCTION("""COMPUTED_VALUE"""),"นางสาว")</f>
        <v>นางสาว</v>
      </c>
      <c r="G656" t="str">
        <f>IFERROR(__xludf.DUMMYFUNCTION("""COMPUTED_VALUE"""),"ธัญชนก")</f>
        <v>ธัญชนก</v>
      </c>
      <c r="H656" t="str">
        <f>IFERROR(__xludf.DUMMYFUNCTION("""COMPUTED_VALUE"""),"ผาสุขเจริญ")</f>
        <v>ผาสุขเจริญ</v>
      </c>
      <c r="I656" t="str">
        <f>IFERROR(__xludf.DUMMYFUNCTION("""COMPUTED_VALUE"""),"ธัญชนก ผาสุขเจริญ")</f>
        <v>ธัญชนก ผาสุขเจริญ</v>
      </c>
      <c r="J656" t="str">
        <f>IFERROR(__xludf.DUMMYFUNCTION("""COMPUTED_VALUE"""),"เป้")</f>
        <v>เป้</v>
      </c>
      <c r="K656" t="str">
        <f>IFERROR(__xludf.DUMMYFUNCTION("""COMPUTED_VALUE"""),"Cabin Crew")</f>
        <v>Cabin Crew</v>
      </c>
      <c r="L656" t="str">
        <f>IFERROR(__xludf.DUMMYFUNCTION("""COMPUTED_VALUE"""),"DMK")</f>
        <v>DMK</v>
      </c>
      <c r="M656" s="145" t="str">
        <f>IFERROR(__xludf.DUMMYFUNCTION("""COMPUTED_VALUE"""),"Up Home")</f>
        <v>Up Home</v>
      </c>
      <c r="N656" t="str">
        <f>IFERROR(__xludf.DUMMYFUNCTION("""COMPUTED_VALUE"""),"Active")</f>
        <v>Active</v>
      </c>
      <c r="P656" s="143">
        <f>IFERROR(__xludf.DUMMYFUNCTION("""COMPUTED_VALUE"""),32972.0)</f>
        <v>32972</v>
      </c>
      <c r="Q656" s="146" t="str">
        <f>IFERROR(__xludf.DUMMYFUNCTION("""COMPUTED_VALUE"""),"087 079 9377")</f>
        <v>087 079 9377</v>
      </c>
      <c r="R656" s="147" t="str">
        <f>IFERROR(__xludf.DUMMYFUNCTION("""COMPUTED_VALUE"""),"1103700-10-7452")</f>
        <v>1103700-10-7452</v>
      </c>
      <c r="S656" t="str">
        <f>IFERROR(__xludf.DUMMYFUNCTION("""COMPUTED_VALUE"""),"AC2674743")</f>
        <v>AC2674743</v>
      </c>
      <c r="T656" s="148">
        <f>IFERROR(__xludf.DUMMYFUNCTION("""COMPUTED_VALUE"""),44576.0)</f>
        <v>44576</v>
      </c>
      <c r="U656" s="148">
        <f>IFERROR(__xludf.DUMMYFUNCTION("""COMPUTED_VALUE"""),48227.0)</f>
        <v>48227</v>
      </c>
      <c r="V656" s="149">
        <f>IFERROR(__xludf.DUMMYFUNCTION("""COMPUTED_VALUE"""),48043.0)</f>
        <v>48043</v>
      </c>
      <c r="W656" t="str">
        <f>IFERROR(__xludf.DUMMYFUNCTION("""COMPUTED_VALUE"""),"ปลอดภัย")</f>
        <v>ปลอดภัย</v>
      </c>
      <c r="X656" t="str">
        <f>IFERROR(__xludf.DUMMYFUNCTION("""COMPUTED_VALUE"""),"Bangkok")</f>
        <v>Bangkok</v>
      </c>
      <c r="Y656" t="str">
        <f>IFERROR(__xludf.DUMMYFUNCTION("""COMPUTED_VALUE"""),"Payathai")</f>
        <v>Payathai</v>
      </c>
      <c r="Z656" t="str">
        <f>IFERROR(__xludf.DUMMYFUNCTION("""COMPUTED_VALUE"""),"081 829 1703")</f>
        <v>081 829 1703</v>
      </c>
      <c r="AA656" t="str">
        <f>IFERROR(__xludf.DUMMYFUNCTION("""COMPUTED_VALUE"""),"Somphon Phasukcharoen")</f>
        <v>Somphon Phasukcharoen</v>
      </c>
      <c r="AB656" t="str">
        <f>IFERROR(__xludf.DUMMYFUNCTION("""COMPUTED_VALUE"""),"thunchanokp@airasia.com")</f>
        <v>thunchanokp@airasia.com</v>
      </c>
    </row>
    <row r="657">
      <c r="A657">
        <f>IFERROR(__xludf.DUMMYFUNCTION("""COMPUTED_VALUE"""),1013168.0)</f>
        <v>1013168</v>
      </c>
      <c r="B657" t="str">
        <f>IFERROR(__xludf.DUMMYFUNCTION("""COMPUTED_VALUE"""),"Mr.")</f>
        <v>Mr.</v>
      </c>
      <c r="C657" t="str">
        <f>IFERROR(__xludf.DUMMYFUNCTION("""COMPUTED_VALUE"""),"Anun")</f>
        <v>Anun</v>
      </c>
      <c r="D657" t="str">
        <f>IFERROR(__xludf.DUMMYFUNCTION("""COMPUTED_VALUE"""),"Sumethanonthasak")</f>
        <v>Sumethanonthasak</v>
      </c>
      <c r="E657" t="str">
        <f>IFERROR(__xludf.DUMMYFUNCTION("""COMPUTED_VALUE"""),"Anun Sumethanonthasak")</f>
        <v>Anun Sumethanonthasak</v>
      </c>
      <c r="F657" t="str">
        <f>IFERROR(__xludf.DUMMYFUNCTION("""COMPUTED_VALUE"""),"นาย")</f>
        <v>นาย</v>
      </c>
      <c r="G657" t="str">
        <f>IFERROR(__xludf.DUMMYFUNCTION("""COMPUTED_VALUE"""),"อานันท์")</f>
        <v>อานันท์</v>
      </c>
      <c r="H657" t="str">
        <f>IFERROR(__xludf.DUMMYFUNCTION("""COMPUTED_VALUE"""),"สุเมธานนทศักดิ์")</f>
        <v>สุเมธานนทศักดิ์</v>
      </c>
      <c r="I657" t="str">
        <f>IFERROR(__xludf.DUMMYFUNCTION("""COMPUTED_VALUE"""),"อานันท์ สุเมธานนทศักดิ์")</f>
        <v>อานันท์ สุเมธานนทศักดิ์</v>
      </c>
      <c r="J657" t="str">
        <f>IFERROR(__xludf.DUMMYFUNCTION("""COMPUTED_VALUE"""),"โต๊ะ")</f>
        <v>โต๊ะ</v>
      </c>
      <c r="K657" t="str">
        <f>IFERROR(__xludf.DUMMYFUNCTION("""COMPUTED_VALUE"""),"Cabin Crew")</f>
        <v>Cabin Crew</v>
      </c>
      <c r="L657" t="str">
        <f>IFERROR(__xludf.DUMMYFUNCTION("""COMPUTED_VALUE"""),"DMK")</f>
        <v>DMK</v>
      </c>
      <c r="M657" s="145" t="str">
        <f>IFERROR(__xludf.DUMMYFUNCTION("""COMPUTED_VALUE"""),"Por+ Home")</f>
        <v>Por+ Home</v>
      </c>
      <c r="N657" t="str">
        <f>IFERROR(__xludf.DUMMYFUNCTION("""COMPUTED_VALUE"""),"Active")</f>
        <v>Active</v>
      </c>
      <c r="P657" s="143">
        <f>IFERROR(__xludf.DUMMYFUNCTION("""COMPUTED_VALUE"""),32696.0)</f>
        <v>32696</v>
      </c>
      <c r="Q657" s="146" t="str">
        <f>IFERROR(__xludf.DUMMYFUNCTION("""COMPUTED_VALUE"""),"086 959 5696")</f>
        <v>086 959 5696</v>
      </c>
      <c r="R657" s="147" t="str">
        <f>IFERROR(__xludf.DUMMYFUNCTION("""COMPUTED_VALUE"""),"1102001-16-6254")</f>
        <v>1102001-16-6254</v>
      </c>
      <c r="S657" t="str">
        <f>IFERROR(__xludf.DUMMYFUNCTION("""COMPUTED_VALUE"""),"AC7133697")</f>
        <v>AC7133697</v>
      </c>
      <c r="T657" s="148">
        <f>IFERROR(__xludf.DUMMYFUNCTION("""COMPUTED_VALUE"""),45496.0)</f>
        <v>45496</v>
      </c>
      <c r="U657" s="148">
        <f>IFERROR(__xludf.DUMMYFUNCTION("""COMPUTED_VALUE"""),49147.0)</f>
        <v>49147</v>
      </c>
      <c r="V657" s="149">
        <f>IFERROR(__xludf.DUMMYFUNCTION("""COMPUTED_VALUE"""),48966.0)</f>
        <v>48966</v>
      </c>
      <c r="W657" t="str">
        <f>IFERROR(__xludf.DUMMYFUNCTION("""COMPUTED_VALUE"""),"ปลอดภัย")</f>
        <v>ปลอดภัย</v>
      </c>
      <c r="X657" t="str">
        <f>IFERROR(__xludf.DUMMYFUNCTION("""COMPUTED_VALUE"""),"Bangkok")</f>
        <v>Bangkok</v>
      </c>
      <c r="Y657" t="str">
        <f>IFERROR(__xludf.DUMMYFUNCTION("""COMPUTED_VALUE"""),"Bang Sue")</f>
        <v>Bang Sue</v>
      </c>
      <c r="Z657" t="str">
        <f>IFERROR(__xludf.DUMMYFUNCTION("""COMPUTED_VALUE"""),"086 807 5566 / 02 585 0033")</f>
        <v>086 807 5566 / 02 585 0033</v>
      </c>
      <c r="AA657" t="str">
        <f>IFERROR(__xludf.DUMMYFUNCTION("""COMPUTED_VALUE"""),"Chatsatorn Sumetthanonthasak / Home")</f>
        <v>Chatsatorn Sumetthanonthasak / Home</v>
      </c>
      <c r="AB657" t="str">
        <f>IFERROR(__xludf.DUMMYFUNCTION("""COMPUTED_VALUE"""),"anuns@airasia.com")</f>
        <v>anuns@airasia.com</v>
      </c>
    </row>
    <row r="658">
      <c r="A658">
        <f>IFERROR(__xludf.DUMMYFUNCTION("""COMPUTED_VALUE"""),1013173.0)</f>
        <v>1013173</v>
      </c>
      <c r="B658" t="str">
        <f>IFERROR(__xludf.DUMMYFUNCTION("""COMPUTED_VALUE"""),"Ms.")</f>
        <v>Ms.</v>
      </c>
      <c r="C658" t="str">
        <f>IFERROR(__xludf.DUMMYFUNCTION("""COMPUTED_VALUE"""),"Juthatip")</f>
        <v>Juthatip</v>
      </c>
      <c r="D658" t="str">
        <f>IFERROR(__xludf.DUMMYFUNCTION("""COMPUTED_VALUE"""),"Narin")</f>
        <v>Narin</v>
      </c>
      <c r="E658" t="str">
        <f>IFERROR(__xludf.DUMMYFUNCTION("""COMPUTED_VALUE"""),"Juthatip Narin")</f>
        <v>Juthatip Narin</v>
      </c>
      <c r="F658" t="str">
        <f>IFERROR(__xludf.DUMMYFUNCTION("""COMPUTED_VALUE"""),"นางสาว")</f>
        <v>นางสาว</v>
      </c>
      <c r="G658" t="str">
        <f>IFERROR(__xludf.DUMMYFUNCTION("""COMPUTED_VALUE"""),"จุฑาทิพ")</f>
        <v>จุฑาทิพ</v>
      </c>
      <c r="H658" t="str">
        <f>IFERROR(__xludf.DUMMYFUNCTION("""COMPUTED_VALUE"""),"นรินทร์")</f>
        <v>นรินทร์</v>
      </c>
      <c r="I658" t="str">
        <f>IFERROR(__xludf.DUMMYFUNCTION("""COMPUTED_VALUE"""),"จุฑาทิพ นรินทร์")</f>
        <v>จุฑาทิพ นรินทร์</v>
      </c>
      <c r="J658" t="str">
        <f>IFERROR(__xludf.DUMMYFUNCTION("""COMPUTED_VALUE"""),"ทิพ")</f>
        <v>ทิพ</v>
      </c>
      <c r="K658" t="str">
        <f>IFERROR(__xludf.DUMMYFUNCTION("""COMPUTED_VALUE"""),"Cabin Crew - CNX")</f>
        <v>Cabin Crew - CNX</v>
      </c>
      <c r="L658" t="str">
        <f>IFERROR(__xludf.DUMMYFUNCTION("""COMPUTED_VALUE"""),"CNX")</f>
        <v>CNX</v>
      </c>
      <c r="M658" s="145" t="str">
        <f>IFERROR(__xludf.DUMMYFUNCTION("""COMPUTED_VALUE"""),"Up Home")</f>
        <v>Up Home</v>
      </c>
      <c r="N658" t="str">
        <f>IFERROR(__xludf.DUMMYFUNCTION("""COMPUTED_VALUE"""),"Active")</f>
        <v>Active</v>
      </c>
      <c r="P658" s="143">
        <f>IFERROR(__xludf.DUMMYFUNCTION("""COMPUTED_VALUE"""),32425.0)</f>
        <v>32425</v>
      </c>
      <c r="Q658" s="146" t="str">
        <f>IFERROR(__xludf.DUMMYFUNCTION("""COMPUTED_VALUE"""),"097 441 9949")</f>
        <v>097 441 9949</v>
      </c>
      <c r="R658" s="147" t="str">
        <f>IFERROR(__xludf.DUMMYFUNCTION("""COMPUTED_VALUE"""),"1101401-44-4579")</f>
        <v>1101401-44-4579</v>
      </c>
      <c r="S658" t="str">
        <f>IFERROR(__xludf.DUMMYFUNCTION("""COMPUTED_VALUE"""),"AC5419985")</f>
        <v>AC5419985</v>
      </c>
      <c r="T658" s="148">
        <f>IFERROR(__xludf.DUMMYFUNCTION("""COMPUTED_VALUE"""),45145.0)</f>
        <v>45145</v>
      </c>
      <c r="U658" s="148">
        <f>IFERROR(__xludf.DUMMYFUNCTION("""COMPUTED_VALUE"""),48797.0)</f>
        <v>48797</v>
      </c>
      <c r="V658" s="149">
        <f>IFERROR(__xludf.DUMMYFUNCTION("""COMPUTED_VALUE"""),48616.0)</f>
        <v>48616</v>
      </c>
      <c r="W658" t="str">
        <f>IFERROR(__xludf.DUMMYFUNCTION("""COMPUTED_VALUE"""),"ปลอดภัย")</f>
        <v>ปลอดภัย</v>
      </c>
      <c r="X658" t="str">
        <f>IFERROR(__xludf.DUMMYFUNCTION("""COMPUTED_VALUE"""),"Bangkok")</f>
        <v>Bangkok</v>
      </c>
      <c r="Y658" t="str">
        <f>IFERROR(__xludf.DUMMYFUNCTION("""COMPUTED_VALUE"""),"Lad Phrao")</f>
        <v>Lad Phrao</v>
      </c>
      <c r="Z658" t="str">
        <f>IFERROR(__xludf.DUMMYFUNCTION("""COMPUTED_VALUE"""),"084 156 2955")</f>
        <v>084 156 2955</v>
      </c>
      <c r="AA658" t="str">
        <f>IFERROR(__xludf.DUMMYFUNCTION("""COMPUTED_VALUE"""),"Suthada Srikhot")</f>
        <v>Suthada Srikhot</v>
      </c>
      <c r="AB658" t="str">
        <f>IFERROR(__xludf.DUMMYFUNCTION("""COMPUTED_VALUE"""),"juthatipn@airasia.com")</f>
        <v>juthatipn@airasia.com</v>
      </c>
    </row>
    <row r="659">
      <c r="A659">
        <f>IFERROR(__xludf.DUMMYFUNCTION("""COMPUTED_VALUE"""),1013174.0)</f>
        <v>1013174</v>
      </c>
      <c r="B659" t="str">
        <f>IFERROR(__xludf.DUMMYFUNCTION("""COMPUTED_VALUE"""),"Ms.")</f>
        <v>Ms.</v>
      </c>
      <c r="C659" t="str">
        <f>IFERROR(__xludf.DUMMYFUNCTION("""COMPUTED_VALUE"""),"Kanthida")</f>
        <v>Kanthida</v>
      </c>
      <c r="D659" t="str">
        <f>IFERROR(__xludf.DUMMYFUNCTION("""COMPUTED_VALUE"""),"Srisupawadee")</f>
        <v>Srisupawadee</v>
      </c>
      <c r="E659" t="str">
        <f>IFERROR(__xludf.DUMMYFUNCTION("""COMPUTED_VALUE"""),"Kanthida Srisupawadee")</f>
        <v>Kanthida Srisupawadee</v>
      </c>
      <c r="F659" t="str">
        <f>IFERROR(__xludf.DUMMYFUNCTION("""COMPUTED_VALUE"""),"นางสาว")</f>
        <v>นางสาว</v>
      </c>
      <c r="G659" t="str">
        <f>IFERROR(__xludf.DUMMYFUNCTION("""COMPUTED_VALUE"""),"กานต์ธิดา")</f>
        <v>กานต์ธิดา</v>
      </c>
      <c r="H659" t="str">
        <f>IFERROR(__xludf.DUMMYFUNCTION("""COMPUTED_VALUE"""),"ศรีสุภาวดี")</f>
        <v>ศรีสุภาวดี</v>
      </c>
      <c r="I659" t="str">
        <f>IFERROR(__xludf.DUMMYFUNCTION("""COMPUTED_VALUE"""),"กานต์ธิดา ศรีสุภาวดี")</f>
        <v>กานต์ธิดา ศรีสุภาวดี</v>
      </c>
      <c r="J659" t="str">
        <f>IFERROR(__xludf.DUMMYFUNCTION("""COMPUTED_VALUE"""),"นัตโตะ")</f>
        <v>นัตโตะ</v>
      </c>
      <c r="K659" t="str">
        <f>IFERROR(__xludf.DUMMYFUNCTION("""COMPUTED_VALUE"""),"Cabin Crew")</f>
        <v>Cabin Crew</v>
      </c>
      <c r="L659" t="str">
        <f>IFERROR(__xludf.DUMMYFUNCTION("""COMPUTED_VALUE"""),"DMK")</f>
        <v>DMK</v>
      </c>
      <c r="M659" s="145" t="str">
        <f>IFERROR(__xludf.DUMMYFUNCTION("""COMPUTED_VALUE"""),"Por+ Home")</f>
        <v>Por+ Home</v>
      </c>
      <c r="N659" t="str">
        <f>IFERROR(__xludf.DUMMYFUNCTION("""COMPUTED_VALUE"""),"Active")</f>
        <v>Active</v>
      </c>
      <c r="P659" s="143">
        <f>IFERROR(__xludf.DUMMYFUNCTION("""COMPUTED_VALUE"""),32721.0)</f>
        <v>32721</v>
      </c>
      <c r="Q659" s="146" t="str">
        <f>IFERROR(__xludf.DUMMYFUNCTION("""COMPUTED_VALUE"""),"089 455 4227")</f>
        <v>089 455 4227</v>
      </c>
      <c r="R659" s="147" t="str">
        <f>IFERROR(__xludf.DUMMYFUNCTION("""COMPUTED_VALUE"""),"1101800-36-0328")</f>
        <v>1101800-36-0328</v>
      </c>
      <c r="S659" t="str">
        <f>IFERROR(__xludf.DUMMYFUNCTION("""COMPUTED_VALUE"""),"AC7469532")</f>
        <v>AC7469532</v>
      </c>
      <c r="T659" s="148">
        <f>IFERROR(__xludf.DUMMYFUNCTION("""COMPUTED_VALUE"""),45596.0)</f>
        <v>45596</v>
      </c>
      <c r="U659" s="148">
        <f>IFERROR(__xludf.DUMMYFUNCTION("""COMPUTED_VALUE"""),49247.0)</f>
        <v>49247</v>
      </c>
      <c r="V659" s="149">
        <f>IFERROR(__xludf.DUMMYFUNCTION("""COMPUTED_VALUE"""),49064.0)</f>
        <v>49064</v>
      </c>
      <c r="W659" t="str">
        <f>IFERROR(__xludf.DUMMYFUNCTION("""COMPUTED_VALUE"""),"ปลอดภัย")</f>
        <v>ปลอดภัย</v>
      </c>
      <c r="X659" t="str">
        <f>IFERROR(__xludf.DUMMYFUNCTION("""COMPUTED_VALUE"""),"Bangkok")</f>
        <v>Bangkok</v>
      </c>
      <c r="Y659" t="str">
        <f>IFERROR(__xludf.DUMMYFUNCTION("""COMPUTED_VALUE"""),"Ratburana")</f>
        <v>Ratburana</v>
      </c>
      <c r="Z659" t="str">
        <f>IFERROR(__xludf.DUMMYFUNCTION("""COMPUTED_VALUE"""),"081 721 9391")</f>
        <v>081 721 9391</v>
      </c>
      <c r="AA659" t="str">
        <f>IFERROR(__xludf.DUMMYFUNCTION("""COMPUTED_VALUE"""),"Chanokkan Srisupawadee")</f>
        <v>Chanokkan Srisupawadee</v>
      </c>
      <c r="AB659" t="str">
        <f>IFERROR(__xludf.DUMMYFUNCTION("""COMPUTED_VALUE"""),"kanthidas@airasia.com")</f>
        <v>kanthidas@airasia.com</v>
      </c>
    </row>
    <row r="660">
      <c r="A660">
        <f>IFERROR(__xludf.DUMMYFUNCTION("""COMPUTED_VALUE"""),1013177.0)</f>
        <v>1013177</v>
      </c>
      <c r="B660" t="str">
        <f>IFERROR(__xludf.DUMMYFUNCTION("""COMPUTED_VALUE"""),"Ms.")</f>
        <v>Ms.</v>
      </c>
      <c r="C660" t="str">
        <f>IFERROR(__xludf.DUMMYFUNCTION("""COMPUTED_VALUE"""),"Chayanit (Sariyaphat)")</f>
        <v>Chayanit (Sariyaphat)</v>
      </c>
      <c r="D660" t="str">
        <f>IFERROR(__xludf.DUMMYFUNCTION("""COMPUTED_VALUE"""),"Panichphuwaset (Thanatthanaset)")</f>
        <v>Panichphuwaset (Thanatthanaset)</v>
      </c>
      <c r="E660" t="str">
        <f>IFERROR(__xludf.DUMMYFUNCTION("""COMPUTED_VALUE"""),"Chayanit Panichphuwaset")</f>
        <v>Chayanit Panichphuwaset</v>
      </c>
      <c r="F660" t="str">
        <f>IFERROR(__xludf.DUMMYFUNCTION("""COMPUTED_VALUE"""),"นางสาว")</f>
        <v>นางสาว</v>
      </c>
      <c r="G660" t="str">
        <f>IFERROR(__xludf.DUMMYFUNCTION("""COMPUTED_VALUE"""),"ชญานิศวร์ (ศริญาภัสร์)")</f>
        <v>ชญานิศวร์ (ศริญาภัสร์)</v>
      </c>
      <c r="H660" t="str">
        <f>IFERROR(__xludf.DUMMYFUNCTION("""COMPUTED_VALUE"""),"พณิชภูวเศรษฐ์ (ธนัชธนเศรษฐ์)")</f>
        <v>พณิชภูวเศรษฐ์ (ธนัชธนเศรษฐ์)</v>
      </c>
      <c r="I660" t="str">
        <f>IFERROR(__xludf.DUMMYFUNCTION("""COMPUTED_VALUE"""),"ชญานิศวร์ พณิชภูวเศรษฐ์")</f>
        <v>ชญานิศวร์ พณิชภูวเศรษฐ์</v>
      </c>
      <c r="J660" t="str">
        <f>IFERROR(__xludf.DUMMYFUNCTION("""COMPUTED_VALUE"""),"หมิว")</f>
        <v>หมิว</v>
      </c>
      <c r="K660" t="str">
        <f>IFERROR(__xludf.DUMMYFUNCTION("""COMPUTED_VALUE"""),"Cabin Crew - BKK")</f>
        <v>Cabin Crew - BKK</v>
      </c>
      <c r="L660" t="str">
        <f>IFERROR(__xludf.DUMMYFUNCTION("""COMPUTED_VALUE"""),"BKK")</f>
        <v>BKK</v>
      </c>
      <c r="M660" s="145" t="str">
        <f>IFERROR(__xludf.DUMMYFUNCTION("""COMPUTED_VALUE"""),"Nhui Home")</f>
        <v>Nhui Home</v>
      </c>
      <c r="N660" t="str">
        <f>IFERROR(__xludf.DUMMYFUNCTION("""COMPUTED_VALUE"""),"Active")</f>
        <v>Active</v>
      </c>
      <c r="O660" t="str">
        <f>IFERROR(__xludf.DUMMYFUNCTION("""COMPUTED_VALUE"""),"Chinese Speaking")</f>
        <v>Chinese Speaking</v>
      </c>
      <c r="P660" s="143">
        <f>IFERROR(__xludf.DUMMYFUNCTION("""COMPUTED_VALUE"""),33822.0)</f>
        <v>33822</v>
      </c>
      <c r="Q660" s="146">
        <f>IFERROR(__xludf.DUMMYFUNCTION("""COMPUTED_VALUE"""),6.39629965E8)</f>
        <v>639629965</v>
      </c>
      <c r="R660" s="147" t="str">
        <f>IFERROR(__xludf.DUMMYFUNCTION("""COMPUTED_VALUE"""),"1100800-81-7548")</f>
        <v>1100800-81-7548</v>
      </c>
      <c r="S660" t="str">
        <f>IFERROR(__xludf.DUMMYFUNCTION("""COMPUTED_VALUE"""),"AC2904944")</f>
        <v>AC2904944</v>
      </c>
      <c r="T660" s="148">
        <f>IFERROR(__xludf.DUMMYFUNCTION("""COMPUTED_VALUE"""),44616.0)</f>
        <v>44616</v>
      </c>
      <c r="U660" s="148">
        <f>IFERROR(__xludf.DUMMYFUNCTION("""COMPUTED_VALUE"""),46441.0)</f>
        <v>46441</v>
      </c>
      <c r="V660" s="149">
        <f>IFERROR(__xludf.DUMMYFUNCTION("""COMPUTED_VALUE"""),46257.0)</f>
        <v>46257</v>
      </c>
      <c r="W660" t="str">
        <f>IFERROR(__xludf.DUMMYFUNCTION("""COMPUTED_VALUE"""),"ปลอดภัย")</f>
        <v>ปลอดภัย</v>
      </c>
      <c r="X660" t="str">
        <f>IFERROR(__xludf.DUMMYFUNCTION("""COMPUTED_VALUE"""),"Bangkok")</f>
        <v>Bangkok</v>
      </c>
      <c r="Y660" t="str">
        <f>IFERROR(__xludf.DUMMYFUNCTION("""COMPUTED_VALUE"""),"Wangtonglang")</f>
        <v>Wangtonglang</v>
      </c>
      <c r="Z660" t="str">
        <f>IFERROR(__xludf.DUMMYFUNCTION("""COMPUTED_VALUE"""),"092-696-5050")</f>
        <v>092-696-5050</v>
      </c>
      <c r="AA660" t="str">
        <f>IFERROR(__xludf.DUMMYFUNCTION("""COMPUTED_VALUE"""),"Ms. Siriporn")</f>
        <v>Ms. Siriporn</v>
      </c>
      <c r="AB660" t="str">
        <f>IFERROR(__xludf.DUMMYFUNCTION("""COMPUTED_VALUE"""),"sariyaphatt@airasia.com")</f>
        <v>sariyaphatt@airasia.com</v>
      </c>
    </row>
    <row r="661">
      <c r="A661">
        <f>IFERROR(__xludf.DUMMYFUNCTION("""COMPUTED_VALUE"""),1013178.0)</f>
        <v>1013178</v>
      </c>
      <c r="B661" t="str">
        <f>IFERROR(__xludf.DUMMYFUNCTION("""COMPUTED_VALUE"""),"Mr.")</f>
        <v>Mr.</v>
      </c>
      <c r="C661" t="str">
        <f>IFERROR(__xludf.DUMMYFUNCTION("""COMPUTED_VALUE"""),"Niharoon")</f>
        <v>Niharoon</v>
      </c>
      <c r="D661" t="str">
        <f>IFERROR(__xludf.DUMMYFUNCTION("""COMPUTED_VALUE"""),"Sulaiman")</f>
        <v>Sulaiman</v>
      </c>
      <c r="E661" t="str">
        <f>IFERROR(__xludf.DUMMYFUNCTION("""COMPUTED_VALUE"""),"Niharoon Sulaiman")</f>
        <v>Niharoon Sulaiman</v>
      </c>
      <c r="F661" t="str">
        <f>IFERROR(__xludf.DUMMYFUNCTION("""COMPUTED_VALUE"""),"นาย")</f>
        <v>นาย</v>
      </c>
      <c r="G661" t="str">
        <f>IFERROR(__xludf.DUMMYFUNCTION("""COMPUTED_VALUE"""),"นิฮารูน")</f>
        <v>นิฮารูน</v>
      </c>
      <c r="H661" t="str">
        <f>IFERROR(__xludf.DUMMYFUNCTION("""COMPUTED_VALUE"""),"สุไลมาน")</f>
        <v>สุไลมาน</v>
      </c>
      <c r="I661" t="str">
        <f>IFERROR(__xludf.DUMMYFUNCTION("""COMPUTED_VALUE"""),"นิฮารูน สุไลมาน")</f>
        <v>นิฮารูน สุไลมาน</v>
      </c>
      <c r="J661" t="str">
        <f>IFERROR(__xludf.DUMMYFUNCTION("""COMPUTED_VALUE"""),"ฮารูน")</f>
        <v>ฮารูน</v>
      </c>
      <c r="K661" t="str">
        <f>IFERROR(__xludf.DUMMYFUNCTION("""COMPUTED_VALUE"""),"Cabin Crew - CNX")</f>
        <v>Cabin Crew - CNX</v>
      </c>
      <c r="L661" t="str">
        <f>IFERROR(__xludf.DUMMYFUNCTION("""COMPUTED_VALUE"""),"CNX")</f>
        <v>CNX</v>
      </c>
      <c r="M661" s="145" t="str">
        <f>IFERROR(__xludf.DUMMYFUNCTION("""COMPUTED_VALUE"""),"Up Home")</f>
        <v>Up Home</v>
      </c>
      <c r="N661" t="str">
        <f>IFERROR(__xludf.DUMMYFUNCTION("""COMPUTED_VALUE"""),"Active")</f>
        <v>Active</v>
      </c>
      <c r="P661" s="143">
        <f>IFERROR(__xludf.DUMMYFUNCTION("""COMPUTED_VALUE"""),34157.0)</f>
        <v>34157</v>
      </c>
      <c r="Q661" s="146" t="str">
        <f>IFERROR(__xludf.DUMMYFUNCTION("""COMPUTED_VALUE"""),"093 583 3013")</f>
        <v>093 583 3013</v>
      </c>
      <c r="R661" s="147" t="str">
        <f>IFERROR(__xludf.DUMMYFUNCTION("""COMPUTED_VALUE"""),"1959900-36-3141")</f>
        <v>1959900-36-3141</v>
      </c>
      <c r="S661" t="str">
        <f>IFERROR(__xludf.DUMMYFUNCTION("""COMPUTED_VALUE"""),"AC2499170")</f>
        <v>AC2499170</v>
      </c>
      <c r="T661" s="148">
        <f>IFERROR(__xludf.DUMMYFUNCTION("""COMPUTED_VALUE"""),44912.0)</f>
        <v>44912</v>
      </c>
      <c r="U661" s="148">
        <f>IFERROR(__xludf.DUMMYFUNCTION("""COMPUTED_VALUE"""),48198.0)</f>
        <v>48198</v>
      </c>
      <c r="V661" s="149">
        <f>IFERROR(__xludf.DUMMYFUNCTION("""COMPUTED_VALUE"""),48015.0)</f>
        <v>48015</v>
      </c>
      <c r="W661" t="str">
        <f>IFERROR(__xludf.DUMMYFUNCTION("""COMPUTED_VALUE"""),"ปลอดภัย")</f>
        <v>ปลอดภัย</v>
      </c>
      <c r="X661" t="str">
        <f>IFERROR(__xludf.DUMMYFUNCTION("""COMPUTED_VALUE"""),"Yala Province")</f>
        <v>Yala Province</v>
      </c>
      <c r="Y661" t="str">
        <f>IFERROR(__xludf.DUMMYFUNCTION("""COMPUTED_VALUE"""),"Pattani")</f>
        <v>Pattani</v>
      </c>
      <c r="Z661" t="str">
        <f>IFERROR(__xludf.DUMMYFUNCTION("""COMPUTED_VALUE"""),"081 969 7879")</f>
        <v>081 969 7879</v>
      </c>
      <c r="AA661" t="str">
        <f>IFERROR(__xludf.DUMMYFUNCTION("""COMPUTED_VALUE"""),"Sunsurang Sulaiman")</f>
        <v>Sunsurang Sulaiman</v>
      </c>
      <c r="AB661" t="str">
        <f>IFERROR(__xludf.DUMMYFUNCTION("""COMPUTED_VALUE"""),"niharoons@airasia.com")</f>
        <v>niharoons@airasia.com</v>
      </c>
    </row>
    <row r="662">
      <c r="A662">
        <f>IFERROR(__xludf.DUMMYFUNCTION("""COMPUTED_VALUE"""),1013179.0)</f>
        <v>1013179</v>
      </c>
      <c r="B662" t="str">
        <f>IFERROR(__xludf.DUMMYFUNCTION("""COMPUTED_VALUE"""),"Ms.")</f>
        <v>Ms.</v>
      </c>
      <c r="C662" t="str">
        <f>IFERROR(__xludf.DUMMYFUNCTION("""COMPUTED_VALUE"""),"Nunapat")</f>
        <v>Nunapat</v>
      </c>
      <c r="D662" t="str">
        <f>IFERROR(__xludf.DUMMYFUNCTION("""COMPUTED_VALUE"""),"Towakul")</f>
        <v>Towakul</v>
      </c>
      <c r="E662" t="str">
        <f>IFERROR(__xludf.DUMMYFUNCTION("""COMPUTED_VALUE"""),"Nunapat Towakul")</f>
        <v>Nunapat Towakul</v>
      </c>
      <c r="F662" t="str">
        <f>IFERROR(__xludf.DUMMYFUNCTION("""COMPUTED_VALUE"""),"นางสาว")</f>
        <v>นางสาว</v>
      </c>
      <c r="G662" t="str">
        <f>IFERROR(__xludf.DUMMYFUNCTION("""COMPUTED_VALUE"""),"นันท์นภัส")</f>
        <v>นันท์นภัส</v>
      </c>
      <c r="H662" t="str">
        <f>IFERROR(__xludf.DUMMYFUNCTION("""COMPUTED_VALUE"""),"โต๋ววากุล")</f>
        <v>โต๋ววากุล</v>
      </c>
      <c r="I662" t="str">
        <f>IFERROR(__xludf.DUMMYFUNCTION("""COMPUTED_VALUE"""),"นันท์นภัส โต๋ววากุล")</f>
        <v>นันท์นภัส โต๋ววากุล</v>
      </c>
      <c r="J662" t="str">
        <f>IFERROR(__xludf.DUMMYFUNCTION("""COMPUTED_VALUE"""),"เต๋า")</f>
        <v>เต๋า</v>
      </c>
      <c r="K662" t="str">
        <f>IFERROR(__xludf.DUMMYFUNCTION("""COMPUTED_VALUE"""),"Cabin Crew")</f>
        <v>Cabin Crew</v>
      </c>
      <c r="L662" t="str">
        <f>IFERROR(__xludf.DUMMYFUNCTION("""COMPUTED_VALUE"""),"DMK")</f>
        <v>DMK</v>
      </c>
      <c r="M662" s="145" t="str">
        <f>IFERROR(__xludf.DUMMYFUNCTION("""COMPUTED_VALUE"""),"Por+ Home")</f>
        <v>Por+ Home</v>
      </c>
      <c r="N662" t="str">
        <f>IFERROR(__xludf.DUMMYFUNCTION("""COMPUTED_VALUE"""),"Active")</f>
        <v>Active</v>
      </c>
      <c r="P662" s="143">
        <f>IFERROR(__xludf.DUMMYFUNCTION("""COMPUTED_VALUE"""),30844.0)</f>
        <v>30844</v>
      </c>
      <c r="Q662" s="146" t="str">
        <f>IFERROR(__xludf.DUMMYFUNCTION("""COMPUTED_VALUE"""),"086 352 3659")</f>
        <v>086 352 3659</v>
      </c>
      <c r="R662" s="147" t="str">
        <f>IFERROR(__xludf.DUMMYFUNCTION("""COMPUTED_VALUE"""),"1100800-04-6029")</f>
        <v>1100800-04-6029</v>
      </c>
      <c r="S662" t="str">
        <f>IFERROR(__xludf.DUMMYFUNCTION("""COMPUTED_VALUE"""),"AC2721489")</f>
        <v>AC2721489</v>
      </c>
      <c r="T662" s="148">
        <f>IFERROR(__xludf.DUMMYFUNCTION("""COMPUTED_VALUE"""),44474.0)</f>
        <v>44474</v>
      </c>
      <c r="U662" s="148">
        <f>IFERROR(__xludf.DUMMYFUNCTION("""COMPUTED_VALUE"""),48125.0)</f>
        <v>48125</v>
      </c>
      <c r="V662" s="149">
        <f>IFERROR(__xludf.DUMMYFUNCTION("""COMPUTED_VALUE"""),47942.0)</f>
        <v>47942</v>
      </c>
      <c r="W662" t="str">
        <f>IFERROR(__xludf.DUMMYFUNCTION("""COMPUTED_VALUE"""),"ปลอดภัย")</f>
        <v>ปลอดภัย</v>
      </c>
      <c r="X662" t="str">
        <f>IFERROR(__xludf.DUMMYFUNCTION("""COMPUTED_VALUE"""),"Bangkok")</f>
        <v>Bangkok</v>
      </c>
      <c r="Y662" t="str">
        <f>IFERROR(__xludf.DUMMYFUNCTION("""COMPUTED_VALUE"""),"Beungkhum")</f>
        <v>Beungkhum</v>
      </c>
      <c r="Z662" t="str">
        <f>IFERROR(__xludf.DUMMYFUNCTION("""COMPUTED_VALUE"""),"086 778 0107")</f>
        <v>086 778 0107</v>
      </c>
      <c r="AA662" t="str">
        <f>IFERROR(__xludf.DUMMYFUNCTION("""COMPUTED_VALUE"""),"Prayode Towakul")</f>
        <v>Prayode Towakul</v>
      </c>
      <c r="AB662" t="str">
        <f>IFERROR(__xludf.DUMMYFUNCTION("""COMPUTED_VALUE"""),"nunapatt@airasia.com")</f>
        <v>nunapatt@airasia.com</v>
      </c>
    </row>
    <row r="663">
      <c r="A663">
        <f>IFERROR(__xludf.DUMMYFUNCTION("""COMPUTED_VALUE"""),1013180.0)</f>
        <v>1013180</v>
      </c>
      <c r="B663" t="str">
        <f>IFERROR(__xludf.DUMMYFUNCTION("""COMPUTED_VALUE"""),"Ms.")</f>
        <v>Ms.</v>
      </c>
      <c r="C663" t="str">
        <f>IFERROR(__xludf.DUMMYFUNCTION("""COMPUTED_VALUE"""),"Nuttinee")</f>
        <v>Nuttinee</v>
      </c>
      <c r="D663" t="str">
        <f>IFERROR(__xludf.DUMMYFUNCTION("""COMPUTED_VALUE"""),"Rattana-u-dom (Kwanduan)")</f>
        <v>Rattana-u-dom (Kwanduan)</v>
      </c>
      <c r="E663" t="str">
        <f>IFERROR(__xludf.DUMMYFUNCTION("""COMPUTED_VALUE"""),"Nuttinee Rattana-u-dom")</f>
        <v>Nuttinee Rattana-u-dom</v>
      </c>
      <c r="F663" t="str">
        <f>IFERROR(__xludf.DUMMYFUNCTION("""COMPUTED_VALUE"""),"นางสาว")</f>
        <v>นางสาว</v>
      </c>
      <c r="G663" t="str">
        <f>IFERROR(__xludf.DUMMYFUNCTION("""COMPUTED_VALUE"""),"ณัฏฐิณี")</f>
        <v>ณัฏฐิณี</v>
      </c>
      <c r="H663" t="str">
        <f>IFERROR(__xludf.DUMMYFUNCTION("""COMPUTED_VALUE"""),"รัตนอุดม (ขวัญเดือน) ")</f>
        <v>รัตนอุดม (ขวัญเดือน) </v>
      </c>
      <c r="I663" t="str">
        <f>IFERROR(__xludf.DUMMYFUNCTION("""COMPUTED_VALUE"""),"ณัฏฐิณี รัตนอุดม")</f>
        <v>ณัฏฐิณี รัตนอุดม</v>
      </c>
      <c r="J663" t="str">
        <f>IFERROR(__xludf.DUMMYFUNCTION("""COMPUTED_VALUE"""),"แป้ง")</f>
        <v>แป้ง</v>
      </c>
      <c r="K663" t="str">
        <f>IFERROR(__xludf.DUMMYFUNCTION("""COMPUTED_VALUE"""),"Senior Cabin Crew")</f>
        <v>Senior Cabin Crew</v>
      </c>
      <c r="L663" t="str">
        <f>IFERROR(__xludf.DUMMYFUNCTION("""COMPUTED_VALUE"""),"DMK")</f>
        <v>DMK</v>
      </c>
      <c r="M663" s="145" t="str">
        <f>IFERROR(__xludf.DUMMYFUNCTION("""COMPUTED_VALUE"""),"Namfon Home")</f>
        <v>Namfon Home</v>
      </c>
      <c r="N663" t="str">
        <f>IFERROR(__xludf.DUMMYFUNCTION("""COMPUTED_VALUE"""),"Active")</f>
        <v>Active</v>
      </c>
      <c r="P663" s="143">
        <f>IFERROR(__xludf.DUMMYFUNCTION("""COMPUTED_VALUE"""),33794.0)</f>
        <v>33794</v>
      </c>
      <c r="Q663" s="146" t="str">
        <f>IFERROR(__xludf.DUMMYFUNCTION("""COMPUTED_VALUE"""),"088 761 3234")</f>
        <v>088 761 3234</v>
      </c>
      <c r="R663" s="147" t="str">
        <f>IFERROR(__xludf.DUMMYFUNCTION("""COMPUTED_VALUE"""),"2840100-02-5055")</f>
        <v>2840100-02-5055</v>
      </c>
      <c r="S663" t="str">
        <f>IFERROR(__xludf.DUMMYFUNCTION("""COMPUTED_VALUE"""),"AC2364260")</f>
        <v>AC2364260</v>
      </c>
      <c r="T663" s="148">
        <f>IFERROR(__xludf.DUMMYFUNCTION("""COMPUTED_VALUE"""),45882.0)</f>
        <v>45882</v>
      </c>
      <c r="U663" s="148">
        <f>IFERROR(__xludf.DUMMYFUNCTION("""COMPUTED_VALUE"""),49533.0)</f>
        <v>49533</v>
      </c>
      <c r="V663" s="149">
        <f>IFERROR(__xludf.DUMMYFUNCTION("""COMPUTED_VALUE"""),49352.0)</f>
        <v>49352</v>
      </c>
      <c r="W663" t="str">
        <f>IFERROR(__xludf.DUMMYFUNCTION("""COMPUTED_VALUE"""),"ปลอดภัย")</f>
        <v>ปลอดภัย</v>
      </c>
      <c r="X663" t="str">
        <f>IFERROR(__xludf.DUMMYFUNCTION("""COMPUTED_VALUE"""),"Surat Thani Province")</f>
        <v>Surat Thani Province</v>
      </c>
      <c r="Y663" t="str">
        <f>IFERROR(__xludf.DUMMYFUNCTION("""COMPUTED_VALUE"""),"Krabi")</f>
        <v>Krabi</v>
      </c>
      <c r="Z663" t="str">
        <f>IFERROR(__xludf.DUMMYFUNCTION("""COMPUTED_VALUE"""),"081 747 8785")</f>
        <v>081 747 8785</v>
      </c>
      <c r="AA663" t="str">
        <f>IFERROR(__xludf.DUMMYFUNCTION("""COMPUTED_VALUE"""),"Mongkol Kwanduan")</f>
        <v>Mongkol Kwanduan</v>
      </c>
      <c r="AB663" t="str">
        <f>IFERROR(__xludf.DUMMYFUNCTION("""COMPUTED_VALUE"""),"nuttineer@airasia.com")</f>
        <v>nuttineer@airasia.com</v>
      </c>
    </row>
    <row r="664">
      <c r="A664">
        <f>IFERROR(__xludf.DUMMYFUNCTION("""COMPUTED_VALUE"""),1013181.0)</f>
        <v>1013181</v>
      </c>
      <c r="B664" t="str">
        <f>IFERROR(__xludf.DUMMYFUNCTION("""COMPUTED_VALUE"""),"Ms.")</f>
        <v>Ms.</v>
      </c>
      <c r="C664" t="str">
        <f>IFERROR(__xludf.DUMMYFUNCTION("""COMPUTED_VALUE"""),"Pattorn")</f>
        <v>Pattorn</v>
      </c>
      <c r="D664" t="str">
        <f>IFERROR(__xludf.DUMMYFUNCTION("""COMPUTED_VALUE"""),"Kitthathamrong")</f>
        <v>Kitthathamrong</v>
      </c>
      <c r="E664" t="str">
        <f>IFERROR(__xludf.DUMMYFUNCTION("""COMPUTED_VALUE"""),"Pattorn Kitthathamrong")</f>
        <v>Pattorn Kitthathamrong</v>
      </c>
      <c r="F664" t="str">
        <f>IFERROR(__xludf.DUMMYFUNCTION("""COMPUTED_VALUE"""),"นางสาว")</f>
        <v>นางสาว</v>
      </c>
      <c r="G664" t="str">
        <f>IFERROR(__xludf.DUMMYFUNCTION("""COMPUTED_VALUE"""),"ภัทธ์ธรณ์")</f>
        <v>ภัทธ์ธรณ์</v>
      </c>
      <c r="H664" t="str">
        <f>IFERROR(__xludf.DUMMYFUNCTION("""COMPUTED_VALUE"""),"กิตธาธำรง")</f>
        <v>กิตธาธำรง</v>
      </c>
      <c r="I664" t="str">
        <f>IFERROR(__xludf.DUMMYFUNCTION("""COMPUTED_VALUE"""),"ภัทธ์ธรณ์ กิตธาธำรง")</f>
        <v>ภัทธ์ธรณ์ กิตธาธำรง</v>
      </c>
      <c r="J664" t="str">
        <f>IFERROR(__xludf.DUMMYFUNCTION("""COMPUTED_VALUE"""),"ฟา")</f>
        <v>ฟา</v>
      </c>
      <c r="K664" t="str">
        <f>IFERROR(__xludf.DUMMYFUNCTION("""COMPUTED_VALUE"""),"Cabin Crew")</f>
        <v>Cabin Crew</v>
      </c>
      <c r="L664" t="str">
        <f>IFERROR(__xludf.DUMMYFUNCTION("""COMPUTED_VALUE"""),"DMK")</f>
        <v>DMK</v>
      </c>
      <c r="M664" s="145" t="str">
        <f>IFERROR(__xludf.DUMMYFUNCTION("""COMPUTED_VALUE"""),"Nhui Home")</f>
        <v>Nhui Home</v>
      </c>
      <c r="N664" t="str">
        <f>IFERROR(__xludf.DUMMYFUNCTION("""COMPUTED_VALUE"""),"Active")</f>
        <v>Active</v>
      </c>
      <c r="P664" s="143">
        <f>IFERROR(__xludf.DUMMYFUNCTION("""COMPUTED_VALUE"""),33531.0)</f>
        <v>33531</v>
      </c>
      <c r="Q664" s="146" t="str">
        <f>IFERROR(__xludf.DUMMYFUNCTION("""COMPUTED_VALUE"""),"082 429 4665")</f>
        <v>082 429 4665</v>
      </c>
      <c r="R664" s="147" t="str">
        <f>IFERROR(__xludf.DUMMYFUNCTION("""COMPUTED_VALUE"""),"1419900-29-1896")</f>
        <v>1419900-29-1896</v>
      </c>
      <c r="S664" t="str">
        <f>IFERROR(__xludf.DUMMYFUNCTION("""COMPUTED_VALUE"""),"AC2691743")</f>
        <v>AC2691743</v>
      </c>
      <c r="T664" s="148">
        <f>IFERROR(__xludf.DUMMYFUNCTION("""COMPUTED_VALUE"""),44585.0)</f>
        <v>44585</v>
      </c>
      <c r="U664" s="148">
        <f>IFERROR(__xludf.DUMMYFUNCTION("""COMPUTED_VALUE"""),48236.0)</f>
        <v>48236</v>
      </c>
      <c r="V664" s="149">
        <f>IFERROR(__xludf.DUMMYFUNCTION("""COMPUTED_VALUE"""),48052.0)</f>
        <v>48052</v>
      </c>
      <c r="W664" t="str">
        <f>IFERROR(__xludf.DUMMYFUNCTION("""COMPUTED_VALUE"""),"ปลอดภัย")</f>
        <v>ปลอดภัย</v>
      </c>
      <c r="X664" t="str">
        <f>IFERROR(__xludf.DUMMYFUNCTION("""COMPUTED_VALUE"""),"Udon Thani Province")</f>
        <v>Udon Thani Province</v>
      </c>
      <c r="Y664" t="str">
        <f>IFERROR(__xludf.DUMMYFUNCTION("""COMPUTED_VALUE"""),"Din Deang")</f>
        <v>Din Deang</v>
      </c>
      <c r="Z664" t="str">
        <f>IFERROR(__xludf.DUMMYFUNCTION("""COMPUTED_VALUE"""),"085 011 9929")</f>
        <v>085 011 9929</v>
      </c>
      <c r="AA664" t="str">
        <f>IFERROR(__xludf.DUMMYFUNCTION("""COMPUTED_VALUE"""),"Teetanart Kitthathamrong")</f>
        <v>Teetanart Kitthathamrong</v>
      </c>
      <c r="AB664" t="str">
        <f>IFERROR(__xludf.DUMMYFUNCTION("""COMPUTED_VALUE"""),"pattornk@airasia.com")</f>
        <v>pattornk@airasia.com</v>
      </c>
    </row>
    <row r="665">
      <c r="A665">
        <f>IFERROR(__xludf.DUMMYFUNCTION("""COMPUTED_VALUE"""),1013184.0)</f>
        <v>1013184</v>
      </c>
      <c r="B665" t="str">
        <f>IFERROR(__xludf.DUMMYFUNCTION("""COMPUTED_VALUE"""),"Ms.")</f>
        <v>Ms.</v>
      </c>
      <c r="C665" t="str">
        <f>IFERROR(__xludf.DUMMYFUNCTION("""COMPUTED_VALUE"""),"Pinnarat")</f>
        <v>Pinnarat</v>
      </c>
      <c r="D665" t="str">
        <f>IFERROR(__xludf.DUMMYFUNCTION("""COMPUTED_VALUE"""),"Mawinthon")</f>
        <v>Mawinthon</v>
      </c>
      <c r="E665" t="str">
        <f>IFERROR(__xludf.DUMMYFUNCTION("""COMPUTED_VALUE"""),"Pinnarat Mawinthon")</f>
        <v>Pinnarat Mawinthon</v>
      </c>
      <c r="F665" t="str">
        <f>IFERROR(__xludf.DUMMYFUNCTION("""COMPUTED_VALUE"""),"นางสาว")</f>
        <v>นางสาว</v>
      </c>
      <c r="G665" t="str">
        <f>IFERROR(__xludf.DUMMYFUNCTION("""COMPUTED_VALUE"""),"พิณรัตน์")</f>
        <v>พิณรัตน์</v>
      </c>
      <c r="H665" t="str">
        <f>IFERROR(__xludf.DUMMYFUNCTION("""COMPUTED_VALUE"""),"มะวิญธร")</f>
        <v>มะวิญธร</v>
      </c>
      <c r="I665" t="str">
        <f>IFERROR(__xludf.DUMMYFUNCTION("""COMPUTED_VALUE"""),"พิณรัตน์ มะวิญธร")</f>
        <v>พิณรัตน์ มะวิญธร</v>
      </c>
      <c r="J665" t="str">
        <f>IFERROR(__xludf.DUMMYFUNCTION("""COMPUTED_VALUE"""),"Tiffany / Um")</f>
        <v>Tiffany / Um</v>
      </c>
      <c r="K665" t="str">
        <f>IFERROR(__xludf.DUMMYFUNCTION("""COMPUTED_VALUE"""),"Cabin Crew")</f>
        <v>Cabin Crew</v>
      </c>
      <c r="L665" t="str">
        <f>IFERROR(__xludf.DUMMYFUNCTION("""COMPUTED_VALUE"""),"DMK")</f>
        <v>DMK</v>
      </c>
      <c r="M665" s="145" t="str">
        <f>IFERROR(__xludf.DUMMYFUNCTION("""COMPUTED_VALUE"""),"Namfon Home")</f>
        <v>Namfon Home</v>
      </c>
      <c r="N665" t="str">
        <f>IFERROR(__xludf.DUMMYFUNCTION("""COMPUTED_VALUE"""),"Active")</f>
        <v>Active</v>
      </c>
      <c r="O665" t="str">
        <f>IFERROR(__xludf.DUMMYFUNCTION("""COMPUTED_VALUE"""),"Chinese Speaking")</f>
        <v>Chinese Speaking</v>
      </c>
      <c r="P665" s="143">
        <f>IFERROR(__xludf.DUMMYFUNCTION("""COMPUTED_VALUE"""),33008.0)</f>
        <v>33008</v>
      </c>
      <c r="Q665" s="146" t="str">
        <f>IFERROR(__xludf.DUMMYFUNCTION("""COMPUTED_VALUE"""),"063 978 9642")</f>
        <v>063 978 9642</v>
      </c>
      <c r="R665" s="147" t="str">
        <f>IFERROR(__xludf.DUMMYFUNCTION("""COMPUTED_VALUE"""),"1103700-14-6890")</f>
        <v>1103700-14-6890</v>
      </c>
      <c r="S665" t="str">
        <f>IFERROR(__xludf.DUMMYFUNCTION("""COMPUTED_VALUE"""),"AC5192210")</f>
        <v>AC5192210</v>
      </c>
      <c r="T665" s="150">
        <f>IFERROR(__xludf.DUMMYFUNCTION("""COMPUTED_VALUE"""),45322.0)</f>
        <v>45322</v>
      </c>
      <c r="U665" s="148">
        <f>IFERROR(__xludf.DUMMYFUNCTION("""COMPUTED_VALUE"""),48974.0)</f>
        <v>48974</v>
      </c>
      <c r="V665" s="149">
        <f>IFERROR(__xludf.DUMMYFUNCTION("""COMPUTED_VALUE"""),48790.0)</f>
        <v>48790</v>
      </c>
      <c r="W665" t="str">
        <f>IFERROR(__xludf.DUMMYFUNCTION("""COMPUTED_VALUE"""),"ปลอดภัย")</f>
        <v>ปลอดภัย</v>
      </c>
      <c r="X665" t="str">
        <f>IFERROR(__xludf.DUMMYFUNCTION("""COMPUTED_VALUE"""),"Bangkok")</f>
        <v>Bangkok</v>
      </c>
      <c r="Y665" t="str">
        <f>IFERROR(__xludf.DUMMYFUNCTION("""COMPUTED_VALUE"""),"Ayutthaya")</f>
        <v>Ayutthaya</v>
      </c>
      <c r="Z665" t="str">
        <f>IFERROR(__xludf.DUMMYFUNCTION("""COMPUTED_VALUE"""),"081 496 8282")</f>
        <v>081 496 8282</v>
      </c>
      <c r="AA665" t="str">
        <f>IFERROR(__xludf.DUMMYFUNCTION("""COMPUTED_VALUE"""),"Bourwonluck Mawinthan")</f>
        <v>Bourwonluck Mawinthan</v>
      </c>
      <c r="AB665" t="str">
        <f>IFERROR(__xludf.DUMMYFUNCTION("""COMPUTED_VALUE"""),"pinnaratm@airasia.com")</f>
        <v>pinnaratm@airasia.com</v>
      </c>
    </row>
    <row r="666">
      <c r="A666">
        <f>IFERROR(__xludf.DUMMYFUNCTION("""COMPUTED_VALUE"""),1013185.0)</f>
        <v>1013185</v>
      </c>
      <c r="B666" t="str">
        <f>IFERROR(__xludf.DUMMYFUNCTION("""COMPUTED_VALUE"""),"Mr.")</f>
        <v>Mr.</v>
      </c>
      <c r="C666" t="str">
        <f>IFERROR(__xludf.DUMMYFUNCTION("""COMPUTED_VALUE"""),"Pongsak")</f>
        <v>Pongsak</v>
      </c>
      <c r="D666" t="str">
        <f>IFERROR(__xludf.DUMMYFUNCTION("""COMPUTED_VALUE"""),"Sangdee")</f>
        <v>Sangdee</v>
      </c>
      <c r="E666" t="str">
        <f>IFERROR(__xludf.DUMMYFUNCTION("""COMPUTED_VALUE"""),"Pongsak Sangdee")</f>
        <v>Pongsak Sangdee</v>
      </c>
      <c r="F666" t="str">
        <f>IFERROR(__xludf.DUMMYFUNCTION("""COMPUTED_VALUE"""),"นาย")</f>
        <v>นาย</v>
      </c>
      <c r="G666" t="str">
        <f>IFERROR(__xludf.DUMMYFUNCTION("""COMPUTED_VALUE"""),"พงศ์ศักดิ์")</f>
        <v>พงศ์ศักดิ์</v>
      </c>
      <c r="H666" t="str">
        <f>IFERROR(__xludf.DUMMYFUNCTION("""COMPUTED_VALUE"""),"สังข์ดี")</f>
        <v>สังข์ดี</v>
      </c>
      <c r="I666" t="str">
        <f>IFERROR(__xludf.DUMMYFUNCTION("""COMPUTED_VALUE"""),"พงศ์ศักดิ์ สังข์ดี")</f>
        <v>พงศ์ศักดิ์ สังข์ดี</v>
      </c>
      <c r="J666" t="str">
        <f>IFERROR(__xludf.DUMMYFUNCTION("""COMPUTED_VALUE"""),"น้ำ")</f>
        <v>น้ำ</v>
      </c>
      <c r="K666" t="str">
        <f>IFERROR(__xludf.DUMMYFUNCTION("""COMPUTED_VALUE"""),"Cabin Crew")</f>
        <v>Cabin Crew</v>
      </c>
      <c r="L666" t="str">
        <f>IFERROR(__xludf.DUMMYFUNCTION("""COMPUTED_VALUE"""),"DMK")</f>
        <v>DMK</v>
      </c>
      <c r="M666" s="145" t="str">
        <f>IFERROR(__xludf.DUMMYFUNCTION("""COMPUTED_VALUE"""),"Toffy Home")</f>
        <v>Toffy Home</v>
      </c>
      <c r="N666" t="str">
        <f>IFERROR(__xludf.DUMMYFUNCTION("""COMPUTED_VALUE"""),"Active")</f>
        <v>Active</v>
      </c>
      <c r="P666" s="143">
        <f>IFERROR(__xludf.DUMMYFUNCTION("""COMPUTED_VALUE"""),32468.0)</f>
        <v>32468</v>
      </c>
      <c r="Q666" s="146" t="str">
        <f>IFERROR(__xludf.DUMMYFUNCTION("""COMPUTED_VALUE"""),"083 077 5380")</f>
        <v>083 077 5380</v>
      </c>
      <c r="R666" s="147" t="str">
        <f>IFERROR(__xludf.DUMMYFUNCTION("""COMPUTED_VALUE"""),"2809900-02-1320")</f>
        <v>2809900-02-1320</v>
      </c>
      <c r="S666" t="str">
        <f>IFERROR(__xludf.DUMMYFUNCTION("""COMPUTED_VALUE"""),"AC5564711")</f>
        <v>AC5564711</v>
      </c>
      <c r="T666" s="148">
        <f>IFERROR(__xludf.DUMMYFUNCTION("""COMPUTED_VALUE"""),45167.0)</f>
        <v>45167</v>
      </c>
      <c r="U666" s="148">
        <f>IFERROR(__xludf.DUMMYFUNCTION("""COMPUTED_VALUE"""),46993.0)</f>
        <v>46993</v>
      </c>
      <c r="V666" s="149">
        <f>IFERROR(__xludf.DUMMYFUNCTION("""COMPUTED_VALUE"""),46811.0)</f>
        <v>46811</v>
      </c>
      <c r="W666" t="str">
        <f>IFERROR(__xludf.DUMMYFUNCTION("""COMPUTED_VALUE"""),"ปลอดภัย")</f>
        <v>ปลอดภัย</v>
      </c>
      <c r="X666" t="str">
        <f>IFERROR(__xludf.DUMMYFUNCTION("""COMPUTED_VALUE"""),"Nakhon Si Thammarat Province")</f>
        <v>Nakhon Si Thammarat Province</v>
      </c>
      <c r="Y666" t="str">
        <f>IFERROR(__xludf.DUMMYFUNCTION("""COMPUTED_VALUE"""),"Ramkhamhaeng")</f>
        <v>Ramkhamhaeng</v>
      </c>
      <c r="Z666" t="str">
        <f>IFERROR(__xludf.DUMMYFUNCTION("""COMPUTED_VALUE"""),"089 680 0081")</f>
        <v>089 680 0081</v>
      </c>
      <c r="AA666" t="str">
        <f>IFERROR(__xludf.DUMMYFUNCTION("""COMPUTED_VALUE"""),"Kangkiat Wangsawat")</f>
        <v>Kangkiat Wangsawat</v>
      </c>
      <c r="AB666" t="str">
        <f>IFERROR(__xludf.DUMMYFUNCTION("""COMPUTED_VALUE"""),"pongsakn@airasia.com")</f>
        <v>pongsakn@airasia.com</v>
      </c>
    </row>
    <row r="667">
      <c r="A667">
        <f>IFERROR(__xludf.DUMMYFUNCTION("""COMPUTED_VALUE"""),1013186.0)</f>
        <v>1013186</v>
      </c>
      <c r="B667" t="str">
        <f>IFERROR(__xludf.DUMMYFUNCTION("""COMPUTED_VALUE"""),"Ms.")</f>
        <v>Ms.</v>
      </c>
      <c r="C667" t="str">
        <f>IFERROR(__xludf.DUMMYFUNCTION("""COMPUTED_VALUE"""),"Pornthiwa")</f>
        <v>Pornthiwa</v>
      </c>
      <c r="D667" t="str">
        <f>IFERROR(__xludf.DUMMYFUNCTION("""COMPUTED_VALUE"""),"Promthong")</f>
        <v>Promthong</v>
      </c>
      <c r="E667" t="str">
        <f>IFERROR(__xludf.DUMMYFUNCTION("""COMPUTED_VALUE"""),"Pornthiwa Promthong")</f>
        <v>Pornthiwa Promthong</v>
      </c>
      <c r="F667" t="str">
        <f>IFERROR(__xludf.DUMMYFUNCTION("""COMPUTED_VALUE"""),"นางสาว")</f>
        <v>นางสาว</v>
      </c>
      <c r="G667" t="str">
        <f>IFERROR(__xludf.DUMMYFUNCTION("""COMPUTED_VALUE"""),"พรทิวา")</f>
        <v>พรทิวา</v>
      </c>
      <c r="H667" t="str">
        <f>IFERROR(__xludf.DUMMYFUNCTION("""COMPUTED_VALUE"""),"พรมทอง")</f>
        <v>พรมทอง</v>
      </c>
      <c r="I667" t="str">
        <f>IFERROR(__xludf.DUMMYFUNCTION("""COMPUTED_VALUE"""),"พรทิวา พรมทอง")</f>
        <v>พรทิวา พรมทอง</v>
      </c>
      <c r="J667" t="str">
        <f>IFERROR(__xludf.DUMMYFUNCTION("""COMPUTED_VALUE"""),"ปูนิ่ม")</f>
        <v>ปูนิ่ม</v>
      </c>
      <c r="K667" t="str">
        <f>IFERROR(__xludf.DUMMYFUNCTION("""COMPUTED_VALUE"""),"Cabin Crew - CNX")</f>
        <v>Cabin Crew - CNX</v>
      </c>
      <c r="L667" t="str">
        <f>IFERROR(__xludf.DUMMYFUNCTION("""COMPUTED_VALUE"""),"CNX")</f>
        <v>CNX</v>
      </c>
      <c r="M667" s="145" t="str">
        <f>IFERROR(__xludf.DUMMYFUNCTION("""COMPUTED_VALUE"""),"Up Home")</f>
        <v>Up Home</v>
      </c>
      <c r="N667" t="str">
        <f>IFERROR(__xludf.DUMMYFUNCTION("""COMPUTED_VALUE"""),"Active")</f>
        <v>Active</v>
      </c>
      <c r="P667" s="143">
        <f>IFERROR(__xludf.DUMMYFUNCTION("""COMPUTED_VALUE"""),32627.0)</f>
        <v>32627</v>
      </c>
      <c r="Q667" s="146" t="str">
        <f>IFERROR(__xludf.DUMMYFUNCTION("""COMPUTED_VALUE"""),"099 641 6527")</f>
        <v>099 641 6527</v>
      </c>
      <c r="R667" s="147" t="str">
        <f>IFERROR(__xludf.DUMMYFUNCTION("""COMPUTED_VALUE"""),"1100700-99-5371")</f>
        <v>1100700-99-5371</v>
      </c>
      <c r="S667" t="str">
        <f>IFERROR(__xludf.DUMMYFUNCTION("""COMPUTED_VALUE"""),"AC6831954")</f>
        <v>AC6831954</v>
      </c>
      <c r="T667" s="148">
        <f>IFERROR(__xludf.DUMMYFUNCTION("""COMPUTED_VALUE"""),45442.0)</f>
        <v>45442</v>
      </c>
      <c r="U667" s="148">
        <f>IFERROR(__xludf.DUMMYFUNCTION("""COMPUTED_VALUE"""),49093.0)</f>
        <v>49093</v>
      </c>
      <c r="V667" s="149">
        <f>IFERROR(__xludf.DUMMYFUNCTION("""COMPUTED_VALUE"""),48912.0)</f>
        <v>48912</v>
      </c>
      <c r="W667" t="str">
        <f>IFERROR(__xludf.DUMMYFUNCTION("""COMPUTED_VALUE"""),"ปลอดภัย")</f>
        <v>ปลอดภัย</v>
      </c>
      <c r="X667" t="str">
        <f>IFERROR(__xludf.DUMMYFUNCTION("""COMPUTED_VALUE"""),"Samut Prakan")</f>
        <v>Samut Prakan</v>
      </c>
      <c r="Y667" t="str">
        <f>IFERROR(__xludf.DUMMYFUNCTION("""COMPUTED_VALUE"""),"Samut Prakan")</f>
        <v>Samut Prakan</v>
      </c>
      <c r="Z667" t="str">
        <f>IFERROR(__xludf.DUMMYFUNCTION("""COMPUTED_VALUE"""),"084 010 6346")</f>
        <v>084 010 6346</v>
      </c>
      <c r="AA667" t="str">
        <f>IFERROR(__xludf.DUMMYFUNCTION("""COMPUTED_VALUE"""),"Noosin Promthong")</f>
        <v>Noosin Promthong</v>
      </c>
      <c r="AB667" t="str">
        <f>IFERROR(__xludf.DUMMYFUNCTION("""COMPUTED_VALUE"""),"pornthiwap@airasia.com")</f>
        <v>pornthiwap@airasia.com</v>
      </c>
    </row>
    <row r="668">
      <c r="A668">
        <f>IFERROR(__xludf.DUMMYFUNCTION("""COMPUTED_VALUE"""),1013187.0)</f>
        <v>1013187</v>
      </c>
      <c r="B668" t="str">
        <f>IFERROR(__xludf.DUMMYFUNCTION("""COMPUTED_VALUE"""),"Ms.")</f>
        <v>Ms.</v>
      </c>
      <c r="C668" t="str">
        <f>IFERROR(__xludf.DUMMYFUNCTION("""COMPUTED_VALUE"""),"Sirilak")</f>
        <v>Sirilak</v>
      </c>
      <c r="D668" t="str">
        <f>IFERROR(__xludf.DUMMYFUNCTION("""COMPUTED_VALUE"""),"Chaiwisut")</f>
        <v>Chaiwisut</v>
      </c>
      <c r="E668" t="str">
        <f>IFERROR(__xludf.DUMMYFUNCTION("""COMPUTED_VALUE"""),"Sirilak Chaiwisut")</f>
        <v>Sirilak Chaiwisut</v>
      </c>
      <c r="F668" t="str">
        <f>IFERROR(__xludf.DUMMYFUNCTION("""COMPUTED_VALUE"""),"นางสาว")</f>
        <v>นางสาว</v>
      </c>
      <c r="G668" t="str">
        <f>IFERROR(__xludf.DUMMYFUNCTION("""COMPUTED_VALUE"""),"สิริลักษณ์")</f>
        <v>สิริลักษณ์</v>
      </c>
      <c r="H668" t="str">
        <f>IFERROR(__xludf.DUMMYFUNCTION("""COMPUTED_VALUE"""),"ชัยวิสุทธิ์")</f>
        <v>ชัยวิสุทธิ์</v>
      </c>
      <c r="I668" t="str">
        <f>IFERROR(__xludf.DUMMYFUNCTION("""COMPUTED_VALUE"""),"สิริลักษณ์ ชัยวิสุทธิ์")</f>
        <v>สิริลักษณ์ ชัยวิสุทธิ์</v>
      </c>
      <c r="J668" t="str">
        <f>IFERROR(__xludf.DUMMYFUNCTION("""COMPUTED_VALUE"""),"Belle")</f>
        <v>Belle</v>
      </c>
      <c r="K668" t="str">
        <f>IFERROR(__xludf.DUMMYFUNCTION("""COMPUTED_VALUE"""),"Senior Cabin Crew")</f>
        <v>Senior Cabin Crew</v>
      </c>
      <c r="L668" t="str">
        <f>IFERROR(__xludf.DUMMYFUNCTION("""COMPUTED_VALUE"""),"DMK")</f>
        <v>DMK</v>
      </c>
      <c r="M668" s="145" t="str">
        <f>IFERROR(__xludf.DUMMYFUNCTION("""COMPUTED_VALUE"""),"Toffy Home")</f>
        <v>Toffy Home</v>
      </c>
      <c r="N668" t="str">
        <f>IFERROR(__xludf.DUMMYFUNCTION("""COMPUTED_VALUE"""),"Active")</f>
        <v>Active</v>
      </c>
      <c r="P668" s="143">
        <f>IFERROR(__xludf.DUMMYFUNCTION("""COMPUTED_VALUE"""),33591.0)</f>
        <v>33591</v>
      </c>
      <c r="Q668" s="146" t="str">
        <f>IFERROR(__xludf.DUMMYFUNCTION("""COMPUTED_VALUE"""),"064-6296641")</f>
        <v>064-6296641</v>
      </c>
      <c r="R668" s="147" t="str">
        <f>IFERROR(__xludf.DUMMYFUNCTION("""COMPUTED_VALUE"""),"1639900-14-9621")</f>
        <v>1639900-14-9621</v>
      </c>
      <c r="S668" t="str">
        <f>IFERROR(__xludf.DUMMYFUNCTION("""COMPUTED_VALUE"""),"AC6414859")</f>
        <v>AC6414859</v>
      </c>
      <c r="T668" s="148">
        <f>IFERROR(__xludf.DUMMYFUNCTION("""COMPUTED_VALUE"""),45363.0)</f>
        <v>45363</v>
      </c>
      <c r="U668" s="148">
        <f>IFERROR(__xludf.DUMMYFUNCTION("""COMPUTED_VALUE"""),49014.0)</f>
        <v>49014</v>
      </c>
      <c r="V668" s="149">
        <f>IFERROR(__xludf.DUMMYFUNCTION("""COMPUTED_VALUE"""),48833.0)</f>
        <v>48833</v>
      </c>
      <c r="W668" t="str">
        <f>IFERROR(__xludf.DUMMYFUNCTION("""COMPUTED_VALUE"""),"ปลอดภัย")</f>
        <v>ปลอดภัย</v>
      </c>
      <c r="X668" t="str">
        <f>IFERROR(__xludf.DUMMYFUNCTION("""COMPUTED_VALUE"""),"Tak Province")</f>
        <v>Tak Province</v>
      </c>
      <c r="Y668" t="str">
        <f>IFERROR(__xludf.DUMMYFUNCTION("""COMPUTED_VALUE"""),"Chonburi")</f>
        <v>Chonburi</v>
      </c>
      <c r="Z668" t="str">
        <f>IFERROR(__xludf.DUMMYFUNCTION("""COMPUTED_VALUE"""),"089 754 1896")</f>
        <v>089 754 1896</v>
      </c>
      <c r="AA668" t="str">
        <f>IFERROR(__xludf.DUMMYFUNCTION("""COMPUTED_VALUE"""),"Pornpisamai Chaiwisut")</f>
        <v>Pornpisamai Chaiwisut</v>
      </c>
      <c r="AB668" t="str">
        <f>IFERROR(__xludf.DUMMYFUNCTION("""COMPUTED_VALUE"""),"sirilakc@airasia.com")</f>
        <v>sirilakc@airasia.com</v>
      </c>
    </row>
    <row r="669">
      <c r="A669">
        <f>IFERROR(__xludf.DUMMYFUNCTION("""COMPUTED_VALUE"""),1013188.0)</f>
        <v>1013188</v>
      </c>
      <c r="B669" t="str">
        <f>IFERROR(__xludf.DUMMYFUNCTION("""COMPUTED_VALUE"""),"Ms.")</f>
        <v>Ms.</v>
      </c>
      <c r="C669" t="str">
        <f>IFERROR(__xludf.DUMMYFUNCTION("""COMPUTED_VALUE"""),"Sunisa")</f>
        <v>Sunisa</v>
      </c>
      <c r="D669" t="str">
        <f>IFERROR(__xludf.DUMMYFUNCTION("""COMPUTED_VALUE"""),"Graiwong")</f>
        <v>Graiwong</v>
      </c>
      <c r="E669" t="str">
        <f>IFERROR(__xludf.DUMMYFUNCTION("""COMPUTED_VALUE"""),"Sunisa Graiwong")</f>
        <v>Sunisa Graiwong</v>
      </c>
      <c r="F669" t="str">
        <f>IFERROR(__xludf.DUMMYFUNCTION("""COMPUTED_VALUE"""),"นางสาว")</f>
        <v>นางสาว</v>
      </c>
      <c r="G669" t="str">
        <f>IFERROR(__xludf.DUMMYFUNCTION("""COMPUTED_VALUE"""),"สุนิสา")</f>
        <v>สุนิสา</v>
      </c>
      <c r="H669" t="str">
        <f>IFERROR(__xludf.DUMMYFUNCTION("""COMPUTED_VALUE"""),"ไกรวงศ์")</f>
        <v>ไกรวงศ์</v>
      </c>
      <c r="I669" t="str">
        <f>IFERROR(__xludf.DUMMYFUNCTION("""COMPUTED_VALUE"""),"สุนิสา ไกรวงศ์")</f>
        <v>สุนิสา ไกรวงศ์</v>
      </c>
      <c r="J669" t="str">
        <f>IFERROR(__xludf.DUMMYFUNCTION("""COMPUTED_VALUE"""),"หนึ่ง")</f>
        <v>หนึ่ง</v>
      </c>
      <c r="K669" t="str">
        <f>IFERROR(__xludf.DUMMYFUNCTION("""COMPUTED_VALUE"""),"Cabin Crew")</f>
        <v>Cabin Crew</v>
      </c>
      <c r="L669" t="str">
        <f>IFERROR(__xludf.DUMMYFUNCTION("""COMPUTED_VALUE"""),"DMK")</f>
        <v>DMK</v>
      </c>
      <c r="M669" s="145" t="str">
        <f>IFERROR(__xludf.DUMMYFUNCTION("""COMPUTED_VALUE"""),"Namfon Home")</f>
        <v>Namfon Home</v>
      </c>
      <c r="N669" t="str">
        <f>IFERROR(__xludf.DUMMYFUNCTION("""COMPUTED_VALUE"""),"Active")</f>
        <v>Active</v>
      </c>
      <c r="O669" t="str">
        <f>IFERROR(__xludf.DUMMYFUNCTION("""COMPUTED_VALUE"""),"Chinese Speaking")</f>
        <v>Chinese Speaking</v>
      </c>
      <c r="P669" s="143">
        <f>IFERROR(__xludf.DUMMYFUNCTION("""COMPUTED_VALUE"""),33117.0)</f>
        <v>33117</v>
      </c>
      <c r="Q669" s="146" t="str">
        <f>IFERROR(__xludf.DUMMYFUNCTION("""COMPUTED_VALUE"""),"090 123 8627")</f>
        <v>090 123 8627</v>
      </c>
      <c r="R669" s="147" t="str">
        <f>IFERROR(__xludf.DUMMYFUNCTION("""COMPUTED_VALUE"""),"1102001-39-7337")</f>
        <v>1102001-39-7337</v>
      </c>
      <c r="S669" t="str">
        <f>IFERROR(__xludf.DUMMYFUNCTION("""COMPUTED_VALUE"""),"ac4529248")</f>
        <v>ac4529248</v>
      </c>
      <c r="T669" s="148">
        <f>IFERROR(__xludf.DUMMYFUNCTION("""COMPUTED_VALUE"""),44981.0)</f>
        <v>44981</v>
      </c>
      <c r="U669" s="148">
        <f>IFERROR(__xludf.DUMMYFUNCTION("""COMPUTED_VALUE"""),48633.0)</f>
        <v>48633</v>
      </c>
      <c r="V669" s="149">
        <f>IFERROR(__xludf.DUMMYFUNCTION("""COMPUTED_VALUE"""),48449.0)</f>
        <v>48449</v>
      </c>
      <c r="W669" t="str">
        <f>IFERROR(__xludf.DUMMYFUNCTION("""COMPUTED_VALUE"""),"ปลอดภัย")</f>
        <v>ปลอดภัย</v>
      </c>
      <c r="X669" t="str">
        <f>IFERROR(__xludf.DUMMYFUNCTION("""COMPUTED_VALUE"""),"Bangkok")</f>
        <v>Bangkok</v>
      </c>
      <c r="Y669" t="str">
        <f>IFERROR(__xludf.DUMMYFUNCTION("""COMPUTED_VALUE"""),"Bangkok Noi")</f>
        <v>Bangkok Noi</v>
      </c>
      <c r="Z669" t="str">
        <f>IFERROR(__xludf.DUMMYFUNCTION("""COMPUTED_VALUE"""),"094 494 9502")</f>
        <v>094 494 9502</v>
      </c>
      <c r="AA669" t="str">
        <f>IFERROR(__xludf.DUMMYFUNCTION("""COMPUTED_VALUE"""),"Kanchana Sinlapawilat")</f>
        <v>Kanchana Sinlapawilat</v>
      </c>
      <c r="AB669" t="str">
        <f>IFERROR(__xludf.DUMMYFUNCTION("""COMPUTED_VALUE"""),"sunisag@airasia.com")</f>
        <v>sunisag@airasia.com</v>
      </c>
    </row>
    <row r="670">
      <c r="A670">
        <f>IFERROR(__xludf.DUMMYFUNCTION("""COMPUTED_VALUE"""),1013189.0)</f>
        <v>1013189</v>
      </c>
      <c r="B670" t="str">
        <f>IFERROR(__xludf.DUMMYFUNCTION("""COMPUTED_VALUE"""),"Mr.")</f>
        <v>Mr.</v>
      </c>
      <c r="C670" t="str">
        <f>IFERROR(__xludf.DUMMYFUNCTION("""COMPUTED_VALUE"""),"Supakrit")</f>
        <v>Supakrit</v>
      </c>
      <c r="D670" t="str">
        <f>IFERROR(__xludf.DUMMYFUNCTION("""COMPUTED_VALUE"""),"Khongvittaya")</f>
        <v>Khongvittaya</v>
      </c>
      <c r="E670" t="str">
        <f>IFERROR(__xludf.DUMMYFUNCTION("""COMPUTED_VALUE"""),"Supakrit Khongvittaya")</f>
        <v>Supakrit Khongvittaya</v>
      </c>
      <c r="F670" t="str">
        <f>IFERROR(__xludf.DUMMYFUNCTION("""COMPUTED_VALUE"""),"นาย")</f>
        <v>นาย</v>
      </c>
      <c r="G670" t="str">
        <f>IFERROR(__xludf.DUMMYFUNCTION("""COMPUTED_VALUE"""),"ศุภกฤต")</f>
        <v>ศุภกฤต</v>
      </c>
      <c r="H670" t="str">
        <f>IFERROR(__xludf.DUMMYFUNCTION("""COMPUTED_VALUE"""),"คงวิทยา")</f>
        <v>คงวิทยา</v>
      </c>
      <c r="I670" t="str">
        <f>IFERROR(__xludf.DUMMYFUNCTION("""COMPUTED_VALUE"""),"ศุภกฤต คงวิทยา")</f>
        <v>ศุภกฤต คงวิทยา</v>
      </c>
      <c r="J670" t="str">
        <f>IFERROR(__xludf.DUMMYFUNCTION("""COMPUTED_VALUE"""),"Mac")</f>
        <v>Mac</v>
      </c>
      <c r="K670" t="str">
        <f>IFERROR(__xludf.DUMMYFUNCTION("""COMPUTED_VALUE"""),"Cabin Crew")</f>
        <v>Cabin Crew</v>
      </c>
      <c r="L670" t="str">
        <f>IFERROR(__xludf.DUMMYFUNCTION("""COMPUTED_VALUE"""),"DMK")</f>
        <v>DMK</v>
      </c>
      <c r="M670" s="145" t="str">
        <f>IFERROR(__xludf.DUMMYFUNCTION("""COMPUTED_VALUE"""),"Por+ Home")</f>
        <v>Por+ Home</v>
      </c>
      <c r="N670" t="str">
        <f>IFERROR(__xludf.DUMMYFUNCTION("""COMPUTED_VALUE"""),"Active")</f>
        <v>Active</v>
      </c>
      <c r="O670" t="str">
        <f>IFERROR(__xludf.DUMMYFUNCTION("""COMPUTED_VALUE"""),"Chinese Speaking")</f>
        <v>Chinese Speaking</v>
      </c>
      <c r="P670" s="143">
        <f>IFERROR(__xludf.DUMMYFUNCTION("""COMPUTED_VALUE"""),33732.0)</f>
        <v>33732</v>
      </c>
      <c r="Q670" s="146" t="str">
        <f>IFERROR(__xludf.DUMMYFUNCTION("""COMPUTED_VALUE"""),"096 308 8903")</f>
        <v>096 308 8903</v>
      </c>
      <c r="R670" s="147" t="str">
        <f>IFERROR(__xludf.DUMMYFUNCTION("""COMPUTED_VALUE"""),"1101401-93-8911")</f>
        <v>1101401-93-8911</v>
      </c>
      <c r="S670" t="str">
        <f>IFERROR(__xludf.DUMMYFUNCTION("""COMPUTED_VALUE"""),"AC6111564")</f>
        <v>AC6111564</v>
      </c>
      <c r="T670" s="148">
        <f>IFERROR(__xludf.DUMMYFUNCTION("""COMPUTED_VALUE"""),45272.0)</f>
        <v>45272</v>
      </c>
      <c r="U670" s="148">
        <f>IFERROR(__xludf.DUMMYFUNCTION("""COMPUTED_VALUE"""),48924.0)</f>
        <v>48924</v>
      </c>
      <c r="V670" s="149">
        <f>IFERROR(__xludf.DUMMYFUNCTION("""COMPUTED_VALUE"""),48741.0)</f>
        <v>48741</v>
      </c>
      <c r="W670" t="str">
        <f>IFERROR(__xludf.DUMMYFUNCTION("""COMPUTED_VALUE"""),"ปลอดภัย")</f>
        <v>ปลอดภัย</v>
      </c>
      <c r="X670" t="str">
        <f>IFERROR(__xludf.DUMMYFUNCTION("""COMPUTED_VALUE"""),"Bangkok")</f>
        <v>Bangkok</v>
      </c>
      <c r="Y670" t="str">
        <f>IFERROR(__xludf.DUMMYFUNCTION("""COMPUTED_VALUE"""),"Jatijak")</f>
        <v>Jatijak</v>
      </c>
      <c r="Z670" t="str">
        <f>IFERROR(__xludf.DUMMYFUNCTION("""COMPUTED_VALUE"""),"099 236 1965")</f>
        <v>099 236 1965</v>
      </c>
      <c r="AA670" t="str">
        <f>IFERROR(__xludf.DUMMYFUNCTION("""COMPUTED_VALUE"""),"Srisamon Khongvittaya")</f>
        <v>Srisamon Khongvittaya</v>
      </c>
      <c r="AB670" t="str">
        <f>IFERROR(__xludf.DUMMYFUNCTION("""COMPUTED_VALUE"""),"supakritk@airasia.com")</f>
        <v>supakritk@airasia.com</v>
      </c>
    </row>
    <row r="671">
      <c r="A671">
        <f>IFERROR(__xludf.DUMMYFUNCTION("""COMPUTED_VALUE"""),1013190.0)</f>
        <v>1013190</v>
      </c>
      <c r="B671" t="str">
        <f>IFERROR(__xludf.DUMMYFUNCTION("""COMPUTED_VALUE"""),"Ms.")</f>
        <v>Ms.</v>
      </c>
      <c r="C671" t="str">
        <f>IFERROR(__xludf.DUMMYFUNCTION("""COMPUTED_VALUE"""),"Thamonwan")</f>
        <v>Thamonwan</v>
      </c>
      <c r="D671" t="str">
        <f>IFERROR(__xludf.DUMMYFUNCTION("""COMPUTED_VALUE"""),"Chokumpornpan")</f>
        <v>Chokumpornpan</v>
      </c>
      <c r="E671" t="str">
        <f>IFERROR(__xludf.DUMMYFUNCTION("""COMPUTED_VALUE"""),"Thamonwan Chokumpornpan")</f>
        <v>Thamonwan Chokumpornpan</v>
      </c>
      <c r="F671" t="str">
        <f>IFERROR(__xludf.DUMMYFUNCTION("""COMPUTED_VALUE"""),"นางสาว")</f>
        <v>นางสาว</v>
      </c>
      <c r="G671" t="str">
        <f>IFERROR(__xludf.DUMMYFUNCTION("""COMPUTED_VALUE"""),"ธมลวรรณ")</f>
        <v>ธมลวรรณ</v>
      </c>
      <c r="H671" t="str">
        <f>IFERROR(__xludf.DUMMYFUNCTION("""COMPUTED_VALUE"""),"โชคอัมพรพรรณ")</f>
        <v>โชคอัมพรพรรณ</v>
      </c>
      <c r="I671" t="str">
        <f>IFERROR(__xludf.DUMMYFUNCTION("""COMPUTED_VALUE"""),"ธมลวรรณ โชคอัมพรพรรณ")</f>
        <v>ธมลวรรณ โชคอัมพรพรรณ</v>
      </c>
      <c r="J671" t="str">
        <f>IFERROR(__xludf.DUMMYFUNCTION("""COMPUTED_VALUE"""),"จุ๊บจิ๊บ")</f>
        <v>จุ๊บจิ๊บ</v>
      </c>
      <c r="K671" t="str">
        <f>IFERROR(__xludf.DUMMYFUNCTION("""COMPUTED_VALUE"""),"Cabin Crew")</f>
        <v>Cabin Crew</v>
      </c>
      <c r="L671" t="str">
        <f>IFERROR(__xludf.DUMMYFUNCTION("""COMPUTED_VALUE"""),"DMK")</f>
        <v>DMK</v>
      </c>
      <c r="M671" s="145" t="str">
        <f>IFERROR(__xludf.DUMMYFUNCTION("""COMPUTED_VALUE"""),"Toffy Home")</f>
        <v>Toffy Home</v>
      </c>
      <c r="N671" t="str">
        <f>IFERROR(__xludf.DUMMYFUNCTION("""COMPUTED_VALUE"""),"Active")</f>
        <v>Active</v>
      </c>
      <c r="O671" t="str">
        <f>IFERROR(__xludf.DUMMYFUNCTION("""COMPUTED_VALUE"""),"Chinese Speaking")</f>
        <v>Chinese Speaking</v>
      </c>
      <c r="P671" s="143">
        <f>IFERROR(__xludf.DUMMYFUNCTION("""COMPUTED_VALUE"""),33463.0)</f>
        <v>33463</v>
      </c>
      <c r="Q671" s="146" t="str">
        <f>IFERROR(__xludf.DUMMYFUNCTION("""COMPUTED_VALUE"""),"098 903 8971")</f>
        <v>098 903 8971</v>
      </c>
      <c r="R671" s="147" t="str">
        <f>IFERROR(__xludf.DUMMYFUNCTION("""COMPUTED_VALUE"""),"1579900-37-7935")</f>
        <v>1579900-37-7935</v>
      </c>
      <c r="S671" t="str">
        <f>IFERROR(__xludf.DUMMYFUNCTION("""COMPUTED_VALUE"""),"AD1576658")</f>
        <v>AD1576658</v>
      </c>
      <c r="T671" s="148">
        <f>IFERROR(__xludf.DUMMYFUNCTION("""COMPUTED_VALUE"""),45307.0)</f>
        <v>45307</v>
      </c>
      <c r="U671" s="148">
        <f>IFERROR(__xludf.DUMMYFUNCTION("""COMPUTED_VALUE"""),48959.0)</f>
        <v>48959</v>
      </c>
      <c r="V671" s="149">
        <f>IFERROR(__xludf.DUMMYFUNCTION("""COMPUTED_VALUE"""),48775.0)</f>
        <v>48775</v>
      </c>
      <c r="W671" t="str">
        <f>IFERROR(__xludf.DUMMYFUNCTION("""COMPUTED_VALUE"""),"ปลอดภัย")</f>
        <v>ปลอดภัย</v>
      </c>
      <c r="X671" t="str">
        <f>IFERROR(__xludf.DUMMYFUNCTION("""COMPUTED_VALUE"""),"Chiang Rai Province")</f>
        <v>Chiang Rai Province</v>
      </c>
      <c r="Y671" t="str">
        <f>IFERROR(__xludf.DUMMYFUNCTION("""COMPUTED_VALUE"""),"Don Mueang")</f>
        <v>Don Mueang</v>
      </c>
      <c r="Z671" t="str">
        <f>IFERROR(__xludf.DUMMYFUNCTION("""COMPUTED_VALUE"""),"061 293 6043")</f>
        <v>061 293 6043</v>
      </c>
      <c r="AA671" t="str">
        <f>IFERROR(__xludf.DUMMYFUNCTION("""COMPUTED_VALUE"""),"Kanjana Chokumpornpan")</f>
        <v>Kanjana Chokumpornpan</v>
      </c>
      <c r="AB671" t="str">
        <f>IFERROR(__xludf.DUMMYFUNCTION("""COMPUTED_VALUE"""),"thamonwanh@airasia.com")</f>
        <v>thamonwanh@airasia.com</v>
      </c>
    </row>
    <row r="672">
      <c r="A672">
        <f>IFERROR(__xludf.DUMMYFUNCTION("""COMPUTED_VALUE"""),1013192.0)</f>
        <v>1013192</v>
      </c>
      <c r="B672" t="str">
        <f>IFERROR(__xludf.DUMMYFUNCTION("""COMPUTED_VALUE"""),"Ms.")</f>
        <v>Ms.</v>
      </c>
      <c r="C672" t="str">
        <f>IFERROR(__xludf.DUMMYFUNCTION("""COMPUTED_VALUE"""),"Thiptanya")</f>
        <v>Thiptanya</v>
      </c>
      <c r="D672" t="str">
        <f>IFERROR(__xludf.DUMMYFUNCTION("""COMPUTED_VALUE"""),"Phosri")</f>
        <v>Phosri</v>
      </c>
      <c r="E672" t="str">
        <f>IFERROR(__xludf.DUMMYFUNCTION("""COMPUTED_VALUE"""),"Thiptanya Phosri")</f>
        <v>Thiptanya Phosri</v>
      </c>
      <c r="F672" t="str">
        <f>IFERROR(__xludf.DUMMYFUNCTION("""COMPUTED_VALUE"""),"นางสาว")</f>
        <v>นางสาว</v>
      </c>
      <c r="G672" t="str">
        <f>IFERROR(__xludf.DUMMYFUNCTION("""COMPUTED_VALUE"""),"ทิพย์ธัญญา")</f>
        <v>ทิพย์ธัญญา</v>
      </c>
      <c r="H672" t="str">
        <f>IFERROR(__xludf.DUMMYFUNCTION("""COMPUTED_VALUE"""),"โพธิ์ศรี")</f>
        <v>โพธิ์ศรี</v>
      </c>
      <c r="I672" t="str">
        <f>IFERROR(__xludf.DUMMYFUNCTION("""COMPUTED_VALUE"""),"ทิพย์ธัญญา โพธิ์ศรี")</f>
        <v>ทิพย์ธัญญา โพธิ์ศรี</v>
      </c>
      <c r="J672" t="str">
        <f>IFERROR(__xludf.DUMMYFUNCTION("""COMPUTED_VALUE"""),"Opal")</f>
        <v>Opal</v>
      </c>
      <c r="K672" t="str">
        <f>IFERROR(__xludf.DUMMYFUNCTION("""COMPUTED_VALUE"""),"Cabin Crew")</f>
        <v>Cabin Crew</v>
      </c>
      <c r="L672" t="str">
        <f>IFERROR(__xludf.DUMMYFUNCTION("""COMPUTED_VALUE"""),"DMK")</f>
        <v>DMK</v>
      </c>
      <c r="M672" s="145" t="str">
        <f>IFERROR(__xludf.DUMMYFUNCTION("""COMPUTED_VALUE"""),"Kor Home")</f>
        <v>Kor Home</v>
      </c>
      <c r="N672" t="str">
        <f>IFERROR(__xludf.DUMMYFUNCTION("""COMPUTED_VALUE"""),"Active")</f>
        <v>Active</v>
      </c>
      <c r="O672" t="str">
        <f>IFERROR(__xludf.DUMMYFUNCTION("""COMPUTED_VALUE"""),"Chinese Speaking")</f>
        <v>Chinese Speaking</v>
      </c>
      <c r="P672" s="143">
        <f>IFERROR(__xludf.DUMMYFUNCTION("""COMPUTED_VALUE"""),33230.0)</f>
        <v>33230</v>
      </c>
      <c r="Q672" s="146" t="str">
        <f>IFERROR(__xludf.DUMMYFUNCTION("""COMPUTED_VALUE"""),"061-9236554")</f>
        <v>061-9236554</v>
      </c>
      <c r="R672" s="147" t="str">
        <f>IFERROR(__xludf.DUMMYFUNCTION("""COMPUTED_VALUE"""),"1909800-49-5240")</f>
        <v>1909800-49-5240</v>
      </c>
      <c r="S672" t="str">
        <f>IFERROR(__xludf.DUMMYFUNCTION("""COMPUTED_VALUE"""),"AC6702928")</f>
        <v>AC6702928</v>
      </c>
      <c r="T672" s="148">
        <f>IFERROR(__xludf.DUMMYFUNCTION("""COMPUTED_VALUE"""),45407.0)</f>
        <v>45407</v>
      </c>
      <c r="U672" s="148">
        <f>IFERROR(__xludf.DUMMYFUNCTION("""COMPUTED_VALUE"""),49058.0)</f>
        <v>49058</v>
      </c>
      <c r="V672" s="149">
        <f>IFERROR(__xludf.DUMMYFUNCTION("""COMPUTED_VALUE"""),48876.0)</f>
        <v>48876</v>
      </c>
      <c r="W672" t="str">
        <f>IFERROR(__xludf.DUMMYFUNCTION("""COMPUTED_VALUE"""),"ปลอดภัย")</f>
        <v>ปลอดภัย</v>
      </c>
      <c r="X672" t="str">
        <f>IFERROR(__xludf.DUMMYFUNCTION("""COMPUTED_VALUE"""),"Songkhla Province")</f>
        <v>Songkhla Province</v>
      </c>
      <c r="Y672" t="str">
        <f>IFERROR(__xludf.DUMMYFUNCTION("""COMPUTED_VALUE"""),"Huai Kwang")</f>
        <v>Huai Kwang</v>
      </c>
      <c r="Z672" t="str">
        <f>IFERROR(__xludf.DUMMYFUNCTION("""COMPUTED_VALUE"""),"081 896 1145")</f>
        <v>081 896 1145</v>
      </c>
      <c r="AA672" t="str">
        <f>IFERROR(__xludf.DUMMYFUNCTION("""COMPUTED_VALUE"""),"Awanya Khumngern")</f>
        <v>Awanya Khumngern</v>
      </c>
      <c r="AB672" t="str">
        <f>IFERROR(__xludf.DUMMYFUNCTION("""COMPUTED_VALUE"""),"thiptanyap@airasia.com")</f>
        <v>thiptanyap@airasia.com</v>
      </c>
    </row>
    <row r="673">
      <c r="A673">
        <f>IFERROR(__xludf.DUMMYFUNCTION("""COMPUTED_VALUE"""),1013194.0)</f>
        <v>1013194</v>
      </c>
      <c r="B673" t="str">
        <f>IFERROR(__xludf.DUMMYFUNCTION("""COMPUTED_VALUE"""),"Mr.")</f>
        <v>Mr.</v>
      </c>
      <c r="C673" t="str">
        <f>IFERROR(__xludf.DUMMYFUNCTION("""COMPUTED_VALUE"""),"Touch")</f>
        <v>Touch</v>
      </c>
      <c r="D673" t="str">
        <f>IFERROR(__xludf.DUMMYFUNCTION("""COMPUTED_VALUE"""),"Meechamnan")</f>
        <v>Meechamnan</v>
      </c>
      <c r="E673" t="str">
        <f>IFERROR(__xludf.DUMMYFUNCTION("""COMPUTED_VALUE"""),"Touch Meechamnan")</f>
        <v>Touch Meechamnan</v>
      </c>
      <c r="F673" t="str">
        <f>IFERROR(__xludf.DUMMYFUNCTION("""COMPUTED_VALUE"""),"นาย")</f>
        <v>นาย</v>
      </c>
      <c r="G673" t="str">
        <f>IFERROR(__xludf.DUMMYFUNCTION("""COMPUTED_VALUE"""),"ธรรศ")</f>
        <v>ธรรศ</v>
      </c>
      <c r="H673" t="str">
        <f>IFERROR(__xludf.DUMMYFUNCTION("""COMPUTED_VALUE"""),"มีชำนาญ")</f>
        <v>มีชำนาญ</v>
      </c>
      <c r="I673" t="str">
        <f>IFERROR(__xludf.DUMMYFUNCTION("""COMPUTED_VALUE"""),"ธรรศ มีชำนาญ")</f>
        <v>ธรรศ มีชำนาญ</v>
      </c>
      <c r="J673" t="str">
        <f>IFERROR(__xludf.DUMMYFUNCTION("""COMPUTED_VALUE"""),"Touch")</f>
        <v>Touch</v>
      </c>
      <c r="K673" t="str">
        <f>IFERROR(__xludf.DUMMYFUNCTION("""COMPUTED_VALUE"""),"Cabin Crew - CNX")</f>
        <v>Cabin Crew - CNX</v>
      </c>
      <c r="L673" t="str">
        <f>IFERROR(__xludf.DUMMYFUNCTION("""COMPUTED_VALUE"""),"CNX")</f>
        <v>CNX</v>
      </c>
      <c r="M673" s="145" t="str">
        <f>IFERROR(__xludf.DUMMYFUNCTION("""COMPUTED_VALUE"""),"Up Home")</f>
        <v>Up Home</v>
      </c>
      <c r="N673" t="str">
        <f>IFERROR(__xludf.DUMMYFUNCTION("""COMPUTED_VALUE"""),"Active")</f>
        <v>Active</v>
      </c>
      <c r="P673" s="143">
        <f>IFERROR(__xludf.DUMMYFUNCTION("""COMPUTED_VALUE"""),33294.0)</f>
        <v>33294</v>
      </c>
      <c r="Q673" s="146" t="str">
        <f>IFERROR(__xludf.DUMMYFUNCTION("""COMPUTED_VALUE"""),"061 535 656")</f>
        <v>061 535 656</v>
      </c>
      <c r="R673" s="147" t="str">
        <f>IFERROR(__xludf.DUMMYFUNCTION("""COMPUTED_VALUE"""),"1509900-98-7644")</f>
        <v>1509900-98-7644</v>
      </c>
      <c r="S673" t="str">
        <f>IFERROR(__xludf.DUMMYFUNCTION("""COMPUTED_VALUE"""),"AC3500692")</f>
        <v>AC3500692</v>
      </c>
      <c r="T673" s="150">
        <f>IFERROR(__xludf.DUMMYFUNCTION("""COMPUTED_VALUE"""),44742.0)</f>
        <v>44742</v>
      </c>
      <c r="U673" s="148">
        <f>IFERROR(__xludf.DUMMYFUNCTION("""COMPUTED_VALUE"""),48394.0)</f>
        <v>48394</v>
      </c>
      <c r="V673" s="149">
        <f>IFERROR(__xludf.DUMMYFUNCTION("""COMPUTED_VALUE"""),48211.0)</f>
        <v>48211</v>
      </c>
      <c r="W673" t="str">
        <f>IFERROR(__xludf.DUMMYFUNCTION("""COMPUTED_VALUE"""),"ปลอดภัย")</f>
        <v>ปลอดภัย</v>
      </c>
      <c r="X673" t="str">
        <f>IFERROR(__xludf.DUMMYFUNCTION("""COMPUTED_VALUE"""),"Chiang Mai Province")</f>
        <v>Chiang Mai Province</v>
      </c>
      <c r="Y673" t="str">
        <f>IFERROR(__xludf.DUMMYFUNCTION("""COMPUTED_VALUE"""),"Onnut")</f>
        <v>Onnut</v>
      </c>
      <c r="Z673" t="str">
        <f>IFERROR(__xludf.DUMMYFUNCTION("""COMPUTED_VALUE"""),"085 617 9830")</f>
        <v>085 617 9830</v>
      </c>
      <c r="AA673" t="str">
        <f>IFERROR(__xludf.DUMMYFUNCTION("""COMPUTED_VALUE"""),"Thawin Meechamnan")</f>
        <v>Thawin Meechamnan</v>
      </c>
      <c r="AB673" t="str">
        <f>IFERROR(__xludf.DUMMYFUNCTION("""COMPUTED_VALUE"""),"touchm@airasia.com")</f>
        <v>touchm@airasia.com</v>
      </c>
    </row>
    <row r="674">
      <c r="AB674" t="str">
        <f>IFERROR(__xludf.DUMMYFUNCTION("""COMPUTED_VALUE"""),"")</f>
        <v/>
      </c>
    </row>
    <row r="675">
      <c r="A675">
        <f>IFERROR(__xludf.DUMMYFUNCTION("""COMPUTED_VALUE"""),1014058.0)</f>
        <v>1014058</v>
      </c>
      <c r="B675" t="str">
        <f>IFERROR(__xludf.DUMMYFUNCTION("""COMPUTED_VALUE"""),"Ms.")</f>
        <v>Ms.</v>
      </c>
      <c r="C675" t="str">
        <f>IFERROR(__xludf.DUMMYFUNCTION("""COMPUTED_VALUE"""),"Budfa")</f>
        <v>Budfa</v>
      </c>
      <c r="D675" t="str">
        <f>IFERROR(__xludf.DUMMYFUNCTION("""COMPUTED_VALUE"""),"Morasuk")</f>
        <v>Morasuk</v>
      </c>
      <c r="E675" t="str">
        <f>IFERROR(__xludf.DUMMYFUNCTION("""COMPUTED_VALUE"""),"Budfa Morasuk")</f>
        <v>Budfa Morasuk</v>
      </c>
      <c r="F675" t="str">
        <f>IFERROR(__xludf.DUMMYFUNCTION("""COMPUTED_VALUE"""),"นางสาว")</f>
        <v>นางสาว</v>
      </c>
      <c r="G675" t="str">
        <f>IFERROR(__xludf.DUMMYFUNCTION("""COMPUTED_VALUE"""),"บุศย์ฟ้า")</f>
        <v>บุศย์ฟ้า</v>
      </c>
      <c r="H675" t="str">
        <f>IFERROR(__xludf.DUMMYFUNCTION("""COMPUTED_VALUE"""),"โมราสุข")</f>
        <v>โมราสุข</v>
      </c>
      <c r="I675" t="str">
        <f>IFERROR(__xludf.DUMMYFUNCTION("""COMPUTED_VALUE"""),"บุศย์ฟ้า โมราสุข")</f>
        <v>บุศย์ฟ้า โมราสุข</v>
      </c>
      <c r="J675" t="str">
        <f>IFERROR(__xludf.DUMMYFUNCTION("""COMPUTED_VALUE"""),"Fah / ฟ้า")</f>
        <v>Fah / ฟ้า</v>
      </c>
      <c r="K675" t="str">
        <f>IFERROR(__xludf.DUMMYFUNCTION("""COMPUTED_VALUE"""),"Cabin Crew")</f>
        <v>Cabin Crew</v>
      </c>
      <c r="L675" t="str">
        <f>IFERROR(__xludf.DUMMYFUNCTION("""COMPUTED_VALUE"""),"DMK")</f>
        <v>DMK</v>
      </c>
      <c r="M675" s="145" t="str">
        <f>IFERROR(__xludf.DUMMYFUNCTION("""COMPUTED_VALUE"""),"Por+ Home")</f>
        <v>Por+ Home</v>
      </c>
      <c r="N675" t="str">
        <f>IFERROR(__xludf.DUMMYFUNCTION("""COMPUTED_VALUE"""),"V/LWP")</f>
        <v>V/LWP</v>
      </c>
      <c r="P675" s="143">
        <f>IFERROR(__xludf.DUMMYFUNCTION("""COMPUTED_VALUE"""),33421.0)</f>
        <v>33421</v>
      </c>
      <c r="Q675" s="146" t="str">
        <f>IFERROR(__xludf.DUMMYFUNCTION("""COMPUTED_VALUE"""),"094-624-2698")</f>
        <v>094-624-2698</v>
      </c>
      <c r="R675" s="147" t="str">
        <f>IFERROR(__xludf.DUMMYFUNCTION("""COMPUTED_VALUE"""),"1509901-01-9552")</f>
        <v>1509901-01-9552</v>
      </c>
      <c r="S675" t="str">
        <f>IFERROR(__xludf.DUMMYFUNCTION("""COMPUTED_VALUE"""),"AC2835545")</f>
        <v>AC2835545</v>
      </c>
      <c r="T675" s="148">
        <f>IFERROR(__xludf.DUMMYFUNCTION("""COMPUTED_VALUE"""),44522.0)</f>
        <v>44522</v>
      </c>
      <c r="U675" s="148">
        <f>IFERROR(__xludf.DUMMYFUNCTION("""COMPUTED_VALUE"""),48173.0)</f>
        <v>48173</v>
      </c>
      <c r="V675" s="149">
        <f>IFERROR(__xludf.DUMMYFUNCTION("""COMPUTED_VALUE"""),47989.0)</f>
        <v>47989</v>
      </c>
      <c r="W675" t="str">
        <f>IFERROR(__xludf.DUMMYFUNCTION("""COMPUTED_VALUE"""),"ปลอดภัย")</f>
        <v>ปลอดภัย</v>
      </c>
      <c r="X675" t="str">
        <f>IFERROR(__xludf.DUMMYFUNCTION("""COMPUTED_VALUE"""),"Chiang Mai Province")</f>
        <v>Chiang Mai Province</v>
      </c>
      <c r="Y675" t="str">
        <f>IFERROR(__xludf.DUMMYFUNCTION("""COMPUTED_VALUE"""),"Bangkhen")</f>
        <v>Bangkhen</v>
      </c>
      <c r="Z675" t="str">
        <f>IFERROR(__xludf.DUMMYFUNCTION("""COMPUTED_VALUE"""),"083 161 0528")</f>
        <v>083 161 0528</v>
      </c>
      <c r="AA675" t="str">
        <f>IFERROR(__xludf.DUMMYFUNCTION("""COMPUTED_VALUE"""),"Laksanee Morasuk")</f>
        <v>Laksanee Morasuk</v>
      </c>
      <c r="AB675" t="str">
        <f>IFERROR(__xludf.DUMMYFUNCTION("""COMPUTED_VALUE"""),"budfam@airasia.com")</f>
        <v>budfam@airasia.com</v>
      </c>
    </row>
    <row r="676">
      <c r="A676">
        <f>IFERROR(__xludf.DUMMYFUNCTION("""COMPUTED_VALUE"""),1014064.0)</f>
        <v>1014064</v>
      </c>
      <c r="B676" t="str">
        <f>IFERROR(__xludf.DUMMYFUNCTION("""COMPUTED_VALUE"""),"Ms.")</f>
        <v>Ms.</v>
      </c>
      <c r="C676" t="str">
        <f>IFERROR(__xludf.DUMMYFUNCTION("""COMPUTED_VALUE"""),"Jaraspak")</f>
        <v>Jaraspak</v>
      </c>
      <c r="D676" t="str">
        <f>IFERROR(__xludf.DUMMYFUNCTION("""COMPUTED_VALUE"""),"Plengkhum")</f>
        <v>Plengkhum</v>
      </c>
      <c r="E676" t="str">
        <f>IFERROR(__xludf.DUMMYFUNCTION("""COMPUTED_VALUE"""),"Jaraspak Plengkhum")</f>
        <v>Jaraspak Plengkhum</v>
      </c>
      <c r="F676" t="str">
        <f>IFERROR(__xludf.DUMMYFUNCTION("""COMPUTED_VALUE"""),"นางสาว")</f>
        <v>นางสาว</v>
      </c>
      <c r="G676" t="str">
        <f>IFERROR(__xludf.DUMMYFUNCTION("""COMPUTED_VALUE"""),"จรัสพักตร์")</f>
        <v>จรัสพักตร์</v>
      </c>
      <c r="H676" t="str">
        <f>IFERROR(__xludf.DUMMYFUNCTION("""COMPUTED_VALUE"""),"เปล่งขำ")</f>
        <v>เปล่งขำ</v>
      </c>
      <c r="I676" t="str">
        <f>IFERROR(__xludf.DUMMYFUNCTION("""COMPUTED_VALUE"""),"จรัสพักตร์ เปล่งขำ")</f>
        <v>จรัสพักตร์ เปล่งขำ</v>
      </c>
      <c r="J676" t="str">
        <f>IFERROR(__xludf.DUMMYFUNCTION("""COMPUTED_VALUE"""),"Khwan/ ขวัญ")</f>
        <v>Khwan/ ขวัญ</v>
      </c>
      <c r="K676" t="str">
        <f>IFERROR(__xludf.DUMMYFUNCTION("""COMPUTED_VALUE"""),"Senior Cabin Crew")</f>
        <v>Senior Cabin Crew</v>
      </c>
      <c r="L676" t="str">
        <f>IFERROR(__xludf.DUMMYFUNCTION("""COMPUTED_VALUE"""),"DMK")</f>
        <v>DMK</v>
      </c>
      <c r="M676" s="145" t="str">
        <f>IFERROR(__xludf.DUMMYFUNCTION("""COMPUTED_VALUE"""),"Up Home")</f>
        <v>Up Home</v>
      </c>
      <c r="N676" t="str">
        <f>IFERROR(__xludf.DUMMYFUNCTION("""COMPUTED_VALUE"""),"V/LWP")</f>
        <v>V/LWP</v>
      </c>
      <c r="P676" s="143">
        <f>IFERROR(__xludf.DUMMYFUNCTION("""COMPUTED_VALUE"""),32881.0)</f>
        <v>32881</v>
      </c>
      <c r="Q676" s="146" t="str">
        <f>IFERROR(__xludf.DUMMYFUNCTION("""COMPUTED_VALUE"""),"085 188 9582")</f>
        <v>085 188 9582</v>
      </c>
      <c r="R676" s="147" t="str">
        <f>IFERROR(__xludf.DUMMYFUNCTION("""COMPUTED_VALUE"""),"1100500-40-1583")</f>
        <v>1100500-40-1583</v>
      </c>
      <c r="S676" t="str">
        <f>IFERROR(__xludf.DUMMYFUNCTION("""COMPUTED_VALUE"""),"AD0617703")</f>
        <v>AD0617703</v>
      </c>
      <c r="T676" s="148">
        <f>IFERROR(__xludf.DUMMYFUNCTION("""COMPUTED_VALUE"""),44934.0)</f>
        <v>44934</v>
      </c>
      <c r="U676" s="148">
        <f>IFERROR(__xludf.DUMMYFUNCTION("""COMPUTED_VALUE"""),48586.0)</f>
        <v>48586</v>
      </c>
      <c r="V676" s="149">
        <f>IFERROR(__xludf.DUMMYFUNCTION("""COMPUTED_VALUE"""),48402.0)</f>
        <v>48402</v>
      </c>
      <c r="W676" t="str">
        <f>IFERROR(__xludf.DUMMYFUNCTION("""COMPUTED_VALUE"""),"ปลอดภัย")</f>
        <v>ปลอดภัย</v>
      </c>
      <c r="X676" t="str">
        <f>IFERROR(__xludf.DUMMYFUNCTION("""COMPUTED_VALUE"""),"Bangkok")</f>
        <v>Bangkok</v>
      </c>
      <c r="Y676" t="str">
        <f>IFERROR(__xludf.DUMMYFUNCTION("""COMPUTED_VALUE"""),"Pakkred")</f>
        <v>Pakkred</v>
      </c>
      <c r="Z676" t="str">
        <f>IFERROR(__xludf.DUMMYFUNCTION("""COMPUTED_VALUE"""),"081 844 1044")</f>
        <v>081 844 1044</v>
      </c>
      <c r="AA676" t="str">
        <f>IFERROR(__xludf.DUMMYFUNCTION("""COMPUTED_VALUE"""),"Ekapasana Plengkhum (Father)")</f>
        <v>Ekapasana Plengkhum (Father)</v>
      </c>
      <c r="AB676" t="str">
        <f>IFERROR(__xludf.DUMMYFUNCTION("""COMPUTED_VALUE"""),"jaraspakp@airasia.com")</f>
        <v>jaraspakp@airasia.com</v>
      </c>
    </row>
    <row r="677">
      <c r="A677">
        <f>IFERROR(__xludf.DUMMYFUNCTION("""COMPUTED_VALUE"""),1014067.0)</f>
        <v>1014067</v>
      </c>
      <c r="B677" t="str">
        <f>IFERROR(__xludf.DUMMYFUNCTION("""COMPUTED_VALUE"""),"Ms.")</f>
        <v>Ms.</v>
      </c>
      <c r="C677" t="str">
        <f>IFERROR(__xludf.DUMMYFUNCTION("""COMPUTED_VALUE"""),"Kedvarang")</f>
        <v>Kedvarang</v>
      </c>
      <c r="D677" t="str">
        <f>IFERROR(__xludf.DUMMYFUNCTION("""COMPUTED_VALUE"""),"Pikoonted")</f>
        <v>Pikoonted</v>
      </c>
      <c r="E677" t="str">
        <f>IFERROR(__xludf.DUMMYFUNCTION("""COMPUTED_VALUE"""),"Kedvarang Pikoonted")</f>
        <v>Kedvarang Pikoonted</v>
      </c>
      <c r="F677" t="str">
        <f>IFERROR(__xludf.DUMMYFUNCTION("""COMPUTED_VALUE"""),"นางสาว")</f>
        <v>นางสาว</v>
      </c>
      <c r="G677" t="str">
        <f>IFERROR(__xludf.DUMMYFUNCTION("""COMPUTED_VALUE"""),"เกษวรางค์")</f>
        <v>เกษวรางค์</v>
      </c>
      <c r="H677" t="str">
        <f>IFERROR(__xludf.DUMMYFUNCTION("""COMPUTED_VALUE"""),"พิกุลเทศ")</f>
        <v>พิกุลเทศ</v>
      </c>
      <c r="I677" t="str">
        <f>IFERROR(__xludf.DUMMYFUNCTION("""COMPUTED_VALUE"""),"เกษวรางค์ พิกุลเทศ")</f>
        <v>เกษวรางค์ พิกุลเทศ</v>
      </c>
      <c r="J677" t="str">
        <f>IFERROR(__xludf.DUMMYFUNCTION("""COMPUTED_VALUE"""),"Palm / ปาล์ม")</f>
        <v>Palm / ปาล์ม</v>
      </c>
      <c r="K677" t="str">
        <f>IFERROR(__xludf.DUMMYFUNCTION("""COMPUTED_VALUE"""),"Cabin Crew")</f>
        <v>Cabin Crew</v>
      </c>
      <c r="L677" t="str">
        <f>IFERROR(__xludf.DUMMYFUNCTION("""COMPUTED_VALUE"""),"DMK")</f>
        <v>DMK</v>
      </c>
      <c r="M677" s="145" t="str">
        <f>IFERROR(__xludf.DUMMYFUNCTION("""COMPUTED_VALUE"""),"Por+ Home")</f>
        <v>Por+ Home</v>
      </c>
      <c r="N677" t="str">
        <f>IFERROR(__xludf.DUMMYFUNCTION("""COMPUTED_VALUE"""),"Active")</f>
        <v>Active</v>
      </c>
      <c r="P677" s="143">
        <f>IFERROR(__xludf.DUMMYFUNCTION("""COMPUTED_VALUE"""),33038.0)</f>
        <v>33038</v>
      </c>
      <c r="Q677" s="146" t="str">
        <f>IFERROR(__xludf.DUMMYFUNCTION("""COMPUTED_VALUE"""),"095 594 6854")</f>
        <v>095 594 6854</v>
      </c>
      <c r="R677" s="147" t="str">
        <f>IFERROR(__xludf.DUMMYFUNCTION("""COMPUTED_VALUE"""),"1960600-08-2415")</f>
        <v>1960600-08-2415</v>
      </c>
      <c r="S677" t="str">
        <f>IFERROR(__xludf.DUMMYFUNCTION("""COMPUTED_VALUE"""),"AC2772282")</f>
        <v>AC2772282</v>
      </c>
      <c r="T677" s="148">
        <f>IFERROR(__xludf.DUMMYFUNCTION("""COMPUTED_VALUE"""),44496.0)</f>
        <v>44496</v>
      </c>
      <c r="U677" s="148">
        <f>IFERROR(__xludf.DUMMYFUNCTION("""COMPUTED_VALUE"""),48147.0)</f>
        <v>48147</v>
      </c>
      <c r="V677" s="149">
        <f>IFERROR(__xludf.DUMMYFUNCTION("""COMPUTED_VALUE"""),47964.0)</f>
        <v>47964</v>
      </c>
      <c r="W677" t="str">
        <f>IFERROR(__xludf.DUMMYFUNCTION("""COMPUTED_VALUE"""),"ปลอดภัย")</f>
        <v>ปลอดภัย</v>
      </c>
      <c r="X677" t="str">
        <f>IFERROR(__xludf.DUMMYFUNCTION("""COMPUTED_VALUE"""),"Narathiwat Province")</f>
        <v>Narathiwat Province</v>
      </c>
      <c r="Y677" t="str">
        <f>IFERROR(__xludf.DUMMYFUNCTION("""COMPUTED_VALUE"""),"Ladkrabang")</f>
        <v>Ladkrabang</v>
      </c>
      <c r="Z677" t="str">
        <f>IFERROR(__xludf.DUMMYFUNCTION("""COMPUTED_VALUE"""),"081 978 2504")</f>
        <v>081 978 2504</v>
      </c>
      <c r="AA677" t="str">
        <f>IFERROR(__xludf.DUMMYFUNCTION("""COMPUTED_VALUE"""),"Supin Chookeaw")</f>
        <v>Supin Chookeaw</v>
      </c>
      <c r="AB677" t="str">
        <f>IFERROR(__xludf.DUMMYFUNCTION("""COMPUTED_VALUE"""),"kedvarangp@airasia.com")</f>
        <v>kedvarangp@airasia.com</v>
      </c>
    </row>
    <row r="678">
      <c r="A678">
        <f>IFERROR(__xludf.DUMMYFUNCTION("""COMPUTED_VALUE"""),1014078.0)</f>
        <v>1014078</v>
      </c>
      <c r="B678" t="str">
        <f>IFERROR(__xludf.DUMMYFUNCTION("""COMPUTED_VALUE"""),"Ms.")</f>
        <v>Ms.</v>
      </c>
      <c r="C678" t="str">
        <f>IFERROR(__xludf.DUMMYFUNCTION("""COMPUTED_VALUE"""),"Ornphicha")</f>
        <v>Ornphicha</v>
      </c>
      <c r="D678" t="str">
        <f>IFERROR(__xludf.DUMMYFUNCTION("""COMPUTED_VALUE"""),"Phisanbanjerdkul")</f>
        <v>Phisanbanjerdkul</v>
      </c>
      <c r="E678" t="str">
        <f>IFERROR(__xludf.DUMMYFUNCTION("""COMPUTED_VALUE"""),"Ornphicha Phisanbanjerdkul")</f>
        <v>Ornphicha Phisanbanjerdkul</v>
      </c>
      <c r="F678" t="str">
        <f>IFERROR(__xludf.DUMMYFUNCTION("""COMPUTED_VALUE"""),"นางสาว")</f>
        <v>นางสาว</v>
      </c>
      <c r="G678" t="str">
        <f>IFERROR(__xludf.DUMMYFUNCTION("""COMPUTED_VALUE"""),"อรภิชา")</f>
        <v>อรภิชา</v>
      </c>
      <c r="H678" t="str">
        <f>IFERROR(__xludf.DUMMYFUNCTION("""COMPUTED_VALUE"""),"พิศาลบรรเจิดกุล")</f>
        <v>พิศาลบรรเจิดกุล</v>
      </c>
      <c r="I678" t="str">
        <f>IFERROR(__xludf.DUMMYFUNCTION("""COMPUTED_VALUE"""),"อรภิชา พิศาลบรรเจิดกุล")</f>
        <v>อรภิชา พิศาลบรรเจิดกุล</v>
      </c>
      <c r="J678" t="str">
        <f>IFERROR(__xludf.DUMMYFUNCTION("""COMPUTED_VALUE"""),"Ploy / พลอย")</f>
        <v>Ploy / พลอย</v>
      </c>
      <c r="K678" t="str">
        <f>IFERROR(__xludf.DUMMYFUNCTION("""COMPUTED_VALUE"""),"Cabin Crew")</f>
        <v>Cabin Crew</v>
      </c>
      <c r="L678" t="str">
        <f>IFERROR(__xludf.DUMMYFUNCTION("""COMPUTED_VALUE"""),"DMK")</f>
        <v>DMK</v>
      </c>
      <c r="M678" s="145" t="str">
        <f>IFERROR(__xludf.DUMMYFUNCTION("""COMPUTED_VALUE"""),"Namfon Home")</f>
        <v>Namfon Home</v>
      </c>
      <c r="N678" t="str">
        <f>IFERROR(__xludf.DUMMYFUNCTION("""COMPUTED_VALUE"""),"Active")</f>
        <v>Active</v>
      </c>
      <c r="P678" s="143">
        <f>IFERROR(__xludf.DUMMYFUNCTION("""COMPUTED_VALUE"""),32720.0)</f>
        <v>32720</v>
      </c>
      <c r="Q678" s="146" t="str">
        <f>IFERROR(__xludf.DUMMYFUNCTION("""COMPUTED_VALUE"""),"064 454 4563")</f>
        <v>064 454 4563</v>
      </c>
      <c r="R678" s="147" t="str">
        <f>IFERROR(__xludf.DUMMYFUNCTION("""COMPUTED_VALUE"""),"1101200-19-4320")</f>
        <v>1101200-19-4320</v>
      </c>
      <c r="S678" t="str">
        <f>IFERROR(__xludf.DUMMYFUNCTION("""COMPUTED_VALUE"""),"AC6411156")</f>
        <v>AC6411156</v>
      </c>
      <c r="T678" s="148">
        <f>IFERROR(__xludf.DUMMYFUNCTION("""COMPUTED_VALUE"""),45362.0)</f>
        <v>45362</v>
      </c>
      <c r="U678" s="148">
        <f>IFERROR(__xludf.DUMMYFUNCTION("""COMPUTED_VALUE"""),49013.0)</f>
        <v>49013</v>
      </c>
      <c r="V678" s="149">
        <f>IFERROR(__xludf.DUMMYFUNCTION("""COMPUTED_VALUE"""),48832.0)</f>
        <v>48832</v>
      </c>
      <c r="W678" t="str">
        <f>IFERROR(__xludf.DUMMYFUNCTION("""COMPUTED_VALUE"""),"ปลอดภัย")</f>
        <v>ปลอดภัย</v>
      </c>
      <c r="X678" t="str">
        <f>IFERROR(__xludf.DUMMYFUNCTION("""COMPUTED_VALUE"""),"Bangkok")</f>
        <v>Bangkok</v>
      </c>
      <c r="Y678" t="str">
        <f>IFERROR(__xludf.DUMMYFUNCTION("""COMPUTED_VALUE"""),"Bangrak")</f>
        <v>Bangrak</v>
      </c>
      <c r="Z678" t="str">
        <f>IFERROR(__xludf.DUMMYFUNCTION("""COMPUTED_VALUE"""),"084 443 1009")</f>
        <v>084 443 1009</v>
      </c>
      <c r="AA678" t="str">
        <f>IFERROR(__xludf.DUMMYFUNCTION("""COMPUTED_VALUE"""),"Apisak Phisanbanjerdkul")</f>
        <v>Apisak Phisanbanjerdkul</v>
      </c>
      <c r="AB678" t="str">
        <f>IFERROR(__xludf.DUMMYFUNCTION("""COMPUTED_VALUE"""),"ornphichap@airasia.com")</f>
        <v>ornphichap@airasia.com</v>
      </c>
    </row>
    <row r="679">
      <c r="A679">
        <f>IFERROR(__xludf.DUMMYFUNCTION("""COMPUTED_VALUE"""),1014080.0)</f>
        <v>1014080</v>
      </c>
      <c r="B679" t="str">
        <f>IFERROR(__xludf.DUMMYFUNCTION("""COMPUTED_VALUE"""),"Ms.")</f>
        <v>Ms.</v>
      </c>
      <c r="C679" t="str">
        <f>IFERROR(__xludf.DUMMYFUNCTION("""COMPUTED_VALUE"""),"Phalinsu")</f>
        <v>Phalinsu</v>
      </c>
      <c r="D679" t="str">
        <f>IFERROR(__xludf.DUMMYFUNCTION("""COMPUTED_VALUE"""),"Angsunakul")</f>
        <v>Angsunakul</v>
      </c>
      <c r="E679" t="str">
        <f>IFERROR(__xludf.DUMMYFUNCTION("""COMPUTED_VALUE"""),"Phalinsu Angsunakul")</f>
        <v>Phalinsu Angsunakul</v>
      </c>
      <c r="F679" t="str">
        <f>IFERROR(__xludf.DUMMYFUNCTION("""COMPUTED_VALUE"""),"นางสาว")</f>
        <v>นางสาว</v>
      </c>
      <c r="G679" t="str">
        <f>IFERROR(__xludf.DUMMYFUNCTION("""COMPUTED_VALUE"""),"ผลินสุ")</f>
        <v>ผลินสุ</v>
      </c>
      <c r="H679" t="str">
        <f>IFERROR(__xludf.DUMMYFUNCTION("""COMPUTED_VALUE"""),"อังศุนากุล")</f>
        <v>อังศุนากุล</v>
      </c>
      <c r="I679" t="str">
        <f>IFERROR(__xludf.DUMMYFUNCTION("""COMPUTED_VALUE"""),"ผลินสุ อังศุนากุล")</f>
        <v>ผลินสุ อังศุนากุล</v>
      </c>
      <c r="J679" t="str">
        <f>IFERROR(__xludf.DUMMYFUNCTION("""COMPUTED_VALUE"""),"Elle / แอล")</f>
        <v>Elle / แอล</v>
      </c>
      <c r="K679" t="str">
        <f>IFERROR(__xludf.DUMMYFUNCTION("""COMPUTED_VALUE"""),"Cabin Crew")</f>
        <v>Cabin Crew</v>
      </c>
      <c r="L679" t="str">
        <f>IFERROR(__xludf.DUMMYFUNCTION("""COMPUTED_VALUE"""),"DMK")</f>
        <v>DMK</v>
      </c>
      <c r="M679" s="145" t="str">
        <f>IFERROR(__xludf.DUMMYFUNCTION("""COMPUTED_VALUE"""),"Namfon Home")</f>
        <v>Namfon Home</v>
      </c>
      <c r="N679" t="str">
        <f>IFERROR(__xludf.DUMMYFUNCTION("""COMPUTED_VALUE"""),"Active")</f>
        <v>Active</v>
      </c>
      <c r="P679" s="143">
        <f>IFERROR(__xludf.DUMMYFUNCTION("""COMPUTED_VALUE"""),34282.0)</f>
        <v>34282</v>
      </c>
      <c r="Q679" s="146" t="str">
        <f>IFERROR(__xludf.DUMMYFUNCTION("""COMPUTED_VALUE"""),"095-295-1989")</f>
        <v>095-295-1989</v>
      </c>
      <c r="R679" s="147" t="str">
        <f>IFERROR(__xludf.DUMMYFUNCTION("""COMPUTED_VALUE"""),"1100400-66-8367")</f>
        <v>1100400-66-8367</v>
      </c>
      <c r="S679" t="str">
        <f>IFERROR(__xludf.DUMMYFUNCTION("""COMPUTED_VALUE"""),"AC4321265")</f>
        <v>AC4321265</v>
      </c>
      <c r="T679" s="148">
        <f>IFERROR(__xludf.DUMMYFUNCTION("""COMPUTED_VALUE"""),44923.0)</f>
        <v>44923</v>
      </c>
      <c r="U679" s="148">
        <f>IFERROR(__xludf.DUMMYFUNCTION("""COMPUTED_VALUE"""),48575.0)</f>
        <v>48575</v>
      </c>
      <c r="V679" s="149">
        <f>IFERROR(__xludf.DUMMYFUNCTION("""COMPUTED_VALUE"""),48392.0)</f>
        <v>48392</v>
      </c>
      <c r="W679" t="str">
        <f>IFERROR(__xludf.DUMMYFUNCTION("""COMPUTED_VALUE"""),"ปลอดภัย")</f>
        <v>ปลอดภัย</v>
      </c>
      <c r="X679" t="str">
        <f>IFERROR(__xludf.DUMMYFUNCTION("""COMPUTED_VALUE"""),"Bangkok")</f>
        <v>Bangkok</v>
      </c>
      <c r="Y679" t="str">
        <f>IFERROR(__xludf.DUMMYFUNCTION("""COMPUTED_VALUE"""),"Nonthaburi")</f>
        <v>Nonthaburi</v>
      </c>
      <c r="Z679" t="str">
        <f>IFERROR(__xludf.DUMMYFUNCTION("""COMPUTED_VALUE"""),"089 483 3906")</f>
        <v>089 483 3906</v>
      </c>
      <c r="AA679" t="str">
        <f>IFERROR(__xludf.DUMMYFUNCTION("""COMPUTED_VALUE"""),"Patchara Angsunakul")</f>
        <v>Patchara Angsunakul</v>
      </c>
      <c r="AB679" t="str">
        <f>IFERROR(__xludf.DUMMYFUNCTION("""COMPUTED_VALUE"""),"phalinsua@airasia.com")</f>
        <v>phalinsua@airasia.com</v>
      </c>
    </row>
    <row r="680">
      <c r="A680">
        <f>IFERROR(__xludf.DUMMYFUNCTION("""COMPUTED_VALUE"""),1014083.0)</f>
        <v>1014083</v>
      </c>
      <c r="B680" t="str">
        <f>IFERROR(__xludf.DUMMYFUNCTION("""COMPUTED_VALUE"""),"Mrs.")</f>
        <v>Mrs.</v>
      </c>
      <c r="C680" t="str">
        <f>IFERROR(__xludf.DUMMYFUNCTION("""COMPUTED_VALUE"""),"Pimarthorn")</f>
        <v>Pimarthorn</v>
      </c>
      <c r="D680" t="str">
        <f>IFERROR(__xludf.DUMMYFUNCTION("""COMPUTED_VALUE"""),"Martin (Charuwana)")</f>
        <v>Martin (Charuwana)</v>
      </c>
      <c r="E680" t="str">
        <f>IFERROR(__xludf.DUMMYFUNCTION("""COMPUTED_VALUE"""),"Pimarthorn Martin")</f>
        <v>Pimarthorn Martin</v>
      </c>
      <c r="F680" t="str">
        <f>IFERROR(__xludf.DUMMYFUNCTION("""COMPUTED_VALUE"""),"นาง")</f>
        <v>นาง</v>
      </c>
      <c r="G680" t="str">
        <f>IFERROR(__xludf.DUMMYFUNCTION("""COMPUTED_VALUE"""),"พิมพ์อาทร")</f>
        <v>พิมพ์อาทร</v>
      </c>
      <c r="H680" t="str">
        <f>IFERROR(__xludf.DUMMYFUNCTION("""COMPUTED_VALUE"""),"มาติน (จารุวรรณ)")</f>
        <v>มาติน (จารุวรรณ)</v>
      </c>
      <c r="I680" t="str">
        <f>IFERROR(__xludf.DUMMYFUNCTION("""COMPUTED_VALUE"""),"พิมพ์อาทร มาติน")</f>
        <v>พิมพ์อาทร มาติน</v>
      </c>
      <c r="J680" t="str">
        <f>IFERROR(__xludf.DUMMYFUNCTION("""COMPUTED_VALUE"""),"Jung / จัง")</f>
        <v>Jung / จัง</v>
      </c>
      <c r="K680" t="str">
        <f>IFERROR(__xludf.DUMMYFUNCTION("""COMPUTED_VALUE"""),"Cabin Crew")</f>
        <v>Cabin Crew</v>
      </c>
      <c r="L680" t="str">
        <f>IFERROR(__xludf.DUMMYFUNCTION("""COMPUTED_VALUE"""),"DMK")</f>
        <v>DMK</v>
      </c>
      <c r="M680" s="145" t="str">
        <f>IFERROR(__xludf.DUMMYFUNCTION("""COMPUTED_VALUE"""),"Namfon Home")</f>
        <v>Namfon Home</v>
      </c>
      <c r="N680" t="str">
        <f>IFERROR(__xludf.DUMMYFUNCTION("""COMPUTED_VALUE"""),"V/LWP")</f>
        <v>V/LWP</v>
      </c>
      <c r="P680" s="143">
        <f>IFERROR(__xludf.DUMMYFUNCTION("""COMPUTED_VALUE"""),32802.0)</f>
        <v>32802</v>
      </c>
      <c r="Q680" s="146" t="str">
        <f>IFERROR(__xludf.DUMMYFUNCTION("""COMPUTED_VALUE"""),"094 995 9594")</f>
        <v>094 995 9594</v>
      </c>
      <c r="R680" s="147" t="str">
        <f>IFERROR(__xludf.DUMMYFUNCTION("""COMPUTED_VALUE"""),"1102001-23-2443")</f>
        <v>1102001-23-2443</v>
      </c>
      <c r="S680" t="str">
        <f>IFERROR(__xludf.DUMMYFUNCTION("""COMPUTED_VALUE"""),"AC4685354")</f>
        <v>AC4685354</v>
      </c>
      <c r="T680" s="148">
        <f>IFERROR(__xludf.DUMMYFUNCTION("""COMPUTED_VALUE"""),45003.0)</f>
        <v>45003</v>
      </c>
      <c r="U680" s="148">
        <f>IFERROR(__xludf.DUMMYFUNCTION("""COMPUTED_VALUE"""),48655.0)</f>
        <v>48655</v>
      </c>
      <c r="V680" s="149">
        <f>IFERROR(__xludf.DUMMYFUNCTION("""COMPUTED_VALUE"""),48474.0)</f>
        <v>48474</v>
      </c>
      <c r="W680" t="str">
        <f>IFERROR(__xludf.DUMMYFUNCTION("""COMPUTED_VALUE"""),"ปลอดภัย")</f>
        <v>ปลอดภัย</v>
      </c>
      <c r="X680" t="str">
        <f>IFERROR(__xludf.DUMMYFUNCTION("""COMPUTED_VALUE"""),"Bangkok")</f>
        <v>Bangkok</v>
      </c>
      <c r="Y680" t="str">
        <f>IFERROR(__xludf.DUMMYFUNCTION("""COMPUTED_VALUE"""),"Taweewattana")</f>
        <v>Taweewattana</v>
      </c>
      <c r="Z680" t="str">
        <f>IFERROR(__xludf.DUMMYFUNCTION("""COMPUTED_VALUE"""),"089 771 8459")</f>
        <v>089 771 8459</v>
      </c>
      <c r="AA680" t="str">
        <f>IFERROR(__xludf.DUMMYFUNCTION("""COMPUTED_VALUE"""),"Chaweewan Charuwana")</f>
        <v>Chaweewan Charuwana</v>
      </c>
      <c r="AB680" t="str">
        <f>IFERROR(__xludf.DUMMYFUNCTION("""COMPUTED_VALUE"""),"pimarthornmartin@airasia.com")</f>
        <v>pimarthornmartin@airasia.com</v>
      </c>
    </row>
    <row r="681">
      <c r="A681">
        <f>IFERROR(__xludf.DUMMYFUNCTION("""COMPUTED_VALUE"""),1014086.0)</f>
        <v>1014086</v>
      </c>
      <c r="B681" t="str">
        <f>IFERROR(__xludf.DUMMYFUNCTION("""COMPUTED_VALUE"""),"Ms.")</f>
        <v>Ms.</v>
      </c>
      <c r="C681" t="str">
        <f>IFERROR(__xludf.DUMMYFUNCTION("""COMPUTED_VALUE"""),"Shutimon")</f>
        <v>Shutimon</v>
      </c>
      <c r="D681" t="str">
        <f>IFERROR(__xludf.DUMMYFUNCTION("""COMPUTED_VALUE"""),"Srisanguansakul")</f>
        <v>Srisanguansakul</v>
      </c>
      <c r="E681" t="str">
        <f>IFERROR(__xludf.DUMMYFUNCTION("""COMPUTED_VALUE"""),"Shutimon Srisanguansakul")</f>
        <v>Shutimon Srisanguansakul</v>
      </c>
      <c r="F681" t="str">
        <f>IFERROR(__xludf.DUMMYFUNCTION("""COMPUTED_VALUE"""),"นางสาว")</f>
        <v>นางสาว</v>
      </c>
      <c r="G681" t="str">
        <f>IFERROR(__xludf.DUMMYFUNCTION("""COMPUTED_VALUE"""),"ชุติมณฑน์")</f>
        <v>ชุติมณฑน์</v>
      </c>
      <c r="H681" t="str">
        <f>IFERROR(__xludf.DUMMYFUNCTION("""COMPUTED_VALUE"""),"ศรีสงวนสกุล")</f>
        <v>ศรีสงวนสกุล</v>
      </c>
      <c r="I681" t="str">
        <f>IFERROR(__xludf.DUMMYFUNCTION("""COMPUTED_VALUE"""),"ชุติมณฑน์ ศรีสงวนสกุล")</f>
        <v>ชุติมณฑน์ ศรีสงวนสกุล</v>
      </c>
      <c r="J681" t="str">
        <f>IFERROR(__xludf.DUMMYFUNCTION("""COMPUTED_VALUE"""),"Nink / นิ้ง")</f>
        <v>Nink / นิ้ง</v>
      </c>
      <c r="K681" t="str">
        <f>IFERROR(__xludf.DUMMYFUNCTION("""COMPUTED_VALUE"""),"Cabin Crew")</f>
        <v>Cabin Crew</v>
      </c>
      <c r="L681" t="str">
        <f>IFERROR(__xludf.DUMMYFUNCTION("""COMPUTED_VALUE"""),"DMK")</f>
        <v>DMK</v>
      </c>
      <c r="M681" s="145" t="str">
        <f>IFERROR(__xludf.DUMMYFUNCTION("""COMPUTED_VALUE"""),"Por+ Home")</f>
        <v>Por+ Home</v>
      </c>
      <c r="N681" t="str">
        <f>IFERROR(__xludf.DUMMYFUNCTION("""COMPUTED_VALUE"""),"Active")</f>
        <v>Active</v>
      </c>
      <c r="P681" s="143">
        <f>IFERROR(__xludf.DUMMYFUNCTION("""COMPUTED_VALUE"""),34397.0)</f>
        <v>34397</v>
      </c>
      <c r="Q681" s="146">
        <f>IFERROR(__xludf.DUMMYFUNCTION("""COMPUTED_VALUE"""),8.03616549E8)</f>
        <v>803616549</v>
      </c>
      <c r="R681" s="147" t="str">
        <f>IFERROR(__xludf.DUMMYFUNCTION("""COMPUTED_VALUE"""),"1103100-23-9650")</f>
        <v>1103100-23-9650</v>
      </c>
      <c r="S681" t="str">
        <f>IFERROR(__xludf.DUMMYFUNCTION("""COMPUTED_VALUE"""),"AC3093467")</f>
        <v>AC3093467</v>
      </c>
      <c r="T681" s="148">
        <f>IFERROR(__xludf.DUMMYFUNCTION("""COMPUTED_VALUE"""),44687.0)</f>
        <v>44687</v>
      </c>
      <c r="U681" s="148">
        <f>IFERROR(__xludf.DUMMYFUNCTION("""COMPUTED_VALUE"""),48339.0)</f>
        <v>48339</v>
      </c>
      <c r="V681" s="149">
        <f>IFERROR(__xludf.DUMMYFUNCTION("""COMPUTED_VALUE"""),48157.0)</f>
        <v>48157</v>
      </c>
      <c r="W681" t="str">
        <f>IFERROR(__xludf.DUMMYFUNCTION("""COMPUTED_VALUE"""),"ปลอดภัย")</f>
        <v>ปลอดภัย</v>
      </c>
      <c r="X681" t="str">
        <f>IFERROR(__xludf.DUMMYFUNCTION("""COMPUTED_VALUE"""),"Bangkok")</f>
        <v>Bangkok</v>
      </c>
      <c r="Y681" t="str">
        <f>IFERROR(__xludf.DUMMYFUNCTION("""COMPUTED_VALUE"""),"Bangkhorleam")</f>
        <v>Bangkhorleam</v>
      </c>
      <c r="Z681" t="str">
        <f>IFERROR(__xludf.DUMMYFUNCTION("""COMPUTED_VALUE"""),"087 678 4336")</f>
        <v>087 678 4336</v>
      </c>
      <c r="AA681" t="str">
        <f>IFERROR(__xludf.DUMMYFUNCTION("""COMPUTED_VALUE"""),"Chirdpong (Father)")</f>
        <v>Chirdpong (Father)</v>
      </c>
      <c r="AB681" t="str">
        <f>IFERROR(__xludf.DUMMYFUNCTION("""COMPUTED_VALUE"""),"shutimons@airasia.com")</f>
        <v>shutimons@airasia.com</v>
      </c>
    </row>
    <row r="682">
      <c r="A682">
        <f>IFERROR(__xludf.DUMMYFUNCTION("""COMPUTED_VALUE"""),1014087.0)</f>
        <v>1014087</v>
      </c>
      <c r="B682" t="str">
        <f>IFERROR(__xludf.DUMMYFUNCTION("""COMPUTED_VALUE"""),"Mr.")</f>
        <v>Mr.</v>
      </c>
      <c r="C682" t="str">
        <f>IFERROR(__xludf.DUMMYFUNCTION("""COMPUTED_VALUE"""),"Sirawit")</f>
        <v>Sirawit</v>
      </c>
      <c r="D682" t="str">
        <f>IFERROR(__xludf.DUMMYFUNCTION("""COMPUTED_VALUE"""),"Kamrapit")</f>
        <v>Kamrapit</v>
      </c>
      <c r="E682" t="str">
        <f>IFERROR(__xludf.DUMMYFUNCTION("""COMPUTED_VALUE"""),"Sirawit Kamrapit")</f>
        <v>Sirawit Kamrapit</v>
      </c>
      <c r="F682" t="str">
        <f>IFERROR(__xludf.DUMMYFUNCTION("""COMPUTED_VALUE"""),"นาย")</f>
        <v>นาย</v>
      </c>
      <c r="G682" t="str">
        <f>IFERROR(__xludf.DUMMYFUNCTION("""COMPUTED_VALUE"""),"สิรวิชญ์")</f>
        <v>สิรวิชญ์</v>
      </c>
      <c r="H682" t="str">
        <f>IFERROR(__xludf.DUMMYFUNCTION("""COMPUTED_VALUE"""),"คำราพิช")</f>
        <v>คำราพิช</v>
      </c>
      <c r="I682" t="str">
        <f>IFERROR(__xludf.DUMMYFUNCTION("""COMPUTED_VALUE"""),"สิรวิชญ์ คำราพิช")</f>
        <v>สิรวิชญ์ คำราพิช</v>
      </c>
      <c r="J682" t="str">
        <f>IFERROR(__xludf.DUMMYFUNCTION("""COMPUTED_VALUE"""),"Ben / เบ็น")</f>
        <v>Ben / เบ็น</v>
      </c>
      <c r="K682" t="str">
        <f>IFERROR(__xludf.DUMMYFUNCTION("""COMPUTED_VALUE"""),"Cabin Crew - CNX")</f>
        <v>Cabin Crew - CNX</v>
      </c>
      <c r="L682" t="str">
        <f>IFERROR(__xludf.DUMMYFUNCTION("""COMPUTED_VALUE"""),"CNX")</f>
        <v>CNX</v>
      </c>
      <c r="M682" s="145" t="str">
        <f>IFERROR(__xludf.DUMMYFUNCTION("""COMPUTED_VALUE"""),"Up Home")</f>
        <v>Up Home</v>
      </c>
      <c r="N682" t="str">
        <f>IFERROR(__xludf.DUMMYFUNCTION("""COMPUTED_VALUE"""),"Active")</f>
        <v>Active</v>
      </c>
      <c r="P682" s="143">
        <f>IFERROR(__xludf.DUMMYFUNCTION("""COMPUTED_VALUE"""),33731.0)</f>
        <v>33731</v>
      </c>
      <c r="Q682" s="146" t="str">
        <f>IFERROR(__xludf.DUMMYFUNCTION("""COMPUTED_VALUE"""),"086 114 0197")</f>
        <v>086 114 0197</v>
      </c>
      <c r="R682" s="147" t="str">
        <f>IFERROR(__xludf.DUMMYFUNCTION("""COMPUTED_VALUE"""),"1509901-16-0018")</f>
        <v>1509901-16-0018</v>
      </c>
      <c r="S682" t="str">
        <f>IFERROR(__xludf.DUMMYFUNCTION("""COMPUTED_VALUE"""),"AD0699586")</f>
        <v>AD0699586</v>
      </c>
      <c r="T682" s="148">
        <f>IFERROR(__xludf.DUMMYFUNCTION("""COMPUTED_VALUE"""),44949.0)</f>
        <v>44949</v>
      </c>
      <c r="U682" s="148">
        <f>IFERROR(__xludf.DUMMYFUNCTION("""COMPUTED_VALUE"""),48601.0)</f>
        <v>48601</v>
      </c>
      <c r="V682" s="149">
        <f>IFERROR(__xludf.DUMMYFUNCTION("""COMPUTED_VALUE"""),48417.0)</f>
        <v>48417</v>
      </c>
      <c r="W682" t="str">
        <f>IFERROR(__xludf.DUMMYFUNCTION("""COMPUTED_VALUE"""),"ปลอดภัย")</f>
        <v>ปลอดภัย</v>
      </c>
      <c r="X682" t="str">
        <f>IFERROR(__xludf.DUMMYFUNCTION("""COMPUTED_VALUE"""),"Chiang Mai Province")</f>
        <v>Chiang Mai Province</v>
      </c>
      <c r="Y682" t="str">
        <f>IFERROR(__xludf.DUMMYFUNCTION("""COMPUTED_VALUE"""),"Phrakanong-Nua")</f>
        <v>Phrakanong-Nua</v>
      </c>
      <c r="Z682" t="str">
        <f>IFERROR(__xludf.DUMMYFUNCTION("""COMPUTED_VALUE"""),"089 555 9898")</f>
        <v>089 555 9898</v>
      </c>
      <c r="AA682" t="str">
        <f>IFERROR(__xludf.DUMMYFUNCTION("""COMPUTED_VALUE"""),"Wichan Kamrapit")</f>
        <v>Wichan Kamrapit</v>
      </c>
      <c r="AB682" t="str">
        <f>IFERROR(__xludf.DUMMYFUNCTION("""COMPUTED_VALUE"""),"sirawitk@airasia.com")</f>
        <v>sirawitk@airasia.com</v>
      </c>
    </row>
    <row r="683">
      <c r="A683">
        <f>IFERROR(__xludf.DUMMYFUNCTION("""COMPUTED_VALUE"""),1014088.0)</f>
        <v>1014088</v>
      </c>
      <c r="B683" t="str">
        <f>IFERROR(__xludf.DUMMYFUNCTION("""COMPUTED_VALUE"""),"Ms.")</f>
        <v>Ms.</v>
      </c>
      <c r="C683" t="str">
        <f>IFERROR(__xludf.DUMMYFUNCTION("""COMPUTED_VALUE"""),"Supatchaya")</f>
        <v>Supatchaya</v>
      </c>
      <c r="D683" t="str">
        <f>IFERROR(__xludf.DUMMYFUNCTION("""COMPUTED_VALUE"""),"Buaprasertying")</f>
        <v>Buaprasertying</v>
      </c>
      <c r="E683" t="str">
        <f>IFERROR(__xludf.DUMMYFUNCTION("""COMPUTED_VALUE"""),"Supatchaya Buaprasertying")</f>
        <v>Supatchaya Buaprasertying</v>
      </c>
      <c r="F683" t="str">
        <f>IFERROR(__xludf.DUMMYFUNCTION("""COMPUTED_VALUE"""),"นางสาว")</f>
        <v>นางสาว</v>
      </c>
      <c r="G683" t="str">
        <f>IFERROR(__xludf.DUMMYFUNCTION("""COMPUTED_VALUE"""),"ศุภัชญา")</f>
        <v>ศุภัชญา</v>
      </c>
      <c r="H683" t="str">
        <f>IFERROR(__xludf.DUMMYFUNCTION("""COMPUTED_VALUE"""),"บัวประเสริฐยิ่ง")</f>
        <v>บัวประเสริฐยิ่ง</v>
      </c>
      <c r="I683" t="str">
        <f>IFERROR(__xludf.DUMMYFUNCTION("""COMPUTED_VALUE"""),"ศุภัชญา บัวประเสริฐยิ่ง")</f>
        <v>ศุภัชญา บัวประเสริฐยิ่ง</v>
      </c>
      <c r="J683" t="str">
        <f>IFERROR(__xludf.DUMMYFUNCTION("""COMPUTED_VALUE"""),"Cartoon / การ์ตูน")</f>
        <v>Cartoon / การ์ตูน</v>
      </c>
      <c r="K683" t="str">
        <f>IFERROR(__xludf.DUMMYFUNCTION("""COMPUTED_VALUE"""),"Cabin Crew - CNX")</f>
        <v>Cabin Crew - CNX</v>
      </c>
      <c r="L683" t="str">
        <f>IFERROR(__xludf.DUMMYFUNCTION("""COMPUTED_VALUE"""),"CNX")</f>
        <v>CNX</v>
      </c>
      <c r="M683" s="145" t="str">
        <f>IFERROR(__xludf.DUMMYFUNCTION("""COMPUTED_VALUE"""),"Up Home")</f>
        <v>Up Home</v>
      </c>
      <c r="N683" t="str">
        <f>IFERROR(__xludf.DUMMYFUNCTION("""COMPUTED_VALUE"""),"Active")</f>
        <v>Active</v>
      </c>
      <c r="P683" s="143">
        <f>IFERROR(__xludf.DUMMYFUNCTION("""COMPUTED_VALUE"""),33186.0)</f>
        <v>33186</v>
      </c>
      <c r="Q683" s="146" t="str">
        <f>IFERROR(__xludf.DUMMYFUNCTION("""COMPUTED_VALUE"""),"091-8010990")</f>
        <v>091-8010990</v>
      </c>
      <c r="R683" s="147" t="str">
        <f>IFERROR(__xludf.DUMMYFUNCTION("""COMPUTED_VALUE"""),"1500500-07-8185")</f>
        <v>1500500-07-8185</v>
      </c>
      <c r="S683" t="str">
        <f>IFERROR(__xludf.DUMMYFUNCTION("""COMPUTED_VALUE"""),"AC7182179")</f>
        <v>AC7182179</v>
      </c>
      <c r="T683" s="148">
        <f>IFERROR(__xludf.DUMMYFUNCTION("""COMPUTED_VALUE"""),45504.0)</f>
        <v>45504</v>
      </c>
      <c r="U683" s="148">
        <f>IFERROR(__xludf.DUMMYFUNCTION("""COMPUTED_VALUE"""),49155.0)</f>
        <v>49155</v>
      </c>
      <c r="V683" s="149">
        <f>IFERROR(__xludf.DUMMYFUNCTION("""COMPUTED_VALUE"""),48974.0)</f>
        <v>48974</v>
      </c>
      <c r="W683" t="str">
        <f>IFERROR(__xludf.DUMMYFUNCTION("""COMPUTED_VALUE"""),"ปลอดภัย")</f>
        <v>ปลอดภัย</v>
      </c>
      <c r="X683" t="str">
        <f>IFERROR(__xludf.DUMMYFUNCTION("""COMPUTED_VALUE"""),"Chiang Mai Province")</f>
        <v>Chiang Mai Province</v>
      </c>
      <c r="Y683" t="str">
        <f>IFERROR(__xludf.DUMMYFUNCTION("""COMPUTED_VALUE"""),"Phayathai")</f>
        <v>Phayathai</v>
      </c>
      <c r="Z683" t="str">
        <f>IFERROR(__xludf.DUMMYFUNCTION("""COMPUTED_VALUE"""),"089 997 5525")</f>
        <v>089 997 5525</v>
      </c>
      <c r="AA683" t="str">
        <f>IFERROR(__xludf.DUMMYFUNCTION("""COMPUTED_VALUE"""),"Waewdao Buaprasertying (Mother)")</f>
        <v>Waewdao Buaprasertying (Mother)</v>
      </c>
      <c r="AB683" t="str">
        <f>IFERROR(__xludf.DUMMYFUNCTION("""COMPUTED_VALUE"""),"supatchayab@airasia.com")</f>
        <v>supatchayab@airasia.com</v>
      </c>
    </row>
    <row r="684">
      <c r="A684">
        <f>IFERROR(__xludf.DUMMYFUNCTION("""COMPUTED_VALUE"""),1014092.0)</f>
        <v>1014092</v>
      </c>
      <c r="B684" t="str">
        <f>IFERROR(__xludf.DUMMYFUNCTION("""COMPUTED_VALUE"""),"Ms.")</f>
        <v>Ms.</v>
      </c>
      <c r="C684" t="str">
        <f>IFERROR(__xludf.DUMMYFUNCTION("""COMPUTED_VALUE"""),"Varatorn")</f>
        <v>Varatorn</v>
      </c>
      <c r="D684" t="str">
        <f>IFERROR(__xludf.DUMMYFUNCTION("""COMPUTED_VALUE"""),"Sitisarn")</f>
        <v>Sitisarn</v>
      </c>
      <c r="E684" t="str">
        <f>IFERROR(__xludf.DUMMYFUNCTION("""COMPUTED_VALUE"""),"Varatorn Sitisarn")</f>
        <v>Varatorn Sitisarn</v>
      </c>
      <c r="F684" t="str">
        <f>IFERROR(__xludf.DUMMYFUNCTION("""COMPUTED_VALUE"""),"นางสาว")</f>
        <v>นางสาว</v>
      </c>
      <c r="G684" t="str">
        <f>IFERROR(__xludf.DUMMYFUNCTION("""COMPUTED_VALUE"""),"วราทร")</f>
        <v>วราทร</v>
      </c>
      <c r="H684" t="str">
        <f>IFERROR(__xludf.DUMMYFUNCTION("""COMPUTED_VALUE"""),"สิทธิสาร")</f>
        <v>สิทธิสาร</v>
      </c>
      <c r="I684" t="str">
        <f>IFERROR(__xludf.DUMMYFUNCTION("""COMPUTED_VALUE"""),"วราทร สิทธิสาร")</f>
        <v>วราทร สิทธิสาร</v>
      </c>
      <c r="J684" t="str">
        <f>IFERROR(__xludf.DUMMYFUNCTION("""COMPUTED_VALUE"""),"Pim / พิม")</f>
        <v>Pim / พิม</v>
      </c>
      <c r="K684" t="str">
        <f>IFERROR(__xludf.DUMMYFUNCTION("""COMPUTED_VALUE"""),"Senior Cabin Crew")</f>
        <v>Senior Cabin Crew</v>
      </c>
      <c r="L684" t="str">
        <f>IFERROR(__xludf.DUMMYFUNCTION("""COMPUTED_VALUE"""),"DMK")</f>
        <v>DMK</v>
      </c>
      <c r="M684" s="145" t="str">
        <f>IFERROR(__xludf.DUMMYFUNCTION("""COMPUTED_VALUE"""),"Um Home")</f>
        <v>Um Home</v>
      </c>
      <c r="N684" t="str">
        <f>IFERROR(__xludf.DUMMYFUNCTION("""COMPUTED_VALUE"""),"Active")</f>
        <v>Active</v>
      </c>
      <c r="P684" s="143">
        <f>IFERROR(__xludf.DUMMYFUNCTION("""COMPUTED_VALUE"""),33870.0)</f>
        <v>33870</v>
      </c>
      <c r="Q684" s="146" t="str">
        <f>IFERROR(__xludf.DUMMYFUNCTION("""COMPUTED_VALUE"""),"089 671 5414")</f>
        <v>089 671 5414</v>
      </c>
      <c r="R684" s="147" t="str">
        <f>IFERROR(__xludf.DUMMYFUNCTION("""COMPUTED_VALUE"""),"1103700-89-6759")</f>
        <v>1103700-89-6759</v>
      </c>
      <c r="S684" t="str">
        <f>IFERROR(__xludf.DUMMYFUNCTION("""COMPUTED_VALUE"""),"AD1525281")</f>
        <v>AD1525281</v>
      </c>
      <c r="T684" s="148">
        <f>IFERROR(__xludf.DUMMYFUNCTION("""COMPUTED_VALUE"""),45298.0)</f>
        <v>45298</v>
      </c>
      <c r="U684" s="148">
        <f>IFERROR(__xludf.DUMMYFUNCTION("""COMPUTED_VALUE"""),48950.0)</f>
        <v>48950</v>
      </c>
      <c r="V684" s="149">
        <f>IFERROR(__xludf.DUMMYFUNCTION("""COMPUTED_VALUE"""),48766.0)</f>
        <v>48766</v>
      </c>
      <c r="W684" t="str">
        <f>IFERROR(__xludf.DUMMYFUNCTION("""COMPUTED_VALUE"""),"ปลอดภัย")</f>
        <v>ปลอดภัย</v>
      </c>
      <c r="X684" t="str">
        <f>IFERROR(__xludf.DUMMYFUNCTION("""COMPUTED_VALUE"""),"Bangkok")</f>
        <v>Bangkok</v>
      </c>
      <c r="Y684" t="str">
        <f>IFERROR(__xludf.DUMMYFUNCTION("""COMPUTED_VALUE"""),"Nakornchaisri")</f>
        <v>Nakornchaisri</v>
      </c>
      <c r="Z684" t="str">
        <f>IFERROR(__xludf.DUMMYFUNCTION("""COMPUTED_VALUE"""),"081 732 3317")</f>
        <v>081 732 3317</v>
      </c>
      <c r="AA684" t="str">
        <f>IFERROR(__xludf.DUMMYFUNCTION("""COMPUTED_VALUE"""),"Morakot Sitisarn")</f>
        <v>Morakot Sitisarn</v>
      </c>
      <c r="AB684" t="str">
        <f>IFERROR(__xludf.DUMMYFUNCTION("""COMPUTED_VALUE"""),"varatorns@airasia.com")</f>
        <v>varatorns@airasia.com</v>
      </c>
    </row>
    <row r="685">
      <c r="AB685" t="str">
        <f>IFERROR(__xludf.DUMMYFUNCTION("""COMPUTED_VALUE"""),"")</f>
        <v/>
      </c>
    </row>
    <row r="686">
      <c r="A686">
        <f>IFERROR(__xludf.DUMMYFUNCTION("""COMPUTED_VALUE"""),1005434.0)</f>
        <v>1005434</v>
      </c>
      <c r="B686" t="str">
        <f>IFERROR(__xludf.DUMMYFUNCTION("""COMPUTED_VALUE"""),"Ms.")</f>
        <v>Ms.</v>
      </c>
      <c r="C686" t="str">
        <f>IFERROR(__xludf.DUMMYFUNCTION("""COMPUTED_VALUE"""),"Kesinee")</f>
        <v>Kesinee</v>
      </c>
      <c r="D686" t="str">
        <f>IFERROR(__xludf.DUMMYFUNCTION("""COMPUTED_VALUE"""),"Kaewbut")</f>
        <v>Kaewbut</v>
      </c>
      <c r="E686" t="str">
        <f>IFERROR(__xludf.DUMMYFUNCTION("""COMPUTED_VALUE"""),"Kesinee Kaewbut")</f>
        <v>Kesinee Kaewbut</v>
      </c>
      <c r="F686" t="str">
        <f>IFERROR(__xludf.DUMMYFUNCTION("""COMPUTED_VALUE"""),"นางสาว")</f>
        <v>นางสาว</v>
      </c>
      <c r="G686" t="str">
        <f>IFERROR(__xludf.DUMMYFUNCTION("""COMPUTED_VALUE"""),"เกศิณีย์")</f>
        <v>เกศิณีย์</v>
      </c>
      <c r="H686" t="str">
        <f>IFERROR(__xludf.DUMMYFUNCTION("""COMPUTED_VALUE"""),"แก้วบุตร")</f>
        <v>แก้วบุตร</v>
      </c>
      <c r="I686" t="str">
        <f>IFERROR(__xludf.DUMMYFUNCTION("""COMPUTED_VALUE"""),"เกศิณีย์ แก้วบุตร")</f>
        <v>เกศิณีย์ แก้วบุตร</v>
      </c>
      <c r="J686" t="str">
        <f>IFERROR(__xludf.DUMMYFUNCTION("""COMPUTED_VALUE"""),"yui/ยุ้ย")</f>
        <v>yui/ยุ้ย</v>
      </c>
      <c r="K686" t="str">
        <f>IFERROR(__xludf.DUMMYFUNCTION("""COMPUTED_VALUE"""),"Cabin Crew - CNX")</f>
        <v>Cabin Crew - CNX</v>
      </c>
      <c r="L686" t="str">
        <f>IFERROR(__xludf.DUMMYFUNCTION("""COMPUTED_VALUE"""),"CNX")</f>
        <v>CNX</v>
      </c>
      <c r="M686" s="145" t="str">
        <f>IFERROR(__xludf.DUMMYFUNCTION("""COMPUTED_VALUE"""),"Up Home")</f>
        <v>Up Home</v>
      </c>
      <c r="N686" t="str">
        <f>IFERROR(__xludf.DUMMYFUNCTION("""COMPUTED_VALUE"""),"Active")</f>
        <v>Active</v>
      </c>
      <c r="P686" s="143">
        <f>IFERROR(__xludf.DUMMYFUNCTION("""COMPUTED_VALUE"""),31761.0)</f>
        <v>31761</v>
      </c>
      <c r="Q686" s="146" t="str">
        <f>IFERROR(__xludf.DUMMYFUNCTION("""COMPUTED_VALUE"""),"094-4232695")</f>
        <v>094-4232695</v>
      </c>
      <c r="R686" s="147" t="str">
        <f>IFERROR(__xludf.DUMMYFUNCTION("""COMPUTED_VALUE"""),"1 5299 00203 86 4")</f>
        <v>1 5299 00203 86 4</v>
      </c>
      <c r="S686" t="str">
        <f>IFERROR(__xludf.DUMMYFUNCTION("""COMPUTED_VALUE"""),"AC2631112")</f>
        <v>AC2631112</v>
      </c>
      <c r="T686" s="148">
        <f>IFERROR(__xludf.DUMMYFUNCTION("""COMPUTED_VALUE"""),44917.0)</f>
        <v>44917</v>
      </c>
      <c r="U686" s="148">
        <f>IFERROR(__xludf.DUMMYFUNCTION("""COMPUTED_VALUE"""),48203.0)</f>
        <v>48203</v>
      </c>
      <c r="V686" s="149">
        <f>IFERROR(__xludf.DUMMYFUNCTION("""COMPUTED_VALUE"""),48020.0)</f>
        <v>48020</v>
      </c>
      <c r="W686" t="str">
        <f>IFERROR(__xludf.DUMMYFUNCTION("""COMPUTED_VALUE"""),"ปลอดภัย")</f>
        <v>ปลอดภัย</v>
      </c>
      <c r="X686" t="str">
        <f>IFERROR(__xludf.DUMMYFUNCTION("""COMPUTED_VALUE"""),"Lampang Province")</f>
        <v>Lampang Province</v>
      </c>
      <c r="Y686" t="str">
        <f>IFERROR(__xludf.DUMMYFUNCTION("""COMPUTED_VALUE"""),"Ladkrabang")</f>
        <v>Ladkrabang</v>
      </c>
      <c r="Z686" t="str">
        <f>IFERROR(__xludf.DUMMYFUNCTION("""COMPUTED_VALUE"""),"095 947 4553/ 094 879 6454")</f>
        <v>095 947 4553/ 094 879 6454</v>
      </c>
      <c r="AA686" t="str">
        <f>IFERROR(__xludf.DUMMYFUNCTION("""COMPUTED_VALUE"""),"Noppakul Sakornchonlatarn (Friend)")</f>
        <v>Noppakul Sakornchonlatarn (Friend)</v>
      </c>
      <c r="AB686" t="str">
        <f>IFERROR(__xludf.DUMMYFUNCTION("""COMPUTED_VALUE"""),"kesineek@airasia.com")</f>
        <v>kesineek@airasia.com</v>
      </c>
    </row>
    <row r="687">
      <c r="A687">
        <f>IFERROR(__xludf.DUMMYFUNCTION("""COMPUTED_VALUE"""),1006960.0)</f>
        <v>1006960</v>
      </c>
      <c r="B687" t="str">
        <f>IFERROR(__xludf.DUMMYFUNCTION("""COMPUTED_VALUE"""),"Ms.")</f>
        <v>Ms.</v>
      </c>
      <c r="C687" t="str">
        <f>IFERROR(__xludf.DUMMYFUNCTION("""COMPUTED_VALUE"""),"Natnicha")</f>
        <v>Natnicha</v>
      </c>
      <c r="D687" t="str">
        <f>IFERROR(__xludf.DUMMYFUNCTION("""COMPUTED_VALUE"""),"Chumnuan")</f>
        <v>Chumnuan</v>
      </c>
      <c r="E687" t="str">
        <f>IFERROR(__xludf.DUMMYFUNCTION("""COMPUTED_VALUE"""),"Natnicha Chumnuan")</f>
        <v>Natnicha Chumnuan</v>
      </c>
      <c r="F687" t="str">
        <f>IFERROR(__xludf.DUMMYFUNCTION("""COMPUTED_VALUE"""),"นางสาว")</f>
        <v>นางสาว</v>
      </c>
      <c r="G687" t="str">
        <f>IFERROR(__xludf.DUMMYFUNCTION("""COMPUTED_VALUE"""),"ณัฐณิชา")</f>
        <v>ณัฐณิชา</v>
      </c>
      <c r="H687" t="str">
        <f>IFERROR(__xludf.DUMMYFUNCTION("""COMPUTED_VALUE"""),"ชุมนวน")</f>
        <v>ชุมนวน</v>
      </c>
      <c r="I687" t="str">
        <f>IFERROR(__xludf.DUMMYFUNCTION("""COMPUTED_VALUE"""),"ณัฐณิชา ชุมนวน")</f>
        <v>ณัฐณิชา ชุมนวน</v>
      </c>
      <c r="J687" t="str">
        <f>IFERROR(__xludf.DUMMYFUNCTION("""COMPUTED_VALUE"""),"Gam/แก้ม")</f>
        <v>Gam/แก้ม</v>
      </c>
      <c r="K687" t="str">
        <f>IFERROR(__xludf.DUMMYFUNCTION("""COMPUTED_VALUE"""),"Cabin Crew")</f>
        <v>Cabin Crew</v>
      </c>
      <c r="L687" t="str">
        <f>IFERROR(__xludf.DUMMYFUNCTION("""COMPUTED_VALUE"""),"DMK")</f>
        <v>DMK</v>
      </c>
      <c r="M687" s="145" t="str">
        <f>IFERROR(__xludf.DUMMYFUNCTION("""COMPUTED_VALUE"""),"Kor Home")</f>
        <v>Kor Home</v>
      </c>
      <c r="N687" t="str">
        <f>IFERROR(__xludf.DUMMYFUNCTION("""COMPUTED_VALUE"""),"Active")</f>
        <v>Active</v>
      </c>
      <c r="P687" s="143">
        <f>IFERROR(__xludf.DUMMYFUNCTION("""COMPUTED_VALUE"""),33178.0)</f>
        <v>33178</v>
      </c>
      <c r="Q687" s="146" t="str">
        <f>IFERROR(__xludf.DUMMYFUNCTION("""COMPUTED_VALUE"""),"093-1407197")</f>
        <v>093-1407197</v>
      </c>
      <c r="R687" s="147" t="str">
        <f>IFERROR(__xludf.DUMMYFUNCTION("""COMPUTED_VALUE"""),"2 8399 00022 88 1")</f>
        <v>2 8399 00022 88 1</v>
      </c>
      <c r="S687" t="str">
        <f>IFERROR(__xludf.DUMMYFUNCTION("""COMPUTED_VALUE"""),"AC5771888")</f>
        <v>AC5771888</v>
      </c>
      <c r="T687" s="148">
        <f>IFERROR(__xludf.DUMMYFUNCTION("""COMPUTED_VALUE"""),45215.0)</f>
        <v>45215</v>
      </c>
      <c r="U687" s="148">
        <f>IFERROR(__xludf.DUMMYFUNCTION("""COMPUTED_VALUE"""),48867.0)</f>
        <v>48867</v>
      </c>
      <c r="V687" s="149">
        <f>IFERROR(__xludf.DUMMYFUNCTION("""COMPUTED_VALUE"""),48684.0)</f>
        <v>48684</v>
      </c>
      <c r="W687" t="str">
        <f>IFERROR(__xludf.DUMMYFUNCTION("""COMPUTED_VALUE"""),"ปลอดภัย")</f>
        <v>ปลอดภัย</v>
      </c>
      <c r="X687" t="str">
        <f>IFERROR(__xludf.DUMMYFUNCTION("""COMPUTED_VALUE"""),"Phuket Province")</f>
        <v>Phuket Province</v>
      </c>
      <c r="Y687" t="str">
        <f>IFERROR(__xludf.DUMMYFUNCTION("""COMPUTED_VALUE"""),"Phuket")</f>
        <v>Phuket</v>
      </c>
      <c r="Z687" t="str">
        <f>IFERROR(__xludf.DUMMYFUNCTION("""COMPUTED_VALUE"""),"081 477 4454")</f>
        <v>081 477 4454</v>
      </c>
      <c r="AA687" t="str">
        <f>IFERROR(__xludf.DUMMYFUNCTION("""COMPUTED_VALUE"""),"Varaporn Rattanapatoomwong(Mother)")</f>
        <v>Varaporn Rattanapatoomwong(Mother)</v>
      </c>
      <c r="AB687" t="str">
        <f>IFERROR(__xludf.DUMMYFUNCTION("""COMPUTED_VALUE"""),"natnichac@airasia.com")</f>
        <v>natnichac@airasia.com</v>
      </c>
    </row>
    <row r="688">
      <c r="A688">
        <f>IFERROR(__xludf.DUMMYFUNCTION("""COMPUTED_VALUE"""),1007181.0)</f>
        <v>1007181</v>
      </c>
      <c r="B688" t="str">
        <f>IFERROR(__xludf.DUMMYFUNCTION("""COMPUTED_VALUE"""),"Ms.")</f>
        <v>Ms.</v>
      </c>
      <c r="C688" t="str">
        <f>IFERROR(__xludf.DUMMYFUNCTION("""COMPUTED_VALUE"""),"Warisara")</f>
        <v>Warisara</v>
      </c>
      <c r="D688" t="str">
        <f>IFERROR(__xludf.DUMMYFUNCTION("""COMPUTED_VALUE"""),"Sutta")</f>
        <v>Sutta</v>
      </c>
      <c r="E688" t="str">
        <f>IFERROR(__xludf.DUMMYFUNCTION("""COMPUTED_VALUE"""),"Warisara Sutta")</f>
        <v>Warisara Sutta</v>
      </c>
      <c r="F688" t="str">
        <f>IFERROR(__xludf.DUMMYFUNCTION("""COMPUTED_VALUE"""),"นางสาว")</f>
        <v>นางสาว</v>
      </c>
      <c r="G688" t="str">
        <f>IFERROR(__xludf.DUMMYFUNCTION("""COMPUTED_VALUE"""),"วริศรา")</f>
        <v>วริศรา</v>
      </c>
      <c r="H688" t="str">
        <f>IFERROR(__xludf.DUMMYFUNCTION("""COMPUTED_VALUE"""),"สุดตา")</f>
        <v>สุดตา</v>
      </c>
      <c r="I688" t="str">
        <f>IFERROR(__xludf.DUMMYFUNCTION("""COMPUTED_VALUE"""),"วริศรา สุดตา")</f>
        <v>วริศรา สุดตา</v>
      </c>
      <c r="J688" t="str">
        <f>IFERROR(__xludf.DUMMYFUNCTION("""COMPUTED_VALUE"""),"Mc/แมค")</f>
        <v>Mc/แมค</v>
      </c>
      <c r="K688" t="str">
        <f>IFERROR(__xludf.DUMMYFUNCTION("""COMPUTED_VALUE"""),"Senior Cabin Crew")</f>
        <v>Senior Cabin Crew</v>
      </c>
      <c r="L688" t="str">
        <f>IFERROR(__xludf.DUMMYFUNCTION("""COMPUTED_VALUE"""),"DMK")</f>
        <v>DMK</v>
      </c>
      <c r="M688" s="145" t="str">
        <f>IFERROR(__xludf.DUMMYFUNCTION("""COMPUTED_VALUE"""),"Por+ Home")</f>
        <v>Por+ Home</v>
      </c>
      <c r="N688" t="str">
        <f>IFERROR(__xludf.DUMMYFUNCTION("""COMPUTED_VALUE"""),"Active")</f>
        <v>Active</v>
      </c>
      <c r="P688" s="143">
        <f>IFERROR(__xludf.DUMMYFUNCTION("""COMPUTED_VALUE"""),33555.0)</f>
        <v>33555</v>
      </c>
      <c r="Q688" s="146" t="str">
        <f>IFERROR(__xludf.DUMMYFUNCTION("""COMPUTED_VALUE"""),"089-5249538")</f>
        <v>089-5249538</v>
      </c>
      <c r="R688" s="147" t="str">
        <f>IFERROR(__xludf.DUMMYFUNCTION("""COMPUTED_VALUE"""),"1 1031 00094 80 5")</f>
        <v>1 1031 00094 80 5</v>
      </c>
      <c r="S688" t="str">
        <f>IFERROR(__xludf.DUMMYFUNCTION("""COMPUTED_VALUE"""),"AC2966734")</f>
        <v>AC2966734</v>
      </c>
      <c r="T688" s="148">
        <f>IFERROR(__xludf.DUMMYFUNCTION("""COMPUTED_VALUE"""),44643.0)</f>
        <v>44643</v>
      </c>
      <c r="U688" s="148">
        <f>IFERROR(__xludf.DUMMYFUNCTION("""COMPUTED_VALUE"""),48295.0)</f>
        <v>48295</v>
      </c>
      <c r="V688" s="149">
        <f>IFERROR(__xludf.DUMMYFUNCTION("""COMPUTED_VALUE"""),48113.0)</f>
        <v>48113</v>
      </c>
      <c r="W688" t="str">
        <f>IFERROR(__xludf.DUMMYFUNCTION("""COMPUTED_VALUE"""),"ปลอดภัย")</f>
        <v>ปลอดภัย</v>
      </c>
      <c r="X688" t="str">
        <f>IFERROR(__xludf.DUMMYFUNCTION("""COMPUTED_VALUE"""),"Bangkok")</f>
        <v>Bangkok</v>
      </c>
      <c r="Y688" t="str">
        <f>IFERROR(__xludf.DUMMYFUNCTION("""COMPUTED_VALUE"""),"Donmueang")</f>
        <v>Donmueang</v>
      </c>
      <c r="Z688" t="str">
        <f>IFERROR(__xludf.DUMMYFUNCTION("""COMPUTED_VALUE"""),"093 186 2012")</f>
        <v>093 186 2012</v>
      </c>
      <c r="AA688" t="str">
        <f>IFERROR(__xludf.DUMMYFUNCTION("""COMPUTED_VALUE"""),"Chanya Sudta(Mother)")</f>
        <v>Chanya Sudta(Mother)</v>
      </c>
      <c r="AB688" t="str">
        <f>IFERROR(__xludf.DUMMYFUNCTION("""COMPUTED_VALUE"""),"warisaras@airasia.com")</f>
        <v>warisaras@airasia.com</v>
      </c>
    </row>
    <row r="689">
      <c r="A689">
        <f>IFERROR(__xludf.DUMMYFUNCTION("""COMPUTED_VALUE"""),1014308.0)</f>
        <v>1014308</v>
      </c>
      <c r="B689" t="str">
        <f>IFERROR(__xludf.DUMMYFUNCTION("""COMPUTED_VALUE"""),"Ms.")</f>
        <v>Ms.</v>
      </c>
      <c r="C689" t="str">
        <f>IFERROR(__xludf.DUMMYFUNCTION("""COMPUTED_VALUE"""),"Asama")</f>
        <v>Asama</v>
      </c>
      <c r="D689" t="str">
        <f>IFERROR(__xludf.DUMMYFUNCTION("""COMPUTED_VALUE"""),"Thunyavacharakul")</f>
        <v>Thunyavacharakul</v>
      </c>
      <c r="E689" t="str">
        <f>IFERROR(__xludf.DUMMYFUNCTION("""COMPUTED_VALUE"""),"Asama Thunyavacharakul")</f>
        <v>Asama Thunyavacharakul</v>
      </c>
      <c r="F689" t="str">
        <f>IFERROR(__xludf.DUMMYFUNCTION("""COMPUTED_VALUE"""),"นางสาว")</f>
        <v>นางสาว</v>
      </c>
      <c r="G689" t="str">
        <f>IFERROR(__xludf.DUMMYFUNCTION("""COMPUTED_VALUE"""),"อสมา")</f>
        <v>อสมา</v>
      </c>
      <c r="H689" t="str">
        <f>IFERROR(__xludf.DUMMYFUNCTION("""COMPUTED_VALUE"""),"ธัญญวัชรกุล")</f>
        <v>ธัญญวัชรกุล</v>
      </c>
      <c r="I689" t="str">
        <f>IFERROR(__xludf.DUMMYFUNCTION("""COMPUTED_VALUE"""),"อสมา ธัญญวัชรกุล")</f>
        <v>อสมา ธัญญวัชรกุล</v>
      </c>
      <c r="J689" t="str">
        <f>IFERROR(__xludf.DUMMYFUNCTION("""COMPUTED_VALUE"""),"Jha/จ๋า")</f>
        <v>Jha/จ๋า</v>
      </c>
      <c r="K689" t="str">
        <f>IFERROR(__xludf.DUMMYFUNCTION("""COMPUTED_VALUE"""),"Cabin Crew")</f>
        <v>Cabin Crew</v>
      </c>
      <c r="L689" t="str">
        <f>IFERROR(__xludf.DUMMYFUNCTION("""COMPUTED_VALUE"""),"DMK")</f>
        <v>DMK</v>
      </c>
      <c r="M689" s="145" t="str">
        <f>IFERROR(__xludf.DUMMYFUNCTION("""COMPUTED_VALUE"""),"Up Home")</f>
        <v>Up Home</v>
      </c>
      <c r="N689" t="str">
        <f>IFERROR(__xludf.DUMMYFUNCTION("""COMPUTED_VALUE"""),"Active")</f>
        <v>Active</v>
      </c>
      <c r="O689" t="str">
        <f>IFERROR(__xludf.DUMMYFUNCTION("""COMPUTED_VALUE"""),"Chinese Speaking")</f>
        <v>Chinese Speaking</v>
      </c>
      <c r="P689" s="143">
        <f>IFERROR(__xludf.DUMMYFUNCTION("""COMPUTED_VALUE"""),32961.0)</f>
        <v>32961</v>
      </c>
      <c r="Q689" s="146" t="str">
        <f>IFERROR(__xludf.DUMMYFUNCTION("""COMPUTED_VALUE"""),"081-6946315")</f>
        <v>081-6946315</v>
      </c>
      <c r="R689" s="147" t="str">
        <f>IFERROR(__xludf.DUMMYFUNCTION("""COMPUTED_VALUE"""),"1 1004 00447 59 0")</f>
        <v>1 1004 00447 59 0</v>
      </c>
      <c r="S689" t="str">
        <f>IFERROR(__xludf.DUMMYFUNCTION("""COMPUTED_VALUE"""),"AC2881472")</f>
        <v>AC2881472</v>
      </c>
      <c r="T689" s="148">
        <f>IFERROR(__xludf.DUMMYFUNCTION("""COMPUTED_VALUE"""),44609.0)</f>
        <v>44609</v>
      </c>
      <c r="U689" s="148">
        <f>IFERROR(__xludf.DUMMYFUNCTION("""COMPUTED_VALUE"""),48260.0)</f>
        <v>48260</v>
      </c>
      <c r="V689" s="149">
        <f>IFERROR(__xludf.DUMMYFUNCTION("""COMPUTED_VALUE"""),48076.0)</f>
        <v>48076</v>
      </c>
      <c r="W689" t="str">
        <f>IFERROR(__xludf.DUMMYFUNCTION("""COMPUTED_VALUE"""),"ปลอดภัย")</f>
        <v>ปลอดภัย</v>
      </c>
      <c r="X689" t="str">
        <f>IFERROR(__xludf.DUMMYFUNCTION("""COMPUTED_VALUE"""),"Bangkok")</f>
        <v>Bangkok</v>
      </c>
      <c r="Y689" t="str">
        <f>IFERROR(__xludf.DUMMYFUNCTION("""COMPUTED_VALUE"""),"Bangkhen")</f>
        <v>Bangkhen</v>
      </c>
      <c r="Z689" t="str">
        <f>IFERROR(__xludf.DUMMYFUNCTION("""COMPUTED_VALUE"""),"081 645 5808")</f>
        <v>081 645 5808</v>
      </c>
      <c r="AA689" t="str">
        <f>IFERROR(__xludf.DUMMYFUNCTION("""COMPUTED_VALUE"""),"Sopha Thunyavacharakul (Mother)")</f>
        <v>Sopha Thunyavacharakul (Mother)</v>
      </c>
      <c r="AB689" t="str">
        <f>IFERROR(__xludf.DUMMYFUNCTION("""COMPUTED_VALUE"""),"asamat@airasia.com")</f>
        <v>asamat@airasia.com</v>
      </c>
    </row>
    <row r="690">
      <c r="A690">
        <f>IFERROR(__xludf.DUMMYFUNCTION("""COMPUTED_VALUE"""),1014312.0)</f>
        <v>1014312</v>
      </c>
      <c r="B690" t="str">
        <f>IFERROR(__xludf.DUMMYFUNCTION("""COMPUTED_VALUE"""),"Ms.")</f>
        <v>Ms.</v>
      </c>
      <c r="C690" t="str">
        <f>IFERROR(__xludf.DUMMYFUNCTION("""COMPUTED_VALUE"""),"Chadaporn")</f>
        <v>Chadaporn</v>
      </c>
      <c r="D690" t="str">
        <f>IFERROR(__xludf.DUMMYFUNCTION("""COMPUTED_VALUE"""),"Pliankham")</f>
        <v>Pliankham</v>
      </c>
      <c r="E690" t="str">
        <f>IFERROR(__xludf.DUMMYFUNCTION("""COMPUTED_VALUE"""),"Chadaporn Pliankham")</f>
        <v>Chadaporn Pliankham</v>
      </c>
      <c r="F690" t="str">
        <f>IFERROR(__xludf.DUMMYFUNCTION("""COMPUTED_VALUE"""),"นางสาว")</f>
        <v>นางสาว</v>
      </c>
      <c r="G690" t="str">
        <f>IFERROR(__xludf.DUMMYFUNCTION("""COMPUTED_VALUE"""),"ชฎาพร")</f>
        <v>ชฎาพร</v>
      </c>
      <c r="H690" t="str">
        <f>IFERROR(__xludf.DUMMYFUNCTION("""COMPUTED_VALUE"""),"เปลี่ยนขำ")</f>
        <v>เปลี่ยนขำ</v>
      </c>
      <c r="I690" t="str">
        <f>IFERROR(__xludf.DUMMYFUNCTION("""COMPUTED_VALUE"""),"ชฎาพร เปลี่ยนขำ")</f>
        <v>ชฎาพร เปลี่ยนขำ</v>
      </c>
      <c r="J690" t="str">
        <f>IFERROR(__xludf.DUMMYFUNCTION("""COMPUTED_VALUE"""),"Whan/หวาน")</f>
        <v>Whan/หวาน</v>
      </c>
      <c r="K690" t="str">
        <f>IFERROR(__xludf.DUMMYFUNCTION("""COMPUTED_VALUE"""),"Cabin Crew")</f>
        <v>Cabin Crew</v>
      </c>
      <c r="L690" t="str">
        <f>IFERROR(__xludf.DUMMYFUNCTION("""COMPUTED_VALUE"""),"DMK")</f>
        <v>DMK</v>
      </c>
      <c r="M690" s="145" t="str">
        <f>IFERROR(__xludf.DUMMYFUNCTION("""COMPUTED_VALUE"""),"Namfon Home")</f>
        <v>Namfon Home</v>
      </c>
      <c r="N690" t="str">
        <f>IFERROR(__xludf.DUMMYFUNCTION("""COMPUTED_VALUE"""),"Active")</f>
        <v>Active</v>
      </c>
      <c r="O690" t="str">
        <f>IFERROR(__xludf.DUMMYFUNCTION("""COMPUTED_VALUE"""),"Chinese Speaking")</f>
        <v>Chinese Speaking</v>
      </c>
      <c r="P690" s="143">
        <f>IFERROR(__xludf.DUMMYFUNCTION("""COMPUTED_VALUE"""),32736.0)</f>
        <v>32736</v>
      </c>
      <c r="Q690" s="146" t="str">
        <f>IFERROR(__xludf.DUMMYFUNCTION("""COMPUTED_VALUE"""),"095-551-4995")</f>
        <v>095-551-4995</v>
      </c>
      <c r="R690" s="147" t="str">
        <f>IFERROR(__xludf.DUMMYFUNCTION("""COMPUTED_VALUE"""),"1 7499 00186 98 4")</f>
        <v>1 7499 00186 98 4</v>
      </c>
      <c r="S690" t="str">
        <f>IFERROR(__xludf.DUMMYFUNCTION("""COMPUTED_VALUE"""),"AC6681913")</f>
        <v>AC6681913</v>
      </c>
      <c r="T690" s="148">
        <f>IFERROR(__xludf.DUMMYFUNCTION("""COMPUTED_VALUE"""),45404.0)</f>
        <v>45404</v>
      </c>
      <c r="U690" s="148">
        <f>IFERROR(__xludf.DUMMYFUNCTION("""COMPUTED_VALUE"""),49055.0)</f>
        <v>49055</v>
      </c>
      <c r="V690" s="149">
        <f>IFERROR(__xludf.DUMMYFUNCTION("""COMPUTED_VALUE"""),48873.0)</f>
        <v>48873</v>
      </c>
      <c r="W690" t="str">
        <f>IFERROR(__xludf.DUMMYFUNCTION("""COMPUTED_VALUE"""),"ปลอดภัย")</f>
        <v>ปลอดภัย</v>
      </c>
      <c r="X690" t="str">
        <f>IFERROR(__xludf.DUMMYFUNCTION("""COMPUTED_VALUE"""),"Samut Sakhon Province")</f>
        <v>Samut Sakhon Province</v>
      </c>
      <c r="Y690" t="str">
        <f>IFERROR(__xludf.DUMMYFUNCTION("""COMPUTED_VALUE"""),"Rama2")</f>
        <v>Rama2</v>
      </c>
      <c r="Z690" t="str">
        <f>IFERROR(__xludf.DUMMYFUNCTION("""COMPUTED_VALUE"""),"081 489 4268")</f>
        <v>081 489 4268</v>
      </c>
      <c r="AA690" t="str">
        <f>IFERROR(__xludf.DUMMYFUNCTION("""COMPUTED_VALUE"""),"Chatchawan Pliankham (Father)")</f>
        <v>Chatchawan Pliankham (Father)</v>
      </c>
      <c r="AB690" t="str">
        <f>IFERROR(__xludf.DUMMYFUNCTION("""COMPUTED_VALUE"""),"chadapornl@airasia.com")</f>
        <v>chadapornl@airasia.com</v>
      </c>
    </row>
    <row r="691">
      <c r="A691">
        <f>IFERROR(__xludf.DUMMYFUNCTION("""COMPUTED_VALUE"""),1014313.0)</f>
        <v>1014313</v>
      </c>
      <c r="B691" t="str">
        <f>IFERROR(__xludf.DUMMYFUNCTION("""COMPUTED_VALUE"""),"Mr.")</f>
        <v>Mr.</v>
      </c>
      <c r="C691" t="str">
        <f>IFERROR(__xludf.DUMMYFUNCTION("""COMPUTED_VALUE"""),"Chatchon")</f>
        <v>Chatchon</v>
      </c>
      <c r="D691" t="str">
        <f>IFERROR(__xludf.DUMMYFUNCTION("""COMPUTED_VALUE"""),"Kawinkul")</f>
        <v>Kawinkul</v>
      </c>
      <c r="E691" t="str">
        <f>IFERROR(__xludf.DUMMYFUNCTION("""COMPUTED_VALUE"""),"Chatchon Kawinkul")</f>
        <v>Chatchon Kawinkul</v>
      </c>
      <c r="F691" t="str">
        <f>IFERROR(__xludf.DUMMYFUNCTION("""COMPUTED_VALUE"""),"นาย")</f>
        <v>นาย</v>
      </c>
      <c r="G691" t="str">
        <f>IFERROR(__xludf.DUMMYFUNCTION("""COMPUTED_VALUE"""),"ชัชชล")</f>
        <v>ชัชชล</v>
      </c>
      <c r="H691" t="str">
        <f>IFERROR(__xludf.DUMMYFUNCTION("""COMPUTED_VALUE"""),"กวินกุล")</f>
        <v>กวินกุล</v>
      </c>
      <c r="I691" t="str">
        <f>IFERROR(__xludf.DUMMYFUNCTION("""COMPUTED_VALUE"""),"ชัชชล กวินกุล")</f>
        <v>ชัชชล กวินกุล</v>
      </c>
      <c r="J691" t="str">
        <f>IFERROR(__xludf.DUMMYFUNCTION("""COMPUTED_VALUE"""),"Dees/ดีส")</f>
        <v>Dees/ดีส</v>
      </c>
      <c r="K691" t="str">
        <f>IFERROR(__xludf.DUMMYFUNCTION("""COMPUTED_VALUE"""),"Cabin Crew - CNX")</f>
        <v>Cabin Crew - CNX</v>
      </c>
      <c r="L691" t="str">
        <f>IFERROR(__xludf.DUMMYFUNCTION("""COMPUTED_VALUE"""),"CNX")</f>
        <v>CNX</v>
      </c>
      <c r="M691" s="145" t="str">
        <f>IFERROR(__xludf.DUMMYFUNCTION("""COMPUTED_VALUE"""),"Up Home")</f>
        <v>Up Home</v>
      </c>
      <c r="N691" t="str">
        <f>IFERROR(__xludf.DUMMYFUNCTION("""COMPUTED_VALUE"""),"Active")</f>
        <v>Active</v>
      </c>
      <c r="O691" t="str">
        <f>IFERROR(__xludf.DUMMYFUNCTION("""COMPUTED_VALUE"""),"Chinese Speaking")</f>
        <v>Chinese Speaking</v>
      </c>
      <c r="P691" s="143">
        <f>IFERROR(__xludf.DUMMYFUNCTION("""COMPUTED_VALUE"""),34040.0)</f>
        <v>34040</v>
      </c>
      <c r="Q691" s="146" t="str">
        <f>IFERROR(__xludf.DUMMYFUNCTION("""COMPUTED_VALUE"""),"087-3023673")</f>
        <v>087-3023673</v>
      </c>
      <c r="R691" s="147" t="str">
        <f>IFERROR(__xludf.DUMMYFUNCTION("""COMPUTED_VALUE"""),"1 5099 01271 22 7")</f>
        <v>1 5099 01271 22 7</v>
      </c>
      <c r="S691" t="str">
        <f>IFERROR(__xludf.DUMMYFUNCTION("""COMPUTED_VALUE"""),"AC3662236")</f>
        <v>AC3662236</v>
      </c>
      <c r="T691" s="148">
        <f>IFERROR(__xludf.DUMMYFUNCTION("""COMPUTED_VALUE"""),44764.0)</f>
        <v>44764</v>
      </c>
      <c r="U691" s="148">
        <f>IFERROR(__xludf.DUMMYFUNCTION("""COMPUTED_VALUE"""),48416.0)</f>
        <v>48416</v>
      </c>
      <c r="V691" s="149">
        <f>IFERROR(__xludf.DUMMYFUNCTION("""COMPUTED_VALUE"""),48234.0)</f>
        <v>48234</v>
      </c>
      <c r="W691" t="str">
        <f>IFERROR(__xludf.DUMMYFUNCTION("""COMPUTED_VALUE"""),"ปลอดภัย")</f>
        <v>ปลอดภัย</v>
      </c>
      <c r="X691" t="str">
        <f>IFERROR(__xludf.DUMMYFUNCTION("""COMPUTED_VALUE"""),"Chiang Mai Province")</f>
        <v>Chiang Mai Province</v>
      </c>
      <c r="Y691" t="str">
        <f>IFERROR(__xludf.DUMMYFUNCTION("""COMPUTED_VALUE"""),"Chiang Mai")</f>
        <v>Chiang Mai</v>
      </c>
      <c r="Z691" t="str">
        <f>IFERROR(__xludf.DUMMYFUNCTION("""COMPUTED_VALUE"""),"087 182 6251")</f>
        <v>087 182 6251</v>
      </c>
      <c r="AA691" t="str">
        <f>IFERROR(__xludf.DUMMYFUNCTION("""COMPUTED_VALUE"""),"Ornanong Kawinkul (Mother)")</f>
        <v>Ornanong Kawinkul (Mother)</v>
      </c>
      <c r="AB691" t="str">
        <f>IFERROR(__xludf.DUMMYFUNCTION("""COMPUTED_VALUE"""),"chatchonk@airasia.com")</f>
        <v>chatchonk@airasia.com</v>
      </c>
    </row>
    <row r="692">
      <c r="A692">
        <f>IFERROR(__xludf.DUMMYFUNCTION("""COMPUTED_VALUE"""),1014316.0)</f>
        <v>1014316</v>
      </c>
      <c r="B692" t="str">
        <f>IFERROR(__xludf.DUMMYFUNCTION("""COMPUTED_VALUE"""),"Mr.")</f>
        <v>Mr.</v>
      </c>
      <c r="C692" t="str">
        <f>IFERROR(__xludf.DUMMYFUNCTION("""COMPUTED_VALUE"""),"Eakapol")</f>
        <v>Eakapol</v>
      </c>
      <c r="D692" t="str">
        <f>IFERROR(__xludf.DUMMYFUNCTION("""COMPUTED_VALUE"""),"Tuncharoen")</f>
        <v>Tuncharoen</v>
      </c>
      <c r="E692" t="str">
        <f>IFERROR(__xludf.DUMMYFUNCTION("""COMPUTED_VALUE"""),"Eakapol Tuncharoen")</f>
        <v>Eakapol Tuncharoen</v>
      </c>
      <c r="F692" t="str">
        <f>IFERROR(__xludf.DUMMYFUNCTION("""COMPUTED_VALUE"""),"นาย")</f>
        <v>นาย</v>
      </c>
      <c r="G692" t="str">
        <f>IFERROR(__xludf.DUMMYFUNCTION("""COMPUTED_VALUE"""),"เอกพล")</f>
        <v>เอกพล</v>
      </c>
      <c r="H692" t="str">
        <f>IFERROR(__xludf.DUMMYFUNCTION("""COMPUTED_VALUE"""),"ตันเจริญ")</f>
        <v>ตันเจริญ</v>
      </c>
      <c r="I692" t="str">
        <f>IFERROR(__xludf.DUMMYFUNCTION("""COMPUTED_VALUE"""),"เอกพล ตันเจริญ")</f>
        <v>เอกพล ตันเจริญ</v>
      </c>
      <c r="J692" t="str">
        <f>IFERROR(__xludf.DUMMYFUNCTION("""COMPUTED_VALUE"""),"Golf/กอล์ฟ")</f>
        <v>Golf/กอล์ฟ</v>
      </c>
      <c r="K692" t="str">
        <f>IFERROR(__xludf.DUMMYFUNCTION("""COMPUTED_VALUE"""),"Senior Cabin Crew")</f>
        <v>Senior Cabin Crew</v>
      </c>
      <c r="L692" t="str">
        <f>IFERROR(__xludf.DUMMYFUNCTION("""COMPUTED_VALUE"""),"DMK")</f>
        <v>DMK</v>
      </c>
      <c r="M692" s="145" t="str">
        <f>IFERROR(__xludf.DUMMYFUNCTION("""COMPUTED_VALUE"""),"Um Home")</f>
        <v>Um Home</v>
      </c>
      <c r="N692" t="str">
        <f>IFERROR(__xludf.DUMMYFUNCTION("""COMPUTED_VALUE"""),"V/LWP")</f>
        <v>V/LWP</v>
      </c>
      <c r="O692" t="str">
        <f>IFERROR(__xludf.DUMMYFUNCTION("""COMPUTED_VALUE"""),"Chinese Speaking")</f>
        <v>Chinese Speaking</v>
      </c>
      <c r="P692" s="143">
        <f>IFERROR(__xludf.DUMMYFUNCTION("""COMPUTED_VALUE"""),33196.0)</f>
        <v>33196</v>
      </c>
      <c r="Q692" s="146" t="str">
        <f>IFERROR(__xludf.DUMMYFUNCTION("""COMPUTED_VALUE"""),"065-192-8935")</f>
        <v>065-192-8935</v>
      </c>
      <c r="R692" s="147" t="str">
        <f>IFERROR(__xludf.DUMMYFUNCTION("""COMPUTED_VALUE"""),"1 1008 00650 01 5")</f>
        <v>1 1008 00650 01 5</v>
      </c>
      <c r="S692" t="str">
        <f>IFERROR(__xludf.DUMMYFUNCTION("""COMPUTED_VALUE"""),"AC4644554")</f>
        <v>AC4644554</v>
      </c>
      <c r="T692" s="148">
        <f>IFERROR(__xludf.DUMMYFUNCTION("""COMPUTED_VALUE"""),44994.0)</f>
        <v>44994</v>
      </c>
      <c r="U692" s="148">
        <f>IFERROR(__xludf.DUMMYFUNCTION("""COMPUTED_VALUE"""),48646.0)</f>
        <v>48646</v>
      </c>
      <c r="V692" s="149">
        <f>IFERROR(__xludf.DUMMYFUNCTION("""COMPUTED_VALUE"""),48465.0)</f>
        <v>48465</v>
      </c>
      <c r="W692" t="str">
        <f>IFERROR(__xludf.DUMMYFUNCTION("""COMPUTED_VALUE"""),"ปลอดภัย")</f>
        <v>ปลอดภัย</v>
      </c>
      <c r="X692" t="str">
        <f>IFERROR(__xludf.DUMMYFUNCTION("""COMPUTED_VALUE"""),"Bangkok")</f>
        <v>Bangkok</v>
      </c>
      <c r="Y692" t="str">
        <f>IFERROR(__xludf.DUMMYFUNCTION("""COMPUTED_VALUE"""),"PatumThani")</f>
        <v>PatumThani</v>
      </c>
      <c r="Z692" t="str">
        <f>IFERROR(__xludf.DUMMYFUNCTION("""COMPUTED_VALUE"""),"086 411 4103")</f>
        <v>086 411 4103</v>
      </c>
      <c r="AA692" t="str">
        <f>IFERROR(__xludf.DUMMYFUNCTION("""COMPUTED_VALUE"""),"Kulisara Pakkingmuang(Mother)")</f>
        <v>Kulisara Pakkingmuang(Mother)</v>
      </c>
      <c r="AB692" t="str">
        <f>IFERROR(__xludf.DUMMYFUNCTION("""COMPUTED_VALUE"""),"eakapolt@airasia.com")</f>
        <v>eakapolt@airasia.com</v>
      </c>
    </row>
    <row r="693">
      <c r="A693">
        <f>IFERROR(__xludf.DUMMYFUNCTION("""COMPUTED_VALUE"""),1014327.0)</f>
        <v>1014327</v>
      </c>
      <c r="B693" t="str">
        <f>IFERROR(__xludf.DUMMYFUNCTION("""COMPUTED_VALUE"""),"Mr.")</f>
        <v>Mr.</v>
      </c>
      <c r="C693" t="str">
        <f>IFERROR(__xludf.DUMMYFUNCTION("""COMPUTED_VALUE"""),"Jirapong")</f>
        <v>Jirapong</v>
      </c>
      <c r="D693" t="str">
        <f>IFERROR(__xludf.DUMMYFUNCTION("""COMPUTED_VALUE"""),"Paisarnsupakit")</f>
        <v>Paisarnsupakit</v>
      </c>
      <c r="E693" t="str">
        <f>IFERROR(__xludf.DUMMYFUNCTION("""COMPUTED_VALUE"""),"Jirapong Paisarnsupakit")</f>
        <v>Jirapong Paisarnsupakit</v>
      </c>
      <c r="F693" t="str">
        <f>IFERROR(__xludf.DUMMYFUNCTION("""COMPUTED_VALUE"""),"นาย")</f>
        <v>นาย</v>
      </c>
      <c r="G693" t="str">
        <f>IFERROR(__xludf.DUMMYFUNCTION("""COMPUTED_VALUE"""),"จิรพงษ์")</f>
        <v>จิรพงษ์</v>
      </c>
      <c r="H693" t="str">
        <f>IFERROR(__xludf.DUMMYFUNCTION("""COMPUTED_VALUE"""),"ไพศาลศุภกิจ")</f>
        <v>ไพศาลศุภกิจ</v>
      </c>
      <c r="I693" t="str">
        <f>IFERROR(__xludf.DUMMYFUNCTION("""COMPUTED_VALUE"""),"จิรพงษ์ ไพศาลศุภกิจ")</f>
        <v>จิรพงษ์ ไพศาลศุภกิจ</v>
      </c>
      <c r="J693" t="str">
        <f>IFERROR(__xludf.DUMMYFUNCTION("""COMPUTED_VALUE"""),"Kai/ไก่")</f>
        <v>Kai/ไก่</v>
      </c>
      <c r="K693" t="str">
        <f>IFERROR(__xludf.DUMMYFUNCTION("""COMPUTED_VALUE"""),"Cabin Crew - CNX")</f>
        <v>Cabin Crew - CNX</v>
      </c>
      <c r="L693" t="str">
        <f>IFERROR(__xludf.DUMMYFUNCTION("""COMPUTED_VALUE"""),"CNX")</f>
        <v>CNX</v>
      </c>
      <c r="M693" s="145" t="str">
        <f>IFERROR(__xludf.DUMMYFUNCTION("""COMPUTED_VALUE"""),"Up Home")</f>
        <v>Up Home</v>
      </c>
      <c r="N693" t="str">
        <f>IFERROR(__xludf.DUMMYFUNCTION("""COMPUTED_VALUE"""),"Active")</f>
        <v>Active</v>
      </c>
      <c r="O693" t="str">
        <f>IFERROR(__xludf.DUMMYFUNCTION("""COMPUTED_VALUE"""),"Chinese Speaking")</f>
        <v>Chinese Speaking</v>
      </c>
      <c r="P693" s="143">
        <f>IFERROR(__xludf.DUMMYFUNCTION("""COMPUTED_VALUE"""),33559.0)</f>
        <v>33559</v>
      </c>
      <c r="Q693" s="146" t="str">
        <f>IFERROR(__xludf.DUMMYFUNCTION("""COMPUTED_VALUE"""),"062-3895515")</f>
        <v>062-3895515</v>
      </c>
      <c r="R693" s="147" t="str">
        <f>IFERROR(__xludf.DUMMYFUNCTION("""COMPUTED_VALUE"""),"1 5099 01092 67 5")</f>
        <v>1 5099 01092 67 5</v>
      </c>
      <c r="S693" t="str">
        <f>IFERROR(__xludf.DUMMYFUNCTION("""COMPUTED_VALUE"""),"AC7933425")</f>
        <v>AC7933425</v>
      </c>
      <c r="T693" s="148">
        <f>IFERROR(__xludf.DUMMYFUNCTION("""COMPUTED_VALUE"""),45667.0)</f>
        <v>45667</v>
      </c>
      <c r="U693" s="148">
        <f>IFERROR(__xludf.DUMMYFUNCTION("""COMPUTED_VALUE"""),49318.0)</f>
        <v>49318</v>
      </c>
      <c r="V693" s="149">
        <f>IFERROR(__xludf.DUMMYFUNCTION("""COMPUTED_VALUE"""),49134.0)</f>
        <v>49134</v>
      </c>
      <c r="W693" t="str">
        <f>IFERROR(__xludf.DUMMYFUNCTION("""COMPUTED_VALUE"""),"ปลอดภัย")</f>
        <v>ปลอดภัย</v>
      </c>
      <c r="X693" t="str">
        <f>IFERROR(__xludf.DUMMYFUNCTION("""COMPUTED_VALUE"""),"Chiang Mai Province")</f>
        <v>Chiang Mai Province</v>
      </c>
      <c r="Y693" t="str">
        <f>IFERROR(__xludf.DUMMYFUNCTION("""COMPUTED_VALUE"""),"Chiang Mai")</f>
        <v>Chiang Mai</v>
      </c>
      <c r="Z693" t="str">
        <f>IFERROR(__xludf.DUMMYFUNCTION("""COMPUTED_VALUE"""),"089 429 4270")</f>
        <v>089 429 4270</v>
      </c>
      <c r="AA693" t="str">
        <f>IFERROR(__xludf.DUMMYFUNCTION("""COMPUTED_VALUE"""),"Tarathip Paisarnsupakit (Sister)")</f>
        <v>Tarathip Paisarnsupakit (Sister)</v>
      </c>
      <c r="AB693" t="str">
        <f>IFERROR(__xludf.DUMMYFUNCTION("""COMPUTED_VALUE"""),"jirapongp@airasia.com")</f>
        <v>jirapongp@airasia.com</v>
      </c>
    </row>
    <row r="694">
      <c r="A694">
        <f>IFERROR(__xludf.DUMMYFUNCTION("""COMPUTED_VALUE"""),1014329.0)</f>
        <v>1014329</v>
      </c>
      <c r="B694" t="str">
        <f>IFERROR(__xludf.DUMMYFUNCTION("""COMPUTED_VALUE"""),"Ms.")</f>
        <v>Ms.</v>
      </c>
      <c r="C694" t="str">
        <f>IFERROR(__xludf.DUMMYFUNCTION("""COMPUTED_VALUE"""),"Kanicha")</f>
        <v>Kanicha</v>
      </c>
      <c r="D694" t="str">
        <f>IFERROR(__xludf.DUMMYFUNCTION("""COMPUTED_VALUE"""),"Sae-toen")</f>
        <v>Sae-toen</v>
      </c>
      <c r="E694" t="str">
        <f>IFERROR(__xludf.DUMMYFUNCTION("""COMPUTED_VALUE"""),"Kanicha Sae-toen")</f>
        <v>Kanicha Sae-toen</v>
      </c>
      <c r="F694" t="str">
        <f>IFERROR(__xludf.DUMMYFUNCTION("""COMPUTED_VALUE"""),"นางสาว")</f>
        <v>นางสาว</v>
      </c>
      <c r="G694" t="str">
        <f>IFERROR(__xludf.DUMMYFUNCTION("""COMPUTED_VALUE"""),"ขณิชา")</f>
        <v>ขณิชา</v>
      </c>
      <c r="H694" t="str">
        <f>IFERROR(__xludf.DUMMYFUNCTION("""COMPUTED_VALUE"""),"แซ่เติ๋น")</f>
        <v>แซ่เติ๋น</v>
      </c>
      <c r="I694" t="str">
        <f>IFERROR(__xludf.DUMMYFUNCTION("""COMPUTED_VALUE"""),"ขณิชา แซ่เติ๋น")</f>
        <v>ขณิชา แซ่เติ๋น</v>
      </c>
      <c r="J694" t="str">
        <f>IFERROR(__xludf.DUMMYFUNCTION("""COMPUTED_VALUE"""),"Tye/ต่าย")</f>
        <v>Tye/ต่าย</v>
      </c>
      <c r="K694" t="str">
        <f>IFERROR(__xludf.DUMMYFUNCTION("""COMPUTED_VALUE"""),"Cabin Crew")</f>
        <v>Cabin Crew</v>
      </c>
      <c r="L694" t="str">
        <f>IFERROR(__xludf.DUMMYFUNCTION("""COMPUTED_VALUE"""),"DMK")</f>
        <v>DMK</v>
      </c>
      <c r="M694" s="145" t="str">
        <f>IFERROR(__xludf.DUMMYFUNCTION("""COMPUTED_VALUE"""),"Kor Home")</f>
        <v>Kor Home</v>
      </c>
      <c r="N694" t="str">
        <f>IFERROR(__xludf.DUMMYFUNCTION("""COMPUTED_VALUE"""),"MATL")</f>
        <v>MATL</v>
      </c>
      <c r="O694" t="str">
        <f>IFERROR(__xludf.DUMMYFUNCTION("""COMPUTED_VALUE"""),"Chinese Speaking")</f>
        <v>Chinese Speaking</v>
      </c>
      <c r="P694" s="143">
        <f>IFERROR(__xludf.DUMMYFUNCTION("""COMPUTED_VALUE"""),33276.0)</f>
        <v>33276</v>
      </c>
      <c r="Q694" s="146" t="str">
        <f>IFERROR(__xludf.DUMMYFUNCTION("""COMPUTED_VALUE"""),"096-3255638")</f>
        <v>096-3255638</v>
      </c>
      <c r="R694" s="147" t="str">
        <f>IFERROR(__xludf.DUMMYFUNCTION("""COMPUTED_VALUE"""),"1 1037 00379 95 9")</f>
        <v>1 1037 00379 95 9</v>
      </c>
      <c r="S694" t="str">
        <f>IFERROR(__xludf.DUMMYFUNCTION("""COMPUTED_VALUE"""),"AC2864864")</f>
        <v>AC2864864</v>
      </c>
      <c r="T694" s="148">
        <f>IFERROR(__xludf.DUMMYFUNCTION("""COMPUTED_VALUE"""),44599.0)</f>
        <v>44599</v>
      </c>
      <c r="U694" s="148">
        <f>IFERROR(__xludf.DUMMYFUNCTION("""COMPUTED_VALUE"""),48250.0)</f>
        <v>48250</v>
      </c>
      <c r="V694" s="149">
        <f>IFERROR(__xludf.DUMMYFUNCTION("""COMPUTED_VALUE"""),48066.0)</f>
        <v>48066</v>
      </c>
      <c r="W694" t="str">
        <f>IFERROR(__xludf.DUMMYFUNCTION("""COMPUTED_VALUE"""),"ปลอดภัย")</f>
        <v>ปลอดภัย</v>
      </c>
      <c r="X694" t="str">
        <f>IFERROR(__xludf.DUMMYFUNCTION("""COMPUTED_VALUE"""),"Bangkok")</f>
        <v>Bangkok</v>
      </c>
      <c r="Y694" t="str">
        <f>IFERROR(__xludf.DUMMYFUNCTION("""COMPUTED_VALUE"""),"Khohong")</f>
        <v>Khohong</v>
      </c>
      <c r="Z694" t="str">
        <f>IFERROR(__xludf.DUMMYFUNCTION("""COMPUTED_VALUE"""),"086 957 6452")</f>
        <v>086 957 6452</v>
      </c>
      <c r="AA694" t="str">
        <f>IFERROR(__xludf.DUMMYFUNCTION("""COMPUTED_VALUE"""),"Mayuree Sae-toen (Mother)")</f>
        <v>Mayuree Sae-toen (Mother)</v>
      </c>
      <c r="AB694" t="str">
        <f>IFERROR(__xludf.DUMMYFUNCTION("""COMPUTED_VALUE"""),"kanichas@airasia.com")</f>
        <v>kanichas@airasia.com</v>
      </c>
    </row>
    <row r="695">
      <c r="A695">
        <f>IFERROR(__xludf.DUMMYFUNCTION("""COMPUTED_VALUE"""),1014346.0)</f>
        <v>1014346</v>
      </c>
      <c r="B695" t="str">
        <f>IFERROR(__xludf.DUMMYFUNCTION("""COMPUTED_VALUE"""),"Mr.")</f>
        <v>Mr.</v>
      </c>
      <c r="C695" t="str">
        <f>IFERROR(__xludf.DUMMYFUNCTION("""COMPUTED_VALUE"""),"Narongchai")</f>
        <v>Narongchai</v>
      </c>
      <c r="D695" t="str">
        <f>IFERROR(__xludf.DUMMYFUNCTION("""COMPUTED_VALUE"""),"Mongkolchartthai")</f>
        <v>Mongkolchartthai</v>
      </c>
      <c r="E695" t="str">
        <f>IFERROR(__xludf.DUMMYFUNCTION("""COMPUTED_VALUE"""),"Narongchai Mongkolchartthai")</f>
        <v>Narongchai Mongkolchartthai</v>
      </c>
      <c r="F695" t="str">
        <f>IFERROR(__xludf.DUMMYFUNCTION("""COMPUTED_VALUE"""),"นาย")</f>
        <v>นาย</v>
      </c>
      <c r="G695" t="str">
        <f>IFERROR(__xludf.DUMMYFUNCTION("""COMPUTED_VALUE"""),"ณรงค์ชัย")</f>
        <v>ณรงค์ชัย</v>
      </c>
      <c r="H695" t="str">
        <f>IFERROR(__xludf.DUMMYFUNCTION("""COMPUTED_VALUE"""),"มงคลชาติไทย")</f>
        <v>มงคลชาติไทย</v>
      </c>
      <c r="I695" t="str">
        <f>IFERROR(__xludf.DUMMYFUNCTION("""COMPUTED_VALUE"""),"ณรงค์ชัย มงคลชาติไทย")</f>
        <v>ณรงค์ชัย มงคลชาติไทย</v>
      </c>
      <c r="J695" t="str">
        <f>IFERROR(__xludf.DUMMYFUNCTION("""COMPUTED_VALUE"""),"Tom/ต้อม")</f>
        <v>Tom/ต้อม</v>
      </c>
      <c r="K695" t="str">
        <f>IFERROR(__xludf.DUMMYFUNCTION("""COMPUTED_VALUE"""),"Cabin Crew")</f>
        <v>Cabin Crew</v>
      </c>
      <c r="L695" t="str">
        <f>IFERROR(__xludf.DUMMYFUNCTION("""COMPUTED_VALUE"""),"DMK")</f>
        <v>DMK</v>
      </c>
      <c r="M695" s="145" t="str">
        <f>IFERROR(__xludf.DUMMYFUNCTION("""COMPUTED_VALUE"""),"Toffy Home")</f>
        <v>Toffy Home</v>
      </c>
      <c r="N695" t="str">
        <f>IFERROR(__xludf.DUMMYFUNCTION("""COMPUTED_VALUE"""),"Active")</f>
        <v>Active</v>
      </c>
      <c r="O695" t="str">
        <f>IFERROR(__xludf.DUMMYFUNCTION("""COMPUTED_VALUE"""),"Chinese Speaking")</f>
        <v>Chinese Speaking</v>
      </c>
      <c r="P695" s="143">
        <f>IFERROR(__xludf.DUMMYFUNCTION("""COMPUTED_VALUE"""),33212.0)</f>
        <v>33212</v>
      </c>
      <c r="Q695" s="146" t="str">
        <f>IFERROR(__xludf.DUMMYFUNCTION("""COMPUTED_VALUE"""),"098-492-9656")</f>
        <v>098-492-9656</v>
      </c>
      <c r="R695" s="147" t="str">
        <f>IFERROR(__xludf.DUMMYFUNCTION("""COMPUTED_VALUE"""),"1 1006 00199 10 7")</f>
        <v>1 1006 00199 10 7</v>
      </c>
      <c r="S695" t="str">
        <f>IFERROR(__xludf.DUMMYFUNCTION("""COMPUTED_VALUE"""),"AC4644553")</f>
        <v>AC4644553</v>
      </c>
      <c r="T695" s="148">
        <f>IFERROR(__xludf.DUMMYFUNCTION("""COMPUTED_VALUE"""),44994.0)</f>
        <v>44994</v>
      </c>
      <c r="U695" s="148">
        <f>IFERROR(__xludf.DUMMYFUNCTION("""COMPUTED_VALUE"""),48646.0)</f>
        <v>48646</v>
      </c>
      <c r="V695" s="149">
        <f>IFERROR(__xludf.DUMMYFUNCTION("""COMPUTED_VALUE"""),48465.0)</f>
        <v>48465</v>
      </c>
      <c r="W695" t="str">
        <f>IFERROR(__xludf.DUMMYFUNCTION("""COMPUTED_VALUE"""),"ปลอดภัย")</f>
        <v>ปลอดภัย</v>
      </c>
      <c r="X695" t="str">
        <f>IFERROR(__xludf.DUMMYFUNCTION("""COMPUTED_VALUE"""),"Bangkok")</f>
        <v>Bangkok</v>
      </c>
      <c r="Y695" t="str">
        <f>IFERROR(__xludf.DUMMYFUNCTION("""COMPUTED_VALUE"""),"Saphansung")</f>
        <v>Saphansung</v>
      </c>
      <c r="Z695" t="str">
        <f>IFERROR(__xludf.DUMMYFUNCTION("""COMPUTED_VALUE"""),"061 561 9694")</f>
        <v>061 561 9694</v>
      </c>
      <c r="AA695" t="str">
        <f>IFERROR(__xludf.DUMMYFUNCTION("""COMPUTED_VALUE"""),"Pongnapat (Brother)")</f>
        <v>Pongnapat (Brother)</v>
      </c>
      <c r="AB695" t="str">
        <f>IFERROR(__xludf.DUMMYFUNCTION("""COMPUTED_VALUE"""),"narongchaim@airasia.com")</f>
        <v>narongchaim@airasia.com</v>
      </c>
    </row>
    <row r="696">
      <c r="A696">
        <f>IFERROR(__xludf.DUMMYFUNCTION("""COMPUTED_VALUE"""),1014353.0)</f>
        <v>1014353</v>
      </c>
      <c r="B696" t="str">
        <f>IFERROR(__xludf.DUMMYFUNCTION("""COMPUTED_VALUE"""),"Ms.")</f>
        <v>Ms.</v>
      </c>
      <c r="C696" t="str">
        <f>IFERROR(__xludf.DUMMYFUNCTION("""COMPUTED_VALUE"""),"Pornnapat")</f>
        <v>Pornnapat</v>
      </c>
      <c r="D696" t="str">
        <f>IFERROR(__xludf.DUMMYFUNCTION("""COMPUTED_VALUE"""),"Kittimontreechai")</f>
        <v>Kittimontreechai</v>
      </c>
      <c r="E696" t="str">
        <f>IFERROR(__xludf.DUMMYFUNCTION("""COMPUTED_VALUE"""),"Pornnapat Kittimontreechai")</f>
        <v>Pornnapat Kittimontreechai</v>
      </c>
      <c r="F696" t="str">
        <f>IFERROR(__xludf.DUMMYFUNCTION("""COMPUTED_VALUE"""),"นางสาว")</f>
        <v>นางสาว</v>
      </c>
      <c r="G696" t="str">
        <f>IFERROR(__xludf.DUMMYFUNCTION("""COMPUTED_VALUE"""),"พรนภัส")</f>
        <v>พรนภัส</v>
      </c>
      <c r="H696" t="str">
        <f>IFERROR(__xludf.DUMMYFUNCTION("""COMPUTED_VALUE"""),"กิตติมนตรีชัย")</f>
        <v>กิตติมนตรีชัย</v>
      </c>
      <c r="I696" t="str">
        <f>IFERROR(__xludf.DUMMYFUNCTION("""COMPUTED_VALUE"""),"พรนภัส กิตติมนตรีชัย")</f>
        <v>พรนภัส กิตติมนตรีชัย</v>
      </c>
      <c r="J696" t="str">
        <f>IFERROR(__xludf.DUMMYFUNCTION("""COMPUTED_VALUE"""),"Amy/เอมี่")</f>
        <v>Amy/เอมี่</v>
      </c>
      <c r="K696" t="str">
        <f>IFERROR(__xludf.DUMMYFUNCTION("""COMPUTED_VALUE"""),"Cabin Crew")</f>
        <v>Cabin Crew</v>
      </c>
      <c r="L696" t="str">
        <f>IFERROR(__xludf.DUMMYFUNCTION("""COMPUTED_VALUE"""),"DMK")</f>
        <v>DMK</v>
      </c>
      <c r="M696" s="145" t="str">
        <f>IFERROR(__xludf.DUMMYFUNCTION("""COMPUTED_VALUE"""),"Toffy Home")</f>
        <v>Toffy Home</v>
      </c>
      <c r="N696" t="str">
        <f>IFERROR(__xludf.DUMMYFUNCTION("""COMPUTED_VALUE"""),"Active")</f>
        <v>Active</v>
      </c>
      <c r="O696" t="str">
        <f>IFERROR(__xludf.DUMMYFUNCTION("""COMPUTED_VALUE"""),"Chinese Speaking")</f>
        <v>Chinese Speaking</v>
      </c>
      <c r="P696" s="143">
        <f>IFERROR(__xludf.DUMMYFUNCTION("""COMPUTED_VALUE"""),32650.0)</f>
        <v>32650</v>
      </c>
      <c r="Q696" s="146" t="str">
        <f>IFERROR(__xludf.DUMMYFUNCTION("""COMPUTED_VALUE"""),"085-664-6660")</f>
        <v>085-664-6660</v>
      </c>
      <c r="R696" s="147" t="str">
        <f>IFERROR(__xludf.DUMMYFUNCTION("""COMPUTED_VALUE"""),"1 1008 00517 00 5")</f>
        <v>1 1008 00517 00 5</v>
      </c>
      <c r="S696" t="str">
        <f>IFERROR(__xludf.DUMMYFUNCTION("""COMPUTED_VALUE"""),"AC7448397")</f>
        <v>AC7448397</v>
      </c>
      <c r="T696" s="148">
        <f>IFERROR(__xludf.DUMMYFUNCTION("""COMPUTED_VALUE"""),45587.0)</f>
        <v>45587</v>
      </c>
      <c r="U696" s="148">
        <f>IFERROR(__xludf.DUMMYFUNCTION("""COMPUTED_VALUE"""),49238.0)</f>
        <v>49238</v>
      </c>
      <c r="V696" s="149">
        <f>IFERROR(__xludf.DUMMYFUNCTION("""COMPUTED_VALUE"""),49055.0)</f>
        <v>49055</v>
      </c>
      <c r="W696" t="str">
        <f>IFERROR(__xludf.DUMMYFUNCTION("""COMPUTED_VALUE"""),"ปลอดภัย")</f>
        <v>ปลอดภัย</v>
      </c>
      <c r="X696" t="str">
        <f>IFERROR(__xludf.DUMMYFUNCTION("""COMPUTED_VALUE"""),"Bangkok")</f>
        <v>Bangkok</v>
      </c>
      <c r="Y696" t="str">
        <f>IFERROR(__xludf.DUMMYFUNCTION("""COMPUTED_VALUE"""),"Nonthaburi")</f>
        <v>Nonthaburi</v>
      </c>
      <c r="Z696" t="str">
        <f>IFERROR(__xludf.DUMMYFUNCTION("""COMPUTED_VALUE"""),"084 439 6231")</f>
        <v>084 439 6231</v>
      </c>
      <c r="AA696" t="str">
        <f>IFERROR(__xludf.DUMMYFUNCTION("""COMPUTED_VALUE"""),"Somchai (Father)")</f>
        <v>Somchai (Father)</v>
      </c>
      <c r="AB696" t="str">
        <f>IFERROR(__xludf.DUMMYFUNCTION("""COMPUTED_VALUE"""),"pornnapatk@airasia.com")</f>
        <v>pornnapatk@airasia.com</v>
      </c>
    </row>
    <row r="697">
      <c r="A697">
        <f>IFERROR(__xludf.DUMMYFUNCTION("""COMPUTED_VALUE"""),1014359.0)</f>
        <v>1014359</v>
      </c>
      <c r="B697" t="str">
        <f>IFERROR(__xludf.DUMMYFUNCTION("""COMPUTED_VALUE"""),"Ms.")</f>
        <v>Ms.</v>
      </c>
      <c r="C697" t="str">
        <f>IFERROR(__xludf.DUMMYFUNCTION("""COMPUTED_VALUE"""),"Rattiporn")</f>
        <v>Rattiporn</v>
      </c>
      <c r="D697" t="str">
        <f>IFERROR(__xludf.DUMMYFUNCTION("""COMPUTED_VALUE"""),"Thongarch")</f>
        <v>Thongarch</v>
      </c>
      <c r="E697" t="str">
        <f>IFERROR(__xludf.DUMMYFUNCTION("""COMPUTED_VALUE"""),"Rattiporn Thongarch")</f>
        <v>Rattiporn Thongarch</v>
      </c>
      <c r="F697" t="str">
        <f>IFERROR(__xludf.DUMMYFUNCTION("""COMPUTED_VALUE"""),"นางสาว")</f>
        <v>นางสาว</v>
      </c>
      <c r="G697" t="str">
        <f>IFERROR(__xludf.DUMMYFUNCTION("""COMPUTED_VALUE"""),"รัชติภรณ์")</f>
        <v>รัชติภรณ์</v>
      </c>
      <c r="H697" t="str">
        <f>IFERROR(__xludf.DUMMYFUNCTION("""COMPUTED_VALUE"""),"ธงอาจ")</f>
        <v>ธงอาจ</v>
      </c>
      <c r="I697" t="str">
        <f>IFERROR(__xludf.DUMMYFUNCTION("""COMPUTED_VALUE"""),"รัชติภรณ์ ธงอาจ")</f>
        <v>รัชติภรณ์ ธงอาจ</v>
      </c>
      <c r="J697" t="str">
        <f>IFERROR(__xludf.DUMMYFUNCTION("""COMPUTED_VALUE"""),"Bew/บิว")</f>
        <v>Bew/บิว</v>
      </c>
      <c r="K697" t="str">
        <f>IFERROR(__xludf.DUMMYFUNCTION("""COMPUTED_VALUE"""),"Cabin Crew")</f>
        <v>Cabin Crew</v>
      </c>
      <c r="L697" t="str">
        <f>IFERROR(__xludf.DUMMYFUNCTION("""COMPUTED_VALUE"""),"DMK")</f>
        <v>DMK</v>
      </c>
      <c r="M697" s="145" t="str">
        <f>IFERROR(__xludf.DUMMYFUNCTION("""COMPUTED_VALUE"""),"Namfon Home")</f>
        <v>Namfon Home</v>
      </c>
      <c r="N697" t="str">
        <f>IFERROR(__xludf.DUMMYFUNCTION("""COMPUTED_VALUE"""),"Active")</f>
        <v>Active</v>
      </c>
      <c r="P697" s="143">
        <f>IFERROR(__xludf.DUMMYFUNCTION("""COMPUTED_VALUE"""),32782.0)</f>
        <v>32782</v>
      </c>
      <c r="Q697" s="146" t="str">
        <f>IFERROR(__xludf.DUMMYFUNCTION("""COMPUTED_VALUE"""),"087-8730553")</f>
        <v>087-8730553</v>
      </c>
      <c r="R697" s="147" t="str">
        <f>IFERROR(__xludf.DUMMYFUNCTION("""COMPUTED_VALUE"""),"1 3302 00054 76 2")</f>
        <v>1 3302 00054 76 2</v>
      </c>
      <c r="S697" t="str">
        <f>IFERROR(__xludf.DUMMYFUNCTION("""COMPUTED_VALUE"""),"AC3659763")</f>
        <v>AC3659763</v>
      </c>
      <c r="T697" s="148">
        <f>IFERROR(__xludf.DUMMYFUNCTION("""COMPUTED_VALUE"""),44764.0)</f>
        <v>44764</v>
      </c>
      <c r="U697" s="148">
        <f>IFERROR(__xludf.DUMMYFUNCTION("""COMPUTED_VALUE"""),48416.0)</f>
        <v>48416</v>
      </c>
      <c r="V697" s="149">
        <f>IFERROR(__xludf.DUMMYFUNCTION("""COMPUTED_VALUE"""),48234.0)</f>
        <v>48234</v>
      </c>
      <c r="W697" t="str">
        <f>IFERROR(__xludf.DUMMYFUNCTION("""COMPUTED_VALUE"""),"ปลอดภัย")</f>
        <v>ปลอดภัย</v>
      </c>
      <c r="X697" t="str">
        <f>IFERROR(__xludf.DUMMYFUNCTION("""COMPUTED_VALUE"""),"Sisaket Province")</f>
        <v>Sisaket Province</v>
      </c>
      <c r="Y697" t="str">
        <f>IFERROR(__xludf.DUMMYFUNCTION("""COMPUTED_VALUE"""),"Saimai")</f>
        <v>Saimai</v>
      </c>
      <c r="Z697" t="str">
        <f>IFERROR(__xludf.DUMMYFUNCTION("""COMPUTED_VALUE"""),"084 526 5682")</f>
        <v>084 526 5682</v>
      </c>
      <c r="AA697" t="str">
        <f>IFERROR(__xludf.DUMMYFUNCTION("""COMPUTED_VALUE"""),"Wiraporn (Sister)")</f>
        <v>Wiraporn (Sister)</v>
      </c>
      <c r="AB697" t="str">
        <f>IFERROR(__xludf.DUMMYFUNCTION("""COMPUTED_VALUE"""),"rattipornt@airasia.com")</f>
        <v>rattipornt@airasia.com</v>
      </c>
    </row>
    <row r="698">
      <c r="A698">
        <f>IFERROR(__xludf.DUMMYFUNCTION("""COMPUTED_VALUE"""),1014369.0)</f>
        <v>1014369</v>
      </c>
      <c r="B698" t="str">
        <f>IFERROR(__xludf.DUMMYFUNCTION("""COMPUTED_VALUE"""),"Ms.")</f>
        <v>Ms.</v>
      </c>
      <c r="C698" t="str">
        <f>IFERROR(__xludf.DUMMYFUNCTION("""COMPUTED_VALUE"""),"Tanednit")</f>
        <v>Tanednit</v>
      </c>
      <c r="D698" t="str">
        <f>IFERROR(__xludf.DUMMYFUNCTION("""COMPUTED_VALUE"""),"Thitipichakul")</f>
        <v>Thitipichakul</v>
      </c>
      <c r="E698" t="str">
        <f>IFERROR(__xludf.DUMMYFUNCTION("""COMPUTED_VALUE"""),"Tanednit Thitipichakul")</f>
        <v>Tanednit Thitipichakul</v>
      </c>
      <c r="F698" t="str">
        <f>IFERROR(__xludf.DUMMYFUNCTION("""COMPUTED_VALUE"""),"นางสาว")</f>
        <v>นางสาว</v>
      </c>
      <c r="G698" t="str">
        <f>IFERROR(__xludf.DUMMYFUNCTION("""COMPUTED_VALUE"""),"ธเนศนิตว์")</f>
        <v>ธเนศนิตว์</v>
      </c>
      <c r="H698" t="str">
        <f>IFERROR(__xludf.DUMMYFUNCTION("""COMPUTED_VALUE"""),"ฐิติพิชญ์กุล")</f>
        <v>ฐิติพิชญ์กุล</v>
      </c>
      <c r="I698" t="str">
        <f>IFERROR(__xludf.DUMMYFUNCTION("""COMPUTED_VALUE"""),"ธเนศนิตว์ ฐิติพิชญ์กุล")</f>
        <v>ธเนศนิตว์ ฐิติพิชญ์กุล</v>
      </c>
      <c r="J698" t="str">
        <f>IFERROR(__xludf.DUMMYFUNCTION("""COMPUTED_VALUE"""),"Piab/เหมือนเปี๊ยบ")</f>
        <v>Piab/เหมือนเปี๊ยบ</v>
      </c>
      <c r="K698" t="str">
        <f>IFERROR(__xludf.DUMMYFUNCTION("""COMPUTED_VALUE"""),"Cabin Crew - CNX")</f>
        <v>Cabin Crew - CNX</v>
      </c>
      <c r="L698" t="str">
        <f>IFERROR(__xludf.DUMMYFUNCTION("""COMPUTED_VALUE"""),"CNX")</f>
        <v>CNX</v>
      </c>
      <c r="M698" s="145" t="str">
        <f>IFERROR(__xludf.DUMMYFUNCTION("""COMPUTED_VALUE"""),"Up Home")</f>
        <v>Up Home</v>
      </c>
      <c r="N698" t="str">
        <f>IFERROR(__xludf.DUMMYFUNCTION("""COMPUTED_VALUE"""),"Active")</f>
        <v>Active</v>
      </c>
      <c r="O698" t="str">
        <f>IFERROR(__xludf.DUMMYFUNCTION("""COMPUTED_VALUE"""),"Chinese Speaking")</f>
        <v>Chinese Speaking</v>
      </c>
      <c r="P698" s="143">
        <f>IFERROR(__xludf.DUMMYFUNCTION("""COMPUTED_VALUE"""),33613.0)</f>
        <v>33613</v>
      </c>
      <c r="Q698" s="146" t="str">
        <f>IFERROR(__xludf.DUMMYFUNCTION("""COMPUTED_VALUE"""),"063-5694461")</f>
        <v>063-5694461</v>
      </c>
      <c r="R698" s="147" t="str">
        <f>IFERROR(__xludf.DUMMYFUNCTION("""COMPUTED_VALUE"""),"1 5099 01084 46 0")</f>
        <v>1 5099 01084 46 0</v>
      </c>
      <c r="S698" t="str">
        <f>IFERROR(__xludf.DUMMYFUNCTION("""COMPUTED_VALUE"""),"AC8011977")</f>
        <v>AC8011977</v>
      </c>
      <c r="T698" s="148">
        <f>IFERROR(__xludf.DUMMYFUNCTION("""COMPUTED_VALUE"""),45705.0)</f>
        <v>45705</v>
      </c>
      <c r="U698" s="150">
        <f>IFERROR(__xludf.DUMMYFUNCTION("""COMPUTED_VALUE"""),49356.0)</f>
        <v>49356</v>
      </c>
      <c r="V698" s="149">
        <f>IFERROR(__xludf.DUMMYFUNCTION("""COMPUTED_VALUE"""),49172.0)</f>
        <v>49172</v>
      </c>
      <c r="W698" t="str">
        <f>IFERROR(__xludf.DUMMYFUNCTION("""COMPUTED_VALUE"""),"ปลอดภัย")</f>
        <v>ปลอดภัย</v>
      </c>
      <c r="X698" t="str">
        <f>IFERROR(__xludf.DUMMYFUNCTION("""COMPUTED_VALUE"""),"Chiang Mai Province")</f>
        <v>Chiang Mai Province</v>
      </c>
      <c r="Y698" t="str">
        <f>IFERROR(__xludf.DUMMYFUNCTION("""COMPUTED_VALUE"""),"Chatuchak")</f>
        <v>Chatuchak</v>
      </c>
      <c r="Z698" t="str">
        <f>IFERROR(__xludf.DUMMYFUNCTION("""COMPUTED_VALUE"""),"092 468 8503")</f>
        <v>092 468 8503</v>
      </c>
      <c r="AA698" t="str">
        <f>IFERROR(__xludf.DUMMYFUNCTION("""COMPUTED_VALUE"""),"Kanyawee Thitipichakul(Mother)")</f>
        <v>Kanyawee Thitipichakul(Mother)</v>
      </c>
      <c r="AB698" t="str">
        <f>IFERROR(__xludf.DUMMYFUNCTION("""COMPUTED_VALUE"""),"tanednitt@airasia.com")</f>
        <v>tanednitt@airasia.com</v>
      </c>
    </row>
    <row r="699">
      <c r="AB699" t="str">
        <f>IFERROR(__xludf.DUMMYFUNCTION("""COMPUTED_VALUE"""),"")</f>
        <v/>
      </c>
    </row>
    <row r="700">
      <c r="A700">
        <f>IFERROR(__xludf.DUMMYFUNCTION("""COMPUTED_VALUE"""),1006318.0)</f>
        <v>1006318</v>
      </c>
      <c r="B700" t="str">
        <f>IFERROR(__xludf.DUMMYFUNCTION("""COMPUTED_VALUE"""),"Mr.")</f>
        <v>Mr.</v>
      </c>
      <c r="C700" t="str">
        <f>IFERROR(__xludf.DUMMYFUNCTION("""COMPUTED_VALUE"""),"Kritsada")</f>
        <v>Kritsada</v>
      </c>
      <c r="D700" t="str">
        <f>IFERROR(__xludf.DUMMYFUNCTION("""COMPUTED_VALUE"""),"Tangpriyarak")</f>
        <v>Tangpriyarak</v>
      </c>
      <c r="E700" t="str">
        <f>IFERROR(__xludf.DUMMYFUNCTION("""COMPUTED_VALUE"""),"Kritsada Tangpriyarak")</f>
        <v>Kritsada Tangpriyarak</v>
      </c>
      <c r="F700" t="str">
        <f>IFERROR(__xludf.DUMMYFUNCTION("""COMPUTED_VALUE"""),"นาย")</f>
        <v>นาย</v>
      </c>
      <c r="G700" t="str">
        <f>IFERROR(__xludf.DUMMYFUNCTION("""COMPUTED_VALUE"""),"กฤษฎา")</f>
        <v>กฤษฎา</v>
      </c>
      <c r="H700" t="str">
        <f>IFERROR(__xludf.DUMMYFUNCTION("""COMPUTED_VALUE"""),"ตั้งปรียารักษ์")</f>
        <v>ตั้งปรียารักษ์</v>
      </c>
      <c r="I700" t="str">
        <f>IFERROR(__xludf.DUMMYFUNCTION("""COMPUTED_VALUE"""),"กฤษฎา ตั้งปรียารักษ์")</f>
        <v>กฤษฎา ตั้งปรียารักษ์</v>
      </c>
      <c r="J700" t="str">
        <f>IFERROR(__xludf.DUMMYFUNCTION("""COMPUTED_VALUE"""),"Got/ก๊อต")</f>
        <v>Got/ก๊อต</v>
      </c>
      <c r="K700" t="str">
        <f>IFERROR(__xludf.DUMMYFUNCTION("""COMPUTED_VALUE"""),"Cabin Crew")</f>
        <v>Cabin Crew</v>
      </c>
      <c r="L700" t="str">
        <f>IFERROR(__xludf.DUMMYFUNCTION("""COMPUTED_VALUE"""),"DMK")</f>
        <v>DMK</v>
      </c>
      <c r="M700" s="145" t="str">
        <f>IFERROR(__xludf.DUMMYFUNCTION("""COMPUTED_VALUE"""),"Nhui Home")</f>
        <v>Nhui Home</v>
      </c>
      <c r="N700" t="str">
        <f>IFERROR(__xludf.DUMMYFUNCTION("""COMPUTED_VALUE"""),"Active")</f>
        <v>Active</v>
      </c>
      <c r="O700" t="str">
        <f>IFERROR(__xludf.DUMMYFUNCTION("""COMPUTED_VALUE"""),"Chinese Speaking")</f>
        <v>Chinese Speaking</v>
      </c>
      <c r="P700" s="143">
        <f>IFERROR(__xludf.DUMMYFUNCTION("""COMPUTED_VALUE"""),33129.0)</f>
        <v>33129</v>
      </c>
      <c r="Q700" s="146" t="str">
        <f>IFERROR(__xludf.DUMMYFUNCTION("""COMPUTED_VALUE"""),"062 080 0111")</f>
        <v>062 080 0111</v>
      </c>
      <c r="R700" s="147" t="str">
        <f>IFERROR(__xludf.DUMMYFUNCTION("""COMPUTED_VALUE"""),"1 9299 00242 56 4")</f>
        <v>1 9299 00242 56 4</v>
      </c>
      <c r="S700" t="str">
        <f>IFERROR(__xludf.DUMMYFUNCTION("""COMPUTED_VALUE"""),"AC7013271")</f>
        <v>AC7013271</v>
      </c>
      <c r="T700" s="148">
        <f>IFERROR(__xludf.DUMMYFUNCTION("""COMPUTED_VALUE"""),45643.0)</f>
        <v>45643</v>
      </c>
      <c r="U700" s="148">
        <f>IFERROR(__xludf.DUMMYFUNCTION("""COMPUTED_VALUE"""),49294.0)</f>
        <v>49294</v>
      </c>
      <c r="V700" s="149">
        <f>IFERROR(__xludf.DUMMYFUNCTION("""COMPUTED_VALUE"""),49111.0)</f>
        <v>49111</v>
      </c>
      <c r="W700" t="str">
        <f>IFERROR(__xludf.DUMMYFUNCTION("""COMPUTED_VALUE"""),"ปลอดภัย")</f>
        <v>ปลอดภัย</v>
      </c>
      <c r="X700" t="str">
        <f>IFERROR(__xludf.DUMMYFUNCTION("""COMPUTED_VALUE"""),"Trang Province")</f>
        <v>Trang Province</v>
      </c>
      <c r="Y700" t="str">
        <f>IFERROR(__xludf.DUMMYFUNCTION("""COMPUTED_VALUE"""),"Trang")</f>
        <v>Trang</v>
      </c>
      <c r="Z700" t="str">
        <f>IFERROR(__xludf.DUMMYFUNCTION("""COMPUTED_VALUE"""),"089 731 1758")</f>
        <v>089 731 1758</v>
      </c>
      <c r="AA700" t="str">
        <f>IFERROR(__xludf.DUMMYFUNCTION("""COMPUTED_VALUE"""),"ผกามาศ ตั้งปรียารักษณ์(มารดา)")</f>
        <v>ผกามาศ ตั้งปรียารักษณ์(มารดา)</v>
      </c>
      <c r="AB700" t="str">
        <f>IFERROR(__xludf.DUMMYFUNCTION("""COMPUTED_VALUE"""),"kritsadat@airasia.com")</f>
        <v>kritsadat@airasia.com</v>
      </c>
    </row>
    <row r="701">
      <c r="A701">
        <f>IFERROR(__xludf.DUMMYFUNCTION("""COMPUTED_VALUE"""),1015083.0)</f>
        <v>1015083</v>
      </c>
      <c r="B701" t="str">
        <f>IFERROR(__xludf.DUMMYFUNCTION("""COMPUTED_VALUE"""),"Ms.")</f>
        <v>Ms.</v>
      </c>
      <c r="C701" t="str">
        <f>IFERROR(__xludf.DUMMYFUNCTION("""COMPUTED_VALUE"""),"Kunyanutt")</f>
        <v>Kunyanutt</v>
      </c>
      <c r="D701" t="str">
        <f>IFERROR(__xludf.DUMMYFUNCTION("""COMPUTED_VALUE"""),"Pongthong")</f>
        <v>Pongthong</v>
      </c>
      <c r="E701" t="str">
        <f>IFERROR(__xludf.DUMMYFUNCTION("""COMPUTED_VALUE"""),"Kunyanutt Pongthong")</f>
        <v>Kunyanutt Pongthong</v>
      </c>
      <c r="F701" t="str">
        <f>IFERROR(__xludf.DUMMYFUNCTION("""COMPUTED_VALUE"""),"นางสาว")</f>
        <v>นางสาว</v>
      </c>
      <c r="G701" t="str">
        <f>IFERROR(__xludf.DUMMYFUNCTION("""COMPUTED_VALUE"""),"กัญญณัช")</f>
        <v>กัญญณัช</v>
      </c>
      <c r="H701" t="str">
        <f>IFERROR(__xludf.DUMMYFUNCTION("""COMPUTED_VALUE"""),"พงษ์ทอง")</f>
        <v>พงษ์ทอง</v>
      </c>
      <c r="I701" t="str">
        <f>IFERROR(__xludf.DUMMYFUNCTION("""COMPUTED_VALUE"""),"กัญญณัช พงษ์ทอง")</f>
        <v>กัญญณัช พงษ์ทอง</v>
      </c>
      <c r="J701" t="str">
        <f>IFERROR(__xludf.DUMMYFUNCTION("""COMPUTED_VALUE"""),"Sody / โซดา")</f>
        <v>Sody / โซดา</v>
      </c>
      <c r="K701" t="str">
        <f>IFERROR(__xludf.DUMMYFUNCTION("""COMPUTED_VALUE"""),"Cabin Crew")</f>
        <v>Cabin Crew</v>
      </c>
      <c r="L701" t="str">
        <f>IFERROR(__xludf.DUMMYFUNCTION("""COMPUTED_VALUE"""),"DMK")</f>
        <v>DMK</v>
      </c>
      <c r="M701" s="145" t="str">
        <f>IFERROR(__xludf.DUMMYFUNCTION("""COMPUTED_VALUE"""),"Por+ Home")</f>
        <v>Por+ Home</v>
      </c>
      <c r="N701" t="str">
        <f>IFERROR(__xludf.DUMMYFUNCTION("""COMPUTED_VALUE"""),"Active")</f>
        <v>Active</v>
      </c>
      <c r="P701" s="143">
        <f>IFERROR(__xludf.DUMMYFUNCTION("""COMPUTED_VALUE"""),33480.0)</f>
        <v>33480</v>
      </c>
      <c r="Q701" s="146" t="str">
        <f>IFERROR(__xludf.DUMMYFUNCTION("""COMPUTED_VALUE"""),"095 242 6391")</f>
        <v>095 242 6391</v>
      </c>
      <c r="R701" s="147" t="str">
        <f>IFERROR(__xludf.DUMMYFUNCTION("""COMPUTED_VALUE"""),"1129900-12-5492")</f>
        <v>1129900-12-5492</v>
      </c>
      <c r="S701" t="str">
        <f>IFERROR(__xludf.DUMMYFUNCTION("""COMPUTED_VALUE"""),"AC5520268")</f>
        <v>AC5520268</v>
      </c>
      <c r="T701" s="148">
        <f>IFERROR(__xludf.DUMMYFUNCTION("""COMPUTED_VALUE"""),45159.0)</f>
        <v>45159</v>
      </c>
      <c r="U701" s="148">
        <f>IFERROR(__xludf.DUMMYFUNCTION("""COMPUTED_VALUE"""),46985.0)</f>
        <v>46985</v>
      </c>
      <c r="V701" s="149">
        <f>IFERROR(__xludf.DUMMYFUNCTION("""COMPUTED_VALUE"""),46803.0)</f>
        <v>46803</v>
      </c>
      <c r="W701" t="str">
        <f>IFERROR(__xludf.DUMMYFUNCTION("""COMPUTED_VALUE"""),"ปลอดภัย")</f>
        <v>ปลอดภัย</v>
      </c>
      <c r="X701" t="str">
        <f>IFERROR(__xludf.DUMMYFUNCTION("""COMPUTED_VALUE"""),"Nonthaburi Province")</f>
        <v>Nonthaburi Province</v>
      </c>
      <c r="Y701" t="str">
        <f>IFERROR(__xludf.DUMMYFUNCTION("""COMPUTED_VALUE"""),"Parkret")</f>
        <v>Parkret</v>
      </c>
      <c r="Z701" t="str">
        <f>IFERROR(__xludf.DUMMYFUNCTION("""COMPUTED_VALUE"""),"098 830 9595")</f>
        <v>098 830 9595</v>
      </c>
      <c r="AA701" t="str">
        <f>IFERROR(__xludf.DUMMYFUNCTION("""COMPUTED_VALUE"""),"Paweewiroon Saisupan (Mother)")</f>
        <v>Paweewiroon Saisupan (Mother)</v>
      </c>
      <c r="AB701" t="str">
        <f>IFERROR(__xludf.DUMMYFUNCTION("""COMPUTED_VALUE"""),"kunyanuttp@airasia.com")</f>
        <v>kunyanuttp@airasia.com</v>
      </c>
    </row>
    <row r="702">
      <c r="A702">
        <f>IFERROR(__xludf.DUMMYFUNCTION("""COMPUTED_VALUE"""),1015087.0)</f>
        <v>1015087</v>
      </c>
      <c r="B702" t="str">
        <f>IFERROR(__xludf.DUMMYFUNCTION("""COMPUTED_VALUE"""),"Ms.")</f>
        <v>Ms.</v>
      </c>
      <c r="C702" t="str">
        <f>IFERROR(__xludf.DUMMYFUNCTION("""COMPUTED_VALUE"""),"Narumon")</f>
        <v>Narumon</v>
      </c>
      <c r="D702" t="str">
        <f>IFERROR(__xludf.DUMMYFUNCTION("""COMPUTED_VALUE"""),"Paungtam")</f>
        <v>Paungtam</v>
      </c>
      <c r="E702" t="str">
        <f>IFERROR(__xludf.DUMMYFUNCTION("""COMPUTED_VALUE"""),"Narumon Paungtam")</f>
        <v>Narumon Paungtam</v>
      </c>
      <c r="F702" t="str">
        <f>IFERROR(__xludf.DUMMYFUNCTION("""COMPUTED_VALUE"""),"นางสาว")</f>
        <v>นางสาว</v>
      </c>
      <c r="G702" t="str">
        <f>IFERROR(__xludf.DUMMYFUNCTION("""COMPUTED_VALUE"""),"นฤมล")</f>
        <v>นฤมล</v>
      </c>
      <c r="H702" t="str">
        <f>IFERROR(__xludf.DUMMYFUNCTION("""COMPUTED_VALUE"""),"พวงธรรม")</f>
        <v>พวงธรรม</v>
      </c>
      <c r="I702" t="str">
        <f>IFERROR(__xludf.DUMMYFUNCTION("""COMPUTED_VALUE"""),"นฤมล พวงธรรม")</f>
        <v>นฤมล พวงธรรม</v>
      </c>
      <c r="J702" t="str">
        <f>IFERROR(__xludf.DUMMYFUNCTION("""COMPUTED_VALUE"""),"Nun / นุ่น")</f>
        <v>Nun / นุ่น</v>
      </c>
      <c r="K702" t="str">
        <f>IFERROR(__xludf.DUMMYFUNCTION("""COMPUTED_VALUE"""),"Cabin Crew")</f>
        <v>Cabin Crew</v>
      </c>
      <c r="L702" t="str">
        <f>IFERROR(__xludf.DUMMYFUNCTION("""COMPUTED_VALUE"""),"DMK")</f>
        <v>DMK</v>
      </c>
      <c r="M702" s="145" t="str">
        <f>IFERROR(__xludf.DUMMYFUNCTION("""COMPUTED_VALUE"""),"Up Home")</f>
        <v>Up Home</v>
      </c>
      <c r="N702" t="str">
        <f>IFERROR(__xludf.DUMMYFUNCTION("""COMPUTED_VALUE"""),"Active")</f>
        <v>Active</v>
      </c>
      <c r="P702" s="143">
        <f>IFERROR(__xludf.DUMMYFUNCTION("""COMPUTED_VALUE"""),33842.0)</f>
        <v>33842</v>
      </c>
      <c r="Q702" s="146" t="str">
        <f>IFERROR(__xludf.DUMMYFUNCTION("""COMPUTED_VALUE"""),"082 659 3155")</f>
        <v>082 659 3155</v>
      </c>
      <c r="R702" s="147" t="str">
        <f>IFERROR(__xludf.DUMMYFUNCTION("""COMPUTED_VALUE"""),"1100701-57-2296")</f>
        <v>1100701-57-2296</v>
      </c>
      <c r="S702" t="str">
        <f>IFERROR(__xludf.DUMMYFUNCTION("""COMPUTED_VALUE"""),"AC6781638")</f>
        <v>AC6781638</v>
      </c>
      <c r="T702" s="148">
        <f>IFERROR(__xludf.DUMMYFUNCTION("""COMPUTED_VALUE"""),45432.0)</f>
        <v>45432</v>
      </c>
      <c r="U702" s="148">
        <f>IFERROR(__xludf.DUMMYFUNCTION("""COMPUTED_VALUE"""),49083.0)</f>
        <v>49083</v>
      </c>
      <c r="V702" s="149">
        <f>IFERROR(__xludf.DUMMYFUNCTION("""COMPUTED_VALUE"""),48902.0)</f>
        <v>48902</v>
      </c>
      <c r="W702" t="str">
        <f>IFERROR(__xludf.DUMMYFUNCTION("""COMPUTED_VALUE"""),"ปลอดภัย")</f>
        <v>ปลอดภัย</v>
      </c>
      <c r="X702" t="str">
        <f>IFERROR(__xludf.DUMMYFUNCTION("""COMPUTED_VALUE"""),"Bangkok")</f>
        <v>Bangkok</v>
      </c>
      <c r="Y702" t="str">
        <f>IFERROR(__xludf.DUMMYFUNCTION("""COMPUTED_VALUE"""),"Klong Toey")</f>
        <v>Klong Toey</v>
      </c>
      <c r="Z702" t="str">
        <f>IFERROR(__xludf.DUMMYFUNCTION("""COMPUTED_VALUE"""),"081 372 9382")</f>
        <v>081 372 9382</v>
      </c>
      <c r="AA702" t="str">
        <f>IFERROR(__xludf.DUMMYFUNCTION("""COMPUTED_VALUE"""),"Somjai Saetang (Mother)")</f>
        <v>Somjai Saetang (Mother)</v>
      </c>
      <c r="AB702" t="str">
        <f>IFERROR(__xludf.DUMMYFUNCTION("""COMPUTED_VALUE"""),"narumonp@airasia.com")</f>
        <v>narumonp@airasia.com</v>
      </c>
    </row>
    <row r="703">
      <c r="A703">
        <f>IFERROR(__xludf.DUMMYFUNCTION("""COMPUTED_VALUE"""),1015091.0)</f>
        <v>1015091</v>
      </c>
      <c r="B703" t="str">
        <f>IFERROR(__xludf.DUMMYFUNCTION("""COMPUTED_VALUE"""),"Ms.")</f>
        <v>Ms.</v>
      </c>
      <c r="C703" t="str">
        <f>IFERROR(__xludf.DUMMYFUNCTION("""COMPUTED_VALUE"""),"Nutpattra")</f>
        <v>Nutpattra</v>
      </c>
      <c r="D703" t="str">
        <f>IFERROR(__xludf.DUMMYFUNCTION("""COMPUTED_VALUE"""),"Kokanutaporn (Thongkaimuk)")</f>
        <v>Kokanutaporn (Thongkaimuk)</v>
      </c>
      <c r="E703" t="str">
        <f>IFERROR(__xludf.DUMMYFUNCTION("""COMPUTED_VALUE"""),"Nutpattra Kokanutaporn ")</f>
        <v>Nutpattra Kokanutaporn </v>
      </c>
      <c r="F703" t="str">
        <f>IFERROR(__xludf.DUMMYFUNCTION("""COMPUTED_VALUE"""),"นางสาว")</f>
        <v>นางสาว</v>
      </c>
      <c r="G703" t="str">
        <f>IFERROR(__xludf.DUMMYFUNCTION("""COMPUTED_VALUE"""),"ณัฐภัทรา")</f>
        <v>ณัฐภัทรา</v>
      </c>
      <c r="H703" t="str">
        <f>IFERROR(__xludf.DUMMYFUNCTION("""COMPUTED_VALUE"""),"โกกนุทาภรณ์ (ทองไข่มุกด์)")</f>
        <v>โกกนุทาภรณ์ (ทองไข่มุกด์)</v>
      </c>
      <c r="I703" t="str">
        <f>IFERROR(__xludf.DUMMYFUNCTION("""COMPUTED_VALUE"""),"ณัฐภัทรา โกกนุทาภรณ์")</f>
        <v>ณัฐภัทรา โกกนุทาภรณ์</v>
      </c>
      <c r="J703" t="str">
        <f>IFERROR(__xludf.DUMMYFUNCTION("""COMPUTED_VALUE"""),"Miny / มิ้น")</f>
        <v>Miny / มิ้น</v>
      </c>
      <c r="K703" t="str">
        <f>IFERROR(__xludf.DUMMYFUNCTION("""COMPUTED_VALUE"""),"Cabin Crew")</f>
        <v>Cabin Crew</v>
      </c>
      <c r="L703" t="str">
        <f>IFERROR(__xludf.DUMMYFUNCTION("""COMPUTED_VALUE"""),"DMK")</f>
        <v>DMK</v>
      </c>
      <c r="M703" s="145" t="str">
        <f>IFERROR(__xludf.DUMMYFUNCTION("""COMPUTED_VALUE"""),"Por+ Home")</f>
        <v>Por+ Home</v>
      </c>
      <c r="N703" t="str">
        <f>IFERROR(__xludf.DUMMYFUNCTION("""COMPUTED_VALUE"""),"Active")</f>
        <v>Active</v>
      </c>
      <c r="P703" s="143">
        <f>IFERROR(__xludf.DUMMYFUNCTION("""COMPUTED_VALUE"""),33770.0)</f>
        <v>33770</v>
      </c>
      <c r="Q703" s="146" t="str">
        <f>IFERROR(__xludf.DUMMYFUNCTION("""COMPUTED_VALUE"""),"090 901 1517")</f>
        <v>090 901 1517</v>
      </c>
      <c r="R703" s="147" t="str">
        <f>IFERROR(__xludf.DUMMYFUNCTION("""COMPUTED_VALUE"""),"1101500-59-6806")</f>
        <v>1101500-59-6806</v>
      </c>
      <c r="S703" t="str">
        <f>IFERROR(__xludf.DUMMYFUNCTION("""COMPUTED_VALUE"""),"AC4874515")</f>
        <v>AC4874515</v>
      </c>
      <c r="T703" s="148">
        <f>IFERROR(__xludf.DUMMYFUNCTION("""COMPUTED_VALUE"""),45041.0)</f>
        <v>45041</v>
      </c>
      <c r="U703" s="148">
        <f>IFERROR(__xludf.DUMMYFUNCTION("""COMPUTED_VALUE"""),48693.0)</f>
        <v>48693</v>
      </c>
      <c r="V703" s="149">
        <f>IFERROR(__xludf.DUMMYFUNCTION("""COMPUTED_VALUE"""),48511.0)</f>
        <v>48511</v>
      </c>
      <c r="W703" t="str">
        <f>IFERROR(__xludf.DUMMYFUNCTION("""COMPUTED_VALUE"""),"ปลอดภัย")</f>
        <v>ปลอดภัย</v>
      </c>
      <c r="X703" t="str">
        <f>IFERROR(__xludf.DUMMYFUNCTION("""COMPUTED_VALUE"""),"Bangkok")</f>
        <v>Bangkok</v>
      </c>
      <c r="Y703" t="str">
        <f>IFERROR(__xludf.DUMMYFUNCTION("""COMPUTED_VALUE"""),"Thonburi")</f>
        <v>Thonburi</v>
      </c>
      <c r="Z703" t="str">
        <f>IFERROR(__xludf.DUMMYFUNCTION("""COMPUTED_VALUE"""),"087 688 0395")</f>
        <v>087 688 0395</v>
      </c>
      <c r="AA703" t="str">
        <f>IFERROR(__xludf.DUMMYFUNCTION("""COMPUTED_VALUE"""),"Kornchanok Butsing (Mother)")</f>
        <v>Kornchanok Butsing (Mother)</v>
      </c>
      <c r="AB703" t="str">
        <f>IFERROR(__xludf.DUMMYFUNCTION("""COMPUTED_VALUE"""),"nutpattrak@airasia.com")</f>
        <v>nutpattrak@airasia.com</v>
      </c>
    </row>
    <row r="704">
      <c r="A704">
        <f>IFERROR(__xludf.DUMMYFUNCTION("""COMPUTED_VALUE"""),1015092.0)</f>
        <v>1015092</v>
      </c>
      <c r="B704" t="str">
        <f>IFERROR(__xludf.DUMMYFUNCTION("""COMPUTED_VALUE"""),"Ms.")</f>
        <v>Ms.</v>
      </c>
      <c r="C704" t="str">
        <f>IFERROR(__xludf.DUMMYFUNCTION("""COMPUTED_VALUE"""),"Phavinee")</f>
        <v>Phavinee</v>
      </c>
      <c r="D704" t="str">
        <f>IFERROR(__xludf.DUMMYFUNCTION("""COMPUTED_VALUE"""),"Sripablhom")</f>
        <v>Sripablhom</v>
      </c>
      <c r="E704" t="str">
        <f>IFERROR(__xludf.DUMMYFUNCTION("""COMPUTED_VALUE"""),"Phavinee Sripablhom")</f>
        <v>Phavinee Sripablhom</v>
      </c>
      <c r="F704" t="str">
        <f>IFERROR(__xludf.DUMMYFUNCTION("""COMPUTED_VALUE"""),"นางสาว")</f>
        <v>นางสาว</v>
      </c>
      <c r="G704" t="str">
        <f>IFERROR(__xludf.DUMMYFUNCTION("""COMPUTED_VALUE"""),"ภาวินี")</f>
        <v>ภาวินี</v>
      </c>
      <c r="H704" t="str">
        <f>IFERROR(__xludf.DUMMYFUNCTION("""COMPUTED_VALUE"""),"ศรีปราบหล่ม")</f>
        <v>ศรีปราบหล่ม</v>
      </c>
      <c r="I704" t="str">
        <f>IFERROR(__xludf.DUMMYFUNCTION("""COMPUTED_VALUE"""),"ภาวินี ศรีปราบหล่ม")</f>
        <v>ภาวินี ศรีปราบหล่ม</v>
      </c>
      <c r="J704" t="str">
        <f>IFERROR(__xludf.DUMMYFUNCTION("""COMPUTED_VALUE"""),"Bew / บิว")</f>
        <v>Bew / บิว</v>
      </c>
      <c r="K704" t="str">
        <f>IFERROR(__xludf.DUMMYFUNCTION("""COMPUTED_VALUE"""),"Cabin Crew")</f>
        <v>Cabin Crew</v>
      </c>
      <c r="L704" t="str">
        <f>IFERROR(__xludf.DUMMYFUNCTION("""COMPUTED_VALUE"""),"DMK")</f>
        <v>DMK</v>
      </c>
      <c r="M704" s="145" t="str">
        <f>IFERROR(__xludf.DUMMYFUNCTION("""COMPUTED_VALUE"""),"Kor Home")</f>
        <v>Kor Home</v>
      </c>
      <c r="N704" t="str">
        <f>IFERROR(__xludf.DUMMYFUNCTION("""COMPUTED_VALUE"""),"Active")</f>
        <v>Active</v>
      </c>
      <c r="P704" s="143">
        <f>IFERROR(__xludf.DUMMYFUNCTION("""COMPUTED_VALUE"""),33393.0)</f>
        <v>33393</v>
      </c>
      <c r="Q704" s="146" t="str">
        <f>IFERROR(__xludf.DUMMYFUNCTION("""COMPUTED_VALUE"""),"092 271 7951")</f>
        <v>092 271 7951</v>
      </c>
      <c r="R704" s="147" t="str">
        <f>IFERROR(__xludf.DUMMYFUNCTION("""COMPUTED_VALUE"""),"1411600-13-5875")</f>
        <v>1411600-13-5875</v>
      </c>
      <c r="S704" t="str">
        <f>IFERROR(__xludf.DUMMYFUNCTION("""COMPUTED_VALUE"""),"AC7918250")</f>
        <v>AC7918250</v>
      </c>
      <c r="T704" s="148">
        <f>IFERROR(__xludf.DUMMYFUNCTION("""COMPUTED_VALUE"""),45663.0)</f>
        <v>45663</v>
      </c>
      <c r="U704" s="148">
        <f>IFERROR(__xludf.DUMMYFUNCTION("""COMPUTED_VALUE"""),49314.0)</f>
        <v>49314</v>
      </c>
      <c r="V704" s="149">
        <f>IFERROR(__xludf.DUMMYFUNCTION("""COMPUTED_VALUE"""),49130.0)</f>
        <v>49130</v>
      </c>
      <c r="W704" t="str">
        <f>IFERROR(__xludf.DUMMYFUNCTION("""COMPUTED_VALUE"""),"ปลอดภัย")</f>
        <v>ปลอดภัย</v>
      </c>
      <c r="X704" t="str">
        <f>IFERROR(__xludf.DUMMYFUNCTION("""COMPUTED_VALUE"""),"Udon Thani Province")</f>
        <v>Udon Thani Province</v>
      </c>
      <c r="Y704" t="str">
        <f>IFERROR(__xludf.DUMMYFUNCTION("""COMPUTED_VALUE"""),"Pathumthani")</f>
        <v>Pathumthani</v>
      </c>
      <c r="Z704" t="str">
        <f>IFERROR(__xludf.DUMMYFUNCTION("""COMPUTED_VALUE"""),"089 894 8092")</f>
        <v>089 894 8092</v>
      </c>
      <c r="AA704" t="str">
        <f>IFERROR(__xludf.DUMMYFUNCTION("""COMPUTED_VALUE"""),"Upatham Sripablhom (Father)")</f>
        <v>Upatham Sripablhom (Father)</v>
      </c>
      <c r="AB704" t="str">
        <f>IFERROR(__xludf.DUMMYFUNCTION("""COMPUTED_VALUE"""),"phavinees@airasia.com")</f>
        <v>phavinees@airasia.com</v>
      </c>
    </row>
    <row r="705">
      <c r="A705">
        <f>IFERROR(__xludf.DUMMYFUNCTION("""COMPUTED_VALUE"""),1015093.0)</f>
        <v>1015093</v>
      </c>
      <c r="B705" t="str">
        <f>IFERROR(__xludf.DUMMYFUNCTION("""COMPUTED_VALUE"""),"Mr.")</f>
        <v>Mr.</v>
      </c>
      <c r="C705" t="str">
        <f>IFERROR(__xludf.DUMMYFUNCTION("""COMPUTED_VALUE"""),"Sampan")</f>
        <v>Sampan</v>
      </c>
      <c r="D705" t="str">
        <f>IFERROR(__xludf.DUMMYFUNCTION("""COMPUTED_VALUE"""),"Simpalipan")</f>
        <v>Simpalipan</v>
      </c>
      <c r="E705" t="str">
        <f>IFERROR(__xludf.DUMMYFUNCTION("""COMPUTED_VALUE"""),"Sampan Simpalipan")</f>
        <v>Sampan Simpalipan</v>
      </c>
      <c r="F705" t="str">
        <f>IFERROR(__xludf.DUMMYFUNCTION("""COMPUTED_VALUE"""),"นาย")</f>
        <v>นาย</v>
      </c>
      <c r="G705" t="str">
        <f>IFERROR(__xludf.DUMMYFUNCTION("""COMPUTED_VALUE"""),"แซมแพน")</f>
        <v>แซมแพน</v>
      </c>
      <c r="H705" t="str">
        <f>IFERROR(__xludf.DUMMYFUNCTION("""COMPUTED_VALUE"""),"สิมพลิพันธ์")</f>
        <v>สิมพลิพันธ์</v>
      </c>
      <c r="I705" t="str">
        <f>IFERROR(__xludf.DUMMYFUNCTION("""COMPUTED_VALUE"""),"แซมแพน สิมพลิพันธ์")</f>
        <v>แซมแพน สิมพลิพันธ์</v>
      </c>
      <c r="J705" t="str">
        <f>IFERROR(__xludf.DUMMYFUNCTION("""COMPUTED_VALUE"""),"Sam / แซม")</f>
        <v>Sam / แซม</v>
      </c>
      <c r="K705" t="str">
        <f>IFERROR(__xludf.DUMMYFUNCTION("""COMPUTED_VALUE"""),"Senior Cabin Crew")</f>
        <v>Senior Cabin Crew</v>
      </c>
      <c r="L705" t="str">
        <f>IFERROR(__xludf.DUMMYFUNCTION("""COMPUTED_VALUE"""),"DMK")</f>
        <v>DMK</v>
      </c>
      <c r="M705" s="145" t="str">
        <f>IFERROR(__xludf.DUMMYFUNCTION("""COMPUTED_VALUE"""),"Por+ Home")</f>
        <v>Por+ Home</v>
      </c>
      <c r="N705" t="str">
        <f>IFERROR(__xludf.DUMMYFUNCTION("""COMPUTED_VALUE"""),"Active")</f>
        <v>Active</v>
      </c>
      <c r="P705" s="143">
        <f>IFERROR(__xludf.DUMMYFUNCTION("""COMPUTED_VALUE"""),32781.0)</f>
        <v>32781</v>
      </c>
      <c r="Q705" s="146" t="str">
        <f>IFERROR(__xludf.DUMMYFUNCTION("""COMPUTED_VALUE"""),"090-239-3245")</f>
        <v>090-239-3245</v>
      </c>
      <c r="R705" s="147" t="str">
        <f>IFERROR(__xludf.DUMMYFUNCTION("""COMPUTED_VALUE"""),"1101401-67-7875")</f>
        <v>1101401-67-7875</v>
      </c>
      <c r="S705" t="str">
        <f>IFERROR(__xludf.DUMMYFUNCTION("""COMPUTED_VALUE"""),"AC6441851")</f>
        <v>AC6441851</v>
      </c>
      <c r="T705" s="148">
        <f>IFERROR(__xludf.DUMMYFUNCTION("""COMPUTED_VALUE"""),45355.0)</f>
        <v>45355</v>
      </c>
      <c r="U705" s="148">
        <f>IFERROR(__xludf.DUMMYFUNCTION("""COMPUTED_VALUE"""),49006.0)</f>
        <v>49006</v>
      </c>
      <c r="V705" s="149">
        <f>IFERROR(__xludf.DUMMYFUNCTION("""COMPUTED_VALUE"""),48825.0)</f>
        <v>48825</v>
      </c>
      <c r="W705" t="str">
        <f>IFERROR(__xludf.DUMMYFUNCTION("""COMPUTED_VALUE"""),"ปลอดภัย")</f>
        <v>ปลอดภัย</v>
      </c>
      <c r="X705" t="str">
        <f>IFERROR(__xludf.DUMMYFUNCTION("""COMPUTED_VALUE"""),"Bangkok")</f>
        <v>Bangkok</v>
      </c>
      <c r="Y705" t="str">
        <f>IFERROR(__xludf.DUMMYFUNCTION("""COMPUTED_VALUE"""),"Huaikwang")</f>
        <v>Huaikwang</v>
      </c>
      <c r="Z705" t="str">
        <f>IFERROR(__xludf.DUMMYFUNCTION("""COMPUTED_VALUE"""),"081 978 4515")</f>
        <v>081 978 4515</v>
      </c>
      <c r="AA705" t="str">
        <f>IFERROR(__xludf.DUMMYFUNCTION("""COMPUTED_VALUE"""),"Saruttaya Amornprasert (Mother)")</f>
        <v>Saruttaya Amornprasert (Mother)</v>
      </c>
      <c r="AB705" t="str">
        <f>IFERROR(__xludf.DUMMYFUNCTION("""COMPUTED_VALUE"""),"sampans@airasia.com")</f>
        <v>sampans@airasia.com</v>
      </c>
    </row>
    <row r="706">
      <c r="A706">
        <f>IFERROR(__xludf.DUMMYFUNCTION("""COMPUTED_VALUE"""),1015094.0)</f>
        <v>1015094</v>
      </c>
      <c r="B706" t="str">
        <f>IFERROR(__xludf.DUMMYFUNCTION("""COMPUTED_VALUE"""),"Mr.")</f>
        <v>Mr.</v>
      </c>
      <c r="C706" t="str">
        <f>IFERROR(__xludf.DUMMYFUNCTION("""COMPUTED_VALUE"""),"Thanachai (Pheephat)")</f>
        <v>Thanachai (Pheephat)</v>
      </c>
      <c r="D706" t="str">
        <f>IFERROR(__xludf.DUMMYFUNCTION("""COMPUTED_VALUE"""),"Janjamras")</f>
        <v>Janjamras</v>
      </c>
      <c r="E706" t="str">
        <f>IFERROR(__xludf.DUMMYFUNCTION("""COMPUTED_VALUE"""),"Pheephat Janjamras")</f>
        <v>Pheephat Janjamras</v>
      </c>
      <c r="F706" t="str">
        <f>IFERROR(__xludf.DUMMYFUNCTION("""COMPUTED_VALUE"""),"นาย")</f>
        <v>นาย</v>
      </c>
      <c r="G706" t="str">
        <f>IFERROR(__xludf.DUMMYFUNCTION("""COMPUTED_VALUE"""),"ธนชัย (ภีม์พัฒน์)")</f>
        <v>ธนชัย (ภีม์พัฒน์)</v>
      </c>
      <c r="H706" t="str">
        <f>IFERROR(__xludf.DUMMYFUNCTION("""COMPUTED_VALUE"""),"จั่นจำรัส")</f>
        <v>จั่นจำรัส</v>
      </c>
      <c r="I706" t="str">
        <f>IFERROR(__xludf.DUMMYFUNCTION("""COMPUTED_VALUE"""),"ภีม์พัฒน์ จั่นจำรัส")</f>
        <v>ภีม์พัฒน์ จั่นจำรัส</v>
      </c>
      <c r="J706" t="str">
        <f>IFERROR(__xludf.DUMMYFUNCTION("""COMPUTED_VALUE"""),"Bon / บอน")</f>
        <v>Bon / บอน</v>
      </c>
      <c r="K706" t="str">
        <f>IFERROR(__xludf.DUMMYFUNCTION("""COMPUTED_VALUE"""),"Cabin Crew")</f>
        <v>Cabin Crew</v>
      </c>
      <c r="L706" t="str">
        <f>IFERROR(__xludf.DUMMYFUNCTION("""COMPUTED_VALUE"""),"DMK")</f>
        <v>DMK</v>
      </c>
      <c r="M706" s="145" t="str">
        <f>IFERROR(__xludf.DUMMYFUNCTION("""COMPUTED_VALUE"""),"Um Home")</f>
        <v>Um Home</v>
      </c>
      <c r="N706" t="str">
        <f>IFERROR(__xludf.DUMMYFUNCTION("""COMPUTED_VALUE"""),"Active")</f>
        <v>Active</v>
      </c>
      <c r="P706" s="143">
        <f>IFERROR(__xludf.DUMMYFUNCTION("""COMPUTED_VALUE"""),33057.0)</f>
        <v>33057</v>
      </c>
      <c r="Q706" s="146" t="str">
        <f>IFERROR(__xludf.DUMMYFUNCTION("""COMPUTED_VALUE"""),"087 497 4315")</f>
        <v>087 497 4315</v>
      </c>
      <c r="R706" s="147" t="str">
        <f>IFERROR(__xludf.DUMMYFUNCTION("""COMPUTED_VALUE"""),"1101800-40-4431")</f>
        <v>1101800-40-4431</v>
      </c>
      <c r="S706" t="str">
        <f>IFERROR(__xludf.DUMMYFUNCTION("""COMPUTED_VALUE"""),"AD3389943")</f>
        <v>AD3389943</v>
      </c>
      <c r="T706" s="148">
        <f>IFERROR(__xludf.DUMMYFUNCTION("""COMPUTED_VALUE"""),46142.0)</f>
        <v>46142</v>
      </c>
      <c r="U706" s="148">
        <f>IFERROR(__xludf.DUMMYFUNCTION("""COMPUTED_VALUE"""),49794.0)</f>
        <v>49794</v>
      </c>
      <c r="V706" s="149">
        <f>IFERROR(__xludf.DUMMYFUNCTION("""COMPUTED_VALUE"""),49611.0)</f>
        <v>49611</v>
      </c>
      <c r="W706" t="str">
        <f>IFERROR(__xludf.DUMMYFUNCTION("""COMPUTED_VALUE"""),"ปลอดภัย")</f>
        <v>ปลอดภัย</v>
      </c>
      <c r="X706" t="str">
        <f>IFERROR(__xludf.DUMMYFUNCTION("""COMPUTED_VALUE"""),"Bangkok")</f>
        <v>Bangkok</v>
      </c>
      <c r="Y706" t="str">
        <f>IFERROR(__xludf.DUMMYFUNCTION("""COMPUTED_VALUE"""),"Phuttamonthon")</f>
        <v>Phuttamonthon</v>
      </c>
      <c r="Z706" t="str">
        <f>IFERROR(__xludf.DUMMYFUNCTION("""COMPUTED_VALUE"""),"089 740 6145")</f>
        <v>089 740 6145</v>
      </c>
      <c r="AA706" t="str">
        <f>IFERROR(__xludf.DUMMYFUNCTION("""COMPUTED_VALUE"""),"Boonchuey janjumrus")</f>
        <v>Boonchuey janjumrus</v>
      </c>
      <c r="AB706" t="str">
        <f>IFERROR(__xludf.DUMMYFUNCTION("""COMPUTED_VALUE"""),"pheephatj@airasia.com")</f>
        <v>pheephatj@airasia.com</v>
      </c>
    </row>
    <row r="707">
      <c r="A707">
        <f>IFERROR(__xludf.DUMMYFUNCTION("""COMPUTED_VALUE"""),1015096.0)</f>
        <v>1015096</v>
      </c>
      <c r="B707" t="str">
        <f>IFERROR(__xludf.DUMMYFUNCTION("""COMPUTED_VALUE"""),"Ms.")</f>
        <v>Ms.</v>
      </c>
      <c r="C707" t="str">
        <f>IFERROR(__xludf.DUMMYFUNCTION("""COMPUTED_VALUE"""),"Thiranart")</f>
        <v>Thiranart</v>
      </c>
      <c r="D707" t="str">
        <f>IFERROR(__xludf.DUMMYFUNCTION("""COMPUTED_VALUE"""),"Ponglongkhum")</f>
        <v>Ponglongkhum</v>
      </c>
      <c r="E707" t="str">
        <f>IFERROR(__xludf.DUMMYFUNCTION("""COMPUTED_VALUE"""),"Thiranart Ponglongkhum")</f>
        <v>Thiranart Ponglongkhum</v>
      </c>
      <c r="F707" t="str">
        <f>IFERROR(__xludf.DUMMYFUNCTION("""COMPUTED_VALUE"""),"นางสาว")</f>
        <v>นางสาว</v>
      </c>
      <c r="G707" t="str">
        <f>IFERROR(__xludf.DUMMYFUNCTION("""COMPUTED_VALUE"""),"ธีรนาฏ")</f>
        <v>ธีรนาฏ</v>
      </c>
      <c r="H707" t="str">
        <f>IFERROR(__xludf.DUMMYFUNCTION("""COMPUTED_VALUE"""),"ป้องล่องคำ")</f>
        <v>ป้องล่องคำ</v>
      </c>
      <c r="I707" t="str">
        <f>IFERROR(__xludf.DUMMYFUNCTION("""COMPUTED_VALUE"""),"ธีรนาฏ ป้องล่องคำ")</f>
        <v>ธีรนาฏ ป้องล่องคำ</v>
      </c>
      <c r="J707" t="str">
        <f>IFERROR(__xludf.DUMMYFUNCTION("""COMPUTED_VALUE"""),"Aun / อัน")</f>
        <v>Aun / อัน</v>
      </c>
      <c r="K707" t="str">
        <f>IFERROR(__xludf.DUMMYFUNCTION("""COMPUTED_VALUE"""),"Cabin Crew")</f>
        <v>Cabin Crew</v>
      </c>
      <c r="L707" t="str">
        <f>IFERROR(__xludf.DUMMYFUNCTION("""COMPUTED_VALUE"""),"DMK")</f>
        <v>DMK</v>
      </c>
      <c r="M707" s="145" t="str">
        <f>IFERROR(__xludf.DUMMYFUNCTION("""COMPUTED_VALUE"""),"Um Home")</f>
        <v>Um Home</v>
      </c>
      <c r="N707" t="str">
        <f>IFERROR(__xludf.DUMMYFUNCTION("""COMPUTED_VALUE"""),"Active")</f>
        <v>Active</v>
      </c>
      <c r="P707" s="143">
        <f>IFERROR(__xludf.DUMMYFUNCTION("""COMPUTED_VALUE"""),33373.0)</f>
        <v>33373</v>
      </c>
      <c r="Q707" s="146" t="str">
        <f>IFERROR(__xludf.DUMMYFUNCTION("""COMPUTED_VALUE"""),"096 191 5669")</f>
        <v>096 191 5669</v>
      </c>
      <c r="R707" s="147" t="str">
        <f>IFERROR(__xludf.DUMMYFUNCTION("""COMPUTED_VALUE"""),"1103700-46-5138")</f>
        <v>1103700-46-5138</v>
      </c>
      <c r="S707" t="str">
        <f>IFERROR(__xludf.DUMMYFUNCTION("""COMPUTED_VALUE"""),"AC6984720")</f>
        <v>AC6984720</v>
      </c>
      <c r="T707" s="148">
        <f>IFERROR(__xludf.DUMMYFUNCTION("""COMPUTED_VALUE"""),45622.0)</f>
        <v>45622</v>
      </c>
      <c r="U707" s="150">
        <f>IFERROR(__xludf.DUMMYFUNCTION("""COMPUTED_VALUE"""),49273.0)</f>
        <v>49273</v>
      </c>
      <c r="V707" s="149">
        <f>IFERROR(__xludf.DUMMYFUNCTION("""COMPUTED_VALUE"""),49089.0)</f>
        <v>49089</v>
      </c>
      <c r="W707" t="str">
        <f>IFERROR(__xludf.DUMMYFUNCTION("""COMPUTED_VALUE"""),"ปลอดภัย")</f>
        <v>ปลอดภัย</v>
      </c>
      <c r="X707" t="str">
        <f>IFERROR(__xludf.DUMMYFUNCTION("""COMPUTED_VALUE"""),"Bangkok")</f>
        <v>Bangkok</v>
      </c>
      <c r="Y707" t="str">
        <f>IFERROR(__xludf.DUMMYFUNCTION("""COMPUTED_VALUE"""),"Bangkapi")</f>
        <v>Bangkapi</v>
      </c>
      <c r="Z707" t="str">
        <f>IFERROR(__xludf.DUMMYFUNCTION("""COMPUTED_VALUE"""),"081 265 7777")</f>
        <v>081 265 7777</v>
      </c>
      <c r="AA707" t="str">
        <f>IFERROR(__xludf.DUMMYFUNCTION("""COMPUTED_VALUE"""),"Komkrit Chatchaidej (Friend)")</f>
        <v>Komkrit Chatchaidej (Friend)</v>
      </c>
      <c r="AB707" t="str">
        <f>IFERROR(__xludf.DUMMYFUNCTION("""COMPUTED_VALUE"""),"thiranartp@airasia.com")</f>
        <v>thiranartp@airasia.com</v>
      </c>
    </row>
    <row r="708">
      <c r="AB708" t="str">
        <f>IFERROR(__xludf.DUMMYFUNCTION("""COMPUTED_VALUE"""),"")</f>
        <v/>
      </c>
    </row>
    <row r="709">
      <c r="A709">
        <f>IFERROR(__xludf.DUMMYFUNCTION("""COMPUTED_VALUE"""),1015391.0)</f>
        <v>1015391</v>
      </c>
      <c r="B709" t="str">
        <f>IFERROR(__xludf.DUMMYFUNCTION("""COMPUTED_VALUE"""),"Ms.")</f>
        <v>Ms.</v>
      </c>
      <c r="C709" t="str">
        <f>IFERROR(__xludf.DUMMYFUNCTION("""COMPUTED_VALUE"""),"CHINTAPA")</f>
        <v>CHINTAPA</v>
      </c>
      <c r="D709" t="str">
        <f>IFERROR(__xludf.DUMMYFUNCTION("""COMPUTED_VALUE"""),"SUKHARN")</f>
        <v>SUKHARN</v>
      </c>
      <c r="E709" t="str">
        <f>IFERROR(__xludf.DUMMYFUNCTION("""COMPUTED_VALUE"""),"Chintapa Sukharn")</f>
        <v>Chintapa Sukharn</v>
      </c>
      <c r="F709" t="str">
        <f>IFERROR(__xludf.DUMMYFUNCTION("""COMPUTED_VALUE"""),"นางสาว")</f>
        <v>นางสาว</v>
      </c>
      <c r="G709" t="str">
        <f>IFERROR(__xludf.DUMMYFUNCTION("""COMPUTED_VALUE"""),"จินตาภา")</f>
        <v>จินตาภา</v>
      </c>
      <c r="H709" t="str">
        <f>IFERROR(__xludf.DUMMYFUNCTION("""COMPUTED_VALUE"""),"ศึกหาญ")</f>
        <v>ศึกหาญ</v>
      </c>
      <c r="I709" t="str">
        <f>IFERROR(__xludf.DUMMYFUNCTION("""COMPUTED_VALUE"""),"จินตาภา ศึกหาญ")</f>
        <v>จินตาภา ศึกหาญ</v>
      </c>
      <c r="J709" t="str">
        <f>IFERROR(__xludf.DUMMYFUNCTION("""COMPUTED_VALUE"""),"Tarn ตาล")</f>
        <v>Tarn ตาล</v>
      </c>
      <c r="K709" t="str">
        <f>IFERROR(__xludf.DUMMYFUNCTION("""COMPUTED_VALUE"""),"Cabin Crew")</f>
        <v>Cabin Crew</v>
      </c>
      <c r="L709" t="str">
        <f>IFERROR(__xludf.DUMMYFUNCTION("""COMPUTED_VALUE"""),"DMK")</f>
        <v>DMK</v>
      </c>
      <c r="M709" s="145" t="str">
        <f>IFERROR(__xludf.DUMMYFUNCTION("""COMPUTED_VALUE"""),"Um Home")</f>
        <v>Um Home</v>
      </c>
      <c r="N709" t="str">
        <f>IFERROR(__xludf.DUMMYFUNCTION("""COMPUTED_VALUE"""),"Active")</f>
        <v>Active</v>
      </c>
      <c r="P709" s="143">
        <f>IFERROR(__xludf.DUMMYFUNCTION("""COMPUTED_VALUE"""),32563.0)</f>
        <v>32563</v>
      </c>
      <c r="Q709" s="146" t="str">
        <f>IFERROR(__xludf.DUMMYFUNCTION("""COMPUTED_VALUE"""),"086 488 1188")</f>
        <v>086 488 1188</v>
      </c>
      <c r="R709" s="147" t="str">
        <f>IFERROR(__xludf.DUMMYFUNCTION("""COMPUTED_VALUE"""),"1-8401-00243-92-5")</f>
        <v>1-8401-00243-92-5</v>
      </c>
      <c r="S709" t="str">
        <f>IFERROR(__xludf.DUMMYFUNCTION("""COMPUTED_VALUE"""),"AC3290593")</f>
        <v>AC3290593</v>
      </c>
      <c r="T709" s="148">
        <f>IFERROR(__xludf.DUMMYFUNCTION("""COMPUTED_VALUE"""),44718.0)</f>
        <v>44718</v>
      </c>
      <c r="U709" s="148">
        <f>IFERROR(__xludf.DUMMYFUNCTION("""COMPUTED_VALUE"""),48370.0)</f>
        <v>48370</v>
      </c>
      <c r="V709" s="149">
        <f>IFERROR(__xludf.DUMMYFUNCTION("""COMPUTED_VALUE"""),48187.0)</f>
        <v>48187</v>
      </c>
      <c r="W709" t="str">
        <f>IFERROR(__xludf.DUMMYFUNCTION("""COMPUTED_VALUE"""),"ปลอดภัย")</f>
        <v>ปลอดภัย</v>
      </c>
      <c r="X709" t="str">
        <f>IFERROR(__xludf.DUMMYFUNCTION("""COMPUTED_VALUE"""),"Surat Thani Province")</f>
        <v>Surat Thani Province</v>
      </c>
      <c r="Y709" t="str">
        <f>IFERROR(__xludf.DUMMYFUNCTION("""COMPUTED_VALUE"""),"Bangkok")</f>
        <v>Bangkok</v>
      </c>
      <c r="Z709" t="str">
        <f>IFERROR(__xludf.DUMMYFUNCTION("""COMPUTED_VALUE"""),"081 541 5552")</f>
        <v>081 541 5552</v>
      </c>
      <c r="AA709" t="str">
        <f>IFERROR(__xludf.DUMMYFUNCTION("""COMPUTED_VALUE"""),"Nongyao Sukharn(Mother)")</f>
        <v>Nongyao Sukharn(Mother)</v>
      </c>
      <c r="AB709" t="str">
        <f>IFERROR(__xludf.DUMMYFUNCTION("""COMPUTED_VALUE"""),"chintapas@airasia.com")</f>
        <v>chintapas@airasia.com</v>
      </c>
    </row>
    <row r="710">
      <c r="A710">
        <f>IFERROR(__xludf.DUMMYFUNCTION("""COMPUTED_VALUE"""),1015394.0)</f>
        <v>1015394</v>
      </c>
      <c r="B710" t="str">
        <f>IFERROR(__xludf.DUMMYFUNCTION("""COMPUTED_VALUE"""),"Mr.")</f>
        <v>Mr.</v>
      </c>
      <c r="C710" t="str">
        <f>IFERROR(__xludf.DUMMYFUNCTION("""COMPUTED_VALUE"""),"Kawin")</f>
        <v>Kawin</v>
      </c>
      <c r="D710" t="str">
        <f>IFERROR(__xludf.DUMMYFUNCTION("""COMPUTED_VALUE"""),"Panpipat")</f>
        <v>Panpipat</v>
      </c>
      <c r="E710" t="str">
        <f>IFERROR(__xludf.DUMMYFUNCTION("""COMPUTED_VALUE"""),"Kawin Panpipat")</f>
        <v>Kawin Panpipat</v>
      </c>
      <c r="F710" t="str">
        <f>IFERROR(__xludf.DUMMYFUNCTION("""COMPUTED_VALUE"""),"นาย")</f>
        <v>นาย</v>
      </c>
      <c r="G710" t="str">
        <f>IFERROR(__xludf.DUMMYFUNCTION("""COMPUTED_VALUE"""),"กวิน")</f>
        <v>กวิน</v>
      </c>
      <c r="H710" t="str">
        <f>IFERROR(__xludf.DUMMYFUNCTION("""COMPUTED_VALUE"""),"พันธุ์พิพัฒน์")</f>
        <v>พันธุ์พิพัฒน์</v>
      </c>
      <c r="I710" t="str">
        <f>IFERROR(__xludf.DUMMYFUNCTION("""COMPUTED_VALUE"""),"กวิน พันธุ์พิพัฒน์")</f>
        <v>กวิน พันธุ์พิพัฒน์</v>
      </c>
      <c r="J710" t="str">
        <f>IFERROR(__xludf.DUMMYFUNCTION("""COMPUTED_VALUE"""),"Team ทีม")</f>
        <v>Team ทีม</v>
      </c>
      <c r="K710" t="str">
        <f>IFERROR(__xludf.DUMMYFUNCTION("""COMPUTED_VALUE"""),"Cabin Crew")</f>
        <v>Cabin Crew</v>
      </c>
      <c r="L710" t="str">
        <f>IFERROR(__xludf.DUMMYFUNCTION("""COMPUTED_VALUE"""),"DMK")</f>
        <v>DMK</v>
      </c>
      <c r="M710" s="145" t="str">
        <f>IFERROR(__xludf.DUMMYFUNCTION("""COMPUTED_VALUE"""),"Kor Home")</f>
        <v>Kor Home</v>
      </c>
      <c r="N710" t="str">
        <f>IFERROR(__xludf.DUMMYFUNCTION("""COMPUTED_VALUE"""),"Active")</f>
        <v>Active</v>
      </c>
      <c r="P710" s="143">
        <f>IFERROR(__xludf.DUMMYFUNCTION("""COMPUTED_VALUE"""),32993.0)</f>
        <v>32993</v>
      </c>
      <c r="Q710" s="146" t="str">
        <f>IFERROR(__xludf.DUMMYFUNCTION("""COMPUTED_VALUE"""),"091 005 1000")</f>
        <v>091 005 1000</v>
      </c>
      <c r="R710" s="147" t="str">
        <f>IFERROR(__xludf.DUMMYFUNCTION("""COMPUTED_VALUE"""),"1-1037-00124-17-9")</f>
        <v>1-1037-00124-17-9</v>
      </c>
      <c r="S710" t="str">
        <f>IFERROR(__xludf.DUMMYFUNCTION("""COMPUTED_VALUE"""),"AC6633285")</f>
        <v>AC6633285</v>
      </c>
      <c r="T710" s="148">
        <f>IFERROR(__xludf.DUMMYFUNCTION("""COMPUTED_VALUE"""),45419.0)</f>
        <v>45419</v>
      </c>
      <c r="U710" s="148">
        <f>IFERROR(__xludf.DUMMYFUNCTION("""COMPUTED_VALUE"""),49070.0)</f>
        <v>49070</v>
      </c>
      <c r="V710" s="149">
        <f>IFERROR(__xludf.DUMMYFUNCTION("""COMPUTED_VALUE"""),48889.0)</f>
        <v>48889</v>
      </c>
      <c r="W710" t="str">
        <f>IFERROR(__xludf.DUMMYFUNCTION("""COMPUTED_VALUE"""),"ปลอดภัย")</f>
        <v>ปลอดภัย</v>
      </c>
      <c r="X710" t="str">
        <f>IFERROR(__xludf.DUMMYFUNCTION("""COMPUTED_VALUE"""),"Bangkok")</f>
        <v>Bangkok</v>
      </c>
      <c r="Y710" t="str">
        <f>IFERROR(__xludf.DUMMYFUNCTION("""COMPUTED_VALUE"""),"Nakornsrithammarat")</f>
        <v>Nakornsrithammarat</v>
      </c>
      <c r="Z710" t="str">
        <f>IFERROR(__xludf.DUMMYFUNCTION("""COMPUTED_VALUE"""),"086 907 7270")</f>
        <v>086 907 7270</v>
      </c>
      <c r="AA710" t="str">
        <f>IFERROR(__xludf.DUMMYFUNCTION("""COMPUTED_VALUE"""),"Kawee Panpipat (Brother)")</f>
        <v>Kawee Panpipat (Brother)</v>
      </c>
      <c r="AB710" t="str">
        <f>IFERROR(__xludf.DUMMYFUNCTION("""COMPUTED_VALUE"""),"kawinp@airasia.com")</f>
        <v>kawinp@airasia.com</v>
      </c>
    </row>
    <row r="711">
      <c r="A711">
        <f>IFERROR(__xludf.DUMMYFUNCTION("""COMPUTED_VALUE"""),1015404.0)</f>
        <v>1015404</v>
      </c>
      <c r="B711" t="str">
        <f>IFERROR(__xludf.DUMMYFUNCTION("""COMPUTED_VALUE"""),"Ms.")</f>
        <v>Ms.</v>
      </c>
      <c r="C711" t="str">
        <f>IFERROR(__xludf.DUMMYFUNCTION("""COMPUTED_VALUE"""),"Nutchanart")</f>
        <v>Nutchanart</v>
      </c>
      <c r="D711" t="str">
        <f>IFERROR(__xludf.DUMMYFUNCTION("""COMPUTED_VALUE"""),"Wanmasae")</f>
        <v>Wanmasae</v>
      </c>
      <c r="E711" t="str">
        <f>IFERROR(__xludf.DUMMYFUNCTION("""COMPUTED_VALUE"""),"Nutchanart Wanmasae")</f>
        <v>Nutchanart Wanmasae</v>
      </c>
      <c r="F711" t="str">
        <f>IFERROR(__xludf.DUMMYFUNCTION("""COMPUTED_VALUE"""),"นางสาว")</f>
        <v>นางสาว</v>
      </c>
      <c r="G711" t="str">
        <f>IFERROR(__xludf.DUMMYFUNCTION("""COMPUTED_VALUE"""),"นุชนาถ")</f>
        <v>นุชนาถ</v>
      </c>
      <c r="H711" t="str">
        <f>IFERROR(__xludf.DUMMYFUNCTION("""COMPUTED_VALUE"""),"หวันมาแซะ")</f>
        <v>หวันมาแซะ</v>
      </c>
      <c r="I711" t="str">
        <f>IFERROR(__xludf.DUMMYFUNCTION("""COMPUTED_VALUE"""),"นุชนาถ หวันมาแซะ")</f>
        <v>นุชนาถ หวันมาแซะ</v>
      </c>
      <c r="J711" t="str">
        <f>IFERROR(__xludf.DUMMYFUNCTION("""COMPUTED_VALUE"""),"Tarn ตาล")</f>
        <v>Tarn ตาล</v>
      </c>
      <c r="K711" t="str">
        <f>IFERROR(__xludf.DUMMYFUNCTION("""COMPUTED_VALUE"""),"Cabin Crew - BKK")</f>
        <v>Cabin Crew - BKK</v>
      </c>
      <c r="L711" t="str">
        <f>IFERROR(__xludf.DUMMYFUNCTION("""COMPUTED_VALUE"""),"BKK")</f>
        <v>BKK</v>
      </c>
      <c r="M711" s="145" t="str">
        <f>IFERROR(__xludf.DUMMYFUNCTION("""COMPUTED_VALUE"""),"Nhui Home")</f>
        <v>Nhui Home</v>
      </c>
      <c r="N711" t="str">
        <f>IFERROR(__xludf.DUMMYFUNCTION("""COMPUTED_VALUE"""),"Active")</f>
        <v>Active</v>
      </c>
      <c r="P711" s="143">
        <f>IFERROR(__xludf.DUMMYFUNCTION("""COMPUTED_VALUE"""),33565.0)</f>
        <v>33565</v>
      </c>
      <c r="Q711" s="146" t="str">
        <f>IFERROR(__xludf.DUMMYFUNCTION("""COMPUTED_VALUE"""),"089 654 8509")</f>
        <v>089 654 8509</v>
      </c>
      <c r="R711" s="147" t="str">
        <f>IFERROR(__xludf.DUMMYFUNCTION("""COMPUTED_VALUE"""),"1-9599-00297-29-6")</f>
        <v>1-9599-00297-29-6</v>
      </c>
      <c r="S711" t="str">
        <f>IFERROR(__xludf.DUMMYFUNCTION("""COMPUTED_VALUE"""),"AC3948901")</f>
        <v>AC3948901</v>
      </c>
      <c r="T711" s="148">
        <f>IFERROR(__xludf.DUMMYFUNCTION("""COMPUTED_VALUE"""),44804.0)</f>
        <v>44804</v>
      </c>
      <c r="U711" s="148">
        <f>IFERROR(__xludf.DUMMYFUNCTION("""COMPUTED_VALUE"""),48456.0)</f>
        <v>48456</v>
      </c>
      <c r="V711" s="149">
        <f>IFERROR(__xludf.DUMMYFUNCTION("""COMPUTED_VALUE"""),48273.0)</f>
        <v>48273</v>
      </c>
      <c r="W711" t="str">
        <f>IFERROR(__xludf.DUMMYFUNCTION("""COMPUTED_VALUE"""),"ปลอดภัย")</f>
        <v>ปลอดภัย</v>
      </c>
      <c r="X711" t="str">
        <f>IFERROR(__xludf.DUMMYFUNCTION("""COMPUTED_VALUE"""),"Yala Province")</f>
        <v>Yala Province</v>
      </c>
      <c r="Y711" t="str">
        <f>IFERROR(__xludf.DUMMYFUNCTION("""COMPUTED_VALUE"""),"Hatyai")</f>
        <v>Hatyai</v>
      </c>
      <c r="Z711" t="str">
        <f>IFERROR(__xludf.DUMMYFUNCTION("""COMPUTED_VALUE"""),"089 4899890")</f>
        <v>089 4899890</v>
      </c>
      <c r="AA711" t="str">
        <f>IFERROR(__xludf.DUMMYFUNCTION("""COMPUTED_VALUE"""),"Gorngrew Wanmasae(Mother)")</f>
        <v>Gorngrew Wanmasae(Mother)</v>
      </c>
      <c r="AB711" t="str">
        <f>IFERROR(__xludf.DUMMYFUNCTION("""COMPUTED_VALUE"""),"nutchanartw@airasia.com")</f>
        <v>nutchanartw@airasia.com</v>
      </c>
    </row>
    <row r="712">
      <c r="A712">
        <f>IFERROR(__xludf.DUMMYFUNCTION("""COMPUTED_VALUE"""),1015405.0)</f>
        <v>1015405</v>
      </c>
      <c r="B712" t="str">
        <f>IFERROR(__xludf.DUMMYFUNCTION("""COMPUTED_VALUE"""),"Mr.")</f>
        <v>Mr.</v>
      </c>
      <c r="C712" t="str">
        <f>IFERROR(__xludf.DUMMYFUNCTION("""COMPUTED_VALUE"""),"Nuttapon")</f>
        <v>Nuttapon</v>
      </c>
      <c r="D712" t="str">
        <f>IFERROR(__xludf.DUMMYFUNCTION("""COMPUTED_VALUE"""),"Pungjun")</f>
        <v>Pungjun</v>
      </c>
      <c r="E712" t="str">
        <f>IFERROR(__xludf.DUMMYFUNCTION("""COMPUTED_VALUE"""),"Nuttapon Pungjun")</f>
        <v>Nuttapon Pungjun</v>
      </c>
      <c r="F712" t="str">
        <f>IFERROR(__xludf.DUMMYFUNCTION("""COMPUTED_VALUE"""),"นาย")</f>
        <v>นาย</v>
      </c>
      <c r="G712" t="str">
        <f>IFERROR(__xludf.DUMMYFUNCTION("""COMPUTED_VALUE"""),"ณัฐพล")</f>
        <v>ณัฐพล</v>
      </c>
      <c r="H712" t="str">
        <f>IFERROR(__xludf.DUMMYFUNCTION("""COMPUTED_VALUE"""),"พวงจันทร์")</f>
        <v>พวงจันทร์</v>
      </c>
      <c r="I712" t="str">
        <f>IFERROR(__xludf.DUMMYFUNCTION("""COMPUTED_VALUE"""),"ณัฐพล พวงจันทร์")</f>
        <v>ณัฐพล พวงจันทร์</v>
      </c>
      <c r="J712" t="str">
        <f>IFERROR(__xludf.DUMMYFUNCTION("""COMPUTED_VALUE"""),"Bank แบงค์")</f>
        <v>Bank แบงค์</v>
      </c>
      <c r="K712" t="str">
        <f>IFERROR(__xludf.DUMMYFUNCTION("""COMPUTED_VALUE"""),"Senior Cabin Crew")</f>
        <v>Senior Cabin Crew</v>
      </c>
      <c r="L712" t="str">
        <f>IFERROR(__xludf.DUMMYFUNCTION("""COMPUTED_VALUE"""),"DMK")</f>
        <v>DMK</v>
      </c>
      <c r="M712" s="145" t="str">
        <f>IFERROR(__xludf.DUMMYFUNCTION("""COMPUTED_VALUE"""),"Por+ Home")</f>
        <v>Por+ Home</v>
      </c>
      <c r="N712" t="str">
        <f>IFERROR(__xludf.DUMMYFUNCTION("""COMPUTED_VALUE"""),"Active")</f>
        <v>Active</v>
      </c>
      <c r="P712" s="143">
        <f>IFERROR(__xludf.DUMMYFUNCTION("""COMPUTED_VALUE"""),33959.0)</f>
        <v>33959</v>
      </c>
      <c r="Q712" s="146" t="str">
        <f>IFERROR(__xludf.DUMMYFUNCTION("""COMPUTED_VALUE"""),"064 283 4666 ")</f>
        <v>064 283 4666 </v>
      </c>
      <c r="R712" s="147" t="str">
        <f>IFERROR(__xludf.DUMMYFUNCTION("""COMPUTED_VALUE"""),"1-1002-00796-89-2")</f>
        <v>1-1002-00796-89-2</v>
      </c>
      <c r="S712" t="str">
        <f>IFERROR(__xludf.DUMMYFUNCTION("""COMPUTED_VALUE"""),"AC3980114")</f>
        <v>AC3980114</v>
      </c>
      <c r="T712" s="148">
        <f>IFERROR(__xludf.DUMMYFUNCTION("""COMPUTED_VALUE"""),44809.0)</f>
        <v>44809</v>
      </c>
      <c r="U712" s="148">
        <f>IFERROR(__xludf.DUMMYFUNCTION("""COMPUTED_VALUE"""),48461.0)</f>
        <v>48461</v>
      </c>
      <c r="V712" s="149">
        <f>IFERROR(__xludf.DUMMYFUNCTION("""COMPUTED_VALUE"""),48277.0)</f>
        <v>48277</v>
      </c>
      <c r="W712" t="str">
        <f>IFERROR(__xludf.DUMMYFUNCTION("""COMPUTED_VALUE"""),"ปลอดภัย")</f>
        <v>ปลอดภัย</v>
      </c>
      <c r="X712" t="str">
        <f>IFERROR(__xludf.DUMMYFUNCTION("""COMPUTED_VALUE"""),"Bangkok")</f>
        <v>Bangkok</v>
      </c>
      <c r="Y712" t="str">
        <f>IFERROR(__xludf.DUMMYFUNCTION("""COMPUTED_VALUE"""),"Nonthaburi")</f>
        <v>Nonthaburi</v>
      </c>
      <c r="Z712" t="str">
        <f>IFERROR(__xludf.DUMMYFUNCTION("""COMPUTED_VALUE"""),"089 442 8082")</f>
        <v>089 442 8082</v>
      </c>
      <c r="AA712" t="str">
        <f>IFERROR(__xludf.DUMMYFUNCTION("""COMPUTED_VALUE"""),"Alongkorn Pungjun(Father)")</f>
        <v>Alongkorn Pungjun(Father)</v>
      </c>
      <c r="AB712" t="str">
        <f>IFERROR(__xludf.DUMMYFUNCTION("""COMPUTED_VALUE"""),"nuttaponj@airasia.com")</f>
        <v>nuttaponj@airasia.com</v>
      </c>
    </row>
    <row r="713">
      <c r="A713">
        <f>IFERROR(__xludf.DUMMYFUNCTION("""COMPUTED_VALUE"""),1015406.0)</f>
        <v>1015406</v>
      </c>
      <c r="B713" t="str">
        <f>IFERROR(__xludf.DUMMYFUNCTION("""COMPUTED_VALUE"""),"Mr.")</f>
        <v>Mr.</v>
      </c>
      <c r="C713" t="str">
        <f>IFERROR(__xludf.DUMMYFUNCTION("""COMPUTED_VALUE"""),"Perati")</f>
        <v>Perati</v>
      </c>
      <c r="D713" t="str">
        <f>IFERROR(__xludf.DUMMYFUNCTION("""COMPUTED_VALUE"""),"Ardwong")</f>
        <v>Ardwong</v>
      </c>
      <c r="E713" t="str">
        <f>IFERROR(__xludf.DUMMYFUNCTION("""COMPUTED_VALUE"""),"Perati Ardwong")</f>
        <v>Perati Ardwong</v>
      </c>
      <c r="F713" t="str">
        <f>IFERROR(__xludf.DUMMYFUNCTION("""COMPUTED_VALUE"""),"นาย")</f>
        <v>นาย</v>
      </c>
      <c r="G713" t="str">
        <f>IFERROR(__xludf.DUMMYFUNCTION("""COMPUTED_VALUE"""),"ปีรติ")</f>
        <v>ปีรติ</v>
      </c>
      <c r="H713" t="str">
        <f>IFERROR(__xludf.DUMMYFUNCTION("""COMPUTED_VALUE"""),"อาจวงษ์")</f>
        <v>อาจวงษ์</v>
      </c>
      <c r="I713" t="str">
        <f>IFERROR(__xludf.DUMMYFUNCTION("""COMPUTED_VALUE"""),"ปีรติ อาจวงษ์")</f>
        <v>ปีรติ อาจวงษ์</v>
      </c>
      <c r="J713" t="str">
        <f>IFERROR(__xludf.DUMMYFUNCTION("""COMPUTED_VALUE"""),"Prame เปรม")</f>
        <v>Prame เปรม</v>
      </c>
      <c r="K713" t="str">
        <f>IFERROR(__xludf.DUMMYFUNCTION("""COMPUTED_VALUE"""),"Senior Cabin Crew")</f>
        <v>Senior Cabin Crew</v>
      </c>
      <c r="L713" t="str">
        <f>IFERROR(__xludf.DUMMYFUNCTION("""COMPUTED_VALUE"""),"DMK")</f>
        <v>DMK</v>
      </c>
      <c r="M713" s="145" t="str">
        <f>IFERROR(__xludf.DUMMYFUNCTION("""COMPUTED_VALUE"""),"Nhui Home")</f>
        <v>Nhui Home</v>
      </c>
      <c r="N713" t="str">
        <f>IFERROR(__xludf.DUMMYFUNCTION("""COMPUTED_VALUE"""),"Active")</f>
        <v>Active</v>
      </c>
      <c r="P713" s="143">
        <f>IFERROR(__xludf.DUMMYFUNCTION("""COMPUTED_VALUE"""),33692.0)</f>
        <v>33692</v>
      </c>
      <c r="Q713" s="146" t="str">
        <f>IFERROR(__xludf.DUMMYFUNCTION("""COMPUTED_VALUE"""),"096 886 4770")</f>
        <v>096 886 4770</v>
      </c>
      <c r="R713" s="147" t="str">
        <f>IFERROR(__xludf.DUMMYFUNCTION("""COMPUTED_VALUE"""),"1-1037-00745-92-1")</f>
        <v>1-1037-00745-92-1</v>
      </c>
      <c r="S713" t="str">
        <f>IFERROR(__xludf.DUMMYFUNCTION("""COMPUTED_VALUE"""),"AC8189030")</f>
        <v>AC8189030</v>
      </c>
      <c r="T713" s="148">
        <f>IFERROR(__xludf.DUMMYFUNCTION("""COMPUTED_VALUE"""),46069.0)</f>
        <v>46069</v>
      </c>
      <c r="U713" s="148">
        <f>IFERROR(__xludf.DUMMYFUNCTION("""COMPUTED_VALUE"""),49720.0)</f>
        <v>49720</v>
      </c>
      <c r="V713" s="149">
        <f>IFERROR(__xludf.DUMMYFUNCTION("""COMPUTED_VALUE"""),49536.0)</f>
        <v>49536</v>
      </c>
      <c r="W713" t="str">
        <f>IFERROR(__xludf.DUMMYFUNCTION("""COMPUTED_VALUE"""),"ปลอดภัย")</f>
        <v>ปลอดภัย</v>
      </c>
      <c r="X713" t="str">
        <f>IFERROR(__xludf.DUMMYFUNCTION("""COMPUTED_VALUE"""),"Bangkok")</f>
        <v>Bangkok</v>
      </c>
      <c r="Y713" t="str">
        <f>IFERROR(__xludf.DUMMYFUNCTION("""COMPUTED_VALUE"""),"Bangkok")</f>
        <v>Bangkok</v>
      </c>
      <c r="Z713" t="str">
        <f>IFERROR(__xludf.DUMMYFUNCTION("""COMPUTED_VALUE"""),"087 551 5197")</f>
        <v>087 551 5197</v>
      </c>
      <c r="AA713" t="str">
        <f>IFERROR(__xludf.DUMMYFUNCTION("""COMPUTED_VALUE"""),"Neeranuch Ardwong (Mother)")</f>
        <v>Neeranuch Ardwong (Mother)</v>
      </c>
      <c r="AB713" t="str">
        <f>IFERROR(__xludf.DUMMYFUNCTION("""COMPUTED_VALUE"""),"peratia@airasia.com")</f>
        <v>peratia@airasia.com</v>
      </c>
    </row>
    <row r="714">
      <c r="A714">
        <f>IFERROR(__xludf.DUMMYFUNCTION("""COMPUTED_VALUE"""),1015408.0)</f>
        <v>1015408</v>
      </c>
      <c r="B714" t="str">
        <f>IFERROR(__xludf.DUMMYFUNCTION("""COMPUTED_VALUE"""),"Ms.")</f>
        <v>Ms.</v>
      </c>
      <c r="C714" t="str">
        <f>IFERROR(__xludf.DUMMYFUNCTION("""COMPUTED_VALUE"""),"Pornpimol")</f>
        <v>Pornpimol</v>
      </c>
      <c r="D714" t="str">
        <f>IFERROR(__xludf.DUMMYFUNCTION("""COMPUTED_VALUE"""),"Chorruengsak")</f>
        <v>Chorruengsak</v>
      </c>
      <c r="E714" t="str">
        <f>IFERROR(__xludf.DUMMYFUNCTION("""COMPUTED_VALUE"""),"Pornpimol Chorruengsak")</f>
        <v>Pornpimol Chorruengsak</v>
      </c>
      <c r="F714" t="str">
        <f>IFERROR(__xludf.DUMMYFUNCTION("""COMPUTED_VALUE"""),"นางสาว")</f>
        <v>นางสาว</v>
      </c>
      <c r="G714" t="str">
        <f>IFERROR(__xludf.DUMMYFUNCTION("""COMPUTED_VALUE"""),"พรพิมล")</f>
        <v>พรพิมล</v>
      </c>
      <c r="H714" t="str">
        <f>IFERROR(__xludf.DUMMYFUNCTION("""COMPUTED_VALUE"""),"ช่อเรืองศักดิ์")</f>
        <v>ช่อเรืองศักดิ์</v>
      </c>
      <c r="I714" t="str">
        <f>IFERROR(__xludf.DUMMYFUNCTION("""COMPUTED_VALUE"""),"พรพิมล ช่อเรืองศักดิ์")</f>
        <v>พรพิมล ช่อเรืองศักดิ์</v>
      </c>
      <c r="J714" t="str">
        <f>IFERROR(__xludf.DUMMYFUNCTION("""COMPUTED_VALUE"""),"Eye อาย")</f>
        <v>Eye อาย</v>
      </c>
      <c r="K714" t="str">
        <f>IFERROR(__xludf.DUMMYFUNCTION("""COMPUTED_VALUE"""),"Cabin Crew")</f>
        <v>Cabin Crew</v>
      </c>
      <c r="L714" t="str">
        <f>IFERROR(__xludf.DUMMYFUNCTION("""COMPUTED_VALUE"""),"DMK")</f>
        <v>DMK</v>
      </c>
      <c r="M714" s="145" t="str">
        <f>IFERROR(__xludf.DUMMYFUNCTION("""COMPUTED_VALUE"""),"Nhui Home")</f>
        <v>Nhui Home</v>
      </c>
      <c r="N714" t="str">
        <f>IFERROR(__xludf.DUMMYFUNCTION("""COMPUTED_VALUE"""),"Active")</f>
        <v>Active</v>
      </c>
      <c r="P714" s="143">
        <f>IFERROR(__xludf.DUMMYFUNCTION("""COMPUTED_VALUE"""),33206.0)</f>
        <v>33206</v>
      </c>
      <c r="Q714" s="146" t="str">
        <f>IFERROR(__xludf.DUMMYFUNCTION("""COMPUTED_VALUE"""),"086 292 5436")</f>
        <v>086 292 5436</v>
      </c>
      <c r="R714" s="147" t="str">
        <f>IFERROR(__xludf.DUMMYFUNCTION("""COMPUTED_VALUE"""),"1-9098-00491-26-1")</f>
        <v>1-9098-00491-26-1</v>
      </c>
      <c r="S714" t="str">
        <f>IFERROR(__xludf.DUMMYFUNCTION("""COMPUTED_VALUE"""),"AC6112258")</f>
        <v>AC6112258</v>
      </c>
      <c r="T714" s="148">
        <f>IFERROR(__xludf.DUMMYFUNCTION("""COMPUTED_VALUE"""),45277.0)</f>
        <v>45277</v>
      </c>
      <c r="U714" s="148">
        <f>IFERROR(__xludf.DUMMYFUNCTION("""COMPUTED_VALUE"""),48929.0)</f>
        <v>48929</v>
      </c>
      <c r="V714" s="149">
        <f>IFERROR(__xludf.DUMMYFUNCTION("""COMPUTED_VALUE"""),48746.0)</f>
        <v>48746</v>
      </c>
      <c r="W714" t="str">
        <f>IFERROR(__xludf.DUMMYFUNCTION("""COMPUTED_VALUE"""),"ปลอดภัย")</f>
        <v>ปลอดภัย</v>
      </c>
      <c r="X714" t="str">
        <f>IFERROR(__xludf.DUMMYFUNCTION("""COMPUTED_VALUE"""),"Songkhla Province")</f>
        <v>Songkhla Province</v>
      </c>
      <c r="Y714" t="str">
        <f>IFERROR(__xludf.DUMMYFUNCTION("""COMPUTED_VALUE"""),"Songkhla")</f>
        <v>Songkhla</v>
      </c>
      <c r="Z714" t="str">
        <f>IFERROR(__xludf.DUMMYFUNCTION("""COMPUTED_VALUE"""),"080 541 4805")</f>
        <v>080 541 4805</v>
      </c>
      <c r="AA714" t="str">
        <f>IFERROR(__xludf.DUMMYFUNCTION("""COMPUTED_VALUE"""),"Supichit Chorruengsak(Father)")</f>
        <v>Supichit Chorruengsak(Father)</v>
      </c>
      <c r="AB714" t="str">
        <f>IFERROR(__xludf.DUMMYFUNCTION("""COMPUTED_VALUE"""),"pornpimolh@airasia.com")</f>
        <v>pornpimolh@airasia.com</v>
      </c>
    </row>
    <row r="715">
      <c r="A715">
        <f>IFERROR(__xludf.DUMMYFUNCTION("""COMPUTED_VALUE"""),1015412.0)</f>
        <v>1015412</v>
      </c>
      <c r="B715" t="str">
        <f>IFERROR(__xludf.DUMMYFUNCTION("""COMPUTED_VALUE"""),"Mr.")</f>
        <v>Mr.</v>
      </c>
      <c r="C715" t="str">
        <f>IFERROR(__xludf.DUMMYFUNCTION("""COMPUTED_VALUE"""),"Sitthiphath")</f>
        <v>Sitthiphath</v>
      </c>
      <c r="D715" t="str">
        <f>IFERROR(__xludf.DUMMYFUNCTION("""COMPUTED_VALUE"""),"Ratanaborvornsethi")</f>
        <v>Ratanaborvornsethi</v>
      </c>
      <c r="E715" t="str">
        <f>IFERROR(__xludf.DUMMYFUNCTION("""COMPUTED_VALUE"""),"Sitthiphath Ratanaborvornsethi")</f>
        <v>Sitthiphath Ratanaborvornsethi</v>
      </c>
      <c r="F715" t="str">
        <f>IFERROR(__xludf.DUMMYFUNCTION("""COMPUTED_VALUE"""),"นาย")</f>
        <v>นาย</v>
      </c>
      <c r="G715" t="str">
        <f>IFERROR(__xludf.DUMMYFUNCTION("""COMPUTED_VALUE"""),"ศิษฐิพัช")</f>
        <v>ศิษฐิพัช</v>
      </c>
      <c r="H715" t="str">
        <f>IFERROR(__xludf.DUMMYFUNCTION("""COMPUTED_VALUE"""),"รัตนบวรเศรษฐ์")</f>
        <v>รัตนบวรเศรษฐ์</v>
      </c>
      <c r="I715" t="str">
        <f>IFERROR(__xludf.DUMMYFUNCTION("""COMPUTED_VALUE"""),"ศิษฐิพัช รัตนบวรเศรษฐ์")</f>
        <v>ศิษฐิพัช รัตนบวรเศรษฐ์</v>
      </c>
      <c r="J715" t="str">
        <f>IFERROR(__xludf.DUMMYFUNCTION("""COMPUTED_VALUE"""),"Modern โมเดิร์น")</f>
        <v>Modern โมเดิร์น</v>
      </c>
      <c r="K715" t="str">
        <f>IFERROR(__xludf.DUMMYFUNCTION("""COMPUTED_VALUE"""),"Cabin Crew")</f>
        <v>Cabin Crew</v>
      </c>
      <c r="L715" t="str">
        <f>IFERROR(__xludf.DUMMYFUNCTION("""COMPUTED_VALUE"""),"DMK")</f>
        <v>DMK</v>
      </c>
      <c r="M715" s="145" t="str">
        <f>IFERROR(__xludf.DUMMYFUNCTION("""COMPUTED_VALUE"""),"Um Home")</f>
        <v>Um Home</v>
      </c>
      <c r="N715" t="str">
        <f>IFERROR(__xludf.DUMMYFUNCTION("""COMPUTED_VALUE"""),"V/LWP")</f>
        <v>V/LWP</v>
      </c>
      <c r="P715" s="143">
        <f>IFERROR(__xludf.DUMMYFUNCTION("""COMPUTED_VALUE"""),32737.0)</f>
        <v>32737</v>
      </c>
      <c r="Q715" s="146">
        <f>IFERROR(__xludf.DUMMYFUNCTION("""COMPUTED_VALUE"""),9.41495199E8)</f>
        <v>941495199</v>
      </c>
      <c r="R715" s="147" t="str">
        <f>IFERROR(__xludf.DUMMYFUNCTION("""COMPUTED_VALUE"""),"1-1014-01660-67-1")</f>
        <v>1-1014-01660-67-1</v>
      </c>
      <c r="S715" t="str">
        <f>IFERROR(__xludf.DUMMYFUNCTION("""COMPUTED_VALUE"""),"AC4778442")</f>
        <v>AC4778442</v>
      </c>
      <c r="T715" s="148">
        <f>IFERROR(__xludf.DUMMYFUNCTION("""COMPUTED_VALUE"""),45040.0)</f>
        <v>45040</v>
      </c>
      <c r="U715" s="148">
        <f>IFERROR(__xludf.DUMMYFUNCTION("""COMPUTED_VALUE"""),48692.0)</f>
        <v>48692</v>
      </c>
      <c r="V715" s="149">
        <f>IFERROR(__xludf.DUMMYFUNCTION("""COMPUTED_VALUE"""),48510.0)</f>
        <v>48510</v>
      </c>
      <c r="W715" t="str">
        <f>IFERROR(__xludf.DUMMYFUNCTION("""COMPUTED_VALUE"""),"ปลอดภัย")</f>
        <v>ปลอดภัย</v>
      </c>
      <c r="X715" t="str">
        <f>IFERROR(__xludf.DUMMYFUNCTION("""COMPUTED_VALUE"""),"Bangkok")</f>
        <v>Bangkok</v>
      </c>
      <c r="Y715" t="str">
        <f>IFERROR(__xludf.DUMMYFUNCTION("""COMPUTED_VALUE"""),"Nonthaburi")</f>
        <v>Nonthaburi</v>
      </c>
      <c r="Z715" t="str">
        <f>IFERROR(__xludf.DUMMYFUNCTION("""COMPUTED_VALUE"""),"081 846 5080")</f>
        <v>081 846 5080</v>
      </c>
      <c r="AA715" t="str">
        <f>IFERROR(__xludf.DUMMYFUNCTION("""COMPUTED_VALUE"""),"Pooncharas Ratanaborvrnsethi (Mother)")</f>
        <v>Pooncharas Ratanaborvrnsethi (Mother)</v>
      </c>
      <c r="AB715" t="str">
        <f>IFERROR(__xludf.DUMMYFUNCTION("""COMPUTED_VALUE"""),"sitthiphathr@airasia.com")</f>
        <v>sitthiphathr@airasia.com</v>
      </c>
    </row>
    <row r="716">
      <c r="A716">
        <f>IFERROR(__xludf.DUMMYFUNCTION("""COMPUTED_VALUE"""),1015414.0)</f>
        <v>1015414</v>
      </c>
      <c r="B716" t="str">
        <f>IFERROR(__xludf.DUMMYFUNCTION("""COMPUTED_VALUE"""),"Mr.")</f>
        <v>Mr.</v>
      </c>
      <c r="C716" t="str">
        <f>IFERROR(__xludf.DUMMYFUNCTION("""COMPUTED_VALUE"""),"TARADOL")</f>
        <v>TARADOL</v>
      </c>
      <c r="D716" t="str">
        <f>IFERROR(__xludf.DUMMYFUNCTION("""COMPUTED_VALUE"""),"POOMSAWANG")</f>
        <v>POOMSAWANG</v>
      </c>
      <c r="E716" t="str">
        <f>IFERROR(__xludf.DUMMYFUNCTION("""COMPUTED_VALUE"""),"TARADOL POOMSAWANG")</f>
        <v>TARADOL POOMSAWANG</v>
      </c>
      <c r="F716" t="str">
        <f>IFERROR(__xludf.DUMMYFUNCTION("""COMPUTED_VALUE"""),"นาย")</f>
        <v>นาย</v>
      </c>
      <c r="G716" t="str">
        <f>IFERROR(__xludf.DUMMYFUNCTION("""COMPUTED_VALUE"""),"ธราดล")</f>
        <v>ธราดล</v>
      </c>
      <c r="H716" t="str">
        <f>IFERROR(__xludf.DUMMYFUNCTION("""COMPUTED_VALUE"""),"พุ่มสว่าง")</f>
        <v>พุ่มสว่าง</v>
      </c>
      <c r="I716" t="str">
        <f>IFERROR(__xludf.DUMMYFUNCTION("""COMPUTED_VALUE"""),"ธราดล พุ่มสว่าง")</f>
        <v>ธราดล พุ่มสว่าง</v>
      </c>
      <c r="J716" t="str">
        <f>IFERROR(__xludf.DUMMYFUNCTION("""COMPUTED_VALUE"""),"Earth เอิร์ท")</f>
        <v>Earth เอิร์ท</v>
      </c>
      <c r="K716" t="str">
        <f>IFERROR(__xludf.DUMMYFUNCTION("""COMPUTED_VALUE"""),"Cabin Crew")</f>
        <v>Cabin Crew</v>
      </c>
      <c r="L716" t="str">
        <f>IFERROR(__xludf.DUMMYFUNCTION("""COMPUTED_VALUE"""),"DMK")</f>
        <v>DMK</v>
      </c>
      <c r="M716" s="145" t="str">
        <f>IFERROR(__xludf.DUMMYFUNCTION("""COMPUTED_VALUE"""),"Por+ Home")</f>
        <v>Por+ Home</v>
      </c>
      <c r="N716" t="str">
        <f>IFERROR(__xludf.DUMMYFUNCTION("""COMPUTED_VALUE"""),"Active")</f>
        <v>Active</v>
      </c>
      <c r="P716" s="143">
        <f>IFERROR(__xludf.DUMMYFUNCTION("""COMPUTED_VALUE"""),30486.0)</f>
        <v>30486</v>
      </c>
      <c r="Q716" s="146" t="str">
        <f>IFERROR(__xludf.DUMMYFUNCTION("""COMPUTED_VALUE"""),"098 535 4693")</f>
        <v>098 535 4693</v>
      </c>
      <c r="R716" s="147" t="str">
        <f>IFERROR(__xludf.DUMMYFUNCTION("""COMPUTED_VALUE"""),"3-1006-00335-90-2")</f>
        <v>3-1006-00335-90-2</v>
      </c>
      <c r="S716" t="str">
        <f>IFERROR(__xludf.DUMMYFUNCTION("""COMPUTED_VALUE"""),"AC6689869")</f>
        <v>AC6689869</v>
      </c>
      <c r="T716" s="148">
        <f>IFERROR(__xludf.DUMMYFUNCTION("""COMPUTED_VALUE"""),45406.0)</f>
        <v>45406</v>
      </c>
      <c r="U716" s="148">
        <f>IFERROR(__xludf.DUMMYFUNCTION("""COMPUTED_VALUE"""),49057.0)</f>
        <v>49057</v>
      </c>
      <c r="V716" s="149">
        <f>IFERROR(__xludf.DUMMYFUNCTION("""COMPUTED_VALUE"""),48875.0)</f>
        <v>48875</v>
      </c>
      <c r="W716" t="str">
        <f>IFERROR(__xludf.DUMMYFUNCTION("""COMPUTED_VALUE"""),"ปลอดภัย")</f>
        <v>ปลอดภัย</v>
      </c>
      <c r="X716" t="str">
        <f>IFERROR(__xludf.DUMMYFUNCTION("""COMPUTED_VALUE"""),"Bangkok")</f>
        <v>Bangkok</v>
      </c>
      <c r="Y716" t="str">
        <f>IFERROR(__xludf.DUMMYFUNCTION("""COMPUTED_VALUE"""),"Bangkok")</f>
        <v>Bangkok</v>
      </c>
      <c r="Z716" t="str">
        <f>IFERROR(__xludf.DUMMYFUNCTION("""COMPUTED_VALUE"""),"081 827 1981")</f>
        <v>081 827 1981</v>
      </c>
      <c r="AA716" t="str">
        <f>IFERROR(__xludf.DUMMYFUNCTION("""COMPUTED_VALUE"""),"Aumrawadee Hasunha(Mother)")</f>
        <v>Aumrawadee Hasunha(Mother)</v>
      </c>
      <c r="AB716" t="str">
        <f>IFERROR(__xludf.DUMMYFUNCTION("""COMPUTED_VALUE"""),"taradolp@airasia.com")</f>
        <v>taradolp@airasia.com</v>
      </c>
    </row>
    <row r="717">
      <c r="AB717" t="str">
        <f>IFERROR(__xludf.DUMMYFUNCTION("""COMPUTED_VALUE"""),"")</f>
        <v/>
      </c>
    </row>
    <row r="718">
      <c r="A718">
        <f>IFERROR(__xludf.DUMMYFUNCTION("""COMPUTED_VALUE"""),1014656.0)</f>
        <v>1014656</v>
      </c>
      <c r="B718" t="str">
        <f>IFERROR(__xludf.DUMMYFUNCTION("""COMPUTED_VALUE"""),"Ms.")</f>
        <v>Ms.</v>
      </c>
      <c r="C718" t="str">
        <f>IFERROR(__xludf.DUMMYFUNCTION("""COMPUTED_VALUE"""),"Chanisa")</f>
        <v>Chanisa</v>
      </c>
      <c r="D718" t="str">
        <f>IFERROR(__xludf.DUMMYFUNCTION("""COMPUTED_VALUE"""),"Kongthaisereekul")</f>
        <v>Kongthaisereekul</v>
      </c>
      <c r="E718" t="str">
        <f>IFERROR(__xludf.DUMMYFUNCTION("""COMPUTED_VALUE"""),"Chanisa Kongthaisereekul")</f>
        <v>Chanisa Kongthaisereekul</v>
      </c>
      <c r="F718" t="str">
        <f>IFERROR(__xludf.DUMMYFUNCTION("""COMPUTED_VALUE"""),"นางสาว")</f>
        <v>นางสาว</v>
      </c>
      <c r="G718" t="str">
        <f>IFERROR(__xludf.DUMMYFUNCTION("""COMPUTED_VALUE"""),"ชนิศา")</f>
        <v>ชนิศา</v>
      </c>
      <c r="H718" t="str">
        <f>IFERROR(__xludf.DUMMYFUNCTION("""COMPUTED_VALUE"""),"คงไทยเสรีกุล")</f>
        <v>คงไทยเสรีกุล</v>
      </c>
      <c r="I718" t="str">
        <f>IFERROR(__xludf.DUMMYFUNCTION("""COMPUTED_VALUE"""),"ชนิศา คงไทยเสรีกุล")</f>
        <v>ชนิศา คงไทยเสรีกุล</v>
      </c>
      <c r="J718" t="str">
        <f>IFERROR(__xludf.DUMMYFUNCTION("""COMPUTED_VALUE"""),"Nung / หนุง")</f>
        <v>Nung / หนุง</v>
      </c>
      <c r="K718" t="str">
        <f>IFERROR(__xludf.DUMMYFUNCTION("""COMPUTED_VALUE"""),"Cabin Crew")</f>
        <v>Cabin Crew</v>
      </c>
      <c r="L718" t="str">
        <f>IFERROR(__xludf.DUMMYFUNCTION("""COMPUTED_VALUE"""),"DMK")</f>
        <v>DMK</v>
      </c>
      <c r="M718" s="145" t="str">
        <f>IFERROR(__xludf.DUMMYFUNCTION("""COMPUTED_VALUE"""),"Um Home")</f>
        <v>Um Home</v>
      </c>
      <c r="N718" t="str">
        <f>IFERROR(__xludf.DUMMYFUNCTION("""COMPUTED_VALUE"""),"Active")</f>
        <v>Active</v>
      </c>
      <c r="O718" t="str">
        <f>IFERROR(__xludf.DUMMYFUNCTION("""COMPUTED_VALUE"""),"Chinese Speaking")</f>
        <v>Chinese Speaking</v>
      </c>
      <c r="P718" s="143">
        <f>IFERROR(__xludf.DUMMYFUNCTION("""COMPUTED_VALUE"""),32333.0)</f>
        <v>32333</v>
      </c>
      <c r="Q718" s="146" t="str">
        <f>IFERROR(__xludf.DUMMYFUNCTION("""COMPUTED_VALUE"""),"065-914-2364")</f>
        <v>065-914-2364</v>
      </c>
      <c r="R718" s="147" t="str">
        <f>IFERROR(__xludf.DUMMYFUNCTION("""COMPUTED_VALUE"""),"1-1008-00440-08-8")</f>
        <v>1-1008-00440-08-8</v>
      </c>
      <c r="S718" t="str">
        <f>IFERROR(__xludf.DUMMYFUNCTION("""COMPUTED_VALUE"""),"AD1045215")</f>
        <v>AD1045215</v>
      </c>
      <c r="T718" s="148">
        <f>IFERROR(__xludf.DUMMYFUNCTION("""COMPUTED_VALUE"""),45054.0)</f>
        <v>45054</v>
      </c>
      <c r="U718" s="148">
        <f>IFERROR(__xludf.DUMMYFUNCTION("""COMPUTED_VALUE"""),48706.0)</f>
        <v>48706</v>
      </c>
      <c r="V718" s="149">
        <f>IFERROR(__xludf.DUMMYFUNCTION("""COMPUTED_VALUE"""),48525.0)</f>
        <v>48525</v>
      </c>
      <c r="W718" t="str">
        <f>IFERROR(__xludf.DUMMYFUNCTION("""COMPUTED_VALUE"""),"ปลอดภัย")</f>
        <v>ปลอดภัย</v>
      </c>
      <c r="X718" t="str">
        <f>IFERROR(__xludf.DUMMYFUNCTION("""COMPUTED_VALUE"""),"Bangkok")</f>
        <v>Bangkok</v>
      </c>
      <c r="Y718" t="str">
        <f>IFERROR(__xludf.DUMMYFUNCTION("""COMPUTED_VALUE"""),"Yannawa")</f>
        <v>Yannawa</v>
      </c>
      <c r="Z718" t="str">
        <f>IFERROR(__xludf.DUMMYFUNCTION("""COMPUTED_VALUE"""),"081-834-8828")</f>
        <v>081-834-8828</v>
      </c>
      <c r="AA718" t="str">
        <f>IFERROR(__xludf.DUMMYFUNCTION("""COMPUTED_VALUE"""),"Vichein Kongthaisereekul (Father)")</f>
        <v>Vichein Kongthaisereekul (Father)</v>
      </c>
      <c r="AB718" t="str">
        <f>IFERROR(__xludf.DUMMYFUNCTION("""COMPUTED_VALUE"""),"chanisak@airasia.com")</f>
        <v>chanisak@airasia.com</v>
      </c>
    </row>
    <row r="719">
      <c r="A719">
        <f>IFERROR(__xludf.DUMMYFUNCTION("""COMPUTED_VALUE"""),1014662.0)</f>
        <v>1014662</v>
      </c>
      <c r="B719" t="str">
        <f>IFERROR(__xludf.DUMMYFUNCTION("""COMPUTED_VALUE"""),"Ms.")</f>
        <v>Ms.</v>
      </c>
      <c r="C719" t="str">
        <f>IFERROR(__xludf.DUMMYFUNCTION("""COMPUTED_VALUE"""),"Duangkamon")</f>
        <v>Duangkamon</v>
      </c>
      <c r="D719" t="str">
        <f>IFERROR(__xludf.DUMMYFUNCTION("""COMPUTED_VALUE"""),"Wongjareanyong")</f>
        <v>Wongjareanyong</v>
      </c>
      <c r="E719" t="str">
        <f>IFERROR(__xludf.DUMMYFUNCTION("""COMPUTED_VALUE"""),"Duangkamon Wongjareanyong")</f>
        <v>Duangkamon Wongjareanyong</v>
      </c>
      <c r="F719" t="str">
        <f>IFERROR(__xludf.DUMMYFUNCTION("""COMPUTED_VALUE"""),"นางสาว")</f>
        <v>นางสาว</v>
      </c>
      <c r="G719" t="str">
        <f>IFERROR(__xludf.DUMMYFUNCTION("""COMPUTED_VALUE"""),"ดวงกมล")</f>
        <v>ดวงกมล</v>
      </c>
      <c r="H719" t="str">
        <f>IFERROR(__xludf.DUMMYFUNCTION("""COMPUTED_VALUE"""),"วงศ์เจริญยง")</f>
        <v>วงศ์เจริญยง</v>
      </c>
      <c r="I719" t="str">
        <f>IFERROR(__xludf.DUMMYFUNCTION("""COMPUTED_VALUE"""),"ดวงกมล วงศ์เจริญยง")</f>
        <v>ดวงกมล วงศ์เจริญยง</v>
      </c>
      <c r="J719" t="str">
        <f>IFERROR(__xludf.DUMMYFUNCTION("""COMPUTED_VALUE"""),"jib / จิ๊บ")</f>
        <v>jib / จิ๊บ</v>
      </c>
      <c r="K719" t="str">
        <f>IFERROR(__xludf.DUMMYFUNCTION("""COMPUTED_VALUE"""),"Cabin Crew")</f>
        <v>Cabin Crew</v>
      </c>
      <c r="L719" t="str">
        <f>IFERROR(__xludf.DUMMYFUNCTION("""COMPUTED_VALUE"""),"DMK")</f>
        <v>DMK</v>
      </c>
      <c r="M719" s="145" t="str">
        <f>IFERROR(__xludf.DUMMYFUNCTION("""COMPUTED_VALUE"""),"Kor Home")</f>
        <v>Kor Home</v>
      </c>
      <c r="N719" t="str">
        <f>IFERROR(__xludf.DUMMYFUNCTION("""COMPUTED_VALUE"""),"Active")</f>
        <v>Active</v>
      </c>
      <c r="P719" s="143">
        <f>IFERROR(__xludf.DUMMYFUNCTION("""COMPUTED_VALUE"""),29906.0)</f>
        <v>29906</v>
      </c>
      <c r="Q719" s="146" t="str">
        <f>IFERROR(__xludf.DUMMYFUNCTION("""COMPUTED_VALUE"""),"062-2565678")</f>
        <v>062-2565678</v>
      </c>
      <c r="R719" s="147" t="str">
        <f>IFERROR(__xludf.DUMMYFUNCTION("""COMPUTED_VALUE"""),"3-1012-03404-46-1")</f>
        <v>3-1012-03404-46-1</v>
      </c>
      <c r="S719" t="str">
        <f>IFERROR(__xludf.DUMMYFUNCTION("""COMPUTED_VALUE"""),"AC8290125")</f>
        <v>AC8290125</v>
      </c>
      <c r="T719" s="148">
        <f>IFERROR(__xludf.DUMMYFUNCTION("""COMPUTED_VALUE"""),45854.0)</f>
        <v>45854</v>
      </c>
      <c r="U719" s="148">
        <f>IFERROR(__xludf.DUMMYFUNCTION("""COMPUTED_VALUE"""),49505.0)</f>
        <v>49505</v>
      </c>
      <c r="V719" s="149">
        <f>IFERROR(__xludf.DUMMYFUNCTION("""COMPUTED_VALUE"""),49324.0)</f>
        <v>49324</v>
      </c>
      <c r="W719" t="str">
        <f>IFERROR(__xludf.DUMMYFUNCTION("""COMPUTED_VALUE"""),"ปลอดภัย")</f>
        <v>ปลอดภัย</v>
      </c>
      <c r="X719" t="str">
        <f>IFERROR(__xludf.DUMMYFUNCTION("""COMPUTED_VALUE"""),"Bangkok")</f>
        <v>Bangkok</v>
      </c>
      <c r="Y719" t="str">
        <f>IFERROR(__xludf.DUMMYFUNCTION("""COMPUTED_VALUE"""),"Dindang")</f>
        <v>Dindang</v>
      </c>
      <c r="Z719" t="str">
        <f>IFERROR(__xludf.DUMMYFUNCTION("""COMPUTED_VALUE"""),"087-506-6866")</f>
        <v>087-506-6866</v>
      </c>
      <c r="AA719" t="str">
        <f>IFERROR(__xludf.DUMMYFUNCTION("""COMPUTED_VALUE"""),"Sangduien Wongjareanyong (Sister)")</f>
        <v>Sangduien Wongjareanyong (Sister)</v>
      </c>
      <c r="AB719" t="str">
        <f>IFERROR(__xludf.DUMMYFUNCTION("""COMPUTED_VALUE"""),"duangkamonw@airasia.com")</f>
        <v>duangkamonw@airasia.com</v>
      </c>
    </row>
    <row r="720">
      <c r="A720">
        <f>IFERROR(__xludf.DUMMYFUNCTION("""COMPUTED_VALUE"""),1014664.0)</f>
        <v>1014664</v>
      </c>
      <c r="B720" t="str">
        <f>IFERROR(__xludf.DUMMYFUNCTION("""COMPUTED_VALUE"""),"Ms.")</f>
        <v>Ms.</v>
      </c>
      <c r="C720" t="str">
        <f>IFERROR(__xludf.DUMMYFUNCTION("""COMPUTED_VALUE"""),"Grittaya")</f>
        <v>Grittaya</v>
      </c>
      <c r="D720" t="str">
        <f>IFERROR(__xludf.DUMMYFUNCTION("""COMPUTED_VALUE"""),"Yotharos")</f>
        <v>Yotharos</v>
      </c>
      <c r="E720" t="str">
        <f>IFERROR(__xludf.DUMMYFUNCTION("""COMPUTED_VALUE"""),"Grittaya Yotharos")</f>
        <v>Grittaya Yotharos</v>
      </c>
      <c r="F720" t="str">
        <f>IFERROR(__xludf.DUMMYFUNCTION("""COMPUTED_VALUE"""),"นางสาว")</f>
        <v>นางสาว</v>
      </c>
      <c r="G720" t="str">
        <f>IFERROR(__xludf.DUMMYFUNCTION("""COMPUTED_VALUE"""),"กฤตยา")</f>
        <v>กฤตยา</v>
      </c>
      <c r="H720" t="str">
        <f>IFERROR(__xludf.DUMMYFUNCTION("""COMPUTED_VALUE"""),"โยธารส")</f>
        <v>โยธารส</v>
      </c>
      <c r="I720" t="str">
        <f>IFERROR(__xludf.DUMMYFUNCTION("""COMPUTED_VALUE"""),"กฤตยา โยธารส")</f>
        <v>กฤตยา โยธารส</v>
      </c>
      <c r="J720" t="str">
        <f>IFERROR(__xludf.DUMMYFUNCTION("""COMPUTED_VALUE"""),"Pang / แป้ง")</f>
        <v>Pang / แป้ง</v>
      </c>
      <c r="K720" t="str">
        <f>IFERROR(__xludf.DUMMYFUNCTION("""COMPUTED_VALUE"""),"Cabin Crew - CNX")</f>
        <v>Cabin Crew - CNX</v>
      </c>
      <c r="L720" t="str">
        <f>IFERROR(__xludf.DUMMYFUNCTION("""COMPUTED_VALUE"""),"CNX")</f>
        <v>CNX</v>
      </c>
      <c r="M720" s="145" t="str">
        <f>IFERROR(__xludf.DUMMYFUNCTION("""COMPUTED_VALUE"""),"Up Home")</f>
        <v>Up Home</v>
      </c>
      <c r="N720" t="str">
        <f>IFERROR(__xludf.DUMMYFUNCTION("""COMPUTED_VALUE"""),"Active")</f>
        <v>Active</v>
      </c>
      <c r="P720" s="143">
        <f>IFERROR(__xludf.DUMMYFUNCTION("""COMPUTED_VALUE"""),33161.0)</f>
        <v>33161</v>
      </c>
      <c r="Q720" s="146" t="str">
        <f>IFERROR(__xludf.DUMMYFUNCTION("""COMPUTED_VALUE"""),"085-050-0146")</f>
        <v>085-050-0146</v>
      </c>
      <c r="R720" s="147" t="str">
        <f>IFERROR(__xludf.DUMMYFUNCTION("""COMPUTED_VALUE"""),"1-6799-00202-94-8")</f>
        <v>1-6799-00202-94-8</v>
      </c>
      <c r="S720" t="str">
        <f>IFERROR(__xludf.DUMMYFUNCTION("""COMPUTED_VALUE"""),"AC7562020")</f>
        <v>AC7562020</v>
      </c>
      <c r="T720" s="148">
        <f>IFERROR(__xludf.DUMMYFUNCTION("""COMPUTED_VALUE"""),45551.0)</f>
        <v>45551</v>
      </c>
      <c r="U720" s="149">
        <f>IFERROR(__xludf.DUMMYFUNCTION("""COMPUTED_VALUE"""),49202.0)</f>
        <v>49202</v>
      </c>
      <c r="V720" s="149">
        <f>IFERROR(__xludf.DUMMYFUNCTION("""COMPUTED_VALUE"""),49018.0)</f>
        <v>49018</v>
      </c>
      <c r="W720" t="str">
        <f>IFERROR(__xludf.DUMMYFUNCTION("""COMPUTED_VALUE"""),"ปลอดภัย")</f>
        <v>ปลอดภัย</v>
      </c>
      <c r="X720" t="str">
        <f>IFERROR(__xludf.DUMMYFUNCTION("""COMPUTED_VALUE"""),"Phetchabun Province")</f>
        <v>Phetchabun Province</v>
      </c>
      <c r="Y720" t="str">
        <f>IFERROR(__xludf.DUMMYFUNCTION("""COMPUTED_VALUE"""),"Bangkhen")</f>
        <v>Bangkhen</v>
      </c>
      <c r="Z720" t="str">
        <f>IFERROR(__xludf.DUMMYFUNCTION("""COMPUTED_VALUE"""),"091-843-9380")</f>
        <v>091-843-9380</v>
      </c>
      <c r="AA720" t="str">
        <f>IFERROR(__xludf.DUMMYFUNCTION("""COMPUTED_VALUE"""),"Pireesak Yotharos (Father)")</f>
        <v>Pireesak Yotharos (Father)</v>
      </c>
      <c r="AB720" t="str">
        <f>IFERROR(__xludf.DUMMYFUNCTION("""COMPUTED_VALUE"""),"grittayay@airasia.com")</f>
        <v>grittayay@airasia.com</v>
      </c>
    </row>
    <row r="721">
      <c r="A721">
        <f>IFERROR(__xludf.DUMMYFUNCTION("""COMPUTED_VALUE"""),1014665.0)</f>
        <v>1014665</v>
      </c>
      <c r="B721" t="str">
        <f>IFERROR(__xludf.DUMMYFUNCTION("""COMPUTED_VALUE"""),"Ms.")</f>
        <v>Ms.</v>
      </c>
      <c r="C721" t="str">
        <f>IFERROR(__xludf.DUMMYFUNCTION("""COMPUTED_VALUE"""),"Jaruwan")</f>
        <v>Jaruwan</v>
      </c>
      <c r="D721" t="str">
        <f>IFERROR(__xludf.DUMMYFUNCTION("""COMPUTED_VALUE"""),"Charoenratanapirom")</f>
        <v>Charoenratanapirom</v>
      </c>
      <c r="E721" t="str">
        <f>IFERROR(__xludf.DUMMYFUNCTION("""COMPUTED_VALUE"""),"Jaruwan Charoenratanapirom")</f>
        <v>Jaruwan Charoenratanapirom</v>
      </c>
      <c r="F721" t="str">
        <f>IFERROR(__xludf.DUMMYFUNCTION("""COMPUTED_VALUE"""),"นางสาว")</f>
        <v>นางสาว</v>
      </c>
      <c r="G721" t="str">
        <f>IFERROR(__xludf.DUMMYFUNCTION("""COMPUTED_VALUE"""),"จารุวรรณ์")</f>
        <v>จารุวรรณ์</v>
      </c>
      <c r="H721" t="str">
        <f>IFERROR(__xludf.DUMMYFUNCTION("""COMPUTED_VALUE"""),"เจริญรัตนาภิรมย์")</f>
        <v>เจริญรัตนาภิรมย์</v>
      </c>
      <c r="I721" t="str">
        <f>IFERROR(__xludf.DUMMYFUNCTION("""COMPUTED_VALUE"""),"จารุวรรณ์ เจริญรัตนาภิรมย์")</f>
        <v>จารุวรรณ์ เจริญรัตนาภิรมย์</v>
      </c>
      <c r="J721" t="str">
        <f>IFERROR(__xludf.DUMMYFUNCTION("""COMPUTED_VALUE"""),"Earn / เอิน")</f>
        <v>Earn / เอิน</v>
      </c>
      <c r="K721" t="str">
        <f>IFERROR(__xludf.DUMMYFUNCTION("""COMPUTED_VALUE"""),"Cabin Crew")</f>
        <v>Cabin Crew</v>
      </c>
      <c r="L721" t="str">
        <f>IFERROR(__xludf.DUMMYFUNCTION("""COMPUTED_VALUE"""),"DMK")</f>
        <v>DMK</v>
      </c>
      <c r="M721" s="145" t="str">
        <f>IFERROR(__xludf.DUMMYFUNCTION("""COMPUTED_VALUE"""),"Um Home")</f>
        <v>Um Home</v>
      </c>
      <c r="N721" t="str">
        <f>IFERROR(__xludf.DUMMYFUNCTION("""COMPUTED_VALUE"""),"V/LWP")</f>
        <v>V/LWP</v>
      </c>
      <c r="P721" s="143">
        <f>IFERROR(__xludf.DUMMYFUNCTION("""COMPUTED_VALUE"""),33125.0)</f>
        <v>33125</v>
      </c>
      <c r="Q721" s="146" t="str">
        <f>IFERROR(__xludf.DUMMYFUNCTION("""COMPUTED_VALUE"""),"089-789-1269")</f>
        <v>089-789-1269</v>
      </c>
      <c r="R721" s="147" t="str">
        <f>IFERROR(__xludf.DUMMYFUNCTION("""COMPUTED_VALUE"""),"1-1037-00220-02-0")</f>
        <v>1-1037-00220-02-0</v>
      </c>
      <c r="S721" t="str">
        <f>IFERROR(__xludf.DUMMYFUNCTION("""COMPUTED_VALUE"""),"AD3436356")</f>
        <v>AD3436356</v>
      </c>
      <c r="T721" s="148">
        <f>IFERROR(__xludf.DUMMYFUNCTION("""COMPUTED_VALUE"""),46154.0)</f>
        <v>46154</v>
      </c>
      <c r="U721" s="148">
        <f>IFERROR(__xludf.DUMMYFUNCTION("""COMPUTED_VALUE"""),49806.0)</f>
        <v>49806</v>
      </c>
      <c r="V721" s="149">
        <f>IFERROR(__xludf.DUMMYFUNCTION("""COMPUTED_VALUE"""),49624.0)</f>
        <v>49624</v>
      </c>
      <c r="W721" t="str">
        <f>IFERROR(__xludf.DUMMYFUNCTION("""COMPUTED_VALUE"""),"ปลอดภัย")</f>
        <v>ปลอดภัย</v>
      </c>
      <c r="X721" t="str">
        <f>IFERROR(__xludf.DUMMYFUNCTION("""COMPUTED_VALUE"""),"Bangkok")</f>
        <v>Bangkok</v>
      </c>
      <c r="Y721" t="str">
        <f>IFERROR(__xludf.DUMMYFUNCTION("""COMPUTED_VALUE"""),"Jatujak")</f>
        <v>Jatujak</v>
      </c>
      <c r="Z721" t="str">
        <f>IFERROR(__xludf.DUMMYFUNCTION("""COMPUTED_VALUE"""),"081-642-2026")</f>
        <v>081-642-2026</v>
      </c>
      <c r="AA721" t="str">
        <f>IFERROR(__xludf.DUMMYFUNCTION("""COMPUTED_VALUE"""),"Sarat Charoenratanapirom (Brother)")</f>
        <v>Sarat Charoenratanapirom (Brother)</v>
      </c>
      <c r="AB721" t="str">
        <f>IFERROR(__xludf.DUMMYFUNCTION("""COMPUTED_VALUE"""),"jaruwana@airasia.com")</f>
        <v>jaruwana@airasia.com</v>
      </c>
    </row>
    <row r="722">
      <c r="A722">
        <f>IFERROR(__xludf.DUMMYFUNCTION("""COMPUTED_VALUE"""),1014666.0)</f>
        <v>1014666</v>
      </c>
      <c r="B722" t="str">
        <f>IFERROR(__xludf.DUMMYFUNCTION("""COMPUTED_VALUE"""),"Mr.")</f>
        <v>Mr.</v>
      </c>
      <c r="C722" t="str">
        <f>IFERROR(__xludf.DUMMYFUNCTION("""COMPUTED_VALUE"""),"Kanatsanan")</f>
        <v>Kanatsanan</v>
      </c>
      <c r="D722" t="str">
        <f>IFERROR(__xludf.DUMMYFUNCTION("""COMPUTED_VALUE"""),"Wichitthararak")</f>
        <v>Wichitthararak</v>
      </c>
      <c r="E722" t="str">
        <f>IFERROR(__xludf.DUMMYFUNCTION("""COMPUTED_VALUE"""),"Kanatsanan Wichitthararak")</f>
        <v>Kanatsanan Wichitthararak</v>
      </c>
      <c r="F722" t="str">
        <f>IFERROR(__xludf.DUMMYFUNCTION("""COMPUTED_VALUE"""),"นาย")</f>
        <v>นาย</v>
      </c>
      <c r="G722" t="str">
        <f>IFERROR(__xludf.DUMMYFUNCTION("""COMPUTED_VALUE"""),"คณัสนันท์")</f>
        <v>คณัสนันท์</v>
      </c>
      <c r="H722" t="str">
        <f>IFERROR(__xludf.DUMMYFUNCTION("""COMPUTED_VALUE"""),"วิชิตธารารักษ์")</f>
        <v>วิชิตธารารักษ์</v>
      </c>
      <c r="I722" t="str">
        <f>IFERROR(__xludf.DUMMYFUNCTION("""COMPUTED_VALUE"""),"คณัสนันท์ วิชิตธารารักษ์")</f>
        <v>คณัสนันท์ วิชิตธารารักษ์</v>
      </c>
      <c r="J722" t="str">
        <f>IFERROR(__xludf.DUMMYFUNCTION("""COMPUTED_VALUE"""),"Oh / โอ้")</f>
        <v>Oh / โอ้</v>
      </c>
      <c r="K722" t="str">
        <f>IFERROR(__xludf.DUMMYFUNCTION("""COMPUTED_VALUE"""),"Cabin Crew")</f>
        <v>Cabin Crew</v>
      </c>
      <c r="L722" t="str">
        <f>IFERROR(__xludf.DUMMYFUNCTION("""COMPUTED_VALUE"""),"DMK")</f>
        <v>DMK</v>
      </c>
      <c r="M722" s="145" t="str">
        <f>IFERROR(__xludf.DUMMYFUNCTION("""COMPUTED_VALUE"""),"Up Home")</f>
        <v>Up Home</v>
      </c>
      <c r="N722" t="str">
        <f>IFERROR(__xludf.DUMMYFUNCTION("""COMPUTED_VALUE"""),"Active")</f>
        <v>Active</v>
      </c>
      <c r="P722" s="143">
        <f>IFERROR(__xludf.DUMMYFUNCTION("""COMPUTED_VALUE"""),32417.0)</f>
        <v>32417</v>
      </c>
      <c r="Q722" s="146" t="str">
        <f>IFERROR(__xludf.DUMMYFUNCTION("""COMPUTED_VALUE"""),"098 814 9285")</f>
        <v>098 814 9285</v>
      </c>
      <c r="R722" s="147" t="str">
        <f>IFERROR(__xludf.DUMMYFUNCTION("""COMPUTED_VALUE"""),"1-7706-00113-52-5")</f>
        <v>1-7706-00113-52-5</v>
      </c>
      <c r="S722" t="str">
        <f>IFERROR(__xludf.DUMMYFUNCTION("""COMPUTED_VALUE"""),"AD1749499")</f>
        <v>AD1749499</v>
      </c>
      <c r="T722" s="148">
        <f>IFERROR(__xludf.DUMMYFUNCTION("""COMPUTED_VALUE"""),45440.0)</f>
        <v>45440</v>
      </c>
      <c r="U722" s="148">
        <f>IFERROR(__xludf.DUMMYFUNCTION("""COMPUTED_VALUE"""),49091.0)</f>
        <v>49091</v>
      </c>
      <c r="V722" s="149">
        <f>IFERROR(__xludf.DUMMYFUNCTION("""COMPUTED_VALUE"""),48910.0)</f>
        <v>48910</v>
      </c>
      <c r="W722" t="str">
        <f>IFERROR(__xludf.DUMMYFUNCTION("""COMPUTED_VALUE"""),"ปลอดภัย")</f>
        <v>ปลอดภัย</v>
      </c>
      <c r="X722" t="str">
        <f>IFERROR(__xludf.DUMMYFUNCTION("""COMPUTED_VALUE"""),"Prachuap Khiri Khan Province")</f>
        <v>Prachuap Khiri Khan Province</v>
      </c>
      <c r="Y722" t="str">
        <f>IFERROR(__xludf.DUMMYFUNCTION("""COMPUTED_VALUE"""),"Rama2")</f>
        <v>Rama2</v>
      </c>
      <c r="Z722" t="str">
        <f>IFERROR(__xludf.DUMMYFUNCTION("""COMPUTED_VALUE"""),"081-893-8279")</f>
        <v>081-893-8279</v>
      </c>
      <c r="AA722" t="str">
        <f>IFERROR(__xludf.DUMMYFUNCTION("""COMPUTED_VALUE"""),"Athis Wichitthararak (Father)")</f>
        <v>Athis Wichitthararak (Father)</v>
      </c>
      <c r="AB722" t="str">
        <f>IFERROR(__xludf.DUMMYFUNCTION("""COMPUTED_VALUE"""),"kanatsananw@airasia.com")</f>
        <v>kanatsananw@airasia.com</v>
      </c>
    </row>
    <row r="723">
      <c r="A723">
        <f>IFERROR(__xludf.DUMMYFUNCTION("""COMPUTED_VALUE"""),1014669.0)</f>
        <v>1014669</v>
      </c>
      <c r="B723" t="str">
        <f>IFERROR(__xludf.DUMMYFUNCTION("""COMPUTED_VALUE"""),"Ms.")</f>
        <v>Ms.</v>
      </c>
      <c r="C723" t="str">
        <f>IFERROR(__xludf.DUMMYFUNCTION("""COMPUTED_VALUE"""),"Kodchaporn")</f>
        <v>Kodchaporn</v>
      </c>
      <c r="D723" t="str">
        <f>IFERROR(__xludf.DUMMYFUNCTION("""COMPUTED_VALUE"""),"Thanpaisan")</f>
        <v>Thanpaisan</v>
      </c>
      <c r="E723" t="str">
        <f>IFERROR(__xludf.DUMMYFUNCTION("""COMPUTED_VALUE"""),"Kodchaporn Thanpaisan")</f>
        <v>Kodchaporn Thanpaisan</v>
      </c>
      <c r="F723" t="str">
        <f>IFERROR(__xludf.DUMMYFUNCTION("""COMPUTED_VALUE"""),"นางสาว")</f>
        <v>นางสาว</v>
      </c>
      <c r="G723" t="str">
        <f>IFERROR(__xludf.DUMMYFUNCTION("""COMPUTED_VALUE"""),"กชพร")</f>
        <v>กชพร</v>
      </c>
      <c r="H723" t="str">
        <f>IFERROR(__xludf.DUMMYFUNCTION("""COMPUTED_VALUE"""),"ธารไพศาล")</f>
        <v>ธารไพศาล</v>
      </c>
      <c r="I723" t="str">
        <f>IFERROR(__xludf.DUMMYFUNCTION("""COMPUTED_VALUE"""),"กชพร ธารไพศาล")</f>
        <v>กชพร ธารไพศาล</v>
      </c>
      <c r="J723" t="str">
        <f>IFERROR(__xludf.DUMMYFUNCTION("""COMPUTED_VALUE"""),"Dream/ดรีม")</f>
        <v>Dream/ดรีม</v>
      </c>
      <c r="K723" t="str">
        <f>IFERROR(__xludf.DUMMYFUNCTION("""COMPUTED_VALUE"""),"Cabin Crew")</f>
        <v>Cabin Crew</v>
      </c>
      <c r="L723" t="str">
        <f>IFERROR(__xludf.DUMMYFUNCTION("""COMPUTED_VALUE"""),"DMK")</f>
        <v>DMK</v>
      </c>
      <c r="M723" s="145" t="str">
        <f>IFERROR(__xludf.DUMMYFUNCTION("""COMPUTED_VALUE"""),"Um Home")</f>
        <v>Um Home</v>
      </c>
      <c r="N723" t="str">
        <f>IFERROR(__xludf.DUMMYFUNCTION("""COMPUTED_VALUE"""),"Active")</f>
        <v>Active</v>
      </c>
      <c r="P723" s="143">
        <f>IFERROR(__xludf.DUMMYFUNCTION("""COMPUTED_VALUE"""),31663.0)</f>
        <v>31663</v>
      </c>
      <c r="Q723" s="146">
        <f>IFERROR(__xludf.DUMMYFUNCTION("""COMPUTED_VALUE"""),8.14010298E8)</f>
        <v>814010298</v>
      </c>
      <c r="R723" s="147" t="str">
        <f>IFERROR(__xludf.DUMMYFUNCTION("""COMPUTED_VALUE"""),"1-1014-00791-36-4")</f>
        <v>1-1014-00791-36-4</v>
      </c>
      <c r="S723" t="str">
        <f>IFERROR(__xludf.DUMMYFUNCTION("""COMPUTED_VALUE"""),"AC6984720")</f>
        <v>AC6984720</v>
      </c>
      <c r="T723" s="148">
        <f>IFERROR(__xludf.DUMMYFUNCTION("""COMPUTED_VALUE"""),45987.0)</f>
        <v>45987</v>
      </c>
      <c r="U723" s="148">
        <f>IFERROR(__xludf.DUMMYFUNCTION("""COMPUTED_VALUE"""),49273.0)</f>
        <v>49273</v>
      </c>
      <c r="V723" s="149">
        <f>IFERROR(__xludf.DUMMYFUNCTION("""COMPUTED_VALUE"""),49089.0)</f>
        <v>49089</v>
      </c>
      <c r="W723" t="str">
        <f>IFERROR(__xludf.DUMMYFUNCTION("""COMPUTED_VALUE"""),"ปลอดภัย")</f>
        <v>ปลอดภัย</v>
      </c>
      <c r="X723" t="str">
        <f>IFERROR(__xludf.DUMMYFUNCTION("""COMPUTED_VALUE"""),"Bangkok")</f>
        <v>Bangkok</v>
      </c>
      <c r="Y723" t="str">
        <f>IFERROR(__xludf.DUMMYFUNCTION("""COMPUTED_VALUE"""),"Pathumthani")</f>
        <v>Pathumthani</v>
      </c>
      <c r="Z723" t="str">
        <f>IFERROR(__xludf.DUMMYFUNCTION("""COMPUTED_VALUE"""),"081-838-8189")</f>
        <v>081-838-8189</v>
      </c>
      <c r="AA723" t="str">
        <f>IFERROR(__xludf.DUMMYFUNCTION("""COMPUTED_VALUE"""),"Kodchapan Willshire (Mother)")</f>
        <v>Kodchapan Willshire (Mother)</v>
      </c>
      <c r="AB723" t="str">
        <f>IFERROR(__xludf.DUMMYFUNCTION("""COMPUTED_VALUE"""),"kodchapornt@airasia.com")</f>
        <v>kodchapornt@airasia.com</v>
      </c>
    </row>
    <row r="724">
      <c r="A724">
        <f>IFERROR(__xludf.DUMMYFUNCTION("""COMPUTED_VALUE"""),1014670.0)</f>
        <v>1014670</v>
      </c>
      <c r="B724" t="str">
        <f>IFERROR(__xludf.DUMMYFUNCTION("""COMPUTED_VALUE"""),"Ms.")</f>
        <v>Ms.</v>
      </c>
      <c r="C724" t="str">
        <f>IFERROR(__xludf.DUMMYFUNCTION("""COMPUTED_VALUE"""),"Napapat (Chalupat)")</f>
        <v>Napapat (Chalupat)</v>
      </c>
      <c r="D724" t="str">
        <f>IFERROR(__xludf.DUMMYFUNCTION("""COMPUTED_VALUE"""),"Suwannawong")</f>
        <v>Suwannawong</v>
      </c>
      <c r="E724" t="str">
        <f>IFERROR(__xludf.DUMMYFUNCTION("""COMPUTED_VALUE"""),"Napapat Suwannawong")</f>
        <v>Napapat Suwannawong</v>
      </c>
      <c r="F724" t="str">
        <f>IFERROR(__xludf.DUMMYFUNCTION("""COMPUTED_VALUE"""),"นางสาว")</f>
        <v>นางสาว</v>
      </c>
      <c r="G724" t="str">
        <f>IFERROR(__xludf.DUMMYFUNCTION("""COMPUTED_VALUE"""),"ญปภัช(จาฬุภัทร)")</f>
        <v>ญปภัช(จาฬุภัทร)</v>
      </c>
      <c r="H724" t="str">
        <f>IFERROR(__xludf.DUMMYFUNCTION("""COMPUTED_VALUE"""),"สุวรรณวงศ์")</f>
        <v>สุวรรณวงศ์</v>
      </c>
      <c r="I724" t="str">
        <f>IFERROR(__xludf.DUMMYFUNCTION("""COMPUTED_VALUE"""),"ณปภัช(จาฬุภัทร) สุวรรณวงศ์")</f>
        <v>ณปภัช(จาฬุภัทร) สุวรรณวงศ์</v>
      </c>
      <c r="J724" t="str">
        <f>IFERROR(__xludf.DUMMYFUNCTION("""COMPUTED_VALUE"""),"Fai / ฝ้าย")</f>
        <v>Fai / ฝ้าย</v>
      </c>
      <c r="K724" t="str">
        <f>IFERROR(__xludf.DUMMYFUNCTION("""COMPUTED_VALUE"""),"Cabin Crew")</f>
        <v>Cabin Crew</v>
      </c>
      <c r="L724" t="str">
        <f>IFERROR(__xludf.DUMMYFUNCTION("""COMPUTED_VALUE"""),"DMK")</f>
        <v>DMK</v>
      </c>
      <c r="M724" s="145" t="str">
        <f>IFERROR(__xludf.DUMMYFUNCTION("""COMPUTED_VALUE"""),"Toffy Home")</f>
        <v>Toffy Home</v>
      </c>
      <c r="N724" t="str">
        <f>IFERROR(__xludf.DUMMYFUNCTION("""COMPUTED_VALUE"""),"Active")</f>
        <v>Active</v>
      </c>
      <c r="P724" s="143">
        <f>IFERROR(__xludf.DUMMYFUNCTION("""COMPUTED_VALUE"""),30988.0)</f>
        <v>30988</v>
      </c>
      <c r="Q724" s="146">
        <f>IFERROR(__xludf.DUMMYFUNCTION("""COMPUTED_VALUE"""),9.56694462E8)</f>
        <v>956694462</v>
      </c>
      <c r="R724" s="147" t="str">
        <f>IFERROR(__xludf.DUMMYFUNCTION("""COMPUTED_VALUE"""),"1-6001-00040-64-3")</f>
        <v>1-6001-00040-64-3</v>
      </c>
      <c r="S724" t="str">
        <f>IFERROR(__xludf.DUMMYFUNCTION("""COMPUTED_VALUE"""),"AC8178752")</f>
        <v>AC8178752</v>
      </c>
      <c r="T724" s="148">
        <f>IFERROR(__xludf.DUMMYFUNCTION("""COMPUTED_VALUE"""),46038.0)</f>
        <v>46038</v>
      </c>
      <c r="U724" s="148">
        <f>IFERROR(__xludf.DUMMYFUNCTION("""COMPUTED_VALUE"""),49689.0)</f>
        <v>49689</v>
      </c>
      <c r="V724" s="149">
        <f>IFERROR(__xludf.DUMMYFUNCTION("""COMPUTED_VALUE"""),49505.0)</f>
        <v>49505</v>
      </c>
      <c r="W724" t="str">
        <f>IFERROR(__xludf.DUMMYFUNCTION("""COMPUTED_VALUE"""),"ปลอดภัย")</f>
        <v>ปลอดภัย</v>
      </c>
      <c r="X724" t="str">
        <f>IFERROR(__xludf.DUMMYFUNCTION("""COMPUTED_VALUE"""),"Nakhon Sawan Province")</f>
        <v>Nakhon Sawan Province</v>
      </c>
      <c r="Y724" t="str">
        <f>IFERROR(__xludf.DUMMYFUNCTION("""COMPUTED_VALUE"""),"Bangkapi")</f>
        <v>Bangkapi</v>
      </c>
      <c r="Z724" t="str">
        <f>IFERROR(__xludf.DUMMYFUNCTION("""COMPUTED_VALUE"""),"095-642-4466")</f>
        <v>095-642-4466</v>
      </c>
      <c r="AA724" t="str">
        <f>IFERROR(__xludf.DUMMYFUNCTION("""COMPUTED_VALUE"""),"Sumanee Wutthithanawiwat (Mother)")</f>
        <v>Sumanee Wutthithanawiwat (Mother)</v>
      </c>
      <c r="AB724" t="str">
        <f>IFERROR(__xludf.DUMMYFUNCTION("""COMPUTED_VALUE"""),"napapats@airasia.com")</f>
        <v>napapats@airasia.com</v>
      </c>
    </row>
    <row r="725">
      <c r="A725">
        <f>IFERROR(__xludf.DUMMYFUNCTION("""COMPUTED_VALUE"""),1014671.0)</f>
        <v>1014671</v>
      </c>
      <c r="B725" t="str">
        <f>IFERROR(__xludf.DUMMYFUNCTION("""COMPUTED_VALUE"""),"Ms.")</f>
        <v>Ms.</v>
      </c>
      <c r="C725" t="str">
        <f>IFERROR(__xludf.DUMMYFUNCTION("""COMPUTED_VALUE"""),"Nattawalai")</f>
        <v>Nattawalai</v>
      </c>
      <c r="D725" t="str">
        <f>IFERROR(__xludf.DUMMYFUNCTION("""COMPUTED_VALUE"""),"Buranaphatthana")</f>
        <v>Buranaphatthana</v>
      </c>
      <c r="E725" t="str">
        <f>IFERROR(__xludf.DUMMYFUNCTION("""COMPUTED_VALUE"""),"Nattawalai Buranaphatthana")</f>
        <v>Nattawalai Buranaphatthana</v>
      </c>
      <c r="F725" t="str">
        <f>IFERROR(__xludf.DUMMYFUNCTION("""COMPUTED_VALUE"""),"นางสาว")</f>
        <v>นางสาว</v>
      </c>
      <c r="G725" t="str">
        <f>IFERROR(__xludf.DUMMYFUNCTION("""COMPUTED_VALUE"""),"ณัฐวลัย")</f>
        <v>ณัฐวลัย</v>
      </c>
      <c r="H725" t="str">
        <f>IFERROR(__xludf.DUMMYFUNCTION("""COMPUTED_VALUE"""),"บูรณพัฒนา")</f>
        <v>บูรณพัฒนา</v>
      </c>
      <c r="I725" t="str">
        <f>IFERROR(__xludf.DUMMYFUNCTION("""COMPUTED_VALUE"""),"ณัฐวลัย บูรณพัฒนา")</f>
        <v>ณัฐวลัย บูรณพัฒนา</v>
      </c>
      <c r="J725" t="str">
        <f>IFERROR(__xludf.DUMMYFUNCTION("""COMPUTED_VALUE"""),"OFF / อ๊อฟ")</f>
        <v>OFF / อ๊อฟ</v>
      </c>
      <c r="K725" t="str">
        <f>IFERROR(__xludf.DUMMYFUNCTION("""COMPUTED_VALUE"""),"Cabin Crew - CNX")</f>
        <v>Cabin Crew - CNX</v>
      </c>
      <c r="L725" t="str">
        <f>IFERROR(__xludf.DUMMYFUNCTION("""COMPUTED_VALUE"""),"CNX")</f>
        <v>CNX</v>
      </c>
      <c r="M725" s="145" t="str">
        <f>IFERROR(__xludf.DUMMYFUNCTION("""COMPUTED_VALUE"""),"Up Home")</f>
        <v>Up Home</v>
      </c>
      <c r="N725" t="str">
        <f>IFERROR(__xludf.DUMMYFUNCTION("""COMPUTED_VALUE"""),"Active")</f>
        <v>Active</v>
      </c>
      <c r="P725" s="143">
        <f>IFERROR(__xludf.DUMMYFUNCTION("""COMPUTED_VALUE"""),32643.0)</f>
        <v>32643</v>
      </c>
      <c r="Q725" s="146" t="str">
        <f>IFERROR(__xludf.DUMMYFUNCTION("""COMPUTED_VALUE"""),"094-7838546")</f>
        <v>094-7838546</v>
      </c>
      <c r="R725" s="147" t="str">
        <f>IFERROR(__xludf.DUMMYFUNCTION("""COMPUTED_VALUE"""),"1-5099-00735-61-1")</f>
        <v>1-5099-00735-61-1</v>
      </c>
      <c r="S725" t="str">
        <f>IFERROR(__xludf.DUMMYFUNCTION("""COMPUTED_VALUE"""),"AC4903107")</f>
        <v>AC4903107</v>
      </c>
      <c r="T725" s="148">
        <f>IFERROR(__xludf.DUMMYFUNCTION("""COMPUTED_VALUE"""),45044.0)</f>
        <v>45044</v>
      </c>
      <c r="U725" s="148">
        <f>IFERROR(__xludf.DUMMYFUNCTION("""COMPUTED_VALUE"""),48696.0)</f>
        <v>48696</v>
      </c>
      <c r="V725" s="149">
        <f>IFERROR(__xludf.DUMMYFUNCTION("""COMPUTED_VALUE"""),48514.0)</f>
        <v>48514</v>
      </c>
      <c r="W725" t="str">
        <f>IFERROR(__xludf.DUMMYFUNCTION("""COMPUTED_VALUE"""),"ปลอดภัย")</f>
        <v>ปลอดภัย</v>
      </c>
      <c r="X725" t="str">
        <f>IFERROR(__xludf.DUMMYFUNCTION("""COMPUTED_VALUE"""),"Chiang Mai Province")</f>
        <v>Chiang Mai Province</v>
      </c>
      <c r="Y725" t="str">
        <f>IFERROR(__xludf.DUMMYFUNCTION("""COMPUTED_VALUE"""),"Pakkret")</f>
        <v>Pakkret</v>
      </c>
      <c r="Z725" t="str">
        <f>IFERROR(__xludf.DUMMYFUNCTION("""COMPUTED_VALUE"""),"087-188-8188")</f>
        <v>087-188-8188</v>
      </c>
      <c r="AA725" t="str">
        <f>IFERROR(__xludf.DUMMYFUNCTION("""COMPUTED_VALUE"""),"Manoon Bujranaphatthana (Father)")</f>
        <v>Manoon Bujranaphatthana (Father)</v>
      </c>
      <c r="AB725" t="str">
        <f>IFERROR(__xludf.DUMMYFUNCTION("""COMPUTED_VALUE"""),"nattawalaib@airasia.com")</f>
        <v>nattawalaib@airasia.com</v>
      </c>
    </row>
    <row r="726">
      <c r="A726">
        <f>IFERROR(__xludf.DUMMYFUNCTION("""COMPUTED_VALUE"""),1014672.0)</f>
        <v>1014672</v>
      </c>
      <c r="B726" t="str">
        <f>IFERROR(__xludf.DUMMYFUNCTION("""COMPUTED_VALUE"""),"Mr.")</f>
        <v>Mr.</v>
      </c>
      <c r="C726" t="str">
        <f>IFERROR(__xludf.DUMMYFUNCTION("""COMPUTED_VALUE"""),"Parinya")</f>
        <v>Parinya</v>
      </c>
      <c r="D726" t="str">
        <f>IFERROR(__xludf.DUMMYFUNCTION("""COMPUTED_VALUE"""),"Khumruk")</f>
        <v>Khumruk</v>
      </c>
      <c r="E726" t="str">
        <f>IFERROR(__xludf.DUMMYFUNCTION("""COMPUTED_VALUE"""),"Parinya Khumruk")</f>
        <v>Parinya Khumruk</v>
      </c>
      <c r="F726" t="str">
        <f>IFERROR(__xludf.DUMMYFUNCTION("""COMPUTED_VALUE"""),"นาย")</f>
        <v>นาย</v>
      </c>
      <c r="G726" t="str">
        <f>IFERROR(__xludf.DUMMYFUNCTION("""COMPUTED_VALUE"""),"ปริญญา")</f>
        <v>ปริญญา</v>
      </c>
      <c r="H726" t="str">
        <f>IFERROR(__xludf.DUMMYFUNCTION("""COMPUTED_VALUE"""),"คุ้มรักษ์")</f>
        <v>คุ้มรักษ์</v>
      </c>
      <c r="I726" t="str">
        <f>IFERROR(__xludf.DUMMYFUNCTION("""COMPUTED_VALUE"""),"ปริญญา คุ้มรักษ์")</f>
        <v>ปริญญา คุ้มรักษ์</v>
      </c>
      <c r="J726" t="str">
        <f>IFERROR(__xludf.DUMMYFUNCTION("""COMPUTED_VALUE"""),"Aoddy / โอ๊ดดี้")</f>
        <v>Aoddy / โอ๊ดดี้</v>
      </c>
      <c r="K726" t="str">
        <f>IFERROR(__xludf.DUMMYFUNCTION("""COMPUTED_VALUE"""),"Cabin Crew")</f>
        <v>Cabin Crew</v>
      </c>
      <c r="L726" t="str">
        <f>IFERROR(__xludf.DUMMYFUNCTION("""COMPUTED_VALUE"""),"DMK")</f>
        <v>DMK</v>
      </c>
      <c r="M726" s="145" t="str">
        <f>IFERROR(__xludf.DUMMYFUNCTION("""COMPUTED_VALUE"""),"Nhui Home")</f>
        <v>Nhui Home</v>
      </c>
      <c r="N726" t="str">
        <f>IFERROR(__xludf.DUMMYFUNCTION("""COMPUTED_VALUE"""),"Active")</f>
        <v>Active</v>
      </c>
      <c r="P726" s="143">
        <f>IFERROR(__xludf.DUMMYFUNCTION("""COMPUTED_VALUE"""),32485.0)</f>
        <v>32485</v>
      </c>
      <c r="Q726" s="146" t="str">
        <f>IFERROR(__xludf.DUMMYFUNCTION("""COMPUTED_VALUE"""),"096-569-9653")</f>
        <v>096-569-9653</v>
      </c>
      <c r="R726" s="147" t="str">
        <f>IFERROR(__xludf.DUMMYFUNCTION("""COMPUTED_VALUE"""),"1-1014-01486-70-1")</f>
        <v>1-1014-01486-70-1</v>
      </c>
      <c r="S726" t="str">
        <f>IFERROR(__xludf.DUMMYFUNCTION("""COMPUTED_VALUE"""),"AC7443572")</f>
        <v>AC7443572</v>
      </c>
      <c r="T726" s="148">
        <f>IFERROR(__xludf.DUMMYFUNCTION("""COMPUTED_VALUE"""),45585.0)</f>
        <v>45585</v>
      </c>
      <c r="U726" s="148">
        <f>IFERROR(__xludf.DUMMYFUNCTION("""COMPUTED_VALUE"""),49236.0)</f>
        <v>49236</v>
      </c>
      <c r="V726" s="149">
        <f>IFERROR(__xludf.DUMMYFUNCTION("""COMPUTED_VALUE"""),49053.0)</f>
        <v>49053</v>
      </c>
      <c r="W726" t="str">
        <f>IFERROR(__xludf.DUMMYFUNCTION("""COMPUTED_VALUE"""),"ปลอดภัย")</f>
        <v>ปลอดภัย</v>
      </c>
      <c r="X726" t="str">
        <f>IFERROR(__xludf.DUMMYFUNCTION("""COMPUTED_VALUE"""),"Bangkok")</f>
        <v>Bangkok</v>
      </c>
      <c r="Y726" t="str">
        <f>IFERROR(__xludf.DUMMYFUNCTION("""COMPUTED_VALUE"""),"Talingchan")</f>
        <v>Talingchan</v>
      </c>
      <c r="Z726" t="str">
        <f>IFERROR(__xludf.DUMMYFUNCTION("""COMPUTED_VALUE"""),"093-915-6997")</f>
        <v>093-915-6997</v>
      </c>
      <c r="AA726" t="str">
        <f>IFERROR(__xludf.DUMMYFUNCTION("""COMPUTED_VALUE"""),"Lamul Lunkhuntod (Mother)")</f>
        <v>Lamul Lunkhuntod (Mother)</v>
      </c>
      <c r="AB726" t="str">
        <f>IFERROR(__xludf.DUMMYFUNCTION("""COMPUTED_VALUE"""),"parinyam@airasia.com")</f>
        <v>parinyam@airasia.com</v>
      </c>
    </row>
    <row r="727">
      <c r="A727">
        <f>IFERROR(__xludf.DUMMYFUNCTION("""COMPUTED_VALUE"""),1014673.0)</f>
        <v>1014673</v>
      </c>
      <c r="B727" t="str">
        <f>IFERROR(__xludf.DUMMYFUNCTION("""COMPUTED_VALUE"""),"Ms.")</f>
        <v>Ms.</v>
      </c>
      <c r="C727" t="str">
        <f>IFERROR(__xludf.DUMMYFUNCTION("""COMPUTED_VALUE"""),"Pim")</f>
        <v>Pim</v>
      </c>
      <c r="D727" t="str">
        <f>IFERROR(__xludf.DUMMYFUNCTION("""COMPUTED_VALUE"""),"Thitichaitawat")</f>
        <v>Thitichaitawat</v>
      </c>
      <c r="E727" t="str">
        <f>IFERROR(__xludf.DUMMYFUNCTION("""COMPUTED_VALUE"""),"Pim Thitichaitawat")</f>
        <v>Pim Thitichaitawat</v>
      </c>
      <c r="F727" t="str">
        <f>IFERROR(__xludf.DUMMYFUNCTION("""COMPUTED_VALUE"""),"นางสาว")</f>
        <v>นางสาว</v>
      </c>
      <c r="G727" t="str">
        <f>IFERROR(__xludf.DUMMYFUNCTION("""COMPUTED_VALUE"""),"พิม")</f>
        <v>พิม</v>
      </c>
      <c r="H727" t="str">
        <f>IFERROR(__xludf.DUMMYFUNCTION("""COMPUTED_VALUE"""),"ฐิติชัยธวัช")</f>
        <v>ฐิติชัยธวัช</v>
      </c>
      <c r="I727" t="str">
        <f>IFERROR(__xludf.DUMMYFUNCTION("""COMPUTED_VALUE"""),"พิม ฐิติชัยธวัช")</f>
        <v>พิม ฐิติชัยธวัช</v>
      </c>
      <c r="J727" t="str">
        <f>IFERROR(__xludf.DUMMYFUNCTION("""COMPUTED_VALUE"""),"Pim / พิม")</f>
        <v>Pim / พิม</v>
      </c>
      <c r="K727" t="str">
        <f>IFERROR(__xludf.DUMMYFUNCTION("""COMPUTED_VALUE"""),"Cabin Crew - BKK")</f>
        <v>Cabin Crew - BKK</v>
      </c>
      <c r="L727" t="str">
        <f>IFERROR(__xludf.DUMMYFUNCTION("""COMPUTED_VALUE"""),"BKK")</f>
        <v>BKK</v>
      </c>
      <c r="M727" s="145" t="str">
        <f>IFERROR(__xludf.DUMMYFUNCTION("""COMPUTED_VALUE"""),"Nhui Home")</f>
        <v>Nhui Home</v>
      </c>
      <c r="N727" t="str">
        <f>IFERROR(__xludf.DUMMYFUNCTION("""COMPUTED_VALUE"""),"Active")</f>
        <v>Active</v>
      </c>
      <c r="P727" s="143">
        <f>IFERROR(__xludf.DUMMYFUNCTION("""COMPUTED_VALUE"""),33197.0)</f>
        <v>33197</v>
      </c>
      <c r="Q727" s="146" t="str">
        <f>IFERROR(__xludf.DUMMYFUNCTION("""COMPUTED_VALUE"""),"094-9324497")</f>
        <v>094-9324497</v>
      </c>
      <c r="R727" s="147" t="str">
        <f>IFERROR(__xludf.DUMMYFUNCTION("""COMPUTED_VALUE"""),"1-1037-00310-48-7")</f>
        <v>1-1037-00310-48-7</v>
      </c>
      <c r="S727" t="str">
        <f>IFERROR(__xludf.DUMMYFUNCTION("""COMPUTED_VALUE"""),"AC2657783")</f>
        <v>AC2657783</v>
      </c>
      <c r="T727" s="148">
        <f>IFERROR(__xludf.DUMMYFUNCTION("""COMPUTED_VALUE"""),44567.0)</f>
        <v>44567</v>
      </c>
      <c r="U727" s="148">
        <f>IFERROR(__xludf.DUMMYFUNCTION("""COMPUTED_VALUE"""),48218.0)</f>
        <v>48218</v>
      </c>
      <c r="V727" s="149">
        <f>IFERROR(__xludf.DUMMYFUNCTION("""COMPUTED_VALUE"""),48034.0)</f>
        <v>48034</v>
      </c>
      <c r="W727" t="str">
        <f>IFERROR(__xludf.DUMMYFUNCTION("""COMPUTED_VALUE"""),"ปลอดภัย")</f>
        <v>ปลอดภัย</v>
      </c>
      <c r="X727" t="str">
        <f>IFERROR(__xludf.DUMMYFUNCTION("""COMPUTED_VALUE"""),"Bangkok")</f>
        <v>Bangkok</v>
      </c>
      <c r="Y727" t="str">
        <f>IFERROR(__xludf.DUMMYFUNCTION("""COMPUTED_VALUE"""),"Latkrabang")</f>
        <v>Latkrabang</v>
      </c>
      <c r="Z727" t="str">
        <f>IFERROR(__xludf.DUMMYFUNCTION("""COMPUTED_VALUE"""),"084-657-9222")</f>
        <v>084-657-9222</v>
      </c>
      <c r="AA727" t="str">
        <f>IFERROR(__xludf.DUMMYFUNCTION("""COMPUTED_VALUE"""),"Tawat Thitichaitawat (Father)")</f>
        <v>Tawat Thitichaitawat (Father)</v>
      </c>
      <c r="AB727" t="str">
        <f>IFERROR(__xludf.DUMMYFUNCTION("""COMPUTED_VALUE"""),"pimt@airasia.com")</f>
        <v>pimt@airasia.com</v>
      </c>
    </row>
    <row r="728">
      <c r="A728">
        <f>IFERROR(__xludf.DUMMYFUNCTION("""COMPUTED_VALUE"""),1014675.0)</f>
        <v>1014675</v>
      </c>
      <c r="B728" t="str">
        <f>IFERROR(__xludf.DUMMYFUNCTION("""COMPUTED_VALUE"""),"Ms.")</f>
        <v>Ms.</v>
      </c>
      <c r="C728" t="str">
        <f>IFERROR(__xludf.DUMMYFUNCTION("""COMPUTED_VALUE"""),"SARANYA")</f>
        <v>SARANYA</v>
      </c>
      <c r="D728" t="str">
        <f>IFERROR(__xludf.DUMMYFUNCTION("""COMPUTED_VALUE"""),"AMLEE")</f>
        <v>AMLEE</v>
      </c>
      <c r="E728" t="str">
        <f>IFERROR(__xludf.DUMMYFUNCTION("""COMPUTED_VALUE"""),"Saranya Amlee")</f>
        <v>Saranya Amlee</v>
      </c>
      <c r="F728" t="str">
        <f>IFERROR(__xludf.DUMMYFUNCTION("""COMPUTED_VALUE"""),"นางสาว")</f>
        <v>นางสาว</v>
      </c>
      <c r="G728" t="str">
        <f>IFERROR(__xludf.DUMMYFUNCTION("""COMPUTED_VALUE"""),"ศรัญญา")</f>
        <v>ศรัญญา</v>
      </c>
      <c r="H728" t="str">
        <f>IFERROR(__xludf.DUMMYFUNCTION("""COMPUTED_VALUE"""),"อัมลีย์")</f>
        <v>อัมลีย์</v>
      </c>
      <c r="I728" t="str">
        <f>IFERROR(__xludf.DUMMYFUNCTION("""COMPUTED_VALUE"""),"ศรัญญา อัมลีย์")</f>
        <v>ศรัญญา อัมลีย์</v>
      </c>
      <c r="J728" t="str">
        <f>IFERROR(__xludf.DUMMYFUNCTION("""COMPUTED_VALUE"""),"Ya / ญา")</f>
        <v>Ya / ญา</v>
      </c>
      <c r="K728" t="str">
        <f>IFERROR(__xludf.DUMMYFUNCTION("""COMPUTED_VALUE"""),"Cabin Crew")</f>
        <v>Cabin Crew</v>
      </c>
      <c r="L728" t="str">
        <f>IFERROR(__xludf.DUMMYFUNCTION("""COMPUTED_VALUE"""),"DMK")</f>
        <v>DMK</v>
      </c>
      <c r="M728" s="145" t="str">
        <f>IFERROR(__xludf.DUMMYFUNCTION("""COMPUTED_VALUE"""),"Um Home")</f>
        <v>Um Home</v>
      </c>
      <c r="N728" t="str">
        <f>IFERROR(__xludf.DUMMYFUNCTION("""COMPUTED_VALUE"""),"Active")</f>
        <v>Active</v>
      </c>
      <c r="P728" s="143">
        <f>IFERROR(__xludf.DUMMYFUNCTION("""COMPUTED_VALUE"""),32466.0)</f>
        <v>32466</v>
      </c>
      <c r="Q728" s="146" t="str">
        <f>IFERROR(__xludf.DUMMYFUNCTION("""COMPUTED_VALUE"""),"094-054-5940")</f>
        <v>094-054-5940</v>
      </c>
      <c r="R728" s="147" t="str">
        <f>IFERROR(__xludf.DUMMYFUNCTION("""COMPUTED_VALUE"""),"1-1004-00364-08-2")</f>
        <v>1-1004-00364-08-2</v>
      </c>
      <c r="S728" t="str">
        <f>IFERROR(__xludf.DUMMYFUNCTION("""COMPUTED_VALUE"""),"AD0583864")</f>
        <v>AD0583864</v>
      </c>
      <c r="T728" s="148">
        <f>IFERROR(__xludf.DUMMYFUNCTION("""COMPUTED_VALUE"""),44930.0)</f>
        <v>44930</v>
      </c>
      <c r="U728" s="148">
        <f>IFERROR(__xludf.DUMMYFUNCTION("""COMPUTED_VALUE"""),46025.0)</f>
        <v>46025</v>
      </c>
      <c r="V728" s="149">
        <f>IFERROR(__xludf.DUMMYFUNCTION("""COMPUTED_VALUE"""),45841.0)</f>
        <v>45841</v>
      </c>
      <c r="W728" t="str">
        <f>IFERROR(__xludf.DUMMYFUNCTION("""COMPUTED_VALUE"""),"เกินระยะเวลา")</f>
        <v>เกินระยะเวลา</v>
      </c>
      <c r="X728" t="str">
        <f>IFERROR(__xludf.DUMMYFUNCTION("""COMPUTED_VALUE"""),"Bangkok")</f>
        <v>Bangkok</v>
      </c>
      <c r="Y728" t="str">
        <f>IFERROR(__xludf.DUMMYFUNCTION("""COMPUTED_VALUE"""),"Nonthaburi")</f>
        <v>Nonthaburi</v>
      </c>
      <c r="Z728" t="str">
        <f>IFERROR(__xludf.DUMMYFUNCTION("""COMPUTED_VALUE"""),"098-565-0956")</f>
        <v>098-565-0956</v>
      </c>
      <c r="AA728" t="str">
        <f>IFERROR(__xludf.DUMMYFUNCTION("""COMPUTED_VALUE"""),"Waeota Amlee (Mother)")</f>
        <v>Waeota Amlee (Mother)</v>
      </c>
      <c r="AB728" t="str">
        <f>IFERROR(__xludf.DUMMYFUNCTION("""COMPUTED_VALUE"""),"saranyam@airasia.com")</f>
        <v>saranyam@airasia.com</v>
      </c>
    </row>
    <row r="729">
      <c r="A729">
        <f>IFERROR(__xludf.DUMMYFUNCTION("""COMPUTED_VALUE"""),1014676.0)</f>
        <v>1014676</v>
      </c>
      <c r="B729" t="str">
        <f>IFERROR(__xludf.DUMMYFUNCTION("""COMPUTED_VALUE"""),"Ms.")</f>
        <v>Ms.</v>
      </c>
      <c r="C729" t="str">
        <f>IFERROR(__xludf.DUMMYFUNCTION("""COMPUTED_VALUE"""),"Sowikorn")</f>
        <v>Sowikorn</v>
      </c>
      <c r="D729" t="str">
        <f>IFERROR(__xludf.DUMMYFUNCTION("""COMPUTED_VALUE"""),"Chomchuen")</f>
        <v>Chomchuen</v>
      </c>
      <c r="E729" t="str">
        <f>IFERROR(__xludf.DUMMYFUNCTION("""COMPUTED_VALUE"""),"Sowikorn Chomchuen")</f>
        <v>Sowikorn Chomchuen</v>
      </c>
      <c r="F729" t="str">
        <f>IFERROR(__xludf.DUMMYFUNCTION("""COMPUTED_VALUE"""),"นางสาว")</f>
        <v>นางสาว</v>
      </c>
      <c r="G729" t="str">
        <f>IFERROR(__xludf.DUMMYFUNCTION("""COMPUTED_VALUE"""),"โสวิกร")</f>
        <v>โสวิกร</v>
      </c>
      <c r="H729" t="str">
        <f>IFERROR(__xludf.DUMMYFUNCTION("""COMPUTED_VALUE"""),"ชมชื่น")</f>
        <v>ชมชื่น</v>
      </c>
      <c r="I729" t="str">
        <f>IFERROR(__xludf.DUMMYFUNCTION("""COMPUTED_VALUE"""),"โสวิกร ชมชื่น")</f>
        <v>โสวิกร ชมชื่น</v>
      </c>
      <c r="J729" t="str">
        <f>IFERROR(__xludf.DUMMYFUNCTION("""COMPUTED_VALUE"""),"So / โส")</f>
        <v>So / โส</v>
      </c>
      <c r="K729" t="str">
        <f>IFERROR(__xludf.DUMMYFUNCTION("""COMPUTED_VALUE"""),"Cabin Crew")</f>
        <v>Cabin Crew</v>
      </c>
      <c r="L729" t="str">
        <f>IFERROR(__xludf.DUMMYFUNCTION("""COMPUTED_VALUE"""),"DMK")</f>
        <v>DMK</v>
      </c>
      <c r="M729" s="145" t="str">
        <f>IFERROR(__xludf.DUMMYFUNCTION("""COMPUTED_VALUE"""),"Nhui Home")</f>
        <v>Nhui Home</v>
      </c>
      <c r="N729" t="str">
        <f>IFERROR(__xludf.DUMMYFUNCTION("""COMPUTED_VALUE"""),"Active")</f>
        <v>Active</v>
      </c>
      <c r="P729" s="143">
        <f>IFERROR(__xludf.DUMMYFUNCTION("""COMPUTED_VALUE"""),31555.0)</f>
        <v>31555</v>
      </c>
      <c r="Q729" s="146" t="str">
        <f>IFERROR(__xludf.DUMMYFUNCTION("""COMPUTED_VALUE"""),"097-232-6553")</f>
        <v>097-232-6553</v>
      </c>
      <c r="R729" s="147" t="str">
        <f>IFERROR(__xludf.DUMMYFUNCTION("""COMPUTED_VALUE"""),"1-1020-00614-11-3")</f>
        <v>1-1020-00614-11-3</v>
      </c>
      <c r="S729" t="str">
        <f>IFERROR(__xludf.DUMMYFUNCTION("""COMPUTED_VALUE"""),"AC5875589")</f>
        <v>AC5875589</v>
      </c>
      <c r="T729" s="148">
        <f>IFERROR(__xludf.DUMMYFUNCTION("""COMPUTED_VALUE"""),45216.0)</f>
        <v>45216</v>
      </c>
      <c r="U729" s="148">
        <f>IFERROR(__xludf.DUMMYFUNCTION("""COMPUTED_VALUE"""),48868.0)</f>
        <v>48868</v>
      </c>
      <c r="V729" s="149">
        <f>IFERROR(__xludf.DUMMYFUNCTION("""COMPUTED_VALUE"""),48685.0)</f>
        <v>48685</v>
      </c>
      <c r="W729" t="str">
        <f>IFERROR(__xludf.DUMMYFUNCTION("""COMPUTED_VALUE"""),"ปลอดภัย")</f>
        <v>ปลอดภัย</v>
      </c>
      <c r="X729" t="str">
        <f>IFERROR(__xludf.DUMMYFUNCTION("""COMPUTED_VALUE"""),"Bangkok")</f>
        <v>Bangkok</v>
      </c>
      <c r="Y729" t="str">
        <f>IFERROR(__xludf.DUMMYFUNCTION("""COMPUTED_VALUE"""),"Saimai")</f>
        <v>Saimai</v>
      </c>
      <c r="Z729" t="str">
        <f>IFERROR(__xludf.DUMMYFUNCTION("""COMPUTED_VALUE"""),"089-810-0657")</f>
        <v>089-810-0657</v>
      </c>
      <c r="AA729" t="str">
        <f>IFERROR(__xludf.DUMMYFUNCTION("""COMPUTED_VALUE"""),"Boonicha Chomchuen (Mother)")</f>
        <v>Boonicha Chomchuen (Mother)</v>
      </c>
      <c r="AB729" t="str">
        <f>IFERROR(__xludf.DUMMYFUNCTION("""COMPUTED_VALUE"""),"sowikornc@airasia.com")</f>
        <v>sowikornc@airasia.com</v>
      </c>
    </row>
    <row r="730">
      <c r="A730">
        <f>IFERROR(__xludf.DUMMYFUNCTION("""COMPUTED_VALUE"""),1014678.0)</f>
        <v>1014678</v>
      </c>
      <c r="B730" t="str">
        <f>IFERROR(__xludf.DUMMYFUNCTION("""COMPUTED_VALUE"""),"Mr.")</f>
        <v>Mr.</v>
      </c>
      <c r="C730" t="str">
        <f>IFERROR(__xludf.DUMMYFUNCTION("""COMPUTED_VALUE"""),"supapong")</f>
        <v>supapong</v>
      </c>
      <c r="D730" t="str">
        <f>IFERROR(__xludf.DUMMYFUNCTION("""COMPUTED_VALUE"""),"kwanon")</f>
        <v>kwanon</v>
      </c>
      <c r="E730" t="str">
        <f>IFERROR(__xludf.DUMMYFUNCTION("""COMPUTED_VALUE"""),"Supapong Kwanon")</f>
        <v>Supapong Kwanon</v>
      </c>
      <c r="F730" t="str">
        <f>IFERROR(__xludf.DUMMYFUNCTION("""COMPUTED_VALUE"""),"นาย")</f>
        <v>นาย</v>
      </c>
      <c r="G730" t="str">
        <f>IFERROR(__xludf.DUMMYFUNCTION("""COMPUTED_VALUE"""),"ศุภพงษ์")</f>
        <v>ศุภพงษ์</v>
      </c>
      <c r="H730" t="str">
        <f>IFERROR(__xludf.DUMMYFUNCTION("""COMPUTED_VALUE"""),"ขวัญอ่อน")</f>
        <v>ขวัญอ่อน</v>
      </c>
      <c r="I730" t="str">
        <f>IFERROR(__xludf.DUMMYFUNCTION("""COMPUTED_VALUE"""),"ศุภพงษ์ ขวัญอ่อน")</f>
        <v>ศุภพงษ์ ขวัญอ่อน</v>
      </c>
      <c r="J730" t="str">
        <f>IFERROR(__xludf.DUMMYFUNCTION("""COMPUTED_VALUE"""),"Jo / โจ้")</f>
        <v>Jo / โจ้</v>
      </c>
      <c r="K730" t="str">
        <f>IFERROR(__xludf.DUMMYFUNCTION("""COMPUTED_VALUE"""),"Cabin Crew")</f>
        <v>Cabin Crew</v>
      </c>
      <c r="L730" t="str">
        <f>IFERROR(__xludf.DUMMYFUNCTION("""COMPUTED_VALUE"""),"DMK")</f>
        <v>DMK</v>
      </c>
      <c r="M730" s="145" t="str">
        <f>IFERROR(__xludf.DUMMYFUNCTION("""COMPUTED_VALUE"""),"Namfon Home")</f>
        <v>Namfon Home</v>
      </c>
      <c r="N730" t="str">
        <f>IFERROR(__xludf.DUMMYFUNCTION("""COMPUTED_VALUE"""),"Active")</f>
        <v>Active</v>
      </c>
      <c r="P730" s="143">
        <f>IFERROR(__xludf.DUMMYFUNCTION("""COMPUTED_VALUE"""),27928.0)</f>
        <v>27928</v>
      </c>
      <c r="Q730" s="146" t="str">
        <f>IFERROR(__xludf.DUMMYFUNCTION("""COMPUTED_VALUE"""),"095-447-1887")</f>
        <v>095-447-1887</v>
      </c>
      <c r="R730" s="147" t="str">
        <f>IFERROR(__xludf.DUMMYFUNCTION("""COMPUTED_VALUE"""),"3-1002-00209-20-9")</f>
        <v>3-1002-00209-20-9</v>
      </c>
      <c r="S730" t="str">
        <f>IFERROR(__xludf.DUMMYFUNCTION("""COMPUTED_VALUE"""),"AC4484859")</f>
        <v>AC4484859</v>
      </c>
      <c r="T730" s="148">
        <f>IFERROR(__xludf.DUMMYFUNCTION("""COMPUTED_VALUE"""),44985.0)</f>
        <v>44985</v>
      </c>
      <c r="U730" s="148">
        <f>IFERROR(__xludf.DUMMYFUNCTION("""COMPUTED_VALUE"""),48637.0)</f>
        <v>48637</v>
      </c>
      <c r="V730" s="149">
        <f>IFERROR(__xludf.DUMMYFUNCTION("""COMPUTED_VALUE"""),48453.0)</f>
        <v>48453</v>
      </c>
      <c r="W730" t="str">
        <f>IFERROR(__xludf.DUMMYFUNCTION("""COMPUTED_VALUE"""),"ปลอดภัย")</f>
        <v>ปลอดภัย</v>
      </c>
      <c r="X730" t="str">
        <f>IFERROR(__xludf.DUMMYFUNCTION("""COMPUTED_VALUE"""),"Bangkok")</f>
        <v>Bangkok</v>
      </c>
      <c r="Y730" t="str">
        <f>IFERROR(__xludf.DUMMYFUNCTION("""COMPUTED_VALUE"""),"Bangbauthong")</f>
        <v>Bangbauthong</v>
      </c>
      <c r="Z730" t="str">
        <f>IFERROR(__xludf.DUMMYFUNCTION("""COMPUTED_VALUE"""),"096-6786721")</f>
        <v>096-6786721</v>
      </c>
      <c r="AA730" t="str">
        <f>IFERROR(__xludf.DUMMYFUNCTION("""COMPUTED_VALUE"""),"Jeerapha Kwanon (Mother)")</f>
        <v>Jeerapha Kwanon (Mother)</v>
      </c>
      <c r="AB730" t="str">
        <f>IFERROR(__xludf.DUMMYFUNCTION("""COMPUTED_VALUE"""),"supapongk@airasia.com")</f>
        <v>supapongk@airasia.com</v>
      </c>
    </row>
    <row r="731">
      <c r="A731">
        <f>IFERROR(__xludf.DUMMYFUNCTION("""COMPUTED_VALUE"""),1014679.0)</f>
        <v>1014679</v>
      </c>
      <c r="B731" t="str">
        <f>IFERROR(__xludf.DUMMYFUNCTION("""COMPUTED_VALUE"""),"Ms.")</f>
        <v>Ms.</v>
      </c>
      <c r="C731" t="str">
        <f>IFERROR(__xludf.DUMMYFUNCTION("""COMPUTED_VALUE"""),"Raiya (Suraiya)")</f>
        <v>Raiya (Suraiya)</v>
      </c>
      <c r="D731" t="str">
        <f>IFERROR(__xludf.DUMMYFUNCTION("""COMPUTED_VALUE"""),"Wattanapong (Wanprarat)")</f>
        <v>Wattanapong (Wanprarat)</v>
      </c>
      <c r="E731" t="str">
        <f>IFERROR(__xludf.DUMMYFUNCTION("""COMPUTED_VALUE"""),"Raiya Wattanapong")</f>
        <v>Raiya Wattanapong</v>
      </c>
      <c r="F731" t="str">
        <f>IFERROR(__xludf.DUMMYFUNCTION("""COMPUTED_VALUE"""),"นางสาว")</f>
        <v>นางสาว</v>
      </c>
      <c r="G731" t="str">
        <f>IFERROR(__xludf.DUMMYFUNCTION("""COMPUTED_VALUE"""),"รัยญา (สุรัยญา)")</f>
        <v>รัยญา (สุรัยญา)</v>
      </c>
      <c r="H731" t="str">
        <f>IFERROR(__xludf.DUMMYFUNCTION("""COMPUTED_VALUE"""),"วัฒนพงศ์ (หวันประรัตน์)")</f>
        <v>วัฒนพงศ์ (หวันประรัตน์)</v>
      </c>
      <c r="I731" t="str">
        <f>IFERROR(__xludf.DUMMYFUNCTION("""COMPUTED_VALUE"""),"รัยญา วัฒนพงศ์")</f>
        <v>รัยญา วัฒนพงศ์</v>
      </c>
      <c r="J731" t="str">
        <f>IFERROR(__xludf.DUMMYFUNCTION("""COMPUTED_VALUE"""),"Yah / หยา")</f>
        <v>Yah / หยา</v>
      </c>
      <c r="K731" t="str">
        <f>IFERROR(__xludf.DUMMYFUNCTION("""COMPUTED_VALUE"""),"Senior Cabin Crew")</f>
        <v>Senior Cabin Crew</v>
      </c>
      <c r="L731" t="str">
        <f>IFERROR(__xludf.DUMMYFUNCTION("""COMPUTED_VALUE"""),"DMK")</f>
        <v>DMK</v>
      </c>
      <c r="M731" s="145" t="str">
        <f>IFERROR(__xludf.DUMMYFUNCTION("""COMPUTED_VALUE"""),"Toffy Home")</f>
        <v>Toffy Home</v>
      </c>
      <c r="N731" t="str">
        <f>IFERROR(__xludf.DUMMYFUNCTION("""COMPUTED_VALUE"""),"Active")</f>
        <v>Active</v>
      </c>
      <c r="P731" s="143">
        <f>IFERROR(__xludf.DUMMYFUNCTION("""COMPUTED_VALUE"""),32986.0)</f>
        <v>32986</v>
      </c>
      <c r="Q731" s="146" t="str">
        <f>IFERROR(__xludf.DUMMYFUNCTION("""COMPUTED_VALUE"""),"083-311-2900")</f>
        <v>083-311-2900</v>
      </c>
      <c r="R731" s="147" t="str">
        <f>IFERROR(__xludf.DUMMYFUNCTION("""COMPUTED_VALUE"""),"1-6599-00383-69-1")</f>
        <v>1-6599-00383-69-1</v>
      </c>
      <c r="S731" t="str">
        <f>IFERROR(__xludf.DUMMYFUNCTION("""COMPUTED_VALUE"""),"AD2241559")</f>
        <v>AD2241559</v>
      </c>
      <c r="T731" s="148">
        <f>IFERROR(__xludf.DUMMYFUNCTION("""COMPUTED_VALUE"""),45783.0)</f>
        <v>45783</v>
      </c>
      <c r="U731" s="148">
        <f>IFERROR(__xludf.DUMMYFUNCTION("""COMPUTED_VALUE"""),49434.0)</f>
        <v>49434</v>
      </c>
      <c r="V731" s="149">
        <f>IFERROR(__xludf.DUMMYFUNCTION("""COMPUTED_VALUE"""),49253.0)</f>
        <v>49253</v>
      </c>
      <c r="W731" t="str">
        <f>IFERROR(__xludf.DUMMYFUNCTION("""COMPUTED_VALUE"""),"ปลอดภัย")</f>
        <v>ปลอดภัย</v>
      </c>
      <c r="X731" t="str">
        <f>IFERROR(__xludf.DUMMYFUNCTION("""COMPUTED_VALUE"""),"Phitsanulok Province")</f>
        <v>Phitsanulok Province</v>
      </c>
      <c r="Y731" t="str">
        <f>IFERROR(__xludf.DUMMYFUNCTION("""COMPUTED_VALUE"""),"Pathumthani")</f>
        <v>Pathumthani</v>
      </c>
      <c r="Z731" t="str">
        <f>IFERROR(__xludf.DUMMYFUNCTION("""COMPUTED_VALUE"""),"081-757-5861")</f>
        <v>081-757-5861</v>
      </c>
      <c r="AA731" t="str">
        <f>IFERROR(__xludf.DUMMYFUNCTION("""COMPUTED_VALUE"""),"Supenpa Sakharo (Aunt)")</f>
        <v>Supenpa Sakharo (Aunt)</v>
      </c>
      <c r="AB731" t="str">
        <f>IFERROR(__xludf.DUMMYFUNCTION("""COMPUTED_VALUE"""),"raiyaw@airasia.com")</f>
        <v>raiyaw@airasia.com</v>
      </c>
    </row>
    <row r="732">
      <c r="A732">
        <f>IFERROR(__xludf.DUMMYFUNCTION("""COMPUTED_VALUE"""),1014680.0)</f>
        <v>1014680</v>
      </c>
      <c r="B732" t="str">
        <f>IFERROR(__xludf.DUMMYFUNCTION("""COMPUTED_VALUE"""),"Ms.")</f>
        <v>Ms.</v>
      </c>
      <c r="C732" t="str">
        <f>IFERROR(__xludf.DUMMYFUNCTION("""COMPUTED_VALUE"""),"Sutaros")</f>
        <v>Sutaros</v>
      </c>
      <c r="D732" t="str">
        <f>IFERROR(__xludf.DUMMYFUNCTION("""COMPUTED_VALUE"""),"Lompoonsuk")</f>
        <v>Lompoonsuk</v>
      </c>
      <c r="E732" t="str">
        <f>IFERROR(__xludf.DUMMYFUNCTION("""COMPUTED_VALUE"""),"Sutaros Lompoonsuk")</f>
        <v>Sutaros Lompoonsuk</v>
      </c>
      <c r="F732" t="str">
        <f>IFERROR(__xludf.DUMMYFUNCTION("""COMPUTED_VALUE"""),"นางสาว")</f>
        <v>นางสาว</v>
      </c>
      <c r="G732" t="str">
        <f>IFERROR(__xludf.DUMMYFUNCTION("""COMPUTED_VALUE"""),"สุธารส")</f>
        <v>สุธารส</v>
      </c>
      <c r="H732" t="str">
        <f>IFERROR(__xludf.DUMMYFUNCTION("""COMPUTED_VALUE"""),"ล้อมพูนสุข")</f>
        <v>ล้อมพูนสุข</v>
      </c>
      <c r="I732" t="str">
        <f>IFERROR(__xludf.DUMMYFUNCTION("""COMPUTED_VALUE"""),"สุธารส ล้อมพูนสุข")</f>
        <v>สุธารส ล้อมพูนสุข</v>
      </c>
      <c r="J732" t="str">
        <f>IFERROR(__xludf.DUMMYFUNCTION("""COMPUTED_VALUE"""),"Fah / ฟ้า")</f>
        <v>Fah / ฟ้า</v>
      </c>
      <c r="K732" t="str">
        <f>IFERROR(__xludf.DUMMYFUNCTION("""COMPUTED_VALUE"""),"Cabin Crew")</f>
        <v>Cabin Crew</v>
      </c>
      <c r="L732" t="str">
        <f>IFERROR(__xludf.DUMMYFUNCTION("""COMPUTED_VALUE"""),"DMK")</f>
        <v>DMK</v>
      </c>
      <c r="M732" s="145" t="str">
        <f>IFERROR(__xludf.DUMMYFUNCTION("""COMPUTED_VALUE"""),"Up Home")</f>
        <v>Up Home</v>
      </c>
      <c r="N732" t="str">
        <f>IFERROR(__xludf.DUMMYFUNCTION("""COMPUTED_VALUE"""),"Active")</f>
        <v>Active</v>
      </c>
      <c r="P732" s="143">
        <f>IFERROR(__xludf.DUMMYFUNCTION("""COMPUTED_VALUE"""),32560.0)</f>
        <v>32560</v>
      </c>
      <c r="Q732" s="146" t="str">
        <f>IFERROR(__xludf.DUMMYFUNCTION("""COMPUTED_VALUE"""),"081-1326511")</f>
        <v>081-1326511</v>
      </c>
      <c r="R732" s="147" t="str">
        <f>IFERROR(__xludf.DUMMYFUNCTION("""COMPUTED_VALUE"""),"1-7706-00116-06-1")</f>
        <v>1-7706-00116-06-1</v>
      </c>
      <c r="S732" t="str">
        <f>IFERROR(__xludf.DUMMYFUNCTION("""COMPUTED_VALUE"""),"AC6471881")</f>
        <v>AC6471881</v>
      </c>
      <c r="T732" s="148">
        <f>IFERROR(__xludf.DUMMYFUNCTION("""COMPUTED_VALUE"""),45399.0)</f>
        <v>45399</v>
      </c>
      <c r="U732" s="148">
        <f>IFERROR(__xludf.DUMMYFUNCTION("""COMPUTED_VALUE"""),49050.0)</f>
        <v>49050</v>
      </c>
      <c r="V732" s="149">
        <f>IFERROR(__xludf.DUMMYFUNCTION("""COMPUTED_VALUE"""),48868.0)</f>
        <v>48868</v>
      </c>
      <c r="W732" t="str">
        <f>IFERROR(__xludf.DUMMYFUNCTION("""COMPUTED_VALUE"""),"ปลอดภัย")</f>
        <v>ปลอดภัย</v>
      </c>
      <c r="X732" t="str">
        <f>IFERROR(__xludf.DUMMYFUNCTION("""COMPUTED_VALUE"""),"Prachuap Khiri Khan Province")</f>
        <v>Prachuap Khiri Khan Province</v>
      </c>
      <c r="Y732" t="str">
        <f>IFERROR(__xludf.DUMMYFUNCTION("""COMPUTED_VALUE"""),"Bangkhen")</f>
        <v>Bangkhen</v>
      </c>
      <c r="Z732" t="str">
        <f>IFERROR(__xludf.DUMMYFUNCTION("""COMPUTED_VALUE"""),"089-837-5099")</f>
        <v>089-837-5099</v>
      </c>
      <c r="AA732" t="str">
        <f>IFERROR(__xludf.DUMMYFUNCTION("""COMPUTED_VALUE"""),"Suchart Lompoonsuk (Father)")</f>
        <v>Suchart Lompoonsuk (Father)</v>
      </c>
      <c r="AB732" t="str">
        <f>IFERROR(__xludf.DUMMYFUNCTION("""COMPUTED_VALUE"""),"sutarosl@airasia.com")</f>
        <v>sutarosl@airasia.com</v>
      </c>
    </row>
    <row r="733">
      <c r="A733">
        <f>IFERROR(__xludf.DUMMYFUNCTION("""COMPUTED_VALUE"""),1014682.0)</f>
        <v>1014682</v>
      </c>
      <c r="B733" t="str">
        <f>IFERROR(__xludf.DUMMYFUNCTION("""COMPUTED_VALUE"""),"Mr.")</f>
        <v>Mr.</v>
      </c>
      <c r="C733" t="str">
        <f>IFERROR(__xludf.DUMMYFUNCTION("""COMPUTED_VALUE"""),"Thakorn")</f>
        <v>Thakorn</v>
      </c>
      <c r="D733" t="str">
        <f>IFERROR(__xludf.DUMMYFUNCTION("""COMPUTED_VALUE"""),"Angkananuchat")</f>
        <v>Angkananuchat</v>
      </c>
      <c r="E733" t="str">
        <f>IFERROR(__xludf.DUMMYFUNCTION("""COMPUTED_VALUE"""),"Thakorn Angkananuchat")</f>
        <v>Thakorn Angkananuchat</v>
      </c>
      <c r="F733" t="str">
        <f>IFERROR(__xludf.DUMMYFUNCTION("""COMPUTED_VALUE"""),"นาย")</f>
        <v>นาย</v>
      </c>
      <c r="G733" t="str">
        <f>IFERROR(__xludf.DUMMYFUNCTION("""COMPUTED_VALUE"""),"ฐากร")</f>
        <v>ฐากร</v>
      </c>
      <c r="H733" t="str">
        <f>IFERROR(__xludf.DUMMYFUNCTION("""COMPUTED_VALUE"""),"อังคณานุชาติ")</f>
        <v>อังคณานุชาติ</v>
      </c>
      <c r="I733" t="str">
        <f>IFERROR(__xludf.DUMMYFUNCTION("""COMPUTED_VALUE"""),"ฐากร อังคณานุชาติ")</f>
        <v>ฐากร อังคณานุชาติ</v>
      </c>
      <c r="J733" t="str">
        <f>IFERROR(__xludf.DUMMYFUNCTION("""COMPUTED_VALUE"""),"Arm / อาร์ม")</f>
        <v>Arm / อาร์ม</v>
      </c>
      <c r="K733" t="str">
        <f>IFERROR(__xludf.DUMMYFUNCTION("""COMPUTED_VALUE"""),"Cabin Crew - CNX")</f>
        <v>Cabin Crew - CNX</v>
      </c>
      <c r="L733" t="str">
        <f>IFERROR(__xludf.DUMMYFUNCTION("""COMPUTED_VALUE"""),"CNX")</f>
        <v>CNX</v>
      </c>
      <c r="M733" s="145" t="str">
        <f>IFERROR(__xludf.DUMMYFUNCTION("""COMPUTED_VALUE"""),"Up Home")</f>
        <v>Up Home</v>
      </c>
      <c r="N733" t="str">
        <f>IFERROR(__xludf.DUMMYFUNCTION("""COMPUTED_VALUE"""),"Active")</f>
        <v>Active</v>
      </c>
      <c r="P733" s="143">
        <f>IFERROR(__xludf.DUMMYFUNCTION("""COMPUTED_VALUE"""),32863.0)</f>
        <v>32863</v>
      </c>
      <c r="Q733" s="146" t="str">
        <f>IFERROR(__xludf.DUMMYFUNCTION("""COMPUTED_VALUE"""),"083-699-5757")</f>
        <v>083-699-5757</v>
      </c>
      <c r="R733" s="147" t="str">
        <f>IFERROR(__xludf.DUMMYFUNCTION("""COMPUTED_VALUE"""),"1-5799-00277-77-9")</f>
        <v>1-5799-00277-77-9</v>
      </c>
      <c r="S733" t="str">
        <f>IFERROR(__xludf.DUMMYFUNCTION("""COMPUTED_VALUE"""),"AC2828301")</f>
        <v>AC2828301</v>
      </c>
      <c r="T733" s="148">
        <f>IFERROR(__xludf.DUMMYFUNCTION("""COMPUTED_VALUE"""),44522.0)</f>
        <v>44522</v>
      </c>
      <c r="U733" s="148">
        <f>IFERROR(__xludf.DUMMYFUNCTION("""COMPUTED_VALUE"""),48173.0)</f>
        <v>48173</v>
      </c>
      <c r="V733" s="149">
        <f>IFERROR(__xludf.DUMMYFUNCTION("""COMPUTED_VALUE"""),47989.0)</f>
        <v>47989</v>
      </c>
      <c r="W733" t="str">
        <f>IFERROR(__xludf.DUMMYFUNCTION("""COMPUTED_VALUE"""),"ปลอดภัย")</f>
        <v>ปลอดภัย</v>
      </c>
      <c r="X733" t="str">
        <f>IFERROR(__xludf.DUMMYFUNCTION("""COMPUTED_VALUE"""),"Chiang Rai Province")</f>
        <v>Chiang Rai Province</v>
      </c>
      <c r="Y733" t="str">
        <f>IFERROR(__xludf.DUMMYFUNCTION("""COMPUTED_VALUE"""),"Beungkum")</f>
        <v>Beungkum</v>
      </c>
      <c r="Z733" t="str">
        <f>IFERROR(__xludf.DUMMYFUNCTION("""COMPUTED_VALUE"""),"086-320-4679")</f>
        <v>086-320-4679</v>
      </c>
      <c r="AA733" t="str">
        <f>IFERROR(__xludf.DUMMYFUNCTION("""COMPUTED_VALUE"""),"Puttimet Ungkananuchat (Brother)")</f>
        <v>Puttimet Ungkananuchat (Brother)</v>
      </c>
      <c r="AB733" t="str">
        <f>IFERROR(__xludf.DUMMYFUNCTION("""COMPUTED_VALUE"""),"thakorna@airasia.com")</f>
        <v>thakorna@airasia.com</v>
      </c>
    </row>
    <row r="734">
      <c r="A734">
        <f>IFERROR(__xludf.DUMMYFUNCTION("""COMPUTED_VALUE"""),1014683.0)</f>
        <v>1014683</v>
      </c>
      <c r="B734" t="str">
        <f>IFERROR(__xludf.DUMMYFUNCTION("""COMPUTED_VALUE"""),"Mr.")</f>
        <v>Mr.</v>
      </c>
      <c r="C734" t="str">
        <f>IFERROR(__xludf.DUMMYFUNCTION("""COMPUTED_VALUE"""),"Trin")</f>
        <v>Trin</v>
      </c>
      <c r="D734" t="str">
        <f>IFERROR(__xludf.DUMMYFUNCTION("""COMPUTED_VALUE"""),"Supredanuwat")</f>
        <v>Supredanuwat</v>
      </c>
      <c r="E734" t="str">
        <f>IFERROR(__xludf.DUMMYFUNCTION("""COMPUTED_VALUE"""),"Trin Supredanuwat")</f>
        <v>Trin Supredanuwat</v>
      </c>
      <c r="F734" t="str">
        <f>IFERROR(__xludf.DUMMYFUNCTION("""COMPUTED_VALUE"""),"นาย")</f>
        <v>นาย</v>
      </c>
      <c r="G734" t="str">
        <f>IFERROR(__xludf.DUMMYFUNCTION("""COMPUTED_VALUE"""),"ตฤณ")</f>
        <v>ตฤณ</v>
      </c>
      <c r="H734" t="str">
        <f>IFERROR(__xludf.DUMMYFUNCTION("""COMPUTED_VALUE"""),"สุปรีดานุวัฒน์")</f>
        <v>สุปรีดานุวัฒน์</v>
      </c>
      <c r="I734" t="str">
        <f>IFERROR(__xludf.DUMMYFUNCTION("""COMPUTED_VALUE"""),"ตฤณ สุปรีดานุวัฒน์")</f>
        <v>ตฤณ สุปรีดานุวัฒน์</v>
      </c>
      <c r="J734" t="str">
        <f>IFERROR(__xludf.DUMMYFUNCTION("""COMPUTED_VALUE"""),"Hock / ฮ๊อก")</f>
        <v>Hock / ฮ๊อก</v>
      </c>
      <c r="K734" t="str">
        <f>IFERROR(__xludf.DUMMYFUNCTION("""COMPUTED_VALUE"""),"Cabin Crew")</f>
        <v>Cabin Crew</v>
      </c>
      <c r="L734" t="str">
        <f>IFERROR(__xludf.DUMMYFUNCTION("""COMPUTED_VALUE"""),"DMK")</f>
        <v>DMK</v>
      </c>
      <c r="M734" s="145" t="str">
        <f>IFERROR(__xludf.DUMMYFUNCTION("""COMPUTED_VALUE"""),"Nhui Home")</f>
        <v>Nhui Home</v>
      </c>
      <c r="N734" t="str">
        <f>IFERROR(__xludf.DUMMYFUNCTION("""COMPUTED_VALUE"""),"Active")</f>
        <v>Active</v>
      </c>
      <c r="O734" t="str">
        <f>IFERROR(__xludf.DUMMYFUNCTION("""COMPUTED_VALUE"""),"Chinese Speaking")</f>
        <v>Chinese Speaking</v>
      </c>
      <c r="P734" s="143">
        <f>IFERROR(__xludf.DUMMYFUNCTION("""COMPUTED_VALUE"""),32544.0)</f>
        <v>32544</v>
      </c>
      <c r="Q734" s="146" t="str">
        <f>IFERROR(__xludf.DUMMYFUNCTION("""COMPUTED_VALUE"""),"099 836 3623")</f>
        <v>099 836 3623</v>
      </c>
      <c r="R734" s="147" t="str">
        <f>IFERROR(__xludf.DUMMYFUNCTION("""COMPUTED_VALUE"""),"1-1004-00378-88-1")</f>
        <v>1-1004-00378-88-1</v>
      </c>
      <c r="S734" t="str">
        <f>IFERROR(__xludf.DUMMYFUNCTION("""COMPUTED_VALUE"""),"AC6447119")</f>
        <v>AC6447119</v>
      </c>
      <c r="T734" s="148">
        <f>IFERROR(__xludf.DUMMYFUNCTION("""COMPUTED_VALUE"""),45369.0)</f>
        <v>45369</v>
      </c>
      <c r="U734" s="148">
        <f>IFERROR(__xludf.DUMMYFUNCTION("""COMPUTED_VALUE"""),49020.0)</f>
        <v>49020</v>
      </c>
      <c r="V734" s="149">
        <f>IFERROR(__xludf.DUMMYFUNCTION("""COMPUTED_VALUE"""),48839.0)</f>
        <v>48839</v>
      </c>
      <c r="W734" t="str">
        <f>IFERROR(__xludf.DUMMYFUNCTION("""COMPUTED_VALUE"""),"ปลอดภัย")</f>
        <v>ปลอดภัย</v>
      </c>
      <c r="X734" t="str">
        <f>IFERROR(__xludf.DUMMYFUNCTION("""COMPUTED_VALUE"""),"Bangkok")</f>
        <v>Bangkok</v>
      </c>
      <c r="Y734" t="str">
        <f>IFERROR(__xludf.DUMMYFUNCTION("""COMPUTED_VALUE"""),"Ratchatewee")</f>
        <v>Ratchatewee</v>
      </c>
      <c r="Z734" t="str">
        <f>IFERROR(__xludf.DUMMYFUNCTION("""COMPUTED_VALUE"""),"085-516-8686")</f>
        <v>085-516-8686</v>
      </c>
      <c r="AA734" t="str">
        <f>IFERROR(__xludf.DUMMYFUNCTION("""COMPUTED_VALUE"""),"Orathai Manmontri (Aunty)")</f>
        <v>Orathai Manmontri (Aunty)</v>
      </c>
      <c r="AB734" t="str">
        <f>IFERROR(__xludf.DUMMYFUNCTION("""COMPUTED_VALUE"""),"trins@airasia.com")</f>
        <v>trins@airasia.com</v>
      </c>
    </row>
    <row r="735">
      <c r="A735">
        <f>IFERROR(__xludf.DUMMYFUNCTION("""COMPUTED_VALUE"""),1014684.0)</f>
        <v>1014684</v>
      </c>
      <c r="B735" t="str">
        <f>IFERROR(__xludf.DUMMYFUNCTION("""COMPUTED_VALUE"""),"Ms.")</f>
        <v>Ms.</v>
      </c>
      <c r="C735" t="str">
        <f>IFERROR(__xludf.DUMMYFUNCTION("""COMPUTED_VALUE"""),"Vanprae")</f>
        <v>Vanprae</v>
      </c>
      <c r="D735" t="str">
        <f>IFERROR(__xludf.DUMMYFUNCTION("""COMPUTED_VALUE"""),"Thipmanee")</f>
        <v>Thipmanee</v>
      </c>
      <c r="E735" t="str">
        <f>IFERROR(__xludf.DUMMYFUNCTION("""COMPUTED_VALUE"""),"Vanprae Thipmanee")</f>
        <v>Vanprae Thipmanee</v>
      </c>
      <c r="F735" t="str">
        <f>IFERROR(__xludf.DUMMYFUNCTION("""COMPUTED_VALUE"""),"นางสาว")</f>
        <v>นางสาว</v>
      </c>
      <c r="G735" t="str">
        <f>IFERROR(__xludf.DUMMYFUNCTION("""COMPUTED_VALUE"""),"ว่านแพร")</f>
        <v>ว่านแพร</v>
      </c>
      <c r="H735" t="str">
        <f>IFERROR(__xludf.DUMMYFUNCTION("""COMPUTED_VALUE"""),"ทิพย์มณี")</f>
        <v>ทิพย์มณี</v>
      </c>
      <c r="I735" t="str">
        <f>IFERROR(__xludf.DUMMYFUNCTION("""COMPUTED_VALUE"""),"ว่านแพร ทิพย์มณี")</f>
        <v>ว่านแพร ทิพย์มณี</v>
      </c>
      <c r="J735" t="str">
        <f>IFERROR(__xludf.DUMMYFUNCTION("""COMPUTED_VALUE"""),"Van / ว่าน")</f>
        <v>Van / ว่าน</v>
      </c>
      <c r="K735" t="str">
        <f>IFERROR(__xludf.DUMMYFUNCTION("""COMPUTED_VALUE"""),"Cabin Crew")</f>
        <v>Cabin Crew</v>
      </c>
      <c r="L735" t="str">
        <f>IFERROR(__xludf.DUMMYFUNCTION("""COMPUTED_VALUE"""),"DMK")</f>
        <v>DMK</v>
      </c>
      <c r="M735" s="145" t="str">
        <f>IFERROR(__xludf.DUMMYFUNCTION("""COMPUTED_VALUE"""),"Um Home")</f>
        <v>Um Home</v>
      </c>
      <c r="N735" t="str">
        <f>IFERROR(__xludf.DUMMYFUNCTION("""COMPUTED_VALUE"""),"LWPP")</f>
        <v>LWPP</v>
      </c>
      <c r="P735" s="143">
        <f>IFERROR(__xludf.DUMMYFUNCTION("""COMPUTED_VALUE"""),32442.0)</f>
        <v>32442</v>
      </c>
      <c r="Q735" s="146" t="str">
        <f>IFERROR(__xludf.DUMMYFUNCTION("""COMPUTED_VALUE"""),"087-383-4929")</f>
        <v>087-383-4929</v>
      </c>
      <c r="R735" s="147" t="str">
        <f>IFERROR(__xludf.DUMMYFUNCTION("""COMPUTED_VALUE"""),"1-8699-00090-79-0")</f>
        <v>1-8699-00090-79-0</v>
      </c>
      <c r="S735" t="str">
        <f>IFERROR(__xludf.DUMMYFUNCTION("""COMPUTED_VALUE"""),"AD1827018")</f>
        <v>AD1827018</v>
      </c>
      <c r="T735" s="148">
        <f>IFERROR(__xludf.DUMMYFUNCTION("""COMPUTED_VALUE"""),45464.0)</f>
        <v>45464</v>
      </c>
      <c r="U735" s="148">
        <f>IFERROR(__xludf.DUMMYFUNCTION("""COMPUTED_VALUE"""),49115.0)</f>
        <v>49115</v>
      </c>
      <c r="V735" s="149">
        <f>IFERROR(__xludf.DUMMYFUNCTION("""COMPUTED_VALUE"""),48933.0)</f>
        <v>48933</v>
      </c>
      <c r="W735" t="str">
        <f>IFERROR(__xludf.DUMMYFUNCTION("""COMPUTED_VALUE"""),"ปลอดภัย")</f>
        <v>ปลอดภัย</v>
      </c>
      <c r="X735" t="str">
        <f>IFERROR(__xludf.DUMMYFUNCTION("""COMPUTED_VALUE"""),"Chumphon Province")</f>
        <v>Chumphon Province</v>
      </c>
      <c r="Y735" t="str">
        <f>IFERROR(__xludf.DUMMYFUNCTION("""COMPUTED_VALUE"""),"Ladprow")</f>
        <v>Ladprow</v>
      </c>
      <c r="Z735" t="str">
        <f>IFERROR(__xludf.DUMMYFUNCTION("""COMPUTED_VALUE"""),"086-889-2040")</f>
        <v>086-889-2040</v>
      </c>
      <c r="AA735" t="str">
        <f>IFERROR(__xludf.DUMMYFUNCTION("""COMPUTED_VALUE"""),"Pin-a-nong Thipmanee (Mother)")</f>
        <v>Pin-a-nong Thipmanee (Mother)</v>
      </c>
      <c r="AB735" t="str">
        <f>IFERROR(__xludf.DUMMYFUNCTION("""COMPUTED_VALUE"""),"vanpraet@airasia.com")</f>
        <v>vanpraet@airasia.com</v>
      </c>
    </row>
    <row r="736">
      <c r="A736">
        <f>IFERROR(__xludf.DUMMYFUNCTION("""COMPUTED_VALUE"""),1014685.0)</f>
        <v>1014685</v>
      </c>
      <c r="B736" t="str">
        <f>IFERROR(__xludf.DUMMYFUNCTION("""COMPUTED_VALUE"""),"Ms.")</f>
        <v>Ms.</v>
      </c>
      <c r="C736" t="str">
        <f>IFERROR(__xludf.DUMMYFUNCTION("""COMPUTED_VALUE"""),"Varalak")</f>
        <v>Varalak</v>
      </c>
      <c r="D736" t="str">
        <f>IFERROR(__xludf.DUMMYFUNCTION("""COMPUTED_VALUE"""),"Sriyaranya (Pattaveedanan)")</f>
        <v>Sriyaranya (Pattaveedanan)</v>
      </c>
      <c r="E736" t="str">
        <f>IFERROR(__xludf.DUMMYFUNCTION("""COMPUTED_VALUE"""),"Varalak Sriyaranya")</f>
        <v>Varalak Sriyaranya</v>
      </c>
      <c r="F736" t="str">
        <f>IFERROR(__xludf.DUMMYFUNCTION("""COMPUTED_VALUE"""),"นางสาว")</f>
        <v>นางสาว</v>
      </c>
      <c r="G736" t="str">
        <f>IFERROR(__xludf.DUMMYFUNCTION("""COMPUTED_VALUE"""),"วราลักษณ์")</f>
        <v>วราลักษณ์</v>
      </c>
      <c r="H736" t="str">
        <f>IFERROR(__xludf.DUMMYFUNCTION("""COMPUTED_VALUE"""),"ศรียารัณย (ปฐวีดานันท์)")</f>
        <v>ศรียารัณย (ปฐวีดานันท์)</v>
      </c>
      <c r="I736" t="str">
        <f>IFERROR(__xludf.DUMMYFUNCTION("""COMPUTED_VALUE"""),"วราลักษณ์ ศรียารัณย")</f>
        <v>วราลักษณ์ ศรียารัณย</v>
      </c>
      <c r="J736" t="str">
        <f>IFERROR(__xludf.DUMMYFUNCTION("""COMPUTED_VALUE"""),"Yam / แยม")</f>
        <v>Yam / แยม</v>
      </c>
      <c r="K736" t="str">
        <f>IFERROR(__xludf.DUMMYFUNCTION("""COMPUTED_VALUE"""),"Cabin Crew - CNX")</f>
        <v>Cabin Crew - CNX</v>
      </c>
      <c r="L736" t="str">
        <f>IFERROR(__xludf.DUMMYFUNCTION("""COMPUTED_VALUE"""),"CNX")</f>
        <v>CNX</v>
      </c>
      <c r="M736" s="145" t="str">
        <f>IFERROR(__xludf.DUMMYFUNCTION("""COMPUTED_VALUE"""),"Up Home")</f>
        <v>Up Home</v>
      </c>
      <c r="N736" t="str">
        <f>IFERROR(__xludf.DUMMYFUNCTION("""COMPUTED_VALUE"""),"Active")</f>
        <v>Active</v>
      </c>
      <c r="P736" s="143">
        <f>IFERROR(__xludf.DUMMYFUNCTION("""COMPUTED_VALUE"""),31567.0)</f>
        <v>31567</v>
      </c>
      <c r="Q736" s="146" t="str">
        <f>IFERROR(__xludf.DUMMYFUNCTION("""COMPUTED_VALUE"""),"086-657-6566")</f>
        <v>086-657-6566</v>
      </c>
      <c r="R736" s="147" t="str">
        <f>IFERROR(__xludf.DUMMYFUNCTION("""COMPUTED_VALUE"""),"1-5099-00372-64-0")</f>
        <v>1-5099-00372-64-0</v>
      </c>
      <c r="S736" t="str">
        <f>IFERROR(__xludf.DUMMYFUNCTION("""COMPUTED_VALUE"""),"AD2824121")</f>
        <v>AD2824121</v>
      </c>
      <c r="T736" s="148">
        <f>IFERROR(__xludf.DUMMYFUNCTION("""COMPUTED_VALUE"""),46064.0)</f>
        <v>46064</v>
      </c>
      <c r="U736" s="148">
        <f>IFERROR(__xludf.DUMMYFUNCTION("""COMPUTED_VALUE"""),49715.0)</f>
        <v>49715</v>
      </c>
      <c r="V736" s="149">
        <f>IFERROR(__xludf.DUMMYFUNCTION("""COMPUTED_VALUE"""),49531.0)</f>
        <v>49531</v>
      </c>
      <c r="W736" t="str">
        <f>IFERROR(__xludf.DUMMYFUNCTION("""COMPUTED_VALUE"""),"ปลอดภัย")</f>
        <v>ปลอดภัย</v>
      </c>
      <c r="X736" t="str">
        <f>IFERROR(__xludf.DUMMYFUNCTION("""COMPUTED_VALUE"""),"Chiang Mai Province")</f>
        <v>Chiang Mai Province</v>
      </c>
      <c r="Y736" t="str">
        <f>IFERROR(__xludf.DUMMYFUNCTION("""COMPUTED_VALUE"""),"Chiang Mai")</f>
        <v>Chiang Mai</v>
      </c>
      <c r="Z736" t="str">
        <f>IFERROR(__xludf.DUMMYFUNCTION("""COMPUTED_VALUE"""),"095-797-8953")</f>
        <v>095-797-8953</v>
      </c>
      <c r="AA736" t="str">
        <f>IFERROR(__xludf.DUMMYFUNCTION("""COMPUTED_VALUE"""),"Muntiga Sriyaranya (Mother)")</f>
        <v>Muntiga Sriyaranya (Mother)</v>
      </c>
      <c r="AB736" t="str">
        <f>IFERROR(__xludf.DUMMYFUNCTION("""COMPUTED_VALUE"""),"varalaksri@airasia.com")</f>
        <v>varalaksri@airasia.com</v>
      </c>
    </row>
    <row r="737">
      <c r="A737">
        <f>IFERROR(__xludf.DUMMYFUNCTION("""COMPUTED_VALUE"""),1014686.0)</f>
        <v>1014686</v>
      </c>
      <c r="B737" t="str">
        <f>IFERROR(__xludf.DUMMYFUNCTION("""COMPUTED_VALUE"""),"Ms.")</f>
        <v>Ms.</v>
      </c>
      <c r="C737" t="str">
        <f>IFERROR(__xludf.DUMMYFUNCTION("""COMPUTED_VALUE"""),"Varissara")</f>
        <v>Varissara</v>
      </c>
      <c r="D737" t="str">
        <f>IFERROR(__xludf.DUMMYFUNCTION("""COMPUTED_VALUE"""),"Rattana")</f>
        <v>Rattana</v>
      </c>
      <c r="E737" t="str">
        <f>IFERROR(__xludf.DUMMYFUNCTION("""COMPUTED_VALUE"""),"Varissara Rattana")</f>
        <v>Varissara Rattana</v>
      </c>
      <c r="F737" t="str">
        <f>IFERROR(__xludf.DUMMYFUNCTION("""COMPUTED_VALUE"""),"นางสาว")</f>
        <v>นางสาว</v>
      </c>
      <c r="G737" t="str">
        <f>IFERROR(__xludf.DUMMYFUNCTION("""COMPUTED_VALUE"""),"วริศรา")</f>
        <v>วริศรา</v>
      </c>
      <c r="H737" t="str">
        <f>IFERROR(__xludf.DUMMYFUNCTION("""COMPUTED_VALUE"""),"รัตนะ")</f>
        <v>รัตนะ</v>
      </c>
      <c r="I737" t="str">
        <f>IFERROR(__xludf.DUMMYFUNCTION("""COMPUTED_VALUE"""),"วริศรา รัตนะ")</f>
        <v>วริศรา รัตนะ</v>
      </c>
      <c r="J737" t="str">
        <f>IFERROR(__xludf.DUMMYFUNCTION("""COMPUTED_VALUE"""),"Faii / ฝ้าย")</f>
        <v>Faii / ฝ้าย</v>
      </c>
      <c r="K737" t="str">
        <f>IFERROR(__xludf.DUMMYFUNCTION("""COMPUTED_VALUE"""),"Senior Cabin Crew")</f>
        <v>Senior Cabin Crew</v>
      </c>
      <c r="L737" t="str">
        <f>IFERROR(__xludf.DUMMYFUNCTION("""COMPUTED_VALUE"""),"DMK")</f>
        <v>DMK</v>
      </c>
      <c r="M737" s="145" t="str">
        <f>IFERROR(__xludf.DUMMYFUNCTION("""COMPUTED_VALUE"""),"Um Home")</f>
        <v>Um Home</v>
      </c>
      <c r="N737" t="str">
        <f>IFERROR(__xludf.DUMMYFUNCTION("""COMPUTED_VALUE"""),"Active")</f>
        <v>Active</v>
      </c>
      <c r="P737" s="143">
        <f>IFERROR(__xludf.DUMMYFUNCTION("""COMPUTED_VALUE"""),33492.0)</f>
        <v>33492</v>
      </c>
      <c r="Q737" s="146" t="str">
        <f>IFERROR(__xludf.DUMMYFUNCTION("""COMPUTED_VALUE"""),"089-772-2560")</f>
        <v>089-772-2560</v>
      </c>
      <c r="R737" s="147" t="str">
        <f>IFERROR(__xludf.DUMMYFUNCTION("""COMPUTED_VALUE"""),"1-1008-00732-37-2")</f>
        <v>1-1008-00732-37-2</v>
      </c>
      <c r="S737" t="str">
        <f>IFERROR(__xludf.DUMMYFUNCTION("""COMPUTED_VALUE"""),"AD2126847")</f>
        <v>AD2126847</v>
      </c>
      <c r="T737" s="148">
        <f>IFERROR(__xludf.DUMMYFUNCTION("""COMPUTED_VALUE"""),45736.0)</f>
        <v>45736</v>
      </c>
      <c r="U737" s="148">
        <f>IFERROR(__xludf.DUMMYFUNCTION("""COMPUTED_VALUE"""),49381.0)</f>
        <v>49381</v>
      </c>
      <c r="V737" s="149">
        <f>IFERROR(__xludf.DUMMYFUNCTION("""COMPUTED_VALUE"""),49200.0)</f>
        <v>49200</v>
      </c>
      <c r="W737" t="str">
        <f>IFERROR(__xludf.DUMMYFUNCTION("""COMPUTED_VALUE"""),"ปลอดภัย")</f>
        <v>ปลอดภัย</v>
      </c>
      <c r="X737" t="str">
        <f>IFERROR(__xludf.DUMMYFUNCTION("""COMPUTED_VALUE"""),"Bangkok")</f>
        <v>Bangkok</v>
      </c>
      <c r="Y737" t="str">
        <f>IFERROR(__xludf.DUMMYFUNCTION("""COMPUTED_VALUE"""),"Jatujak")</f>
        <v>Jatujak</v>
      </c>
      <c r="Z737" t="str">
        <f>IFERROR(__xludf.DUMMYFUNCTION("""COMPUTED_VALUE"""),"089-121-6337")</f>
        <v>089-121-6337</v>
      </c>
      <c r="AA737" t="str">
        <f>IFERROR(__xludf.DUMMYFUNCTION("""COMPUTED_VALUE"""),"Nattana Rattana (Mother)")</f>
        <v>Nattana Rattana (Mother)</v>
      </c>
      <c r="AB737" t="str">
        <f>IFERROR(__xludf.DUMMYFUNCTION("""COMPUTED_VALUE"""),"varissarar@airasia.com")</f>
        <v>varissarar@airasia.com</v>
      </c>
    </row>
    <row r="738">
      <c r="A738">
        <f>IFERROR(__xludf.DUMMYFUNCTION("""COMPUTED_VALUE"""),1014687.0)</f>
        <v>1014687</v>
      </c>
      <c r="B738" t="str">
        <f>IFERROR(__xludf.DUMMYFUNCTION("""COMPUTED_VALUE"""),"Mr.")</f>
        <v>Mr.</v>
      </c>
      <c r="C738" t="str">
        <f>IFERROR(__xludf.DUMMYFUNCTION("""COMPUTED_VALUE"""),"Witpapon")</f>
        <v>Witpapon</v>
      </c>
      <c r="D738" t="str">
        <f>IFERROR(__xludf.DUMMYFUNCTION("""COMPUTED_VALUE"""),"Thaingamsilp")</f>
        <v>Thaingamsilp</v>
      </c>
      <c r="E738" t="str">
        <f>IFERROR(__xludf.DUMMYFUNCTION("""COMPUTED_VALUE"""),"Witpapon Thaingamsilp")</f>
        <v>Witpapon Thaingamsilp</v>
      </c>
      <c r="F738" t="str">
        <f>IFERROR(__xludf.DUMMYFUNCTION("""COMPUTED_VALUE"""),"นาย")</f>
        <v>นาย</v>
      </c>
      <c r="G738" t="str">
        <f>IFERROR(__xludf.DUMMYFUNCTION("""COMPUTED_VALUE"""),"วิชญ์ปพล")</f>
        <v>วิชญ์ปพล</v>
      </c>
      <c r="H738" t="str">
        <f>IFERROR(__xludf.DUMMYFUNCTION("""COMPUTED_VALUE"""),"ไทยงามศิลป์")</f>
        <v>ไทยงามศิลป์</v>
      </c>
      <c r="I738" t="str">
        <f>IFERROR(__xludf.DUMMYFUNCTION("""COMPUTED_VALUE"""),"วิชญ์ปพล ไทยงามศิลป์")</f>
        <v>วิชญ์ปพล ไทยงามศิลป์</v>
      </c>
      <c r="J738" t="str">
        <f>IFERROR(__xludf.DUMMYFUNCTION("""COMPUTED_VALUE"""),"Book/บุ๊ค")</f>
        <v>Book/บุ๊ค</v>
      </c>
      <c r="K738" t="str">
        <f>IFERROR(__xludf.DUMMYFUNCTION("""COMPUTED_VALUE"""),"Senior Cabin Crew")</f>
        <v>Senior Cabin Crew</v>
      </c>
      <c r="L738" t="str">
        <f>IFERROR(__xludf.DUMMYFUNCTION("""COMPUTED_VALUE"""),"DMK")</f>
        <v>DMK</v>
      </c>
      <c r="M738" s="145" t="str">
        <f>IFERROR(__xludf.DUMMYFUNCTION("""COMPUTED_VALUE"""),"Nhui Home")</f>
        <v>Nhui Home</v>
      </c>
      <c r="N738" t="str">
        <f>IFERROR(__xludf.DUMMYFUNCTION("""COMPUTED_VALUE"""),"Active")</f>
        <v>Active</v>
      </c>
      <c r="P738" s="143">
        <f>IFERROR(__xludf.DUMMYFUNCTION("""COMPUTED_VALUE"""),30341.0)</f>
        <v>30341</v>
      </c>
      <c r="Q738" s="146" t="str">
        <f>IFERROR(__xludf.DUMMYFUNCTION("""COMPUTED_VALUE"""),"098-6355494")</f>
        <v>098-6355494</v>
      </c>
      <c r="R738" s="147" t="str">
        <f>IFERROR(__xludf.DUMMYFUNCTION("""COMPUTED_VALUE"""),"3-7299-00012-57-5")</f>
        <v>3-7299-00012-57-5</v>
      </c>
      <c r="S738" t="str">
        <f>IFERROR(__xludf.DUMMYFUNCTION("""COMPUTED_VALUE"""),"AD0758223")</f>
        <v>AD0758223</v>
      </c>
      <c r="T738" s="148">
        <f>IFERROR(__xludf.DUMMYFUNCTION("""COMPUTED_VALUE"""),45701.0)</f>
        <v>45701</v>
      </c>
      <c r="U738" s="148">
        <f>IFERROR(__xludf.DUMMYFUNCTION("""COMPUTED_VALUE"""),48622.0)</f>
        <v>48622</v>
      </c>
      <c r="V738" s="149">
        <f>IFERROR(__xludf.DUMMYFUNCTION("""COMPUTED_VALUE"""),48438.0)</f>
        <v>48438</v>
      </c>
      <c r="W738" t="str">
        <f>IFERROR(__xludf.DUMMYFUNCTION("""COMPUTED_VALUE"""),"ปลอดภัย")</f>
        <v>ปลอดภัย</v>
      </c>
      <c r="X738" t="str">
        <f>IFERROR(__xludf.DUMMYFUNCTION("""COMPUTED_VALUE"""),"Chanthaburi Province")</f>
        <v>Chanthaburi Province</v>
      </c>
      <c r="Y738" t="str">
        <f>IFERROR(__xludf.DUMMYFUNCTION("""COMPUTED_VALUE"""),"Suphanburi")</f>
        <v>Suphanburi</v>
      </c>
      <c r="Z738" t="str">
        <f>IFERROR(__xludf.DUMMYFUNCTION("""COMPUTED_VALUE"""),"062-324-6154")</f>
        <v>062-324-6154</v>
      </c>
      <c r="AA738" t="str">
        <f>IFERROR(__xludf.DUMMYFUNCTION("""COMPUTED_VALUE"""),"Kwanratt Thaingamsilp (Sister)")</f>
        <v>Kwanratt Thaingamsilp (Sister)</v>
      </c>
      <c r="AB738" t="str">
        <f>IFERROR(__xludf.DUMMYFUNCTION("""COMPUTED_VALUE"""),"witpapont@airasia.com")</f>
        <v>witpapont@airasia.com</v>
      </c>
    </row>
    <row r="739">
      <c r="AB739" t="str">
        <f>IFERROR(__xludf.DUMMYFUNCTION("""COMPUTED_VALUE"""),"")</f>
        <v/>
      </c>
    </row>
    <row r="740">
      <c r="A740">
        <f>IFERROR(__xludf.DUMMYFUNCTION("""COMPUTED_VALUE"""),1004729.0)</f>
        <v>1004729</v>
      </c>
      <c r="B740" t="str">
        <f>IFERROR(__xludf.DUMMYFUNCTION("""COMPUTED_VALUE"""),"Ms.")</f>
        <v>Ms.</v>
      </c>
      <c r="C740" t="str">
        <f>IFERROR(__xludf.DUMMYFUNCTION("""COMPUTED_VALUE"""),"Sasimon")</f>
        <v>Sasimon</v>
      </c>
      <c r="D740" t="str">
        <f>IFERROR(__xludf.DUMMYFUNCTION("""COMPUTED_VALUE"""),"Chamnansarn")</f>
        <v>Chamnansarn</v>
      </c>
      <c r="E740" t="str">
        <f>IFERROR(__xludf.DUMMYFUNCTION("""COMPUTED_VALUE"""),"Sasimon Chamnansarn")</f>
        <v>Sasimon Chamnansarn</v>
      </c>
      <c r="F740" t="str">
        <f>IFERROR(__xludf.DUMMYFUNCTION("""COMPUTED_VALUE"""),"นางสาว")</f>
        <v>นางสาว</v>
      </c>
      <c r="G740" t="str">
        <f>IFERROR(__xludf.DUMMYFUNCTION("""COMPUTED_VALUE"""),"ศศิมนต์")</f>
        <v>ศศิมนต์</v>
      </c>
      <c r="H740" t="str">
        <f>IFERROR(__xludf.DUMMYFUNCTION("""COMPUTED_VALUE"""),"ชำนาญสาร")</f>
        <v>ชำนาญสาร</v>
      </c>
      <c r="I740" t="str">
        <f>IFERROR(__xludf.DUMMYFUNCTION("""COMPUTED_VALUE"""),"ศศิมนต์ ชำนาญสาร")</f>
        <v>ศศิมนต์ ชำนาญสาร</v>
      </c>
      <c r="J740" t="str">
        <f>IFERROR(__xludf.DUMMYFUNCTION("""COMPUTED_VALUE"""),"Pimm / พิม")</f>
        <v>Pimm / พิม</v>
      </c>
      <c r="K740" t="str">
        <f>IFERROR(__xludf.DUMMYFUNCTION("""COMPUTED_VALUE"""),"Cabin Crew")</f>
        <v>Cabin Crew</v>
      </c>
      <c r="L740" t="str">
        <f>IFERROR(__xludf.DUMMYFUNCTION("""COMPUTED_VALUE"""),"DMK")</f>
        <v>DMK</v>
      </c>
      <c r="M740" s="145" t="str">
        <f>IFERROR(__xludf.DUMMYFUNCTION("""COMPUTED_VALUE"""),"Um Home")</f>
        <v>Um Home</v>
      </c>
      <c r="N740" t="str">
        <f>IFERROR(__xludf.DUMMYFUNCTION("""COMPUTED_VALUE"""),"V/LWP")</f>
        <v>V/LWP</v>
      </c>
      <c r="P740" s="143">
        <f>IFERROR(__xludf.DUMMYFUNCTION("""COMPUTED_VALUE"""),29987.0)</f>
        <v>29987</v>
      </c>
      <c r="Q740" s="146" t="str">
        <f>IFERROR(__xludf.DUMMYFUNCTION("""COMPUTED_VALUE"""),"094-542-9151")</f>
        <v>094-542-9151</v>
      </c>
      <c r="R740" s="147">
        <f>IFERROR(__xludf.DUMMYFUNCTION("""COMPUTED_VALUE"""),3.4199000197E12)</f>
        <v>3419900019700</v>
      </c>
      <c r="S740" t="str">
        <f>IFERROR(__xludf.DUMMYFUNCTION("""COMPUTED_VALUE"""),"AD2241830")</f>
        <v>AD2241830</v>
      </c>
      <c r="T740" s="148">
        <f>IFERROR(__xludf.DUMMYFUNCTION("""COMPUTED_VALUE"""),45785.0)</f>
        <v>45785</v>
      </c>
      <c r="U740" s="148">
        <f>IFERROR(__xludf.DUMMYFUNCTION("""COMPUTED_VALUE"""),49436.0)</f>
        <v>49436</v>
      </c>
      <c r="V740" s="149">
        <f>IFERROR(__xludf.DUMMYFUNCTION("""COMPUTED_VALUE"""),49255.0)</f>
        <v>49255</v>
      </c>
      <c r="W740" t="str">
        <f>IFERROR(__xludf.DUMMYFUNCTION("""COMPUTED_VALUE"""),"ปลอดภัย")</f>
        <v>ปลอดภัย</v>
      </c>
      <c r="X740" t="str">
        <f>IFERROR(__xludf.DUMMYFUNCTION("""COMPUTED_VALUE"""),"Udon Thani Province")</f>
        <v>Udon Thani Province</v>
      </c>
      <c r="Y740" t="str">
        <f>IFERROR(__xludf.DUMMYFUNCTION("""COMPUTED_VALUE"""),"Udon Thani")</f>
        <v>Udon Thani</v>
      </c>
      <c r="Z740" t="str">
        <f>IFERROR(__xludf.DUMMYFUNCTION("""COMPUTED_VALUE"""),"081-975-6495")</f>
        <v>081-975-6495</v>
      </c>
      <c r="AA740" t="str">
        <f>IFERROR(__xludf.DUMMYFUNCTION("""COMPUTED_VALUE"""),"Choopak Chamnansarn (mother)")</f>
        <v>Choopak Chamnansarn (mother)</v>
      </c>
      <c r="AB740" t="str">
        <f>IFERROR(__xludf.DUMMYFUNCTION("""COMPUTED_VALUE"""),"sasimonc@airasia.com")</f>
        <v>sasimonc@airasia.com</v>
      </c>
    </row>
    <row r="741">
      <c r="A741">
        <f>IFERROR(__xludf.DUMMYFUNCTION("""COMPUTED_VALUE"""),1005618.0)</f>
        <v>1005618</v>
      </c>
      <c r="B741" t="str">
        <f>IFERROR(__xludf.DUMMYFUNCTION("""COMPUTED_VALUE"""),"Mr.")</f>
        <v>Mr.</v>
      </c>
      <c r="C741" t="str">
        <f>IFERROR(__xludf.DUMMYFUNCTION("""COMPUTED_VALUE"""),"Anutapong")</f>
        <v>Anutapong</v>
      </c>
      <c r="D741" t="str">
        <f>IFERROR(__xludf.DUMMYFUNCTION("""COMPUTED_VALUE"""),"Saengchot")</f>
        <v>Saengchot</v>
      </c>
      <c r="E741" t="str">
        <f>IFERROR(__xludf.DUMMYFUNCTION("""COMPUTED_VALUE"""),"Anutapong Saengchot")</f>
        <v>Anutapong Saengchot</v>
      </c>
      <c r="F741" t="str">
        <f>IFERROR(__xludf.DUMMYFUNCTION("""COMPUTED_VALUE"""),"นาย")</f>
        <v>นาย</v>
      </c>
      <c r="G741" t="str">
        <f>IFERROR(__xludf.DUMMYFUNCTION("""COMPUTED_VALUE"""),"อนุตพงศ์")</f>
        <v>อนุตพงศ์</v>
      </c>
      <c r="H741" t="str">
        <f>IFERROR(__xludf.DUMMYFUNCTION("""COMPUTED_VALUE"""),"แสงโชติ")</f>
        <v>แสงโชติ</v>
      </c>
      <c r="I741" t="str">
        <f>IFERROR(__xludf.DUMMYFUNCTION("""COMPUTED_VALUE"""),"อนุตพงศ์ แสงโชติ")</f>
        <v>อนุตพงศ์ แสงโชติ</v>
      </c>
      <c r="J741" t="str">
        <f>IFERROR(__xludf.DUMMYFUNCTION("""COMPUTED_VALUE"""),"First / เฟิส")</f>
        <v>First / เฟิส</v>
      </c>
      <c r="K741" t="str">
        <f>IFERROR(__xludf.DUMMYFUNCTION("""COMPUTED_VALUE"""),"Cabin Crew")</f>
        <v>Cabin Crew</v>
      </c>
      <c r="L741" t="str">
        <f>IFERROR(__xludf.DUMMYFUNCTION("""COMPUTED_VALUE"""),"DMK")</f>
        <v>DMK</v>
      </c>
      <c r="M741" s="145" t="str">
        <f>IFERROR(__xludf.DUMMYFUNCTION("""COMPUTED_VALUE"""),"Por+ Home")</f>
        <v>Por+ Home</v>
      </c>
      <c r="N741" t="str">
        <f>IFERROR(__xludf.DUMMYFUNCTION("""COMPUTED_VALUE"""),"Active")</f>
        <v>Active</v>
      </c>
      <c r="P741" s="143">
        <f>IFERROR(__xludf.DUMMYFUNCTION("""COMPUTED_VALUE"""),31725.0)</f>
        <v>31725</v>
      </c>
      <c r="Q741" s="146" t="str">
        <f>IFERROR(__xludf.DUMMYFUNCTION("""COMPUTED_VALUE"""),"062-994-9429")</f>
        <v>062-994-9429</v>
      </c>
      <c r="R741" s="147">
        <f>IFERROR(__xludf.DUMMYFUNCTION("""COMPUTED_VALUE"""),1.509900426383E12)</f>
        <v>1509900426383</v>
      </c>
      <c r="S741" t="str">
        <f>IFERROR(__xludf.DUMMYFUNCTION("""COMPUTED_VALUE"""),"AC2228322")</f>
        <v>AC2228322</v>
      </c>
      <c r="T741" s="148">
        <f>IFERROR(__xludf.DUMMYFUNCTION("""COMPUTED_VALUE"""),44278.0)</f>
        <v>44278</v>
      </c>
      <c r="U741" s="148">
        <f>IFERROR(__xludf.DUMMYFUNCTION("""COMPUTED_VALUE"""),47929.0)</f>
        <v>47929</v>
      </c>
      <c r="V741" s="149">
        <f>IFERROR(__xludf.DUMMYFUNCTION("""COMPUTED_VALUE"""),47748.0)</f>
        <v>47748</v>
      </c>
      <c r="W741" t="str">
        <f>IFERROR(__xludf.DUMMYFUNCTION("""COMPUTED_VALUE"""),"ปลอดภัย")</f>
        <v>ปลอดภัย</v>
      </c>
      <c r="X741" t="str">
        <f>IFERROR(__xludf.DUMMYFUNCTION("""COMPUTED_VALUE"""),"Chiang Mai Province")</f>
        <v>Chiang Mai Province</v>
      </c>
      <c r="Y741" t="str">
        <f>IFERROR(__xludf.DUMMYFUNCTION("""COMPUTED_VALUE"""),"Chiangmai")</f>
        <v>Chiangmai</v>
      </c>
      <c r="Z741" t="str">
        <f>IFERROR(__xludf.DUMMYFUNCTION("""COMPUTED_VALUE"""),"080-496-0485")</f>
        <v>080-496-0485</v>
      </c>
      <c r="AA741" t="str">
        <f>IFERROR(__xludf.DUMMYFUNCTION("""COMPUTED_VALUE"""),"Jittanan Saengchot (Mother)")</f>
        <v>Jittanan Saengchot (Mother)</v>
      </c>
      <c r="AB741" t="str">
        <f>IFERROR(__xludf.DUMMYFUNCTION("""COMPUTED_VALUE"""),"anutapongs@airasia.com")</f>
        <v>anutapongs@airasia.com</v>
      </c>
    </row>
    <row r="742">
      <c r="A742">
        <f>IFERROR(__xludf.DUMMYFUNCTION("""COMPUTED_VALUE"""),1005776.0)</f>
        <v>1005776</v>
      </c>
      <c r="B742" t="str">
        <f>IFERROR(__xludf.DUMMYFUNCTION("""COMPUTED_VALUE"""),"Ms.")</f>
        <v>Ms.</v>
      </c>
      <c r="C742" t="str">
        <f>IFERROR(__xludf.DUMMYFUNCTION("""COMPUTED_VALUE"""),"Konkamon")</f>
        <v>Konkamon</v>
      </c>
      <c r="D742" t="str">
        <f>IFERROR(__xludf.DUMMYFUNCTION("""COMPUTED_VALUE"""),"Saengwanloi")</f>
        <v>Saengwanloi</v>
      </c>
      <c r="E742" t="str">
        <f>IFERROR(__xludf.DUMMYFUNCTION("""COMPUTED_VALUE"""),"Konkamon Saengwanloi")</f>
        <v>Konkamon Saengwanloi</v>
      </c>
      <c r="F742" t="str">
        <f>IFERROR(__xludf.DUMMYFUNCTION("""COMPUTED_VALUE"""),"นางสาว")</f>
        <v>นางสาว</v>
      </c>
      <c r="G742" t="str">
        <f>IFERROR(__xludf.DUMMYFUNCTION("""COMPUTED_VALUE"""),"กรกมล")</f>
        <v>กรกมล</v>
      </c>
      <c r="H742" t="str">
        <f>IFERROR(__xludf.DUMMYFUNCTION("""COMPUTED_VALUE"""),"แสงวันลอย")</f>
        <v>แสงวันลอย</v>
      </c>
      <c r="I742" t="str">
        <f>IFERROR(__xludf.DUMMYFUNCTION("""COMPUTED_VALUE"""),"กรกมล แสงวันลอย")</f>
        <v>กรกมล แสงวันลอย</v>
      </c>
      <c r="J742" t="str">
        <f>IFERROR(__xludf.DUMMYFUNCTION("""COMPUTED_VALUE"""),"FAH/ฟ้า")</f>
        <v>FAH/ฟ้า</v>
      </c>
      <c r="K742" t="str">
        <f>IFERROR(__xludf.DUMMYFUNCTION("""COMPUTED_VALUE"""),"Cabin Crew")</f>
        <v>Cabin Crew</v>
      </c>
      <c r="L742" t="str">
        <f>IFERROR(__xludf.DUMMYFUNCTION("""COMPUTED_VALUE"""),"DMK")</f>
        <v>DMK</v>
      </c>
      <c r="M742" s="145" t="str">
        <f>IFERROR(__xludf.DUMMYFUNCTION("""COMPUTED_VALUE"""),"Nhui Home")</f>
        <v>Nhui Home</v>
      </c>
      <c r="N742" t="str">
        <f>IFERROR(__xludf.DUMMYFUNCTION("""COMPUTED_VALUE"""),"Active")</f>
        <v>Active</v>
      </c>
      <c r="P742" s="143">
        <f>IFERROR(__xludf.DUMMYFUNCTION("""COMPUTED_VALUE"""),31918.0)</f>
        <v>31918</v>
      </c>
      <c r="Q742" s="146">
        <f>IFERROR(__xludf.DUMMYFUNCTION("""COMPUTED_VALUE"""),8.29933559E8)</f>
        <v>829933559</v>
      </c>
      <c r="R742" s="147">
        <f>IFERROR(__xludf.DUMMYFUNCTION("""COMPUTED_VALUE"""),1.959900121643E12)</f>
        <v>1959900121643</v>
      </c>
      <c r="S742" t="str">
        <f>IFERROR(__xludf.DUMMYFUNCTION("""COMPUTED_VALUE"""),"AD1032147")</f>
        <v>AD1032147</v>
      </c>
      <c r="T742" s="148">
        <f>IFERROR(__xludf.DUMMYFUNCTION("""COMPUTED_VALUE"""),45091.0)</f>
        <v>45091</v>
      </c>
      <c r="U742" s="148">
        <f>IFERROR(__xludf.DUMMYFUNCTION("""COMPUTED_VALUE"""),48743.0)</f>
        <v>48743</v>
      </c>
      <c r="V742" s="149">
        <f>IFERROR(__xludf.DUMMYFUNCTION("""COMPUTED_VALUE"""),48561.0)</f>
        <v>48561</v>
      </c>
      <c r="W742" t="str">
        <f>IFERROR(__xludf.DUMMYFUNCTION("""COMPUTED_VALUE"""),"ปลอดภัย")</f>
        <v>ปลอดภัย</v>
      </c>
      <c r="X742" t="str">
        <f>IFERROR(__xludf.DUMMYFUNCTION("""COMPUTED_VALUE"""),"Yala Province")</f>
        <v>Yala Province</v>
      </c>
      <c r="Y742" t="str">
        <f>IFERROR(__xludf.DUMMYFUNCTION("""COMPUTED_VALUE"""),"Jatujak")</f>
        <v>Jatujak</v>
      </c>
      <c r="Z742" t="str">
        <f>IFERROR(__xludf.DUMMYFUNCTION("""COMPUTED_VALUE"""),"087 359 1959")</f>
        <v>087 359 1959</v>
      </c>
      <c r="AA742" t="str">
        <f>IFERROR(__xludf.DUMMYFUNCTION("""COMPUTED_VALUE"""),"Pariyes sawasklin")</f>
        <v>Pariyes sawasklin</v>
      </c>
      <c r="AB742" t="str">
        <f>IFERROR(__xludf.DUMMYFUNCTION("""COMPUTED_VALUE"""),"konkamons@airasia.com")</f>
        <v>konkamons@airasia.com</v>
      </c>
    </row>
    <row r="743">
      <c r="A743">
        <f>IFERROR(__xludf.DUMMYFUNCTION("""COMPUTED_VALUE"""),1006846.0)</f>
        <v>1006846</v>
      </c>
      <c r="B743" t="str">
        <f>IFERROR(__xludf.DUMMYFUNCTION("""COMPUTED_VALUE"""),"Ms.")</f>
        <v>Ms.</v>
      </c>
      <c r="C743" t="str">
        <f>IFERROR(__xludf.DUMMYFUNCTION("""COMPUTED_VALUE"""),"Sasikarn")</f>
        <v>Sasikarn</v>
      </c>
      <c r="D743" t="str">
        <f>IFERROR(__xludf.DUMMYFUNCTION("""COMPUTED_VALUE"""),"Khampan")</f>
        <v>Khampan</v>
      </c>
      <c r="E743" t="str">
        <f>IFERROR(__xludf.DUMMYFUNCTION("""COMPUTED_VALUE"""),"Sasikarn Khampan")</f>
        <v>Sasikarn Khampan</v>
      </c>
      <c r="F743" t="str">
        <f>IFERROR(__xludf.DUMMYFUNCTION("""COMPUTED_VALUE"""),"นางสาว")</f>
        <v>นางสาว</v>
      </c>
      <c r="G743" t="str">
        <f>IFERROR(__xludf.DUMMYFUNCTION("""COMPUTED_VALUE"""),"ศศิกานต์")</f>
        <v>ศศิกานต์</v>
      </c>
      <c r="H743" t="str">
        <f>IFERROR(__xludf.DUMMYFUNCTION("""COMPUTED_VALUE"""),"คำพรรณ์")</f>
        <v>คำพรรณ์</v>
      </c>
      <c r="I743" t="str">
        <f>IFERROR(__xludf.DUMMYFUNCTION("""COMPUTED_VALUE"""),"ศศิกานต์ คำพรรณ์")</f>
        <v>ศศิกานต์ คำพรรณ์</v>
      </c>
      <c r="J743" t="str">
        <f>IFERROR(__xludf.DUMMYFUNCTION("""COMPUTED_VALUE"""),"Nack / แน็ค")</f>
        <v>Nack / แน็ค</v>
      </c>
      <c r="K743" t="str">
        <f>IFERROR(__xludf.DUMMYFUNCTION("""COMPUTED_VALUE"""),"Cabin Crew")</f>
        <v>Cabin Crew</v>
      </c>
      <c r="L743" t="str">
        <f>IFERROR(__xludf.DUMMYFUNCTION("""COMPUTED_VALUE"""),"DMK")</f>
        <v>DMK</v>
      </c>
      <c r="M743" s="145" t="str">
        <f>IFERROR(__xludf.DUMMYFUNCTION("""COMPUTED_VALUE"""),"Up Home")</f>
        <v>Up Home</v>
      </c>
      <c r="N743" t="str">
        <f>IFERROR(__xludf.DUMMYFUNCTION("""COMPUTED_VALUE"""),"Active")</f>
        <v>Active</v>
      </c>
      <c r="P743" s="143">
        <f>IFERROR(__xludf.DUMMYFUNCTION("""COMPUTED_VALUE"""),33144.0)</f>
        <v>33144</v>
      </c>
      <c r="Q743" s="146" t="str">
        <f>IFERROR(__xludf.DUMMYFUNCTION("""COMPUTED_VALUE"""),"083-096-4239")</f>
        <v>083-096-4239</v>
      </c>
      <c r="R743" s="147">
        <f>IFERROR(__xludf.DUMMYFUNCTION("""COMPUTED_VALUE"""),1.809900332807E12)</f>
        <v>1809900332807</v>
      </c>
      <c r="S743" t="str">
        <f>IFERROR(__xludf.DUMMYFUNCTION("""COMPUTED_VALUE"""),"AC2249610")</f>
        <v>AC2249610</v>
      </c>
      <c r="T743" s="148">
        <f>IFERROR(__xludf.DUMMYFUNCTION("""COMPUTED_VALUE"""),44305.0)</f>
        <v>44305</v>
      </c>
      <c r="U743" s="148">
        <f>IFERROR(__xludf.DUMMYFUNCTION("""COMPUTED_VALUE"""),47956.0)</f>
        <v>47956</v>
      </c>
      <c r="V743" s="149">
        <f>IFERROR(__xludf.DUMMYFUNCTION("""COMPUTED_VALUE"""),47774.0)</f>
        <v>47774</v>
      </c>
      <c r="W743" t="str">
        <f>IFERROR(__xludf.DUMMYFUNCTION("""COMPUTED_VALUE"""),"ปลอดภัย")</f>
        <v>ปลอดภัย</v>
      </c>
      <c r="X743" t="str">
        <f>IFERROR(__xludf.DUMMYFUNCTION("""COMPUTED_VALUE"""),"Nakhon Si Thammarat Province")</f>
        <v>Nakhon Si Thammarat Province</v>
      </c>
      <c r="Y743" t="str">
        <f>IFERROR(__xludf.DUMMYFUNCTION("""COMPUTED_VALUE"""),"Nonthaburi")</f>
        <v>Nonthaburi</v>
      </c>
      <c r="Z743" t="str">
        <f>IFERROR(__xludf.DUMMYFUNCTION("""COMPUTED_VALUE"""),"086-840-8960")</f>
        <v>086-840-8960</v>
      </c>
      <c r="AA743" t="str">
        <f>IFERROR(__xludf.DUMMYFUNCTION("""COMPUTED_VALUE"""),"Saranya Madaree (mother)")</f>
        <v>Saranya Madaree (mother)</v>
      </c>
      <c r="AB743" t="str">
        <f>IFERROR(__xludf.DUMMYFUNCTION("""COMPUTED_VALUE"""),"sasikarnk@airasia.com")</f>
        <v>sasikarnk@airasia.com</v>
      </c>
    </row>
    <row r="744">
      <c r="A744">
        <f>IFERROR(__xludf.DUMMYFUNCTION("""COMPUTED_VALUE"""),1007308.0)</f>
        <v>1007308</v>
      </c>
      <c r="B744" t="str">
        <f>IFERROR(__xludf.DUMMYFUNCTION("""COMPUTED_VALUE"""),"Mr.")</f>
        <v>Mr.</v>
      </c>
      <c r="C744" t="str">
        <f>IFERROR(__xludf.DUMMYFUNCTION("""COMPUTED_VALUE"""),"Pichai")</f>
        <v>Pichai</v>
      </c>
      <c r="D744" t="str">
        <f>IFERROR(__xludf.DUMMYFUNCTION("""COMPUTED_VALUE"""),"Jareerattanachart")</f>
        <v>Jareerattanachart</v>
      </c>
      <c r="E744" t="str">
        <f>IFERROR(__xludf.DUMMYFUNCTION("""COMPUTED_VALUE"""),"Pichai Jareerattanachart")</f>
        <v>Pichai Jareerattanachart</v>
      </c>
      <c r="F744" t="str">
        <f>IFERROR(__xludf.DUMMYFUNCTION("""COMPUTED_VALUE"""),"นาย")</f>
        <v>นาย</v>
      </c>
      <c r="G744" t="str">
        <f>IFERROR(__xludf.DUMMYFUNCTION("""COMPUTED_VALUE"""),"พิชัย")</f>
        <v>พิชัย</v>
      </c>
      <c r="H744" t="str">
        <f>IFERROR(__xludf.DUMMYFUNCTION("""COMPUTED_VALUE"""),"จรีรัตนชาติ")</f>
        <v>จรีรัตนชาติ</v>
      </c>
      <c r="I744" t="str">
        <f>IFERROR(__xludf.DUMMYFUNCTION("""COMPUTED_VALUE"""),"พิชัย จรีรัตนชาติ")</f>
        <v>พิชัย จรีรัตนชาติ</v>
      </c>
      <c r="J744" t="str">
        <f>IFERROR(__xludf.DUMMYFUNCTION("""COMPUTED_VALUE"""),"Beer / เบียร์")</f>
        <v>Beer / เบียร์</v>
      </c>
      <c r="K744" t="str">
        <f>IFERROR(__xludf.DUMMYFUNCTION("""COMPUTED_VALUE"""),"Senior Cabin Crew")</f>
        <v>Senior Cabin Crew</v>
      </c>
      <c r="L744" t="str">
        <f>IFERROR(__xludf.DUMMYFUNCTION("""COMPUTED_VALUE"""),"DMK")</f>
        <v>DMK</v>
      </c>
      <c r="M744" s="145" t="str">
        <f>IFERROR(__xludf.DUMMYFUNCTION("""COMPUTED_VALUE"""),"Por+ Home")</f>
        <v>Por+ Home</v>
      </c>
      <c r="N744" t="str">
        <f>IFERROR(__xludf.DUMMYFUNCTION("""COMPUTED_VALUE"""),"Active")</f>
        <v>Active</v>
      </c>
      <c r="P744" s="143">
        <f>IFERROR(__xludf.DUMMYFUNCTION("""COMPUTED_VALUE"""),33506.0)</f>
        <v>33506</v>
      </c>
      <c r="Q744" s="146" t="str">
        <f>IFERROR(__xludf.DUMMYFUNCTION("""COMPUTED_VALUE"""),"095-936-4685")</f>
        <v>095-936-4685</v>
      </c>
      <c r="R744" s="147">
        <f>IFERROR(__xludf.DUMMYFUNCTION("""COMPUTED_VALUE"""),1.129900128343E12)</f>
        <v>1129900128343</v>
      </c>
      <c r="S744" t="str">
        <f>IFERROR(__xludf.DUMMYFUNCTION("""COMPUTED_VALUE"""),"AC2775182")</f>
        <v>AC2775182</v>
      </c>
      <c r="T744" s="148">
        <f>IFERROR(__xludf.DUMMYFUNCTION("""COMPUTED_VALUE"""),44501.0)</f>
        <v>44501</v>
      </c>
      <c r="U744" s="148">
        <f>IFERROR(__xludf.DUMMYFUNCTION("""COMPUTED_VALUE"""),48152.0)</f>
        <v>48152</v>
      </c>
      <c r="V744" s="149">
        <f>IFERROR(__xludf.DUMMYFUNCTION("""COMPUTED_VALUE"""),47968.0)</f>
        <v>47968</v>
      </c>
      <c r="W744" t="str">
        <f>IFERROR(__xludf.DUMMYFUNCTION("""COMPUTED_VALUE"""),"ปลอดภัย")</f>
        <v>ปลอดภัย</v>
      </c>
      <c r="X744" t="str">
        <f>IFERROR(__xludf.DUMMYFUNCTION("""COMPUTED_VALUE"""),"Nonthaburi Province")</f>
        <v>Nonthaburi Province</v>
      </c>
      <c r="Y744" t="str">
        <f>IFERROR(__xludf.DUMMYFUNCTION("""COMPUTED_VALUE"""),"Pakkred")</f>
        <v>Pakkred</v>
      </c>
      <c r="Z744" t="str">
        <f>IFERROR(__xludf.DUMMYFUNCTION("""COMPUTED_VALUE"""),"082-482-9298")</f>
        <v>082-482-9298</v>
      </c>
      <c r="AA744" t="str">
        <f>IFERROR(__xludf.DUMMYFUNCTION("""COMPUTED_VALUE"""),"Arunwan Jareerattanachart (Mother)")</f>
        <v>Arunwan Jareerattanachart (Mother)</v>
      </c>
      <c r="AB744" t="str">
        <f>IFERROR(__xludf.DUMMYFUNCTION("""COMPUTED_VALUE"""),"pichaij@airasia.com")</f>
        <v>pichaij@airasia.com</v>
      </c>
    </row>
    <row r="745">
      <c r="A745">
        <f>IFERROR(__xludf.DUMMYFUNCTION("""COMPUTED_VALUE"""),1007641.0)</f>
        <v>1007641</v>
      </c>
      <c r="B745" t="str">
        <f>IFERROR(__xludf.DUMMYFUNCTION("""COMPUTED_VALUE"""),"Ms.")</f>
        <v>Ms.</v>
      </c>
      <c r="C745" t="str">
        <f>IFERROR(__xludf.DUMMYFUNCTION("""COMPUTED_VALUE"""),"Chontisa")</f>
        <v>Chontisa</v>
      </c>
      <c r="D745" t="str">
        <f>IFERROR(__xludf.DUMMYFUNCTION("""COMPUTED_VALUE"""),"Supasri")</f>
        <v>Supasri</v>
      </c>
      <c r="E745" t="str">
        <f>IFERROR(__xludf.DUMMYFUNCTION("""COMPUTED_VALUE"""),"Chontisa Supasri")</f>
        <v>Chontisa Supasri</v>
      </c>
      <c r="F745" t="str">
        <f>IFERROR(__xludf.DUMMYFUNCTION("""COMPUTED_VALUE"""),"นางสาว")</f>
        <v>นางสาว</v>
      </c>
      <c r="G745" t="str">
        <f>IFERROR(__xludf.DUMMYFUNCTION("""COMPUTED_VALUE"""),"ชลธิสา")</f>
        <v>ชลธิสา</v>
      </c>
      <c r="H745" t="str">
        <f>IFERROR(__xludf.DUMMYFUNCTION("""COMPUTED_VALUE"""),"สุภาศรี")</f>
        <v>สุภาศรี</v>
      </c>
      <c r="I745" t="str">
        <f>IFERROR(__xludf.DUMMYFUNCTION("""COMPUTED_VALUE"""),"ชลธิสา สุภาศรี")</f>
        <v>ชลธิสา สุภาศรี</v>
      </c>
      <c r="J745" t="str">
        <f>IFERROR(__xludf.DUMMYFUNCTION("""COMPUTED_VALUE"""),"Naum / น้ำ")</f>
        <v>Naum / น้ำ</v>
      </c>
      <c r="K745" t="str">
        <f>IFERROR(__xludf.DUMMYFUNCTION("""COMPUTED_VALUE"""),"Cabin Crew - CNX")</f>
        <v>Cabin Crew - CNX</v>
      </c>
      <c r="L745" t="str">
        <f>IFERROR(__xludf.DUMMYFUNCTION("""COMPUTED_VALUE"""),"CNX")</f>
        <v>CNX</v>
      </c>
      <c r="M745" s="145" t="str">
        <f>IFERROR(__xludf.DUMMYFUNCTION("""COMPUTED_VALUE"""),"Up Home")</f>
        <v>Up Home</v>
      </c>
      <c r="N745" t="str">
        <f>IFERROR(__xludf.DUMMYFUNCTION("""COMPUTED_VALUE"""),"Active")</f>
        <v>Active</v>
      </c>
      <c r="P745" s="143">
        <f>IFERROR(__xludf.DUMMYFUNCTION("""COMPUTED_VALUE"""),32370.0)</f>
        <v>32370</v>
      </c>
      <c r="Q745" s="146" t="str">
        <f>IFERROR(__xludf.DUMMYFUNCTION("""COMPUTED_VALUE"""),"080-033-5587")</f>
        <v>080-033-5587</v>
      </c>
      <c r="R745" s="147">
        <f>IFERROR(__xludf.DUMMYFUNCTION("""COMPUTED_VALUE"""),1.509900637317E12)</f>
        <v>1509900637317</v>
      </c>
      <c r="S745" t="str">
        <f>IFERROR(__xludf.DUMMYFUNCTION("""COMPUTED_VALUE"""),"AC4476214")</f>
        <v>AC4476214</v>
      </c>
      <c r="T745" s="148">
        <f>IFERROR(__xludf.DUMMYFUNCTION("""COMPUTED_VALUE"""),44967.0)</f>
        <v>44967</v>
      </c>
      <c r="U745" s="148">
        <f>IFERROR(__xludf.DUMMYFUNCTION("""COMPUTED_VALUE"""),48619.0)</f>
        <v>48619</v>
      </c>
      <c r="V745" s="149">
        <f>IFERROR(__xludf.DUMMYFUNCTION("""COMPUTED_VALUE"""),48435.0)</f>
        <v>48435</v>
      </c>
      <c r="W745" t="str">
        <f>IFERROR(__xludf.DUMMYFUNCTION("""COMPUTED_VALUE"""),"ปลอดภัย")</f>
        <v>ปลอดภัย</v>
      </c>
      <c r="X745" t="str">
        <f>IFERROR(__xludf.DUMMYFUNCTION("""COMPUTED_VALUE"""),"Chiang Mai Province")</f>
        <v>Chiang Mai Province</v>
      </c>
      <c r="Y745" t="str">
        <f>IFERROR(__xludf.DUMMYFUNCTION("""COMPUTED_VALUE"""),"Jatujak")</f>
        <v>Jatujak</v>
      </c>
      <c r="Z745" t="str">
        <f>IFERROR(__xludf.DUMMYFUNCTION("""COMPUTED_VALUE"""),"090-668-8855")</f>
        <v>090-668-8855</v>
      </c>
      <c r="AA745" t="str">
        <f>IFERROR(__xludf.DUMMYFUNCTION("""COMPUTED_VALUE"""),"Nutthapon Ekachant")</f>
        <v>Nutthapon Ekachant</v>
      </c>
      <c r="AB745" t="str">
        <f>IFERROR(__xludf.DUMMYFUNCTION("""COMPUTED_VALUE"""),"chontisas@airasia.com")</f>
        <v>chontisas@airasia.com</v>
      </c>
    </row>
    <row r="746">
      <c r="A746">
        <f>IFERROR(__xludf.DUMMYFUNCTION("""COMPUTED_VALUE"""),1007646.0)</f>
        <v>1007646</v>
      </c>
      <c r="B746" t="str">
        <f>IFERROR(__xludf.DUMMYFUNCTION("""COMPUTED_VALUE"""),"Ms.")</f>
        <v>Ms.</v>
      </c>
      <c r="C746" t="str">
        <f>IFERROR(__xludf.DUMMYFUNCTION("""COMPUTED_VALUE"""),"Lalita")</f>
        <v>Lalita</v>
      </c>
      <c r="D746" t="str">
        <f>IFERROR(__xludf.DUMMYFUNCTION("""COMPUTED_VALUE"""),"Sakolcholchawalit")</f>
        <v>Sakolcholchawalit</v>
      </c>
      <c r="E746" t="str">
        <f>IFERROR(__xludf.DUMMYFUNCTION("""COMPUTED_VALUE"""),"Lalita Sakolcholchawalit")</f>
        <v>Lalita Sakolcholchawalit</v>
      </c>
      <c r="F746" t="str">
        <f>IFERROR(__xludf.DUMMYFUNCTION("""COMPUTED_VALUE"""),"นางสาว")</f>
        <v>นางสาว</v>
      </c>
      <c r="G746" t="str">
        <f>IFERROR(__xludf.DUMMYFUNCTION("""COMPUTED_VALUE"""),"ลลิตา")</f>
        <v>ลลิตา</v>
      </c>
      <c r="H746" t="str">
        <f>IFERROR(__xludf.DUMMYFUNCTION("""COMPUTED_VALUE"""),"สกลชลชวลิต")</f>
        <v>สกลชลชวลิต</v>
      </c>
      <c r="I746" t="str">
        <f>IFERROR(__xludf.DUMMYFUNCTION("""COMPUTED_VALUE"""),"ลลิตา สกลชลชวลิต")</f>
        <v>ลลิตา สกลชลชวลิต</v>
      </c>
      <c r="J746" t="str">
        <f>IFERROR(__xludf.DUMMYFUNCTION("""COMPUTED_VALUE"""),"โจลี่")</f>
        <v>โจลี่</v>
      </c>
      <c r="K746" t="str">
        <f>IFERROR(__xludf.DUMMYFUNCTION("""COMPUTED_VALUE"""),"Cabin Crew")</f>
        <v>Cabin Crew</v>
      </c>
      <c r="L746" t="str">
        <f>IFERROR(__xludf.DUMMYFUNCTION("""COMPUTED_VALUE"""),"DMK")</f>
        <v>DMK</v>
      </c>
      <c r="M746" s="145" t="str">
        <f>IFERROR(__xludf.DUMMYFUNCTION("""COMPUTED_VALUE"""),"Namfon Home")</f>
        <v>Namfon Home</v>
      </c>
      <c r="N746" t="str">
        <f>IFERROR(__xludf.DUMMYFUNCTION("""COMPUTED_VALUE"""),"Active")</f>
        <v>Active</v>
      </c>
      <c r="P746" s="143">
        <f>IFERROR(__xludf.DUMMYFUNCTION("""COMPUTED_VALUE"""),32267.0)</f>
        <v>32267</v>
      </c>
      <c r="Q746" s="146" t="str">
        <f>IFERROR(__xludf.DUMMYFUNCTION("""COMPUTED_VALUE"""),"094-264-9964 ")</f>
        <v>094-264-9964 </v>
      </c>
      <c r="R746" s="147">
        <f>IFERROR(__xludf.DUMMYFUNCTION("""COMPUTED_VALUE"""),1.269900078141E12)</f>
        <v>1269900078141</v>
      </c>
      <c r="S746" t="str">
        <f>IFERROR(__xludf.DUMMYFUNCTION("""COMPUTED_VALUE"""),"AD1206503")</f>
        <v>AD1206503</v>
      </c>
      <c r="T746" s="148">
        <f>IFERROR(__xludf.DUMMYFUNCTION("""COMPUTED_VALUE"""),45327.0)</f>
        <v>45327</v>
      </c>
      <c r="U746" s="148">
        <f>IFERROR(__xludf.DUMMYFUNCTION("""COMPUTED_VALUE"""),48979.0)</f>
        <v>48979</v>
      </c>
      <c r="V746" s="149">
        <f>IFERROR(__xludf.DUMMYFUNCTION("""COMPUTED_VALUE"""),48795.0)</f>
        <v>48795</v>
      </c>
      <c r="W746" t="str">
        <f>IFERROR(__xludf.DUMMYFUNCTION("""COMPUTED_VALUE"""),"ปลอดภัย")</f>
        <v>ปลอดภัย</v>
      </c>
      <c r="X746" t="str">
        <f>IFERROR(__xludf.DUMMYFUNCTION("""COMPUTED_VALUE"""),"Nakhon Nayok Province")</f>
        <v>Nakhon Nayok Province</v>
      </c>
      <c r="Y746" t="str">
        <f>IFERROR(__xludf.DUMMYFUNCTION("""COMPUTED_VALUE"""),"Bangkhen")</f>
        <v>Bangkhen</v>
      </c>
      <c r="Z746" t="str">
        <f>IFERROR(__xludf.DUMMYFUNCTION("""COMPUTED_VALUE"""),"086-0438965")</f>
        <v>086-0438965</v>
      </c>
      <c r="AA746" t="str">
        <f>IFERROR(__xludf.DUMMYFUNCTION("""COMPUTED_VALUE"""),"Wiroj Sakolcholchawalit (mother)")</f>
        <v>Wiroj Sakolcholchawalit (mother)</v>
      </c>
      <c r="AB746" t="str">
        <f>IFERROR(__xludf.DUMMYFUNCTION("""COMPUTED_VALUE"""),"lalitas@airasia.com")</f>
        <v>lalitas@airasia.com</v>
      </c>
    </row>
    <row r="747">
      <c r="A747">
        <f>IFERROR(__xludf.DUMMYFUNCTION("""COMPUTED_VALUE"""),1016176.0)</f>
        <v>1016176</v>
      </c>
      <c r="B747" t="str">
        <f>IFERROR(__xludf.DUMMYFUNCTION("""COMPUTED_VALUE"""),"Ms.")</f>
        <v>Ms.</v>
      </c>
      <c r="C747" t="str">
        <f>IFERROR(__xludf.DUMMYFUNCTION("""COMPUTED_VALUE"""),"Boontarika")</f>
        <v>Boontarika</v>
      </c>
      <c r="D747" t="str">
        <f>IFERROR(__xludf.DUMMYFUNCTION("""COMPUTED_VALUE"""),"Charoenpong")</f>
        <v>Charoenpong</v>
      </c>
      <c r="E747" t="str">
        <f>IFERROR(__xludf.DUMMYFUNCTION("""COMPUTED_VALUE"""),"Boontarika Charoenpong")</f>
        <v>Boontarika Charoenpong</v>
      </c>
      <c r="F747" t="str">
        <f>IFERROR(__xludf.DUMMYFUNCTION("""COMPUTED_VALUE"""),"นางสาว")</f>
        <v>นางสาว</v>
      </c>
      <c r="G747" t="str">
        <f>IFERROR(__xludf.DUMMYFUNCTION("""COMPUTED_VALUE"""),"บุณฑริกา")</f>
        <v>บุณฑริกา</v>
      </c>
      <c r="H747" t="str">
        <f>IFERROR(__xludf.DUMMYFUNCTION("""COMPUTED_VALUE"""),"เจริญพงศ์")</f>
        <v>เจริญพงศ์</v>
      </c>
      <c r="I747" t="str">
        <f>IFERROR(__xludf.DUMMYFUNCTION("""COMPUTED_VALUE"""),"บุณฑริกา เจริญพงศ์")</f>
        <v>บุณฑริกา เจริญพงศ์</v>
      </c>
      <c r="J747" t="str">
        <f>IFERROR(__xludf.DUMMYFUNCTION("""COMPUTED_VALUE"""),"Por /ปอ")</f>
        <v>Por /ปอ</v>
      </c>
      <c r="K747" t="str">
        <f>IFERROR(__xludf.DUMMYFUNCTION("""COMPUTED_VALUE"""),"Cabin Crew")</f>
        <v>Cabin Crew</v>
      </c>
      <c r="L747" t="str">
        <f>IFERROR(__xludf.DUMMYFUNCTION("""COMPUTED_VALUE"""),"DMK")</f>
        <v>DMK</v>
      </c>
      <c r="M747" s="145" t="str">
        <f>IFERROR(__xludf.DUMMYFUNCTION("""COMPUTED_VALUE"""),"Um Home")</f>
        <v>Um Home</v>
      </c>
      <c r="N747" t="str">
        <f>IFERROR(__xludf.DUMMYFUNCTION("""COMPUTED_VALUE"""),"Active")</f>
        <v>Active</v>
      </c>
      <c r="P747" s="143">
        <f>IFERROR(__xludf.DUMMYFUNCTION("""COMPUTED_VALUE"""),32170.0)</f>
        <v>32170</v>
      </c>
      <c r="Q747" s="146" t="str">
        <f>IFERROR(__xludf.DUMMYFUNCTION("""COMPUTED_VALUE"""),"081-498-4774")</f>
        <v>081-498-4774</v>
      </c>
      <c r="R747" s="147" t="str">
        <f>IFERROR(__xludf.DUMMYFUNCTION("""COMPUTED_VALUE"""),"1101401-23-7140")</f>
        <v>1101401-23-7140</v>
      </c>
      <c r="S747" t="str">
        <f>IFERROR(__xludf.DUMMYFUNCTION("""COMPUTED_VALUE"""),"AC2225003")</f>
        <v>AC2225003</v>
      </c>
      <c r="T747" s="148">
        <f>IFERROR(__xludf.DUMMYFUNCTION("""COMPUTED_VALUE"""),44274.0)</f>
        <v>44274</v>
      </c>
      <c r="U747" s="148">
        <f>IFERROR(__xludf.DUMMYFUNCTION("""COMPUTED_VALUE"""),47925.0)</f>
        <v>47925</v>
      </c>
      <c r="V747" s="149">
        <f>IFERROR(__xludf.DUMMYFUNCTION("""COMPUTED_VALUE"""),47744.0)</f>
        <v>47744</v>
      </c>
      <c r="W747" t="str">
        <f>IFERROR(__xludf.DUMMYFUNCTION("""COMPUTED_VALUE"""),"ปลอดภัย")</f>
        <v>ปลอดภัย</v>
      </c>
      <c r="X747" t="str">
        <f>IFERROR(__xludf.DUMMYFUNCTION("""COMPUTED_VALUE"""),"Bangkok")</f>
        <v>Bangkok</v>
      </c>
      <c r="Y747" t="str">
        <f>IFERROR(__xludf.DUMMYFUNCTION("""COMPUTED_VALUE"""),"Buenggum")</f>
        <v>Buenggum</v>
      </c>
      <c r="Z747" t="str">
        <f>IFERROR(__xludf.DUMMYFUNCTION("""COMPUTED_VALUE"""),"081-835-6459")</f>
        <v>081-835-6459</v>
      </c>
      <c r="AA747" t="str">
        <f>IFERROR(__xludf.DUMMYFUNCTION("""COMPUTED_VALUE"""),"Udom Charoenpong (father)")</f>
        <v>Udom Charoenpong (father)</v>
      </c>
      <c r="AB747" t="str">
        <f>IFERROR(__xludf.DUMMYFUNCTION("""COMPUTED_VALUE"""),"boontarikac@airasia.com")</f>
        <v>boontarikac@airasia.com</v>
      </c>
    </row>
    <row r="748">
      <c r="A748">
        <f>IFERROR(__xludf.DUMMYFUNCTION("""COMPUTED_VALUE"""),1016195.0)</f>
        <v>1016195</v>
      </c>
      <c r="B748" t="str">
        <f>IFERROR(__xludf.DUMMYFUNCTION("""COMPUTED_VALUE"""),"Ms.")</f>
        <v>Ms.</v>
      </c>
      <c r="C748" t="str">
        <f>IFERROR(__xludf.DUMMYFUNCTION("""COMPUTED_VALUE"""),"Keerati")</f>
        <v>Keerati</v>
      </c>
      <c r="D748" t="str">
        <f>IFERROR(__xludf.DUMMYFUNCTION("""COMPUTED_VALUE"""),"Sooksai")</f>
        <v>Sooksai</v>
      </c>
      <c r="E748" t="str">
        <f>IFERROR(__xludf.DUMMYFUNCTION("""COMPUTED_VALUE"""),"Keerati Sooksai")</f>
        <v>Keerati Sooksai</v>
      </c>
      <c r="F748" t="str">
        <f>IFERROR(__xludf.DUMMYFUNCTION("""COMPUTED_VALUE"""),"นางสาว")</f>
        <v>นางสาว</v>
      </c>
      <c r="G748" t="str">
        <f>IFERROR(__xludf.DUMMYFUNCTION("""COMPUTED_VALUE"""),"กีรติ")</f>
        <v>กีรติ</v>
      </c>
      <c r="H748" t="str">
        <f>IFERROR(__xludf.DUMMYFUNCTION("""COMPUTED_VALUE"""),"สุกใส")</f>
        <v>สุกใส</v>
      </c>
      <c r="I748" t="str">
        <f>IFERROR(__xludf.DUMMYFUNCTION("""COMPUTED_VALUE"""),"กีรติ สุกใส")</f>
        <v>กีรติ สุกใส</v>
      </c>
      <c r="J748" t="str">
        <f>IFERROR(__xludf.DUMMYFUNCTION("""COMPUTED_VALUE"""),"Tong /ต้อง")</f>
        <v>Tong /ต้อง</v>
      </c>
      <c r="K748" t="str">
        <f>IFERROR(__xludf.DUMMYFUNCTION("""COMPUTED_VALUE"""),"Cabin Crew")</f>
        <v>Cabin Crew</v>
      </c>
      <c r="L748" t="str">
        <f>IFERROR(__xludf.DUMMYFUNCTION("""COMPUTED_VALUE"""),"DMK")</f>
        <v>DMK</v>
      </c>
      <c r="M748" s="145" t="str">
        <f>IFERROR(__xludf.DUMMYFUNCTION("""COMPUTED_VALUE"""),"Namfon Home")</f>
        <v>Namfon Home</v>
      </c>
      <c r="N748" t="str">
        <f>IFERROR(__xludf.DUMMYFUNCTION("""COMPUTED_VALUE"""),"V/LWP")</f>
        <v>V/LWP</v>
      </c>
      <c r="P748" s="143">
        <f>IFERROR(__xludf.DUMMYFUNCTION("""COMPUTED_VALUE"""),33194.0)</f>
        <v>33194</v>
      </c>
      <c r="Q748" s="146" t="str">
        <f>IFERROR(__xludf.DUMMYFUNCTION("""COMPUTED_VALUE"""),"084-8032410")</f>
        <v>084-8032410</v>
      </c>
      <c r="R748" s="147" t="str">
        <f>IFERROR(__xludf.DUMMYFUNCTION("""COMPUTED_VALUE"""),"1549900-23-6096")</f>
        <v>1549900-23-6096</v>
      </c>
      <c r="S748" t="str">
        <f>IFERROR(__xludf.DUMMYFUNCTION("""COMPUTED_VALUE"""),"AC6008805")</f>
        <v>AC6008805</v>
      </c>
      <c r="T748" s="148">
        <f>IFERROR(__xludf.DUMMYFUNCTION("""COMPUTED_VALUE"""),45229.0)</f>
        <v>45229</v>
      </c>
      <c r="U748" s="148">
        <f>IFERROR(__xludf.DUMMYFUNCTION("""COMPUTED_VALUE"""),48881.0)</f>
        <v>48881</v>
      </c>
      <c r="V748" s="149">
        <f>IFERROR(__xludf.DUMMYFUNCTION("""COMPUTED_VALUE"""),48698.0)</f>
        <v>48698</v>
      </c>
      <c r="W748" t="str">
        <f>IFERROR(__xludf.DUMMYFUNCTION("""COMPUTED_VALUE"""),"ปลอดภัย")</f>
        <v>ปลอดภัย</v>
      </c>
      <c r="X748" t="str">
        <f>IFERROR(__xludf.DUMMYFUNCTION("""COMPUTED_VALUE"""),"Phrae Province")</f>
        <v>Phrae Province</v>
      </c>
      <c r="Y748" t="str">
        <f>IFERROR(__xludf.DUMMYFUNCTION("""COMPUTED_VALUE"""),"Phrae")</f>
        <v>Phrae</v>
      </c>
      <c r="Z748" t="str">
        <f>IFERROR(__xludf.DUMMYFUNCTION("""COMPUTED_VALUE"""),"093-1389586")</f>
        <v>093-1389586</v>
      </c>
      <c r="AA748" t="str">
        <f>IFERROR(__xludf.DUMMYFUNCTION("""COMPUTED_VALUE"""),"Sooktiwan Chumjai(mother)")</f>
        <v>Sooktiwan Chumjai(mother)</v>
      </c>
      <c r="AB748" t="str">
        <f>IFERROR(__xludf.DUMMYFUNCTION("""COMPUTED_VALUE"""),"keeratii@airasia.com")</f>
        <v>keeratii@airasia.com</v>
      </c>
    </row>
    <row r="749">
      <c r="A749">
        <f>IFERROR(__xludf.DUMMYFUNCTION("""COMPUTED_VALUE"""),1016197.0)</f>
        <v>1016197</v>
      </c>
      <c r="B749" t="str">
        <f>IFERROR(__xludf.DUMMYFUNCTION("""COMPUTED_VALUE"""),"Ms.")</f>
        <v>Ms.</v>
      </c>
      <c r="C749" t="str">
        <f>IFERROR(__xludf.DUMMYFUNCTION("""COMPUTED_VALUE"""),"Kornchanok")</f>
        <v>Kornchanok</v>
      </c>
      <c r="D749" t="str">
        <f>IFERROR(__xludf.DUMMYFUNCTION("""COMPUTED_VALUE"""),"Ruamsanit")</f>
        <v>Ruamsanit</v>
      </c>
      <c r="E749" t="str">
        <f>IFERROR(__xludf.DUMMYFUNCTION("""COMPUTED_VALUE"""),"Kornchanok Ruamsanit")</f>
        <v>Kornchanok Ruamsanit</v>
      </c>
      <c r="F749" t="str">
        <f>IFERROR(__xludf.DUMMYFUNCTION("""COMPUTED_VALUE"""),"นางสาว")</f>
        <v>นางสาว</v>
      </c>
      <c r="G749" t="str">
        <f>IFERROR(__xludf.DUMMYFUNCTION("""COMPUTED_VALUE"""),"กรชนก")</f>
        <v>กรชนก</v>
      </c>
      <c r="H749" t="str">
        <f>IFERROR(__xludf.DUMMYFUNCTION("""COMPUTED_VALUE"""),"ร่วมสนิท")</f>
        <v>ร่วมสนิท</v>
      </c>
      <c r="I749" t="str">
        <f>IFERROR(__xludf.DUMMYFUNCTION("""COMPUTED_VALUE"""),"กรชนก ร่วมสนิท")</f>
        <v>กรชนก ร่วมสนิท</v>
      </c>
      <c r="J749" t="str">
        <f>IFERROR(__xludf.DUMMYFUNCTION("""COMPUTED_VALUE"""),"Pang / แป้ง")</f>
        <v>Pang / แป้ง</v>
      </c>
      <c r="K749" t="str">
        <f>IFERROR(__xludf.DUMMYFUNCTION("""COMPUTED_VALUE"""),"Cabin Crew")</f>
        <v>Cabin Crew</v>
      </c>
      <c r="L749" t="str">
        <f>IFERROR(__xludf.DUMMYFUNCTION("""COMPUTED_VALUE"""),"DMK")</f>
        <v>DMK</v>
      </c>
      <c r="M749" s="145" t="str">
        <f>IFERROR(__xludf.DUMMYFUNCTION("""COMPUTED_VALUE"""),"Kor Home")</f>
        <v>Kor Home</v>
      </c>
      <c r="N749" t="str">
        <f>IFERROR(__xludf.DUMMYFUNCTION("""COMPUTED_VALUE"""),"Active")</f>
        <v>Active</v>
      </c>
      <c r="P749" s="143">
        <f>IFERROR(__xludf.DUMMYFUNCTION("""COMPUTED_VALUE"""),32160.0)</f>
        <v>32160</v>
      </c>
      <c r="Q749" s="146" t="str">
        <f>IFERROR(__xludf.DUMMYFUNCTION("""COMPUTED_VALUE"""),"089-045-1964")</f>
        <v>089-045-1964</v>
      </c>
      <c r="R749" s="147" t="str">
        <f>IFERROR(__xludf.DUMMYFUNCTION("""COMPUTED_VALUE"""),"1102000-90-7854")</f>
        <v>1102000-90-7854</v>
      </c>
      <c r="S749" t="str">
        <f>IFERROR(__xludf.DUMMYFUNCTION("""COMPUTED_VALUE"""),"AC2359705")</f>
        <v>AC2359705</v>
      </c>
      <c r="T749" s="148">
        <f>IFERROR(__xludf.DUMMYFUNCTION("""COMPUTED_VALUE"""),44271.0)</f>
        <v>44271</v>
      </c>
      <c r="U749" s="148">
        <f>IFERROR(__xludf.DUMMYFUNCTION("""COMPUTED_VALUE"""),47922.0)</f>
        <v>47922</v>
      </c>
      <c r="V749" s="149">
        <f>IFERROR(__xludf.DUMMYFUNCTION("""COMPUTED_VALUE"""),47741.0)</f>
        <v>47741</v>
      </c>
      <c r="W749" t="str">
        <f>IFERROR(__xludf.DUMMYFUNCTION("""COMPUTED_VALUE"""),"ปลอดภัย")</f>
        <v>ปลอดภัย</v>
      </c>
      <c r="X749" t="str">
        <f>IFERROR(__xludf.DUMMYFUNCTION("""COMPUTED_VALUE"""),"Bangkok")</f>
        <v>Bangkok</v>
      </c>
      <c r="Y749" t="str">
        <f>IFERROR(__xludf.DUMMYFUNCTION("""COMPUTED_VALUE"""),"Bangkhuntien")</f>
        <v>Bangkhuntien</v>
      </c>
      <c r="Z749" t="str">
        <f>IFERROR(__xludf.DUMMYFUNCTION("""COMPUTED_VALUE"""),"091-739-4211")</f>
        <v>091-739-4211</v>
      </c>
      <c r="AA749" t="str">
        <f>IFERROR(__xludf.DUMMYFUNCTION("""COMPUTED_VALUE"""),"Weerapong Sarasilp")</f>
        <v>Weerapong Sarasilp</v>
      </c>
      <c r="AB749" t="str">
        <f>IFERROR(__xludf.DUMMYFUNCTION("""COMPUTED_VALUE"""),"kornchanokr@airasia.com")</f>
        <v>kornchanokr@airasia.com</v>
      </c>
    </row>
    <row r="750">
      <c r="A750">
        <f>IFERROR(__xludf.DUMMYFUNCTION("""COMPUTED_VALUE"""),1016206.0)</f>
        <v>1016206</v>
      </c>
      <c r="B750" t="str">
        <f>IFERROR(__xludf.DUMMYFUNCTION("""COMPUTED_VALUE"""),"Ms.")</f>
        <v>Ms.</v>
      </c>
      <c r="C750" t="str">
        <f>IFERROR(__xludf.DUMMYFUNCTION("""COMPUTED_VALUE"""),"Nisara")</f>
        <v>Nisara</v>
      </c>
      <c r="D750" t="str">
        <f>IFERROR(__xludf.DUMMYFUNCTION("""COMPUTED_VALUE"""),"Aimwong")</f>
        <v>Aimwong</v>
      </c>
      <c r="E750" t="str">
        <f>IFERROR(__xludf.DUMMYFUNCTION("""COMPUTED_VALUE"""),"Nisara Aimwong")</f>
        <v>Nisara Aimwong</v>
      </c>
      <c r="F750" t="str">
        <f>IFERROR(__xludf.DUMMYFUNCTION("""COMPUTED_VALUE"""),"นางสาว")</f>
        <v>นางสาว</v>
      </c>
      <c r="G750" t="str">
        <f>IFERROR(__xludf.DUMMYFUNCTION("""COMPUTED_VALUE"""),"ณิศรา")</f>
        <v>ณิศรา</v>
      </c>
      <c r="H750" t="str">
        <f>IFERROR(__xludf.DUMMYFUNCTION("""COMPUTED_VALUE"""),"เอมวงษ์")</f>
        <v>เอมวงษ์</v>
      </c>
      <c r="I750" t="str">
        <f>IFERROR(__xludf.DUMMYFUNCTION("""COMPUTED_VALUE"""),"ณิศรา เอมวงษ์")</f>
        <v>ณิศรา เอมวงษ์</v>
      </c>
      <c r="J750" t="str">
        <f>IFERROR(__xludf.DUMMYFUNCTION("""COMPUTED_VALUE"""),"Belle/เบลล์")</f>
        <v>Belle/เบลล์</v>
      </c>
      <c r="K750" t="str">
        <f>IFERROR(__xludf.DUMMYFUNCTION("""COMPUTED_VALUE"""),"Cabin Crew - BKK")</f>
        <v>Cabin Crew - BKK</v>
      </c>
      <c r="L750" t="str">
        <f>IFERROR(__xludf.DUMMYFUNCTION("""COMPUTED_VALUE"""),"BKK")</f>
        <v>BKK</v>
      </c>
      <c r="M750" s="145" t="str">
        <f>IFERROR(__xludf.DUMMYFUNCTION("""COMPUTED_VALUE"""),"Nhui Home")</f>
        <v>Nhui Home</v>
      </c>
      <c r="N750" t="str">
        <f>IFERROR(__xludf.DUMMYFUNCTION("""COMPUTED_VALUE"""),"Active/V/DMK")</f>
        <v>Active/V/DMK</v>
      </c>
      <c r="P750" s="143">
        <f>IFERROR(__xludf.DUMMYFUNCTION("""COMPUTED_VALUE"""),33962.0)</f>
        <v>33962</v>
      </c>
      <c r="Q750" s="146" t="str">
        <f>IFERROR(__xludf.DUMMYFUNCTION("""COMPUTED_VALUE"""),"093-942-4924")</f>
        <v>093-942-4924</v>
      </c>
      <c r="R750" s="147" t="str">
        <f>IFERROR(__xludf.DUMMYFUNCTION("""COMPUTED_VALUE"""),"1100500-95-8103")</f>
        <v>1100500-95-8103</v>
      </c>
      <c r="S750" t="str">
        <f>IFERROR(__xludf.DUMMYFUNCTION("""COMPUTED_VALUE"""),"AC5825641")</f>
        <v>AC5825641</v>
      </c>
      <c r="T750" s="148">
        <f>IFERROR(__xludf.DUMMYFUNCTION("""COMPUTED_VALUE"""),45192.0)</f>
        <v>45192</v>
      </c>
      <c r="U750" s="148">
        <f>IFERROR(__xludf.DUMMYFUNCTION("""COMPUTED_VALUE"""),48844.0)</f>
        <v>48844</v>
      </c>
      <c r="V750" s="149">
        <f>IFERROR(__xludf.DUMMYFUNCTION("""COMPUTED_VALUE"""),48660.0)</f>
        <v>48660</v>
      </c>
      <c r="W750" t="str">
        <f>IFERROR(__xludf.DUMMYFUNCTION("""COMPUTED_VALUE"""),"ปลอดภัย")</f>
        <v>ปลอดภัย</v>
      </c>
      <c r="X750" t="str">
        <f>IFERROR(__xludf.DUMMYFUNCTION("""COMPUTED_VALUE"""),"Bangkok")</f>
        <v>Bangkok</v>
      </c>
      <c r="Z750" t="str">
        <f>IFERROR(__xludf.DUMMYFUNCTION("""COMPUTED_VALUE"""),"089 154 9935")</f>
        <v>089 154 9935</v>
      </c>
      <c r="AA750" t="str">
        <f>IFERROR(__xludf.DUMMYFUNCTION("""COMPUTED_VALUE"""),"Suchanya kittisriworawat (Mother)")</f>
        <v>Suchanya kittisriworawat (Mother)</v>
      </c>
      <c r="AB750" t="str">
        <f>IFERROR(__xludf.DUMMYFUNCTION("""COMPUTED_VALUE"""),"nisaraa@airasia.com")</f>
        <v>nisaraa@airasia.com</v>
      </c>
    </row>
    <row r="751">
      <c r="A751">
        <f>IFERROR(__xludf.DUMMYFUNCTION("""COMPUTED_VALUE"""),1016214.0)</f>
        <v>1016214</v>
      </c>
      <c r="B751" t="str">
        <f>IFERROR(__xludf.DUMMYFUNCTION("""COMPUTED_VALUE"""),"Mr.")</f>
        <v>Mr.</v>
      </c>
      <c r="C751" t="str">
        <f>IFERROR(__xludf.DUMMYFUNCTION("""COMPUTED_VALUE"""),"Passakorn")</f>
        <v>Passakorn</v>
      </c>
      <c r="D751" t="str">
        <f>IFERROR(__xludf.DUMMYFUNCTION("""COMPUTED_VALUE"""),"Porncharoon")</f>
        <v>Porncharoon</v>
      </c>
      <c r="E751" t="str">
        <f>IFERROR(__xludf.DUMMYFUNCTION("""COMPUTED_VALUE"""),"Passakorn Porncharoon")</f>
        <v>Passakorn Porncharoon</v>
      </c>
      <c r="F751" t="str">
        <f>IFERROR(__xludf.DUMMYFUNCTION("""COMPUTED_VALUE"""),"นาย")</f>
        <v>นาย</v>
      </c>
      <c r="G751" t="str">
        <f>IFERROR(__xludf.DUMMYFUNCTION("""COMPUTED_VALUE"""),"พัสกร")</f>
        <v>พัสกร</v>
      </c>
      <c r="H751" t="str">
        <f>IFERROR(__xludf.DUMMYFUNCTION("""COMPUTED_VALUE"""),"พรจรูญ")</f>
        <v>พรจรูญ</v>
      </c>
      <c r="I751" t="str">
        <f>IFERROR(__xludf.DUMMYFUNCTION("""COMPUTED_VALUE"""),"พัสกร พรจรูญ")</f>
        <v>พัสกร พรจรูญ</v>
      </c>
      <c r="J751" t="str">
        <f>IFERROR(__xludf.DUMMYFUNCTION("""COMPUTED_VALUE"""),"Max/แมกซ์")</f>
        <v>Max/แมกซ์</v>
      </c>
      <c r="K751" t="str">
        <f>IFERROR(__xludf.DUMMYFUNCTION("""COMPUTED_VALUE"""),"Cabin Crew")</f>
        <v>Cabin Crew</v>
      </c>
      <c r="L751" t="str">
        <f>IFERROR(__xludf.DUMMYFUNCTION("""COMPUTED_VALUE"""),"DMK")</f>
        <v>DMK</v>
      </c>
      <c r="M751" s="145" t="str">
        <f>IFERROR(__xludf.DUMMYFUNCTION("""COMPUTED_VALUE"""),"Kor Home")</f>
        <v>Kor Home</v>
      </c>
      <c r="N751" t="str">
        <f>IFERROR(__xludf.DUMMYFUNCTION("""COMPUTED_VALUE"""),"Active")</f>
        <v>Active</v>
      </c>
      <c r="P751" s="143">
        <f>IFERROR(__xludf.DUMMYFUNCTION("""COMPUTED_VALUE"""),33597.0)</f>
        <v>33597</v>
      </c>
      <c r="Q751" s="146" t="str">
        <f>IFERROR(__xludf.DUMMYFUNCTION("""COMPUTED_VALUE"""),"081-926-4294")</f>
        <v>081-926-4294</v>
      </c>
      <c r="R751" s="147" t="str">
        <f>IFERROR(__xludf.DUMMYFUNCTION("""COMPUTED_VALUE"""),"1102001-65-5883")</f>
        <v>1102001-65-5883</v>
      </c>
      <c r="S751" t="str">
        <f>IFERROR(__xludf.DUMMYFUNCTION("""COMPUTED_VALUE"""),"AC7315757")</f>
        <v>AC7315757</v>
      </c>
      <c r="T751" s="148">
        <f>IFERROR(__xludf.DUMMYFUNCTION("""COMPUTED_VALUE"""),45550.0)</f>
        <v>45550</v>
      </c>
      <c r="U751" s="148">
        <f>IFERROR(__xludf.DUMMYFUNCTION("""COMPUTED_VALUE"""),49201.0)</f>
        <v>49201</v>
      </c>
      <c r="V751" s="149">
        <f>IFERROR(__xludf.DUMMYFUNCTION("""COMPUTED_VALUE"""),49017.0)</f>
        <v>49017</v>
      </c>
      <c r="W751" t="str">
        <f>IFERROR(__xludf.DUMMYFUNCTION("""COMPUTED_VALUE"""),"ปลอดภัย")</f>
        <v>ปลอดภัย</v>
      </c>
      <c r="X751" t="str">
        <f>IFERROR(__xludf.DUMMYFUNCTION("""COMPUTED_VALUE"""),"Bangkok")</f>
        <v>Bangkok</v>
      </c>
      <c r="Y751" t="str">
        <f>IFERROR(__xludf.DUMMYFUNCTION("""COMPUTED_VALUE"""),"Bangyekhun")</f>
        <v>Bangyekhun</v>
      </c>
      <c r="Z751" t="str">
        <f>IFERROR(__xludf.DUMMYFUNCTION("""COMPUTED_VALUE"""),"095-948-2656")</f>
        <v>095-948-2656</v>
      </c>
      <c r="AA751" t="str">
        <f>IFERROR(__xludf.DUMMYFUNCTION("""COMPUTED_VALUE"""),"Somjai Porncharoon (mother)")</f>
        <v>Somjai Porncharoon (mother)</v>
      </c>
      <c r="AB751" t="str">
        <f>IFERROR(__xludf.DUMMYFUNCTION("""COMPUTED_VALUE"""),"passakornp@airasia.com")</f>
        <v>passakornp@airasia.com</v>
      </c>
    </row>
    <row r="752">
      <c r="A752">
        <f>IFERROR(__xludf.DUMMYFUNCTION("""COMPUTED_VALUE"""),1016229.0)</f>
        <v>1016229</v>
      </c>
      <c r="B752" t="str">
        <f>IFERROR(__xludf.DUMMYFUNCTION("""COMPUTED_VALUE"""),"Ms.")</f>
        <v>Ms.</v>
      </c>
      <c r="C752" t="str">
        <f>IFERROR(__xludf.DUMMYFUNCTION("""COMPUTED_VALUE"""),"Sutharat")</f>
        <v>Sutharat</v>
      </c>
      <c r="D752" t="str">
        <f>IFERROR(__xludf.DUMMYFUNCTION("""COMPUTED_VALUE"""),"Chimdid")</f>
        <v>Chimdid</v>
      </c>
      <c r="E752" t="str">
        <f>IFERROR(__xludf.DUMMYFUNCTION("""COMPUTED_VALUE"""),"Sutharat Chimdid")</f>
        <v>Sutharat Chimdid</v>
      </c>
      <c r="F752" t="str">
        <f>IFERROR(__xludf.DUMMYFUNCTION("""COMPUTED_VALUE"""),"นางสาว")</f>
        <v>นางสาว</v>
      </c>
      <c r="G752" t="str">
        <f>IFERROR(__xludf.DUMMYFUNCTION("""COMPUTED_VALUE"""),"สุฑารัตน์")</f>
        <v>สุฑารัตน์</v>
      </c>
      <c r="H752" t="str">
        <f>IFERROR(__xludf.DUMMYFUNCTION("""COMPUTED_VALUE"""),"ฉิมดิษฐ")</f>
        <v>ฉิมดิษฐ</v>
      </c>
      <c r="I752" t="str">
        <f>IFERROR(__xludf.DUMMYFUNCTION("""COMPUTED_VALUE"""),"สุฑารัตน์ ฉิมดิษฐ")</f>
        <v>สุฑารัตน์ ฉิมดิษฐ</v>
      </c>
      <c r="J752" t="str">
        <f>IFERROR(__xludf.DUMMYFUNCTION("""COMPUTED_VALUE"""),"Amm/ แอม")</f>
        <v>Amm/ แอม</v>
      </c>
      <c r="K752" t="str">
        <f>IFERROR(__xludf.DUMMYFUNCTION("""COMPUTED_VALUE"""),"Cabin Crew")</f>
        <v>Cabin Crew</v>
      </c>
      <c r="L752" t="str">
        <f>IFERROR(__xludf.DUMMYFUNCTION("""COMPUTED_VALUE"""),"DMK")</f>
        <v>DMK</v>
      </c>
      <c r="M752" s="145" t="str">
        <f>IFERROR(__xludf.DUMMYFUNCTION("""COMPUTED_VALUE"""),"Um Home")</f>
        <v>Um Home</v>
      </c>
      <c r="N752" t="str">
        <f>IFERROR(__xludf.DUMMYFUNCTION("""COMPUTED_VALUE"""),"Active")</f>
        <v>Active</v>
      </c>
      <c r="P752" s="143">
        <f>IFERROR(__xludf.DUMMYFUNCTION("""COMPUTED_VALUE"""),32268.0)</f>
        <v>32268</v>
      </c>
      <c r="Q752" s="146" t="str">
        <f>IFERROR(__xludf.DUMMYFUNCTION("""COMPUTED_VALUE"""),"099-905-1545")</f>
        <v>099-905-1545</v>
      </c>
      <c r="R752" s="147">
        <f>IFERROR(__xludf.DUMMYFUNCTION("""COMPUTED_VALUE"""),1.809900201711E12)</f>
        <v>1809900201711</v>
      </c>
      <c r="S752" t="str">
        <f>IFERROR(__xludf.DUMMYFUNCTION("""COMPUTED_VALUE"""),"AD2240940")</f>
        <v>AD2240940</v>
      </c>
      <c r="T752" s="148">
        <f>IFERROR(__xludf.DUMMYFUNCTION("""COMPUTED_VALUE"""),45777.0)</f>
        <v>45777</v>
      </c>
      <c r="U752" s="148">
        <f>IFERROR(__xludf.DUMMYFUNCTION("""COMPUTED_VALUE"""),49428.0)</f>
        <v>49428</v>
      </c>
      <c r="V752" s="149">
        <f>IFERROR(__xludf.DUMMYFUNCTION("""COMPUTED_VALUE"""),49246.0)</f>
        <v>49246</v>
      </c>
      <c r="W752" t="str">
        <f>IFERROR(__xludf.DUMMYFUNCTION("""COMPUTED_VALUE"""),"ปลอดภัย")</f>
        <v>ปลอดภัย</v>
      </c>
      <c r="X752" t="str">
        <f>IFERROR(__xludf.DUMMYFUNCTION("""COMPUTED_VALUE"""),"Nakhon Si Thammarat Province")</f>
        <v>Nakhon Si Thammarat Province</v>
      </c>
      <c r="Y752" t="str">
        <f>IFERROR(__xludf.DUMMYFUNCTION("""COMPUTED_VALUE"""),"DONMUEANG")</f>
        <v>DONMUEANG</v>
      </c>
      <c r="Z752" t="str">
        <f>IFERROR(__xludf.DUMMYFUNCTION("""COMPUTED_VALUE"""),"091-849-6509")</f>
        <v>091-849-6509</v>
      </c>
      <c r="AA752" t="str">
        <f>IFERROR(__xludf.DUMMYFUNCTION("""COMPUTED_VALUE"""),"Aimon Khammeang(mother)")</f>
        <v>Aimon Khammeang(mother)</v>
      </c>
      <c r="AB752" t="str">
        <f>IFERROR(__xludf.DUMMYFUNCTION("""COMPUTED_VALUE"""),"sutharatc@airasia.com")</f>
        <v>sutharatc@airasia.com</v>
      </c>
    </row>
    <row r="753">
      <c r="A753">
        <f>IFERROR(__xludf.DUMMYFUNCTION("""COMPUTED_VALUE"""),1016232.0)</f>
        <v>1016232</v>
      </c>
      <c r="B753" t="str">
        <f>IFERROR(__xludf.DUMMYFUNCTION("""COMPUTED_VALUE"""),"Ms.")</f>
        <v>Ms.</v>
      </c>
      <c r="C753" t="str">
        <f>IFERROR(__xludf.DUMMYFUNCTION("""COMPUTED_VALUE"""),"Thanyachatchanok")</f>
        <v>Thanyachatchanok</v>
      </c>
      <c r="D753" t="str">
        <f>IFERROR(__xludf.DUMMYFUNCTION("""COMPUTED_VALUE"""),"Bamrungsapsakul")</f>
        <v>Bamrungsapsakul</v>
      </c>
      <c r="E753" t="str">
        <f>IFERROR(__xludf.DUMMYFUNCTION("""COMPUTED_VALUE"""),"Thanyachatchanok Bamrungsapsakul")</f>
        <v>Thanyachatchanok Bamrungsapsakul</v>
      </c>
      <c r="F753" t="str">
        <f>IFERROR(__xludf.DUMMYFUNCTION("""COMPUTED_VALUE"""),"นางสาว")</f>
        <v>นางสาว</v>
      </c>
      <c r="G753" t="str">
        <f>IFERROR(__xludf.DUMMYFUNCTION("""COMPUTED_VALUE"""),"ธัญฉัตรชนก")</f>
        <v>ธัญฉัตรชนก</v>
      </c>
      <c r="H753" t="str">
        <f>IFERROR(__xludf.DUMMYFUNCTION("""COMPUTED_VALUE"""),"บำรุงทรัพย์สกุล")</f>
        <v>บำรุงทรัพย์สกุล</v>
      </c>
      <c r="I753" t="str">
        <f>IFERROR(__xludf.DUMMYFUNCTION("""COMPUTED_VALUE"""),"ธัญฉัตรชนก บำรุงทรัพย์สกุล")</f>
        <v>ธัญฉัตรชนก บำรุงทรัพย์สกุล</v>
      </c>
      <c r="J753" t="str">
        <f>IFERROR(__xludf.DUMMYFUNCTION("""COMPUTED_VALUE"""),"Jam/แจม")</f>
        <v>Jam/แจม</v>
      </c>
      <c r="K753" t="str">
        <f>IFERROR(__xludf.DUMMYFUNCTION("""COMPUTED_VALUE"""),"Cabin Crew")</f>
        <v>Cabin Crew</v>
      </c>
      <c r="L753" t="str">
        <f>IFERROR(__xludf.DUMMYFUNCTION("""COMPUTED_VALUE"""),"DMK")</f>
        <v>DMK</v>
      </c>
      <c r="M753" s="145" t="str">
        <f>IFERROR(__xludf.DUMMYFUNCTION("""COMPUTED_VALUE"""),"Por+ Home")</f>
        <v>Por+ Home</v>
      </c>
      <c r="N753" t="str">
        <f>IFERROR(__xludf.DUMMYFUNCTION("""COMPUTED_VALUE"""),"Active")</f>
        <v>Active</v>
      </c>
      <c r="P753" s="143">
        <f>IFERROR(__xludf.DUMMYFUNCTION("""COMPUTED_VALUE"""),34064.0)</f>
        <v>34064</v>
      </c>
      <c r="Q753" s="146" t="str">
        <f>IFERROR(__xludf.DUMMYFUNCTION("""COMPUTED_VALUE""")," 064-236-6424")</f>
        <v> 064-236-6424</v>
      </c>
      <c r="R753" s="147" t="str">
        <f>IFERROR(__xludf.DUMMYFUNCTION("""COMPUTED_VALUE"""),"1103300-09-3128")</f>
        <v>1103300-09-3128</v>
      </c>
      <c r="S753" t="str">
        <f>IFERROR(__xludf.DUMMYFUNCTION("""COMPUTED_VALUE"""),"AC4695215")</f>
        <v>AC4695215</v>
      </c>
      <c r="T753" s="148">
        <f>IFERROR(__xludf.DUMMYFUNCTION("""COMPUTED_VALUE"""),45008.0)</f>
        <v>45008</v>
      </c>
      <c r="U753" s="148">
        <f>IFERROR(__xludf.DUMMYFUNCTION("""COMPUTED_VALUE"""),48660.0)</f>
        <v>48660</v>
      </c>
      <c r="V753" s="149">
        <f>IFERROR(__xludf.DUMMYFUNCTION("""COMPUTED_VALUE"""),48479.0)</f>
        <v>48479</v>
      </c>
      <c r="W753" t="str">
        <f>IFERROR(__xludf.DUMMYFUNCTION("""COMPUTED_VALUE"""),"ปลอดภัย")</f>
        <v>ปลอดภัย</v>
      </c>
      <c r="X753" t="str">
        <f>IFERROR(__xludf.DUMMYFUNCTION("""COMPUTED_VALUE"""),"Bangkok")</f>
        <v>Bangkok</v>
      </c>
      <c r="Y753" t="str">
        <f>IFERROR(__xludf.DUMMYFUNCTION("""COMPUTED_VALUE"""),"Klongtoey")</f>
        <v>Klongtoey</v>
      </c>
      <c r="Z753" t="str">
        <f>IFERROR(__xludf.DUMMYFUNCTION("""COMPUTED_VALUE"""),"081-617-9283")</f>
        <v>081-617-9283</v>
      </c>
      <c r="AA753" t="str">
        <f>IFERROR(__xludf.DUMMYFUNCTION("""COMPUTED_VALUE"""),"Duangsamorn Samasilpa(Mother)")</f>
        <v>Duangsamorn Samasilpa(Mother)</v>
      </c>
      <c r="AB753" t="str">
        <f>IFERROR(__xludf.DUMMYFUNCTION("""COMPUTED_VALUE"""),"thanyachatchanokb@airasia.com")</f>
        <v>thanyachatchanokb@airasia.com</v>
      </c>
    </row>
    <row r="754">
      <c r="AB754" t="str">
        <f>IFERROR(__xludf.DUMMYFUNCTION("""COMPUTED_VALUE"""),"")</f>
        <v/>
      </c>
    </row>
    <row r="755">
      <c r="A755">
        <f>IFERROR(__xludf.DUMMYFUNCTION("""COMPUTED_VALUE"""),1002299.0)</f>
        <v>1002299</v>
      </c>
      <c r="B755" t="str">
        <f>IFERROR(__xludf.DUMMYFUNCTION("""COMPUTED_VALUE"""),"Ms.")</f>
        <v>Ms.</v>
      </c>
      <c r="C755" t="str">
        <f>IFERROR(__xludf.DUMMYFUNCTION("""COMPUTED_VALUE"""),"Arisara")</f>
        <v>Arisara</v>
      </c>
      <c r="D755" t="str">
        <f>IFERROR(__xludf.DUMMYFUNCTION("""COMPUTED_VALUE"""),"Wongsatitsathein")</f>
        <v>Wongsatitsathein</v>
      </c>
      <c r="E755" t="str">
        <f>IFERROR(__xludf.DUMMYFUNCTION("""COMPUTED_VALUE"""),"Arisara Wongsatitsathein")</f>
        <v>Arisara Wongsatitsathein</v>
      </c>
      <c r="F755" t="str">
        <f>IFERROR(__xludf.DUMMYFUNCTION("""COMPUTED_VALUE"""),"นางสาว")</f>
        <v>นางสาว</v>
      </c>
      <c r="G755" t="str">
        <f>IFERROR(__xludf.DUMMYFUNCTION("""COMPUTED_VALUE"""),"อริศรา")</f>
        <v>อริศรา</v>
      </c>
      <c r="H755" t="str">
        <f>IFERROR(__xludf.DUMMYFUNCTION("""COMPUTED_VALUE"""),"วงศ์สถิตเสถียร")</f>
        <v>วงศ์สถิตเสถียร</v>
      </c>
      <c r="I755" t="str">
        <f>IFERROR(__xludf.DUMMYFUNCTION("""COMPUTED_VALUE"""),"อริศรา วงศ์สถิตเสถียร")</f>
        <v>อริศรา วงศ์สถิตเสถียร</v>
      </c>
      <c r="J755" t="str">
        <f>IFERROR(__xludf.DUMMYFUNCTION("""COMPUTED_VALUE"""),"Aum อุ๋ม")</f>
        <v>Aum อุ๋ม</v>
      </c>
      <c r="K755" t="str">
        <f>IFERROR(__xludf.DUMMYFUNCTION("""COMPUTED_VALUE"""),"Cabin Crew")</f>
        <v>Cabin Crew</v>
      </c>
      <c r="L755" t="str">
        <f>IFERROR(__xludf.DUMMYFUNCTION("""COMPUTED_VALUE"""),"DMK")</f>
        <v>DMK</v>
      </c>
      <c r="M755" s="145" t="str">
        <f>IFERROR(__xludf.DUMMYFUNCTION("""COMPUTED_VALUE"""),"Um Home")</f>
        <v>Um Home</v>
      </c>
      <c r="N755" t="str">
        <f>IFERROR(__xludf.DUMMYFUNCTION("""COMPUTED_VALUE"""),"Active")</f>
        <v>Active</v>
      </c>
      <c r="P755" s="143">
        <f>IFERROR(__xludf.DUMMYFUNCTION("""COMPUTED_VALUE"""),30966.0)</f>
        <v>30966</v>
      </c>
      <c r="Q755" s="146" t="str">
        <f>IFERROR(__xludf.DUMMYFUNCTION("""COMPUTED_VALUE"""),"089-688-9705")</f>
        <v>089-688-9705</v>
      </c>
      <c r="R755" s="147">
        <f>IFERROR(__xludf.DUMMYFUNCTION("""COMPUTED_VALUE"""),1.100800081134E12)</f>
        <v>1100800081134</v>
      </c>
      <c r="S755" t="str">
        <f>IFERROR(__xludf.DUMMYFUNCTION("""COMPUTED_VALUE"""),"AC4055778")</f>
        <v>AC4055778</v>
      </c>
      <c r="T755" s="148">
        <f>IFERROR(__xludf.DUMMYFUNCTION("""COMPUTED_VALUE"""),44821.0)</f>
        <v>44821</v>
      </c>
      <c r="U755" s="148">
        <f>IFERROR(__xludf.DUMMYFUNCTION("""COMPUTED_VALUE"""),48473.0)</f>
        <v>48473</v>
      </c>
      <c r="V755" s="149">
        <f>IFERROR(__xludf.DUMMYFUNCTION("""COMPUTED_VALUE"""),48289.0)</f>
        <v>48289</v>
      </c>
      <c r="W755" t="str">
        <f>IFERROR(__xludf.DUMMYFUNCTION("""COMPUTED_VALUE"""),"ปลอดภัย")</f>
        <v>ปลอดภัย</v>
      </c>
      <c r="X755" t="str">
        <f>IFERROR(__xludf.DUMMYFUNCTION("""COMPUTED_VALUE"""),"Bangkok")</f>
        <v>Bangkok</v>
      </c>
      <c r="Y755" t="str">
        <f>IFERROR(__xludf.DUMMYFUNCTION("""COMPUTED_VALUE"""),"Bangkok")</f>
        <v>Bangkok</v>
      </c>
      <c r="Z755" t="str">
        <f>IFERROR(__xludf.DUMMYFUNCTION("""COMPUTED_VALUE"""),"081-436-8291")</f>
        <v>081-436-8291</v>
      </c>
      <c r="AA755" t="str">
        <f>IFERROR(__xludf.DUMMYFUNCTION("""COMPUTED_VALUE"""),"Bubpa Pramphet (Aunt)")</f>
        <v>Bubpa Pramphet (Aunt)</v>
      </c>
      <c r="AB755" t="str">
        <f>IFERROR(__xludf.DUMMYFUNCTION("""COMPUTED_VALUE"""),"arisaraw@airasia.com")</f>
        <v>arisaraw@airasia.com</v>
      </c>
    </row>
    <row r="756">
      <c r="A756">
        <f>IFERROR(__xludf.DUMMYFUNCTION("""COMPUTED_VALUE"""),1003957.0)</f>
        <v>1003957</v>
      </c>
      <c r="B756" t="str">
        <f>IFERROR(__xludf.DUMMYFUNCTION("""COMPUTED_VALUE"""),"Ms.")</f>
        <v>Ms.</v>
      </c>
      <c r="C756" t="str">
        <f>IFERROR(__xludf.DUMMYFUNCTION("""COMPUTED_VALUE"""),"Benjawan")</f>
        <v>Benjawan</v>
      </c>
      <c r="D756" t="str">
        <f>IFERROR(__xludf.DUMMYFUNCTION("""COMPUTED_VALUE"""),"Kongrod")</f>
        <v>Kongrod</v>
      </c>
      <c r="E756" t="str">
        <f>IFERROR(__xludf.DUMMYFUNCTION("""COMPUTED_VALUE"""),"Benjawan Kongrod")</f>
        <v>Benjawan Kongrod</v>
      </c>
      <c r="F756" t="str">
        <f>IFERROR(__xludf.DUMMYFUNCTION("""COMPUTED_VALUE"""),"นางสาว")</f>
        <v>นางสาว</v>
      </c>
      <c r="G756" t="str">
        <f>IFERROR(__xludf.DUMMYFUNCTION("""COMPUTED_VALUE"""),"เบญจวรรณ")</f>
        <v>เบญจวรรณ</v>
      </c>
      <c r="H756" t="str">
        <f>IFERROR(__xludf.DUMMYFUNCTION("""COMPUTED_VALUE"""),"คงรอด")</f>
        <v>คงรอด</v>
      </c>
      <c r="I756" t="str">
        <f>IFERROR(__xludf.DUMMYFUNCTION("""COMPUTED_VALUE"""),"เบญจวรรณ คงรอด")</f>
        <v>เบญจวรรณ คงรอด</v>
      </c>
      <c r="J756" t="str">
        <f>IFERROR(__xludf.DUMMYFUNCTION("""COMPUTED_VALUE"""),"mai")</f>
        <v>mai</v>
      </c>
      <c r="K756" t="str">
        <f>IFERROR(__xludf.DUMMYFUNCTION("""COMPUTED_VALUE"""),"Cabin Crew")</f>
        <v>Cabin Crew</v>
      </c>
      <c r="L756" t="str">
        <f>IFERROR(__xludf.DUMMYFUNCTION("""COMPUTED_VALUE"""),"DMK")</f>
        <v>DMK</v>
      </c>
      <c r="M756" s="145" t="str">
        <f>IFERROR(__xludf.DUMMYFUNCTION("""COMPUTED_VALUE"""),"Por+ Home")</f>
        <v>Por+ Home</v>
      </c>
      <c r="N756" t="str">
        <f>IFERROR(__xludf.DUMMYFUNCTION("""COMPUTED_VALUE"""),"Active")</f>
        <v>Active</v>
      </c>
      <c r="P756" s="143">
        <f>IFERROR(__xludf.DUMMYFUNCTION("""COMPUTED_VALUE"""),31911.0)</f>
        <v>31911</v>
      </c>
      <c r="Q756" s="146" t="str">
        <f>IFERROR(__xludf.DUMMYFUNCTION("""COMPUTED_VALUE"""),"086-394-9466")</f>
        <v>086-394-9466</v>
      </c>
      <c r="R756" s="147">
        <f>IFERROR(__xludf.DUMMYFUNCTION("""COMPUTED_VALUE"""),1.20010014986E12)</f>
        <v>1200100149860</v>
      </c>
      <c r="S756" t="str">
        <f>IFERROR(__xludf.DUMMYFUNCTION("""COMPUTED_VALUE"""),"AC2311058")</f>
        <v>AC2311058</v>
      </c>
      <c r="T756" s="148">
        <f>IFERROR(__xludf.DUMMYFUNCTION("""COMPUTED_VALUE"""),44358.0)</f>
        <v>44358</v>
      </c>
      <c r="U756" s="148">
        <f>IFERROR(__xludf.DUMMYFUNCTION("""COMPUTED_VALUE"""),48009.0)</f>
        <v>48009</v>
      </c>
      <c r="V756" s="149">
        <f>IFERROR(__xludf.DUMMYFUNCTION("""COMPUTED_VALUE"""),47827.0)</f>
        <v>47827</v>
      </c>
      <c r="W756" t="str">
        <f>IFERROR(__xludf.DUMMYFUNCTION("""COMPUTED_VALUE"""),"ปลอดภัย")</f>
        <v>ปลอดภัย</v>
      </c>
      <c r="X756" t="str">
        <f>IFERROR(__xludf.DUMMYFUNCTION("""COMPUTED_VALUE"""),"Chonburi Province")</f>
        <v>Chonburi Province</v>
      </c>
      <c r="Y756" t="str">
        <f>IFERROR(__xludf.DUMMYFUNCTION("""COMPUTED_VALUE"""),"Bangkok")</f>
        <v>Bangkok</v>
      </c>
      <c r="Z756" t="str">
        <f>IFERROR(__xludf.DUMMYFUNCTION("""COMPUTED_VALUE"""),"081-638-6739")</f>
        <v>081-638-6739</v>
      </c>
      <c r="AA756" t="str">
        <f>IFERROR(__xludf.DUMMYFUNCTION("""COMPUTED_VALUE"""),"Nongyao Pongrat(Aunt)")</f>
        <v>Nongyao Pongrat(Aunt)</v>
      </c>
      <c r="AB756" t="str">
        <f>IFERROR(__xludf.DUMMYFUNCTION("""COMPUTED_VALUE"""),"benjawank@airasia.com")</f>
        <v>benjawank@airasia.com</v>
      </c>
    </row>
    <row r="757">
      <c r="A757">
        <f>IFERROR(__xludf.DUMMYFUNCTION("""COMPUTED_VALUE"""),1005051.0)</f>
        <v>1005051</v>
      </c>
      <c r="B757" t="str">
        <f>IFERROR(__xludf.DUMMYFUNCTION("""COMPUTED_VALUE"""),"Mr.")</f>
        <v>Mr.</v>
      </c>
      <c r="C757" t="str">
        <f>IFERROR(__xludf.DUMMYFUNCTION("""COMPUTED_VALUE"""),"Upatcha")</f>
        <v>Upatcha</v>
      </c>
      <c r="D757" t="str">
        <f>IFERROR(__xludf.DUMMYFUNCTION("""COMPUTED_VALUE"""),"Chaikaew")</f>
        <v>Chaikaew</v>
      </c>
      <c r="E757" t="str">
        <f>IFERROR(__xludf.DUMMYFUNCTION("""COMPUTED_VALUE"""),"Upatcha Chaikaew")</f>
        <v>Upatcha Chaikaew</v>
      </c>
      <c r="F757" t="str">
        <f>IFERROR(__xludf.DUMMYFUNCTION("""COMPUTED_VALUE"""),"นาย")</f>
        <v>นาย</v>
      </c>
      <c r="G757" t="str">
        <f>IFERROR(__xludf.DUMMYFUNCTION("""COMPUTED_VALUE"""),"อุปัชฌาย์")</f>
        <v>อุปัชฌาย์</v>
      </c>
      <c r="H757" t="str">
        <f>IFERROR(__xludf.DUMMYFUNCTION("""COMPUTED_VALUE"""),"ชัยแก้ว")</f>
        <v>ชัยแก้ว</v>
      </c>
      <c r="I757" t="str">
        <f>IFERROR(__xludf.DUMMYFUNCTION("""COMPUTED_VALUE"""),"อุปัชฌาย์ ชัยแก้ว")</f>
        <v>อุปัชฌาย์ ชัยแก้ว</v>
      </c>
      <c r="J757" t="str">
        <f>IFERROR(__xludf.DUMMYFUNCTION("""COMPUTED_VALUE"""),"Oat โอ๊ต")</f>
        <v>Oat โอ๊ต</v>
      </c>
      <c r="K757" t="str">
        <f>IFERROR(__xludf.DUMMYFUNCTION("""COMPUTED_VALUE"""),"Cabin Crew")</f>
        <v>Cabin Crew</v>
      </c>
      <c r="L757" t="str">
        <f>IFERROR(__xludf.DUMMYFUNCTION("""COMPUTED_VALUE"""),"DMK")</f>
        <v>DMK</v>
      </c>
      <c r="M757" s="145" t="str">
        <f>IFERROR(__xludf.DUMMYFUNCTION("""COMPUTED_VALUE"""),"Kor Home")</f>
        <v>Kor Home</v>
      </c>
      <c r="N757" t="str">
        <f>IFERROR(__xludf.DUMMYFUNCTION("""COMPUTED_VALUE"""),"Active")</f>
        <v>Active</v>
      </c>
      <c r="P757" s="143">
        <f>IFERROR(__xludf.DUMMYFUNCTION("""COMPUTED_VALUE"""),31687.0)</f>
        <v>31687</v>
      </c>
      <c r="Q757" s="146" t="str">
        <f>IFERROR(__xludf.DUMMYFUNCTION("""COMPUTED_VALUE"""),"089-981-8183")</f>
        <v>089-981-8183</v>
      </c>
      <c r="R757" s="147">
        <f>IFERROR(__xludf.DUMMYFUNCTION("""COMPUTED_VALUE"""),1.119900108709E12)</f>
        <v>1119900108709</v>
      </c>
      <c r="S757" t="str">
        <f>IFERROR(__xludf.DUMMYFUNCTION("""COMPUTED_VALUE"""),"AC2266125")</f>
        <v>AC2266125</v>
      </c>
      <c r="T757" s="148">
        <f>IFERROR(__xludf.DUMMYFUNCTION("""COMPUTED_VALUE"""),44321.0)</f>
        <v>44321</v>
      </c>
      <c r="U757" s="148">
        <f>IFERROR(__xludf.DUMMYFUNCTION("""COMPUTED_VALUE"""),47972.0)</f>
        <v>47972</v>
      </c>
      <c r="V757" s="149">
        <f>IFERROR(__xludf.DUMMYFUNCTION("""COMPUTED_VALUE"""),47791.0)</f>
        <v>47791</v>
      </c>
      <c r="W757" t="str">
        <f>IFERROR(__xludf.DUMMYFUNCTION("""COMPUTED_VALUE"""),"ปลอดภัย")</f>
        <v>ปลอดภัย</v>
      </c>
      <c r="X757" t="str">
        <f>IFERROR(__xludf.DUMMYFUNCTION("""COMPUTED_VALUE"""),"Samut Prakan Province")</f>
        <v>Samut Prakan Province</v>
      </c>
      <c r="Y757" t="str">
        <f>IFERROR(__xludf.DUMMYFUNCTION("""COMPUTED_VALUE"""),"Bangkok")</f>
        <v>Bangkok</v>
      </c>
      <c r="Z757" t="str">
        <f>IFERROR(__xludf.DUMMYFUNCTION("""COMPUTED_VALUE"""),"087-929-4991")</f>
        <v>087-929-4991</v>
      </c>
      <c r="AA757" t="str">
        <f>IFERROR(__xludf.DUMMYFUNCTION("""COMPUTED_VALUE"""),"Suttisa Bunmueang")</f>
        <v>Suttisa Bunmueang</v>
      </c>
      <c r="AB757" t="str">
        <f>IFERROR(__xludf.DUMMYFUNCTION("""COMPUTED_VALUE"""),"upatchac@airasia.com")</f>
        <v>upatchac@airasia.com</v>
      </c>
    </row>
    <row r="758">
      <c r="A758">
        <f>IFERROR(__xludf.DUMMYFUNCTION("""COMPUTED_VALUE"""),1005365.0)</f>
        <v>1005365</v>
      </c>
      <c r="B758" t="str">
        <f>IFERROR(__xludf.DUMMYFUNCTION("""COMPUTED_VALUE"""),"Ms.")</f>
        <v>Ms.</v>
      </c>
      <c r="C758" t="str">
        <f>IFERROR(__xludf.DUMMYFUNCTION("""COMPUTED_VALUE"""),"Nattida")</f>
        <v>Nattida</v>
      </c>
      <c r="D758" t="str">
        <f>IFERROR(__xludf.DUMMYFUNCTION("""COMPUTED_VALUE"""),"Nakkaree")</f>
        <v>Nakkaree</v>
      </c>
      <c r="E758" t="str">
        <f>IFERROR(__xludf.DUMMYFUNCTION("""COMPUTED_VALUE"""),"Nattida Nakkaree")</f>
        <v>Nattida Nakkaree</v>
      </c>
      <c r="F758" t="str">
        <f>IFERROR(__xludf.DUMMYFUNCTION("""COMPUTED_VALUE"""),"นางสาว")</f>
        <v>นางสาว</v>
      </c>
      <c r="G758" t="str">
        <f>IFERROR(__xludf.DUMMYFUNCTION("""COMPUTED_VALUE"""),"ณัฐธิดา")</f>
        <v>ณัฐธิดา</v>
      </c>
      <c r="H758" t="str">
        <f>IFERROR(__xludf.DUMMYFUNCTION("""COMPUTED_VALUE"""),"นักการีย์")</f>
        <v>นักการีย์</v>
      </c>
      <c r="I758" t="str">
        <f>IFERROR(__xludf.DUMMYFUNCTION("""COMPUTED_VALUE"""),"ณัฐธิดา นักการีย์")</f>
        <v>ณัฐธิดา นักการีย์</v>
      </c>
      <c r="J758" t="str">
        <f>IFERROR(__xludf.DUMMYFUNCTION("""COMPUTED_VALUE"""),"Nune นุ่น")</f>
        <v>Nune นุ่น</v>
      </c>
      <c r="K758" t="str">
        <f>IFERROR(__xludf.DUMMYFUNCTION("""COMPUTED_VALUE"""),"Cabin Crew")</f>
        <v>Cabin Crew</v>
      </c>
      <c r="L758" t="str">
        <f>IFERROR(__xludf.DUMMYFUNCTION("""COMPUTED_VALUE"""),"DMK")</f>
        <v>DMK</v>
      </c>
      <c r="M758" s="145" t="str">
        <f>IFERROR(__xludf.DUMMYFUNCTION("""COMPUTED_VALUE"""),"Toffy Home")</f>
        <v>Toffy Home</v>
      </c>
      <c r="N758" t="str">
        <f>IFERROR(__xludf.DUMMYFUNCTION("""COMPUTED_VALUE"""),"Active")</f>
        <v>Active</v>
      </c>
      <c r="P758" s="143">
        <f>IFERROR(__xludf.DUMMYFUNCTION("""COMPUTED_VALUE"""),31212.0)</f>
        <v>31212</v>
      </c>
      <c r="Q758" s="146" t="str">
        <f>IFERROR(__xludf.DUMMYFUNCTION("""COMPUTED_VALUE"""),"086-916-7200")</f>
        <v>086-916-7200</v>
      </c>
      <c r="R758" s="147">
        <f>IFERROR(__xludf.DUMMYFUNCTION("""COMPUTED_VALUE"""),1.509900203058E12)</f>
        <v>1509900203058</v>
      </c>
      <c r="S758" t="str">
        <f>IFERROR(__xludf.DUMMYFUNCTION("""COMPUTED_VALUE"""),"AC5079600")</f>
        <v>AC5079600</v>
      </c>
      <c r="T758" s="148">
        <f>IFERROR(__xludf.DUMMYFUNCTION("""COMPUTED_VALUE"""),45083.0)</f>
        <v>45083</v>
      </c>
      <c r="U758" s="148">
        <f>IFERROR(__xludf.DUMMYFUNCTION("""COMPUTED_VALUE"""),48735.0)</f>
        <v>48735</v>
      </c>
      <c r="V758" s="149">
        <f>IFERROR(__xludf.DUMMYFUNCTION("""COMPUTED_VALUE"""),48553.0)</f>
        <v>48553</v>
      </c>
      <c r="W758" t="str">
        <f>IFERROR(__xludf.DUMMYFUNCTION("""COMPUTED_VALUE"""),"ปลอดภัย")</f>
        <v>ปลอดภัย</v>
      </c>
      <c r="X758" t="str">
        <f>IFERROR(__xludf.DUMMYFUNCTION("""COMPUTED_VALUE"""),"Chiang Mai Province")</f>
        <v>Chiang Mai Province</v>
      </c>
      <c r="Y758" t="str">
        <f>IFERROR(__xludf.DUMMYFUNCTION("""COMPUTED_VALUE"""),"Pathumthani")</f>
        <v>Pathumthani</v>
      </c>
      <c r="Z758" t="str">
        <f>IFERROR(__xludf.DUMMYFUNCTION("""COMPUTED_VALUE"""),"089-637-9405")</f>
        <v>089-637-9405</v>
      </c>
      <c r="AA758" t="str">
        <f>IFERROR(__xludf.DUMMYFUNCTION("""COMPUTED_VALUE"""),"Nitchanum Nakkaree (Sister)")</f>
        <v>Nitchanum Nakkaree (Sister)</v>
      </c>
      <c r="AB758" t="str">
        <f>IFERROR(__xludf.DUMMYFUNCTION("""COMPUTED_VALUE"""),"nattidan@airasia.com")</f>
        <v>nattidan@airasia.com</v>
      </c>
    </row>
    <row r="759">
      <c r="A759">
        <f>IFERROR(__xludf.DUMMYFUNCTION("""COMPUTED_VALUE"""),1005415.0)</f>
        <v>1005415</v>
      </c>
      <c r="B759" t="str">
        <f>IFERROR(__xludf.DUMMYFUNCTION("""COMPUTED_VALUE"""),"Mr.")</f>
        <v>Mr.</v>
      </c>
      <c r="C759" t="str">
        <f>IFERROR(__xludf.DUMMYFUNCTION("""COMPUTED_VALUE"""),"Ati")</f>
        <v>Ati</v>
      </c>
      <c r="D759" t="str">
        <f>IFERROR(__xludf.DUMMYFUNCTION("""COMPUTED_VALUE"""),"Sa-ngiamjit")</f>
        <v>Sa-ngiamjit</v>
      </c>
      <c r="E759" t="str">
        <f>IFERROR(__xludf.DUMMYFUNCTION("""COMPUTED_VALUE"""),"Ati Sa-ngiamjit")</f>
        <v>Ati Sa-ngiamjit</v>
      </c>
      <c r="F759" t="str">
        <f>IFERROR(__xludf.DUMMYFUNCTION("""COMPUTED_VALUE"""),"นาย")</f>
        <v>นาย</v>
      </c>
      <c r="G759" t="str">
        <f>IFERROR(__xludf.DUMMYFUNCTION("""COMPUTED_VALUE"""),"อติ")</f>
        <v>อติ</v>
      </c>
      <c r="H759" t="str">
        <f>IFERROR(__xludf.DUMMYFUNCTION("""COMPUTED_VALUE"""),"เสงี่ยมจิตร")</f>
        <v>เสงี่ยมจิตร</v>
      </c>
      <c r="I759" t="str">
        <f>IFERROR(__xludf.DUMMYFUNCTION("""COMPUTED_VALUE"""),"อติ เสงี่ยมจิตร")</f>
        <v>อติ เสงี่ยมจิตร</v>
      </c>
      <c r="J759" t="str">
        <f>IFERROR(__xludf.DUMMYFUNCTION("""COMPUTED_VALUE"""),"Atom อะตอม")</f>
        <v>Atom อะตอม</v>
      </c>
      <c r="K759" t="str">
        <f>IFERROR(__xludf.DUMMYFUNCTION("""COMPUTED_VALUE"""),"Cabin Crew - CNX")</f>
        <v>Cabin Crew - CNX</v>
      </c>
      <c r="L759" t="str">
        <f>IFERROR(__xludf.DUMMYFUNCTION("""COMPUTED_VALUE"""),"CNX")</f>
        <v>CNX</v>
      </c>
      <c r="M759" s="145" t="str">
        <f>IFERROR(__xludf.DUMMYFUNCTION("""COMPUTED_VALUE"""),"Up Home")</f>
        <v>Up Home</v>
      </c>
      <c r="N759" t="str">
        <f>IFERROR(__xludf.DUMMYFUNCTION("""COMPUTED_VALUE"""),"Active")</f>
        <v>Active</v>
      </c>
      <c r="P759" s="143">
        <f>IFERROR(__xludf.DUMMYFUNCTION("""COMPUTED_VALUE"""),31590.0)</f>
        <v>31590</v>
      </c>
      <c r="Q759" s="146" t="str">
        <f>IFERROR(__xludf.DUMMYFUNCTION("""COMPUTED_VALUE"""),"084-6161331")</f>
        <v>084-6161331</v>
      </c>
      <c r="R759" s="147">
        <f>IFERROR(__xludf.DUMMYFUNCTION("""COMPUTED_VALUE"""),1.101400725281E12)</f>
        <v>1101400725281</v>
      </c>
      <c r="S759" t="str">
        <f>IFERROR(__xludf.DUMMYFUNCTION("""COMPUTED_VALUE"""),"AD2187814")</f>
        <v>AD2187814</v>
      </c>
      <c r="T759" s="148">
        <f>IFERROR(__xludf.DUMMYFUNCTION("""COMPUTED_VALUE"""),45747.0)</f>
        <v>45747</v>
      </c>
      <c r="U759" s="148">
        <f>IFERROR(__xludf.DUMMYFUNCTION("""COMPUTED_VALUE"""),49398.0)</f>
        <v>49398</v>
      </c>
      <c r="V759" s="149">
        <f>IFERROR(__xludf.DUMMYFUNCTION("""COMPUTED_VALUE"""),49217.0)</f>
        <v>49217</v>
      </c>
      <c r="W759" t="str">
        <f>IFERROR(__xludf.DUMMYFUNCTION("""COMPUTED_VALUE"""),"ปลอดภัย")</f>
        <v>ปลอดภัย</v>
      </c>
      <c r="X759" t="str">
        <f>IFERROR(__xludf.DUMMYFUNCTION("""COMPUTED_VALUE"""),"Bangkok")</f>
        <v>Bangkok</v>
      </c>
      <c r="Y759" t="str">
        <f>IFERROR(__xludf.DUMMYFUNCTION("""COMPUTED_VALUE"""),"Chiang Mai")</f>
        <v>Chiang Mai</v>
      </c>
      <c r="Z759" t="str">
        <f>IFERROR(__xludf.DUMMYFUNCTION("""COMPUTED_VALUE"""),"086-123-5700")</f>
        <v>086-123-5700</v>
      </c>
      <c r="AA759" t="str">
        <f>IFERROR(__xludf.DUMMYFUNCTION("""COMPUTED_VALUE"""),"Montri Sa-ngiamjit (Father)")</f>
        <v>Montri Sa-ngiamjit (Father)</v>
      </c>
      <c r="AB759" t="str">
        <f>IFERROR(__xludf.DUMMYFUNCTION("""COMPUTED_VALUE"""),"atis@airasia.com")</f>
        <v>atis@airasia.com</v>
      </c>
    </row>
    <row r="760">
      <c r="A760">
        <f>IFERROR(__xludf.DUMMYFUNCTION("""COMPUTED_VALUE"""),1006593.0)</f>
        <v>1006593</v>
      </c>
      <c r="B760" t="str">
        <f>IFERROR(__xludf.DUMMYFUNCTION("""COMPUTED_VALUE"""),"Ms.")</f>
        <v>Ms.</v>
      </c>
      <c r="C760" t="str">
        <f>IFERROR(__xludf.DUMMYFUNCTION("""COMPUTED_VALUE"""),"Bhataranan")</f>
        <v>Bhataranan</v>
      </c>
      <c r="D760" t="str">
        <f>IFERROR(__xludf.DUMMYFUNCTION("""COMPUTED_VALUE"""),"Tanaree")</f>
        <v>Tanaree</v>
      </c>
      <c r="E760" t="str">
        <f>IFERROR(__xludf.DUMMYFUNCTION("""COMPUTED_VALUE"""),"Bhataranan Tanaree")</f>
        <v>Bhataranan Tanaree</v>
      </c>
      <c r="F760" t="str">
        <f>IFERROR(__xludf.DUMMYFUNCTION("""COMPUTED_VALUE"""),"นางสาว")</f>
        <v>นางสาว</v>
      </c>
      <c r="G760" t="str">
        <f>IFERROR(__xludf.DUMMYFUNCTION("""COMPUTED_VALUE"""),"ภัทรนันทน์")</f>
        <v>ภัทรนันทน์</v>
      </c>
      <c r="H760" t="str">
        <f>IFERROR(__xludf.DUMMYFUNCTION("""COMPUTED_VALUE"""),"ตันอารีย์")</f>
        <v>ตันอารีย์</v>
      </c>
      <c r="I760" t="str">
        <f>IFERROR(__xludf.DUMMYFUNCTION("""COMPUTED_VALUE"""),"ภัทรนันทน์ ตันอารีย์")</f>
        <v>ภัทรนันทน์ ตันอารีย์</v>
      </c>
      <c r="J760" t="str">
        <f>IFERROR(__xludf.DUMMYFUNCTION("""COMPUTED_VALUE"""),"Atom อะตอม")</f>
        <v>Atom อะตอม</v>
      </c>
      <c r="K760" t="str">
        <f>IFERROR(__xludf.DUMMYFUNCTION("""COMPUTED_VALUE"""),"Cabin Crew")</f>
        <v>Cabin Crew</v>
      </c>
      <c r="L760" t="str">
        <f>IFERROR(__xludf.DUMMYFUNCTION("""COMPUTED_VALUE"""),"DMK")</f>
        <v>DMK</v>
      </c>
      <c r="M760" s="145" t="str">
        <f>IFERROR(__xludf.DUMMYFUNCTION("""COMPUTED_VALUE"""),"Namfon Home")</f>
        <v>Namfon Home</v>
      </c>
      <c r="N760" t="str">
        <f>IFERROR(__xludf.DUMMYFUNCTION("""COMPUTED_VALUE"""),"Active")</f>
        <v>Active</v>
      </c>
      <c r="P760" s="143">
        <f>IFERROR(__xludf.DUMMYFUNCTION("""COMPUTED_VALUE"""),33281.0)</f>
        <v>33281</v>
      </c>
      <c r="Q760" s="146" t="str">
        <f>IFERROR(__xludf.DUMMYFUNCTION("""COMPUTED_VALUE"""),"064-442-9295")</f>
        <v>064-442-9295</v>
      </c>
      <c r="R760" s="147">
        <f>IFERROR(__xludf.DUMMYFUNCTION("""COMPUTED_VALUE"""),1.10140188708E12)</f>
        <v>1101401887080</v>
      </c>
      <c r="S760" t="str">
        <f>IFERROR(__xludf.DUMMYFUNCTION("""COMPUTED_VALUE"""),"AC8185901")</f>
        <v>AC8185901</v>
      </c>
      <c r="T760" s="148">
        <f>IFERROR(__xludf.DUMMYFUNCTION("""COMPUTED_VALUE"""),46036.0)</f>
        <v>46036</v>
      </c>
      <c r="U760" s="148">
        <f>IFERROR(__xludf.DUMMYFUNCTION("""COMPUTED_VALUE"""),49687.0)</f>
        <v>49687</v>
      </c>
      <c r="V760" s="149">
        <f>IFERROR(__xludf.DUMMYFUNCTION("""COMPUTED_VALUE"""),49503.0)</f>
        <v>49503</v>
      </c>
      <c r="W760" t="str">
        <f>IFERROR(__xludf.DUMMYFUNCTION("""COMPUTED_VALUE"""),"ปลอดภัย")</f>
        <v>ปลอดภัย</v>
      </c>
      <c r="X760" t="str">
        <f>IFERROR(__xludf.DUMMYFUNCTION("""COMPUTED_VALUE"""),"Bangkok")</f>
        <v>Bangkok</v>
      </c>
      <c r="Y760" t="str">
        <f>IFERROR(__xludf.DUMMYFUNCTION("""COMPUTED_VALUE"""),"Bangkok")</f>
        <v>Bangkok</v>
      </c>
      <c r="Z760" t="str">
        <f>IFERROR(__xludf.DUMMYFUNCTION("""COMPUTED_VALUE"""),"092-874-2878")</f>
        <v>092-874-2878</v>
      </c>
      <c r="AA760" t="str">
        <f>IFERROR(__xludf.DUMMYFUNCTION("""COMPUTED_VALUE"""),"Piyanan Tanaree")</f>
        <v>Piyanan Tanaree</v>
      </c>
      <c r="AB760" t="str">
        <f>IFERROR(__xludf.DUMMYFUNCTION("""COMPUTED_VALUE"""),"bhataranant@airasia.com")</f>
        <v>bhataranant@airasia.com</v>
      </c>
    </row>
    <row r="761">
      <c r="A761">
        <f>IFERROR(__xludf.DUMMYFUNCTION("""COMPUTED_VALUE"""),1006850.0)</f>
        <v>1006850</v>
      </c>
      <c r="B761" t="str">
        <f>IFERROR(__xludf.DUMMYFUNCTION("""COMPUTED_VALUE"""),"Ms.")</f>
        <v>Ms.</v>
      </c>
      <c r="C761" t="str">
        <f>IFERROR(__xludf.DUMMYFUNCTION("""COMPUTED_VALUE"""),"Tanapat")</f>
        <v>Tanapat</v>
      </c>
      <c r="D761" t="str">
        <f>IFERROR(__xludf.DUMMYFUNCTION("""COMPUTED_VALUE"""),"Srimuang")</f>
        <v>Srimuang</v>
      </c>
      <c r="E761" t="str">
        <f>IFERROR(__xludf.DUMMYFUNCTION("""COMPUTED_VALUE"""),"Tanapat Srimuang")</f>
        <v>Tanapat Srimuang</v>
      </c>
      <c r="F761" t="str">
        <f>IFERROR(__xludf.DUMMYFUNCTION("""COMPUTED_VALUE"""),"นางสาว")</f>
        <v>นางสาว</v>
      </c>
      <c r="G761" t="str">
        <f>IFERROR(__xludf.DUMMYFUNCTION("""COMPUTED_VALUE"""),"ธนภัทร")</f>
        <v>ธนภัทร</v>
      </c>
      <c r="H761" t="str">
        <f>IFERROR(__xludf.DUMMYFUNCTION("""COMPUTED_VALUE"""),"ศรีม่วง")</f>
        <v>ศรีม่วง</v>
      </c>
      <c r="I761" t="str">
        <f>IFERROR(__xludf.DUMMYFUNCTION("""COMPUTED_VALUE"""),"ธนภัทร ศรีม่วง")</f>
        <v>ธนภัทร ศรีม่วง</v>
      </c>
      <c r="J761" t="str">
        <f>IFERROR(__xludf.DUMMYFUNCTION("""COMPUTED_VALUE"""),"Tonliew ต้นหลิว")</f>
        <v>Tonliew ต้นหลิว</v>
      </c>
      <c r="K761" t="str">
        <f>IFERROR(__xludf.DUMMYFUNCTION("""COMPUTED_VALUE"""),"Cabin Crew")</f>
        <v>Cabin Crew</v>
      </c>
      <c r="L761" t="str">
        <f>IFERROR(__xludf.DUMMYFUNCTION("""COMPUTED_VALUE"""),"DMK")</f>
        <v>DMK</v>
      </c>
      <c r="M761" s="145" t="str">
        <f>IFERROR(__xludf.DUMMYFUNCTION("""COMPUTED_VALUE"""),"Um Home")</f>
        <v>Um Home</v>
      </c>
      <c r="N761" t="str">
        <f>IFERROR(__xludf.DUMMYFUNCTION("""COMPUTED_VALUE"""),"Active")</f>
        <v>Active</v>
      </c>
      <c r="P761" s="143">
        <f>IFERROR(__xludf.DUMMYFUNCTION("""COMPUTED_VALUE"""),33245.0)</f>
        <v>33245</v>
      </c>
      <c r="Q761" s="146" t="str">
        <f>IFERROR(__xludf.DUMMYFUNCTION("""COMPUTED_VALUE"""),"086-887-7470")</f>
        <v>086-887-7470</v>
      </c>
      <c r="R761" s="147">
        <f>IFERROR(__xludf.DUMMYFUNCTION("""COMPUTED_VALUE"""),1.100701290614E12)</f>
        <v>1100701290614</v>
      </c>
      <c r="S761" t="str">
        <f>IFERROR(__xludf.DUMMYFUNCTION("""COMPUTED_VALUE"""),"AC2248372")</f>
        <v>AC2248372</v>
      </c>
      <c r="T761" s="148">
        <f>IFERROR(__xludf.DUMMYFUNCTION("""COMPUTED_VALUE"""),44305.0)</f>
        <v>44305</v>
      </c>
      <c r="U761" s="148">
        <f>IFERROR(__xludf.DUMMYFUNCTION("""COMPUTED_VALUE"""),47956.0)</f>
        <v>47956</v>
      </c>
      <c r="V761" s="149">
        <f>IFERROR(__xludf.DUMMYFUNCTION("""COMPUTED_VALUE"""),47774.0)</f>
        <v>47774</v>
      </c>
      <c r="W761" t="str">
        <f>IFERROR(__xludf.DUMMYFUNCTION("""COMPUTED_VALUE"""),"ปลอดภัย")</f>
        <v>ปลอดภัย</v>
      </c>
      <c r="X761" t="str">
        <f>IFERROR(__xludf.DUMMYFUNCTION("""COMPUTED_VALUE"""),"Bangkok")</f>
        <v>Bangkok</v>
      </c>
      <c r="Y761" t="str">
        <f>IFERROR(__xludf.DUMMYFUNCTION("""COMPUTED_VALUE"""),"Bangkok")</f>
        <v>Bangkok</v>
      </c>
      <c r="Z761" t="str">
        <f>IFERROR(__xludf.DUMMYFUNCTION("""COMPUTED_VALUE"""),"083-9291625")</f>
        <v>083-9291625</v>
      </c>
      <c r="AA761" t="str">
        <f>IFERROR(__xludf.DUMMYFUNCTION("""COMPUTED_VALUE"""),"Kanda Srimuang (Mother)")</f>
        <v>Kanda Srimuang (Mother)</v>
      </c>
      <c r="AB761" t="str">
        <f>IFERROR(__xludf.DUMMYFUNCTION("""COMPUTED_VALUE"""),"tanapatr@airasia.com")</f>
        <v>tanapatr@airasia.com</v>
      </c>
    </row>
    <row r="762">
      <c r="A762">
        <f>IFERROR(__xludf.DUMMYFUNCTION("""COMPUTED_VALUE"""),1007286.0)</f>
        <v>1007286</v>
      </c>
      <c r="B762" t="str">
        <f>IFERROR(__xludf.DUMMYFUNCTION("""COMPUTED_VALUE"""),"Ms.")</f>
        <v>Ms.</v>
      </c>
      <c r="C762" t="str">
        <f>IFERROR(__xludf.DUMMYFUNCTION("""COMPUTED_VALUE"""),"Benyathip")</f>
        <v>Benyathip</v>
      </c>
      <c r="D762" t="str">
        <f>IFERROR(__xludf.DUMMYFUNCTION("""COMPUTED_VALUE"""),"Eiamchai")</f>
        <v>Eiamchai</v>
      </c>
      <c r="E762" t="str">
        <f>IFERROR(__xludf.DUMMYFUNCTION("""COMPUTED_VALUE"""),"Benyathip Eiamchai")</f>
        <v>Benyathip Eiamchai</v>
      </c>
      <c r="F762" t="str">
        <f>IFERROR(__xludf.DUMMYFUNCTION("""COMPUTED_VALUE"""),"นางสาว")</f>
        <v>นางสาว</v>
      </c>
      <c r="G762" t="str">
        <f>IFERROR(__xludf.DUMMYFUNCTION("""COMPUTED_VALUE"""),"เบญญทิพย์")</f>
        <v>เบญญทิพย์</v>
      </c>
      <c r="H762" t="str">
        <f>IFERROR(__xludf.DUMMYFUNCTION("""COMPUTED_VALUE"""),"เอี่ยมชัย")</f>
        <v>เอี่ยมชัย</v>
      </c>
      <c r="I762" t="str">
        <f>IFERROR(__xludf.DUMMYFUNCTION("""COMPUTED_VALUE"""),"เบญญทิพย์ เอี่ยมชัย")</f>
        <v>เบญญทิพย์ เอี่ยมชัย</v>
      </c>
      <c r="J762" t="str">
        <f>IFERROR(__xludf.DUMMYFUNCTION("""COMPUTED_VALUE"""),"Thip ทิพย์")</f>
        <v>Thip ทิพย์</v>
      </c>
      <c r="K762" t="str">
        <f>IFERROR(__xludf.DUMMYFUNCTION("""COMPUTED_VALUE"""),"Cabin Crew")</f>
        <v>Cabin Crew</v>
      </c>
      <c r="L762" t="str">
        <f>IFERROR(__xludf.DUMMYFUNCTION("""COMPUTED_VALUE"""),"DMK")</f>
        <v>DMK</v>
      </c>
      <c r="M762" s="145" t="str">
        <f>IFERROR(__xludf.DUMMYFUNCTION("""COMPUTED_VALUE"""),"Toffy Home")</f>
        <v>Toffy Home</v>
      </c>
      <c r="N762" t="str">
        <f>IFERROR(__xludf.DUMMYFUNCTION("""COMPUTED_VALUE"""),"Active")</f>
        <v>Active</v>
      </c>
      <c r="P762" s="143">
        <f>IFERROR(__xludf.DUMMYFUNCTION("""COMPUTED_VALUE"""),33015.0)</f>
        <v>33015</v>
      </c>
      <c r="Q762" s="146" t="str">
        <f>IFERROR(__xludf.DUMMYFUNCTION("""COMPUTED_VALUE"""),"099-054-6224")</f>
        <v>099-054-6224</v>
      </c>
      <c r="R762" s="147">
        <f>IFERROR(__xludf.DUMMYFUNCTION("""COMPUTED_VALUE"""),1.100500475714E12)</f>
        <v>1100500475714</v>
      </c>
      <c r="S762" t="str">
        <f>IFERROR(__xludf.DUMMYFUNCTION("""COMPUTED_VALUE"""),"AD1810254")</f>
        <v>AD1810254</v>
      </c>
      <c r="T762" s="148">
        <f>IFERROR(__xludf.DUMMYFUNCTION("""COMPUTED_VALUE"""),45457.0)</f>
        <v>45457</v>
      </c>
      <c r="U762" s="148">
        <f>IFERROR(__xludf.DUMMYFUNCTION("""COMPUTED_VALUE"""),49108.0)</f>
        <v>49108</v>
      </c>
      <c r="V762" s="149">
        <f>IFERROR(__xludf.DUMMYFUNCTION("""COMPUTED_VALUE"""),48926.0)</f>
        <v>48926</v>
      </c>
      <c r="W762" t="str">
        <f>IFERROR(__xludf.DUMMYFUNCTION("""COMPUTED_VALUE"""),"ปลอดภัย")</f>
        <v>ปลอดภัย</v>
      </c>
      <c r="X762" t="str">
        <f>IFERROR(__xludf.DUMMYFUNCTION("""COMPUTED_VALUE"""),"Bangkok")</f>
        <v>Bangkok</v>
      </c>
      <c r="Y762" t="str">
        <f>IFERROR(__xludf.DUMMYFUNCTION("""COMPUTED_VALUE"""),"Pathum Thani")</f>
        <v>Pathum Thani</v>
      </c>
      <c r="Z762" t="str">
        <f>IFERROR(__xludf.DUMMYFUNCTION("""COMPUTED_VALUE"""),"085-095-3524")</f>
        <v>085-095-3524</v>
      </c>
      <c r="AA762" t="str">
        <f>IFERROR(__xludf.DUMMYFUNCTION("""COMPUTED_VALUE"""),"Tinakorn Eiamchai (Father)")</f>
        <v>Tinakorn Eiamchai (Father)</v>
      </c>
      <c r="AB762" t="str">
        <f>IFERROR(__xludf.DUMMYFUNCTION("""COMPUTED_VALUE"""),"benyathipe@airasia.com")</f>
        <v>benyathipe@airasia.com</v>
      </c>
    </row>
    <row r="763">
      <c r="A763">
        <f>IFERROR(__xludf.DUMMYFUNCTION("""COMPUTED_VALUE"""),1007319.0)</f>
        <v>1007319</v>
      </c>
      <c r="B763" t="str">
        <f>IFERROR(__xludf.DUMMYFUNCTION("""COMPUTED_VALUE"""),"Mr.")</f>
        <v>Mr.</v>
      </c>
      <c r="C763" t="str">
        <f>IFERROR(__xludf.DUMMYFUNCTION("""COMPUTED_VALUE"""),"Setthachart")</f>
        <v>Setthachart</v>
      </c>
      <c r="D763" t="str">
        <f>IFERROR(__xludf.DUMMYFUNCTION("""COMPUTED_VALUE"""),"Kittithanakorn")</f>
        <v>Kittithanakorn</v>
      </c>
      <c r="E763" t="str">
        <f>IFERROR(__xludf.DUMMYFUNCTION("""COMPUTED_VALUE"""),"Setthachart Kittithanakorn")</f>
        <v>Setthachart Kittithanakorn</v>
      </c>
      <c r="F763" t="str">
        <f>IFERROR(__xludf.DUMMYFUNCTION("""COMPUTED_VALUE"""),"นาย")</f>
        <v>นาย</v>
      </c>
      <c r="G763" t="str">
        <f>IFERROR(__xludf.DUMMYFUNCTION("""COMPUTED_VALUE"""),"เศรษฐ์ชาติ")</f>
        <v>เศรษฐ์ชาติ</v>
      </c>
      <c r="H763" t="str">
        <f>IFERROR(__xludf.DUMMYFUNCTION("""COMPUTED_VALUE"""),"กิตติธนากร")</f>
        <v>กิตติธนากร</v>
      </c>
      <c r="I763" t="str">
        <f>IFERROR(__xludf.DUMMYFUNCTION("""COMPUTED_VALUE"""),"เศรษฐ์ชาติ กิตติธนากร")</f>
        <v>เศรษฐ์ชาติ กิตติธนากร</v>
      </c>
      <c r="J763" t="str">
        <f>IFERROR(__xludf.DUMMYFUNCTION("""COMPUTED_VALUE"""),"Guaytiew ก๋วยเตี๊ยว")</f>
        <v>Guaytiew ก๋วยเตี๊ยว</v>
      </c>
      <c r="K763" t="str">
        <f>IFERROR(__xludf.DUMMYFUNCTION("""COMPUTED_VALUE"""),"Cabin Crew")</f>
        <v>Cabin Crew</v>
      </c>
      <c r="L763" t="str">
        <f>IFERROR(__xludf.DUMMYFUNCTION("""COMPUTED_VALUE"""),"DMK")</f>
        <v>DMK</v>
      </c>
      <c r="M763" s="145" t="str">
        <f>IFERROR(__xludf.DUMMYFUNCTION("""COMPUTED_VALUE"""),"Namfon Home")</f>
        <v>Namfon Home</v>
      </c>
      <c r="N763" t="str">
        <f>IFERROR(__xludf.DUMMYFUNCTION("""COMPUTED_VALUE"""),"Active")</f>
        <v>Active</v>
      </c>
      <c r="P763" s="143">
        <f>IFERROR(__xludf.DUMMYFUNCTION("""COMPUTED_VALUE"""),33456.0)</f>
        <v>33456</v>
      </c>
      <c r="Q763" s="146" t="str">
        <f>IFERROR(__xludf.DUMMYFUNCTION("""COMPUTED_VALUE"""),"080-441-0904")</f>
        <v>080-441-0904</v>
      </c>
      <c r="R763" s="147">
        <f>IFERROR(__xludf.DUMMYFUNCTION("""COMPUTED_VALUE"""),1.102700115128E12)</f>
        <v>1102700115128</v>
      </c>
      <c r="S763" t="str">
        <f>IFERROR(__xludf.DUMMYFUNCTION("""COMPUTED_VALUE"""),"AC4454646")</f>
        <v>AC4454646</v>
      </c>
      <c r="T763" s="148">
        <f>IFERROR(__xludf.DUMMYFUNCTION("""COMPUTED_VALUE"""),44963.0)</f>
        <v>44963</v>
      </c>
      <c r="U763" s="148">
        <f>IFERROR(__xludf.DUMMYFUNCTION("""COMPUTED_VALUE"""),48615.0)</f>
        <v>48615</v>
      </c>
      <c r="V763" s="149">
        <f>IFERROR(__xludf.DUMMYFUNCTION("""COMPUTED_VALUE"""),48431.0)</f>
        <v>48431</v>
      </c>
      <c r="W763" t="str">
        <f>IFERROR(__xludf.DUMMYFUNCTION("""COMPUTED_VALUE"""),"ปลอดภัย")</f>
        <v>ปลอดภัย</v>
      </c>
      <c r="X763" t="str">
        <f>IFERROR(__xludf.DUMMYFUNCTION("""COMPUTED_VALUE"""),"Bangkok")</f>
        <v>Bangkok</v>
      </c>
      <c r="Y763" t="str">
        <f>IFERROR(__xludf.DUMMYFUNCTION("""COMPUTED_VALUE"""),"Bangkok")</f>
        <v>Bangkok</v>
      </c>
      <c r="Z763" t="str">
        <f>IFERROR(__xludf.DUMMYFUNCTION("""COMPUTED_VALUE"""),"090-983-4589")</f>
        <v>090-983-4589</v>
      </c>
      <c r="AA763" t="str">
        <f>IFERROR(__xludf.DUMMYFUNCTION("""COMPUTED_VALUE"""),"Chonlatee U-Thong (Friend)")</f>
        <v>Chonlatee U-Thong (Friend)</v>
      </c>
      <c r="AB763" t="str">
        <f>IFERROR(__xludf.DUMMYFUNCTION("""COMPUTED_VALUE"""),"setthachartk@airasia.com")</f>
        <v>setthachartk@airasia.com</v>
      </c>
    </row>
    <row r="764">
      <c r="A764">
        <f>IFERROR(__xludf.DUMMYFUNCTION("""COMPUTED_VALUE"""),1007728.0)</f>
        <v>1007728</v>
      </c>
      <c r="B764" t="str">
        <f>IFERROR(__xludf.DUMMYFUNCTION("""COMPUTED_VALUE"""),"Ms.")</f>
        <v>Ms.</v>
      </c>
      <c r="C764" t="str">
        <f>IFERROR(__xludf.DUMMYFUNCTION("""COMPUTED_VALUE"""),"Suthasinee")</f>
        <v>Suthasinee</v>
      </c>
      <c r="D764" t="str">
        <f>IFERROR(__xludf.DUMMYFUNCTION("""COMPUTED_VALUE"""),"Thaeothaisong")</f>
        <v>Thaeothaisong</v>
      </c>
      <c r="E764" t="str">
        <f>IFERROR(__xludf.DUMMYFUNCTION("""COMPUTED_VALUE"""),"Suthasinee Thaeothaisong")</f>
        <v>Suthasinee Thaeothaisong</v>
      </c>
      <c r="F764" t="str">
        <f>IFERROR(__xludf.DUMMYFUNCTION("""COMPUTED_VALUE"""),"นางสาว")</f>
        <v>นางสาว</v>
      </c>
      <c r="G764" t="str">
        <f>IFERROR(__xludf.DUMMYFUNCTION("""COMPUTED_VALUE"""),"สุธาสินี")</f>
        <v>สุธาสินี</v>
      </c>
      <c r="H764" t="str">
        <f>IFERROR(__xludf.DUMMYFUNCTION("""COMPUTED_VALUE"""),"แถวไธสงค์")</f>
        <v>แถวไธสงค์</v>
      </c>
      <c r="I764" t="str">
        <f>IFERROR(__xludf.DUMMYFUNCTION("""COMPUTED_VALUE"""),"สุธาสินี แถวไธสงค์")</f>
        <v>สุธาสินี แถวไธสงค์</v>
      </c>
      <c r="J764" t="str">
        <f>IFERROR(__xludf.DUMMYFUNCTION("""COMPUTED_VALUE"""),"Puii ปุย")</f>
        <v>Puii ปุย</v>
      </c>
      <c r="K764" t="str">
        <f>IFERROR(__xludf.DUMMYFUNCTION("""COMPUTED_VALUE"""),"Cabin Crew")</f>
        <v>Cabin Crew</v>
      </c>
      <c r="L764" t="str">
        <f>IFERROR(__xludf.DUMMYFUNCTION("""COMPUTED_VALUE"""),"DMK")</f>
        <v>DMK</v>
      </c>
      <c r="M764" s="145" t="str">
        <f>IFERROR(__xludf.DUMMYFUNCTION("""COMPUTED_VALUE"""),"Namfon Home")</f>
        <v>Namfon Home</v>
      </c>
      <c r="N764" t="str">
        <f>IFERROR(__xludf.DUMMYFUNCTION("""COMPUTED_VALUE"""),"Active")</f>
        <v>Active</v>
      </c>
      <c r="P764" s="143">
        <f>IFERROR(__xludf.DUMMYFUNCTION("""COMPUTED_VALUE"""),32759.0)</f>
        <v>32759</v>
      </c>
      <c r="Q764" s="146" t="str">
        <f>IFERROR(__xludf.DUMMYFUNCTION("""COMPUTED_VALUE"""),"098-862-2048")</f>
        <v>098-862-2048</v>
      </c>
      <c r="R764" s="147">
        <f>IFERROR(__xludf.DUMMYFUNCTION("""COMPUTED_VALUE"""),1.411100156784E12)</f>
        <v>1411100156784</v>
      </c>
      <c r="S764" t="str">
        <f>IFERROR(__xludf.DUMMYFUNCTION("""COMPUTED_VALUE"""),"AC4320025")</f>
        <v>AC4320025</v>
      </c>
      <c r="T764" s="148">
        <f>IFERROR(__xludf.DUMMYFUNCTION("""COMPUTED_VALUE"""),44929.0)</f>
        <v>44929</v>
      </c>
      <c r="U764" s="148">
        <f>IFERROR(__xludf.DUMMYFUNCTION("""COMPUTED_VALUE"""),48581.0)</f>
        <v>48581</v>
      </c>
      <c r="V764" s="149">
        <f>IFERROR(__xludf.DUMMYFUNCTION("""COMPUTED_VALUE"""),48397.0)</f>
        <v>48397</v>
      </c>
      <c r="W764" t="str">
        <f>IFERROR(__xludf.DUMMYFUNCTION("""COMPUTED_VALUE"""),"ปลอดภัย")</f>
        <v>ปลอดภัย</v>
      </c>
      <c r="X764" t="str">
        <f>IFERROR(__xludf.DUMMYFUNCTION("""COMPUTED_VALUE"""),"Udon Thani Province")</f>
        <v>Udon Thani Province</v>
      </c>
      <c r="Y764" t="str">
        <f>IFERROR(__xludf.DUMMYFUNCTION("""COMPUTED_VALUE"""),"Donmuang")</f>
        <v>Donmuang</v>
      </c>
      <c r="Z764" t="str">
        <f>IFERROR(__xludf.DUMMYFUNCTION("""COMPUTED_VALUE"""),"086-8587004")</f>
        <v>086-8587004</v>
      </c>
      <c r="AA764" t="str">
        <f>IFERROR(__xludf.DUMMYFUNCTION("""COMPUTED_VALUE"""),"Adisorn Boonchai (Friend)")</f>
        <v>Adisorn Boonchai (Friend)</v>
      </c>
      <c r="AB764" t="str">
        <f>IFERROR(__xludf.DUMMYFUNCTION("""COMPUTED_VALUE"""),"suthasineet@airasia.com")</f>
        <v>suthasineet@airasia.com</v>
      </c>
    </row>
    <row r="765">
      <c r="A765">
        <f>IFERROR(__xludf.DUMMYFUNCTION("""COMPUTED_VALUE"""),1008227.0)</f>
        <v>1008227</v>
      </c>
      <c r="B765" t="str">
        <f>IFERROR(__xludf.DUMMYFUNCTION("""COMPUTED_VALUE"""),"Ms.")</f>
        <v>Ms.</v>
      </c>
      <c r="C765" t="str">
        <f>IFERROR(__xludf.DUMMYFUNCTION("""COMPUTED_VALUE"""),"Preeyakorn")</f>
        <v>Preeyakorn</v>
      </c>
      <c r="D765" t="str">
        <f>IFERROR(__xludf.DUMMYFUNCTION("""COMPUTED_VALUE"""),"Rojanadumrong")</f>
        <v>Rojanadumrong</v>
      </c>
      <c r="E765" t="str">
        <f>IFERROR(__xludf.DUMMYFUNCTION("""COMPUTED_VALUE"""),"Preeyakorn Rojanadumrong")</f>
        <v>Preeyakorn Rojanadumrong</v>
      </c>
      <c r="F765" t="str">
        <f>IFERROR(__xludf.DUMMYFUNCTION("""COMPUTED_VALUE"""),"นางสาว")</f>
        <v>นางสาว</v>
      </c>
      <c r="G765" t="str">
        <f>IFERROR(__xludf.DUMMYFUNCTION("""COMPUTED_VALUE"""),"ปรียกร")</f>
        <v>ปรียกร</v>
      </c>
      <c r="H765" t="str">
        <f>IFERROR(__xludf.DUMMYFUNCTION("""COMPUTED_VALUE"""),"โรจนดำรงค์")</f>
        <v>โรจนดำรงค์</v>
      </c>
      <c r="I765" t="str">
        <f>IFERROR(__xludf.DUMMYFUNCTION("""COMPUTED_VALUE"""),"ปรียกร โรจนดำรงค์")</f>
        <v>ปรียกร โรจนดำรงค์</v>
      </c>
      <c r="J765" t="str">
        <f>IFERROR(__xludf.DUMMYFUNCTION("""COMPUTED_VALUE"""),"Gam แก้ม")</f>
        <v>Gam แก้ม</v>
      </c>
      <c r="K765" t="str">
        <f>IFERROR(__xludf.DUMMYFUNCTION("""COMPUTED_VALUE"""),"Cabin Crew")</f>
        <v>Cabin Crew</v>
      </c>
      <c r="L765" t="str">
        <f>IFERROR(__xludf.DUMMYFUNCTION("""COMPUTED_VALUE"""),"DMK")</f>
        <v>DMK</v>
      </c>
      <c r="M765" s="145" t="str">
        <f>IFERROR(__xludf.DUMMYFUNCTION("""COMPUTED_VALUE"""),"Up Home")</f>
        <v>Up Home</v>
      </c>
      <c r="N765" t="str">
        <f>IFERROR(__xludf.DUMMYFUNCTION("""COMPUTED_VALUE"""),"Active")</f>
        <v>Active</v>
      </c>
      <c r="P765" s="143">
        <f>IFERROR(__xludf.DUMMYFUNCTION("""COMPUTED_VALUE"""),32976.0)</f>
        <v>32976</v>
      </c>
      <c r="Q765" s="146" t="str">
        <f>IFERROR(__xludf.DUMMYFUNCTION("""COMPUTED_VALUE"""),"089-956-3919")</f>
        <v>089-956-3919</v>
      </c>
      <c r="R765" s="147">
        <f>IFERROR(__xludf.DUMMYFUNCTION("""COMPUTED_VALUE"""),1.103700097953E12)</f>
        <v>1103700097953</v>
      </c>
      <c r="S765" t="str">
        <f>IFERROR(__xludf.DUMMYFUNCTION("""COMPUTED_VALUE"""),"AC6781975")</f>
        <v>AC6781975</v>
      </c>
      <c r="T765" s="148">
        <f>IFERROR(__xludf.DUMMYFUNCTION("""COMPUTED_VALUE"""),45432.0)</f>
        <v>45432</v>
      </c>
      <c r="U765" s="148">
        <f>IFERROR(__xludf.DUMMYFUNCTION("""COMPUTED_VALUE"""),49083.0)</f>
        <v>49083</v>
      </c>
      <c r="V765" s="149">
        <f>IFERROR(__xludf.DUMMYFUNCTION("""COMPUTED_VALUE"""),48902.0)</f>
        <v>48902</v>
      </c>
      <c r="W765" t="str">
        <f>IFERROR(__xludf.DUMMYFUNCTION("""COMPUTED_VALUE"""),"ปลอดภัย")</f>
        <v>ปลอดภัย</v>
      </c>
      <c r="X765" t="str">
        <f>IFERROR(__xludf.DUMMYFUNCTION("""COMPUTED_VALUE"""),"Bangkok")</f>
        <v>Bangkok</v>
      </c>
      <c r="Y765" t="str">
        <f>IFERROR(__xludf.DUMMYFUNCTION("""COMPUTED_VALUE"""),"Jatujak")</f>
        <v>Jatujak</v>
      </c>
      <c r="Z765" t="str">
        <f>IFERROR(__xludf.DUMMYFUNCTION("""COMPUTED_VALUE"""),"081-8183296")</f>
        <v>081-8183296</v>
      </c>
      <c r="AA765" t="str">
        <f>IFERROR(__xludf.DUMMYFUNCTION("""COMPUTED_VALUE"""),"Kitinarong Rojanadumrong (Father)")</f>
        <v>Kitinarong Rojanadumrong (Father)</v>
      </c>
      <c r="AB765" t="str">
        <f>IFERROR(__xludf.DUMMYFUNCTION("""COMPUTED_VALUE"""),"preeyakornr@airasia.com")</f>
        <v>preeyakornr@airasia.com</v>
      </c>
    </row>
    <row r="766">
      <c r="A766">
        <f>IFERROR(__xludf.DUMMYFUNCTION("""COMPUTED_VALUE"""),1008359.0)</f>
        <v>1008359</v>
      </c>
      <c r="B766" t="str">
        <f>IFERROR(__xludf.DUMMYFUNCTION("""COMPUTED_VALUE"""),"Mr.")</f>
        <v>Mr.</v>
      </c>
      <c r="C766" t="str">
        <f>IFERROR(__xludf.DUMMYFUNCTION("""COMPUTED_VALUE"""),"Peerapol")</f>
        <v>Peerapol</v>
      </c>
      <c r="D766" t="str">
        <f>IFERROR(__xludf.DUMMYFUNCTION("""COMPUTED_VALUE"""),"Umpawan")</f>
        <v>Umpawan</v>
      </c>
      <c r="E766" t="str">
        <f>IFERROR(__xludf.DUMMYFUNCTION("""COMPUTED_VALUE"""),"Peerapol Umpawan")</f>
        <v>Peerapol Umpawan</v>
      </c>
      <c r="F766" t="str">
        <f>IFERROR(__xludf.DUMMYFUNCTION("""COMPUTED_VALUE"""),"นาย")</f>
        <v>นาย</v>
      </c>
      <c r="G766" t="str">
        <f>IFERROR(__xludf.DUMMYFUNCTION("""COMPUTED_VALUE"""),"พีรพล")</f>
        <v>พีรพล</v>
      </c>
      <c r="H766" t="str">
        <f>IFERROR(__xludf.DUMMYFUNCTION("""COMPUTED_VALUE"""),"อัมพวัน")</f>
        <v>อัมพวัน</v>
      </c>
      <c r="I766" t="str">
        <f>IFERROR(__xludf.DUMMYFUNCTION("""COMPUTED_VALUE"""),"พีรพล อัมพวัน")</f>
        <v>พีรพล อัมพวัน</v>
      </c>
      <c r="J766" t="str">
        <f>IFERROR(__xludf.DUMMYFUNCTION("""COMPUTED_VALUE"""),"Boat โบ๊ต")</f>
        <v>Boat โบ๊ต</v>
      </c>
      <c r="K766" t="str">
        <f>IFERROR(__xludf.DUMMYFUNCTION("""COMPUTED_VALUE"""),"Cabin Crew")</f>
        <v>Cabin Crew</v>
      </c>
      <c r="L766" t="str">
        <f>IFERROR(__xludf.DUMMYFUNCTION("""COMPUTED_VALUE"""),"DMK")</f>
        <v>DMK</v>
      </c>
      <c r="M766" s="145" t="str">
        <f>IFERROR(__xludf.DUMMYFUNCTION("""COMPUTED_VALUE"""),"Um Home")</f>
        <v>Um Home</v>
      </c>
      <c r="N766" t="str">
        <f>IFERROR(__xludf.DUMMYFUNCTION("""COMPUTED_VALUE"""),"Active")</f>
        <v>Active</v>
      </c>
      <c r="P766" s="143">
        <f>IFERROR(__xludf.DUMMYFUNCTION("""COMPUTED_VALUE"""),33045.0)</f>
        <v>33045</v>
      </c>
      <c r="Q766" s="146">
        <f>IFERROR(__xludf.DUMMYFUNCTION("""COMPUTED_VALUE"""),8.93591592E8)</f>
        <v>893591592</v>
      </c>
      <c r="R766" s="147">
        <f>IFERROR(__xludf.DUMMYFUNCTION("""COMPUTED_VALUE"""),1.101401701669E12)</f>
        <v>1101401701669</v>
      </c>
      <c r="S766" t="str">
        <f>IFERROR(__xludf.DUMMYFUNCTION("""COMPUTED_VALUE"""),"AC8118186")</f>
        <v>AC8118186</v>
      </c>
      <c r="T766" s="148">
        <f>IFERROR(__xludf.DUMMYFUNCTION("""COMPUTED_VALUE"""),45723.0)</f>
        <v>45723</v>
      </c>
      <c r="U766" s="148">
        <f>IFERROR(__xludf.DUMMYFUNCTION("""COMPUTED_VALUE"""),49374.0)</f>
        <v>49374</v>
      </c>
      <c r="V766" s="149">
        <f>IFERROR(__xludf.DUMMYFUNCTION("""COMPUTED_VALUE"""),49193.0)</f>
        <v>49193</v>
      </c>
      <c r="W766" t="str">
        <f>IFERROR(__xludf.DUMMYFUNCTION("""COMPUTED_VALUE"""),"ปลอดภัย")</f>
        <v>ปลอดภัย</v>
      </c>
      <c r="X766" t="str">
        <f>IFERROR(__xludf.DUMMYFUNCTION("""COMPUTED_VALUE"""),"Bangkok")</f>
        <v>Bangkok</v>
      </c>
      <c r="Y766" t="str">
        <f>IFERROR(__xludf.DUMMYFUNCTION("""COMPUTED_VALUE"""),"Donmueang")</f>
        <v>Donmueang</v>
      </c>
      <c r="Z766" t="str">
        <f>IFERROR(__xludf.DUMMYFUNCTION("""COMPUTED_VALUE"""),"086-553-6114")</f>
        <v>086-553-6114</v>
      </c>
      <c r="AA766" t="str">
        <f>IFERROR(__xludf.DUMMYFUNCTION("""COMPUTED_VALUE"""),"Supaporn Umpawan (Sister)")</f>
        <v>Supaporn Umpawan (Sister)</v>
      </c>
      <c r="AB766" t="str">
        <f>IFERROR(__xludf.DUMMYFUNCTION("""COMPUTED_VALUE"""),"peerapolu@airasia.com")</f>
        <v>peerapolu@airasia.com</v>
      </c>
    </row>
    <row r="767">
      <c r="A767">
        <f>IFERROR(__xludf.DUMMYFUNCTION("""COMPUTED_VALUE"""),1008372.0)</f>
        <v>1008372</v>
      </c>
      <c r="B767" t="str">
        <f>IFERROR(__xludf.DUMMYFUNCTION("""COMPUTED_VALUE"""),"Ms.")</f>
        <v>Ms.</v>
      </c>
      <c r="C767" t="str">
        <f>IFERROR(__xludf.DUMMYFUNCTION("""COMPUTED_VALUE"""),"Sirinya")</f>
        <v>Sirinya</v>
      </c>
      <c r="D767" t="str">
        <f>IFERROR(__xludf.DUMMYFUNCTION("""COMPUTED_VALUE"""),"Maydan")</f>
        <v>Maydan</v>
      </c>
      <c r="E767" t="str">
        <f>IFERROR(__xludf.DUMMYFUNCTION("""COMPUTED_VALUE"""),"Sirinya Maydan")</f>
        <v>Sirinya Maydan</v>
      </c>
      <c r="F767" t="str">
        <f>IFERROR(__xludf.DUMMYFUNCTION("""COMPUTED_VALUE"""),"นางสาว")</f>
        <v>นางสาว</v>
      </c>
      <c r="G767" t="str">
        <f>IFERROR(__xludf.DUMMYFUNCTION("""COMPUTED_VALUE"""),"ศิรินยา")</f>
        <v>ศิรินยา</v>
      </c>
      <c r="H767" t="str">
        <f>IFERROR(__xludf.DUMMYFUNCTION("""COMPUTED_VALUE"""),"เมดาน")</f>
        <v>เมดาน</v>
      </c>
      <c r="I767" t="str">
        <f>IFERROR(__xludf.DUMMYFUNCTION("""COMPUTED_VALUE"""),"ศิรินยา เมดาน")</f>
        <v>ศิรินยา เมดาน</v>
      </c>
      <c r="J767" t="str">
        <f>IFERROR(__xludf.DUMMYFUNCTION("""COMPUTED_VALUE"""),"Grace เกรซ")</f>
        <v>Grace เกรซ</v>
      </c>
      <c r="K767" t="str">
        <f>IFERROR(__xludf.DUMMYFUNCTION("""COMPUTED_VALUE"""),"Cabin Crew")</f>
        <v>Cabin Crew</v>
      </c>
      <c r="L767" t="str">
        <f>IFERROR(__xludf.DUMMYFUNCTION("""COMPUTED_VALUE"""),"DMK")</f>
        <v>DMK</v>
      </c>
      <c r="M767" s="145" t="str">
        <f>IFERROR(__xludf.DUMMYFUNCTION("""COMPUTED_VALUE"""),"Toffy Home")</f>
        <v>Toffy Home</v>
      </c>
      <c r="N767" t="str">
        <f>IFERROR(__xludf.DUMMYFUNCTION("""COMPUTED_VALUE"""),"Active")</f>
        <v>Active</v>
      </c>
      <c r="P767" s="143">
        <f>IFERROR(__xludf.DUMMYFUNCTION("""COMPUTED_VALUE"""),32802.0)</f>
        <v>32802</v>
      </c>
      <c r="Q767" s="146" t="str">
        <f>IFERROR(__xludf.DUMMYFUNCTION("""COMPUTED_VALUE"""),"091-906-2386")</f>
        <v>091-906-2386</v>
      </c>
      <c r="R767" s="147">
        <f>IFERROR(__xludf.DUMMYFUNCTION("""COMPUTED_VALUE"""),1.579900269491E12)</f>
        <v>1579900269491</v>
      </c>
      <c r="S767" t="str">
        <f>IFERROR(__xludf.DUMMYFUNCTION("""COMPUTED_VALUE"""),"AC2345464")</f>
        <v>AC2345464</v>
      </c>
      <c r="T767" s="148">
        <f>IFERROR(__xludf.DUMMYFUNCTION("""COMPUTED_VALUE"""),44384.0)</f>
        <v>44384</v>
      </c>
      <c r="U767" s="148">
        <f>IFERROR(__xludf.DUMMYFUNCTION("""COMPUTED_VALUE"""),48035.0)</f>
        <v>48035</v>
      </c>
      <c r="V767" s="149">
        <f>IFERROR(__xludf.DUMMYFUNCTION("""COMPUTED_VALUE"""),47854.0)</f>
        <v>47854</v>
      </c>
      <c r="W767" t="str">
        <f>IFERROR(__xludf.DUMMYFUNCTION("""COMPUTED_VALUE"""),"ปลอดภัย")</f>
        <v>ปลอดภัย</v>
      </c>
      <c r="X767" t="str">
        <f>IFERROR(__xludf.DUMMYFUNCTION("""COMPUTED_VALUE"""),"Chiang Rai Province")</f>
        <v>Chiang Rai Province</v>
      </c>
      <c r="Y767" t="str">
        <f>IFERROR(__xludf.DUMMYFUNCTION("""COMPUTED_VALUE"""),"Bangkok")</f>
        <v>Bangkok</v>
      </c>
      <c r="Z767" t="str">
        <f>IFERROR(__xludf.DUMMYFUNCTION("""COMPUTED_VALUE"""),"084-090-0788")</f>
        <v>084-090-0788</v>
      </c>
      <c r="AA767" t="str">
        <f>IFERROR(__xludf.DUMMYFUNCTION("""COMPUTED_VALUE"""),"Siripan Mattasat (Best friend)")</f>
        <v>Siripan Mattasat (Best friend)</v>
      </c>
      <c r="AB767" t="str">
        <f>IFERROR(__xludf.DUMMYFUNCTION("""COMPUTED_VALUE"""),"sirinyam@airasia.com")</f>
        <v>sirinyam@airasia.com</v>
      </c>
    </row>
    <row r="768">
      <c r="A768">
        <f>IFERROR(__xludf.DUMMYFUNCTION("""COMPUTED_VALUE"""),1009081.0)</f>
        <v>1009081</v>
      </c>
      <c r="B768" t="str">
        <f>IFERROR(__xludf.DUMMYFUNCTION("""COMPUTED_VALUE"""),"Ms.")</f>
        <v>Ms.</v>
      </c>
      <c r="C768" t="str">
        <f>IFERROR(__xludf.DUMMYFUNCTION("""COMPUTED_VALUE"""),"Tunchanok")</f>
        <v>Tunchanok</v>
      </c>
      <c r="D768" t="str">
        <f>IFERROR(__xludf.DUMMYFUNCTION("""COMPUTED_VALUE"""),"Pingmuang")</f>
        <v>Pingmuang</v>
      </c>
      <c r="E768" t="str">
        <f>IFERROR(__xludf.DUMMYFUNCTION("""COMPUTED_VALUE"""),"Tunchanok Pingmuang")</f>
        <v>Tunchanok Pingmuang</v>
      </c>
      <c r="F768" t="str">
        <f>IFERROR(__xludf.DUMMYFUNCTION("""COMPUTED_VALUE"""),"นางสาว")</f>
        <v>นางสาว</v>
      </c>
      <c r="G768" t="str">
        <f>IFERROR(__xludf.DUMMYFUNCTION("""COMPUTED_VALUE"""),"ธันย์ชนก")</f>
        <v>ธันย์ชนก</v>
      </c>
      <c r="H768" t="str">
        <f>IFERROR(__xludf.DUMMYFUNCTION("""COMPUTED_VALUE"""),"ปิงเมือง")</f>
        <v>ปิงเมือง</v>
      </c>
      <c r="I768" t="str">
        <f>IFERROR(__xludf.DUMMYFUNCTION("""COMPUTED_VALUE"""),"ธันย์ชนก ปิงเมือง")</f>
        <v>ธันย์ชนก ปิงเมือง</v>
      </c>
      <c r="J768" t="str">
        <f>IFERROR(__xludf.DUMMYFUNCTION("""COMPUTED_VALUE"""),"Auy อุ้ย")</f>
        <v>Auy อุ้ย</v>
      </c>
      <c r="K768" t="str">
        <f>IFERROR(__xludf.DUMMYFUNCTION("""COMPUTED_VALUE"""),"Cabin Crew")</f>
        <v>Cabin Crew</v>
      </c>
      <c r="L768" t="str">
        <f>IFERROR(__xludf.DUMMYFUNCTION("""COMPUTED_VALUE"""),"DMK")</f>
        <v>DMK</v>
      </c>
      <c r="M768" s="145" t="str">
        <f>IFERROR(__xludf.DUMMYFUNCTION("""COMPUTED_VALUE"""),"Nhui Home")</f>
        <v>Nhui Home</v>
      </c>
      <c r="N768" t="str">
        <f>IFERROR(__xludf.DUMMYFUNCTION("""COMPUTED_VALUE"""),"Active")</f>
        <v>Active</v>
      </c>
      <c r="P768" s="143">
        <f>IFERROR(__xludf.DUMMYFUNCTION("""COMPUTED_VALUE"""),33812.0)</f>
        <v>33812</v>
      </c>
      <c r="Q768" s="146">
        <f>IFERROR(__xludf.DUMMYFUNCTION("""COMPUTED_VALUE"""),8.87989641E8)</f>
        <v>887989641</v>
      </c>
      <c r="R768" s="147">
        <f>IFERROR(__xludf.DUMMYFUNCTION("""COMPUTED_VALUE"""),1.559900220297E12)</f>
        <v>1559900220297</v>
      </c>
      <c r="S768" t="str">
        <f>IFERROR(__xludf.DUMMYFUNCTION("""COMPUTED_VALUE"""),"AC7891426")</f>
        <v>AC7891426</v>
      </c>
      <c r="T768" s="148">
        <f>IFERROR(__xludf.DUMMYFUNCTION("""COMPUTED_VALUE"""),45683.0)</f>
        <v>45683</v>
      </c>
      <c r="U768" s="148">
        <f>IFERROR(__xludf.DUMMYFUNCTION("""COMPUTED_VALUE"""),49334.0)</f>
        <v>49334</v>
      </c>
      <c r="V768" s="149">
        <f>IFERROR(__xludf.DUMMYFUNCTION("""COMPUTED_VALUE"""),49150.0)</f>
        <v>49150</v>
      </c>
      <c r="W768" t="str">
        <f>IFERROR(__xludf.DUMMYFUNCTION("""COMPUTED_VALUE"""),"ปลอดภัย")</f>
        <v>ปลอดภัย</v>
      </c>
      <c r="X768" t="str">
        <f>IFERROR(__xludf.DUMMYFUNCTION("""COMPUTED_VALUE"""),"Nan Province")</f>
        <v>Nan Province</v>
      </c>
      <c r="Y768" t="str">
        <f>IFERROR(__xludf.DUMMYFUNCTION("""COMPUTED_VALUE"""),"Donmuang")</f>
        <v>Donmuang</v>
      </c>
      <c r="Z768" t="str">
        <f>IFERROR(__xludf.DUMMYFUNCTION("""COMPUTED_VALUE"""),"062-880-8630")</f>
        <v>062-880-8630</v>
      </c>
      <c r="AA768" t="str">
        <f>IFERROR(__xludf.DUMMYFUNCTION("""COMPUTED_VALUE"""),"Yossakarn Rerkpichai (Friend)")</f>
        <v>Yossakarn Rerkpichai (Friend)</v>
      </c>
      <c r="AB768" t="str">
        <f>IFERROR(__xludf.DUMMYFUNCTION("""COMPUTED_VALUE"""),"tunchanokp@airasia.com")</f>
        <v>tunchanokp@airasia.com</v>
      </c>
    </row>
    <row r="769">
      <c r="A769">
        <f>IFERROR(__xludf.DUMMYFUNCTION("""COMPUTED_VALUE"""),1009306.0)</f>
        <v>1009306</v>
      </c>
      <c r="B769" t="str">
        <f>IFERROR(__xludf.DUMMYFUNCTION("""COMPUTED_VALUE"""),"Ms.")</f>
        <v>Ms.</v>
      </c>
      <c r="C769" t="str">
        <f>IFERROR(__xludf.DUMMYFUNCTION("""COMPUTED_VALUE"""),"Noppawan")</f>
        <v>Noppawan</v>
      </c>
      <c r="D769" t="str">
        <f>IFERROR(__xludf.DUMMYFUNCTION("""COMPUTED_VALUE"""),"Yoosamran")</f>
        <v>Yoosamran</v>
      </c>
      <c r="E769" t="str">
        <f>IFERROR(__xludf.DUMMYFUNCTION("""COMPUTED_VALUE"""),"Noppawan Yoosamran")</f>
        <v>Noppawan Yoosamran</v>
      </c>
      <c r="F769" t="str">
        <f>IFERROR(__xludf.DUMMYFUNCTION("""COMPUTED_VALUE"""),"นางสาว")</f>
        <v>นางสาว</v>
      </c>
      <c r="G769" t="str">
        <f>IFERROR(__xludf.DUMMYFUNCTION("""COMPUTED_VALUE"""),"นพวรรณ")</f>
        <v>นพวรรณ</v>
      </c>
      <c r="H769" t="str">
        <f>IFERROR(__xludf.DUMMYFUNCTION("""COMPUTED_VALUE"""),"อยู่สำราญ")</f>
        <v>อยู่สำราญ</v>
      </c>
      <c r="I769" t="str">
        <f>IFERROR(__xludf.DUMMYFUNCTION("""COMPUTED_VALUE"""),"นพวรรณ อยู่สำราญ")</f>
        <v>นพวรรณ อยู่สำราญ</v>
      </c>
      <c r="J769" t="str">
        <f>IFERROR(__xludf.DUMMYFUNCTION("""COMPUTED_VALUE"""),"Aungpao อั่งเปา")</f>
        <v>Aungpao อั่งเปา</v>
      </c>
      <c r="K769" t="str">
        <f>IFERROR(__xludf.DUMMYFUNCTION("""COMPUTED_VALUE"""),"Cabin Crew")</f>
        <v>Cabin Crew</v>
      </c>
      <c r="L769" t="str">
        <f>IFERROR(__xludf.DUMMYFUNCTION("""COMPUTED_VALUE"""),"DMK")</f>
        <v>DMK</v>
      </c>
      <c r="M769" s="145" t="str">
        <f>IFERROR(__xludf.DUMMYFUNCTION("""COMPUTED_VALUE"""),"Toffy Home")</f>
        <v>Toffy Home</v>
      </c>
      <c r="N769" t="str">
        <f>IFERROR(__xludf.DUMMYFUNCTION("""COMPUTED_VALUE"""),"Active")</f>
        <v>Active</v>
      </c>
      <c r="P769" s="143">
        <f>IFERROR(__xludf.DUMMYFUNCTION("""COMPUTED_VALUE"""),33604.0)</f>
        <v>33604</v>
      </c>
      <c r="Q769" s="146" t="str">
        <f>IFERROR(__xludf.DUMMYFUNCTION("""COMPUTED_VALUE"""),"080-552-0580")</f>
        <v>080-552-0580</v>
      </c>
      <c r="R769" s="147">
        <f>IFERROR(__xludf.DUMMYFUNCTION("""COMPUTED_VALUE"""),1.101800504087E12)</f>
        <v>1101800504087</v>
      </c>
      <c r="S769" t="str">
        <f>IFERROR(__xludf.DUMMYFUNCTION("""COMPUTED_VALUE"""),"AD0969505")</f>
        <v>AD0969505</v>
      </c>
      <c r="T769" s="148">
        <f>IFERROR(__xludf.DUMMYFUNCTION("""COMPUTED_VALUE"""),45037.0)</f>
        <v>45037</v>
      </c>
      <c r="U769" s="148">
        <f>IFERROR(__xludf.DUMMYFUNCTION("""COMPUTED_VALUE"""),48689.0)</f>
        <v>48689</v>
      </c>
      <c r="V769" s="149">
        <f>IFERROR(__xludf.DUMMYFUNCTION("""COMPUTED_VALUE"""),48507.0)</f>
        <v>48507</v>
      </c>
      <c r="W769" t="str">
        <f>IFERROR(__xludf.DUMMYFUNCTION("""COMPUTED_VALUE"""),"ปลอดภัย")</f>
        <v>ปลอดภัย</v>
      </c>
      <c r="X769" t="str">
        <f>IFERROR(__xludf.DUMMYFUNCTION("""COMPUTED_VALUE"""),"Bangkok")</f>
        <v>Bangkok</v>
      </c>
      <c r="Y769" t="str">
        <f>IFERROR(__xludf.DUMMYFUNCTION("""COMPUTED_VALUE"""),"Sai-Mai")</f>
        <v>Sai-Mai</v>
      </c>
      <c r="Z769" t="str">
        <f>IFERROR(__xludf.DUMMYFUNCTION("""COMPUTED_VALUE"""),"089-122-9234")</f>
        <v>089-122-9234</v>
      </c>
      <c r="AA769" t="str">
        <f>IFERROR(__xludf.DUMMYFUNCTION("""COMPUTED_VALUE"""),"Aunchalee Yoosamran (Mother)")</f>
        <v>Aunchalee Yoosamran (Mother)</v>
      </c>
      <c r="AB769" t="str">
        <f>IFERROR(__xludf.DUMMYFUNCTION("""COMPUTED_VALUE"""),"noppawany@airasia.com")</f>
        <v>noppawany@airasia.com</v>
      </c>
    </row>
    <row r="770">
      <c r="A770">
        <f>IFERROR(__xludf.DUMMYFUNCTION("""COMPUTED_VALUE"""),1009608.0)</f>
        <v>1009608</v>
      </c>
      <c r="B770" t="str">
        <f>IFERROR(__xludf.DUMMYFUNCTION("""COMPUTED_VALUE"""),"Ms.")</f>
        <v>Ms.</v>
      </c>
      <c r="C770" t="str">
        <f>IFERROR(__xludf.DUMMYFUNCTION("""COMPUTED_VALUE"""),"Nattira")</f>
        <v>Nattira</v>
      </c>
      <c r="D770" t="str">
        <f>IFERROR(__xludf.DUMMYFUNCTION("""COMPUTED_VALUE"""),"Modthong")</f>
        <v>Modthong</v>
      </c>
      <c r="E770" t="str">
        <f>IFERROR(__xludf.DUMMYFUNCTION("""COMPUTED_VALUE"""),"Nattira Modthong")</f>
        <v>Nattira Modthong</v>
      </c>
      <c r="F770" t="str">
        <f>IFERROR(__xludf.DUMMYFUNCTION("""COMPUTED_VALUE"""),"นางสาว")</f>
        <v>นางสาว</v>
      </c>
      <c r="G770" t="str">
        <f>IFERROR(__xludf.DUMMYFUNCTION("""COMPUTED_VALUE"""),"ณัฐฐิรา")</f>
        <v>ณัฐฐิรา</v>
      </c>
      <c r="H770" t="str">
        <f>IFERROR(__xludf.DUMMYFUNCTION("""COMPUTED_VALUE"""),"มดทอง")</f>
        <v>มดทอง</v>
      </c>
      <c r="I770" t="str">
        <f>IFERROR(__xludf.DUMMYFUNCTION("""COMPUTED_VALUE"""),"ณัฐฐิรา มดทอง")</f>
        <v>ณัฐฐิรา มดทอง</v>
      </c>
      <c r="J770" t="str">
        <f>IFERROR(__xludf.DUMMYFUNCTION("""COMPUTED_VALUE"""),"Som ส้ม")</f>
        <v>Som ส้ม</v>
      </c>
      <c r="K770" t="str">
        <f>IFERROR(__xludf.DUMMYFUNCTION("""COMPUTED_VALUE"""),"Cabin Crew")</f>
        <v>Cabin Crew</v>
      </c>
      <c r="L770" t="str">
        <f>IFERROR(__xludf.DUMMYFUNCTION("""COMPUTED_VALUE"""),"DMK")</f>
        <v>DMK</v>
      </c>
      <c r="M770" s="145" t="str">
        <f>IFERROR(__xludf.DUMMYFUNCTION("""COMPUTED_VALUE"""),"Namfon Home")</f>
        <v>Namfon Home</v>
      </c>
      <c r="N770" t="str">
        <f>IFERROR(__xludf.DUMMYFUNCTION("""COMPUTED_VALUE"""),"Active")</f>
        <v>Active</v>
      </c>
      <c r="P770" s="143">
        <f>IFERROR(__xludf.DUMMYFUNCTION("""COMPUTED_VALUE"""),33345.0)</f>
        <v>33345</v>
      </c>
      <c r="Q770" s="146" t="str">
        <f>IFERROR(__xludf.DUMMYFUNCTION("""COMPUTED_VALUE"""),"089-130-2322")</f>
        <v>089-130-2322</v>
      </c>
      <c r="R770" s="147">
        <f>IFERROR(__xludf.DUMMYFUNCTION("""COMPUTED_VALUE"""),1.100701347152E12)</f>
        <v>1100701347152</v>
      </c>
      <c r="S770" t="str">
        <f>IFERROR(__xludf.DUMMYFUNCTION("""COMPUTED_VALUE"""),"AC2310558")</f>
        <v>AC2310558</v>
      </c>
      <c r="T770" s="148">
        <f>IFERROR(__xludf.DUMMYFUNCTION("""COMPUTED_VALUE"""),44358.0)</f>
        <v>44358</v>
      </c>
      <c r="U770" s="148">
        <f>IFERROR(__xludf.DUMMYFUNCTION("""COMPUTED_VALUE"""),48009.0)</f>
        <v>48009</v>
      </c>
      <c r="V770" s="149">
        <f>IFERROR(__xludf.DUMMYFUNCTION("""COMPUTED_VALUE"""),47827.0)</f>
        <v>47827</v>
      </c>
      <c r="W770" t="str">
        <f>IFERROR(__xludf.DUMMYFUNCTION("""COMPUTED_VALUE"""),"ปลอดภัย")</f>
        <v>ปลอดภัย</v>
      </c>
      <c r="X770" t="str">
        <f>IFERROR(__xludf.DUMMYFUNCTION("""COMPUTED_VALUE"""),"Bangkok")</f>
        <v>Bangkok</v>
      </c>
      <c r="Y770" t="str">
        <f>IFERROR(__xludf.DUMMYFUNCTION("""COMPUTED_VALUE"""),"Bangkok")</f>
        <v>Bangkok</v>
      </c>
      <c r="Z770" t="str">
        <f>IFERROR(__xludf.DUMMYFUNCTION("""COMPUTED_VALUE"""),"081-827-2766")</f>
        <v>081-827-2766</v>
      </c>
      <c r="AA770" t="str">
        <f>IFERROR(__xludf.DUMMYFUNCTION("""COMPUTED_VALUE"""),"Natcharee Jirabunchuchai (Mother)")</f>
        <v>Natcharee Jirabunchuchai (Mother)</v>
      </c>
      <c r="AB770" t="str">
        <f>IFERROR(__xludf.DUMMYFUNCTION("""COMPUTED_VALUE"""),"nattiram@airasia.com")</f>
        <v>nattiram@airasia.com</v>
      </c>
    </row>
    <row r="771">
      <c r="AB771" t="str">
        <f>IFERROR(__xludf.DUMMYFUNCTION("""COMPUTED_VALUE"""),"")</f>
        <v/>
      </c>
    </row>
    <row r="772">
      <c r="A772">
        <f>IFERROR(__xludf.DUMMYFUNCTION("""COMPUTED_VALUE"""),1017639.0)</f>
        <v>1017639</v>
      </c>
      <c r="B772" t="str">
        <f>IFERROR(__xludf.DUMMYFUNCTION("""COMPUTED_VALUE"""),"Mr.")</f>
        <v>Mr.</v>
      </c>
      <c r="C772" t="str">
        <f>IFERROR(__xludf.DUMMYFUNCTION("""COMPUTED_VALUE"""),"DHANUPOL")</f>
        <v>DHANUPOL</v>
      </c>
      <c r="D772" t="str">
        <f>IFERROR(__xludf.DUMMYFUNCTION("""COMPUTED_VALUE"""),"SAGULSUKHMONGKOL")</f>
        <v>SAGULSUKHMONGKOL</v>
      </c>
      <c r="E772" t="str">
        <f>IFERROR(__xludf.DUMMYFUNCTION("""COMPUTED_VALUE"""),"Dhanupol Sagulsukhmongkol")</f>
        <v>Dhanupol Sagulsukhmongkol</v>
      </c>
      <c r="F772" t="str">
        <f>IFERROR(__xludf.DUMMYFUNCTION("""COMPUTED_VALUE"""),"นาย")</f>
        <v>นาย</v>
      </c>
      <c r="G772" t="str">
        <f>IFERROR(__xludf.DUMMYFUNCTION("""COMPUTED_VALUE"""),"ดนุพล")</f>
        <v>ดนุพล</v>
      </c>
      <c r="H772" t="str">
        <f>IFERROR(__xludf.DUMMYFUNCTION("""COMPUTED_VALUE"""),"สกุลสุขมงคล")</f>
        <v>สกุลสุขมงคล</v>
      </c>
      <c r="I772" t="str">
        <f>IFERROR(__xludf.DUMMYFUNCTION("""COMPUTED_VALUE"""),"ดนุพล สกุลสุขมงคล")</f>
        <v>ดนุพล สกุลสุขมงคล</v>
      </c>
      <c r="J772" t="str">
        <f>IFERROR(__xludf.DUMMYFUNCTION("""COMPUTED_VALUE"""),"Ize ไอซ์")</f>
        <v>Ize ไอซ์</v>
      </c>
      <c r="K772" t="str">
        <f>IFERROR(__xludf.DUMMYFUNCTION("""COMPUTED_VALUE"""),"Cabin Crew")</f>
        <v>Cabin Crew</v>
      </c>
      <c r="L772" t="str">
        <f>IFERROR(__xludf.DUMMYFUNCTION("""COMPUTED_VALUE"""),"DMK")</f>
        <v>DMK</v>
      </c>
      <c r="M772" s="145" t="str">
        <f>IFERROR(__xludf.DUMMYFUNCTION("""COMPUTED_VALUE"""),"Toffy Home")</f>
        <v>Toffy Home</v>
      </c>
      <c r="N772" t="str">
        <f>IFERROR(__xludf.DUMMYFUNCTION("""COMPUTED_VALUE"""),"Active")</f>
        <v>Active</v>
      </c>
      <c r="P772" s="143">
        <f>IFERROR(__xludf.DUMMYFUNCTION("""COMPUTED_VALUE"""),30622.0)</f>
        <v>30622</v>
      </c>
      <c r="Q772" s="146" t="str">
        <f>IFERROR(__xludf.DUMMYFUNCTION("""COMPUTED_VALUE"""),"081-616-5554")</f>
        <v>081-616-5554</v>
      </c>
      <c r="R772" s="147" t="str">
        <f>IFERROR(__xludf.DUMMYFUNCTION("""COMPUTED_VALUE"""),"3-7202-00749-86-1")</f>
        <v>3-7202-00749-86-1</v>
      </c>
      <c r="S772" t="str">
        <f>IFERROR(__xludf.DUMMYFUNCTION("""COMPUTED_VALUE"""),"AC3236775")</f>
        <v>AC3236775</v>
      </c>
      <c r="T772" s="148">
        <f>IFERROR(__xludf.DUMMYFUNCTION("""COMPUTED_VALUE"""),44711.0)</f>
        <v>44711</v>
      </c>
      <c r="U772" s="148">
        <f>IFERROR(__xludf.DUMMYFUNCTION("""COMPUTED_VALUE"""),48363.0)</f>
        <v>48363</v>
      </c>
      <c r="V772" s="149">
        <f>IFERROR(__xludf.DUMMYFUNCTION("""COMPUTED_VALUE"""),48181.0)</f>
        <v>48181</v>
      </c>
      <c r="W772" t="str">
        <f>IFERROR(__xludf.DUMMYFUNCTION("""COMPUTED_VALUE"""),"ปลอดภัย")</f>
        <v>ปลอดภัย</v>
      </c>
      <c r="X772" t="str">
        <f>IFERROR(__xludf.DUMMYFUNCTION("""COMPUTED_VALUE"""),"Suphan Buri Province")</f>
        <v>Suphan Buri Province</v>
      </c>
      <c r="Y772" t="str">
        <f>IFERROR(__xludf.DUMMYFUNCTION("""COMPUTED_VALUE"""),"Phranakhon si ayutthaya")</f>
        <v>Phranakhon si ayutthaya</v>
      </c>
      <c r="Z772" t="str">
        <f>IFERROR(__xludf.DUMMYFUNCTION("""COMPUTED_VALUE"""),"096-395-5697 / 089-743-5505")</f>
        <v>096-395-5697 / 089-743-5505</v>
      </c>
      <c r="AA772" t="str">
        <f>IFERROR(__xludf.DUMMYFUNCTION("""COMPUTED_VALUE"""),"Pinsuda Sagulsukhmongkol(Mother)/Chanwit (friend)")</f>
        <v>Pinsuda Sagulsukhmongkol(Mother)/Chanwit (friend)</v>
      </c>
      <c r="AB772" t="str">
        <f>IFERROR(__xludf.DUMMYFUNCTION("""COMPUTED_VALUE"""),"dhanupols@airasia.com")</f>
        <v>dhanupols@airasia.com</v>
      </c>
    </row>
    <row r="773">
      <c r="A773">
        <f>IFERROR(__xludf.DUMMYFUNCTION("""COMPUTED_VALUE"""),1017644.0)</f>
        <v>1017644</v>
      </c>
      <c r="B773" t="str">
        <f>IFERROR(__xludf.DUMMYFUNCTION("""COMPUTED_VALUE"""),"Mr.")</f>
        <v>Mr.</v>
      </c>
      <c r="C773" t="str">
        <f>IFERROR(__xludf.DUMMYFUNCTION("""COMPUTED_VALUE"""),"Natthaphon")</f>
        <v>Natthaphon</v>
      </c>
      <c r="D773" t="str">
        <f>IFERROR(__xludf.DUMMYFUNCTION("""COMPUTED_VALUE"""),"Kattachan")</f>
        <v>Kattachan</v>
      </c>
      <c r="E773" t="str">
        <f>IFERROR(__xludf.DUMMYFUNCTION("""COMPUTED_VALUE"""),"Natthaphon Kattachan")</f>
        <v>Natthaphon Kattachan</v>
      </c>
      <c r="F773" t="str">
        <f>IFERROR(__xludf.DUMMYFUNCTION("""COMPUTED_VALUE"""),"นาย")</f>
        <v>นาย</v>
      </c>
      <c r="G773" t="str">
        <f>IFERROR(__xludf.DUMMYFUNCTION("""COMPUTED_VALUE"""),"ณัฐพล")</f>
        <v>ณัฐพล</v>
      </c>
      <c r="H773" t="str">
        <f>IFERROR(__xludf.DUMMYFUNCTION("""COMPUTED_VALUE"""),"คัฒทะจันทร์")</f>
        <v>คัฒทะจันทร์</v>
      </c>
      <c r="I773" t="str">
        <f>IFERROR(__xludf.DUMMYFUNCTION("""COMPUTED_VALUE"""),"ณัฐพล คัฒทะจันทร์")</f>
        <v>ณัฐพล คัฒทะจันทร์</v>
      </c>
      <c r="J773" t="str">
        <f>IFERROR(__xludf.DUMMYFUNCTION("""COMPUTED_VALUE"""),"Aea เอ๊ะ")</f>
        <v>Aea เอ๊ะ</v>
      </c>
      <c r="K773" t="str">
        <f>IFERROR(__xludf.DUMMYFUNCTION("""COMPUTED_VALUE"""),"Cabin Crew")</f>
        <v>Cabin Crew</v>
      </c>
      <c r="L773" t="str">
        <f>IFERROR(__xludf.DUMMYFUNCTION("""COMPUTED_VALUE"""),"DMK")</f>
        <v>DMK</v>
      </c>
      <c r="M773" s="145" t="str">
        <f>IFERROR(__xludf.DUMMYFUNCTION("""COMPUTED_VALUE"""),"Up Home")</f>
        <v>Up Home</v>
      </c>
      <c r="N773" t="str">
        <f>IFERROR(__xludf.DUMMYFUNCTION("""COMPUTED_VALUE"""),"Active")</f>
        <v>Active</v>
      </c>
      <c r="P773" s="143">
        <f>IFERROR(__xludf.DUMMYFUNCTION("""COMPUTED_VALUE"""),33854.0)</f>
        <v>33854</v>
      </c>
      <c r="Q773" s="146" t="str">
        <f>IFERROR(__xludf.DUMMYFUNCTION("""COMPUTED_VALUE"""),"089-886-8470")</f>
        <v>089-886-8470</v>
      </c>
      <c r="R773" s="147" t="str">
        <f>IFERROR(__xludf.DUMMYFUNCTION("""COMPUTED_VALUE"""),"1-1601-00378-39-8")</f>
        <v>1-1601-00378-39-8</v>
      </c>
      <c r="S773" t="str">
        <f>IFERROR(__xludf.DUMMYFUNCTION("""COMPUTED_VALUE"""),"AC5387812")</f>
        <v>AC5387812</v>
      </c>
      <c r="T773" s="148">
        <f>IFERROR(__xludf.DUMMYFUNCTION("""COMPUTED_VALUE"""),45145.0)</f>
        <v>45145</v>
      </c>
      <c r="U773" s="148">
        <f>IFERROR(__xludf.DUMMYFUNCTION("""COMPUTED_VALUE"""),48797.0)</f>
        <v>48797</v>
      </c>
      <c r="V773" s="149">
        <f>IFERROR(__xludf.DUMMYFUNCTION("""COMPUTED_VALUE"""),48616.0)</f>
        <v>48616</v>
      </c>
      <c r="W773" t="str">
        <f>IFERROR(__xludf.DUMMYFUNCTION("""COMPUTED_VALUE"""),"ปลอดภัย")</f>
        <v>ปลอดภัย</v>
      </c>
      <c r="X773" t="str">
        <f>IFERROR(__xludf.DUMMYFUNCTION("""COMPUTED_VALUE"""),"Lopburi Province")</f>
        <v>Lopburi Province</v>
      </c>
      <c r="Y773" t="str">
        <f>IFERROR(__xludf.DUMMYFUNCTION("""COMPUTED_VALUE"""),"Nonthaburi")</f>
        <v>Nonthaburi</v>
      </c>
      <c r="Z773" t="str">
        <f>IFERROR(__xludf.DUMMYFUNCTION("""COMPUTED_VALUE"""),"084-449-2749")</f>
        <v>084-449-2749</v>
      </c>
      <c r="AA773" t="str">
        <f>IFERROR(__xludf.DUMMYFUNCTION("""COMPUTED_VALUE"""),"Unchalee Pernetta (Mother)")</f>
        <v>Unchalee Pernetta (Mother)</v>
      </c>
      <c r="AB773" t="str">
        <f>IFERROR(__xludf.DUMMYFUNCTION("""COMPUTED_VALUE"""),"natthaphona@airasia.com")</f>
        <v>natthaphona@airasia.com</v>
      </c>
    </row>
    <row r="774">
      <c r="A774">
        <f>IFERROR(__xludf.DUMMYFUNCTION("""COMPUTED_VALUE"""),1017645.0)</f>
        <v>1017645</v>
      </c>
      <c r="B774" t="str">
        <f>IFERROR(__xludf.DUMMYFUNCTION("""COMPUTED_VALUE"""),"Ms.")</f>
        <v>Ms.</v>
      </c>
      <c r="C774" t="str">
        <f>IFERROR(__xludf.DUMMYFUNCTION("""COMPUTED_VALUE"""),"Nattida")</f>
        <v>Nattida</v>
      </c>
      <c r="D774" t="str">
        <f>IFERROR(__xludf.DUMMYFUNCTION("""COMPUTED_VALUE"""),"Palasak")</f>
        <v>Palasak</v>
      </c>
      <c r="E774" t="str">
        <f>IFERROR(__xludf.DUMMYFUNCTION("""COMPUTED_VALUE"""),"Nattida Palasak")</f>
        <v>Nattida Palasak</v>
      </c>
      <c r="F774" t="str">
        <f>IFERROR(__xludf.DUMMYFUNCTION("""COMPUTED_VALUE"""),"นางสาว")</f>
        <v>นางสาว</v>
      </c>
      <c r="G774" t="str">
        <f>IFERROR(__xludf.DUMMYFUNCTION("""COMPUTED_VALUE"""),"ณัฐธิดา")</f>
        <v>ณัฐธิดา</v>
      </c>
      <c r="H774" t="str">
        <f>IFERROR(__xludf.DUMMYFUNCTION("""COMPUTED_VALUE"""),"พลศักดิ์")</f>
        <v>พลศักดิ์</v>
      </c>
      <c r="I774" t="str">
        <f>IFERROR(__xludf.DUMMYFUNCTION("""COMPUTED_VALUE"""),"ณัฐธิดา พลศักดิ์")</f>
        <v>ณัฐธิดา พลศักดิ์</v>
      </c>
      <c r="J774" t="str">
        <f>IFERROR(__xludf.DUMMYFUNCTION("""COMPUTED_VALUE"""),"Fon ฝน")</f>
        <v>Fon ฝน</v>
      </c>
      <c r="K774" t="str">
        <f>IFERROR(__xludf.DUMMYFUNCTION("""COMPUTED_VALUE"""),"Cabin Crew")</f>
        <v>Cabin Crew</v>
      </c>
      <c r="L774" t="str">
        <f>IFERROR(__xludf.DUMMYFUNCTION("""COMPUTED_VALUE"""),"DMK")</f>
        <v>DMK</v>
      </c>
      <c r="M774" s="145" t="str">
        <f>IFERROR(__xludf.DUMMYFUNCTION("""COMPUTED_VALUE"""),"Por+ Home")</f>
        <v>Por+ Home</v>
      </c>
      <c r="N774" t="str">
        <f>IFERROR(__xludf.DUMMYFUNCTION("""COMPUTED_VALUE"""),"Active")</f>
        <v>Active</v>
      </c>
      <c r="P774" s="143">
        <f>IFERROR(__xludf.DUMMYFUNCTION("""COMPUTED_VALUE"""),33083.0)</f>
        <v>33083</v>
      </c>
      <c r="Q774" s="146" t="str">
        <f>IFERROR(__xludf.DUMMYFUNCTION("""COMPUTED_VALUE"""),"083-025-6325")</f>
        <v>083-025-6325</v>
      </c>
      <c r="R774" s="147" t="str">
        <f>IFERROR(__xludf.DUMMYFUNCTION("""COMPUTED_VALUE"""),"1-6799-00197-19-7")</f>
        <v>1-6799-00197-19-7</v>
      </c>
      <c r="S774" t="str">
        <f>IFERROR(__xludf.DUMMYFUNCTION("""COMPUTED_VALUE"""),"AC2926474")</f>
        <v>AC2926474</v>
      </c>
      <c r="T774" s="148">
        <f>IFERROR(__xludf.DUMMYFUNCTION("""COMPUTED_VALUE"""),44627.0)</f>
        <v>44627</v>
      </c>
      <c r="U774" s="148">
        <f>IFERROR(__xludf.DUMMYFUNCTION("""COMPUTED_VALUE"""),48279.0)</f>
        <v>48279</v>
      </c>
      <c r="V774" s="149">
        <f>IFERROR(__xludf.DUMMYFUNCTION("""COMPUTED_VALUE"""),48097.0)</f>
        <v>48097</v>
      </c>
      <c r="W774" t="str">
        <f>IFERROR(__xludf.DUMMYFUNCTION("""COMPUTED_VALUE"""),"ปลอดภัย")</f>
        <v>ปลอดภัย</v>
      </c>
      <c r="X774" t="str">
        <f>IFERROR(__xludf.DUMMYFUNCTION("""COMPUTED_VALUE"""),"Phetchabun Province")</f>
        <v>Phetchabun Province</v>
      </c>
      <c r="Y774" t="str">
        <f>IFERROR(__xludf.DUMMYFUNCTION("""COMPUTED_VALUE"""),"Bangkok")</f>
        <v>Bangkok</v>
      </c>
      <c r="Z774" t="str">
        <f>IFERROR(__xludf.DUMMYFUNCTION("""COMPUTED_VALUE"""),"084-133-3123")</f>
        <v>084-133-3123</v>
      </c>
      <c r="AA774" t="str">
        <f>IFERROR(__xludf.DUMMYFUNCTION("""COMPUTED_VALUE"""),"Kanyarat Palasak (Sister)")</f>
        <v>Kanyarat Palasak (Sister)</v>
      </c>
      <c r="AB774" t="str">
        <f>IFERROR(__xludf.DUMMYFUNCTION("""COMPUTED_VALUE"""),"nattidap@airasia.com")</f>
        <v>nattidap@airasia.com</v>
      </c>
    </row>
    <row r="775">
      <c r="A775">
        <f>IFERROR(__xludf.DUMMYFUNCTION("""COMPUTED_VALUE"""),1017646.0)</f>
        <v>1017646</v>
      </c>
      <c r="B775" t="str">
        <f>IFERROR(__xludf.DUMMYFUNCTION("""COMPUTED_VALUE"""),"Ms.")</f>
        <v>Ms.</v>
      </c>
      <c r="C775" t="str">
        <f>IFERROR(__xludf.DUMMYFUNCTION("""COMPUTED_VALUE"""),"Panisara")</f>
        <v>Panisara</v>
      </c>
      <c r="D775" t="str">
        <f>IFERROR(__xludf.DUMMYFUNCTION("""COMPUTED_VALUE"""),"Pratoomchat")</f>
        <v>Pratoomchat</v>
      </c>
      <c r="E775" t="str">
        <f>IFERROR(__xludf.DUMMYFUNCTION("""COMPUTED_VALUE"""),"Panisara Pratoomchat")</f>
        <v>Panisara Pratoomchat</v>
      </c>
      <c r="F775" t="str">
        <f>IFERROR(__xludf.DUMMYFUNCTION("""COMPUTED_VALUE"""),"นางสาว")</f>
        <v>นางสาว</v>
      </c>
      <c r="G775" t="str">
        <f>IFERROR(__xludf.DUMMYFUNCTION("""COMPUTED_VALUE"""),"ปาณิสรา")</f>
        <v>ปาณิสรา</v>
      </c>
      <c r="H775" t="str">
        <f>IFERROR(__xludf.DUMMYFUNCTION("""COMPUTED_VALUE"""),"ประทุมชาติ")</f>
        <v>ประทุมชาติ</v>
      </c>
      <c r="I775" t="str">
        <f>IFERROR(__xludf.DUMMYFUNCTION("""COMPUTED_VALUE"""),"ปาณิสรา ประทุมชาติ")</f>
        <v>ปาณิสรา ประทุมชาติ</v>
      </c>
      <c r="J775" t="str">
        <f>IFERROR(__xludf.DUMMYFUNCTION("""COMPUTED_VALUE"""),"Noon นุ่น")</f>
        <v>Noon นุ่น</v>
      </c>
      <c r="K775" t="str">
        <f>IFERROR(__xludf.DUMMYFUNCTION("""COMPUTED_VALUE"""),"Cabin Crew - BKK")</f>
        <v>Cabin Crew - BKK</v>
      </c>
      <c r="L775" t="str">
        <f>IFERROR(__xludf.DUMMYFUNCTION("""COMPUTED_VALUE"""),"BKK")</f>
        <v>BKK</v>
      </c>
      <c r="M775" s="145" t="str">
        <f>IFERROR(__xludf.DUMMYFUNCTION("""COMPUTED_VALUE"""),"Nhui Home")</f>
        <v>Nhui Home</v>
      </c>
      <c r="N775" t="str">
        <f>IFERROR(__xludf.DUMMYFUNCTION("""COMPUTED_VALUE"""),"Active")</f>
        <v>Active</v>
      </c>
      <c r="P775" s="143">
        <f>IFERROR(__xludf.DUMMYFUNCTION("""COMPUTED_VALUE"""),32798.0)</f>
        <v>32798</v>
      </c>
      <c r="Q775" s="146" t="str">
        <f>IFERROR(__xludf.DUMMYFUNCTION("""COMPUTED_VALUE"""),"086-365-0803")</f>
        <v>086-365-0803</v>
      </c>
      <c r="R775" s="147" t="str">
        <f>IFERROR(__xludf.DUMMYFUNCTION("""COMPUTED_VALUE"""),"1-2001-00265-24-0")</f>
        <v>1-2001-00265-24-0</v>
      </c>
      <c r="S775" t="str">
        <f>IFERROR(__xludf.DUMMYFUNCTION("""COMPUTED_VALUE"""),"AD1715495")</f>
        <v>AD1715495</v>
      </c>
      <c r="T775" s="148">
        <f>IFERROR(__xludf.DUMMYFUNCTION("""COMPUTED_VALUE"""),45448.0)</f>
        <v>45448</v>
      </c>
      <c r="U775" s="148">
        <f>IFERROR(__xludf.DUMMYFUNCTION("""COMPUTED_VALUE"""),49099.0)</f>
        <v>49099</v>
      </c>
      <c r="V775" s="149">
        <f>IFERROR(__xludf.DUMMYFUNCTION("""COMPUTED_VALUE"""),48917.0)</f>
        <v>48917</v>
      </c>
      <c r="W775" t="str">
        <f>IFERROR(__xludf.DUMMYFUNCTION("""COMPUTED_VALUE"""),"ปลอดภัย")</f>
        <v>ปลอดภัย</v>
      </c>
      <c r="X775" t="str">
        <f>IFERROR(__xludf.DUMMYFUNCTION("""COMPUTED_VALUE"""),"Chonburi Province")</f>
        <v>Chonburi Province</v>
      </c>
      <c r="Y775" t="str">
        <f>IFERROR(__xludf.DUMMYFUNCTION("""COMPUTED_VALUE"""),"Chonburi")</f>
        <v>Chonburi</v>
      </c>
      <c r="Z775" t="str">
        <f>IFERROR(__xludf.DUMMYFUNCTION("""COMPUTED_VALUE"""),"087-979-4221")</f>
        <v>087-979-4221</v>
      </c>
      <c r="AA775" t="str">
        <f>IFERROR(__xludf.DUMMYFUNCTION("""COMPUTED_VALUE"""),"Wanchai Pratoomchat(Father)")</f>
        <v>Wanchai Pratoomchat(Father)</v>
      </c>
      <c r="AB775" t="str">
        <f>IFERROR(__xludf.DUMMYFUNCTION("""COMPUTED_VALUE"""),"panisarar@airasia.com")</f>
        <v>panisarar@airasia.com</v>
      </c>
    </row>
    <row r="776">
      <c r="A776">
        <f>IFERROR(__xludf.DUMMYFUNCTION("""COMPUTED_VALUE"""),1017647.0)</f>
        <v>1017647</v>
      </c>
      <c r="B776" t="str">
        <f>IFERROR(__xludf.DUMMYFUNCTION("""COMPUTED_VALUE"""),"Mr.")</f>
        <v>Mr.</v>
      </c>
      <c r="C776" t="str">
        <f>IFERROR(__xludf.DUMMYFUNCTION("""COMPUTED_VALUE"""),"Papopvit")</f>
        <v>Papopvit</v>
      </c>
      <c r="D776" t="str">
        <f>IFERROR(__xludf.DUMMYFUNCTION("""COMPUTED_VALUE"""),"Pungposop")</f>
        <v>Pungposop</v>
      </c>
      <c r="E776" t="str">
        <f>IFERROR(__xludf.DUMMYFUNCTION("""COMPUTED_VALUE"""),"Papopvit Pungposop")</f>
        <v>Papopvit Pungposop</v>
      </c>
      <c r="F776" t="str">
        <f>IFERROR(__xludf.DUMMYFUNCTION("""COMPUTED_VALUE"""),"นาย")</f>
        <v>นาย</v>
      </c>
      <c r="G776" t="str">
        <f>IFERROR(__xludf.DUMMYFUNCTION("""COMPUTED_VALUE"""),"ปภพวิชญ์")</f>
        <v>ปภพวิชญ์</v>
      </c>
      <c r="H776" t="str">
        <f>IFERROR(__xludf.DUMMYFUNCTION("""COMPUTED_VALUE"""),"พึ่งโพธิ์สภ")</f>
        <v>พึ่งโพธิ์สภ</v>
      </c>
      <c r="I776" t="str">
        <f>IFERROR(__xludf.DUMMYFUNCTION("""COMPUTED_VALUE"""),"ปภพวิชญ์ พึ่งโพธิ์สภ")</f>
        <v>ปภพวิชญ์ พึ่งโพธิ์สภ</v>
      </c>
      <c r="J776" t="str">
        <f>IFERROR(__xludf.DUMMYFUNCTION("""COMPUTED_VALUE"""),"Best เบสท์")</f>
        <v>Best เบสท์</v>
      </c>
      <c r="K776" t="str">
        <f>IFERROR(__xludf.DUMMYFUNCTION("""COMPUTED_VALUE"""),"Senior Cabin Crew")</f>
        <v>Senior Cabin Crew</v>
      </c>
      <c r="L776" t="str">
        <f>IFERROR(__xludf.DUMMYFUNCTION("""COMPUTED_VALUE"""),"DMK")</f>
        <v>DMK</v>
      </c>
      <c r="M776" s="145" t="str">
        <f>IFERROR(__xludf.DUMMYFUNCTION("""COMPUTED_VALUE"""),"Por+ Home")</f>
        <v>Por+ Home</v>
      </c>
      <c r="N776" t="str">
        <f>IFERROR(__xludf.DUMMYFUNCTION("""COMPUTED_VALUE"""),"Active")</f>
        <v>Active</v>
      </c>
      <c r="P776" s="143">
        <f>IFERROR(__xludf.DUMMYFUNCTION("""COMPUTED_VALUE"""),33423.0)</f>
        <v>33423</v>
      </c>
      <c r="Q776" s="146" t="str">
        <f>IFERROR(__xludf.DUMMYFUNCTION("""COMPUTED_VALUE"""),"089-636-9515")</f>
        <v>089-636-9515</v>
      </c>
      <c r="R776" s="147" t="str">
        <f>IFERROR(__xludf.DUMMYFUNCTION("""COMPUTED_VALUE"""),"1-1014-01903-24-7")</f>
        <v>1-1014-01903-24-7</v>
      </c>
      <c r="S776" t="str">
        <f>IFERROR(__xludf.DUMMYFUNCTION("""COMPUTED_VALUE"""),"AC4996340")</f>
        <v>AC4996340</v>
      </c>
      <c r="T776" s="148">
        <f>IFERROR(__xludf.DUMMYFUNCTION("""COMPUTED_VALUE"""),45089.0)</f>
        <v>45089</v>
      </c>
      <c r="U776" s="148">
        <f>IFERROR(__xludf.DUMMYFUNCTION("""COMPUTED_VALUE"""),48741.0)</f>
        <v>48741</v>
      </c>
      <c r="V776" s="149">
        <f>IFERROR(__xludf.DUMMYFUNCTION("""COMPUTED_VALUE"""),48559.0)</f>
        <v>48559</v>
      </c>
      <c r="W776" t="str">
        <f>IFERROR(__xludf.DUMMYFUNCTION("""COMPUTED_VALUE"""),"ปลอดภัย")</f>
        <v>ปลอดภัย</v>
      </c>
      <c r="X776" t="str">
        <f>IFERROR(__xludf.DUMMYFUNCTION("""COMPUTED_VALUE"""),"Bangkok")</f>
        <v>Bangkok</v>
      </c>
      <c r="Y776" t="str">
        <f>IFERROR(__xludf.DUMMYFUNCTION("""COMPUTED_VALUE"""),"Bangkok")</f>
        <v>Bangkok</v>
      </c>
      <c r="Z776" t="str">
        <f>IFERROR(__xludf.DUMMYFUNCTION("""COMPUTED_VALUE"""),"094-408-2225")</f>
        <v>094-408-2225</v>
      </c>
      <c r="AA776" t="str">
        <f>IFERROR(__xludf.DUMMYFUNCTION("""COMPUTED_VALUE"""),"Nophamongkol Songsaard(Mother)")</f>
        <v>Nophamongkol Songsaard(Mother)</v>
      </c>
      <c r="AB776" t="str">
        <f>IFERROR(__xludf.DUMMYFUNCTION("""COMPUTED_VALUE"""),"papopvitp@airasia.com")</f>
        <v>papopvitp@airasia.com</v>
      </c>
    </row>
    <row r="777">
      <c r="A777">
        <f>IFERROR(__xludf.DUMMYFUNCTION("""COMPUTED_VALUE"""),1017648.0)</f>
        <v>1017648</v>
      </c>
      <c r="B777" t="str">
        <f>IFERROR(__xludf.DUMMYFUNCTION("""COMPUTED_VALUE"""),"Mr.")</f>
        <v>Mr.</v>
      </c>
      <c r="C777" t="str">
        <f>IFERROR(__xludf.DUMMYFUNCTION("""COMPUTED_VALUE"""),"Sangkas")</f>
        <v>Sangkas</v>
      </c>
      <c r="D777" t="str">
        <f>IFERROR(__xludf.DUMMYFUNCTION("""COMPUTED_VALUE"""),"Phetchai")</f>
        <v>Phetchai</v>
      </c>
      <c r="E777" t="str">
        <f>IFERROR(__xludf.DUMMYFUNCTION("""COMPUTED_VALUE"""),"Sangkas Phetchai")</f>
        <v>Sangkas Phetchai</v>
      </c>
      <c r="F777" t="str">
        <f>IFERROR(__xludf.DUMMYFUNCTION("""COMPUTED_VALUE"""),"นาย")</f>
        <v>นาย</v>
      </c>
      <c r="G777" t="str">
        <f>IFERROR(__xludf.DUMMYFUNCTION("""COMPUTED_VALUE"""),"สังกาศ")</f>
        <v>สังกาศ</v>
      </c>
      <c r="H777" t="str">
        <f>IFERROR(__xludf.DUMMYFUNCTION("""COMPUTED_VALUE"""),"เพชรฉาย")</f>
        <v>เพชรฉาย</v>
      </c>
      <c r="I777" t="str">
        <f>IFERROR(__xludf.DUMMYFUNCTION("""COMPUTED_VALUE"""),"สังกาศ เพชรฉาย")</f>
        <v>สังกาศ เพชรฉาย</v>
      </c>
      <c r="J777" t="str">
        <f>IFERROR(__xludf.DUMMYFUNCTION("""COMPUTED_VALUE"""),"Pakkard ผักกาด")</f>
        <v>Pakkard ผักกาด</v>
      </c>
      <c r="K777" t="str">
        <f>IFERROR(__xludf.DUMMYFUNCTION("""COMPUTED_VALUE"""),"Cabin Crew")</f>
        <v>Cabin Crew</v>
      </c>
      <c r="L777" t="str">
        <f>IFERROR(__xludf.DUMMYFUNCTION("""COMPUTED_VALUE"""),"DMK")</f>
        <v>DMK</v>
      </c>
      <c r="M777" s="145" t="str">
        <f>IFERROR(__xludf.DUMMYFUNCTION("""COMPUTED_VALUE"""),"Kor Home")</f>
        <v>Kor Home</v>
      </c>
      <c r="N777" t="str">
        <f>IFERROR(__xludf.DUMMYFUNCTION("""COMPUTED_VALUE"""),"Active")</f>
        <v>Active</v>
      </c>
      <c r="P777" s="143">
        <f>IFERROR(__xludf.DUMMYFUNCTION("""COMPUTED_VALUE"""),33338.0)</f>
        <v>33338</v>
      </c>
      <c r="Q777" s="146" t="str">
        <f>IFERROR(__xludf.DUMMYFUNCTION("""COMPUTED_VALUE"""),"061-556-2824")</f>
        <v>061-556-2824</v>
      </c>
      <c r="R777" s="147" t="str">
        <f>IFERROR(__xludf.DUMMYFUNCTION("""COMPUTED_VALUE"""),"1-1037-00437-38-0")</f>
        <v>1-1037-00437-38-0</v>
      </c>
      <c r="S777" t="str">
        <f>IFERROR(__xludf.DUMMYFUNCTION("""COMPUTED_VALUE"""),"AC8020093")</f>
        <v>AC8020093</v>
      </c>
      <c r="T777" s="148">
        <f>IFERROR(__xludf.DUMMYFUNCTION("""COMPUTED_VALUE"""),45720.0)</f>
        <v>45720</v>
      </c>
      <c r="U777" s="148">
        <f>IFERROR(__xludf.DUMMYFUNCTION("""COMPUTED_VALUE"""),49371.0)</f>
        <v>49371</v>
      </c>
      <c r="V777" s="149">
        <f>IFERROR(__xludf.DUMMYFUNCTION("""COMPUTED_VALUE"""),49190.0)</f>
        <v>49190</v>
      </c>
      <c r="W777" t="str">
        <f>IFERROR(__xludf.DUMMYFUNCTION("""COMPUTED_VALUE"""),"ปลอดภัย")</f>
        <v>ปลอดภัย</v>
      </c>
      <c r="X777" t="str">
        <f>IFERROR(__xludf.DUMMYFUNCTION("""COMPUTED_VALUE"""),"Bangkok")</f>
        <v>Bangkok</v>
      </c>
      <c r="Y777" t="str">
        <f>IFERROR(__xludf.DUMMYFUNCTION("""COMPUTED_VALUE"""),"Bangkok")</f>
        <v>Bangkok</v>
      </c>
      <c r="Z777" t="str">
        <f>IFERROR(__xludf.DUMMYFUNCTION("""COMPUTED_VALUE"""),"085-459-1939")</f>
        <v>085-459-1939</v>
      </c>
      <c r="AA777" t="str">
        <f>IFERROR(__xludf.DUMMYFUNCTION("""COMPUTED_VALUE"""),"Kanchana Phetchai")</f>
        <v>Kanchana Phetchai</v>
      </c>
      <c r="AB777" t="str">
        <f>IFERROR(__xludf.DUMMYFUNCTION("""COMPUTED_VALUE"""),"sangkasp@airasia.com")</f>
        <v>sangkasp@airasia.com</v>
      </c>
    </row>
    <row r="778">
      <c r="A778">
        <f>IFERROR(__xludf.DUMMYFUNCTION("""COMPUTED_VALUE"""),1017650.0)</f>
        <v>1017650</v>
      </c>
      <c r="B778" t="str">
        <f>IFERROR(__xludf.DUMMYFUNCTION("""COMPUTED_VALUE"""),"Ms.")</f>
        <v>Ms.</v>
      </c>
      <c r="C778" t="str">
        <f>IFERROR(__xludf.DUMMYFUNCTION("""COMPUTED_VALUE"""),"Sirikorn")</f>
        <v>Sirikorn</v>
      </c>
      <c r="D778" t="str">
        <f>IFERROR(__xludf.DUMMYFUNCTION("""COMPUTED_VALUE"""),"Saengnak")</f>
        <v>Saengnak</v>
      </c>
      <c r="E778" t="str">
        <f>IFERROR(__xludf.DUMMYFUNCTION("""COMPUTED_VALUE"""),"Sirikorn Saengnak")</f>
        <v>Sirikorn Saengnak</v>
      </c>
      <c r="F778" t="str">
        <f>IFERROR(__xludf.DUMMYFUNCTION("""COMPUTED_VALUE"""),"นางสาว")</f>
        <v>นางสาว</v>
      </c>
      <c r="G778" t="str">
        <f>IFERROR(__xludf.DUMMYFUNCTION("""COMPUTED_VALUE"""),"สิริกร")</f>
        <v>สิริกร</v>
      </c>
      <c r="H778" t="str">
        <f>IFERROR(__xludf.DUMMYFUNCTION("""COMPUTED_VALUE"""),"แสงนาค")</f>
        <v>แสงนาค</v>
      </c>
      <c r="I778" t="str">
        <f>IFERROR(__xludf.DUMMYFUNCTION("""COMPUTED_VALUE"""),"สิริกร แสงนาค")</f>
        <v>สิริกร แสงนาค</v>
      </c>
      <c r="J778" t="str">
        <f>IFERROR(__xludf.DUMMYFUNCTION("""COMPUTED_VALUE"""),"Aey / เอย")</f>
        <v>Aey / เอย</v>
      </c>
      <c r="K778" t="str">
        <f>IFERROR(__xludf.DUMMYFUNCTION("""COMPUTED_VALUE"""),"Cabin Crew - CNX")</f>
        <v>Cabin Crew - CNX</v>
      </c>
      <c r="L778" t="str">
        <f>IFERROR(__xludf.DUMMYFUNCTION("""COMPUTED_VALUE"""),"CNX")</f>
        <v>CNX</v>
      </c>
      <c r="M778" s="145" t="str">
        <f>IFERROR(__xludf.DUMMYFUNCTION("""COMPUTED_VALUE"""),"Up Home")</f>
        <v>Up Home</v>
      </c>
      <c r="N778" t="str">
        <f>IFERROR(__xludf.DUMMYFUNCTION("""COMPUTED_VALUE"""),"Active")</f>
        <v>Active</v>
      </c>
      <c r="P778" s="143">
        <f>IFERROR(__xludf.DUMMYFUNCTION("""COMPUTED_VALUE"""),33542.0)</f>
        <v>33542</v>
      </c>
      <c r="Q778" s="146" t="str">
        <f>IFERROR(__xludf.DUMMYFUNCTION("""COMPUTED_VALUE"""),"087-335-5252")</f>
        <v>087-335-5252</v>
      </c>
      <c r="R778" s="147">
        <f>IFERROR(__xludf.DUMMYFUNCTION("""COMPUTED_VALUE"""),1.100701440799E12)</f>
        <v>1100701440799</v>
      </c>
      <c r="S778" t="str">
        <f>IFERROR(__xludf.DUMMYFUNCTION("""COMPUTED_VALUE"""),"AC4984457")</f>
        <v>AC4984457</v>
      </c>
      <c r="T778" s="148">
        <f>IFERROR(__xludf.DUMMYFUNCTION("""COMPUTED_VALUE"""),45083.0)</f>
        <v>45083</v>
      </c>
      <c r="U778" s="148">
        <f>IFERROR(__xludf.DUMMYFUNCTION("""COMPUTED_VALUE"""),48735.0)</f>
        <v>48735</v>
      </c>
      <c r="V778" s="149">
        <f>IFERROR(__xludf.DUMMYFUNCTION("""COMPUTED_VALUE"""),48553.0)</f>
        <v>48553</v>
      </c>
      <c r="W778" t="str">
        <f>IFERROR(__xludf.DUMMYFUNCTION("""COMPUTED_VALUE"""),"ปลอดภัย")</f>
        <v>ปลอดภัย</v>
      </c>
      <c r="X778" t="str">
        <f>IFERROR(__xludf.DUMMYFUNCTION("""COMPUTED_VALUE"""),"Bangkok")</f>
        <v>Bangkok</v>
      </c>
      <c r="Y778" t="str">
        <f>IFERROR(__xludf.DUMMYFUNCTION("""COMPUTED_VALUE"""),"Nonthaburi")</f>
        <v>Nonthaburi</v>
      </c>
      <c r="Z778" t="str">
        <f>IFERROR(__xludf.DUMMYFUNCTION("""COMPUTED_VALUE"""),"082-330-1502")</f>
        <v>082-330-1502</v>
      </c>
      <c r="AA778" t="str">
        <f>IFERROR(__xludf.DUMMYFUNCTION("""COMPUTED_VALUE"""),"Maj. Gen. Dr. Tanon Saengnak(father)")</f>
        <v>Maj. Gen. Dr. Tanon Saengnak(father)</v>
      </c>
      <c r="AB778" t="str">
        <f>IFERROR(__xludf.DUMMYFUNCTION("""COMPUTED_VALUE"""),"sirikorns@airasia.com")</f>
        <v>sirikorns@airasia.com</v>
      </c>
    </row>
    <row r="779">
      <c r="A779">
        <f>IFERROR(__xludf.DUMMYFUNCTION("""COMPUTED_VALUE"""),1017651.0)</f>
        <v>1017651</v>
      </c>
      <c r="B779" t="str">
        <f>IFERROR(__xludf.DUMMYFUNCTION("""COMPUTED_VALUE"""),"Ms.")</f>
        <v>Ms.</v>
      </c>
      <c r="C779" t="str">
        <f>IFERROR(__xludf.DUMMYFUNCTION("""COMPUTED_VALUE"""),"Usana")</f>
        <v>Usana</v>
      </c>
      <c r="D779" t="str">
        <f>IFERROR(__xludf.DUMMYFUNCTION("""COMPUTED_VALUE"""),"Saepua")</f>
        <v>Saepua</v>
      </c>
      <c r="E779" t="str">
        <f>IFERROR(__xludf.DUMMYFUNCTION("""COMPUTED_VALUE"""),"Usana Saepua")</f>
        <v>Usana Saepua</v>
      </c>
      <c r="F779" t="str">
        <f>IFERROR(__xludf.DUMMYFUNCTION("""COMPUTED_VALUE"""),"นางสาว")</f>
        <v>นางสาว</v>
      </c>
      <c r="G779" t="str">
        <f>IFERROR(__xludf.DUMMYFUNCTION("""COMPUTED_VALUE"""),"อุษณา")</f>
        <v>อุษณา</v>
      </c>
      <c r="H779" t="str">
        <f>IFERROR(__xludf.DUMMYFUNCTION("""COMPUTED_VALUE"""),"แซ่พั่ว")</f>
        <v>แซ่พั่ว</v>
      </c>
      <c r="I779" t="str">
        <f>IFERROR(__xludf.DUMMYFUNCTION("""COMPUTED_VALUE"""),"อุษณา แซ่พั่ว")</f>
        <v>อุษณา แซ่พั่ว</v>
      </c>
      <c r="J779" t="str">
        <f>IFERROR(__xludf.DUMMYFUNCTION("""COMPUTED_VALUE"""),"Nicky นิกกี้")</f>
        <v>Nicky นิกกี้</v>
      </c>
      <c r="K779" t="str">
        <f>IFERROR(__xludf.DUMMYFUNCTION("""COMPUTED_VALUE"""),"Senior Cabin Crew")</f>
        <v>Senior Cabin Crew</v>
      </c>
      <c r="L779" t="str">
        <f>IFERROR(__xludf.DUMMYFUNCTION("""COMPUTED_VALUE"""),"DMK")</f>
        <v>DMK</v>
      </c>
      <c r="M779" s="145" t="str">
        <f>IFERROR(__xludf.DUMMYFUNCTION("""COMPUTED_VALUE"""),"Up Home")</f>
        <v>Up Home</v>
      </c>
      <c r="N779" t="str">
        <f>IFERROR(__xludf.DUMMYFUNCTION("""COMPUTED_VALUE"""),"Active")</f>
        <v>Active</v>
      </c>
      <c r="P779" s="143">
        <f>IFERROR(__xludf.DUMMYFUNCTION("""COMPUTED_VALUE"""),32299.0)</f>
        <v>32299</v>
      </c>
      <c r="Q779" s="146">
        <f>IFERROR(__xludf.DUMMYFUNCTION("""COMPUTED_VALUE"""),8.17285934E8)</f>
        <v>817285934</v>
      </c>
      <c r="R779" s="147" t="str">
        <f>IFERROR(__xludf.DUMMYFUNCTION("""COMPUTED_VALUE"""),"1-8099-00207-11-5")</f>
        <v>1-8099-00207-11-5</v>
      </c>
      <c r="S779" t="str">
        <f>IFERROR(__xludf.DUMMYFUNCTION("""COMPUTED_VALUE"""),"AC6858585")</f>
        <v>AC6858585</v>
      </c>
      <c r="T779" s="148">
        <f>IFERROR(__xludf.DUMMYFUNCTION("""COMPUTED_VALUE"""),45467.0)</f>
        <v>45467</v>
      </c>
      <c r="U779" s="148">
        <f>IFERROR(__xludf.DUMMYFUNCTION("""COMPUTED_VALUE"""),49118.0)</f>
        <v>49118</v>
      </c>
      <c r="V779" s="149">
        <f>IFERROR(__xludf.DUMMYFUNCTION("""COMPUTED_VALUE"""),48936.0)</f>
        <v>48936</v>
      </c>
      <c r="W779" t="str">
        <f>IFERROR(__xludf.DUMMYFUNCTION("""COMPUTED_VALUE"""),"ปลอดภัย")</f>
        <v>ปลอดภัย</v>
      </c>
      <c r="X779" t="str">
        <f>IFERROR(__xludf.DUMMYFUNCTION("""COMPUTED_VALUE"""),"Nakhon Si Thammarat Province")</f>
        <v>Nakhon Si Thammarat Province</v>
      </c>
      <c r="Y779" t="str">
        <f>IFERROR(__xludf.DUMMYFUNCTION("""COMPUTED_VALUE"""),"Bangkok")</f>
        <v>Bangkok</v>
      </c>
      <c r="Z779" t="str">
        <f>IFERROR(__xludf.DUMMYFUNCTION("""COMPUTED_VALUE"""),"081-080-6116")</f>
        <v>081-080-6116</v>
      </c>
      <c r="AA779" t="str">
        <f>IFERROR(__xludf.DUMMYFUNCTION("""COMPUTED_VALUE"""),"Nialisa Saepua (Sister)")</f>
        <v>Nialisa Saepua (Sister)</v>
      </c>
      <c r="AB779" t="str">
        <f>IFERROR(__xludf.DUMMYFUNCTION("""COMPUTED_VALUE"""),"usanas@airasia.com")</f>
        <v>usanas@airasia.com</v>
      </c>
    </row>
    <row r="780">
      <c r="A780">
        <f>IFERROR(__xludf.DUMMYFUNCTION("""COMPUTED_VALUE"""),1017653.0)</f>
        <v>1017653</v>
      </c>
      <c r="B780" t="str">
        <f>IFERROR(__xludf.DUMMYFUNCTION("""COMPUTED_VALUE"""),"Mr.")</f>
        <v>Mr.</v>
      </c>
      <c r="C780" t="str">
        <f>IFERROR(__xludf.DUMMYFUNCTION("""COMPUTED_VALUE"""),"Wachiraphon")</f>
        <v>Wachiraphon</v>
      </c>
      <c r="D780" t="str">
        <f>IFERROR(__xludf.DUMMYFUNCTION("""COMPUTED_VALUE"""),"Lakbun")</f>
        <v>Lakbun</v>
      </c>
      <c r="E780" t="str">
        <f>IFERROR(__xludf.DUMMYFUNCTION("""COMPUTED_VALUE"""),"Wachiraphon Lakbun")</f>
        <v>Wachiraphon Lakbun</v>
      </c>
      <c r="F780" t="str">
        <f>IFERROR(__xludf.DUMMYFUNCTION("""COMPUTED_VALUE"""),"นาย")</f>
        <v>นาย</v>
      </c>
      <c r="G780" t="str">
        <f>IFERROR(__xludf.DUMMYFUNCTION("""COMPUTED_VALUE"""),"วชิรพล")</f>
        <v>วชิรพล</v>
      </c>
      <c r="H780" t="str">
        <f>IFERROR(__xludf.DUMMYFUNCTION("""COMPUTED_VALUE"""),"หลักบุญ")</f>
        <v>หลักบุญ</v>
      </c>
      <c r="I780" t="str">
        <f>IFERROR(__xludf.DUMMYFUNCTION("""COMPUTED_VALUE"""),"วชิรพล หลักบุญ")</f>
        <v>วชิรพล หลักบุญ</v>
      </c>
      <c r="J780" t="str">
        <f>IFERROR(__xludf.DUMMYFUNCTION("""COMPUTED_VALUE"""),"Big บิ๊ก")</f>
        <v>Big บิ๊ก</v>
      </c>
      <c r="K780" t="str">
        <f>IFERROR(__xludf.DUMMYFUNCTION("""COMPUTED_VALUE"""),"Senior Cabin Crew")</f>
        <v>Senior Cabin Crew</v>
      </c>
      <c r="L780" t="str">
        <f>IFERROR(__xludf.DUMMYFUNCTION("""COMPUTED_VALUE"""),"DMK")</f>
        <v>DMK</v>
      </c>
      <c r="M780" s="145" t="str">
        <f>IFERROR(__xludf.DUMMYFUNCTION("""COMPUTED_VALUE"""),"Up Home")</f>
        <v>Up Home</v>
      </c>
      <c r="N780" t="str">
        <f>IFERROR(__xludf.DUMMYFUNCTION("""COMPUTED_VALUE"""),"Active")</f>
        <v>Active</v>
      </c>
      <c r="P780" s="143">
        <f>IFERROR(__xludf.DUMMYFUNCTION("""COMPUTED_VALUE"""),33929.0)</f>
        <v>33929</v>
      </c>
      <c r="Q780" s="146" t="str">
        <f>IFERROR(__xludf.DUMMYFUNCTION("""COMPUTED_VALUE"""),"083-795-7791")</f>
        <v>083-795-7791</v>
      </c>
      <c r="R780" s="147" t="str">
        <f>IFERROR(__xludf.DUMMYFUNCTION("""COMPUTED_VALUE"""),"1-3399-00274-59-3")</f>
        <v>1-3399-00274-59-3</v>
      </c>
      <c r="S780" t="str">
        <f>IFERROR(__xludf.DUMMYFUNCTION("""COMPUTED_VALUE"""),"AC8019812")</f>
        <v>AC8019812</v>
      </c>
      <c r="T780" s="148">
        <f>IFERROR(__xludf.DUMMYFUNCTION("""COMPUTED_VALUE"""),45725.0)</f>
        <v>45725</v>
      </c>
      <c r="U780" s="148">
        <f>IFERROR(__xludf.DUMMYFUNCTION("""COMPUTED_VALUE"""),49370.0)</f>
        <v>49370</v>
      </c>
      <c r="V780" s="149">
        <f>IFERROR(__xludf.DUMMYFUNCTION("""COMPUTED_VALUE"""),49189.0)</f>
        <v>49189</v>
      </c>
      <c r="W780" t="str">
        <f>IFERROR(__xludf.DUMMYFUNCTION("""COMPUTED_VALUE"""),"ปลอดภัย")</f>
        <v>ปลอดภัย</v>
      </c>
      <c r="X780" t="str">
        <f>IFERROR(__xludf.DUMMYFUNCTION("""COMPUTED_VALUE"""),"Sisaket Province")</f>
        <v>Sisaket Province</v>
      </c>
      <c r="Y780" t="str">
        <f>IFERROR(__xludf.DUMMYFUNCTION("""COMPUTED_VALUE"""),"Pathumyhani")</f>
        <v>Pathumyhani</v>
      </c>
      <c r="Z780" t="str">
        <f>IFERROR(__xludf.DUMMYFUNCTION("""COMPUTED_VALUE"""),"098-585-3167")</f>
        <v>098-585-3167</v>
      </c>
      <c r="AA780" t="str">
        <f>IFERROR(__xludf.DUMMYFUNCTION("""COMPUTED_VALUE"""),"Rutsmee Lakbun (Mother)")</f>
        <v>Rutsmee Lakbun (Mother)</v>
      </c>
      <c r="AB780" t="str">
        <f>IFERROR(__xludf.DUMMYFUNCTION("""COMPUTED_VALUE"""),"wachiraphonl@airasia.com")</f>
        <v>wachiraphonl@airasia.com</v>
      </c>
    </row>
    <row r="781">
      <c r="A781">
        <f>IFERROR(__xludf.DUMMYFUNCTION("""COMPUTED_VALUE"""),1017655.0)</f>
        <v>1017655</v>
      </c>
      <c r="B781" t="str">
        <f>IFERROR(__xludf.DUMMYFUNCTION("""COMPUTED_VALUE"""),"Mr.")</f>
        <v>Mr.</v>
      </c>
      <c r="C781" t="str">
        <f>IFERROR(__xludf.DUMMYFUNCTION("""COMPUTED_VALUE"""),"Waris")</f>
        <v>Waris</v>
      </c>
      <c r="D781" t="str">
        <f>IFERROR(__xludf.DUMMYFUNCTION("""COMPUTED_VALUE"""),"Suaprasert")</f>
        <v>Suaprasert</v>
      </c>
      <c r="E781" t="str">
        <f>IFERROR(__xludf.DUMMYFUNCTION("""COMPUTED_VALUE"""),"Waris Suaprasert")</f>
        <v>Waris Suaprasert</v>
      </c>
      <c r="F781" t="str">
        <f>IFERROR(__xludf.DUMMYFUNCTION("""COMPUTED_VALUE"""),"นาย")</f>
        <v>นาย</v>
      </c>
      <c r="G781" t="str">
        <f>IFERROR(__xludf.DUMMYFUNCTION("""COMPUTED_VALUE"""),"วริศ")</f>
        <v>วริศ</v>
      </c>
      <c r="H781" t="str">
        <f>IFERROR(__xludf.DUMMYFUNCTION("""COMPUTED_VALUE"""),"เสือประเสริฐ")</f>
        <v>เสือประเสริฐ</v>
      </c>
      <c r="I781" t="str">
        <f>IFERROR(__xludf.DUMMYFUNCTION("""COMPUTED_VALUE"""),"วริศ เสือประเสริฐ")</f>
        <v>วริศ เสือประเสริฐ</v>
      </c>
      <c r="J781" t="str">
        <f>IFERROR(__xludf.DUMMYFUNCTION("""COMPUTED_VALUE"""),"Milo ไมโล")</f>
        <v>Milo ไมโล</v>
      </c>
      <c r="K781" t="str">
        <f>IFERROR(__xludf.DUMMYFUNCTION("""COMPUTED_VALUE"""),"Senior Cabin Crew")</f>
        <v>Senior Cabin Crew</v>
      </c>
      <c r="L781" t="str">
        <f>IFERROR(__xludf.DUMMYFUNCTION("""COMPUTED_VALUE"""),"DMK")</f>
        <v>DMK</v>
      </c>
      <c r="M781" s="145" t="str">
        <f>IFERROR(__xludf.DUMMYFUNCTION("""COMPUTED_VALUE"""),"Up Home")</f>
        <v>Up Home</v>
      </c>
      <c r="N781" t="str">
        <f>IFERROR(__xludf.DUMMYFUNCTION("""COMPUTED_VALUE"""),"Active")</f>
        <v>Active</v>
      </c>
      <c r="P781" s="143">
        <f>IFERROR(__xludf.DUMMYFUNCTION("""COMPUTED_VALUE"""),34241.0)</f>
        <v>34241</v>
      </c>
      <c r="Q781" s="146" t="str">
        <f>IFERROR(__xludf.DUMMYFUNCTION("""COMPUTED_VALUE"""),"063 362 9154")</f>
        <v>063 362 9154</v>
      </c>
      <c r="R781" s="147" t="str">
        <f>IFERROR(__xludf.DUMMYFUNCTION("""COMPUTED_VALUE"""),"1-1008-00752-62-4")</f>
        <v>1-1008-00752-62-4</v>
      </c>
      <c r="S781" t="str">
        <f>IFERROR(__xludf.DUMMYFUNCTION("""COMPUTED_VALUE"""),"AC7919365")</f>
        <v>AC7919365</v>
      </c>
      <c r="T781" s="148">
        <f>IFERROR(__xludf.DUMMYFUNCTION("""COMPUTED_VALUE"""),45666.0)</f>
        <v>45666</v>
      </c>
      <c r="U781" s="148">
        <f>IFERROR(__xludf.DUMMYFUNCTION("""COMPUTED_VALUE"""),49317.0)</f>
        <v>49317</v>
      </c>
      <c r="V781" s="149">
        <f>IFERROR(__xludf.DUMMYFUNCTION("""COMPUTED_VALUE"""),49133.0)</f>
        <v>49133</v>
      </c>
      <c r="W781" t="str">
        <f>IFERROR(__xludf.DUMMYFUNCTION("""COMPUTED_VALUE"""),"ปลอดภัย")</f>
        <v>ปลอดภัย</v>
      </c>
      <c r="X781" t="str">
        <f>IFERROR(__xludf.DUMMYFUNCTION("""COMPUTED_VALUE"""),"Bangkok")</f>
        <v>Bangkok</v>
      </c>
      <c r="Y781" t="str">
        <f>IFERROR(__xludf.DUMMYFUNCTION("""COMPUTED_VALUE"""),"Samutprakan")</f>
        <v>Samutprakan</v>
      </c>
      <c r="Z781" t="str">
        <f>IFERROR(__xludf.DUMMYFUNCTION("""COMPUTED_VALUE"""),"095-453-1293")</f>
        <v>095-453-1293</v>
      </c>
      <c r="AA781" t="str">
        <f>IFERROR(__xludf.DUMMYFUNCTION("""COMPUTED_VALUE"""),"Supaporn Suaprasert (Mother)")</f>
        <v>Supaporn Suaprasert (Mother)</v>
      </c>
      <c r="AB781" t="str">
        <f>IFERROR(__xludf.DUMMYFUNCTION("""COMPUTED_VALUE"""),"wariss@airasia.com")</f>
        <v>wariss@airasia.com</v>
      </c>
    </row>
    <row r="782">
      <c r="A782">
        <f>IFERROR(__xludf.DUMMYFUNCTION("""COMPUTED_VALUE"""),1017657.0)</f>
        <v>1017657</v>
      </c>
      <c r="B782" t="str">
        <f>IFERROR(__xludf.DUMMYFUNCTION("""COMPUTED_VALUE"""),"Mr.")</f>
        <v>Mr.</v>
      </c>
      <c r="C782" t="str">
        <f>IFERROR(__xludf.DUMMYFUNCTION("""COMPUTED_VALUE"""),"YANAKORN")</f>
        <v>YANAKORN</v>
      </c>
      <c r="D782" t="str">
        <f>IFERROR(__xludf.DUMMYFUNCTION("""COMPUTED_VALUE"""),"CHARNFUN")</f>
        <v>CHARNFUN</v>
      </c>
      <c r="E782" t="str">
        <f>IFERROR(__xludf.DUMMYFUNCTION("""COMPUTED_VALUE"""),"Yanakorn Charnfun")</f>
        <v>Yanakorn Charnfun</v>
      </c>
      <c r="F782" t="str">
        <f>IFERROR(__xludf.DUMMYFUNCTION("""COMPUTED_VALUE"""),"นาย")</f>
        <v>นาย</v>
      </c>
      <c r="G782" t="str">
        <f>IFERROR(__xludf.DUMMYFUNCTION("""COMPUTED_VALUE"""),"ญาณกร")</f>
        <v>ญาณกร</v>
      </c>
      <c r="H782" t="str">
        <f>IFERROR(__xludf.DUMMYFUNCTION("""COMPUTED_VALUE"""),"ชาญฟั่น")</f>
        <v>ชาญฟั่น</v>
      </c>
      <c r="I782" t="str">
        <f>IFERROR(__xludf.DUMMYFUNCTION("""COMPUTED_VALUE"""),"ญาณกร ชาญฟั่น")</f>
        <v>ญาณกร ชาญฟั่น</v>
      </c>
      <c r="J782" t="str">
        <f>IFERROR(__xludf.DUMMYFUNCTION("""COMPUTED_VALUE"""),"Koo กู้")</f>
        <v>Koo กู้</v>
      </c>
      <c r="K782" t="str">
        <f>IFERROR(__xludf.DUMMYFUNCTION("""COMPUTED_VALUE"""),"Cabin Crew")</f>
        <v>Cabin Crew</v>
      </c>
      <c r="L782" t="str">
        <f>IFERROR(__xludf.DUMMYFUNCTION("""COMPUTED_VALUE"""),"DMK")</f>
        <v>DMK</v>
      </c>
      <c r="M782" s="145" t="str">
        <f>IFERROR(__xludf.DUMMYFUNCTION("""COMPUTED_VALUE"""),"Um Home")</f>
        <v>Um Home</v>
      </c>
      <c r="N782" t="str">
        <f>IFERROR(__xludf.DUMMYFUNCTION("""COMPUTED_VALUE"""),"Active")</f>
        <v>Active</v>
      </c>
      <c r="P782" s="143">
        <f>IFERROR(__xludf.DUMMYFUNCTION("""COMPUTED_VALUE"""),32761.0)</f>
        <v>32761</v>
      </c>
      <c r="Q782" s="146" t="str">
        <f>IFERROR(__xludf.DUMMYFUNCTION("""COMPUTED_VALUE"""),"086-066-9169")</f>
        <v>086-066-9169</v>
      </c>
      <c r="R782" s="147" t="str">
        <f>IFERROR(__xludf.DUMMYFUNCTION("""COMPUTED_VALUE"""),"1-1014-01791-44-9")</f>
        <v>1-1014-01791-44-9</v>
      </c>
      <c r="S782" t="str">
        <f>IFERROR(__xludf.DUMMYFUNCTION("""COMPUTED_VALUE"""),"AC6632580")</f>
        <v>AC6632580</v>
      </c>
      <c r="T782" s="148">
        <f>IFERROR(__xludf.DUMMYFUNCTION("""COMPUTED_VALUE"""),45412.0)</f>
        <v>45412</v>
      </c>
      <c r="U782" s="148">
        <f>IFERROR(__xludf.DUMMYFUNCTION("""COMPUTED_VALUE"""),49063.0)</f>
        <v>49063</v>
      </c>
      <c r="V782" s="149">
        <f>IFERROR(__xludf.DUMMYFUNCTION("""COMPUTED_VALUE"""),48881.0)</f>
        <v>48881</v>
      </c>
      <c r="W782" t="str">
        <f>IFERROR(__xludf.DUMMYFUNCTION("""COMPUTED_VALUE"""),"ปลอดภัย")</f>
        <v>ปลอดภัย</v>
      </c>
      <c r="X782" t="str">
        <f>IFERROR(__xludf.DUMMYFUNCTION("""COMPUTED_VALUE"""),"Bangkok")</f>
        <v>Bangkok</v>
      </c>
      <c r="Y782" t="str">
        <f>IFERROR(__xludf.DUMMYFUNCTION("""COMPUTED_VALUE"""),"Bangkok")</f>
        <v>Bangkok</v>
      </c>
      <c r="Z782" t="str">
        <f>IFERROR(__xludf.DUMMYFUNCTION("""COMPUTED_VALUE"""),"085-027-2505")</f>
        <v>085-027-2505</v>
      </c>
      <c r="AA782" t="str">
        <f>IFERROR(__xludf.DUMMYFUNCTION("""COMPUTED_VALUE"""),"Dome Cheevitdeekul (Friend)")</f>
        <v>Dome Cheevitdeekul (Friend)</v>
      </c>
      <c r="AB782" t="str">
        <f>IFERROR(__xludf.DUMMYFUNCTION("""COMPUTED_VALUE"""),"yanakornc@airasia.com")</f>
        <v>yanakornc@airasia.com</v>
      </c>
    </row>
    <row r="783">
      <c r="AB783" t="str">
        <f>IFERROR(__xludf.DUMMYFUNCTION("""COMPUTED_VALUE"""),"")</f>
        <v/>
      </c>
    </row>
    <row r="784">
      <c r="A784">
        <f>IFERROR(__xludf.DUMMYFUNCTION("""COMPUTED_VALUE"""),1017919.0)</f>
        <v>1017919</v>
      </c>
      <c r="B784" t="str">
        <f>IFERROR(__xludf.DUMMYFUNCTION("""COMPUTED_VALUE"""),"Ms.")</f>
        <v>Ms.</v>
      </c>
      <c r="C784" t="str">
        <f>IFERROR(__xludf.DUMMYFUNCTION("""COMPUTED_VALUE"""),"Asanlaya")</f>
        <v>Asanlaya</v>
      </c>
      <c r="D784" t="str">
        <f>IFERROR(__xludf.DUMMYFUNCTION("""COMPUTED_VALUE"""),"Choomit")</f>
        <v>Choomit</v>
      </c>
      <c r="E784" t="str">
        <f>IFERROR(__xludf.DUMMYFUNCTION("""COMPUTED_VALUE"""),"Asanlaya Choomit")</f>
        <v>Asanlaya Choomit</v>
      </c>
      <c r="F784" t="str">
        <f>IFERROR(__xludf.DUMMYFUNCTION("""COMPUTED_VALUE"""),"นางสาว")</f>
        <v>นางสาว</v>
      </c>
      <c r="G784" t="str">
        <f>IFERROR(__xludf.DUMMYFUNCTION("""COMPUTED_VALUE"""),"อศัลยา")</f>
        <v>อศัลยา</v>
      </c>
      <c r="H784" t="str">
        <f>IFERROR(__xludf.DUMMYFUNCTION("""COMPUTED_VALUE"""),"ชูมิตร")</f>
        <v>ชูมิตร</v>
      </c>
      <c r="I784" t="str">
        <f>IFERROR(__xludf.DUMMYFUNCTION("""COMPUTED_VALUE"""),"อศัลยา ชูมิตร")</f>
        <v>อศัลยา ชูมิตร</v>
      </c>
      <c r="J784" t="str">
        <f>IFERROR(__xludf.DUMMYFUNCTION("""COMPUTED_VALUE"""),"Poompui / ปุ้มปุ้ย")</f>
        <v>Poompui / ปุ้มปุ้ย</v>
      </c>
      <c r="K784" t="str">
        <f>IFERROR(__xludf.DUMMYFUNCTION("""COMPUTED_VALUE"""),"Cabin Crew")</f>
        <v>Cabin Crew</v>
      </c>
      <c r="L784" t="str">
        <f>IFERROR(__xludf.DUMMYFUNCTION("""COMPUTED_VALUE"""),"DMK")</f>
        <v>DMK</v>
      </c>
      <c r="M784" s="145" t="str">
        <f>IFERROR(__xludf.DUMMYFUNCTION("""COMPUTED_VALUE"""),"Up Home")</f>
        <v>Up Home</v>
      </c>
      <c r="N784" t="str">
        <f>IFERROR(__xludf.DUMMYFUNCTION("""COMPUTED_VALUE"""),"Active")</f>
        <v>Active</v>
      </c>
      <c r="O784" t="str">
        <f>IFERROR(__xludf.DUMMYFUNCTION("""COMPUTED_VALUE"""),"Chinese Speaking")</f>
        <v>Chinese Speaking</v>
      </c>
      <c r="P784" s="143">
        <f>IFERROR(__xludf.DUMMYFUNCTION("""COMPUTED_VALUE"""),32570.0)</f>
        <v>32570</v>
      </c>
      <c r="Q784" s="146" t="str">
        <f>IFERROR(__xludf.DUMMYFUNCTION("""COMPUTED_VALUE"""),"063-1912244")</f>
        <v>063-1912244</v>
      </c>
      <c r="R784" s="147" t="str">
        <f>IFERROR(__xludf.DUMMYFUNCTION("""COMPUTED_VALUE"""),"1100800-52-7931")</f>
        <v>1100800-52-7931</v>
      </c>
      <c r="S784" t="str">
        <f>IFERROR(__xludf.DUMMYFUNCTION("""COMPUTED_VALUE"""),"AC2335273")</f>
        <v>AC2335273</v>
      </c>
      <c r="T784" s="148">
        <f>IFERROR(__xludf.DUMMYFUNCTION("""COMPUTED_VALUE"""),44377.0)</f>
        <v>44377</v>
      </c>
      <c r="U784" s="148">
        <f>IFERROR(__xludf.DUMMYFUNCTION("""COMPUTED_VALUE"""),48028.0)</f>
        <v>48028</v>
      </c>
      <c r="V784" s="149">
        <f>IFERROR(__xludf.DUMMYFUNCTION("""COMPUTED_VALUE"""),47846.0)</f>
        <v>47846</v>
      </c>
      <c r="W784" t="str">
        <f>IFERROR(__xludf.DUMMYFUNCTION("""COMPUTED_VALUE"""),"ปลอดภัย")</f>
        <v>ปลอดภัย</v>
      </c>
      <c r="X784" t="str">
        <f>IFERROR(__xludf.DUMMYFUNCTION("""COMPUTED_VALUE"""),"Bangkok")</f>
        <v>Bangkok</v>
      </c>
      <c r="Y784" t="str">
        <f>IFERROR(__xludf.DUMMYFUNCTION("""COMPUTED_VALUE"""),"Samutprakan")</f>
        <v>Samutprakan</v>
      </c>
      <c r="Z784" t="str">
        <f>IFERROR(__xludf.DUMMYFUNCTION("""COMPUTED_VALUE"""),"081-813-2032")</f>
        <v>081-813-2032</v>
      </c>
      <c r="AA784" t="str">
        <f>IFERROR(__xludf.DUMMYFUNCTION("""COMPUTED_VALUE"""),"Pornchai Choomit (Father)")</f>
        <v>Pornchai Choomit (Father)</v>
      </c>
      <c r="AB784" t="str">
        <f>IFERROR(__xludf.DUMMYFUNCTION("""COMPUTED_VALUE"""),"asanlayac@airasia.com")</f>
        <v>asanlayac@airasia.com</v>
      </c>
    </row>
    <row r="785">
      <c r="A785">
        <f>IFERROR(__xludf.DUMMYFUNCTION("""COMPUTED_VALUE"""),1017921.0)</f>
        <v>1017921</v>
      </c>
      <c r="B785" t="str">
        <f>IFERROR(__xludf.DUMMYFUNCTION("""COMPUTED_VALUE"""),"Ms.")</f>
        <v>Ms.</v>
      </c>
      <c r="C785" t="str">
        <f>IFERROR(__xludf.DUMMYFUNCTION("""COMPUTED_VALUE"""),"Chantakan")</f>
        <v>Chantakan</v>
      </c>
      <c r="D785" t="str">
        <f>IFERROR(__xludf.DUMMYFUNCTION("""COMPUTED_VALUE"""),"Choktapra")</f>
        <v>Choktapra</v>
      </c>
      <c r="E785" t="str">
        <f>IFERROR(__xludf.DUMMYFUNCTION("""COMPUTED_VALUE"""),"Chantakan Choktapra")</f>
        <v>Chantakan Choktapra</v>
      </c>
      <c r="F785" t="str">
        <f>IFERROR(__xludf.DUMMYFUNCTION("""COMPUTED_VALUE"""),"นางสาว")</f>
        <v>นางสาว</v>
      </c>
      <c r="G785" t="str">
        <f>IFERROR(__xludf.DUMMYFUNCTION("""COMPUTED_VALUE"""),"จันทกานต์")</f>
        <v>จันทกานต์</v>
      </c>
      <c r="H785" t="str">
        <f>IFERROR(__xludf.DUMMYFUNCTION("""COMPUTED_VALUE"""),"โชคท่าพระ")</f>
        <v>โชคท่าพระ</v>
      </c>
      <c r="I785" t="str">
        <f>IFERROR(__xludf.DUMMYFUNCTION("""COMPUTED_VALUE"""),"จันทกานต์ โชคท่าพระ")</f>
        <v>จันทกานต์ โชคท่าพระ</v>
      </c>
      <c r="J785" t="str">
        <f>IFERROR(__xludf.DUMMYFUNCTION("""COMPUTED_VALUE"""),"Ploy/พลอย")</f>
        <v>Ploy/พลอย</v>
      </c>
      <c r="K785" t="str">
        <f>IFERROR(__xludf.DUMMYFUNCTION("""COMPUTED_VALUE"""),"Cabin Crew")</f>
        <v>Cabin Crew</v>
      </c>
      <c r="L785" t="str">
        <f>IFERROR(__xludf.DUMMYFUNCTION("""COMPUTED_VALUE"""),"DMK")</f>
        <v>DMK</v>
      </c>
      <c r="M785" s="145" t="str">
        <f>IFERROR(__xludf.DUMMYFUNCTION("""COMPUTED_VALUE"""),"Nhui Home")</f>
        <v>Nhui Home</v>
      </c>
      <c r="N785" t="str">
        <f>IFERROR(__xludf.DUMMYFUNCTION("""COMPUTED_VALUE"""),"Active")</f>
        <v>Active</v>
      </c>
      <c r="O785" t="str">
        <f>IFERROR(__xludf.DUMMYFUNCTION("""COMPUTED_VALUE"""),"Chinese Speaking")</f>
        <v>Chinese Speaking</v>
      </c>
      <c r="P785" s="143">
        <f>IFERROR(__xludf.DUMMYFUNCTION("""COMPUTED_VALUE"""),33816.0)</f>
        <v>33816</v>
      </c>
      <c r="Q785" s="146" t="str">
        <f>IFERROR(__xludf.DUMMYFUNCTION("""COMPUTED_VALUE"""),"094-5932629")</f>
        <v>094-5932629</v>
      </c>
      <c r="R785" s="147" t="str">
        <f>IFERROR(__xludf.DUMMYFUNCTION("""COMPUTED_VALUE"""),"1102001-76-7517")</f>
        <v>1102001-76-7517</v>
      </c>
      <c r="S785" t="str">
        <f>IFERROR(__xludf.DUMMYFUNCTION("""COMPUTED_VALUE"""),"AC4874477")</f>
        <v>AC4874477</v>
      </c>
      <c r="T785" s="148">
        <f>IFERROR(__xludf.DUMMYFUNCTION("""COMPUTED_VALUE"""),45041.0)</f>
        <v>45041</v>
      </c>
      <c r="U785" s="148">
        <f>IFERROR(__xludf.DUMMYFUNCTION("""COMPUTED_VALUE"""),48693.0)</f>
        <v>48693</v>
      </c>
      <c r="V785" s="149">
        <f>IFERROR(__xludf.DUMMYFUNCTION("""COMPUTED_VALUE"""),48511.0)</f>
        <v>48511</v>
      </c>
      <c r="W785" t="str">
        <f>IFERROR(__xludf.DUMMYFUNCTION("""COMPUTED_VALUE"""),"ปลอดภัย")</f>
        <v>ปลอดภัย</v>
      </c>
      <c r="X785" t="str">
        <f>IFERROR(__xludf.DUMMYFUNCTION("""COMPUTED_VALUE"""),"Bangkok")</f>
        <v>Bangkok</v>
      </c>
      <c r="Y785" t="str">
        <f>IFERROR(__xludf.DUMMYFUNCTION("""COMPUTED_VALUE"""),"Nonthaburi")</f>
        <v>Nonthaburi</v>
      </c>
      <c r="Z785" t="str">
        <f>IFERROR(__xludf.DUMMYFUNCTION("""COMPUTED_VALUE"""),"080-294-3364")</f>
        <v>080-294-3364</v>
      </c>
      <c r="AA785" t="str">
        <f>IFERROR(__xludf.DUMMYFUNCTION("""COMPUTED_VALUE"""),"Chantana Choktapra (Mother)")</f>
        <v>Chantana Choktapra (Mother)</v>
      </c>
      <c r="AB785" t="str">
        <f>IFERROR(__xludf.DUMMYFUNCTION("""COMPUTED_VALUE"""),"chantakanc@airasia.com")</f>
        <v>chantakanc@airasia.com</v>
      </c>
    </row>
    <row r="786">
      <c r="A786">
        <f>IFERROR(__xludf.DUMMYFUNCTION("""COMPUTED_VALUE"""),1017922.0)</f>
        <v>1017922</v>
      </c>
      <c r="B786" t="str">
        <f>IFERROR(__xludf.DUMMYFUNCTION("""COMPUTED_VALUE"""),"Ms.")</f>
        <v>Ms.</v>
      </c>
      <c r="C786" t="str">
        <f>IFERROR(__xludf.DUMMYFUNCTION("""COMPUTED_VALUE"""),"Hathairat")</f>
        <v>Hathairat</v>
      </c>
      <c r="D786" t="str">
        <f>IFERROR(__xludf.DUMMYFUNCTION("""COMPUTED_VALUE"""),"Pongsavang")</f>
        <v>Pongsavang</v>
      </c>
      <c r="E786" t="str">
        <f>IFERROR(__xludf.DUMMYFUNCTION("""COMPUTED_VALUE"""),"Hathairat Pongsavang")</f>
        <v>Hathairat Pongsavang</v>
      </c>
      <c r="F786" t="str">
        <f>IFERROR(__xludf.DUMMYFUNCTION("""COMPUTED_VALUE"""),"นางสาว")</f>
        <v>นางสาว</v>
      </c>
      <c r="G786" t="str">
        <f>IFERROR(__xludf.DUMMYFUNCTION("""COMPUTED_VALUE"""),"หทัยรัตน์")</f>
        <v>หทัยรัตน์</v>
      </c>
      <c r="H786" t="str">
        <f>IFERROR(__xludf.DUMMYFUNCTION("""COMPUTED_VALUE"""),"ผ่องสว่าง")</f>
        <v>ผ่องสว่าง</v>
      </c>
      <c r="I786" t="str">
        <f>IFERROR(__xludf.DUMMYFUNCTION("""COMPUTED_VALUE"""),"หทัยรัตน์ ผ่องสว่าง")</f>
        <v>หทัยรัตน์ ผ่องสว่าง</v>
      </c>
      <c r="J786" t="str">
        <f>IFERROR(__xludf.DUMMYFUNCTION("""COMPUTED_VALUE"""),"Pang-Meit แป้งหมี่")</f>
        <v>Pang-Meit แป้งหมี่</v>
      </c>
      <c r="K786" t="str">
        <f>IFERROR(__xludf.DUMMYFUNCTION("""COMPUTED_VALUE"""),"Cabin Crew - CNX")</f>
        <v>Cabin Crew - CNX</v>
      </c>
      <c r="L786" t="str">
        <f>IFERROR(__xludf.DUMMYFUNCTION("""COMPUTED_VALUE"""),"CNX")</f>
        <v>CNX</v>
      </c>
      <c r="M786" s="145" t="str">
        <f>IFERROR(__xludf.DUMMYFUNCTION("""COMPUTED_VALUE"""),"Up Home")</f>
        <v>Up Home</v>
      </c>
      <c r="N786" t="str">
        <f>IFERROR(__xludf.DUMMYFUNCTION("""COMPUTED_VALUE"""),"Active")</f>
        <v>Active</v>
      </c>
      <c r="P786" s="143">
        <f>IFERROR(__xludf.DUMMYFUNCTION("""COMPUTED_VALUE"""),33915.0)</f>
        <v>33915</v>
      </c>
      <c r="Q786" s="146" t="str">
        <f>IFERROR(__xludf.DUMMYFUNCTION("""COMPUTED_VALUE"""),"082-4848406")</f>
        <v>082-4848406</v>
      </c>
      <c r="R786" s="147" t="str">
        <f>IFERROR(__xludf.DUMMYFUNCTION("""COMPUTED_VALUE"""),"1-6001-00488-79-2")</f>
        <v>1-6001-00488-79-2</v>
      </c>
      <c r="S786" t="str">
        <f>IFERROR(__xludf.DUMMYFUNCTION("""COMPUTED_VALUE"""),"AC6626233")</f>
        <v>AC6626233</v>
      </c>
      <c r="T786" s="148">
        <f>IFERROR(__xludf.DUMMYFUNCTION("""COMPUTED_VALUE"""),45406.0)</f>
        <v>45406</v>
      </c>
      <c r="U786" s="148">
        <f>IFERROR(__xludf.DUMMYFUNCTION("""COMPUTED_VALUE"""),49057.0)</f>
        <v>49057</v>
      </c>
      <c r="V786" s="149">
        <f>IFERROR(__xludf.DUMMYFUNCTION("""COMPUTED_VALUE"""),48875.0)</f>
        <v>48875</v>
      </c>
      <c r="W786" t="str">
        <f>IFERROR(__xludf.DUMMYFUNCTION("""COMPUTED_VALUE"""),"ปลอดภัย")</f>
        <v>ปลอดภัย</v>
      </c>
      <c r="X786" t="str">
        <f>IFERROR(__xludf.DUMMYFUNCTION("""COMPUTED_VALUE"""),"Nakhon Sawan Province")</f>
        <v>Nakhon Sawan Province</v>
      </c>
      <c r="Y786" t="str">
        <f>IFERROR(__xludf.DUMMYFUNCTION("""COMPUTED_VALUE"""),"Bangkok")</f>
        <v>Bangkok</v>
      </c>
      <c r="Z786" t="str">
        <f>IFERROR(__xludf.DUMMYFUNCTION("""COMPUTED_VALUE"""),"089-041-8860")</f>
        <v>089-041-8860</v>
      </c>
      <c r="AA786" t="str">
        <f>IFERROR(__xludf.DUMMYFUNCTION("""COMPUTED_VALUE"""),"Salee Pongsavang(Mother)")</f>
        <v>Salee Pongsavang(Mother)</v>
      </c>
      <c r="AB786" t="str">
        <f>IFERROR(__xludf.DUMMYFUNCTION("""COMPUTED_VALUE"""),"hathairatp@airasia.com")</f>
        <v>hathairatp@airasia.com</v>
      </c>
    </row>
    <row r="787">
      <c r="A787">
        <f>IFERROR(__xludf.DUMMYFUNCTION("""COMPUTED_VALUE"""),1017924.0)</f>
        <v>1017924</v>
      </c>
      <c r="B787" t="str">
        <f>IFERROR(__xludf.DUMMYFUNCTION("""COMPUTED_VALUE"""),"Ms.")</f>
        <v>Ms.</v>
      </c>
      <c r="C787" t="str">
        <f>IFERROR(__xludf.DUMMYFUNCTION("""COMPUTED_VALUE"""),"Natlada")</f>
        <v>Natlada</v>
      </c>
      <c r="D787" t="str">
        <f>IFERROR(__xludf.DUMMYFUNCTION("""COMPUTED_VALUE"""),"Jamnuch")</f>
        <v>Jamnuch</v>
      </c>
      <c r="E787" t="str">
        <f>IFERROR(__xludf.DUMMYFUNCTION("""COMPUTED_VALUE"""),"Natlada Jamnuch")</f>
        <v>Natlada Jamnuch</v>
      </c>
      <c r="F787" t="str">
        <f>IFERROR(__xludf.DUMMYFUNCTION("""COMPUTED_VALUE"""),"นางสาว")</f>
        <v>นางสาว</v>
      </c>
      <c r="G787" t="str">
        <f>IFERROR(__xludf.DUMMYFUNCTION("""COMPUTED_VALUE"""),"ณัฐลดา")</f>
        <v>ณัฐลดา</v>
      </c>
      <c r="H787" t="str">
        <f>IFERROR(__xludf.DUMMYFUNCTION("""COMPUTED_VALUE"""),"แจ่มนุช")</f>
        <v>แจ่มนุช</v>
      </c>
      <c r="I787" t="str">
        <f>IFERROR(__xludf.DUMMYFUNCTION("""COMPUTED_VALUE"""),"ณัฐลดา แจ่มนุช")</f>
        <v>ณัฐลดา แจ่มนุช</v>
      </c>
      <c r="J787" t="str">
        <f>IFERROR(__xludf.DUMMYFUNCTION("""COMPUTED_VALUE"""),"Prince/ปริ๊น")</f>
        <v>Prince/ปริ๊น</v>
      </c>
      <c r="K787" t="str">
        <f>IFERROR(__xludf.DUMMYFUNCTION("""COMPUTED_VALUE"""),"Cabin Crew")</f>
        <v>Cabin Crew</v>
      </c>
      <c r="L787" t="str">
        <f>IFERROR(__xludf.DUMMYFUNCTION("""COMPUTED_VALUE"""),"DMK")</f>
        <v>DMK</v>
      </c>
      <c r="M787" s="145" t="str">
        <f>IFERROR(__xludf.DUMMYFUNCTION("""COMPUTED_VALUE"""),"Um Home")</f>
        <v>Um Home</v>
      </c>
      <c r="N787" t="str">
        <f>IFERROR(__xludf.DUMMYFUNCTION("""COMPUTED_VALUE"""),"Active")</f>
        <v>Active</v>
      </c>
      <c r="P787" s="143">
        <f>IFERROR(__xludf.DUMMYFUNCTION("""COMPUTED_VALUE"""),33149.0)</f>
        <v>33149</v>
      </c>
      <c r="Q787" s="146" t="str">
        <f>IFERROR(__xludf.DUMMYFUNCTION("""COMPUTED_VALUE"""),"084-3362492")</f>
        <v>084-3362492</v>
      </c>
      <c r="R787" s="147" t="str">
        <f>IFERROR(__xludf.DUMMYFUNCTION("""COMPUTED_VALUE"""),"1100200-58-2051")</f>
        <v>1100200-58-2051</v>
      </c>
      <c r="S787" t="str">
        <f>IFERROR(__xludf.DUMMYFUNCTION("""COMPUTED_VALUE"""),"AC7178842")</f>
        <v>AC7178842</v>
      </c>
      <c r="T787" s="148">
        <f>IFERROR(__xludf.DUMMYFUNCTION("""COMPUTED_VALUE"""),45510.0)</f>
        <v>45510</v>
      </c>
      <c r="U787" s="148">
        <f>IFERROR(__xludf.DUMMYFUNCTION("""COMPUTED_VALUE"""),49161.0)</f>
        <v>49161</v>
      </c>
      <c r="V787" s="149">
        <f>IFERROR(__xludf.DUMMYFUNCTION("""COMPUTED_VALUE"""),48980.0)</f>
        <v>48980</v>
      </c>
      <c r="W787" t="str">
        <f>IFERROR(__xludf.DUMMYFUNCTION("""COMPUTED_VALUE"""),"ปลอดภัย")</f>
        <v>ปลอดภัย</v>
      </c>
      <c r="X787" t="str">
        <f>IFERROR(__xludf.DUMMYFUNCTION("""COMPUTED_VALUE"""),"Bangkok")</f>
        <v>Bangkok</v>
      </c>
      <c r="Y787" t="str">
        <f>IFERROR(__xludf.DUMMYFUNCTION("""COMPUTED_VALUE"""),"Bangkok")</f>
        <v>Bangkok</v>
      </c>
      <c r="Z787" t="str">
        <f>IFERROR(__xludf.DUMMYFUNCTION("""COMPUTED_VALUE"""),"089-989-8097")</f>
        <v>089-989-8097</v>
      </c>
      <c r="AA787" t="str">
        <f>IFERROR(__xludf.DUMMYFUNCTION("""COMPUTED_VALUE"""),"Natchaya Jamnuch")</f>
        <v>Natchaya Jamnuch</v>
      </c>
      <c r="AB787" t="str">
        <f>IFERROR(__xludf.DUMMYFUNCTION("""COMPUTED_VALUE"""),"natladaj@airasia.com")</f>
        <v>natladaj@airasia.com</v>
      </c>
    </row>
    <row r="788">
      <c r="A788">
        <f>IFERROR(__xludf.DUMMYFUNCTION("""COMPUTED_VALUE"""),1017926.0)</f>
        <v>1017926</v>
      </c>
      <c r="B788" t="str">
        <f>IFERROR(__xludf.DUMMYFUNCTION("""COMPUTED_VALUE"""),"Ms.")</f>
        <v>Ms.</v>
      </c>
      <c r="C788" t="str">
        <f>IFERROR(__xludf.DUMMYFUNCTION("""COMPUTED_VALUE"""),"Noppamanee")</f>
        <v>Noppamanee</v>
      </c>
      <c r="D788" t="str">
        <f>IFERROR(__xludf.DUMMYFUNCTION("""COMPUTED_VALUE"""),"Samranrat")</f>
        <v>Samranrat</v>
      </c>
      <c r="E788" t="str">
        <f>IFERROR(__xludf.DUMMYFUNCTION("""COMPUTED_VALUE"""),"Noppamanee Samranrat")</f>
        <v>Noppamanee Samranrat</v>
      </c>
      <c r="F788" t="str">
        <f>IFERROR(__xludf.DUMMYFUNCTION("""COMPUTED_VALUE"""),"นางสาว")</f>
        <v>นางสาว</v>
      </c>
      <c r="G788" t="str">
        <f>IFERROR(__xludf.DUMMYFUNCTION("""COMPUTED_VALUE"""),"ณพมณี")</f>
        <v>ณพมณี</v>
      </c>
      <c r="H788" t="str">
        <f>IFERROR(__xludf.DUMMYFUNCTION("""COMPUTED_VALUE"""),"สำราญรัตน์")</f>
        <v>สำราญรัตน์</v>
      </c>
      <c r="I788" t="str">
        <f>IFERROR(__xludf.DUMMYFUNCTION("""COMPUTED_VALUE"""),"ณพมณี สำราญรัตน์")</f>
        <v>ณพมณี สำราญรัตน์</v>
      </c>
      <c r="J788" t="str">
        <f>IFERROR(__xludf.DUMMYFUNCTION("""COMPUTED_VALUE"""),"Queen / ควีน")</f>
        <v>Queen / ควีน</v>
      </c>
      <c r="K788" t="str">
        <f>IFERROR(__xludf.DUMMYFUNCTION("""COMPUTED_VALUE"""),"Cabin Crew")</f>
        <v>Cabin Crew</v>
      </c>
      <c r="L788" t="str">
        <f>IFERROR(__xludf.DUMMYFUNCTION("""COMPUTED_VALUE"""),"DMK")</f>
        <v>DMK</v>
      </c>
      <c r="M788" s="145" t="str">
        <f>IFERROR(__xludf.DUMMYFUNCTION("""COMPUTED_VALUE"""),"Por+ Home")</f>
        <v>Por+ Home</v>
      </c>
      <c r="N788" t="str">
        <f>IFERROR(__xludf.DUMMYFUNCTION("""COMPUTED_VALUE"""),"Active")</f>
        <v>Active</v>
      </c>
      <c r="P788" s="143">
        <f>IFERROR(__xludf.DUMMYFUNCTION("""COMPUTED_VALUE"""),33506.0)</f>
        <v>33506</v>
      </c>
      <c r="Q788" s="146" t="str">
        <f>IFERROR(__xludf.DUMMYFUNCTION("""COMPUTED_VALUE"""),"089-9764991")</f>
        <v>089-9764991</v>
      </c>
      <c r="R788" s="147" t="str">
        <f>IFERROR(__xludf.DUMMYFUNCTION("""COMPUTED_VALUE"""),"1100701-40-7457")</f>
        <v>1100701-40-7457</v>
      </c>
      <c r="S788" t="str">
        <f>IFERROR(__xludf.DUMMYFUNCTION("""COMPUTED_VALUE"""),"AC6441555")</f>
        <v>AC6441555</v>
      </c>
      <c r="T788" s="148">
        <f>IFERROR(__xludf.DUMMYFUNCTION("""COMPUTED_VALUE"""),45355.0)</f>
        <v>45355</v>
      </c>
      <c r="U788" s="148">
        <f>IFERROR(__xludf.DUMMYFUNCTION("""COMPUTED_VALUE"""),49006.0)</f>
        <v>49006</v>
      </c>
      <c r="V788" s="149">
        <f>IFERROR(__xludf.DUMMYFUNCTION("""COMPUTED_VALUE"""),48825.0)</f>
        <v>48825</v>
      </c>
      <c r="W788" t="str">
        <f>IFERROR(__xludf.DUMMYFUNCTION("""COMPUTED_VALUE"""),"ปลอดภัย")</f>
        <v>ปลอดภัย</v>
      </c>
      <c r="X788" t="str">
        <f>IFERROR(__xludf.DUMMYFUNCTION("""COMPUTED_VALUE"""),"Bangkok")</f>
        <v>Bangkok</v>
      </c>
      <c r="Y788" t="str">
        <f>IFERROR(__xludf.DUMMYFUNCTION("""COMPUTED_VALUE"""),"Bangkok")</f>
        <v>Bangkok</v>
      </c>
      <c r="Z788" t="str">
        <f>IFERROR(__xludf.DUMMYFUNCTION("""COMPUTED_VALUE"""),"099-968-9917")</f>
        <v>099-968-9917</v>
      </c>
      <c r="AA788" t="str">
        <f>IFERROR(__xludf.DUMMYFUNCTION("""COMPUTED_VALUE"""),"Nicharasri Samranrat (Mother)")</f>
        <v>Nicharasri Samranrat (Mother)</v>
      </c>
      <c r="AB788" t="str">
        <f>IFERROR(__xludf.DUMMYFUNCTION("""COMPUTED_VALUE"""),"noppamanees@airasia.com")</f>
        <v>noppamanees@airasia.com</v>
      </c>
    </row>
    <row r="789">
      <c r="A789">
        <f>IFERROR(__xludf.DUMMYFUNCTION("""COMPUTED_VALUE"""),1017927.0)</f>
        <v>1017927</v>
      </c>
      <c r="B789" t="str">
        <f>IFERROR(__xludf.DUMMYFUNCTION("""COMPUTED_VALUE"""),"Ms.")</f>
        <v>Ms.</v>
      </c>
      <c r="C789" t="str">
        <f>IFERROR(__xludf.DUMMYFUNCTION("""COMPUTED_VALUE"""),"Ornusa")</f>
        <v>Ornusa</v>
      </c>
      <c r="D789" t="str">
        <f>IFERROR(__xludf.DUMMYFUNCTION("""COMPUTED_VALUE"""),"Ongsuwan")</f>
        <v>Ongsuwan</v>
      </c>
      <c r="E789" t="str">
        <f>IFERROR(__xludf.DUMMYFUNCTION("""COMPUTED_VALUE"""),"Ornusa Ongsuwan")</f>
        <v>Ornusa Ongsuwan</v>
      </c>
      <c r="F789" t="str">
        <f>IFERROR(__xludf.DUMMYFUNCTION("""COMPUTED_VALUE"""),"นางสาว")</f>
        <v>นางสาว</v>
      </c>
      <c r="G789" t="str">
        <f>IFERROR(__xludf.DUMMYFUNCTION("""COMPUTED_VALUE"""),"อรอุษา")</f>
        <v>อรอุษา</v>
      </c>
      <c r="H789" t="str">
        <f>IFERROR(__xludf.DUMMYFUNCTION("""COMPUTED_VALUE"""),"อ่องสุวรรณ")</f>
        <v>อ่องสุวรรณ</v>
      </c>
      <c r="I789" t="str">
        <f>IFERROR(__xludf.DUMMYFUNCTION("""COMPUTED_VALUE"""),"อรอุษา อ่องสุวรรณ")</f>
        <v>อรอุษา อ่องสุวรรณ</v>
      </c>
      <c r="J789" t="str">
        <f>IFERROR(__xludf.DUMMYFUNCTION("""COMPUTED_VALUE"""),"Prim/พริม")</f>
        <v>Prim/พริม</v>
      </c>
      <c r="K789" t="str">
        <f>IFERROR(__xludf.DUMMYFUNCTION("""COMPUTED_VALUE"""),"Cabin Crew")</f>
        <v>Cabin Crew</v>
      </c>
      <c r="L789" t="str">
        <f>IFERROR(__xludf.DUMMYFUNCTION("""COMPUTED_VALUE"""),"DMK")</f>
        <v>DMK</v>
      </c>
      <c r="M789" s="145" t="str">
        <f>IFERROR(__xludf.DUMMYFUNCTION("""COMPUTED_VALUE"""),"Up Home")</f>
        <v>Up Home</v>
      </c>
      <c r="N789" t="str">
        <f>IFERROR(__xludf.DUMMYFUNCTION("""COMPUTED_VALUE"""),"Active")</f>
        <v>Active</v>
      </c>
      <c r="P789" s="143">
        <f>IFERROR(__xludf.DUMMYFUNCTION("""COMPUTED_VALUE"""),31742.0)</f>
        <v>31742</v>
      </c>
      <c r="Q789" s="146" t="str">
        <f>IFERROR(__xludf.DUMMYFUNCTION("""COMPUTED_VALUE"""),"064-423-2354")</f>
        <v>064-423-2354</v>
      </c>
      <c r="R789" s="147" t="str">
        <f>IFERROR(__xludf.DUMMYFUNCTION("""COMPUTED_VALUE"""),"1579900-14-0064")</f>
        <v>1579900-14-0064</v>
      </c>
      <c r="S789" t="str">
        <f>IFERROR(__xludf.DUMMYFUNCTION("""COMPUTED_VALUE"""),"AC6811837")</f>
        <v>AC6811837</v>
      </c>
      <c r="T789" s="148">
        <f>IFERROR(__xludf.DUMMYFUNCTION("""COMPUTED_VALUE"""),45439.0)</f>
        <v>45439</v>
      </c>
      <c r="U789" s="148">
        <f>IFERROR(__xludf.DUMMYFUNCTION("""COMPUTED_VALUE"""),49090.0)</f>
        <v>49090</v>
      </c>
      <c r="V789" s="149">
        <f>IFERROR(__xludf.DUMMYFUNCTION("""COMPUTED_VALUE"""),48909.0)</f>
        <v>48909</v>
      </c>
      <c r="W789" t="str">
        <f>IFERROR(__xludf.DUMMYFUNCTION("""COMPUTED_VALUE"""),"ปลอดภัย")</f>
        <v>ปลอดภัย</v>
      </c>
      <c r="X789" t="str">
        <f>IFERROR(__xludf.DUMMYFUNCTION("""COMPUTED_VALUE"""),"Chiang Rai Province")</f>
        <v>Chiang Rai Province</v>
      </c>
      <c r="Y789" t="str">
        <f>IFERROR(__xludf.DUMMYFUNCTION("""COMPUTED_VALUE"""),"Bangkok")</f>
        <v>Bangkok</v>
      </c>
      <c r="Z789" t="str">
        <f>IFERROR(__xludf.DUMMYFUNCTION("""COMPUTED_VALUE"""),"085-908-9997")</f>
        <v>085-908-9997</v>
      </c>
      <c r="AA789" t="str">
        <f>IFERROR(__xludf.DUMMYFUNCTION("""COMPUTED_VALUE"""),"Ontheera Ongsuwan (Sister)")</f>
        <v>Ontheera Ongsuwan (Sister)</v>
      </c>
      <c r="AB789" t="str">
        <f>IFERROR(__xludf.DUMMYFUNCTION("""COMPUTED_VALUE"""),"ornusao@airasia.com")</f>
        <v>ornusao@airasia.com</v>
      </c>
    </row>
    <row r="790">
      <c r="A790">
        <f>IFERROR(__xludf.DUMMYFUNCTION("""COMPUTED_VALUE"""),1017931.0)</f>
        <v>1017931</v>
      </c>
      <c r="B790" t="str">
        <f>IFERROR(__xludf.DUMMYFUNCTION("""COMPUTED_VALUE"""),"Ms.")</f>
        <v>Ms.</v>
      </c>
      <c r="C790" t="str">
        <f>IFERROR(__xludf.DUMMYFUNCTION("""COMPUTED_VALUE"""),"Ploynisa")</f>
        <v>Ploynisa</v>
      </c>
      <c r="D790" t="str">
        <f>IFERROR(__xludf.DUMMYFUNCTION("""COMPUTED_VALUE"""),"Siriobmalee")</f>
        <v>Siriobmalee</v>
      </c>
      <c r="E790" t="str">
        <f>IFERROR(__xludf.DUMMYFUNCTION("""COMPUTED_VALUE"""),"Ploynisa Siriobmalee")</f>
        <v>Ploynisa Siriobmalee</v>
      </c>
      <c r="F790" t="str">
        <f>IFERROR(__xludf.DUMMYFUNCTION("""COMPUTED_VALUE"""),"นางสาว")</f>
        <v>นางสาว</v>
      </c>
      <c r="G790" t="str">
        <f>IFERROR(__xludf.DUMMYFUNCTION("""COMPUTED_VALUE"""),"พลอยณิศา")</f>
        <v>พลอยณิศา</v>
      </c>
      <c r="H790" t="str">
        <f>IFERROR(__xludf.DUMMYFUNCTION("""COMPUTED_VALUE"""),"ศิริอบมลี")</f>
        <v>ศิริอบมลี</v>
      </c>
      <c r="I790" t="str">
        <f>IFERROR(__xludf.DUMMYFUNCTION("""COMPUTED_VALUE"""),"พลอยณิศา ศิริอบมลี")</f>
        <v>พลอยณิศา ศิริอบมลี</v>
      </c>
      <c r="J790" t="str">
        <f>IFERROR(__xludf.DUMMYFUNCTION("""COMPUTED_VALUE"""),"Nate/เนตร")</f>
        <v>Nate/เนตร</v>
      </c>
      <c r="K790" t="str">
        <f>IFERROR(__xludf.DUMMYFUNCTION("""COMPUTED_VALUE"""),"Cabin Crew - BKK")</f>
        <v>Cabin Crew - BKK</v>
      </c>
      <c r="L790" t="str">
        <f>IFERROR(__xludf.DUMMYFUNCTION("""COMPUTED_VALUE"""),"BKK")</f>
        <v>BKK</v>
      </c>
      <c r="M790" s="145" t="str">
        <f>IFERROR(__xludf.DUMMYFUNCTION("""COMPUTED_VALUE"""),"Nhui Home")</f>
        <v>Nhui Home</v>
      </c>
      <c r="N790" t="str">
        <f>IFERROR(__xludf.DUMMYFUNCTION("""COMPUTED_VALUE"""),"Active")</f>
        <v>Active</v>
      </c>
      <c r="P790" s="143">
        <f>IFERROR(__xludf.DUMMYFUNCTION("""COMPUTED_VALUE"""),34045.0)</f>
        <v>34045</v>
      </c>
      <c r="Q790" s="146" t="str">
        <f>IFERROR(__xludf.DUMMYFUNCTION("""COMPUTED_VALUE"""),"091-7785891")</f>
        <v>091-7785891</v>
      </c>
      <c r="R790" s="147" t="str">
        <f>IFERROR(__xludf.DUMMYFUNCTION("""COMPUTED_VALUE"""),"1209700-46-6384")</f>
        <v>1209700-46-6384</v>
      </c>
      <c r="S790" t="str">
        <f>IFERROR(__xludf.DUMMYFUNCTION("""COMPUTED_VALUE"""),"AC2740243")</f>
        <v>AC2740243</v>
      </c>
      <c r="T790" s="148">
        <f>IFERROR(__xludf.DUMMYFUNCTION("""COMPUTED_VALUE"""),44483.0)</f>
        <v>44483</v>
      </c>
      <c r="U790" s="148">
        <f>IFERROR(__xludf.DUMMYFUNCTION("""COMPUTED_VALUE"""),48134.0)</f>
        <v>48134</v>
      </c>
      <c r="V790" s="149">
        <f>IFERROR(__xludf.DUMMYFUNCTION("""COMPUTED_VALUE"""),47951.0)</f>
        <v>47951</v>
      </c>
      <c r="W790" t="str">
        <f>IFERROR(__xludf.DUMMYFUNCTION("""COMPUTED_VALUE"""),"ปลอดภัย")</f>
        <v>ปลอดภัย</v>
      </c>
      <c r="X790" t="str">
        <f>IFERROR(__xludf.DUMMYFUNCTION("""COMPUTED_VALUE"""),"Chonburi Province")</f>
        <v>Chonburi Province</v>
      </c>
      <c r="Y790" t="str">
        <f>IFERROR(__xludf.DUMMYFUNCTION("""COMPUTED_VALUE"""),"Chonburi")</f>
        <v>Chonburi</v>
      </c>
      <c r="Z790" t="str">
        <f>IFERROR(__xludf.DUMMYFUNCTION("""COMPUTED_VALUE"""),"081-9967772")</f>
        <v>081-9967772</v>
      </c>
      <c r="AA790" t="str">
        <f>IFERROR(__xludf.DUMMYFUNCTION("""COMPUTED_VALUE"""),"Nuttaya Siriobmalee (Mother)")</f>
        <v>Nuttaya Siriobmalee (Mother)</v>
      </c>
      <c r="AB790" t="str">
        <f>IFERROR(__xludf.DUMMYFUNCTION("""COMPUTED_VALUE"""),"ploynisas@airasia.com")</f>
        <v>ploynisas@airasia.com</v>
      </c>
    </row>
    <row r="791">
      <c r="A791">
        <f>IFERROR(__xludf.DUMMYFUNCTION("""COMPUTED_VALUE"""),1017935.0)</f>
        <v>1017935</v>
      </c>
      <c r="B791" t="str">
        <f>IFERROR(__xludf.DUMMYFUNCTION("""COMPUTED_VALUE"""),"Ms.")</f>
        <v>Ms.</v>
      </c>
      <c r="C791" t="str">
        <f>IFERROR(__xludf.DUMMYFUNCTION("""COMPUTED_VALUE"""),"Supitcha")</f>
        <v>Supitcha</v>
      </c>
      <c r="D791" t="str">
        <f>IFERROR(__xludf.DUMMYFUNCTION("""COMPUTED_VALUE"""),"Chansiri")</f>
        <v>Chansiri</v>
      </c>
      <c r="E791" t="str">
        <f>IFERROR(__xludf.DUMMYFUNCTION("""COMPUTED_VALUE"""),"Supitcha Chansiri")</f>
        <v>Supitcha Chansiri</v>
      </c>
      <c r="F791" t="str">
        <f>IFERROR(__xludf.DUMMYFUNCTION("""COMPUTED_VALUE"""),"นางสาว")</f>
        <v>นางสาว</v>
      </c>
      <c r="G791" t="str">
        <f>IFERROR(__xludf.DUMMYFUNCTION("""COMPUTED_VALUE"""),"สุพิชชา")</f>
        <v>สุพิชชา</v>
      </c>
      <c r="H791" t="str">
        <f>IFERROR(__xludf.DUMMYFUNCTION("""COMPUTED_VALUE"""),"จันทร์ศิริ")</f>
        <v>จันทร์ศิริ</v>
      </c>
      <c r="I791" t="str">
        <f>IFERROR(__xludf.DUMMYFUNCTION("""COMPUTED_VALUE"""),"สุพิชชา จันทร์ศิริ")</f>
        <v>สุพิชชา จันทร์ศิริ</v>
      </c>
      <c r="J791" t="str">
        <f>IFERROR(__xludf.DUMMYFUNCTION("""COMPUTED_VALUE"""),"Nook / นุ้ก")</f>
        <v>Nook / นุ้ก</v>
      </c>
      <c r="K791" t="str">
        <f>IFERROR(__xludf.DUMMYFUNCTION("""COMPUTED_VALUE"""),"Cabin Crew")</f>
        <v>Cabin Crew</v>
      </c>
      <c r="L791" t="str">
        <f>IFERROR(__xludf.DUMMYFUNCTION("""COMPUTED_VALUE"""),"DMK")</f>
        <v>DMK</v>
      </c>
      <c r="M791" s="145" t="str">
        <f>IFERROR(__xludf.DUMMYFUNCTION("""COMPUTED_VALUE"""),"Namfon Home")</f>
        <v>Namfon Home</v>
      </c>
      <c r="N791" t="str">
        <f>IFERROR(__xludf.DUMMYFUNCTION("""COMPUTED_VALUE"""),"Active")</f>
        <v>Active</v>
      </c>
      <c r="O791" t="str">
        <f>IFERROR(__xludf.DUMMYFUNCTION("""COMPUTED_VALUE"""),"Chinese Speaking")</f>
        <v>Chinese Speaking</v>
      </c>
      <c r="P791" s="143">
        <f>IFERROR(__xludf.DUMMYFUNCTION("""COMPUTED_VALUE"""),34110.0)</f>
        <v>34110</v>
      </c>
      <c r="Q791" s="146" t="str">
        <f>IFERROR(__xludf.DUMMYFUNCTION("""COMPUTED_VALUE"""),"086-8851525")</f>
        <v>086-8851525</v>
      </c>
      <c r="R791" s="147" t="str">
        <f>IFERROR(__xludf.DUMMYFUNCTION("""COMPUTED_VALUE"""),"1101401-98-4042")</f>
        <v>1101401-98-4042</v>
      </c>
      <c r="S791" t="str">
        <f>IFERROR(__xludf.DUMMYFUNCTION("""COMPUTED_VALUE"""),"AC6145716")</f>
        <v>AC6145716</v>
      </c>
      <c r="T791" s="148">
        <f>IFERROR(__xludf.DUMMYFUNCTION("""COMPUTED_VALUE"""),45293.0)</f>
        <v>45293</v>
      </c>
      <c r="U791" s="148">
        <f>IFERROR(__xludf.DUMMYFUNCTION("""COMPUTED_VALUE"""),48945.0)</f>
        <v>48945</v>
      </c>
      <c r="V791" s="149">
        <f>IFERROR(__xludf.DUMMYFUNCTION("""COMPUTED_VALUE"""),48761.0)</f>
        <v>48761</v>
      </c>
      <c r="W791" t="str">
        <f>IFERROR(__xludf.DUMMYFUNCTION("""COMPUTED_VALUE"""),"ปลอดภัย")</f>
        <v>ปลอดภัย</v>
      </c>
      <c r="X791" t="str">
        <f>IFERROR(__xludf.DUMMYFUNCTION("""COMPUTED_VALUE"""),"Bangkok")</f>
        <v>Bangkok</v>
      </c>
      <c r="Y791" t="str">
        <f>IFERROR(__xludf.DUMMYFUNCTION("""COMPUTED_VALUE"""),"Nonthaburi")</f>
        <v>Nonthaburi</v>
      </c>
      <c r="Z791" t="str">
        <f>IFERROR(__xludf.DUMMYFUNCTION("""COMPUTED_VALUE"""),"081-907-1133")</f>
        <v>081-907-1133</v>
      </c>
      <c r="AA791" t="str">
        <f>IFERROR(__xludf.DUMMYFUNCTION("""COMPUTED_VALUE"""),"Pornpatsorn Tanyatornpat (Mother)")</f>
        <v>Pornpatsorn Tanyatornpat (Mother)</v>
      </c>
      <c r="AB791" t="str">
        <f>IFERROR(__xludf.DUMMYFUNCTION("""COMPUTED_VALUE"""),"supitchac@airasia.com")</f>
        <v>supitchac@airasia.com</v>
      </c>
    </row>
    <row r="792">
      <c r="AB792" t="str">
        <f>IFERROR(__xludf.DUMMYFUNCTION("""COMPUTED_VALUE"""),"")</f>
        <v/>
      </c>
    </row>
    <row r="793">
      <c r="A793">
        <f>IFERROR(__xludf.DUMMYFUNCTION("""COMPUTED_VALUE"""),1008690.0)</f>
        <v>1008690</v>
      </c>
      <c r="B793" t="str">
        <f>IFERROR(__xludf.DUMMYFUNCTION("""COMPUTED_VALUE"""),"Mr.")</f>
        <v>Mr.</v>
      </c>
      <c r="C793" t="str">
        <f>IFERROR(__xludf.DUMMYFUNCTION("""COMPUTED_VALUE"""),"Pongsathorn")</f>
        <v>Pongsathorn</v>
      </c>
      <c r="D793" t="str">
        <f>IFERROR(__xludf.DUMMYFUNCTION("""COMPUTED_VALUE"""),"Khampangsri")</f>
        <v>Khampangsri</v>
      </c>
      <c r="E793" t="str">
        <f>IFERROR(__xludf.DUMMYFUNCTION("""COMPUTED_VALUE"""),"Pongsathorn Khampangsri")</f>
        <v>Pongsathorn Khampangsri</v>
      </c>
      <c r="F793" t="str">
        <f>IFERROR(__xludf.DUMMYFUNCTION("""COMPUTED_VALUE"""),"นาย")</f>
        <v>นาย</v>
      </c>
      <c r="G793" t="str">
        <f>IFERROR(__xludf.DUMMYFUNCTION("""COMPUTED_VALUE"""),"พงศธร")</f>
        <v>พงศธร</v>
      </c>
      <c r="H793" t="str">
        <f>IFERROR(__xludf.DUMMYFUNCTION("""COMPUTED_VALUE"""),"คำแพงศรี")</f>
        <v>คำแพงศรี</v>
      </c>
      <c r="I793" t="str">
        <f>IFERROR(__xludf.DUMMYFUNCTION("""COMPUTED_VALUE"""),"พงศธร คำแพงศรี")</f>
        <v>พงศธร คำแพงศรี</v>
      </c>
      <c r="J793" t="str">
        <f>IFERROR(__xludf.DUMMYFUNCTION("""COMPUTED_VALUE"""),"Pond/ปอนด์")</f>
        <v>Pond/ปอนด์</v>
      </c>
      <c r="K793" t="str">
        <f>IFERROR(__xludf.DUMMYFUNCTION("""COMPUTED_VALUE"""),"Senior Cabin Crew")</f>
        <v>Senior Cabin Crew</v>
      </c>
      <c r="L793" t="str">
        <f>IFERROR(__xludf.DUMMYFUNCTION("""COMPUTED_VALUE"""),"DMK")</f>
        <v>DMK</v>
      </c>
      <c r="M793" s="145" t="str">
        <f>IFERROR(__xludf.DUMMYFUNCTION("""COMPUTED_VALUE"""),"Toffy Home")</f>
        <v>Toffy Home</v>
      </c>
      <c r="N793" t="str">
        <f>IFERROR(__xludf.DUMMYFUNCTION("""COMPUTED_VALUE"""),"Active")</f>
        <v>Active</v>
      </c>
      <c r="P793" s="143">
        <f>IFERROR(__xludf.DUMMYFUNCTION("""COMPUTED_VALUE"""),33537.0)</f>
        <v>33537</v>
      </c>
      <c r="Q793" s="146" t="str">
        <f>IFERROR(__xludf.DUMMYFUNCTION("""COMPUTED_VALUE"""),"090-978-7711")</f>
        <v>090-978-7711</v>
      </c>
      <c r="R793" s="147" t="str">
        <f>IFERROR(__xludf.DUMMYFUNCTION("""COMPUTED_VALUE"""),"1-3304-00306-26-9")</f>
        <v>1-3304-00306-26-9</v>
      </c>
      <c r="S793" t="str">
        <f>IFERROR(__xludf.DUMMYFUNCTION("""COMPUTED_VALUE"""),"AC7445437")</f>
        <v>AC7445437</v>
      </c>
      <c r="T793" s="148">
        <f>IFERROR(__xludf.DUMMYFUNCTION("""COMPUTED_VALUE"""),45586.0)</f>
        <v>45586</v>
      </c>
      <c r="U793" s="148">
        <f>IFERROR(__xludf.DUMMYFUNCTION("""COMPUTED_VALUE"""),49237.0)</f>
        <v>49237</v>
      </c>
      <c r="V793" s="149">
        <f>IFERROR(__xludf.DUMMYFUNCTION("""COMPUTED_VALUE"""),49054.0)</f>
        <v>49054</v>
      </c>
      <c r="W793" t="str">
        <f>IFERROR(__xludf.DUMMYFUNCTION("""COMPUTED_VALUE"""),"ปลอดภัย")</f>
        <v>ปลอดภัย</v>
      </c>
      <c r="X793" t="str">
        <f>IFERROR(__xludf.DUMMYFUNCTION("""COMPUTED_VALUE"""),"Sisaket Province")</f>
        <v>Sisaket Province</v>
      </c>
      <c r="Y793" t="str">
        <f>IFERROR(__xludf.DUMMYFUNCTION("""COMPUTED_VALUE"""),"Prathumthani")</f>
        <v>Prathumthani</v>
      </c>
      <c r="Z793" t="str">
        <f>IFERROR(__xludf.DUMMYFUNCTION("""COMPUTED_VALUE"""),"081-976-7812")</f>
        <v>081-976-7812</v>
      </c>
      <c r="AA793" t="str">
        <f>IFERROR(__xludf.DUMMYFUNCTION("""COMPUTED_VALUE"""),"Praneet Chaisuwan (Uncle)")</f>
        <v>Praneet Chaisuwan (Uncle)</v>
      </c>
      <c r="AB793" t="str">
        <f>IFERROR(__xludf.DUMMYFUNCTION("""COMPUTED_VALUE"""),"pongsathornk@airasia.com")</f>
        <v>pongsathornk@airasia.com</v>
      </c>
    </row>
    <row r="794">
      <c r="A794">
        <f>IFERROR(__xludf.DUMMYFUNCTION("""COMPUTED_VALUE"""),1009510.0)</f>
        <v>1009510</v>
      </c>
      <c r="B794" t="str">
        <f>IFERROR(__xludf.DUMMYFUNCTION("""COMPUTED_VALUE"""),"Mr.")</f>
        <v>Mr.</v>
      </c>
      <c r="C794" t="str">
        <f>IFERROR(__xludf.DUMMYFUNCTION("""COMPUTED_VALUE"""),"Kitti")</f>
        <v>Kitti</v>
      </c>
      <c r="D794" t="str">
        <f>IFERROR(__xludf.DUMMYFUNCTION("""COMPUTED_VALUE"""),"Mangkalad")</f>
        <v>Mangkalad</v>
      </c>
      <c r="E794" t="str">
        <f>IFERROR(__xludf.DUMMYFUNCTION("""COMPUTED_VALUE"""),"Kitti Mangkalad")</f>
        <v>Kitti Mangkalad</v>
      </c>
      <c r="F794" t="str">
        <f>IFERROR(__xludf.DUMMYFUNCTION("""COMPUTED_VALUE"""),"นาย")</f>
        <v>นาย</v>
      </c>
      <c r="G794" t="str">
        <f>IFERROR(__xludf.DUMMYFUNCTION("""COMPUTED_VALUE"""),"กิตติ")</f>
        <v>กิตติ</v>
      </c>
      <c r="H794" t="str">
        <f>IFERROR(__xludf.DUMMYFUNCTION("""COMPUTED_VALUE"""),"มังคลาด")</f>
        <v>มังคลาด</v>
      </c>
      <c r="I794" t="str">
        <f>IFERROR(__xludf.DUMMYFUNCTION("""COMPUTED_VALUE"""),"กิตติ มังคลาด")</f>
        <v>กิตติ มังคลาด</v>
      </c>
      <c r="J794" t="str">
        <f>IFERROR(__xludf.DUMMYFUNCTION("""COMPUTED_VALUE"""),"Benz / เบนซ์")</f>
        <v>Benz / เบนซ์</v>
      </c>
      <c r="K794" t="str">
        <f>IFERROR(__xludf.DUMMYFUNCTION("""COMPUTED_VALUE"""),"Cabin Crew")</f>
        <v>Cabin Crew</v>
      </c>
      <c r="L794" t="str">
        <f>IFERROR(__xludf.DUMMYFUNCTION("""COMPUTED_VALUE"""),"DMK")</f>
        <v>DMK</v>
      </c>
      <c r="M794" s="145" t="str">
        <f>IFERROR(__xludf.DUMMYFUNCTION("""COMPUTED_VALUE"""),"Namfon Home")</f>
        <v>Namfon Home</v>
      </c>
      <c r="N794" t="str">
        <f>IFERROR(__xludf.DUMMYFUNCTION("""COMPUTED_VALUE"""),"Active")</f>
        <v>Active</v>
      </c>
      <c r="P794" s="143">
        <f>IFERROR(__xludf.DUMMYFUNCTION("""COMPUTED_VALUE"""),33063.0)</f>
        <v>33063</v>
      </c>
      <c r="Q794" s="146" t="str">
        <f>IFERROR(__xludf.DUMMYFUNCTION("""COMPUTED_VALUE"""),"064-452-3542")</f>
        <v>064-452-3542</v>
      </c>
      <c r="R794" s="147" t="str">
        <f>IFERROR(__xludf.DUMMYFUNCTION("""COMPUTED_VALUE"""),"1-5603-00156-98-1")</f>
        <v>1-5603-00156-98-1</v>
      </c>
      <c r="S794" t="str">
        <f>IFERROR(__xludf.DUMMYFUNCTION("""COMPUTED_VALUE"""),"AC4007237")</f>
        <v>AC4007237</v>
      </c>
      <c r="T794" s="148">
        <f>IFERROR(__xludf.DUMMYFUNCTION("""COMPUTED_VALUE"""),44813.0)</f>
        <v>44813</v>
      </c>
      <c r="U794" s="148">
        <f>IFERROR(__xludf.DUMMYFUNCTION("""COMPUTED_VALUE"""),48465.0)</f>
        <v>48465</v>
      </c>
      <c r="V794" s="149">
        <f>IFERROR(__xludf.DUMMYFUNCTION("""COMPUTED_VALUE"""),48281.0)</f>
        <v>48281</v>
      </c>
      <c r="W794" t="str">
        <f>IFERROR(__xludf.DUMMYFUNCTION("""COMPUTED_VALUE"""),"ปลอดภัย")</f>
        <v>ปลอดภัย</v>
      </c>
      <c r="X794" t="str">
        <f>IFERROR(__xludf.DUMMYFUNCTION("""COMPUTED_VALUE"""),"Phayao Province")</f>
        <v>Phayao Province</v>
      </c>
      <c r="Y794" t="str">
        <f>IFERROR(__xludf.DUMMYFUNCTION("""COMPUTED_VALUE"""),"Bangkok")</f>
        <v>Bangkok</v>
      </c>
      <c r="Z794" t="str">
        <f>IFERROR(__xludf.DUMMYFUNCTION("""COMPUTED_VALUE"""),"089-956-3919")</f>
        <v>089-956-3919</v>
      </c>
      <c r="AA794" t="str">
        <f>IFERROR(__xludf.DUMMYFUNCTION("""COMPUTED_VALUE"""),"Preeyakorn Rojanadumrong")</f>
        <v>Preeyakorn Rojanadumrong</v>
      </c>
      <c r="AB794" t="str">
        <f>IFERROR(__xludf.DUMMYFUNCTION("""COMPUTED_VALUE"""),"kittin@airasia.com")</f>
        <v>kittin@airasia.com</v>
      </c>
    </row>
    <row r="795">
      <c r="A795">
        <f>IFERROR(__xludf.DUMMYFUNCTION("""COMPUTED_VALUE"""),1018529.0)</f>
        <v>1018529</v>
      </c>
      <c r="B795" t="str">
        <f>IFERROR(__xludf.DUMMYFUNCTION("""COMPUTED_VALUE"""),"Ms.")</f>
        <v>Ms.</v>
      </c>
      <c r="C795" t="str">
        <f>IFERROR(__xludf.DUMMYFUNCTION("""COMPUTED_VALUE"""),"Apichaya")</f>
        <v>Apichaya</v>
      </c>
      <c r="D795" t="str">
        <f>IFERROR(__xludf.DUMMYFUNCTION("""COMPUTED_VALUE"""),"Bureesri")</f>
        <v>Bureesri</v>
      </c>
      <c r="E795" t="str">
        <f>IFERROR(__xludf.DUMMYFUNCTION("""COMPUTED_VALUE"""),"Apichaya Bureesri")</f>
        <v>Apichaya Bureesri</v>
      </c>
      <c r="F795" t="str">
        <f>IFERROR(__xludf.DUMMYFUNCTION("""COMPUTED_VALUE"""),"นางสาว")</f>
        <v>นางสาว</v>
      </c>
      <c r="G795" t="str">
        <f>IFERROR(__xludf.DUMMYFUNCTION("""COMPUTED_VALUE"""),"อภิชญา")</f>
        <v>อภิชญา</v>
      </c>
      <c r="H795" t="str">
        <f>IFERROR(__xludf.DUMMYFUNCTION("""COMPUTED_VALUE"""),"บุรีศรี")</f>
        <v>บุรีศรี</v>
      </c>
      <c r="I795" t="str">
        <f>IFERROR(__xludf.DUMMYFUNCTION("""COMPUTED_VALUE"""),"อภิชญา บุรีศรี")</f>
        <v>อภิชญา บุรีศรี</v>
      </c>
      <c r="J795" t="str">
        <f>IFERROR(__xludf.DUMMYFUNCTION("""COMPUTED_VALUE"""),"Eve/อีฟ")</f>
        <v>Eve/อีฟ</v>
      </c>
      <c r="K795" t="str">
        <f>IFERROR(__xludf.DUMMYFUNCTION("""COMPUTED_VALUE"""),"Cabin Crew")</f>
        <v>Cabin Crew</v>
      </c>
      <c r="L795" t="str">
        <f>IFERROR(__xludf.DUMMYFUNCTION("""COMPUTED_VALUE"""),"DMK")</f>
        <v>DMK</v>
      </c>
      <c r="M795" s="145" t="str">
        <f>IFERROR(__xludf.DUMMYFUNCTION("""COMPUTED_VALUE"""),"Um Home")</f>
        <v>Um Home</v>
      </c>
      <c r="N795" t="str">
        <f>IFERROR(__xludf.DUMMYFUNCTION("""COMPUTED_VALUE"""),"Active")</f>
        <v>Active</v>
      </c>
      <c r="P795" s="143">
        <f>IFERROR(__xludf.DUMMYFUNCTION("""COMPUTED_VALUE"""),33780.0)</f>
        <v>33780</v>
      </c>
      <c r="Q795" s="146" t="str">
        <f>IFERROR(__xludf.DUMMYFUNCTION("""COMPUTED_VALUE"""),"061-0158999")</f>
        <v>061-0158999</v>
      </c>
      <c r="R795" s="147" t="str">
        <f>IFERROR(__xludf.DUMMYFUNCTION("""COMPUTED_VALUE"""),"1909900-33-4779")</f>
        <v>1909900-33-4779</v>
      </c>
      <c r="S795" t="str">
        <f>IFERROR(__xludf.DUMMYFUNCTION("""COMPUTED_VALUE"""),"AD0704321")</f>
        <v>AD0704321</v>
      </c>
      <c r="T795" s="148">
        <f>IFERROR(__xludf.DUMMYFUNCTION("""COMPUTED_VALUE"""),44953.0)</f>
        <v>44953</v>
      </c>
      <c r="U795" s="148">
        <f>IFERROR(__xludf.DUMMYFUNCTION("""COMPUTED_VALUE"""),46778.0)</f>
        <v>46778</v>
      </c>
      <c r="V795" s="149">
        <f>IFERROR(__xludf.DUMMYFUNCTION("""COMPUTED_VALUE"""),46594.0)</f>
        <v>46594</v>
      </c>
      <c r="W795" t="str">
        <f>IFERROR(__xludf.DUMMYFUNCTION("""COMPUTED_VALUE"""),"ปลอดภัย")</f>
        <v>ปลอดภัย</v>
      </c>
      <c r="X795" t="str">
        <f>IFERROR(__xludf.DUMMYFUNCTION("""COMPUTED_VALUE"""),"Songkhla Province")</f>
        <v>Songkhla Province</v>
      </c>
      <c r="Y795" t="str">
        <f>IFERROR(__xludf.DUMMYFUNCTION("""COMPUTED_VALUE"""),"Bangkok")</f>
        <v>Bangkok</v>
      </c>
      <c r="Z795" t="str">
        <f>IFERROR(__xludf.DUMMYFUNCTION("""COMPUTED_VALUE"""),"081-798-8851")</f>
        <v>081-798-8851</v>
      </c>
      <c r="AA795" t="str">
        <f>IFERROR(__xludf.DUMMYFUNCTION("""COMPUTED_VALUE"""),"Suleeporn Bureesri (Mother)")</f>
        <v>Suleeporn Bureesri (Mother)</v>
      </c>
      <c r="AB795" t="str">
        <f>IFERROR(__xludf.DUMMYFUNCTION("""COMPUTED_VALUE"""),"apichayab@airasia.com")</f>
        <v>apichayab@airasia.com</v>
      </c>
    </row>
    <row r="796">
      <c r="A796">
        <f>IFERROR(__xludf.DUMMYFUNCTION("""COMPUTED_VALUE"""),1018530.0)</f>
        <v>1018530</v>
      </c>
      <c r="B796" t="str">
        <f>IFERROR(__xludf.DUMMYFUNCTION("""COMPUTED_VALUE"""),"Ms.")</f>
        <v>Ms.</v>
      </c>
      <c r="C796" t="str">
        <f>IFERROR(__xludf.DUMMYFUNCTION("""COMPUTED_VALUE"""),"Chaniporn")</f>
        <v>Chaniporn</v>
      </c>
      <c r="D796" t="str">
        <f>IFERROR(__xludf.DUMMYFUNCTION("""COMPUTED_VALUE"""),"Thanaworrapak")</f>
        <v>Thanaworrapak</v>
      </c>
      <c r="E796" t="str">
        <f>IFERROR(__xludf.DUMMYFUNCTION("""COMPUTED_VALUE"""),"Chaniporn Thanaworrapak")</f>
        <v>Chaniporn Thanaworrapak</v>
      </c>
      <c r="F796" t="str">
        <f>IFERROR(__xludf.DUMMYFUNCTION("""COMPUTED_VALUE"""),"นางสาว")</f>
        <v>นางสาว</v>
      </c>
      <c r="G796" t="str">
        <f>IFERROR(__xludf.DUMMYFUNCTION("""COMPUTED_VALUE"""),"ชนิภรณ์")</f>
        <v>ชนิภรณ์</v>
      </c>
      <c r="H796" t="str">
        <f>IFERROR(__xludf.DUMMYFUNCTION("""COMPUTED_VALUE"""),"ธนวรภาคย์")</f>
        <v>ธนวรภาคย์</v>
      </c>
      <c r="I796" t="str">
        <f>IFERROR(__xludf.DUMMYFUNCTION("""COMPUTED_VALUE"""),"ชนิภรณ์ ธนวรภาคย์")</f>
        <v>ชนิภรณ์ ธนวรภาคย์</v>
      </c>
      <c r="J796" t="str">
        <f>IFERROR(__xludf.DUMMYFUNCTION("""COMPUTED_VALUE"""),"Koii/ก้อย")</f>
        <v>Koii/ก้อย</v>
      </c>
      <c r="K796" t="str">
        <f>IFERROR(__xludf.DUMMYFUNCTION("""COMPUTED_VALUE"""),"Cabin Crew")</f>
        <v>Cabin Crew</v>
      </c>
      <c r="L796" t="str">
        <f>IFERROR(__xludf.DUMMYFUNCTION("""COMPUTED_VALUE"""),"DMK")</f>
        <v>DMK</v>
      </c>
      <c r="M796" s="145" t="str">
        <f>IFERROR(__xludf.DUMMYFUNCTION("""COMPUTED_VALUE"""),"Kor Home")</f>
        <v>Kor Home</v>
      </c>
      <c r="N796" t="str">
        <f>IFERROR(__xludf.DUMMYFUNCTION("""COMPUTED_VALUE"""),"Active")</f>
        <v>Active</v>
      </c>
      <c r="O796" t="str">
        <f>IFERROR(__xludf.DUMMYFUNCTION("""COMPUTED_VALUE"""),"Chinese Speaking")</f>
        <v>Chinese Speaking</v>
      </c>
      <c r="P796" s="143">
        <f>IFERROR(__xludf.DUMMYFUNCTION("""COMPUTED_VALUE"""),33207.0)</f>
        <v>33207</v>
      </c>
      <c r="Q796" s="146" t="str">
        <f>IFERROR(__xludf.DUMMYFUNCTION("""COMPUTED_VALUE"""),"086-3949261")</f>
        <v>086-3949261</v>
      </c>
      <c r="R796" s="147" t="str">
        <f>IFERROR(__xludf.DUMMYFUNCTION("""COMPUTED_VALUE"""),"1100400-49-0061")</f>
        <v>1100400-49-0061</v>
      </c>
      <c r="S796" t="str">
        <f>IFERROR(__xludf.DUMMYFUNCTION("""COMPUTED_VALUE"""),"AC2420926")</f>
        <v>AC2420926</v>
      </c>
      <c r="T796" s="148">
        <f>IFERROR(__xludf.DUMMYFUNCTION("""COMPUTED_VALUE"""),44445.0)</f>
        <v>44445</v>
      </c>
      <c r="U796" s="148">
        <f>IFERROR(__xludf.DUMMYFUNCTION("""COMPUTED_VALUE"""),48096.0)</f>
        <v>48096</v>
      </c>
      <c r="V796" s="149">
        <f>IFERROR(__xludf.DUMMYFUNCTION("""COMPUTED_VALUE"""),47912.0)</f>
        <v>47912</v>
      </c>
      <c r="W796" t="str">
        <f>IFERROR(__xludf.DUMMYFUNCTION("""COMPUTED_VALUE"""),"ปลอดภัย")</f>
        <v>ปลอดภัย</v>
      </c>
      <c r="X796" t="str">
        <f>IFERROR(__xludf.DUMMYFUNCTION("""COMPUTED_VALUE"""),"Bangkok")</f>
        <v>Bangkok</v>
      </c>
      <c r="Y796" t="str">
        <f>IFERROR(__xludf.DUMMYFUNCTION("""COMPUTED_VALUE"""),"Bangkok")</f>
        <v>Bangkok</v>
      </c>
      <c r="Z796" t="str">
        <f>IFERROR(__xludf.DUMMYFUNCTION("""COMPUTED_VALUE"""),"081-8494889")</f>
        <v>081-8494889</v>
      </c>
      <c r="AA796" t="str">
        <f>IFERROR(__xludf.DUMMYFUNCTION("""COMPUTED_VALUE"""),"Natthaphon Thanaworrapak (Father)")</f>
        <v>Natthaphon Thanaworrapak (Father)</v>
      </c>
      <c r="AB796" t="str">
        <f>IFERROR(__xludf.DUMMYFUNCTION("""COMPUTED_VALUE"""),"chanipornt@airasia.com")</f>
        <v>chanipornt@airasia.com</v>
      </c>
    </row>
    <row r="797">
      <c r="A797">
        <f>IFERROR(__xludf.DUMMYFUNCTION("""COMPUTED_VALUE"""),1018531.0)</f>
        <v>1018531</v>
      </c>
      <c r="B797" t="str">
        <f>IFERROR(__xludf.DUMMYFUNCTION("""COMPUTED_VALUE"""),"Mr.")</f>
        <v>Mr.</v>
      </c>
      <c r="C797" t="str">
        <f>IFERROR(__xludf.DUMMYFUNCTION("""COMPUTED_VALUE"""),"Chawit")</f>
        <v>Chawit</v>
      </c>
      <c r="D797" t="str">
        <f>IFERROR(__xludf.DUMMYFUNCTION("""COMPUTED_VALUE"""),"Donsawee")</f>
        <v>Donsawee</v>
      </c>
      <c r="E797" t="str">
        <f>IFERROR(__xludf.DUMMYFUNCTION("""COMPUTED_VALUE"""),"Chawit Donsawee")</f>
        <v>Chawit Donsawee</v>
      </c>
      <c r="F797" t="str">
        <f>IFERROR(__xludf.DUMMYFUNCTION("""COMPUTED_VALUE"""),"นาย")</f>
        <v>นาย</v>
      </c>
      <c r="G797" t="str">
        <f>IFERROR(__xludf.DUMMYFUNCTION("""COMPUTED_VALUE"""),"ชวิษฐ์")</f>
        <v>ชวิษฐ์</v>
      </c>
      <c r="H797" t="str">
        <f>IFERROR(__xludf.DUMMYFUNCTION("""COMPUTED_VALUE"""),"ดนสวี")</f>
        <v>ดนสวี</v>
      </c>
      <c r="I797" t="str">
        <f>IFERROR(__xludf.DUMMYFUNCTION("""COMPUTED_VALUE"""),"ชวิษฐ์ ดนสวี")</f>
        <v>ชวิษฐ์ ดนสวี</v>
      </c>
      <c r="J797" t="str">
        <f>IFERROR(__xludf.DUMMYFUNCTION("""COMPUTED_VALUE"""),"Madeaw")</f>
        <v>Madeaw</v>
      </c>
      <c r="K797" t="str">
        <f>IFERROR(__xludf.DUMMYFUNCTION("""COMPUTED_VALUE"""),"Cabin Crew")</f>
        <v>Cabin Crew</v>
      </c>
      <c r="L797" t="str">
        <f>IFERROR(__xludf.DUMMYFUNCTION("""COMPUTED_VALUE"""),"DMK")</f>
        <v>DMK</v>
      </c>
      <c r="M797" s="145" t="str">
        <f>IFERROR(__xludf.DUMMYFUNCTION("""COMPUTED_VALUE"""),"Toffy Home")</f>
        <v>Toffy Home</v>
      </c>
      <c r="N797" t="str">
        <f>IFERROR(__xludf.DUMMYFUNCTION("""COMPUTED_VALUE"""),"Active")</f>
        <v>Active</v>
      </c>
      <c r="P797" s="143">
        <f>IFERROR(__xludf.DUMMYFUNCTION("""COMPUTED_VALUE"""),33600.0)</f>
        <v>33600</v>
      </c>
      <c r="Q797" s="146" t="str">
        <f>IFERROR(__xludf.DUMMYFUNCTION("""COMPUTED_VALUE"""),"087 365 3465")</f>
        <v>087 365 3465</v>
      </c>
      <c r="R797" s="147" t="str">
        <f>IFERROR(__xludf.DUMMYFUNCTION("""COMPUTED_VALUE"""),"1909900-31-4239")</f>
        <v>1909900-31-4239</v>
      </c>
      <c r="S797" t="str">
        <f>IFERROR(__xludf.DUMMYFUNCTION("""COMPUTED_VALUE"""),"AC7811473")</f>
        <v>AC7811473</v>
      </c>
      <c r="T797" s="148">
        <f>IFERROR(__xludf.DUMMYFUNCTION("""COMPUTED_VALUE"""),45663.0)</f>
        <v>45663</v>
      </c>
      <c r="U797" s="148">
        <f>IFERROR(__xludf.DUMMYFUNCTION("""COMPUTED_VALUE"""),49314.0)</f>
        <v>49314</v>
      </c>
      <c r="V797" s="149">
        <f>IFERROR(__xludf.DUMMYFUNCTION("""COMPUTED_VALUE"""),49130.0)</f>
        <v>49130</v>
      </c>
      <c r="W797" t="str">
        <f>IFERROR(__xludf.DUMMYFUNCTION("""COMPUTED_VALUE"""),"ปลอดภัย")</f>
        <v>ปลอดภัย</v>
      </c>
      <c r="X797" t="str">
        <f>IFERROR(__xludf.DUMMYFUNCTION("""COMPUTED_VALUE"""),"Songkhla Province")</f>
        <v>Songkhla Province</v>
      </c>
      <c r="Z797" t="str">
        <f>IFERROR(__xludf.DUMMYFUNCTION("""COMPUTED_VALUE"""),"081 097 7676")</f>
        <v>081 097 7676</v>
      </c>
      <c r="AB797" t="str">
        <f>IFERROR(__xludf.DUMMYFUNCTION("""COMPUTED_VALUE"""),"chawitdonsawee@airasia.com")</f>
        <v>chawitdonsawee@airasia.com</v>
      </c>
    </row>
    <row r="798">
      <c r="A798">
        <f>IFERROR(__xludf.DUMMYFUNCTION("""COMPUTED_VALUE"""),1018532.0)</f>
        <v>1018532</v>
      </c>
      <c r="B798" t="str">
        <f>IFERROR(__xludf.DUMMYFUNCTION("""COMPUTED_VALUE"""),"Mr.")</f>
        <v>Mr.</v>
      </c>
      <c r="C798" t="str">
        <f>IFERROR(__xludf.DUMMYFUNCTION("""COMPUTED_VALUE"""),"Kantachet")</f>
        <v>Kantachet</v>
      </c>
      <c r="D798" t="str">
        <f>IFERROR(__xludf.DUMMYFUNCTION("""COMPUTED_VALUE"""),"Boonserm")</f>
        <v>Boonserm</v>
      </c>
      <c r="E798" t="str">
        <f>IFERROR(__xludf.DUMMYFUNCTION("""COMPUTED_VALUE"""),"Kantachet Boonserm")</f>
        <v>Kantachet Boonserm</v>
      </c>
      <c r="F798" t="str">
        <f>IFERROR(__xludf.DUMMYFUNCTION("""COMPUTED_VALUE"""),"นาย")</f>
        <v>นาย</v>
      </c>
      <c r="G798" t="str">
        <f>IFERROR(__xludf.DUMMYFUNCTION("""COMPUTED_VALUE"""),"กานตเชตณ์")</f>
        <v>กานตเชตณ์</v>
      </c>
      <c r="H798" t="str">
        <f>IFERROR(__xludf.DUMMYFUNCTION("""COMPUTED_VALUE"""),"บุญเสริม")</f>
        <v>บุญเสริม</v>
      </c>
      <c r="I798" t="str">
        <f>IFERROR(__xludf.DUMMYFUNCTION("""COMPUTED_VALUE"""),"กานตเชตณ์ บุญเสริม")</f>
        <v>กานตเชตณ์ บุญเสริม</v>
      </c>
      <c r="J798" t="str">
        <f>IFERROR(__xludf.DUMMYFUNCTION("""COMPUTED_VALUE"""),"Prince/ปริ้นซ์")</f>
        <v>Prince/ปริ้นซ์</v>
      </c>
      <c r="K798" t="str">
        <f>IFERROR(__xludf.DUMMYFUNCTION("""COMPUTED_VALUE"""),"Cabin Crew")</f>
        <v>Cabin Crew</v>
      </c>
      <c r="L798" t="str">
        <f>IFERROR(__xludf.DUMMYFUNCTION("""COMPUTED_VALUE"""),"DMK")</f>
        <v>DMK</v>
      </c>
      <c r="M798" s="145" t="str">
        <f>IFERROR(__xludf.DUMMYFUNCTION("""COMPUTED_VALUE"""),"Um Home")</f>
        <v>Um Home</v>
      </c>
      <c r="N798" t="str">
        <f>IFERROR(__xludf.DUMMYFUNCTION("""COMPUTED_VALUE"""),"Active")</f>
        <v>Active</v>
      </c>
      <c r="P798" s="143">
        <f>IFERROR(__xludf.DUMMYFUNCTION("""COMPUTED_VALUE"""),33655.0)</f>
        <v>33655</v>
      </c>
      <c r="Q798" s="146" t="str">
        <f>IFERROR(__xludf.DUMMYFUNCTION("""COMPUTED_VALUE"""),"063 306 3535")</f>
        <v>063 306 3535</v>
      </c>
      <c r="S798" t="str">
        <f>IFERROR(__xludf.DUMMYFUNCTION("""COMPUTED_VALUE"""),"AC5294389")</f>
        <v>AC5294389</v>
      </c>
      <c r="T798" s="148">
        <f>IFERROR(__xludf.DUMMYFUNCTION("""COMPUTED_VALUE"""),45120.0)</f>
        <v>45120</v>
      </c>
      <c r="U798" s="148">
        <f>IFERROR(__xludf.DUMMYFUNCTION("""COMPUTED_VALUE"""),48772.0)</f>
        <v>48772</v>
      </c>
      <c r="V798" s="149">
        <f>IFERROR(__xludf.DUMMYFUNCTION("""COMPUTED_VALUE"""),48591.0)</f>
        <v>48591</v>
      </c>
      <c r="W798" t="str">
        <f>IFERROR(__xludf.DUMMYFUNCTION("""COMPUTED_VALUE"""),"ปลอดภัย")</f>
        <v>ปลอดภัย</v>
      </c>
      <c r="X798" t="str">
        <f>IFERROR(__xludf.DUMMYFUNCTION("""COMPUTED_VALUE"""),"Phayao Province")</f>
        <v>Phayao Province</v>
      </c>
      <c r="Y798" t="str">
        <f>IFERROR(__xludf.DUMMYFUNCTION("""COMPUTED_VALUE"""),"Chiang rai")</f>
        <v>Chiang rai</v>
      </c>
      <c r="Z798" t="str">
        <f>IFERROR(__xludf.DUMMYFUNCTION("""COMPUTED_VALUE"""),"089-954-5944")</f>
        <v>089-954-5944</v>
      </c>
      <c r="AA798" t="str">
        <f>IFERROR(__xludf.DUMMYFUNCTION("""COMPUTED_VALUE"""),"Nikhom Boonserm")</f>
        <v>Nikhom Boonserm</v>
      </c>
      <c r="AB798" t="str">
        <f>IFERROR(__xludf.DUMMYFUNCTION("""COMPUTED_VALUE"""),"kantachetb@airasia.com")</f>
        <v>kantachetb@airasia.com</v>
      </c>
    </row>
    <row r="799">
      <c r="A799">
        <f>IFERROR(__xludf.DUMMYFUNCTION("""COMPUTED_VALUE"""),1018533.0)</f>
        <v>1018533</v>
      </c>
      <c r="B799" t="str">
        <f>IFERROR(__xludf.DUMMYFUNCTION("""COMPUTED_VALUE"""),"Ms.")</f>
        <v>Ms.</v>
      </c>
      <c r="C799" t="str">
        <f>IFERROR(__xludf.DUMMYFUNCTION("""COMPUTED_VALUE"""),"Kunjira")</f>
        <v>Kunjira</v>
      </c>
      <c r="D799" t="str">
        <f>IFERROR(__xludf.DUMMYFUNCTION("""COMPUTED_VALUE"""),"Jirawarodom")</f>
        <v>Jirawarodom</v>
      </c>
      <c r="E799" t="str">
        <f>IFERROR(__xludf.DUMMYFUNCTION("""COMPUTED_VALUE"""),"Kunjira Jirawarodom")</f>
        <v>Kunjira Jirawarodom</v>
      </c>
      <c r="F799" t="str">
        <f>IFERROR(__xludf.DUMMYFUNCTION("""COMPUTED_VALUE"""),"นางสาว")</f>
        <v>นางสาว</v>
      </c>
      <c r="G799" t="str">
        <f>IFERROR(__xludf.DUMMYFUNCTION("""COMPUTED_VALUE"""),"กุลจิรา")</f>
        <v>กุลจิรา</v>
      </c>
      <c r="H799" t="str">
        <f>IFERROR(__xludf.DUMMYFUNCTION("""COMPUTED_VALUE"""),"จิรวโรดม")</f>
        <v>จิรวโรดม</v>
      </c>
      <c r="I799" t="str">
        <f>IFERROR(__xludf.DUMMYFUNCTION("""COMPUTED_VALUE"""),"กุลจิรา จิรวโรดม")</f>
        <v>กุลจิรา จิรวโรดม</v>
      </c>
      <c r="J799" t="str">
        <f>IFERROR(__xludf.DUMMYFUNCTION("""COMPUTED_VALUE"""),"Ploy/พลอย")</f>
        <v>Ploy/พลอย</v>
      </c>
      <c r="K799" t="str">
        <f>IFERROR(__xludf.DUMMYFUNCTION("""COMPUTED_VALUE"""),"Cabin Crew")</f>
        <v>Cabin Crew</v>
      </c>
      <c r="L799" t="str">
        <f>IFERROR(__xludf.DUMMYFUNCTION("""COMPUTED_VALUE"""),"DMK")</f>
        <v>DMK</v>
      </c>
      <c r="M799" s="145" t="str">
        <f>IFERROR(__xludf.DUMMYFUNCTION("""COMPUTED_VALUE"""),"Namfon Home")</f>
        <v>Namfon Home</v>
      </c>
      <c r="N799" t="str">
        <f>IFERROR(__xludf.DUMMYFUNCTION("""COMPUTED_VALUE"""),"V/LWP")</f>
        <v>V/LWP</v>
      </c>
      <c r="P799" s="143">
        <f>IFERROR(__xludf.DUMMYFUNCTION("""COMPUTED_VALUE"""),33675.0)</f>
        <v>33675</v>
      </c>
      <c r="Q799" s="146" t="str">
        <f>IFERROR(__xludf.DUMMYFUNCTION("""COMPUTED_VALUE"""),"094-6656244")</f>
        <v>094-6656244</v>
      </c>
      <c r="R799" s="147" t="str">
        <f>IFERROR(__xludf.DUMMYFUNCTION("""COMPUTED_VALUE"""),"1103700-73-3582")</f>
        <v>1103700-73-3582</v>
      </c>
      <c r="S799" t="str">
        <f>IFERROR(__xludf.DUMMYFUNCTION("""COMPUTED_VALUE"""),"ad1457211")</f>
        <v>ad1457211</v>
      </c>
      <c r="T799" s="148">
        <f>IFERROR(__xludf.DUMMYFUNCTION("""COMPUTED_VALUE"""),45241.0)</f>
        <v>45241</v>
      </c>
      <c r="U799" s="148">
        <f>IFERROR(__xludf.DUMMYFUNCTION("""COMPUTED_VALUE"""),47067.0)</f>
        <v>47067</v>
      </c>
      <c r="V799" s="149">
        <f>IFERROR(__xludf.DUMMYFUNCTION("""COMPUTED_VALUE"""),46883.0)</f>
        <v>46883</v>
      </c>
      <c r="W799" t="str">
        <f>IFERROR(__xludf.DUMMYFUNCTION("""COMPUTED_VALUE"""),"ปลอดภัย")</f>
        <v>ปลอดภัย</v>
      </c>
      <c r="X799" t="str">
        <f>IFERROR(__xludf.DUMMYFUNCTION("""COMPUTED_VALUE"""),"Bangkok")</f>
        <v>Bangkok</v>
      </c>
      <c r="Y799" t="str">
        <f>IFERROR(__xludf.DUMMYFUNCTION("""COMPUTED_VALUE"""),"Nonthaburi")</f>
        <v>Nonthaburi</v>
      </c>
      <c r="Z799" t="str">
        <f>IFERROR(__xludf.DUMMYFUNCTION("""COMPUTED_VALUE"""),"081-319-3990")</f>
        <v>081-319-3990</v>
      </c>
      <c r="AA799" t="str">
        <f>IFERROR(__xludf.DUMMYFUNCTION("""COMPUTED_VALUE"""),"Prasit Jirawarodom")</f>
        <v>Prasit Jirawarodom</v>
      </c>
      <c r="AB799" t="str">
        <f>IFERROR(__xludf.DUMMYFUNCTION("""COMPUTED_VALUE"""),"kunjiraj@airasia.com")</f>
        <v>kunjiraj@airasia.com</v>
      </c>
    </row>
    <row r="800">
      <c r="A800">
        <f>IFERROR(__xludf.DUMMYFUNCTION("""COMPUTED_VALUE"""),1018535.0)</f>
        <v>1018535</v>
      </c>
      <c r="B800" t="str">
        <f>IFERROR(__xludf.DUMMYFUNCTION("""COMPUTED_VALUE"""),"Mr.")</f>
        <v>Mr.</v>
      </c>
      <c r="C800" t="str">
        <f>IFERROR(__xludf.DUMMYFUNCTION("""COMPUTED_VALUE"""),"Nawapu ")</f>
        <v>Nawapu </v>
      </c>
      <c r="D800" t="str">
        <f>IFERROR(__xludf.DUMMYFUNCTION("""COMPUTED_VALUE"""),"Dontaolek")</f>
        <v>Dontaolek</v>
      </c>
      <c r="E800" t="str">
        <f>IFERROR(__xludf.DUMMYFUNCTION("""COMPUTED_VALUE"""),"Nawapu Dontaolek")</f>
        <v>Nawapu Dontaolek</v>
      </c>
      <c r="F800" t="str">
        <f>IFERROR(__xludf.DUMMYFUNCTION("""COMPUTED_VALUE"""),"นาย")</f>
        <v>นาย</v>
      </c>
      <c r="G800" t="str">
        <f>IFERROR(__xludf.DUMMYFUNCTION("""COMPUTED_VALUE"""),"นวภู")</f>
        <v>นวภู</v>
      </c>
      <c r="H800" t="str">
        <f>IFERROR(__xludf.DUMMYFUNCTION("""COMPUTED_VALUE"""),"ดอนเตาเหล็ก")</f>
        <v>ดอนเตาเหล็ก</v>
      </c>
      <c r="I800" t="str">
        <f>IFERROR(__xludf.DUMMYFUNCTION("""COMPUTED_VALUE"""),"นวภู ดอนเตาเหล็ก")</f>
        <v>นวภู ดอนเตาเหล็ก</v>
      </c>
      <c r="J800" t="str">
        <f>IFERROR(__xludf.DUMMYFUNCTION("""COMPUTED_VALUE"""),"Dook/ดุ๊ก")</f>
        <v>Dook/ดุ๊ก</v>
      </c>
      <c r="K800" t="str">
        <f>IFERROR(__xludf.DUMMYFUNCTION("""COMPUTED_VALUE"""),"Cabin Crew")</f>
        <v>Cabin Crew</v>
      </c>
      <c r="L800" s="145" t="str">
        <f>IFERROR(__xludf.DUMMYFUNCTION("""COMPUTED_VALUE"""),"DMK")</f>
        <v>DMK</v>
      </c>
      <c r="M800" s="145" t="str">
        <f>IFERROR(__xludf.DUMMYFUNCTION("""COMPUTED_VALUE"""),"Por+ Home")</f>
        <v>Por+ Home</v>
      </c>
      <c r="N800" t="str">
        <f>IFERROR(__xludf.DUMMYFUNCTION("""COMPUTED_VALUE"""),"V/LWP")</f>
        <v>V/LWP</v>
      </c>
      <c r="P800" s="143">
        <f>IFERROR(__xludf.DUMMYFUNCTION("""COMPUTED_VALUE"""),33471.0)</f>
        <v>33471</v>
      </c>
      <c r="Q800" s="146" t="str">
        <f>IFERROR(__xludf.DUMMYFUNCTION("""COMPUTED_VALUE"""),"095-694-9978")</f>
        <v>095-694-9978</v>
      </c>
      <c r="R800" s="147" t="str">
        <f>IFERROR(__xludf.DUMMYFUNCTION("""COMPUTED_VALUE"""),"1900200-05-6191")</f>
        <v>1900200-05-6191</v>
      </c>
      <c r="S800" t="str">
        <f>IFERROR(__xludf.DUMMYFUNCTION("""COMPUTED_VALUE"""),"AD0311035")</f>
        <v>AD0311035</v>
      </c>
      <c r="T800" s="148">
        <f>IFERROR(__xludf.DUMMYFUNCTION("""COMPUTED_VALUE"""),44879.0)</f>
        <v>44879</v>
      </c>
      <c r="U800" s="148">
        <f>IFERROR(__xludf.DUMMYFUNCTION("""COMPUTED_VALUE"""),48531.0)</f>
        <v>48531</v>
      </c>
      <c r="V800" s="149">
        <f>IFERROR(__xludf.DUMMYFUNCTION("""COMPUTED_VALUE"""),48347.0)</f>
        <v>48347</v>
      </c>
      <c r="W800" t="str">
        <f>IFERROR(__xludf.DUMMYFUNCTION("""COMPUTED_VALUE"""),"ปลอดภัย")</f>
        <v>ปลอดภัย</v>
      </c>
      <c r="X800" t="str">
        <f>IFERROR(__xludf.DUMMYFUNCTION("""COMPUTED_VALUE"""),"Songkhla Province")</f>
        <v>Songkhla Province</v>
      </c>
      <c r="Y800" t="str">
        <f>IFERROR(__xludf.DUMMYFUNCTION("""COMPUTED_VALUE"""),"Bangkok")</f>
        <v>Bangkok</v>
      </c>
      <c r="Z800" t="str">
        <f>IFERROR(__xludf.DUMMYFUNCTION("""COMPUTED_VALUE"""),"082-951-2234")</f>
        <v>082-951-2234</v>
      </c>
      <c r="AA800" t="str">
        <f>IFERROR(__xludf.DUMMYFUNCTION("""COMPUTED_VALUE"""),"Manop Wanuchsoontron (Uncle)")</f>
        <v>Manop Wanuchsoontron (Uncle)</v>
      </c>
      <c r="AB800" t="str">
        <f>IFERROR(__xludf.DUMMYFUNCTION("""COMPUTED_VALUE"""),"nawapud@airasia.com")</f>
        <v>nawapud@airasia.com</v>
      </c>
    </row>
    <row r="801">
      <c r="A801">
        <f>IFERROR(__xludf.DUMMYFUNCTION("""COMPUTED_VALUE"""),1018536.0)</f>
        <v>1018536</v>
      </c>
      <c r="B801" t="str">
        <f>IFERROR(__xludf.DUMMYFUNCTION("""COMPUTED_VALUE"""),"Mr.")</f>
        <v>Mr.</v>
      </c>
      <c r="C801" t="str">
        <f>IFERROR(__xludf.DUMMYFUNCTION("""COMPUTED_VALUE"""),"Prakobchai")</f>
        <v>Prakobchai</v>
      </c>
      <c r="D801" t="str">
        <f>IFERROR(__xludf.DUMMYFUNCTION("""COMPUTED_VALUE"""),"Kwansri")</f>
        <v>Kwansri</v>
      </c>
      <c r="E801" t="str">
        <f>IFERROR(__xludf.DUMMYFUNCTION("""COMPUTED_VALUE"""),"Prakobchai Kwansri")</f>
        <v>Prakobchai Kwansri</v>
      </c>
      <c r="F801" t="str">
        <f>IFERROR(__xludf.DUMMYFUNCTION("""COMPUTED_VALUE"""),"นาย")</f>
        <v>นาย</v>
      </c>
      <c r="G801" t="str">
        <f>IFERROR(__xludf.DUMMYFUNCTION("""COMPUTED_VALUE"""),"ประกอบชัย")</f>
        <v>ประกอบชัย</v>
      </c>
      <c r="H801" t="str">
        <f>IFERROR(__xludf.DUMMYFUNCTION("""COMPUTED_VALUE"""),"ขวัญศรี")</f>
        <v>ขวัญศรี</v>
      </c>
      <c r="I801" t="str">
        <f>IFERROR(__xludf.DUMMYFUNCTION("""COMPUTED_VALUE"""),"ประกอบชัย ขวัญศรี")</f>
        <v>ประกอบชัย ขวัญศรี</v>
      </c>
      <c r="J801" t="str">
        <f>IFERROR(__xludf.DUMMYFUNCTION("""COMPUTED_VALUE"""),"Green")</f>
        <v>Green</v>
      </c>
      <c r="K801" t="str">
        <f>IFERROR(__xludf.DUMMYFUNCTION("""COMPUTED_VALUE"""),"Cabin Crew - HKT")</f>
        <v>Cabin Crew - HKT</v>
      </c>
      <c r="L801" t="str">
        <f>IFERROR(__xludf.DUMMYFUNCTION("""COMPUTED_VALUE"""),"HKT")</f>
        <v>HKT</v>
      </c>
      <c r="M801" s="145" t="str">
        <f>IFERROR(__xludf.DUMMYFUNCTION("""COMPUTED_VALUE"""),"Kor Home")</f>
        <v>Kor Home</v>
      </c>
      <c r="N801" t="str">
        <f>IFERROR(__xludf.DUMMYFUNCTION("""COMPUTED_VALUE"""),"Active/V/DMK")</f>
        <v>Active/V/DMK</v>
      </c>
      <c r="P801" s="143">
        <f>IFERROR(__xludf.DUMMYFUNCTION("""COMPUTED_VALUE"""),33805.0)</f>
        <v>33805</v>
      </c>
      <c r="Q801" s="146" t="str">
        <f>IFERROR(__xludf.DUMMYFUNCTION("""COMPUTED_VALUE"""),"092-0795740")</f>
        <v>092-0795740</v>
      </c>
      <c r="R801" s="147" t="str">
        <f>IFERROR(__xludf.DUMMYFUNCTION("""COMPUTED_VALUE"""),"1839900-26-6685")</f>
        <v>1839900-26-6685</v>
      </c>
      <c r="S801" t="str">
        <f>IFERROR(__xludf.DUMMYFUNCTION("""COMPUTED_VALUE"""),"AD2127344")</f>
        <v>AD2127344</v>
      </c>
      <c r="T801" s="148">
        <f>IFERROR(__xludf.DUMMYFUNCTION("""COMPUTED_VALUE"""),45741.0)</f>
        <v>45741</v>
      </c>
      <c r="U801" s="148">
        <f>IFERROR(__xludf.DUMMYFUNCTION("""COMPUTED_VALUE"""),49392.0)</f>
        <v>49392</v>
      </c>
      <c r="V801" s="149">
        <f>IFERROR(__xludf.DUMMYFUNCTION("""COMPUTED_VALUE"""),49211.0)</f>
        <v>49211</v>
      </c>
      <c r="W801" t="str">
        <f>IFERROR(__xludf.DUMMYFUNCTION("""COMPUTED_VALUE"""),"ปลอดภัย")</f>
        <v>ปลอดภัย</v>
      </c>
      <c r="X801" t="str">
        <f>IFERROR(__xludf.DUMMYFUNCTION("""COMPUTED_VALUE"""),"Phuket Province")</f>
        <v>Phuket Province</v>
      </c>
      <c r="Y801" t="str">
        <f>IFERROR(__xludf.DUMMYFUNCTION("""COMPUTED_VALUE"""),"Phuket")</f>
        <v>Phuket</v>
      </c>
      <c r="Z801" t="str">
        <f>IFERROR(__xludf.DUMMYFUNCTION("""COMPUTED_VALUE"""),"087-418-0610")</f>
        <v>087-418-0610</v>
      </c>
      <c r="AA801" t="str">
        <f>IFERROR(__xludf.DUMMYFUNCTION("""COMPUTED_VALUE"""),"(Father)")</f>
        <v>(Father)</v>
      </c>
      <c r="AB801" t="str">
        <f>IFERROR(__xludf.DUMMYFUNCTION("""COMPUTED_VALUE"""),"prakobchaik@airasia.com")</f>
        <v>prakobchaik@airasia.com</v>
      </c>
    </row>
    <row r="802">
      <c r="A802">
        <f>IFERROR(__xludf.DUMMYFUNCTION("""COMPUTED_VALUE"""),1018541.0)</f>
        <v>1018541</v>
      </c>
      <c r="B802" t="str">
        <f>IFERROR(__xludf.DUMMYFUNCTION("""COMPUTED_VALUE"""),"Ms.")</f>
        <v>Ms.</v>
      </c>
      <c r="C802" t="str">
        <f>IFERROR(__xludf.DUMMYFUNCTION("""COMPUTED_VALUE"""),"Suwisa")</f>
        <v>Suwisa</v>
      </c>
      <c r="D802" t="str">
        <f>IFERROR(__xludf.DUMMYFUNCTION("""COMPUTED_VALUE"""),"Panyanual")</f>
        <v>Panyanual</v>
      </c>
      <c r="E802" t="str">
        <f>IFERROR(__xludf.DUMMYFUNCTION("""COMPUTED_VALUE"""),"Suwisa Panyanual")</f>
        <v>Suwisa Panyanual</v>
      </c>
      <c r="F802" t="str">
        <f>IFERROR(__xludf.DUMMYFUNCTION("""COMPUTED_VALUE"""),"นางสาว")</f>
        <v>นางสาว</v>
      </c>
      <c r="G802" t="str">
        <f>IFERROR(__xludf.DUMMYFUNCTION("""COMPUTED_VALUE"""),"สุวิษา")</f>
        <v>สุวิษา</v>
      </c>
      <c r="H802" t="str">
        <f>IFERROR(__xludf.DUMMYFUNCTION("""COMPUTED_VALUE"""),"ปัญญานวล")</f>
        <v>ปัญญานวล</v>
      </c>
      <c r="I802" t="str">
        <f>IFERROR(__xludf.DUMMYFUNCTION("""COMPUTED_VALUE"""),"สุวิษา ปัญญานวล")</f>
        <v>สุวิษา ปัญญานวล</v>
      </c>
      <c r="J802" t="str">
        <f>IFERROR(__xludf.DUMMYFUNCTION("""COMPUTED_VALUE"""),"Noon นุ่น")</f>
        <v>Noon นุ่น</v>
      </c>
      <c r="K802" t="str">
        <f>IFERROR(__xludf.DUMMYFUNCTION("""COMPUTED_VALUE"""),"Cabin Crew - CNX")</f>
        <v>Cabin Crew - CNX</v>
      </c>
      <c r="L802" t="str">
        <f>IFERROR(__xludf.DUMMYFUNCTION("""COMPUTED_VALUE"""),"CNX")</f>
        <v>CNX</v>
      </c>
      <c r="M802" s="145" t="str">
        <f>IFERROR(__xludf.DUMMYFUNCTION("""COMPUTED_VALUE"""),"Up Home")</f>
        <v>Up Home</v>
      </c>
      <c r="N802" t="str">
        <f>IFERROR(__xludf.DUMMYFUNCTION("""COMPUTED_VALUE"""),"Active")</f>
        <v>Active</v>
      </c>
      <c r="P802" s="143">
        <f>IFERROR(__xludf.DUMMYFUNCTION("""COMPUTED_VALUE"""),33801.0)</f>
        <v>33801</v>
      </c>
      <c r="Q802" s="146" t="str">
        <f>IFERROR(__xludf.DUMMYFUNCTION("""COMPUTED_VALUE"""),"064-3341199")</f>
        <v>064-3341199</v>
      </c>
      <c r="R802" s="147" t="str">
        <f>IFERROR(__xludf.DUMMYFUNCTION("""COMPUTED_VALUE"""),"1509901-20-1148")</f>
        <v>1509901-20-1148</v>
      </c>
      <c r="S802" t="str">
        <f>IFERROR(__xludf.DUMMYFUNCTION("""COMPUTED_VALUE"""),"AC2643959")</f>
        <v>AC2643959</v>
      </c>
      <c r="T802" s="148">
        <f>IFERROR(__xludf.DUMMYFUNCTION("""COMPUTED_VALUE"""),44922.0)</f>
        <v>44922</v>
      </c>
      <c r="U802" s="148">
        <f>IFERROR(__xludf.DUMMYFUNCTION("""COMPUTED_VALUE"""),48208.0)</f>
        <v>48208</v>
      </c>
      <c r="V802" s="149">
        <f>IFERROR(__xludf.DUMMYFUNCTION("""COMPUTED_VALUE"""),48025.0)</f>
        <v>48025</v>
      </c>
      <c r="W802" t="str">
        <f>IFERROR(__xludf.DUMMYFUNCTION("""COMPUTED_VALUE"""),"ปลอดภัย")</f>
        <v>ปลอดภัย</v>
      </c>
      <c r="X802" t="str">
        <f>IFERROR(__xludf.DUMMYFUNCTION("""COMPUTED_VALUE"""),"Chiang Mai Province")</f>
        <v>Chiang Mai Province</v>
      </c>
      <c r="Y802" t="str">
        <f>IFERROR(__xludf.DUMMYFUNCTION("""COMPUTED_VALUE"""),"Chiang Mai")</f>
        <v>Chiang Mai</v>
      </c>
      <c r="Z802" t="str">
        <f>IFERROR(__xludf.DUMMYFUNCTION("""COMPUTED_VALUE"""),"081-952-9165")</f>
        <v>081-952-9165</v>
      </c>
      <c r="AA802" t="str">
        <f>IFERROR(__xludf.DUMMYFUNCTION("""COMPUTED_VALUE"""),"Woranuch Panyanual (Mother)")</f>
        <v>Woranuch Panyanual (Mother)</v>
      </c>
      <c r="AB802" t="str">
        <f>IFERROR(__xludf.DUMMYFUNCTION("""COMPUTED_VALUE"""),"suwisap@airasia.com")</f>
        <v>suwisap@airasia.com</v>
      </c>
    </row>
    <row r="803">
      <c r="A803">
        <f>IFERROR(__xludf.DUMMYFUNCTION("""COMPUTED_VALUE"""),1018534.0)</f>
        <v>1018534</v>
      </c>
      <c r="B803" t="str">
        <f>IFERROR(__xludf.DUMMYFUNCTION("""COMPUTED_VALUE"""),"Mr.")</f>
        <v>Mr.</v>
      </c>
      <c r="C803" t="str">
        <f>IFERROR(__xludf.DUMMYFUNCTION("""COMPUTED_VALUE"""),"Naphop")</f>
        <v>Naphop</v>
      </c>
      <c r="D803" t="str">
        <f>IFERROR(__xludf.DUMMYFUNCTION("""COMPUTED_VALUE"""),"Khoonphonsiri")</f>
        <v>Khoonphonsiri</v>
      </c>
      <c r="E803" t="str">
        <f>IFERROR(__xludf.DUMMYFUNCTION("""COMPUTED_VALUE"""),"Naphop Khoonphonsiri")</f>
        <v>Naphop Khoonphonsiri</v>
      </c>
      <c r="F803" t="str">
        <f>IFERROR(__xludf.DUMMYFUNCTION("""COMPUTED_VALUE"""),"นาย")</f>
        <v>นาย</v>
      </c>
      <c r="G803" t="str">
        <f>IFERROR(__xludf.DUMMYFUNCTION("""COMPUTED_VALUE"""),"ณภพ")</f>
        <v>ณภพ</v>
      </c>
      <c r="H803" t="str">
        <f>IFERROR(__xludf.DUMMYFUNCTION("""COMPUTED_VALUE"""),"ขุนพลสิริ")</f>
        <v>ขุนพลสิริ</v>
      </c>
      <c r="I803" t="str">
        <f>IFERROR(__xludf.DUMMYFUNCTION("""COMPUTED_VALUE"""),"ณภพ ขุนพลสิริ")</f>
        <v>ณภพ ขุนพลสิริ</v>
      </c>
      <c r="J803" t="str">
        <f>IFERROR(__xludf.DUMMYFUNCTION("""COMPUTED_VALUE"""),"Oon/อุ่น")</f>
        <v>Oon/อุ่น</v>
      </c>
      <c r="K803" t="str">
        <f>IFERROR(__xludf.DUMMYFUNCTION("""COMPUTED_VALUE"""),"Cabin Crew - HKT")</f>
        <v>Cabin Crew - HKT</v>
      </c>
      <c r="L803" t="str">
        <f>IFERROR(__xludf.DUMMYFUNCTION("""COMPUTED_VALUE"""),"HKT")</f>
        <v>HKT</v>
      </c>
      <c r="M803" s="145" t="str">
        <f>IFERROR(__xludf.DUMMYFUNCTION("""COMPUTED_VALUE"""),"Kor Home")</f>
        <v>Kor Home</v>
      </c>
      <c r="N803" t="str">
        <f>IFERROR(__xludf.DUMMYFUNCTION("""COMPUTED_VALUE"""),"Active")</f>
        <v>Active</v>
      </c>
      <c r="P803" s="143">
        <f>IFERROR(__xludf.DUMMYFUNCTION("""COMPUTED_VALUE"""),32685.0)</f>
        <v>32685</v>
      </c>
      <c r="Q803" s="146" t="str">
        <f>IFERROR(__xludf.DUMMYFUNCTION("""COMPUTED_VALUE"""),"099-4264655")</f>
        <v>099-4264655</v>
      </c>
      <c r="R803" s="147" t="str">
        <f>IFERROR(__xludf.DUMMYFUNCTION("""COMPUTED_VALUE"""),"1839900-16-5790")</f>
        <v>1839900-16-5790</v>
      </c>
      <c r="S803" t="str">
        <f>IFERROR(__xludf.DUMMYFUNCTION("""COMPUTED_VALUE"""),"AD1384588")</f>
        <v>AD1384588</v>
      </c>
      <c r="T803" s="148">
        <f>IFERROR(__xludf.DUMMYFUNCTION("""COMPUTED_VALUE"""),45362.0)</f>
        <v>45362</v>
      </c>
      <c r="U803" s="148">
        <f>IFERROR(__xludf.DUMMYFUNCTION("""COMPUTED_VALUE"""),49013.0)</f>
        <v>49013</v>
      </c>
      <c r="V803" s="149">
        <f>IFERROR(__xludf.DUMMYFUNCTION("""COMPUTED_VALUE"""),48832.0)</f>
        <v>48832</v>
      </c>
      <c r="W803" t="str">
        <f>IFERROR(__xludf.DUMMYFUNCTION("""COMPUTED_VALUE"""),"ปลอดภัย")</f>
        <v>ปลอดภัย</v>
      </c>
      <c r="X803" t="str">
        <f>IFERROR(__xludf.DUMMYFUNCTION("""COMPUTED_VALUE"""),"Phuket Province")</f>
        <v>Phuket Province</v>
      </c>
      <c r="Y803" t="str">
        <f>IFERROR(__xludf.DUMMYFUNCTION("""COMPUTED_VALUE"""),"Bangkok")</f>
        <v>Bangkok</v>
      </c>
      <c r="Z803" t="str">
        <f>IFERROR(__xludf.DUMMYFUNCTION("""COMPUTED_VALUE"""),"062-969-1454")</f>
        <v>062-969-1454</v>
      </c>
      <c r="AA803" t="str">
        <f>IFERROR(__xludf.DUMMYFUNCTION("""COMPUTED_VALUE"""),"Kraidej (Father)")</f>
        <v>Kraidej (Father)</v>
      </c>
      <c r="AB803" t="str">
        <f>IFERROR(__xludf.DUMMYFUNCTION("""COMPUTED_VALUE"""),"naphopk@airasia.com")</f>
        <v>naphopk@airasia.com</v>
      </c>
    </row>
    <row r="804">
      <c r="A804">
        <f>IFERROR(__xludf.DUMMYFUNCTION("""COMPUTED_VALUE"""),1018543.0)</f>
        <v>1018543</v>
      </c>
      <c r="B804" t="str">
        <f>IFERROR(__xludf.DUMMYFUNCTION("""COMPUTED_VALUE"""),"Mr.")</f>
        <v>Mr.</v>
      </c>
      <c r="C804" t="str">
        <f>IFERROR(__xludf.DUMMYFUNCTION("""COMPUTED_VALUE"""),"Tanawat")</f>
        <v>Tanawat</v>
      </c>
      <c r="D804" t="str">
        <f>IFERROR(__xludf.DUMMYFUNCTION("""COMPUTED_VALUE"""),"Prasansuk")</f>
        <v>Prasansuk</v>
      </c>
      <c r="E804" t="str">
        <f>IFERROR(__xludf.DUMMYFUNCTION("""COMPUTED_VALUE"""),"Tanawat Prasansuk")</f>
        <v>Tanawat Prasansuk</v>
      </c>
      <c r="F804" t="str">
        <f>IFERROR(__xludf.DUMMYFUNCTION("""COMPUTED_VALUE"""),"นาย")</f>
        <v>นาย</v>
      </c>
      <c r="G804" t="str">
        <f>IFERROR(__xludf.DUMMYFUNCTION("""COMPUTED_VALUE"""),"ธนวัฒน์")</f>
        <v>ธนวัฒน์</v>
      </c>
      <c r="H804" t="str">
        <f>IFERROR(__xludf.DUMMYFUNCTION("""COMPUTED_VALUE"""),"ประสานสุข")</f>
        <v>ประสานสุข</v>
      </c>
      <c r="I804" t="str">
        <f>IFERROR(__xludf.DUMMYFUNCTION("""COMPUTED_VALUE"""),"ธนวัฒน์ ประสานสุข")</f>
        <v>ธนวัฒน์ ประสานสุข</v>
      </c>
      <c r="J804" t="str">
        <f>IFERROR(__xludf.DUMMYFUNCTION("""COMPUTED_VALUE"""),"Dew / ดิว")</f>
        <v>Dew / ดิว</v>
      </c>
      <c r="K804" t="str">
        <f>IFERROR(__xludf.DUMMYFUNCTION("""COMPUTED_VALUE"""),"Cabin Crew - CNX")</f>
        <v>Cabin Crew - CNX</v>
      </c>
      <c r="L804" t="str">
        <f>IFERROR(__xludf.DUMMYFUNCTION("""COMPUTED_VALUE"""),"CNX")</f>
        <v>CNX</v>
      </c>
      <c r="M804" s="145" t="str">
        <f>IFERROR(__xludf.DUMMYFUNCTION("""COMPUTED_VALUE"""),"Up Home")</f>
        <v>Up Home</v>
      </c>
      <c r="N804" t="str">
        <f>IFERROR(__xludf.DUMMYFUNCTION("""COMPUTED_VALUE"""),"Active")</f>
        <v>Active</v>
      </c>
      <c r="P804" s="143">
        <f>IFERROR(__xludf.DUMMYFUNCTION("""COMPUTED_VALUE"""),32898.0)</f>
        <v>32898</v>
      </c>
      <c r="Q804" s="146" t="str">
        <f>IFERROR(__xludf.DUMMYFUNCTION("""COMPUTED_VALUE"""),"080-991-6592")</f>
        <v>080-991-6592</v>
      </c>
      <c r="R804" s="147" t="str">
        <f>IFERROR(__xludf.DUMMYFUNCTION("""COMPUTED_VALUE"""),"1509900-82-4630")</f>
        <v>1509900-82-4630</v>
      </c>
      <c r="S804" t="str">
        <f>IFERROR(__xludf.DUMMYFUNCTION("""COMPUTED_VALUE"""),"AC7536762")</f>
        <v>AC7536762</v>
      </c>
      <c r="T804" s="148">
        <f>IFERROR(__xludf.DUMMYFUNCTION("""COMPUTED_VALUE"""),45545.0)</f>
        <v>45545</v>
      </c>
      <c r="U804" s="148">
        <f>IFERROR(__xludf.DUMMYFUNCTION("""COMPUTED_VALUE"""),49196.0)</f>
        <v>49196</v>
      </c>
      <c r="V804" s="149">
        <f>IFERROR(__xludf.DUMMYFUNCTION("""COMPUTED_VALUE"""),49012.0)</f>
        <v>49012</v>
      </c>
      <c r="W804" t="str">
        <f>IFERROR(__xludf.DUMMYFUNCTION("""COMPUTED_VALUE"""),"ปลอดภัย")</f>
        <v>ปลอดภัย</v>
      </c>
      <c r="X804" t="str">
        <f>IFERROR(__xludf.DUMMYFUNCTION("""COMPUTED_VALUE"""),"Chiang Mai Province")</f>
        <v>Chiang Mai Province</v>
      </c>
      <c r="Y804" t="str">
        <f>IFERROR(__xludf.DUMMYFUNCTION("""COMPUTED_VALUE"""),"Chiang Mai")</f>
        <v>Chiang Mai</v>
      </c>
      <c r="Z804" t="str">
        <f>IFERROR(__xludf.DUMMYFUNCTION("""COMPUTED_VALUE"""),"089-956-2862")</f>
        <v>089-956-2862</v>
      </c>
      <c r="AA804" t="str">
        <f>IFERROR(__xludf.DUMMYFUNCTION("""COMPUTED_VALUE"""),"Sritorn Prasansuk (Mother)")</f>
        <v>Sritorn Prasansuk (Mother)</v>
      </c>
      <c r="AB804" t="str">
        <f>IFERROR(__xludf.DUMMYFUNCTION("""COMPUTED_VALUE"""),"tanawatn@airasia.com")</f>
        <v>tanawatn@airasia.com</v>
      </c>
    </row>
    <row r="805">
      <c r="H805">
        <f>IFERROR(__xludf.DUMMYFUNCTION("""COMPUTED_VALUE"""),1018536.0)</f>
        <v>1018536</v>
      </c>
      <c r="AB805" t="str">
        <f>IFERROR(__xludf.DUMMYFUNCTION("""COMPUTED_VALUE"""),"")</f>
        <v/>
      </c>
    </row>
    <row r="806">
      <c r="A806">
        <f>IFERROR(__xludf.DUMMYFUNCTION("""COMPUTED_VALUE"""),1018784.0)</f>
        <v>1018784</v>
      </c>
      <c r="B806" t="str">
        <f>IFERROR(__xludf.DUMMYFUNCTION("""COMPUTED_VALUE"""),"Mr.")</f>
        <v>Mr.</v>
      </c>
      <c r="C806" t="str">
        <f>IFERROR(__xludf.DUMMYFUNCTION("""COMPUTED_VALUE"""),"Apirak")</f>
        <v>Apirak</v>
      </c>
      <c r="D806" t="str">
        <f>IFERROR(__xludf.DUMMYFUNCTION("""COMPUTED_VALUE"""),"Thongpiyaphoom")</f>
        <v>Thongpiyaphoom</v>
      </c>
      <c r="E806" t="str">
        <f>IFERROR(__xludf.DUMMYFUNCTION("""COMPUTED_VALUE"""),"Apirak Thongpiyaphoom")</f>
        <v>Apirak Thongpiyaphoom</v>
      </c>
      <c r="F806" t="str">
        <f>IFERROR(__xludf.DUMMYFUNCTION("""COMPUTED_VALUE"""),"นาย")</f>
        <v>นาย</v>
      </c>
      <c r="G806" t="str">
        <f>IFERROR(__xludf.DUMMYFUNCTION("""COMPUTED_VALUE"""),"อภิรักษ์")</f>
        <v>อภิรักษ์</v>
      </c>
      <c r="H806" t="str">
        <f>IFERROR(__xludf.DUMMYFUNCTION("""COMPUTED_VALUE"""),"ทองปิยะภูมิ")</f>
        <v>ทองปิยะภูมิ</v>
      </c>
      <c r="I806" t="str">
        <f>IFERROR(__xludf.DUMMYFUNCTION("""COMPUTED_VALUE"""),"อภิรักษ์ ทองปิยะภูมิ")</f>
        <v>อภิรักษ์ ทองปิยะภูมิ</v>
      </c>
      <c r="J806" t="str">
        <f>IFERROR(__xludf.DUMMYFUNCTION("""COMPUTED_VALUE"""),"Fame/เฟม")</f>
        <v>Fame/เฟม</v>
      </c>
      <c r="K806" t="str">
        <f>IFERROR(__xludf.DUMMYFUNCTION("""COMPUTED_VALUE"""),"Cabin Crew")</f>
        <v>Cabin Crew</v>
      </c>
      <c r="L806" t="str">
        <f>IFERROR(__xludf.DUMMYFUNCTION("""COMPUTED_VALUE"""),"DMK")</f>
        <v>DMK</v>
      </c>
      <c r="M806" s="145" t="str">
        <f>IFERROR(__xludf.DUMMYFUNCTION("""COMPUTED_VALUE"""),"Por+ Home")</f>
        <v>Por+ Home</v>
      </c>
      <c r="N806" t="str">
        <f>IFERROR(__xludf.DUMMYFUNCTION("""COMPUTED_VALUE"""),"Active")</f>
        <v>Active</v>
      </c>
      <c r="P806" s="143">
        <f>IFERROR(__xludf.DUMMYFUNCTION("""COMPUTED_VALUE"""),32912.0)</f>
        <v>32912</v>
      </c>
      <c r="Q806" s="146" t="str">
        <f>IFERROR(__xludf.DUMMYFUNCTION("""COMPUTED_VALUE"""),"090-9599524")</f>
        <v>090-9599524</v>
      </c>
      <c r="R806" s="147" t="str">
        <f>IFERROR(__xludf.DUMMYFUNCTION("""COMPUTED_VALUE"""),"1909800-42-0797")</f>
        <v>1909800-42-0797</v>
      </c>
      <c r="S806" t="str">
        <f>IFERROR(__xludf.DUMMYFUNCTION("""COMPUTED_VALUE"""),"AC6318878")</f>
        <v>AC6318878</v>
      </c>
      <c r="T806" s="148">
        <f>IFERROR(__xludf.DUMMYFUNCTION("""COMPUTED_VALUE"""),45293.0)</f>
        <v>45293</v>
      </c>
      <c r="U806" s="148">
        <f>IFERROR(__xludf.DUMMYFUNCTION("""COMPUTED_VALUE"""),48945.0)</f>
        <v>48945</v>
      </c>
      <c r="V806" s="149">
        <f>IFERROR(__xludf.DUMMYFUNCTION("""COMPUTED_VALUE"""),48761.0)</f>
        <v>48761</v>
      </c>
      <c r="W806" t="str">
        <f>IFERROR(__xludf.DUMMYFUNCTION("""COMPUTED_VALUE"""),"ปลอดภัย")</f>
        <v>ปลอดภัย</v>
      </c>
      <c r="X806" t="str">
        <f>IFERROR(__xludf.DUMMYFUNCTION("""COMPUTED_VALUE"""),"Songkhla Province")</f>
        <v>Songkhla Province</v>
      </c>
      <c r="Y806" t="str">
        <f>IFERROR(__xludf.DUMMYFUNCTION("""COMPUTED_VALUE"""),"Bangkok")</f>
        <v>Bangkok</v>
      </c>
      <c r="Z806" t="str">
        <f>IFERROR(__xludf.DUMMYFUNCTION("""COMPUTED_VALUE"""),"089-659-2014")</f>
        <v>089-659-2014</v>
      </c>
      <c r="AA806" t="str">
        <f>IFERROR(__xludf.DUMMYFUNCTION("""COMPUTED_VALUE"""),"Somjit Thongpiyaphoom (Mother)")</f>
        <v>Somjit Thongpiyaphoom (Mother)</v>
      </c>
      <c r="AB806" t="str">
        <f>IFERROR(__xludf.DUMMYFUNCTION("""COMPUTED_VALUE"""),"apirakt@airasia.com")</f>
        <v>apirakt@airasia.com</v>
      </c>
    </row>
    <row r="807">
      <c r="A807">
        <f>IFERROR(__xludf.DUMMYFUNCTION("""COMPUTED_VALUE"""),1018789.0)</f>
        <v>1018789</v>
      </c>
      <c r="B807" t="str">
        <f>IFERROR(__xludf.DUMMYFUNCTION("""COMPUTED_VALUE"""),"Ms.")</f>
        <v>Ms.</v>
      </c>
      <c r="C807" t="str">
        <f>IFERROR(__xludf.DUMMYFUNCTION("""COMPUTED_VALUE"""),"Jaruwan")</f>
        <v>Jaruwan</v>
      </c>
      <c r="D807" t="str">
        <f>IFERROR(__xludf.DUMMYFUNCTION("""COMPUTED_VALUE"""),"Junjitjingjai")</f>
        <v>Junjitjingjai</v>
      </c>
      <c r="E807" t="str">
        <f>IFERROR(__xludf.DUMMYFUNCTION("""COMPUTED_VALUE"""),"Jaruwan Junjitjingjai")</f>
        <v>Jaruwan Junjitjingjai</v>
      </c>
      <c r="F807" t="str">
        <f>IFERROR(__xludf.DUMMYFUNCTION("""COMPUTED_VALUE"""),"นางสาว")</f>
        <v>นางสาว</v>
      </c>
      <c r="G807" t="str">
        <f>IFERROR(__xludf.DUMMYFUNCTION("""COMPUTED_VALUE"""),"จารุวรรณ")</f>
        <v>จารุวรรณ</v>
      </c>
      <c r="H807" t="str">
        <f>IFERROR(__xludf.DUMMYFUNCTION("""COMPUTED_VALUE"""),"จันทร์จิตรจริงใจ")</f>
        <v>จันทร์จิตรจริงใจ</v>
      </c>
      <c r="I807" t="str">
        <f>IFERROR(__xludf.DUMMYFUNCTION("""COMPUTED_VALUE"""),"จารุวรรณ จันทร์จิตรจริงใจ")</f>
        <v>จารุวรรณ จันทร์จิตรจริงใจ</v>
      </c>
      <c r="J807" t="str">
        <f>IFERROR(__xludf.DUMMYFUNCTION("""COMPUTED_VALUE"""),"Fon/ฝน")</f>
        <v>Fon/ฝน</v>
      </c>
      <c r="K807" t="str">
        <f>IFERROR(__xludf.DUMMYFUNCTION("""COMPUTED_VALUE"""),"Cabin Crew - HKT")</f>
        <v>Cabin Crew - HKT</v>
      </c>
      <c r="L807" t="str">
        <f>IFERROR(__xludf.DUMMYFUNCTION("""COMPUTED_VALUE"""),"HKT")</f>
        <v>HKT</v>
      </c>
      <c r="M807" s="145" t="str">
        <f>IFERROR(__xludf.DUMMYFUNCTION("""COMPUTED_VALUE"""),"Kor Home")</f>
        <v>Kor Home</v>
      </c>
      <c r="N807" t="str">
        <f>IFERROR(__xludf.DUMMYFUNCTION("""COMPUTED_VALUE"""),"Active")</f>
        <v>Active</v>
      </c>
      <c r="P807" s="143">
        <f>IFERROR(__xludf.DUMMYFUNCTION("""COMPUTED_VALUE"""),32569.0)</f>
        <v>32569</v>
      </c>
      <c r="Q807" s="146" t="str">
        <f>IFERROR(__xludf.DUMMYFUNCTION("""COMPUTED_VALUE"""),"062-459-4696")</f>
        <v>062-459-4696</v>
      </c>
      <c r="R807" s="147" t="str">
        <f>IFERROR(__xludf.DUMMYFUNCTION("""COMPUTED_VALUE"""),"1909800-34-2583")</f>
        <v>1909800-34-2583</v>
      </c>
      <c r="S807" t="str">
        <f>IFERROR(__xludf.DUMMYFUNCTION("""COMPUTED_VALUE"""),"AC2440048")</f>
        <v>AC2440048</v>
      </c>
      <c r="T807" s="148">
        <f>IFERROR(__xludf.DUMMYFUNCTION("""COMPUTED_VALUE"""),44459.0)</f>
        <v>44459</v>
      </c>
      <c r="U807" s="148">
        <f>IFERROR(__xludf.DUMMYFUNCTION("""COMPUTED_VALUE"""),48110.0)</f>
        <v>48110</v>
      </c>
      <c r="V807" s="149">
        <f>IFERROR(__xludf.DUMMYFUNCTION("""COMPUTED_VALUE"""),47926.0)</f>
        <v>47926</v>
      </c>
      <c r="W807" t="str">
        <f>IFERROR(__xludf.DUMMYFUNCTION("""COMPUTED_VALUE"""),"ปลอดภัย")</f>
        <v>ปลอดภัย</v>
      </c>
      <c r="X807" t="str">
        <f>IFERROR(__xludf.DUMMYFUNCTION("""COMPUTED_VALUE"""),"Songkhla Province")</f>
        <v>Songkhla Province</v>
      </c>
      <c r="Y807" t="str">
        <f>IFERROR(__xludf.DUMMYFUNCTION("""COMPUTED_VALUE"""),"Bangkok")</f>
        <v>Bangkok</v>
      </c>
      <c r="Z807" t="str">
        <f>IFERROR(__xludf.DUMMYFUNCTION("""COMPUTED_VALUE"""),"084-312-4670")</f>
        <v>084-312-4670</v>
      </c>
      <c r="AA807" t="str">
        <f>IFERROR(__xludf.DUMMYFUNCTION("""COMPUTED_VALUE"""),"Sumrit Junjitjingjai")</f>
        <v>Sumrit Junjitjingjai</v>
      </c>
      <c r="AB807" t="str">
        <f>IFERROR(__xludf.DUMMYFUNCTION("""COMPUTED_VALUE"""),"jaruwanu@airasia.com")</f>
        <v>jaruwanu@airasia.com</v>
      </c>
    </row>
    <row r="808">
      <c r="A808">
        <f>IFERROR(__xludf.DUMMYFUNCTION("""COMPUTED_VALUE"""),1018790.0)</f>
        <v>1018790</v>
      </c>
      <c r="B808" t="str">
        <f>IFERROR(__xludf.DUMMYFUNCTION("""COMPUTED_VALUE"""),"Ms.")</f>
        <v>Ms.</v>
      </c>
      <c r="C808" t="str">
        <f>IFERROR(__xludf.DUMMYFUNCTION("""COMPUTED_VALUE"""),"Julalak")</f>
        <v>Julalak</v>
      </c>
      <c r="D808" t="str">
        <f>IFERROR(__xludf.DUMMYFUNCTION("""COMPUTED_VALUE"""),"Tansakul")</f>
        <v>Tansakul</v>
      </c>
      <c r="E808" t="str">
        <f>IFERROR(__xludf.DUMMYFUNCTION("""COMPUTED_VALUE"""),"Julalak Tansakul")</f>
        <v>Julalak Tansakul</v>
      </c>
      <c r="F808" t="str">
        <f>IFERROR(__xludf.DUMMYFUNCTION("""COMPUTED_VALUE"""),"นางสาว")</f>
        <v>นางสาว</v>
      </c>
      <c r="G808" t="str">
        <f>IFERROR(__xludf.DUMMYFUNCTION("""COMPUTED_VALUE"""),"จุฬาลักษณ์")</f>
        <v>จุฬาลักษณ์</v>
      </c>
      <c r="H808" t="str">
        <f>IFERROR(__xludf.DUMMYFUNCTION("""COMPUTED_VALUE"""),"ตันสกุล")</f>
        <v>ตันสกุล</v>
      </c>
      <c r="I808" t="str">
        <f>IFERROR(__xludf.DUMMYFUNCTION("""COMPUTED_VALUE"""),"จุฬาลักษณ์ ตันสกุล")</f>
        <v>จุฬาลักษณ์ ตันสกุล</v>
      </c>
      <c r="J808" t="str">
        <f>IFERROR(__xludf.DUMMYFUNCTION("""COMPUTED_VALUE"""),"Jaja/จ๊ะจ๋า")</f>
        <v>Jaja/จ๊ะจ๋า</v>
      </c>
      <c r="K808" t="str">
        <f>IFERROR(__xludf.DUMMYFUNCTION("""COMPUTED_VALUE"""),"Cabin Crew - HKT")</f>
        <v>Cabin Crew - HKT</v>
      </c>
      <c r="L808" t="str">
        <f>IFERROR(__xludf.DUMMYFUNCTION("""COMPUTED_VALUE"""),"HKT")</f>
        <v>HKT</v>
      </c>
      <c r="M808" s="145" t="str">
        <f>IFERROR(__xludf.DUMMYFUNCTION("""COMPUTED_VALUE"""),"Kor Home")</f>
        <v>Kor Home</v>
      </c>
      <c r="N808" t="str">
        <f>IFERROR(__xludf.DUMMYFUNCTION("""COMPUTED_VALUE"""),"V/LWP")</f>
        <v>V/LWP</v>
      </c>
      <c r="P808" s="143">
        <f>IFERROR(__xludf.DUMMYFUNCTION("""COMPUTED_VALUE"""),33214.0)</f>
        <v>33214</v>
      </c>
      <c r="Q808" s="146" t="str">
        <f>IFERROR(__xludf.DUMMYFUNCTION("""COMPUTED_VALUE"""),"089-6815094")</f>
        <v>089-6815094</v>
      </c>
      <c r="R808" s="147" t="str">
        <f>IFERROR(__xludf.DUMMYFUNCTION("""COMPUTED_VALUE"""),"1839900-20-9550")</f>
        <v>1839900-20-9550</v>
      </c>
      <c r="S808" t="str">
        <f>IFERROR(__xludf.DUMMYFUNCTION("""COMPUTED_VALUE"""),"AD0594238")</f>
        <v>AD0594238</v>
      </c>
      <c r="T808" s="148">
        <f>IFERROR(__xludf.DUMMYFUNCTION("""COMPUTED_VALUE"""),44938.0)</f>
        <v>44938</v>
      </c>
      <c r="U808" s="148">
        <f>IFERROR(__xludf.DUMMYFUNCTION("""COMPUTED_VALUE"""),48590.0)</f>
        <v>48590</v>
      </c>
      <c r="V808" s="149">
        <f>IFERROR(__xludf.DUMMYFUNCTION("""COMPUTED_VALUE"""),48406.0)</f>
        <v>48406</v>
      </c>
      <c r="W808" t="str">
        <f>IFERROR(__xludf.DUMMYFUNCTION("""COMPUTED_VALUE"""),"ปลอดภัย")</f>
        <v>ปลอดภัย</v>
      </c>
      <c r="X808" t="str">
        <f>IFERROR(__xludf.DUMMYFUNCTION("""COMPUTED_VALUE"""),"Phuket Province")</f>
        <v>Phuket Province</v>
      </c>
      <c r="Y808" t="str">
        <f>IFERROR(__xludf.DUMMYFUNCTION("""COMPUTED_VALUE"""),"Bangkok")</f>
        <v>Bangkok</v>
      </c>
      <c r="Z808" t="str">
        <f>IFERROR(__xludf.DUMMYFUNCTION("""COMPUTED_VALUE"""),"089-727-1448")</f>
        <v>089-727-1448</v>
      </c>
      <c r="AA808" t="str">
        <f>IFERROR(__xludf.DUMMYFUNCTION("""COMPUTED_VALUE"""),"Mayuree Tansakul")</f>
        <v>Mayuree Tansakul</v>
      </c>
      <c r="AB808" t="str">
        <f>IFERROR(__xludf.DUMMYFUNCTION("""COMPUTED_VALUE"""),"julalakt@airasia.com")</f>
        <v>julalakt@airasia.com</v>
      </c>
    </row>
    <row r="809">
      <c r="A809">
        <f>IFERROR(__xludf.DUMMYFUNCTION("""COMPUTED_VALUE"""),1018791.0)</f>
        <v>1018791</v>
      </c>
      <c r="B809" t="str">
        <f>IFERROR(__xludf.DUMMYFUNCTION("""COMPUTED_VALUE"""),"Mr.")</f>
        <v>Mr.</v>
      </c>
      <c r="C809" t="str">
        <f>IFERROR(__xludf.DUMMYFUNCTION("""COMPUTED_VALUE"""),"Kitdanai")</f>
        <v>Kitdanai</v>
      </c>
      <c r="D809" t="str">
        <f>IFERROR(__xludf.DUMMYFUNCTION("""COMPUTED_VALUE"""),"Tiantanawit")</f>
        <v>Tiantanawit</v>
      </c>
      <c r="E809" t="str">
        <f>IFERROR(__xludf.DUMMYFUNCTION("""COMPUTED_VALUE"""),"Kitdanai Tiantanawit")</f>
        <v>Kitdanai Tiantanawit</v>
      </c>
      <c r="F809" t="str">
        <f>IFERROR(__xludf.DUMMYFUNCTION("""COMPUTED_VALUE"""),"นาย")</f>
        <v>นาย</v>
      </c>
      <c r="G809" t="str">
        <f>IFERROR(__xludf.DUMMYFUNCTION("""COMPUTED_VALUE"""),"กิตติ์ดนัย")</f>
        <v>กิตติ์ดนัย</v>
      </c>
      <c r="H809" t="str">
        <f>IFERROR(__xludf.DUMMYFUNCTION("""COMPUTED_VALUE"""),"เธียรธนาวิทย์")</f>
        <v>เธียรธนาวิทย์</v>
      </c>
      <c r="I809" t="str">
        <f>IFERROR(__xludf.DUMMYFUNCTION("""COMPUTED_VALUE"""),"กิตติ์ดนัย เธียรธนาวิทย์")</f>
        <v>กิตติ์ดนัย เธียรธนาวิทย์</v>
      </c>
      <c r="J809" t="str">
        <f>IFERROR(__xludf.DUMMYFUNCTION("""COMPUTED_VALUE"""),"Prince ปริ้นซ์")</f>
        <v>Prince ปริ้นซ์</v>
      </c>
      <c r="K809" t="str">
        <f>IFERROR(__xludf.DUMMYFUNCTION("""COMPUTED_VALUE"""),"Cabin Crew")</f>
        <v>Cabin Crew</v>
      </c>
      <c r="L809" t="str">
        <f>IFERROR(__xludf.DUMMYFUNCTION("""COMPUTED_VALUE"""),"DMK")</f>
        <v>DMK</v>
      </c>
      <c r="M809" s="145" t="str">
        <f>IFERROR(__xludf.DUMMYFUNCTION("""COMPUTED_VALUE"""),"Toffy Home")</f>
        <v>Toffy Home</v>
      </c>
      <c r="N809" t="str">
        <f>IFERROR(__xludf.DUMMYFUNCTION("""COMPUTED_VALUE"""),"Active")</f>
        <v>Active</v>
      </c>
      <c r="P809" s="143">
        <f>IFERROR(__xludf.DUMMYFUNCTION("""COMPUTED_VALUE"""),33299.0)</f>
        <v>33299</v>
      </c>
      <c r="Q809" s="146" t="str">
        <f>IFERROR(__xludf.DUMMYFUNCTION("""COMPUTED_VALUE"""),"081-995-1500")</f>
        <v>081-995-1500</v>
      </c>
      <c r="R809" s="147" t="str">
        <f>IFERROR(__xludf.DUMMYFUNCTION("""COMPUTED_VALUE"""),"1-1027-00083-32-3")</f>
        <v>1-1027-00083-32-3</v>
      </c>
      <c r="S809" t="str">
        <f>IFERROR(__xludf.DUMMYFUNCTION("""COMPUTED_VALUE"""),"AC2691766")</f>
        <v>AC2691766</v>
      </c>
      <c r="T809" s="148">
        <f>IFERROR(__xludf.DUMMYFUNCTION("""COMPUTED_VALUE"""),44585.0)</f>
        <v>44585</v>
      </c>
      <c r="U809" s="148">
        <f>IFERROR(__xludf.DUMMYFUNCTION("""COMPUTED_VALUE"""),48236.0)</f>
        <v>48236</v>
      </c>
      <c r="V809" s="149">
        <f>IFERROR(__xludf.DUMMYFUNCTION("""COMPUTED_VALUE"""),48052.0)</f>
        <v>48052</v>
      </c>
      <c r="W809" t="str">
        <f>IFERROR(__xludf.DUMMYFUNCTION("""COMPUTED_VALUE"""),"ปลอดภัย")</f>
        <v>ปลอดภัย</v>
      </c>
      <c r="X809" t="str">
        <f>IFERROR(__xludf.DUMMYFUNCTION("""COMPUTED_VALUE"""),"Bangkok")</f>
        <v>Bangkok</v>
      </c>
      <c r="Y809" t="str">
        <f>IFERROR(__xludf.DUMMYFUNCTION("""COMPUTED_VALUE"""),"Bangkok")</f>
        <v>Bangkok</v>
      </c>
      <c r="Z809" t="str">
        <f>IFERROR(__xludf.DUMMYFUNCTION("""COMPUTED_VALUE"""),"083-715-5331")</f>
        <v>083-715-5331</v>
      </c>
      <c r="AA809" t="str">
        <f>IFERROR(__xludf.DUMMYFUNCTION("""COMPUTED_VALUE"""),"Pueng")</f>
        <v>Pueng</v>
      </c>
      <c r="AB809" t="str">
        <f>IFERROR(__xludf.DUMMYFUNCTION("""COMPUTED_VALUE"""),"kitdanait@airasia.com")</f>
        <v>kitdanait@airasia.com</v>
      </c>
    </row>
    <row r="810">
      <c r="A810">
        <f>IFERROR(__xludf.DUMMYFUNCTION("""COMPUTED_VALUE"""),1018793.0)</f>
        <v>1018793</v>
      </c>
      <c r="B810" t="str">
        <f>IFERROR(__xludf.DUMMYFUNCTION("""COMPUTED_VALUE"""),"Ms.")</f>
        <v>Ms.</v>
      </c>
      <c r="C810" t="str">
        <f>IFERROR(__xludf.DUMMYFUNCTION("""COMPUTED_VALUE"""),"Papassarin(Korrachat)")</f>
        <v>Papassarin(Korrachat)</v>
      </c>
      <c r="D810" t="str">
        <f>IFERROR(__xludf.DUMMYFUNCTION("""COMPUTED_VALUE"""),"Lertbussarasit(Koytaranon)")</f>
        <v>Lertbussarasit(Koytaranon)</v>
      </c>
      <c r="E810" t="str">
        <f>IFERROR(__xludf.DUMMYFUNCTION("""COMPUTED_VALUE"""),"Papassarin Lertbussarasit")</f>
        <v>Papassarin Lertbussarasit</v>
      </c>
      <c r="F810" t="str">
        <f>IFERROR(__xludf.DUMMYFUNCTION("""COMPUTED_VALUE"""),"นางสาว")</f>
        <v>นางสาว</v>
      </c>
      <c r="G810" t="str">
        <f>IFERROR(__xludf.DUMMYFUNCTION("""COMPUTED_VALUE"""),"ปภัสรินทร์(กรฉัตร)")</f>
        <v>ปภัสรินทร์(กรฉัตร)</v>
      </c>
      <c r="H810" t="str">
        <f>IFERROR(__xludf.DUMMYFUNCTION("""COMPUTED_VALUE"""),"เลิศบุศราสิทธิ์(โกยธรานนท์)")</f>
        <v>เลิศบุศราสิทธิ์(โกยธรานนท์)</v>
      </c>
      <c r="I810" t="str">
        <f>IFERROR(__xludf.DUMMYFUNCTION("""COMPUTED_VALUE"""),"ปภัสรินทร์ เลิศบุศราสิทธิ์")</f>
        <v>ปภัสรินทร์ เลิศบุศราสิทธิ์</v>
      </c>
      <c r="J810" t="str">
        <f>IFERROR(__xludf.DUMMYFUNCTION("""COMPUTED_VALUE"""),"Gammam/แก้มแหม่ม")</f>
        <v>Gammam/แก้มแหม่ม</v>
      </c>
      <c r="K810" t="str">
        <f>IFERROR(__xludf.DUMMYFUNCTION("""COMPUTED_VALUE"""),"Cabin Crew - HKT")</f>
        <v>Cabin Crew - HKT</v>
      </c>
      <c r="L810" t="str">
        <f>IFERROR(__xludf.DUMMYFUNCTION("""COMPUTED_VALUE"""),"HKT")</f>
        <v>HKT</v>
      </c>
      <c r="M810" s="145" t="str">
        <f>IFERROR(__xludf.DUMMYFUNCTION("""COMPUTED_VALUE"""),"Kor Home")</f>
        <v>Kor Home</v>
      </c>
      <c r="N810" t="str">
        <f>IFERROR(__xludf.DUMMYFUNCTION("""COMPUTED_VALUE"""),"Active")</f>
        <v>Active</v>
      </c>
      <c r="P810" s="143">
        <f>IFERROR(__xludf.DUMMYFUNCTION("""COMPUTED_VALUE"""),33217.0)</f>
        <v>33217</v>
      </c>
      <c r="Q810" s="146" t="str">
        <f>IFERROR(__xludf.DUMMYFUNCTION("""COMPUTED_VALUE"""),"095-4256996")</f>
        <v>095-4256996</v>
      </c>
      <c r="R810" s="147" t="str">
        <f>IFERROR(__xludf.DUMMYFUNCTION("""COMPUTED_VALUE"""),"1839900-21-0612")</f>
        <v>1839900-21-0612</v>
      </c>
      <c r="S810" t="str">
        <f>IFERROR(__xludf.DUMMYFUNCTION("""COMPUTED_VALUE"""),"AC2702650")</f>
        <v>AC2702650</v>
      </c>
      <c r="T810" s="148">
        <f>IFERROR(__xludf.DUMMYFUNCTION("""COMPUTED_VALUE"""),44594.0)</f>
        <v>44594</v>
      </c>
      <c r="U810" s="148">
        <f>IFERROR(__xludf.DUMMYFUNCTION("""COMPUTED_VALUE"""),48245.0)</f>
        <v>48245</v>
      </c>
      <c r="V810" s="149">
        <f>IFERROR(__xludf.DUMMYFUNCTION("""COMPUTED_VALUE"""),48061.0)</f>
        <v>48061</v>
      </c>
      <c r="W810" t="str">
        <f>IFERROR(__xludf.DUMMYFUNCTION("""COMPUTED_VALUE"""),"ปลอดภัย")</f>
        <v>ปลอดภัย</v>
      </c>
      <c r="X810" t="str">
        <f>IFERROR(__xludf.DUMMYFUNCTION("""COMPUTED_VALUE"""),"Phuket Province")</f>
        <v>Phuket Province</v>
      </c>
      <c r="Y810" t="str">
        <f>IFERROR(__xludf.DUMMYFUNCTION("""COMPUTED_VALUE"""),"Phuket")</f>
        <v>Phuket</v>
      </c>
      <c r="Z810" t="str">
        <f>IFERROR(__xludf.DUMMYFUNCTION("""COMPUTED_VALUE"""),"061-645-5765")</f>
        <v>061-645-5765</v>
      </c>
      <c r="AA810" t="str">
        <f>IFERROR(__xludf.DUMMYFUNCTION("""COMPUTED_VALUE"""),"Manit Koytaranon")</f>
        <v>Manit Koytaranon</v>
      </c>
      <c r="AB810" t="str">
        <f>IFERROR(__xludf.DUMMYFUNCTION("""COMPUTED_VALUE"""),"papassarinl@airasia.com")</f>
        <v>papassarinl@airasia.com</v>
      </c>
    </row>
    <row r="811">
      <c r="A811">
        <f>IFERROR(__xludf.DUMMYFUNCTION("""COMPUTED_VALUE"""),1018794.0)</f>
        <v>1018794</v>
      </c>
      <c r="B811" t="str">
        <f>IFERROR(__xludf.DUMMYFUNCTION("""COMPUTED_VALUE"""),"Ms.")</f>
        <v>Ms.</v>
      </c>
      <c r="C811" t="str">
        <f>IFERROR(__xludf.DUMMYFUNCTION("""COMPUTED_VALUE"""),"Kotchakron")</f>
        <v>Kotchakron</v>
      </c>
      <c r="D811" t="str">
        <f>IFERROR(__xludf.DUMMYFUNCTION("""COMPUTED_VALUE"""),"Chimnoi")</f>
        <v>Chimnoi</v>
      </c>
      <c r="E811" t="str">
        <f>IFERROR(__xludf.DUMMYFUNCTION("""COMPUTED_VALUE"""),"Kotchakron Chimnoi")</f>
        <v>Kotchakron Chimnoi</v>
      </c>
      <c r="F811" t="str">
        <f>IFERROR(__xludf.DUMMYFUNCTION("""COMPUTED_VALUE"""),"นางสาว")</f>
        <v>นางสาว</v>
      </c>
      <c r="G811" t="str">
        <f>IFERROR(__xludf.DUMMYFUNCTION("""COMPUTED_VALUE"""),"กชกร")</f>
        <v>กชกร</v>
      </c>
      <c r="H811" t="str">
        <f>IFERROR(__xludf.DUMMYFUNCTION("""COMPUTED_VALUE"""),"ฉิมน้อย")</f>
        <v>ฉิมน้อย</v>
      </c>
      <c r="I811" t="str">
        <f>IFERROR(__xludf.DUMMYFUNCTION("""COMPUTED_VALUE"""),"กชกร ฉิมน้อย")</f>
        <v>กชกร ฉิมน้อย</v>
      </c>
      <c r="J811" t="str">
        <f>IFERROR(__xludf.DUMMYFUNCTION("""COMPUTED_VALUE"""),"Fong/ฟอง")</f>
        <v>Fong/ฟอง</v>
      </c>
      <c r="K811" t="str">
        <f>IFERROR(__xludf.DUMMYFUNCTION("""COMPUTED_VALUE"""),"Cabin Crew")</f>
        <v>Cabin Crew</v>
      </c>
      <c r="L811" t="str">
        <f>IFERROR(__xludf.DUMMYFUNCTION("""COMPUTED_VALUE"""),"DMK")</f>
        <v>DMK</v>
      </c>
      <c r="M811" s="145" t="str">
        <f>IFERROR(__xludf.DUMMYFUNCTION("""COMPUTED_VALUE"""),"Toffy Home")</f>
        <v>Toffy Home</v>
      </c>
      <c r="N811" t="str">
        <f>IFERROR(__xludf.DUMMYFUNCTION("""COMPUTED_VALUE"""),"Active")</f>
        <v>Active</v>
      </c>
      <c r="P811" s="143">
        <f>IFERROR(__xludf.DUMMYFUNCTION("""COMPUTED_VALUE"""),34057.0)</f>
        <v>34057</v>
      </c>
      <c r="Q811" s="146" t="str">
        <f>IFERROR(__xludf.DUMMYFUNCTION("""COMPUTED_VALUE"""),"091-0106148")</f>
        <v>091-0106148</v>
      </c>
      <c r="R811" s="147" t="str">
        <f>IFERROR(__xludf.DUMMYFUNCTION("""COMPUTED_VALUE"""),"1103701-05-6096")</f>
        <v>1103701-05-6096</v>
      </c>
      <c r="S811" t="str">
        <f>IFERROR(__xludf.DUMMYFUNCTION("""COMPUTED_VALUE"""),"AD1122652")</f>
        <v>AD1122652</v>
      </c>
      <c r="T811" s="148">
        <f>IFERROR(__xludf.DUMMYFUNCTION("""COMPUTED_VALUE"""),45110.0)</f>
        <v>45110</v>
      </c>
      <c r="U811" s="148">
        <f>IFERROR(__xludf.DUMMYFUNCTION("""COMPUTED_VALUE"""),48762.0)</f>
        <v>48762</v>
      </c>
      <c r="V811" s="149">
        <f>IFERROR(__xludf.DUMMYFUNCTION("""COMPUTED_VALUE"""),48581.0)</f>
        <v>48581</v>
      </c>
      <c r="W811" t="str">
        <f>IFERROR(__xludf.DUMMYFUNCTION("""COMPUTED_VALUE"""),"ปลอดภัย")</f>
        <v>ปลอดภัย</v>
      </c>
      <c r="X811" t="str">
        <f>IFERROR(__xludf.DUMMYFUNCTION("""COMPUTED_VALUE"""),"Bangkok")</f>
        <v>Bangkok</v>
      </c>
      <c r="Y811" t="str">
        <f>IFERROR(__xludf.DUMMYFUNCTION("""COMPUTED_VALUE"""),"Bangkok")</f>
        <v>Bangkok</v>
      </c>
      <c r="Z811" t="str">
        <f>IFERROR(__xludf.DUMMYFUNCTION("""COMPUTED_VALUE"""),"086-793-4262")</f>
        <v>086-793-4262</v>
      </c>
      <c r="AA811" t="str">
        <f>IFERROR(__xludf.DUMMYFUNCTION("""COMPUTED_VALUE"""),"(Sister)")</f>
        <v>(Sister)</v>
      </c>
      <c r="AB811" t="str">
        <f>IFERROR(__xludf.DUMMYFUNCTION("""COMPUTED_VALUE"""),"kotchakronc@airasia.com")</f>
        <v>kotchakronc@airasia.com</v>
      </c>
    </row>
    <row r="812">
      <c r="A812">
        <f>IFERROR(__xludf.DUMMYFUNCTION("""COMPUTED_VALUE"""),1018801.0)</f>
        <v>1018801</v>
      </c>
      <c r="B812" t="str">
        <f>IFERROR(__xludf.DUMMYFUNCTION("""COMPUTED_VALUE"""),"Mr.")</f>
        <v>Mr.</v>
      </c>
      <c r="C812" t="str">
        <f>IFERROR(__xludf.DUMMYFUNCTION("""COMPUTED_VALUE"""),"Nattapong")</f>
        <v>Nattapong</v>
      </c>
      <c r="D812" t="str">
        <f>IFERROR(__xludf.DUMMYFUNCTION("""COMPUTED_VALUE"""),"Lekkhum")</f>
        <v>Lekkhum</v>
      </c>
      <c r="E812" t="str">
        <f>IFERROR(__xludf.DUMMYFUNCTION("""COMPUTED_VALUE"""),"Nattapong Lekkhum")</f>
        <v>Nattapong Lekkhum</v>
      </c>
      <c r="F812" t="str">
        <f>IFERROR(__xludf.DUMMYFUNCTION("""COMPUTED_VALUE"""),"นาย")</f>
        <v>นาย</v>
      </c>
      <c r="G812" t="str">
        <f>IFERROR(__xludf.DUMMYFUNCTION("""COMPUTED_VALUE"""),"ณัฐพงศ์")</f>
        <v>ณัฐพงศ์</v>
      </c>
      <c r="H812" t="str">
        <f>IFERROR(__xludf.DUMMYFUNCTION("""COMPUTED_VALUE"""),"เลขขำ")</f>
        <v>เลขขำ</v>
      </c>
      <c r="I812" t="str">
        <f>IFERROR(__xludf.DUMMYFUNCTION("""COMPUTED_VALUE"""),"ณัฐพงศ์ เลขขำ")</f>
        <v>ณัฐพงศ์ เลขขำ</v>
      </c>
      <c r="J812" t="str">
        <f>IFERROR(__xludf.DUMMYFUNCTION("""COMPUTED_VALUE"""),"Pond/ปอนด์")</f>
        <v>Pond/ปอนด์</v>
      </c>
      <c r="K812" t="str">
        <f>IFERROR(__xludf.DUMMYFUNCTION("""COMPUTED_VALUE"""),"Cabin Crew - HKT")</f>
        <v>Cabin Crew - HKT</v>
      </c>
      <c r="L812" t="str">
        <f>IFERROR(__xludf.DUMMYFUNCTION("""COMPUTED_VALUE"""),"HKT")</f>
        <v>HKT</v>
      </c>
      <c r="M812" s="145" t="str">
        <f>IFERROR(__xludf.DUMMYFUNCTION("""COMPUTED_VALUE"""),"Kor Home")</f>
        <v>Kor Home</v>
      </c>
      <c r="N812" t="str">
        <f>IFERROR(__xludf.DUMMYFUNCTION("""COMPUTED_VALUE"""),"Active")</f>
        <v>Active</v>
      </c>
      <c r="P812" s="143">
        <f>IFERROR(__xludf.DUMMYFUNCTION("""COMPUTED_VALUE"""),34088.0)</f>
        <v>34088</v>
      </c>
      <c r="Q812" s="146" t="str">
        <f>IFERROR(__xludf.DUMMYFUNCTION("""COMPUTED_VALUE"""),"082-4213058")</f>
        <v>082-4213058</v>
      </c>
      <c r="R812" s="147" t="str">
        <f>IFERROR(__xludf.DUMMYFUNCTION("""COMPUTED_VALUE"""),"1800100-21-4976")</f>
        <v>1800100-21-4976</v>
      </c>
      <c r="S812" t="str">
        <f>IFERROR(__xludf.DUMMYFUNCTION("""COMPUTED_VALUE"""),"AC2230089")</f>
        <v>AC2230089</v>
      </c>
      <c r="T812" s="148">
        <f>IFERROR(__xludf.DUMMYFUNCTION("""COMPUTED_VALUE"""),44280.0)</f>
        <v>44280</v>
      </c>
      <c r="U812" s="148">
        <f>IFERROR(__xludf.DUMMYFUNCTION("""COMPUTED_VALUE"""),47931.0)</f>
        <v>47931</v>
      </c>
      <c r="V812" s="149">
        <f>IFERROR(__xludf.DUMMYFUNCTION("""COMPUTED_VALUE"""),47750.0)</f>
        <v>47750</v>
      </c>
      <c r="W812" t="str">
        <f>IFERROR(__xludf.DUMMYFUNCTION("""COMPUTED_VALUE"""),"ปลอดภัย")</f>
        <v>ปลอดภัย</v>
      </c>
      <c r="X812" t="str">
        <f>IFERROR(__xludf.DUMMYFUNCTION("""COMPUTED_VALUE"""),"Nakhon Si Thammarat Province")</f>
        <v>Nakhon Si Thammarat Province</v>
      </c>
      <c r="Y812" t="str">
        <f>IFERROR(__xludf.DUMMYFUNCTION("""COMPUTED_VALUE"""),"Bangkok")</f>
        <v>Bangkok</v>
      </c>
      <c r="Z812" t="str">
        <f>IFERROR(__xludf.DUMMYFUNCTION("""COMPUTED_VALUE"""),"084-059-2988")</f>
        <v>084-059-2988</v>
      </c>
      <c r="AA812" t="str">
        <f>IFERROR(__xludf.DUMMYFUNCTION("""COMPUTED_VALUE"""),"Anong Lekkhum")</f>
        <v>Anong Lekkhum</v>
      </c>
      <c r="AB812" t="str">
        <f>IFERROR(__xludf.DUMMYFUNCTION("""COMPUTED_VALUE"""),"nattapongl@airasia.com")</f>
        <v>nattapongl@airasia.com</v>
      </c>
    </row>
    <row r="813">
      <c r="A813">
        <f>IFERROR(__xludf.DUMMYFUNCTION("""COMPUTED_VALUE"""),1018803.0)</f>
        <v>1018803</v>
      </c>
      <c r="B813" t="str">
        <f>IFERROR(__xludf.DUMMYFUNCTION("""COMPUTED_VALUE"""),"Ms.")</f>
        <v>Ms.</v>
      </c>
      <c r="C813" t="str">
        <f>IFERROR(__xludf.DUMMYFUNCTION("""COMPUTED_VALUE"""),"Natthaphon")</f>
        <v>Natthaphon</v>
      </c>
      <c r="D813" t="str">
        <f>IFERROR(__xludf.DUMMYFUNCTION("""COMPUTED_VALUE"""),"Poosomchit")</f>
        <v>Poosomchit</v>
      </c>
      <c r="E813" t="str">
        <f>IFERROR(__xludf.DUMMYFUNCTION("""COMPUTED_VALUE"""),"Natthaphon Poosomchit")</f>
        <v>Natthaphon Poosomchit</v>
      </c>
      <c r="F813" t="str">
        <f>IFERROR(__xludf.DUMMYFUNCTION("""COMPUTED_VALUE"""),"นางสาว")</f>
        <v>นางสาว</v>
      </c>
      <c r="G813" t="str">
        <f>IFERROR(__xludf.DUMMYFUNCTION("""COMPUTED_VALUE"""),"ณัฏฐาพร")</f>
        <v>ณัฏฐาพร</v>
      </c>
      <c r="H813" t="str">
        <f>IFERROR(__xludf.DUMMYFUNCTION("""COMPUTED_VALUE"""),"พูสมจิตต์")</f>
        <v>พูสมจิตต์</v>
      </c>
      <c r="I813" t="str">
        <f>IFERROR(__xludf.DUMMYFUNCTION("""COMPUTED_VALUE"""),"ณัฏฐาพร พูสมจิตต์")</f>
        <v>ณัฏฐาพร พูสมจิตต์</v>
      </c>
      <c r="J813" t="str">
        <f>IFERROR(__xludf.DUMMYFUNCTION("""COMPUTED_VALUE"""),"nat")</f>
        <v>nat</v>
      </c>
      <c r="K813" t="str">
        <f>IFERROR(__xludf.DUMMYFUNCTION("""COMPUTED_VALUE"""),"Cabin Crew")</f>
        <v>Cabin Crew</v>
      </c>
      <c r="L813" t="str">
        <f>IFERROR(__xludf.DUMMYFUNCTION("""COMPUTED_VALUE"""),"DMK")</f>
        <v>DMK</v>
      </c>
      <c r="M813" s="145" t="str">
        <f>IFERROR(__xludf.DUMMYFUNCTION("""COMPUTED_VALUE"""),"Toffy Home")</f>
        <v>Toffy Home</v>
      </c>
      <c r="N813" t="str">
        <f>IFERROR(__xludf.DUMMYFUNCTION("""COMPUTED_VALUE"""),"Active")</f>
        <v>Active</v>
      </c>
      <c r="P813" s="143">
        <f>IFERROR(__xludf.DUMMYFUNCTION("""COMPUTED_VALUE"""),33514.0)</f>
        <v>33514</v>
      </c>
      <c r="Q813" s="146" t="str">
        <f>IFERROR(__xludf.DUMMYFUNCTION("""COMPUTED_VALUE"""),"080-069-6091")</f>
        <v>080-069-6091</v>
      </c>
      <c r="R813" s="147" t="str">
        <f>IFERROR(__xludf.DUMMYFUNCTION("""COMPUTED_VALUE"""),"1-1018-00497-81-1")</f>
        <v>1-1018-00497-81-1</v>
      </c>
      <c r="S813" t="str">
        <f>IFERROR(__xludf.DUMMYFUNCTION("""COMPUTED_VALUE"""),"AD2148573")</f>
        <v>AD2148573</v>
      </c>
      <c r="T813" s="148">
        <f>IFERROR(__xludf.DUMMYFUNCTION("""COMPUTED_VALUE"""),45776.0)</f>
        <v>45776</v>
      </c>
      <c r="U813" s="148">
        <f>IFERROR(__xludf.DUMMYFUNCTION("""COMPUTED_VALUE"""),49427.0)</f>
        <v>49427</v>
      </c>
      <c r="V813" s="149">
        <f>IFERROR(__xludf.DUMMYFUNCTION("""COMPUTED_VALUE"""),49245.0)</f>
        <v>49245</v>
      </c>
      <c r="W813" t="str">
        <f>IFERROR(__xludf.DUMMYFUNCTION("""COMPUTED_VALUE"""),"ปลอดภัย")</f>
        <v>ปลอดภัย</v>
      </c>
      <c r="X813" t="str">
        <f>IFERROR(__xludf.DUMMYFUNCTION("""COMPUTED_VALUE"""),"Bangkok")</f>
        <v>Bangkok</v>
      </c>
      <c r="Y813" t="str">
        <f>IFERROR(__xludf.DUMMYFUNCTION("""COMPUTED_VALUE"""),"Bangkok")</f>
        <v>Bangkok</v>
      </c>
      <c r="AB813" t="str">
        <f>IFERROR(__xludf.DUMMYFUNCTION("""COMPUTED_VALUE"""),"natthaphonm@airasia.com")</f>
        <v>natthaphonm@airasia.com</v>
      </c>
    </row>
    <row r="814">
      <c r="A814">
        <f>IFERROR(__xludf.DUMMYFUNCTION("""COMPUTED_VALUE"""),1018804.0)</f>
        <v>1018804</v>
      </c>
      <c r="B814" t="str">
        <f>IFERROR(__xludf.DUMMYFUNCTION("""COMPUTED_VALUE"""),"Mr.")</f>
        <v>Mr.</v>
      </c>
      <c r="C814" t="str">
        <f>IFERROR(__xludf.DUMMYFUNCTION("""COMPUTED_VALUE"""),"Noppadol")</f>
        <v>Noppadol</v>
      </c>
      <c r="D814" t="str">
        <f>IFERROR(__xludf.DUMMYFUNCTION("""COMPUTED_VALUE"""),"Utthiya")</f>
        <v>Utthiya</v>
      </c>
      <c r="E814" t="str">
        <f>IFERROR(__xludf.DUMMYFUNCTION("""COMPUTED_VALUE"""),"Noppadol Utthiya")</f>
        <v>Noppadol Utthiya</v>
      </c>
      <c r="F814" t="str">
        <f>IFERROR(__xludf.DUMMYFUNCTION("""COMPUTED_VALUE"""),"นาย")</f>
        <v>นาย</v>
      </c>
      <c r="G814" t="str">
        <f>IFERROR(__xludf.DUMMYFUNCTION("""COMPUTED_VALUE"""),"นพดล")</f>
        <v>นพดล</v>
      </c>
      <c r="H814" t="str">
        <f>IFERROR(__xludf.DUMMYFUNCTION("""COMPUTED_VALUE"""),"อุทธิยา")</f>
        <v>อุทธิยา</v>
      </c>
      <c r="I814" t="str">
        <f>IFERROR(__xludf.DUMMYFUNCTION("""COMPUTED_VALUE"""),"นพดล อุทธิยา")</f>
        <v>นพดล อุทธิยา</v>
      </c>
      <c r="J814" t="str">
        <f>IFERROR(__xludf.DUMMYFUNCTION("""COMPUTED_VALUE"""),"Ton ต้น")</f>
        <v>Ton ต้น</v>
      </c>
      <c r="K814" t="str">
        <f>IFERROR(__xludf.DUMMYFUNCTION("""COMPUTED_VALUE"""),"Senior Cabin Crew - BKK")</f>
        <v>Senior Cabin Crew - BKK</v>
      </c>
      <c r="L814" t="str">
        <f>IFERROR(__xludf.DUMMYFUNCTION("""COMPUTED_VALUE"""),"BKK")</f>
        <v>BKK</v>
      </c>
      <c r="M814" s="145" t="str">
        <f>IFERROR(__xludf.DUMMYFUNCTION("""COMPUTED_VALUE"""),"Nhui Home")</f>
        <v>Nhui Home</v>
      </c>
      <c r="N814" t="str">
        <f>IFERROR(__xludf.DUMMYFUNCTION("""COMPUTED_VALUE"""),"Active/V/DMK")</f>
        <v>Active/V/DMK</v>
      </c>
      <c r="P814" s="143">
        <f>IFERROR(__xludf.DUMMYFUNCTION("""COMPUTED_VALUE"""),33615.0)</f>
        <v>33615</v>
      </c>
      <c r="Q814" s="146" t="str">
        <f>IFERROR(__xludf.DUMMYFUNCTION("""COMPUTED_VALUE"""),"090-465-2961")</f>
        <v>090-465-2961</v>
      </c>
      <c r="R814" s="147" t="str">
        <f>IFERROR(__xludf.DUMMYFUNCTION("""COMPUTED_VALUE"""),"1-1007-01463-86-1")</f>
        <v>1-1007-01463-86-1</v>
      </c>
      <c r="S814" t="str">
        <f>IFERROR(__xludf.DUMMYFUNCTION("""COMPUTED_VALUE"""),"AC3371870")</f>
        <v>AC3371870</v>
      </c>
      <c r="T814" s="148">
        <f>IFERROR(__xludf.DUMMYFUNCTION("""COMPUTED_VALUE"""),44728.0)</f>
        <v>44728</v>
      </c>
      <c r="U814" s="148">
        <f>IFERROR(__xludf.DUMMYFUNCTION("""COMPUTED_VALUE"""),48380.0)</f>
        <v>48380</v>
      </c>
      <c r="V814" s="149">
        <f>IFERROR(__xludf.DUMMYFUNCTION("""COMPUTED_VALUE"""),48197.0)</f>
        <v>48197</v>
      </c>
      <c r="W814" t="str">
        <f>IFERROR(__xludf.DUMMYFUNCTION("""COMPUTED_VALUE"""),"ปลอดภัย")</f>
        <v>ปลอดภัย</v>
      </c>
      <c r="X814" t="str">
        <f>IFERROR(__xludf.DUMMYFUNCTION("""COMPUTED_VALUE"""),"Bangkok")</f>
        <v>Bangkok</v>
      </c>
      <c r="Y814" t="str">
        <f>IFERROR(__xludf.DUMMYFUNCTION("""COMPUTED_VALUE"""),"Pathumthani")</f>
        <v>Pathumthani</v>
      </c>
      <c r="Z814" t="str">
        <f>IFERROR(__xludf.DUMMYFUNCTION("""COMPUTED_VALUE"""),"091-995-4642")</f>
        <v>091-995-4642</v>
      </c>
      <c r="AA814" t="str">
        <f>IFERROR(__xludf.DUMMYFUNCTION("""COMPUTED_VALUE"""),"Roumpon Ekatan")</f>
        <v>Roumpon Ekatan</v>
      </c>
      <c r="AB814" t="str">
        <f>IFERROR(__xludf.DUMMYFUNCTION("""COMPUTED_VALUE"""),"noppadolu@airasia.com")</f>
        <v>noppadolu@airasia.com</v>
      </c>
    </row>
    <row r="815">
      <c r="A815">
        <f>IFERROR(__xludf.DUMMYFUNCTION("""COMPUTED_VALUE"""),1018806.0)</f>
        <v>1018806</v>
      </c>
      <c r="B815" t="str">
        <f>IFERROR(__xludf.DUMMYFUNCTION("""COMPUTED_VALUE"""),"Ms.")</f>
        <v>Ms.</v>
      </c>
      <c r="C815" t="str">
        <f>IFERROR(__xludf.DUMMYFUNCTION("""COMPUTED_VALUE"""),"Penrat")</f>
        <v>Penrat</v>
      </c>
      <c r="D815" t="str">
        <f>IFERROR(__xludf.DUMMYFUNCTION("""COMPUTED_VALUE"""),"Srinawakul")</f>
        <v>Srinawakul</v>
      </c>
      <c r="E815" t="str">
        <f>IFERROR(__xludf.DUMMYFUNCTION("""COMPUTED_VALUE"""),"Penrat Srinawakul")</f>
        <v>Penrat Srinawakul</v>
      </c>
      <c r="F815" t="str">
        <f>IFERROR(__xludf.DUMMYFUNCTION("""COMPUTED_VALUE"""),"นางสาว")</f>
        <v>นางสาว</v>
      </c>
      <c r="G815" t="str">
        <f>IFERROR(__xludf.DUMMYFUNCTION("""COMPUTED_VALUE"""),"เพ็ญรัตน์")</f>
        <v>เพ็ญรัตน์</v>
      </c>
      <c r="H815" t="str">
        <f>IFERROR(__xludf.DUMMYFUNCTION("""COMPUTED_VALUE"""),"ศรีนวกุล")</f>
        <v>ศรีนวกุล</v>
      </c>
      <c r="I815" t="str">
        <f>IFERROR(__xludf.DUMMYFUNCTION("""COMPUTED_VALUE"""),"เพ็ญรัตน์ ศรีนวกุล")</f>
        <v>เพ็ญรัตน์ ศรีนวกุล</v>
      </c>
      <c r="J815" t="str">
        <f>IFERROR(__xludf.DUMMYFUNCTION("""COMPUTED_VALUE"""),"Puping ภูพิงค์")</f>
        <v>Puping ภูพิงค์</v>
      </c>
      <c r="K815" t="str">
        <f>IFERROR(__xludf.DUMMYFUNCTION("""COMPUTED_VALUE"""),"Cabin Crew")</f>
        <v>Cabin Crew</v>
      </c>
      <c r="L815" t="str">
        <f>IFERROR(__xludf.DUMMYFUNCTION("""COMPUTED_VALUE"""),"DMK")</f>
        <v>DMK</v>
      </c>
      <c r="M815" s="145" t="str">
        <f>IFERROR(__xludf.DUMMYFUNCTION("""COMPUTED_VALUE"""),"Por+ Home")</f>
        <v>Por+ Home</v>
      </c>
      <c r="N815" t="str">
        <f>IFERROR(__xludf.DUMMYFUNCTION("""COMPUTED_VALUE"""),"Active")</f>
        <v>Active</v>
      </c>
      <c r="O815" t="str">
        <f>IFERROR(__xludf.DUMMYFUNCTION("""COMPUTED_VALUE"""),"Japanese Speaking")</f>
        <v>Japanese Speaking</v>
      </c>
      <c r="P815" s="143">
        <f>IFERROR(__xludf.DUMMYFUNCTION("""COMPUTED_VALUE"""),33936.0)</f>
        <v>33936</v>
      </c>
      <c r="Q815" s="146" t="str">
        <f>IFERROR(__xludf.DUMMYFUNCTION("""COMPUTED_VALUE"""),"093-5647988")</f>
        <v>093-5647988</v>
      </c>
      <c r="R815" s="147" t="str">
        <f>IFERROR(__xludf.DUMMYFUNCTION("""COMPUTED_VALUE"""),"1-7098-00179-40-4")</f>
        <v>1-7098-00179-40-4</v>
      </c>
      <c r="S815" t="str">
        <f>IFERROR(__xludf.DUMMYFUNCTION("""COMPUTED_VALUE"""),"AC2456746")</f>
        <v>AC2456746</v>
      </c>
      <c r="T815" s="148">
        <f>IFERROR(__xludf.DUMMYFUNCTION("""COMPUTED_VALUE"""),44466.0)</f>
        <v>44466</v>
      </c>
      <c r="U815" s="148">
        <f>IFERROR(__xludf.DUMMYFUNCTION("""COMPUTED_VALUE"""),48117.0)</f>
        <v>48117</v>
      </c>
      <c r="V815" s="149">
        <f>IFERROR(__xludf.DUMMYFUNCTION("""COMPUTED_VALUE"""),47933.0)</f>
        <v>47933</v>
      </c>
      <c r="W815" t="str">
        <f>IFERROR(__xludf.DUMMYFUNCTION("""COMPUTED_VALUE"""),"ปลอดภัย")</f>
        <v>ปลอดภัย</v>
      </c>
      <c r="X815" t="str">
        <f>IFERROR(__xludf.DUMMYFUNCTION("""COMPUTED_VALUE"""),"Ratchaburi Province")</f>
        <v>Ratchaburi Province</v>
      </c>
      <c r="Y815" t="str">
        <f>IFERROR(__xludf.DUMMYFUNCTION("""COMPUTED_VALUE"""),"Ratchaburi")</f>
        <v>Ratchaburi</v>
      </c>
      <c r="Z815" t="str">
        <f>IFERROR(__xludf.DUMMYFUNCTION("""COMPUTED_VALUE"""),"089-495-9554")</f>
        <v>089-495-9554</v>
      </c>
      <c r="AA815" t="str">
        <f>IFERROR(__xludf.DUMMYFUNCTION("""COMPUTED_VALUE"""),"Wasin Srinawakul")</f>
        <v>Wasin Srinawakul</v>
      </c>
      <c r="AB815" t="str">
        <f>IFERROR(__xludf.DUMMYFUNCTION("""COMPUTED_VALUE"""),"penrats@airasia.com")</f>
        <v>penrats@airasia.com</v>
      </c>
    </row>
    <row r="816">
      <c r="A816">
        <f>IFERROR(__xludf.DUMMYFUNCTION("""COMPUTED_VALUE"""),1018807.0)</f>
        <v>1018807</v>
      </c>
      <c r="B816" t="str">
        <f>IFERROR(__xludf.DUMMYFUNCTION("""COMPUTED_VALUE"""),"Ms.")</f>
        <v>Ms.</v>
      </c>
      <c r="C816" t="str">
        <f>IFERROR(__xludf.DUMMYFUNCTION("""COMPUTED_VALUE"""),"Prapassorn")</f>
        <v>Prapassorn</v>
      </c>
      <c r="D816" t="str">
        <f>IFERROR(__xludf.DUMMYFUNCTION("""COMPUTED_VALUE"""),"Soonsorn")</f>
        <v>Soonsorn</v>
      </c>
      <c r="E816" t="str">
        <f>IFERROR(__xludf.DUMMYFUNCTION("""COMPUTED_VALUE"""),"Prapassorn Soonsorn")</f>
        <v>Prapassorn Soonsorn</v>
      </c>
      <c r="F816" t="str">
        <f>IFERROR(__xludf.DUMMYFUNCTION("""COMPUTED_VALUE"""),"นางสาว")</f>
        <v>นางสาว</v>
      </c>
      <c r="G816" t="str">
        <f>IFERROR(__xludf.DUMMYFUNCTION("""COMPUTED_VALUE"""),"ประภัสสร")</f>
        <v>ประภัสสร</v>
      </c>
      <c r="H816" t="str">
        <f>IFERROR(__xludf.DUMMYFUNCTION("""COMPUTED_VALUE"""),"ศูนย์ศร")</f>
        <v>ศูนย์ศร</v>
      </c>
      <c r="I816" t="str">
        <f>IFERROR(__xludf.DUMMYFUNCTION("""COMPUTED_VALUE"""),"ประภัสสร ศูนย์ศร")</f>
        <v>ประภัสสร ศูนย์ศร</v>
      </c>
      <c r="J816" t="str">
        <f>IFERROR(__xludf.DUMMYFUNCTION("""COMPUTED_VALUE"""),"Pak/แป๊ก")</f>
        <v>Pak/แป๊ก</v>
      </c>
      <c r="K816" t="str">
        <f>IFERROR(__xludf.DUMMYFUNCTION("""COMPUTED_VALUE"""),"Cabin Crew")</f>
        <v>Cabin Crew</v>
      </c>
      <c r="L816" t="str">
        <f>IFERROR(__xludf.DUMMYFUNCTION("""COMPUTED_VALUE"""),"DMK")</f>
        <v>DMK</v>
      </c>
      <c r="M816" s="145" t="str">
        <f>IFERROR(__xludf.DUMMYFUNCTION("""COMPUTED_VALUE"""),"Kor Home")</f>
        <v>Kor Home</v>
      </c>
      <c r="N816" t="str">
        <f>IFERROR(__xludf.DUMMYFUNCTION("""COMPUTED_VALUE"""),"Active")</f>
        <v>Active</v>
      </c>
      <c r="P816" s="143">
        <f>IFERROR(__xludf.DUMMYFUNCTION("""COMPUTED_VALUE"""),32646.0)</f>
        <v>32646</v>
      </c>
      <c r="Q816" s="146" t="str">
        <f>IFERROR(__xludf.DUMMYFUNCTION("""COMPUTED_VALUE"""),"099-282-2656")</f>
        <v>099-282-2656</v>
      </c>
      <c r="R816" s="147" t="str">
        <f>IFERROR(__xludf.DUMMYFUNCTION("""COMPUTED_VALUE"""),"1411700-13-5265")</f>
        <v>1411700-13-5265</v>
      </c>
      <c r="S816" t="str">
        <f>IFERROR(__xludf.DUMMYFUNCTION("""COMPUTED_VALUE"""),"AC4360901")</f>
        <v>AC4360901</v>
      </c>
      <c r="T816" s="148">
        <f>IFERROR(__xludf.DUMMYFUNCTION("""COMPUTED_VALUE"""),44938.0)</f>
        <v>44938</v>
      </c>
      <c r="U816" s="148">
        <f>IFERROR(__xludf.DUMMYFUNCTION("""COMPUTED_VALUE"""),48590.0)</f>
        <v>48590</v>
      </c>
      <c r="V816" s="149">
        <f>IFERROR(__xludf.DUMMYFUNCTION("""COMPUTED_VALUE"""),48406.0)</f>
        <v>48406</v>
      </c>
      <c r="W816" t="str">
        <f>IFERROR(__xludf.DUMMYFUNCTION("""COMPUTED_VALUE"""),"ปลอดภัย")</f>
        <v>ปลอดภัย</v>
      </c>
      <c r="X816" t="str">
        <f>IFERROR(__xludf.DUMMYFUNCTION("""COMPUTED_VALUE"""),"Udon Thani Province")</f>
        <v>Udon Thani Province</v>
      </c>
      <c r="Y816" t="str">
        <f>IFERROR(__xludf.DUMMYFUNCTION("""COMPUTED_VALUE"""),"Bangkok")</f>
        <v>Bangkok</v>
      </c>
      <c r="Z816" t="str">
        <f>IFERROR(__xludf.DUMMYFUNCTION("""COMPUTED_VALUE"""),"095-9069-666")</f>
        <v>095-9069-666</v>
      </c>
      <c r="AA816" t="str">
        <f>IFERROR(__xludf.DUMMYFUNCTION("""COMPUTED_VALUE"""),"Chananchida Soonsorn")</f>
        <v>Chananchida Soonsorn</v>
      </c>
      <c r="AB816" t="str">
        <f>IFERROR(__xludf.DUMMYFUNCTION("""COMPUTED_VALUE"""),"prapassorno@airasia.com")</f>
        <v>prapassorno@airasia.com</v>
      </c>
    </row>
    <row r="817">
      <c r="A817">
        <f>IFERROR(__xludf.DUMMYFUNCTION("""COMPUTED_VALUE"""),1018813.0)</f>
        <v>1018813</v>
      </c>
      <c r="B817" t="str">
        <f>IFERROR(__xludf.DUMMYFUNCTION("""COMPUTED_VALUE"""),"Mr.")</f>
        <v>Mr.</v>
      </c>
      <c r="C817" t="str">
        <f>IFERROR(__xludf.DUMMYFUNCTION("""COMPUTED_VALUE"""),"Takwa")</f>
        <v>Takwa</v>
      </c>
      <c r="D817" t="str">
        <f>IFERROR(__xludf.DUMMYFUNCTION("""COMPUTED_VALUE"""),"Binlateh")</f>
        <v>Binlateh</v>
      </c>
      <c r="E817" t="str">
        <f>IFERROR(__xludf.DUMMYFUNCTION("""COMPUTED_VALUE"""),"Takwa Binlateh")</f>
        <v>Takwa Binlateh</v>
      </c>
      <c r="F817" t="str">
        <f>IFERROR(__xludf.DUMMYFUNCTION("""COMPUTED_VALUE"""),"นาย")</f>
        <v>นาย</v>
      </c>
      <c r="G817" t="str">
        <f>IFERROR(__xludf.DUMMYFUNCTION("""COMPUTED_VALUE"""),"ตักวา")</f>
        <v>ตักวา</v>
      </c>
      <c r="H817" t="str">
        <f>IFERROR(__xludf.DUMMYFUNCTION("""COMPUTED_VALUE"""),"บินลาเต๊ะ")</f>
        <v>บินลาเต๊ะ</v>
      </c>
      <c r="I817" t="str">
        <f>IFERROR(__xludf.DUMMYFUNCTION("""COMPUTED_VALUE"""),"ตักวา บินลาเต๊ะ")</f>
        <v>ตักวา บินลาเต๊ะ</v>
      </c>
      <c r="J817" t="str">
        <f>IFERROR(__xludf.DUMMYFUNCTION("""COMPUTED_VALUE"""),"Wa/วา")</f>
        <v>Wa/วา</v>
      </c>
      <c r="K817" t="str">
        <f>IFERROR(__xludf.DUMMYFUNCTION("""COMPUTED_VALUE"""),"Cabin Crew - HKT")</f>
        <v>Cabin Crew - HKT</v>
      </c>
      <c r="L817" t="str">
        <f>IFERROR(__xludf.DUMMYFUNCTION("""COMPUTED_VALUE"""),"HKT")</f>
        <v>HKT</v>
      </c>
      <c r="M817" s="145" t="str">
        <f>IFERROR(__xludf.DUMMYFUNCTION("""COMPUTED_VALUE"""),"Kor Home")</f>
        <v>Kor Home</v>
      </c>
      <c r="N817" t="str">
        <f>IFERROR(__xludf.DUMMYFUNCTION("""COMPUTED_VALUE"""),"Active")</f>
        <v>Active</v>
      </c>
      <c r="P817" s="143">
        <f>IFERROR(__xludf.DUMMYFUNCTION("""COMPUTED_VALUE"""),33140.0)</f>
        <v>33140</v>
      </c>
      <c r="Q817" s="146" t="str">
        <f>IFERROR(__xludf.DUMMYFUNCTION("""COMPUTED_VALUE"""),"080-5485888")</f>
        <v>080-5485888</v>
      </c>
      <c r="R817" s="147" t="str">
        <f>IFERROR(__xludf.DUMMYFUNCTION("""COMPUTED_VALUE"""),"1849900-10-3999")</f>
        <v>1849900-10-3999</v>
      </c>
      <c r="S817" t="str">
        <f>IFERROR(__xludf.DUMMYFUNCTION("""COMPUTED_VALUE"""),"AC4361125")</f>
        <v>AC4361125</v>
      </c>
      <c r="T817" s="148">
        <f>IFERROR(__xludf.DUMMYFUNCTION("""COMPUTED_VALUE"""),44938.0)</f>
        <v>44938</v>
      </c>
      <c r="U817" s="148">
        <f>IFERROR(__xludf.DUMMYFUNCTION("""COMPUTED_VALUE"""),48590.0)</f>
        <v>48590</v>
      </c>
      <c r="V817" s="149">
        <f>IFERROR(__xludf.DUMMYFUNCTION("""COMPUTED_VALUE"""),48406.0)</f>
        <v>48406</v>
      </c>
      <c r="W817" t="str">
        <f>IFERROR(__xludf.DUMMYFUNCTION("""COMPUTED_VALUE"""),"ปลอดภัย")</f>
        <v>ปลอดภัย</v>
      </c>
      <c r="X817" t="str">
        <f>IFERROR(__xludf.DUMMYFUNCTION("""COMPUTED_VALUE"""),"Surat Thani Province")</f>
        <v>Surat Thani Province</v>
      </c>
      <c r="Y817" t="str">
        <f>IFERROR(__xludf.DUMMYFUNCTION("""COMPUTED_VALUE"""),"Bangkok")</f>
        <v>Bangkok</v>
      </c>
      <c r="Z817" t="str">
        <f>IFERROR(__xludf.DUMMYFUNCTION("""COMPUTED_VALUE"""),"081-539-9005")</f>
        <v>081-539-9005</v>
      </c>
      <c r="AA817" t="str">
        <f>IFERROR(__xludf.DUMMYFUNCTION("""COMPUTED_VALUE"""),"Mareeyae Binlateh (Mother)")</f>
        <v>Mareeyae Binlateh (Mother)</v>
      </c>
      <c r="AB817" t="str">
        <f>IFERROR(__xludf.DUMMYFUNCTION("""COMPUTED_VALUE"""),"takwab@airasia.com")</f>
        <v>takwab@airasia.com</v>
      </c>
    </row>
    <row r="818">
      <c r="A818">
        <f>IFERROR(__xludf.DUMMYFUNCTION("""COMPUTED_VALUE"""),1018817.0)</f>
        <v>1018817</v>
      </c>
      <c r="B818" t="str">
        <f>IFERROR(__xludf.DUMMYFUNCTION("""COMPUTED_VALUE"""),"Mr.")</f>
        <v>Mr.</v>
      </c>
      <c r="C818" t="str">
        <f>IFERROR(__xludf.DUMMYFUNCTION("""COMPUTED_VALUE"""),"Witittorn")</f>
        <v>Witittorn</v>
      </c>
      <c r="D818" t="str">
        <f>IFERROR(__xludf.DUMMYFUNCTION("""COMPUTED_VALUE"""),"Onkhaw")</f>
        <v>Onkhaw</v>
      </c>
      <c r="E818" t="str">
        <f>IFERROR(__xludf.DUMMYFUNCTION("""COMPUTED_VALUE"""),"Witittorn Onkhaw")</f>
        <v>Witittorn Onkhaw</v>
      </c>
      <c r="F818" t="str">
        <f>IFERROR(__xludf.DUMMYFUNCTION("""COMPUTED_VALUE"""),"นาย")</f>
        <v>นาย</v>
      </c>
      <c r="G818" t="str">
        <f>IFERROR(__xludf.DUMMYFUNCTION("""COMPUTED_VALUE"""),"วิทิตธร")</f>
        <v>วิทิตธร</v>
      </c>
      <c r="H818" t="str">
        <f>IFERROR(__xludf.DUMMYFUNCTION("""COMPUTED_VALUE"""),"อ่อนขาว")</f>
        <v>อ่อนขาว</v>
      </c>
      <c r="I818" t="str">
        <f>IFERROR(__xludf.DUMMYFUNCTION("""COMPUTED_VALUE"""),"วิทิตธร อ่อนขาว")</f>
        <v>วิทิตธร อ่อนขาว</v>
      </c>
      <c r="J818" t="str">
        <f>IFERROR(__xludf.DUMMYFUNCTION("""COMPUTED_VALUE"""),"Safe เซฟ")</f>
        <v>Safe เซฟ</v>
      </c>
      <c r="K818" t="str">
        <f>IFERROR(__xludf.DUMMYFUNCTION("""COMPUTED_VALUE"""),"Cabin Crew")</f>
        <v>Cabin Crew</v>
      </c>
      <c r="L818" t="str">
        <f>IFERROR(__xludf.DUMMYFUNCTION("""COMPUTED_VALUE"""),"DMK")</f>
        <v>DMK</v>
      </c>
      <c r="M818" s="145" t="str">
        <f>IFERROR(__xludf.DUMMYFUNCTION("""COMPUTED_VALUE"""),"Kor Home")</f>
        <v>Kor Home</v>
      </c>
      <c r="N818" t="str">
        <f>IFERROR(__xludf.DUMMYFUNCTION("""COMPUTED_VALUE"""),"Active")</f>
        <v>Active</v>
      </c>
      <c r="P818" s="143">
        <f>IFERROR(__xludf.DUMMYFUNCTION("""COMPUTED_VALUE"""),33377.0)</f>
        <v>33377</v>
      </c>
      <c r="Q818" s="146" t="str">
        <f>IFERROR(__xludf.DUMMYFUNCTION("""COMPUTED_VALUE"""),"084-359-9417")</f>
        <v>084-359-9417</v>
      </c>
      <c r="R818" s="147" t="str">
        <f>IFERROR(__xludf.DUMMYFUNCTION("""COMPUTED_VALUE"""),"1-1206-00160-52-9")</f>
        <v>1-1206-00160-52-9</v>
      </c>
      <c r="S818" t="str">
        <f>IFERROR(__xludf.DUMMYFUNCTION("""COMPUTED_VALUE"""),"AC6187451")</f>
        <v>AC6187451</v>
      </c>
      <c r="T818" s="148">
        <f>IFERROR(__xludf.DUMMYFUNCTION("""COMPUTED_VALUE"""),45272.0)</f>
        <v>45272</v>
      </c>
      <c r="U818" s="148">
        <f>IFERROR(__xludf.DUMMYFUNCTION("""COMPUTED_VALUE"""),48924.0)</f>
        <v>48924</v>
      </c>
      <c r="V818" s="149">
        <f>IFERROR(__xludf.DUMMYFUNCTION("""COMPUTED_VALUE"""),48741.0)</f>
        <v>48741</v>
      </c>
      <c r="W818" t="str">
        <f>IFERROR(__xludf.DUMMYFUNCTION("""COMPUTED_VALUE"""),"ปลอดภัย")</f>
        <v>ปลอดภัย</v>
      </c>
      <c r="X818" t="str">
        <f>IFERROR(__xludf.DUMMYFUNCTION("""COMPUTED_VALUE"""),"Nonthaburi Province")</f>
        <v>Nonthaburi Province</v>
      </c>
      <c r="Y818" t="str">
        <f>IFERROR(__xludf.DUMMYFUNCTION("""COMPUTED_VALUE"""),"Bangkok")</f>
        <v>Bangkok</v>
      </c>
      <c r="Z818" t="str">
        <f>IFERROR(__xludf.DUMMYFUNCTION("""COMPUTED_VALUE"""),"089-085-1662")</f>
        <v>089-085-1662</v>
      </c>
      <c r="AA818" t="str">
        <f>IFERROR(__xludf.DUMMYFUNCTION("""COMPUTED_VALUE"""),"Yupa Onkhaw")</f>
        <v>Yupa Onkhaw</v>
      </c>
      <c r="AB818" t="str">
        <f>IFERROR(__xludf.DUMMYFUNCTION("""COMPUTED_VALUE"""),"witittorno@airasia.com")</f>
        <v>witittorno@airasia.com</v>
      </c>
    </row>
    <row r="819">
      <c r="AB819" t="str">
        <f>IFERROR(__xludf.DUMMYFUNCTION("""COMPUTED_VALUE"""),"")</f>
        <v/>
      </c>
    </row>
    <row r="820">
      <c r="A820">
        <f>IFERROR(__xludf.DUMMYFUNCTION("""COMPUTED_VALUE"""),1018970.0)</f>
        <v>1018970</v>
      </c>
      <c r="B820" t="str">
        <f>IFERROR(__xludf.DUMMYFUNCTION("""COMPUTED_VALUE"""),"Mr.")</f>
        <v>Mr.</v>
      </c>
      <c r="C820" t="str">
        <f>IFERROR(__xludf.DUMMYFUNCTION("""COMPUTED_VALUE"""),"Krittachai (Kantatorn)")</f>
        <v>Krittachai (Kantatorn)</v>
      </c>
      <c r="D820" t="str">
        <f>IFERROR(__xludf.DUMMYFUNCTION("""COMPUTED_VALUE"""),"Jantawong")</f>
        <v>Jantawong</v>
      </c>
      <c r="E820" t="str">
        <f>IFERROR(__xludf.DUMMYFUNCTION("""COMPUTED_VALUE"""),"Krittachai Jantawong")</f>
        <v>Krittachai Jantawong</v>
      </c>
      <c r="F820" t="str">
        <f>IFERROR(__xludf.DUMMYFUNCTION("""COMPUTED_VALUE"""),"นาย")</f>
        <v>นาย</v>
      </c>
      <c r="G820" t="str">
        <f>IFERROR(__xludf.DUMMYFUNCTION("""COMPUTED_VALUE"""),"กฤตชัย (กันตธร)")</f>
        <v>กฤตชัย (กันตธร)</v>
      </c>
      <c r="H820" t="str">
        <f>IFERROR(__xludf.DUMMYFUNCTION("""COMPUTED_VALUE"""),"จันทวงศ์")</f>
        <v>จันทวงศ์</v>
      </c>
      <c r="I820" t="str">
        <f>IFERROR(__xludf.DUMMYFUNCTION("""COMPUTED_VALUE"""),"กฤตชัย จันทวงศ์")</f>
        <v>กฤตชัย จันทวงศ์</v>
      </c>
      <c r="J820" t="str">
        <f>IFERROR(__xludf.DUMMYFUNCTION("""COMPUTED_VALUE"""),"Gun")</f>
        <v>Gun</v>
      </c>
      <c r="K820" t="str">
        <f>IFERROR(__xludf.DUMMYFUNCTION("""COMPUTED_VALUE"""),"Cabin Crew")</f>
        <v>Cabin Crew</v>
      </c>
      <c r="L820" t="str">
        <f>IFERROR(__xludf.DUMMYFUNCTION("""COMPUTED_VALUE"""),"DMK")</f>
        <v>DMK</v>
      </c>
      <c r="M820" s="145" t="str">
        <f>IFERROR(__xludf.DUMMYFUNCTION("""COMPUTED_VALUE"""),"Por+ Home")</f>
        <v>Por+ Home</v>
      </c>
      <c r="N820" t="str">
        <f>IFERROR(__xludf.DUMMYFUNCTION("""COMPUTED_VALUE"""),"Active")</f>
        <v>Active</v>
      </c>
      <c r="O820" t="str">
        <f>IFERROR(__xludf.DUMMYFUNCTION("""COMPUTED_VALUE"""),"Japanese Speaking")</f>
        <v>Japanese Speaking</v>
      </c>
      <c r="P820" s="143">
        <f>IFERROR(__xludf.DUMMYFUNCTION("""COMPUTED_VALUE"""),33441.0)</f>
        <v>33441</v>
      </c>
      <c r="Q820" s="146">
        <f>IFERROR(__xludf.DUMMYFUNCTION("""COMPUTED_VALUE"""),9.29892493E8)</f>
        <v>929892493</v>
      </c>
      <c r="R820" s="147" t="str">
        <f>IFERROR(__xludf.DUMMYFUNCTION("""COMPUTED_VALUE"""),"1100200-65-6993")</f>
        <v>1100200-65-6993</v>
      </c>
      <c r="S820" t="str">
        <f>IFERROR(__xludf.DUMMYFUNCTION("""COMPUTED_VALUE"""),"AD2031950")</f>
        <v>AD2031950</v>
      </c>
      <c r="T820" s="148">
        <f>IFERROR(__xludf.DUMMYFUNCTION("""COMPUTED_VALUE"""),45748.0)</f>
        <v>45748</v>
      </c>
      <c r="U820" s="148">
        <f>IFERROR(__xludf.DUMMYFUNCTION("""COMPUTED_VALUE"""),49399.0)</f>
        <v>49399</v>
      </c>
      <c r="V820" s="149">
        <f>IFERROR(__xludf.DUMMYFUNCTION("""COMPUTED_VALUE"""),49217.0)</f>
        <v>49217</v>
      </c>
      <c r="W820" t="str">
        <f>IFERROR(__xludf.DUMMYFUNCTION("""COMPUTED_VALUE"""),"ปลอดภัย")</f>
        <v>ปลอดภัย</v>
      </c>
      <c r="X820" t="str">
        <f>IFERROR(__xludf.DUMMYFUNCTION("""COMPUTED_VALUE"""),"Bangkok")</f>
        <v>Bangkok</v>
      </c>
      <c r="Y820" t="str">
        <f>IFERROR(__xludf.DUMMYFUNCTION("""COMPUTED_VALUE"""),"Bangkok")</f>
        <v>Bangkok</v>
      </c>
      <c r="AB820" t="str">
        <f>IFERROR(__xludf.DUMMYFUNCTION("""COMPUTED_VALUE"""),"krittachaijan@airasia.com")</f>
        <v>krittachaijan@airasia.com</v>
      </c>
    </row>
    <row r="821">
      <c r="A821">
        <f>IFERROR(__xludf.DUMMYFUNCTION("""COMPUTED_VALUE"""),1018974.0)</f>
        <v>1018974</v>
      </c>
      <c r="B821" t="str">
        <f>IFERROR(__xludf.DUMMYFUNCTION("""COMPUTED_VALUE"""),"Ms.")</f>
        <v>Ms.</v>
      </c>
      <c r="C821" t="str">
        <f>IFERROR(__xludf.DUMMYFUNCTION("""COMPUTED_VALUE"""),"Nakharin")</f>
        <v>Nakharin</v>
      </c>
      <c r="D821" t="str">
        <f>IFERROR(__xludf.DUMMYFUNCTION("""COMPUTED_VALUE"""),"Preediyanon")</f>
        <v>Preediyanon</v>
      </c>
      <c r="E821" t="str">
        <f>IFERROR(__xludf.DUMMYFUNCTION("""COMPUTED_VALUE"""),"Nakharin Preediyanon")</f>
        <v>Nakharin Preediyanon</v>
      </c>
      <c r="F821" t="str">
        <f>IFERROR(__xludf.DUMMYFUNCTION("""COMPUTED_VALUE"""),"นางสาว")</f>
        <v>นางสาว</v>
      </c>
      <c r="G821" t="str">
        <f>IFERROR(__xludf.DUMMYFUNCTION("""COMPUTED_VALUE"""),"นครินทร์")</f>
        <v>นครินทร์</v>
      </c>
      <c r="H821" t="str">
        <f>IFERROR(__xludf.DUMMYFUNCTION("""COMPUTED_VALUE"""),"ปรีดียานนท์")</f>
        <v>ปรีดียานนท์</v>
      </c>
      <c r="I821" t="str">
        <f>IFERROR(__xludf.DUMMYFUNCTION("""COMPUTED_VALUE"""),"นครินทร์ ปรีดียานนท์")</f>
        <v>นครินทร์ ปรีดียานนท์</v>
      </c>
      <c r="J821" t="str">
        <f>IFERROR(__xludf.DUMMYFUNCTION("""COMPUTED_VALUE"""),"Pinky พิงค์กี้")</f>
        <v>Pinky พิงค์กี้</v>
      </c>
      <c r="K821" t="str">
        <f>IFERROR(__xludf.DUMMYFUNCTION("""COMPUTED_VALUE"""),"Cabin Crew")</f>
        <v>Cabin Crew</v>
      </c>
      <c r="L821" t="str">
        <f>IFERROR(__xludf.DUMMYFUNCTION("""COMPUTED_VALUE"""),"DMK")</f>
        <v>DMK</v>
      </c>
      <c r="M821" s="145" t="str">
        <f>IFERROR(__xludf.DUMMYFUNCTION("""COMPUTED_VALUE"""),"Toffy Home")</f>
        <v>Toffy Home</v>
      </c>
      <c r="N821" t="str">
        <f>IFERROR(__xludf.DUMMYFUNCTION("""COMPUTED_VALUE"""),"Active")</f>
        <v>Active</v>
      </c>
      <c r="P821" s="143">
        <f>IFERROR(__xludf.DUMMYFUNCTION("""COMPUTED_VALUE"""),32470.0)</f>
        <v>32470</v>
      </c>
      <c r="Q821" s="146" t="str">
        <f>IFERROR(__xludf.DUMMYFUNCTION("""COMPUTED_VALUE"""),"089-0708377")</f>
        <v>089-0708377</v>
      </c>
      <c r="R821" s="147" t="str">
        <f>IFERROR(__xludf.DUMMYFUNCTION("""COMPUTED_VALUE"""),"1100900-40-2901")</f>
        <v>1100900-40-2901</v>
      </c>
      <c r="S821" t="str">
        <f>IFERROR(__xludf.DUMMYFUNCTION("""COMPUTED_VALUE"""),"AC2639397")</f>
        <v>AC2639397</v>
      </c>
      <c r="T821" s="148">
        <f>IFERROR(__xludf.DUMMYFUNCTION("""COMPUTED_VALUE"""),44553.0)</f>
        <v>44553</v>
      </c>
      <c r="U821" s="148">
        <f>IFERROR(__xludf.DUMMYFUNCTION("""COMPUTED_VALUE"""),48204.0)</f>
        <v>48204</v>
      </c>
      <c r="V821" s="149">
        <f>IFERROR(__xludf.DUMMYFUNCTION("""COMPUTED_VALUE"""),48021.0)</f>
        <v>48021</v>
      </c>
      <c r="W821" t="str">
        <f>IFERROR(__xludf.DUMMYFUNCTION("""COMPUTED_VALUE"""),"ปลอดภัย")</f>
        <v>ปลอดภัย</v>
      </c>
      <c r="X821" t="str">
        <f>IFERROR(__xludf.DUMMYFUNCTION("""COMPUTED_VALUE"""),"Bangkok")</f>
        <v>Bangkok</v>
      </c>
      <c r="Y821" t="str">
        <f>IFERROR(__xludf.DUMMYFUNCTION("""COMPUTED_VALUE"""),"Bangkok")</f>
        <v>Bangkok</v>
      </c>
      <c r="Z821" t="str">
        <f>IFERROR(__xludf.DUMMYFUNCTION("""COMPUTED_VALUE"""),"082-799-5498")</f>
        <v>082-799-5498</v>
      </c>
      <c r="AA821" t="str">
        <f>IFERROR(__xludf.DUMMYFUNCTION("""COMPUTED_VALUE"""),"Sumalee Preediyanon")</f>
        <v>Sumalee Preediyanon</v>
      </c>
      <c r="AB821" t="str">
        <f>IFERROR(__xludf.DUMMYFUNCTION("""COMPUTED_VALUE"""),"nakharinp@airasia.com")</f>
        <v>nakharinp@airasia.com</v>
      </c>
    </row>
    <row r="822">
      <c r="A822">
        <f>IFERROR(__xludf.DUMMYFUNCTION("""COMPUTED_VALUE"""),1018975.0)</f>
        <v>1018975</v>
      </c>
      <c r="B822" t="str">
        <f>IFERROR(__xludf.DUMMYFUNCTION("""COMPUTED_VALUE"""),"Ms.")</f>
        <v>Ms.</v>
      </c>
      <c r="C822" t="str">
        <f>IFERROR(__xludf.DUMMYFUNCTION("""COMPUTED_VALUE"""),"Nakkamon")</f>
        <v>Nakkamon</v>
      </c>
      <c r="D822" t="str">
        <f>IFERROR(__xludf.DUMMYFUNCTION("""COMPUTED_VALUE"""),"Savigamin")</f>
        <v>Savigamin</v>
      </c>
      <c r="E822" t="str">
        <f>IFERROR(__xludf.DUMMYFUNCTION("""COMPUTED_VALUE"""),"Nakkamon Savigamin")</f>
        <v>Nakkamon Savigamin</v>
      </c>
      <c r="F822" t="str">
        <f>IFERROR(__xludf.DUMMYFUNCTION("""COMPUTED_VALUE"""),"นางสาว")</f>
        <v>นางสาว</v>
      </c>
      <c r="G822" t="str">
        <f>IFERROR(__xludf.DUMMYFUNCTION("""COMPUTED_VALUE"""),"นัคมน")</f>
        <v>นัคมน</v>
      </c>
      <c r="H822" t="str">
        <f>IFERROR(__xludf.DUMMYFUNCTION("""COMPUTED_VALUE"""),"สะวิคามิน")</f>
        <v>สะวิคามิน</v>
      </c>
      <c r="I822" t="str">
        <f>IFERROR(__xludf.DUMMYFUNCTION("""COMPUTED_VALUE"""),"นัคมน สะวิคามิน")</f>
        <v>นัคมน สะวิคามิน</v>
      </c>
      <c r="J822" t="str">
        <f>IFERROR(__xludf.DUMMYFUNCTION("""COMPUTED_VALUE"""),"Ploy พลอย")</f>
        <v>Ploy พลอย</v>
      </c>
      <c r="K822" t="str">
        <f>IFERROR(__xludf.DUMMYFUNCTION("""COMPUTED_VALUE"""),"Cabin Crew")</f>
        <v>Cabin Crew</v>
      </c>
      <c r="L822" t="str">
        <f>IFERROR(__xludf.DUMMYFUNCTION("""COMPUTED_VALUE"""),"DMK")</f>
        <v>DMK</v>
      </c>
      <c r="M822" s="145" t="str">
        <f>IFERROR(__xludf.DUMMYFUNCTION("""COMPUTED_VALUE"""),"Namfon Home")</f>
        <v>Namfon Home</v>
      </c>
      <c r="N822" t="str">
        <f>IFERROR(__xludf.DUMMYFUNCTION("""COMPUTED_VALUE"""),"Active")</f>
        <v>Active</v>
      </c>
      <c r="P822" s="143">
        <f>IFERROR(__xludf.DUMMYFUNCTION("""COMPUTED_VALUE"""),32594.0)</f>
        <v>32594</v>
      </c>
      <c r="Q822" s="146" t="str">
        <f>IFERROR(__xludf.DUMMYFUNCTION("""COMPUTED_VALUE"""),"086-3397444")</f>
        <v>086-3397444</v>
      </c>
      <c r="R822" s="147" t="str">
        <f>IFERROR(__xludf.DUMMYFUNCTION("""COMPUTED_VALUE"""),"1100900-40-7244")</f>
        <v>1100900-40-7244</v>
      </c>
      <c r="S822" t="str">
        <f>IFERROR(__xludf.DUMMYFUNCTION("""COMPUTED_VALUE"""),"AC2528347")</f>
        <v>AC2528347</v>
      </c>
      <c r="T822" s="148">
        <f>IFERROR(__xludf.DUMMYFUNCTION("""COMPUTED_VALUE"""),44620.0)</f>
        <v>44620</v>
      </c>
      <c r="U822" s="148">
        <f>IFERROR(__xludf.DUMMYFUNCTION("""COMPUTED_VALUE"""),48271.0)</f>
        <v>48271</v>
      </c>
      <c r="V822" s="149">
        <f>IFERROR(__xludf.DUMMYFUNCTION("""COMPUTED_VALUE"""),48087.0)</f>
        <v>48087</v>
      </c>
      <c r="W822" t="str">
        <f>IFERROR(__xludf.DUMMYFUNCTION("""COMPUTED_VALUE"""),"ปลอดภัย")</f>
        <v>ปลอดภัย</v>
      </c>
      <c r="X822" t="str">
        <f>IFERROR(__xludf.DUMMYFUNCTION("""COMPUTED_VALUE"""),"Bangkok")</f>
        <v>Bangkok</v>
      </c>
      <c r="Y822" t="str">
        <f>IFERROR(__xludf.DUMMYFUNCTION("""COMPUTED_VALUE"""),"Pathumthani")</f>
        <v>Pathumthani</v>
      </c>
      <c r="Z822" t="str">
        <f>IFERROR(__xludf.DUMMYFUNCTION("""COMPUTED_VALUE"""),"086-393-5325")</f>
        <v>086-393-5325</v>
      </c>
      <c r="AA822" t="str">
        <f>IFERROR(__xludf.DUMMYFUNCTION("""COMPUTED_VALUE"""),"ศรีวันเพ็ญ สะวิคามิน")</f>
        <v>ศรีวันเพ็ญ สะวิคามิน</v>
      </c>
      <c r="AB822" t="str">
        <f>IFERROR(__xludf.DUMMYFUNCTION("""COMPUTED_VALUE"""),"nakkamons@airasia.com")</f>
        <v>nakkamons@airasia.com</v>
      </c>
    </row>
    <row r="823">
      <c r="A823">
        <f>IFERROR(__xludf.DUMMYFUNCTION("""COMPUTED_VALUE"""),1018977.0)</f>
        <v>1018977</v>
      </c>
      <c r="B823" t="str">
        <f>IFERROR(__xludf.DUMMYFUNCTION("""COMPUTED_VALUE"""),"Ms.")</f>
        <v>Ms.</v>
      </c>
      <c r="C823" t="str">
        <f>IFERROR(__xludf.DUMMYFUNCTION("""COMPUTED_VALUE"""),"Ploypailin")</f>
        <v>Ploypailin</v>
      </c>
      <c r="D823" t="str">
        <f>IFERROR(__xludf.DUMMYFUNCTION("""COMPUTED_VALUE"""),"Chuntawong")</f>
        <v>Chuntawong</v>
      </c>
      <c r="E823" t="str">
        <f>IFERROR(__xludf.DUMMYFUNCTION("""COMPUTED_VALUE"""),"Ploypailin Chuntawong")</f>
        <v>Ploypailin Chuntawong</v>
      </c>
      <c r="F823" t="str">
        <f>IFERROR(__xludf.DUMMYFUNCTION("""COMPUTED_VALUE"""),"นางสาว")</f>
        <v>นางสาว</v>
      </c>
      <c r="G823" t="str">
        <f>IFERROR(__xludf.DUMMYFUNCTION("""COMPUTED_VALUE"""),"พลอยไพลิน")</f>
        <v>พลอยไพลิน</v>
      </c>
      <c r="H823" t="str">
        <f>IFERROR(__xludf.DUMMYFUNCTION("""COMPUTED_VALUE"""),"จันทะวงษ์")</f>
        <v>จันทะวงษ์</v>
      </c>
      <c r="I823" t="str">
        <f>IFERROR(__xludf.DUMMYFUNCTION("""COMPUTED_VALUE"""),"พลอยไพลิน จันทะวงษ์")</f>
        <v>พลอยไพลิน จันทะวงษ์</v>
      </c>
      <c r="J823" t="str">
        <f>IFERROR(__xludf.DUMMYFUNCTION("""COMPUTED_VALUE"""),"Nite ไนท์")</f>
        <v>Nite ไนท์</v>
      </c>
      <c r="K823" t="str">
        <f>IFERROR(__xludf.DUMMYFUNCTION("""COMPUTED_VALUE"""),"Cabin Crew")</f>
        <v>Cabin Crew</v>
      </c>
      <c r="L823" t="str">
        <f>IFERROR(__xludf.DUMMYFUNCTION("""COMPUTED_VALUE"""),"DMK")</f>
        <v>DMK</v>
      </c>
      <c r="M823" s="145" t="str">
        <f>IFERROR(__xludf.DUMMYFUNCTION("""COMPUTED_VALUE"""),"Namfon Home")</f>
        <v>Namfon Home</v>
      </c>
      <c r="N823" t="str">
        <f>IFERROR(__xludf.DUMMYFUNCTION("""COMPUTED_VALUE"""),"Active")</f>
        <v>Active</v>
      </c>
      <c r="P823" s="143">
        <f>IFERROR(__xludf.DUMMYFUNCTION("""COMPUTED_VALUE"""),33930.0)</f>
        <v>33930</v>
      </c>
      <c r="Q823" s="146" t="str">
        <f>IFERROR(__xludf.DUMMYFUNCTION("""COMPUTED_VALUE"""),"081-6615636")</f>
        <v>081-6615636</v>
      </c>
      <c r="R823" s="147" t="str">
        <f>IFERROR(__xludf.DUMMYFUNCTION("""COMPUTED_VALUE"""),"1409900-96-6761")</f>
        <v>1409900-96-6761</v>
      </c>
      <c r="S823" t="str">
        <f>IFERROR(__xludf.DUMMYFUNCTION("""COMPUTED_VALUE"""),"AC2681079")</f>
        <v>AC2681079</v>
      </c>
      <c r="T823" s="148">
        <f>IFERROR(__xludf.DUMMYFUNCTION("""COMPUTED_VALUE"""),44580.0)</f>
        <v>44580</v>
      </c>
      <c r="U823" s="148">
        <f>IFERROR(__xludf.DUMMYFUNCTION("""COMPUTED_VALUE"""),48231.0)</f>
        <v>48231</v>
      </c>
      <c r="V823" s="149">
        <f>IFERROR(__xludf.DUMMYFUNCTION("""COMPUTED_VALUE"""),48047.0)</f>
        <v>48047</v>
      </c>
      <c r="W823" t="str">
        <f>IFERROR(__xludf.DUMMYFUNCTION("""COMPUTED_VALUE"""),"ปลอดภัย")</f>
        <v>ปลอดภัย</v>
      </c>
      <c r="X823" t="str">
        <f>IFERROR(__xludf.DUMMYFUNCTION("""COMPUTED_VALUE"""),"Khon Kaen Province")</f>
        <v>Khon Kaen Province</v>
      </c>
      <c r="Y823" t="str">
        <f>IFERROR(__xludf.DUMMYFUNCTION("""COMPUTED_VALUE"""),"Bangkok")</f>
        <v>Bangkok</v>
      </c>
      <c r="Z823" t="str">
        <f>IFERROR(__xludf.DUMMYFUNCTION("""COMPUTED_VALUE"""),"092-296-3964")</f>
        <v>092-296-3964</v>
      </c>
      <c r="AA823" t="str">
        <f>IFERROR(__xludf.DUMMYFUNCTION("""COMPUTED_VALUE"""),"Kanthamanee Kunchonmanee")</f>
        <v>Kanthamanee Kunchonmanee</v>
      </c>
      <c r="AB823" t="str">
        <f>IFERROR(__xludf.DUMMYFUNCTION("""COMPUTED_VALUE"""),"ploypailinc@airasia.com")</f>
        <v>ploypailinc@airasia.com</v>
      </c>
    </row>
    <row r="824">
      <c r="A824">
        <f>IFERROR(__xludf.DUMMYFUNCTION("""COMPUTED_VALUE"""),1018978.0)</f>
        <v>1018978</v>
      </c>
      <c r="B824" t="str">
        <f>IFERROR(__xludf.DUMMYFUNCTION("""COMPUTED_VALUE"""),"Mr.")</f>
        <v>Mr.</v>
      </c>
      <c r="C824" t="str">
        <f>IFERROR(__xludf.DUMMYFUNCTION("""COMPUTED_VALUE"""),"Sakun")</f>
        <v>Sakun</v>
      </c>
      <c r="D824" t="str">
        <f>IFERROR(__xludf.DUMMYFUNCTION("""COMPUTED_VALUE"""),"Sakdavuth")</f>
        <v>Sakdavuth</v>
      </c>
      <c r="E824" t="str">
        <f>IFERROR(__xludf.DUMMYFUNCTION("""COMPUTED_VALUE"""),"Sakun Sakdavuth")</f>
        <v>Sakun Sakdavuth</v>
      </c>
      <c r="F824" t="str">
        <f>IFERROR(__xludf.DUMMYFUNCTION("""COMPUTED_VALUE"""),"นาย")</f>
        <v>นาย</v>
      </c>
      <c r="G824" t="str">
        <f>IFERROR(__xludf.DUMMYFUNCTION("""COMPUTED_VALUE"""),"สกุณ")</f>
        <v>สกุณ</v>
      </c>
      <c r="H824" t="str">
        <f>IFERROR(__xludf.DUMMYFUNCTION("""COMPUTED_VALUE"""),"ศักดาวุธ")</f>
        <v>ศักดาวุธ</v>
      </c>
      <c r="I824" t="str">
        <f>IFERROR(__xludf.DUMMYFUNCTION("""COMPUTED_VALUE"""),"สกุณ ศักดาวุธ")</f>
        <v>สกุณ ศักดาวุธ</v>
      </c>
      <c r="J824" t="str">
        <f>IFERROR(__xludf.DUMMYFUNCTION("""COMPUTED_VALUE"""),"Big/บิ๊ก")</f>
        <v>Big/บิ๊ก</v>
      </c>
      <c r="K824" t="str">
        <f>IFERROR(__xludf.DUMMYFUNCTION("""COMPUTED_VALUE"""),"Cabin Crew - CNX")</f>
        <v>Cabin Crew - CNX</v>
      </c>
      <c r="L824" t="str">
        <f>IFERROR(__xludf.DUMMYFUNCTION("""COMPUTED_VALUE"""),"CNX")</f>
        <v>CNX</v>
      </c>
      <c r="M824" s="145" t="str">
        <f>IFERROR(__xludf.DUMMYFUNCTION("""COMPUTED_VALUE"""),"Up Home")</f>
        <v>Up Home</v>
      </c>
      <c r="N824" t="str">
        <f>IFERROR(__xludf.DUMMYFUNCTION("""COMPUTED_VALUE"""),"Active")</f>
        <v>Active</v>
      </c>
      <c r="P824" s="143">
        <f>IFERROR(__xludf.DUMMYFUNCTION("""COMPUTED_VALUE"""),33374.0)</f>
        <v>33374</v>
      </c>
      <c r="Q824" s="146" t="str">
        <f>IFERROR(__xludf.DUMMYFUNCTION("""COMPUTED_VALUE"""),"089-6316318")</f>
        <v>089-6316318</v>
      </c>
      <c r="R824" s="147" t="str">
        <f>IFERROR(__xludf.DUMMYFUNCTION("""COMPUTED_VALUE"""),"1509901-01-9030")</f>
        <v>1509901-01-9030</v>
      </c>
      <c r="S824" t="str">
        <f>IFERROR(__xludf.DUMMYFUNCTION("""COMPUTED_VALUE"""),"AD2765152")</f>
        <v>AD2765152</v>
      </c>
      <c r="T824" s="148">
        <f>IFERROR(__xludf.DUMMYFUNCTION("""COMPUTED_VALUE"""),46120.0)</f>
        <v>46120</v>
      </c>
      <c r="U824" s="148">
        <f>IFERROR(__xludf.DUMMYFUNCTION("""COMPUTED_VALUE"""),49772.0)</f>
        <v>49772</v>
      </c>
      <c r="V824" s="149">
        <f>IFERROR(__xludf.DUMMYFUNCTION("""COMPUTED_VALUE"""),49589.0)</f>
        <v>49589</v>
      </c>
      <c r="W824" t="str">
        <f>IFERROR(__xludf.DUMMYFUNCTION("""COMPUTED_VALUE"""),"ปลอดภัย")</f>
        <v>ปลอดภัย</v>
      </c>
      <c r="X824" t="str">
        <f>IFERROR(__xludf.DUMMYFUNCTION("""COMPUTED_VALUE"""),"Chiang Mai Province")</f>
        <v>Chiang Mai Province</v>
      </c>
      <c r="Y824" t="str">
        <f>IFERROR(__xludf.DUMMYFUNCTION("""COMPUTED_VALUE"""),"Bangkok")</f>
        <v>Bangkok</v>
      </c>
      <c r="Z824" t="str">
        <f>IFERROR(__xludf.DUMMYFUNCTION("""COMPUTED_VALUE"""),"089-635-3072")</f>
        <v>089-635-3072</v>
      </c>
      <c r="AA824" t="str">
        <f>IFERROR(__xludf.DUMMYFUNCTION("""COMPUTED_VALUE"""),"Siwilai Sakdavuth")</f>
        <v>Siwilai Sakdavuth</v>
      </c>
      <c r="AB824" t="str">
        <f>IFERROR(__xludf.DUMMYFUNCTION("""COMPUTED_VALUE"""),"sakuns@airasia.com")</f>
        <v>sakuns@airasia.com</v>
      </c>
    </row>
    <row r="825">
      <c r="A825">
        <f>IFERROR(__xludf.DUMMYFUNCTION("""COMPUTED_VALUE"""),1018981.0)</f>
        <v>1018981</v>
      </c>
      <c r="B825" t="str">
        <f>IFERROR(__xludf.DUMMYFUNCTION("""COMPUTED_VALUE"""),"Mr.")</f>
        <v>Mr.</v>
      </c>
      <c r="C825" t="str">
        <f>IFERROR(__xludf.DUMMYFUNCTION("""COMPUTED_VALUE"""),"Thossaphol")</f>
        <v>Thossaphol</v>
      </c>
      <c r="D825" t="str">
        <f>IFERROR(__xludf.DUMMYFUNCTION("""COMPUTED_VALUE"""),"Sattabanmongkol")</f>
        <v>Sattabanmongkol</v>
      </c>
      <c r="E825" t="str">
        <f>IFERROR(__xludf.DUMMYFUNCTION("""COMPUTED_VALUE"""),"Thossaphol Sattabanmongkol")</f>
        <v>Thossaphol Sattabanmongkol</v>
      </c>
      <c r="F825" t="str">
        <f>IFERROR(__xludf.DUMMYFUNCTION("""COMPUTED_VALUE"""),"นาย")</f>
        <v>นาย</v>
      </c>
      <c r="G825" t="str">
        <f>IFERROR(__xludf.DUMMYFUNCTION("""COMPUTED_VALUE"""),"ทศพล")</f>
        <v>ทศพล</v>
      </c>
      <c r="H825" t="str">
        <f>IFERROR(__xludf.DUMMYFUNCTION("""COMPUTED_VALUE"""),"สัตบรรณมงคล")</f>
        <v>สัตบรรณมงคล</v>
      </c>
      <c r="I825" t="str">
        <f>IFERROR(__xludf.DUMMYFUNCTION("""COMPUTED_VALUE"""),"ทศพล สัตบรรณมงคล")</f>
        <v>ทศพล สัตบรรณมงคล</v>
      </c>
      <c r="J825" t="str">
        <f>IFERROR(__xludf.DUMMYFUNCTION("""COMPUTED_VALUE"""),"stamp")</f>
        <v>stamp</v>
      </c>
      <c r="K825" t="str">
        <f>IFERROR(__xludf.DUMMYFUNCTION("""COMPUTED_VALUE"""),"Cabin Crew")</f>
        <v>Cabin Crew</v>
      </c>
      <c r="L825" t="str">
        <f>IFERROR(__xludf.DUMMYFUNCTION("""COMPUTED_VALUE"""),"DMK")</f>
        <v>DMK</v>
      </c>
      <c r="M825" s="145" t="str">
        <f>IFERROR(__xludf.DUMMYFUNCTION("""COMPUTED_VALUE"""),"Um Home")</f>
        <v>Um Home</v>
      </c>
      <c r="N825" t="str">
        <f>IFERROR(__xludf.DUMMYFUNCTION("""COMPUTED_VALUE"""),"Active")</f>
        <v>Active</v>
      </c>
      <c r="O825" t="str">
        <f>IFERROR(__xludf.DUMMYFUNCTION("""COMPUTED_VALUE"""),"Chinese Speaking")</f>
        <v>Chinese Speaking</v>
      </c>
      <c r="P825" s="143">
        <f>IFERROR(__xludf.DUMMYFUNCTION("""COMPUTED_VALUE"""),32769.0)</f>
        <v>32769</v>
      </c>
      <c r="Q825" s="146" t="str">
        <f>IFERROR(__xludf.DUMMYFUNCTION("""COMPUTED_VALUE"""),"097-1198999")</f>
        <v>097-1198999</v>
      </c>
      <c r="R825" s="147" t="str">
        <f>IFERROR(__xludf.DUMMYFUNCTION("""COMPUTED_VALUE"""),"1101401-78-6500")</f>
        <v>1101401-78-6500</v>
      </c>
      <c r="S825" t="str">
        <f>IFERROR(__xludf.DUMMYFUNCTION("""COMPUTED_VALUE"""),"AC6230095")</f>
        <v>AC6230095</v>
      </c>
      <c r="T825" s="148">
        <f>IFERROR(__xludf.DUMMYFUNCTION("""COMPUTED_VALUE"""),45302.0)</f>
        <v>45302</v>
      </c>
      <c r="U825" s="150">
        <f>IFERROR(__xludf.DUMMYFUNCTION("""COMPUTED_VALUE"""),48954.0)</f>
        <v>48954</v>
      </c>
      <c r="V825" s="149">
        <f>IFERROR(__xludf.DUMMYFUNCTION("""COMPUTED_VALUE"""),48770.0)</f>
        <v>48770</v>
      </c>
      <c r="W825" t="str">
        <f>IFERROR(__xludf.DUMMYFUNCTION("""COMPUTED_VALUE"""),"ปลอดภัย")</f>
        <v>ปลอดภัย</v>
      </c>
      <c r="X825" t="str">
        <f>IFERROR(__xludf.DUMMYFUNCTION("""COMPUTED_VALUE"""),"Bangkok")</f>
        <v>Bangkok</v>
      </c>
      <c r="Y825" t="str">
        <f>IFERROR(__xludf.DUMMYFUNCTION("""COMPUTED_VALUE"""),"Bangkok")</f>
        <v>Bangkok</v>
      </c>
      <c r="Z825" t="str">
        <f>IFERROR(__xludf.DUMMYFUNCTION("""COMPUTED_VALUE"""),"029-8-74847-9")</f>
        <v>029-8-74847-9</v>
      </c>
      <c r="AB825" t="str">
        <f>IFERROR(__xludf.DUMMYFUNCTION("""COMPUTED_VALUE"""),"thossaphols@airasia.com")</f>
        <v>thossaphols@airasia.com</v>
      </c>
    </row>
    <row r="826">
      <c r="A826">
        <f>IFERROR(__xludf.DUMMYFUNCTION("""COMPUTED_VALUE"""),1018982.0)</f>
        <v>1018982</v>
      </c>
      <c r="B826" t="str">
        <f>IFERROR(__xludf.DUMMYFUNCTION("""COMPUTED_VALUE"""),"Ms.")</f>
        <v>Ms.</v>
      </c>
      <c r="C826" t="str">
        <f>IFERROR(__xludf.DUMMYFUNCTION("""COMPUTED_VALUE"""),"Unyamanee")</f>
        <v>Unyamanee</v>
      </c>
      <c r="D826" t="str">
        <f>IFERROR(__xludf.DUMMYFUNCTION("""COMPUTED_VALUE"""),"Chinapan")</f>
        <v>Chinapan</v>
      </c>
      <c r="E826" t="str">
        <f>IFERROR(__xludf.DUMMYFUNCTION("""COMPUTED_VALUE"""),"Unyamanee Chinapan")</f>
        <v>Unyamanee Chinapan</v>
      </c>
      <c r="F826" t="str">
        <f>IFERROR(__xludf.DUMMYFUNCTION("""COMPUTED_VALUE"""),"นางสาว")</f>
        <v>นางสาว</v>
      </c>
      <c r="G826" t="str">
        <f>IFERROR(__xludf.DUMMYFUNCTION("""COMPUTED_VALUE"""),"อัญมณี")</f>
        <v>อัญมณี</v>
      </c>
      <c r="H826" t="str">
        <f>IFERROR(__xludf.DUMMYFUNCTION("""COMPUTED_VALUE"""),"ชินพันธุ์")</f>
        <v>ชินพันธุ์</v>
      </c>
      <c r="I826" t="str">
        <f>IFERROR(__xludf.DUMMYFUNCTION("""COMPUTED_VALUE"""),"อัญมณี ชินพันธุ์")</f>
        <v>อัญมณี ชินพันธุ์</v>
      </c>
      <c r="J826" t="str">
        <f>IFERROR(__xludf.DUMMYFUNCTION("""COMPUTED_VALUE"""),"Toffy ท๊อฟฟี่")</f>
        <v>Toffy ท๊อฟฟี่</v>
      </c>
      <c r="K826" t="str">
        <f>IFERROR(__xludf.DUMMYFUNCTION("""COMPUTED_VALUE"""),"Cabin Crew - BKK")</f>
        <v>Cabin Crew - BKK</v>
      </c>
      <c r="L826" t="str">
        <f>IFERROR(__xludf.DUMMYFUNCTION("""COMPUTED_VALUE"""),"BKK")</f>
        <v>BKK</v>
      </c>
      <c r="M826" s="145" t="str">
        <f>IFERROR(__xludf.DUMMYFUNCTION("""COMPUTED_VALUE"""),"Nhui Home")</f>
        <v>Nhui Home</v>
      </c>
      <c r="N826" t="str">
        <f>IFERROR(__xludf.DUMMYFUNCTION("""COMPUTED_VALUE"""),"Active/V/DMK")</f>
        <v>Active/V/DMK</v>
      </c>
      <c r="P826" s="143">
        <f>IFERROR(__xludf.DUMMYFUNCTION("""COMPUTED_VALUE"""),33135.0)</f>
        <v>33135</v>
      </c>
      <c r="Q826" s="146" t="str">
        <f>IFERROR(__xludf.DUMMYFUNCTION("""COMPUTED_VALUE"""),"082-3628999")</f>
        <v>082-3628999</v>
      </c>
      <c r="R826" s="147" t="str">
        <f>IFERROR(__xludf.DUMMYFUNCTION("""COMPUTED_VALUE"""),"1103700-24-7564")</f>
        <v>1103700-24-7564</v>
      </c>
      <c r="S826" t="str">
        <f>IFERROR(__xludf.DUMMYFUNCTION("""COMPUTED_VALUE"""),"AC3785167")</f>
        <v>AC3785167</v>
      </c>
      <c r="T826" s="148">
        <f>IFERROR(__xludf.DUMMYFUNCTION("""COMPUTED_VALUE"""),44784.0)</f>
        <v>44784</v>
      </c>
      <c r="U826" s="148">
        <f>IFERROR(__xludf.DUMMYFUNCTION("""COMPUTED_VALUE"""),48436.0)</f>
        <v>48436</v>
      </c>
      <c r="V826" s="149">
        <f>IFERROR(__xludf.DUMMYFUNCTION("""COMPUTED_VALUE"""),48254.0)</f>
        <v>48254</v>
      </c>
      <c r="W826" t="str">
        <f>IFERROR(__xludf.DUMMYFUNCTION("""COMPUTED_VALUE"""),"ปลอดภัย")</f>
        <v>ปลอดภัย</v>
      </c>
      <c r="X826" t="str">
        <f>IFERROR(__xludf.DUMMYFUNCTION("""COMPUTED_VALUE"""),"Bangkok")</f>
        <v>Bangkok</v>
      </c>
      <c r="Y826" t="str">
        <f>IFERROR(__xludf.DUMMYFUNCTION("""COMPUTED_VALUE"""),"Bangkok")</f>
        <v>Bangkok</v>
      </c>
      <c r="Z826" t="str">
        <f>IFERROR(__xludf.DUMMYFUNCTION("""COMPUTED_VALUE"""),"086-781-0241")</f>
        <v>086-781-0241</v>
      </c>
      <c r="AA826" t="str">
        <f>IFERROR(__xludf.DUMMYFUNCTION("""COMPUTED_VALUE"""),"Porapon Chuenputhi")</f>
        <v>Porapon Chuenputhi</v>
      </c>
      <c r="AB826" t="str">
        <f>IFERROR(__xludf.DUMMYFUNCTION("""COMPUTED_VALUE"""),"unyamaneec@airasia.com")</f>
        <v>unyamaneec@airasia.com</v>
      </c>
    </row>
    <row r="827">
      <c r="AB827" t="str">
        <f>IFERROR(__xludf.DUMMYFUNCTION("""COMPUTED_VALUE"""),"")</f>
        <v/>
      </c>
    </row>
    <row r="828">
      <c r="A828">
        <f>IFERROR(__xludf.DUMMYFUNCTION("""COMPUTED_VALUE"""),1019191.0)</f>
        <v>1019191</v>
      </c>
      <c r="B828" t="str">
        <f>IFERROR(__xludf.DUMMYFUNCTION("""COMPUTED_VALUE"""),"Ms.")</f>
        <v>Ms.</v>
      </c>
      <c r="C828" t="str">
        <f>IFERROR(__xludf.DUMMYFUNCTION("""COMPUTED_VALUE"""),"Nathamonphan")</f>
        <v>Nathamonphan</v>
      </c>
      <c r="D828" t="str">
        <f>IFERROR(__xludf.DUMMYFUNCTION("""COMPUTED_VALUE"""),"Boonyakiat")</f>
        <v>Boonyakiat</v>
      </c>
      <c r="E828" t="str">
        <f>IFERROR(__xludf.DUMMYFUNCTION("""COMPUTED_VALUE"""),"Nathamonphan Boonyakiat")</f>
        <v>Nathamonphan Boonyakiat</v>
      </c>
      <c r="F828" t="str">
        <f>IFERROR(__xludf.DUMMYFUNCTION("""COMPUTED_VALUE"""),"นางสาว")</f>
        <v>นางสาว</v>
      </c>
      <c r="G828" t="str">
        <f>IFERROR(__xludf.DUMMYFUNCTION("""COMPUTED_VALUE"""),"ณฐมนพรรณ")</f>
        <v>ณฐมนพรรณ</v>
      </c>
      <c r="H828" t="str">
        <f>IFERROR(__xludf.DUMMYFUNCTION("""COMPUTED_VALUE"""),"บุญยเกียรติ")</f>
        <v>บุญยเกียรติ</v>
      </c>
      <c r="I828" t="str">
        <f>IFERROR(__xludf.DUMMYFUNCTION("""COMPUTED_VALUE"""),"ณฐมนพรรณ บุญยเกียรติ")</f>
        <v>ณฐมนพรรณ บุญยเกียรติ</v>
      </c>
      <c r="J828" t="str">
        <f>IFERROR(__xludf.DUMMYFUNCTION("""COMPUTED_VALUE"""),"Earth เอิร์ท")</f>
        <v>Earth เอิร์ท</v>
      </c>
      <c r="K828" t="str">
        <f>IFERROR(__xludf.DUMMYFUNCTION("""COMPUTED_VALUE"""),"Cabin Crew")</f>
        <v>Cabin Crew</v>
      </c>
      <c r="L828" t="str">
        <f>IFERROR(__xludf.DUMMYFUNCTION("""COMPUTED_VALUE"""),"DMK")</f>
        <v>DMK</v>
      </c>
      <c r="M828" s="145" t="str">
        <f>IFERROR(__xludf.DUMMYFUNCTION("""COMPUTED_VALUE"""),"Namfon Home")</f>
        <v>Namfon Home</v>
      </c>
      <c r="N828" t="str">
        <f>IFERROR(__xludf.DUMMYFUNCTION("""COMPUTED_VALUE"""),"Active")</f>
        <v>Active</v>
      </c>
      <c r="P828" s="143">
        <f>IFERROR(__xludf.DUMMYFUNCTION("""COMPUTED_VALUE"""),34211.0)</f>
        <v>34211</v>
      </c>
      <c r="Q828" s="146" t="str">
        <f>IFERROR(__xludf.DUMMYFUNCTION("""COMPUTED_VALUE"""),"088-6259641")</f>
        <v>088-6259641</v>
      </c>
      <c r="R828" s="147" t="str">
        <f>IFERROR(__xludf.DUMMYFUNCTION("""COMPUTED_VALUE"""),"1102700-29-4821")</f>
        <v>1102700-29-4821</v>
      </c>
      <c r="S828" t="str">
        <f>IFERROR(__xludf.DUMMYFUNCTION("""COMPUTED_VALUE"""),"AC4602308")</f>
        <v>AC4602308</v>
      </c>
      <c r="T828" s="148">
        <f>IFERROR(__xludf.DUMMYFUNCTION("""COMPUTED_VALUE"""),44998.0)</f>
        <v>44998</v>
      </c>
      <c r="U828" s="148">
        <f>IFERROR(__xludf.DUMMYFUNCTION("""COMPUTED_VALUE"""),48650.0)</f>
        <v>48650</v>
      </c>
      <c r="V828" s="149">
        <f>IFERROR(__xludf.DUMMYFUNCTION("""COMPUTED_VALUE"""),48469.0)</f>
        <v>48469</v>
      </c>
      <c r="W828" t="str">
        <f>IFERROR(__xludf.DUMMYFUNCTION("""COMPUTED_VALUE"""),"ปลอดภัย")</f>
        <v>ปลอดภัย</v>
      </c>
      <c r="X828" t="str">
        <f>IFERROR(__xludf.DUMMYFUNCTION("""COMPUTED_VALUE"""),"Bangkok")</f>
        <v>Bangkok</v>
      </c>
      <c r="Y828" t="str">
        <f>IFERROR(__xludf.DUMMYFUNCTION("""COMPUTED_VALUE"""),"phathumtani")</f>
        <v>phathumtani</v>
      </c>
      <c r="Z828" t="str">
        <f>IFERROR(__xludf.DUMMYFUNCTION("""COMPUTED_VALUE"""),"094-295-3596")</f>
        <v>094-295-3596</v>
      </c>
      <c r="AA828" t="str">
        <f>IFERROR(__xludf.DUMMYFUNCTION("""COMPUTED_VALUE"""),"Arunsri Boonyakiat(Mother)")</f>
        <v>Arunsri Boonyakiat(Mother)</v>
      </c>
      <c r="AB828" t="str">
        <f>IFERROR(__xludf.DUMMYFUNCTION("""COMPUTED_VALUE"""),"nathamonphanb@airasia.com")</f>
        <v>nathamonphanb@airasia.com</v>
      </c>
    </row>
    <row r="829">
      <c r="A829">
        <f>IFERROR(__xludf.DUMMYFUNCTION("""COMPUTED_VALUE"""),1019193.0)</f>
        <v>1019193</v>
      </c>
      <c r="B829" t="str">
        <f>IFERROR(__xludf.DUMMYFUNCTION("""COMPUTED_VALUE"""),"Ms.")</f>
        <v>Ms.</v>
      </c>
      <c r="C829" t="str">
        <f>IFERROR(__xludf.DUMMYFUNCTION("""COMPUTED_VALUE"""),"Nattaporn")</f>
        <v>Nattaporn</v>
      </c>
      <c r="D829" t="str">
        <f>IFERROR(__xludf.DUMMYFUNCTION("""COMPUTED_VALUE"""),"Pattarasiriwong")</f>
        <v>Pattarasiriwong</v>
      </c>
      <c r="E829" t="str">
        <f>IFERROR(__xludf.DUMMYFUNCTION("""COMPUTED_VALUE"""),"Nattaporn Pattarasiriwong")</f>
        <v>Nattaporn Pattarasiriwong</v>
      </c>
      <c r="F829" t="str">
        <f>IFERROR(__xludf.DUMMYFUNCTION("""COMPUTED_VALUE"""),"นางสาว")</f>
        <v>นางสาว</v>
      </c>
      <c r="G829" t="str">
        <f>IFERROR(__xludf.DUMMYFUNCTION("""COMPUTED_VALUE"""),"ณัฐพร")</f>
        <v>ณัฐพร</v>
      </c>
      <c r="H829" t="str">
        <f>IFERROR(__xludf.DUMMYFUNCTION("""COMPUTED_VALUE"""),"ภัทรสิริวงศ์")</f>
        <v>ภัทรสิริวงศ์</v>
      </c>
      <c r="I829" t="str">
        <f>IFERROR(__xludf.DUMMYFUNCTION("""COMPUTED_VALUE"""),"ณัฐพร ภัทรสิริวงศ์")</f>
        <v>ณัฐพร ภัทรสิริวงศ์</v>
      </c>
      <c r="J829" t="str">
        <f>IFERROR(__xludf.DUMMYFUNCTION("""COMPUTED_VALUE"""),"Fai/ฝ้าย")</f>
        <v>Fai/ฝ้าย</v>
      </c>
      <c r="K829" t="str">
        <f>IFERROR(__xludf.DUMMYFUNCTION("""COMPUTED_VALUE"""),"Cabin Crew")</f>
        <v>Cabin Crew</v>
      </c>
      <c r="L829" t="str">
        <f>IFERROR(__xludf.DUMMYFUNCTION("""COMPUTED_VALUE"""),"DMK")</f>
        <v>DMK</v>
      </c>
      <c r="M829" s="145" t="str">
        <f>IFERROR(__xludf.DUMMYFUNCTION("""COMPUTED_VALUE"""),"Namfon Home")</f>
        <v>Namfon Home</v>
      </c>
      <c r="N829" t="str">
        <f>IFERROR(__xludf.DUMMYFUNCTION("""COMPUTED_VALUE"""),"Active")</f>
        <v>Active</v>
      </c>
      <c r="O829" t="str">
        <f>IFERROR(__xludf.DUMMYFUNCTION("""COMPUTED_VALUE"""),"Korean Speaking")</f>
        <v>Korean Speaking</v>
      </c>
      <c r="P829" s="143">
        <f>IFERROR(__xludf.DUMMYFUNCTION("""COMPUTED_VALUE"""),34294.0)</f>
        <v>34294</v>
      </c>
      <c r="Q829" s="146" t="str">
        <f>IFERROR(__xludf.DUMMYFUNCTION("""COMPUTED_VALUE"""),"098-256-8854")</f>
        <v>098-256-8854</v>
      </c>
      <c r="R829" s="147" t="str">
        <f>IFERROR(__xludf.DUMMYFUNCTION("""COMPUTED_VALUE"""),"1739900-44-1135")</f>
        <v>1739900-44-1135</v>
      </c>
      <c r="S829" t="str">
        <f>IFERROR(__xludf.DUMMYFUNCTION("""COMPUTED_VALUE"""),"AC32141897")</f>
        <v>AC32141897</v>
      </c>
      <c r="T829" s="148">
        <f>IFERROR(__xludf.DUMMYFUNCTION("""COMPUTED_VALUE"""),44706.0)</f>
        <v>44706</v>
      </c>
      <c r="U829" s="148">
        <f>IFERROR(__xludf.DUMMYFUNCTION("""COMPUTED_VALUE"""),48358.0)</f>
        <v>48358</v>
      </c>
      <c r="V829" s="149">
        <f>IFERROR(__xludf.DUMMYFUNCTION("""COMPUTED_VALUE"""),48176.0)</f>
        <v>48176</v>
      </c>
      <c r="W829" t="str">
        <f>IFERROR(__xludf.DUMMYFUNCTION("""COMPUTED_VALUE"""),"ปลอดภัย")</f>
        <v>ปลอดภัย</v>
      </c>
      <c r="X829" t="str">
        <f>IFERROR(__xludf.DUMMYFUNCTION("""COMPUTED_VALUE"""),"Nakhon Pathom Province")</f>
        <v>Nakhon Pathom Province</v>
      </c>
      <c r="Y829" t="str">
        <f>IFERROR(__xludf.DUMMYFUNCTION("""COMPUTED_VALUE"""),"Nakhon Pathom")</f>
        <v>Nakhon Pathom</v>
      </c>
      <c r="Z829" t="str">
        <f>IFERROR(__xludf.DUMMYFUNCTION("""COMPUTED_VALUE"""),"087-0278424")</f>
        <v>087-0278424</v>
      </c>
      <c r="AA829" t="str">
        <f>IFERROR(__xludf.DUMMYFUNCTION("""COMPUTED_VALUE"""),"Kitiya Pattarasiriwong (Mother)")</f>
        <v>Kitiya Pattarasiriwong (Mother)</v>
      </c>
      <c r="AB829" t="str">
        <f>IFERROR(__xludf.DUMMYFUNCTION("""COMPUTED_VALUE"""),"nattapornt@airasia.com")</f>
        <v>nattapornt@airasia.com</v>
      </c>
    </row>
    <row r="830">
      <c r="A830">
        <f>IFERROR(__xludf.DUMMYFUNCTION("""COMPUTED_VALUE"""),1019195.0)</f>
        <v>1019195</v>
      </c>
      <c r="B830" t="str">
        <f>IFERROR(__xludf.DUMMYFUNCTION("""COMPUTED_VALUE"""),"Ms.")</f>
        <v>Ms.</v>
      </c>
      <c r="C830" t="str">
        <f>IFERROR(__xludf.DUMMYFUNCTION("""COMPUTED_VALUE"""),"Nattharicha")</f>
        <v>Nattharicha</v>
      </c>
      <c r="D830" t="str">
        <f>IFERROR(__xludf.DUMMYFUNCTION("""COMPUTED_VALUE"""),"Chantraram")</f>
        <v>Chantraram</v>
      </c>
      <c r="E830" t="str">
        <f>IFERROR(__xludf.DUMMYFUNCTION("""COMPUTED_VALUE"""),"Nattharicha Chantraram")</f>
        <v>Nattharicha Chantraram</v>
      </c>
      <c r="F830" t="str">
        <f>IFERROR(__xludf.DUMMYFUNCTION("""COMPUTED_VALUE"""),"นางสาว")</f>
        <v>นางสาว</v>
      </c>
      <c r="G830" t="str">
        <f>IFERROR(__xludf.DUMMYFUNCTION("""COMPUTED_VALUE"""),"ณัฐริชา")</f>
        <v>ณัฐริชา</v>
      </c>
      <c r="H830" t="str">
        <f>IFERROR(__xludf.DUMMYFUNCTION("""COMPUTED_VALUE"""),"จันทราราม")</f>
        <v>จันทราราม</v>
      </c>
      <c r="I830" t="str">
        <f>IFERROR(__xludf.DUMMYFUNCTION("""COMPUTED_VALUE"""),"ณัฐริชา จันทราราม")</f>
        <v>ณัฐริชา จันทราราม</v>
      </c>
      <c r="J830" t="str">
        <f>IFERROR(__xludf.DUMMYFUNCTION("""COMPUTED_VALUE"""),"Som / ส้ม")</f>
        <v>Som / ส้ม</v>
      </c>
      <c r="K830" t="str">
        <f>IFERROR(__xludf.DUMMYFUNCTION("""COMPUTED_VALUE"""),"Cabin Crew - CNX")</f>
        <v>Cabin Crew - CNX</v>
      </c>
      <c r="L830" t="str">
        <f>IFERROR(__xludf.DUMMYFUNCTION("""COMPUTED_VALUE"""),"CNX")</f>
        <v>CNX</v>
      </c>
      <c r="M830" s="145" t="str">
        <f>IFERROR(__xludf.DUMMYFUNCTION("""COMPUTED_VALUE"""),"Up Home")</f>
        <v>Up Home</v>
      </c>
      <c r="N830" t="str">
        <f>IFERROR(__xludf.DUMMYFUNCTION("""COMPUTED_VALUE"""),"Active")</f>
        <v>Active</v>
      </c>
      <c r="P830" s="143">
        <f>IFERROR(__xludf.DUMMYFUNCTION("""COMPUTED_VALUE"""),32834.0)</f>
        <v>32834</v>
      </c>
      <c r="Q830" s="146" t="str">
        <f>IFERROR(__xludf.DUMMYFUNCTION("""COMPUTED_VALUE"""),"085-3946414")</f>
        <v>085-3946414</v>
      </c>
      <c r="R830" s="147" t="str">
        <f>IFERROR(__xludf.DUMMYFUNCTION("""COMPUTED_VALUE"""),"1509900-80-5066")</f>
        <v>1509900-80-5066</v>
      </c>
      <c r="S830" t="str">
        <f>IFERROR(__xludf.DUMMYFUNCTION("""COMPUTED_VALUE"""),"AC2877354")</f>
        <v>AC2877354</v>
      </c>
      <c r="T830" s="148">
        <f>IFERROR(__xludf.DUMMYFUNCTION("""COMPUTED_VALUE"""),44607.0)</f>
        <v>44607</v>
      </c>
      <c r="U830" s="148">
        <f>IFERROR(__xludf.DUMMYFUNCTION("""COMPUTED_VALUE"""),48258.0)</f>
        <v>48258</v>
      </c>
      <c r="V830" s="149">
        <f>IFERROR(__xludf.DUMMYFUNCTION("""COMPUTED_VALUE"""),48074.0)</f>
        <v>48074</v>
      </c>
      <c r="W830" t="str">
        <f>IFERROR(__xludf.DUMMYFUNCTION("""COMPUTED_VALUE"""),"ปลอดภัย")</f>
        <v>ปลอดภัย</v>
      </c>
      <c r="X830" t="str">
        <f>IFERROR(__xludf.DUMMYFUNCTION("""COMPUTED_VALUE"""),"Chiang Mai Province")</f>
        <v>Chiang Mai Province</v>
      </c>
      <c r="Y830" t="str">
        <f>IFERROR(__xludf.DUMMYFUNCTION("""COMPUTED_VALUE"""),"Chiang Mai")</f>
        <v>Chiang Mai</v>
      </c>
      <c r="Z830" t="str">
        <f>IFERROR(__xludf.DUMMYFUNCTION("""COMPUTED_VALUE"""),"083-769-9269")</f>
        <v>083-769-9269</v>
      </c>
      <c r="AA830" t="str">
        <f>IFERROR(__xludf.DUMMYFUNCTION("""COMPUTED_VALUE"""),"Noppharut Wattanachai")</f>
        <v>Noppharut Wattanachai</v>
      </c>
      <c r="AB830" t="str">
        <f>IFERROR(__xludf.DUMMYFUNCTION("""COMPUTED_VALUE"""),"nattharichac@airasia.com")</f>
        <v>nattharichac@airasia.com</v>
      </c>
    </row>
    <row r="831">
      <c r="A831">
        <f>IFERROR(__xludf.DUMMYFUNCTION("""COMPUTED_VALUE"""),1019199.0)</f>
        <v>1019199</v>
      </c>
      <c r="B831" t="str">
        <f>IFERROR(__xludf.DUMMYFUNCTION("""COMPUTED_VALUE"""),"Ms.")</f>
        <v>Ms.</v>
      </c>
      <c r="C831" t="str">
        <f>IFERROR(__xludf.DUMMYFUNCTION("""COMPUTED_VALUE"""),"Nutpawee")</f>
        <v>Nutpawee</v>
      </c>
      <c r="D831" t="str">
        <f>IFERROR(__xludf.DUMMYFUNCTION("""COMPUTED_VALUE"""),"Thawanthalerngrit")</f>
        <v>Thawanthalerngrit</v>
      </c>
      <c r="E831" t="str">
        <f>IFERROR(__xludf.DUMMYFUNCTION("""COMPUTED_VALUE"""),"Nutpawee Thawanthalerngrit")</f>
        <v>Nutpawee Thawanthalerngrit</v>
      </c>
      <c r="F831" t="str">
        <f>IFERROR(__xludf.DUMMYFUNCTION("""COMPUTED_VALUE"""),"นางสาว")</f>
        <v>นางสาว</v>
      </c>
      <c r="G831" t="str">
        <f>IFERROR(__xludf.DUMMYFUNCTION("""COMPUTED_VALUE"""),"นัฏภาวี")</f>
        <v>นัฏภาวี</v>
      </c>
      <c r="H831" t="str">
        <f>IFERROR(__xludf.DUMMYFUNCTION("""COMPUTED_VALUE"""),"ถวัลย์เถลิงฤทธิ์")</f>
        <v>ถวัลย์เถลิงฤทธิ์</v>
      </c>
      <c r="I831" t="str">
        <f>IFERROR(__xludf.DUMMYFUNCTION("""COMPUTED_VALUE"""),"นัฏภาวี ถวัลย์เถลิงฤทธิ์")</f>
        <v>นัฏภาวี ถวัลย์เถลิงฤทธิ์</v>
      </c>
      <c r="J831" t="str">
        <f>IFERROR(__xludf.DUMMYFUNCTION("""COMPUTED_VALUE"""),"Fon / ฝน")</f>
        <v>Fon / ฝน</v>
      </c>
      <c r="K831" t="str">
        <f>IFERROR(__xludf.DUMMYFUNCTION("""COMPUTED_VALUE"""),"Senior Cabin Crew")</f>
        <v>Senior Cabin Crew</v>
      </c>
      <c r="L831" t="str">
        <f>IFERROR(__xludf.DUMMYFUNCTION("""COMPUTED_VALUE"""),"DMK")</f>
        <v>DMK</v>
      </c>
      <c r="M831" s="145" t="str">
        <f>IFERROR(__xludf.DUMMYFUNCTION("""COMPUTED_VALUE"""),"Kor Home")</f>
        <v>Kor Home</v>
      </c>
      <c r="N831" t="str">
        <f>IFERROR(__xludf.DUMMYFUNCTION("""COMPUTED_VALUE"""),"Active")</f>
        <v>Active</v>
      </c>
      <c r="P831" s="143">
        <f>IFERROR(__xludf.DUMMYFUNCTION("""COMPUTED_VALUE"""),32679.0)</f>
        <v>32679</v>
      </c>
      <c r="Q831" s="146" t="str">
        <f>IFERROR(__xludf.DUMMYFUNCTION("""COMPUTED_VALUE"""),"087-559-2014")</f>
        <v>087-559-2014</v>
      </c>
      <c r="R831" s="147" t="str">
        <f>IFERROR(__xludf.DUMMYFUNCTION("""COMPUTED_VALUE"""),"1101401-65-9818")</f>
        <v>1101401-65-9818</v>
      </c>
      <c r="S831" t="str">
        <f>IFERROR(__xludf.DUMMYFUNCTION("""COMPUTED_VALUE"""),"AC2938434")</f>
        <v>AC2938434</v>
      </c>
      <c r="T831" s="148">
        <f>IFERROR(__xludf.DUMMYFUNCTION("""COMPUTED_VALUE"""),44630.0)</f>
        <v>44630</v>
      </c>
      <c r="U831" s="148">
        <f>IFERROR(__xludf.DUMMYFUNCTION("""COMPUTED_VALUE"""),46455.0)</f>
        <v>46455</v>
      </c>
      <c r="V831" s="149">
        <f>IFERROR(__xludf.DUMMYFUNCTION("""COMPUTED_VALUE"""),46274.0)</f>
        <v>46274</v>
      </c>
      <c r="W831" t="str">
        <f>IFERROR(__xludf.DUMMYFUNCTION("""COMPUTED_VALUE"""),"ปลอดภัย")</f>
        <v>ปลอดภัย</v>
      </c>
      <c r="X831" t="str">
        <f>IFERROR(__xludf.DUMMYFUNCTION("""COMPUTED_VALUE"""),"Bangkok")</f>
        <v>Bangkok</v>
      </c>
      <c r="Y831" t="str">
        <f>IFERROR(__xludf.DUMMYFUNCTION("""COMPUTED_VALUE"""),"Bangkok")</f>
        <v>Bangkok</v>
      </c>
      <c r="Z831" t="str">
        <f>IFERROR(__xludf.DUMMYFUNCTION("""COMPUTED_VALUE"""),"095-469-1593")</f>
        <v>095-469-1593</v>
      </c>
      <c r="AA831" t="str">
        <f>IFERROR(__xludf.DUMMYFUNCTION("""COMPUTED_VALUE"""),"Narongsuk Thawanthalerngrit(Father)")</f>
        <v>Narongsuk Thawanthalerngrit(Father)</v>
      </c>
      <c r="AB831" t="str">
        <f>IFERROR(__xludf.DUMMYFUNCTION("""COMPUTED_VALUE"""),"nutpaweet@airasia.com")</f>
        <v>nutpaweet@airasia.com</v>
      </c>
    </row>
    <row r="832">
      <c r="A832">
        <f>IFERROR(__xludf.DUMMYFUNCTION("""COMPUTED_VALUE"""),1019204.0)</f>
        <v>1019204</v>
      </c>
      <c r="B832" t="str">
        <f>IFERROR(__xludf.DUMMYFUNCTION("""COMPUTED_VALUE"""),"Ms.")</f>
        <v>Ms.</v>
      </c>
      <c r="C832" t="str">
        <f>IFERROR(__xludf.DUMMYFUNCTION("""COMPUTED_VALUE"""),"Pawika")</f>
        <v>Pawika</v>
      </c>
      <c r="D832" t="str">
        <f>IFERROR(__xludf.DUMMYFUNCTION("""COMPUTED_VALUE"""),"Mingmanee (Boonrak)")</f>
        <v>Mingmanee (Boonrak)</v>
      </c>
      <c r="E832" t="str">
        <f>IFERROR(__xludf.DUMMYFUNCTION("""COMPUTED_VALUE"""),"Pawika Mingmanee")</f>
        <v>Pawika Mingmanee</v>
      </c>
      <c r="F832" t="str">
        <f>IFERROR(__xludf.DUMMYFUNCTION("""COMPUTED_VALUE"""),"นางสาว")</f>
        <v>นางสาว</v>
      </c>
      <c r="G832" t="str">
        <f>IFERROR(__xludf.DUMMYFUNCTION("""COMPUTED_VALUE"""),"ภาวิกา")</f>
        <v>ภาวิกา</v>
      </c>
      <c r="H832" t="str">
        <f>IFERROR(__xludf.DUMMYFUNCTION("""COMPUTED_VALUE"""),"มิ่งมณี (บุญรักษ์)")</f>
        <v>มิ่งมณี (บุญรักษ์)</v>
      </c>
      <c r="I832" t="str">
        <f>IFERROR(__xludf.DUMMYFUNCTION("""COMPUTED_VALUE"""),"ภาวิกา มิ่งมณี")</f>
        <v>ภาวิกา มิ่งมณี</v>
      </c>
      <c r="J832" t="str">
        <f>IFERROR(__xludf.DUMMYFUNCTION("""COMPUTED_VALUE"""),"Fhon/ฝน")</f>
        <v>Fhon/ฝน</v>
      </c>
      <c r="K832" t="str">
        <f>IFERROR(__xludf.DUMMYFUNCTION("""COMPUTED_VALUE"""),"Cabin Crew")</f>
        <v>Cabin Crew</v>
      </c>
      <c r="L832" t="str">
        <f>IFERROR(__xludf.DUMMYFUNCTION("""COMPUTED_VALUE"""),"DMK")</f>
        <v>DMK</v>
      </c>
      <c r="M832" s="145" t="str">
        <f>IFERROR(__xludf.DUMMYFUNCTION("""COMPUTED_VALUE"""),"Namfon Home")</f>
        <v>Namfon Home</v>
      </c>
      <c r="N832" t="str">
        <f>IFERROR(__xludf.DUMMYFUNCTION("""COMPUTED_VALUE"""),"Active")</f>
        <v>Active</v>
      </c>
      <c r="P832" s="143">
        <f>IFERROR(__xludf.DUMMYFUNCTION("""COMPUTED_VALUE"""),33866.0)</f>
        <v>33866</v>
      </c>
      <c r="Q832" s="146" t="str">
        <f>IFERROR(__xludf.DUMMYFUNCTION("""COMPUTED_VALUE"""),"085-9208915")</f>
        <v>085-9208915</v>
      </c>
      <c r="R832" s="147" t="str">
        <f>IFERROR(__xludf.DUMMYFUNCTION("""COMPUTED_VALUE"""),"1430200-16-9275")</f>
        <v>1430200-16-9275</v>
      </c>
      <c r="S832" t="str">
        <f>IFERROR(__xludf.DUMMYFUNCTION("""COMPUTED_VALUE"""),"AC4198103")</f>
        <v>AC4198103</v>
      </c>
      <c r="T832" s="148">
        <f>IFERROR(__xludf.DUMMYFUNCTION("""COMPUTED_VALUE"""),44886.0)</f>
        <v>44886</v>
      </c>
      <c r="U832" s="148">
        <f>IFERROR(__xludf.DUMMYFUNCTION("""COMPUTED_VALUE"""),48538.0)</f>
        <v>48538</v>
      </c>
      <c r="V832" s="149">
        <f>IFERROR(__xludf.DUMMYFUNCTION("""COMPUTED_VALUE"""),48354.0)</f>
        <v>48354</v>
      </c>
      <c r="W832" t="str">
        <f>IFERROR(__xludf.DUMMYFUNCTION("""COMPUTED_VALUE"""),"ปลอดภัย")</f>
        <v>ปลอดภัย</v>
      </c>
      <c r="X832" t="str">
        <f>IFERROR(__xludf.DUMMYFUNCTION("""COMPUTED_VALUE"""),"Nong Khai Province")</f>
        <v>Nong Khai Province</v>
      </c>
      <c r="Y832" t="str">
        <f>IFERROR(__xludf.DUMMYFUNCTION("""COMPUTED_VALUE"""),"Bangkok")</f>
        <v>Bangkok</v>
      </c>
      <c r="Z832" t="str">
        <f>IFERROR(__xludf.DUMMYFUNCTION("""COMPUTED_VALUE"""),"089-575-9448")</f>
        <v>089-575-9448</v>
      </c>
      <c r="AA832" t="str">
        <f>IFERROR(__xludf.DUMMYFUNCTION("""COMPUTED_VALUE"""),"Pawita Boonrak (Mother)")</f>
        <v>Pawita Boonrak (Mother)</v>
      </c>
      <c r="AB832" t="str">
        <f>IFERROR(__xludf.DUMMYFUNCTION("""COMPUTED_VALUE"""),"pawikm@airasia.com")</f>
        <v>pawikm@airasia.com</v>
      </c>
    </row>
    <row r="833">
      <c r="A833">
        <f>IFERROR(__xludf.DUMMYFUNCTION("""COMPUTED_VALUE"""),1019207.0)</f>
        <v>1019207</v>
      </c>
      <c r="B833" t="str">
        <f>IFERROR(__xludf.DUMMYFUNCTION("""COMPUTED_VALUE"""),"Mrs.")</f>
        <v>Mrs.</v>
      </c>
      <c r="C833" t="str">
        <f>IFERROR(__xludf.DUMMYFUNCTION("""COMPUTED_VALUE"""),"Phakamas")</f>
        <v>Phakamas</v>
      </c>
      <c r="D833" t="str">
        <f>IFERROR(__xludf.DUMMYFUNCTION("""COMPUTED_VALUE"""),"Broughton (Rachakrom)")</f>
        <v>Broughton (Rachakrom)</v>
      </c>
      <c r="E833" t="str">
        <f>IFERROR(__xludf.DUMMYFUNCTION("""COMPUTED_VALUE"""),"Phakamas Broughton")</f>
        <v>Phakamas Broughton</v>
      </c>
      <c r="F833" t="str">
        <f>IFERROR(__xludf.DUMMYFUNCTION("""COMPUTED_VALUE"""),"นาง")</f>
        <v>นาง</v>
      </c>
      <c r="G833" t="str">
        <f>IFERROR(__xludf.DUMMYFUNCTION("""COMPUTED_VALUE"""),"ผกามาศ")</f>
        <v>ผกามาศ</v>
      </c>
      <c r="H833" t="str">
        <f>IFERROR(__xludf.DUMMYFUNCTION("""COMPUTED_VALUE"""),"โบรห์ตัน (ราชกรม)")</f>
        <v>โบรห์ตัน (ราชกรม)</v>
      </c>
      <c r="I833" t="str">
        <f>IFERROR(__xludf.DUMMYFUNCTION("""COMPUTED_VALUE"""),"ผกามาศ โบรห์ตัน")</f>
        <v>ผกามาศ โบรห์ตัน</v>
      </c>
      <c r="J833" t="str">
        <f>IFERROR(__xludf.DUMMYFUNCTION("""COMPUTED_VALUE"""),"View / วิว")</f>
        <v>View / วิว</v>
      </c>
      <c r="K833" t="str">
        <f>IFERROR(__xludf.DUMMYFUNCTION("""COMPUTED_VALUE"""),"Cabin Crew - CNX")</f>
        <v>Cabin Crew - CNX</v>
      </c>
      <c r="L833" t="str">
        <f>IFERROR(__xludf.DUMMYFUNCTION("""COMPUTED_VALUE"""),"CNX")</f>
        <v>CNX</v>
      </c>
      <c r="M833" s="145" t="str">
        <f>IFERROR(__xludf.DUMMYFUNCTION("""COMPUTED_VALUE"""),"Up Home")</f>
        <v>Up Home</v>
      </c>
      <c r="N833" t="str">
        <f>IFERROR(__xludf.DUMMYFUNCTION("""COMPUTED_VALUE"""),"LWPP")</f>
        <v>LWPP</v>
      </c>
      <c r="P833" s="143">
        <f>IFERROR(__xludf.DUMMYFUNCTION("""COMPUTED_VALUE"""),33451.0)</f>
        <v>33451</v>
      </c>
      <c r="Q833" s="146" t="str">
        <f>IFERROR(__xludf.DUMMYFUNCTION("""COMPUTED_VALUE"""),"081-545-9453")</f>
        <v>081-545-9453</v>
      </c>
      <c r="R833" s="147" t="str">
        <f>IFERROR(__xludf.DUMMYFUNCTION("""COMPUTED_VALUE"""),"1479900-15-5364")</f>
        <v>1479900-15-5364</v>
      </c>
      <c r="S833" t="str">
        <f>IFERROR(__xludf.DUMMYFUNCTION("""COMPUTED_VALUE"""),"AC6977051")</f>
        <v>AC6977051</v>
      </c>
      <c r="T833" s="148">
        <f>IFERROR(__xludf.DUMMYFUNCTION("""COMPUTED_VALUE"""),45601.0)</f>
        <v>45601</v>
      </c>
      <c r="U833" s="148">
        <f>IFERROR(__xludf.DUMMYFUNCTION("""COMPUTED_VALUE"""),49252.0)</f>
        <v>49252</v>
      </c>
      <c r="V833" s="149">
        <f>IFERROR(__xludf.DUMMYFUNCTION("""COMPUTED_VALUE"""),49068.0)</f>
        <v>49068</v>
      </c>
      <c r="W833" t="str">
        <f>IFERROR(__xludf.DUMMYFUNCTION("""COMPUTED_VALUE"""),"ปลอดภัย")</f>
        <v>ปลอดภัย</v>
      </c>
      <c r="X833" t="str">
        <f>IFERROR(__xludf.DUMMYFUNCTION("""COMPUTED_VALUE"""),"Sakon Nakhon Province")</f>
        <v>Sakon Nakhon Province</v>
      </c>
      <c r="Y833" t="str">
        <f>IFERROR(__xludf.DUMMYFUNCTION("""COMPUTED_VALUE"""),"Sakon Nakhon")</f>
        <v>Sakon Nakhon</v>
      </c>
      <c r="Z833" t="str">
        <f>IFERROR(__xludf.DUMMYFUNCTION("""COMPUTED_VALUE"""),"087-222-2672")</f>
        <v>087-222-2672</v>
      </c>
      <c r="AA833" t="str">
        <f>IFERROR(__xludf.DUMMYFUNCTION("""COMPUTED_VALUE"""),"Pornthip Rachakrom (Mother)")</f>
        <v>Pornthip Rachakrom (Mother)</v>
      </c>
      <c r="AB833" t="str">
        <f>IFERROR(__xludf.DUMMYFUNCTION("""COMPUTED_VALUE"""),"phakamasb@airasia.com")</f>
        <v>phakamasb@airasia.com</v>
      </c>
    </row>
    <row r="834">
      <c r="A834">
        <f>IFERROR(__xludf.DUMMYFUNCTION("""COMPUTED_VALUE"""),1019208.0)</f>
        <v>1019208</v>
      </c>
      <c r="B834" t="str">
        <f>IFERROR(__xludf.DUMMYFUNCTION("""COMPUTED_VALUE"""),"Mr.")</f>
        <v>Mr.</v>
      </c>
      <c r="C834" t="str">
        <f>IFERROR(__xludf.DUMMYFUNCTION("""COMPUTED_VALUE"""),"Pakin")</f>
        <v>Pakin</v>
      </c>
      <c r="D834" t="str">
        <f>IFERROR(__xludf.DUMMYFUNCTION("""COMPUTED_VALUE"""),"Pithakthawikun")</f>
        <v>Pithakthawikun</v>
      </c>
      <c r="E834" t="str">
        <f>IFERROR(__xludf.DUMMYFUNCTION("""COMPUTED_VALUE"""),"Pakin Pithakthawikun")</f>
        <v>Pakin Pithakthawikun</v>
      </c>
      <c r="F834" t="str">
        <f>IFERROR(__xludf.DUMMYFUNCTION("""COMPUTED_VALUE"""),"นาย")</f>
        <v>นาย</v>
      </c>
      <c r="G834" t="str">
        <f>IFERROR(__xludf.DUMMYFUNCTION("""COMPUTED_VALUE"""),"ภาคิน")</f>
        <v>ภาคิน</v>
      </c>
      <c r="H834" t="str">
        <f>IFERROR(__xludf.DUMMYFUNCTION("""COMPUTED_VALUE"""),"พิทักษ์ทวีกุล")</f>
        <v>พิทักษ์ทวีกุล</v>
      </c>
      <c r="I834" t="str">
        <f>IFERROR(__xludf.DUMMYFUNCTION("""COMPUTED_VALUE"""),"ภาคิน พิทักษ์ทวีกุล")</f>
        <v>ภาคิน พิทักษ์ทวีกุล</v>
      </c>
      <c r="J834" t="str">
        <f>IFERROR(__xludf.DUMMYFUNCTION("""COMPUTED_VALUE"""),"Din/ดิน")</f>
        <v>Din/ดิน</v>
      </c>
      <c r="K834" t="str">
        <f>IFERROR(__xludf.DUMMYFUNCTION("""COMPUTED_VALUE"""),"Cabin Crew")</f>
        <v>Cabin Crew</v>
      </c>
      <c r="L834" t="str">
        <f>IFERROR(__xludf.DUMMYFUNCTION("""COMPUTED_VALUE"""),"DMK")</f>
        <v>DMK</v>
      </c>
      <c r="M834" s="145" t="str">
        <f>IFERROR(__xludf.DUMMYFUNCTION("""COMPUTED_VALUE"""),"Um Home")</f>
        <v>Um Home</v>
      </c>
      <c r="N834" t="str">
        <f>IFERROR(__xludf.DUMMYFUNCTION("""COMPUTED_VALUE"""),"Active")</f>
        <v>Active</v>
      </c>
      <c r="P834" s="143">
        <f>IFERROR(__xludf.DUMMYFUNCTION("""COMPUTED_VALUE"""),33080.0)</f>
        <v>33080</v>
      </c>
      <c r="Q834" s="146" t="str">
        <f>IFERROR(__xludf.DUMMYFUNCTION("""COMPUTED_VALUE"""),"063-9399911")</f>
        <v>063-9399911</v>
      </c>
      <c r="R834" s="147" t="str">
        <f>IFERROR(__xludf.DUMMYFUNCTION("""COMPUTED_VALUE"""),"1411700-15-4804")</f>
        <v>1411700-15-4804</v>
      </c>
      <c r="S834" t="str">
        <f>IFERROR(__xludf.DUMMYFUNCTION("""COMPUTED_VALUE"""),"AC8165280")</f>
        <v>AC8165280</v>
      </c>
      <c r="T834" s="148">
        <f>IFERROR(__xludf.DUMMYFUNCTION("""COMPUTED_VALUE"""),45945.0)</f>
        <v>45945</v>
      </c>
      <c r="U834" s="148">
        <f>IFERROR(__xludf.DUMMYFUNCTION("""COMPUTED_VALUE"""),49596.0)</f>
        <v>49596</v>
      </c>
      <c r="V834" s="149">
        <f>IFERROR(__xludf.DUMMYFUNCTION("""COMPUTED_VALUE"""),49413.0)</f>
        <v>49413</v>
      </c>
      <c r="W834" t="str">
        <f>IFERROR(__xludf.DUMMYFUNCTION("""COMPUTED_VALUE"""),"ปลอดภัย")</f>
        <v>ปลอดภัย</v>
      </c>
      <c r="X834" t="str">
        <f>IFERROR(__xludf.DUMMYFUNCTION("""COMPUTED_VALUE"""),"Udon Thani Province")</f>
        <v>Udon Thani Province</v>
      </c>
      <c r="Y834" t="str">
        <f>IFERROR(__xludf.DUMMYFUNCTION("""COMPUTED_VALUE"""),"Udon Thani")</f>
        <v>Udon Thani</v>
      </c>
      <c r="Z834" t="str">
        <f>IFERROR(__xludf.DUMMYFUNCTION("""COMPUTED_VALUE"""),"094-009-8759")</f>
        <v>094-009-8759</v>
      </c>
      <c r="AA834" t="str">
        <f>IFERROR(__xludf.DUMMYFUNCTION("""COMPUTED_VALUE"""),"Junnapa Prasert(Mother)")</f>
        <v>Junnapa Prasert(Mother)</v>
      </c>
      <c r="AB834" t="str">
        <f>IFERROR(__xludf.DUMMYFUNCTION("""COMPUTED_VALUE"""),"pakinpi@airasia.com")</f>
        <v>pakinpi@airasia.com</v>
      </c>
    </row>
    <row r="835">
      <c r="A835">
        <f>IFERROR(__xludf.DUMMYFUNCTION("""COMPUTED_VALUE"""),1019209.0)</f>
        <v>1019209</v>
      </c>
      <c r="B835" t="str">
        <f>IFERROR(__xludf.DUMMYFUNCTION("""COMPUTED_VALUE"""),"Ms.")</f>
        <v>Ms.</v>
      </c>
      <c r="C835" t="str">
        <f>IFERROR(__xludf.DUMMYFUNCTION("""COMPUTED_VALUE"""),"Ployputchara")</f>
        <v>Ployputchara</v>
      </c>
      <c r="D835" t="str">
        <f>IFERROR(__xludf.DUMMYFUNCTION("""COMPUTED_VALUE"""),"Sridara")</f>
        <v>Sridara</v>
      </c>
      <c r="E835" t="str">
        <f>IFERROR(__xludf.DUMMYFUNCTION("""COMPUTED_VALUE"""),"Ployputchara Sridara")</f>
        <v>Ployputchara Sridara</v>
      </c>
      <c r="F835" t="str">
        <f>IFERROR(__xludf.DUMMYFUNCTION("""COMPUTED_VALUE"""),"นางสาว")</f>
        <v>นางสาว</v>
      </c>
      <c r="G835" t="str">
        <f>IFERROR(__xludf.DUMMYFUNCTION("""COMPUTED_VALUE"""),"พลอยพัชรา")</f>
        <v>พลอยพัชรา</v>
      </c>
      <c r="H835" t="str">
        <f>IFERROR(__xludf.DUMMYFUNCTION("""COMPUTED_VALUE"""),"ศรีดารา")</f>
        <v>ศรีดารา</v>
      </c>
      <c r="I835" t="str">
        <f>IFERROR(__xludf.DUMMYFUNCTION("""COMPUTED_VALUE"""),"พลอยพัชรา ศรีดารา")</f>
        <v>พลอยพัชรา ศรีดารา</v>
      </c>
      <c r="J835" t="str">
        <f>IFERROR(__xludf.DUMMYFUNCTION("""COMPUTED_VALUE"""),"Ploy / พลอย")</f>
        <v>Ploy / พลอย</v>
      </c>
      <c r="K835" t="str">
        <f>IFERROR(__xludf.DUMMYFUNCTION("""COMPUTED_VALUE"""),"Cabin Crew")</f>
        <v>Cabin Crew</v>
      </c>
      <c r="L835" t="str">
        <f>IFERROR(__xludf.DUMMYFUNCTION("""COMPUTED_VALUE"""),"DMK")</f>
        <v>DMK</v>
      </c>
      <c r="M835" s="145" t="str">
        <f>IFERROR(__xludf.DUMMYFUNCTION("""COMPUTED_VALUE"""),"Toffy Home")</f>
        <v>Toffy Home</v>
      </c>
      <c r="N835" t="str">
        <f>IFERROR(__xludf.DUMMYFUNCTION("""COMPUTED_VALUE"""),"Active")</f>
        <v>Active</v>
      </c>
      <c r="P835" s="143">
        <f>IFERROR(__xludf.DUMMYFUNCTION("""COMPUTED_VALUE"""),33437.0)</f>
        <v>33437</v>
      </c>
      <c r="Q835" s="146" t="str">
        <f>IFERROR(__xludf.DUMMYFUNCTION("""COMPUTED_VALUE"""),"080-8465840")</f>
        <v>080-8465840</v>
      </c>
      <c r="R835" s="147" t="str">
        <f>IFERROR(__xludf.DUMMYFUNCTION("""COMPUTED_VALUE"""),"1709900-63-7382")</f>
        <v>1709900-63-7382</v>
      </c>
      <c r="S835" t="str">
        <f>IFERROR(__xludf.DUMMYFUNCTION("""COMPUTED_VALUE"""),"AC2611385")</f>
        <v>AC2611385</v>
      </c>
      <c r="T835" s="148">
        <f>IFERROR(__xludf.DUMMYFUNCTION("""COMPUTED_VALUE"""),44538.0)</f>
        <v>44538</v>
      </c>
      <c r="U835" s="148">
        <f>IFERROR(__xludf.DUMMYFUNCTION("""COMPUTED_VALUE"""),48189.0)</f>
        <v>48189</v>
      </c>
      <c r="V835" s="149">
        <f>IFERROR(__xludf.DUMMYFUNCTION("""COMPUTED_VALUE"""),48006.0)</f>
        <v>48006</v>
      </c>
      <c r="W835" t="str">
        <f>IFERROR(__xludf.DUMMYFUNCTION("""COMPUTED_VALUE"""),"ปลอดภัย")</f>
        <v>ปลอดภัย</v>
      </c>
      <c r="X835" t="str">
        <f>IFERROR(__xludf.DUMMYFUNCTION("""COMPUTED_VALUE"""),"Ratchaburi Province")</f>
        <v>Ratchaburi Province</v>
      </c>
      <c r="Y835" t="str">
        <f>IFERROR(__xludf.DUMMYFUNCTION("""COMPUTED_VALUE"""),"Ratchaburi")</f>
        <v>Ratchaburi</v>
      </c>
      <c r="Z835" t="str">
        <f>IFERROR(__xludf.DUMMYFUNCTION("""COMPUTED_VALUE"""),"085-8222-783 080-112-1213")</f>
        <v>085-8222-783 080-112-1213</v>
      </c>
      <c r="AA835" t="str">
        <f>IFERROR(__xludf.DUMMYFUNCTION("""COMPUTED_VALUE"""),"Siripong Sridara (Father)")</f>
        <v>Siripong Sridara (Father)</v>
      </c>
      <c r="AB835" t="str">
        <f>IFERROR(__xludf.DUMMYFUNCTION("""COMPUTED_VALUE"""),"ployputcharas@airasia.com")</f>
        <v>ployputcharas@airasia.com</v>
      </c>
    </row>
    <row r="836">
      <c r="A836">
        <f>IFERROR(__xludf.DUMMYFUNCTION("""COMPUTED_VALUE"""),1019215.0)</f>
        <v>1019215</v>
      </c>
      <c r="B836" t="str">
        <f>IFERROR(__xludf.DUMMYFUNCTION("""COMPUTED_VALUE"""),"Ms.")</f>
        <v>Ms.</v>
      </c>
      <c r="C836" t="str">
        <f>IFERROR(__xludf.DUMMYFUNCTION("""COMPUTED_VALUE"""),"Puttida")</f>
        <v>Puttida</v>
      </c>
      <c r="D836" t="str">
        <f>IFERROR(__xludf.DUMMYFUNCTION("""COMPUTED_VALUE"""),"Hirunyatrakul")</f>
        <v>Hirunyatrakul</v>
      </c>
      <c r="E836" t="str">
        <f>IFERROR(__xludf.DUMMYFUNCTION("""COMPUTED_VALUE"""),"Puttida Hirunyatrakul")</f>
        <v>Puttida Hirunyatrakul</v>
      </c>
      <c r="F836" t="str">
        <f>IFERROR(__xludf.DUMMYFUNCTION("""COMPUTED_VALUE"""),"นางสาว")</f>
        <v>นางสาว</v>
      </c>
      <c r="G836" t="str">
        <f>IFERROR(__xludf.DUMMYFUNCTION("""COMPUTED_VALUE"""),"พุทธิดา")</f>
        <v>พุทธิดา</v>
      </c>
      <c r="H836" t="str">
        <f>IFERROR(__xludf.DUMMYFUNCTION("""COMPUTED_VALUE"""),"หิรัณยตระกูล")</f>
        <v>หิรัณยตระกูล</v>
      </c>
      <c r="I836" t="str">
        <f>IFERROR(__xludf.DUMMYFUNCTION("""COMPUTED_VALUE"""),"พุทธิดา หิรัณยตระกูล")</f>
        <v>พุทธิดา หิรัณยตระกูล</v>
      </c>
      <c r="J836" t="str">
        <f>IFERROR(__xludf.DUMMYFUNCTION("""COMPUTED_VALUE"""),"Cookie/คุ้กกี้")</f>
        <v>Cookie/คุ้กกี้</v>
      </c>
      <c r="K836" t="str">
        <f>IFERROR(__xludf.DUMMYFUNCTION("""COMPUTED_VALUE"""),"Cabin Crew")</f>
        <v>Cabin Crew</v>
      </c>
      <c r="L836" t="str">
        <f>IFERROR(__xludf.DUMMYFUNCTION("""COMPUTED_VALUE"""),"DMK")</f>
        <v>DMK</v>
      </c>
      <c r="M836" s="145" t="str">
        <f>IFERROR(__xludf.DUMMYFUNCTION("""COMPUTED_VALUE"""),"Um Home")</f>
        <v>Um Home</v>
      </c>
      <c r="N836" t="str">
        <f>IFERROR(__xludf.DUMMYFUNCTION("""COMPUTED_VALUE"""),"Active")</f>
        <v>Active</v>
      </c>
      <c r="P836" s="143">
        <f>IFERROR(__xludf.DUMMYFUNCTION("""COMPUTED_VALUE"""),34493.0)</f>
        <v>34493</v>
      </c>
      <c r="Q836" s="146" t="str">
        <f>IFERROR(__xludf.DUMMYFUNCTION("""COMPUTED_VALUE"""),"091-8532944")</f>
        <v>091-8532944</v>
      </c>
      <c r="R836" s="147" t="str">
        <f>IFERROR(__xludf.DUMMYFUNCTION("""COMPUTED_VALUE"""),"1509901-44-1921")</f>
        <v>1509901-44-1921</v>
      </c>
      <c r="S836" t="str">
        <f>IFERROR(__xludf.DUMMYFUNCTION("""COMPUTED_VALUE"""),"AC2723065")</f>
        <v>AC2723065</v>
      </c>
      <c r="T836" s="148">
        <f>IFERROR(__xludf.DUMMYFUNCTION("""COMPUTED_VALUE"""),44475.0)</f>
        <v>44475</v>
      </c>
      <c r="U836" s="148">
        <f>IFERROR(__xludf.DUMMYFUNCTION("""COMPUTED_VALUE"""),48126.0)</f>
        <v>48126</v>
      </c>
      <c r="V836" s="149">
        <f>IFERROR(__xludf.DUMMYFUNCTION("""COMPUTED_VALUE"""),47943.0)</f>
        <v>47943</v>
      </c>
      <c r="W836" t="str">
        <f>IFERROR(__xludf.DUMMYFUNCTION("""COMPUTED_VALUE"""),"ปลอดภัย")</f>
        <v>ปลอดภัย</v>
      </c>
      <c r="X836" t="str">
        <f>IFERROR(__xludf.DUMMYFUNCTION("""COMPUTED_VALUE"""),"Chiang Mai Province")</f>
        <v>Chiang Mai Province</v>
      </c>
      <c r="Y836" t="str">
        <f>IFERROR(__xludf.DUMMYFUNCTION("""COMPUTED_VALUE"""),"Chiang Mai")</f>
        <v>Chiang Mai</v>
      </c>
      <c r="Z836" t="str">
        <f>IFERROR(__xludf.DUMMYFUNCTION("""COMPUTED_VALUE"""),"095-451-0399")</f>
        <v>095-451-0399</v>
      </c>
      <c r="AA836" t="str">
        <f>IFERROR(__xludf.DUMMYFUNCTION("""COMPUTED_VALUE"""),"Udomsak Hirunyatrakul (Father)")</f>
        <v>Udomsak Hirunyatrakul (Father)</v>
      </c>
      <c r="AB836" t="str">
        <f>IFERROR(__xludf.DUMMYFUNCTION("""COMPUTED_VALUE"""),"puttidah@airasia.com")</f>
        <v>puttidah@airasia.com</v>
      </c>
    </row>
    <row r="837">
      <c r="A837">
        <f>IFERROR(__xludf.DUMMYFUNCTION("""COMPUTED_VALUE"""),1019222.0)</f>
        <v>1019222</v>
      </c>
      <c r="B837" t="str">
        <f>IFERROR(__xludf.DUMMYFUNCTION("""COMPUTED_VALUE"""),"Ms.")</f>
        <v>Ms.</v>
      </c>
      <c r="C837" t="str">
        <f>IFERROR(__xludf.DUMMYFUNCTION("""COMPUTED_VALUE"""),"Supitcha")</f>
        <v>Supitcha</v>
      </c>
      <c r="D837" t="str">
        <f>IFERROR(__xludf.DUMMYFUNCTION("""COMPUTED_VALUE"""),"Thepgul")</f>
        <v>Thepgul</v>
      </c>
      <c r="E837" t="str">
        <f>IFERROR(__xludf.DUMMYFUNCTION("""COMPUTED_VALUE"""),"Supitcha Thepgul")</f>
        <v>Supitcha Thepgul</v>
      </c>
      <c r="F837" t="str">
        <f>IFERROR(__xludf.DUMMYFUNCTION("""COMPUTED_VALUE"""),"นางสาว")</f>
        <v>นางสาว</v>
      </c>
      <c r="G837" t="str">
        <f>IFERROR(__xludf.DUMMYFUNCTION("""COMPUTED_VALUE"""),"สุพิชชา")</f>
        <v>สุพิชชา</v>
      </c>
      <c r="H837" t="str">
        <f>IFERROR(__xludf.DUMMYFUNCTION("""COMPUTED_VALUE"""),"เทพกุล")</f>
        <v>เทพกุล</v>
      </c>
      <c r="I837" t="str">
        <f>IFERROR(__xludf.DUMMYFUNCTION("""COMPUTED_VALUE"""),"สุพิชชา เทพกุล")</f>
        <v>สุพิชชา เทพกุล</v>
      </c>
      <c r="J837" t="str">
        <f>IFERROR(__xludf.DUMMYFUNCTION("""COMPUTED_VALUE"""),"Amp/แอม")</f>
        <v>Amp/แอม</v>
      </c>
      <c r="K837" t="str">
        <f>IFERROR(__xludf.DUMMYFUNCTION("""COMPUTED_VALUE"""),"Cabin Crew")</f>
        <v>Cabin Crew</v>
      </c>
      <c r="L837" t="str">
        <f>IFERROR(__xludf.DUMMYFUNCTION("""COMPUTED_VALUE"""),"DMK")</f>
        <v>DMK</v>
      </c>
      <c r="M837" s="145" t="str">
        <f>IFERROR(__xludf.DUMMYFUNCTION("""COMPUTED_VALUE"""),"Por+ Home")</f>
        <v>Por+ Home</v>
      </c>
      <c r="N837" t="str">
        <f>IFERROR(__xludf.DUMMYFUNCTION("""COMPUTED_VALUE"""),"MATL/LWP")</f>
        <v>MATL/LWP</v>
      </c>
      <c r="P837" s="143">
        <f>IFERROR(__xludf.DUMMYFUNCTION("""COMPUTED_VALUE"""),34382.0)</f>
        <v>34382</v>
      </c>
      <c r="Q837" s="146" t="str">
        <f>IFERROR(__xludf.DUMMYFUNCTION("""COMPUTED_VALUE"""),"085-7093950")</f>
        <v>085-7093950</v>
      </c>
      <c r="R837" s="147" t="str">
        <f>IFERROR(__xludf.DUMMYFUNCTION("""COMPUTED_VALUE"""),"1509901-41-3889")</f>
        <v>1509901-41-3889</v>
      </c>
      <c r="S837" t="str">
        <f>IFERROR(__xludf.DUMMYFUNCTION("""COMPUTED_VALUE"""),"AC2622727")</f>
        <v>AC2622727</v>
      </c>
      <c r="T837" s="148">
        <f>IFERROR(__xludf.DUMMYFUNCTION("""COMPUTED_VALUE"""),44545.0)</f>
        <v>44545</v>
      </c>
      <c r="U837" s="148">
        <f>IFERROR(__xludf.DUMMYFUNCTION("""COMPUTED_VALUE"""),48196.0)</f>
        <v>48196</v>
      </c>
      <c r="V837" s="149">
        <f>IFERROR(__xludf.DUMMYFUNCTION("""COMPUTED_VALUE"""),48013.0)</f>
        <v>48013</v>
      </c>
      <c r="W837" t="str">
        <f>IFERROR(__xludf.DUMMYFUNCTION("""COMPUTED_VALUE"""),"ปลอดภัย")</f>
        <v>ปลอดภัย</v>
      </c>
      <c r="X837" t="str">
        <f>IFERROR(__xludf.DUMMYFUNCTION("""COMPUTED_VALUE"""),"Chiang Mai Province")</f>
        <v>Chiang Mai Province</v>
      </c>
      <c r="Y837" t="str">
        <f>IFERROR(__xludf.DUMMYFUNCTION("""COMPUTED_VALUE"""),"Chiang Mai")</f>
        <v>Chiang Mai</v>
      </c>
      <c r="Z837" t="str">
        <f>IFERROR(__xludf.DUMMYFUNCTION("""COMPUTED_VALUE"""),"085-709-3950")</f>
        <v>085-709-3950</v>
      </c>
      <c r="AA837" t="str">
        <f>IFERROR(__xludf.DUMMYFUNCTION("""COMPUTED_VALUE"""),"Rattikorn Thepgul")</f>
        <v>Rattikorn Thepgul</v>
      </c>
      <c r="AB837" t="str">
        <f>IFERROR(__xludf.DUMMYFUNCTION("""COMPUTED_VALUE"""),"supitchat@airasia.com")</f>
        <v>supitchat@airasia.com</v>
      </c>
    </row>
    <row r="838">
      <c r="A838">
        <f>IFERROR(__xludf.DUMMYFUNCTION("""COMPUTED_VALUE"""),1019223.0)</f>
        <v>1019223</v>
      </c>
      <c r="B838" t="str">
        <f>IFERROR(__xludf.DUMMYFUNCTION("""COMPUTED_VALUE"""),"Ms.")</f>
        <v>Ms.</v>
      </c>
      <c r="C838" t="str">
        <f>IFERROR(__xludf.DUMMYFUNCTION("""COMPUTED_VALUE"""),"Sutatta")</f>
        <v>Sutatta</v>
      </c>
      <c r="D838" t="str">
        <f>IFERROR(__xludf.DUMMYFUNCTION("""COMPUTED_VALUE"""),"Jongsirisathaporn")</f>
        <v>Jongsirisathaporn</v>
      </c>
      <c r="E838" t="str">
        <f>IFERROR(__xludf.DUMMYFUNCTION("""COMPUTED_VALUE"""),"Sutatta Jongsirisathaporn")</f>
        <v>Sutatta Jongsirisathaporn</v>
      </c>
      <c r="F838" t="str">
        <f>IFERROR(__xludf.DUMMYFUNCTION("""COMPUTED_VALUE"""),"นางสาว")</f>
        <v>นางสาว</v>
      </c>
      <c r="G838" t="str">
        <f>IFERROR(__xludf.DUMMYFUNCTION("""COMPUTED_VALUE"""),"สุทัตตา")</f>
        <v>สุทัตตา</v>
      </c>
      <c r="H838" t="str">
        <f>IFERROR(__xludf.DUMMYFUNCTION("""COMPUTED_VALUE"""),"จงศิริสถาพร")</f>
        <v>จงศิริสถาพร</v>
      </c>
      <c r="I838" t="str">
        <f>IFERROR(__xludf.DUMMYFUNCTION("""COMPUTED_VALUE"""),"สุทัตตา จงศิริสถาพร")</f>
        <v>สุทัตตา จงศิริสถาพร</v>
      </c>
      <c r="J838" t="str">
        <f>IFERROR(__xludf.DUMMYFUNCTION("""COMPUTED_VALUE"""),"North/นอร์ท")</f>
        <v>North/นอร์ท</v>
      </c>
      <c r="K838" t="str">
        <f>IFERROR(__xludf.DUMMYFUNCTION("""COMPUTED_VALUE"""),"Cabin Crew")</f>
        <v>Cabin Crew</v>
      </c>
      <c r="L838" t="str">
        <f>IFERROR(__xludf.DUMMYFUNCTION("""COMPUTED_VALUE"""),"DMK")</f>
        <v>DMK</v>
      </c>
      <c r="M838" s="145" t="str">
        <f>IFERROR(__xludf.DUMMYFUNCTION("""COMPUTED_VALUE"""),"Um Home")</f>
        <v>Um Home</v>
      </c>
      <c r="N838" t="str">
        <f>IFERROR(__xludf.DUMMYFUNCTION("""COMPUTED_VALUE"""),"Active")</f>
        <v>Active</v>
      </c>
      <c r="P838" s="143">
        <f>IFERROR(__xludf.DUMMYFUNCTION("""COMPUTED_VALUE"""),34117.0)</f>
        <v>34117</v>
      </c>
      <c r="Q838" s="146" t="str">
        <f>IFERROR(__xludf.DUMMYFUNCTION("""COMPUTED_VALUE"""),"094-913-1997")</f>
        <v>094-913-1997</v>
      </c>
      <c r="R838" s="147" t="str">
        <f>IFERROR(__xludf.DUMMYFUNCTION("""COMPUTED_VALUE"""),"1100200-83-5014")</f>
        <v>1100200-83-5014</v>
      </c>
      <c r="S838" t="str">
        <f>IFERROR(__xludf.DUMMYFUNCTION("""COMPUTED_VALUE"""),"AC2262563")</f>
        <v>AC2262563</v>
      </c>
      <c r="T838" s="148">
        <f>IFERROR(__xludf.DUMMYFUNCTION("""COMPUTED_VALUE"""),44319.0)</f>
        <v>44319</v>
      </c>
      <c r="U838" s="148">
        <f>IFERROR(__xludf.DUMMYFUNCTION("""COMPUTED_VALUE"""),47970.0)</f>
        <v>47970</v>
      </c>
      <c r="V838" s="149">
        <f>IFERROR(__xludf.DUMMYFUNCTION("""COMPUTED_VALUE"""),47789.0)</f>
        <v>47789</v>
      </c>
      <c r="W838" t="str">
        <f>IFERROR(__xludf.DUMMYFUNCTION("""COMPUTED_VALUE"""),"ปลอดภัย")</f>
        <v>ปลอดภัย</v>
      </c>
      <c r="X838" t="str">
        <f>IFERROR(__xludf.DUMMYFUNCTION("""COMPUTED_VALUE"""),"Bangkok")</f>
        <v>Bangkok</v>
      </c>
      <c r="Y838" t="str">
        <f>IFERROR(__xludf.DUMMYFUNCTION("""COMPUTED_VALUE"""),"Bangkok")</f>
        <v>Bangkok</v>
      </c>
      <c r="Z838" t="str">
        <f>IFERROR(__xludf.DUMMYFUNCTION("""COMPUTED_VALUE"""),"085-239-7703")</f>
        <v>085-239-7703</v>
      </c>
      <c r="AA838" t="str">
        <f>IFERROR(__xludf.DUMMYFUNCTION("""COMPUTED_VALUE"""),"Porntip Jongsirisathaporn(Mother)")</f>
        <v>Porntip Jongsirisathaporn(Mother)</v>
      </c>
      <c r="AB838" t="str">
        <f>IFERROR(__xludf.DUMMYFUNCTION("""COMPUTED_VALUE"""),"sutattaj@airasia.com")</f>
        <v>sutattaj@airasia.com</v>
      </c>
    </row>
    <row r="839">
      <c r="A839">
        <f>IFERROR(__xludf.DUMMYFUNCTION("""COMPUTED_VALUE"""),1019224.0)</f>
        <v>1019224</v>
      </c>
      <c r="B839" t="str">
        <f>IFERROR(__xludf.DUMMYFUNCTION("""COMPUTED_VALUE"""),"Ms.")</f>
        <v>Ms.</v>
      </c>
      <c r="C839" t="str">
        <f>IFERROR(__xludf.DUMMYFUNCTION("""COMPUTED_VALUE"""),"Suwapit")</f>
        <v>Suwapit</v>
      </c>
      <c r="D839" t="str">
        <f>IFERROR(__xludf.DUMMYFUNCTION("""COMPUTED_VALUE"""),"Rapipong")</f>
        <v>Rapipong</v>
      </c>
      <c r="E839" t="str">
        <f>IFERROR(__xludf.DUMMYFUNCTION("""COMPUTED_VALUE"""),"Suwapit Rapipong")</f>
        <v>Suwapit Rapipong</v>
      </c>
      <c r="F839" t="str">
        <f>IFERROR(__xludf.DUMMYFUNCTION("""COMPUTED_VALUE"""),"นางสาว")</f>
        <v>นางสาว</v>
      </c>
      <c r="G839" t="str">
        <f>IFERROR(__xludf.DUMMYFUNCTION("""COMPUTED_VALUE"""),"สุวพิชญ์")</f>
        <v>สุวพิชญ์</v>
      </c>
      <c r="H839" t="str">
        <f>IFERROR(__xludf.DUMMYFUNCTION("""COMPUTED_VALUE"""),"ระพิพงษ์")</f>
        <v>ระพิพงษ์</v>
      </c>
      <c r="I839" t="str">
        <f>IFERROR(__xludf.DUMMYFUNCTION("""COMPUTED_VALUE"""),"สุวพิชญ์ ระพิพงษ์")</f>
        <v>สุวพิชญ์ ระพิพงษ์</v>
      </c>
      <c r="J839" t="str">
        <f>IFERROR(__xludf.DUMMYFUNCTION("""COMPUTED_VALUE"""),"Jaja / จ๊ะจ๋า")</f>
        <v>Jaja / จ๊ะจ๋า</v>
      </c>
      <c r="K839" t="str">
        <f>IFERROR(__xludf.DUMMYFUNCTION("""COMPUTED_VALUE"""),"Cabin Crew - CNX")</f>
        <v>Cabin Crew - CNX</v>
      </c>
      <c r="L839" t="str">
        <f>IFERROR(__xludf.DUMMYFUNCTION("""COMPUTED_VALUE"""),"CNX")</f>
        <v>CNX</v>
      </c>
      <c r="M839" s="145" t="str">
        <f>IFERROR(__xludf.DUMMYFUNCTION("""COMPUTED_VALUE"""),"Up Home")</f>
        <v>Up Home</v>
      </c>
      <c r="N839" t="str">
        <f>IFERROR(__xludf.DUMMYFUNCTION("""COMPUTED_VALUE"""),"Active")</f>
        <v>Active</v>
      </c>
      <c r="P839" s="143">
        <f>IFERROR(__xludf.DUMMYFUNCTION("""COMPUTED_VALUE"""),32744.0)</f>
        <v>32744</v>
      </c>
      <c r="Q839" s="146" t="str">
        <f>IFERROR(__xludf.DUMMYFUNCTION("""COMPUTED_VALUE"""),"062 249 0962")</f>
        <v>062 249 0962</v>
      </c>
      <c r="R839" s="147" t="str">
        <f>IFERROR(__xludf.DUMMYFUNCTION("""COMPUTED_VALUE"""),"1509900-74-7678")</f>
        <v>1509900-74-7678</v>
      </c>
      <c r="S839" t="str">
        <f>IFERROR(__xludf.DUMMYFUNCTION("""COMPUTED_VALUE"""),"AC2803149")</f>
        <v>AC2803149</v>
      </c>
      <c r="T839" s="148">
        <f>IFERROR(__xludf.DUMMYFUNCTION("""COMPUTED_VALUE"""),44511.0)</f>
        <v>44511</v>
      </c>
      <c r="U839" s="148">
        <f>IFERROR(__xludf.DUMMYFUNCTION("""COMPUTED_VALUE"""),48162.0)</f>
        <v>48162</v>
      </c>
      <c r="V839" s="149">
        <f>IFERROR(__xludf.DUMMYFUNCTION("""COMPUTED_VALUE"""),47978.0)</f>
        <v>47978</v>
      </c>
      <c r="W839" t="str">
        <f>IFERROR(__xludf.DUMMYFUNCTION("""COMPUTED_VALUE"""),"ปลอดภัย")</f>
        <v>ปลอดภัย</v>
      </c>
      <c r="X839" t="str">
        <f>IFERROR(__xludf.DUMMYFUNCTION("""COMPUTED_VALUE"""),"Chiang Mai Province")</f>
        <v>Chiang Mai Province</v>
      </c>
      <c r="Y839" t="str">
        <f>IFERROR(__xludf.DUMMYFUNCTION("""COMPUTED_VALUE"""),"Chiang Mai")</f>
        <v>Chiang Mai</v>
      </c>
      <c r="Z839" t="str">
        <f>IFERROR(__xludf.DUMMYFUNCTION("""COMPUTED_VALUE"""),"062-2490962")</f>
        <v>062-2490962</v>
      </c>
      <c r="AA839" t="str">
        <f>IFERROR(__xludf.DUMMYFUNCTION("""COMPUTED_VALUE"""),"Potjana Rapipong (Mother)")</f>
        <v>Potjana Rapipong (Mother)</v>
      </c>
      <c r="AB839" t="str">
        <f>IFERROR(__xludf.DUMMYFUNCTION("""COMPUTED_VALUE"""),"suwapitr@airasia.com")</f>
        <v>suwapitr@airasia.com</v>
      </c>
    </row>
    <row r="840">
      <c r="A840">
        <f>IFERROR(__xludf.DUMMYFUNCTION("""COMPUTED_VALUE"""),1019230.0)</f>
        <v>1019230</v>
      </c>
      <c r="B840" t="str">
        <f>IFERROR(__xludf.DUMMYFUNCTION("""COMPUTED_VALUE"""),"Ms.")</f>
        <v>Ms.</v>
      </c>
      <c r="C840" t="str">
        <f>IFERROR(__xludf.DUMMYFUNCTION("""COMPUTED_VALUE"""),"Thun")</f>
        <v>Thun</v>
      </c>
      <c r="D840" t="str">
        <f>IFERROR(__xludf.DUMMYFUNCTION("""COMPUTED_VALUE"""),"Anunchanin")</f>
        <v>Anunchanin</v>
      </c>
      <c r="E840" t="str">
        <f>IFERROR(__xludf.DUMMYFUNCTION("""COMPUTED_VALUE"""),"Thun Anunchanin")</f>
        <v>Thun Anunchanin</v>
      </c>
      <c r="F840" t="str">
        <f>IFERROR(__xludf.DUMMYFUNCTION("""COMPUTED_VALUE"""),"นางสาว")</f>
        <v>นางสาว</v>
      </c>
      <c r="G840" t="str">
        <f>IFERROR(__xludf.DUMMYFUNCTION("""COMPUTED_VALUE"""),"ธัญ")</f>
        <v>ธัญ</v>
      </c>
      <c r="H840" t="str">
        <f>IFERROR(__xludf.DUMMYFUNCTION("""COMPUTED_VALUE"""),"อนัญชนินทร์")</f>
        <v>อนัญชนินทร์</v>
      </c>
      <c r="I840" t="str">
        <f>IFERROR(__xludf.DUMMYFUNCTION("""COMPUTED_VALUE"""),"ธัญ อนัญชนินทร์")</f>
        <v>ธัญ อนัญชนินทร์</v>
      </c>
      <c r="J840" t="str">
        <f>IFERROR(__xludf.DUMMYFUNCTION("""COMPUTED_VALUE"""),"Fong / ฟอง")</f>
        <v>Fong / ฟอง</v>
      </c>
      <c r="K840" t="str">
        <f>IFERROR(__xludf.DUMMYFUNCTION("""COMPUTED_VALUE"""),"Cabin Crew")</f>
        <v>Cabin Crew</v>
      </c>
      <c r="L840" t="str">
        <f>IFERROR(__xludf.DUMMYFUNCTION("""COMPUTED_VALUE"""),"DMK")</f>
        <v>DMK</v>
      </c>
      <c r="M840" s="145" t="str">
        <f>IFERROR(__xludf.DUMMYFUNCTION("""COMPUTED_VALUE"""),"Um Home")</f>
        <v>Um Home</v>
      </c>
      <c r="N840" t="str">
        <f>IFERROR(__xludf.DUMMYFUNCTION("""COMPUTED_VALUE"""),"Active")</f>
        <v>Active</v>
      </c>
      <c r="P840" s="143">
        <f>IFERROR(__xludf.DUMMYFUNCTION("""COMPUTED_VALUE"""),33098.0)</f>
        <v>33098</v>
      </c>
      <c r="Q840" s="146" t="str">
        <f>IFERROR(__xludf.DUMMYFUNCTION("""COMPUTED_VALUE"""),"092-1924549")</f>
        <v>092-1924549</v>
      </c>
      <c r="R840" s="147" t="str">
        <f>IFERROR(__xludf.DUMMYFUNCTION("""COMPUTED_VALUE"""),"1100600-19-6434")</f>
        <v>1100600-19-6434</v>
      </c>
      <c r="S840" t="str">
        <f>IFERROR(__xludf.DUMMYFUNCTION("""COMPUTED_VALUE"""),"AC5726281")</f>
        <v>AC5726281</v>
      </c>
      <c r="T840" s="148">
        <f>IFERROR(__xludf.DUMMYFUNCTION("""COMPUTED_VALUE"""),45187.0)</f>
        <v>45187</v>
      </c>
      <c r="U840" s="148">
        <f>IFERROR(__xludf.DUMMYFUNCTION("""COMPUTED_VALUE"""),48839.0)</f>
        <v>48839</v>
      </c>
      <c r="V840" s="149">
        <f>IFERROR(__xludf.DUMMYFUNCTION("""COMPUTED_VALUE"""),48655.0)</f>
        <v>48655</v>
      </c>
      <c r="W840" t="str">
        <f>IFERROR(__xludf.DUMMYFUNCTION("""COMPUTED_VALUE"""),"ปลอดภัย")</f>
        <v>ปลอดภัย</v>
      </c>
      <c r="X840" t="str">
        <f>IFERROR(__xludf.DUMMYFUNCTION("""COMPUTED_VALUE"""),"Bangkok")</f>
        <v>Bangkok</v>
      </c>
      <c r="Y840" t="str">
        <f>IFERROR(__xludf.DUMMYFUNCTION("""COMPUTED_VALUE"""),"Rayong")</f>
        <v>Rayong</v>
      </c>
      <c r="Z840" t="str">
        <f>IFERROR(__xludf.DUMMYFUNCTION("""COMPUTED_VALUE"""),"086-337-2809")</f>
        <v>086-337-2809</v>
      </c>
      <c r="AA840" t="str">
        <f>IFERROR(__xludf.DUMMYFUNCTION("""COMPUTED_VALUE"""),"Suporn Anunchanin (Mother)")</f>
        <v>Suporn Anunchanin (Mother)</v>
      </c>
      <c r="AB840" t="str">
        <f>IFERROR(__xludf.DUMMYFUNCTION("""COMPUTED_VALUE"""),"thuna@airasia.com")</f>
        <v>thuna@airasia.com</v>
      </c>
    </row>
    <row r="841">
      <c r="AB841" t="str">
        <f>IFERROR(__xludf.DUMMYFUNCTION("""COMPUTED_VALUE"""),"")</f>
        <v/>
      </c>
    </row>
    <row r="842">
      <c r="A842">
        <f>IFERROR(__xludf.DUMMYFUNCTION("""COMPUTED_VALUE"""),1019293.0)</f>
        <v>1019293</v>
      </c>
      <c r="B842" t="str">
        <f>IFERROR(__xludf.DUMMYFUNCTION("""COMPUTED_VALUE"""),"Mr.")</f>
        <v>Mr.</v>
      </c>
      <c r="C842" t="str">
        <f>IFERROR(__xludf.DUMMYFUNCTION("""COMPUTED_VALUE"""),"Ittiphol")</f>
        <v>Ittiphol</v>
      </c>
      <c r="D842" t="str">
        <f>IFERROR(__xludf.DUMMYFUNCTION("""COMPUTED_VALUE"""),"Boontan")</f>
        <v>Boontan</v>
      </c>
      <c r="E842" t="str">
        <f>IFERROR(__xludf.DUMMYFUNCTION("""COMPUTED_VALUE"""),"Ittiphol Boontan")</f>
        <v>Ittiphol Boontan</v>
      </c>
      <c r="F842" t="str">
        <f>IFERROR(__xludf.DUMMYFUNCTION("""COMPUTED_VALUE"""),"นาย")</f>
        <v>นาย</v>
      </c>
      <c r="G842" t="str">
        <f>IFERROR(__xludf.DUMMYFUNCTION("""COMPUTED_VALUE"""),"อิทธิพล")</f>
        <v>อิทธิพล</v>
      </c>
      <c r="H842" t="str">
        <f>IFERROR(__xludf.DUMMYFUNCTION("""COMPUTED_VALUE"""),"บุญแทน")</f>
        <v>บุญแทน</v>
      </c>
      <c r="I842" t="str">
        <f>IFERROR(__xludf.DUMMYFUNCTION("""COMPUTED_VALUE"""),"อิทธิพล บุญแทน")</f>
        <v>อิทธิพล บุญแทน</v>
      </c>
      <c r="J842" t="str">
        <f>IFERROR(__xludf.DUMMYFUNCTION("""COMPUTED_VALUE"""),"Zing / ซิ่ง")</f>
        <v>Zing / ซิ่ง</v>
      </c>
      <c r="K842" t="str">
        <f>IFERROR(__xludf.DUMMYFUNCTION("""COMPUTED_VALUE"""),"Cabin Crew")</f>
        <v>Cabin Crew</v>
      </c>
      <c r="L842" t="str">
        <f>IFERROR(__xludf.DUMMYFUNCTION("""COMPUTED_VALUE"""),"DMK")</f>
        <v>DMK</v>
      </c>
      <c r="M842" s="145" t="str">
        <f>IFERROR(__xludf.DUMMYFUNCTION("""COMPUTED_VALUE"""),"Um Home")</f>
        <v>Um Home</v>
      </c>
      <c r="N842" t="str">
        <f>IFERROR(__xludf.DUMMYFUNCTION("""COMPUTED_VALUE"""),"Active")</f>
        <v>Active</v>
      </c>
      <c r="P842" s="143">
        <f>IFERROR(__xludf.DUMMYFUNCTION("""COMPUTED_VALUE"""),32890.0)</f>
        <v>32890</v>
      </c>
      <c r="Q842" s="146" t="str">
        <f>IFERROR(__xludf.DUMMYFUNCTION("""COMPUTED_VALUE"""),"091-595-3919")</f>
        <v>091-595-3919</v>
      </c>
      <c r="R842" s="147" t="str">
        <f>IFERROR(__xludf.DUMMYFUNCTION("""COMPUTED_VALUE"""),"1 84100 0048 12 9")</f>
        <v>1 84100 0048 12 9</v>
      </c>
      <c r="S842" t="str">
        <f>IFERROR(__xludf.DUMMYFUNCTION("""COMPUTED_VALUE"""),"AC6738330")</f>
        <v>AC6738330</v>
      </c>
      <c r="T842" s="148">
        <f>IFERROR(__xludf.DUMMYFUNCTION("""COMPUTED_VALUE"""),45419.0)</f>
        <v>45419</v>
      </c>
      <c r="U842" s="148">
        <f>IFERROR(__xludf.DUMMYFUNCTION("""COMPUTED_VALUE"""),49070.0)</f>
        <v>49070</v>
      </c>
      <c r="V842" s="149">
        <f>IFERROR(__xludf.DUMMYFUNCTION("""COMPUTED_VALUE"""),48889.0)</f>
        <v>48889</v>
      </c>
      <c r="W842" t="str">
        <f>IFERROR(__xludf.DUMMYFUNCTION("""COMPUTED_VALUE"""),"ปลอดภัย")</f>
        <v>ปลอดภัย</v>
      </c>
      <c r="X842" t="str">
        <f>IFERROR(__xludf.DUMMYFUNCTION("""COMPUTED_VALUE"""),"Surat Thani Province")</f>
        <v>Surat Thani Province</v>
      </c>
      <c r="Y842" t="str">
        <f>IFERROR(__xludf.DUMMYFUNCTION("""COMPUTED_VALUE"""),"Bangkok")</f>
        <v>Bangkok</v>
      </c>
      <c r="Z842" t="str">
        <f>IFERROR(__xludf.DUMMYFUNCTION("""COMPUTED_VALUE"""),"084-228-6449")</f>
        <v>084-228-6449</v>
      </c>
      <c r="AA842" t="str">
        <f>IFERROR(__xludf.DUMMYFUNCTION("""COMPUTED_VALUE"""),"Piyathida Seabanyung (Sister)")</f>
        <v>Piyathida Seabanyung (Sister)</v>
      </c>
      <c r="AB842" t="str">
        <f>IFERROR(__xludf.DUMMYFUNCTION("""COMPUTED_VALUE"""),"ittipholb@airasia.com")</f>
        <v>ittipholb@airasia.com</v>
      </c>
    </row>
    <row r="843">
      <c r="A843">
        <f>IFERROR(__xludf.DUMMYFUNCTION("""COMPUTED_VALUE"""),1019294.0)</f>
        <v>1019294</v>
      </c>
      <c r="B843" t="str">
        <f>IFERROR(__xludf.DUMMYFUNCTION("""COMPUTED_VALUE"""),"Mr.")</f>
        <v>Mr.</v>
      </c>
      <c r="C843" t="str">
        <f>IFERROR(__xludf.DUMMYFUNCTION("""COMPUTED_VALUE"""),"Kritsada")</f>
        <v>Kritsada</v>
      </c>
      <c r="D843" t="str">
        <f>IFERROR(__xludf.DUMMYFUNCTION("""COMPUTED_VALUE"""),"Atsawaphonsakun")</f>
        <v>Atsawaphonsakun</v>
      </c>
      <c r="E843" t="str">
        <f>IFERROR(__xludf.DUMMYFUNCTION("""COMPUTED_VALUE"""),"Kritsada Atsawaphonsakun")</f>
        <v>Kritsada Atsawaphonsakun</v>
      </c>
      <c r="F843" t="str">
        <f>IFERROR(__xludf.DUMMYFUNCTION("""COMPUTED_VALUE"""),"นาย")</f>
        <v>นาย</v>
      </c>
      <c r="G843" t="str">
        <f>IFERROR(__xludf.DUMMYFUNCTION("""COMPUTED_VALUE"""),"กฤษฎา")</f>
        <v>กฤษฎา</v>
      </c>
      <c r="H843" t="str">
        <f>IFERROR(__xludf.DUMMYFUNCTION("""COMPUTED_VALUE"""),"อัศวพรสกุล")</f>
        <v>อัศวพรสกุล</v>
      </c>
      <c r="I843" t="str">
        <f>IFERROR(__xludf.DUMMYFUNCTION("""COMPUTED_VALUE"""),"กฤษฎา อัศวพรสกุล")</f>
        <v>กฤษฎา อัศวพรสกุล</v>
      </c>
      <c r="J843" t="str">
        <f>IFERROR(__xludf.DUMMYFUNCTION("""COMPUTED_VALUE"""),"Jian/เจี้ยน")</f>
        <v>Jian/เจี้ยน</v>
      </c>
      <c r="K843" t="str">
        <f>IFERROR(__xludf.DUMMYFUNCTION("""COMPUTED_VALUE"""),"Cabin Crew")</f>
        <v>Cabin Crew</v>
      </c>
      <c r="L843" t="str">
        <f>IFERROR(__xludf.DUMMYFUNCTION("""COMPUTED_VALUE"""),"DMK")</f>
        <v>DMK</v>
      </c>
      <c r="M843" s="145" t="str">
        <f>IFERROR(__xludf.DUMMYFUNCTION("""COMPUTED_VALUE"""),"Kor Home")</f>
        <v>Kor Home</v>
      </c>
      <c r="N843" t="str">
        <f>IFERROR(__xludf.DUMMYFUNCTION("""COMPUTED_VALUE"""),"V/LWP")</f>
        <v>V/LWP</v>
      </c>
      <c r="P843" s="143">
        <f>IFERROR(__xludf.DUMMYFUNCTION("""COMPUTED_VALUE"""),33458.0)</f>
        <v>33458</v>
      </c>
      <c r="Q843" s="146" t="str">
        <f>IFERROR(__xludf.DUMMYFUNCTION("""COMPUTED_VALUE"""),"080-910-8278")</f>
        <v>080-910-8278</v>
      </c>
      <c r="R843" s="147" t="str">
        <f>IFERROR(__xludf.DUMMYFUNCTION("""COMPUTED_VALUE"""),"1 5799 00374 84 7")</f>
        <v>1 5799 00374 84 7</v>
      </c>
      <c r="S843" t="str">
        <f>IFERROR(__xludf.DUMMYFUNCTION("""COMPUTED_VALUE"""),"AC4486961")</f>
        <v>AC4486961</v>
      </c>
      <c r="T843" s="148">
        <f>IFERROR(__xludf.DUMMYFUNCTION("""COMPUTED_VALUE"""),44985.0)</f>
        <v>44985</v>
      </c>
      <c r="U843" s="148">
        <f>IFERROR(__xludf.DUMMYFUNCTION("""COMPUTED_VALUE"""),48637.0)</f>
        <v>48637</v>
      </c>
      <c r="V843" s="149">
        <f>IFERROR(__xludf.DUMMYFUNCTION("""COMPUTED_VALUE"""),48453.0)</f>
        <v>48453</v>
      </c>
      <c r="W843" t="str">
        <f>IFERROR(__xludf.DUMMYFUNCTION("""COMPUTED_VALUE"""),"ปลอดภัย")</f>
        <v>ปลอดภัย</v>
      </c>
      <c r="X843" t="str">
        <f>IFERROR(__xludf.DUMMYFUNCTION("""COMPUTED_VALUE"""),"Chiang Rai Province")</f>
        <v>Chiang Rai Province</v>
      </c>
      <c r="Y843" t="str">
        <f>IFERROR(__xludf.DUMMYFUNCTION("""COMPUTED_VALUE"""),"Bangkok")</f>
        <v>Bangkok</v>
      </c>
      <c r="Z843">
        <f>IFERROR(__xludf.DUMMYFUNCTION("""COMPUTED_VALUE"""),8.15309995E8)</f>
        <v>815309995</v>
      </c>
      <c r="AA843" t="str">
        <f>IFERROR(__xludf.DUMMYFUNCTION("""COMPUTED_VALUE"""),"Chutamak Atsawaphonsakun(Mother)")</f>
        <v>Chutamak Atsawaphonsakun(Mother)</v>
      </c>
      <c r="AB843" t="str">
        <f>IFERROR(__xludf.DUMMYFUNCTION("""COMPUTED_VALUE"""),"kritsadah@airasia.com")</f>
        <v>kritsadah@airasia.com</v>
      </c>
    </row>
    <row r="844">
      <c r="A844">
        <f>IFERROR(__xludf.DUMMYFUNCTION("""COMPUTED_VALUE"""),1019295.0)</f>
        <v>1019295</v>
      </c>
      <c r="B844" t="str">
        <f>IFERROR(__xludf.DUMMYFUNCTION("""COMPUTED_VALUE"""),"Ms.")</f>
        <v>Ms.</v>
      </c>
      <c r="C844" t="str">
        <f>IFERROR(__xludf.DUMMYFUNCTION("""COMPUTED_VALUE"""),"Methawee")</f>
        <v>Methawee</v>
      </c>
      <c r="D844" t="str">
        <f>IFERROR(__xludf.DUMMYFUNCTION("""COMPUTED_VALUE"""),"Yos-in")</f>
        <v>Yos-in</v>
      </c>
      <c r="E844" t="str">
        <f>IFERROR(__xludf.DUMMYFUNCTION("""COMPUTED_VALUE"""),"Methawee Yos-in")</f>
        <v>Methawee Yos-in</v>
      </c>
      <c r="F844" t="str">
        <f>IFERROR(__xludf.DUMMYFUNCTION("""COMPUTED_VALUE"""),"นางสาว")</f>
        <v>นางสาว</v>
      </c>
      <c r="G844" t="str">
        <f>IFERROR(__xludf.DUMMYFUNCTION("""COMPUTED_VALUE"""),"เมธาวี")</f>
        <v>เมธาวี</v>
      </c>
      <c r="H844" t="str">
        <f>IFERROR(__xludf.DUMMYFUNCTION("""COMPUTED_VALUE"""),"ยศอินทร์")</f>
        <v>ยศอินทร์</v>
      </c>
      <c r="I844" t="str">
        <f>IFERROR(__xludf.DUMMYFUNCTION("""COMPUTED_VALUE"""),"เมธาวี ยศอินทร์")</f>
        <v>เมธาวี ยศอินทร์</v>
      </c>
      <c r="J844" t="str">
        <f>IFERROR(__xludf.DUMMYFUNCTION("""COMPUTED_VALUE"""),"Praew / แพรว")</f>
        <v>Praew / แพรว</v>
      </c>
      <c r="K844" t="str">
        <f>IFERROR(__xludf.DUMMYFUNCTION("""COMPUTED_VALUE"""),"Cabin Crew")</f>
        <v>Cabin Crew</v>
      </c>
      <c r="L844" t="str">
        <f>IFERROR(__xludf.DUMMYFUNCTION("""COMPUTED_VALUE"""),"DMK")</f>
        <v>DMK</v>
      </c>
      <c r="M844" s="145" t="str">
        <f>IFERROR(__xludf.DUMMYFUNCTION("""COMPUTED_VALUE"""),"Por+ Home")</f>
        <v>Por+ Home</v>
      </c>
      <c r="N844" t="str">
        <f>IFERROR(__xludf.DUMMYFUNCTION("""COMPUTED_VALUE"""),"Active")</f>
        <v>Active</v>
      </c>
      <c r="P844" s="143">
        <f>IFERROR(__xludf.DUMMYFUNCTION("""COMPUTED_VALUE"""),33555.0)</f>
        <v>33555</v>
      </c>
      <c r="Q844" s="146" t="str">
        <f>IFERROR(__xludf.DUMMYFUNCTION("""COMPUTED_VALUE"""),"091-726-2456")</f>
        <v>091-726-2456</v>
      </c>
      <c r="R844" s="147" t="str">
        <f>IFERROR(__xludf.DUMMYFUNCTION("""COMPUTED_VALUE"""),"1 1037 00634 64 9")</f>
        <v>1 1037 00634 64 9</v>
      </c>
      <c r="S844" t="str">
        <f>IFERROR(__xludf.DUMMYFUNCTION("""COMPUTED_VALUE"""),"AC2604351")</f>
        <v>AC2604351</v>
      </c>
      <c r="T844" s="148">
        <f>IFERROR(__xludf.DUMMYFUNCTION("""COMPUTED_VALUE"""),44531.0)</f>
        <v>44531</v>
      </c>
      <c r="U844" s="148">
        <f>IFERROR(__xludf.DUMMYFUNCTION("""COMPUTED_VALUE"""),48182.0)</f>
        <v>48182</v>
      </c>
      <c r="V844" s="149">
        <f>IFERROR(__xludf.DUMMYFUNCTION("""COMPUTED_VALUE"""),47998.0)</f>
        <v>47998</v>
      </c>
      <c r="W844" t="str">
        <f>IFERROR(__xludf.DUMMYFUNCTION("""COMPUTED_VALUE"""),"ปลอดภัย")</f>
        <v>ปลอดภัย</v>
      </c>
      <c r="X844" t="str">
        <f>IFERROR(__xludf.DUMMYFUNCTION("""COMPUTED_VALUE"""),"Bangkok")</f>
        <v>Bangkok</v>
      </c>
      <c r="Y844" t="str">
        <f>IFERROR(__xludf.DUMMYFUNCTION("""COMPUTED_VALUE"""),"Trat")</f>
        <v>Trat</v>
      </c>
      <c r="Z844" t="str">
        <f>IFERROR(__xludf.DUMMYFUNCTION("""COMPUTED_VALUE"""),"080-8909850")</f>
        <v>080-8909850</v>
      </c>
      <c r="AA844" t="str">
        <f>IFERROR(__xludf.DUMMYFUNCTION("""COMPUTED_VALUE"""),"Manus Yos-in (Father)")</f>
        <v>Manus Yos-in (Father)</v>
      </c>
      <c r="AB844" t="str">
        <f>IFERROR(__xludf.DUMMYFUNCTION("""COMPUTED_VALUE"""),"methaweey@airasia.com")</f>
        <v>methaweey@airasia.com</v>
      </c>
    </row>
    <row r="845">
      <c r="A845">
        <f>IFERROR(__xludf.DUMMYFUNCTION("""COMPUTED_VALUE"""),1019297.0)</f>
        <v>1019297</v>
      </c>
      <c r="B845" t="str">
        <f>IFERROR(__xludf.DUMMYFUNCTION("""COMPUTED_VALUE"""),"Ms.")</f>
        <v>Ms.</v>
      </c>
      <c r="C845" t="str">
        <f>IFERROR(__xludf.DUMMYFUNCTION("""COMPUTED_VALUE"""),"Norramon")</f>
        <v>Norramon</v>
      </c>
      <c r="D845" t="str">
        <f>IFERROR(__xludf.DUMMYFUNCTION("""COMPUTED_VALUE"""),"Nakkara")</f>
        <v>Nakkara</v>
      </c>
      <c r="E845" t="str">
        <f>IFERROR(__xludf.DUMMYFUNCTION("""COMPUTED_VALUE"""),"Norramon Nakkara")</f>
        <v>Norramon Nakkara</v>
      </c>
      <c r="F845" t="str">
        <f>IFERROR(__xludf.DUMMYFUNCTION("""COMPUTED_VALUE"""),"นางสาว")</f>
        <v>นางสาว</v>
      </c>
      <c r="G845" t="str">
        <f>IFERROR(__xludf.DUMMYFUNCTION("""COMPUTED_VALUE"""),"นรมน")</f>
        <v>นรมน</v>
      </c>
      <c r="H845" t="str">
        <f>IFERROR(__xludf.DUMMYFUNCTION("""COMPUTED_VALUE"""),"นัครา")</f>
        <v>นัครา</v>
      </c>
      <c r="I845" t="str">
        <f>IFERROR(__xludf.DUMMYFUNCTION("""COMPUTED_VALUE"""),"นรมน นัครา")</f>
        <v>นรมน นัครา</v>
      </c>
      <c r="J845" t="str">
        <f>IFERROR(__xludf.DUMMYFUNCTION("""COMPUTED_VALUE"""),"Bua / บัว")</f>
        <v>Bua / บัว</v>
      </c>
      <c r="K845" t="str">
        <f>IFERROR(__xludf.DUMMYFUNCTION("""COMPUTED_VALUE"""),"Cabin Crew")</f>
        <v>Cabin Crew</v>
      </c>
      <c r="L845" t="str">
        <f>IFERROR(__xludf.DUMMYFUNCTION("""COMPUTED_VALUE"""),"DMK")</f>
        <v>DMK</v>
      </c>
      <c r="M845" s="145" t="str">
        <f>IFERROR(__xludf.DUMMYFUNCTION("""COMPUTED_VALUE"""),"Kor Home")</f>
        <v>Kor Home</v>
      </c>
      <c r="N845" t="str">
        <f>IFERROR(__xludf.DUMMYFUNCTION("""COMPUTED_VALUE"""),"Active")</f>
        <v>Active</v>
      </c>
      <c r="P845" s="143">
        <f>IFERROR(__xludf.DUMMYFUNCTION("""COMPUTED_VALUE"""),34190.0)</f>
        <v>34190</v>
      </c>
      <c r="Q845" s="146" t="str">
        <f>IFERROR(__xludf.DUMMYFUNCTION("""COMPUTED_VALUE"""),"065 629 4965")</f>
        <v>065 629 4965</v>
      </c>
      <c r="R845" s="147" t="str">
        <f>IFERROR(__xludf.DUMMYFUNCTION("""COMPUTED_VALUE"""),"1 9098 00739 49 1")</f>
        <v>1 9098 00739 49 1</v>
      </c>
      <c r="S845" t="str">
        <f>IFERROR(__xludf.DUMMYFUNCTION("""COMPUTED_VALUE"""),"AD1395166")</f>
        <v>AD1395166</v>
      </c>
      <c r="T845" s="148">
        <f>IFERROR(__xludf.DUMMYFUNCTION("""COMPUTED_VALUE"""),45236.0)</f>
        <v>45236</v>
      </c>
      <c r="U845" s="148">
        <f>IFERROR(__xludf.DUMMYFUNCTION("""COMPUTED_VALUE"""),48888.0)</f>
        <v>48888</v>
      </c>
      <c r="V845" s="149">
        <f>IFERROR(__xludf.DUMMYFUNCTION("""COMPUTED_VALUE"""),48704.0)</f>
        <v>48704</v>
      </c>
      <c r="W845" t="str">
        <f>IFERROR(__xludf.DUMMYFUNCTION("""COMPUTED_VALUE"""),"ปลอดภัย")</f>
        <v>ปลอดภัย</v>
      </c>
      <c r="X845" t="str">
        <f>IFERROR(__xludf.DUMMYFUNCTION("""COMPUTED_VALUE"""),"Songkhla Province")</f>
        <v>Songkhla Province</v>
      </c>
      <c r="Y845" t="str">
        <f>IFERROR(__xludf.DUMMYFUNCTION("""COMPUTED_VALUE"""),"Bangkok")</f>
        <v>Bangkok</v>
      </c>
      <c r="Z845" t="str">
        <f>IFERROR(__xludf.DUMMYFUNCTION("""COMPUTED_VALUE"""),"090-220-2570")</f>
        <v>090-220-2570</v>
      </c>
      <c r="AA845" t="str">
        <f>IFERROR(__xludf.DUMMYFUNCTION("""COMPUTED_VALUE"""),"Siriluck Nakkara(Mother)")</f>
        <v>Siriluck Nakkara(Mother)</v>
      </c>
      <c r="AB845" t="str">
        <f>IFERROR(__xludf.DUMMYFUNCTION("""COMPUTED_VALUE"""),"norramonn@airasia.com")</f>
        <v>norramonn@airasia.com</v>
      </c>
    </row>
    <row r="846">
      <c r="A846">
        <f>IFERROR(__xludf.DUMMYFUNCTION("""COMPUTED_VALUE"""),1019299.0)</f>
        <v>1019299</v>
      </c>
      <c r="B846" t="str">
        <f>IFERROR(__xludf.DUMMYFUNCTION("""COMPUTED_VALUE"""),"Ms.")</f>
        <v>Ms.</v>
      </c>
      <c r="C846" t="str">
        <f>IFERROR(__xludf.DUMMYFUNCTION("""COMPUTED_VALUE"""),"Phattaraporn")</f>
        <v>Phattaraporn</v>
      </c>
      <c r="D846" t="str">
        <f>IFERROR(__xludf.DUMMYFUNCTION("""COMPUTED_VALUE"""),"Jindapol")</f>
        <v>Jindapol</v>
      </c>
      <c r="E846" t="str">
        <f>IFERROR(__xludf.DUMMYFUNCTION("""COMPUTED_VALUE"""),"Phattaraporn Jindapol")</f>
        <v>Phattaraporn Jindapol</v>
      </c>
      <c r="F846" t="str">
        <f>IFERROR(__xludf.DUMMYFUNCTION("""COMPUTED_VALUE"""),"นางสาว")</f>
        <v>นางสาว</v>
      </c>
      <c r="G846" t="str">
        <f>IFERROR(__xludf.DUMMYFUNCTION("""COMPUTED_VALUE"""),"ภัทรภร")</f>
        <v>ภัทรภร</v>
      </c>
      <c r="H846" t="str">
        <f>IFERROR(__xludf.DUMMYFUNCTION("""COMPUTED_VALUE"""),"จินดาพล")</f>
        <v>จินดาพล</v>
      </c>
      <c r="I846" t="str">
        <f>IFERROR(__xludf.DUMMYFUNCTION("""COMPUTED_VALUE"""),"ภัทรภร จินดาพล")</f>
        <v>ภัทรภร จินดาพล</v>
      </c>
      <c r="J846" t="str">
        <f>IFERROR(__xludf.DUMMYFUNCTION("""COMPUTED_VALUE"""),"Batt / แบด")</f>
        <v>Batt / แบด</v>
      </c>
      <c r="K846" t="str">
        <f>IFERROR(__xludf.DUMMYFUNCTION("""COMPUTED_VALUE"""),"Cabin Crew")</f>
        <v>Cabin Crew</v>
      </c>
      <c r="L846" t="str">
        <f>IFERROR(__xludf.DUMMYFUNCTION("""COMPUTED_VALUE"""),"DMK")</f>
        <v>DMK</v>
      </c>
      <c r="M846" s="145" t="str">
        <f>IFERROR(__xludf.DUMMYFUNCTION("""COMPUTED_VALUE"""),"Por+ Home")</f>
        <v>Por+ Home</v>
      </c>
      <c r="N846" t="str">
        <f>IFERROR(__xludf.DUMMYFUNCTION("""COMPUTED_VALUE"""),"V/LWP")</f>
        <v>V/LWP</v>
      </c>
      <c r="P846" s="143">
        <f>IFERROR(__xludf.DUMMYFUNCTION("""COMPUTED_VALUE"""),32827.0)</f>
        <v>32827</v>
      </c>
      <c r="Q846" s="146" t="str">
        <f>IFERROR(__xludf.DUMMYFUNCTION("""COMPUTED_VALUE"""),"062-656-6455")</f>
        <v>062-656-6455</v>
      </c>
      <c r="R846" s="147" t="str">
        <f>IFERROR(__xludf.DUMMYFUNCTION("""COMPUTED_VALUE"""),"1 8399 00176 10 4")</f>
        <v>1 8399 00176 10 4</v>
      </c>
      <c r="S846" t="str">
        <f>IFERROR(__xludf.DUMMYFUNCTION("""COMPUTED_VALUE"""),"AC2612811")</f>
        <v>AC2612811</v>
      </c>
      <c r="T846" s="148">
        <f>IFERROR(__xludf.DUMMYFUNCTION("""COMPUTED_VALUE"""),44539.0)</f>
        <v>44539</v>
      </c>
      <c r="U846" s="148">
        <f>IFERROR(__xludf.DUMMYFUNCTION("""COMPUTED_VALUE"""),48190.0)</f>
        <v>48190</v>
      </c>
      <c r="V846" s="149">
        <f>IFERROR(__xludf.DUMMYFUNCTION("""COMPUTED_VALUE"""),48007.0)</f>
        <v>48007</v>
      </c>
      <c r="W846" t="str">
        <f>IFERROR(__xludf.DUMMYFUNCTION("""COMPUTED_VALUE"""),"ปลอดภัย")</f>
        <v>ปลอดภัย</v>
      </c>
      <c r="X846" t="str">
        <f>IFERROR(__xludf.DUMMYFUNCTION("""COMPUTED_VALUE"""),"Phuket Province")</f>
        <v>Phuket Province</v>
      </c>
      <c r="Y846" t="str">
        <f>IFERROR(__xludf.DUMMYFUNCTION("""COMPUTED_VALUE"""),"Pathumthani")</f>
        <v>Pathumthani</v>
      </c>
      <c r="Z846" t="str">
        <f>IFERROR(__xludf.DUMMYFUNCTION("""COMPUTED_VALUE"""),"098-651-5514")</f>
        <v>098-651-5514</v>
      </c>
      <c r="AA846" t="str">
        <f>IFERROR(__xludf.DUMMYFUNCTION("""COMPUTED_VALUE"""),"Prapat Yasanop")</f>
        <v>Prapat Yasanop</v>
      </c>
      <c r="AB846" t="str">
        <f>IFERROR(__xludf.DUMMYFUNCTION("""COMPUTED_VALUE"""),"phattarapornj@airasia.com")</f>
        <v>phattarapornj@airasia.com</v>
      </c>
    </row>
    <row r="847">
      <c r="A847">
        <f>IFERROR(__xludf.DUMMYFUNCTION("""COMPUTED_VALUE"""),1019300.0)</f>
        <v>1019300</v>
      </c>
      <c r="B847" t="str">
        <f>IFERROR(__xludf.DUMMYFUNCTION("""COMPUTED_VALUE"""),"Ms.")</f>
        <v>Ms.</v>
      </c>
      <c r="C847" t="str">
        <f>IFERROR(__xludf.DUMMYFUNCTION("""COMPUTED_VALUE"""),"Piyaporn")</f>
        <v>Piyaporn</v>
      </c>
      <c r="D847" t="str">
        <f>IFERROR(__xludf.DUMMYFUNCTION("""COMPUTED_VALUE"""),"Mogchai")</f>
        <v>Mogchai</v>
      </c>
      <c r="E847" t="str">
        <f>IFERROR(__xludf.DUMMYFUNCTION("""COMPUTED_VALUE"""),"Piyaporn Mogchai")</f>
        <v>Piyaporn Mogchai</v>
      </c>
      <c r="F847" t="str">
        <f>IFERROR(__xludf.DUMMYFUNCTION("""COMPUTED_VALUE"""),"นางสาว")</f>
        <v>นางสาว</v>
      </c>
      <c r="G847" t="str">
        <f>IFERROR(__xludf.DUMMYFUNCTION("""COMPUTED_VALUE"""),"ปิยะภรณ์")</f>
        <v>ปิยะภรณ์</v>
      </c>
      <c r="H847" t="str">
        <f>IFERROR(__xludf.DUMMYFUNCTION("""COMPUTED_VALUE"""),"หมอกชัย")</f>
        <v>หมอกชัย</v>
      </c>
      <c r="I847" t="str">
        <f>IFERROR(__xludf.DUMMYFUNCTION("""COMPUTED_VALUE"""),"ปิยะภรณ์ หมอกชัย")</f>
        <v>ปิยะภรณ์ หมอกชัย</v>
      </c>
      <c r="J847" t="str">
        <f>IFERROR(__xludf.DUMMYFUNCTION("""COMPUTED_VALUE"""),"Maem / แหม่ม")</f>
        <v>Maem / แหม่ม</v>
      </c>
      <c r="K847" t="str">
        <f>IFERROR(__xludf.DUMMYFUNCTION("""COMPUTED_VALUE"""),"Cabin Crew")</f>
        <v>Cabin Crew</v>
      </c>
      <c r="L847" t="str">
        <f>IFERROR(__xludf.DUMMYFUNCTION("""COMPUTED_VALUE"""),"DMK")</f>
        <v>DMK</v>
      </c>
      <c r="M847" s="145" t="str">
        <f>IFERROR(__xludf.DUMMYFUNCTION("""COMPUTED_VALUE"""),"Namfon Home")</f>
        <v>Namfon Home</v>
      </c>
      <c r="N847" t="str">
        <f>IFERROR(__xludf.DUMMYFUNCTION("""COMPUTED_VALUE"""),"Active")</f>
        <v>Active</v>
      </c>
      <c r="P847" s="143">
        <f>IFERROR(__xludf.DUMMYFUNCTION("""COMPUTED_VALUE"""),34196.0)</f>
        <v>34196</v>
      </c>
      <c r="Q847" s="146" t="str">
        <f>IFERROR(__xludf.DUMMYFUNCTION("""COMPUTED_VALUE"""),"088-992-4939")</f>
        <v>088-992-4939</v>
      </c>
      <c r="R847" s="147" t="str">
        <f>IFERROR(__xludf.DUMMYFUNCTION("""COMPUTED_VALUE"""),"1 4096 00151 78 9")</f>
        <v>1 4096 00151 78 9</v>
      </c>
      <c r="S847" t="str">
        <f>IFERROR(__xludf.DUMMYFUNCTION("""COMPUTED_VALUE"""),"AC2922177")</f>
        <v>AC2922177</v>
      </c>
      <c r="T847" s="148">
        <f>IFERROR(__xludf.DUMMYFUNCTION("""COMPUTED_VALUE"""),44624.0)</f>
        <v>44624</v>
      </c>
      <c r="U847" s="148">
        <f>IFERROR(__xludf.DUMMYFUNCTION("""COMPUTED_VALUE"""),48276.0)</f>
        <v>48276</v>
      </c>
      <c r="V847" s="149">
        <f>IFERROR(__xludf.DUMMYFUNCTION("""COMPUTED_VALUE"""),48094.0)</f>
        <v>48094</v>
      </c>
      <c r="W847" t="str">
        <f>IFERROR(__xludf.DUMMYFUNCTION("""COMPUTED_VALUE"""),"ปลอดภัย")</f>
        <v>ปลอดภัย</v>
      </c>
      <c r="X847" t="str">
        <f>IFERROR(__xludf.DUMMYFUNCTION("""COMPUTED_VALUE"""),"Khon Kaen Province")</f>
        <v>Khon Kaen Province</v>
      </c>
      <c r="Y847" t="str">
        <f>IFERROR(__xludf.DUMMYFUNCTION("""COMPUTED_VALUE"""),"Bangkok")</f>
        <v>Bangkok</v>
      </c>
      <c r="Z847" t="str">
        <f>IFERROR(__xludf.DUMMYFUNCTION("""COMPUTED_VALUE"""),"081-307-4597")</f>
        <v>081-307-4597</v>
      </c>
      <c r="AA847" t="str">
        <f>IFERROR(__xludf.DUMMYFUNCTION("""COMPUTED_VALUE"""),"Chaiyarit Mogchai(Father)")</f>
        <v>Chaiyarit Mogchai(Father)</v>
      </c>
      <c r="AB847" t="str">
        <f>IFERROR(__xludf.DUMMYFUNCTION("""COMPUTED_VALUE"""),"piyapornm@airasia.com")</f>
        <v>piyapornm@airasia.com</v>
      </c>
    </row>
    <row r="848">
      <c r="A848">
        <f>IFERROR(__xludf.DUMMYFUNCTION("""COMPUTED_VALUE"""),1019302.0)</f>
        <v>1019302</v>
      </c>
      <c r="B848" t="str">
        <f>IFERROR(__xludf.DUMMYFUNCTION("""COMPUTED_VALUE"""),"Mr.")</f>
        <v>Mr.</v>
      </c>
      <c r="C848" t="str">
        <f>IFERROR(__xludf.DUMMYFUNCTION("""COMPUTED_VALUE"""),"Pornpaloach")</f>
        <v>Pornpaloach</v>
      </c>
      <c r="D848" t="str">
        <f>IFERROR(__xludf.DUMMYFUNCTION("""COMPUTED_VALUE"""),"Toklom")</f>
        <v>Toklom</v>
      </c>
      <c r="E848" t="str">
        <f>IFERROR(__xludf.DUMMYFUNCTION("""COMPUTED_VALUE"""),"Pornpaloach Toklom")</f>
        <v>Pornpaloach Toklom</v>
      </c>
      <c r="F848" t="str">
        <f>IFERROR(__xludf.DUMMYFUNCTION("""COMPUTED_VALUE"""),"นาย")</f>
        <v>นาย</v>
      </c>
      <c r="G848" t="str">
        <f>IFERROR(__xludf.DUMMYFUNCTION("""COMPUTED_VALUE"""),"พรพลช")</f>
        <v>พรพลช</v>
      </c>
      <c r="H848" t="str">
        <f>IFERROR(__xludf.DUMMYFUNCTION("""COMPUTED_VALUE"""),"โตกลม")</f>
        <v>โตกลม</v>
      </c>
      <c r="I848" t="str">
        <f>IFERROR(__xludf.DUMMYFUNCTION("""COMPUTED_VALUE"""),"พรพลช โตกลม")</f>
        <v>พรพลช โตกลม</v>
      </c>
      <c r="J848" t="str">
        <f>IFERROR(__xludf.DUMMYFUNCTION("""COMPUTED_VALUE"""),"Porsche / พอร์ช")</f>
        <v>Porsche / พอร์ช</v>
      </c>
      <c r="K848" t="str">
        <f>IFERROR(__xludf.DUMMYFUNCTION("""COMPUTED_VALUE"""),"Cabin Crew")</f>
        <v>Cabin Crew</v>
      </c>
      <c r="L848" t="str">
        <f>IFERROR(__xludf.DUMMYFUNCTION("""COMPUTED_VALUE"""),"DMK")</f>
        <v>DMK</v>
      </c>
      <c r="M848" s="145" t="str">
        <f>IFERROR(__xludf.DUMMYFUNCTION("""COMPUTED_VALUE"""),"Um Home")</f>
        <v>Um Home</v>
      </c>
      <c r="N848" t="str">
        <f>IFERROR(__xludf.DUMMYFUNCTION("""COMPUTED_VALUE"""),"Active")</f>
        <v>Active</v>
      </c>
      <c r="P848" s="143">
        <f>IFERROR(__xludf.DUMMYFUNCTION("""COMPUTED_VALUE"""),32979.0)</f>
        <v>32979</v>
      </c>
      <c r="Q848" s="146" t="str">
        <f>IFERROR(__xludf.DUMMYFUNCTION("""COMPUTED_VALUE"""),"065-969-9894")</f>
        <v>065-969-9894</v>
      </c>
      <c r="R848" s="147" t="str">
        <f>IFERROR(__xludf.DUMMYFUNCTION("""COMPUTED_VALUE"""),"1 1017 00090 77 9")</f>
        <v>1 1017 00090 77 9</v>
      </c>
      <c r="S848" t="str">
        <f>IFERROR(__xludf.DUMMYFUNCTION("""COMPUTED_VALUE"""),"AC2762620")</f>
        <v>AC2762620</v>
      </c>
      <c r="T848" s="148">
        <f>IFERROR(__xludf.DUMMYFUNCTION("""COMPUTED_VALUE"""),44495.0)</f>
        <v>44495</v>
      </c>
      <c r="U848" s="148">
        <f>IFERROR(__xludf.DUMMYFUNCTION("""COMPUTED_VALUE"""),48146.0)</f>
        <v>48146</v>
      </c>
      <c r="V848" s="149">
        <f>IFERROR(__xludf.DUMMYFUNCTION("""COMPUTED_VALUE"""),47963.0)</f>
        <v>47963</v>
      </c>
      <c r="W848" t="str">
        <f>IFERROR(__xludf.DUMMYFUNCTION("""COMPUTED_VALUE"""),"ปลอดภัย")</f>
        <v>ปลอดภัย</v>
      </c>
      <c r="X848" t="str">
        <f>IFERROR(__xludf.DUMMYFUNCTION("""COMPUTED_VALUE"""),"Bangkok")</f>
        <v>Bangkok</v>
      </c>
      <c r="Y848" t="str">
        <f>IFERROR(__xludf.DUMMYFUNCTION("""COMPUTED_VALUE"""),"Bangkok")</f>
        <v>Bangkok</v>
      </c>
      <c r="Z848" t="str">
        <f>IFERROR(__xludf.DUMMYFUNCTION("""COMPUTED_VALUE"""),"081-857-3618")</f>
        <v>081-857-3618</v>
      </c>
      <c r="AA848" t="str">
        <f>IFERROR(__xludf.DUMMYFUNCTION("""COMPUTED_VALUE"""),"Patchamol Visetjinda (Mother)")</f>
        <v>Patchamol Visetjinda (Mother)</v>
      </c>
      <c r="AB848" t="str">
        <f>IFERROR(__xludf.DUMMYFUNCTION("""COMPUTED_VALUE"""),"pornpaloacht@airasia.com")</f>
        <v>pornpaloacht@airasia.com</v>
      </c>
    </row>
    <row r="849">
      <c r="A849">
        <f>IFERROR(__xludf.DUMMYFUNCTION("""COMPUTED_VALUE"""),1019304.0)</f>
        <v>1019304</v>
      </c>
      <c r="B849" t="str">
        <f>IFERROR(__xludf.DUMMYFUNCTION("""COMPUTED_VALUE"""),"Mr.")</f>
        <v>Mr.</v>
      </c>
      <c r="C849" t="str">
        <f>IFERROR(__xludf.DUMMYFUNCTION("""COMPUTED_VALUE"""),"Sutthirak")</f>
        <v>Sutthirak</v>
      </c>
      <c r="D849" t="str">
        <f>IFERROR(__xludf.DUMMYFUNCTION("""COMPUTED_VALUE"""),"Tangsutthichai")</f>
        <v>Tangsutthichai</v>
      </c>
      <c r="E849" t="str">
        <f>IFERROR(__xludf.DUMMYFUNCTION("""COMPUTED_VALUE"""),"Sutthirak Tangsutthichai")</f>
        <v>Sutthirak Tangsutthichai</v>
      </c>
      <c r="F849" t="str">
        <f>IFERROR(__xludf.DUMMYFUNCTION("""COMPUTED_VALUE"""),"นาย")</f>
        <v>นาย</v>
      </c>
      <c r="G849" t="str">
        <f>IFERROR(__xludf.DUMMYFUNCTION("""COMPUTED_VALUE"""),"สุทธิรักษ์")</f>
        <v>สุทธิรักษ์</v>
      </c>
      <c r="H849" t="str">
        <f>IFERROR(__xludf.DUMMYFUNCTION("""COMPUTED_VALUE"""),"ตั้งสุทธิชัย")</f>
        <v>ตั้งสุทธิชัย</v>
      </c>
      <c r="I849" t="str">
        <f>IFERROR(__xludf.DUMMYFUNCTION("""COMPUTED_VALUE"""),"สุทธิรักษ์ ตั้งสุทธิชัย")</f>
        <v>สุทธิรักษ์ ตั้งสุทธิชัย</v>
      </c>
      <c r="J849" t="str">
        <f>IFERROR(__xludf.DUMMYFUNCTION("""COMPUTED_VALUE"""),"Top/ท็อป")</f>
        <v>Top/ท็อป</v>
      </c>
      <c r="K849" t="str">
        <f>IFERROR(__xludf.DUMMYFUNCTION("""COMPUTED_VALUE"""),"Cabin Crew")</f>
        <v>Cabin Crew</v>
      </c>
      <c r="L849" t="str">
        <f>IFERROR(__xludf.DUMMYFUNCTION("""COMPUTED_VALUE"""),"DMK")</f>
        <v>DMK</v>
      </c>
      <c r="M849" s="145" t="str">
        <f>IFERROR(__xludf.DUMMYFUNCTION("""COMPUTED_VALUE"""),"Um Home")</f>
        <v>Um Home</v>
      </c>
      <c r="N849" t="str">
        <f>IFERROR(__xludf.DUMMYFUNCTION("""COMPUTED_VALUE"""),"Active")</f>
        <v>Active</v>
      </c>
      <c r="P849" s="143">
        <f>IFERROR(__xludf.DUMMYFUNCTION("""COMPUTED_VALUE"""),32557.0)</f>
        <v>32557</v>
      </c>
      <c r="Q849" s="146" t="str">
        <f>IFERROR(__xludf.DUMMYFUNCTION("""COMPUTED_VALUE"""),"096-451-9441")</f>
        <v>096-451-9441</v>
      </c>
      <c r="R849" s="147" t="str">
        <f>IFERROR(__xludf.DUMMYFUNCTION("""COMPUTED_VALUE"""),"1 1014 01538 79 4")</f>
        <v>1 1014 01538 79 4</v>
      </c>
      <c r="S849" t="str">
        <f>IFERROR(__xludf.DUMMYFUNCTION("""COMPUTED_VALUE"""),"AC2401488")</f>
        <v>AC2401488</v>
      </c>
      <c r="T849" s="148">
        <f>IFERROR(__xludf.DUMMYFUNCTION("""COMPUTED_VALUE"""),44432.0)</f>
        <v>44432</v>
      </c>
      <c r="U849" s="148">
        <f>IFERROR(__xludf.DUMMYFUNCTION("""COMPUTED_VALUE"""),48083.0)</f>
        <v>48083</v>
      </c>
      <c r="V849" s="149">
        <f>IFERROR(__xludf.DUMMYFUNCTION("""COMPUTED_VALUE"""),47902.0)</f>
        <v>47902</v>
      </c>
      <c r="W849" t="str">
        <f>IFERROR(__xludf.DUMMYFUNCTION("""COMPUTED_VALUE"""),"ปลอดภัย")</f>
        <v>ปลอดภัย</v>
      </c>
      <c r="X849" t="str">
        <f>IFERROR(__xludf.DUMMYFUNCTION("""COMPUTED_VALUE"""),"Bangkok")</f>
        <v>Bangkok</v>
      </c>
      <c r="Y849" t="str">
        <f>IFERROR(__xludf.DUMMYFUNCTION("""COMPUTED_VALUE"""),"Bangkok")</f>
        <v>Bangkok</v>
      </c>
      <c r="Z849" t="str">
        <f>IFERROR(__xludf.DUMMYFUNCTION("""COMPUTED_VALUE"""),"089-124-8042")</f>
        <v>089-124-8042</v>
      </c>
      <c r="AA849" t="str">
        <f>IFERROR(__xludf.DUMMYFUNCTION("""COMPUTED_VALUE"""),"Uten Tangsutthichai (Father)")</f>
        <v>Uten Tangsutthichai (Father)</v>
      </c>
      <c r="AB849" t="str">
        <f>IFERROR(__xludf.DUMMYFUNCTION("""COMPUTED_VALUE"""),"sutthirakt@airasia.com")</f>
        <v>sutthirakt@airasia.com</v>
      </c>
    </row>
    <row r="850">
      <c r="A850">
        <f>IFERROR(__xludf.DUMMYFUNCTION("""COMPUTED_VALUE"""),1019306.0)</f>
        <v>1019306</v>
      </c>
      <c r="B850" t="str">
        <f>IFERROR(__xludf.DUMMYFUNCTION("""COMPUTED_VALUE"""),"Ms.")</f>
        <v>Ms.</v>
      </c>
      <c r="C850" t="str">
        <f>IFERROR(__xludf.DUMMYFUNCTION("""COMPUTED_VALUE"""),"Tanyatorn")</f>
        <v>Tanyatorn</v>
      </c>
      <c r="D850" t="str">
        <f>IFERROR(__xludf.DUMMYFUNCTION("""COMPUTED_VALUE"""),"Leenawong")</f>
        <v>Leenawong</v>
      </c>
      <c r="E850" t="str">
        <f>IFERROR(__xludf.DUMMYFUNCTION("""COMPUTED_VALUE"""),"Tanyatorn Leenawong")</f>
        <v>Tanyatorn Leenawong</v>
      </c>
      <c r="F850" t="str">
        <f>IFERROR(__xludf.DUMMYFUNCTION("""COMPUTED_VALUE"""),"นางสาว")</f>
        <v>นางสาว</v>
      </c>
      <c r="G850" t="str">
        <f>IFERROR(__xludf.DUMMYFUNCTION("""COMPUTED_VALUE"""),"ธันยธรณ์")</f>
        <v>ธันยธรณ์</v>
      </c>
      <c r="H850" t="str">
        <f>IFERROR(__xludf.DUMMYFUNCTION("""COMPUTED_VALUE"""),"ลีนาวงศ์")</f>
        <v>ลีนาวงศ์</v>
      </c>
      <c r="I850" t="str">
        <f>IFERROR(__xludf.DUMMYFUNCTION("""COMPUTED_VALUE"""),"ธันยธรณ์ ลีนาวงศ์")</f>
        <v>ธันยธรณ์ ลีนาวงศ์</v>
      </c>
      <c r="J850" t="str">
        <f>IFERROR(__xludf.DUMMYFUNCTION("""COMPUTED_VALUE"""),"Atom / อะตอม")</f>
        <v>Atom / อะตอม</v>
      </c>
      <c r="K850" t="str">
        <f>IFERROR(__xludf.DUMMYFUNCTION("""COMPUTED_VALUE"""),"Cabin Crew")</f>
        <v>Cabin Crew</v>
      </c>
      <c r="L850" t="str">
        <f>IFERROR(__xludf.DUMMYFUNCTION("""COMPUTED_VALUE"""),"DMK")</f>
        <v>DMK</v>
      </c>
      <c r="M850" s="145" t="str">
        <f>IFERROR(__xludf.DUMMYFUNCTION("""COMPUTED_VALUE"""),"Toffy Home")</f>
        <v>Toffy Home</v>
      </c>
      <c r="N850" t="str">
        <f>IFERROR(__xludf.DUMMYFUNCTION("""COMPUTED_VALUE"""),"Active")</f>
        <v>Active</v>
      </c>
      <c r="P850" s="143">
        <f>IFERROR(__xludf.DUMMYFUNCTION("""COMPUTED_VALUE"""),34204.0)</f>
        <v>34204</v>
      </c>
      <c r="Q850" s="146" t="str">
        <f>IFERROR(__xludf.DUMMYFUNCTION("""COMPUTED_VALUE"""),"086-688-8311")</f>
        <v>086-688-8311</v>
      </c>
      <c r="R850" s="147" t="str">
        <f>IFERROR(__xludf.DUMMYFUNCTION("""COMPUTED_VALUE"""),"1 1037 01185 33 3")</f>
        <v>1 1037 01185 33 3</v>
      </c>
      <c r="S850" t="str">
        <f>IFERROR(__xludf.DUMMYFUNCTION("""COMPUTED_VALUE"""),"AC2972266")</f>
        <v>AC2972266</v>
      </c>
      <c r="T850" s="148">
        <f>IFERROR(__xludf.DUMMYFUNCTION("""COMPUTED_VALUE"""),44644.0)</f>
        <v>44644</v>
      </c>
      <c r="U850" s="148">
        <f>IFERROR(__xludf.DUMMYFUNCTION("""COMPUTED_VALUE"""),46469.0)</f>
        <v>46469</v>
      </c>
      <c r="V850" s="149">
        <f>IFERROR(__xludf.DUMMYFUNCTION("""COMPUTED_VALUE"""),46288.0)</f>
        <v>46288</v>
      </c>
      <c r="W850" t="str">
        <f>IFERROR(__xludf.DUMMYFUNCTION("""COMPUTED_VALUE"""),"ปลอดภัย")</f>
        <v>ปลอดภัย</v>
      </c>
      <c r="X850" t="str">
        <f>IFERROR(__xludf.DUMMYFUNCTION("""COMPUTED_VALUE"""),"Bangkok")</f>
        <v>Bangkok</v>
      </c>
      <c r="Y850" t="str">
        <f>IFERROR(__xludf.DUMMYFUNCTION("""COMPUTED_VALUE"""),"Bangkok")</f>
        <v>Bangkok</v>
      </c>
      <c r="Z850" t="str">
        <f>IFERROR(__xludf.DUMMYFUNCTION("""COMPUTED_VALUE"""),"081-646-4132")</f>
        <v>081-646-4132</v>
      </c>
      <c r="AA850" t="str">
        <f>IFERROR(__xludf.DUMMYFUNCTION("""COMPUTED_VALUE"""),"Somchai Leenawong(Father)")</f>
        <v>Somchai Leenawong(Father)</v>
      </c>
      <c r="AB850" t="str">
        <f>IFERROR(__xludf.DUMMYFUNCTION("""COMPUTED_VALUE"""),"tanyatornl@airasia.com")</f>
        <v>tanyatornl@airasia.com</v>
      </c>
    </row>
    <row r="851">
      <c r="A851">
        <f>IFERROR(__xludf.DUMMYFUNCTION("""COMPUTED_VALUE"""),1019307.0)</f>
        <v>1019307</v>
      </c>
      <c r="B851" t="str">
        <f>IFERROR(__xludf.DUMMYFUNCTION("""COMPUTED_VALUE"""),"Ms.")</f>
        <v>Ms.</v>
      </c>
      <c r="C851" t="str">
        <f>IFERROR(__xludf.DUMMYFUNCTION("""COMPUTED_VALUE"""),"Thanyathorn")</f>
        <v>Thanyathorn</v>
      </c>
      <c r="D851" t="str">
        <f>IFERROR(__xludf.DUMMYFUNCTION("""COMPUTED_VALUE"""),"Krisanayanyong")</f>
        <v>Krisanayanyong</v>
      </c>
      <c r="E851" t="str">
        <f>IFERROR(__xludf.DUMMYFUNCTION("""COMPUTED_VALUE"""),"Thanyathorn Krisanayanyong")</f>
        <v>Thanyathorn Krisanayanyong</v>
      </c>
      <c r="F851" t="str">
        <f>IFERROR(__xludf.DUMMYFUNCTION("""COMPUTED_VALUE"""),"นางสาว")</f>
        <v>นางสาว</v>
      </c>
      <c r="G851" t="str">
        <f>IFERROR(__xludf.DUMMYFUNCTION("""COMPUTED_VALUE"""),"ธัญธร")</f>
        <v>ธัญธร</v>
      </c>
      <c r="H851" t="str">
        <f>IFERROR(__xludf.DUMMYFUNCTION("""COMPUTED_VALUE"""),"กฤษณยรรยง")</f>
        <v>กฤษณยรรยง</v>
      </c>
      <c r="I851" t="str">
        <f>IFERROR(__xludf.DUMMYFUNCTION("""COMPUTED_VALUE"""),"ธัญธร กฤษณยรรยง")</f>
        <v>ธัญธร กฤษณยรรยง</v>
      </c>
      <c r="J851" t="str">
        <f>IFERROR(__xludf.DUMMYFUNCTION("""COMPUTED_VALUE"""),"Ploy / พลอย")</f>
        <v>Ploy / พลอย</v>
      </c>
      <c r="K851" t="str">
        <f>IFERROR(__xludf.DUMMYFUNCTION("""COMPUTED_VALUE"""),"Cabin Crew")</f>
        <v>Cabin Crew</v>
      </c>
      <c r="L851" t="str">
        <f>IFERROR(__xludf.DUMMYFUNCTION("""COMPUTED_VALUE"""),"DMK")</f>
        <v>DMK</v>
      </c>
      <c r="M851" s="145" t="str">
        <f>IFERROR(__xludf.DUMMYFUNCTION("""COMPUTED_VALUE"""),"Por+ Home")</f>
        <v>Por+ Home</v>
      </c>
      <c r="N851" t="str">
        <f>IFERROR(__xludf.DUMMYFUNCTION("""COMPUTED_VALUE"""),"Active")</f>
        <v>Active</v>
      </c>
      <c r="P851" s="143">
        <f>IFERROR(__xludf.DUMMYFUNCTION("""COMPUTED_VALUE"""),34673.0)</f>
        <v>34673</v>
      </c>
      <c r="Q851" s="146" t="str">
        <f>IFERROR(__xludf.DUMMYFUNCTION("""COMPUTED_VALUE"""),"096-262-9619")</f>
        <v>096-262-9619</v>
      </c>
      <c r="R851" s="147" t="str">
        <f>IFERROR(__xludf.DUMMYFUNCTION("""COMPUTED_VALUE"""),"1 1030 00070 72 6")</f>
        <v>1 1030 00070 72 6</v>
      </c>
      <c r="S851" t="str">
        <f>IFERROR(__xludf.DUMMYFUNCTION("""COMPUTED_VALUE"""),"AC5723304")</f>
        <v>AC5723304</v>
      </c>
      <c r="T851" s="148">
        <f>IFERROR(__xludf.DUMMYFUNCTION("""COMPUTED_VALUE"""),45553.0)</f>
        <v>45553</v>
      </c>
      <c r="U851" s="148">
        <f>IFERROR(__xludf.DUMMYFUNCTION("""COMPUTED_VALUE"""),48839.0)</f>
        <v>48839</v>
      </c>
      <c r="V851" s="149">
        <f>IFERROR(__xludf.DUMMYFUNCTION("""COMPUTED_VALUE"""),48655.0)</f>
        <v>48655</v>
      </c>
      <c r="W851" t="str">
        <f>IFERROR(__xludf.DUMMYFUNCTION("""COMPUTED_VALUE"""),"ปลอดภัย")</f>
        <v>ปลอดภัย</v>
      </c>
      <c r="X851" t="str">
        <f>IFERROR(__xludf.DUMMYFUNCTION("""COMPUTED_VALUE"""),"Bangkok")</f>
        <v>Bangkok</v>
      </c>
      <c r="Y851" t="str">
        <f>IFERROR(__xludf.DUMMYFUNCTION("""COMPUTED_VALUE"""),"Bangkok")</f>
        <v>Bangkok</v>
      </c>
      <c r="Z851" t="str">
        <f>IFERROR(__xludf.DUMMYFUNCTION("""COMPUTED_VALUE"""),"086-3039088")</f>
        <v>086-3039088</v>
      </c>
      <c r="AA851" t="str">
        <f>IFERROR(__xludf.DUMMYFUNCTION("""COMPUTED_VALUE"""),"Thippawan Thanomjitpongse (Mother)")</f>
        <v>Thippawan Thanomjitpongse (Mother)</v>
      </c>
      <c r="AB851" t="str">
        <f>IFERROR(__xludf.DUMMYFUNCTION("""COMPUTED_VALUE"""),"thanyathornk@airasia.com")</f>
        <v>thanyathornk@airasia.com</v>
      </c>
    </row>
    <row r="852">
      <c r="A852">
        <f>IFERROR(__xludf.DUMMYFUNCTION("""COMPUTED_VALUE"""),1019308.0)</f>
        <v>1019308</v>
      </c>
      <c r="B852" t="str">
        <f>IFERROR(__xludf.DUMMYFUNCTION("""COMPUTED_VALUE"""),"Ms.")</f>
        <v>Ms.</v>
      </c>
      <c r="C852" t="str">
        <f>IFERROR(__xludf.DUMMYFUNCTION("""COMPUTED_VALUE"""),"Thanyathorn")</f>
        <v>Thanyathorn</v>
      </c>
      <c r="D852" t="str">
        <f>IFERROR(__xludf.DUMMYFUNCTION("""COMPUTED_VALUE"""),"Prueksasilp")</f>
        <v>Prueksasilp</v>
      </c>
      <c r="E852" t="str">
        <f>IFERROR(__xludf.DUMMYFUNCTION("""COMPUTED_VALUE"""),"Thanyathorn Prueksasilp")</f>
        <v>Thanyathorn Prueksasilp</v>
      </c>
      <c r="F852" t="str">
        <f>IFERROR(__xludf.DUMMYFUNCTION("""COMPUTED_VALUE"""),"นางสาว")</f>
        <v>นางสาว</v>
      </c>
      <c r="G852" t="str">
        <f>IFERROR(__xludf.DUMMYFUNCTION("""COMPUTED_VALUE"""),"ธัญธร")</f>
        <v>ธัญธร</v>
      </c>
      <c r="H852" t="str">
        <f>IFERROR(__xludf.DUMMYFUNCTION("""COMPUTED_VALUE"""),"พฤกษาศิลป์")</f>
        <v>พฤกษาศิลป์</v>
      </c>
      <c r="I852" t="str">
        <f>IFERROR(__xludf.DUMMYFUNCTION("""COMPUTED_VALUE"""),"ธัญธร พฤกษาศิลป์")</f>
        <v>ธัญธร พฤกษาศิลป์</v>
      </c>
      <c r="J852" t="str">
        <f>IFERROR(__xludf.DUMMYFUNCTION("""COMPUTED_VALUE"""),"Oil / ออย")</f>
        <v>Oil / ออย</v>
      </c>
      <c r="K852" t="str">
        <f>IFERROR(__xludf.DUMMYFUNCTION("""COMPUTED_VALUE"""),"Cabin Crew")</f>
        <v>Cabin Crew</v>
      </c>
      <c r="L852" t="str">
        <f>IFERROR(__xludf.DUMMYFUNCTION("""COMPUTED_VALUE"""),"DMK")</f>
        <v>DMK</v>
      </c>
      <c r="M852" s="145" t="str">
        <f>IFERROR(__xludf.DUMMYFUNCTION("""COMPUTED_VALUE"""),"Kor Home")</f>
        <v>Kor Home</v>
      </c>
      <c r="N852" t="str">
        <f>IFERROR(__xludf.DUMMYFUNCTION("""COMPUTED_VALUE"""),"Active")</f>
        <v>Active</v>
      </c>
      <c r="P852" s="143">
        <f>IFERROR(__xludf.DUMMYFUNCTION("""COMPUTED_VALUE"""),34839.0)</f>
        <v>34839</v>
      </c>
      <c r="Q852" s="146" t="str">
        <f>IFERROR(__xludf.DUMMYFUNCTION("""COMPUTED_VALUE"""),"061-408-0689")</f>
        <v>061-408-0689</v>
      </c>
      <c r="R852" s="147" t="str">
        <f>IFERROR(__xludf.DUMMYFUNCTION("""COMPUTED_VALUE"""),"1 1005 01194 21 2")</f>
        <v>1 1005 01194 21 2</v>
      </c>
      <c r="S852" t="str">
        <f>IFERROR(__xludf.DUMMYFUNCTION("""COMPUTED_VALUE"""),"AC5819660")</f>
        <v>AC5819660</v>
      </c>
      <c r="T852" s="148">
        <f>IFERROR(__xludf.DUMMYFUNCTION("""COMPUTED_VALUE"""),45191.0)</f>
        <v>45191</v>
      </c>
      <c r="U852" s="148">
        <f>IFERROR(__xludf.DUMMYFUNCTION("""COMPUTED_VALUE"""),48843.0)</f>
        <v>48843</v>
      </c>
      <c r="V852" s="149">
        <f>IFERROR(__xludf.DUMMYFUNCTION("""COMPUTED_VALUE"""),48659.0)</f>
        <v>48659</v>
      </c>
      <c r="W852" t="str">
        <f>IFERROR(__xludf.DUMMYFUNCTION("""COMPUTED_VALUE"""),"ปลอดภัย")</f>
        <v>ปลอดภัย</v>
      </c>
      <c r="X852" t="str">
        <f>IFERROR(__xludf.DUMMYFUNCTION("""COMPUTED_VALUE"""),"Bangkok")</f>
        <v>Bangkok</v>
      </c>
      <c r="Y852" t="str">
        <f>IFERROR(__xludf.DUMMYFUNCTION("""COMPUTED_VALUE"""),"Bangkok")</f>
        <v>Bangkok</v>
      </c>
      <c r="Z852" t="str">
        <f>IFERROR(__xludf.DUMMYFUNCTION("""COMPUTED_VALUE"""),"084-751-0177")</f>
        <v>084-751-0177</v>
      </c>
      <c r="AA852" t="str">
        <f>IFERROR(__xludf.DUMMYFUNCTION("""COMPUTED_VALUE"""),"Siriporn Pluksasin (Mother)")</f>
        <v>Siriporn Pluksasin (Mother)</v>
      </c>
      <c r="AB852" t="str">
        <f>IFERROR(__xludf.DUMMYFUNCTION("""COMPUTED_VALUE"""),"thanyathornp@airasia.com")</f>
        <v>thanyathornp@airasia.com</v>
      </c>
    </row>
    <row r="853">
      <c r="A853">
        <f>IFERROR(__xludf.DUMMYFUNCTION("""COMPUTED_VALUE"""),1019310.0)</f>
        <v>1019310</v>
      </c>
      <c r="B853" t="str">
        <f>IFERROR(__xludf.DUMMYFUNCTION("""COMPUTED_VALUE"""),"Mr.")</f>
        <v>Mr.</v>
      </c>
      <c r="C853" t="str">
        <f>IFERROR(__xludf.DUMMYFUNCTION("""COMPUTED_VALUE"""),"Vincent Pakpoom")</f>
        <v>Vincent Pakpoom</v>
      </c>
      <c r="D853" t="str">
        <f>IFERROR(__xludf.DUMMYFUNCTION("""COMPUTED_VALUE"""),"Prache")</f>
        <v>Prache</v>
      </c>
      <c r="E853" t="str">
        <f>IFERROR(__xludf.DUMMYFUNCTION("""COMPUTED_VALUE"""),"Vincent Pakpoom Prache")</f>
        <v>Vincent Pakpoom Prache</v>
      </c>
      <c r="F853" t="str">
        <f>IFERROR(__xludf.DUMMYFUNCTION("""COMPUTED_VALUE"""),"นาย")</f>
        <v>นาย</v>
      </c>
      <c r="G853" t="str">
        <f>IFERROR(__xludf.DUMMYFUNCTION("""COMPUTED_VALUE"""),"แวงซองค์ ภาคภูมิ")</f>
        <v>แวงซองค์ ภาคภูมิ</v>
      </c>
      <c r="H853" t="str">
        <f>IFERROR(__xludf.DUMMYFUNCTION("""COMPUTED_VALUE"""),"ปราช")</f>
        <v>ปราช</v>
      </c>
      <c r="I853" t="str">
        <f>IFERROR(__xludf.DUMMYFUNCTION("""COMPUTED_VALUE"""),"แวงซองค์ ภาคภูมิ ปราช")</f>
        <v>แวงซองค์ ภาคภูมิ ปราช</v>
      </c>
      <c r="J853" t="str">
        <f>IFERROR(__xludf.DUMMYFUNCTION("""COMPUTED_VALUE"""),"แวงซองค์ ")</f>
        <v>แวงซองค์ </v>
      </c>
      <c r="K853" t="str">
        <f>IFERROR(__xludf.DUMMYFUNCTION("""COMPUTED_VALUE"""),"Cabin Crew")</f>
        <v>Cabin Crew</v>
      </c>
      <c r="L853" t="str">
        <f>IFERROR(__xludf.DUMMYFUNCTION("""COMPUTED_VALUE"""),"DMK")</f>
        <v>DMK</v>
      </c>
      <c r="M853" s="145" t="str">
        <f>IFERROR(__xludf.DUMMYFUNCTION("""COMPUTED_VALUE"""),"Toffy Home")</f>
        <v>Toffy Home</v>
      </c>
      <c r="N853" t="str">
        <f>IFERROR(__xludf.DUMMYFUNCTION("""COMPUTED_VALUE"""),"V/LWP")</f>
        <v>V/LWP</v>
      </c>
      <c r="P853" s="143">
        <f>IFERROR(__xludf.DUMMYFUNCTION("""COMPUTED_VALUE"""),33898.0)</f>
        <v>33898</v>
      </c>
      <c r="Q853" s="146" t="str">
        <f>IFERROR(__xludf.DUMMYFUNCTION("""COMPUTED_VALUE"""),"089-914-9118")</f>
        <v>089-914-9118</v>
      </c>
      <c r="R853" s="147" t="str">
        <f>IFERROR(__xludf.DUMMYFUNCTION("""COMPUTED_VALUE"""),"1 1033 00080 06 9")</f>
        <v>1 1033 00080 06 9</v>
      </c>
      <c r="S853" t="str">
        <f>IFERROR(__xludf.DUMMYFUNCTION("""COMPUTED_VALUE"""),"AC5941106")</f>
        <v>AC5941106</v>
      </c>
      <c r="T853" s="148">
        <f>IFERROR(__xludf.DUMMYFUNCTION("""COMPUTED_VALUE"""),45244.0)</f>
        <v>45244</v>
      </c>
      <c r="U853" s="148">
        <f>IFERROR(__xludf.DUMMYFUNCTION("""COMPUTED_VALUE"""),48896.0)</f>
        <v>48896</v>
      </c>
      <c r="V853" s="149">
        <f>IFERROR(__xludf.DUMMYFUNCTION("""COMPUTED_VALUE"""),48712.0)</f>
        <v>48712</v>
      </c>
      <c r="W853" t="str">
        <f>IFERROR(__xludf.DUMMYFUNCTION("""COMPUTED_VALUE"""),"ปลอดภัย")</f>
        <v>ปลอดภัย</v>
      </c>
      <c r="X853" t="str">
        <f>IFERROR(__xludf.DUMMYFUNCTION("""COMPUTED_VALUE"""),"Bangkok")</f>
        <v>Bangkok</v>
      </c>
      <c r="Y853" t="str">
        <f>IFERROR(__xludf.DUMMYFUNCTION("""COMPUTED_VALUE"""),"Bangna")</f>
        <v>Bangna</v>
      </c>
      <c r="Z853">
        <f>IFERROR(__xludf.DUMMYFUNCTION("""COMPUTED_VALUE"""),8.19101992E8)</f>
        <v>819101992</v>
      </c>
      <c r="AA853" t="str">
        <f>IFERROR(__xludf.DUMMYFUNCTION("""COMPUTED_VALUE"""),"Rawisara Cheawchookul")</f>
        <v>Rawisara Cheawchookul</v>
      </c>
      <c r="AB853" t="str">
        <f>IFERROR(__xludf.DUMMYFUNCTION("""COMPUTED_VALUE"""),"vincentp@airasia.com")</f>
        <v>vincentp@airasia.com</v>
      </c>
    </row>
    <row r="854">
      <c r="AB854" t="str">
        <f>IFERROR(__xludf.DUMMYFUNCTION("""COMPUTED_VALUE"""),"")</f>
        <v/>
      </c>
    </row>
    <row r="855">
      <c r="A855">
        <f>IFERROR(__xludf.DUMMYFUNCTION("""COMPUTED_VALUE"""),1019395.0)</f>
        <v>1019395</v>
      </c>
      <c r="B855" t="str">
        <f>IFERROR(__xludf.DUMMYFUNCTION("""COMPUTED_VALUE"""),"Ms.")</f>
        <v>Ms.</v>
      </c>
      <c r="C855" t="str">
        <f>IFERROR(__xludf.DUMMYFUNCTION("""COMPUTED_VALUE"""),"Dalika")</f>
        <v>Dalika</v>
      </c>
      <c r="D855" t="str">
        <f>IFERROR(__xludf.DUMMYFUNCTION("""COMPUTED_VALUE"""),"Sayanprasert")</f>
        <v>Sayanprasert</v>
      </c>
      <c r="E855" t="str">
        <f>IFERROR(__xludf.DUMMYFUNCTION("""COMPUTED_VALUE"""),"Dalika Sayanprasert")</f>
        <v>Dalika Sayanprasert</v>
      </c>
      <c r="F855" t="str">
        <f>IFERROR(__xludf.DUMMYFUNCTION("""COMPUTED_VALUE"""),"นางสาว")</f>
        <v>นางสาว</v>
      </c>
      <c r="G855" t="str">
        <f>IFERROR(__xludf.DUMMYFUNCTION("""COMPUTED_VALUE"""),"ดาลิกา")</f>
        <v>ดาลิกา</v>
      </c>
      <c r="H855" t="str">
        <f>IFERROR(__xludf.DUMMYFUNCTION("""COMPUTED_VALUE"""),"สายันประเสริฐ")</f>
        <v>สายันประเสริฐ</v>
      </c>
      <c r="I855" t="str">
        <f>IFERROR(__xludf.DUMMYFUNCTION("""COMPUTED_VALUE"""),"ดาลิกา สายันประเสริฐ")</f>
        <v>ดาลิกา สายันประเสริฐ</v>
      </c>
      <c r="J855" t="str">
        <f>IFERROR(__xludf.DUMMYFUNCTION("""COMPUTED_VALUE"""),"Nam/แน้ม")</f>
        <v>Nam/แน้ม</v>
      </c>
      <c r="K855" t="str">
        <f>IFERROR(__xludf.DUMMYFUNCTION("""COMPUTED_VALUE"""),"Cabin Crew")</f>
        <v>Cabin Crew</v>
      </c>
      <c r="L855" t="str">
        <f>IFERROR(__xludf.DUMMYFUNCTION("""COMPUTED_VALUE"""),"DMK")</f>
        <v>DMK</v>
      </c>
      <c r="M855" s="145" t="str">
        <f>IFERROR(__xludf.DUMMYFUNCTION("""COMPUTED_VALUE"""),"Toffy Home")</f>
        <v>Toffy Home</v>
      </c>
      <c r="N855" t="str">
        <f>IFERROR(__xludf.DUMMYFUNCTION("""COMPUTED_VALUE"""),"Active")</f>
        <v>Active</v>
      </c>
      <c r="P855" s="143">
        <f>IFERROR(__xludf.DUMMYFUNCTION("""COMPUTED_VALUE"""),32995.0)</f>
        <v>32995</v>
      </c>
      <c r="Q855" s="146" t="str">
        <f>IFERROR(__xludf.DUMMYFUNCTION("""COMPUTED_VALUE"""),"064-248-4824")</f>
        <v>064-248-4824</v>
      </c>
      <c r="R855" s="147" t="str">
        <f>IFERROR(__xludf.DUMMYFUNCTION("""COMPUTED_VALUE"""),"1709900-53-0731")</f>
        <v>1709900-53-0731</v>
      </c>
      <c r="S855" t="str">
        <f>IFERROR(__xludf.DUMMYFUNCTION("""COMPUTED_VALUE"""),"AC2574268")</f>
        <v>AC2574268</v>
      </c>
      <c r="T855" s="148">
        <f>IFERROR(__xludf.DUMMYFUNCTION("""COMPUTED_VALUE"""),44663.0)</f>
        <v>44663</v>
      </c>
      <c r="U855" s="148">
        <f>IFERROR(__xludf.DUMMYFUNCTION("""COMPUTED_VALUE"""),48315.0)</f>
        <v>48315</v>
      </c>
      <c r="V855" s="149">
        <f>IFERROR(__xludf.DUMMYFUNCTION("""COMPUTED_VALUE"""),48132.0)</f>
        <v>48132</v>
      </c>
      <c r="W855" t="str">
        <f>IFERROR(__xludf.DUMMYFUNCTION("""COMPUTED_VALUE"""),"ปลอดภัย")</f>
        <v>ปลอดภัย</v>
      </c>
      <c r="X855" t="str">
        <f>IFERROR(__xludf.DUMMYFUNCTION("""COMPUTED_VALUE"""),"Ratchaburi Province")</f>
        <v>Ratchaburi Province</v>
      </c>
      <c r="Y855" t="str">
        <f>IFERROR(__xludf.DUMMYFUNCTION("""COMPUTED_VALUE"""),"Bangkok")</f>
        <v>Bangkok</v>
      </c>
      <c r="Z855" t="str">
        <f>IFERROR(__xludf.DUMMYFUNCTION("""COMPUTED_VALUE"""),"081-0226000")</f>
        <v>081-0226000</v>
      </c>
      <c r="AA855" t="str">
        <f>IFERROR(__xludf.DUMMYFUNCTION("""COMPUTED_VALUE"""),"Apaporn Sayanprasert(Sister)")</f>
        <v>Apaporn Sayanprasert(Sister)</v>
      </c>
      <c r="AB855" t="str">
        <f>IFERROR(__xludf.DUMMYFUNCTION("""COMPUTED_VALUE"""),"dalikas@airasia.com")</f>
        <v>dalikas@airasia.com</v>
      </c>
    </row>
    <row r="856">
      <c r="A856">
        <f>IFERROR(__xludf.DUMMYFUNCTION("""COMPUTED_VALUE"""),1019397.0)</f>
        <v>1019397</v>
      </c>
      <c r="B856" t="str">
        <f>IFERROR(__xludf.DUMMYFUNCTION("""COMPUTED_VALUE"""),"Ms.")</f>
        <v>Ms.</v>
      </c>
      <c r="C856" t="str">
        <f>IFERROR(__xludf.DUMMYFUNCTION("""COMPUTED_VALUE"""),"Jutaporn")</f>
        <v>Jutaporn</v>
      </c>
      <c r="D856" t="str">
        <f>IFERROR(__xludf.DUMMYFUNCTION("""COMPUTED_VALUE"""),"Gongkam")</f>
        <v>Gongkam</v>
      </c>
      <c r="E856" t="str">
        <f>IFERROR(__xludf.DUMMYFUNCTION("""COMPUTED_VALUE"""),"Jutaporn Gongkam")</f>
        <v>Jutaporn Gongkam</v>
      </c>
      <c r="F856" t="str">
        <f>IFERROR(__xludf.DUMMYFUNCTION("""COMPUTED_VALUE"""),"นางสาว")</f>
        <v>นางสาว</v>
      </c>
      <c r="G856" t="str">
        <f>IFERROR(__xludf.DUMMYFUNCTION("""COMPUTED_VALUE"""),"จุฑาภรณ์")</f>
        <v>จุฑาภรณ์</v>
      </c>
      <c r="H856" t="str">
        <f>IFERROR(__xludf.DUMMYFUNCTION("""COMPUTED_VALUE"""),"ก่องคำ")</f>
        <v>ก่องคำ</v>
      </c>
      <c r="I856" t="str">
        <f>IFERROR(__xludf.DUMMYFUNCTION("""COMPUTED_VALUE"""),"จุฑาภรณ์ ก่องคำ")</f>
        <v>จุฑาภรณ์ ก่องคำ</v>
      </c>
      <c r="J856" t="str">
        <f>IFERROR(__xludf.DUMMYFUNCTION("""COMPUTED_VALUE"""),"Ann / แอน")</f>
        <v>Ann / แอน</v>
      </c>
      <c r="K856" t="str">
        <f>IFERROR(__xludf.DUMMYFUNCTION("""COMPUTED_VALUE"""),"Cabin Crew")</f>
        <v>Cabin Crew</v>
      </c>
      <c r="L856" t="str">
        <f>IFERROR(__xludf.DUMMYFUNCTION("""COMPUTED_VALUE"""),"DMK")</f>
        <v>DMK</v>
      </c>
      <c r="M856" s="145" t="str">
        <f>IFERROR(__xludf.DUMMYFUNCTION("""COMPUTED_VALUE"""),"Por+ Home")</f>
        <v>Por+ Home</v>
      </c>
      <c r="N856" t="str">
        <f>IFERROR(__xludf.DUMMYFUNCTION("""COMPUTED_VALUE"""),"MATL")</f>
        <v>MATL</v>
      </c>
      <c r="P856" s="143">
        <f>IFERROR(__xludf.DUMMYFUNCTION("""COMPUTED_VALUE"""),33028.0)</f>
        <v>33028</v>
      </c>
      <c r="Q856" s="146" t="str">
        <f>IFERROR(__xludf.DUMMYFUNCTION("""COMPUTED_VALUE"""),"091-496-4655")</f>
        <v>091-496-4655</v>
      </c>
      <c r="R856" s="147" t="str">
        <f>IFERROR(__xludf.DUMMYFUNCTION("""COMPUTED_VALUE"""),"1103700-15-2075")</f>
        <v>1103700-15-2075</v>
      </c>
      <c r="S856" t="str">
        <f>IFERROR(__xludf.DUMMYFUNCTION("""COMPUTED_VALUE"""),"AC6929460")</f>
        <v>AC6929460</v>
      </c>
      <c r="T856" s="148">
        <f>IFERROR(__xludf.DUMMYFUNCTION("""COMPUTED_VALUE"""),45523.0)</f>
        <v>45523</v>
      </c>
      <c r="U856" s="148">
        <f>IFERROR(__xludf.DUMMYFUNCTION("""COMPUTED_VALUE"""),49174.0)</f>
        <v>49174</v>
      </c>
      <c r="V856" s="149">
        <f>IFERROR(__xludf.DUMMYFUNCTION("""COMPUTED_VALUE"""),48993.0)</f>
        <v>48993</v>
      </c>
      <c r="W856" t="str">
        <f>IFERROR(__xludf.DUMMYFUNCTION("""COMPUTED_VALUE"""),"ปลอดภัย")</f>
        <v>ปลอดภัย</v>
      </c>
      <c r="X856" t="str">
        <f>IFERROR(__xludf.DUMMYFUNCTION("""COMPUTED_VALUE"""),"Bangkok")</f>
        <v>Bangkok</v>
      </c>
      <c r="Y856" t="str">
        <f>IFERROR(__xludf.DUMMYFUNCTION("""COMPUTED_VALUE"""),"Bangkok")</f>
        <v>Bangkok</v>
      </c>
      <c r="Z856" t="str">
        <f>IFERROR(__xludf.DUMMYFUNCTION("""COMPUTED_VALUE"""),"086-783-6834")</f>
        <v>086-783-6834</v>
      </c>
      <c r="AA856" t="str">
        <f>IFERROR(__xludf.DUMMYFUNCTION("""COMPUTED_VALUE"""),"Boonmark Kamying (Mother)")</f>
        <v>Boonmark Kamying (Mother)</v>
      </c>
      <c r="AB856" t="str">
        <f>IFERROR(__xludf.DUMMYFUNCTION("""COMPUTED_VALUE"""),"jutaporng@airasia.com ")</f>
        <v>jutaporng@airasia.com </v>
      </c>
    </row>
    <row r="857">
      <c r="A857">
        <f>IFERROR(__xludf.DUMMYFUNCTION("""COMPUTED_VALUE"""),1019398.0)</f>
        <v>1019398</v>
      </c>
      <c r="B857" t="str">
        <f>IFERROR(__xludf.DUMMYFUNCTION("""COMPUTED_VALUE"""),"Ms.")</f>
        <v>Ms.</v>
      </c>
      <c r="C857" t="str">
        <f>IFERROR(__xludf.DUMMYFUNCTION("""COMPUTED_VALUE"""),"Kamonjun")</f>
        <v>Kamonjun</v>
      </c>
      <c r="D857" t="str">
        <f>IFERROR(__xludf.DUMMYFUNCTION("""COMPUTED_VALUE"""),"Phookphun")</f>
        <v>Phookphun</v>
      </c>
      <c r="E857" t="str">
        <f>IFERROR(__xludf.DUMMYFUNCTION("""COMPUTED_VALUE"""),"Kamonjun Phookphun")</f>
        <v>Kamonjun Phookphun</v>
      </c>
      <c r="F857" t="str">
        <f>IFERROR(__xludf.DUMMYFUNCTION("""COMPUTED_VALUE"""),"นางสาว")</f>
        <v>นางสาว</v>
      </c>
      <c r="G857" t="str">
        <f>IFERROR(__xludf.DUMMYFUNCTION("""COMPUTED_VALUE"""),"กมลจันทน์")</f>
        <v>กมลจันทน์</v>
      </c>
      <c r="H857" t="str">
        <f>IFERROR(__xludf.DUMMYFUNCTION("""COMPUTED_VALUE"""),"ผูกพันธุ์")</f>
        <v>ผูกพันธุ์</v>
      </c>
      <c r="I857" t="str">
        <f>IFERROR(__xludf.DUMMYFUNCTION("""COMPUTED_VALUE"""),"กมลจันทน์ ผูกพันธุ์")</f>
        <v>กมลจันทน์ ผูกพันธุ์</v>
      </c>
      <c r="J857" t="str">
        <f>IFERROR(__xludf.DUMMYFUNCTION("""COMPUTED_VALUE"""),"Ploy /พลอย")</f>
        <v>Ploy /พลอย</v>
      </c>
      <c r="K857" t="str">
        <f>IFERROR(__xludf.DUMMYFUNCTION("""COMPUTED_VALUE"""),"Cabin Crew - BKK")</f>
        <v>Cabin Crew - BKK</v>
      </c>
      <c r="L857" t="str">
        <f>IFERROR(__xludf.DUMMYFUNCTION("""COMPUTED_VALUE"""),"BKK")</f>
        <v>BKK</v>
      </c>
      <c r="M857" s="145" t="str">
        <f>IFERROR(__xludf.DUMMYFUNCTION("""COMPUTED_VALUE"""),"Nhui Home")</f>
        <v>Nhui Home</v>
      </c>
      <c r="N857" t="str">
        <f>IFERROR(__xludf.DUMMYFUNCTION("""COMPUTED_VALUE"""),"Active")</f>
        <v>Active</v>
      </c>
      <c r="P857" s="143">
        <f>IFERROR(__xludf.DUMMYFUNCTION("""COMPUTED_VALUE"""),32874.0)</f>
        <v>32874</v>
      </c>
      <c r="Q857" s="146" t="str">
        <f>IFERROR(__xludf.DUMMYFUNCTION("""COMPUTED_VALUE"""),"083-554-4193")</f>
        <v>083-554-4193</v>
      </c>
      <c r="R857" s="147" t="str">
        <f>IFERROR(__xludf.DUMMYFUNCTION("""COMPUTED_VALUE"""),"1101700-08-7883")</f>
        <v>1101700-08-7883</v>
      </c>
      <c r="S857" t="str">
        <f>IFERROR(__xludf.DUMMYFUNCTION("""COMPUTED_VALUE"""),"AD0648472")</f>
        <v>AD0648472</v>
      </c>
      <c r="T857" s="148">
        <f>IFERROR(__xludf.DUMMYFUNCTION("""COMPUTED_VALUE"""),44945.0)</f>
        <v>44945</v>
      </c>
      <c r="U857" s="148">
        <f>IFERROR(__xludf.DUMMYFUNCTION("""COMPUTED_VALUE"""),48597.0)</f>
        <v>48597</v>
      </c>
      <c r="V857" s="149">
        <f>IFERROR(__xludf.DUMMYFUNCTION("""COMPUTED_VALUE"""),48413.0)</f>
        <v>48413</v>
      </c>
      <c r="W857" t="str">
        <f>IFERROR(__xludf.DUMMYFUNCTION("""COMPUTED_VALUE"""),"ปลอดภัย")</f>
        <v>ปลอดภัย</v>
      </c>
      <c r="X857" t="str">
        <f>IFERROR(__xludf.DUMMYFUNCTION("""COMPUTED_VALUE"""),"Bangkok")</f>
        <v>Bangkok</v>
      </c>
      <c r="Y857" t="str">
        <f>IFERROR(__xludf.DUMMYFUNCTION("""COMPUTED_VALUE"""),"Nonthaburi")</f>
        <v>Nonthaburi</v>
      </c>
      <c r="Z857" t="str">
        <f>IFERROR(__xludf.DUMMYFUNCTION("""COMPUTED_VALUE"""),"062-445-9153")</f>
        <v>062-445-9153</v>
      </c>
      <c r="AA857" t="str">
        <f>IFERROR(__xludf.DUMMYFUNCTION("""COMPUTED_VALUE"""),"Chaiwin Phookphun (Father)")</f>
        <v>Chaiwin Phookphun (Father)</v>
      </c>
      <c r="AB857" t="str">
        <f>IFERROR(__xludf.DUMMYFUNCTION("""COMPUTED_VALUE"""),"kamonjunp@airasia.com")</f>
        <v>kamonjunp@airasia.com</v>
      </c>
    </row>
    <row r="858">
      <c r="A858">
        <f>IFERROR(__xludf.DUMMYFUNCTION("""COMPUTED_VALUE"""),1019401.0)</f>
        <v>1019401</v>
      </c>
      <c r="B858" t="str">
        <f>IFERROR(__xludf.DUMMYFUNCTION("""COMPUTED_VALUE"""),"Mr.")</f>
        <v>Mr.</v>
      </c>
      <c r="C858" t="str">
        <f>IFERROR(__xludf.DUMMYFUNCTION("""COMPUTED_VALUE"""),"Kunlachat")</f>
        <v>Kunlachat</v>
      </c>
      <c r="D858" t="str">
        <f>IFERROR(__xludf.DUMMYFUNCTION("""COMPUTED_VALUE"""),"Cheythong")</f>
        <v>Cheythong</v>
      </c>
      <c r="E858" t="str">
        <f>IFERROR(__xludf.DUMMYFUNCTION("""COMPUTED_VALUE"""),"Kunlachat Cheythong")</f>
        <v>Kunlachat Cheythong</v>
      </c>
      <c r="F858" t="str">
        <f>IFERROR(__xludf.DUMMYFUNCTION("""COMPUTED_VALUE"""),"นาย")</f>
        <v>นาย</v>
      </c>
      <c r="G858" t="str">
        <f>IFERROR(__xludf.DUMMYFUNCTION("""COMPUTED_VALUE"""),"กุลฉัตร")</f>
        <v>กุลฉัตร</v>
      </c>
      <c r="H858" t="str">
        <f>IFERROR(__xludf.DUMMYFUNCTION("""COMPUTED_VALUE"""),"เชยทอง")</f>
        <v>เชยทอง</v>
      </c>
      <c r="I858" t="str">
        <f>IFERROR(__xludf.DUMMYFUNCTION("""COMPUTED_VALUE"""),"กุลฉัตร เชยทอง")</f>
        <v>กุลฉัตร เชยทอง</v>
      </c>
      <c r="J858" t="str">
        <f>IFERROR(__xludf.DUMMYFUNCTION("""COMPUTED_VALUE"""),"Shongklod/ทรงกลด")</f>
        <v>Shongklod/ทรงกลด</v>
      </c>
      <c r="K858" t="str">
        <f>IFERROR(__xludf.DUMMYFUNCTION("""COMPUTED_VALUE"""),"Cabin Crew")</f>
        <v>Cabin Crew</v>
      </c>
      <c r="L858" t="str">
        <f>IFERROR(__xludf.DUMMYFUNCTION("""COMPUTED_VALUE"""),"DMK")</f>
        <v>DMK</v>
      </c>
      <c r="M858" s="145" t="str">
        <f>IFERROR(__xludf.DUMMYFUNCTION("""COMPUTED_VALUE"""),"Um Home")</f>
        <v>Um Home</v>
      </c>
      <c r="N858" t="str">
        <f>IFERROR(__xludf.DUMMYFUNCTION("""COMPUTED_VALUE"""),"Active")</f>
        <v>Active</v>
      </c>
      <c r="P858" s="143">
        <f>IFERROR(__xludf.DUMMYFUNCTION("""COMPUTED_VALUE"""),33594.0)</f>
        <v>33594</v>
      </c>
      <c r="Q858" s="146" t="str">
        <f>IFERROR(__xludf.DUMMYFUNCTION("""COMPUTED_VALUE"""),"097-141-2646")</f>
        <v>097-141-2646</v>
      </c>
      <c r="R858" s="147" t="str">
        <f>IFERROR(__xludf.DUMMYFUNCTION("""COMPUTED_VALUE"""),"1110100-12-5571")</f>
        <v>1110100-12-5571</v>
      </c>
      <c r="S858" t="str">
        <f>IFERROR(__xludf.DUMMYFUNCTION("""COMPUTED_VALUE"""),"AC6812763")</f>
        <v>AC6812763</v>
      </c>
      <c r="T858" s="148">
        <f>IFERROR(__xludf.DUMMYFUNCTION("""COMPUTED_VALUE"""),45441.0)</f>
        <v>45441</v>
      </c>
      <c r="U858" s="148">
        <f>IFERROR(__xludf.DUMMYFUNCTION("""COMPUTED_VALUE"""),49092.0)</f>
        <v>49092</v>
      </c>
      <c r="V858" s="149">
        <f>IFERROR(__xludf.DUMMYFUNCTION("""COMPUTED_VALUE"""),48911.0)</f>
        <v>48911</v>
      </c>
      <c r="W858" t="str">
        <f>IFERROR(__xludf.DUMMYFUNCTION("""COMPUTED_VALUE"""),"ปลอดภัย")</f>
        <v>ปลอดภัย</v>
      </c>
      <c r="X858" t="str">
        <f>IFERROR(__xludf.DUMMYFUNCTION("""COMPUTED_VALUE"""),"Samut Prakan Province")</f>
        <v>Samut Prakan Province</v>
      </c>
      <c r="Y858" t="str">
        <f>IFERROR(__xludf.DUMMYFUNCTION("""COMPUTED_VALUE"""),"Samut Prakan")</f>
        <v>Samut Prakan</v>
      </c>
      <c r="Z858" t="str">
        <f>IFERROR(__xludf.DUMMYFUNCTION("""COMPUTED_VALUE"""),"086-891-3069")</f>
        <v>086-891-3069</v>
      </c>
      <c r="AA858" t="str">
        <f>IFERROR(__xludf.DUMMYFUNCTION("""COMPUTED_VALUE"""),"Kunrisa thongheam (Mother)")</f>
        <v>Kunrisa thongheam (Mother)</v>
      </c>
      <c r="AB858" t="str">
        <f>IFERROR(__xludf.DUMMYFUNCTION("""COMPUTED_VALUE"""),"kunlachatc@airasia.com")</f>
        <v>kunlachatc@airasia.com</v>
      </c>
    </row>
    <row r="859">
      <c r="A859">
        <f>IFERROR(__xludf.DUMMYFUNCTION("""COMPUTED_VALUE"""),1019402.0)</f>
        <v>1019402</v>
      </c>
      <c r="B859" t="str">
        <f>IFERROR(__xludf.DUMMYFUNCTION("""COMPUTED_VALUE"""),"Mr.")</f>
        <v>Mr.</v>
      </c>
      <c r="C859" t="str">
        <f>IFERROR(__xludf.DUMMYFUNCTION("""COMPUTED_VALUE"""),"Methawat")</f>
        <v>Methawat</v>
      </c>
      <c r="D859" t="str">
        <f>IFERROR(__xludf.DUMMYFUNCTION("""COMPUTED_VALUE"""),"Thitinawasup")</f>
        <v>Thitinawasup</v>
      </c>
      <c r="E859" t="str">
        <f>IFERROR(__xludf.DUMMYFUNCTION("""COMPUTED_VALUE"""),"Methawat Thitinawasup")</f>
        <v>Methawat Thitinawasup</v>
      </c>
      <c r="F859" t="str">
        <f>IFERROR(__xludf.DUMMYFUNCTION("""COMPUTED_VALUE"""),"นาย")</f>
        <v>นาย</v>
      </c>
      <c r="G859" t="str">
        <f>IFERROR(__xludf.DUMMYFUNCTION("""COMPUTED_VALUE"""),"เมธาวัฒน์")</f>
        <v>เมธาวัฒน์</v>
      </c>
      <c r="H859" t="str">
        <f>IFERROR(__xludf.DUMMYFUNCTION("""COMPUTED_VALUE"""),"ธิตินวทรัพย์")</f>
        <v>ธิตินวทรัพย์</v>
      </c>
      <c r="I859" t="str">
        <f>IFERROR(__xludf.DUMMYFUNCTION("""COMPUTED_VALUE"""),"เมธาวัฒน์ ธิตินวทรัพย์")</f>
        <v>เมธาวัฒน์ ธิตินวทรัพย์</v>
      </c>
      <c r="J859" t="str">
        <f>IFERROR(__xludf.DUMMYFUNCTION("""COMPUTED_VALUE"""),"Today / ทูเดย์")</f>
        <v>Today / ทูเดย์</v>
      </c>
      <c r="K859" t="str">
        <f>IFERROR(__xludf.DUMMYFUNCTION("""COMPUTED_VALUE"""),"Cabin Crew")</f>
        <v>Cabin Crew</v>
      </c>
      <c r="L859" t="str">
        <f>IFERROR(__xludf.DUMMYFUNCTION("""COMPUTED_VALUE"""),"DMK")</f>
        <v>DMK</v>
      </c>
      <c r="M859" s="145" t="str">
        <f>IFERROR(__xludf.DUMMYFUNCTION("""COMPUTED_VALUE"""),"Um Home")</f>
        <v>Um Home</v>
      </c>
      <c r="N859" t="str">
        <f>IFERROR(__xludf.DUMMYFUNCTION("""COMPUTED_VALUE"""),"Active")</f>
        <v>Active</v>
      </c>
      <c r="P859" s="143">
        <f>IFERROR(__xludf.DUMMYFUNCTION("""COMPUTED_VALUE"""),34024.0)</f>
        <v>34024</v>
      </c>
      <c r="Q859" s="146" t="str">
        <f>IFERROR(__xludf.DUMMYFUNCTION("""COMPUTED_VALUE"""),"087-546-6139")</f>
        <v>087-546-6139</v>
      </c>
      <c r="R859" s="147" t="str">
        <f>IFERROR(__xludf.DUMMYFUNCTION("""COMPUTED_VALUE"""),"1709900-78-1556")</f>
        <v>1709900-78-1556</v>
      </c>
      <c r="S859" t="str">
        <f>IFERROR(__xludf.DUMMYFUNCTION("""COMPUTED_VALUE"""),"AC2910285")</f>
        <v>AC2910285</v>
      </c>
      <c r="T859" s="148">
        <f>IFERROR(__xludf.DUMMYFUNCTION("""COMPUTED_VALUE"""),44620.0)</f>
        <v>44620</v>
      </c>
      <c r="U859" s="148">
        <f>IFERROR(__xludf.DUMMYFUNCTION("""COMPUTED_VALUE"""),48271.0)</f>
        <v>48271</v>
      </c>
      <c r="V859" s="149">
        <f>IFERROR(__xludf.DUMMYFUNCTION("""COMPUTED_VALUE"""),48087.0)</f>
        <v>48087</v>
      </c>
      <c r="W859" t="str">
        <f>IFERROR(__xludf.DUMMYFUNCTION("""COMPUTED_VALUE"""),"ปลอดภัย")</f>
        <v>ปลอดภัย</v>
      </c>
      <c r="X859" t="str">
        <f>IFERROR(__xludf.DUMMYFUNCTION("""COMPUTED_VALUE"""),"Ratchaburi Province")</f>
        <v>Ratchaburi Province</v>
      </c>
      <c r="Y859" t="str">
        <f>IFERROR(__xludf.DUMMYFUNCTION("""COMPUTED_VALUE"""),"Bangkok")</f>
        <v>Bangkok</v>
      </c>
      <c r="Z859" t="str">
        <f>IFERROR(__xludf.DUMMYFUNCTION("""COMPUTED_VALUE"""),"081-791-5645")</f>
        <v>081-791-5645</v>
      </c>
      <c r="AA859" t="str">
        <f>IFERROR(__xludf.DUMMYFUNCTION("""COMPUTED_VALUE"""),"Chaowawat Thitinawasup (Brother)")</f>
        <v>Chaowawat Thitinawasup (Brother)</v>
      </c>
      <c r="AB859" t="str">
        <f>IFERROR(__xludf.DUMMYFUNCTION("""COMPUTED_VALUE"""),"methawath@airasia.com")</f>
        <v>methawath@airasia.com</v>
      </c>
    </row>
    <row r="860">
      <c r="A860">
        <f>IFERROR(__xludf.DUMMYFUNCTION("""COMPUTED_VALUE"""),1019404.0)</f>
        <v>1019404</v>
      </c>
      <c r="B860" t="str">
        <f>IFERROR(__xludf.DUMMYFUNCTION("""COMPUTED_VALUE"""),"Ms.")</f>
        <v>Ms.</v>
      </c>
      <c r="C860" t="str">
        <f>IFERROR(__xludf.DUMMYFUNCTION("""COMPUTED_VALUE"""),"Ninlaya")</f>
        <v>Ninlaya</v>
      </c>
      <c r="D860" t="str">
        <f>IFERROR(__xludf.DUMMYFUNCTION("""COMPUTED_VALUE"""),"Tangmongkhongkon")</f>
        <v>Tangmongkhongkon</v>
      </c>
      <c r="E860" t="str">
        <f>IFERROR(__xludf.DUMMYFUNCTION("""COMPUTED_VALUE"""),"Ninlaya Tangmongkhongkon")</f>
        <v>Ninlaya Tangmongkhongkon</v>
      </c>
      <c r="F860" t="str">
        <f>IFERROR(__xludf.DUMMYFUNCTION("""COMPUTED_VALUE"""),"นางสาว")</f>
        <v>นางสาว</v>
      </c>
      <c r="G860" t="str">
        <f>IFERROR(__xludf.DUMMYFUNCTION("""COMPUTED_VALUE"""),"นิลญา")</f>
        <v>นิลญา</v>
      </c>
      <c r="H860" t="str">
        <f>IFERROR(__xludf.DUMMYFUNCTION("""COMPUTED_VALUE"""),"ตั้งมงคลกรณ์")</f>
        <v>ตั้งมงคลกรณ์</v>
      </c>
      <c r="I860" t="str">
        <f>IFERROR(__xludf.DUMMYFUNCTION("""COMPUTED_VALUE"""),"นิลญา ตั้งมงคลกรณ์")</f>
        <v>นิลญา ตั้งมงคลกรณ์</v>
      </c>
      <c r="J860" t="str">
        <f>IFERROR(__xludf.DUMMYFUNCTION("""COMPUTED_VALUE"""),"Hui/หุย")</f>
        <v>Hui/หุย</v>
      </c>
      <c r="K860" t="str">
        <f>IFERROR(__xludf.DUMMYFUNCTION("""COMPUTED_VALUE"""),"Cabin Crew - BKK")</f>
        <v>Cabin Crew - BKK</v>
      </c>
      <c r="L860" t="str">
        <f>IFERROR(__xludf.DUMMYFUNCTION("""COMPUTED_VALUE"""),"BKK")</f>
        <v>BKK</v>
      </c>
      <c r="M860" s="145" t="str">
        <f>IFERROR(__xludf.DUMMYFUNCTION("""COMPUTED_VALUE"""),"Nhui Home")</f>
        <v>Nhui Home</v>
      </c>
      <c r="N860" t="str">
        <f>IFERROR(__xludf.DUMMYFUNCTION("""COMPUTED_VALUE"""),"LWPP")</f>
        <v>LWPP</v>
      </c>
      <c r="P860" s="143">
        <f>IFERROR(__xludf.DUMMYFUNCTION("""COMPUTED_VALUE"""),33362.0)</f>
        <v>33362</v>
      </c>
      <c r="Q860" s="146" t="str">
        <f>IFERROR(__xludf.DUMMYFUNCTION("""COMPUTED_VALUE"""),"088-316-7575")</f>
        <v>088-316-7575</v>
      </c>
      <c r="R860" s="147" t="str">
        <f>IFERROR(__xludf.DUMMYFUNCTION("""COMPUTED_VALUE"""),"1100400-51-7229")</f>
        <v>1100400-51-7229</v>
      </c>
      <c r="S860" t="str">
        <f>IFERROR(__xludf.DUMMYFUNCTION("""COMPUTED_VALUE"""),"AC2557417")</f>
        <v>AC2557417</v>
      </c>
      <c r="T860" s="148">
        <f>IFERROR(__xludf.DUMMYFUNCTION("""COMPUTED_VALUE"""),44567.0)</f>
        <v>44567</v>
      </c>
      <c r="U860" s="148">
        <f>IFERROR(__xludf.DUMMYFUNCTION("""COMPUTED_VALUE"""),48218.0)</f>
        <v>48218</v>
      </c>
      <c r="V860" s="149">
        <f>IFERROR(__xludf.DUMMYFUNCTION("""COMPUTED_VALUE"""),48034.0)</f>
        <v>48034</v>
      </c>
      <c r="W860" t="str">
        <f>IFERROR(__xludf.DUMMYFUNCTION("""COMPUTED_VALUE"""),"ปลอดภัย")</f>
        <v>ปลอดภัย</v>
      </c>
      <c r="X860" t="str">
        <f>IFERROR(__xludf.DUMMYFUNCTION("""COMPUTED_VALUE"""),"Bangkok")</f>
        <v>Bangkok</v>
      </c>
      <c r="Y860" t="str">
        <f>IFERROR(__xludf.DUMMYFUNCTION("""COMPUTED_VALUE"""),"Bangkok")</f>
        <v>Bangkok</v>
      </c>
      <c r="Z860" t="str">
        <f>IFERROR(__xludf.DUMMYFUNCTION("""COMPUTED_VALUE"""),"086-310-0472")</f>
        <v>086-310-0472</v>
      </c>
      <c r="AA860" t="str">
        <f>IFERROR(__xludf.DUMMYFUNCTION("""COMPUTED_VALUE"""),"Nunil Hanchana(Mother)")</f>
        <v>Nunil Hanchana(Mother)</v>
      </c>
      <c r="AB860" t="str">
        <f>IFERROR(__xludf.DUMMYFUNCTION("""COMPUTED_VALUE"""),"ninlayat@airasia.com")</f>
        <v>ninlayat@airasia.com</v>
      </c>
    </row>
    <row r="861">
      <c r="A861">
        <f>IFERROR(__xludf.DUMMYFUNCTION("""COMPUTED_VALUE"""),1019405.0)</f>
        <v>1019405</v>
      </c>
      <c r="B861" t="str">
        <f>IFERROR(__xludf.DUMMYFUNCTION("""COMPUTED_VALUE"""),"Mr.")</f>
        <v>Mr.</v>
      </c>
      <c r="C861" t="str">
        <f>IFERROR(__xludf.DUMMYFUNCTION("""COMPUTED_VALUE"""),"Nithi")</f>
        <v>Nithi</v>
      </c>
      <c r="D861" t="str">
        <f>IFERROR(__xludf.DUMMYFUNCTION("""COMPUTED_VALUE"""),"Chalongtrakul")</f>
        <v>Chalongtrakul</v>
      </c>
      <c r="E861" t="str">
        <f>IFERROR(__xludf.DUMMYFUNCTION("""COMPUTED_VALUE"""),"Nithi Chalongtrakul")</f>
        <v>Nithi Chalongtrakul</v>
      </c>
      <c r="F861" t="str">
        <f>IFERROR(__xludf.DUMMYFUNCTION("""COMPUTED_VALUE"""),"นาย")</f>
        <v>นาย</v>
      </c>
      <c r="G861" t="str">
        <f>IFERROR(__xludf.DUMMYFUNCTION("""COMPUTED_VALUE"""),"นิธิ")</f>
        <v>นิธิ</v>
      </c>
      <c r="H861" t="str">
        <f>IFERROR(__xludf.DUMMYFUNCTION("""COMPUTED_VALUE"""),"ฉลองตระกูล")</f>
        <v>ฉลองตระกูล</v>
      </c>
      <c r="I861" t="str">
        <f>IFERROR(__xludf.DUMMYFUNCTION("""COMPUTED_VALUE"""),"นิธิ ฉลองตระกูล")</f>
        <v>นิธิ ฉลองตระกูล</v>
      </c>
      <c r="J861" t="str">
        <f>IFERROR(__xludf.DUMMYFUNCTION("""COMPUTED_VALUE"""),"Tie/ตี้")</f>
        <v>Tie/ตี้</v>
      </c>
      <c r="K861" t="str">
        <f>IFERROR(__xludf.DUMMYFUNCTION("""COMPUTED_VALUE"""),"Cabin Crew")</f>
        <v>Cabin Crew</v>
      </c>
      <c r="L861" t="str">
        <f>IFERROR(__xludf.DUMMYFUNCTION("""COMPUTED_VALUE"""),"DMK")</f>
        <v>DMK</v>
      </c>
      <c r="M861" s="145" t="str">
        <f>IFERROR(__xludf.DUMMYFUNCTION("""COMPUTED_VALUE"""),"Por+ Home")</f>
        <v>Por+ Home</v>
      </c>
      <c r="N861" t="str">
        <f>IFERROR(__xludf.DUMMYFUNCTION("""COMPUTED_VALUE"""),"Active")</f>
        <v>Active</v>
      </c>
      <c r="P861" s="143">
        <f>IFERROR(__xludf.DUMMYFUNCTION("""COMPUTED_VALUE"""),33449.0)</f>
        <v>33449</v>
      </c>
      <c r="Q861" s="146" t="str">
        <f>IFERROR(__xludf.DUMMYFUNCTION("""COMPUTED_VALUE"""),"066-141-9449")</f>
        <v>066-141-9449</v>
      </c>
      <c r="R861" s="147" t="str">
        <f>IFERROR(__xludf.DUMMYFUNCTION("""COMPUTED_VALUE"""),"1100800-72-5376")</f>
        <v>1100800-72-5376</v>
      </c>
      <c r="S861" t="str">
        <f>IFERROR(__xludf.DUMMYFUNCTION("""COMPUTED_VALUE"""),"AC6859739")</f>
        <v>AC6859739</v>
      </c>
      <c r="T861" s="148">
        <f>IFERROR(__xludf.DUMMYFUNCTION("""COMPUTED_VALUE"""),45476.0)</f>
        <v>45476</v>
      </c>
      <c r="U861" s="148">
        <f>IFERROR(__xludf.DUMMYFUNCTION("""COMPUTED_VALUE"""),49127.0)</f>
        <v>49127</v>
      </c>
      <c r="V861" s="149">
        <f>IFERROR(__xludf.DUMMYFUNCTION("""COMPUTED_VALUE"""),48946.0)</f>
        <v>48946</v>
      </c>
      <c r="W861" t="str">
        <f>IFERROR(__xludf.DUMMYFUNCTION("""COMPUTED_VALUE"""),"ปลอดภัย")</f>
        <v>ปลอดภัย</v>
      </c>
      <c r="X861" t="str">
        <f>IFERROR(__xludf.DUMMYFUNCTION("""COMPUTED_VALUE"""),"Bangkok")</f>
        <v>Bangkok</v>
      </c>
      <c r="Y861" t="str">
        <f>IFERROR(__xludf.DUMMYFUNCTION("""COMPUTED_VALUE"""),"Bangkok")</f>
        <v>Bangkok</v>
      </c>
      <c r="Z861" t="str">
        <f>IFERROR(__xludf.DUMMYFUNCTION("""COMPUTED_VALUE"""),"086-369-5332")</f>
        <v>086-369-5332</v>
      </c>
      <c r="AA861" t="str">
        <f>IFERROR(__xludf.DUMMYFUNCTION("""COMPUTED_VALUE"""),"Niramai Chalongtrakul (Mother)")</f>
        <v>Niramai Chalongtrakul (Mother)</v>
      </c>
      <c r="AB861" t="str">
        <f>IFERROR(__xludf.DUMMYFUNCTION("""COMPUTED_VALUE"""),"nithic@airasia.com")</f>
        <v>nithic@airasia.com</v>
      </c>
    </row>
    <row r="862">
      <c r="A862">
        <f>IFERROR(__xludf.DUMMYFUNCTION("""COMPUTED_VALUE"""),1019406.0)</f>
        <v>1019406</v>
      </c>
      <c r="B862" t="str">
        <f>IFERROR(__xludf.DUMMYFUNCTION("""COMPUTED_VALUE"""),"Ms.")</f>
        <v>Ms.</v>
      </c>
      <c r="C862" t="str">
        <f>IFERROR(__xludf.DUMMYFUNCTION("""COMPUTED_VALUE"""),"Purichaya")</f>
        <v>Purichaya</v>
      </c>
      <c r="D862" t="str">
        <f>IFERROR(__xludf.DUMMYFUNCTION("""COMPUTED_VALUE"""),"Pongpeerachork")</f>
        <v>Pongpeerachork</v>
      </c>
      <c r="E862" t="str">
        <f>IFERROR(__xludf.DUMMYFUNCTION("""COMPUTED_VALUE"""),"Purichaya Pongpeerachork")</f>
        <v>Purichaya Pongpeerachork</v>
      </c>
      <c r="F862" t="str">
        <f>IFERROR(__xludf.DUMMYFUNCTION("""COMPUTED_VALUE"""),"นางสาว")</f>
        <v>นางสาว</v>
      </c>
      <c r="G862" t="str">
        <f>IFERROR(__xludf.DUMMYFUNCTION("""COMPUTED_VALUE"""),"ภูริชญา")</f>
        <v>ภูริชญา</v>
      </c>
      <c r="H862" t="str">
        <f>IFERROR(__xludf.DUMMYFUNCTION("""COMPUTED_VALUE"""),"พงศ์พีรโชค")</f>
        <v>พงศ์พีรโชค</v>
      </c>
      <c r="I862" t="str">
        <f>IFERROR(__xludf.DUMMYFUNCTION("""COMPUTED_VALUE"""),"ภูริชญา พงศ์พีรโชค")</f>
        <v>ภูริชญา พงศ์พีรโชค</v>
      </c>
      <c r="J862" t="str">
        <f>IFERROR(__xludf.DUMMYFUNCTION("""COMPUTED_VALUE"""),"Print / ปริ้น")</f>
        <v>Print / ปริ้น</v>
      </c>
      <c r="K862" t="str">
        <f>IFERROR(__xludf.DUMMYFUNCTION("""COMPUTED_VALUE"""),"Cabin Crew")</f>
        <v>Cabin Crew</v>
      </c>
      <c r="L862" t="str">
        <f>IFERROR(__xludf.DUMMYFUNCTION("""COMPUTED_VALUE"""),"DMK")</f>
        <v>DMK</v>
      </c>
      <c r="M862" s="145" t="str">
        <f>IFERROR(__xludf.DUMMYFUNCTION("""COMPUTED_VALUE"""),"Por+ Home")</f>
        <v>Por+ Home</v>
      </c>
      <c r="N862" t="str">
        <f>IFERROR(__xludf.DUMMYFUNCTION("""COMPUTED_VALUE"""),"Active")</f>
        <v>Active</v>
      </c>
      <c r="P862" s="143">
        <f>IFERROR(__xludf.DUMMYFUNCTION("""COMPUTED_VALUE"""),34214.0)</f>
        <v>34214</v>
      </c>
      <c r="Q862" s="146" t="str">
        <f>IFERROR(__xludf.DUMMYFUNCTION("""COMPUTED_VALUE"""),"083-0101872")</f>
        <v>083-0101872</v>
      </c>
      <c r="R862" s="147" t="str">
        <f>IFERROR(__xludf.DUMMYFUNCTION("""COMPUTED_VALUE"""),"1739900-42-5792")</f>
        <v>1739900-42-5792</v>
      </c>
      <c r="S862" t="str">
        <f>IFERROR(__xludf.DUMMYFUNCTION("""COMPUTED_VALUE"""),"AD0645323")</f>
        <v>AD0645323</v>
      </c>
      <c r="T862" s="148">
        <f>IFERROR(__xludf.DUMMYFUNCTION("""COMPUTED_VALUE"""),44944.0)</f>
        <v>44944</v>
      </c>
      <c r="U862" s="148">
        <f>IFERROR(__xludf.DUMMYFUNCTION("""COMPUTED_VALUE"""),48596.0)</f>
        <v>48596</v>
      </c>
      <c r="V862" s="149">
        <f>IFERROR(__xludf.DUMMYFUNCTION("""COMPUTED_VALUE"""),48412.0)</f>
        <v>48412</v>
      </c>
      <c r="W862" t="str">
        <f>IFERROR(__xludf.DUMMYFUNCTION("""COMPUTED_VALUE"""),"ปลอดภัย")</f>
        <v>ปลอดภัย</v>
      </c>
      <c r="X862" t="str">
        <f>IFERROR(__xludf.DUMMYFUNCTION("""COMPUTED_VALUE"""),"Nakhon Pathom Province")</f>
        <v>Nakhon Pathom Province</v>
      </c>
      <c r="Y862" t="str">
        <f>IFERROR(__xludf.DUMMYFUNCTION("""COMPUTED_VALUE"""),"Bangkok")</f>
        <v>Bangkok</v>
      </c>
      <c r="Z862" t="str">
        <f>IFERROR(__xludf.DUMMYFUNCTION("""COMPUTED_VALUE"""),"081-815-5064")</f>
        <v>081-815-5064</v>
      </c>
      <c r="AA862" t="str">
        <f>IFERROR(__xludf.DUMMYFUNCTION("""COMPUTED_VALUE"""),"Numchai Pongpeerachork (Father)")</f>
        <v>Numchai Pongpeerachork (Father)</v>
      </c>
      <c r="AB862" t="str">
        <f>IFERROR(__xludf.DUMMYFUNCTION("""COMPUTED_VALUE"""),"purichayap@airasia.com")</f>
        <v>purichayap@airasia.com</v>
      </c>
    </row>
    <row r="863">
      <c r="A863">
        <f>IFERROR(__xludf.DUMMYFUNCTION("""COMPUTED_VALUE"""),1019407.0)</f>
        <v>1019407</v>
      </c>
      <c r="B863" t="str">
        <f>IFERROR(__xludf.DUMMYFUNCTION("""COMPUTED_VALUE"""),"Ms.")</f>
        <v>Ms.</v>
      </c>
      <c r="C863" t="str">
        <f>IFERROR(__xludf.DUMMYFUNCTION("""COMPUTED_VALUE"""),"Saowapak")</f>
        <v>Saowapak</v>
      </c>
      <c r="D863" t="str">
        <f>IFERROR(__xludf.DUMMYFUNCTION("""COMPUTED_VALUE"""),"Siri-athikhom")</f>
        <v>Siri-athikhom</v>
      </c>
      <c r="E863" t="str">
        <f>IFERROR(__xludf.DUMMYFUNCTION("""COMPUTED_VALUE"""),"Saowapak Siri-athikhom")</f>
        <v>Saowapak Siri-athikhom</v>
      </c>
      <c r="F863" t="str">
        <f>IFERROR(__xludf.DUMMYFUNCTION("""COMPUTED_VALUE"""),"นางสาว")</f>
        <v>นางสาว</v>
      </c>
      <c r="G863" t="str">
        <f>IFERROR(__xludf.DUMMYFUNCTION("""COMPUTED_VALUE"""),"เสาวภาคย์")</f>
        <v>เสาวภาคย์</v>
      </c>
      <c r="H863" t="str">
        <f>IFERROR(__xludf.DUMMYFUNCTION("""COMPUTED_VALUE"""),"ศิริอธิคม")</f>
        <v>ศิริอธิคม</v>
      </c>
      <c r="I863" t="str">
        <f>IFERROR(__xludf.DUMMYFUNCTION("""COMPUTED_VALUE"""),"เสาวภาคย์ ศิริอธิคม")</f>
        <v>เสาวภาคย์ ศิริอธิคม</v>
      </c>
      <c r="J863" t="str">
        <f>IFERROR(__xludf.DUMMYFUNCTION("""COMPUTED_VALUE"""),"Tul / ตุล")</f>
        <v>Tul / ตุล</v>
      </c>
      <c r="K863" t="str">
        <f>IFERROR(__xludf.DUMMYFUNCTION("""COMPUTED_VALUE"""),"Cabin Crew")</f>
        <v>Cabin Crew</v>
      </c>
      <c r="L863" t="str">
        <f>IFERROR(__xludf.DUMMYFUNCTION("""COMPUTED_VALUE"""),"DMK")</f>
        <v>DMK</v>
      </c>
      <c r="M863" s="145" t="str">
        <f>IFERROR(__xludf.DUMMYFUNCTION("""COMPUTED_VALUE"""),"Toffy Home")</f>
        <v>Toffy Home</v>
      </c>
      <c r="N863" t="str">
        <f>IFERROR(__xludf.DUMMYFUNCTION("""COMPUTED_VALUE"""),"Active")</f>
        <v>Active</v>
      </c>
      <c r="P863" s="143">
        <f>IFERROR(__xludf.DUMMYFUNCTION("""COMPUTED_VALUE"""),33152.0)</f>
        <v>33152</v>
      </c>
      <c r="Q863" s="146" t="str">
        <f>IFERROR(__xludf.DUMMYFUNCTION("""COMPUTED_VALUE"""),"091-859-2956")</f>
        <v>091-859-2956</v>
      </c>
      <c r="R863" s="147" t="str">
        <f>IFERROR(__xludf.DUMMYFUNCTION("""COMPUTED_VALUE"""),"1103700-26-7310")</f>
        <v>1103700-26-7310</v>
      </c>
      <c r="S863" t="str">
        <f>IFERROR(__xludf.DUMMYFUNCTION("""COMPUTED_VALUE"""),"AC6946438")</f>
        <v>AC6946438</v>
      </c>
      <c r="T863" s="148">
        <f>IFERROR(__xludf.DUMMYFUNCTION("""COMPUTED_VALUE"""),45528.0)</f>
        <v>45528</v>
      </c>
      <c r="U863" s="148">
        <f>IFERROR(__xludf.DUMMYFUNCTION("""COMPUTED_VALUE"""),49179.0)</f>
        <v>49179</v>
      </c>
      <c r="V863" s="149">
        <f>IFERROR(__xludf.DUMMYFUNCTION("""COMPUTED_VALUE"""),48998.0)</f>
        <v>48998</v>
      </c>
      <c r="W863" t="str">
        <f>IFERROR(__xludf.DUMMYFUNCTION("""COMPUTED_VALUE"""),"ปลอดภัย")</f>
        <v>ปลอดภัย</v>
      </c>
      <c r="X863" t="str">
        <f>IFERROR(__xludf.DUMMYFUNCTION("""COMPUTED_VALUE"""),"Bangkok")</f>
        <v>Bangkok</v>
      </c>
      <c r="Y863" t="str">
        <f>IFERROR(__xludf.DUMMYFUNCTION("""COMPUTED_VALUE"""),"Nonthaburi")</f>
        <v>Nonthaburi</v>
      </c>
      <c r="Z863" t="str">
        <f>IFERROR(__xludf.DUMMYFUNCTION("""COMPUTED_VALUE"""),"061-789-0253")</f>
        <v>061-789-0253</v>
      </c>
      <c r="AA863" t="str">
        <f>IFERROR(__xludf.DUMMYFUNCTION("""COMPUTED_VALUE"""),"Wasana Siri-athikhom(Brother)")</f>
        <v>Wasana Siri-athikhom(Brother)</v>
      </c>
      <c r="AB863" t="str">
        <f>IFERROR(__xludf.DUMMYFUNCTION("""COMPUTED_VALUE"""),"saowapaks@airasia.com")</f>
        <v>saowapaks@airasia.com</v>
      </c>
    </row>
    <row r="864">
      <c r="A864">
        <f>IFERROR(__xludf.DUMMYFUNCTION("""COMPUTED_VALUE"""),1019408.0)</f>
        <v>1019408</v>
      </c>
      <c r="B864" t="str">
        <f>IFERROR(__xludf.DUMMYFUNCTION("""COMPUTED_VALUE"""),"Ms.")</f>
        <v>Ms.</v>
      </c>
      <c r="C864" t="str">
        <f>IFERROR(__xludf.DUMMYFUNCTION("""COMPUTED_VALUE"""),"Sarocha")</f>
        <v>Sarocha</v>
      </c>
      <c r="D864" t="str">
        <f>IFERROR(__xludf.DUMMYFUNCTION("""COMPUTED_VALUE"""),"Kienvichit (Sukkathong)")</f>
        <v>Kienvichit (Sukkathong)</v>
      </c>
      <c r="E864" t="str">
        <f>IFERROR(__xludf.DUMMYFUNCTION("""COMPUTED_VALUE"""),"Sarocha Kienvichit")</f>
        <v>Sarocha Kienvichit</v>
      </c>
      <c r="F864" t="str">
        <f>IFERROR(__xludf.DUMMYFUNCTION("""COMPUTED_VALUE"""),"นางสาว")</f>
        <v>นางสาว</v>
      </c>
      <c r="G864" t="str">
        <f>IFERROR(__xludf.DUMMYFUNCTION("""COMPUTED_VALUE"""),"สโรชา")</f>
        <v>สโรชา</v>
      </c>
      <c r="H864" t="str">
        <f>IFERROR(__xludf.DUMMYFUNCTION("""COMPUTED_VALUE"""),"เขียนวิจิตร (สุกกาทอง)")</f>
        <v>เขียนวิจิตร (สุกกาทอง)</v>
      </c>
      <c r="I864" t="str">
        <f>IFERROR(__xludf.DUMMYFUNCTION("""COMPUTED_VALUE"""),"สโรชา เขียนวิจิตร")</f>
        <v>สโรชา เขียนวิจิตร</v>
      </c>
      <c r="J864" t="str">
        <f>IFERROR(__xludf.DUMMYFUNCTION("""COMPUTED_VALUE"""),"Leena / ลีน่า")</f>
        <v>Leena / ลีน่า</v>
      </c>
      <c r="K864" t="str">
        <f>IFERROR(__xludf.DUMMYFUNCTION("""COMPUTED_VALUE"""),"Cabin Crew - BKK")</f>
        <v>Cabin Crew - BKK</v>
      </c>
      <c r="L864" t="str">
        <f>IFERROR(__xludf.DUMMYFUNCTION("""COMPUTED_VALUE"""),"BKK")</f>
        <v>BKK</v>
      </c>
      <c r="M864" s="145" t="str">
        <f>IFERROR(__xludf.DUMMYFUNCTION("""COMPUTED_VALUE"""),"Nhui Home")</f>
        <v>Nhui Home</v>
      </c>
      <c r="N864" t="str">
        <f>IFERROR(__xludf.DUMMYFUNCTION("""COMPUTED_VALUE"""),"Active")</f>
        <v>Active</v>
      </c>
      <c r="P864" s="143">
        <f>IFERROR(__xludf.DUMMYFUNCTION("""COMPUTED_VALUE"""),33140.0)</f>
        <v>33140</v>
      </c>
      <c r="Q864" s="146" t="str">
        <f>IFERROR(__xludf.DUMMYFUNCTION("""COMPUTED_VALUE"""),"089-697-6064")</f>
        <v>089-697-6064</v>
      </c>
      <c r="R864" s="147" t="str">
        <f>IFERROR(__xludf.DUMMYFUNCTION("""COMPUTED_VALUE"""),"1100701-25-9806")</f>
        <v>1100701-25-9806</v>
      </c>
      <c r="S864" t="str">
        <f>IFERROR(__xludf.DUMMYFUNCTION("""COMPUTED_VALUE"""),"AC6780490")</f>
        <v>AC6780490</v>
      </c>
      <c r="T864" s="148">
        <f>IFERROR(__xludf.DUMMYFUNCTION("""COMPUTED_VALUE"""),45432.0)</f>
        <v>45432</v>
      </c>
      <c r="U864" s="148">
        <f>IFERROR(__xludf.DUMMYFUNCTION("""COMPUTED_VALUE"""),49083.0)</f>
        <v>49083</v>
      </c>
      <c r="V864" s="149">
        <f>IFERROR(__xludf.DUMMYFUNCTION("""COMPUTED_VALUE"""),48902.0)</f>
        <v>48902</v>
      </c>
      <c r="W864" t="str">
        <f>IFERROR(__xludf.DUMMYFUNCTION("""COMPUTED_VALUE"""),"ปลอดภัย")</f>
        <v>ปลอดภัย</v>
      </c>
      <c r="X864" t="str">
        <f>IFERROR(__xludf.DUMMYFUNCTION("""COMPUTED_VALUE"""),"Bangkok")</f>
        <v>Bangkok</v>
      </c>
      <c r="Y864" t="str">
        <f>IFERROR(__xludf.DUMMYFUNCTION("""COMPUTED_VALUE"""),"Bangkok")</f>
        <v>Bangkok</v>
      </c>
      <c r="Z864" t="str">
        <f>IFERROR(__xludf.DUMMYFUNCTION("""COMPUTED_VALUE"""),"087-102-3453")</f>
        <v>087-102-3453</v>
      </c>
      <c r="AA864" t="str">
        <f>IFERROR(__xludf.DUMMYFUNCTION("""COMPUTED_VALUE"""),"Suntorn Sukkathong (Father)")</f>
        <v>Suntorn Sukkathong (Father)</v>
      </c>
      <c r="AB864" t="str">
        <f>IFERROR(__xludf.DUMMYFUNCTION("""COMPUTED_VALUE"""),"sarochas@airasia.com")</f>
        <v>sarochas@airasia.com</v>
      </c>
    </row>
    <row r="865">
      <c r="A865">
        <f>IFERROR(__xludf.DUMMYFUNCTION("""COMPUTED_VALUE"""),1019409.0)</f>
        <v>1019409</v>
      </c>
      <c r="B865" t="str">
        <f>IFERROR(__xludf.DUMMYFUNCTION("""COMPUTED_VALUE"""),"Mr.")</f>
        <v>Mr.</v>
      </c>
      <c r="C865" t="str">
        <f>IFERROR(__xludf.DUMMYFUNCTION("""COMPUTED_VALUE"""),"Chitipat (Tanawat)")</f>
        <v>Chitipat (Tanawat)</v>
      </c>
      <c r="D865" t="str">
        <f>IFERROR(__xludf.DUMMYFUNCTION("""COMPUTED_VALUE"""),"Thananitdullayaphak (Lommahadthai)")</f>
        <v>Thananitdullayaphak (Lommahadthai)</v>
      </c>
      <c r="E865" t="str">
        <f>IFERROR(__xludf.DUMMYFUNCTION("""COMPUTED_VALUE"""),"Chitipat Thananitdullayaphak")</f>
        <v>Chitipat Thananitdullayaphak</v>
      </c>
      <c r="F865" t="str">
        <f>IFERROR(__xludf.DUMMYFUNCTION("""COMPUTED_VALUE"""),"นาย")</f>
        <v>นาย</v>
      </c>
      <c r="G865" t="str">
        <f>IFERROR(__xludf.DUMMYFUNCTION("""COMPUTED_VALUE"""),"ชิติพัฒน์ (ธนวัฒน์)")</f>
        <v>ชิติพัฒน์ (ธนวัฒน์)</v>
      </c>
      <c r="H865" t="str">
        <f>IFERROR(__xludf.DUMMYFUNCTION("""COMPUTED_VALUE"""),"ธนนิตย์ดุลยภัค (ล้อมมหาดไทย)")</f>
        <v>ธนนิตย์ดุลยภัค (ล้อมมหาดไทย)</v>
      </c>
      <c r="I865" t="str">
        <f>IFERROR(__xludf.DUMMYFUNCTION("""COMPUTED_VALUE"""),"ชิติพัฒน์ ธนนิตย์ดุลยภัค")</f>
        <v>ชิติพัฒน์ ธนนิตย์ดุลยภัค</v>
      </c>
      <c r="J865" t="str">
        <f>IFERROR(__xludf.DUMMYFUNCTION("""COMPUTED_VALUE"""),"Louis / หลุยส์")</f>
        <v>Louis / หลุยส์</v>
      </c>
      <c r="K865" t="str">
        <f>IFERROR(__xludf.DUMMYFUNCTION("""COMPUTED_VALUE"""),"Cabin Crew")</f>
        <v>Cabin Crew</v>
      </c>
      <c r="L865" t="str">
        <f>IFERROR(__xludf.DUMMYFUNCTION("""COMPUTED_VALUE"""),"DMK")</f>
        <v>DMK</v>
      </c>
      <c r="M865" s="145" t="str">
        <f>IFERROR(__xludf.DUMMYFUNCTION("""COMPUTED_VALUE"""),"Namfon Home")</f>
        <v>Namfon Home</v>
      </c>
      <c r="N865" t="str">
        <f>IFERROR(__xludf.DUMMYFUNCTION("""COMPUTED_VALUE"""),"Active")</f>
        <v>Active</v>
      </c>
      <c r="P865" s="143">
        <f>IFERROR(__xludf.DUMMYFUNCTION("""COMPUTED_VALUE"""),32987.0)</f>
        <v>32987</v>
      </c>
      <c r="Q865" s="146" t="str">
        <f>IFERROR(__xludf.DUMMYFUNCTION("""COMPUTED_VALUE"""),"064-989-9796")</f>
        <v>064-989-9796</v>
      </c>
      <c r="R865" s="147" t="str">
        <f>IFERROR(__xludf.DUMMYFUNCTION("""COMPUTED_VALUE"""),"1102700-02-5145")</f>
        <v>1102700-02-5145</v>
      </c>
      <c r="S865" t="str">
        <f>IFERROR(__xludf.DUMMYFUNCTION("""COMPUTED_VALUE"""),"AC7104716")</f>
        <v>AC7104716</v>
      </c>
      <c r="T865" s="148">
        <f>IFERROR(__xludf.DUMMYFUNCTION("""COMPUTED_VALUE"""),45606.0)</f>
        <v>45606</v>
      </c>
      <c r="U865" s="148">
        <f>IFERROR(__xludf.DUMMYFUNCTION("""COMPUTED_VALUE"""),49257.0)</f>
        <v>49257</v>
      </c>
      <c r="V865" s="149">
        <f>IFERROR(__xludf.DUMMYFUNCTION("""COMPUTED_VALUE"""),49073.0)</f>
        <v>49073</v>
      </c>
      <c r="W865" t="str">
        <f>IFERROR(__xludf.DUMMYFUNCTION("""COMPUTED_VALUE"""),"ปลอดภัย")</f>
        <v>ปลอดภัย</v>
      </c>
      <c r="X865" t="str">
        <f>IFERROR(__xludf.DUMMYFUNCTION("""COMPUTED_VALUE"""),"Bangkok")</f>
        <v>Bangkok</v>
      </c>
      <c r="Y865" t="str">
        <f>IFERROR(__xludf.DUMMYFUNCTION("""COMPUTED_VALUE"""),"Bangkok")</f>
        <v>Bangkok</v>
      </c>
      <c r="Z865" t="str">
        <f>IFERROR(__xludf.DUMMYFUNCTION("""COMPUTED_VALUE"""),"095-696-5539")</f>
        <v>095-696-5539</v>
      </c>
      <c r="AA865" t="str">
        <f>IFERROR(__xludf.DUMMYFUNCTION("""COMPUTED_VALUE"""),"Aniwat Lommahadthai (Brother)")</f>
        <v>Aniwat Lommahadthai (Brother)</v>
      </c>
      <c r="AB865" t="str">
        <f>IFERROR(__xludf.DUMMYFUNCTION("""COMPUTED_VALUE"""),"chitipatt@airasia.com")</f>
        <v>chitipatt@airasia.com</v>
      </c>
    </row>
    <row r="866">
      <c r="A866">
        <f>IFERROR(__xludf.DUMMYFUNCTION("""COMPUTED_VALUE"""),1019410.0)</f>
        <v>1019410</v>
      </c>
      <c r="B866" t="str">
        <f>IFERROR(__xludf.DUMMYFUNCTION("""COMPUTED_VALUE"""),"Ms.")</f>
        <v>Ms.</v>
      </c>
      <c r="C866" t="str">
        <f>IFERROR(__xludf.DUMMYFUNCTION("""COMPUTED_VALUE"""),"Thachaporn")</f>
        <v>Thachaporn</v>
      </c>
      <c r="D866" t="str">
        <f>IFERROR(__xludf.DUMMYFUNCTION("""COMPUTED_VALUE"""),"Lertwichitsilp")</f>
        <v>Lertwichitsilp</v>
      </c>
      <c r="E866" t="str">
        <f>IFERROR(__xludf.DUMMYFUNCTION("""COMPUTED_VALUE"""),"Thachaporn Lertwichitsilp")</f>
        <v>Thachaporn Lertwichitsilp</v>
      </c>
      <c r="F866" t="str">
        <f>IFERROR(__xludf.DUMMYFUNCTION("""COMPUTED_VALUE"""),"นางสาว")</f>
        <v>นางสาว</v>
      </c>
      <c r="G866" t="str">
        <f>IFERROR(__xludf.DUMMYFUNCTION("""COMPUTED_VALUE"""),"ธัชพร")</f>
        <v>ธัชพร</v>
      </c>
      <c r="H866" t="str">
        <f>IFERROR(__xludf.DUMMYFUNCTION("""COMPUTED_VALUE"""),"เลิศวิจิตรศิลป์")</f>
        <v>เลิศวิจิตรศิลป์</v>
      </c>
      <c r="I866" t="str">
        <f>IFERROR(__xludf.DUMMYFUNCTION("""COMPUTED_VALUE"""),"ธัชพร เลิศวิจิตรศิลป์")</f>
        <v>ธัชพร เลิศวิจิตรศิลป์</v>
      </c>
      <c r="J866" t="str">
        <f>IFERROR(__xludf.DUMMYFUNCTION("""COMPUTED_VALUE"""),"Mint/มิ้น")</f>
        <v>Mint/มิ้น</v>
      </c>
      <c r="K866" t="str">
        <f>IFERROR(__xludf.DUMMYFUNCTION("""COMPUTED_VALUE"""),"Senior Cabin Crew")</f>
        <v>Senior Cabin Crew</v>
      </c>
      <c r="L866" t="str">
        <f>IFERROR(__xludf.DUMMYFUNCTION("""COMPUTED_VALUE"""),"DMK")</f>
        <v>DMK</v>
      </c>
      <c r="M866" s="145" t="str">
        <f>IFERROR(__xludf.DUMMYFUNCTION("""COMPUTED_VALUE"""),"Por+ Home")</f>
        <v>Por+ Home</v>
      </c>
      <c r="N866" t="str">
        <f>IFERROR(__xludf.DUMMYFUNCTION("""COMPUTED_VALUE"""),"Active")</f>
        <v>Active</v>
      </c>
      <c r="P866" s="143">
        <f>IFERROR(__xludf.DUMMYFUNCTION("""COMPUTED_VALUE"""),33576.0)</f>
        <v>33576</v>
      </c>
      <c r="Q866" s="146" t="str">
        <f>IFERROR(__xludf.DUMMYFUNCTION("""COMPUTED_VALUE"""),"086-374-6557")</f>
        <v>086-374-6557</v>
      </c>
      <c r="R866" s="147" t="str">
        <f>IFERROR(__xludf.DUMMYFUNCTION("""COMPUTED_VALUE"""),"1103700-65-5492")</f>
        <v>1103700-65-5492</v>
      </c>
      <c r="S866" t="str">
        <f>IFERROR(__xludf.DUMMYFUNCTION("""COMPUTED_VALUE"""),"AC2862165")</f>
        <v>AC2862165</v>
      </c>
      <c r="T866" s="148">
        <f>IFERROR(__xludf.DUMMYFUNCTION("""COMPUTED_VALUE"""),44600.0)</f>
        <v>44600</v>
      </c>
      <c r="U866" s="148">
        <f>IFERROR(__xludf.DUMMYFUNCTION("""COMPUTED_VALUE"""),48251.0)</f>
        <v>48251</v>
      </c>
      <c r="V866" s="149">
        <f>IFERROR(__xludf.DUMMYFUNCTION("""COMPUTED_VALUE"""),48067.0)</f>
        <v>48067</v>
      </c>
      <c r="W866" t="str">
        <f>IFERROR(__xludf.DUMMYFUNCTION("""COMPUTED_VALUE"""),"ปลอดภัย")</f>
        <v>ปลอดภัย</v>
      </c>
      <c r="X866" t="str">
        <f>IFERROR(__xludf.DUMMYFUNCTION("""COMPUTED_VALUE"""),"Bangkok")</f>
        <v>Bangkok</v>
      </c>
      <c r="Y866" t="str">
        <f>IFERROR(__xludf.DUMMYFUNCTION("""COMPUTED_VALUE"""),"Pathumthani")</f>
        <v>Pathumthani</v>
      </c>
      <c r="Z866" t="str">
        <f>IFERROR(__xludf.DUMMYFUNCTION("""COMPUTED_VALUE"""),"081-374-5767")</f>
        <v>081-374-5767</v>
      </c>
      <c r="AA866" t="str">
        <f>IFERROR(__xludf.DUMMYFUNCTION("""COMPUTED_VALUE"""),"Kirakorn Kornjirapon")</f>
        <v>Kirakorn Kornjirapon</v>
      </c>
      <c r="AB866" t="str">
        <f>IFERROR(__xludf.DUMMYFUNCTION("""COMPUTED_VALUE"""),"thachapornl@airasia.com")</f>
        <v>thachapornl@airasia.com</v>
      </c>
    </row>
    <row r="867">
      <c r="A867">
        <f>IFERROR(__xludf.DUMMYFUNCTION("""COMPUTED_VALUE"""),1019411.0)</f>
        <v>1019411</v>
      </c>
      <c r="B867" t="str">
        <f>IFERROR(__xludf.DUMMYFUNCTION("""COMPUTED_VALUE"""),"Ms.")</f>
        <v>Ms.</v>
      </c>
      <c r="C867" t="str">
        <f>IFERROR(__xludf.DUMMYFUNCTION("""COMPUTED_VALUE"""),"Waratthamol")</f>
        <v>Waratthamol</v>
      </c>
      <c r="D867" t="str">
        <f>IFERROR(__xludf.DUMMYFUNCTION("""COMPUTED_VALUE"""),"Sirinthamart")</f>
        <v>Sirinthamart</v>
      </c>
      <c r="E867" t="str">
        <f>IFERROR(__xludf.DUMMYFUNCTION("""COMPUTED_VALUE"""),"Waratthamol Sirinthamart")</f>
        <v>Waratthamol Sirinthamart</v>
      </c>
      <c r="F867" t="str">
        <f>IFERROR(__xludf.DUMMYFUNCTION("""COMPUTED_VALUE"""),"นางสาว")</f>
        <v>นางสาว</v>
      </c>
      <c r="G867" t="str">
        <f>IFERROR(__xludf.DUMMYFUNCTION("""COMPUTED_VALUE"""),"วรัชญ์ทมล")</f>
        <v>วรัชญ์ทมล</v>
      </c>
      <c r="H867" t="str">
        <f>IFERROR(__xludf.DUMMYFUNCTION("""COMPUTED_VALUE"""),"ศิรินธมาตย์")</f>
        <v>ศิรินธมาตย์</v>
      </c>
      <c r="I867" t="str">
        <f>IFERROR(__xludf.DUMMYFUNCTION("""COMPUTED_VALUE"""),"วรัชญ์ทมล ศิรินธมาตย์")</f>
        <v>วรัชญ์ทมล ศิรินธมาตย์</v>
      </c>
      <c r="J867" t="str">
        <f>IFERROR(__xludf.DUMMYFUNCTION("""COMPUTED_VALUE"""),"Nook / นุ้ก")</f>
        <v>Nook / นุ้ก</v>
      </c>
      <c r="K867" t="str">
        <f>IFERROR(__xludf.DUMMYFUNCTION("""COMPUTED_VALUE"""),"Cabin Crew")</f>
        <v>Cabin Crew</v>
      </c>
      <c r="L867" t="str">
        <f>IFERROR(__xludf.DUMMYFUNCTION("""COMPUTED_VALUE"""),"DMK")</f>
        <v>DMK</v>
      </c>
      <c r="M867" s="145" t="str">
        <f>IFERROR(__xludf.DUMMYFUNCTION("""COMPUTED_VALUE"""),"Um Home")</f>
        <v>Um Home</v>
      </c>
      <c r="N867" t="str">
        <f>IFERROR(__xludf.DUMMYFUNCTION("""COMPUTED_VALUE"""),"Active")</f>
        <v>Active</v>
      </c>
      <c r="P867" s="143">
        <f>IFERROR(__xludf.DUMMYFUNCTION("""COMPUTED_VALUE"""),33336.0)</f>
        <v>33336</v>
      </c>
      <c r="Q867" s="146" t="str">
        <f>IFERROR(__xludf.DUMMYFUNCTION("""COMPUTED_VALUE"""),"089-925-3055")</f>
        <v>089-925-3055</v>
      </c>
      <c r="R867" s="147" t="str">
        <f>IFERROR(__xludf.DUMMYFUNCTION("""COMPUTED_VALUE"""),"1103000-01-5776")</f>
        <v>1103000-01-5776</v>
      </c>
      <c r="S867" t="str">
        <f>IFERROR(__xludf.DUMMYFUNCTION("""COMPUTED_VALUE"""),"AC6214918")</f>
        <v>AC6214918</v>
      </c>
      <c r="T867" s="148">
        <f>IFERROR(__xludf.DUMMYFUNCTION("""COMPUTED_VALUE"""),45301.0)</f>
        <v>45301</v>
      </c>
      <c r="U867" s="148">
        <f>IFERROR(__xludf.DUMMYFUNCTION("""COMPUTED_VALUE"""),48953.0)</f>
        <v>48953</v>
      </c>
      <c r="V867" s="149">
        <f>IFERROR(__xludf.DUMMYFUNCTION("""COMPUTED_VALUE"""),48769.0)</f>
        <v>48769</v>
      </c>
      <c r="W867" t="str">
        <f>IFERROR(__xludf.DUMMYFUNCTION("""COMPUTED_VALUE"""),"ปลอดภัย")</f>
        <v>ปลอดภัย</v>
      </c>
      <c r="X867" t="str">
        <f>IFERROR(__xludf.DUMMYFUNCTION("""COMPUTED_VALUE"""),"Bangkok")</f>
        <v>Bangkok</v>
      </c>
      <c r="Y867" t="str">
        <f>IFERROR(__xludf.DUMMYFUNCTION("""COMPUTED_VALUE"""),"Bangkok")</f>
        <v>Bangkok</v>
      </c>
      <c r="Z867" t="str">
        <f>IFERROR(__xludf.DUMMYFUNCTION("""COMPUTED_VALUE"""),"081 918 1416")</f>
        <v>081 918 1416</v>
      </c>
      <c r="AA867" t="str">
        <f>IFERROR(__xludf.DUMMYFUNCTION("""COMPUTED_VALUE"""),"Weerayuth Jiraphaksiri")</f>
        <v>Weerayuth Jiraphaksiri</v>
      </c>
      <c r="AB867" t="str">
        <f>IFERROR(__xludf.DUMMYFUNCTION("""COMPUTED_VALUE"""),"waratthamols@airasia.com")</f>
        <v>waratthamols@airasia.com</v>
      </c>
    </row>
    <row r="868">
      <c r="A868">
        <f>IFERROR(__xludf.DUMMYFUNCTION("""COMPUTED_VALUE"""),1019412.0)</f>
        <v>1019412</v>
      </c>
      <c r="B868" t="str">
        <f>IFERROR(__xludf.DUMMYFUNCTION("""COMPUTED_VALUE"""),"Mr.")</f>
        <v>Mr.</v>
      </c>
      <c r="C868" t="str">
        <f>IFERROR(__xludf.DUMMYFUNCTION("""COMPUTED_VALUE"""),"Werapat")</f>
        <v>Werapat</v>
      </c>
      <c r="D868" t="str">
        <f>IFERROR(__xludf.DUMMYFUNCTION("""COMPUTED_VALUE"""),"Thitirojnopparat")</f>
        <v>Thitirojnopparat</v>
      </c>
      <c r="E868" t="str">
        <f>IFERROR(__xludf.DUMMYFUNCTION("""COMPUTED_VALUE"""),"Werapat Thitirojnopparat")</f>
        <v>Werapat Thitirojnopparat</v>
      </c>
      <c r="F868" t="str">
        <f>IFERROR(__xludf.DUMMYFUNCTION("""COMPUTED_VALUE"""),"นาย")</f>
        <v>นาย</v>
      </c>
      <c r="G868" t="str">
        <f>IFERROR(__xludf.DUMMYFUNCTION("""COMPUTED_VALUE"""),"วีรภัทร")</f>
        <v>วีรภัทร</v>
      </c>
      <c r="H868" t="str">
        <f>IFERROR(__xludf.DUMMYFUNCTION("""COMPUTED_VALUE"""),"ธิติโรจนพรัตน์")</f>
        <v>ธิติโรจนพรัตน์</v>
      </c>
      <c r="I868" t="str">
        <f>IFERROR(__xludf.DUMMYFUNCTION("""COMPUTED_VALUE"""),"วีรภัทร ธิติโรจนพรัตน์")</f>
        <v>วีรภัทร ธิติโรจนพรัตน์</v>
      </c>
      <c r="J868" t="str">
        <f>IFERROR(__xludf.DUMMYFUNCTION("""COMPUTED_VALUE"""),"Tonn / ต้น")</f>
        <v>Tonn / ต้น</v>
      </c>
      <c r="K868" t="str">
        <f>IFERROR(__xludf.DUMMYFUNCTION("""COMPUTED_VALUE"""),"Cabin Crew")</f>
        <v>Cabin Crew</v>
      </c>
      <c r="L868" t="str">
        <f>IFERROR(__xludf.DUMMYFUNCTION("""COMPUTED_VALUE"""),"DMK")</f>
        <v>DMK</v>
      </c>
      <c r="M868" s="145" t="str">
        <f>IFERROR(__xludf.DUMMYFUNCTION("""COMPUTED_VALUE"""),"Namfon Home")</f>
        <v>Namfon Home</v>
      </c>
      <c r="N868" t="str">
        <f>IFERROR(__xludf.DUMMYFUNCTION("""COMPUTED_VALUE"""),"Active")</f>
        <v>Active</v>
      </c>
      <c r="P868" s="143">
        <f>IFERROR(__xludf.DUMMYFUNCTION("""COMPUTED_VALUE"""),32837.0)</f>
        <v>32837</v>
      </c>
      <c r="Q868" s="146" t="str">
        <f>IFERROR(__xludf.DUMMYFUNCTION("""COMPUTED_VALUE"""),"098-991-5524")</f>
        <v>098-991-5524</v>
      </c>
      <c r="R868" s="147" t="str">
        <f>IFERROR(__xludf.DUMMYFUNCTION("""COMPUTED_VALUE"""),"1100800-58-7445")</f>
        <v>1100800-58-7445</v>
      </c>
      <c r="S868" t="str">
        <f>IFERROR(__xludf.DUMMYFUNCTION("""COMPUTED_VALUE"""),"AC2551561")</f>
        <v>AC2551561</v>
      </c>
      <c r="T868" s="148">
        <f>IFERROR(__xludf.DUMMYFUNCTION("""COMPUTED_VALUE"""),44671.0)</f>
        <v>44671</v>
      </c>
      <c r="U868" s="148">
        <f>IFERROR(__xludf.DUMMYFUNCTION("""COMPUTED_VALUE"""),46496.0)</f>
        <v>46496</v>
      </c>
      <c r="V868" s="149">
        <f>IFERROR(__xludf.DUMMYFUNCTION("""COMPUTED_VALUE"""),46314.0)</f>
        <v>46314</v>
      </c>
      <c r="W868" t="str">
        <f>IFERROR(__xludf.DUMMYFUNCTION("""COMPUTED_VALUE"""),"ปลอดภัย")</f>
        <v>ปลอดภัย</v>
      </c>
      <c r="X868" t="str">
        <f>IFERROR(__xludf.DUMMYFUNCTION("""COMPUTED_VALUE"""),"Bangkok")</f>
        <v>Bangkok</v>
      </c>
      <c r="Y868" t="str">
        <f>IFERROR(__xludf.DUMMYFUNCTION("""COMPUTED_VALUE"""),"Bangkok")</f>
        <v>Bangkok</v>
      </c>
      <c r="Z868" t="str">
        <f>IFERROR(__xludf.DUMMYFUNCTION("""COMPUTED_VALUE"""),"086-895-1133")</f>
        <v>086-895-1133</v>
      </c>
      <c r="AA868" t="str">
        <f>IFERROR(__xludf.DUMMYFUNCTION("""COMPUTED_VALUE"""),"Somphop Thitirojnopparat(Father)")</f>
        <v>Somphop Thitirojnopparat(Father)</v>
      </c>
      <c r="AB868" t="str">
        <f>IFERROR(__xludf.DUMMYFUNCTION("""COMPUTED_VALUE"""),"werapatt@airasia.com")</f>
        <v>werapatt@airasia.com</v>
      </c>
    </row>
    <row r="869">
      <c r="AB869" t="str">
        <f>IFERROR(__xludf.DUMMYFUNCTION("""COMPUTED_VALUE"""),"")</f>
        <v/>
      </c>
    </row>
    <row r="870">
      <c r="A870">
        <f>IFERROR(__xludf.DUMMYFUNCTION("""COMPUTED_VALUE"""),1006796.0)</f>
        <v>1006796</v>
      </c>
      <c r="B870" t="str">
        <f>IFERROR(__xludf.DUMMYFUNCTION("""COMPUTED_VALUE"""),"Ms.")</f>
        <v>Ms.</v>
      </c>
      <c r="C870" t="str">
        <f>IFERROR(__xludf.DUMMYFUNCTION("""COMPUTED_VALUE"""),"Phonpimon")</f>
        <v>Phonpimon</v>
      </c>
      <c r="D870" t="str">
        <f>IFERROR(__xludf.DUMMYFUNCTION("""COMPUTED_VALUE"""),"Nakhiranwiriya")</f>
        <v>Nakhiranwiriya</v>
      </c>
      <c r="E870" t="str">
        <f>IFERROR(__xludf.DUMMYFUNCTION("""COMPUTED_VALUE"""),"Phonpimon Nakhiranwiriya")</f>
        <v>Phonpimon Nakhiranwiriya</v>
      </c>
      <c r="F870" t="str">
        <f>IFERROR(__xludf.DUMMYFUNCTION("""COMPUTED_VALUE"""),"นางสาว")</f>
        <v>นางสาว</v>
      </c>
      <c r="G870" t="str">
        <f>IFERROR(__xludf.DUMMYFUNCTION("""COMPUTED_VALUE"""),"พรพิมล")</f>
        <v>พรพิมล</v>
      </c>
      <c r="H870" t="str">
        <f>IFERROR(__xludf.DUMMYFUNCTION("""COMPUTED_VALUE"""),"นาคหิรัญวิริยะ")</f>
        <v>นาคหิรัญวิริยะ</v>
      </c>
      <c r="I870" t="str">
        <f>IFERROR(__xludf.DUMMYFUNCTION("""COMPUTED_VALUE"""),"พรพิมล นาคหิรัญวิริยะ")</f>
        <v>พรพิมล นาคหิรัญวิริยะ</v>
      </c>
      <c r="J870" t="str">
        <f>IFERROR(__xludf.DUMMYFUNCTION("""COMPUTED_VALUE"""),"tuck")</f>
        <v>tuck</v>
      </c>
      <c r="K870" t="str">
        <f>IFERROR(__xludf.DUMMYFUNCTION("""COMPUTED_VALUE"""),"Cabin Crew - CNX")</f>
        <v>Cabin Crew - CNX</v>
      </c>
      <c r="L870" t="str">
        <f>IFERROR(__xludf.DUMMYFUNCTION("""COMPUTED_VALUE"""),"CNX")</f>
        <v>CNX</v>
      </c>
      <c r="M870" s="145" t="str">
        <f>IFERROR(__xludf.DUMMYFUNCTION("""COMPUTED_VALUE"""),"Up Home")</f>
        <v>Up Home</v>
      </c>
      <c r="N870" t="str">
        <f>IFERROR(__xludf.DUMMYFUNCTION("""COMPUTED_VALUE"""),"MATL")</f>
        <v>MATL</v>
      </c>
      <c r="P870" s="143">
        <f>IFERROR(__xludf.DUMMYFUNCTION("""COMPUTED_VALUE"""),33198.0)</f>
        <v>33198</v>
      </c>
      <c r="Q870" s="146" t="str">
        <f>IFERROR(__xludf.DUMMYFUNCTION("""COMPUTED_VALUE"""),"083-476-2121")</f>
        <v>083-476-2121</v>
      </c>
      <c r="R870" s="147" t="str">
        <f>IFERROR(__xludf.DUMMYFUNCTION("""COMPUTED_VALUE"""),"1 5099 00941 95 4")</f>
        <v>1 5099 00941 95 4</v>
      </c>
      <c r="S870" t="str">
        <f>IFERROR(__xludf.DUMMYFUNCTION("""COMPUTED_VALUE"""),"AC2317567")</f>
        <v>AC2317567</v>
      </c>
      <c r="T870" s="148">
        <f>IFERROR(__xludf.DUMMYFUNCTION("""COMPUTED_VALUE"""),44368.0)</f>
        <v>44368</v>
      </c>
      <c r="U870" s="148">
        <f>IFERROR(__xludf.DUMMYFUNCTION("""COMPUTED_VALUE"""),48019.0)</f>
        <v>48019</v>
      </c>
      <c r="V870" s="149">
        <f>IFERROR(__xludf.DUMMYFUNCTION("""COMPUTED_VALUE"""),47837.0)</f>
        <v>47837</v>
      </c>
      <c r="W870" t="str">
        <f>IFERROR(__xludf.DUMMYFUNCTION("""COMPUTED_VALUE"""),"ปลอดภัย")</f>
        <v>ปลอดภัย</v>
      </c>
      <c r="X870" t="str">
        <f>IFERROR(__xludf.DUMMYFUNCTION("""COMPUTED_VALUE"""),"Lamphun Province")</f>
        <v>Lamphun Province</v>
      </c>
      <c r="AB870" t="str">
        <f>IFERROR(__xludf.DUMMYFUNCTION("""COMPUTED_VALUE"""),"phonpimonn@airasia.com")</f>
        <v>phonpimonn@airasia.com</v>
      </c>
    </row>
    <row r="871">
      <c r="A871">
        <f>IFERROR(__xludf.DUMMYFUNCTION("""COMPUTED_VALUE"""),1008111.0)</f>
        <v>1008111</v>
      </c>
      <c r="B871" t="str">
        <f>IFERROR(__xludf.DUMMYFUNCTION("""COMPUTED_VALUE"""),"Ms.")</f>
        <v>Ms.</v>
      </c>
      <c r="C871" t="str">
        <f>IFERROR(__xludf.DUMMYFUNCTION("""COMPUTED_VALUE"""),"Parawee")</f>
        <v>Parawee</v>
      </c>
      <c r="D871" t="str">
        <f>IFERROR(__xludf.DUMMYFUNCTION("""COMPUTED_VALUE"""),"Sutthiphan")</f>
        <v>Sutthiphan</v>
      </c>
      <c r="E871" t="str">
        <f>IFERROR(__xludf.DUMMYFUNCTION("""COMPUTED_VALUE"""),"Parawee Sutthiphan")</f>
        <v>Parawee Sutthiphan</v>
      </c>
      <c r="F871" t="str">
        <f>IFERROR(__xludf.DUMMYFUNCTION("""COMPUTED_VALUE"""),"นางสาว")</f>
        <v>นางสาว</v>
      </c>
      <c r="G871" t="str">
        <f>IFERROR(__xludf.DUMMYFUNCTION("""COMPUTED_VALUE"""),"ปารวีย์")</f>
        <v>ปารวีย์</v>
      </c>
      <c r="H871" t="str">
        <f>IFERROR(__xludf.DUMMYFUNCTION("""COMPUTED_VALUE"""),"สุทธิพันธ์")</f>
        <v>สุทธิพันธ์</v>
      </c>
      <c r="I871" t="str">
        <f>IFERROR(__xludf.DUMMYFUNCTION("""COMPUTED_VALUE"""),"ปารวีย์ สุทธิพันธ์")</f>
        <v>ปารวีย์ สุทธิพันธ์</v>
      </c>
      <c r="J871" t="str">
        <f>IFERROR(__xludf.DUMMYFUNCTION("""COMPUTED_VALUE"""),"Tong/ตอง")</f>
        <v>Tong/ตอง</v>
      </c>
      <c r="K871" t="str">
        <f>IFERROR(__xludf.DUMMYFUNCTION("""COMPUTED_VALUE"""),"Cabin Crew - HKT")</f>
        <v>Cabin Crew - HKT</v>
      </c>
      <c r="L871" t="str">
        <f>IFERROR(__xludf.DUMMYFUNCTION("""COMPUTED_VALUE"""),"HKT")</f>
        <v>HKT</v>
      </c>
      <c r="M871" s="145" t="str">
        <f>IFERROR(__xludf.DUMMYFUNCTION("""COMPUTED_VALUE"""),"Kor Home")</f>
        <v>Kor Home</v>
      </c>
      <c r="N871" t="str">
        <f>IFERROR(__xludf.DUMMYFUNCTION("""COMPUTED_VALUE"""),"Active")</f>
        <v>Active</v>
      </c>
      <c r="P871" s="143">
        <f>IFERROR(__xludf.DUMMYFUNCTION("""COMPUTED_VALUE"""),33292.0)</f>
        <v>33292</v>
      </c>
      <c r="Q871" s="146" t="str">
        <f>IFERROR(__xludf.DUMMYFUNCTION("""COMPUTED_VALUE"""),"09-4578466-4")</f>
        <v>09-4578466-4</v>
      </c>
      <c r="R871" s="147" t="str">
        <f>IFERROR(__xludf.DUMMYFUNCTION("""COMPUTED_VALUE"""),"1909800-51-1288")</f>
        <v>1909800-51-1288</v>
      </c>
      <c r="S871" t="str">
        <f>IFERROR(__xludf.DUMMYFUNCTION("""COMPUTED_VALUE"""),"AD2128911")</f>
        <v>AD2128911</v>
      </c>
      <c r="T871" s="148">
        <f>IFERROR(__xludf.DUMMYFUNCTION("""COMPUTED_VALUE"""),45755.0)</f>
        <v>45755</v>
      </c>
      <c r="U871" s="148">
        <f>IFERROR(__xludf.DUMMYFUNCTION("""COMPUTED_VALUE"""),49406.0)</f>
        <v>49406</v>
      </c>
      <c r="V871" s="149">
        <f>IFERROR(__xludf.DUMMYFUNCTION("""COMPUTED_VALUE"""),49224.0)</f>
        <v>49224</v>
      </c>
      <c r="W871" t="str">
        <f>IFERROR(__xludf.DUMMYFUNCTION("""COMPUTED_VALUE"""),"ปลอดภัย")</f>
        <v>ปลอดภัย</v>
      </c>
      <c r="X871" t="str">
        <f>IFERROR(__xludf.DUMMYFUNCTION("""COMPUTED_VALUE"""),"Songkhla Province")</f>
        <v>Songkhla Province</v>
      </c>
      <c r="Y871" t="str">
        <f>IFERROR(__xludf.DUMMYFUNCTION("""COMPUTED_VALUE"""),"Phuket")</f>
        <v>Phuket</v>
      </c>
      <c r="Z871" t="str">
        <f>IFERROR(__xludf.DUMMYFUNCTION("""COMPUTED_VALUE"""),"087-6324735")</f>
        <v>087-6324735</v>
      </c>
      <c r="AA871" t="str">
        <f>IFERROR(__xludf.DUMMYFUNCTION("""COMPUTED_VALUE"""),"Parichat Sutthiphan (Sister)")</f>
        <v>Parichat Sutthiphan (Sister)</v>
      </c>
      <c r="AB871" t="str">
        <f>IFERROR(__xludf.DUMMYFUNCTION("""COMPUTED_VALUE"""),"paraweeu@airasia.com")</f>
        <v>paraweeu@airasia.com</v>
      </c>
    </row>
    <row r="872">
      <c r="A872">
        <f>IFERROR(__xludf.DUMMYFUNCTION("""COMPUTED_VALUE"""),1010851.0)</f>
        <v>1010851</v>
      </c>
      <c r="B872" t="str">
        <f>IFERROR(__xludf.DUMMYFUNCTION("""COMPUTED_VALUE"""),"Ms.")</f>
        <v>Ms.</v>
      </c>
      <c r="C872" t="str">
        <f>IFERROR(__xludf.DUMMYFUNCTION("""COMPUTED_VALUE"""),"Tanyathorn")</f>
        <v>Tanyathorn</v>
      </c>
      <c r="D872" t="str">
        <f>IFERROR(__xludf.DUMMYFUNCTION("""COMPUTED_VALUE"""),"Wilaisaranan")</f>
        <v>Wilaisaranan</v>
      </c>
      <c r="E872" t="str">
        <f>IFERROR(__xludf.DUMMYFUNCTION("""COMPUTED_VALUE"""),"Tanyathorn Wilaisaranan")</f>
        <v>Tanyathorn Wilaisaranan</v>
      </c>
      <c r="F872" t="str">
        <f>IFERROR(__xludf.DUMMYFUNCTION("""COMPUTED_VALUE"""),"นางสาว")</f>
        <v>นางสาว</v>
      </c>
      <c r="G872" t="str">
        <f>IFERROR(__xludf.DUMMYFUNCTION("""COMPUTED_VALUE"""),"ธัญธร")</f>
        <v>ธัญธร</v>
      </c>
      <c r="H872" t="str">
        <f>IFERROR(__xludf.DUMMYFUNCTION("""COMPUTED_VALUE"""),"วิไลสาระนันท์")</f>
        <v>วิไลสาระนันท์</v>
      </c>
      <c r="I872" t="str">
        <f>IFERROR(__xludf.DUMMYFUNCTION("""COMPUTED_VALUE"""),"ธัญธร วิไลสาระนันท์")</f>
        <v>ธัญธร วิไลสาระนันท์</v>
      </c>
      <c r="J872" t="str">
        <f>IFERROR(__xludf.DUMMYFUNCTION("""COMPUTED_VALUE"""),"Toey / เตย")</f>
        <v>Toey / เตย</v>
      </c>
      <c r="K872" t="str">
        <f>IFERROR(__xludf.DUMMYFUNCTION("""COMPUTED_VALUE"""),"Cabin Crew")</f>
        <v>Cabin Crew</v>
      </c>
      <c r="L872" t="str">
        <f>IFERROR(__xludf.DUMMYFUNCTION("""COMPUTED_VALUE"""),"DMK")</f>
        <v>DMK</v>
      </c>
      <c r="M872" s="145" t="str">
        <f>IFERROR(__xludf.DUMMYFUNCTION("""COMPUTED_VALUE"""),"Kor Home")</f>
        <v>Kor Home</v>
      </c>
      <c r="N872" t="str">
        <f>IFERROR(__xludf.DUMMYFUNCTION("""COMPUTED_VALUE"""),"Active")</f>
        <v>Active</v>
      </c>
      <c r="P872" s="143">
        <f>IFERROR(__xludf.DUMMYFUNCTION("""COMPUTED_VALUE"""),33210.0)</f>
        <v>33210</v>
      </c>
      <c r="Q872" s="146" t="str">
        <f>IFERROR(__xludf.DUMMYFUNCTION("""COMPUTED_VALUE"""),"061-624-4541")</f>
        <v>061-624-4541</v>
      </c>
      <c r="R872" s="147" t="str">
        <f>IFERROR(__xludf.DUMMYFUNCTION("""COMPUTED_VALUE"""),"1102001-45-2842")</f>
        <v>1102001-45-2842</v>
      </c>
      <c r="S872" t="str">
        <f>IFERROR(__xludf.DUMMYFUNCTION("""COMPUTED_VALUE"""),"AC2401482")</f>
        <v>AC2401482</v>
      </c>
      <c r="T872" s="148">
        <f>IFERROR(__xludf.DUMMYFUNCTION("""COMPUTED_VALUE"""),44432.0)</f>
        <v>44432</v>
      </c>
      <c r="U872" s="148">
        <f>IFERROR(__xludf.DUMMYFUNCTION("""COMPUTED_VALUE"""),48083.0)</f>
        <v>48083</v>
      </c>
      <c r="V872" s="149">
        <f>IFERROR(__xludf.DUMMYFUNCTION("""COMPUTED_VALUE"""),47902.0)</f>
        <v>47902</v>
      </c>
      <c r="W872" t="str">
        <f>IFERROR(__xludf.DUMMYFUNCTION("""COMPUTED_VALUE"""),"ปลอดภัย")</f>
        <v>ปลอดภัย</v>
      </c>
      <c r="X872" t="str">
        <f>IFERROR(__xludf.DUMMYFUNCTION("""COMPUTED_VALUE"""),"Bangkok")</f>
        <v>Bangkok</v>
      </c>
      <c r="Y872" t="str">
        <f>IFERROR(__xludf.DUMMYFUNCTION("""COMPUTED_VALUE"""),"Bangkok")</f>
        <v>Bangkok</v>
      </c>
      <c r="Z872" t="str">
        <f>IFERROR(__xludf.DUMMYFUNCTION("""COMPUTED_VALUE"""),"086-982-1400")</f>
        <v>086-982-1400</v>
      </c>
      <c r="AA872" t="str">
        <f>IFERROR(__xludf.DUMMYFUNCTION("""COMPUTED_VALUE"""),"Thiti Wilaisaranan (Father)")</f>
        <v>Thiti Wilaisaranan (Father)</v>
      </c>
      <c r="AB872" t="str">
        <f>IFERROR(__xludf.DUMMYFUNCTION("""COMPUTED_VALUE"""),"tanyathornw@airasia.com")</f>
        <v>tanyathornw@airasia.com</v>
      </c>
    </row>
    <row r="873">
      <c r="A873">
        <f>IFERROR(__xludf.DUMMYFUNCTION("""COMPUTED_VALUE"""),1019515.0)</f>
        <v>1019515</v>
      </c>
      <c r="B873" t="str">
        <f>IFERROR(__xludf.DUMMYFUNCTION("""COMPUTED_VALUE"""),"Ms.")</f>
        <v>Ms.</v>
      </c>
      <c r="C873" t="str">
        <f>IFERROR(__xludf.DUMMYFUNCTION("""COMPUTED_VALUE"""),"Kittaporn")</f>
        <v>Kittaporn</v>
      </c>
      <c r="D873" t="str">
        <f>IFERROR(__xludf.DUMMYFUNCTION("""COMPUTED_VALUE"""),"Boonya-Amornrat (Pootana)")</f>
        <v>Boonya-Amornrat (Pootana)</v>
      </c>
      <c r="E873" t="str">
        <f>IFERROR(__xludf.DUMMYFUNCTION("""COMPUTED_VALUE"""),"Kittaporn Boonya-Amornrat ")</f>
        <v>Kittaporn Boonya-Amornrat </v>
      </c>
      <c r="F873" t="str">
        <f>IFERROR(__xludf.DUMMYFUNCTION("""COMPUTED_VALUE"""),"นางสาว")</f>
        <v>นางสาว</v>
      </c>
      <c r="G873" t="str">
        <f>IFERROR(__xludf.DUMMYFUNCTION("""COMPUTED_VALUE"""),"กฤตพร")</f>
        <v>กฤตพร</v>
      </c>
      <c r="H873" t="str">
        <f>IFERROR(__xludf.DUMMYFUNCTION("""COMPUTED_VALUE"""),"บุณยอมรรัตน์ (ภู่ธนา)")</f>
        <v>บุณยอมรรัตน์ (ภู่ธนา)</v>
      </c>
      <c r="I873" t="str">
        <f>IFERROR(__xludf.DUMMYFUNCTION("""COMPUTED_VALUE"""),"กฤตพร บุณยอมรรัตน์")</f>
        <v>กฤตพร บุณยอมรรัตน์</v>
      </c>
      <c r="J873" t="str">
        <f>IFERROR(__xludf.DUMMYFUNCTION("""COMPUTED_VALUE"""),"Jan/ แจน")</f>
        <v>Jan/ แจน</v>
      </c>
      <c r="K873" t="str">
        <f>IFERROR(__xludf.DUMMYFUNCTION("""COMPUTED_VALUE"""),"Cabin Crew - BKK")</f>
        <v>Cabin Crew - BKK</v>
      </c>
      <c r="L873" t="str">
        <f>IFERROR(__xludf.DUMMYFUNCTION("""COMPUTED_VALUE"""),"BKK")</f>
        <v>BKK</v>
      </c>
      <c r="M873" s="145" t="str">
        <f>IFERROR(__xludf.DUMMYFUNCTION("""COMPUTED_VALUE"""),"Nhui Home")</f>
        <v>Nhui Home</v>
      </c>
      <c r="N873" t="str">
        <f>IFERROR(__xludf.DUMMYFUNCTION("""COMPUTED_VALUE"""),"LWP")</f>
        <v>LWP</v>
      </c>
      <c r="P873" s="143">
        <f>IFERROR(__xludf.DUMMYFUNCTION("""COMPUTED_VALUE"""),33182.0)</f>
        <v>33182</v>
      </c>
      <c r="Q873" s="146" t="str">
        <f>IFERROR(__xludf.DUMMYFUNCTION("""COMPUTED_VALUE"""),"082-653 5622")</f>
        <v>082-653 5622</v>
      </c>
      <c r="R873" s="147" t="str">
        <f>IFERROR(__xludf.DUMMYFUNCTION("""COMPUTED_VALUE"""),"1 1004 00486 99 4")</f>
        <v>1 1004 00486 99 4</v>
      </c>
      <c r="S873" t="str">
        <f>IFERROR(__xludf.DUMMYFUNCTION("""COMPUTED_VALUE"""),"AC2431380")</f>
        <v>AC2431380</v>
      </c>
      <c r="T873" s="148">
        <f>IFERROR(__xludf.DUMMYFUNCTION("""COMPUTED_VALUE"""),44452.0)</f>
        <v>44452</v>
      </c>
      <c r="U873" s="148">
        <f>IFERROR(__xludf.DUMMYFUNCTION("""COMPUTED_VALUE"""),48103.0)</f>
        <v>48103</v>
      </c>
      <c r="V873" s="149">
        <f>IFERROR(__xludf.DUMMYFUNCTION("""COMPUTED_VALUE"""),47919.0)</f>
        <v>47919</v>
      </c>
      <c r="W873" t="str">
        <f>IFERROR(__xludf.DUMMYFUNCTION("""COMPUTED_VALUE"""),"ปลอดภัย")</f>
        <v>ปลอดภัย</v>
      </c>
      <c r="X873" t="str">
        <f>IFERROR(__xludf.DUMMYFUNCTION("""COMPUTED_VALUE"""),"Bangkok")</f>
        <v>Bangkok</v>
      </c>
      <c r="Y873" t="str">
        <f>IFERROR(__xludf.DUMMYFUNCTION("""COMPUTED_VALUE"""),"Bangkok")</f>
        <v>Bangkok</v>
      </c>
      <c r="Z873" t="str">
        <f>IFERROR(__xludf.DUMMYFUNCTION("""COMPUTED_VALUE"""),"081 900 3311")</f>
        <v>081 900 3311</v>
      </c>
      <c r="AA873" t="str">
        <f>IFERROR(__xludf.DUMMYFUNCTION("""COMPUTED_VALUE"""),"Tiensin Pootana (Father)")</f>
        <v>Tiensin Pootana (Father)</v>
      </c>
      <c r="AB873" t="str">
        <f>IFERROR(__xludf.DUMMYFUNCTION("""COMPUTED_VALUE"""),"kittapornboon@airasia.com ")</f>
        <v>kittapornboon@airasia.com </v>
      </c>
    </row>
    <row r="874">
      <c r="A874">
        <f>IFERROR(__xludf.DUMMYFUNCTION("""COMPUTED_VALUE"""),1019518.0)</f>
        <v>1019518</v>
      </c>
      <c r="B874" t="str">
        <f>IFERROR(__xludf.DUMMYFUNCTION("""COMPUTED_VALUE"""),"Mr.")</f>
        <v>Mr.</v>
      </c>
      <c r="C874" t="str">
        <f>IFERROR(__xludf.DUMMYFUNCTION("""COMPUTED_VALUE"""),"Naratip")</f>
        <v>Naratip</v>
      </c>
      <c r="D874" t="str">
        <f>IFERROR(__xludf.DUMMYFUNCTION("""COMPUTED_VALUE"""),"Dumrongthai")</f>
        <v>Dumrongthai</v>
      </c>
      <c r="E874" t="str">
        <f>IFERROR(__xludf.DUMMYFUNCTION("""COMPUTED_VALUE"""),"Naratip Dumrongthai")</f>
        <v>Naratip Dumrongthai</v>
      </c>
      <c r="F874" t="str">
        <f>IFERROR(__xludf.DUMMYFUNCTION("""COMPUTED_VALUE"""),"นาย")</f>
        <v>นาย</v>
      </c>
      <c r="G874" t="str">
        <f>IFERROR(__xludf.DUMMYFUNCTION("""COMPUTED_VALUE"""),"นราธิป")</f>
        <v>นราธิป</v>
      </c>
      <c r="H874" t="str">
        <f>IFERROR(__xludf.DUMMYFUNCTION("""COMPUTED_VALUE"""),"ดำรงไทย")</f>
        <v>ดำรงไทย</v>
      </c>
      <c r="I874" t="str">
        <f>IFERROR(__xludf.DUMMYFUNCTION("""COMPUTED_VALUE"""),"นราธิป ดำรงไทย")</f>
        <v>นราธิป ดำรงไทย</v>
      </c>
      <c r="J874" t="str">
        <f>IFERROR(__xludf.DUMMYFUNCTION("""COMPUTED_VALUE"""),"Nut/นัท")</f>
        <v>Nut/นัท</v>
      </c>
      <c r="K874" t="str">
        <f>IFERROR(__xludf.DUMMYFUNCTION("""COMPUTED_VALUE"""),"Cabin Crew")</f>
        <v>Cabin Crew</v>
      </c>
      <c r="L874" t="str">
        <f>IFERROR(__xludf.DUMMYFUNCTION("""COMPUTED_VALUE"""),"DMK")</f>
        <v>DMK</v>
      </c>
      <c r="M874" s="145" t="str">
        <f>IFERROR(__xludf.DUMMYFUNCTION("""COMPUTED_VALUE"""),"Toffy Home")</f>
        <v>Toffy Home</v>
      </c>
      <c r="N874" t="str">
        <f>IFERROR(__xludf.DUMMYFUNCTION("""COMPUTED_VALUE"""),"Active")</f>
        <v>Active</v>
      </c>
      <c r="P874" s="143">
        <f>IFERROR(__xludf.DUMMYFUNCTION("""COMPUTED_VALUE"""),34609.0)</f>
        <v>34609</v>
      </c>
      <c r="Q874" s="146" t="str">
        <f>IFERROR(__xludf.DUMMYFUNCTION("""COMPUTED_VALUE"""),"09-6329145-9")</f>
        <v>09-6329145-9</v>
      </c>
      <c r="R874" s="147" t="str">
        <f>IFERROR(__xludf.DUMMYFUNCTION("""COMPUTED_VALUE"""),"1101500-76-6302")</f>
        <v>1101500-76-6302</v>
      </c>
      <c r="S874" t="str">
        <f>IFERROR(__xludf.DUMMYFUNCTION("""COMPUTED_VALUE"""),"AC2431380")</f>
        <v>AC2431380</v>
      </c>
      <c r="T874" s="148">
        <f>IFERROR(__xludf.DUMMYFUNCTION("""COMPUTED_VALUE"""),44452.0)</f>
        <v>44452</v>
      </c>
      <c r="U874" s="148">
        <f>IFERROR(__xludf.DUMMYFUNCTION("""COMPUTED_VALUE"""),48103.0)</f>
        <v>48103</v>
      </c>
      <c r="V874" s="149">
        <f>IFERROR(__xludf.DUMMYFUNCTION("""COMPUTED_VALUE"""),47919.0)</f>
        <v>47919</v>
      </c>
      <c r="W874" t="str">
        <f>IFERROR(__xludf.DUMMYFUNCTION("""COMPUTED_VALUE"""),"ปลอดภัย")</f>
        <v>ปลอดภัย</v>
      </c>
      <c r="X874" t="str">
        <f>IFERROR(__xludf.DUMMYFUNCTION("""COMPUTED_VALUE"""),"Bangkok")</f>
        <v>Bangkok</v>
      </c>
      <c r="Y874" t="str">
        <f>IFERROR(__xludf.DUMMYFUNCTION("""COMPUTED_VALUE"""),"Bangkok")</f>
        <v>Bangkok</v>
      </c>
      <c r="Z874" t="str">
        <f>IFERROR(__xludf.DUMMYFUNCTION("""COMPUTED_VALUE"""),"081 583 2024")</f>
        <v>081 583 2024</v>
      </c>
      <c r="AB874" t="str">
        <f>IFERROR(__xludf.DUMMYFUNCTION("""COMPUTED_VALUE"""),"naratipd@airasia.com")</f>
        <v>naratipd@airasia.com</v>
      </c>
    </row>
    <row r="875">
      <c r="A875">
        <f>IFERROR(__xludf.DUMMYFUNCTION("""COMPUTED_VALUE"""),1019525.0)</f>
        <v>1019525</v>
      </c>
      <c r="B875" t="str">
        <f>IFERROR(__xludf.DUMMYFUNCTION("""COMPUTED_VALUE"""),"Mr.")</f>
        <v>Mr.</v>
      </c>
      <c r="C875" t="str">
        <f>IFERROR(__xludf.DUMMYFUNCTION("""COMPUTED_VALUE"""),"Nithikarn")</f>
        <v>Nithikarn</v>
      </c>
      <c r="D875" t="str">
        <f>IFERROR(__xludf.DUMMYFUNCTION("""COMPUTED_VALUE"""),"Saiyukhet")</f>
        <v>Saiyukhet</v>
      </c>
      <c r="E875" t="str">
        <f>IFERROR(__xludf.DUMMYFUNCTION("""COMPUTED_VALUE"""),"Nithikarn Saiyukhet")</f>
        <v>Nithikarn Saiyukhet</v>
      </c>
      <c r="F875" t="str">
        <f>IFERROR(__xludf.DUMMYFUNCTION("""COMPUTED_VALUE"""),"นาย")</f>
        <v>นาย</v>
      </c>
      <c r="G875" t="str">
        <f>IFERROR(__xludf.DUMMYFUNCTION("""COMPUTED_VALUE"""),"นิธิกานต์")</f>
        <v>นิธิกานต์</v>
      </c>
      <c r="H875" t="str">
        <f>IFERROR(__xludf.DUMMYFUNCTION("""COMPUTED_VALUE"""),"สายยุเขตต์")</f>
        <v>สายยุเขตต์</v>
      </c>
      <c r="I875" t="str">
        <f>IFERROR(__xludf.DUMMYFUNCTION("""COMPUTED_VALUE"""),"นิธิกานต์ สายยุเขตต์")</f>
        <v>นิธิกานต์ สายยุเขตต์</v>
      </c>
      <c r="J875" t="str">
        <f>IFERROR(__xludf.DUMMYFUNCTION("""COMPUTED_VALUE"""),"Third / เติร์ด")</f>
        <v>Third / เติร์ด</v>
      </c>
      <c r="K875" t="str">
        <f>IFERROR(__xludf.DUMMYFUNCTION("""COMPUTED_VALUE"""),"Cabin Crew")</f>
        <v>Cabin Crew</v>
      </c>
      <c r="L875" t="str">
        <f>IFERROR(__xludf.DUMMYFUNCTION("""COMPUTED_VALUE"""),"DMK")</f>
        <v>DMK</v>
      </c>
      <c r="M875" s="145" t="str">
        <f>IFERROR(__xludf.DUMMYFUNCTION("""COMPUTED_VALUE"""),"Toffy Home")</f>
        <v>Toffy Home</v>
      </c>
      <c r="N875" t="str">
        <f>IFERROR(__xludf.DUMMYFUNCTION("""COMPUTED_VALUE"""),"Active")</f>
        <v>Active</v>
      </c>
      <c r="P875" s="143">
        <f>IFERROR(__xludf.DUMMYFUNCTION("""COMPUTED_VALUE"""),33088.0)</f>
        <v>33088</v>
      </c>
      <c r="Q875" s="146">
        <f>IFERROR(__xludf.DUMMYFUNCTION("""COMPUTED_VALUE"""),8.16369969E8)</f>
        <v>816369969</v>
      </c>
      <c r="R875" s="147" t="str">
        <f>IFERROR(__xludf.DUMMYFUNCTION("""COMPUTED_VALUE"""),"1103700-20-4679")</f>
        <v>1103700-20-4679</v>
      </c>
      <c r="S875" t="str">
        <f>IFERROR(__xludf.DUMMYFUNCTION("""COMPUTED_VALUE"""),"AC2441218")</f>
        <v>AC2441218</v>
      </c>
      <c r="T875" s="148">
        <f>IFERROR(__xludf.DUMMYFUNCTION("""COMPUTED_VALUE"""),44456.0)</f>
        <v>44456</v>
      </c>
      <c r="U875" s="148">
        <f>IFERROR(__xludf.DUMMYFUNCTION("""COMPUTED_VALUE"""),48107.0)</f>
        <v>48107</v>
      </c>
      <c r="V875" s="149">
        <f>IFERROR(__xludf.DUMMYFUNCTION("""COMPUTED_VALUE"""),47923.0)</f>
        <v>47923</v>
      </c>
      <c r="W875" t="str">
        <f>IFERROR(__xludf.DUMMYFUNCTION("""COMPUTED_VALUE"""),"ปลอดภัย")</f>
        <v>ปลอดภัย</v>
      </c>
      <c r="X875" t="str">
        <f>IFERROR(__xludf.DUMMYFUNCTION("""COMPUTED_VALUE"""),"Bangkok")</f>
        <v>Bangkok</v>
      </c>
      <c r="Y875" t="str">
        <f>IFERROR(__xludf.DUMMYFUNCTION("""COMPUTED_VALUE"""),"Samutprakarn")</f>
        <v>Samutprakarn</v>
      </c>
      <c r="Z875" t="str">
        <f>IFERROR(__xludf.DUMMYFUNCTION("""COMPUTED_VALUE"""),"02 731 56483")</f>
        <v>02 731 56483</v>
      </c>
      <c r="AA875" t="str">
        <f>IFERROR(__xludf.DUMMYFUNCTION("""COMPUTED_VALUE"""),"Sauwalux Homwanich (Mother)")</f>
        <v>Sauwalux Homwanich (Mother)</v>
      </c>
      <c r="AB875" t="str">
        <f>IFERROR(__xludf.DUMMYFUNCTION("""COMPUTED_VALUE"""),"nithikarns@airasia.com")</f>
        <v>nithikarns@airasia.com</v>
      </c>
    </row>
    <row r="876">
      <c r="A876">
        <f>IFERROR(__xludf.DUMMYFUNCTION("""COMPUTED_VALUE"""),1019526.0)</f>
        <v>1019526</v>
      </c>
      <c r="B876" t="str">
        <f>IFERROR(__xludf.DUMMYFUNCTION("""COMPUTED_VALUE"""),"Mr.")</f>
        <v>Mr.</v>
      </c>
      <c r="C876" t="str">
        <f>IFERROR(__xludf.DUMMYFUNCTION("""COMPUTED_VALUE"""),"Nontapat")</f>
        <v>Nontapat</v>
      </c>
      <c r="D876" t="str">
        <f>IFERROR(__xludf.DUMMYFUNCTION("""COMPUTED_VALUE"""),"Karasu")</f>
        <v>Karasu</v>
      </c>
      <c r="E876" t="str">
        <f>IFERROR(__xludf.DUMMYFUNCTION("""COMPUTED_VALUE"""),"Nontapat Karasu")</f>
        <v>Nontapat Karasu</v>
      </c>
      <c r="F876" t="str">
        <f>IFERROR(__xludf.DUMMYFUNCTION("""COMPUTED_VALUE"""),"นาย")</f>
        <v>นาย</v>
      </c>
      <c r="G876" t="str">
        <f>IFERROR(__xludf.DUMMYFUNCTION("""COMPUTED_VALUE"""),"นนทพัฒน์")</f>
        <v>นนทพัฒน์</v>
      </c>
      <c r="H876" t="str">
        <f>IFERROR(__xludf.DUMMYFUNCTION("""COMPUTED_VALUE"""),"ขระสุ")</f>
        <v>ขระสุ</v>
      </c>
      <c r="I876" t="str">
        <f>IFERROR(__xludf.DUMMYFUNCTION("""COMPUTED_VALUE"""),"นนทพัฒน์ ขระสุ")</f>
        <v>นนทพัฒน์ ขระสุ</v>
      </c>
      <c r="J876" t="str">
        <f>IFERROR(__xludf.DUMMYFUNCTION("""COMPUTED_VALUE"""),"ดรีม")</f>
        <v>ดรีม</v>
      </c>
      <c r="K876" t="str">
        <f>IFERROR(__xludf.DUMMYFUNCTION("""COMPUTED_VALUE"""),"Cabin Crew")</f>
        <v>Cabin Crew</v>
      </c>
      <c r="L876" t="str">
        <f>IFERROR(__xludf.DUMMYFUNCTION("""COMPUTED_VALUE"""),"DMK")</f>
        <v>DMK</v>
      </c>
      <c r="M876" s="145" t="str">
        <f>IFERROR(__xludf.DUMMYFUNCTION("""COMPUTED_VALUE"""),"Toffy Home")</f>
        <v>Toffy Home</v>
      </c>
      <c r="N876" t="str">
        <f>IFERROR(__xludf.DUMMYFUNCTION("""COMPUTED_VALUE"""),"V/LWP")</f>
        <v>V/LWP</v>
      </c>
      <c r="P876" s="143">
        <f>IFERROR(__xludf.DUMMYFUNCTION("""COMPUTED_VALUE"""),33183.0)</f>
        <v>33183</v>
      </c>
      <c r="Q876" s="146" t="str">
        <f>IFERROR(__xludf.DUMMYFUNCTION("""COMPUTED_VALUE"""),"085-2558095")</f>
        <v>085-2558095</v>
      </c>
      <c r="R876" s="147" t="str">
        <f>IFERROR(__xludf.DUMMYFUNCTION("""COMPUTED_VALUE"""),"2 5509 00012 88 1")</f>
        <v>2 5509 00012 88 1</v>
      </c>
      <c r="S876" t="str">
        <f>IFERROR(__xludf.DUMMYFUNCTION("""COMPUTED_VALUE"""),"AC2855659")</f>
        <v>AC2855659</v>
      </c>
      <c r="T876" s="148">
        <f>IFERROR(__xludf.DUMMYFUNCTION("""COMPUTED_VALUE"""),44594.0)</f>
        <v>44594</v>
      </c>
      <c r="U876" s="148">
        <f>IFERROR(__xludf.DUMMYFUNCTION("""COMPUTED_VALUE"""),48245.0)</f>
        <v>48245</v>
      </c>
      <c r="V876" s="149">
        <f>IFERROR(__xludf.DUMMYFUNCTION("""COMPUTED_VALUE"""),48061.0)</f>
        <v>48061</v>
      </c>
      <c r="W876" t="str">
        <f>IFERROR(__xludf.DUMMYFUNCTION("""COMPUTED_VALUE"""),"ปลอดภัย")</f>
        <v>ปลอดภัย</v>
      </c>
      <c r="X876" t="str">
        <f>IFERROR(__xludf.DUMMYFUNCTION("""COMPUTED_VALUE"""),"Nan Province")</f>
        <v>Nan Province</v>
      </c>
      <c r="Y876" t="str">
        <f>IFERROR(__xludf.DUMMYFUNCTION("""COMPUTED_VALUE"""),"Bangkok")</f>
        <v>Bangkok</v>
      </c>
      <c r="Z876" t="str">
        <f>IFERROR(__xludf.DUMMYFUNCTION("""COMPUTED_VALUE"""),"086-000-1396")</f>
        <v>086-000-1396</v>
      </c>
      <c r="AA876" t="str">
        <f>IFERROR(__xludf.DUMMYFUNCTION("""COMPUTED_VALUE"""),"Nom Karasu (Mother)")</f>
        <v>Nom Karasu (Mother)</v>
      </c>
      <c r="AB876" t="str">
        <f>IFERROR(__xludf.DUMMYFUNCTION("""COMPUTED_VALUE"""),"nontapatk@airasia.com")</f>
        <v>nontapatk@airasia.com</v>
      </c>
    </row>
    <row r="877">
      <c r="A877">
        <f>IFERROR(__xludf.DUMMYFUNCTION("""COMPUTED_VALUE"""),1019528.0)</f>
        <v>1019528</v>
      </c>
      <c r="B877" t="str">
        <f>IFERROR(__xludf.DUMMYFUNCTION("""COMPUTED_VALUE"""),"Ms.")</f>
        <v>Ms.</v>
      </c>
      <c r="C877" t="str">
        <f>IFERROR(__xludf.DUMMYFUNCTION("""COMPUTED_VALUE"""),"Panida")</f>
        <v>Panida</v>
      </c>
      <c r="D877" t="str">
        <f>IFERROR(__xludf.DUMMYFUNCTION("""COMPUTED_VALUE"""),"Wannaying")</f>
        <v>Wannaying</v>
      </c>
      <c r="E877" t="str">
        <f>IFERROR(__xludf.DUMMYFUNCTION("""COMPUTED_VALUE"""),"Panida Wannaying")</f>
        <v>Panida Wannaying</v>
      </c>
      <c r="F877" t="str">
        <f>IFERROR(__xludf.DUMMYFUNCTION("""COMPUTED_VALUE"""),"นางสาว")</f>
        <v>นางสาว</v>
      </c>
      <c r="G877" t="str">
        <f>IFERROR(__xludf.DUMMYFUNCTION("""COMPUTED_VALUE"""),"ปณิดา")</f>
        <v>ปณิดา</v>
      </c>
      <c r="H877" t="str">
        <f>IFERROR(__xludf.DUMMYFUNCTION("""COMPUTED_VALUE"""),"วรรณยิ่ง")</f>
        <v>วรรณยิ่ง</v>
      </c>
      <c r="I877" t="str">
        <f>IFERROR(__xludf.DUMMYFUNCTION("""COMPUTED_VALUE"""),"ปณิดา วรรณยิ่ง")</f>
        <v>ปณิดา วรรณยิ่ง</v>
      </c>
      <c r="J877" t="str">
        <f>IFERROR(__xludf.DUMMYFUNCTION("""COMPUTED_VALUE"""),"ใบตอง")</f>
        <v>ใบตอง</v>
      </c>
      <c r="K877" t="str">
        <f>IFERROR(__xludf.DUMMYFUNCTION("""COMPUTED_VALUE"""),"Cabin Crew")</f>
        <v>Cabin Crew</v>
      </c>
      <c r="L877" t="str">
        <f>IFERROR(__xludf.DUMMYFUNCTION("""COMPUTED_VALUE"""),"DMK")</f>
        <v>DMK</v>
      </c>
      <c r="M877" s="145" t="str">
        <f>IFERROR(__xludf.DUMMYFUNCTION("""COMPUTED_VALUE"""),"Toffy Home")</f>
        <v>Toffy Home</v>
      </c>
      <c r="N877" t="str">
        <f>IFERROR(__xludf.DUMMYFUNCTION("""COMPUTED_VALUE"""),"V/LWP")</f>
        <v>V/LWP</v>
      </c>
      <c r="P877" s="143">
        <f>IFERROR(__xludf.DUMMYFUNCTION("""COMPUTED_VALUE"""),31678.0)</f>
        <v>31678</v>
      </c>
      <c r="Q877" s="146" t="str">
        <f>IFERROR(__xludf.DUMMYFUNCTION("""COMPUTED_VALUE"""),"062 295 9394")</f>
        <v>062 295 9394</v>
      </c>
      <c r="R877" s="147" t="str">
        <f>IFERROR(__xludf.DUMMYFUNCTION("""COMPUTED_VALUE"""),"1100400-22-9347")</f>
        <v>1100400-22-9347</v>
      </c>
      <c r="S877" t="str">
        <f>IFERROR(__xludf.DUMMYFUNCTION("""COMPUTED_VALUE"""),"AC2984137")</f>
        <v>AC2984137</v>
      </c>
      <c r="T877" s="148">
        <f>IFERROR(__xludf.DUMMYFUNCTION("""COMPUTED_VALUE"""),44648.0)</f>
        <v>44648</v>
      </c>
      <c r="U877" s="148">
        <f>IFERROR(__xludf.DUMMYFUNCTION("""COMPUTED_VALUE"""),48300.0)</f>
        <v>48300</v>
      </c>
      <c r="V877" s="149">
        <f>IFERROR(__xludf.DUMMYFUNCTION("""COMPUTED_VALUE"""),48118.0)</f>
        <v>48118</v>
      </c>
      <c r="W877" t="str">
        <f>IFERROR(__xludf.DUMMYFUNCTION("""COMPUTED_VALUE"""),"ปลอดภัย")</f>
        <v>ปลอดภัย</v>
      </c>
      <c r="X877" t="str">
        <f>IFERROR(__xludf.DUMMYFUNCTION("""COMPUTED_VALUE"""),"Bangkok")</f>
        <v>Bangkok</v>
      </c>
      <c r="Y877" t="str">
        <f>IFERROR(__xludf.DUMMYFUNCTION("""COMPUTED_VALUE"""),"Bangkok")</f>
        <v>Bangkok</v>
      </c>
      <c r="Z877" t="str">
        <f>IFERROR(__xludf.DUMMYFUNCTION("""COMPUTED_VALUE"""),"084-562-5266")</f>
        <v>084-562-5266</v>
      </c>
      <c r="AA877" t="str">
        <f>IFERROR(__xludf.DUMMYFUNCTION("""COMPUTED_VALUE"""),"Atchareya Ruangchuay (Father)")</f>
        <v>Atchareya Ruangchuay (Father)</v>
      </c>
      <c r="AB877" t="str">
        <f>IFERROR(__xludf.DUMMYFUNCTION("""COMPUTED_VALUE"""),"panidaw@airasia.com")</f>
        <v>panidaw@airasia.com</v>
      </c>
    </row>
    <row r="878">
      <c r="A878">
        <f>IFERROR(__xludf.DUMMYFUNCTION("""COMPUTED_VALUE"""),1019535.0)</f>
        <v>1019535</v>
      </c>
      <c r="B878" t="str">
        <f>IFERROR(__xludf.DUMMYFUNCTION("""COMPUTED_VALUE"""),"Ms.")</f>
        <v>Ms.</v>
      </c>
      <c r="C878" t="str">
        <f>IFERROR(__xludf.DUMMYFUNCTION("""COMPUTED_VALUE"""),"Primwipa")</f>
        <v>Primwipa</v>
      </c>
      <c r="D878" t="str">
        <f>IFERROR(__xludf.DUMMYFUNCTION("""COMPUTED_VALUE"""),"Klinkachorn")</f>
        <v>Klinkachorn</v>
      </c>
      <c r="E878" t="str">
        <f>IFERROR(__xludf.DUMMYFUNCTION("""COMPUTED_VALUE"""),"Primwipa Klinkachorn")</f>
        <v>Primwipa Klinkachorn</v>
      </c>
      <c r="F878" t="str">
        <f>IFERROR(__xludf.DUMMYFUNCTION("""COMPUTED_VALUE"""),"นางสาว")</f>
        <v>นางสาว</v>
      </c>
      <c r="G878" t="str">
        <f>IFERROR(__xludf.DUMMYFUNCTION("""COMPUTED_VALUE"""),"พริมวิภา")</f>
        <v>พริมวิภา</v>
      </c>
      <c r="H878" t="str">
        <f>IFERROR(__xludf.DUMMYFUNCTION("""COMPUTED_VALUE"""),"กลิ่นขจร")</f>
        <v>กลิ่นขจร</v>
      </c>
      <c r="I878" t="str">
        <f>IFERROR(__xludf.DUMMYFUNCTION("""COMPUTED_VALUE"""),"พริมวิภา กลิ่นขจร")</f>
        <v>พริมวิภา กลิ่นขจร</v>
      </c>
      <c r="J878" t="str">
        <f>IFERROR(__xludf.DUMMYFUNCTION("""COMPUTED_VALUE"""),"Primwi / พริมวิ")</f>
        <v>Primwi / พริมวิ</v>
      </c>
      <c r="K878" t="str">
        <f>IFERROR(__xludf.DUMMYFUNCTION("""COMPUTED_VALUE"""),"Senior Cabin Crew")</f>
        <v>Senior Cabin Crew</v>
      </c>
      <c r="L878" t="str">
        <f>IFERROR(__xludf.DUMMYFUNCTION("""COMPUTED_VALUE"""),"DMK")</f>
        <v>DMK</v>
      </c>
      <c r="M878" s="145" t="str">
        <f>IFERROR(__xludf.DUMMYFUNCTION("""COMPUTED_VALUE"""),"Kor Home")</f>
        <v>Kor Home</v>
      </c>
      <c r="N878" t="str">
        <f>IFERROR(__xludf.DUMMYFUNCTION("""COMPUTED_VALUE"""),"Active")</f>
        <v>Active</v>
      </c>
      <c r="P878" s="143">
        <f>IFERROR(__xludf.DUMMYFUNCTION("""COMPUTED_VALUE"""),34410.0)</f>
        <v>34410</v>
      </c>
      <c r="Q878" s="146" t="str">
        <f>IFERROR(__xludf.DUMMYFUNCTION("""COMPUTED_VALUE"""),"08-2464744-4")</f>
        <v>08-2464744-4</v>
      </c>
      <c r="R878" s="147" t="str">
        <f>IFERROR(__xludf.DUMMYFUNCTION("""COMPUTED_VALUE"""),"1209700-52-9076")</f>
        <v>1209700-52-9076</v>
      </c>
      <c r="S878" t="str">
        <f>IFERROR(__xludf.DUMMYFUNCTION("""COMPUTED_VALUE"""),"AC2762695")</f>
        <v>AC2762695</v>
      </c>
      <c r="T878" s="148">
        <f>IFERROR(__xludf.DUMMYFUNCTION("""COMPUTED_VALUE"""),44495.0)</f>
        <v>44495</v>
      </c>
      <c r="U878" s="148">
        <f>IFERROR(__xludf.DUMMYFUNCTION("""COMPUTED_VALUE"""),48146.0)</f>
        <v>48146</v>
      </c>
      <c r="V878" s="149">
        <f>IFERROR(__xludf.DUMMYFUNCTION("""COMPUTED_VALUE"""),47963.0)</f>
        <v>47963</v>
      </c>
      <c r="W878" t="str">
        <f>IFERROR(__xludf.DUMMYFUNCTION("""COMPUTED_VALUE"""),"ปลอดภัย")</f>
        <v>ปลอดภัย</v>
      </c>
      <c r="X878" t="str">
        <f>IFERROR(__xludf.DUMMYFUNCTION("""COMPUTED_VALUE"""),"Chonburi Province")</f>
        <v>Chonburi Province</v>
      </c>
      <c r="Y878" t="str">
        <f>IFERROR(__xludf.DUMMYFUNCTION("""COMPUTED_VALUE"""),"Chachoengsao")</f>
        <v>Chachoengsao</v>
      </c>
      <c r="Z878" t="str">
        <f>IFERROR(__xludf.DUMMYFUNCTION("""COMPUTED_VALUE"""),"083-588-5777")</f>
        <v>083-588-5777</v>
      </c>
      <c r="AA878" t="str">
        <f>IFERROR(__xludf.DUMMYFUNCTION("""COMPUTED_VALUE"""),"Wanchai Klinkachron (Father)")</f>
        <v>Wanchai Klinkachron (Father)</v>
      </c>
      <c r="AB878" t="str">
        <f>IFERROR(__xludf.DUMMYFUNCTION("""COMPUTED_VALUE"""),"primwipak@airasia.com")</f>
        <v>primwipak@airasia.com</v>
      </c>
    </row>
    <row r="879">
      <c r="A879">
        <f>IFERROR(__xludf.DUMMYFUNCTION("""COMPUTED_VALUE"""),1019542.0)</f>
        <v>1019542</v>
      </c>
      <c r="B879" t="str">
        <f>IFERROR(__xludf.DUMMYFUNCTION("""COMPUTED_VALUE"""),"Mr.")</f>
        <v>Mr.</v>
      </c>
      <c r="C879" t="str">
        <f>IFERROR(__xludf.DUMMYFUNCTION("""COMPUTED_VALUE"""),"Siravich")</f>
        <v>Siravich</v>
      </c>
      <c r="D879" t="str">
        <f>IFERROR(__xludf.DUMMYFUNCTION("""COMPUTED_VALUE"""),"Prathompatama")</f>
        <v>Prathompatama</v>
      </c>
      <c r="E879" t="str">
        <f>IFERROR(__xludf.DUMMYFUNCTION("""COMPUTED_VALUE"""),"Siravich Prathompatama")</f>
        <v>Siravich Prathompatama</v>
      </c>
      <c r="F879" t="str">
        <f>IFERROR(__xludf.DUMMYFUNCTION("""COMPUTED_VALUE"""),"นาย")</f>
        <v>นาย</v>
      </c>
      <c r="G879" t="str">
        <f>IFERROR(__xludf.DUMMYFUNCTION("""COMPUTED_VALUE"""),"สิรวิชญ์")</f>
        <v>สิรวิชญ์</v>
      </c>
      <c r="H879" t="str">
        <f>IFERROR(__xludf.DUMMYFUNCTION("""COMPUTED_VALUE"""),"ประถมปัทมะ")</f>
        <v>ประถมปัทมะ</v>
      </c>
      <c r="I879" t="str">
        <f>IFERROR(__xludf.DUMMYFUNCTION("""COMPUTED_VALUE"""),"สิรวิชญ์ ประถมปัทมะ")</f>
        <v>สิรวิชญ์ ประถมปัทมะ</v>
      </c>
      <c r="J879" t="str">
        <f>IFERROR(__xludf.DUMMYFUNCTION("""COMPUTED_VALUE"""),"Ray / เรย์")</f>
        <v>Ray / เรย์</v>
      </c>
      <c r="K879" t="str">
        <f>IFERROR(__xludf.DUMMYFUNCTION("""COMPUTED_VALUE"""),"Cabin Crew")</f>
        <v>Cabin Crew</v>
      </c>
      <c r="L879" t="str">
        <f>IFERROR(__xludf.DUMMYFUNCTION("""COMPUTED_VALUE"""),"DMK")</f>
        <v>DMK</v>
      </c>
      <c r="M879" s="145" t="str">
        <f>IFERROR(__xludf.DUMMYFUNCTION("""COMPUTED_VALUE"""),"Toffy Home")</f>
        <v>Toffy Home</v>
      </c>
      <c r="N879" t="str">
        <f>IFERROR(__xludf.DUMMYFUNCTION("""COMPUTED_VALUE"""),"Active")</f>
        <v>Active</v>
      </c>
      <c r="O879" t="str">
        <f>IFERROR(__xludf.DUMMYFUNCTION("""COMPUTED_VALUE"""),"Japanese Speaking")</f>
        <v>Japanese Speaking</v>
      </c>
      <c r="P879" s="143">
        <f>IFERROR(__xludf.DUMMYFUNCTION("""COMPUTED_VALUE"""),34039.0)</f>
        <v>34039</v>
      </c>
      <c r="Q879" s="146" t="str">
        <f>IFERROR(__xludf.DUMMYFUNCTION("""COMPUTED_VALUE"""),"08-1865446-6")</f>
        <v>08-1865446-6</v>
      </c>
      <c r="R879" s="147" t="str">
        <f>IFERROR(__xludf.DUMMYFUNCTION("""COMPUTED_VALUE"""),"1101700-12-4762")</f>
        <v>1101700-12-4762</v>
      </c>
      <c r="S879" t="str">
        <f>IFERROR(__xludf.DUMMYFUNCTION("""COMPUTED_VALUE"""),"AC6515431")</f>
        <v>AC6515431</v>
      </c>
      <c r="T879" s="148">
        <f>IFERROR(__xludf.DUMMYFUNCTION("""COMPUTED_VALUE"""),45372.0)</f>
        <v>45372</v>
      </c>
      <c r="U879" s="148">
        <f>IFERROR(__xludf.DUMMYFUNCTION("""COMPUTED_VALUE"""),49023.0)</f>
        <v>49023</v>
      </c>
      <c r="V879" s="149">
        <f>IFERROR(__xludf.DUMMYFUNCTION("""COMPUTED_VALUE"""),48842.0)</f>
        <v>48842</v>
      </c>
      <c r="W879" t="str">
        <f>IFERROR(__xludf.DUMMYFUNCTION("""COMPUTED_VALUE"""),"ปลอดภัย")</f>
        <v>ปลอดภัย</v>
      </c>
      <c r="X879" t="str">
        <f>IFERROR(__xludf.DUMMYFUNCTION("""COMPUTED_VALUE"""),"Bangkok")</f>
        <v>Bangkok</v>
      </c>
      <c r="Y879" t="str">
        <f>IFERROR(__xludf.DUMMYFUNCTION("""COMPUTED_VALUE"""),"Chonburi")</f>
        <v>Chonburi</v>
      </c>
      <c r="Z879" t="str">
        <f>IFERROR(__xludf.DUMMYFUNCTION("""COMPUTED_VALUE"""),"081-818-1400")</f>
        <v>081-818-1400</v>
      </c>
      <c r="AA879" t="str">
        <f>IFERROR(__xludf.DUMMYFUNCTION("""COMPUTED_VALUE"""),"Varaporn Bishop (Mother)")</f>
        <v>Varaporn Bishop (Mother)</v>
      </c>
      <c r="AB879" t="str">
        <f>IFERROR(__xludf.DUMMYFUNCTION("""COMPUTED_VALUE"""),"siravichp@airasia.com")</f>
        <v>siravichp@airasia.com</v>
      </c>
    </row>
    <row r="880">
      <c r="A880">
        <f>IFERROR(__xludf.DUMMYFUNCTION("""COMPUTED_VALUE"""),1019545.0)</f>
        <v>1019545</v>
      </c>
      <c r="B880" t="str">
        <f>IFERROR(__xludf.DUMMYFUNCTION("""COMPUTED_VALUE"""),"Mr.")</f>
        <v>Mr.</v>
      </c>
      <c r="C880" t="str">
        <f>IFERROR(__xludf.DUMMYFUNCTION("""COMPUTED_VALUE"""),"Sorawich")</f>
        <v>Sorawich</v>
      </c>
      <c r="D880" t="str">
        <f>IFERROR(__xludf.DUMMYFUNCTION("""COMPUTED_VALUE"""),"Kaosumang")</f>
        <v>Kaosumang</v>
      </c>
      <c r="E880" t="str">
        <f>IFERROR(__xludf.DUMMYFUNCTION("""COMPUTED_VALUE"""),"Sorawich Kaosumang")</f>
        <v>Sorawich Kaosumang</v>
      </c>
      <c r="F880" t="str">
        <f>IFERROR(__xludf.DUMMYFUNCTION("""COMPUTED_VALUE"""),"นาย")</f>
        <v>นาย</v>
      </c>
      <c r="G880" t="str">
        <f>IFERROR(__xludf.DUMMYFUNCTION("""COMPUTED_VALUE"""),"สรวิศ")</f>
        <v>สรวิศ</v>
      </c>
      <c r="H880" t="str">
        <f>IFERROR(__xludf.DUMMYFUNCTION("""COMPUTED_VALUE"""),"ขาวสำอางค์")</f>
        <v>ขาวสำอางค์</v>
      </c>
      <c r="I880" t="str">
        <f>IFERROR(__xludf.DUMMYFUNCTION("""COMPUTED_VALUE"""),"สรวิศ ขาวสำอางค์")</f>
        <v>สรวิศ ขาวสำอางค์</v>
      </c>
      <c r="J880" t="str">
        <f>IFERROR(__xludf.DUMMYFUNCTION("""COMPUTED_VALUE"""),"Aong / อ๋อง")</f>
        <v>Aong / อ๋อง</v>
      </c>
      <c r="K880" t="str">
        <f>IFERROR(__xludf.DUMMYFUNCTION("""COMPUTED_VALUE"""),"Cabin Crew")</f>
        <v>Cabin Crew</v>
      </c>
      <c r="L880" t="str">
        <f>IFERROR(__xludf.DUMMYFUNCTION("""COMPUTED_VALUE"""),"DMK")</f>
        <v>DMK</v>
      </c>
      <c r="M880" s="145" t="str">
        <f>IFERROR(__xludf.DUMMYFUNCTION("""COMPUTED_VALUE"""),"Um Home")</f>
        <v>Um Home</v>
      </c>
      <c r="N880" t="str">
        <f>IFERROR(__xludf.DUMMYFUNCTION("""COMPUTED_VALUE"""),"Active")</f>
        <v>Active</v>
      </c>
      <c r="P880" s="143">
        <f>IFERROR(__xludf.DUMMYFUNCTION("""COMPUTED_VALUE"""),34606.0)</f>
        <v>34606</v>
      </c>
      <c r="Q880" s="146" t="str">
        <f>IFERROR(__xludf.DUMMYFUNCTION("""COMPUTED_VALUE"""),"081 104 1453")</f>
        <v>081 104 1453</v>
      </c>
      <c r="R880" s="147" t="str">
        <f>IFERROR(__xludf.DUMMYFUNCTION("""COMPUTED_VALUE"""),"1102002-22-8016")</f>
        <v>1102002-22-8016</v>
      </c>
      <c r="S880" t="str">
        <f>IFERROR(__xludf.DUMMYFUNCTION("""COMPUTED_VALUE"""),"AC2241252")</f>
        <v>AC2241252</v>
      </c>
      <c r="T880" s="148">
        <f>IFERROR(__xludf.DUMMYFUNCTION("""COMPUTED_VALUE"""),44293.0)</f>
        <v>44293</v>
      </c>
      <c r="U880" s="148">
        <f>IFERROR(__xludf.DUMMYFUNCTION("""COMPUTED_VALUE"""),47944.0)</f>
        <v>47944</v>
      </c>
      <c r="V880" s="149">
        <f>IFERROR(__xludf.DUMMYFUNCTION("""COMPUTED_VALUE"""),47762.0)</f>
        <v>47762</v>
      </c>
      <c r="W880" t="str">
        <f>IFERROR(__xludf.DUMMYFUNCTION("""COMPUTED_VALUE"""),"ปลอดภัย")</f>
        <v>ปลอดภัย</v>
      </c>
      <c r="X880" t="str">
        <f>IFERROR(__xludf.DUMMYFUNCTION("""COMPUTED_VALUE"""),"Nakhon Pathom Province")</f>
        <v>Nakhon Pathom Province</v>
      </c>
      <c r="Y880" t="str">
        <f>IFERROR(__xludf.DUMMYFUNCTION("""COMPUTED_VALUE"""),"Nakhonprathom")</f>
        <v>Nakhonprathom</v>
      </c>
      <c r="Z880" t="str">
        <f>IFERROR(__xludf.DUMMYFUNCTION("""COMPUTED_VALUE"""),"081-656-4993")</f>
        <v>081-656-4993</v>
      </c>
      <c r="AA880" t="str">
        <f>IFERROR(__xludf.DUMMYFUNCTION("""COMPUTED_VALUE"""),"Rawat Kaosumang (Father)")</f>
        <v>Rawat Kaosumang (Father)</v>
      </c>
      <c r="AB880" t="str">
        <f>IFERROR(__xludf.DUMMYFUNCTION("""COMPUTED_VALUE"""),"sorawichk@airasia.com")</f>
        <v>sorawichk@airasia.com</v>
      </c>
    </row>
    <row r="881">
      <c r="A881">
        <f>IFERROR(__xludf.DUMMYFUNCTION("""COMPUTED_VALUE"""),1019549.0)</f>
        <v>1019549</v>
      </c>
      <c r="B881" t="str">
        <f>IFERROR(__xludf.DUMMYFUNCTION("""COMPUTED_VALUE"""),"Mr.")</f>
        <v>Mr.</v>
      </c>
      <c r="C881" t="str">
        <f>IFERROR(__xludf.DUMMYFUNCTION("""COMPUTED_VALUE"""),"Phuriwat (Teerapong)")</f>
        <v>Phuriwat (Teerapong)</v>
      </c>
      <c r="D881" t="str">
        <f>IFERROR(__xludf.DUMMYFUNCTION("""COMPUTED_VALUE"""),"Chaitulyavate (Krangklang)")</f>
        <v>Chaitulyavate (Krangklang)</v>
      </c>
      <c r="E881" t="str">
        <f>IFERROR(__xludf.DUMMYFUNCTION("""COMPUTED_VALUE"""),"Phuriwat Chaitulyavate ")</f>
        <v>Phuriwat Chaitulyavate </v>
      </c>
      <c r="F881" t="str">
        <f>IFERROR(__xludf.DUMMYFUNCTION("""COMPUTED_VALUE"""),"นาย")</f>
        <v>นาย</v>
      </c>
      <c r="G881" t="str">
        <f>IFERROR(__xludf.DUMMYFUNCTION("""COMPUTED_VALUE"""),"ภูริวัจน์ (ธีรพงษ์)")</f>
        <v>ภูริวัจน์ (ธีรพงษ์)</v>
      </c>
      <c r="H881" t="str">
        <f>IFERROR(__xludf.DUMMYFUNCTION("""COMPUTED_VALUE"""),"ไชยตุลยเวทย์ (แครงกลาง)")</f>
        <v>ไชยตุลยเวทย์ (แครงกลาง)</v>
      </c>
      <c r="I881" t="str">
        <f>IFERROR(__xludf.DUMMYFUNCTION("""COMPUTED_VALUE"""),"ภูริวัจน์ ไชยตุลยเวทย์")</f>
        <v>ภูริวัจน์ ไชยตุลยเวทย์</v>
      </c>
      <c r="J881" t="str">
        <f>IFERROR(__xludf.DUMMYFUNCTION("""COMPUTED_VALUE"""),"Joe / โจ้")</f>
        <v>Joe / โจ้</v>
      </c>
      <c r="K881" t="str">
        <f>IFERROR(__xludf.DUMMYFUNCTION("""COMPUTED_VALUE"""),"Cabin Crew")</f>
        <v>Cabin Crew</v>
      </c>
      <c r="L881" t="str">
        <f>IFERROR(__xludf.DUMMYFUNCTION("""COMPUTED_VALUE"""),"DMK")</f>
        <v>DMK</v>
      </c>
      <c r="M881" s="145" t="str">
        <f>IFERROR(__xludf.DUMMYFUNCTION("""COMPUTED_VALUE"""),"Toffy Home")</f>
        <v>Toffy Home</v>
      </c>
      <c r="N881" t="str">
        <f>IFERROR(__xludf.DUMMYFUNCTION("""COMPUTED_VALUE"""),"Active")</f>
        <v>Active</v>
      </c>
      <c r="P881" s="143">
        <f>IFERROR(__xludf.DUMMYFUNCTION("""COMPUTED_VALUE"""),33091.0)</f>
        <v>33091</v>
      </c>
      <c r="Q881" s="146" t="str">
        <f>IFERROR(__xludf.DUMMYFUNCTION("""COMPUTED_VALUE"""),"08-0552500-4")</f>
        <v>08-0552500-4</v>
      </c>
      <c r="R881" s="147" t="str">
        <f>IFERROR(__xludf.DUMMYFUNCTION("""COMPUTED_VALUE"""),"1409900-68-6777")</f>
        <v>1409900-68-6777</v>
      </c>
      <c r="S881" t="str">
        <f>IFERROR(__xludf.DUMMYFUNCTION("""COMPUTED_VALUE"""),"AC2344434")</f>
        <v>AC2344434</v>
      </c>
      <c r="T881" s="148">
        <f>IFERROR(__xludf.DUMMYFUNCTION("""COMPUTED_VALUE"""),44382.0)</f>
        <v>44382</v>
      </c>
      <c r="U881" s="148">
        <f>IFERROR(__xludf.DUMMYFUNCTION("""COMPUTED_VALUE"""),48033.0)</f>
        <v>48033</v>
      </c>
      <c r="V881" s="149">
        <f>IFERROR(__xludf.DUMMYFUNCTION("""COMPUTED_VALUE"""),47852.0)</f>
        <v>47852</v>
      </c>
      <c r="W881" t="str">
        <f>IFERROR(__xludf.DUMMYFUNCTION("""COMPUTED_VALUE"""),"ปลอดภัย")</f>
        <v>ปลอดภัย</v>
      </c>
      <c r="X881" t="str">
        <f>IFERROR(__xludf.DUMMYFUNCTION("""COMPUTED_VALUE"""),"Khon Kaen Province")</f>
        <v>Khon Kaen Province</v>
      </c>
      <c r="Y881" t="str">
        <f>IFERROR(__xludf.DUMMYFUNCTION("""COMPUTED_VALUE"""),"Bangkok")</f>
        <v>Bangkok</v>
      </c>
      <c r="Z881" t="str">
        <f>IFERROR(__xludf.DUMMYFUNCTION("""COMPUTED_VALUE"""),"083 924 1170")</f>
        <v>083 924 1170</v>
      </c>
      <c r="AA881" t="str">
        <f>IFERROR(__xludf.DUMMYFUNCTION("""COMPUTED_VALUE"""),"Thawonrat Srisirirungsimakul (Mother)")</f>
        <v>Thawonrat Srisirirungsimakul (Mother)</v>
      </c>
      <c r="AB881" t="str">
        <f>IFERROR(__xludf.DUMMYFUNCTION("""COMPUTED_VALUE"""),"phuriwatc@airasia.com")</f>
        <v>phuriwatc@airasia.com</v>
      </c>
    </row>
    <row r="882">
      <c r="A882">
        <f>IFERROR(__xludf.DUMMYFUNCTION("""COMPUTED_VALUE"""),1019550.0)</f>
        <v>1019550</v>
      </c>
      <c r="B882" t="str">
        <f>IFERROR(__xludf.DUMMYFUNCTION("""COMPUTED_VALUE"""),"Ms.")</f>
        <v>Ms.</v>
      </c>
      <c r="C882" t="str">
        <f>IFERROR(__xludf.DUMMYFUNCTION("""COMPUTED_VALUE"""),"Thansaya")</f>
        <v>Thansaya</v>
      </c>
      <c r="D882" t="str">
        <f>IFERROR(__xludf.DUMMYFUNCTION("""COMPUTED_VALUE"""),"Gerdnavy")</f>
        <v>Gerdnavy</v>
      </c>
      <c r="E882" t="str">
        <f>IFERROR(__xludf.DUMMYFUNCTION("""COMPUTED_VALUE"""),"Thansaya Gerdnavy")</f>
        <v>Thansaya Gerdnavy</v>
      </c>
      <c r="F882" t="str">
        <f>IFERROR(__xludf.DUMMYFUNCTION("""COMPUTED_VALUE"""),"นางสาว")</f>
        <v>นางสาว</v>
      </c>
      <c r="G882" t="str">
        <f>IFERROR(__xludf.DUMMYFUNCTION("""COMPUTED_VALUE"""),"ธัญสญา")</f>
        <v>ธัญสญา</v>
      </c>
      <c r="H882" t="str">
        <f>IFERROR(__xludf.DUMMYFUNCTION("""COMPUTED_VALUE"""),"เกิดนาวี")</f>
        <v>เกิดนาวี</v>
      </c>
      <c r="I882" t="str">
        <f>IFERROR(__xludf.DUMMYFUNCTION("""COMPUTED_VALUE"""),"ธัญสญา เกิดนาวี")</f>
        <v>ธัญสญา เกิดนาวี</v>
      </c>
      <c r="J882" t="str">
        <f>IFERROR(__xludf.DUMMYFUNCTION("""COMPUTED_VALUE"""),"Gift / กิ๊ฟ")</f>
        <v>Gift / กิ๊ฟ</v>
      </c>
      <c r="K882" t="str">
        <f>IFERROR(__xludf.DUMMYFUNCTION("""COMPUTED_VALUE"""),"Cabin Crew")</f>
        <v>Cabin Crew</v>
      </c>
      <c r="L882" t="str">
        <f>IFERROR(__xludf.DUMMYFUNCTION("""COMPUTED_VALUE"""),"DMK")</f>
        <v>DMK</v>
      </c>
      <c r="M882" s="145" t="str">
        <f>IFERROR(__xludf.DUMMYFUNCTION("""COMPUTED_VALUE"""),"Nhui Home")</f>
        <v>Nhui Home</v>
      </c>
      <c r="N882" t="str">
        <f>IFERROR(__xludf.DUMMYFUNCTION("""COMPUTED_VALUE"""),"Active")</f>
        <v>Active</v>
      </c>
      <c r="P882" s="143">
        <f>IFERROR(__xludf.DUMMYFUNCTION("""COMPUTED_VALUE"""),31902.0)</f>
        <v>31902</v>
      </c>
      <c r="Q882" s="146" t="str">
        <f>IFERROR(__xludf.DUMMYFUNCTION("""COMPUTED_VALUE"""),"08-5689449-2")</f>
        <v>08-5689449-2</v>
      </c>
      <c r="R882" s="147" t="str">
        <f>IFERROR(__xludf.DUMMYFUNCTION("""COMPUTED_VALUE"""),"1659900-22-0792")</f>
        <v>1659900-22-0792</v>
      </c>
      <c r="S882" t="str">
        <f>IFERROR(__xludf.DUMMYFUNCTION("""COMPUTED_VALUE"""),"AC2767620")</f>
        <v>AC2767620</v>
      </c>
      <c r="T882" s="148">
        <f>IFERROR(__xludf.DUMMYFUNCTION("""COMPUTED_VALUE"""),44495.0)</f>
        <v>44495</v>
      </c>
      <c r="U882" s="148">
        <f>IFERROR(__xludf.DUMMYFUNCTION("""COMPUTED_VALUE"""),48146.0)</f>
        <v>48146</v>
      </c>
      <c r="V882" s="149">
        <f>IFERROR(__xludf.DUMMYFUNCTION("""COMPUTED_VALUE"""),47963.0)</f>
        <v>47963</v>
      </c>
      <c r="W882" t="str">
        <f>IFERROR(__xludf.DUMMYFUNCTION("""COMPUTED_VALUE"""),"ปลอดภัย")</f>
        <v>ปลอดภัย</v>
      </c>
      <c r="X882" t="str">
        <f>IFERROR(__xludf.DUMMYFUNCTION("""COMPUTED_VALUE"""),"Phitsanulok Province")</f>
        <v>Phitsanulok Province</v>
      </c>
      <c r="Y882" t="str">
        <f>IFERROR(__xludf.DUMMYFUNCTION("""COMPUTED_VALUE"""),"Bangkok")</f>
        <v>Bangkok</v>
      </c>
      <c r="Z882" t="str">
        <f>IFERROR(__xludf.DUMMYFUNCTION("""COMPUTED_VALUE"""),"086-926-4262")</f>
        <v>086-926-4262</v>
      </c>
      <c r="AA882" t="str">
        <f>IFERROR(__xludf.DUMMYFUNCTION("""COMPUTED_VALUE"""),"Pornnicha Gerdnavy (Mother)")</f>
        <v>Pornnicha Gerdnavy (Mother)</v>
      </c>
      <c r="AB882" t="str">
        <f>IFERROR(__xludf.DUMMYFUNCTION("""COMPUTED_VALUE"""),"thansayag@airasia.com")</f>
        <v>thansayag@airasia.com</v>
      </c>
    </row>
    <row r="883">
      <c r="A883">
        <f>IFERROR(__xludf.DUMMYFUNCTION("""COMPUTED_VALUE"""),1019551.0)</f>
        <v>1019551</v>
      </c>
      <c r="B883" t="str">
        <f>IFERROR(__xludf.DUMMYFUNCTION("""COMPUTED_VALUE"""),"Mr.")</f>
        <v>Mr.</v>
      </c>
      <c r="C883" t="str">
        <f>IFERROR(__xludf.DUMMYFUNCTION("""COMPUTED_VALUE"""),"Thanyatorn")</f>
        <v>Thanyatorn</v>
      </c>
      <c r="D883" t="str">
        <f>IFERROR(__xludf.DUMMYFUNCTION("""COMPUTED_VALUE"""),"Panyanonwat")</f>
        <v>Panyanonwat</v>
      </c>
      <c r="E883" t="str">
        <f>IFERROR(__xludf.DUMMYFUNCTION("""COMPUTED_VALUE"""),"Thanyatorn Panyanonwat")</f>
        <v>Thanyatorn Panyanonwat</v>
      </c>
      <c r="F883" t="str">
        <f>IFERROR(__xludf.DUMMYFUNCTION("""COMPUTED_VALUE"""),"นาย")</f>
        <v>นาย</v>
      </c>
      <c r="G883" t="str">
        <f>IFERROR(__xludf.DUMMYFUNCTION("""COMPUTED_VALUE"""),"ธัญธร")</f>
        <v>ธัญธร</v>
      </c>
      <c r="H883" t="str">
        <f>IFERROR(__xludf.DUMMYFUNCTION("""COMPUTED_VALUE"""),"ปัญญานนท์วาท")</f>
        <v>ปัญญานนท์วาท</v>
      </c>
      <c r="I883" t="str">
        <f>IFERROR(__xludf.DUMMYFUNCTION("""COMPUTED_VALUE"""),"ธัญธร ปัญญานนท์วาท")</f>
        <v>ธัญธร ปัญญานนท์วาท</v>
      </c>
      <c r="J883" t="str">
        <f>IFERROR(__xludf.DUMMYFUNCTION("""COMPUTED_VALUE"""),"Tan / แทน")</f>
        <v>Tan / แทน</v>
      </c>
      <c r="K883" t="str">
        <f>IFERROR(__xludf.DUMMYFUNCTION("""COMPUTED_VALUE"""),"Cabin Crew")</f>
        <v>Cabin Crew</v>
      </c>
      <c r="L883" t="str">
        <f>IFERROR(__xludf.DUMMYFUNCTION("""COMPUTED_VALUE"""),"DMK")</f>
        <v>DMK</v>
      </c>
      <c r="M883" s="145" t="str">
        <f>IFERROR(__xludf.DUMMYFUNCTION("""COMPUTED_VALUE"""),"Toffy Home")</f>
        <v>Toffy Home</v>
      </c>
      <c r="N883" t="str">
        <f>IFERROR(__xludf.DUMMYFUNCTION("""COMPUTED_VALUE"""),"Active")</f>
        <v>Active</v>
      </c>
      <c r="P883" s="143">
        <f>IFERROR(__xludf.DUMMYFUNCTION("""COMPUTED_VALUE"""),34280.0)</f>
        <v>34280</v>
      </c>
      <c r="Q883" s="146" t="str">
        <f>IFERROR(__xludf.DUMMYFUNCTION("""COMPUTED_VALUE"""),"08-5000145-9")</f>
        <v>08-5000145-9</v>
      </c>
      <c r="R883" s="147" t="str">
        <f>IFERROR(__xludf.DUMMYFUNCTION("""COMPUTED_VALUE"""),"1409901-09-3915")</f>
        <v>1409901-09-3915</v>
      </c>
      <c r="S883" t="str">
        <f>IFERROR(__xludf.DUMMYFUNCTION("""COMPUTED_VALUE"""),"AC2622457")</f>
        <v>AC2622457</v>
      </c>
      <c r="T883" s="148">
        <f>IFERROR(__xludf.DUMMYFUNCTION("""COMPUTED_VALUE"""),44544.0)</f>
        <v>44544</v>
      </c>
      <c r="U883" s="148">
        <f>IFERROR(__xludf.DUMMYFUNCTION("""COMPUTED_VALUE"""),48195.0)</f>
        <v>48195</v>
      </c>
      <c r="V883" s="149">
        <f>IFERROR(__xludf.DUMMYFUNCTION("""COMPUTED_VALUE"""),48012.0)</f>
        <v>48012</v>
      </c>
      <c r="W883" t="str">
        <f>IFERROR(__xludf.DUMMYFUNCTION("""COMPUTED_VALUE"""),"ปลอดภัย")</f>
        <v>ปลอดภัย</v>
      </c>
      <c r="X883" t="str">
        <f>IFERROR(__xludf.DUMMYFUNCTION("""COMPUTED_VALUE"""),"Khon Kaen Province")</f>
        <v>Khon Kaen Province</v>
      </c>
      <c r="Y883" t="str">
        <f>IFERROR(__xludf.DUMMYFUNCTION("""COMPUTED_VALUE"""),"Khon Kaen")</f>
        <v>Khon Kaen</v>
      </c>
      <c r="Z883" t="str">
        <f>IFERROR(__xludf.DUMMYFUNCTION("""COMPUTED_VALUE"""),"‭061-664-4614‬")</f>
        <v>‭061-664-4614‬</v>
      </c>
      <c r="AA883" t="str">
        <f>IFERROR(__xludf.DUMMYFUNCTION("""COMPUTED_VALUE"""),"Kanokwan Panyanonwat (Mother)")</f>
        <v>Kanokwan Panyanonwat (Mother)</v>
      </c>
      <c r="AB883" t="str">
        <f>IFERROR(__xludf.DUMMYFUNCTION("""COMPUTED_VALUE"""),"thanyatornp@airasia.com")</f>
        <v>thanyatornp@airasia.com</v>
      </c>
    </row>
    <row r="884">
      <c r="A884">
        <f>IFERROR(__xludf.DUMMYFUNCTION("""COMPUTED_VALUE"""),1019556.0)</f>
        <v>1019556</v>
      </c>
      <c r="B884" t="str">
        <f>IFERROR(__xludf.DUMMYFUNCTION("""COMPUTED_VALUE"""),"Mr.")</f>
        <v>Mr.</v>
      </c>
      <c r="C884" t="str">
        <f>IFERROR(__xludf.DUMMYFUNCTION("""COMPUTED_VALUE"""),"Warintorn")</f>
        <v>Warintorn</v>
      </c>
      <c r="D884" t="str">
        <f>IFERROR(__xludf.DUMMYFUNCTION("""COMPUTED_VALUE"""),"Rachanikorn")</f>
        <v>Rachanikorn</v>
      </c>
      <c r="E884" t="str">
        <f>IFERROR(__xludf.DUMMYFUNCTION("""COMPUTED_VALUE"""),"Warintorn Rachanikorn")</f>
        <v>Warintorn Rachanikorn</v>
      </c>
      <c r="F884" t="str">
        <f>IFERROR(__xludf.DUMMYFUNCTION("""COMPUTED_VALUE"""),"นาย")</f>
        <v>นาย</v>
      </c>
      <c r="G884" t="str">
        <f>IFERROR(__xludf.DUMMYFUNCTION("""COMPUTED_VALUE"""),"วรินทร")</f>
        <v>วรินทร</v>
      </c>
      <c r="H884" t="str">
        <f>IFERROR(__xludf.DUMMYFUNCTION("""COMPUTED_VALUE"""),"ราชานิกรณ์")</f>
        <v>ราชานิกรณ์</v>
      </c>
      <c r="I884" t="str">
        <f>IFERROR(__xludf.DUMMYFUNCTION("""COMPUTED_VALUE"""),"วรินทร ราชานิกรณ์")</f>
        <v>วรินทร ราชานิกรณ์</v>
      </c>
      <c r="J884" t="str">
        <f>IFERROR(__xludf.DUMMYFUNCTION("""COMPUTED_VALUE"""),"Nut/นัท")</f>
        <v>Nut/นัท</v>
      </c>
      <c r="K884" t="str">
        <f>IFERROR(__xludf.DUMMYFUNCTION("""COMPUTED_VALUE"""),"Cabin Crew")</f>
        <v>Cabin Crew</v>
      </c>
      <c r="L884" t="str">
        <f>IFERROR(__xludf.DUMMYFUNCTION("""COMPUTED_VALUE"""),"DMK")</f>
        <v>DMK</v>
      </c>
      <c r="M884" s="145" t="str">
        <f>IFERROR(__xludf.DUMMYFUNCTION("""COMPUTED_VALUE"""),"Nhui Home")</f>
        <v>Nhui Home</v>
      </c>
      <c r="N884" t="str">
        <f>IFERROR(__xludf.DUMMYFUNCTION("""COMPUTED_VALUE"""),"Active")</f>
        <v>Active</v>
      </c>
      <c r="P884" s="143">
        <f>IFERROR(__xludf.DUMMYFUNCTION("""COMPUTED_VALUE"""),33488.0)</f>
        <v>33488</v>
      </c>
      <c r="Q884" s="146" t="str">
        <f>IFERROR(__xludf.DUMMYFUNCTION("""COMPUTED_VALUE"""),"09-0327646-9")</f>
        <v>09-0327646-9</v>
      </c>
      <c r="R884" s="147" t="str">
        <f>IFERROR(__xludf.DUMMYFUNCTION("""COMPUTED_VALUE"""),"1869900-15-1161")</f>
        <v>1869900-15-1161</v>
      </c>
      <c r="S884" t="str">
        <f>IFERROR(__xludf.DUMMYFUNCTION("""COMPUTED_VALUE"""),"AC5502824")</f>
        <v>AC5502824</v>
      </c>
      <c r="T884" s="148">
        <f>IFERROR(__xludf.DUMMYFUNCTION("""COMPUTED_VALUE"""),45153.0)</f>
        <v>45153</v>
      </c>
      <c r="U884" s="148">
        <f>IFERROR(__xludf.DUMMYFUNCTION("""COMPUTED_VALUE"""),48805.0)</f>
        <v>48805</v>
      </c>
      <c r="V884" s="149">
        <f>IFERROR(__xludf.DUMMYFUNCTION("""COMPUTED_VALUE"""),48624.0)</f>
        <v>48624</v>
      </c>
      <c r="W884" t="str">
        <f>IFERROR(__xludf.DUMMYFUNCTION("""COMPUTED_VALUE"""),"ปลอดภัย")</f>
        <v>ปลอดภัย</v>
      </c>
      <c r="X884" t="str">
        <f>IFERROR(__xludf.DUMMYFUNCTION("""COMPUTED_VALUE"""),"Chumphon Province")</f>
        <v>Chumphon Province</v>
      </c>
      <c r="AB884" t="str">
        <f>IFERROR(__xludf.DUMMYFUNCTION("""COMPUTED_VALUE"""),"warintornr@airasia.com")</f>
        <v>warintornr@airasia.com</v>
      </c>
    </row>
    <row r="885">
      <c r="A885">
        <f>IFERROR(__xludf.DUMMYFUNCTION("""COMPUTED_VALUE"""),1019557.0)</f>
        <v>1019557</v>
      </c>
      <c r="B885" t="str">
        <f>IFERROR(__xludf.DUMMYFUNCTION("""COMPUTED_VALUE"""),"Mr.")</f>
        <v>Mr.</v>
      </c>
      <c r="C885" t="str">
        <f>IFERROR(__xludf.DUMMYFUNCTION("""COMPUTED_VALUE"""),"Yossavarid")</f>
        <v>Yossavarid</v>
      </c>
      <c r="D885" t="str">
        <f>IFERROR(__xludf.DUMMYFUNCTION("""COMPUTED_VALUE"""),"Tien")</f>
        <v>Tien</v>
      </c>
      <c r="E885" t="str">
        <f>IFERROR(__xludf.DUMMYFUNCTION("""COMPUTED_VALUE"""),"Yossavarid Tien")</f>
        <v>Yossavarid Tien</v>
      </c>
      <c r="F885" t="str">
        <f>IFERROR(__xludf.DUMMYFUNCTION("""COMPUTED_VALUE"""),"นาย")</f>
        <v>นาย</v>
      </c>
      <c r="G885" t="str">
        <f>IFERROR(__xludf.DUMMYFUNCTION("""COMPUTED_VALUE"""),"ยศวริศ")</f>
        <v>ยศวริศ</v>
      </c>
      <c r="H885" t="str">
        <f>IFERROR(__xludf.DUMMYFUNCTION("""COMPUTED_VALUE"""),"เถียน")</f>
        <v>เถียน</v>
      </c>
      <c r="I885" t="str">
        <f>IFERROR(__xludf.DUMMYFUNCTION("""COMPUTED_VALUE"""),"ยศวริศ เถียน")</f>
        <v>ยศวริศ เถียน</v>
      </c>
      <c r="J885" t="str">
        <f>IFERROR(__xludf.DUMMYFUNCTION("""COMPUTED_VALUE"""),"Purn / ปืน")</f>
        <v>Purn / ปืน</v>
      </c>
      <c r="K885" t="str">
        <f>IFERROR(__xludf.DUMMYFUNCTION("""COMPUTED_VALUE"""),"Cabin Crew")</f>
        <v>Cabin Crew</v>
      </c>
      <c r="L885" t="str">
        <f>IFERROR(__xludf.DUMMYFUNCTION("""COMPUTED_VALUE"""),"DMK")</f>
        <v>DMK</v>
      </c>
      <c r="M885" s="145" t="str">
        <f>IFERROR(__xludf.DUMMYFUNCTION("""COMPUTED_VALUE"""),"Nhui Home")</f>
        <v>Nhui Home</v>
      </c>
      <c r="N885" t="str">
        <f>IFERROR(__xludf.DUMMYFUNCTION("""COMPUTED_VALUE"""),"Active")</f>
        <v>Active</v>
      </c>
      <c r="P885" s="143">
        <f>IFERROR(__xludf.DUMMYFUNCTION("""COMPUTED_VALUE"""),33500.0)</f>
        <v>33500</v>
      </c>
      <c r="Q885" s="146" t="str">
        <f>IFERROR(__xludf.DUMMYFUNCTION("""COMPUTED_VALUE"""),"08-7768321-0")</f>
        <v>08-7768321-0</v>
      </c>
      <c r="R885" s="147" t="str">
        <f>IFERROR(__xludf.DUMMYFUNCTION("""COMPUTED_VALUE"""),"5103300-00-6074")</f>
        <v>5103300-00-6074</v>
      </c>
      <c r="S885" t="str">
        <f>IFERROR(__xludf.DUMMYFUNCTION("""COMPUTED_VALUE"""),"AD1953861")</f>
        <v>AD1953861</v>
      </c>
      <c r="T885" s="148">
        <f>IFERROR(__xludf.DUMMYFUNCTION("""COMPUTED_VALUE"""),45499.0)</f>
        <v>45499</v>
      </c>
      <c r="U885" s="148">
        <f>IFERROR(__xludf.DUMMYFUNCTION("""COMPUTED_VALUE"""),49150.0)</f>
        <v>49150</v>
      </c>
      <c r="V885" s="149">
        <f>IFERROR(__xludf.DUMMYFUNCTION("""COMPUTED_VALUE"""),48969.0)</f>
        <v>48969</v>
      </c>
      <c r="W885" t="str">
        <f>IFERROR(__xludf.DUMMYFUNCTION("""COMPUTED_VALUE"""),"ปลอดภัย")</f>
        <v>ปลอดภัย</v>
      </c>
      <c r="X885" t="str">
        <f>IFERROR(__xludf.DUMMYFUNCTION("""COMPUTED_VALUE"""),"Bangkok")</f>
        <v>Bangkok</v>
      </c>
      <c r="Y885" t="str">
        <f>IFERROR(__xludf.DUMMYFUNCTION("""COMPUTED_VALUE"""),"Bangkok")</f>
        <v>Bangkok</v>
      </c>
      <c r="Z885" t="str">
        <f>IFERROR(__xludf.DUMMYFUNCTION("""COMPUTED_VALUE"""),"081-465-4545")</f>
        <v>081-465-4545</v>
      </c>
      <c r="AA885" t="str">
        <f>IFERROR(__xludf.DUMMYFUNCTION("""COMPUTED_VALUE"""),"Naphak Phattharavimon (Father)")</f>
        <v>Naphak Phattharavimon (Father)</v>
      </c>
      <c r="AB885" t="str">
        <f>IFERROR(__xludf.DUMMYFUNCTION("""COMPUTED_VALUE"""),"yossavaridt@airasia.com")</f>
        <v>yossavaridt@airasia.com</v>
      </c>
    </row>
    <row r="886">
      <c r="AB886" t="str">
        <f>IFERROR(__xludf.DUMMYFUNCTION("""COMPUTED_VALUE"""),"")</f>
        <v/>
      </c>
    </row>
    <row r="887">
      <c r="A887">
        <f>IFERROR(__xludf.DUMMYFUNCTION("""COMPUTED_VALUE"""),1005817.0)</f>
        <v>1005817</v>
      </c>
      <c r="B887" t="str">
        <f>IFERROR(__xludf.DUMMYFUNCTION("""COMPUTED_VALUE"""),"Mr.")</f>
        <v>Mr.</v>
      </c>
      <c r="C887" t="str">
        <f>IFERROR(__xludf.DUMMYFUNCTION("""COMPUTED_VALUE"""),"Natdanai")</f>
        <v>Natdanai</v>
      </c>
      <c r="D887" t="str">
        <f>IFERROR(__xludf.DUMMYFUNCTION("""COMPUTED_VALUE"""),"Kingsawat")</f>
        <v>Kingsawat</v>
      </c>
      <c r="E887" t="str">
        <f>IFERROR(__xludf.DUMMYFUNCTION("""COMPUTED_VALUE"""),"Natdanai Kingsawat")</f>
        <v>Natdanai Kingsawat</v>
      </c>
      <c r="F887" t="str">
        <f>IFERROR(__xludf.DUMMYFUNCTION("""COMPUTED_VALUE"""),"นาย")</f>
        <v>นาย</v>
      </c>
      <c r="G887" t="str">
        <f>IFERROR(__xludf.DUMMYFUNCTION("""COMPUTED_VALUE"""),"ณัฏฐ์ดนัย")</f>
        <v>ณัฏฐ์ดนัย</v>
      </c>
      <c r="H887" t="str">
        <f>IFERROR(__xludf.DUMMYFUNCTION("""COMPUTED_VALUE"""),"กิ่งสวัสดิ์")</f>
        <v>กิ่งสวัสดิ์</v>
      </c>
      <c r="I887" t="str">
        <f>IFERROR(__xludf.DUMMYFUNCTION("""COMPUTED_VALUE"""),"ณัฏฐ์ดนัย กิ่งสวัสดิ์")</f>
        <v>ณัฏฐ์ดนัย กิ่งสวัสดิ์</v>
      </c>
      <c r="J887" t="str">
        <f>IFERROR(__xludf.DUMMYFUNCTION("""COMPUTED_VALUE"""),"ณัฏฐ์/Nat")</f>
        <v>ณัฏฐ์/Nat</v>
      </c>
      <c r="K887" t="str">
        <f>IFERROR(__xludf.DUMMYFUNCTION("""COMPUTED_VALUE"""),"Cabin Crew - BKK")</f>
        <v>Cabin Crew - BKK</v>
      </c>
      <c r="L887" t="str">
        <f>IFERROR(__xludf.DUMMYFUNCTION("""COMPUTED_VALUE"""),"BKK")</f>
        <v>BKK</v>
      </c>
      <c r="M887" s="145" t="str">
        <f>IFERROR(__xludf.DUMMYFUNCTION("""COMPUTED_VALUE"""),"Nhui Home")</f>
        <v>Nhui Home</v>
      </c>
      <c r="N887" t="str">
        <f>IFERROR(__xludf.DUMMYFUNCTION("""COMPUTED_VALUE"""),"Active")</f>
        <v>Active</v>
      </c>
      <c r="P887" s="143">
        <f>IFERROR(__xludf.DUMMYFUNCTION("""COMPUTED_VALUE"""),33212.0)</f>
        <v>33212</v>
      </c>
      <c r="Q887" s="146">
        <f>IFERROR(__xludf.DUMMYFUNCTION("""COMPUTED_VALUE"""),9.53989369E8)</f>
        <v>953989369</v>
      </c>
      <c r="R887" s="147" t="str">
        <f>IFERROR(__xludf.DUMMYFUNCTION("""COMPUTED_VALUE"""),"1102001-45-0165")</f>
        <v>1102001-45-0165</v>
      </c>
      <c r="S887" t="str">
        <f>IFERROR(__xludf.DUMMYFUNCTION("""COMPUTED_VALUE"""),"AC4451640")</f>
        <v>AC4451640</v>
      </c>
      <c r="T887" s="148">
        <f>IFERROR(__xludf.DUMMYFUNCTION("""COMPUTED_VALUE"""),44963.0)</f>
        <v>44963</v>
      </c>
      <c r="U887" s="148">
        <f>IFERROR(__xludf.DUMMYFUNCTION("""COMPUTED_VALUE"""),48615.0)</f>
        <v>48615</v>
      </c>
      <c r="V887" s="149">
        <f>IFERROR(__xludf.DUMMYFUNCTION("""COMPUTED_VALUE"""),48431.0)</f>
        <v>48431</v>
      </c>
      <c r="W887" t="str">
        <f>IFERROR(__xludf.DUMMYFUNCTION("""COMPUTED_VALUE"""),"ปลอดภัย")</f>
        <v>ปลอดภัย</v>
      </c>
      <c r="X887" t="str">
        <f>IFERROR(__xludf.DUMMYFUNCTION("""COMPUTED_VALUE"""),"Bangkok")</f>
        <v>Bangkok</v>
      </c>
      <c r="Y887" t="str">
        <f>IFERROR(__xludf.DUMMYFUNCTION("""COMPUTED_VALUE"""),"Samutprakarn")</f>
        <v>Samutprakarn</v>
      </c>
      <c r="Z887" t="str">
        <f>IFERROR(__xludf.DUMMYFUNCTION("""COMPUTED_VALUE"""),"086-762-1260")</f>
        <v>086-762-1260</v>
      </c>
      <c r="AA887" t="str">
        <f>IFERROR(__xludf.DUMMYFUNCTION("""COMPUTED_VALUE"""),"Sirinan Kingsawat (Mother)")</f>
        <v>Sirinan Kingsawat (Mother)</v>
      </c>
      <c r="AB887" t="str">
        <f>IFERROR(__xludf.DUMMYFUNCTION("""COMPUTED_VALUE"""),"natdanaik@airasia.com")</f>
        <v>natdanaik@airasia.com</v>
      </c>
    </row>
    <row r="888">
      <c r="A888">
        <f>IFERROR(__xludf.DUMMYFUNCTION("""COMPUTED_VALUE"""),1008230.0)</f>
        <v>1008230</v>
      </c>
      <c r="B888" t="str">
        <f>IFERROR(__xludf.DUMMYFUNCTION("""COMPUTED_VALUE"""),"Mrs.")</f>
        <v>Mrs.</v>
      </c>
      <c r="C888" t="str">
        <f>IFERROR(__xludf.DUMMYFUNCTION("""COMPUTED_VALUE"""),"Narinrat (Saranphon)")</f>
        <v>Narinrat (Saranphon)</v>
      </c>
      <c r="D888" t="str">
        <f>IFERROR(__xludf.DUMMYFUNCTION("""COMPUTED_VALUE"""),"Khoojaroenpaisan (Sripattana)")</f>
        <v>Khoojaroenpaisan (Sripattana)</v>
      </c>
      <c r="E888" t="str">
        <f>IFERROR(__xludf.DUMMYFUNCTION("""COMPUTED_VALUE"""),"Narinrat Khoojaroenpaisan")</f>
        <v>Narinrat Khoojaroenpaisan</v>
      </c>
      <c r="F888" t="str">
        <f>IFERROR(__xludf.DUMMYFUNCTION("""COMPUTED_VALUE"""),"นาง")</f>
        <v>นาง</v>
      </c>
      <c r="G888" t="str">
        <f>IFERROR(__xludf.DUMMYFUNCTION("""COMPUTED_VALUE"""),"นรินทร์รัชต์ (ศรัญย์พร)")</f>
        <v>นรินทร์รัชต์ (ศรัญย์พร)</v>
      </c>
      <c r="H888" t="str">
        <f>IFERROR(__xludf.DUMMYFUNCTION("""COMPUTED_VALUE"""),"คูเจริญไพศาล (ศรีพัฒนา)")</f>
        <v>คูเจริญไพศาล (ศรีพัฒนา)</v>
      </c>
      <c r="I888" t="str">
        <f>IFERROR(__xludf.DUMMYFUNCTION("""COMPUTED_VALUE"""),"นรินทร์รัชต์ คูเจริญไพศาล")</f>
        <v>นรินทร์รัชต์ คูเจริญไพศาล</v>
      </c>
      <c r="J888" t="str">
        <f>IFERROR(__xludf.DUMMYFUNCTION("""COMPUTED_VALUE"""),"แมงปอ/Mangpor")</f>
        <v>แมงปอ/Mangpor</v>
      </c>
      <c r="K888" t="str">
        <f>IFERROR(__xludf.DUMMYFUNCTION("""COMPUTED_VALUE"""),"Cabin Crew")</f>
        <v>Cabin Crew</v>
      </c>
      <c r="L888" t="str">
        <f>IFERROR(__xludf.DUMMYFUNCTION("""COMPUTED_VALUE"""),"DMK")</f>
        <v>DMK</v>
      </c>
      <c r="M888" s="145" t="str">
        <f>IFERROR(__xludf.DUMMYFUNCTION("""COMPUTED_VALUE"""),"Up Home")</f>
        <v>Up Home</v>
      </c>
      <c r="N888" t="str">
        <f>IFERROR(__xludf.DUMMYFUNCTION("""COMPUTED_VALUE"""),"Active")</f>
        <v>Active</v>
      </c>
      <c r="P888" s="143">
        <f>IFERROR(__xludf.DUMMYFUNCTION("""COMPUTED_VALUE"""),34097.0)</f>
        <v>34097</v>
      </c>
      <c r="Q888" s="146" t="str">
        <f>IFERROR(__xludf.DUMMYFUNCTION("""COMPUTED_VALUE"""),"086-243-7823")</f>
        <v>086-243-7823</v>
      </c>
      <c r="R888" s="147" t="str">
        <f>IFERROR(__xludf.DUMMYFUNCTION("""COMPUTED_VALUE"""),"1199900-37-8358")</f>
        <v>1199900-37-8358</v>
      </c>
      <c r="S888" t="str">
        <f>IFERROR(__xludf.DUMMYFUNCTION("""COMPUTED_VALUE"""),"AD1176628")</f>
        <v>AD1176628</v>
      </c>
      <c r="T888" s="148">
        <f>IFERROR(__xludf.DUMMYFUNCTION("""COMPUTED_VALUE"""),45205.0)</f>
        <v>45205</v>
      </c>
      <c r="U888" s="148">
        <f>IFERROR(__xludf.DUMMYFUNCTION("""COMPUTED_VALUE"""),48857.0)</f>
        <v>48857</v>
      </c>
      <c r="V888" s="149">
        <f>IFERROR(__xludf.DUMMYFUNCTION("""COMPUTED_VALUE"""),48674.0)</f>
        <v>48674</v>
      </c>
      <c r="W888" t="str">
        <f>IFERROR(__xludf.DUMMYFUNCTION("""COMPUTED_VALUE"""),"ปลอดภัย")</f>
        <v>ปลอดภัย</v>
      </c>
      <c r="X888" t="str">
        <f>IFERROR(__xludf.DUMMYFUNCTION("""COMPUTED_VALUE"""),"Saraburi Province")</f>
        <v>Saraburi Province</v>
      </c>
      <c r="Y888" t="str">
        <f>IFERROR(__xludf.DUMMYFUNCTION("""COMPUTED_VALUE"""),"Bangkok")</f>
        <v>Bangkok</v>
      </c>
      <c r="Z888" t="str">
        <f>IFERROR(__xludf.DUMMYFUNCTION("""COMPUTED_VALUE"""),"086 245 2169")</f>
        <v>086 245 2169</v>
      </c>
      <c r="AA888" t="str">
        <f>IFERROR(__xludf.DUMMYFUNCTION("""COMPUTED_VALUE"""),"Churiwan Thapsungnoen (Mother)")</f>
        <v>Churiwan Thapsungnoen (Mother)</v>
      </c>
      <c r="AB888" t="str">
        <f>IFERROR(__xludf.DUMMYFUNCTION("""COMPUTED_VALUE"""),"narinratk@airasia.com")</f>
        <v>narinratk@airasia.com</v>
      </c>
    </row>
    <row r="889">
      <c r="A889">
        <f>IFERROR(__xludf.DUMMYFUNCTION("""COMPUTED_VALUE"""),1010721.0)</f>
        <v>1010721</v>
      </c>
      <c r="B889" t="str">
        <f>IFERROR(__xludf.DUMMYFUNCTION("""COMPUTED_VALUE"""),"Ms.")</f>
        <v>Ms.</v>
      </c>
      <c r="C889" t="str">
        <f>IFERROR(__xludf.DUMMYFUNCTION("""COMPUTED_VALUE"""),"Papitchaya")</f>
        <v>Papitchaya</v>
      </c>
      <c r="D889" t="str">
        <f>IFERROR(__xludf.DUMMYFUNCTION("""COMPUTED_VALUE"""),"Saytasuhat")</f>
        <v>Saytasuhat</v>
      </c>
      <c r="E889" t="str">
        <f>IFERROR(__xludf.DUMMYFUNCTION("""COMPUTED_VALUE"""),"Papitchaya Saytasuhat")</f>
        <v>Papitchaya Saytasuhat</v>
      </c>
      <c r="F889" t="str">
        <f>IFERROR(__xludf.DUMMYFUNCTION("""COMPUTED_VALUE"""),"นางสาว")</f>
        <v>นางสาว</v>
      </c>
      <c r="G889" t="str">
        <f>IFERROR(__xludf.DUMMYFUNCTION("""COMPUTED_VALUE"""),"ปพิชญา")</f>
        <v>ปพิชญา</v>
      </c>
      <c r="H889" t="str">
        <f>IFERROR(__xludf.DUMMYFUNCTION("""COMPUTED_VALUE"""),"เสตะสุหัท")</f>
        <v>เสตะสุหัท</v>
      </c>
      <c r="I889" t="str">
        <f>IFERROR(__xludf.DUMMYFUNCTION("""COMPUTED_VALUE"""),"ปพิชญา เสตะสุหัท")</f>
        <v>ปพิชญา เสตะสุหัท</v>
      </c>
      <c r="J889" t="str">
        <f>IFERROR(__xludf.DUMMYFUNCTION("""COMPUTED_VALUE"""),"กิ่ง/Ging")</f>
        <v>กิ่ง/Ging</v>
      </c>
      <c r="K889" t="str">
        <f>IFERROR(__xludf.DUMMYFUNCTION("""COMPUTED_VALUE"""),"Cabin Crew")</f>
        <v>Cabin Crew</v>
      </c>
      <c r="L889" t="str">
        <f>IFERROR(__xludf.DUMMYFUNCTION("""COMPUTED_VALUE"""),"DMK")</f>
        <v>DMK</v>
      </c>
      <c r="M889" s="145" t="str">
        <f>IFERROR(__xludf.DUMMYFUNCTION("""COMPUTED_VALUE"""),"Namfon Home")</f>
        <v>Namfon Home</v>
      </c>
      <c r="N889" t="str">
        <f>IFERROR(__xludf.DUMMYFUNCTION("""COMPUTED_VALUE"""),"Active")</f>
        <v>Active</v>
      </c>
      <c r="P889" s="143">
        <f>IFERROR(__xludf.DUMMYFUNCTION("""COMPUTED_VALUE"""),33729.0)</f>
        <v>33729</v>
      </c>
      <c r="Q889" s="146" t="str">
        <f>IFERROR(__xludf.DUMMYFUNCTION("""COMPUTED_VALUE"""),"086-376-5352")</f>
        <v>086-376-5352</v>
      </c>
      <c r="R889" s="147" t="str">
        <f>IFERROR(__xludf.DUMMYFUNCTION("""COMPUTED_VALUE"""),"1100500-72-9961")</f>
        <v>1100500-72-9961</v>
      </c>
      <c r="S889" t="str">
        <f>IFERROR(__xludf.DUMMYFUNCTION("""COMPUTED_VALUE"""),"AC4532541")</f>
        <v>AC4532541</v>
      </c>
      <c r="T889" s="148">
        <f>IFERROR(__xludf.DUMMYFUNCTION("""COMPUTED_VALUE"""),44983.0)</f>
        <v>44983</v>
      </c>
      <c r="U889" s="148">
        <f>IFERROR(__xludf.DUMMYFUNCTION("""COMPUTED_VALUE"""),48635.0)</f>
        <v>48635</v>
      </c>
      <c r="V889" s="149">
        <f>IFERROR(__xludf.DUMMYFUNCTION("""COMPUTED_VALUE"""),48451.0)</f>
        <v>48451</v>
      </c>
      <c r="W889" t="str">
        <f>IFERROR(__xludf.DUMMYFUNCTION("""COMPUTED_VALUE"""),"ปลอดภัย")</f>
        <v>ปลอดภัย</v>
      </c>
      <c r="X889" t="str">
        <f>IFERROR(__xludf.DUMMYFUNCTION("""COMPUTED_VALUE"""),"Bangkok")</f>
        <v>Bangkok</v>
      </c>
      <c r="Y889" t="str">
        <f>IFERROR(__xludf.DUMMYFUNCTION("""COMPUTED_VALUE"""),"Pathumtani")</f>
        <v>Pathumtani</v>
      </c>
      <c r="Z889" t="str">
        <f>IFERROR(__xludf.DUMMYFUNCTION("""COMPUTED_VALUE"""),"‭089-498-2245‬")</f>
        <v>‭089-498-2245‬</v>
      </c>
      <c r="AA889" t="str">
        <f>IFERROR(__xludf.DUMMYFUNCTION("""COMPUTED_VALUE"""),"Sureewan Khuappimai (Mother)")</f>
        <v>Sureewan Khuappimai (Mother)</v>
      </c>
      <c r="AB889" t="str">
        <f>IFERROR(__xludf.DUMMYFUNCTION("""COMPUTED_VALUE"""),"papitchayas@airasia.com")</f>
        <v>papitchayas@airasia.com</v>
      </c>
    </row>
    <row r="890">
      <c r="A890">
        <f>IFERROR(__xludf.DUMMYFUNCTION("""COMPUTED_VALUE"""),1011710.0)</f>
        <v>1011710</v>
      </c>
      <c r="B890" t="str">
        <f>IFERROR(__xludf.DUMMYFUNCTION("""COMPUTED_VALUE"""),"Ms.")</f>
        <v>Ms.</v>
      </c>
      <c r="C890" t="str">
        <f>IFERROR(__xludf.DUMMYFUNCTION("""COMPUTED_VALUE"""),"Satchaporn")</f>
        <v>Satchaporn</v>
      </c>
      <c r="D890" t="str">
        <f>IFERROR(__xludf.DUMMYFUNCTION("""COMPUTED_VALUE"""),"Sriroy")</f>
        <v>Sriroy</v>
      </c>
      <c r="E890" t="str">
        <f>IFERROR(__xludf.DUMMYFUNCTION("""COMPUTED_VALUE"""),"Satchaporn Sriroy")</f>
        <v>Satchaporn Sriroy</v>
      </c>
      <c r="F890" t="str">
        <f>IFERROR(__xludf.DUMMYFUNCTION("""COMPUTED_VALUE"""),"นางสาว")</f>
        <v>นางสาว</v>
      </c>
      <c r="G890" t="str">
        <f>IFERROR(__xludf.DUMMYFUNCTION("""COMPUTED_VALUE"""),"สัจจาพร")</f>
        <v>สัจจาพร</v>
      </c>
      <c r="H890" t="str">
        <f>IFERROR(__xludf.DUMMYFUNCTION("""COMPUTED_VALUE"""),"ศรีโรย")</f>
        <v>ศรีโรย</v>
      </c>
      <c r="I890" t="str">
        <f>IFERROR(__xludf.DUMMYFUNCTION("""COMPUTED_VALUE"""),"สัจจาพร ศรีโรย")</f>
        <v>สัจจาพร ศรีโรย</v>
      </c>
      <c r="J890" t="str">
        <f>IFERROR(__xludf.DUMMYFUNCTION("""COMPUTED_VALUE"""),"อีฟ/Eve")</f>
        <v>อีฟ/Eve</v>
      </c>
      <c r="K890" t="str">
        <f>IFERROR(__xludf.DUMMYFUNCTION("""COMPUTED_VALUE"""),"Cabin Crew - CNX")</f>
        <v>Cabin Crew - CNX</v>
      </c>
      <c r="L890" t="str">
        <f>IFERROR(__xludf.DUMMYFUNCTION("""COMPUTED_VALUE"""),"CNX")</f>
        <v>CNX</v>
      </c>
      <c r="M890" s="145" t="str">
        <f>IFERROR(__xludf.DUMMYFUNCTION("""COMPUTED_VALUE"""),"Up Home")</f>
        <v>Up Home</v>
      </c>
      <c r="N890" t="str">
        <f>IFERROR(__xludf.DUMMYFUNCTION("""COMPUTED_VALUE"""),"Active")</f>
        <v>Active</v>
      </c>
      <c r="P890" s="143">
        <f>IFERROR(__xludf.DUMMYFUNCTION("""COMPUTED_VALUE"""),32947.0)</f>
        <v>32947</v>
      </c>
      <c r="Q890" s="146" t="str">
        <f>IFERROR(__xludf.DUMMYFUNCTION("""COMPUTED_VALUE"""),"064-515-6558")</f>
        <v>064-515-6558</v>
      </c>
      <c r="R890" s="147" t="str">
        <f>IFERROR(__xludf.DUMMYFUNCTION("""COMPUTED_VALUE"""),"1509900-84-3359")</f>
        <v>1509900-84-3359</v>
      </c>
      <c r="S890" t="str">
        <f>IFERROR(__xludf.DUMMYFUNCTION("""COMPUTED_VALUE"""),"AC2476753")</f>
        <v>AC2476753</v>
      </c>
      <c r="T890" s="148">
        <f>IFERROR(__xludf.DUMMYFUNCTION("""COMPUTED_VALUE"""),44498.0)</f>
        <v>44498</v>
      </c>
      <c r="U890" s="148">
        <f>IFERROR(__xludf.DUMMYFUNCTION("""COMPUTED_VALUE"""),48149.0)</f>
        <v>48149</v>
      </c>
      <c r="V890" s="149">
        <f>IFERROR(__xludf.DUMMYFUNCTION("""COMPUTED_VALUE"""),47966.0)</f>
        <v>47966</v>
      </c>
      <c r="W890" t="str">
        <f>IFERROR(__xludf.DUMMYFUNCTION("""COMPUTED_VALUE"""),"ปลอดภัย")</f>
        <v>ปลอดภัย</v>
      </c>
      <c r="X890" t="str">
        <f>IFERROR(__xludf.DUMMYFUNCTION("""COMPUTED_VALUE"""),"Chiang Mai Province")</f>
        <v>Chiang Mai Province</v>
      </c>
      <c r="Y890" t="str">
        <f>IFERROR(__xludf.DUMMYFUNCTION("""COMPUTED_VALUE"""),"Chiang Mai")</f>
        <v>Chiang Mai</v>
      </c>
      <c r="Z890" t="str">
        <f>IFERROR(__xludf.DUMMYFUNCTION("""COMPUTED_VALUE"""),"099-296-9919")</f>
        <v>099-296-9919</v>
      </c>
      <c r="AA890" t="str">
        <f>IFERROR(__xludf.DUMMYFUNCTION("""COMPUTED_VALUE"""),"Orawan Sriroy (Mother)")</f>
        <v>Orawan Sriroy (Mother)</v>
      </c>
      <c r="AB890" t="str">
        <f>IFERROR(__xludf.DUMMYFUNCTION("""COMPUTED_VALUE"""),"satchaporns@airasia.com")</f>
        <v>satchaporns@airasia.com</v>
      </c>
    </row>
    <row r="891">
      <c r="A891">
        <f>IFERROR(__xludf.DUMMYFUNCTION("""COMPUTED_VALUE"""),1022212.0)</f>
        <v>1022212</v>
      </c>
      <c r="B891" t="str">
        <f>IFERROR(__xludf.DUMMYFUNCTION("""COMPUTED_VALUE"""),"Ms.")</f>
        <v>Ms.</v>
      </c>
      <c r="C891" t="str">
        <f>IFERROR(__xludf.DUMMYFUNCTION("""COMPUTED_VALUE"""),"Patcharamon")</f>
        <v>Patcharamon</v>
      </c>
      <c r="D891" t="str">
        <f>IFERROR(__xludf.DUMMYFUNCTION("""COMPUTED_VALUE"""),"Vipatanawin")</f>
        <v>Vipatanawin</v>
      </c>
      <c r="E891" t="str">
        <f>IFERROR(__xludf.DUMMYFUNCTION("""COMPUTED_VALUE"""),"Patcharamon Vipatanawin")</f>
        <v>Patcharamon Vipatanawin</v>
      </c>
      <c r="F891" t="str">
        <f>IFERROR(__xludf.DUMMYFUNCTION("""COMPUTED_VALUE"""),"นางสาว")</f>
        <v>นางสาว</v>
      </c>
      <c r="G891" t="str">
        <f>IFERROR(__xludf.DUMMYFUNCTION("""COMPUTED_VALUE"""),"พชรมน")</f>
        <v>พชรมน</v>
      </c>
      <c r="H891" t="str">
        <f>IFERROR(__xludf.DUMMYFUNCTION("""COMPUTED_VALUE"""),"วิภาตนาวิน")</f>
        <v>วิภาตนาวิน</v>
      </c>
      <c r="I891" t="str">
        <f>IFERROR(__xludf.DUMMYFUNCTION("""COMPUTED_VALUE"""),"พชรมน วิภาตนาวิน")</f>
        <v>พชรมน วิภาตนาวิน</v>
      </c>
      <c r="J891" t="str">
        <f>IFERROR(__xludf.DUMMYFUNCTION("""COMPUTED_VALUE"""),"อาย/Eye")</f>
        <v>อาย/Eye</v>
      </c>
      <c r="K891" t="str">
        <f>IFERROR(__xludf.DUMMYFUNCTION("""COMPUTED_VALUE"""),"Cabin Crew")</f>
        <v>Cabin Crew</v>
      </c>
      <c r="L891" t="str">
        <f>IFERROR(__xludf.DUMMYFUNCTION("""COMPUTED_VALUE"""),"DMK")</f>
        <v>DMK</v>
      </c>
      <c r="M891" s="145" t="str">
        <f>IFERROR(__xludf.DUMMYFUNCTION("""COMPUTED_VALUE"""),"Up Home")</f>
        <v>Up Home</v>
      </c>
      <c r="N891" t="str">
        <f>IFERROR(__xludf.DUMMYFUNCTION("""COMPUTED_VALUE"""),"Active")</f>
        <v>Active</v>
      </c>
      <c r="P891" s="143">
        <f>IFERROR(__xludf.DUMMYFUNCTION("""COMPUTED_VALUE"""),34127.0)</f>
        <v>34127</v>
      </c>
      <c r="Q891" s="146" t="str">
        <f>IFERROR(__xludf.DUMMYFUNCTION("""COMPUTED_VALUE"""),"097-953-2479")</f>
        <v>097-953-2479</v>
      </c>
      <c r="R891" s="147" t="str">
        <f>IFERROR(__xludf.DUMMYFUNCTION("""COMPUTED_VALUE"""),"1102001-93-3328")</f>
        <v>1102001-93-3328</v>
      </c>
      <c r="S891" t="str">
        <f>IFERROR(__xludf.DUMMYFUNCTION("""COMPUTED_VALUE"""),"AC2624219")</f>
        <v>AC2624219</v>
      </c>
      <c r="T891" s="148">
        <f>IFERROR(__xludf.DUMMYFUNCTION("""COMPUTED_VALUE"""),44546.0)</f>
        <v>44546</v>
      </c>
      <c r="U891" s="148">
        <f>IFERROR(__xludf.DUMMYFUNCTION("""COMPUTED_VALUE"""),48197.0)</f>
        <v>48197</v>
      </c>
      <c r="V891" s="149">
        <f>IFERROR(__xludf.DUMMYFUNCTION("""COMPUTED_VALUE"""),48014.0)</f>
        <v>48014</v>
      </c>
      <c r="W891" t="str">
        <f>IFERROR(__xludf.DUMMYFUNCTION("""COMPUTED_VALUE"""),"ปลอดภัย")</f>
        <v>ปลอดภัย</v>
      </c>
      <c r="X891" t="str">
        <f>IFERROR(__xludf.DUMMYFUNCTION("""COMPUTED_VALUE"""),"Bangkok")</f>
        <v>Bangkok</v>
      </c>
      <c r="Y891" t="str">
        <f>IFERROR(__xludf.DUMMYFUNCTION("""COMPUTED_VALUE"""),"Bangkok")</f>
        <v>Bangkok</v>
      </c>
      <c r="Z891" t="str">
        <f>IFERROR(__xludf.DUMMYFUNCTION("""COMPUTED_VALUE"""),"081 843 4131")</f>
        <v>081 843 4131</v>
      </c>
      <c r="AA891" t="str">
        <f>IFERROR(__xludf.DUMMYFUNCTION("""COMPUTED_VALUE"""),"Udomluck Vipatanawin (Mother)")</f>
        <v>Udomluck Vipatanawin (Mother)</v>
      </c>
      <c r="AB891" t="str">
        <f>IFERROR(__xludf.DUMMYFUNCTION("""COMPUTED_VALUE"""),"patcharamonvipatana@airasia.com")</f>
        <v>patcharamonvipatana@airasia.com</v>
      </c>
    </row>
    <row r="892">
      <c r="A892">
        <f>IFERROR(__xludf.DUMMYFUNCTION("""COMPUTED_VALUE"""),1022214.0)</f>
        <v>1022214</v>
      </c>
      <c r="B892" t="str">
        <f>IFERROR(__xludf.DUMMYFUNCTION("""COMPUTED_VALUE"""),"Mrs.")</f>
        <v>Mrs.</v>
      </c>
      <c r="C892" t="str">
        <f>IFERROR(__xludf.DUMMYFUNCTION("""COMPUTED_VALUE"""),"Siripassorn")</f>
        <v>Siripassorn</v>
      </c>
      <c r="D892" t="str">
        <f>IFERROR(__xludf.DUMMYFUNCTION("""COMPUTED_VALUE"""),"Lerdnitirungrit (Liangpanit)")</f>
        <v>Lerdnitirungrit (Liangpanit)</v>
      </c>
      <c r="E892" t="str">
        <f>IFERROR(__xludf.DUMMYFUNCTION("""COMPUTED_VALUE"""),"Siripassorn Lerdnitirungrit")</f>
        <v>Siripassorn Lerdnitirungrit</v>
      </c>
      <c r="F892" t="str">
        <f>IFERROR(__xludf.DUMMYFUNCTION("""COMPUTED_VALUE"""),"นาง")</f>
        <v>นาง</v>
      </c>
      <c r="G892" t="str">
        <f>IFERROR(__xludf.DUMMYFUNCTION("""COMPUTED_VALUE"""),"ศิริภัสสร")</f>
        <v>ศิริภัสสร</v>
      </c>
      <c r="H892" t="str">
        <f>IFERROR(__xludf.DUMMYFUNCTION("""COMPUTED_VALUE"""),"เลิศนิธิรุ่งฤทธิ์ (เหลียงพานิช)")</f>
        <v>เลิศนิธิรุ่งฤทธิ์ (เหลียงพานิช)</v>
      </c>
      <c r="I892" t="str">
        <f>IFERROR(__xludf.DUMMYFUNCTION("""COMPUTED_VALUE"""),"ศิริภัสสร เลิศนิธิรุ่งฤทธิ์")</f>
        <v>ศิริภัสสร เลิศนิธิรุ่งฤทธิ์</v>
      </c>
      <c r="J892" t="str">
        <f>IFERROR(__xludf.DUMMYFUNCTION("""COMPUTED_VALUE"""),"มิ้น/Mint")</f>
        <v>มิ้น/Mint</v>
      </c>
      <c r="K892" t="str">
        <f>IFERROR(__xludf.DUMMYFUNCTION("""COMPUTED_VALUE"""),"Cabin Crew")</f>
        <v>Cabin Crew</v>
      </c>
      <c r="L892" t="str">
        <f>IFERROR(__xludf.DUMMYFUNCTION("""COMPUTED_VALUE"""),"DMK")</f>
        <v>DMK</v>
      </c>
      <c r="M892" s="145" t="str">
        <f>IFERROR(__xludf.DUMMYFUNCTION("""COMPUTED_VALUE"""),"Up Home")</f>
        <v>Up Home</v>
      </c>
      <c r="N892" t="str">
        <f>IFERROR(__xludf.DUMMYFUNCTION("""COMPUTED_VALUE"""),"Active")</f>
        <v>Active</v>
      </c>
      <c r="P892" s="143">
        <f>IFERROR(__xludf.DUMMYFUNCTION("""COMPUTED_VALUE"""),32681.0)</f>
        <v>32681</v>
      </c>
      <c r="Q892" s="146" t="str">
        <f>IFERROR(__xludf.DUMMYFUNCTION("""COMPUTED_VALUE"""),"097-167-4884")</f>
        <v>097-167-4884</v>
      </c>
      <c r="R892" s="147" t="str">
        <f>IFERROR(__xludf.DUMMYFUNCTION("""COMPUTED_VALUE"""),"1209900-07-1260")</f>
        <v>1209900-07-1260</v>
      </c>
      <c r="S892" t="str">
        <f>IFERROR(__xludf.DUMMYFUNCTION("""COMPUTED_VALUE"""),"AC3711518")</f>
        <v>AC3711518</v>
      </c>
      <c r="T892" s="148">
        <f>IFERROR(__xludf.DUMMYFUNCTION("""COMPUTED_VALUE"""),44781.0)</f>
        <v>44781</v>
      </c>
      <c r="U892" s="148">
        <f>IFERROR(__xludf.DUMMYFUNCTION("""COMPUTED_VALUE"""),48433.0)</f>
        <v>48433</v>
      </c>
      <c r="V892" s="149">
        <f>IFERROR(__xludf.DUMMYFUNCTION("""COMPUTED_VALUE"""),48251.0)</f>
        <v>48251</v>
      </c>
      <c r="W892" t="str">
        <f>IFERROR(__xludf.DUMMYFUNCTION("""COMPUTED_VALUE"""),"ปลอดภัย")</f>
        <v>ปลอดภัย</v>
      </c>
      <c r="X892" t="str">
        <f>IFERROR(__xludf.DUMMYFUNCTION("""COMPUTED_VALUE"""),"Chonburi Province")</f>
        <v>Chonburi Province</v>
      </c>
      <c r="Y892" t="str">
        <f>IFERROR(__xludf.DUMMYFUNCTION("""COMPUTED_VALUE"""),"Bangkok")</f>
        <v>Bangkok</v>
      </c>
      <c r="Z892" t="str">
        <f>IFERROR(__xludf.DUMMYFUNCTION("""COMPUTED_VALUE"""),"081-814-4373")</f>
        <v>081-814-4373</v>
      </c>
      <c r="AA892" t="str">
        <f>IFERROR(__xludf.DUMMYFUNCTION("""COMPUTED_VALUE"""),"Pradit Liangpanit (Father)")</f>
        <v>Pradit Liangpanit (Father)</v>
      </c>
      <c r="AB892" t="str">
        <f>IFERROR(__xludf.DUMMYFUNCTION("""COMPUTED_VALUE"""),"siripassornliangpan@airasia.com")</f>
        <v>siripassornliangpan@airasia.com</v>
      </c>
    </row>
    <row r="893">
      <c r="A893">
        <f>IFERROR(__xludf.DUMMYFUNCTION("""COMPUTED_VALUE"""),1022215.0)</f>
        <v>1022215</v>
      </c>
      <c r="B893" t="str">
        <f>IFERROR(__xludf.DUMMYFUNCTION("""COMPUTED_VALUE"""),"Ms.")</f>
        <v>Ms.</v>
      </c>
      <c r="C893" t="str">
        <f>IFERROR(__xludf.DUMMYFUNCTION("""COMPUTED_VALUE"""),"Porntida")</f>
        <v>Porntida</v>
      </c>
      <c r="D893" t="str">
        <f>IFERROR(__xludf.DUMMYFUNCTION("""COMPUTED_VALUE"""),"Yuttimi")</f>
        <v>Yuttimi</v>
      </c>
      <c r="E893" t="str">
        <f>IFERROR(__xludf.DUMMYFUNCTION("""COMPUTED_VALUE"""),"Porntida Yuttimi")</f>
        <v>Porntida Yuttimi</v>
      </c>
      <c r="F893" t="str">
        <f>IFERROR(__xludf.DUMMYFUNCTION("""COMPUTED_VALUE"""),"นางสาว")</f>
        <v>นางสาว</v>
      </c>
      <c r="G893" t="str">
        <f>IFERROR(__xludf.DUMMYFUNCTION("""COMPUTED_VALUE"""),"พรธิดา")</f>
        <v>พรธิดา</v>
      </c>
      <c r="H893" t="str">
        <f>IFERROR(__xludf.DUMMYFUNCTION("""COMPUTED_VALUE"""),"ญัติมิ")</f>
        <v>ญัติมิ</v>
      </c>
      <c r="I893" t="str">
        <f>IFERROR(__xludf.DUMMYFUNCTION("""COMPUTED_VALUE"""),"พรธิดา ญัติมิ")</f>
        <v>พรธิดา ญัติมิ</v>
      </c>
      <c r="J893" t="str">
        <f>IFERROR(__xludf.DUMMYFUNCTION("""COMPUTED_VALUE"""),"แอม/Am")</f>
        <v>แอม/Am</v>
      </c>
      <c r="K893" t="str">
        <f>IFERROR(__xludf.DUMMYFUNCTION("""COMPUTED_VALUE"""),"Cabin Crew - BKK")</f>
        <v>Cabin Crew - BKK</v>
      </c>
      <c r="L893" t="str">
        <f>IFERROR(__xludf.DUMMYFUNCTION("""COMPUTED_VALUE"""),"BKK")</f>
        <v>BKK</v>
      </c>
      <c r="M893" s="145" t="str">
        <f>IFERROR(__xludf.DUMMYFUNCTION("""COMPUTED_VALUE"""),"Nhui Home")</f>
        <v>Nhui Home</v>
      </c>
      <c r="N893" t="str">
        <f>IFERROR(__xludf.DUMMYFUNCTION("""COMPUTED_VALUE"""),"Active")</f>
        <v>Active</v>
      </c>
      <c r="P893" s="143">
        <f>IFERROR(__xludf.DUMMYFUNCTION("""COMPUTED_VALUE"""),32633.0)</f>
        <v>32633</v>
      </c>
      <c r="Q893" s="146" t="str">
        <f>IFERROR(__xludf.DUMMYFUNCTION("""COMPUTED_VALUE"""),"099-242-9965")</f>
        <v>099-242-9965</v>
      </c>
      <c r="R893" s="147" t="str">
        <f>IFERROR(__xludf.DUMMYFUNCTION("""COMPUTED_VALUE"""),"1929900-18-5587")</f>
        <v>1929900-18-5587</v>
      </c>
      <c r="S893" t="str">
        <f>IFERROR(__xludf.DUMMYFUNCTION("""COMPUTED_VALUE"""),"AC7968661")</f>
        <v>AC7968661</v>
      </c>
      <c r="T893" s="148">
        <f>IFERROR(__xludf.DUMMYFUNCTION("""COMPUTED_VALUE"""),45699.0)</f>
        <v>45699</v>
      </c>
      <c r="U893" s="148">
        <f>IFERROR(__xludf.DUMMYFUNCTION("""COMPUTED_VALUE"""),49350.0)</f>
        <v>49350</v>
      </c>
      <c r="V893" s="149">
        <f>IFERROR(__xludf.DUMMYFUNCTION("""COMPUTED_VALUE"""),49166.0)</f>
        <v>49166</v>
      </c>
      <c r="W893" t="str">
        <f>IFERROR(__xludf.DUMMYFUNCTION("""COMPUTED_VALUE"""),"ปลอดภัย")</f>
        <v>ปลอดภัย</v>
      </c>
      <c r="X893" t="str">
        <f>IFERROR(__xludf.DUMMYFUNCTION("""COMPUTED_VALUE"""),"Trang Province")</f>
        <v>Trang Province</v>
      </c>
      <c r="Y893" t="str">
        <f>IFERROR(__xludf.DUMMYFUNCTION("""COMPUTED_VALUE"""),"Bangkok")</f>
        <v>Bangkok</v>
      </c>
      <c r="Z893" t="str">
        <f>IFERROR(__xludf.DUMMYFUNCTION("""COMPUTED_VALUE"""),"089 645 7080")</f>
        <v>089 645 7080</v>
      </c>
      <c r="AA893" t="str">
        <f>IFERROR(__xludf.DUMMYFUNCTION("""COMPUTED_VALUE"""),"Sugunya Yuttimi (Mother)")</f>
        <v>Sugunya Yuttimi (Mother)</v>
      </c>
      <c r="AB893" t="str">
        <f>IFERROR(__xludf.DUMMYFUNCTION("""COMPUTED_VALUE"""),"porntidayuttimi@airasia.com")</f>
        <v>porntidayuttimi@airasia.com</v>
      </c>
    </row>
    <row r="894">
      <c r="A894">
        <f>IFERROR(__xludf.DUMMYFUNCTION("""COMPUTED_VALUE"""),1022218.0)</f>
        <v>1022218</v>
      </c>
      <c r="B894" t="str">
        <f>IFERROR(__xludf.DUMMYFUNCTION("""COMPUTED_VALUE"""),"Ms.")</f>
        <v>Ms.</v>
      </c>
      <c r="C894" t="str">
        <f>IFERROR(__xludf.DUMMYFUNCTION("""COMPUTED_VALUE"""),"Pimchai")</f>
        <v>Pimchai</v>
      </c>
      <c r="D894" t="str">
        <f>IFERROR(__xludf.DUMMYFUNCTION("""COMPUTED_VALUE"""),"Supachaiyakij")</f>
        <v>Supachaiyakij</v>
      </c>
      <c r="E894" t="str">
        <f>IFERROR(__xludf.DUMMYFUNCTION("""COMPUTED_VALUE"""),"Pimchai Supachaiyakij")</f>
        <v>Pimchai Supachaiyakij</v>
      </c>
      <c r="F894" t="str">
        <f>IFERROR(__xludf.DUMMYFUNCTION("""COMPUTED_VALUE"""),"นางสาว")</f>
        <v>นางสาว</v>
      </c>
      <c r="G894" t="str">
        <f>IFERROR(__xludf.DUMMYFUNCTION("""COMPUTED_VALUE"""),"พิมพ์ฉาย")</f>
        <v>พิมพ์ฉาย</v>
      </c>
      <c r="H894" t="str">
        <f>IFERROR(__xludf.DUMMYFUNCTION("""COMPUTED_VALUE"""),"สุภาไชยกิจ")</f>
        <v>สุภาไชยกิจ</v>
      </c>
      <c r="I894" t="str">
        <f>IFERROR(__xludf.DUMMYFUNCTION("""COMPUTED_VALUE"""),"พิมพ์ฉาย สุภาไชยกิจ")</f>
        <v>พิมพ์ฉาย สุภาไชยกิจ</v>
      </c>
      <c r="J894" t="str">
        <f>IFERROR(__xludf.DUMMYFUNCTION("""COMPUTED_VALUE"""),"ทิพย์/Tip")</f>
        <v>ทิพย์/Tip</v>
      </c>
      <c r="K894" t="str">
        <f>IFERROR(__xludf.DUMMYFUNCTION("""COMPUTED_VALUE"""),"Cabin Crew")</f>
        <v>Cabin Crew</v>
      </c>
      <c r="L894" t="str">
        <f>IFERROR(__xludf.DUMMYFUNCTION("""COMPUTED_VALUE"""),"DMK")</f>
        <v>DMK</v>
      </c>
      <c r="M894" s="145" t="str">
        <f>IFERROR(__xludf.DUMMYFUNCTION("""COMPUTED_VALUE"""),"Nhui Home")</f>
        <v>Nhui Home</v>
      </c>
      <c r="N894" t="str">
        <f>IFERROR(__xludf.DUMMYFUNCTION("""COMPUTED_VALUE"""),"Active")</f>
        <v>Active</v>
      </c>
      <c r="P894" s="143">
        <f>IFERROR(__xludf.DUMMYFUNCTION("""COMPUTED_VALUE"""),32397.0)</f>
        <v>32397</v>
      </c>
      <c r="Q894" s="146" t="str">
        <f>IFERROR(__xludf.DUMMYFUNCTION("""COMPUTED_VALUE"""),"081-705-1933")</f>
        <v>081-705-1933</v>
      </c>
      <c r="R894" s="147" t="str">
        <f>IFERROR(__xludf.DUMMYFUNCTION("""COMPUTED_VALUE"""),"1739900-16-6835")</f>
        <v>1739900-16-6835</v>
      </c>
      <c r="S894" t="str">
        <f>IFERROR(__xludf.DUMMYFUNCTION("""COMPUTED_VALUE"""),"AC2616211")</f>
        <v>AC2616211</v>
      </c>
      <c r="T894" s="148">
        <f>IFERROR(__xludf.DUMMYFUNCTION("""COMPUTED_VALUE"""),44539.0)</f>
        <v>44539</v>
      </c>
      <c r="U894" s="148">
        <f>IFERROR(__xludf.DUMMYFUNCTION("""COMPUTED_VALUE"""),48190.0)</f>
        <v>48190</v>
      </c>
      <c r="V894" s="149">
        <f>IFERROR(__xludf.DUMMYFUNCTION("""COMPUTED_VALUE"""),48007.0)</f>
        <v>48007</v>
      </c>
      <c r="W894" t="str">
        <f>IFERROR(__xludf.DUMMYFUNCTION("""COMPUTED_VALUE"""),"ปลอดภัย")</f>
        <v>ปลอดภัย</v>
      </c>
      <c r="X894" t="str">
        <f>IFERROR(__xludf.DUMMYFUNCTION("""COMPUTED_VALUE"""),"Nakhon Pathom Province")</f>
        <v>Nakhon Pathom Province</v>
      </c>
      <c r="Y894" t="str">
        <f>IFERROR(__xludf.DUMMYFUNCTION("""COMPUTED_VALUE"""),"Nonthaburi")</f>
        <v>Nonthaburi</v>
      </c>
      <c r="Z894" t="str">
        <f>IFERROR(__xludf.DUMMYFUNCTION("""COMPUTED_VALUE"""),"081-875-5789")</f>
        <v>081-875-5789</v>
      </c>
      <c r="AA894" t="str">
        <f>IFERROR(__xludf.DUMMYFUNCTION("""COMPUTED_VALUE"""),"Pol.Col. Chaiyan Supachaiyakij (Father)")</f>
        <v>Pol.Col. Chaiyan Supachaiyakij (Father)</v>
      </c>
      <c r="AB894" t="str">
        <f>IFERROR(__xludf.DUMMYFUNCTION("""COMPUTED_VALUE"""),"pimchaisupachaiyakij@airasia.com")</f>
        <v>pimchaisupachaiyakij@airasia.com</v>
      </c>
    </row>
    <row r="895">
      <c r="A895">
        <f>IFERROR(__xludf.DUMMYFUNCTION("""COMPUTED_VALUE"""),1022221.0)</f>
        <v>1022221</v>
      </c>
      <c r="B895" t="str">
        <f>IFERROR(__xludf.DUMMYFUNCTION("""COMPUTED_VALUE"""),"Mr.")</f>
        <v>Mr.</v>
      </c>
      <c r="C895" t="str">
        <f>IFERROR(__xludf.DUMMYFUNCTION("""COMPUTED_VALUE"""),"Itsara")</f>
        <v>Itsara</v>
      </c>
      <c r="D895" t="str">
        <f>IFERROR(__xludf.DUMMYFUNCTION("""COMPUTED_VALUE"""),"Indrasuta")</f>
        <v>Indrasuta</v>
      </c>
      <c r="E895" t="str">
        <f>IFERROR(__xludf.DUMMYFUNCTION("""COMPUTED_VALUE"""),"Itsara Indrasuta")</f>
        <v>Itsara Indrasuta</v>
      </c>
      <c r="F895" t="str">
        <f>IFERROR(__xludf.DUMMYFUNCTION("""COMPUTED_VALUE"""),"นาย")</f>
        <v>นาย</v>
      </c>
      <c r="G895" t="str">
        <f>IFERROR(__xludf.DUMMYFUNCTION("""COMPUTED_VALUE"""),"อิสระ")</f>
        <v>อิสระ</v>
      </c>
      <c r="H895" t="str">
        <f>IFERROR(__xludf.DUMMYFUNCTION("""COMPUTED_VALUE"""),"อินทรสูต")</f>
        <v>อินทรสูต</v>
      </c>
      <c r="I895" t="str">
        <f>IFERROR(__xludf.DUMMYFUNCTION("""COMPUTED_VALUE"""),"อิสระ อินทรสูต")</f>
        <v>อิสระ อินทรสูต</v>
      </c>
      <c r="J895" t="str">
        <f>IFERROR(__xludf.DUMMYFUNCTION("""COMPUTED_VALUE"""),"ปอ/Por")</f>
        <v>ปอ/Por</v>
      </c>
      <c r="K895" t="str">
        <f>IFERROR(__xludf.DUMMYFUNCTION("""COMPUTED_VALUE"""),"Cabin Crew - CNX")</f>
        <v>Cabin Crew - CNX</v>
      </c>
      <c r="L895" t="str">
        <f>IFERROR(__xludf.DUMMYFUNCTION("""COMPUTED_VALUE"""),"CNX")</f>
        <v>CNX</v>
      </c>
      <c r="M895" s="145" t="str">
        <f>IFERROR(__xludf.DUMMYFUNCTION("""COMPUTED_VALUE"""),"Up Home")</f>
        <v>Up Home</v>
      </c>
      <c r="N895" t="str">
        <f>IFERROR(__xludf.DUMMYFUNCTION("""COMPUTED_VALUE"""),"Active")</f>
        <v>Active</v>
      </c>
      <c r="P895" s="143">
        <f>IFERROR(__xludf.DUMMYFUNCTION("""COMPUTED_VALUE"""),32975.0)</f>
        <v>32975</v>
      </c>
      <c r="Q895" s="146" t="str">
        <f>IFERROR(__xludf.DUMMYFUNCTION("""COMPUTED_VALUE"""),"063-316-5572")</f>
        <v>063-316-5572</v>
      </c>
      <c r="R895" s="147" t="str">
        <f>IFERROR(__xludf.DUMMYFUNCTION("""COMPUTED_VALUE"""),"1600100-36-7731")</f>
        <v>1600100-36-7731</v>
      </c>
      <c r="S895" t="str">
        <f>IFERROR(__xludf.DUMMYFUNCTION("""COMPUTED_VALUE"""),"AC4499639")</f>
        <v>AC4499639</v>
      </c>
      <c r="T895" s="148">
        <f>IFERROR(__xludf.DUMMYFUNCTION("""COMPUTED_VALUE"""),44988.0)</f>
        <v>44988</v>
      </c>
      <c r="U895" s="148">
        <f>IFERROR(__xludf.DUMMYFUNCTION("""COMPUTED_VALUE"""),48640.0)</f>
        <v>48640</v>
      </c>
      <c r="V895" s="149">
        <f>IFERROR(__xludf.DUMMYFUNCTION("""COMPUTED_VALUE"""),48459.0)</f>
        <v>48459</v>
      </c>
      <c r="W895" t="str">
        <f>IFERROR(__xludf.DUMMYFUNCTION("""COMPUTED_VALUE"""),"ปลอดภัย")</f>
        <v>ปลอดภัย</v>
      </c>
      <c r="X895" t="str">
        <f>IFERROR(__xludf.DUMMYFUNCTION("""COMPUTED_VALUE"""),"Nakhon Sawan Province")</f>
        <v>Nakhon Sawan Province</v>
      </c>
      <c r="Y895" t="str">
        <f>IFERROR(__xludf.DUMMYFUNCTION("""COMPUTED_VALUE"""),"Bangkok")</f>
        <v>Bangkok</v>
      </c>
      <c r="Z895" t="str">
        <f>IFERROR(__xludf.DUMMYFUNCTION("""COMPUTED_VALUE"""),"086 937 6912")</f>
        <v>086 937 6912</v>
      </c>
      <c r="AA895" t="str">
        <f>IFERROR(__xludf.DUMMYFUNCTION("""COMPUTED_VALUE"""),"Rujirat Indrasuta (Mother)")</f>
        <v>Rujirat Indrasuta (Mother)</v>
      </c>
      <c r="AB895" t="str">
        <f>IFERROR(__xludf.DUMMYFUNCTION("""COMPUTED_VALUE"""),"itsaraindrasuta@airasia.com")</f>
        <v>itsaraindrasuta@airasia.com</v>
      </c>
    </row>
    <row r="896">
      <c r="A896">
        <f>IFERROR(__xludf.DUMMYFUNCTION("""COMPUTED_VALUE"""),1022222.0)</f>
        <v>1022222</v>
      </c>
      <c r="B896" t="str">
        <f>IFERROR(__xludf.DUMMYFUNCTION("""COMPUTED_VALUE"""),"Mr.")</f>
        <v>Mr.</v>
      </c>
      <c r="C896" t="str">
        <f>IFERROR(__xludf.DUMMYFUNCTION("""COMPUTED_VALUE"""),"Songboon")</f>
        <v>Songboon</v>
      </c>
      <c r="D896" t="str">
        <f>IFERROR(__xludf.DUMMYFUNCTION("""COMPUTED_VALUE"""),"Kiatchaweepan")</f>
        <v>Kiatchaweepan</v>
      </c>
      <c r="E896" t="str">
        <f>IFERROR(__xludf.DUMMYFUNCTION("""COMPUTED_VALUE"""),"Songboon Kiatchaweepan")</f>
        <v>Songboon Kiatchaweepan</v>
      </c>
      <c r="F896" t="str">
        <f>IFERROR(__xludf.DUMMYFUNCTION("""COMPUTED_VALUE"""),"นาย")</f>
        <v>นาย</v>
      </c>
      <c r="G896" t="str">
        <f>IFERROR(__xludf.DUMMYFUNCTION("""COMPUTED_VALUE"""),"ทรงบุญ")</f>
        <v>ทรงบุญ</v>
      </c>
      <c r="H896" t="str">
        <f>IFERROR(__xludf.DUMMYFUNCTION("""COMPUTED_VALUE"""),"เกียรติฉวีพรรณ")</f>
        <v>เกียรติฉวีพรรณ</v>
      </c>
      <c r="I896" t="str">
        <f>IFERROR(__xludf.DUMMYFUNCTION("""COMPUTED_VALUE"""),"ทรงบุญ เกียรติฉวีพรรณ")</f>
        <v>ทรงบุญ เกียรติฉวีพรรณ</v>
      </c>
      <c r="J896" t="str">
        <f>IFERROR(__xludf.DUMMYFUNCTION("""COMPUTED_VALUE"""),"ไม้/Maii")</f>
        <v>ไม้/Maii</v>
      </c>
      <c r="K896" t="str">
        <f>IFERROR(__xludf.DUMMYFUNCTION("""COMPUTED_VALUE"""),"Cabin Crew")</f>
        <v>Cabin Crew</v>
      </c>
      <c r="L896" t="str">
        <f>IFERROR(__xludf.DUMMYFUNCTION("""COMPUTED_VALUE"""),"DMK")</f>
        <v>DMK</v>
      </c>
      <c r="M896" s="145" t="str">
        <f>IFERROR(__xludf.DUMMYFUNCTION("""COMPUTED_VALUE"""),"Por+ Home")</f>
        <v>Por+ Home</v>
      </c>
      <c r="N896" t="str">
        <f>IFERROR(__xludf.DUMMYFUNCTION("""COMPUTED_VALUE"""),"Active")</f>
        <v>Active</v>
      </c>
      <c r="P896" s="143">
        <f>IFERROR(__xludf.DUMMYFUNCTION("""COMPUTED_VALUE"""),32847.0)</f>
        <v>32847</v>
      </c>
      <c r="Q896" s="146" t="str">
        <f>IFERROR(__xludf.DUMMYFUNCTION("""COMPUTED_VALUE"""),"090-987-9928")</f>
        <v>090-987-9928</v>
      </c>
      <c r="R896" s="147" t="str">
        <f>IFERROR(__xludf.DUMMYFUNCTION("""COMPUTED_VALUE"""),"1219900-23-4134")</f>
        <v>1219900-23-4134</v>
      </c>
      <c r="S896" t="str">
        <f>IFERROR(__xludf.DUMMYFUNCTION("""COMPUTED_VALUE"""),"AC3836628")</f>
        <v>AC3836628</v>
      </c>
      <c r="T896" s="148">
        <f>IFERROR(__xludf.DUMMYFUNCTION("""COMPUTED_VALUE"""),44788.0)</f>
        <v>44788</v>
      </c>
      <c r="U896" s="148">
        <f>IFERROR(__xludf.DUMMYFUNCTION("""COMPUTED_VALUE"""),48440.0)</f>
        <v>48440</v>
      </c>
      <c r="V896" s="149">
        <f>IFERROR(__xludf.DUMMYFUNCTION("""COMPUTED_VALUE"""),48258.0)</f>
        <v>48258</v>
      </c>
      <c r="W896" t="str">
        <f>IFERROR(__xludf.DUMMYFUNCTION("""COMPUTED_VALUE"""),"ปลอดภัย")</f>
        <v>ปลอดภัย</v>
      </c>
      <c r="X896" t="str">
        <f>IFERROR(__xludf.DUMMYFUNCTION("""COMPUTED_VALUE"""),"Rayong Province")</f>
        <v>Rayong Province</v>
      </c>
      <c r="Y896" t="str">
        <f>IFERROR(__xludf.DUMMYFUNCTION("""COMPUTED_VALUE"""),"Bangkok")</f>
        <v>Bangkok</v>
      </c>
      <c r="Z896" t="str">
        <f>IFERROR(__xludf.DUMMYFUNCTION("""COMPUTED_VALUE"""),"096-818-8586")</f>
        <v>096-818-8586</v>
      </c>
      <c r="AA896" t="str">
        <f>IFERROR(__xludf.DUMMYFUNCTION("""COMPUTED_VALUE"""),"Krongkaew Kiatchaweepan (Sister)")</f>
        <v>Krongkaew Kiatchaweepan (Sister)</v>
      </c>
      <c r="AB896" t="str">
        <f>IFERROR(__xludf.DUMMYFUNCTION("""COMPUTED_VALUE"""),"songboonkiatchaweep@airasia.com")</f>
        <v>songboonkiatchaweep@airasia.com</v>
      </c>
    </row>
    <row r="897">
      <c r="A897">
        <f>IFERROR(__xludf.DUMMYFUNCTION("""COMPUTED_VALUE"""),1022223.0)</f>
        <v>1022223</v>
      </c>
      <c r="B897" t="str">
        <f>IFERROR(__xludf.DUMMYFUNCTION("""COMPUTED_VALUE"""),"Ms.")</f>
        <v>Ms.</v>
      </c>
      <c r="C897" t="str">
        <f>IFERROR(__xludf.DUMMYFUNCTION("""COMPUTED_VALUE"""),"Nantapak")</f>
        <v>Nantapak</v>
      </c>
      <c r="D897" t="str">
        <f>IFERROR(__xludf.DUMMYFUNCTION("""COMPUTED_VALUE"""),"Benjasiriporn")</f>
        <v>Benjasiriporn</v>
      </c>
      <c r="E897" t="str">
        <f>IFERROR(__xludf.DUMMYFUNCTION("""COMPUTED_VALUE"""),"Nantapak Benjasiriporn")</f>
        <v>Nantapak Benjasiriporn</v>
      </c>
      <c r="F897" t="str">
        <f>IFERROR(__xludf.DUMMYFUNCTION("""COMPUTED_VALUE"""),"นางสาว")</f>
        <v>นางสาว</v>
      </c>
      <c r="G897" t="str">
        <f>IFERROR(__xludf.DUMMYFUNCTION("""COMPUTED_VALUE"""),"นันทภัค")</f>
        <v>นันทภัค</v>
      </c>
      <c r="H897" t="str">
        <f>IFERROR(__xludf.DUMMYFUNCTION("""COMPUTED_VALUE"""),"เบญจสิริพร")</f>
        <v>เบญจสิริพร</v>
      </c>
      <c r="I897" t="str">
        <f>IFERROR(__xludf.DUMMYFUNCTION("""COMPUTED_VALUE"""),"นันทภัค เบญจสิริพร")</f>
        <v>นันทภัค เบญจสิริพร</v>
      </c>
      <c r="J897" t="str">
        <f>IFERROR(__xludf.DUMMYFUNCTION("""COMPUTED_VALUE"""),"กิ๊บ/Gib")</f>
        <v>กิ๊บ/Gib</v>
      </c>
      <c r="K897" t="str">
        <f>IFERROR(__xludf.DUMMYFUNCTION("""COMPUTED_VALUE"""),"Senior Cabin Crew")</f>
        <v>Senior Cabin Crew</v>
      </c>
      <c r="L897" t="str">
        <f>IFERROR(__xludf.DUMMYFUNCTION("""COMPUTED_VALUE"""),"DMK")</f>
        <v>DMK</v>
      </c>
      <c r="M897" s="145" t="str">
        <f>IFERROR(__xludf.DUMMYFUNCTION("""COMPUTED_VALUE"""),"Por+ Home")</f>
        <v>Por+ Home</v>
      </c>
      <c r="N897" t="str">
        <f>IFERROR(__xludf.DUMMYFUNCTION("""COMPUTED_VALUE"""),"Active")</f>
        <v>Active</v>
      </c>
      <c r="P897" s="143">
        <f>IFERROR(__xludf.DUMMYFUNCTION("""COMPUTED_VALUE"""),33305.0)</f>
        <v>33305</v>
      </c>
      <c r="Q897" s="146" t="str">
        <f>IFERROR(__xludf.DUMMYFUNCTION("""COMPUTED_VALUE"""),"090-979-7174")</f>
        <v>090-979-7174</v>
      </c>
      <c r="R897" s="147" t="str">
        <f>IFERROR(__xludf.DUMMYFUNCTION("""COMPUTED_VALUE"""),"1100800-70-5618")</f>
        <v>1100800-70-5618</v>
      </c>
      <c r="S897" t="str">
        <f>IFERROR(__xludf.DUMMYFUNCTION("""COMPUTED_VALUE"""),"AC4486397")</f>
        <v>AC4486397</v>
      </c>
      <c r="T897" s="148">
        <f>IFERROR(__xludf.DUMMYFUNCTION("""COMPUTED_VALUE"""),44981.0)</f>
        <v>44981</v>
      </c>
      <c r="U897" s="148">
        <f>IFERROR(__xludf.DUMMYFUNCTION("""COMPUTED_VALUE"""),48633.0)</f>
        <v>48633</v>
      </c>
      <c r="V897" s="149">
        <f>IFERROR(__xludf.DUMMYFUNCTION("""COMPUTED_VALUE"""),48449.0)</f>
        <v>48449</v>
      </c>
      <c r="W897" t="str">
        <f>IFERROR(__xludf.DUMMYFUNCTION("""COMPUTED_VALUE"""),"ปลอดภัย")</f>
        <v>ปลอดภัย</v>
      </c>
      <c r="X897" t="str">
        <f>IFERROR(__xludf.DUMMYFUNCTION("""COMPUTED_VALUE"""),"Bangkok")</f>
        <v>Bangkok</v>
      </c>
      <c r="Y897" t="str">
        <f>IFERROR(__xludf.DUMMYFUNCTION("""COMPUTED_VALUE"""),"Bangkok")</f>
        <v>Bangkok</v>
      </c>
      <c r="Z897" t="str">
        <f>IFERROR(__xludf.DUMMYFUNCTION("""COMPUTED_VALUE"""),"081-485-9189")</f>
        <v>081-485-9189</v>
      </c>
      <c r="AA897" t="str">
        <f>IFERROR(__xludf.DUMMYFUNCTION("""COMPUTED_VALUE"""),"Bunnapat Benjasiriporn (Mother)")</f>
        <v>Bunnapat Benjasiriporn (Mother)</v>
      </c>
      <c r="AB897" t="str">
        <f>IFERROR(__xludf.DUMMYFUNCTION("""COMPUTED_VALUE"""),"nantapakbenjasiripo@airasia.com")</f>
        <v>nantapakbenjasiripo@airasia.com</v>
      </c>
    </row>
    <row r="898">
      <c r="A898">
        <f>IFERROR(__xludf.DUMMYFUNCTION("""COMPUTED_VALUE"""),1022226.0)</f>
        <v>1022226</v>
      </c>
      <c r="B898" t="str">
        <f>IFERROR(__xludf.DUMMYFUNCTION("""COMPUTED_VALUE"""),"Ms.")</f>
        <v>Ms.</v>
      </c>
      <c r="C898" t="str">
        <f>IFERROR(__xludf.DUMMYFUNCTION("""COMPUTED_VALUE"""),"Janrawee")</f>
        <v>Janrawee</v>
      </c>
      <c r="D898" t="str">
        <f>IFERROR(__xludf.DUMMYFUNCTION("""COMPUTED_VALUE"""),"Peerapand")</f>
        <v>Peerapand</v>
      </c>
      <c r="E898" t="str">
        <f>IFERROR(__xludf.DUMMYFUNCTION("""COMPUTED_VALUE"""),"Janrawee Peerapand")</f>
        <v>Janrawee Peerapand</v>
      </c>
      <c r="F898" t="str">
        <f>IFERROR(__xludf.DUMMYFUNCTION("""COMPUTED_VALUE"""),"นางสาว")</f>
        <v>นางสาว</v>
      </c>
      <c r="G898" t="str">
        <f>IFERROR(__xludf.DUMMYFUNCTION("""COMPUTED_VALUE"""),"จันทร์รวี")</f>
        <v>จันทร์รวี</v>
      </c>
      <c r="H898" t="str">
        <f>IFERROR(__xludf.DUMMYFUNCTION("""COMPUTED_VALUE"""),"พีรพันธุ์")</f>
        <v>พีรพันธุ์</v>
      </c>
      <c r="I898" t="str">
        <f>IFERROR(__xludf.DUMMYFUNCTION("""COMPUTED_VALUE"""),"จันทร์รวี พีรพันธุ์")</f>
        <v>จันทร์รวี พีรพันธุ์</v>
      </c>
      <c r="J898" t="str">
        <f>IFERROR(__xludf.DUMMYFUNCTION("""COMPUTED_VALUE"""),"เฟิร์น/Fern")</f>
        <v>เฟิร์น/Fern</v>
      </c>
      <c r="K898" t="str">
        <f>IFERROR(__xludf.DUMMYFUNCTION("""COMPUTED_VALUE"""),"Cabin Crew - BKK")</f>
        <v>Cabin Crew - BKK</v>
      </c>
      <c r="L898" t="str">
        <f>IFERROR(__xludf.DUMMYFUNCTION("""COMPUTED_VALUE"""),"BKK")</f>
        <v>BKK</v>
      </c>
      <c r="M898" s="145" t="str">
        <f>IFERROR(__xludf.DUMMYFUNCTION("""COMPUTED_VALUE"""),"Nhui Home")</f>
        <v>Nhui Home</v>
      </c>
      <c r="N898" t="str">
        <f>IFERROR(__xludf.DUMMYFUNCTION("""COMPUTED_VALUE"""),"Active")</f>
        <v>Active</v>
      </c>
      <c r="P898" s="143">
        <f>IFERROR(__xludf.DUMMYFUNCTION("""COMPUTED_VALUE"""),33543.0)</f>
        <v>33543</v>
      </c>
      <c r="Q898" s="146" t="str">
        <f>IFERROR(__xludf.DUMMYFUNCTION("""COMPUTED_VALUE"""),"08-5055907-8")</f>
        <v>08-5055907-8</v>
      </c>
      <c r="R898" s="147" t="str">
        <f>IFERROR(__xludf.DUMMYFUNCTION("""COMPUTED_VALUE"""),"1101401-91-7981")</f>
        <v>1101401-91-7981</v>
      </c>
      <c r="S898" t="str">
        <f>IFERROR(__xludf.DUMMYFUNCTION("""COMPUTED_VALUE"""),"AC3838611")</f>
        <v>AC3838611</v>
      </c>
      <c r="T898" s="148">
        <f>IFERROR(__xludf.DUMMYFUNCTION("""COMPUTED_VALUE"""),44788.0)</f>
        <v>44788</v>
      </c>
      <c r="U898" s="148">
        <f>IFERROR(__xludf.DUMMYFUNCTION("""COMPUTED_VALUE"""),46613.0)</f>
        <v>46613</v>
      </c>
      <c r="V898" s="149">
        <f>IFERROR(__xludf.DUMMYFUNCTION("""COMPUTED_VALUE"""),46432.0)</f>
        <v>46432</v>
      </c>
      <c r="W898" t="str">
        <f>IFERROR(__xludf.DUMMYFUNCTION("""COMPUTED_VALUE"""),"ปลอดภัย")</f>
        <v>ปลอดภัย</v>
      </c>
      <c r="X898" t="str">
        <f>IFERROR(__xludf.DUMMYFUNCTION("""COMPUTED_VALUE"""),"Bangkok")</f>
        <v>Bangkok</v>
      </c>
      <c r="Y898" t="str">
        <f>IFERROR(__xludf.DUMMYFUNCTION("""COMPUTED_VALUE"""),"Bangkok")</f>
        <v>Bangkok</v>
      </c>
      <c r="Z898" t="str">
        <f>IFERROR(__xludf.DUMMYFUNCTION("""COMPUTED_VALUE"""),"094-495-5305")</f>
        <v>094-495-5305</v>
      </c>
      <c r="AA898" t="str">
        <f>IFERROR(__xludf.DUMMYFUNCTION("""COMPUTED_VALUE"""),"Chanvimol Peerapand (Mother)")</f>
        <v>Chanvimol Peerapand (Mother)</v>
      </c>
      <c r="AB898" t="str">
        <f>IFERROR(__xludf.DUMMYFUNCTION("""COMPUTED_VALUE"""),"janraweepeerapand@airasia.com")</f>
        <v>janraweepeerapand@airasia.com</v>
      </c>
    </row>
    <row r="899">
      <c r="A899">
        <f>IFERROR(__xludf.DUMMYFUNCTION("""COMPUTED_VALUE"""),1022228.0)</f>
        <v>1022228</v>
      </c>
      <c r="B899" t="str">
        <f>IFERROR(__xludf.DUMMYFUNCTION("""COMPUTED_VALUE"""),"Ms.")</f>
        <v>Ms.</v>
      </c>
      <c r="C899" t="str">
        <f>IFERROR(__xludf.DUMMYFUNCTION("""COMPUTED_VALUE"""),"Nawaporn")</f>
        <v>Nawaporn</v>
      </c>
      <c r="D899" t="str">
        <f>IFERROR(__xludf.DUMMYFUNCTION("""COMPUTED_VALUE"""),"Phruksaraj")</f>
        <v>Phruksaraj</v>
      </c>
      <c r="E899" t="str">
        <f>IFERROR(__xludf.DUMMYFUNCTION("""COMPUTED_VALUE"""),"Nawaporn Phruksaraj")</f>
        <v>Nawaporn Phruksaraj</v>
      </c>
      <c r="F899" t="str">
        <f>IFERROR(__xludf.DUMMYFUNCTION("""COMPUTED_VALUE"""),"นางสาว")</f>
        <v>นางสาว</v>
      </c>
      <c r="G899" t="str">
        <f>IFERROR(__xludf.DUMMYFUNCTION("""COMPUTED_VALUE"""),"นวพร")</f>
        <v>นวพร</v>
      </c>
      <c r="H899" t="str">
        <f>IFERROR(__xludf.DUMMYFUNCTION("""COMPUTED_VALUE"""),"พฤกษราช")</f>
        <v>พฤกษราช</v>
      </c>
      <c r="I899" t="str">
        <f>IFERROR(__xludf.DUMMYFUNCTION("""COMPUTED_VALUE"""),"นวพร พฤกษราช")</f>
        <v>นวพร พฤกษราช</v>
      </c>
      <c r="J899" t="str">
        <f>IFERROR(__xludf.DUMMYFUNCTION("""COMPUTED_VALUE"""),"พลอย/Ploy")</f>
        <v>พลอย/Ploy</v>
      </c>
      <c r="K899" t="str">
        <f>IFERROR(__xludf.DUMMYFUNCTION("""COMPUTED_VALUE"""),"Cabin Crew")</f>
        <v>Cabin Crew</v>
      </c>
      <c r="L899" t="str">
        <f>IFERROR(__xludf.DUMMYFUNCTION("""COMPUTED_VALUE"""),"DMK")</f>
        <v>DMK</v>
      </c>
      <c r="M899" s="145" t="str">
        <f>IFERROR(__xludf.DUMMYFUNCTION("""COMPUTED_VALUE"""),"Namfon Home")</f>
        <v>Namfon Home</v>
      </c>
      <c r="N899" t="str">
        <f>IFERROR(__xludf.DUMMYFUNCTION("""COMPUTED_VALUE"""),"Active")</f>
        <v>Active</v>
      </c>
      <c r="P899" s="143">
        <f>IFERROR(__xludf.DUMMYFUNCTION("""COMPUTED_VALUE"""),33476.0)</f>
        <v>33476</v>
      </c>
      <c r="Q899" s="146" t="str">
        <f>IFERROR(__xludf.DUMMYFUNCTION("""COMPUTED_VALUE"""),"094 656 6246")</f>
        <v>094 656 6246</v>
      </c>
      <c r="R899" s="147" t="str">
        <f>IFERROR(__xludf.DUMMYFUNCTION("""COMPUTED_VALUE"""),"1-1008-00729-50-9")</f>
        <v>1-1008-00729-50-9</v>
      </c>
      <c r="S899" t="str">
        <f>IFERROR(__xludf.DUMMYFUNCTION("""COMPUTED_VALUE"""),"AC2505487")</f>
        <v>AC2505487</v>
      </c>
      <c r="T899" s="148">
        <f>IFERROR(__xludf.DUMMYFUNCTION("""COMPUTED_VALUE"""),44565.0)</f>
        <v>44565</v>
      </c>
      <c r="U899" s="148">
        <f>IFERROR(__xludf.DUMMYFUNCTION("""COMPUTED_VALUE"""),48216.0)</f>
        <v>48216</v>
      </c>
      <c r="V899" s="149">
        <f>IFERROR(__xludf.DUMMYFUNCTION("""COMPUTED_VALUE"""),48032.0)</f>
        <v>48032</v>
      </c>
      <c r="W899" t="str">
        <f>IFERROR(__xludf.DUMMYFUNCTION("""COMPUTED_VALUE"""),"ปลอดภัย")</f>
        <v>ปลอดภัย</v>
      </c>
      <c r="X899" t="str">
        <f>IFERROR(__xludf.DUMMYFUNCTION("""COMPUTED_VALUE"""),"Bangkok")</f>
        <v>Bangkok</v>
      </c>
      <c r="Y899" t="str">
        <f>IFERROR(__xludf.DUMMYFUNCTION("""COMPUTED_VALUE"""),"Bangkok")</f>
        <v>Bangkok</v>
      </c>
      <c r="Z899" t="str">
        <f>IFERROR(__xludf.DUMMYFUNCTION("""COMPUTED_VALUE"""),"081 869 2789")</f>
        <v>081 869 2789</v>
      </c>
      <c r="AA899" t="str">
        <f>IFERROR(__xludf.DUMMYFUNCTION("""COMPUTED_VALUE"""),"Varavut Phruksaraj (Father)")</f>
        <v>Varavut Phruksaraj (Father)</v>
      </c>
      <c r="AB899" t="str">
        <f>IFERROR(__xludf.DUMMYFUNCTION("""COMPUTED_VALUE"""),"nawapornphruksaraj@airasia.com")</f>
        <v>nawapornphruksaraj@airasia.com</v>
      </c>
    </row>
    <row r="900">
      <c r="AB900" t="str">
        <f>IFERROR(__xludf.DUMMYFUNCTION("""COMPUTED_VALUE"""),"")</f>
        <v/>
      </c>
    </row>
    <row r="901">
      <c r="A901">
        <f>IFERROR(__xludf.DUMMYFUNCTION("""COMPUTED_VALUE"""),1007525.0)</f>
        <v>1007525</v>
      </c>
      <c r="B901" t="str">
        <f>IFERROR(__xludf.DUMMYFUNCTION("""COMPUTED_VALUE"""),"Ms.")</f>
        <v>Ms.</v>
      </c>
      <c r="C901" t="str">
        <f>IFERROR(__xludf.DUMMYFUNCTION("""COMPUTED_VALUE"""),"Matharapoj")</f>
        <v>Matharapoj</v>
      </c>
      <c r="D901" t="str">
        <f>IFERROR(__xludf.DUMMYFUNCTION("""COMPUTED_VALUE"""),"Daungkull")</f>
        <v>Daungkull</v>
      </c>
      <c r="E901" t="str">
        <f>IFERROR(__xludf.DUMMYFUNCTION("""COMPUTED_VALUE"""),"Matharapoj Daungkull")</f>
        <v>Matharapoj Daungkull</v>
      </c>
      <c r="F901" t="str">
        <f>IFERROR(__xludf.DUMMYFUNCTION("""COMPUTED_VALUE"""),"นางสาว")</f>
        <v>นางสาว</v>
      </c>
      <c r="G901" t="str">
        <f>IFERROR(__xludf.DUMMYFUNCTION("""COMPUTED_VALUE"""),"มธรพจน์")</f>
        <v>มธรพจน์</v>
      </c>
      <c r="H901" t="str">
        <f>IFERROR(__xludf.DUMMYFUNCTION("""COMPUTED_VALUE"""),"ด้วงกุล")</f>
        <v>ด้วงกุล</v>
      </c>
      <c r="I901" t="str">
        <f>IFERROR(__xludf.DUMMYFUNCTION("""COMPUTED_VALUE"""),"มธรพจน์ ด้วงกุล")</f>
        <v>มธรพจน์ ด้วงกุล</v>
      </c>
      <c r="J901" t="str">
        <f>IFERROR(__xludf.DUMMYFUNCTION("""COMPUTED_VALUE"""),"ออย/Oil")</f>
        <v>ออย/Oil</v>
      </c>
      <c r="K901" t="str">
        <f>IFERROR(__xludf.DUMMYFUNCTION("""COMPUTED_VALUE"""),"Cabin Crew")</f>
        <v>Cabin Crew</v>
      </c>
      <c r="L901" t="str">
        <f>IFERROR(__xludf.DUMMYFUNCTION("""COMPUTED_VALUE"""),"DMK")</f>
        <v>DMK</v>
      </c>
      <c r="M901" s="145" t="str">
        <f>IFERROR(__xludf.DUMMYFUNCTION("""COMPUTED_VALUE"""),"Por+ Home")</f>
        <v>Por+ Home</v>
      </c>
      <c r="N901" t="str">
        <f>IFERROR(__xludf.DUMMYFUNCTION("""COMPUTED_VALUE"""),"Active")</f>
        <v>Active</v>
      </c>
      <c r="P901" s="143">
        <f>IFERROR(__xludf.DUMMYFUNCTION("""COMPUTED_VALUE"""),32902.0)</f>
        <v>32902</v>
      </c>
      <c r="Q901" s="146" t="str">
        <f>IFERROR(__xludf.DUMMYFUNCTION("""COMPUTED_VALUE"""),"080-454-1177")</f>
        <v>080-454-1177</v>
      </c>
      <c r="R901" s="147" t="str">
        <f>IFERROR(__xludf.DUMMYFUNCTION("""COMPUTED_VALUE"""),"1840100-28-2611")</f>
        <v>1840100-28-2611</v>
      </c>
      <c r="S901" t="str">
        <f>IFERROR(__xludf.DUMMYFUNCTION("""COMPUTED_VALUE"""),"AC2991658")</f>
        <v>AC2991658</v>
      </c>
      <c r="T901" s="148">
        <f>IFERROR(__xludf.DUMMYFUNCTION("""COMPUTED_VALUE"""),44651.0)</f>
        <v>44651</v>
      </c>
      <c r="U901" s="148">
        <f>IFERROR(__xludf.DUMMYFUNCTION("""COMPUTED_VALUE"""),48303.0)</f>
        <v>48303</v>
      </c>
      <c r="V901" s="149">
        <f>IFERROR(__xludf.DUMMYFUNCTION("""COMPUTED_VALUE"""),48121.0)</f>
        <v>48121</v>
      </c>
      <c r="W901" t="str">
        <f>IFERROR(__xludf.DUMMYFUNCTION("""COMPUTED_VALUE"""),"ปลอดภัย")</f>
        <v>ปลอดภัย</v>
      </c>
      <c r="X901" t="str">
        <f>IFERROR(__xludf.DUMMYFUNCTION("""COMPUTED_VALUE"""),"Surat Thani Province")</f>
        <v>Surat Thani Province</v>
      </c>
      <c r="Y901" t="str">
        <f>IFERROR(__xludf.DUMMYFUNCTION("""COMPUTED_VALUE"""),"Surat Thani")</f>
        <v>Surat Thani</v>
      </c>
      <c r="Z901" t="str">
        <f>IFERROR(__xludf.DUMMYFUNCTION("""COMPUTED_VALUE"""),"081-5352126")</f>
        <v>081-5352126</v>
      </c>
      <c r="AA901" t="str">
        <f>IFERROR(__xludf.DUMMYFUNCTION("""COMPUTED_VALUE"""),"Waraporn Duangkoon (Mother)")</f>
        <v>Waraporn Duangkoon (Mother)</v>
      </c>
      <c r="AB901" t="str">
        <f>IFERROR(__xludf.DUMMYFUNCTION("""COMPUTED_VALUE"""),"matharapojd@airasia.com")</f>
        <v>matharapojd@airasia.com</v>
      </c>
    </row>
    <row r="902">
      <c r="A902">
        <f>IFERROR(__xludf.DUMMYFUNCTION("""COMPUTED_VALUE"""),1008689.0)</f>
        <v>1008689</v>
      </c>
      <c r="B902" t="str">
        <f>IFERROR(__xludf.DUMMYFUNCTION("""COMPUTED_VALUE"""),"Ms.")</f>
        <v>Ms.</v>
      </c>
      <c r="C902" t="str">
        <f>IFERROR(__xludf.DUMMYFUNCTION("""COMPUTED_VALUE"""),"Patcharee")</f>
        <v>Patcharee</v>
      </c>
      <c r="D902" t="str">
        <f>IFERROR(__xludf.DUMMYFUNCTION("""COMPUTED_VALUE"""),"Sornnuan")</f>
        <v>Sornnuan</v>
      </c>
      <c r="E902" t="str">
        <f>IFERROR(__xludf.DUMMYFUNCTION("""COMPUTED_VALUE"""),"Patcharee Sornnuan")</f>
        <v>Patcharee Sornnuan</v>
      </c>
      <c r="F902" t="str">
        <f>IFERROR(__xludf.DUMMYFUNCTION("""COMPUTED_VALUE"""),"นางสาว")</f>
        <v>นางสาว</v>
      </c>
      <c r="G902" t="str">
        <f>IFERROR(__xludf.DUMMYFUNCTION("""COMPUTED_VALUE"""),"พัชรี")</f>
        <v>พัชรี</v>
      </c>
      <c r="H902" t="str">
        <f>IFERROR(__xludf.DUMMYFUNCTION("""COMPUTED_VALUE"""),"สอนนวล")</f>
        <v>สอนนวล</v>
      </c>
      <c r="I902" t="str">
        <f>IFERROR(__xludf.DUMMYFUNCTION("""COMPUTED_VALUE"""),"พัชรี สอนนวล")</f>
        <v>พัชรี สอนนวล</v>
      </c>
      <c r="J902" t="str">
        <f>IFERROR(__xludf.DUMMYFUNCTION("""COMPUTED_VALUE"""),"มิ้ว/Milk")</f>
        <v>มิ้ว/Milk</v>
      </c>
      <c r="K902" t="str">
        <f>IFERROR(__xludf.DUMMYFUNCTION("""COMPUTED_VALUE"""),"Cabin Crew")</f>
        <v>Cabin Crew</v>
      </c>
      <c r="L902" t="str">
        <f>IFERROR(__xludf.DUMMYFUNCTION("""COMPUTED_VALUE"""),"DMK")</f>
        <v>DMK</v>
      </c>
      <c r="M902" s="145" t="str">
        <f>IFERROR(__xludf.DUMMYFUNCTION("""COMPUTED_VALUE"""),"Por+ Home")</f>
        <v>Por+ Home</v>
      </c>
      <c r="N902" t="str">
        <f>IFERROR(__xludf.DUMMYFUNCTION("""COMPUTED_VALUE"""),"Active")</f>
        <v>Active</v>
      </c>
      <c r="P902" s="143">
        <f>IFERROR(__xludf.DUMMYFUNCTION("""COMPUTED_VALUE"""),33654.0)</f>
        <v>33654</v>
      </c>
      <c r="Q902" s="146" t="str">
        <f>IFERROR(__xludf.DUMMYFUNCTION("""COMPUTED_VALUE"""),"098-103-8440")</f>
        <v>098-103-8440</v>
      </c>
      <c r="R902" s="147" t="str">
        <f>IFERROR(__xludf.DUMMYFUNCTION("""COMPUTED_VALUE"""),"1429900-14-9127")</f>
        <v>1429900-14-9127</v>
      </c>
      <c r="S902" t="str">
        <f>IFERROR(__xludf.DUMMYFUNCTION("""COMPUTED_VALUE"""),"AC3242532")</f>
        <v>AC3242532</v>
      </c>
      <c r="T902" s="148">
        <f>IFERROR(__xludf.DUMMYFUNCTION("""COMPUTED_VALUE"""),44712.0)</f>
        <v>44712</v>
      </c>
      <c r="U902" s="148">
        <f>IFERROR(__xludf.DUMMYFUNCTION("""COMPUTED_VALUE"""),48364.0)</f>
        <v>48364</v>
      </c>
      <c r="V902" s="149">
        <f>IFERROR(__xludf.DUMMYFUNCTION("""COMPUTED_VALUE"""),48182.0)</f>
        <v>48182</v>
      </c>
      <c r="W902" t="str">
        <f>IFERROR(__xludf.DUMMYFUNCTION("""COMPUTED_VALUE"""),"ปลอดภัย")</f>
        <v>ปลอดภัย</v>
      </c>
      <c r="X902" t="str">
        <f>IFERROR(__xludf.DUMMYFUNCTION("""COMPUTED_VALUE"""),"Loei Province")</f>
        <v>Loei Province</v>
      </c>
      <c r="Y902" t="str">
        <f>IFERROR(__xludf.DUMMYFUNCTION("""COMPUTED_VALUE"""),"Prathumthani")</f>
        <v>Prathumthani</v>
      </c>
      <c r="Z902" t="str">
        <f>IFERROR(__xludf.DUMMYFUNCTION("""COMPUTED_VALUE"""),"083-358-0282")</f>
        <v>083-358-0282</v>
      </c>
      <c r="AA902" t="str">
        <f>IFERROR(__xludf.DUMMYFUNCTION("""COMPUTED_VALUE"""),"Chaloemchai Sornnuan (Father)")</f>
        <v>Chaloemchai Sornnuan (Father)</v>
      </c>
      <c r="AB902" t="str">
        <f>IFERROR(__xludf.DUMMYFUNCTION("""COMPUTED_VALUE"""),"patchareeo@airasia.com")</f>
        <v>patchareeo@airasia.com</v>
      </c>
    </row>
    <row r="903">
      <c r="A903">
        <f>IFERROR(__xludf.DUMMYFUNCTION("""COMPUTED_VALUE"""),1009131.0)</f>
        <v>1009131</v>
      </c>
      <c r="B903" t="str">
        <f>IFERROR(__xludf.DUMMYFUNCTION("""COMPUTED_VALUE"""),"Mr.")</f>
        <v>Mr.</v>
      </c>
      <c r="C903" t="str">
        <f>IFERROR(__xludf.DUMMYFUNCTION("""COMPUTED_VALUE"""),"Burin")</f>
        <v>Burin</v>
      </c>
      <c r="D903" t="str">
        <f>IFERROR(__xludf.DUMMYFUNCTION("""COMPUTED_VALUE"""),"Sornnuan")</f>
        <v>Sornnuan</v>
      </c>
      <c r="E903" t="str">
        <f>IFERROR(__xludf.DUMMYFUNCTION("""COMPUTED_VALUE"""),"Burin Wongdithai")</f>
        <v>Burin Wongdithai</v>
      </c>
      <c r="F903" t="str">
        <f>IFERROR(__xludf.DUMMYFUNCTION("""COMPUTED_VALUE"""),"นาย")</f>
        <v>นาย</v>
      </c>
      <c r="G903" t="str">
        <f>IFERROR(__xludf.DUMMYFUNCTION("""COMPUTED_VALUE"""),"บุรินทร์")</f>
        <v>บุรินทร์</v>
      </c>
      <c r="H903" t="str">
        <f>IFERROR(__xludf.DUMMYFUNCTION("""COMPUTED_VALUE"""),"วงษ์ดีไทย")</f>
        <v>วงษ์ดีไทย</v>
      </c>
      <c r="I903" t="str">
        <f>IFERROR(__xludf.DUMMYFUNCTION("""COMPUTED_VALUE"""),"บุรินทร์ วงษ์ดีไทย")</f>
        <v>บุรินทร์ วงษ์ดีไทย</v>
      </c>
      <c r="J903" t="str">
        <f>IFERROR(__xludf.DUMMYFUNCTION("""COMPUTED_VALUE"""),"ใหม่/Mai")</f>
        <v>ใหม่/Mai</v>
      </c>
      <c r="K903" t="str">
        <f>IFERROR(__xludf.DUMMYFUNCTION("""COMPUTED_VALUE"""),"Cabin Crew")</f>
        <v>Cabin Crew</v>
      </c>
      <c r="L903" t="str">
        <f>IFERROR(__xludf.DUMMYFUNCTION("""COMPUTED_VALUE"""),"DMK")</f>
        <v>DMK</v>
      </c>
      <c r="M903" s="145" t="str">
        <f>IFERROR(__xludf.DUMMYFUNCTION("""COMPUTED_VALUE"""),"Toffy Home")</f>
        <v>Toffy Home</v>
      </c>
      <c r="N903" t="str">
        <f>IFERROR(__xludf.DUMMYFUNCTION("""COMPUTED_VALUE"""),"Active")</f>
        <v>Active</v>
      </c>
      <c r="P903" s="143">
        <f>IFERROR(__xludf.DUMMYFUNCTION("""COMPUTED_VALUE"""),31892.0)</f>
        <v>31892</v>
      </c>
      <c r="Q903" s="146" t="str">
        <f>IFERROR(__xludf.DUMMYFUNCTION("""COMPUTED_VALUE"""),"095-936-6942")</f>
        <v>095-936-6942</v>
      </c>
      <c r="R903" s="147" t="str">
        <f>IFERROR(__xludf.DUMMYFUNCTION("""COMPUTED_VALUE"""),"1100900-38-6760")</f>
        <v>1100900-38-6760</v>
      </c>
      <c r="S903" t="str">
        <f>IFERROR(__xludf.DUMMYFUNCTION("""COMPUTED_VALUE"""),"AC3803270")</f>
        <v>AC3803270</v>
      </c>
      <c r="T903" s="148">
        <f>IFERROR(__xludf.DUMMYFUNCTION("""COMPUTED_VALUE"""),44798.0)</f>
        <v>44798</v>
      </c>
      <c r="U903" s="148">
        <f>IFERROR(__xludf.DUMMYFUNCTION("""COMPUTED_VALUE"""),48450.0)</f>
        <v>48450</v>
      </c>
      <c r="V903" s="149">
        <f>IFERROR(__xludf.DUMMYFUNCTION("""COMPUTED_VALUE"""),48268.0)</f>
        <v>48268</v>
      </c>
      <c r="W903" t="str">
        <f>IFERROR(__xludf.DUMMYFUNCTION("""COMPUTED_VALUE"""),"ปลอดภัย")</f>
        <v>ปลอดภัย</v>
      </c>
      <c r="X903" t="str">
        <f>IFERROR(__xludf.DUMMYFUNCTION("""COMPUTED_VALUE"""),"Bangkok")</f>
        <v>Bangkok</v>
      </c>
      <c r="Y903" t="str">
        <f>IFERROR(__xludf.DUMMYFUNCTION("""COMPUTED_VALUE"""),"Bangkok")</f>
        <v>Bangkok</v>
      </c>
      <c r="Z903" t="str">
        <f>IFERROR(__xludf.DUMMYFUNCTION("""COMPUTED_VALUE"""),"081-832-3751")</f>
        <v>081-832-3751</v>
      </c>
      <c r="AA903" t="str">
        <f>IFERROR(__xludf.DUMMYFUNCTION("""COMPUTED_VALUE"""),"Wiroj Wongdeethai (Father)")</f>
        <v>Wiroj Wongdeethai (Father)</v>
      </c>
      <c r="AB903" t="str">
        <f>IFERROR(__xludf.DUMMYFUNCTION("""COMPUTED_VALUE"""),"burinw@airasia.com")</f>
        <v>burinw@airasia.com</v>
      </c>
    </row>
    <row r="904">
      <c r="A904">
        <f>IFERROR(__xludf.DUMMYFUNCTION("""COMPUTED_VALUE"""),1022213.0)</f>
        <v>1022213</v>
      </c>
      <c r="B904" t="str">
        <f>IFERROR(__xludf.DUMMYFUNCTION("""COMPUTED_VALUE"""),"Mr.")</f>
        <v>Mr.</v>
      </c>
      <c r="C904" t="str">
        <f>IFERROR(__xludf.DUMMYFUNCTION("""COMPUTED_VALUE"""),"Puripak")</f>
        <v>Puripak</v>
      </c>
      <c r="D904" t="str">
        <f>IFERROR(__xludf.DUMMYFUNCTION("""COMPUTED_VALUE"""),"Pensawat")</f>
        <v>Pensawat</v>
      </c>
      <c r="E904" t="str">
        <f>IFERROR(__xludf.DUMMYFUNCTION("""COMPUTED_VALUE"""),"Puripak Pensawat")</f>
        <v>Puripak Pensawat</v>
      </c>
      <c r="F904" t="str">
        <f>IFERROR(__xludf.DUMMYFUNCTION("""COMPUTED_VALUE"""),"นาย")</f>
        <v>นาย</v>
      </c>
      <c r="G904" t="str">
        <f>IFERROR(__xludf.DUMMYFUNCTION("""COMPUTED_VALUE"""),"ภูริภัค")</f>
        <v>ภูริภัค</v>
      </c>
      <c r="H904" t="str">
        <f>IFERROR(__xludf.DUMMYFUNCTION("""COMPUTED_VALUE"""),"เพ็ญสวัสดิ์")</f>
        <v>เพ็ญสวัสดิ์</v>
      </c>
      <c r="I904" t="str">
        <f>IFERROR(__xludf.DUMMYFUNCTION("""COMPUTED_VALUE"""),"ภูริภัค เพ็ญสวัสดิ์")</f>
        <v>ภูริภัค เพ็ญสวัสดิ์</v>
      </c>
      <c r="J904" t="str">
        <f>IFERROR(__xludf.DUMMYFUNCTION("""COMPUTED_VALUE"""),"ตาว/Town")</f>
        <v>ตาว/Town</v>
      </c>
      <c r="K904" t="str">
        <f>IFERROR(__xludf.DUMMYFUNCTION("""COMPUTED_VALUE"""),"Cabin Crew")</f>
        <v>Cabin Crew</v>
      </c>
      <c r="L904" t="str">
        <f>IFERROR(__xludf.DUMMYFUNCTION("""COMPUTED_VALUE"""),"DMK")</f>
        <v>DMK</v>
      </c>
      <c r="M904" s="145" t="str">
        <f>IFERROR(__xludf.DUMMYFUNCTION("""COMPUTED_VALUE"""),"Um Home")</f>
        <v>Um Home</v>
      </c>
      <c r="N904" t="str">
        <f>IFERROR(__xludf.DUMMYFUNCTION("""COMPUTED_VALUE"""),"Active")</f>
        <v>Active</v>
      </c>
      <c r="P904" s="143">
        <f>IFERROR(__xludf.DUMMYFUNCTION("""COMPUTED_VALUE"""),34545.0)</f>
        <v>34545</v>
      </c>
      <c r="Q904" s="146" t="str">
        <f>IFERROR(__xludf.DUMMYFUNCTION("""COMPUTED_VALUE"""),"081-639-6529")</f>
        <v>081-639-6529</v>
      </c>
      <c r="R904" s="147" t="str">
        <f>IFERROR(__xludf.DUMMYFUNCTION("""COMPUTED_VALUE"""),"1103701-41-0817")</f>
        <v>1103701-41-0817</v>
      </c>
      <c r="S904" t="str">
        <f>IFERROR(__xludf.DUMMYFUNCTION("""COMPUTED_VALUE"""),"AC3374131")</f>
        <v>AC3374131</v>
      </c>
      <c r="T904" s="148">
        <f>IFERROR(__xludf.DUMMYFUNCTION("""COMPUTED_VALUE"""),44728.0)</f>
        <v>44728</v>
      </c>
      <c r="U904" s="148">
        <f>IFERROR(__xludf.DUMMYFUNCTION("""COMPUTED_VALUE"""),48380.0)</f>
        <v>48380</v>
      </c>
      <c r="V904" s="149">
        <f>IFERROR(__xludf.DUMMYFUNCTION("""COMPUTED_VALUE"""),48197.0)</f>
        <v>48197</v>
      </c>
      <c r="W904" t="str">
        <f>IFERROR(__xludf.DUMMYFUNCTION("""COMPUTED_VALUE"""),"ปลอดภัย")</f>
        <v>ปลอดภัย</v>
      </c>
      <c r="X904" t="str">
        <f>IFERROR(__xludf.DUMMYFUNCTION("""COMPUTED_VALUE"""),"Bangkok")</f>
        <v>Bangkok</v>
      </c>
      <c r="Y904" t="str">
        <f>IFERROR(__xludf.DUMMYFUNCTION("""COMPUTED_VALUE"""),"Nonthaburi")</f>
        <v>Nonthaburi</v>
      </c>
      <c r="Z904" t="str">
        <f>IFERROR(__xludf.DUMMYFUNCTION("""COMPUTED_VALUE"""),"085-917-4697")</f>
        <v>085-917-4697</v>
      </c>
      <c r="AA904" t="str">
        <f>IFERROR(__xludf.DUMMYFUNCTION("""COMPUTED_VALUE"""),"Jutarath Pensawat (Mother)")</f>
        <v>Jutarath Pensawat (Mother)</v>
      </c>
      <c r="AB904" t="str">
        <f>IFERROR(__xludf.DUMMYFUNCTION("""COMPUTED_VALUE"""),"puripakpensawat@airasia.com")</f>
        <v>puripakpensawat@airasia.com</v>
      </c>
    </row>
    <row r="905">
      <c r="A905">
        <f>IFERROR(__xludf.DUMMYFUNCTION("""COMPUTED_VALUE"""),1022658.0)</f>
        <v>1022658</v>
      </c>
      <c r="B905" t="str">
        <f>IFERROR(__xludf.DUMMYFUNCTION("""COMPUTED_VALUE"""),"Ms.")</f>
        <v>Ms.</v>
      </c>
      <c r="C905" t="str">
        <f>IFERROR(__xludf.DUMMYFUNCTION("""COMPUTED_VALUE"""),"Hariphat")</f>
        <v>Hariphat</v>
      </c>
      <c r="D905" t="str">
        <f>IFERROR(__xludf.DUMMYFUNCTION("""COMPUTED_VALUE"""),"Suphangcharus")</f>
        <v>Suphangcharus</v>
      </c>
      <c r="E905" t="str">
        <f>IFERROR(__xludf.DUMMYFUNCTION("""COMPUTED_VALUE"""),"Hariphat Suphangcharus")</f>
        <v>Hariphat Suphangcharus</v>
      </c>
      <c r="F905" t="str">
        <f>IFERROR(__xludf.DUMMYFUNCTION("""COMPUTED_VALUE"""),"นางสาว")</f>
        <v>นางสาว</v>
      </c>
      <c r="G905" t="str">
        <f>IFERROR(__xludf.DUMMYFUNCTION("""COMPUTED_VALUE"""),"หริภัทร")</f>
        <v>หริภัทร</v>
      </c>
      <c r="H905" t="str">
        <f>IFERROR(__xludf.DUMMYFUNCTION("""COMPUTED_VALUE"""),"ศุภางค์จรัส")</f>
        <v>ศุภางค์จรัส</v>
      </c>
      <c r="I905" t="str">
        <f>IFERROR(__xludf.DUMMYFUNCTION("""COMPUTED_VALUE"""),"หริภัทร ศุภางค์จรัส")</f>
        <v>หริภัทร ศุภางค์จรัส</v>
      </c>
      <c r="J905" t="str">
        <f>IFERROR(__xludf.DUMMYFUNCTION("""COMPUTED_VALUE"""),"ตาว/Taw")</f>
        <v>ตาว/Taw</v>
      </c>
      <c r="K905" t="str">
        <f>IFERROR(__xludf.DUMMYFUNCTION("""COMPUTED_VALUE"""),"Cabin Crew")</f>
        <v>Cabin Crew</v>
      </c>
      <c r="L905" t="str">
        <f>IFERROR(__xludf.DUMMYFUNCTION("""COMPUTED_VALUE"""),"DMK")</f>
        <v>DMK</v>
      </c>
      <c r="M905" s="145" t="str">
        <f>IFERROR(__xludf.DUMMYFUNCTION("""COMPUTED_VALUE"""),"Namfon Home")</f>
        <v>Namfon Home</v>
      </c>
      <c r="N905" t="str">
        <f>IFERROR(__xludf.DUMMYFUNCTION("""COMPUTED_VALUE"""),"Active")</f>
        <v>Active</v>
      </c>
      <c r="P905" s="143">
        <f>IFERROR(__xludf.DUMMYFUNCTION("""COMPUTED_VALUE"""),33397.0)</f>
        <v>33397</v>
      </c>
      <c r="Q905" s="146" t="str">
        <f>IFERROR(__xludf.DUMMYFUNCTION("""COMPUTED_VALUE"""),"062 942 6391")</f>
        <v>062 942 6391</v>
      </c>
      <c r="R905" s="147" t="str">
        <f>IFERROR(__xludf.DUMMYFUNCTION("""COMPUTED_VALUE"""),"1100200-64-5258")</f>
        <v>1100200-64-5258</v>
      </c>
      <c r="S905" t="str">
        <f>IFERROR(__xludf.DUMMYFUNCTION("""COMPUTED_VALUE"""),"AC2861781")</f>
        <v>AC2861781</v>
      </c>
      <c r="T905" s="148">
        <f>IFERROR(__xludf.DUMMYFUNCTION("""COMPUTED_VALUE"""),44600.0)</f>
        <v>44600</v>
      </c>
      <c r="U905" s="148">
        <f>IFERROR(__xludf.DUMMYFUNCTION("""COMPUTED_VALUE"""),48251.0)</f>
        <v>48251</v>
      </c>
      <c r="V905" s="149">
        <f>IFERROR(__xludf.DUMMYFUNCTION("""COMPUTED_VALUE"""),48067.0)</f>
        <v>48067</v>
      </c>
      <c r="W905" t="str">
        <f>IFERROR(__xludf.DUMMYFUNCTION("""COMPUTED_VALUE"""),"ปลอดภัย")</f>
        <v>ปลอดภัย</v>
      </c>
      <c r="X905" t="str">
        <f>IFERROR(__xludf.DUMMYFUNCTION("""COMPUTED_VALUE"""),"Bangkok")</f>
        <v>Bangkok</v>
      </c>
      <c r="Y905" t="str">
        <f>IFERROR(__xludf.DUMMYFUNCTION("""COMPUTED_VALUE"""),"Bangkok")</f>
        <v>Bangkok</v>
      </c>
      <c r="Z905" t="str">
        <f>IFERROR(__xludf.DUMMYFUNCTION("""COMPUTED_VALUE"""),"094-453-9592")</f>
        <v>094-453-9592</v>
      </c>
      <c r="AA905" t="str">
        <f>IFERROR(__xludf.DUMMYFUNCTION("""COMPUTED_VALUE"""),"Panida Thakolsuksan (Mother)")</f>
        <v>Panida Thakolsuksan (Mother)</v>
      </c>
      <c r="AB905" t="str">
        <f>IFERROR(__xludf.DUMMYFUNCTION("""COMPUTED_VALUE"""),"hariphatsuphangchar@airasia.com")</f>
        <v>hariphatsuphangchar@airasia.com</v>
      </c>
    </row>
    <row r="906">
      <c r="A906">
        <f>IFERROR(__xludf.DUMMYFUNCTION("""COMPUTED_VALUE"""),1022660.0)</f>
        <v>1022660</v>
      </c>
      <c r="B906" t="str">
        <f>IFERROR(__xludf.DUMMYFUNCTION("""COMPUTED_VALUE"""),"Ms.")</f>
        <v>Ms.</v>
      </c>
      <c r="C906" t="str">
        <f>IFERROR(__xludf.DUMMYFUNCTION("""COMPUTED_VALUE"""),"Ketjiya")</f>
        <v>Ketjiya</v>
      </c>
      <c r="D906" t="str">
        <f>IFERROR(__xludf.DUMMYFUNCTION("""COMPUTED_VALUE"""),"Sriamonsak")</f>
        <v>Sriamonsak</v>
      </c>
      <c r="E906" t="str">
        <f>IFERROR(__xludf.DUMMYFUNCTION("""COMPUTED_VALUE"""),"Ketjiya Sriamonsak")</f>
        <v>Ketjiya Sriamonsak</v>
      </c>
      <c r="F906" t="str">
        <f>IFERROR(__xludf.DUMMYFUNCTION("""COMPUTED_VALUE"""),"นางสาว")</f>
        <v>นางสาว</v>
      </c>
      <c r="G906" t="str">
        <f>IFERROR(__xludf.DUMMYFUNCTION("""COMPUTED_VALUE"""),"เกศจีญาญ์")</f>
        <v>เกศจีญาญ์</v>
      </c>
      <c r="H906" t="str">
        <f>IFERROR(__xludf.DUMMYFUNCTION("""COMPUTED_VALUE"""),"ศรีอมรศักดิ์")</f>
        <v>ศรีอมรศักดิ์</v>
      </c>
      <c r="I906" t="str">
        <f>IFERROR(__xludf.DUMMYFUNCTION("""COMPUTED_VALUE"""),"เกศจีญาญ์ ศรีอมรศักดิ์")</f>
        <v>เกศจีญาญ์ ศรีอมรศักดิ์</v>
      </c>
      <c r="J906" t="str">
        <f>IFERROR(__xludf.DUMMYFUNCTION("""COMPUTED_VALUE"""),"เก้า/Kao")</f>
        <v>เก้า/Kao</v>
      </c>
      <c r="K906" t="str">
        <f>IFERROR(__xludf.DUMMYFUNCTION("""COMPUTED_VALUE"""),"Senior Cabin Crew")</f>
        <v>Senior Cabin Crew</v>
      </c>
      <c r="L906" t="str">
        <f>IFERROR(__xludf.DUMMYFUNCTION("""COMPUTED_VALUE"""),"DMK")</f>
        <v>DMK</v>
      </c>
      <c r="M906" s="145" t="str">
        <f>IFERROR(__xludf.DUMMYFUNCTION("""COMPUTED_VALUE"""),"Nhui Home")</f>
        <v>Nhui Home</v>
      </c>
      <c r="N906" t="str">
        <f>IFERROR(__xludf.DUMMYFUNCTION("""COMPUTED_VALUE"""),"Active")</f>
        <v>Active</v>
      </c>
      <c r="P906" s="143">
        <f>IFERROR(__xludf.DUMMYFUNCTION("""COMPUTED_VALUE"""),34431.0)</f>
        <v>34431</v>
      </c>
      <c r="Q906" s="146" t="str">
        <f>IFERROR(__xludf.DUMMYFUNCTION("""COMPUTED_VALUE"""),"080 977 5451")</f>
        <v>080 977 5451</v>
      </c>
      <c r="R906" s="147" t="str">
        <f>IFERROR(__xludf.DUMMYFUNCTION("""COMPUTED_VALUE"""),"1101800-65-8700")</f>
        <v>1101800-65-8700</v>
      </c>
      <c r="S906" t="str">
        <f>IFERROR(__xludf.DUMMYFUNCTION("""COMPUTED_VALUE"""),"AC77100818")</f>
        <v>AC77100818</v>
      </c>
      <c r="T906" s="148">
        <f>IFERROR(__xludf.DUMMYFUNCTION("""COMPUTED_VALUE"""),45855.0)</f>
        <v>45855</v>
      </c>
      <c r="U906" s="148">
        <f>IFERROR(__xludf.DUMMYFUNCTION("""COMPUTED_VALUE"""),49506.0)</f>
        <v>49506</v>
      </c>
      <c r="V906" s="149">
        <f>IFERROR(__xludf.DUMMYFUNCTION("""COMPUTED_VALUE"""),49325.0)</f>
        <v>49325</v>
      </c>
      <c r="W906" t="str">
        <f>IFERROR(__xludf.DUMMYFUNCTION("""COMPUTED_VALUE"""),"ปลอดภัย")</f>
        <v>ปลอดภัย</v>
      </c>
      <c r="X906" t="str">
        <f>IFERROR(__xludf.DUMMYFUNCTION("""COMPUTED_VALUE"""),"Bangkok")</f>
        <v>Bangkok</v>
      </c>
      <c r="Y906" t="str">
        <f>IFERROR(__xludf.DUMMYFUNCTION("""COMPUTED_VALUE"""),"Bangkok")</f>
        <v>Bangkok</v>
      </c>
      <c r="Z906" t="str">
        <f>IFERROR(__xludf.DUMMYFUNCTION("""COMPUTED_VALUE"""),"085-339-1363")</f>
        <v>085-339-1363</v>
      </c>
      <c r="AA906" t="str">
        <f>IFERROR(__xludf.DUMMYFUNCTION("""COMPUTED_VALUE"""),"Thanatsorn Sriamonsak (Mother)")</f>
        <v>Thanatsorn Sriamonsak (Mother)</v>
      </c>
      <c r="AB906" t="str">
        <f>IFERROR(__xludf.DUMMYFUNCTION("""COMPUTED_VALUE"""),"ketjiyasriamonsak@airasia.com")</f>
        <v>ketjiyasriamonsak@airasia.com</v>
      </c>
    </row>
    <row r="907">
      <c r="A907">
        <f>IFERROR(__xludf.DUMMYFUNCTION("""COMPUTED_VALUE"""),1022662.0)</f>
        <v>1022662</v>
      </c>
      <c r="B907" t="str">
        <f>IFERROR(__xludf.DUMMYFUNCTION("""COMPUTED_VALUE"""),"Ms.")</f>
        <v>Ms.</v>
      </c>
      <c r="C907" t="str">
        <f>IFERROR(__xludf.DUMMYFUNCTION("""COMPUTED_VALUE"""),"Wachiraporn")</f>
        <v>Wachiraporn</v>
      </c>
      <c r="D907" t="str">
        <f>IFERROR(__xludf.DUMMYFUNCTION("""COMPUTED_VALUE"""),"Songkram")</f>
        <v>Songkram</v>
      </c>
      <c r="E907" t="str">
        <f>IFERROR(__xludf.DUMMYFUNCTION("""COMPUTED_VALUE"""),"Wachiraporn Songkram")</f>
        <v>Wachiraporn Songkram</v>
      </c>
      <c r="F907" t="str">
        <f>IFERROR(__xludf.DUMMYFUNCTION("""COMPUTED_VALUE"""),"นางสาว")</f>
        <v>นางสาว</v>
      </c>
      <c r="G907" t="str">
        <f>IFERROR(__xludf.DUMMYFUNCTION("""COMPUTED_VALUE"""),"วชิราภรณ์")</f>
        <v>วชิราภรณ์</v>
      </c>
      <c r="H907" t="str">
        <f>IFERROR(__xludf.DUMMYFUNCTION("""COMPUTED_VALUE"""),"สงคราม")</f>
        <v>สงคราม</v>
      </c>
      <c r="I907" t="str">
        <f>IFERROR(__xludf.DUMMYFUNCTION("""COMPUTED_VALUE"""),"วชิราภรณ์ สงคราม")</f>
        <v>วชิราภรณ์ สงคราม</v>
      </c>
      <c r="J907" t="str">
        <f>IFERROR(__xludf.DUMMYFUNCTION("""COMPUTED_VALUE"""),"ใบเฟิร์น/Baifern")</f>
        <v>ใบเฟิร์น/Baifern</v>
      </c>
      <c r="K907" t="str">
        <f>IFERROR(__xludf.DUMMYFUNCTION("""COMPUTED_VALUE"""),"Cabin Crew")</f>
        <v>Cabin Crew</v>
      </c>
      <c r="L907" t="str">
        <f>IFERROR(__xludf.DUMMYFUNCTION("""COMPUTED_VALUE"""),"DMK")</f>
        <v>DMK</v>
      </c>
      <c r="M907" s="145" t="str">
        <f>IFERROR(__xludf.DUMMYFUNCTION("""COMPUTED_VALUE"""),"Toffy Home")</f>
        <v>Toffy Home</v>
      </c>
      <c r="N907" t="str">
        <f>IFERROR(__xludf.DUMMYFUNCTION("""COMPUTED_VALUE"""),"Active")</f>
        <v>Active</v>
      </c>
      <c r="P907" s="143">
        <f>IFERROR(__xludf.DUMMYFUNCTION("""COMPUTED_VALUE"""),34549.0)</f>
        <v>34549</v>
      </c>
      <c r="Q907" s="146" t="str">
        <f>IFERROR(__xludf.DUMMYFUNCTION("""COMPUTED_VALUE"""),"092-692-6525")</f>
        <v>092-692-6525</v>
      </c>
      <c r="R907" s="147" t="str">
        <f>IFERROR(__xludf.DUMMYFUNCTION("""COMPUTED_VALUE"""),"1100200-97-5649")</f>
        <v>1100200-97-5649</v>
      </c>
      <c r="S907" t="str">
        <f>IFERROR(__xludf.DUMMYFUNCTION("""COMPUTED_VALUE"""),"AC2254117")</f>
        <v>AC2254117</v>
      </c>
      <c r="T907" s="148">
        <f>IFERROR(__xludf.DUMMYFUNCTION("""COMPUTED_VALUE"""),44308.0)</f>
        <v>44308</v>
      </c>
      <c r="U907" s="148">
        <f>IFERROR(__xludf.DUMMYFUNCTION("""COMPUTED_VALUE"""),47959.0)</f>
        <v>47959</v>
      </c>
      <c r="V907" s="149">
        <f>IFERROR(__xludf.DUMMYFUNCTION("""COMPUTED_VALUE"""),47777.0)</f>
        <v>47777</v>
      </c>
      <c r="W907" t="str">
        <f>IFERROR(__xludf.DUMMYFUNCTION("""COMPUTED_VALUE"""),"ปลอดภัย")</f>
        <v>ปลอดภัย</v>
      </c>
      <c r="X907" t="str">
        <f>IFERROR(__xludf.DUMMYFUNCTION("""COMPUTED_VALUE"""),"Bangkok")</f>
        <v>Bangkok</v>
      </c>
      <c r="Y907" t="str">
        <f>IFERROR(__xludf.DUMMYFUNCTION("""COMPUTED_VALUE"""),"Nonthaburi")</f>
        <v>Nonthaburi</v>
      </c>
      <c r="Z907" t="str">
        <f>IFERROR(__xludf.DUMMYFUNCTION("""COMPUTED_VALUE"""),"084-474-6922")</f>
        <v>084-474-6922</v>
      </c>
      <c r="AA907" t="str">
        <f>IFERROR(__xludf.DUMMYFUNCTION("""COMPUTED_VALUE"""),"Thanyasiri Thakthong (Mother)")</f>
        <v>Thanyasiri Thakthong (Mother)</v>
      </c>
      <c r="AB907" t="str">
        <f>IFERROR(__xludf.DUMMYFUNCTION("""COMPUTED_VALUE"""),"wachirapornsongkram@airasia.com")</f>
        <v>wachirapornsongkram@airasia.com</v>
      </c>
    </row>
    <row r="908">
      <c r="A908">
        <f>IFERROR(__xludf.DUMMYFUNCTION("""COMPUTED_VALUE"""),1022663.0)</f>
        <v>1022663</v>
      </c>
      <c r="B908" t="str">
        <f>IFERROR(__xludf.DUMMYFUNCTION("""COMPUTED_VALUE"""),"Ms.")</f>
        <v>Ms.</v>
      </c>
      <c r="C908" t="str">
        <f>IFERROR(__xludf.DUMMYFUNCTION("""COMPUTED_VALUE"""),"Parunya")</f>
        <v>Parunya</v>
      </c>
      <c r="D908" t="str">
        <f>IFERROR(__xludf.DUMMYFUNCTION("""COMPUTED_VALUE"""),"Poonsuk")</f>
        <v>Poonsuk</v>
      </c>
      <c r="E908" t="str">
        <f>IFERROR(__xludf.DUMMYFUNCTION("""COMPUTED_VALUE"""),"Parunya Poonsuk")</f>
        <v>Parunya Poonsuk</v>
      </c>
      <c r="F908" t="str">
        <f>IFERROR(__xludf.DUMMYFUNCTION("""COMPUTED_VALUE"""),"นางสาว")</f>
        <v>นางสาว</v>
      </c>
      <c r="G908" t="str">
        <f>IFERROR(__xludf.DUMMYFUNCTION("""COMPUTED_VALUE"""),"ภรัณยา")</f>
        <v>ภรัณยา</v>
      </c>
      <c r="H908" t="str">
        <f>IFERROR(__xludf.DUMMYFUNCTION("""COMPUTED_VALUE"""),"พูลสุข")</f>
        <v>พูลสุข</v>
      </c>
      <c r="I908" t="str">
        <f>IFERROR(__xludf.DUMMYFUNCTION("""COMPUTED_VALUE"""),"ภรัณยา พูลสุข")</f>
        <v>ภรัณยา พูลสุข</v>
      </c>
      <c r="J908" t="str">
        <f>IFERROR(__xludf.DUMMYFUNCTION("""COMPUTED_VALUE"""),"อิ๊ง/Aing")</f>
        <v>อิ๊ง/Aing</v>
      </c>
      <c r="K908" t="str">
        <f>IFERROR(__xludf.DUMMYFUNCTION("""COMPUTED_VALUE"""),"Cabin Crew")</f>
        <v>Cabin Crew</v>
      </c>
      <c r="L908" t="str">
        <f>IFERROR(__xludf.DUMMYFUNCTION("""COMPUTED_VALUE"""),"DMK")</f>
        <v>DMK</v>
      </c>
      <c r="M908" s="145" t="str">
        <f>IFERROR(__xludf.DUMMYFUNCTION("""COMPUTED_VALUE"""),"Kor Home")</f>
        <v>Kor Home</v>
      </c>
      <c r="N908" t="str">
        <f>IFERROR(__xludf.DUMMYFUNCTION("""COMPUTED_VALUE"""),"Active")</f>
        <v>Active</v>
      </c>
      <c r="P908" s="143">
        <f>IFERROR(__xludf.DUMMYFUNCTION("""COMPUTED_VALUE"""),34800.0)</f>
        <v>34800</v>
      </c>
      <c r="Q908" s="146" t="str">
        <f>IFERROR(__xludf.DUMMYFUNCTION("""COMPUTED_VALUE"""),"065-562-5297")</f>
        <v>065-562-5297</v>
      </c>
      <c r="R908" s="147" t="str">
        <f>IFERROR(__xludf.DUMMYFUNCTION("""COMPUTED_VALUE"""),"1110200-13-1343")</f>
        <v>1110200-13-1343</v>
      </c>
      <c r="S908" t="str">
        <f>IFERROR(__xludf.DUMMYFUNCTION("""COMPUTED_VALUE"""),"AD2378361")</f>
        <v>AD2378361</v>
      </c>
      <c r="T908" s="148">
        <f>IFERROR(__xludf.DUMMYFUNCTION("""COMPUTED_VALUE"""),45825.0)</f>
        <v>45825</v>
      </c>
      <c r="U908" s="148">
        <f>IFERROR(__xludf.DUMMYFUNCTION("""COMPUTED_VALUE"""),49476.0)</f>
        <v>49476</v>
      </c>
      <c r="V908" s="149">
        <f>IFERROR(__xludf.DUMMYFUNCTION("""COMPUTED_VALUE"""),49294.0)</f>
        <v>49294</v>
      </c>
      <c r="W908" t="str">
        <f>IFERROR(__xludf.DUMMYFUNCTION("""COMPUTED_VALUE"""),"ปลอดภัย")</f>
        <v>ปลอดภัย</v>
      </c>
      <c r="X908" t="str">
        <f>IFERROR(__xludf.DUMMYFUNCTION("""COMPUTED_VALUE"""),"Samut Prakan Province")</f>
        <v>Samut Prakan Province</v>
      </c>
      <c r="Y908" t="str">
        <f>IFERROR(__xludf.DUMMYFUNCTION("""COMPUTED_VALUE"""),"Nonthaburi")</f>
        <v>Nonthaburi</v>
      </c>
      <c r="Z908" t="str">
        <f>IFERROR(__xludf.DUMMYFUNCTION("""COMPUTED_VALUE"""),"081-850-9599")</f>
        <v>081-850-9599</v>
      </c>
      <c r="AA908" t="str">
        <f>IFERROR(__xludf.DUMMYFUNCTION("""COMPUTED_VALUE"""),"Patcharee Poonsuk (Mother)")</f>
        <v>Patcharee Poonsuk (Mother)</v>
      </c>
      <c r="AB908" t="str">
        <f>IFERROR(__xludf.DUMMYFUNCTION("""COMPUTED_VALUE"""),"parunyapoonsuk@airasia.com")</f>
        <v>parunyapoonsuk@airasia.com</v>
      </c>
    </row>
    <row r="909">
      <c r="A909">
        <f>IFERROR(__xludf.DUMMYFUNCTION("""COMPUTED_VALUE"""),1022666.0)</f>
        <v>1022666</v>
      </c>
      <c r="B909" t="str">
        <f>IFERROR(__xludf.DUMMYFUNCTION("""COMPUTED_VALUE"""),"Ms.")</f>
        <v>Ms.</v>
      </c>
      <c r="C909" t="str">
        <f>IFERROR(__xludf.DUMMYFUNCTION("""COMPUTED_VALUE"""),"Suchanart")</f>
        <v>Suchanart</v>
      </c>
      <c r="D909" t="str">
        <f>IFERROR(__xludf.DUMMYFUNCTION("""COMPUTED_VALUE"""),"Thongsongsom")</f>
        <v>Thongsongsom</v>
      </c>
      <c r="E909" t="str">
        <f>IFERROR(__xludf.DUMMYFUNCTION("""COMPUTED_VALUE"""),"Suchanart Thongsongsom")</f>
        <v>Suchanart Thongsongsom</v>
      </c>
      <c r="F909" t="str">
        <f>IFERROR(__xludf.DUMMYFUNCTION("""COMPUTED_VALUE"""),"นางสาว")</f>
        <v>นางสาว</v>
      </c>
      <c r="G909" t="str">
        <f>IFERROR(__xludf.DUMMYFUNCTION("""COMPUTED_VALUE"""),"สุชานาฏ")</f>
        <v>สุชานาฏ</v>
      </c>
      <c r="H909" t="str">
        <f>IFERROR(__xludf.DUMMYFUNCTION("""COMPUTED_VALUE"""),"ทองส่งโสม")</f>
        <v>ทองส่งโสม</v>
      </c>
      <c r="I909" t="str">
        <f>IFERROR(__xludf.DUMMYFUNCTION("""COMPUTED_VALUE"""),"สุชานาฏ ทองส่งโสม")</f>
        <v>สุชานาฏ ทองส่งโสม</v>
      </c>
      <c r="J909" t="str">
        <f>IFERROR(__xludf.DUMMYFUNCTION("""COMPUTED_VALUE"""),"แป้ง/Pang")</f>
        <v>แป้ง/Pang</v>
      </c>
      <c r="K909" t="str">
        <f>IFERROR(__xludf.DUMMYFUNCTION("""COMPUTED_VALUE"""),"Cabin Crew")</f>
        <v>Cabin Crew</v>
      </c>
      <c r="L909" t="str">
        <f>IFERROR(__xludf.DUMMYFUNCTION("""COMPUTED_VALUE"""),"DMK")</f>
        <v>DMK</v>
      </c>
      <c r="M909" s="145" t="str">
        <f>IFERROR(__xludf.DUMMYFUNCTION("""COMPUTED_VALUE"""),"Namfon Home")</f>
        <v>Namfon Home</v>
      </c>
      <c r="N909" t="str">
        <f>IFERROR(__xludf.DUMMYFUNCTION("""COMPUTED_VALUE"""),"Active")</f>
        <v>Active</v>
      </c>
      <c r="P909" s="143">
        <f>IFERROR(__xludf.DUMMYFUNCTION("""COMPUTED_VALUE"""),33774.0)</f>
        <v>33774</v>
      </c>
      <c r="Q909" s="146" t="str">
        <f>IFERROR(__xludf.DUMMYFUNCTION("""COMPUTED_VALUE"""),"088 253 5498")</f>
        <v>088 253 5498</v>
      </c>
      <c r="R909" s="147" t="str">
        <f>IFERROR(__xludf.DUMMYFUNCTION("""COMPUTED_VALUE"""),"1159900-17-3314")</f>
        <v>1159900-17-3314</v>
      </c>
      <c r="S909" t="str">
        <f>IFERROR(__xludf.DUMMYFUNCTION("""COMPUTED_VALUE"""),"AC2310015")</f>
        <v>AC2310015</v>
      </c>
      <c r="T909" s="148">
        <f>IFERROR(__xludf.DUMMYFUNCTION("""COMPUTED_VALUE"""),44356.0)</f>
        <v>44356</v>
      </c>
      <c r="U909" s="148">
        <f>IFERROR(__xludf.DUMMYFUNCTION("""COMPUTED_VALUE"""),48007.0)</f>
        <v>48007</v>
      </c>
      <c r="V909" s="149">
        <f>IFERROR(__xludf.DUMMYFUNCTION("""COMPUTED_VALUE"""),47825.0)</f>
        <v>47825</v>
      </c>
      <c r="W909" t="str">
        <f>IFERROR(__xludf.DUMMYFUNCTION("""COMPUTED_VALUE"""),"ปลอดภัย")</f>
        <v>ปลอดภัย</v>
      </c>
      <c r="X909" t="str">
        <f>IFERROR(__xludf.DUMMYFUNCTION("""COMPUTED_VALUE"""),"Ang Thong Province")</f>
        <v>Ang Thong Province</v>
      </c>
      <c r="Y909" t="str">
        <f>IFERROR(__xludf.DUMMYFUNCTION("""COMPUTED_VALUE"""),"Samutpakan")</f>
        <v>Samutpakan</v>
      </c>
      <c r="Z909" t="str">
        <f>IFERROR(__xludf.DUMMYFUNCTION("""COMPUTED_VALUE"""),"082-390-6132")</f>
        <v>082-390-6132</v>
      </c>
      <c r="AA909" t="str">
        <f>IFERROR(__xludf.DUMMYFUNCTION("""COMPUTED_VALUE"""),"Pemita Thongsongsom (Mother)")</f>
        <v>Pemita Thongsongsom (Mother)</v>
      </c>
      <c r="AB909" t="str">
        <f>IFERROR(__xludf.DUMMYFUNCTION("""COMPUTED_VALUE"""),"suchanartthongsongs@airasia.com")</f>
        <v>suchanartthongsongs@airasia.com</v>
      </c>
    </row>
    <row r="910">
      <c r="A910">
        <f>IFERROR(__xludf.DUMMYFUNCTION("""COMPUTED_VALUE"""),1022667.0)</f>
        <v>1022667</v>
      </c>
      <c r="B910" t="str">
        <f>IFERROR(__xludf.DUMMYFUNCTION("""COMPUTED_VALUE"""),"Ms.")</f>
        <v>Ms.</v>
      </c>
      <c r="C910" t="str">
        <f>IFERROR(__xludf.DUMMYFUNCTION("""COMPUTED_VALUE"""),"Natasa")</f>
        <v>Natasa</v>
      </c>
      <c r="D910" t="str">
        <f>IFERROR(__xludf.DUMMYFUNCTION("""COMPUTED_VALUE"""),"Tharasak")</f>
        <v>Tharasak</v>
      </c>
      <c r="E910" t="str">
        <f>IFERROR(__xludf.DUMMYFUNCTION("""COMPUTED_VALUE"""),"Natasa Tharasak")</f>
        <v>Natasa Tharasak</v>
      </c>
      <c r="F910" t="str">
        <f>IFERROR(__xludf.DUMMYFUNCTION("""COMPUTED_VALUE"""),"นางสาว")</f>
        <v>นางสาว</v>
      </c>
      <c r="G910" t="str">
        <f>IFERROR(__xludf.DUMMYFUNCTION("""COMPUTED_VALUE"""),"ณธษา")</f>
        <v>ณธษา</v>
      </c>
      <c r="H910" t="str">
        <f>IFERROR(__xludf.DUMMYFUNCTION("""COMPUTED_VALUE"""),"ธาราศักดิ์")</f>
        <v>ธาราศักดิ์</v>
      </c>
      <c r="I910" t="str">
        <f>IFERROR(__xludf.DUMMYFUNCTION("""COMPUTED_VALUE"""),"ณธษา ธาราศักดิ์")</f>
        <v>ณธษา ธาราศักดิ์</v>
      </c>
      <c r="J910" t="str">
        <f>IFERROR(__xludf.DUMMYFUNCTION("""COMPUTED_VALUE"""),"แพร/Pear")</f>
        <v>แพร/Pear</v>
      </c>
      <c r="K910" t="str">
        <f>IFERROR(__xludf.DUMMYFUNCTION("""COMPUTED_VALUE"""),"Cabin Crew - BKK")</f>
        <v>Cabin Crew - BKK</v>
      </c>
      <c r="L910" t="str">
        <f>IFERROR(__xludf.DUMMYFUNCTION("""COMPUTED_VALUE"""),"BKK")</f>
        <v>BKK</v>
      </c>
      <c r="M910" s="145" t="str">
        <f>IFERROR(__xludf.DUMMYFUNCTION("""COMPUTED_VALUE"""),"Nhui Home")</f>
        <v>Nhui Home</v>
      </c>
      <c r="N910" t="str">
        <f>IFERROR(__xludf.DUMMYFUNCTION("""COMPUTED_VALUE"""),"Active")</f>
        <v>Active</v>
      </c>
      <c r="P910" s="143">
        <f>IFERROR(__xludf.DUMMYFUNCTION("""COMPUTED_VALUE"""),32582.0)</f>
        <v>32582</v>
      </c>
      <c r="Q910" s="146" t="str">
        <f>IFERROR(__xludf.DUMMYFUNCTION("""COMPUTED_VALUE"""),"087 562 8078")</f>
        <v>087 562 8078</v>
      </c>
      <c r="R910" s="147" t="str">
        <f>IFERROR(__xludf.DUMMYFUNCTION("""COMPUTED_VALUE"""),"1101401-59-2951")</f>
        <v>1101401-59-2951</v>
      </c>
      <c r="S910" t="str">
        <f>IFERROR(__xludf.DUMMYFUNCTION("""COMPUTED_VALUE"""),"AC4449345")</f>
        <v>AC4449345</v>
      </c>
      <c r="T910" s="148">
        <f>IFERROR(__xludf.DUMMYFUNCTION("""COMPUTED_VALUE"""),44962.0)</f>
        <v>44962</v>
      </c>
      <c r="U910" s="148">
        <f>IFERROR(__xludf.DUMMYFUNCTION("""COMPUTED_VALUE"""),48614.0)</f>
        <v>48614</v>
      </c>
      <c r="V910" s="149">
        <f>IFERROR(__xludf.DUMMYFUNCTION("""COMPUTED_VALUE"""),48430.0)</f>
        <v>48430</v>
      </c>
      <c r="W910" t="str">
        <f>IFERROR(__xludf.DUMMYFUNCTION("""COMPUTED_VALUE"""),"ปลอดภัย")</f>
        <v>ปลอดภัย</v>
      </c>
      <c r="X910" t="str">
        <f>IFERROR(__xludf.DUMMYFUNCTION("""COMPUTED_VALUE"""),"Bangkok")</f>
        <v>Bangkok</v>
      </c>
      <c r="Y910" t="str">
        <f>IFERROR(__xludf.DUMMYFUNCTION("""COMPUTED_VALUE"""),"Samut Prakarn")</f>
        <v>Samut Prakarn</v>
      </c>
      <c r="Z910" t="str">
        <f>IFERROR(__xludf.DUMMYFUNCTION("""COMPUTED_VALUE"""),"085-165-5725")</f>
        <v>085-165-5725</v>
      </c>
      <c r="AA910" t="str">
        <f>IFERROR(__xludf.DUMMYFUNCTION("""COMPUTED_VALUE"""),"Suthida Tharasak (Mother)")</f>
        <v>Suthida Tharasak (Mother)</v>
      </c>
      <c r="AB910" t="str">
        <f>IFERROR(__xludf.DUMMYFUNCTION("""COMPUTED_VALUE"""),"natasatharasak@airasia.com")</f>
        <v>natasatharasak@airasia.com</v>
      </c>
    </row>
    <row r="911">
      <c r="A911">
        <f>IFERROR(__xludf.DUMMYFUNCTION("""COMPUTED_VALUE"""),1022668.0)</f>
        <v>1022668</v>
      </c>
      <c r="B911" t="str">
        <f>IFERROR(__xludf.DUMMYFUNCTION("""COMPUTED_VALUE"""),"Ms.")</f>
        <v>Ms.</v>
      </c>
      <c r="C911" t="str">
        <f>IFERROR(__xludf.DUMMYFUNCTION("""COMPUTED_VALUE"""),"Chatchaya")</f>
        <v>Chatchaya</v>
      </c>
      <c r="D911" t="str">
        <f>IFERROR(__xludf.DUMMYFUNCTION("""COMPUTED_VALUE"""),"Laohasurayotin")</f>
        <v>Laohasurayotin</v>
      </c>
      <c r="E911" t="str">
        <f>IFERROR(__xludf.DUMMYFUNCTION("""COMPUTED_VALUE"""),"Chatchaya Laohasurayotin")</f>
        <v>Chatchaya Laohasurayotin</v>
      </c>
      <c r="F911" t="str">
        <f>IFERROR(__xludf.DUMMYFUNCTION("""COMPUTED_VALUE"""),"นางสาว")</f>
        <v>นางสาว</v>
      </c>
      <c r="G911" t="str">
        <f>IFERROR(__xludf.DUMMYFUNCTION("""COMPUTED_VALUE"""),"ชัชชญา")</f>
        <v>ชัชชญา</v>
      </c>
      <c r="H911" t="str">
        <f>IFERROR(__xludf.DUMMYFUNCTION("""COMPUTED_VALUE"""),"เลาหสุรโยธิน")</f>
        <v>เลาหสุรโยธิน</v>
      </c>
      <c r="I911" t="str">
        <f>IFERROR(__xludf.DUMMYFUNCTION("""COMPUTED_VALUE"""),"ชัชชญา เลาหสุรโยธิน")</f>
        <v>ชัชชญา เลาหสุรโยธิน</v>
      </c>
      <c r="J911" t="str">
        <f>IFERROR(__xludf.DUMMYFUNCTION("""COMPUTED_VALUE"""),"ส้ม/Som")</f>
        <v>ส้ม/Som</v>
      </c>
      <c r="K911" t="str">
        <f>IFERROR(__xludf.DUMMYFUNCTION("""COMPUTED_VALUE"""),"Cabin Crew")</f>
        <v>Cabin Crew</v>
      </c>
      <c r="L911" t="str">
        <f>IFERROR(__xludf.DUMMYFUNCTION("""COMPUTED_VALUE"""),"DMK")</f>
        <v>DMK</v>
      </c>
      <c r="M911" s="145" t="str">
        <f>IFERROR(__xludf.DUMMYFUNCTION("""COMPUTED_VALUE"""),"Um Home")</f>
        <v>Um Home</v>
      </c>
      <c r="N911" t="str">
        <f>IFERROR(__xludf.DUMMYFUNCTION("""COMPUTED_VALUE"""),"MATL/LWP")</f>
        <v>MATL/LWP</v>
      </c>
      <c r="P911" t="str">
        <f>IFERROR(__xludf.DUMMYFUNCTION("""COMPUTED_VALUE"""),"29/01/1988")</f>
        <v>29/01/1988</v>
      </c>
      <c r="Q911" s="146">
        <f>IFERROR(__xludf.DUMMYFUNCTION("""COMPUTED_VALUE"""),9.74963645E8)</f>
        <v>974963645</v>
      </c>
      <c r="R911" s="147" t="str">
        <f>IFERROR(__xludf.DUMMYFUNCTION("""COMPUTED_VALUE"""),"1 1014 01184 96 8")</f>
        <v>1 1014 01184 96 8</v>
      </c>
      <c r="S911" t="str">
        <f>IFERROR(__xludf.DUMMYFUNCTION("""COMPUTED_VALUE"""),"AD1250563")</f>
        <v>AD1250563</v>
      </c>
      <c r="T911" s="148">
        <f>IFERROR(__xludf.DUMMYFUNCTION("""COMPUTED_VALUE"""),45341.0)</f>
        <v>45341</v>
      </c>
      <c r="U911" s="148">
        <f>IFERROR(__xludf.DUMMYFUNCTION("""COMPUTED_VALUE"""),48993.0)</f>
        <v>48993</v>
      </c>
      <c r="V911" s="149">
        <f>IFERROR(__xludf.DUMMYFUNCTION("""COMPUTED_VALUE"""),48809.0)</f>
        <v>48809</v>
      </c>
      <c r="W911" t="str">
        <f>IFERROR(__xludf.DUMMYFUNCTION("""COMPUTED_VALUE"""),"ปลอดภัย")</f>
        <v>ปลอดภัย</v>
      </c>
      <c r="X911" t="str">
        <f>IFERROR(__xludf.DUMMYFUNCTION("""COMPUTED_VALUE"""),"Bangkok")</f>
        <v>Bangkok</v>
      </c>
      <c r="Y911" t="str">
        <f>IFERROR(__xludf.DUMMYFUNCTION("""COMPUTED_VALUE"""),"Bangkok")</f>
        <v>Bangkok</v>
      </c>
      <c r="Z911" t="str">
        <f>IFERROR(__xludf.DUMMYFUNCTION("""COMPUTED_VALUE"""),"089-926-4745")</f>
        <v>089-926-4745</v>
      </c>
      <c r="AA911" t="str">
        <f>IFERROR(__xludf.DUMMYFUNCTION("""COMPUTED_VALUE"""),"Nutchanit Thongsung (Mother)")</f>
        <v>Nutchanit Thongsung (Mother)</v>
      </c>
      <c r="AB911" t="str">
        <f>IFERROR(__xludf.DUMMYFUNCTION("""COMPUTED_VALUE"""),"chatchayalaohasuray@airasia.com")</f>
        <v>chatchayalaohasuray@airasia.com</v>
      </c>
    </row>
    <row r="912">
      <c r="A912">
        <f>IFERROR(__xludf.DUMMYFUNCTION("""COMPUTED_VALUE"""),1022779.0)</f>
        <v>1022779</v>
      </c>
      <c r="B912" t="str">
        <f>IFERROR(__xludf.DUMMYFUNCTION("""COMPUTED_VALUE"""),"Ms.")</f>
        <v>Ms.</v>
      </c>
      <c r="C912" t="str">
        <f>IFERROR(__xludf.DUMMYFUNCTION("""COMPUTED_VALUE"""),"Thipwadee")</f>
        <v>Thipwadee</v>
      </c>
      <c r="D912" t="str">
        <f>IFERROR(__xludf.DUMMYFUNCTION("""COMPUTED_VALUE"""),"Ing-Anannat")</f>
        <v>Ing-Anannat</v>
      </c>
      <c r="E912" t="str">
        <f>IFERROR(__xludf.DUMMYFUNCTION("""COMPUTED_VALUE"""),"Thipwadee Ing-Anannat")</f>
        <v>Thipwadee Ing-Anannat</v>
      </c>
      <c r="F912" t="str">
        <f>IFERROR(__xludf.DUMMYFUNCTION("""COMPUTED_VALUE"""),"นางสาว")</f>
        <v>นางสาว</v>
      </c>
      <c r="G912" t="str">
        <f>IFERROR(__xludf.DUMMYFUNCTION("""COMPUTED_VALUE"""),"ทิพย์วดี")</f>
        <v>ทิพย์วดี</v>
      </c>
      <c r="H912" t="str">
        <f>IFERROR(__xludf.DUMMYFUNCTION("""COMPUTED_VALUE"""),"อิงค์อนันต์นาท")</f>
        <v>อิงค์อนันต์นาท</v>
      </c>
      <c r="I912" t="str">
        <f>IFERROR(__xludf.DUMMYFUNCTION("""COMPUTED_VALUE"""),"ทิพย์วดี อิงค์อนันต์นาท")</f>
        <v>ทิพย์วดี อิงค์อนันต์นาท</v>
      </c>
      <c r="J912" t="str">
        <f>IFERROR(__xludf.DUMMYFUNCTION("""COMPUTED_VALUE"""),"อ๋อ/Aorr")</f>
        <v>อ๋อ/Aorr</v>
      </c>
      <c r="K912" t="str">
        <f>IFERROR(__xludf.DUMMYFUNCTION("""COMPUTED_VALUE"""),"Senior Cabin Crew - BKK")</f>
        <v>Senior Cabin Crew - BKK</v>
      </c>
      <c r="L912" t="str">
        <f>IFERROR(__xludf.DUMMYFUNCTION("""COMPUTED_VALUE"""),"BKK")</f>
        <v>BKK</v>
      </c>
      <c r="M912" s="145" t="str">
        <f>IFERROR(__xludf.DUMMYFUNCTION("""COMPUTED_VALUE"""),"Nhui Home")</f>
        <v>Nhui Home</v>
      </c>
      <c r="N912" t="str">
        <f>IFERROR(__xludf.DUMMYFUNCTION("""COMPUTED_VALUE"""),"Active/V/DMK")</f>
        <v>Active/V/DMK</v>
      </c>
      <c r="P912" s="143">
        <f>IFERROR(__xludf.DUMMYFUNCTION("""COMPUTED_VALUE"""),33811.0)</f>
        <v>33811</v>
      </c>
      <c r="Q912" s="146" t="str">
        <f>IFERROR(__xludf.DUMMYFUNCTION("""COMPUTED_VALUE"""),"084-646-6262")</f>
        <v>084-646-6262</v>
      </c>
      <c r="R912" s="147" t="str">
        <f>IFERROR(__xludf.DUMMYFUNCTION("""COMPUTED_VALUE"""),"1102800-02-5333")</f>
        <v>1102800-02-5333</v>
      </c>
      <c r="S912" t="str">
        <f>IFERROR(__xludf.DUMMYFUNCTION("""COMPUTED_VALUE"""),"AC6378628")</f>
        <v>AC6378628</v>
      </c>
      <c r="T912" s="148">
        <f>IFERROR(__xludf.DUMMYFUNCTION("""COMPUTED_VALUE"""),45357.0)</f>
        <v>45357</v>
      </c>
      <c r="U912" s="148">
        <f>IFERROR(__xludf.DUMMYFUNCTION("""COMPUTED_VALUE"""),49008.0)</f>
        <v>49008</v>
      </c>
      <c r="V912" s="149">
        <f>IFERROR(__xludf.DUMMYFUNCTION("""COMPUTED_VALUE"""),48827.0)</f>
        <v>48827</v>
      </c>
      <c r="W912" t="str">
        <f>IFERROR(__xludf.DUMMYFUNCTION("""COMPUTED_VALUE"""),"ปลอดภัย")</f>
        <v>ปลอดภัย</v>
      </c>
      <c r="X912" t="str">
        <f>IFERROR(__xludf.DUMMYFUNCTION("""COMPUTED_VALUE"""),"Bangkok")</f>
        <v>Bangkok</v>
      </c>
      <c r="Y912" t="str">
        <f>IFERROR(__xludf.DUMMYFUNCTION("""COMPUTED_VALUE"""),"Bangkok")</f>
        <v>Bangkok</v>
      </c>
      <c r="Z912" t="str">
        <f>IFERROR(__xludf.DUMMYFUNCTION("""COMPUTED_VALUE"""),"082-459-5511")</f>
        <v>082-459-5511</v>
      </c>
      <c r="AA912" t="str">
        <f>IFERROR(__xludf.DUMMYFUNCTION("""COMPUTED_VALUE"""),"Malee Ing-Anannat (Mother)")</f>
        <v>Malee Ing-Anannat (Mother)</v>
      </c>
      <c r="AB912" t="str">
        <f>IFERROR(__xludf.DUMMYFUNCTION("""COMPUTED_VALUE"""),"thipwadeeinganannat@airasia.com")</f>
        <v>thipwadeeinganannat@airasia.com</v>
      </c>
    </row>
    <row r="913">
      <c r="A913">
        <f>IFERROR(__xludf.DUMMYFUNCTION("""COMPUTED_VALUE"""),1022841.0)</f>
        <v>1022841</v>
      </c>
      <c r="B913" t="str">
        <f>IFERROR(__xludf.DUMMYFUNCTION("""COMPUTED_VALUE"""),"Ms.")</f>
        <v>Ms.</v>
      </c>
      <c r="C913" t="str">
        <f>IFERROR(__xludf.DUMMYFUNCTION("""COMPUTED_VALUE"""),"Apinya")</f>
        <v>Apinya</v>
      </c>
      <c r="D913" t="str">
        <f>IFERROR(__xludf.DUMMYFUNCTION("""COMPUTED_VALUE"""),"Chaisaeng")</f>
        <v>Chaisaeng</v>
      </c>
      <c r="E913" t="str">
        <f>IFERROR(__xludf.DUMMYFUNCTION("""COMPUTED_VALUE"""),"Apinya Chaisaeng")</f>
        <v>Apinya Chaisaeng</v>
      </c>
      <c r="F913" t="str">
        <f>IFERROR(__xludf.DUMMYFUNCTION("""COMPUTED_VALUE"""),"นางสาว")</f>
        <v>นางสาว</v>
      </c>
      <c r="G913" t="str">
        <f>IFERROR(__xludf.DUMMYFUNCTION("""COMPUTED_VALUE"""),"อภิญญา")</f>
        <v>อภิญญา</v>
      </c>
      <c r="H913" t="str">
        <f>IFERROR(__xludf.DUMMYFUNCTION("""COMPUTED_VALUE"""),"ไชยแสง")</f>
        <v>ไชยแสง</v>
      </c>
      <c r="I913" t="str">
        <f>IFERROR(__xludf.DUMMYFUNCTION("""COMPUTED_VALUE"""),"อภิญญา ไชยแสง")</f>
        <v>อภิญญา ไชยแสง</v>
      </c>
      <c r="J913" t="str">
        <f>IFERROR(__xludf.DUMMYFUNCTION("""COMPUTED_VALUE"""),"หมิว/Mhew")</f>
        <v>หมิว/Mhew</v>
      </c>
      <c r="K913" t="str">
        <f>IFERROR(__xludf.DUMMYFUNCTION("""COMPUTED_VALUE"""),"Senior Cabin Crew")</f>
        <v>Senior Cabin Crew</v>
      </c>
      <c r="L913" t="str">
        <f>IFERROR(__xludf.DUMMYFUNCTION("""COMPUTED_VALUE"""),"DMK")</f>
        <v>DMK</v>
      </c>
      <c r="M913" s="145" t="str">
        <f>IFERROR(__xludf.DUMMYFUNCTION("""COMPUTED_VALUE"""),"Kor Home")</f>
        <v>Kor Home</v>
      </c>
      <c r="N913" t="str">
        <f>IFERROR(__xludf.DUMMYFUNCTION("""COMPUTED_VALUE"""),"Active")</f>
        <v>Active</v>
      </c>
      <c r="P913" s="143">
        <f>IFERROR(__xludf.DUMMYFUNCTION("""COMPUTED_VALUE"""),34665.0)</f>
        <v>34665</v>
      </c>
      <c r="Q913" s="146" t="str">
        <f>IFERROR(__xludf.DUMMYFUNCTION("""COMPUTED_VALUE"""),"062 629 1169")</f>
        <v>062 629 1169</v>
      </c>
      <c r="R913" s="147" t="str">
        <f>IFERROR(__xludf.DUMMYFUNCTION("""COMPUTED_VALUE"""),"1100801-07-2538")</f>
        <v>1100801-07-2538</v>
      </c>
      <c r="S913" t="str">
        <f>IFERROR(__xludf.DUMMYFUNCTION("""COMPUTED_VALUE"""),"AC3017039")</f>
        <v>AC3017039</v>
      </c>
      <c r="T913" s="148">
        <f>IFERROR(__xludf.DUMMYFUNCTION("""COMPUTED_VALUE"""),44673.0)</f>
        <v>44673</v>
      </c>
      <c r="U913" s="148">
        <f>IFERROR(__xludf.DUMMYFUNCTION("""COMPUTED_VALUE"""),48325.0)</f>
        <v>48325</v>
      </c>
      <c r="V913" s="149">
        <f>IFERROR(__xludf.DUMMYFUNCTION("""COMPUTED_VALUE"""),48142.0)</f>
        <v>48142</v>
      </c>
      <c r="W913" t="str">
        <f>IFERROR(__xludf.DUMMYFUNCTION("""COMPUTED_VALUE"""),"ปลอดภัย")</f>
        <v>ปลอดภัย</v>
      </c>
      <c r="X913" t="str">
        <f>IFERROR(__xludf.DUMMYFUNCTION("""COMPUTED_VALUE"""),"Bangkok")</f>
        <v>Bangkok</v>
      </c>
      <c r="Y913" t="str">
        <f>IFERROR(__xludf.DUMMYFUNCTION("""COMPUTED_VALUE"""),"Samut Prakarn")</f>
        <v>Samut Prakarn</v>
      </c>
      <c r="Z913" t="str">
        <f>IFERROR(__xludf.DUMMYFUNCTION("""COMPUTED_VALUE"""),"091-650-9961")</f>
        <v>091-650-9961</v>
      </c>
      <c r="AA913" t="str">
        <f>IFERROR(__xludf.DUMMYFUNCTION("""COMPUTED_VALUE"""),"Punyanut Butda (Mother)")</f>
        <v>Punyanut Butda (Mother)</v>
      </c>
      <c r="AB913" t="str">
        <f>IFERROR(__xludf.DUMMYFUNCTION("""COMPUTED_VALUE"""),"apinyachaisaeng@airasia.com")</f>
        <v>apinyachaisaeng@airasia.com</v>
      </c>
    </row>
    <row r="914">
      <c r="AB914" t="str">
        <f>IFERROR(__xludf.DUMMYFUNCTION("""COMPUTED_VALUE"""),"")</f>
        <v/>
      </c>
    </row>
    <row r="915">
      <c r="A915">
        <f>IFERROR(__xludf.DUMMYFUNCTION("""COMPUTED_VALUE"""),1008211.0)</f>
        <v>1008211</v>
      </c>
      <c r="B915" t="str">
        <f>IFERROR(__xludf.DUMMYFUNCTION("""COMPUTED_VALUE"""),"Ms.")</f>
        <v>Ms.</v>
      </c>
      <c r="C915" t="str">
        <f>IFERROR(__xludf.DUMMYFUNCTION("""COMPUTED_VALUE"""),"Jinnanat")</f>
        <v>Jinnanat</v>
      </c>
      <c r="D915" t="str">
        <f>IFERROR(__xludf.DUMMYFUNCTION("""COMPUTED_VALUE"""),"Buree")</f>
        <v>Buree</v>
      </c>
      <c r="E915" t="str">
        <f>IFERROR(__xludf.DUMMYFUNCTION("""COMPUTED_VALUE"""),"Jinnanat Buree")</f>
        <v>Jinnanat Buree</v>
      </c>
      <c r="F915" t="str">
        <f>IFERROR(__xludf.DUMMYFUNCTION("""COMPUTED_VALUE"""),"นางสาว")</f>
        <v>นางสาว</v>
      </c>
      <c r="G915" t="str">
        <f>IFERROR(__xludf.DUMMYFUNCTION("""COMPUTED_VALUE"""),"จิณณ์ณณัช")</f>
        <v>จิณณ์ณณัช</v>
      </c>
      <c r="H915" t="str">
        <f>IFERROR(__xludf.DUMMYFUNCTION("""COMPUTED_VALUE"""),"บุรี")</f>
        <v>บุรี</v>
      </c>
      <c r="I915" t="str">
        <f>IFERROR(__xludf.DUMMYFUNCTION("""COMPUTED_VALUE"""),"จิณณ์ณณัช บุรี")</f>
        <v>จิณณ์ณณัช บุรี</v>
      </c>
      <c r="J915" t="str">
        <f>IFERROR(__xludf.DUMMYFUNCTION("""COMPUTED_VALUE"""),"Nid/นิด")</f>
        <v>Nid/นิด</v>
      </c>
      <c r="K915" t="str">
        <f>IFERROR(__xludf.DUMMYFUNCTION("""COMPUTED_VALUE"""),"Cabin Crew")</f>
        <v>Cabin Crew</v>
      </c>
      <c r="L915" t="str">
        <f>IFERROR(__xludf.DUMMYFUNCTION("""COMPUTED_VALUE"""),"DMK")</f>
        <v>DMK</v>
      </c>
      <c r="M915" s="145" t="str">
        <f>IFERROR(__xludf.DUMMYFUNCTION("""COMPUTED_VALUE"""),"Um Home")</f>
        <v>Um Home</v>
      </c>
      <c r="N915" t="str">
        <f>IFERROR(__xludf.DUMMYFUNCTION("""COMPUTED_VALUE"""),"Active")</f>
        <v>Active</v>
      </c>
      <c r="P915" s="143">
        <f>IFERROR(__xludf.DUMMYFUNCTION("""COMPUTED_VALUE"""),32332.0)</f>
        <v>32332</v>
      </c>
      <c r="Q915" s="146" t="str">
        <f>IFERROR(__xludf.DUMMYFUNCTION("""COMPUTED_VALUE"""),"097-196-3339")</f>
        <v>097-196-3339</v>
      </c>
      <c r="R915" s="147" t="str">
        <f>IFERROR(__xludf.DUMMYFUNCTION("""COMPUTED_VALUE"""),"1-6405-00075-49-5")</f>
        <v>1-6405-00075-49-5</v>
      </c>
      <c r="S915" t="str">
        <f>IFERROR(__xludf.DUMMYFUNCTION("""COMPUTED_VALUE"""),"AD2169103")</f>
        <v>AD2169103</v>
      </c>
      <c r="T915" s="148">
        <f>IFERROR(__xludf.DUMMYFUNCTION("""COMPUTED_VALUE"""),45783.0)</f>
        <v>45783</v>
      </c>
      <c r="U915" s="152">
        <f>IFERROR(__xludf.DUMMYFUNCTION("""COMPUTED_VALUE"""),49434.0)</f>
        <v>49434</v>
      </c>
      <c r="V915" s="149">
        <f>IFERROR(__xludf.DUMMYFUNCTION("""COMPUTED_VALUE"""),49253.0)</f>
        <v>49253</v>
      </c>
      <c r="W915" t="str">
        <f>IFERROR(__xludf.DUMMYFUNCTION("""COMPUTED_VALUE"""),"ปลอดภัย")</f>
        <v>ปลอดภัย</v>
      </c>
      <c r="X915" t="str">
        <f>IFERROR(__xludf.DUMMYFUNCTION("""COMPUTED_VALUE"""),"Sukhothai Province")</f>
        <v>Sukhothai Province</v>
      </c>
      <c r="Y915" t="str">
        <f>IFERROR(__xludf.DUMMYFUNCTION("""COMPUTED_VALUE"""),"Bangkok")</f>
        <v>Bangkok</v>
      </c>
      <c r="Z915" t="str">
        <f>IFERROR(__xludf.DUMMYFUNCTION("""COMPUTED_VALUE"""),"081-394-4638")</f>
        <v>081-394-4638</v>
      </c>
      <c r="AA915" t="str">
        <f>IFERROR(__xludf.DUMMYFUNCTION("""COMPUTED_VALUE"""),"Somket Buree (Father)")</f>
        <v>Somket Buree (Father)</v>
      </c>
      <c r="AB915" t="str">
        <f>IFERROR(__xludf.DUMMYFUNCTION("""COMPUTED_VALUE"""),"jinnanatb@airasia.com")</f>
        <v>jinnanatb@airasia.com</v>
      </c>
    </row>
    <row r="916">
      <c r="A916">
        <f>IFERROR(__xludf.DUMMYFUNCTION("""COMPUTED_VALUE"""),1008894.0)</f>
        <v>1008894</v>
      </c>
      <c r="B916" t="str">
        <f>IFERROR(__xludf.DUMMYFUNCTION("""COMPUTED_VALUE"""),"Mr.")</f>
        <v>Mr.</v>
      </c>
      <c r="C916" t="str">
        <f>IFERROR(__xludf.DUMMYFUNCTION("""COMPUTED_VALUE"""),"Piyaphong")</f>
        <v>Piyaphong</v>
      </c>
      <c r="D916" t="str">
        <f>IFERROR(__xludf.DUMMYFUNCTION("""COMPUTED_VALUE"""),"Hongsiri")</f>
        <v>Hongsiri</v>
      </c>
      <c r="E916" t="str">
        <f>IFERROR(__xludf.DUMMYFUNCTION("""COMPUTED_VALUE"""),"Piyaphong Hongsiri")</f>
        <v>Piyaphong Hongsiri</v>
      </c>
      <c r="F916" t="str">
        <f>IFERROR(__xludf.DUMMYFUNCTION("""COMPUTED_VALUE"""),"นาย")</f>
        <v>นาย</v>
      </c>
      <c r="G916" t="str">
        <f>IFERROR(__xludf.DUMMYFUNCTION("""COMPUTED_VALUE"""),"ปิยะพงษ์")</f>
        <v>ปิยะพงษ์</v>
      </c>
      <c r="H916" t="str">
        <f>IFERROR(__xludf.DUMMYFUNCTION("""COMPUTED_VALUE"""),"หงษ์ศิริ")</f>
        <v>หงษ์ศิริ</v>
      </c>
      <c r="I916" t="str">
        <f>IFERROR(__xludf.DUMMYFUNCTION("""COMPUTED_VALUE"""),"ปิยะพงษ์ หงษ์ศิริ")</f>
        <v>ปิยะพงษ์ หงษ์ศิริ</v>
      </c>
      <c r="J916" t="str">
        <f>IFERROR(__xludf.DUMMYFUNCTION("""COMPUTED_VALUE"""),"Tump / ตั้ม")</f>
        <v>Tump / ตั้ม</v>
      </c>
      <c r="K916" t="str">
        <f>IFERROR(__xludf.DUMMYFUNCTION("""COMPUTED_VALUE"""),"Cabin Crew")</f>
        <v>Cabin Crew</v>
      </c>
      <c r="L916" t="str">
        <f>IFERROR(__xludf.DUMMYFUNCTION("""COMPUTED_VALUE"""),"DMK")</f>
        <v>DMK</v>
      </c>
      <c r="M916" s="145" t="str">
        <f>IFERROR(__xludf.DUMMYFUNCTION("""COMPUTED_VALUE"""),"Up Home")</f>
        <v>Up Home</v>
      </c>
      <c r="N916" t="str">
        <f>IFERROR(__xludf.DUMMYFUNCTION("""COMPUTED_VALUE"""),"Active")</f>
        <v>Active</v>
      </c>
      <c r="P916" s="143">
        <f>IFERROR(__xludf.DUMMYFUNCTION("""COMPUTED_VALUE"""),32788.0)</f>
        <v>32788</v>
      </c>
      <c r="Q916" s="146" t="str">
        <f>IFERROR(__xludf.DUMMYFUNCTION("""COMPUTED_VALUE"""),"061-951-4642")</f>
        <v>061-951-4642</v>
      </c>
      <c r="R916" s="147" t="str">
        <f>IFERROR(__xludf.DUMMYFUNCTION("""COMPUTED_VALUE"""),"1-2504-00176-29-3")</f>
        <v>1-2504-00176-29-3</v>
      </c>
      <c r="S916" t="str">
        <f>IFERROR(__xludf.DUMMYFUNCTION("""COMPUTED_VALUE"""),"AC7230531")</f>
        <v>AC7230531</v>
      </c>
      <c r="T916" s="148">
        <f>IFERROR(__xludf.DUMMYFUNCTION("""COMPUTED_VALUE"""),45623.0)</f>
        <v>45623</v>
      </c>
      <c r="U916" s="148">
        <f>IFERROR(__xludf.DUMMYFUNCTION("""COMPUTED_VALUE"""),49274.0)</f>
        <v>49274</v>
      </c>
      <c r="V916" s="149">
        <f>IFERROR(__xludf.DUMMYFUNCTION("""COMPUTED_VALUE"""),49090.0)</f>
        <v>49090</v>
      </c>
      <c r="W916" t="str">
        <f>IFERROR(__xludf.DUMMYFUNCTION("""COMPUTED_VALUE"""),"ปลอดภัย")</f>
        <v>ปลอดภัย</v>
      </c>
      <c r="X916" t="str">
        <f>IFERROR(__xludf.DUMMYFUNCTION("""COMPUTED_VALUE"""),"Prachinburi Province")</f>
        <v>Prachinburi Province</v>
      </c>
      <c r="Y916" t="str">
        <f>IFERROR(__xludf.DUMMYFUNCTION("""COMPUTED_VALUE"""),"Bangkok")</f>
        <v>Bangkok</v>
      </c>
      <c r="Z916" t="str">
        <f>IFERROR(__xludf.DUMMYFUNCTION("""COMPUTED_VALUE"""),"081-8070594")</f>
        <v>081-8070594</v>
      </c>
      <c r="AA916" t="str">
        <f>IFERROR(__xludf.DUMMYFUNCTION("""COMPUTED_VALUE"""),"Thongpoon Hongsiri (Father)")</f>
        <v>Thongpoon Hongsiri (Father)</v>
      </c>
      <c r="AB916" t="str">
        <f>IFERROR(__xludf.DUMMYFUNCTION("""COMPUTED_VALUE"""),"piyaphongh@airasia.com")</f>
        <v>piyaphongh@airasia.com</v>
      </c>
    </row>
    <row r="917">
      <c r="A917">
        <f>IFERROR(__xludf.DUMMYFUNCTION("""COMPUTED_VALUE"""),1022754.0)</f>
        <v>1022754</v>
      </c>
      <c r="B917" t="str">
        <f>IFERROR(__xludf.DUMMYFUNCTION("""COMPUTED_VALUE"""),"Ms.")</f>
        <v>Ms.</v>
      </c>
      <c r="C917" t="str">
        <f>IFERROR(__xludf.DUMMYFUNCTION("""COMPUTED_VALUE"""),"Pawina")</f>
        <v>Pawina</v>
      </c>
      <c r="D917" t="str">
        <f>IFERROR(__xludf.DUMMYFUNCTION("""COMPUTED_VALUE"""),"Jiradilokporn")</f>
        <v>Jiradilokporn</v>
      </c>
      <c r="E917" t="str">
        <f>IFERROR(__xludf.DUMMYFUNCTION("""COMPUTED_VALUE"""),"Pawina Jiradilokporn")</f>
        <v>Pawina Jiradilokporn</v>
      </c>
      <c r="F917" t="str">
        <f>IFERROR(__xludf.DUMMYFUNCTION("""COMPUTED_VALUE"""),"นางสาว")</f>
        <v>นางสาว</v>
      </c>
      <c r="G917" t="str">
        <f>IFERROR(__xludf.DUMMYFUNCTION("""COMPUTED_VALUE"""),"ปวีณา")</f>
        <v>ปวีณา</v>
      </c>
      <c r="H917" t="str">
        <f>IFERROR(__xludf.DUMMYFUNCTION("""COMPUTED_VALUE"""),"จิรดิลกพร")</f>
        <v>จิรดิลกพร</v>
      </c>
      <c r="I917" t="str">
        <f>IFERROR(__xludf.DUMMYFUNCTION("""COMPUTED_VALUE"""),"ปวีณา จิรดิลกพร")</f>
        <v>ปวีณา จิรดิลกพร</v>
      </c>
      <c r="J917" t="str">
        <f>IFERROR(__xludf.DUMMYFUNCTION("""COMPUTED_VALUE"""),"Wina / วีณา")</f>
        <v>Wina / วีณา</v>
      </c>
      <c r="K917" t="str">
        <f>IFERROR(__xludf.DUMMYFUNCTION("""COMPUTED_VALUE"""),"Cabin Crew")</f>
        <v>Cabin Crew</v>
      </c>
      <c r="L917" t="str">
        <f>IFERROR(__xludf.DUMMYFUNCTION("""COMPUTED_VALUE"""),"DMK")</f>
        <v>DMK</v>
      </c>
      <c r="M917" s="145" t="str">
        <f>IFERROR(__xludf.DUMMYFUNCTION("""COMPUTED_VALUE"""),"Um Home")</f>
        <v>Um Home</v>
      </c>
      <c r="N917" t="str">
        <f>IFERROR(__xludf.DUMMYFUNCTION("""COMPUTED_VALUE"""),"Active")</f>
        <v>Active</v>
      </c>
      <c r="P917" s="143">
        <f>IFERROR(__xludf.DUMMYFUNCTION("""COMPUTED_VALUE"""),34340.0)</f>
        <v>34340</v>
      </c>
      <c r="Q917" s="146" t="str">
        <f>IFERROR(__xludf.DUMMYFUNCTION("""COMPUTED_VALUE"""),"089-444-4914")</f>
        <v>089-444-4914</v>
      </c>
      <c r="R917" s="147" t="str">
        <f>IFERROR(__xludf.DUMMYFUNCTION("""COMPUTED_VALUE"""),"1-1020-02052-56-2")</f>
        <v>1-1020-02052-56-2</v>
      </c>
      <c r="S917" t="str">
        <f>IFERROR(__xludf.DUMMYFUNCTION("""COMPUTED_VALUE"""),"AC2938464")</f>
        <v>AC2938464</v>
      </c>
      <c r="T917" s="148">
        <f>IFERROR(__xludf.DUMMYFUNCTION("""COMPUTED_VALUE"""),44630.0)</f>
        <v>44630</v>
      </c>
      <c r="U917" s="148">
        <f>IFERROR(__xludf.DUMMYFUNCTION("""COMPUTED_VALUE"""),48282.0)</f>
        <v>48282</v>
      </c>
      <c r="V917" s="149">
        <f>IFERROR(__xludf.DUMMYFUNCTION("""COMPUTED_VALUE"""),48100.0)</f>
        <v>48100</v>
      </c>
      <c r="W917" t="str">
        <f>IFERROR(__xludf.DUMMYFUNCTION("""COMPUTED_VALUE"""),"ปลอดภัย")</f>
        <v>ปลอดภัย</v>
      </c>
      <c r="X917" t="str">
        <f>IFERROR(__xludf.DUMMYFUNCTION("""COMPUTED_VALUE"""),"Bangkok")</f>
        <v>Bangkok</v>
      </c>
      <c r="Y917" t="str">
        <f>IFERROR(__xludf.DUMMYFUNCTION("""COMPUTED_VALUE"""),"Bangkok")</f>
        <v>Bangkok</v>
      </c>
      <c r="Z917" t="str">
        <f>IFERROR(__xludf.DUMMYFUNCTION("""COMPUTED_VALUE"""),"089-219-8771")</f>
        <v>089-219-8771</v>
      </c>
      <c r="AA917" t="str">
        <f>IFERROR(__xludf.DUMMYFUNCTION("""COMPUTED_VALUE"""),"Panorm Jiradilokporn (Mother)")</f>
        <v>Panorm Jiradilokporn (Mother)</v>
      </c>
      <c r="AB917" t="str">
        <f>IFERROR(__xludf.DUMMYFUNCTION("""COMPUTED_VALUE"""),"pawinajiradilokporn@airasia.com")</f>
        <v>pawinajiradilokporn@airasia.com</v>
      </c>
    </row>
    <row r="918">
      <c r="A918">
        <f>IFERROR(__xludf.DUMMYFUNCTION("""COMPUTED_VALUE"""),1022839.0)</f>
        <v>1022839</v>
      </c>
      <c r="B918" t="str">
        <f>IFERROR(__xludf.DUMMYFUNCTION("""COMPUTED_VALUE"""),"Ms.")</f>
        <v>Ms.</v>
      </c>
      <c r="C918" t="str">
        <f>IFERROR(__xludf.DUMMYFUNCTION("""COMPUTED_VALUE"""),"Apichaya")</f>
        <v>Apichaya</v>
      </c>
      <c r="D918" t="str">
        <f>IFERROR(__xludf.DUMMYFUNCTION("""COMPUTED_VALUE"""),"Wijitr")</f>
        <v>Wijitr</v>
      </c>
      <c r="E918" t="str">
        <f>IFERROR(__xludf.DUMMYFUNCTION("""COMPUTED_VALUE"""),"Apichaya Wijitr")</f>
        <v>Apichaya Wijitr</v>
      </c>
      <c r="F918" t="str">
        <f>IFERROR(__xludf.DUMMYFUNCTION("""COMPUTED_VALUE"""),"นางสาว")</f>
        <v>นางสาว</v>
      </c>
      <c r="G918" t="str">
        <f>IFERROR(__xludf.DUMMYFUNCTION("""COMPUTED_VALUE"""),"อภิชญา")</f>
        <v>อภิชญา</v>
      </c>
      <c r="H918" t="str">
        <f>IFERROR(__xludf.DUMMYFUNCTION("""COMPUTED_VALUE"""),"วิจิตร")</f>
        <v>วิจิตร</v>
      </c>
      <c r="I918" t="str">
        <f>IFERROR(__xludf.DUMMYFUNCTION("""COMPUTED_VALUE"""),"อภิชญา วิจิตร")</f>
        <v>อภิชญา วิจิตร</v>
      </c>
      <c r="J918" t="str">
        <f>IFERROR(__xludf.DUMMYFUNCTION("""COMPUTED_VALUE"""),"Cream/ครีม")</f>
        <v>Cream/ครีม</v>
      </c>
      <c r="K918" t="str">
        <f>IFERROR(__xludf.DUMMYFUNCTION("""COMPUTED_VALUE"""),"Cabin Crew")</f>
        <v>Cabin Crew</v>
      </c>
      <c r="L918" t="str">
        <f>IFERROR(__xludf.DUMMYFUNCTION("""COMPUTED_VALUE"""),"DMK")</f>
        <v>DMK</v>
      </c>
      <c r="M918" s="145" t="str">
        <f>IFERROR(__xludf.DUMMYFUNCTION("""COMPUTED_VALUE"""),"Um Home")</f>
        <v>Um Home</v>
      </c>
      <c r="N918" t="str">
        <f>IFERROR(__xludf.DUMMYFUNCTION("""COMPUTED_VALUE"""),"Active")</f>
        <v>Active</v>
      </c>
      <c r="P918" s="143">
        <f>IFERROR(__xludf.DUMMYFUNCTION("""COMPUTED_VALUE"""),34397.0)</f>
        <v>34397</v>
      </c>
      <c r="Q918" s="146" t="str">
        <f>IFERROR(__xludf.DUMMYFUNCTION("""COMPUTED_VALUE"""),"090-993-6022")</f>
        <v>090-993-6022</v>
      </c>
      <c r="R918" s="147" t="str">
        <f>IFERROR(__xludf.DUMMYFUNCTION("""COMPUTED_VALUE"""),"1-2097-00526-92-1")</f>
        <v>1-2097-00526-92-1</v>
      </c>
      <c r="S918" t="str">
        <f>IFERROR(__xludf.DUMMYFUNCTION("""COMPUTED_VALUE"""),"AC2612357")</f>
        <v>AC2612357</v>
      </c>
      <c r="T918" s="148">
        <f>IFERROR(__xludf.DUMMYFUNCTION("""COMPUTED_VALUE"""),44539.0)</f>
        <v>44539</v>
      </c>
      <c r="U918" s="148">
        <f>IFERROR(__xludf.DUMMYFUNCTION("""COMPUTED_VALUE"""),48190.0)</f>
        <v>48190</v>
      </c>
      <c r="V918" s="149">
        <f>IFERROR(__xludf.DUMMYFUNCTION("""COMPUTED_VALUE"""),48007.0)</f>
        <v>48007</v>
      </c>
      <c r="W918" t="str">
        <f>IFERROR(__xludf.DUMMYFUNCTION("""COMPUTED_VALUE"""),"ปลอดภัย")</f>
        <v>ปลอดภัย</v>
      </c>
      <c r="X918" t="str">
        <f>IFERROR(__xludf.DUMMYFUNCTION("""COMPUTED_VALUE"""),"Chonburi Province")</f>
        <v>Chonburi Province</v>
      </c>
      <c r="Y918" t="str">
        <f>IFERROR(__xludf.DUMMYFUNCTION("""COMPUTED_VALUE"""),"Bangkok")</f>
        <v>Bangkok</v>
      </c>
      <c r="Z918" t="str">
        <f>IFERROR(__xludf.DUMMYFUNCTION("""COMPUTED_VALUE"""),"089 939 4407")</f>
        <v>089 939 4407</v>
      </c>
      <c r="AA918" t="str">
        <f>IFERROR(__xludf.DUMMYFUNCTION("""COMPUTED_VALUE"""),"Wasana Wijitr (Mother)")</f>
        <v>Wasana Wijitr (Mother)</v>
      </c>
      <c r="AB918" t="str">
        <f>IFERROR(__xludf.DUMMYFUNCTION("""COMPUTED_VALUE"""),"apichayawijitr@airasia.com")</f>
        <v>apichayawijitr@airasia.com</v>
      </c>
    </row>
    <row r="919">
      <c r="A919">
        <f>IFERROR(__xludf.DUMMYFUNCTION("""COMPUTED_VALUE"""),1022845.0)</f>
        <v>1022845</v>
      </c>
      <c r="B919" t="str">
        <f>IFERROR(__xludf.DUMMYFUNCTION("""COMPUTED_VALUE"""),"Ms.")</f>
        <v>Ms.</v>
      </c>
      <c r="C919" t="str">
        <f>IFERROR(__xludf.DUMMYFUNCTION("""COMPUTED_VALUE"""),"Phattharasiri")</f>
        <v>Phattharasiri</v>
      </c>
      <c r="D919" t="str">
        <f>IFERROR(__xludf.DUMMYFUNCTION("""COMPUTED_VALUE"""),"Kamkhow")</f>
        <v>Kamkhow</v>
      </c>
      <c r="E919" t="str">
        <f>IFERROR(__xludf.DUMMYFUNCTION("""COMPUTED_VALUE"""),"Phattharasiri Kamkhow")</f>
        <v>Phattharasiri Kamkhow</v>
      </c>
      <c r="F919" t="str">
        <f>IFERROR(__xludf.DUMMYFUNCTION("""COMPUTED_VALUE"""),"นางสาว")</f>
        <v>นางสาว</v>
      </c>
      <c r="G919" t="str">
        <f>IFERROR(__xludf.DUMMYFUNCTION("""COMPUTED_VALUE"""),"ภัทรสิริ")</f>
        <v>ภัทรสิริ</v>
      </c>
      <c r="H919" t="str">
        <f>IFERROR(__xludf.DUMMYFUNCTION("""COMPUTED_VALUE"""),"คำขาว")</f>
        <v>คำขาว</v>
      </c>
      <c r="I919" t="str">
        <f>IFERROR(__xludf.DUMMYFUNCTION("""COMPUTED_VALUE"""),"ภัทรสิริ คำขาว")</f>
        <v>ภัทรสิริ คำขาว</v>
      </c>
      <c r="J919" t="str">
        <f>IFERROR(__xludf.DUMMYFUNCTION("""COMPUTED_VALUE"""),"Bee / บี")</f>
        <v>Bee / บี</v>
      </c>
      <c r="K919" t="str">
        <f>IFERROR(__xludf.DUMMYFUNCTION("""COMPUTED_VALUE"""),"Cabin Crew")</f>
        <v>Cabin Crew</v>
      </c>
      <c r="L919" t="str">
        <f>IFERROR(__xludf.DUMMYFUNCTION("""COMPUTED_VALUE"""),"DMK")</f>
        <v>DMK</v>
      </c>
      <c r="M919" s="145" t="str">
        <f>IFERROR(__xludf.DUMMYFUNCTION("""COMPUTED_VALUE"""),"Kor Home")</f>
        <v>Kor Home</v>
      </c>
      <c r="N919" t="str">
        <f>IFERROR(__xludf.DUMMYFUNCTION("""COMPUTED_VALUE"""),"Active")</f>
        <v>Active</v>
      </c>
      <c r="P919" s="143">
        <f>IFERROR(__xludf.DUMMYFUNCTION("""COMPUTED_VALUE"""),33107.0)</f>
        <v>33107</v>
      </c>
      <c r="Q919" s="146" t="str">
        <f>IFERROR(__xludf.DUMMYFUNCTION("""COMPUTED_VALUE"""),"064-659-2442")</f>
        <v>064-659-2442</v>
      </c>
      <c r="R919" s="147" t="str">
        <f>IFERROR(__xludf.DUMMYFUNCTION("""COMPUTED_VALUE"""),"1-1802-00059-72-3")</f>
        <v>1-1802-00059-72-3</v>
      </c>
      <c r="S919" t="str">
        <f>IFERROR(__xludf.DUMMYFUNCTION("""COMPUTED_VALUE"""),"AD1572812")</f>
        <v>AD1572812</v>
      </c>
      <c r="T919" s="148">
        <f>IFERROR(__xludf.DUMMYFUNCTION("""COMPUTED_VALUE"""),45306.0)</f>
        <v>45306</v>
      </c>
      <c r="U919" s="148">
        <f>IFERROR(__xludf.DUMMYFUNCTION("""COMPUTED_VALUE"""),48958.0)</f>
        <v>48958</v>
      </c>
      <c r="V919" s="149">
        <f>IFERROR(__xludf.DUMMYFUNCTION("""COMPUTED_VALUE"""),48774.0)</f>
        <v>48774</v>
      </c>
      <c r="W919" t="str">
        <f>IFERROR(__xludf.DUMMYFUNCTION("""COMPUTED_VALUE"""),"ปลอดภัย")</f>
        <v>ปลอดภัย</v>
      </c>
      <c r="X919" t="str">
        <f>IFERROR(__xludf.DUMMYFUNCTION("""COMPUTED_VALUE"""),"Chainat Province")</f>
        <v>Chainat Province</v>
      </c>
      <c r="Y919" t="str">
        <f>IFERROR(__xludf.DUMMYFUNCTION("""COMPUTED_VALUE"""),"Bangkok")</f>
        <v>Bangkok</v>
      </c>
      <c r="Z919" t="str">
        <f>IFERROR(__xludf.DUMMYFUNCTION("""COMPUTED_VALUE"""),"081 674 5849")</f>
        <v>081 674 5849</v>
      </c>
      <c r="AA919" t="str">
        <f>IFERROR(__xludf.DUMMYFUNCTION("""COMPUTED_VALUE"""),"Jearjan Kamkhow (Mother)")</f>
        <v>Jearjan Kamkhow (Mother)</v>
      </c>
      <c r="AB919" t="str">
        <f>IFERROR(__xludf.DUMMYFUNCTION("""COMPUTED_VALUE"""),"phattharasirikamkhow@airasia.com")</f>
        <v>phattharasirikamkhow@airasia.com</v>
      </c>
    </row>
    <row r="920">
      <c r="A920">
        <f>IFERROR(__xludf.DUMMYFUNCTION("""COMPUTED_VALUE"""),1022846.0)</f>
        <v>1022846</v>
      </c>
      <c r="B920" t="str">
        <f>IFERROR(__xludf.DUMMYFUNCTION("""COMPUTED_VALUE"""),"Ms.")</f>
        <v>Ms.</v>
      </c>
      <c r="C920" t="str">
        <f>IFERROR(__xludf.DUMMYFUNCTION("""COMPUTED_VALUE"""),"Tattiya")</f>
        <v>Tattiya</v>
      </c>
      <c r="D920" t="str">
        <f>IFERROR(__xludf.DUMMYFUNCTION("""COMPUTED_VALUE"""),"Supannabut")</f>
        <v>Supannabut</v>
      </c>
      <c r="E920" t="str">
        <f>IFERROR(__xludf.DUMMYFUNCTION("""COMPUTED_VALUE"""),"Tattiya Supannabut")</f>
        <v>Tattiya Supannabut</v>
      </c>
      <c r="F920" t="str">
        <f>IFERROR(__xludf.DUMMYFUNCTION("""COMPUTED_VALUE"""),"นางสาว")</f>
        <v>นางสาว</v>
      </c>
      <c r="G920" t="str">
        <f>IFERROR(__xludf.DUMMYFUNCTION("""COMPUTED_VALUE"""),"ทัตติยา")</f>
        <v>ทัตติยา</v>
      </c>
      <c r="H920" t="str">
        <f>IFERROR(__xludf.DUMMYFUNCTION("""COMPUTED_VALUE"""),"สุพรรณบัฏ")</f>
        <v>สุพรรณบัฏ</v>
      </c>
      <c r="I920" t="str">
        <f>IFERROR(__xludf.DUMMYFUNCTION("""COMPUTED_VALUE"""),"ทัตติยา สุพรรณบัฏ")</f>
        <v>ทัตติยา สุพรรณบัฏ</v>
      </c>
      <c r="J920" t="str">
        <f>IFERROR(__xludf.DUMMYFUNCTION("""COMPUTED_VALUE"""),"Senmee / เส้นหมี่")</f>
        <v>Senmee / เส้นหมี่</v>
      </c>
      <c r="K920" t="str">
        <f>IFERROR(__xludf.DUMMYFUNCTION("""COMPUTED_VALUE"""),"Cabin Crew - BKK")</f>
        <v>Cabin Crew - BKK</v>
      </c>
      <c r="L920" t="str">
        <f>IFERROR(__xludf.DUMMYFUNCTION("""COMPUTED_VALUE"""),"BKK")</f>
        <v>BKK</v>
      </c>
      <c r="M920" s="145" t="str">
        <f>IFERROR(__xludf.DUMMYFUNCTION("""COMPUTED_VALUE"""),"Nhui Home")</f>
        <v>Nhui Home</v>
      </c>
      <c r="N920" t="str">
        <f>IFERROR(__xludf.DUMMYFUNCTION("""COMPUTED_VALUE"""),"Active")</f>
        <v>Active</v>
      </c>
      <c r="P920" s="143">
        <f>IFERROR(__xludf.DUMMYFUNCTION("""COMPUTED_VALUE"""),33397.0)</f>
        <v>33397</v>
      </c>
      <c r="Q920" s="146" t="str">
        <f>IFERROR(__xludf.DUMMYFUNCTION("""COMPUTED_VALUE"""),"088-078-9955")</f>
        <v>088-078-9955</v>
      </c>
      <c r="R920" s="147" t="str">
        <f>IFERROR(__xludf.DUMMYFUNCTION("""COMPUTED_VALUE"""),"1-1037-00478-69-8")</f>
        <v>1-1037-00478-69-8</v>
      </c>
      <c r="S920" t="str">
        <f>IFERROR(__xludf.DUMMYFUNCTION("""COMPUTED_VALUE"""),"AC6741308")</f>
        <v>AC6741308</v>
      </c>
      <c r="T920" s="148">
        <f>IFERROR(__xludf.DUMMYFUNCTION("""COMPUTED_VALUE"""),45420.0)</f>
        <v>45420</v>
      </c>
      <c r="U920" s="148">
        <f>IFERROR(__xludf.DUMMYFUNCTION("""COMPUTED_VALUE"""),49071.0)</f>
        <v>49071</v>
      </c>
      <c r="V920" s="149">
        <f>IFERROR(__xludf.DUMMYFUNCTION("""COMPUTED_VALUE"""),48890.0)</f>
        <v>48890</v>
      </c>
      <c r="W920" t="str">
        <f>IFERROR(__xludf.DUMMYFUNCTION("""COMPUTED_VALUE"""),"ปลอดภัย")</f>
        <v>ปลอดภัย</v>
      </c>
      <c r="X920" t="str">
        <f>IFERROR(__xludf.DUMMYFUNCTION("""COMPUTED_VALUE"""),"Bangkok")</f>
        <v>Bangkok</v>
      </c>
      <c r="Y920" t="str">
        <f>IFERROR(__xludf.DUMMYFUNCTION("""COMPUTED_VALUE"""),"Bangkok")</f>
        <v>Bangkok</v>
      </c>
      <c r="Z920" t="str">
        <f>IFERROR(__xludf.DUMMYFUNCTION("""COMPUTED_VALUE"""),"087-075-2590")</f>
        <v>087-075-2590</v>
      </c>
      <c r="AA920" t="str">
        <f>IFERROR(__xludf.DUMMYFUNCTION("""COMPUTED_VALUE"""),"Aungsunee Supannabut (Mother)")</f>
        <v>Aungsunee Supannabut (Mother)</v>
      </c>
      <c r="AB920" t="str">
        <f>IFERROR(__xludf.DUMMYFUNCTION("""COMPUTED_VALUE"""),"tattiyasupannabut@airasia.com")</f>
        <v>tattiyasupannabut@airasia.com</v>
      </c>
    </row>
    <row r="921">
      <c r="A921">
        <f>IFERROR(__xludf.DUMMYFUNCTION("""COMPUTED_VALUE"""),1022847.0)</f>
        <v>1022847</v>
      </c>
      <c r="B921" t="str">
        <f>IFERROR(__xludf.DUMMYFUNCTION("""COMPUTED_VALUE"""),"Ms.")</f>
        <v>Ms.</v>
      </c>
      <c r="C921" t="str">
        <f>IFERROR(__xludf.DUMMYFUNCTION("""COMPUTED_VALUE"""),"Natchapapha")</f>
        <v>Natchapapha</v>
      </c>
      <c r="D921" t="str">
        <f>IFERROR(__xludf.DUMMYFUNCTION("""COMPUTED_VALUE"""),"Surakhunthod")</f>
        <v>Surakhunthod</v>
      </c>
      <c r="E921" t="str">
        <f>IFERROR(__xludf.DUMMYFUNCTION("""COMPUTED_VALUE"""),"Natchapapha Surakhunthod")</f>
        <v>Natchapapha Surakhunthod</v>
      </c>
      <c r="F921" t="str">
        <f>IFERROR(__xludf.DUMMYFUNCTION("""COMPUTED_VALUE"""),"นางสาว")</f>
        <v>นางสาว</v>
      </c>
      <c r="G921" t="str">
        <f>IFERROR(__xludf.DUMMYFUNCTION("""COMPUTED_VALUE"""),"ณัชปภา")</f>
        <v>ณัชปภา</v>
      </c>
      <c r="H921" t="str">
        <f>IFERROR(__xludf.DUMMYFUNCTION("""COMPUTED_VALUE"""),"สุระขุนทด")</f>
        <v>สุระขุนทด</v>
      </c>
      <c r="I921" t="str">
        <f>IFERROR(__xludf.DUMMYFUNCTION("""COMPUTED_VALUE"""),"ณัชปภา สุระขุนทด")</f>
        <v>ณัชปภา สุระขุนทด</v>
      </c>
      <c r="J921" t="str">
        <f>IFERROR(__xludf.DUMMYFUNCTION("""COMPUTED_VALUE"""),"Teaw/แต้ว")</f>
        <v>Teaw/แต้ว</v>
      </c>
      <c r="K921" t="str">
        <f>IFERROR(__xludf.DUMMYFUNCTION("""COMPUTED_VALUE"""),"Cabin Crew - BKK")</f>
        <v>Cabin Crew - BKK</v>
      </c>
      <c r="L921" t="str">
        <f>IFERROR(__xludf.DUMMYFUNCTION("""COMPUTED_VALUE"""),"BKK")</f>
        <v>BKK</v>
      </c>
      <c r="M921" s="145" t="str">
        <f>IFERROR(__xludf.DUMMYFUNCTION("""COMPUTED_VALUE"""),"Nhui Home")</f>
        <v>Nhui Home</v>
      </c>
      <c r="N921" t="str">
        <f>IFERROR(__xludf.DUMMYFUNCTION("""COMPUTED_VALUE"""),"Active")</f>
        <v>Active</v>
      </c>
      <c r="P921" s="143">
        <f>IFERROR(__xludf.DUMMYFUNCTION("""COMPUTED_VALUE"""),32588.0)</f>
        <v>32588</v>
      </c>
      <c r="Q921" s="146" t="str">
        <f>IFERROR(__xludf.DUMMYFUNCTION("""COMPUTED_VALUE"""),"098-096-5636")</f>
        <v>098-096-5636</v>
      </c>
      <c r="R921" s="147" t="str">
        <f>IFERROR(__xludf.DUMMYFUNCTION("""COMPUTED_VALUE"""),"1-3607-00055-23-7")</f>
        <v>1-3607-00055-23-7</v>
      </c>
      <c r="S921" t="str">
        <f>IFERROR(__xludf.DUMMYFUNCTION("""COMPUTED_VALUE"""),"AD1462658")</f>
        <v>AD1462658</v>
      </c>
      <c r="T921" s="148">
        <f>IFERROR(__xludf.DUMMYFUNCTION("""COMPUTED_VALUE"""),45243.0)</f>
        <v>45243</v>
      </c>
      <c r="U921" s="148">
        <f>IFERROR(__xludf.DUMMYFUNCTION("""COMPUTED_VALUE"""),48895.0)</f>
        <v>48895</v>
      </c>
      <c r="V921" s="149">
        <f>IFERROR(__xludf.DUMMYFUNCTION("""COMPUTED_VALUE"""),48711.0)</f>
        <v>48711</v>
      </c>
      <c r="W921" t="str">
        <f>IFERROR(__xludf.DUMMYFUNCTION("""COMPUTED_VALUE"""),"ปลอดภัย")</f>
        <v>ปลอดภัย</v>
      </c>
      <c r="X921" t="str">
        <f>IFERROR(__xludf.DUMMYFUNCTION("""COMPUTED_VALUE"""),"Chaiyaphum Province")</f>
        <v>Chaiyaphum Province</v>
      </c>
      <c r="Y921" t="str">
        <f>IFERROR(__xludf.DUMMYFUNCTION("""COMPUTED_VALUE"""),"Bangkok")</f>
        <v>Bangkok</v>
      </c>
      <c r="Z921" t="str">
        <f>IFERROR(__xludf.DUMMYFUNCTION("""COMPUTED_VALUE"""),"086-0038619")</f>
        <v>086-0038619</v>
      </c>
      <c r="AA921" t="str">
        <f>IFERROR(__xludf.DUMMYFUNCTION("""COMPUTED_VALUE"""),"Kamdee Surakhunthod (Mother)")</f>
        <v>Kamdee Surakhunthod (Mother)</v>
      </c>
      <c r="AB921" t="str">
        <f>IFERROR(__xludf.DUMMYFUNCTION("""COMPUTED_VALUE"""),"natchapaphasurakhun@airasia.com")</f>
        <v>natchapaphasurakhun@airasia.com</v>
      </c>
    </row>
    <row r="922">
      <c r="A922">
        <f>IFERROR(__xludf.DUMMYFUNCTION("""COMPUTED_VALUE"""),1022848.0)</f>
        <v>1022848</v>
      </c>
      <c r="B922" t="str">
        <f>IFERROR(__xludf.DUMMYFUNCTION("""COMPUTED_VALUE"""),"Ms.")</f>
        <v>Ms.</v>
      </c>
      <c r="C922" t="str">
        <f>IFERROR(__xludf.DUMMYFUNCTION("""COMPUTED_VALUE"""),"Danita")</f>
        <v>Danita</v>
      </c>
      <c r="D922" t="str">
        <f>IFERROR(__xludf.DUMMYFUNCTION("""COMPUTED_VALUE"""),"Prakrittipong")</f>
        <v>Prakrittipong</v>
      </c>
      <c r="E922" t="str">
        <f>IFERROR(__xludf.DUMMYFUNCTION("""COMPUTED_VALUE"""),"Danita Prakrittipong")</f>
        <v>Danita Prakrittipong</v>
      </c>
      <c r="F922" t="str">
        <f>IFERROR(__xludf.DUMMYFUNCTION("""COMPUTED_VALUE"""),"นางสาว")</f>
        <v>นางสาว</v>
      </c>
      <c r="G922" t="str">
        <f>IFERROR(__xludf.DUMMYFUNCTION("""COMPUTED_VALUE"""),"ดนิตา")</f>
        <v>ดนิตา</v>
      </c>
      <c r="H922" t="str">
        <f>IFERROR(__xludf.DUMMYFUNCTION("""COMPUTED_VALUE"""),"ประกฤติพงศ์")</f>
        <v>ประกฤติพงศ์</v>
      </c>
      <c r="I922" t="str">
        <f>IFERROR(__xludf.DUMMYFUNCTION("""COMPUTED_VALUE"""),"ดนิตา ประกฤติพงศ์")</f>
        <v>ดนิตา ประกฤติพงศ์</v>
      </c>
      <c r="J922" t="str">
        <f>IFERROR(__xludf.DUMMYFUNCTION("""COMPUTED_VALUE"""),"Dew / ดิว")</f>
        <v>Dew / ดิว</v>
      </c>
      <c r="K922" t="str">
        <f>IFERROR(__xludf.DUMMYFUNCTION("""COMPUTED_VALUE"""),"Cabin Crew")</f>
        <v>Cabin Crew</v>
      </c>
      <c r="L922" t="str">
        <f>IFERROR(__xludf.DUMMYFUNCTION("""COMPUTED_VALUE"""),"DMK")</f>
        <v>DMK</v>
      </c>
      <c r="M922" s="145" t="str">
        <f>IFERROR(__xludf.DUMMYFUNCTION("""COMPUTED_VALUE"""),"Toffy Home")</f>
        <v>Toffy Home</v>
      </c>
      <c r="N922" t="str">
        <f>IFERROR(__xludf.DUMMYFUNCTION("""COMPUTED_VALUE"""),"Active")</f>
        <v>Active</v>
      </c>
      <c r="P922" s="143">
        <f>IFERROR(__xludf.DUMMYFUNCTION("""COMPUTED_VALUE"""),33333.0)</f>
        <v>33333</v>
      </c>
      <c r="Q922" s="146" t="str">
        <f>IFERROR(__xludf.DUMMYFUNCTION("""COMPUTED_VALUE"""),"085-355-9693")</f>
        <v>085-355-9693</v>
      </c>
      <c r="R922" s="147" t="str">
        <f>IFERROR(__xludf.DUMMYFUNCTION("""COMPUTED_VALUE"""),"1-1028-00011-54-5")</f>
        <v>1-1028-00011-54-5</v>
      </c>
      <c r="S922" t="str">
        <f>IFERROR(__xludf.DUMMYFUNCTION("""COMPUTED_VALUE"""),"AC7711421")</f>
        <v>AC7711421</v>
      </c>
      <c r="T922" s="148">
        <f>IFERROR(__xludf.DUMMYFUNCTION("""COMPUTED_VALUE"""),45630.0)</f>
        <v>45630</v>
      </c>
      <c r="U922" s="148">
        <f>IFERROR(__xludf.DUMMYFUNCTION("""COMPUTED_VALUE"""),49281.0)</f>
        <v>49281</v>
      </c>
      <c r="V922" s="149">
        <f>IFERROR(__xludf.DUMMYFUNCTION("""COMPUTED_VALUE"""),49098.0)</f>
        <v>49098</v>
      </c>
      <c r="W922" t="str">
        <f>IFERROR(__xludf.DUMMYFUNCTION("""COMPUTED_VALUE"""),"ปลอดภัย")</f>
        <v>ปลอดภัย</v>
      </c>
      <c r="X922" t="str">
        <f>IFERROR(__xludf.DUMMYFUNCTION("""COMPUTED_VALUE"""),"Bangkok")</f>
        <v>Bangkok</v>
      </c>
      <c r="Y922" t="str">
        <f>IFERROR(__xludf.DUMMYFUNCTION("""COMPUTED_VALUE"""),"Bangkok")</f>
        <v>Bangkok</v>
      </c>
      <c r="Z922" t="str">
        <f>IFERROR(__xludf.DUMMYFUNCTION("""COMPUTED_VALUE"""),"080-591-9924")</f>
        <v>080-591-9924</v>
      </c>
      <c r="AA922" t="str">
        <f>IFERROR(__xludf.DUMMYFUNCTION("""COMPUTED_VALUE"""),"Siraluk Prakrittipong (Mother)")</f>
        <v>Siraluk Prakrittipong (Mother)</v>
      </c>
      <c r="AB922" t="str">
        <f>IFERROR(__xludf.DUMMYFUNCTION("""COMPUTED_VALUE"""),"danitaprakrittipong@airasia.com")</f>
        <v>danitaprakrittipong@airasia.com</v>
      </c>
    </row>
    <row r="923">
      <c r="A923">
        <f>IFERROR(__xludf.DUMMYFUNCTION("""COMPUTED_VALUE"""),1022858.0)</f>
        <v>1022858</v>
      </c>
      <c r="B923" t="str">
        <f>IFERROR(__xludf.DUMMYFUNCTION("""COMPUTED_VALUE"""),"Ms.")</f>
        <v>Ms.</v>
      </c>
      <c r="C923" t="str">
        <f>IFERROR(__xludf.DUMMYFUNCTION("""COMPUTED_VALUE"""),"Methakarn")</f>
        <v>Methakarn</v>
      </c>
      <c r="D923" t="str">
        <f>IFERROR(__xludf.DUMMYFUNCTION("""COMPUTED_VALUE"""),"Ratanamalaya")</f>
        <v>Ratanamalaya</v>
      </c>
      <c r="E923" t="str">
        <f>IFERROR(__xludf.DUMMYFUNCTION("""COMPUTED_VALUE"""),"Methakarn Ratanamalaya")</f>
        <v>Methakarn Ratanamalaya</v>
      </c>
      <c r="F923" t="str">
        <f>IFERROR(__xludf.DUMMYFUNCTION("""COMPUTED_VALUE"""),"นางสาว")</f>
        <v>นางสาว</v>
      </c>
      <c r="G923" t="str">
        <f>IFERROR(__xludf.DUMMYFUNCTION("""COMPUTED_VALUE"""),"เมธากาญจน์")</f>
        <v>เมธากาญจน์</v>
      </c>
      <c r="H923" t="str">
        <f>IFERROR(__xludf.DUMMYFUNCTION("""COMPUTED_VALUE"""),"รัตนมาลัย")</f>
        <v>รัตนมาลัย</v>
      </c>
      <c r="I923" t="str">
        <f>IFERROR(__xludf.DUMMYFUNCTION("""COMPUTED_VALUE"""),"เมธากาญจน์ รัตนมาลัย")</f>
        <v>เมธากาญจน์ รัตนมาลัย</v>
      </c>
      <c r="J923" t="str">
        <f>IFERROR(__xludf.DUMMYFUNCTION("""COMPUTED_VALUE"""),"Karnban / การบ้าน")</f>
        <v>Karnban / การบ้าน</v>
      </c>
      <c r="K923" t="str">
        <f>IFERROR(__xludf.DUMMYFUNCTION("""COMPUTED_VALUE"""),"Cabin Crew")</f>
        <v>Cabin Crew</v>
      </c>
      <c r="L923" t="str">
        <f>IFERROR(__xludf.DUMMYFUNCTION("""COMPUTED_VALUE"""),"DMK")</f>
        <v>DMK</v>
      </c>
      <c r="M923" s="145" t="str">
        <f>IFERROR(__xludf.DUMMYFUNCTION("""COMPUTED_VALUE"""),"Por+ Home")</f>
        <v>Por+ Home</v>
      </c>
      <c r="N923" t="str">
        <f>IFERROR(__xludf.DUMMYFUNCTION("""COMPUTED_VALUE"""),"Active")</f>
        <v>Active</v>
      </c>
      <c r="P923" s="143">
        <f>IFERROR(__xludf.DUMMYFUNCTION("""COMPUTED_VALUE"""),33025.0)</f>
        <v>33025</v>
      </c>
      <c r="Q923" s="146" t="str">
        <f>IFERROR(__xludf.DUMMYFUNCTION("""COMPUTED_VALUE"""),"091-151-9922")</f>
        <v>091-151-9922</v>
      </c>
      <c r="R923" s="147" t="str">
        <f>IFERROR(__xludf.DUMMYFUNCTION("""COMPUTED_VALUE"""),"1-3099-00594-14-8")</f>
        <v>1-3099-00594-14-8</v>
      </c>
      <c r="S923" t="str">
        <f>IFERROR(__xludf.DUMMYFUNCTION("""COMPUTED_VALUE"""),"AD2020404")</f>
        <v>AD2020404</v>
      </c>
      <c r="T923" s="148">
        <f>IFERROR(__xludf.DUMMYFUNCTION("""COMPUTED_VALUE"""),45453.0)</f>
        <v>45453</v>
      </c>
      <c r="U923" s="148">
        <f>IFERROR(__xludf.DUMMYFUNCTION("""COMPUTED_VALUE"""),49104.0)</f>
        <v>49104</v>
      </c>
      <c r="V923" s="149">
        <f>IFERROR(__xludf.DUMMYFUNCTION("""COMPUTED_VALUE"""),48922.0)</f>
        <v>48922</v>
      </c>
      <c r="W923" t="str">
        <f>IFERROR(__xludf.DUMMYFUNCTION("""COMPUTED_VALUE"""),"ปลอดภัย")</f>
        <v>ปลอดภัย</v>
      </c>
      <c r="X923" t="str">
        <f>IFERROR(__xludf.DUMMYFUNCTION("""COMPUTED_VALUE"""),"Nakhon Ratchasima Province")</f>
        <v>Nakhon Ratchasima Province</v>
      </c>
      <c r="Y923" t="str">
        <f>IFERROR(__xludf.DUMMYFUNCTION("""COMPUTED_VALUE"""),"Bangkok")</f>
        <v>Bangkok</v>
      </c>
      <c r="Z923" t="str">
        <f>IFERROR(__xludf.DUMMYFUNCTION("""COMPUTED_VALUE"""),"081-455-5412")</f>
        <v>081-455-5412</v>
      </c>
      <c r="AA923" t="str">
        <f>IFERROR(__xludf.DUMMYFUNCTION("""COMPUTED_VALUE"""),"Oranuch Ratanamalaya (Mother)")</f>
        <v>Oranuch Ratanamalaya (Mother)</v>
      </c>
      <c r="AB923" t="str">
        <f>IFERROR(__xludf.DUMMYFUNCTION("""COMPUTED_VALUE"""),"methakarnratanamala@airasia.com")</f>
        <v>methakarnratanamala@airasia.com</v>
      </c>
    </row>
    <row r="924">
      <c r="A924">
        <f>IFERROR(__xludf.DUMMYFUNCTION("""COMPUTED_VALUE"""),1022983.0)</f>
        <v>1022983</v>
      </c>
      <c r="B924" t="str">
        <f>IFERROR(__xludf.DUMMYFUNCTION("""COMPUTED_VALUE"""),"Mr.")</f>
        <v>Mr.</v>
      </c>
      <c r="C924" t="str">
        <f>IFERROR(__xludf.DUMMYFUNCTION("""COMPUTED_VALUE"""),"Surapong")</f>
        <v>Surapong</v>
      </c>
      <c r="D924" t="str">
        <f>IFERROR(__xludf.DUMMYFUNCTION("""COMPUTED_VALUE"""),"Thongchinnawat")</f>
        <v>Thongchinnawat</v>
      </c>
      <c r="E924" t="str">
        <f>IFERROR(__xludf.DUMMYFUNCTION("""COMPUTED_VALUE"""),"Surapong Thongchinnawat")</f>
        <v>Surapong Thongchinnawat</v>
      </c>
      <c r="F924" t="str">
        <f>IFERROR(__xludf.DUMMYFUNCTION("""COMPUTED_VALUE"""),"นาย")</f>
        <v>นาย</v>
      </c>
      <c r="G924" t="str">
        <f>IFERROR(__xludf.DUMMYFUNCTION("""COMPUTED_VALUE"""),"สุรพงศ์")</f>
        <v>สุรพงศ์</v>
      </c>
      <c r="H924" t="str">
        <f>IFERROR(__xludf.DUMMYFUNCTION("""COMPUTED_VALUE"""),"ทองชินวัตร")</f>
        <v>ทองชินวัตร</v>
      </c>
      <c r="I924" t="str">
        <f>IFERROR(__xludf.DUMMYFUNCTION("""COMPUTED_VALUE"""),"สุรพงศ์ ทองชินวัตร")</f>
        <v>สุรพงศ์ ทองชินวัตร</v>
      </c>
      <c r="J924" t="str">
        <f>IFERROR(__xludf.DUMMYFUNCTION("""COMPUTED_VALUE"""),"Yai / ใหญ่")</f>
        <v>Yai / ใหญ่</v>
      </c>
      <c r="K924" t="str">
        <f>IFERROR(__xludf.DUMMYFUNCTION("""COMPUTED_VALUE"""),"Cabin Crew")</f>
        <v>Cabin Crew</v>
      </c>
      <c r="L924" t="str">
        <f>IFERROR(__xludf.DUMMYFUNCTION("""COMPUTED_VALUE"""),"DMK")</f>
        <v>DMK</v>
      </c>
      <c r="M924" s="145" t="str">
        <f>IFERROR(__xludf.DUMMYFUNCTION("""COMPUTED_VALUE"""),"Um Home")</f>
        <v>Um Home</v>
      </c>
      <c r="N924" t="str">
        <f>IFERROR(__xludf.DUMMYFUNCTION("""COMPUTED_VALUE"""),"Active")</f>
        <v>Active</v>
      </c>
      <c r="O924" t="str">
        <f>IFERROR(__xludf.DUMMYFUNCTION("""COMPUTED_VALUE"""),"Japanese Speaking")</f>
        <v>Japanese Speaking</v>
      </c>
      <c r="P924" s="143">
        <f>IFERROR(__xludf.DUMMYFUNCTION("""COMPUTED_VALUE"""),32648.0)</f>
        <v>32648</v>
      </c>
      <c r="Q924" s="146" t="str">
        <f>IFERROR(__xludf.DUMMYFUNCTION("""COMPUTED_VALUE"""),"095-462-1222")</f>
        <v>095-462-1222</v>
      </c>
      <c r="R924" s="147" t="str">
        <f>IFERROR(__xludf.DUMMYFUNCTION("""COMPUTED_VALUE"""),"1-1007-00988-98-7")</f>
        <v>1-1007-00988-98-7</v>
      </c>
      <c r="S924" t="str">
        <f>IFERROR(__xludf.DUMMYFUNCTION("""COMPUTED_VALUE"""),"AC2263837")</f>
        <v>AC2263837</v>
      </c>
      <c r="T924" s="148">
        <f>IFERROR(__xludf.DUMMYFUNCTION("""COMPUTED_VALUE"""),44327.0)</f>
        <v>44327</v>
      </c>
      <c r="U924" s="148">
        <f>IFERROR(__xludf.DUMMYFUNCTION("""COMPUTED_VALUE"""),47978.0)</f>
        <v>47978</v>
      </c>
      <c r="V924" s="149">
        <f>IFERROR(__xludf.DUMMYFUNCTION("""COMPUTED_VALUE"""),47797.0)</f>
        <v>47797</v>
      </c>
      <c r="W924" t="str">
        <f>IFERROR(__xludf.DUMMYFUNCTION("""COMPUTED_VALUE"""),"ปลอดภัย")</f>
        <v>ปลอดภัย</v>
      </c>
      <c r="X924" t="str">
        <f>IFERROR(__xludf.DUMMYFUNCTION("""COMPUTED_VALUE"""),"Bangkok")</f>
        <v>Bangkok</v>
      </c>
      <c r="Y924" t="str">
        <f>IFERROR(__xludf.DUMMYFUNCTION("""COMPUTED_VALUE"""),"Bangkok")</f>
        <v>Bangkok</v>
      </c>
      <c r="Z924" t="str">
        <f>IFERROR(__xludf.DUMMYFUNCTION("""COMPUTED_VALUE"""),"096-112-9420")</f>
        <v>096-112-9420</v>
      </c>
      <c r="AA924" t="str">
        <f>IFERROR(__xludf.DUMMYFUNCTION("""COMPUTED_VALUE"""),"Ms.Wila Thongchinnawat (mother)")</f>
        <v>Ms.Wila Thongchinnawat (mother)</v>
      </c>
      <c r="AB924" t="str">
        <f>IFERROR(__xludf.DUMMYFUNCTION("""COMPUTED_VALUE"""),"surapongthongchinna@airasia.com")</f>
        <v>surapongthongchinna@airasia.com</v>
      </c>
    </row>
    <row r="925">
      <c r="A925">
        <f>IFERROR(__xludf.DUMMYFUNCTION("""COMPUTED_VALUE"""),1022984.0)</f>
        <v>1022984</v>
      </c>
      <c r="B925" t="str">
        <f>IFERROR(__xludf.DUMMYFUNCTION("""COMPUTED_VALUE"""),"Ms.")</f>
        <v>Ms.</v>
      </c>
      <c r="C925" t="str">
        <f>IFERROR(__xludf.DUMMYFUNCTION("""COMPUTED_VALUE"""),"Pitsinee")</f>
        <v>Pitsinee</v>
      </c>
      <c r="D925" t="str">
        <f>IFERROR(__xludf.DUMMYFUNCTION("""COMPUTED_VALUE"""),"Diowvilai")</f>
        <v>Diowvilai</v>
      </c>
      <c r="E925" t="str">
        <f>IFERROR(__xludf.DUMMYFUNCTION("""COMPUTED_VALUE"""),"Pitsinee Diowvilai")</f>
        <v>Pitsinee Diowvilai</v>
      </c>
      <c r="F925" t="str">
        <f>IFERROR(__xludf.DUMMYFUNCTION("""COMPUTED_VALUE"""),"นางสาว")</f>
        <v>นางสาว</v>
      </c>
      <c r="G925" t="str">
        <f>IFERROR(__xludf.DUMMYFUNCTION("""COMPUTED_VALUE"""),"พิชญ์สินี")</f>
        <v>พิชญ์สินี</v>
      </c>
      <c r="H925" t="str">
        <f>IFERROR(__xludf.DUMMYFUNCTION("""COMPUTED_VALUE"""),"เดี่ยววิไล")</f>
        <v>เดี่ยววิไล</v>
      </c>
      <c r="I925" t="str">
        <f>IFERROR(__xludf.DUMMYFUNCTION("""COMPUTED_VALUE"""),"พิชญ์สินี เดี่ยววิไล")</f>
        <v>พิชญ์สินี เดี่ยววิไล</v>
      </c>
      <c r="J925" t="str">
        <f>IFERROR(__xludf.DUMMYFUNCTION("""COMPUTED_VALUE"""),"Nam / แนม")</f>
        <v>Nam / แนม</v>
      </c>
      <c r="K925" t="str">
        <f>IFERROR(__xludf.DUMMYFUNCTION("""COMPUTED_VALUE"""),"Cabin Crew - BKK")</f>
        <v>Cabin Crew - BKK</v>
      </c>
      <c r="L925" t="str">
        <f>IFERROR(__xludf.DUMMYFUNCTION("""COMPUTED_VALUE"""),"BKK")</f>
        <v>BKK</v>
      </c>
      <c r="M925" s="145" t="str">
        <f>IFERROR(__xludf.DUMMYFUNCTION("""COMPUTED_VALUE"""),"Nhui Home")</f>
        <v>Nhui Home</v>
      </c>
      <c r="N925" t="str">
        <f>IFERROR(__xludf.DUMMYFUNCTION("""COMPUTED_VALUE"""),"Active")</f>
        <v>Active</v>
      </c>
      <c r="P925" s="143">
        <f>IFERROR(__xludf.DUMMYFUNCTION("""COMPUTED_VALUE"""),33512.0)</f>
        <v>33512</v>
      </c>
      <c r="Q925" s="146" t="str">
        <f>IFERROR(__xludf.DUMMYFUNCTION("""COMPUTED_VALUE"""),"087-361-8696")</f>
        <v>087-361-8696</v>
      </c>
      <c r="R925" s="147" t="str">
        <f>IFERROR(__xludf.DUMMYFUNCTION("""COMPUTED_VALUE"""),"1-2001-00371-06-6")</f>
        <v>1-2001-00371-06-6</v>
      </c>
      <c r="S925" t="str">
        <f>IFERROR(__xludf.DUMMYFUNCTION("""COMPUTED_VALUE"""),"AD1138157")</f>
        <v>AD1138157</v>
      </c>
      <c r="T925" s="148">
        <f>IFERROR(__xludf.DUMMYFUNCTION("""COMPUTED_VALUE"""),45198.0)</f>
        <v>45198</v>
      </c>
      <c r="U925" s="148">
        <f>IFERROR(__xludf.DUMMYFUNCTION("""COMPUTED_VALUE"""),48850.0)</f>
        <v>48850</v>
      </c>
      <c r="V925" s="149">
        <f>IFERROR(__xludf.DUMMYFUNCTION("""COMPUTED_VALUE"""),48666.0)</f>
        <v>48666</v>
      </c>
      <c r="W925" t="str">
        <f>IFERROR(__xludf.DUMMYFUNCTION("""COMPUTED_VALUE"""),"ปลอดภัย")</f>
        <v>ปลอดภัย</v>
      </c>
      <c r="X925" t="str">
        <f>IFERROR(__xludf.DUMMYFUNCTION("""COMPUTED_VALUE"""),"Chonburi Province")</f>
        <v>Chonburi Province</v>
      </c>
      <c r="Y925" t="str">
        <f>IFERROR(__xludf.DUMMYFUNCTION("""COMPUTED_VALUE"""),"Chon Buri")</f>
        <v>Chon Buri</v>
      </c>
      <c r="Z925" t="str">
        <f>IFERROR(__xludf.DUMMYFUNCTION("""COMPUTED_VALUE"""),"081-652-2152")</f>
        <v>081-652-2152</v>
      </c>
      <c r="AA925" t="str">
        <f>IFERROR(__xludf.DUMMYFUNCTION("""COMPUTED_VALUE"""),"Thanat Diowvilai (Father)")</f>
        <v>Thanat Diowvilai (Father)</v>
      </c>
      <c r="AB925" t="str">
        <f>IFERROR(__xludf.DUMMYFUNCTION("""COMPUTED_VALUE"""),"pitsineediowvilai@airasia.com")</f>
        <v>pitsineediowvilai@airasia.com</v>
      </c>
    </row>
    <row r="926">
      <c r="A926">
        <f>IFERROR(__xludf.DUMMYFUNCTION("""COMPUTED_VALUE"""),1022989.0)</f>
        <v>1022989</v>
      </c>
      <c r="B926" t="str">
        <f>IFERROR(__xludf.DUMMYFUNCTION("""COMPUTED_VALUE"""),"Mr.")</f>
        <v>Mr.</v>
      </c>
      <c r="C926" t="str">
        <f>IFERROR(__xludf.DUMMYFUNCTION("""COMPUTED_VALUE"""),"Peeranat")</f>
        <v>Peeranat</v>
      </c>
      <c r="D926" t="str">
        <f>IFERROR(__xludf.DUMMYFUNCTION("""COMPUTED_VALUE"""),"Chavitranurak")</f>
        <v>Chavitranurak</v>
      </c>
      <c r="E926" t="str">
        <f>IFERROR(__xludf.DUMMYFUNCTION("""COMPUTED_VALUE"""),"Peeranat Chavitranurak")</f>
        <v>Peeranat Chavitranurak</v>
      </c>
      <c r="F926" t="str">
        <f>IFERROR(__xludf.DUMMYFUNCTION("""COMPUTED_VALUE"""),"นาย")</f>
        <v>นาย</v>
      </c>
      <c r="G926" t="str">
        <f>IFERROR(__xludf.DUMMYFUNCTION("""COMPUTED_VALUE"""),"พีรณัฐ")</f>
        <v>พีรณัฐ</v>
      </c>
      <c r="H926" t="str">
        <f>IFERROR(__xludf.DUMMYFUNCTION("""COMPUTED_VALUE"""),"ชวิตรานุรักษ์")</f>
        <v>ชวิตรานุรักษ์</v>
      </c>
      <c r="I926" t="str">
        <f>IFERROR(__xludf.DUMMYFUNCTION("""COMPUTED_VALUE"""),"พีรณัฐ ชวิตรานุรักษ์")</f>
        <v>พีรณัฐ ชวิตรานุรักษ์</v>
      </c>
      <c r="J926" t="str">
        <f>IFERROR(__xludf.DUMMYFUNCTION("""COMPUTED_VALUE"""),"Mark / มาร์ค")</f>
        <v>Mark / มาร์ค</v>
      </c>
      <c r="K926" t="str">
        <f>IFERROR(__xludf.DUMMYFUNCTION("""COMPUTED_VALUE"""),"Cabin Crew")</f>
        <v>Cabin Crew</v>
      </c>
      <c r="L926" t="str">
        <f>IFERROR(__xludf.DUMMYFUNCTION("""COMPUTED_VALUE"""),"DMK")</f>
        <v>DMK</v>
      </c>
      <c r="M926" s="145" t="str">
        <f>IFERROR(__xludf.DUMMYFUNCTION("""COMPUTED_VALUE"""),"Kor Home")</f>
        <v>Kor Home</v>
      </c>
      <c r="N926" t="str">
        <f>IFERROR(__xludf.DUMMYFUNCTION("""COMPUTED_VALUE"""),"Active")</f>
        <v>Active</v>
      </c>
      <c r="P926" s="143">
        <f>IFERROR(__xludf.DUMMYFUNCTION("""COMPUTED_VALUE"""),33822.0)</f>
        <v>33822</v>
      </c>
      <c r="Q926" s="146" t="str">
        <f>IFERROR(__xludf.DUMMYFUNCTION("""COMPUTED_VALUE"""),"083-919-9142")</f>
        <v>083-919-9142</v>
      </c>
      <c r="R926" s="147" t="str">
        <f>IFERROR(__xludf.DUMMYFUNCTION("""COMPUTED_VALUE"""),"1-1008-00817-44-1")</f>
        <v>1-1008-00817-44-1</v>
      </c>
      <c r="S926" t="str">
        <f>IFERROR(__xludf.DUMMYFUNCTION("""COMPUTED_VALUE"""),"AC2557885")</f>
        <v>AC2557885</v>
      </c>
      <c r="T926" s="148">
        <f>IFERROR(__xludf.DUMMYFUNCTION("""COMPUTED_VALUE"""),44659.0)</f>
        <v>44659</v>
      </c>
      <c r="U926" s="148">
        <f>IFERROR(__xludf.DUMMYFUNCTION("""COMPUTED_VALUE"""),48311.0)</f>
        <v>48311</v>
      </c>
      <c r="V926" s="149">
        <f>IFERROR(__xludf.DUMMYFUNCTION("""COMPUTED_VALUE"""),48128.0)</f>
        <v>48128</v>
      </c>
      <c r="W926" t="str">
        <f>IFERROR(__xludf.DUMMYFUNCTION("""COMPUTED_VALUE"""),"ปลอดภัย")</f>
        <v>ปลอดภัย</v>
      </c>
      <c r="X926" t="str">
        <f>IFERROR(__xludf.DUMMYFUNCTION("""COMPUTED_VALUE"""),"Bangkok")</f>
        <v>Bangkok</v>
      </c>
      <c r="AB926" t="str">
        <f>IFERROR(__xludf.DUMMYFUNCTION("""COMPUTED_VALUE"""),"peeranatchavitranur@airasia.com")</f>
        <v>peeranatchavitranur@airasia.com</v>
      </c>
    </row>
    <row r="927">
      <c r="A927">
        <f>IFERROR(__xludf.DUMMYFUNCTION("""COMPUTED_VALUE"""),1022990.0)</f>
        <v>1022990</v>
      </c>
      <c r="B927" t="str">
        <f>IFERROR(__xludf.DUMMYFUNCTION("""COMPUTED_VALUE"""),"Ms.")</f>
        <v>Ms.</v>
      </c>
      <c r="C927" t="str">
        <f>IFERROR(__xludf.DUMMYFUNCTION("""COMPUTED_VALUE"""),"Vichaya")</f>
        <v>Vichaya</v>
      </c>
      <c r="D927" t="str">
        <f>IFERROR(__xludf.DUMMYFUNCTION("""COMPUTED_VALUE"""),"Tunpichart")</f>
        <v>Tunpichart</v>
      </c>
      <c r="E927" t="str">
        <f>IFERROR(__xludf.DUMMYFUNCTION("""COMPUTED_VALUE"""),"Vichaya Tunpichart")</f>
        <v>Vichaya Tunpichart</v>
      </c>
      <c r="F927" t="str">
        <f>IFERROR(__xludf.DUMMYFUNCTION("""COMPUTED_VALUE"""),"นางสาว")</f>
        <v>นางสาว</v>
      </c>
      <c r="G927" t="str">
        <f>IFERROR(__xludf.DUMMYFUNCTION("""COMPUTED_VALUE"""),"วิชญา")</f>
        <v>วิชญา</v>
      </c>
      <c r="H927" t="str">
        <f>IFERROR(__xludf.DUMMYFUNCTION("""COMPUTED_VALUE"""),"ตันปิชาติ")</f>
        <v>ตันปิชาติ</v>
      </c>
      <c r="I927" t="str">
        <f>IFERROR(__xludf.DUMMYFUNCTION("""COMPUTED_VALUE"""),"วิชญา ตันปิชาติ")</f>
        <v>วิชญา ตันปิชาติ</v>
      </c>
      <c r="J927" t="str">
        <f>IFERROR(__xludf.DUMMYFUNCTION("""COMPUTED_VALUE"""),"Fai/ฝ้าย")</f>
        <v>Fai/ฝ้าย</v>
      </c>
      <c r="K927" t="str">
        <f>IFERROR(__xludf.DUMMYFUNCTION("""COMPUTED_VALUE"""),"Cabin Crew - BKK")</f>
        <v>Cabin Crew - BKK</v>
      </c>
      <c r="L927" t="str">
        <f>IFERROR(__xludf.DUMMYFUNCTION("""COMPUTED_VALUE"""),"BKK")</f>
        <v>BKK</v>
      </c>
      <c r="M927" s="145" t="str">
        <f>IFERROR(__xludf.DUMMYFUNCTION("""COMPUTED_VALUE"""),"Nhui Home")</f>
        <v>Nhui Home</v>
      </c>
      <c r="N927" t="str">
        <f>IFERROR(__xludf.DUMMYFUNCTION("""COMPUTED_VALUE"""),"Active")</f>
        <v>Active</v>
      </c>
      <c r="P927" s="143">
        <f>IFERROR(__xludf.DUMMYFUNCTION("""COMPUTED_VALUE"""),33283.0)</f>
        <v>33283</v>
      </c>
      <c r="Q927" s="146" t="str">
        <f>IFERROR(__xludf.DUMMYFUNCTION("""COMPUTED_VALUE"""),"095-463-9919")</f>
        <v>095-463-9919</v>
      </c>
      <c r="R927" s="147" t="str">
        <f>IFERROR(__xludf.DUMMYFUNCTION("""COMPUTED_VALUE"""),"1-1037-00389-06-7")</f>
        <v>1-1037-00389-06-7</v>
      </c>
      <c r="S927" t="str">
        <f>IFERROR(__xludf.DUMMYFUNCTION("""COMPUTED_VALUE"""),"AC2669027")</f>
        <v>AC2669027</v>
      </c>
      <c r="T927" s="148">
        <f>IFERROR(__xludf.DUMMYFUNCTION("""COMPUTED_VALUE"""),44573.0)</f>
        <v>44573</v>
      </c>
      <c r="U927" s="148">
        <f>IFERROR(__xludf.DUMMYFUNCTION("""COMPUTED_VALUE"""),48224.0)</f>
        <v>48224</v>
      </c>
      <c r="V927" s="149">
        <f>IFERROR(__xludf.DUMMYFUNCTION("""COMPUTED_VALUE"""),48040.0)</f>
        <v>48040</v>
      </c>
      <c r="W927" t="str">
        <f>IFERROR(__xludf.DUMMYFUNCTION("""COMPUTED_VALUE"""),"ปลอดภัย")</f>
        <v>ปลอดภัย</v>
      </c>
      <c r="X927" t="str">
        <f>IFERROR(__xludf.DUMMYFUNCTION("""COMPUTED_VALUE"""),"Bangkok")</f>
        <v>Bangkok</v>
      </c>
      <c r="Y927" t="str">
        <f>IFERROR(__xludf.DUMMYFUNCTION("""COMPUTED_VALUE"""),"Bangkok")</f>
        <v>Bangkok</v>
      </c>
      <c r="Z927" t="str">
        <f>IFERROR(__xludf.DUMMYFUNCTION("""COMPUTED_VALUE"""),"094-959-1224")</f>
        <v>094-959-1224</v>
      </c>
      <c r="AA927" t="str">
        <f>IFERROR(__xludf.DUMMYFUNCTION("""COMPUTED_VALUE"""),"Chutinan Tunpichart (Mother)")</f>
        <v>Chutinan Tunpichart (Mother)</v>
      </c>
      <c r="AB927" t="str">
        <f>IFERROR(__xludf.DUMMYFUNCTION("""COMPUTED_VALUE"""),"vichayatunpichart@airasia.com")</f>
        <v>vichayatunpichart@airasia.com</v>
      </c>
    </row>
    <row r="928">
      <c r="AB928" t="str">
        <f>IFERROR(__xludf.DUMMYFUNCTION("""COMPUTED_VALUE"""),"")</f>
        <v/>
      </c>
    </row>
    <row r="929">
      <c r="A929">
        <f>IFERROR(__xludf.DUMMYFUNCTION("""COMPUTED_VALUE"""),1004951.0)</f>
        <v>1004951</v>
      </c>
      <c r="B929" t="str">
        <f>IFERROR(__xludf.DUMMYFUNCTION("""COMPUTED_VALUE"""),"Ms.")</f>
        <v>Ms.</v>
      </c>
      <c r="C929" t="str">
        <f>IFERROR(__xludf.DUMMYFUNCTION("""COMPUTED_VALUE"""),"Tharathip")</f>
        <v>Tharathip</v>
      </c>
      <c r="D929" t="str">
        <f>IFERROR(__xludf.DUMMYFUNCTION("""COMPUTED_VALUE"""),"Phakdeemeechai")</f>
        <v>Phakdeemeechai</v>
      </c>
      <c r="E929" t="str">
        <f>IFERROR(__xludf.DUMMYFUNCTION("""COMPUTED_VALUE"""),"Tharathip Phakdeemeechai")</f>
        <v>Tharathip Phakdeemeechai</v>
      </c>
      <c r="F929" t="str">
        <f>IFERROR(__xludf.DUMMYFUNCTION("""COMPUTED_VALUE"""),"นางสาว")</f>
        <v>นางสาว</v>
      </c>
      <c r="G929" t="str">
        <f>IFERROR(__xludf.DUMMYFUNCTION("""COMPUTED_VALUE"""),"ธาราทิพย์")</f>
        <v>ธาราทิพย์</v>
      </c>
      <c r="H929" t="str">
        <f>IFERROR(__xludf.DUMMYFUNCTION("""COMPUTED_VALUE"""),"ภักดีมีชัย")</f>
        <v>ภักดีมีชัย</v>
      </c>
      <c r="I929" t="str">
        <f>IFERROR(__xludf.DUMMYFUNCTION("""COMPUTED_VALUE"""),"ธาราทิพย์ ภักดีมีชัย")</f>
        <v>ธาราทิพย์ ภักดีมีชัย</v>
      </c>
      <c r="J929" t="str">
        <f>IFERROR(__xludf.DUMMYFUNCTION("""COMPUTED_VALUE"""),"Nam / น้ำ")</f>
        <v>Nam / น้ำ</v>
      </c>
      <c r="K929" t="str">
        <f>IFERROR(__xludf.DUMMYFUNCTION("""COMPUTED_VALUE"""),"Cabin Crew - CNX")</f>
        <v>Cabin Crew - CNX</v>
      </c>
      <c r="L929" t="str">
        <f>IFERROR(__xludf.DUMMYFUNCTION("""COMPUTED_VALUE"""),"CNX")</f>
        <v>CNX</v>
      </c>
      <c r="M929" s="145" t="str">
        <f>IFERROR(__xludf.DUMMYFUNCTION("""COMPUTED_VALUE"""),"Up Home")</f>
        <v>Up Home</v>
      </c>
      <c r="N929" t="str">
        <f>IFERROR(__xludf.DUMMYFUNCTION("""COMPUTED_VALUE"""),"Active")</f>
        <v>Active</v>
      </c>
      <c r="P929" s="143">
        <f>IFERROR(__xludf.DUMMYFUNCTION("""COMPUTED_VALUE"""),31481.0)</f>
        <v>31481</v>
      </c>
      <c r="Q929" s="146" t="str">
        <f>IFERROR(__xludf.DUMMYFUNCTION("""COMPUTED_VALUE"""),"087-186-9169")</f>
        <v>087-186-9169</v>
      </c>
      <c r="R929" s="147" t="str">
        <f>IFERROR(__xludf.DUMMYFUNCTION("""COMPUTED_VALUE"""),"1-1007-00452-06-8")</f>
        <v>1-1007-00452-06-8</v>
      </c>
      <c r="S929" t="str">
        <f>IFERROR(__xludf.DUMMYFUNCTION("""COMPUTED_VALUE"""),"AC2227351")</f>
        <v>AC2227351</v>
      </c>
      <c r="T929" s="148">
        <f>IFERROR(__xludf.DUMMYFUNCTION("""COMPUTED_VALUE"""),44284.0)</f>
        <v>44284</v>
      </c>
      <c r="U929" s="148">
        <f>IFERROR(__xludf.DUMMYFUNCTION("""COMPUTED_VALUE"""),47935.0)</f>
        <v>47935</v>
      </c>
      <c r="V929" s="149">
        <f>IFERROR(__xludf.DUMMYFUNCTION("""COMPUTED_VALUE"""),47754.0)</f>
        <v>47754</v>
      </c>
      <c r="W929" t="str">
        <f>IFERROR(__xludf.DUMMYFUNCTION("""COMPUTED_VALUE"""),"ปลอดภัย")</f>
        <v>ปลอดภัย</v>
      </c>
      <c r="X929" t="str">
        <f>IFERROR(__xludf.DUMMYFUNCTION("""COMPUTED_VALUE"""),"Bangkok")</f>
        <v>Bangkok</v>
      </c>
      <c r="Y929" t="str">
        <f>IFERROR(__xludf.DUMMYFUNCTION("""COMPUTED_VALUE"""),"Chiang Mai")</f>
        <v>Chiang Mai</v>
      </c>
      <c r="Z929" t="str">
        <f>IFERROR(__xludf.DUMMYFUNCTION("""COMPUTED_VALUE"""),"090-487-4236")</f>
        <v>090-487-4236</v>
      </c>
      <c r="AA929" t="str">
        <f>IFERROR(__xludf.DUMMYFUNCTION("""COMPUTED_VALUE"""),"Praphon Pakdeemeechai (Brother)")</f>
        <v>Praphon Pakdeemeechai (Brother)</v>
      </c>
      <c r="AB929" t="str">
        <f>IFERROR(__xludf.DUMMYFUNCTION("""COMPUTED_VALUE"""),"tharathipp@airasia.com")</f>
        <v>tharathipp@airasia.com</v>
      </c>
    </row>
    <row r="930">
      <c r="A930">
        <f>IFERROR(__xludf.DUMMYFUNCTION("""COMPUTED_VALUE"""),1011705.0)</f>
        <v>1011705</v>
      </c>
      <c r="B930" t="str">
        <f>IFERROR(__xludf.DUMMYFUNCTION("""COMPUTED_VALUE"""),"Ms.")</f>
        <v>Ms.</v>
      </c>
      <c r="C930" t="str">
        <f>IFERROR(__xludf.DUMMYFUNCTION("""COMPUTED_VALUE"""),"Nattika")</f>
        <v>Nattika</v>
      </c>
      <c r="D930" t="str">
        <f>IFERROR(__xludf.DUMMYFUNCTION("""COMPUTED_VALUE"""),"Naephimai")</f>
        <v>Naephimai</v>
      </c>
      <c r="E930" t="str">
        <f>IFERROR(__xludf.DUMMYFUNCTION("""COMPUTED_VALUE"""),"Nattika Naephimai")</f>
        <v>Nattika Naephimai</v>
      </c>
      <c r="F930" t="str">
        <f>IFERROR(__xludf.DUMMYFUNCTION("""COMPUTED_VALUE"""),"นางสาว")</f>
        <v>นางสาว</v>
      </c>
      <c r="G930" t="str">
        <f>IFERROR(__xludf.DUMMYFUNCTION("""COMPUTED_VALUE"""),"ณัตติกา")</f>
        <v>ณัตติกา</v>
      </c>
      <c r="H930" t="str">
        <f>IFERROR(__xludf.DUMMYFUNCTION("""COMPUTED_VALUE"""),"แน่พิมาย")</f>
        <v>แน่พิมาย</v>
      </c>
      <c r="I930" t="str">
        <f>IFERROR(__xludf.DUMMYFUNCTION("""COMPUTED_VALUE"""),"ณัตติกา แน่พิมาย")</f>
        <v>ณัตติกา แน่พิมาย</v>
      </c>
      <c r="J930" t="str">
        <f>IFERROR(__xludf.DUMMYFUNCTION("""COMPUTED_VALUE"""),"Kookkik / กุ๊กกิ๊ก")</f>
        <v>Kookkik / กุ๊กกิ๊ก</v>
      </c>
      <c r="K930" t="str">
        <f>IFERROR(__xludf.DUMMYFUNCTION("""COMPUTED_VALUE"""),"Cabin Crew")</f>
        <v>Cabin Crew</v>
      </c>
      <c r="L930" s="145" t="str">
        <f>IFERROR(__xludf.DUMMYFUNCTION("""COMPUTED_VALUE"""),"DMK")</f>
        <v>DMK</v>
      </c>
      <c r="M930" s="145" t="str">
        <f>IFERROR(__xludf.DUMMYFUNCTION("""COMPUTED_VALUE"""),"Nhui Home")</f>
        <v>Nhui Home</v>
      </c>
      <c r="N930" t="str">
        <f>IFERROR(__xludf.DUMMYFUNCTION("""COMPUTED_VALUE"""),"Active")</f>
        <v>Active</v>
      </c>
      <c r="P930" s="143">
        <f>IFERROR(__xludf.DUMMYFUNCTION("""COMPUTED_VALUE"""),32942.0)</f>
        <v>32942</v>
      </c>
      <c r="Q930" s="146" t="str">
        <f>IFERROR(__xludf.DUMMYFUNCTION("""COMPUTED_VALUE"""),"080-047-5277")</f>
        <v>080-047-5277</v>
      </c>
      <c r="R930" s="147" t="str">
        <f>IFERROR(__xludf.DUMMYFUNCTION("""COMPUTED_VALUE"""),"1809900-30-0204")</f>
        <v>1809900-30-0204</v>
      </c>
      <c r="S930" t="str">
        <f>IFERROR(__xludf.DUMMYFUNCTION("""COMPUTED_VALUE"""),"AC2245277")</f>
        <v>AC2245277</v>
      </c>
      <c r="T930" s="148">
        <f>IFERROR(__xludf.DUMMYFUNCTION("""COMPUTED_VALUE"""),44327.0)</f>
        <v>44327</v>
      </c>
      <c r="U930" s="148">
        <f>IFERROR(__xludf.DUMMYFUNCTION("""COMPUTED_VALUE"""),47978.0)</f>
        <v>47978</v>
      </c>
      <c r="V930" s="149">
        <f>IFERROR(__xludf.DUMMYFUNCTION("""COMPUTED_VALUE"""),47797.0)</f>
        <v>47797</v>
      </c>
      <c r="W930" t="str">
        <f>IFERROR(__xludf.DUMMYFUNCTION("""COMPUTED_VALUE"""),"ปลอดภัย")</f>
        <v>ปลอดภัย</v>
      </c>
      <c r="X930" t="str">
        <f>IFERROR(__xludf.DUMMYFUNCTION("""COMPUTED_VALUE"""),"Nakhon Si Thammarat Province")</f>
        <v>Nakhon Si Thammarat Province</v>
      </c>
      <c r="Y930" t="str">
        <f>IFERROR(__xludf.DUMMYFUNCTION("""COMPUTED_VALUE"""),"Nakhon Si Thammarat")</f>
        <v>Nakhon Si Thammarat</v>
      </c>
      <c r="Z930" t="str">
        <f>IFERROR(__xludf.DUMMYFUNCTION("""COMPUTED_VALUE"""),"081-958-4023")</f>
        <v>081-958-4023</v>
      </c>
      <c r="AA930" t="str">
        <f>IFERROR(__xludf.DUMMYFUNCTION("""COMPUTED_VALUE"""),"Narong Naephimai (Father)")</f>
        <v>Narong Naephimai (Father)</v>
      </c>
      <c r="AB930" t="str">
        <f>IFERROR(__xludf.DUMMYFUNCTION("""COMPUTED_VALUE"""),"nattikan@airasia.com")</f>
        <v>nattikan@airasia.com</v>
      </c>
    </row>
    <row r="931">
      <c r="A931">
        <f>IFERROR(__xludf.DUMMYFUNCTION("""COMPUTED_VALUE"""),1022699.0)</f>
        <v>1022699</v>
      </c>
      <c r="B931" t="str">
        <f>IFERROR(__xludf.DUMMYFUNCTION("""COMPUTED_VALUE"""),"Mr.")</f>
        <v>Mr.</v>
      </c>
      <c r="C931" t="str">
        <f>IFERROR(__xludf.DUMMYFUNCTION("""COMPUTED_VALUE"""),"Pawin")</f>
        <v>Pawin</v>
      </c>
      <c r="D931" t="str">
        <f>IFERROR(__xludf.DUMMYFUNCTION("""COMPUTED_VALUE"""),"Tiajae")</f>
        <v>Tiajae</v>
      </c>
      <c r="E931" t="str">
        <f>IFERROR(__xludf.DUMMYFUNCTION("""COMPUTED_VALUE"""),"Pawin Tiajae")</f>
        <v>Pawin Tiajae</v>
      </c>
      <c r="F931" t="str">
        <f>IFERROR(__xludf.DUMMYFUNCTION("""COMPUTED_VALUE"""),"นาย")</f>
        <v>นาย</v>
      </c>
      <c r="G931" t="str">
        <f>IFERROR(__xludf.DUMMYFUNCTION("""COMPUTED_VALUE"""),"ปวิณ")</f>
        <v>ปวิณ</v>
      </c>
      <c r="H931" t="str">
        <f>IFERROR(__xludf.DUMMYFUNCTION("""COMPUTED_VALUE"""),"เตี้ยแจ้")</f>
        <v>เตี้ยแจ้</v>
      </c>
      <c r="I931" t="str">
        <f>IFERROR(__xludf.DUMMYFUNCTION("""COMPUTED_VALUE"""),"ปวิณ เตี้ยแจ้")</f>
        <v>ปวิณ เตี้ยแจ้</v>
      </c>
      <c r="J931" t="str">
        <f>IFERROR(__xludf.DUMMYFUNCTION("""COMPUTED_VALUE"""),"LEK / เล็ก")</f>
        <v>LEK / เล็ก</v>
      </c>
      <c r="K931" t="str">
        <f>IFERROR(__xludf.DUMMYFUNCTION("""COMPUTED_VALUE"""),"Cabin Crew - BKK")</f>
        <v>Cabin Crew - BKK</v>
      </c>
      <c r="L931" t="str">
        <f>IFERROR(__xludf.DUMMYFUNCTION("""COMPUTED_VALUE"""),"BKK")</f>
        <v>BKK</v>
      </c>
      <c r="M931" s="145" t="str">
        <f>IFERROR(__xludf.DUMMYFUNCTION("""COMPUTED_VALUE"""),"Nhui Home")</f>
        <v>Nhui Home</v>
      </c>
      <c r="N931" t="str">
        <f>IFERROR(__xludf.DUMMYFUNCTION("""COMPUTED_VALUE"""),"Active")</f>
        <v>Active</v>
      </c>
      <c r="P931" s="143">
        <f>IFERROR(__xludf.DUMMYFUNCTION("""COMPUTED_VALUE"""),34432.0)</f>
        <v>34432</v>
      </c>
      <c r="Q931" s="146" t="str">
        <f>IFERROR(__xludf.DUMMYFUNCTION("""COMPUTED_VALUE"""),"086-663-7423")</f>
        <v>086-663-7423</v>
      </c>
      <c r="R931" s="147" t="str">
        <f>IFERROR(__xludf.DUMMYFUNCTION("""COMPUTED_VALUE"""),"1-7099-00876-21-2")</f>
        <v>1-7099-00876-21-2</v>
      </c>
      <c r="S931" t="str">
        <f>IFERROR(__xludf.DUMMYFUNCTION("""COMPUTED_VALUE"""),"AC2859988")</f>
        <v>AC2859988</v>
      </c>
      <c r="T931" s="148">
        <f>IFERROR(__xludf.DUMMYFUNCTION("""COMPUTED_VALUE"""),44595.0)</f>
        <v>44595</v>
      </c>
      <c r="U931" s="148">
        <f>IFERROR(__xludf.DUMMYFUNCTION("""COMPUTED_VALUE"""),48246.0)</f>
        <v>48246</v>
      </c>
      <c r="V931" s="149">
        <f>IFERROR(__xludf.DUMMYFUNCTION("""COMPUTED_VALUE"""),48062.0)</f>
        <v>48062</v>
      </c>
      <c r="W931" t="str">
        <f>IFERROR(__xludf.DUMMYFUNCTION("""COMPUTED_VALUE"""),"ปลอดภัย")</f>
        <v>ปลอดภัย</v>
      </c>
      <c r="X931" t="str">
        <f>IFERROR(__xludf.DUMMYFUNCTION("""COMPUTED_VALUE"""),"Ratchaburi Province")</f>
        <v>Ratchaburi Province</v>
      </c>
      <c r="Y931" t="str">
        <f>IFERROR(__xludf.DUMMYFUNCTION("""COMPUTED_VALUE"""),"PHETCHABURI")</f>
        <v>PHETCHABURI</v>
      </c>
      <c r="Z931" t="str">
        <f>IFERROR(__xludf.DUMMYFUNCTION("""COMPUTED_VALUE"""),"087-156-2269")</f>
        <v>087-156-2269</v>
      </c>
      <c r="AA931" t="str">
        <f>IFERROR(__xludf.DUMMYFUNCTION("""COMPUTED_VALUE"""),"PANGCHON TIAJAE (Brother)")</f>
        <v>PANGCHON TIAJAE (Brother)</v>
      </c>
      <c r="AB931" t="str">
        <f>IFERROR(__xludf.DUMMYFUNCTION("""COMPUTED_VALUE"""),"pawintiajae@airasia.com")</f>
        <v>pawintiajae@airasia.com</v>
      </c>
    </row>
    <row r="932">
      <c r="A932">
        <f>IFERROR(__xludf.DUMMYFUNCTION("""COMPUTED_VALUE"""),1022700.0)</f>
        <v>1022700</v>
      </c>
      <c r="B932" t="str">
        <f>IFERROR(__xludf.DUMMYFUNCTION("""COMPUTED_VALUE"""),"Mr.")</f>
        <v>Mr.</v>
      </c>
      <c r="C932" t="str">
        <f>IFERROR(__xludf.DUMMYFUNCTION("""COMPUTED_VALUE"""),"Chayanun")</f>
        <v>Chayanun</v>
      </c>
      <c r="D932" t="str">
        <f>IFERROR(__xludf.DUMMYFUNCTION("""COMPUTED_VALUE"""),"Kittiwarapol")</f>
        <v>Kittiwarapol</v>
      </c>
      <c r="E932" t="str">
        <f>IFERROR(__xludf.DUMMYFUNCTION("""COMPUTED_VALUE"""),"Chayanun Kittiwarapol")</f>
        <v>Chayanun Kittiwarapol</v>
      </c>
      <c r="F932" t="str">
        <f>IFERROR(__xludf.DUMMYFUNCTION("""COMPUTED_VALUE"""),"นาย")</f>
        <v>นาย</v>
      </c>
      <c r="G932" t="str">
        <f>IFERROR(__xludf.DUMMYFUNCTION("""COMPUTED_VALUE"""),"ชยานันท์")</f>
        <v>ชยานันท์</v>
      </c>
      <c r="H932" t="str">
        <f>IFERROR(__xludf.DUMMYFUNCTION("""COMPUTED_VALUE"""),"กิตติวราพล")</f>
        <v>กิตติวราพล</v>
      </c>
      <c r="I932" t="str">
        <f>IFERROR(__xludf.DUMMYFUNCTION("""COMPUTED_VALUE"""),"ชยานันท์ กิตติวราพล")</f>
        <v>ชยานันท์ กิตติวราพล</v>
      </c>
      <c r="J932" t="str">
        <f>IFERROR(__xludf.DUMMYFUNCTION("""COMPUTED_VALUE"""),"Pai / ไผ่")</f>
        <v>Pai / ไผ่</v>
      </c>
      <c r="K932" t="str">
        <f>IFERROR(__xludf.DUMMYFUNCTION("""COMPUTED_VALUE"""),"Cabin Crew - CNX")</f>
        <v>Cabin Crew - CNX</v>
      </c>
      <c r="L932" t="str">
        <f>IFERROR(__xludf.DUMMYFUNCTION("""COMPUTED_VALUE"""),"CNX")</f>
        <v>CNX</v>
      </c>
      <c r="M932" s="145" t="str">
        <f>IFERROR(__xludf.DUMMYFUNCTION("""COMPUTED_VALUE"""),"Up Home")</f>
        <v>Up Home</v>
      </c>
      <c r="N932" t="str">
        <f>IFERROR(__xludf.DUMMYFUNCTION("""COMPUTED_VALUE"""),"Office")</f>
        <v>Office</v>
      </c>
      <c r="P932" s="143">
        <f>IFERROR(__xludf.DUMMYFUNCTION("""COMPUTED_VALUE"""),33559.0)</f>
        <v>33559</v>
      </c>
      <c r="Q932" s="146" t="str">
        <f>IFERROR(__xludf.DUMMYFUNCTION("""COMPUTED_VALUE"""),"081-031-9542")</f>
        <v>081-031-9542</v>
      </c>
      <c r="R932" s="147" t="str">
        <f>IFERROR(__xludf.DUMMYFUNCTION("""COMPUTED_VALUE"""),"1-5099-01093-78-7")</f>
        <v>1-5099-01093-78-7</v>
      </c>
      <c r="S932" t="str">
        <f>IFERROR(__xludf.DUMMYFUNCTION("""COMPUTED_VALUE"""),"AC4037985")</f>
        <v>AC4037985</v>
      </c>
      <c r="T932" s="148">
        <f>IFERROR(__xludf.DUMMYFUNCTION("""COMPUTED_VALUE"""),44818.0)</f>
        <v>44818</v>
      </c>
      <c r="U932" s="148">
        <f>IFERROR(__xludf.DUMMYFUNCTION("""COMPUTED_VALUE"""),48470.0)</f>
        <v>48470</v>
      </c>
      <c r="V932" s="149">
        <f>IFERROR(__xludf.DUMMYFUNCTION("""COMPUTED_VALUE"""),48286.0)</f>
        <v>48286</v>
      </c>
      <c r="W932" t="str">
        <f>IFERROR(__xludf.DUMMYFUNCTION("""COMPUTED_VALUE"""),"ปลอดภัย")</f>
        <v>ปลอดภัย</v>
      </c>
      <c r="X932" t="str">
        <f>IFERROR(__xludf.DUMMYFUNCTION("""COMPUTED_VALUE"""),"Chiang Mai Province")</f>
        <v>Chiang Mai Province</v>
      </c>
      <c r="Y932" t="str">
        <f>IFERROR(__xludf.DUMMYFUNCTION("""COMPUTED_VALUE"""),"Chiang Mai")</f>
        <v>Chiang Mai</v>
      </c>
      <c r="Z932" t="str">
        <f>IFERROR(__xludf.DUMMYFUNCTION("""COMPUTED_VALUE"""),"081-881-2106")</f>
        <v>081-881-2106</v>
      </c>
      <c r="AA932" t="str">
        <f>IFERROR(__xludf.DUMMYFUNCTION("""COMPUTED_VALUE"""),"Tiranan Kittiwarapol (Mother)")</f>
        <v>Tiranan Kittiwarapol (Mother)</v>
      </c>
      <c r="AB932" t="str">
        <f>IFERROR(__xludf.DUMMYFUNCTION("""COMPUTED_VALUE"""),"chayanunkittiwarapol@airasia.com")</f>
        <v>chayanunkittiwarapol@airasia.com</v>
      </c>
    </row>
    <row r="933">
      <c r="A933">
        <f>IFERROR(__xludf.DUMMYFUNCTION("""COMPUTED_VALUE"""),1022701.0)</f>
        <v>1022701</v>
      </c>
      <c r="B933" t="str">
        <f>IFERROR(__xludf.DUMMYFUNCTION("""COMPUTED_VALUE"""),"Ms.")</f>
        <v>Ms.</v>
      </c>
      <c r="C933" t="str">
        <f>IFERROR(__xludf.DUMMYFUNCTION("""COMPUTED_VALUE"""),"Janyarak")</f>
        <v>Janyarak</v>
      </c>
      <c r="D933" t="str">
        <f>IFERROR(__xludf.DUMMYFUNCTION("""COMPUTED_VALUE"""),"Khundilokbovorn")</f>
        <v>Khundilokbovorn</v>
      </c>
      <c r="E933" t="str">
        <f>IFERROR(__xludf.DUMMYFUNCTION("""COMPUTED_VALUE"""),"Janyarak Khundilokbovorn")</f>
        <v>Janyarak Khundilokbovorn</v>
      </c>
      <c r="F933" t="str">
        <f>IFERROR(__xludf.DUMMYFUNCTION("""COMPUTED_VALUE"""),"นางสาว")</f>
        <v>นางสาว</v>
      </c>
      <c r="G933" t="str">
        <f>IFERROR(__xludf.DUMMYFUNCTION("""COMPUTED_VALUE"""),"จรรยารักษ์")</f>
        <v>จรรยารักษ์</v>
      </c>
      <c r="H933" t="str">
        <f>IFERROR(__xludf.DUMMYFUNCTION("""COMPUTED_VALUE"""),"คุณดิลกบวร")</f>
        <v>คุณดิลกบวร</v>
      </c>
      <c r="I933" t="str">
        <f>IFERROR(__xludf.DUMMYFUNCTION("""COMPUTED_VALUE"""),"จรรยารักษ์ คุณดิลกบวร")</f>
        <v>จรรยารักษ์ คุณดิลกบวร</v>
      </c>
      <c r="J933" t="str">
        <f>IFERROR(__xludf.DUMMYFUNCTION("""COMPUTED_VALUE"""),"Mai/ใหม่")</f>
        <v>Mai/ใหม่</v>
      </c>
      <c r="K933" t="str">
        <f>IFERROR(__xludf.DUMMYFUNCTION("""COMPUTED_VALUE"""),"Cabin Crew")</f>
        <v>Cabin Crew</v>
      </c>
      <c r="L933" t="str">
        <f>IFERROR(__xludf.DUMMYFUNCTION("""COMPUTED_VALUE"""),"DMK")</f>
        <v>DMK</v>
      </c>
      <c r="M933" s="145" t="str">
        <f>IFERROR(__xludf.DUMMYFUNCTION("""COMPUTED_VALUE"""),"Toffy Home")</f>
        <v>Toffy Home</v>
      </c>
      <c r="N933" t="str">
        <f>IFERROR(__xludf.DUMMYFUNCTION("""COMPUTED_VALUE"""),"Active")</f>
        <v>Active</v>
      </c>
      <c r="O933" t="str">
        <f>IFERROR(__xludf.DUMMYFUNCTION("""COMPUTED_VALUE"""),"Chinese Speaking")</f>
        <v>Chinese Speaking</v>
      </c>
      <c r="P933" s="143">
        <f>IFERROR(__xludf.DUMMYFUNCTION("""COMPUTED_VALUE"""),33883.0)</f>
        <v>33883</v>
      </c>
      <c r="Q933" s="146" t="str">
        <f>IFERROR(__xludf.DUMMYFUNCTION("""COMPUTED_VALUE"""),"095-524-8484")</f>
        <v>095-524-8484</v>
      </c>
      <c r="R933" s="147" t="str">
        <f>IFERROR(__xludf.DUMMYFUNCTION("""COMPUTED_VALUE"""),"1-1037-00870-91-1")</f>
        <v>1-1037-00870-91-1</v>
      </c>
      <c r="S933" t="str">
        <f>IFERROR(__xludf.DUMMYFUNCTION("""COMPUTED_VALUE"""),"AC8222402")</f>
        <v>AC8222402</v>
      </c>
      <c r="T933" s="148">
        <f>IFERROR(__xludf.DUMMYFUNCTION("""COMPUTED_VALUE"""),45736.0)</f>
        <v>45736</v>
      </c>
      <c r="U933" s="148">
        <f>IFERROR(__xludf.DUMMYFUNCTION("""COMPUTED_VALUE"""),49387.0)</f>
        <v>49387</v>
      </c>
      <c r="V933" s="149">
        <f>IFERROR(__xludf.DUMMYFUNCTION("""COMPUTED_VALUE"""),49206.0)</f>
        <v>49206</v>
      </c>
      <c r="W933" t="str">
        <f>IFERROR(__xludf.DUMMYFUNCTION("""COMPUTED_VALUE"""),"ปลอดภัย")</f>
        <v>ปลอดภัย</v>
      </c>
      <c r="X933" t="str">
        <f>IFERROR(__xludf.DUMMYFUNCTION("""COMPUTED_VALUE"""),"Bangkok")</f>
        <v>Bangkok</v>
      </c>
      <c r="Y933" t="str">
        <f>IFERROR(__xludf.DUMMYFUNCTION("""COMPUTED_VALUE"""),"Bangkok")</f>
        <v>Bangkok</v>
      </c>
      <c r="Z933" t="str">
        <f>IFERROR(__xludf.DUMMYFUNCTION("""COMPUTED_VALUE"""),"086 621 2882")</f>
        <v>086 621 2882</v>
      </c>
      <c r="AA933" t="str">
        <f>IFERROR(__xludf.DUMMYFUNCTION("""COMPUTED_VALUE"""),"Nittaya Ruangvitoon (Mother)")</f>
        <v>Nittaya Ruangvitoon (Mother)</v>
      </c>
      <c r="AB933" t="str">
        <f>IFERROR(__xludf.DUMMYFUNCTION("""COMPUTED_VALUE"""),"janyarakkhundilokbo@airasia.com")</f>
        <v>janyarakkhundilokbo@airasia.com</v>
      </c>
    </row>
    <row r="934">
      <c r="A934">
        <f>IFERROR(__xludf.DUMMYFUNCTION("""COMPUTED_VALUE"""),1022705.0)</f>
        <v>1022705</v>
      </c>
      <c r="B934" t="str">
        <f>IFERROR(__xludf.DUMMYFUNCTION("""COMPUTED_VALUE"""),"Ms.")</f>
        <v>Ms.</v>
      </c>
      <c r="C934" t="str">
        <f>IFERROR(__xludf.DUMMYFUNCTION("""COMPUTED_VALUE"""),"Pattaranan")</f>
        <v>Pattaranan</v>
      </c>
      <c r="D934" t="str">
        <f>IFERROR(__xludf.DUMMYFUNCTION("""COMPUTED_VALUE"""),"Thamsuchit")</f>
        <v>Thamsuchit</v>
      </c>
      <c r="E934" t="str">
        <f>IFERROR(__xludf.DUMMYFUNCTION("""COMPUTED_VALUE"""),"Pattaranan Thamsuchit")</f>
        <v>Pattaranan Thamsuchit</v>
      </c>
      <c r="F934" t="str">
        <f>IFERROR(__xludf.DUMMYFUNCTION("""COMPUTED_VALUE"""),"นางสาว")</f>
        <v>นางสาว</v>
      </c>
      <c r="G934" t="str">
        <f>IFERROR(__xludf.DUMMYFUNCTION("""COMPUTED_VALUE"""),"ภัทรนันท์")</f>
        <v>ภัทรนันท์</v>
      </c>
      <c r="H934" t="str">
        <f>IFERROR(__xludf.DUMMYFUNCTION("""COMPUTED_VALUE"""),"ธรรมสุจิตร์")</f>
        <v>ธรรมสุจิตร์</v>
      </c>
      <c r="I934" t="str">
        <f>IFERROR(__xludf.DUMMYFUNCTION("""COMPUTED_VALUE"""),"ภัทรนันท์ ธรรมสุจิตร์")</f>
        <v>ภัทรนันท์ ธรรมสุจิตร์</v>
      </c>
      <c r="J934" t="str">
        <f>IFERROR(__xludf.DUMMYFUNCTION("""COMPUTED_VALUE"""),"Four/โฟร์")</f>
        <v>Four/โฟร์</v>
      </c>
      <c r="K934" t="str">
        <f>IFERROR(__xludf.DUMMYFUNCTION("""COMPUTED_VALUE"""),"Cabin Crew")</f>
        <v>Cabin Crew</v>
      </c>
      <c r="L934" t="str">
        <f>IFERROR(__xludf.DUMMYFUNCTION("""COMPUTED_VALUE"""),"DMK")</f>
        <v>DMK</v>
      </c>
      <c r="M934" s="145" t="str">
        <f>IFERROR(__xludf.DUMMYFUNCTION("""COMPUTED_VALUE"""),"Up Home")</f>
        <v>Up Home</v>
      </c>
      <c r="N934" t="str">
        <f>IFERROR(__xludf.DUMMYFUNCTION("""COMPUTED_VALUE"""),"Active")</f>
        <v>Active</v>
      </c>
      <c r="P934" s="143">
        <f>IFERROR(__xludf.DUMMYFUNCTION("""COMPUTED_VALUE"""),34308.0)</f>
        <v>34308</v>
      </c>
      <c r="Q934" s="146" t="str">
        <f>IFERROR(__xludf.DUMMYFUNCTION("""COMPUTED_VALUE"""),"082-335-9991")</f>
        <v>082-335-9991</v>
      </c>
      <c r="R934" s="147" t="str">
        <f>IFERROR(__xludf.DUMMYFUNCTION("""COMPUTED_VALUE"""),"1-2097-00512-10-6")</f>
        <v>1-2097-00512-10-6</v>
      </c>
      <c r="S934" t="str">
        <f>IFERROR(__xludf.DUMMYFUNCTION("""COMPUTED_VALUE"""),"AC2294085")</f>
        <v>AC2294085</v>
      </c>
      <c r="T934" s="148">
        <f>IFERROR(__xludf.DUMMYFUNCTION("""COMPUTED_VALUE"""),44347.0)</f>
        <v>44347</v>
      </c>
      <c r="U934" s="148">
        <f>IFERROR(__xludf.DUMMYFUNCTION("""COMPUTED_VALUE"""),47998.0)</f>
        <v>47998</v>
      </c>
      <c r="V934" s="149">
        <f>IFERROR(__xludf.DUMMYFUNCTION("""COMPUTED_VALUE"""),47817.0)</f>
        <v>47817</v>
      </c>
      <c r="W934" t="str">
        <f>IFERROR(__xludf.DUMMYFUNCTION("""COMPUTED_VALUE"""),"ปลอดภัย")</f>
        <v>ปลอดภัย</v>
      </c>
      <c r="X934" t="str">
        <f>IFERROR(__xludf.DUMMYFUNCTION("""COMPUTED_VALUE"""),"Chonburi Province")</f>
        <v>Chonburi Province</v>
      </c>
      <c r="Y934" t="str">
        <f>IFERROR(__xludf.DUMMYFUNCTION("""COMPUTED_VALUE"""),"Bangkok")</f>
        <v>Bangkok</v>
      </c>
      <c r="Z934" t="str">
        <f>IFERROR(__xludf.DUMMYFUNCTION("""COMPUTED_VALUE"""),"061 893 5743")</f>
        <v>061 893 5743</v>
      </c>
      <c r="AA934" t="str">
        <f>IFERROR(__xludf.DUMMYFUNCTION("""COMPUTED_VALUE"""),"Rujira Thamsuchit (Mother)")</f>
        <v>Rujira Thamsuchit (Mother)</v>
      </c>
      <c r="AB934" t="str">
        <f>IFERROR(__xludf.DUMMYFUNCTION("""COMPUTED_VALUE"""),"pattarananthamsuchit@airasia.com")</f>
        <v>pattarananthamsuchit@airasia.com</v>
      </c>
    </row>
    <row r="935">
      <c r="A935">
        <f>IFERROR(__xludf.DUMMYFUNCTION("""COMPUTED_VALUE"""),1022706.0)</f>
        <v>1022706</v>
      </c>
      <c r="B935" t="str">
        <f>IFERROR(__xludf.DUMMYFUNCTION("""COMPUTED_VALUE"""),"Ms.")</f>
        <v>Ms.</v>
      </c>
      <c r="C935" t="str">
        <f>IFERROR(__xludf.DUMMYFUNCTION("""COMPUTED_VALUE"""),"Nutpimon")</f>
        <v>Nutpimon</v>
      </c>
      <c r="D935" t="str">
        <f>IFERROR(__xludf.DUMMYFUNCTION("""COMPUTED_VALUE"""),"Taain")</f>
        <v>Taain</v>
      </c>
      <c r="E935" t="str">
        <f>IFERROR(__xludf.DUMMYFUNCTION("""COMPUTED_VALUE"""),"Nutpimon Taain")</f>
        <v>Nutpimon Taain</v>
      </c>
      <c r="F935" t="str">
        <f>IFERROR(__xludf.DUMMYFUNCTION("""COMPUTED_VALUE"""),"นางสาว")</f>
        <v>นางสาว</v>
      </c>
      <c r="G935" t="str">
        <f>IFERROR(__xludf.DUMMYFUNCTION("""COMPUTED_VALUE"""),"ณัฏฐ์พิมล")</f>
        <v>ณัฏฐ์พิมล</v>
      </c>
      <c r="H935" t="str">
        <f>IFERROR(__xludf.DUMMYFUNCTION("""COMPUTED_VALUE"""),"ทาอินทร์")</f>
        <v>ทาอินทร์</v>
      </c>
      <c r="I935" t="str">
        <f>IFERROR(__xludf.DUMMYFUNCTION("""COMPUTED_VALUE"""),"ณัฏฐ์พิมล ทาอินทร์")</f>
        <v>ณัฏฐ์พิมล ทาอินทร์</v>
      </c>
      <c r="J935" t="str">
        <f>IFERROR(__xludf.DUMMYFUNCTION("""COMPUTED_VALUE"""),"Poy / ปอย")</f>
        <v>Poy / ปอย</v>
      </c>
      <c r="K935" t="str">
        <f>IFERROR(__xludf.DUMMYFUNCTION("""COMPUTED_VALUE"""),"Cabin Crew - CNX")</f>
        <v>Cabin Crew - CNX</v>
      </c>
      <c r="L935" t="str">
        <f>IFERROR(__xludf.DUMMYFUNCTION("""COMPUTED_VALUE"""),"CNX")</f>
        <v>CNX</v>
      </c>
      <c r="M935" s="145" t="str">
        <f>IFERROR(__xludf.DUMMYFUNCTION("""COMPUTED_VALUE"""),"Up Home")</f>
        <v>Up Home</v>
      </c>
      <c r="N935" t="str">
        <f>IFERROR(__xludf.DUMMYFUNCTION("""COMPUTED_VALUE"""),"Active")</f>
        <v>Active</v>
      </c>
      <c r="P935" s="143">
        <f>IFERROR(__xludf.DUMMYFUNCTION("""COMPUTED_VALUE"""),33678.0)</f>
        <v>33678</v>
      </c>
      <c r="Q935" s="146" t="str">
        <f>IFERROR(__xludf.DUMMYFUNCTION("""COMPUTED_VALUE"""),"094-869-5628")</f>
        <v>094-869-5628</v>
      </c>
      <c r="R935" s="147" t="str">
        <f>IFERROR(__xludf.DUMMYFUNCTION("""COMPUTED_VALUE"""),"1-5099-01132-65-1")</f>
        <v>1-5099-01132-65-1</v>
      </c>
      <c r="S935" t="str">
        <f>IFERROR(__xludf.DUMMYFUNCTION("""COMPUTED_VALUE"""),"AC2601943")</f>
        <v>AC2601943</v>
      </c>
      <c r="T935" s="148">
        <f>IFERROR(__xludf.DUMMYFUNCTION("""COMPUTED_VALUE"""),44531.0)</f>
        <v>44531</v>
      </c>
      <c r="U935" s="148">
        <f>IFERROR(__xludf.DUMMYFUNCTION("""COMPUTED_VALUE"""),48182.0)</f>
        <v>48182</v>
      </c>
      <c r="V935" s="149">
        <f>IFERROR(__xludf.DUMMYFUNCTION("""COMPUTED_VALUE"""),47998.0)</f>
        <v>47998</v>
      </c>
      <c r="W935" t="str">
        <f>IFERROR(__xludf.DUMMYFUNCTION("""COMPUTED_VALUE"""),"ปลอดภัย")</f>
        <v>ปลอดภัย</v>
      </c>
      <c r="X935" t="str">
        <f>IFERROR(__xludf.DUMMYFUNCTION("""COMPUTED_VALUE"""),"Chiang Mai Province")</f>
        <v>Chiang Mai Province</v>
      </c>
      <c r="Y935" t="str">
        <f>IFERROR(__xludf.DUMMYFUNCTION("""COMPUTED_VALUE"""),"Chiang Mai")</f>
        <v>Chiang Mai</v>
      </c>
      <c r="Z935" t="str">
        <f>IFERROR(__xludf.DUMMYFUNCTION("""COMPUTED_VALUE"""),"081-0213011")</f>
        <v>081-0213011</v>
      </c>
      <c r="AA935" t="str">
        <f>IFERROR(__xludf.DUMMYFUNCTION("""COMPUTED_VALUE"""),"Punyanuch Taain (Sister)")</f>
        <v>Punyanuch Taain (Sister)</v>
      </c>
      <c r="AB935" t="str">
        <f>IFERROR(__xludf.DUMMYFUNCTION("""COMPUTED_VALUE"""),"nutpimontaain@airasia.com")</f>
        <v>nutpimontaain@airasia.com</v>
      </c>
    </row>
    <row r="936">
      <c r="A936">
        <f>IFERROR(__xludf.DUMMYFUNCTION("""COMPUTED_VALUE"""),1022708.0)</f>
        <v>1022708</v>
      </c>
      <c r="B936" t="str">
        <f>IFERROR(__xludf.DUMMYFUNCTION("""COMPUTED_VALUE"""),"Ms.")</f>
        <v>Ms.</v>
      </c>
      <c r="C936" t="str">
        <f>IFERROR(__xludf.DUMMYFUNCTION("""COMPUTED_VALUE"""),"Sirilak")</f>
        <v>Sirilak</v>
      </c>
      <c r="D936" t="str">
        <f>IFERROR(__xludf.DUMMYFUNCTION("""COMPUTED_VALUE"""),"Phanphipat")</f>
        <v>Phanphipat</v>
      </c>
      <c r="E936" t="str">
        <f>IFERROR(__xludf.DUMMYFUNCTION("""COMPUTED_VALUE"""),"Sirilak Phanphipat")</f>
        <v>Sirilak Phanphipat</v>
      </c>
      <c r="F936" t="str">
        <f>IFERROR(__xludf.DUMMYFUNCTION("""COMPUTED_VALUE"""),"นางสาว")</f>
        <v>นางสาว</v>
      </c>
      <c r="G936" t="str">
        <f>IFERROR(__xludf.DUMMYFUNCTION("""COMPUTED_VALUE"""),"ศิริลักษณ์")</f>
        <v>ศิริลักษณ์</v>
      </c>
      <c r="H936" t="str">
        <f>IFERROR(__xludf.DUMMYFUNCTION("""COMPUTED_VALUE"""),"พันธุ์พิพัฒน์")</f>
        <v>พันธุ์พิพัฒน์</v>
      </c>
      <c r="I936" t="str">
        <f>IFERROR(__xludf.DUMMYFUNCTION("""COMPUTED_VALUE"""),"ศิริลักษณ์ พันธุ์พิพัฒน์")</f>
        <v>ศิริลักษณ์ พันธุ์พิพัฒน์</v>
      </c>
      <c r="J936" t="str">
        <f>IFERROR(__xludf.DUMMYFUNCTION("""COMPUTED_VALUE"""),"จ๊ะจ๋า")</f>
        <v>จ๊ะจ๋า</v>
      </c>
      <c r="K936" t="str">
        <f>IFERROR(__xludf.DUMMYFUNCTION("""COMPUTED_VALUE"""),"Cabin Crew")</f>
        <v>Cabin Crew</v>
      </c>
      <c r="L936" t="str">
        <f>IFERROR(__xludf.DUMMYFUNCTION("""COMPUTED_VALUE"""),"DMK")</f>
        <v>DMK</v>
      </c>
      <c r="M936" s="145" t="str">
        <f>IFERROR(__xludf.DUMMYFUNCTION("""COMPUTED_VALUE"""),"Toffy Home")</f>
        <v>Toffy Home</v>
      </c>
      <c r="N936" t="str">
        <f>IFERROR(__xludf.DUMMYFUNCTION("""COMPUTED_VALUE"""),"Active")</f>
        <v>Active</v>
      </c>
      <c r="P936" s="143">
        <f>IFERROR(__xludf.DUMMYFUNCTION("""COMPUTED_VALUE"""),33401.0)</f>
        <v>33401</v>
      </c>
      <c r="Q936" s="146">
        <f>IFERROR(__xludf.DUMMYFUNCTION("""COMPUTED_VALUE"""),8.22244946E8)</f>
        <v>822244946</v>
      </c>
      <c r="R936" s="147" t="str">
        <f>IFERROR(__xludf.DUMMYFUNCTION("""COMPUTED_VALUE"""),"1-8499-00107-64-1")</f>
        <v>1-8499-00107-64-1</v>
      </c>
      <c r="S936" t="str">
        <f>IFERROR(__xludf.DUMMYFUNCTION("""COMPUTED_VALUE"""),"AC2743651")</f>
        <v>AC2743651</v>
      </c>
      <c r="T936" s="148">
        <f>IFERROR(__xludf.DUMMYFUNCTION("""COMPUTED_VALUE"""),44484.0)</f>
        <v>44484</v>
      </c>
      <c r="U936" s="148">
        <f>IFERROR(__xludf.DUMMYFUNCTION("""COMPUTED_VALUE"""),48135.0)</f>
        <v>48135</v>
      </c>
      <c r="V936" s="149">
        <f>IFERROR(__xludf.DUMMYFUNCTION("""COMPUTED_VALUE"""),47952.0)</f>
        <v>47952</v>
      </c>
      <c r="W936" t="str">
        <f>IFERROR(__xludf.DUMMYFUNCTION("""COMPUTED_VALUE"""),"ปลอดภัย")</f>
        <v>ปลอดภัย</v>
      </c>
      <c r="X936" t="str">
        <f>IFERROR(__xludf.DUMMYFUNCTION("""COMPUTED_VALUE"""),"Surat Thani Province")</f>
        <v>Surat Thani Province</v>
      </c>
      <c r="Y936" t="str">
        <f>IFERROR(__xludf.DUMMYFUNCTION("""COMPUTED_VALUE"""),"Bangkok")</f>
        <v>Bangkok</v>
      </c>
      <c r="Z936" t="str">
        <f>IFERROR(__xludf.DUMMYFUNCTION("""COMPUTED_VALUE"""),"099 494 4989")</f>
        <v>099 494 4989</v>
      </c>
      <c r="AA936" t="str">
        <f>IFERROR(__xludf.DUMMYFUNCTION("""COMPUTED_VALUE"""),"Rungnapha phanphipat (Mother)")</f>
        <v>Rungnapha phanphipat (Mother)</v>
      </c>
      <c r="AB936" t="str">
        <f>IFERROR(__xludf.DUMMYFUNCTION("""COMPUTED_VALUE"""),"sirilakphanphipat@airasia.com")</f>
        <v>sirilakphanphipat@airasia.com</v>
      </c>
    </row>
    <row r="937">
      <c r="A937">
        <f>IFERROR(__xludf.DUMMYFUNCTION("""COMPUTED_VALUE"""),1022719.0)</f>
        <v>1022719</v>
      </c>
      <c r="B937" t="str">
        <f>IFERROR(__xludf.DUMMYFUNCTION("""COMPUTED_VALUE"""),"Ms.")</f>
        <v>Ms.</v>
      </c>
      <c r="C937" t="str">
        <f>IFERROR(__xludf.DUMMYFUNCTION("""COMPUTED_VALUE"""),"Ploypapat")</f>
        <v>Ploypapat</v>
      </c>
      <c r="D937" t="str">
        <f>IFERROR(__xludf.DUMMYFUNCTION("""COMPUTED_VALUE"""),"Ariyakamolrat")</f>
        <v>Ariyakamolrat</v>
      </c>
      <c r="E937" t="str">
        <f>IFERROR(__xludf.DUMMYFUNCTION("""COMPUTED_VALUE"""),"Ploypapat Ariyakamolrat")</f>
        <v>Ploypapat Ariyakamolrat</v>
      </c>
      <c r="F937" t="str">
        <f>IFERROR(__xludf.DUMMYFUNCTION("""COMPUTED_VALUE"""),"นางสาว")</f>
        <v>นางสาว</v>
      </c>
      <c r="G937" t="str">
        <f>IFERROR(__xludf.DUMMYFUNCTION("""COMPUTED_VALUE"""),"พลอยปภัส")</f>
        <v>พลอยปภัส</v>
      </c>
      <c r="H937" t="str">
        <f>IFERROR(__xludf.DUMMYFUNCTION("""COMPUTED_VALUE"""),"อริยะกมลรัตน์")</f>
        <v>อริยะกมลรัตน์</v>
      </c>
      <c r="I937" t="str">
        <f>IFERROR(__xludf.DUMMYFUNCTION("""COMPUTED_VALUE"""),"พลอยปภัส อริยะกมลรัตน์")</f>
        <v>พลอยปภัส อริยะกมลรัตน์</v>
      </c>
      <c r="J937" t="str">
        <f>IFERROR(__xludf.DUMMYFUNCTION("""COMPUTED_VALUE"""),"Poon/พูน")</f>
        <v>Poon/พูน</v>
      </c>
      <c r="K937" t="str">
        <f>IFERROR(__xludf.DUMMYFUNCTION("""COMPUTED_VALUE"""),"Cabin Crew")</f>
        <v>Cabin Crew</v>
      </c>
      <c r="L937" t="str">
        <f>IFERROR(__xludf.DUMMYFUNCTION("""COMPUTED_VALUE"""),"DMK")</f>
        <v>DMK</v>
      </c>
      <c r="M937" s="145" t="str">
        <f>IFERROR(__xludf.DUMMYFUNCTION("""COMPUTED_VALUE"""),"Namfon Home")</f>
        <v>Namfon Home</v>
      </c>
      <c r="N937" t="str">
        <f>IFERROR(__xludf.DUMMYFUNCTION("""COMPUTED_VALUE"""),"LWPP")</f>
        <v>LWPP</v>
      </c>
      <c r="P937" s="143">
        <f>IFERROR(__xludf.DUMMYFUNCTION("""COMPUTED_VALUE"""),32800.0)</f>
        <v>32800</v>
      </c>
      <c r="Q937" s="146">
        <f>IFERROR(__xludf.DUMMYFUNCTION("""COMPUTED_VALUE"""),9.85416565E8)</f>
        <v>985416565</v>
      </c>
      <c r="R937" s="147" t="str">
        <f>IFERROR(__xludf.DUMMYFUNCTION("""COMPUTED_VALUE"""),"1-1017-00084-09-4")</f>
        <v>1-1017-00084-09-4</v>
      </c>
      <c r="S937" t="str">
        <f>IFERROR(__xludf.DUMMYFUNCTION("""COMPUTED_VALUE"""),"AD1901702")</f>
        <v>AD1901702</v>
      </c>
      <c r="T937" s="148">
        <f>IFERROR(__xludf.DUMMYFUNCTION("""COMPUTED_VALUE"""),45489.0)</f>
        <v>45489</v>
      </c>
      <c r="U937" s="148">
        <f>IFERROR(__xludf.DUMMYFUNCTION("""COMPUTED_VALUE"""),49140.0)</f>
        <v>49140</v>
      </c>
      <c r="V937" s="149">
        <f>IFERROR(__xludf.DUMMYFUNCTION("""COMPUTED_VALUE"""),48959.0)</f>
        <v>48959</v>
      </c>
      <c r="W937" t="str">
        <f>IFERROR(__xludf.DUMMYFUNCTION("""COMPUTED_VALUE"""),"ปลอดภัย")</f>
        <v>ปลอดภัย</v>
      </c>
      <c r="X937" t="str">
        <f>IFERROR(__xludf.DUMMYFUNCTION("""COMPUTED_VALUE"""),"Bangkok")</f>
        <v>Bangkok</v>
      </c>
      <c r="Y937" t="str">
        <f>IFERROR(__xludf.DUMMYFUNCTION("""COMPUTED_VALUE"""),"Bangkok")</f>
        <v>Bangkok</v>
      </c>
      <c r="Z937" t="str">
        <f>IFERROR(__xludf.DUMMYFUNCTION("""COMPUTED_VALUE"""),"081-617-6925")</f>
        <v>081-617-6925</v>
      </c>
      <c r="AA937" t="str">
        <f>IFERROR(__xludf.DUMMYFUNCTION("""COMPUTED_VALUE"""),"Chairoj Ariyakamolrat (Father)")</f>
        <v>Chairoj Ariyakamolrat (Father)</v>
      </c>
      <c r="AB937" t="str">
        <f>IFERROR(__xludf.DUMMYFUNCTION("""COMPUTED_VALUE"""),"ploypapatariyakamol@airasia.com")</f>
        <v>ploypapatariyakamol@airasia.com</v>
      </c>
    </row>
    <row r="938">
      <c r="A938">
        <f>IFERROR(__xludf.DUMMYFUNCTION("""COMPUTED_VALUE"""),1022720.0)</f>
        <v>1022720</v>
      </c>
      <c r="B938" t="str">
        <f>IFERROR(__xludf.DUMMYFUNCTION("""COMPUTED_VALUE"""),"Ms.")</f>
        <v>Ms.</v>
      </c>
      <c r="C938" t="str">
        <f>IFERROR(__xludf.DUMMYFUNCTION("""COMPUTED_VALUE"""),"Aileen")</f>
        <v>Aileen</v>
      </c>
      <c r="D938" t="str">
        <f>IFERROR(__xludf.DUMMYFUNCTION("""COMPUTED_VALUE"""),"Sowprasertsuk")</f>
        <v>Sowprasertsuk</v>
      </c>
      <c r="E938" t="str">
        <f>IFERROR(__xludf.DUMMYFUNCTION("""COMPUTED_VALUE"""),"Aileen Sowprasertsuk")</f>
        <v>Aileen Sowprasertsuk</v>
      </c>
      <c r="F938" t="str">
        <f>IFERROR(__xludf.DUMMYFUNCTION("""COMPUTED_VALUE"""),"นางสาว")</f>
        <v>นางสาว</v>
      </c>
      <c r="G938" t="str">
        <f>IFERROR(__xludf.DUMMYFUNCTION("""COMPUTED_VALUE"""),"ไอริน")</f>
        <v>ไอริน</v>
      </c>
      <c r="H938" t="str">
        <f>IFERROR(__xludf.DUMMYFUNCTION("""COMPUTED_VALUE"""),"โซวประเสริฐสุข")</f>
        <v>โซวประเสริฐสุข</v>
      </c>
      <c r="I938" t="str">
        <f>IFERROR(__xludf.DUMMYFUNCTION("""COMPUTED_VALUE"""),"ไอริน โซวประเสริฐสุข")</f>
        <v>ไอริน โซวประเสริฐสุข</v>
      </c>
      <c r="J938" t="str">
        <f>IFERROR(__xludf.DUMMYFUNCTION("""COMPUTED_VALUE"""),"Ice / ไอซ์")</f>
        <v>Ice / ไอซ์</v>
      </c>
      <c r="K938" t="str">
        <f>IFERROR(__xludf.DUMMYFUNCTION("""COMPUTED_VALUE"""),"Cabin Crew")</f>
        <v>Cabin Crew</v>
      </c>
      <c r="L938" t="str">
        <f>IFERROR(__xludf.DUMMYFUNCTION("""COMPUTED_VALUE"""),"DMK")</f>
        <v>DMK</v>
      </c>
      <c r="M938" s="145" t="str">
        <f>IFERROR(__xludf.DUMMYFUNCTION("""COMPUTED_VALUE"""),"Por+ Home")</f>
        <v>Por+ Home</v>
      </c>
      <c r="N938" t="str">
        <f>IFERROR(__xludf.DUMMYFUNCTION("""COMPUTED_VALUE"""),"Active")</f>
        <v>Active</v>
      </c>
      <c r="P938" s="143">
        <f>IFERROR(__xludf.DUMMYFUNCTION("""COMPUTED_VALUE"""),33605.0)</f>
        <v>33605</v>
      </c>
      <c r="Q938" s="146" t="str">
        <f>IFERROR(__xludf.DUMMYFUNCTION("""COMPUTED_VALUE"""),"090-246-9916")</f>
        <v>090-246-9916</v>
      </c>
      <c r="R938" s="147" t="str">
        <f>IFERROR(__xludf.DUMMYFUNCTION("""COMPUTED_VALUE"""),"1-1004-00557-33-6")</f>
        <v>1-1004-00557-33-6</v>
      </c>
      <c r="S938" t="str">
        <f>IFERROR(__xludf.DUMMYFUNCTION("""COMPUTED_VALUE"""),"AC2881512")</f>
        <v>AC2881512</v>
      </c>
      <c r="T938" s="148">
        <f>IFERROR(__xludf.DUMMYFUNCTION("""COMPUTED_VALUE"""),44609.0)</f>
        <v>44609</v>
      </c>
      <c r="U938" s="148">
        <f>IFERROR(__xludf.DUMMYFUNCTION("""COMPUTED_VALUE"""),48260.0)</f>
        <v>48260</v>
      </c>
      <c r="V938" s="149">
        <f>IFERROR(__xludf.DUMMYFUNCTION("""COMPUTED_VALUE"""),48076.0)</f>
        <v>48076</v>
      </c>
      <c r="W938" t="str">
        <f>IFERROR(__xludf.DUMMYFUNCTION("""COMPUTED_VALUE"""),"ปลอดภัย")</f>
        <v>ปลอดภัย</v>
      </c>
      <c r="X938" t="str">
        <f>IFERROR(__xludf.DUMMYFUNCTION("""COMPUTED_VALUE"""),"Bangkok")</f>
        <v>Bangkok</v>
      </c>
      <c r="Y938" t="str">
        <f>IFERROR(__xludf.DUMMYFUNCTION("""COMPUTED_VALUE"""),"Bangkok")</f>
        <v>Bangkok</v>
      </c>
      <c r="Z938" t="str">
        <f>IFERROR(__xludf.DUMMYFUNCTION("""COMPUTED_VALUE"""),"089-610-1703")</f>
        <v>089-610-1703</v>
      </c>
      <c r="AA938" t="str">
        <f>IFERROR(__xludf.DUMMYFUNCTION("""COMPUTED_VALUE"""),"Sunee Sowprasertsuk (Mother)")</f>
        <v>Sunee Sowprasertsuk (Mother)</v>
      </c>
      <c r="AB938" t="str">
        <f>IFERROR(__xludf.DUMMYFUNCTION("""COMPUTED_VALUE"""),"aileensowprasertsuk@airasia.com")</f>
        <v>aileensowprasertsuk@airasia.com</v>
      </c>
    </row>
    <row r="939">
      <c r="A939">
        <f>IFERROR(__xludf.DUMMYFUNCTION("""COMPUTED_VALUE"""),1022721.0)</f>
        <v>1022721</v>
      </c>
      <c r="B939" t="str">
        <f>IFERROR(__xludf.DUMMYFUNCTION("""COMPUTED_VALUE"""),"Ms.")</f>
        <v>Ms.</v>
      </c>
      <c r="C939" t="str">
        <f>IFERROR(__xludf.DUMMYFUNCTION("""COMPUTED_VALUE"""),"Siwaporn")</f>
        <v>Siwaporn</v>
      </c>
      <c r="D939" t="str">
        <f>IFERROR(__xludf.DUMMYFUNCTION("""COMPUTED_VALUE"""),"Lertthaharn")</f>
        <v>Lertthaharn</v>
      </c>
      <c r="E939" t="str">
        <f>IFERROR(__xludf.DUMMYFUNCTION("""COMPUTED_VALUE"""),"Siwaporn Lertthaharn")</f>
        <v>Siwaporn Lertthaharn</v>
      </c>
      <c r="F939" t="str">
        <f>IFERROR(__xludf.DUMMYFUNCTION("""COMPUTED_VALUE"""),"นางสาว")</f>
        <v>นางสาว</v>
      </c>
      <c r="G939" t="str">
        <f>IFERROR(__xludf.DUMMYFUNCTION("""COMPUTED_VALUE"""),"ศิวาพร")</f>
        <v>ศิวาพร</v>
      </c>
      <c r="H939" t="str">
        <f>IFERROR(__xludf.DUMMYFUNCTION("""COMPUTED_VALUE"""),"เลิศทหาร")</f>
        <v>เลิศทหาร</v>
      </c>
      <c r="I939" t="str">
        <f>IFERROR(__xludf.DUMMYFUNCTION("""COMPUTED_VALUE"""),"ศิวาพร เลิศทหาร")</f>
        <v>ศิวาพร เลิศทหาร</v>
      </c>
      <c r="J939" t="str">
        <f>IFERROR(__xludf.DUMMYFUNCTION("""COMPUTED_VALUE"""),"Bell/เบลล์")</f>
        <v>Bell/เบลล์</v>
      </c>
      <c r="K939" t="str">
        <f>IFERROR(__xludf.DUMMYFUNCTION("""COMPUTED_VALUE"""),"Cabin Crew")</f>
        <v>Cabin Crew</v>
      </c>
      <c r="L939" t="str">
        <f>IFERROR(__xludf.DUMMYFUNCTION("""COMPUTED_VALUE"""),"DMK")</f>
        <v>DMK</v>
      </c>
      <c r="M939" s="145" t="str">
        <f>IFERROR(__xludf.DUMMYFUNCTION("""COMPUTED_VALUE"""),"Up Home")</f>
        <v>Up Home</v>
      </c>
      <c r="N939" t="str">
        <f>IFERROR(__xludf.DUMMYFUNCTION("""COMPUTED_VALUE"""),"Active")</f>
        <v>Active</v>
      </c>
      <c r="P939" s="143">
        <f>IFERROR(__xludf.DUMMYFUNCTION("""COMPUTED_VALUE"""),33953.0)</f>
        <v>33953</v>
      </c>
      <c r="Q939" s="146" t="str">
        <f>IFERROR(__xludf.DUMMYFUNCTION("""COMPUTED_VALUE"""),"098-656-6879")</f>
        <v>098-656-6879</v>
      </c>
      <c r="R939" s="147" t="str">
        <f>IFERROR(__xludf.DUMMYFUNCTION("""COMPUTED_VALUE"""),"1-1020-01849-33-5")</f>
        <v>1-1020-01849-33-5</v>
      </c>
      <c r="S939" t="str">
        <f>IFERROR(__xludf.DUMMYFUNCTION("""COMPUTED_VALUE"""),"AC3020399")</f>
        <v>AC3020399</v>
      </c>
      <c r="T939" s="148">
        <f>IFERROR(__xludf.DUMMYFUNCTION("""COMPUTED_VALUE"""),44673.0)</f>
        <v>44673</v>
      </c>
      <c r="U939" s="148">
        <f>IFERROR(__xludf.DUMMYFUNCTION("""COMPUTED_VALUE"""),48325.0)</f>
        <v>48325</v>
      </c>
      <c r="V939" s="149">
        <f>IFERROR(__xludf.DUMMYFUNCTION("""COMPUTED_VALUE"""),48142.0)</f>
        <v>48142</v>
      </c>
      <c r="W939" t="str">
        <f>IFERROR(__xludf.DUMMYFUNCTION("""COMPUTED_VALUE"""),"ปลอดภัย")</f>
        <v>ปลอดภัย</v>
      </c>
      <c r="X939" t="str">
        <f>IFERROR(__xludf.DUMMYFUNCTION("""COMPUTED_VALUE"""),"Bangkok")</f>
        <v>Bangkok</v>
      </c>
      <c r="Y939" t="str">
        <f>IFERROR(__xludf.DUMMYFUNCTION("""COMPUTED_VALUE"""),"Bangkok")</f>
        <v>Bangkok</v>
      </c>
      <c r="Z939" t="str">
        <f>IFERROR(__xludf.DUMMYFUNCTION("""COMPUTED_VALUE"""),"086-786-2016")</f>
        <v>086-786-2016</v>
      </c>
      <c r="AA939" t="str">
        <f>IFERROR(__xludf.DUMMYFUNCTION("""COMPUTED_VALUE"""),"Uraithip Yongsiriwan (Others)")</f>
        <v>Uraithip Yongsiriwan (Others)</v>
      </c>
      <c r="AB939" t="str">
        <f>IFERROR(__xludf.DUMMYFUNCTION("""COMPUTED_VALUE"""),"siwapornlertthaharn@airasia.com")</f>
        <v>siwapornlertthaharn@airasia.com</v>
      </c>
    </row>
    <row r="940">
      <c r="AB940" t="str">
        <f>IFERROR(__xludf.DUMMYFUNCTION("""COMPUTED_VALUE"""),"")</f>
        <v/>
      </c>
    </row>
    <row r="941">
      <c r="A941">
        <f>IFERROR(__xludf.DUMMYFUNCTION("""COMPUTED_VALUE"""),1023561.0)</f>
        <v>1023561</v>
      </c>
      <c r="B941" t="str">
        <f>IFERROR(__xludf.DUMMYFUNCTION("""COMPUTED_VALUE"""),"Ms.")</f>
        <v>Ms.</v>
      </c>
      <c r="C941" t="str">
        <f>IFERROR(__xludf.DUMMYFUNCTION("""COMPUTED_VALUE"""),"Nutcha")</f>
        <v>Nutcha</v>
      </c>
      <c r="D941" t="str">
        <f>IFERROR(__xludf.DUMMYFUNCTION("""COMPUTED_VALUE"""),"Vasuvantaka")</f>
        <v>Vasuvantaka</v>
      </c>
      <c r="E941" t="str">
        <f>IFERROR(__xludf.DUMMYFUNCTION("""COMPUTED_VALUE"""),"Nutcha Vasuvantaka")</f>
        <v>Nutcha Vasuvantaka</v>
      </c>
      <c r="F941" t="str">
        <f>IFERROR(__xludf.DUMMYFUNCTION("""COMPUTED_VALUE"""),"นางสาว")</f>
        <v>นางสาว</v>
      </c>
      <c r="G941" t="str">
        <f>IFERROR(__xludf.DUMMYFUNCTION("""COMPUTED_VALUE"""),"ณัชชา")</f>
        <v>ณัชชา</v>
      </c>
      <c r="H941" t="str">
        <f>IFERROR(__xludf.DUMMYFUNCTION("""COMPUTED_VALUE"""),"วสุวรรธก")</f>
        <v>วสุวรรธก</v>
      </c>
      <c r="I941" t="str">
        <f>IFERROR(__xludf.DUMMYFUNCTION("""COMPUTED_VALUE"""),"ณัชชา วสุวรรธก")</f>
        <v>ณัชชา วสุวรรธก</v>
      </c>
      <c r="J941" t="str">
        <f>IFERROR(__xludf.DUMMYFUNCTION("""COMPUTED_VALUE"""),"Boe / โบว์")</f>
        <v>Boe / โบว์</v>
      </c>
      <c r="K941" t="str">
        <f>IFERROR(__xludf.DUMMYFUNCTION("""COMPUTED_VALUE"""),"Cabin Crew")</f>
        <v>Cabin Crew</v>
      </c>
      <c r="L941" t="str">
        <f>IFERROR(__xludf.DUMMYFUNCTION("""COMPUTED_VALUE"""),"DMK")</f>
        <v>DMK</v>
      </c>
      <c r="M941" s="145" t="str">
        <f>IFERROR(__xludf.DUMMYFUNCTION("""COMPUTED_VALUE"""),"Namfon Home")</f>
        <v>Namfon Home</v>
      </c>
      <c r="N941" t="str">
        <f>IFERROR(__xludf.DUMMYFUNCTION("""COMPUTED_VALUE"""),"Active")</f>
        <v>Active</v>
      </c>
      <c r="P941" s="153">
        <f>IFERROR(__xludf.DUMMYFUNCTION("""COMPUTED_VALUE"""),35159.0)</f>
        <v>35159</v>
      </c>
      <c r="Q941" s="146" t="str">
        <f>IFERROR(__xludf.DUMMYFUNCTION("""COMPUTED_VALUE"""),"064-294-6265")</f>
        <v>064-294-6265</v>
      </c>
      <c r="R941" s="147" t="str">
        <f>IFERROR(__xludf.DUMMYFUNCTION("""COMPUTED_VALUE"""),"1-9598-00108-82-3")</f>
        <v>1-9598-00108-82-3</v>
      </c>
      <c r="S941" t="str">
        <f>IFERROR(__xludf.DUMMYFUNCTION("""COMPUTED_VALUE"""),"AC6224071")</f>
        <v>AC6224071</v>
      </c>
      <c r="T941" s="148">
        <f>IFERROR(__xludf.DUMMYFUNCTION("""COMPUTED_VALUE"""),45299.0)</f>
        <v>45299</v>
      </c>
      <c r="U941" s="148">
        <f>IFERROR(__xludf.DUMMYFUNCTION("""COMPUTED_VALUE"""),48951.0)</f>
        <v>48951</v>
      </c>
      <c r="V941" s="149">
        <f>IFERROR(__xludf.DUMMYFUNCTION("""COMPUTED_VALUE"""),48767.0)</f>
        <v>48767</v>
      </c>
      <c r="W941" t="str">
        <f>IFERROR(__xludf.DUMMYFUNCTION("""COMPUTED_VALUE"""),"ปลอดภัย")</f>
        <v>ปลอดภัย</v>
      </c>
      <c r="X941" t="str">
        <f>IFERROR(__xludf.DUMMYFUNCTION("""COMPUTED_VALUE"""),"Yala Province")</f>
        <v>Yala Province</v>
      </c>
      <c r="Y941" t="str">
        <f>IFERROR(__xludf.DUMMYFUNCTION("""COMPUTED_VALUE"""),"Songkhla")</f>
        <v>Songkhla</v>
      </c>
      <c r="Z941" t="str">
        <f>IFERROR(__xludf.DUMMYFUNCTION("""COMPUTED_VALUE"""),"089-870-0363")</f>
        <v>089-870-0363</v>
      </c>
      <c r="AA941" t="str">
        <f>IFERROR(__xludf.DUMMYFUNCTION("""COMPUTED_VALUE"""),"Pichit Vasuvantaka (Father)")</f>
        <v>Pichit Vasuvantaka (Father)</v>
      </c>
      <c r="AB941" t="str">
        <f>IFERROR(__xludf.DUMMYFUNCTION("""COMPUTED_VALUE"""),"nutchavasuvantaka@airasia.com")</f>
        <v>nutchavasuvantaka@airasia.com</v>
      </c>
    </row>
    <row r="942">
      <c r="A942">
        <f>IFERROR(__xludf.DUMMYFUNCTION("""COMPUTED_VALUE"""),1023562.0)</f>
        <v>1023562</v>
      </c>
      <c r="B942" t="str">
        <f>IFERROR(__xludf.DUMMYFUNCTION("""COMPUTED_VALUE"""),"Mr.")</f>
        <v>Mr.</v>
      </c>
      <c r="C942" t="str">
        <f>IFERROR(__xludf.DUMMYFUNCTION("""COMPUTED_VALUE"""),"Nawaphat")</f>
        <v>Nawaphat</v>
      </c>
      <c r="D942" t="str">
        <f>IFERROR(__xludf.DUMMYFUNCTION("""COMPUTED_VALUE"""),"Kingkaew")</f>
        <v>Kingkaew</v>
      </c>
      <c r="E942" t="str">
        <f>IFERROR(__xludf.DUMMYFUNCTION("""COMPUTED_VALUE"""),"Nawaphat Kingkaew")</f>
        <v>Nawaphat Kingkaew</v>
      </c>
      <c r="F942" t="str">
        <f>IFERROR(__xludf.DUMMYFUNCTION("""COMPUTED_VALUE"""),"นาย")</f>
        <v>นาย</v>
      </c>
      <c r="G942" t="str">
        <f>IFERROR(__xludf.DUMMYFUNCTION("""COMPUTED_VALUE"""),"นวภัทร")</f>
        <v>นวภัทร</v>
      </c>
      <c r="H942" t="str">
        <f>IFERROR(__xludf.DUMMYFUNCTION("""COMPUTED_VALUE"""),"กิ่งแก้ว")</f>
        <v>กิ่งแก้ว</v>
      </c>
      <c r="I942" t="str">
        <f>IFERROR(__xludf.DUMMYFUNCTION("""COMPUTED_VALUE"""),"นวภัทร กิ่งแก้ว")</f>
        <v>นวภัทร กิ่งแก้ว</v>
      </c>
      <c r="J942" t="str">
        <f>IFERROR(__xludf.DUMMYFUNCTION("""COMPUTED_VALUE"""),"New")</f>
        <v>New</v>
      </c>
      <c r="K942" t="str">
        <f>IFERROR(__xludf.DUMMYFUNCTION("""COMPUTED_VALUE"""),"Cabin Crew - HKT")</f>
        <v>Cabin Crew - HKT</v>
      </c>
      <c r="L942" t="str">
        <f>IFERROR(__xludf.DUMMYFUNCTION("""COMPUTED_VALUE"""),"HKT")</f>
        <v>HKT</v>
      </c>
      <c r="M942" s="145" t="str">
        <f>IFERROR(__xludf.DUMMYFUNCTION("""COMPUTED_VALUE"""),"Kor Home")</f>
        <v>Kor Home</v>
      </c>
      <c r="N942" t="str">
        <f>IFERROR(__xludf.DUMMYFUNCTION("""COMPUTED_VALUE"""),"Active")</f>
        <v>Active</v>
      </c>
      <c r="P942" s="154">
        <f>IFERROR(__xludf.DUMMYFUNCTION("""COMPUTED_VALUE"""),34560.0)</f>
        <v>34560</v>
      </c>
      <c r="Q942" s="146" t="str">
        <f>IFERROR(__xludf.DUMMYFUNCTION("""COMPUTED_VALUE"""),"090-318-3107")</f>
        <v>090-318-3107</v>
      </c>
      <c r="R942" s="147" t="str">
        <f>IFERROR(__xludf.DUMMYFUNCTION("""COMPUTED_VALUE"""),"1-8399-00346-53-1")</f>
        <v>1-8399-00346-53-1</v>
      </c>
      <c r="S942" t="str">
        <f>IFERROR(__xludf.DUMMYFUNCTION("""COMPUTED_VALUE"""),"AC7168854")</f>
        <v>AC7168854</v>
      </c>
      <c r="T942" s="148">
        <f>IFERROR(__xludf.DUMMYFUNCTION("""COMPUTED_VALUE"""),45505.0)</f>
        <v>45505</v>
      </c>
      <c r="U942" s="148">
        <f>IFERROR(__xludf.DUMMYFUNCTION("""COMPUTED_VALUE"""),49156.0)</f>
        <v>49156</v>
      </c>
      <c r="V942" s="149">
        <f>IFERROR(__xludf.DUMMYFUNCTION("""COMPUTED_VALUE"""),48975.0)</f>
        <v>48975</v>
      </c>
      <c r="W942" t="str">
        <f>IFERROR(__xludf.DUMMYFUNCTION("""COMPUTED_VALUE"""),"ปลอดภัย")</f>
        <v>ปลอดภัย</v>
      </c>
      <c r="X942" t="str">
        <f>IFERROR(__xludf.DUMMYFUNCTION("""COMPUTED_VALUE"""),"Phuket Province")</f>
        <v>Phuket Province</v>
      </c>
      <c r="Y942" t="str">
        <f>IFERROR(__xludf.DUMMYFUNCTION("""COMPUTED_VALUE"""),"Phuket")</f>
        <v>Phuket</v>
      </c>
      <c r="Z942" t="str">
        <f>IFERROR(__xludf.DUMMYFUNCTION("""COMPUTED_VALUE"""),"082-419-1899")</f>
        <v>082-419-1899</v>
      </c>
      <c r="AA942" t="str">
        <f>IFERROR(__xludf.DUMMYFUNCTION("""COMPUTED_VALUE"""),"Akarawit Kingkaew (Father)")</f>
        <v>Akarawit Kingkaew (Father)</v>
      </c>
      <c r="AB942" t="str">
        <f>IFERROR(__xludf.DUMMYFUNCTION("""COMPUTED_VALUE"""),"nawaphatkingkaew@airasia.com")</f>
        <v>nawaphatkingkaew@airasia.com</v>
      </c>
    </row>
    <row r="943">
      <c r="A943">
        <f>IFERROR(__xludf.DUMMYFUNCTION("""COMPUTED_VALUE"""),1023564.0)</f>
        <v>1023564</v>
      </c>
      <c r="B943" t="str">
        <f>IFERROR(__xludf.DUMMYFUNCTION("""COMPUTED_VALUE"""),"Ms.")</f>
        <v>Ms.</v>
      </c>
      <c r="C943" t="str">
        <f>IFERROR(__xludf.DUMMYFUNCTION("""COMPUTED_VALUE"""),"Suparada (Pitchaon)")</f>
        <v>Suparada (Pitchaon)</v>
      </c>
      <c r="D943" t="str">
        <f>IFERROR(__xludf.DUMMYFUNCTION("""COMPUTED_VALUE"""),"Suksirisamphan")</f>
        <v>Suksirisamphan</v>
      </c>
      <c r="E943" t="str">
        <f>IFERROR(__xludf.DUMMYFUNCTION("""COMPUTED_VALUE"""),"Suparada Suksirisamphan")</f>
        <v>Suparada Suksirisamphan</v>
      </c>
      <c r="F943" t="str">
        <f>IFERROR(__xludf.DUMMYFUNCTION("""COMPUTED_VALUE"""),"นางสาว")</f>
        <v>นางสาว</v>
      </c>
      <c r="G943" t="str">
        <f>IFERROR(__xludf.DUMMYFUNCTION("""COMPUTED_VALUE"""),"ศุภรดา (พิชชาอร)")</f>
        <v>ศุภรดา (พิชชาอร)</v>
      </c>
      <c r="H943" t="str">
        <f>IFERROR(__xludf.DUMMYFUNCTION("""COMPUTED_VALUE"""),"สุขศิริสัมพันธ์")</f>
        <v>สุขศิริสัมพันธ์</v>
      </c>
      <c r="I943" t="str">
        <f>IFERROR(__xludf.DUMMYFUNCTION("""COMPUTED_VALUE"""),"ศุภรดา สุขศิริสัมพันธ์")</f>
        <v>ศุภรดา สุขศิริสัมพันธ์</v>
      </c>
      <c r="J943" t="str">
        <f>IFERROR(__xludf.DUMMYFUNCTION("""COMPUTED_VALUE"""),"Care / แคร์")</f>
        <v>Care / แคร์</v>
      </c>
      <c r="K943" t="str">
        <f>IFERROR(__xludf.DUMMYFUNCTION("""COMPUTED_VALUE"""),"Cabin Crew - HKT")</f>
        <v>Cabin Crew - HKT</v>
      </c>
      <c r="L943" t="str">
        <f>IFERROR(__xludf.DUMMYFUNCTION("""COMPUTED_VALUE"""),"HKT")</f>
        <v>HKT</v>
      </c>
      <c r="M943" s="145" t="str">
        <f>IFERROR(__xludf.DUMMYFUNCTION("""COMPUTED_VALUE"""),"Kor Home")</f>
        <v>Kor Home</v>
      </c>
      <c r="N943" t="str">
        <f>IFERROR(__xludf.DUMMYFUNCTION("""COMPUTED_VALUE"""),"Active/V/DMK")</f>
        <v>Active/V/DMK</v>
      </c>
      <c r="P943" s="154">
        <f>IFERROR(__xludf.DUMMYFUNCTION("""COMPUTED_VALUE"""),33593.0)</f>
        <v>33593</v>
      </c>
      <c r="Q943" s="146" t="str">
        <f>IFERROR(__xludf.DUMMYFUNCTION("""COMPUTED_VALUE"""),"089-731-0757")</f>
        <v>089-731-0757</v>
      </c>
      <c r="R943" s="147" t="str">
        <f>IFERROR(__xludf.DUMMYFUNCTION("""COMPUTED_VALUE"""),"1-8399-00246-45-5")</f>
        <v>1-8399-00246-45-5</v>
      </c>
      <c r="S943" t="str">
        <f>IFERROR(__xludf.DUMMYFUNCTION("""COMPUTED_VALUE"""),"AC6734569")</f>
        <v>AC6734569</v>
      </c>
      <c r="T943" s="148">
        <f>IFERROR(__xludf.DUMMYFUNCTION("""COMPUTED_VALUE"""),45415.0)</f>
        <v>45415</v>
      </c>
      <c r="U943" s="148">
        <f>IFERROR(__xludf.DUMMYFUNCTION("""COMPUTED_VALUE"""),49066.0)</f>
        <v>49066</v>
      </c>
      <c r="V943" s="149">
        <f>IFERROR(__xludf.DUMMYFUNCTION("""COMPUTED_VALUE"""),48885.0)</f>
        <v>48885</v>
      </c>
      <c r="W943" t="str">
        <f>IFERROR(__xludf.DUMMYFUNCTION("""COMPUTED_VALUE"""),"ปลอดภัย")</f>
        <v>ปลอดภัย</v>
      </c>
      <c r="X943" t="str">
        <f>IFERROR(__xludf.DUMMYFUNCTION("""COMPUTED_VALUE"""),"Phuket Province")</f>
        <v>Phuket Province</v>
      </c>
      <c r="Y943" t="str">
        <f>IFERROR(__xludf.DUMMYFUNCTION("""COMPUTED_VALUE"""),"Phuket")</f>
        <v>Phuket</v>
      </c>
      <c r="Z943" t="str">
        <f>IFERROR(__xludf.DUMMYFUNCTION("""COMPUTED_VALUE"""),"081 597 0119")</f>
        <v>081 597 0119</v>
      </c>
      <c r="AA943" t="str">
        <f>IFERROR(__xludf.DUMMYFUNCTION("""COMPUTED_VALUE"""),"Amornmas Suksirisamphan (Mother)")</f>
        <v>Amornmas Suksirisamphan (Mother)</v>
      </c>
      <c r="AB943" t="str">
        <f>IFERROR(__xludf.DUMMYFUNCTION("""COMPUTED_VALUE"""),"suparadasuk@airasia.com")</f>
        <v>suparadasuk@airasia.com</v>
      </c>
    </row>
    <row r="944">
      <c r="A944">
        <f>IFERROR(__xludf.DUMMYFUNCTION("""COMPUTED_VALUE"""),1023581.0)</f>
        <v>1023581</v>
      </c>
      <c r="B944" t="str">
        <f>IFERROR(__xludf.DUMMYFUNCTION("""COMPUTED_VALUE"""),"Ms.")</f>
        <v>Ms.</v>
      </c>
      <c r="C944" t="str">
        <f>IFERROR(__xludf.DUMMYFUNCTION("""COMPUTED_VALUE"""),"Pavitra")</f>
        <v>Pavitra</v>
      </c>
      <c r="D944" t="str">
        <f>IFERROR(__xludf.DUMMYFUNCTION("""COMPUTED_VALUE"""),"Chaosrithong")</f>
        <v>Chaosrithong</v>
      </c>
      <c r="E944" t="str">
        <f>IFERROR(__xludf.DUMMYFUNCTION("""COMPUTED_VALUE"""),"Pavitra Chaosrithong")</f>
        <v>Pavitra Chaosrithong</v>
      </c>
      <c r="F944" t="str">
        <f>IFERROR(__xludf.DUMMYFUNCTION("""COMPUTED_VALUE"""),"นางสาว")</f>
        <v>นางสาว</v>
      </c>
      <c r="G944" t="str">
        <f>IFERROR(__xludf.DUMMYFUNCTION("""COMPUTED_VALUE"""),"ปวิตรา")</f>
        <v>ปวิตรา</v>
      </c>
      <c r="H944" t="str">
        <f>IFERROR(__xludf.DUMMYFUNCTION("""COMPUTED_VALUE"""),"ชาวศรีทอง")</f>
        <v>ชาวศรีทอง</v>
      </c>
      <c r="I944" t="str">
        <f>IFERROR(__xludf.DUMMYFUNCTION("""COMPUTED_VALUE"""),"ปวิตรา ชาวศรีทอง")</f>
        <v>ปวิตรา ชาวศรีทอง</v>
      </c>
      <c r="J944" t="str">
        <f>IFERROR(__xludf.DUMMYFUNCTION("""COMPUTED_VALUE"""),"Toey/")</f>
        <v>Toey/</v>
      </c>
      <c r="K944" t="str">
        <f>IFERROR(__xludf.DUMMYFUNCTION("""COMPUTED_VALUE"""),"Cabin Crew")</f>
        <v>Cabin Crew</v>
      </c>
      <c r="L944" t="str">
        <f>IFERROR(__xludf.DUMMYFUNCTION("""COMPUTED_VALUE"""),"DMK")</f>
        <v>DMK</v>
      </c>
      <c r="M944" s="145" t="str">
        <f>IFERROR(__xludf.DUMMYFUNCTION("""COMPUTED_VALUE"""),"Por+ Home")</f>
        <v>Por+ Home</v>
      </c>
      <c r="N944" t="str">
        <f>IFERROR(__xludf.DUMMYFUNCTION("""COMPUTED_VALUE"""),"Active")</f>
        <v>Active</v>
      </c>
      <c r="O944" t="str">
        <f>IFERROR(__xludf.DUMMYFUNCTION("""COMPUTED_VALUE"""),"Chinese Speaking")</f>
        <v>Chinese Speaking</v>
      </c>
      <c r="P944" s="153">
        <f>IFERROR(__xludf.DUMMYFUNCTION("""COMPUTED_VALUE"""),34639.0)</f>
        <v>34639</v>
      </c>
      <c r="Q944" s="146" t="str">
        <f>IFERROR(__xludf.DUMMYFUNCTION("""COMPUTED_VALUE"""),"092-466-3294")</f>
        <v>092-466-3294</v>
      </c>
      <c r="R944" s="147" t="str">
        <f>IFERROR(__xludf.DUMMYFUNCTION("""COMPUTED_VALUE"""),"1-7099-00924-76-4")</f>
        <v>1-7099-00924-76-4</v>
      </c>
      <c r="S944" t="str">
        <f>IFERROR(__xludf.DUMMYFUNCTION("""COMPUTED_VALUE"""),"AC4128779")</f>
        <v>AC4128779</v>
      </c>
      <c r="T944" s="148">
        <f>IFERROR(__xludf.DUMMYFUNCTION("""COMPUTED_VALUE"""),44865.0)</f>
        <v>44865</v>
      </c>
      <c r="U944" s="148">
        <f>IFERROR(__xludf.DUMMYFUNCTION("""COMPUTED_VALUE"""),48517.0)</f>
        <v>48517</v>
      </c>
      <c r="V944" s="149">
        <f>IFERROR(__xludf.DUMMYFUNCTION("""COMPUTED_VALUE"""),48334.0)</f>
        <v>48334</v>
      </c>
      <c r="W944" t="str">
        <f>IFERROR(__xludf.DUMMYFUNCTION("""COMPUTED_VALUE"""),"ปลอดภัย")</f>
        <v>ปลอดภัย</v>
      </c>
      <c r="X944" t="str">
        <f>IFERROR(__xludf.DUMMYFUNCTION("""COMPUTED_VALUE"""),"Ratchaburi Province")</f>
        <v>Ratchaburi Province</v>
      </c>
      <c r="Y944" t="str">
        <f>IFERROR(__xludf.DUMMYFUNCTION("""COMPUTED_VALUE"""),"Nakornpathom")</f>
        <v>Nakornpathom</v>
      </c>
      <c r="Z944" t="str">
        <f>IFERROR(__xludf.DUMMYFUNCTION("""COMPUTED_VALUE"""),"062-629-1924")</f>
        <v>062-629-1924</v>
      </c>
      <c r="AA944" t="str">
        <f>IFERROR(__xludf.DUMMYFUNCTION("""COMPUTED_VALUE"""),"Kirana Chaosrithong (Mother)")</f>
        <v>Kirana Chaosrithong (Mother)</v>
      </c>
      <c r="AB944" t="str">
        <f>IFERROR(__xludf.DUMMYFUNCTION("""COMPUTED_VALUE"""),"pavitrachaosrithong@airasia.com")</f>
        <v>pavitrachaosrithong@airasia.com</v>
      </c>
    </row>
    <row r="945">
      <c r="A945">
        <f>IFERROR(__xludf.DUMMYFUNCTION("""COMPUTED_VALUE"""),1023582.0)</f>
        <v>1023582</v>
      </c>
      <c r="B945" t="str">
        <f>IFERROR(__xludf.DUMMYFUNCTION("""COMPUTED_VALUE"""),"Ms.")</f>
        <v>Ms.</v>
      </c>
      <c r="C945" t="str">
        <f>IFERROR(__xludf.DUMMYFUNCTION("""COMPUTED_VALUE"""),"Rawiwan")</f>
        <v>Rawiwan</v>
      </c>
      <c r="D945" t="str">
        <f>IFERROR(__xludf.DUMMYFUNCTION("""COMPUTED_VALUE"""),"Chailerst")</f>
        <v>Chailerst</v>
      </c>
      <c r="E945" t="str">
        <f>IFERROR(__xludf.DUMMYFUNCTION("""COMPUTED_VALUE"""),"Rawiwan Chailerst")</f>
        <v>Rawiwan Chailerst</v>
      </c>
      <c r="F945" t="str">
        <f>IFERROR(__xludf.DUMMYFUNCTION("""COMPUTED_VALUE"""),"นางสาว")</f>
        <v>นางสาว</v>
      </c>
      <c r="G945" t="str">
        <f>IFERROR(__xludf.DUMMYFUNCTION("""COMPUTED_VALUE"""),"รวิวรรณ")</f>
        <v>รวิวรรณ</v>
      </c>
      <c r="H945" t="str">
        <f>IFERROR(__xludf.DUMMYFUNCTION("""COMPUTED_VALUE"""),"ไชยเลิศ")</f>
        <v>ไชยเลิศ</v>
      </c>
      <c r="I945" t="str">
        <f>IFERROR(__xludf.DUMMYFUNCTION("""COMPUTED_VALUE"""),"รวิวรรณ ไชยเลิศ")</f>
        <v>รวิวรรณ ไชยเลิศ</v>
      </c>
      <c r="J945" t="str">
        <f>IFERROR(__xludf.DUMMYFUNCTION("""COMPUTED_VALUE"""),"Kie/กี้")</f>
        <v>Kie/กี้</v>
      </c>
      <c r="K945" t="str">
        <f>IFERROR(__xludf.DUMMYFUNCTION("""COMPUTED_VALUE"""),"Cabin Crew")</f>
        <v>Cabin Crew</v>
      </c>
      <c r="L945" t="str">
        <f>IFERROR(__xludf.DUMMYFUNCTION("""COMPUTED_VALUE"""),"DMK")</f>
        <v>DMK</v>
      </c>
      <c r="M945" s="145" t="str">
        <f>IFERROR(__xludf.DUMMYFUNCTION("""COMPUTED_VALUE"""),"Nhui Home")</f>
        <v>Nhui Home</v>
      </c>
      <c r="N945" t="str">
        <f>IFERROR(__xludf.DUMMYFUNCTION("""COMPUTED_VALUE"""),"Active")</f>
        <v>Active</v>
      </c>
      <c r="O945" t="str">
        <f>IFERROR(__xludf.DUMMYFUNCTION("""COMPUTED_VALUE"""),"Chinese Speaking")</f>
        <v>Chinese Speaking</v>
      </c>
      <c r="P945" s="153">
        <f>IFERROR(__xludf.DUMMYFUNCTION("""COMPUTED_VALUE"""),33275.0)</f>
        <v>33275</v>
      </c>
      <c r="Q945" s="146" t="str">
        <f>IFERROR(__xludf.DUMMYFUNCTION("""COMPUTED_VALUE"""),"095-395-2879")</f>
        <v>095-395-2879</v>
      </c>
      <c r="R945" s="147" t="str">
        <f>IFERROR(__xludf.DUMMYFUNCTION("""COMPUTED_VALUE"""),"1-3408-00074-80-2")</f>
        <v>1-3408-00074-80-2</v>
      </c>
      <c r="S945" t="str">
        <f>IFERROR(__xludf.DUMMYFUNCTION("""COMPUTED_VALUE"""),"AC2592692")</f>
        <v>AC2592692</v>
      </c>
      <c r="T945" s="148">
        <f>IFERROR(__xludf.DUMMYFUNCTION("""COMPUTED_VALUE"""),44656.0)</f>
        <v>44656</v>
      </c>
      <c r="U945" s="148">
        <f>IFERROR(__xludf.DUMMYFUNCTION("""COMPUTED_VALUE"""),48308.0)</f>
        <v>48308</v>
      </c>
      <c r="V945" s="149">
        <f>IFERROR(__xludf.DUMMYFUNCTION("""COMPUTED_VALUE"""),48125.0)</f>
        <v>48125</v>
      </c>
      <c r="W945" t="str">
        <f>IFERROR(__xludf.DUMMYFUNCTION("""COMPUTED_VALUE"""),"ปลอดภัย")</f>
        <v>ปลอดภัย</v>
      </c>
      <c r="X945" t="str">
        <f>IFERROR(__xludf.DUMMYFUNCTION("""COMPUTED_VALUE"""),"Ubon Ratchathani Province")</f>
        <v>Ubon Ratchathani Province</v>
      </c>
      <c r="Y945" t="str">
        <f>IFERROR(__xludf.DUMMYFUNCTION("""COMPUTED_VALUE"""),"samutphagran")</f>
        <v>samutphagran</v>
      </c>
      <c r="Z945" t="str">
        <f>IFERROR(__xludf.DUMMYFUNCTION("""COMPUTED_VALUE"""),"097 239 8335")</f>
        <v>097 239 8335</v>
      </c>
      <c r="AA945" t="str">
        <f>IFERROR(__xludf.DUMMYFUNCTION("""COMPUTED_VALUE"""),"Lerstchai (Father)")</f>
        <v>Lerstchai (Father)</v>
      </c>
      <c r="AB945" t="str">
        <f>IFERROR(__xludf.DUMMYFUNCTION("""COMPUTED_VALUE"""),"rawiwanchailerst@airasia.com")</f>
        <v>rawiwanchailerst@airasia.com</v>
      </c>
    </row>
    <row r="946">
      <c r="A946">
        <f>IFERROR(__xludf.DUMMYFUNCTION("""COMPUTED_VALUE"""),1023585.0)</f>
        <v>1023585</v>
      </c>
      <c r="B946" t="str">
        <f>IFERROR(__xludf.DUMMYFUNCTION("""COMPUTED_VALUE"""),"Ms.")</f>
        <v>Ms.</v>
      </c>
      <c r="C946" t="str">
        <f>IFERROR(__xludf.DUMMYFUNCTION("""COMPUTED_VALUE"""),"Chayanee")</f>
        <v>Chayanee</v>
      </c>
      <c r="D946" t="str">
        <f>IFERROR(__xludf.DUMMYFUNCTION("""COMPUTED_VALUE"""),"Sittisak")</f>
        <v>Sittisak</v>
      </c>
      <c r="E946" t="str">
        <f>IFERROR(__xludf.DUMMYFUNCTION("""COMPUTED_VALUE"""),"Chayanee Sittisak")</f>
        <v>Chayanee Sittisak</v>
      </c>
      <c r="F946" t="str">
        <f>IFERROR(__xludf.DUMMYFUNCTION("""COMPUTED_VALUE"""),"นางสาว")</f>
        <v>นางสาว</v>
      </c>
      <c r="G946" t="str">
        <f>IFERROR(__xludf.DUMMYFUNCTION("""COMPUTED_VALUE"""),"ชญานี")</f>
        <v>ชญานี</v>
      </c>
      <c r="H946" t="str">
        <f>IFERROR(__xludf.DUMMYFUNCTION("""COMPUTED_VALUE"""),"สิทธิศักดิ์")</f>
        <v>สิทธิศักดิ์</v>
      </c>
      <c r="I946" t="str">
        <f>IFERROR(__xludf.DUMMYFUNCTION("""COMPUTED_VALUE"""),"ชญานี สิทธิศักดิ์")</f>
        <v>ชญานี สิทธิศักดิ์</v>
      </c>
      <c r="J946" t="str">
        <f>IFERROR(__xludf.DUMMYFUNCTION("""COMPUTED_VALUE"""),"Ae / แอ้")</f>
        <v>Ae / แอ้</v>
      </c>
      <c r="K946" t="str">
        <f>IFERROR(__xludf.DUMMYFUNCTION("""COMPUTED_VALUE"""),"Cabin Crew - HKT")</f>
        <v>Cabin Crew - HKT</v>
      </c>
      <c r="L946" t="str">
        <f>IFERROR(__xludf.DUMMYFUNCTION("""COMPUTED_VALUE"""),"HKT")</f>
        <v>HKT</v>
      </c>
      <c r="M946" s="145" t="str">
        <f>IFERROR(__xludf.DUMMYFUNCTION("""COMPUTED_VALUE"""),"Kor Home")</f>
        <v>Kor Home</v>
      </c>
      <c r="N946" t="str">
        <f>IFERROR(__xludf.DUMMYFUNCTION("""COMPUTED_VALUE"""),"LWPH")</f>
        <v>LWPH</v>
      </c>
      <c r="P946" s="154">
        <f>IFERROR(__xludf.DUMMYFUNCTION("""COMPUTED_VALUE"""),33564.0)</f>
        <v>33564</v>
      </c>
      <c r="Q946" s="146">
        <f>IFERROR(__xludf.DUMMYFUNCTION("""COMPUTED_VALUE"""),9.52561535E8)</f>
        <v>952561535</v>
      </c>
      <c r="R946" s="147" t="str">
        <f>IFERROR(__xludf.DUMMYFUNCTION("""COMPUTED_VALUE"""),"1-8399-00244-30-4")</f>
        <v>1-8399-00244-30-4</v>
      </c>
      <c r="S946" t="str">
        <f>IFERROR(__xludf.DUMMYFUNCTION("""COMPUTED_VALUE"""),"AD0056173")</f>
        <v>AD0056173</v>
      </c>
      <c r="T946" s="148">
        <f>IFERROR(__xludf.DUMMYFUNCTION("""COMPUTED_VALUE"""),44830.0)</f>
        <v>44830</v>
      </c>
      <c r="U946" s="148">
        <f>IFERROR(__xludf.DUMMYFUNCTION("""COMPUTED_VALUE"""),48482.0)</f>
        <v>48482</v>
      </c>
      <c r="V946" s="149">
        <f>IFERROR(__xludf.DUMMYFUNCTION("""COMPUTED_VALUE"""),48298.0)</f>
        <v>48298</v>
      </c>
      <c r="W946" t="str">
        <f>IFERROR(__xludf.DUMMYFUNCTION("""COMPUTED_VALUE"""),"ปลอดภัย")</f>
        <v>ปลอดภัย</v>
      </c>
      <c r="X946" t="str">
        <f>IFERROR(__xludf.DUMMYFUNCTION("""COMPUTED_VALUE"""),"Phuket Province")</f>
        <v>Phuket Province</v>
      </c>
      <c r="Z946" t="str">
        <f>IFERROR(__xludf.DUMMYFUNCTION("""COMPUTED_VALUE"""),"081-970-3321")</f>
        <v>081-970-3321</v>
      </c>
      <c r="AA946" t="str">
        <f>IFERROR(__xludf.DUMMYFUNCTION("""COMPUTED_VALUE"""),"Pensri Sittisak (Mother)")</f>
        <v>Pensri Sittisak (Mother)</v>
      </c>
      <c r="AB946" t="str">
        <f>IFERROR(__xludf.DUMMYFUNCTION("""COMPUTED_VALUE"""),"chayaneesittisak@airasia.com")</f>
        <v>chayaneesittisak@airasia.com</v>
      </c>
    </row>
    <row r="947">
      <c r="A947">
        <f>IFERROR(__xludf.DUMMYFUNCTION("""COMPUTED_VALUE"""),1023589.0)</f>
        <v>1023589</v>
      </c>
      <c r="B947" t="str">
        <f>IFERROR(__xludf.DUMMYFUNCTION("""COMPUTED_VALUE"""),"Ms.")</f>
        <v>Ms.</v>
      </c>
      <c r="C947" t="str">
        <f>IFERROR(__xludf.DUMMYFUNCTION("""COMPUTED_VALUE"""),"Pattanee")</f>
        <v>Pattanee</v>
      </c>
      <c r="D947" t="str">
        <f>IFERROR(__xludf.DUMMYFUNCTION("""COMPUTED_VALUE"""),"Nopparat")</f>
        <v>Nopparat</v>
      </c>
      <c r="E947" t="str">
        <f>IFERROR(__xludf.DUMMYFUNCTION("""COMPUTED_VALUE"""),"Pattanee Nopparat")</f>
        <v>Pattanee Nopparat</v>
      </c>
      <c r="F947" t="str">
        <f>IFERROR(__xludf.DUMMYFUNCTION("""COMPUTED_VALUE"""),"นางสาว")</f>
        <v>นางสาว</v>
      </c>
      <c r="G947" t="str">
        <f>IFERROR(__xludf.DUMMYFUNCTION("""COMPUTED_VALUE"""),"พัฒนี")</f>
        <v>พัฒนี</v>
      </c>
      <c r="H947" t="str">
        <f>IFERROR(__xludf.DUMMYFUNCTION("""COMPUTED_VALUE"""),"นพรัตน์")</f>
        <v>นพรัตน์</v>
      </c>
      <c r="I947" t="str">
        <f>IFERROR(__xludf.DUMMYFUNCTION("""COMPUTED_VALUE"""),"พัฒนี นพรัตน์")</f>
        <v>พัฒนี นพรัตน์</v>
      </c>
      <c r="J947" t="str">
        <f>IFERROR(__xludf.DUMMYFUNCTION("""COMPUTED_VALUE"""),"aice")</f>
        <v>aice</v>
      </c>
      <c r="K947" t="str">
        <f>IFERROR(__xludf.DUMMYFUNCTION("""COMPUTED_VALUE"""),"Cabin Crew")</f>
        <v>Cabin Crew</v>
      </c>
      <c r="L947" t="str">
        <f>IFERROR(__xludf.DUMMYFUNCTION("""COMPUTED_VALUE"""),"DMK")</f>
        <v>DMK</v>
      </c>
      <c r="M947" s="145" t="str">
        <f>IFERROR(__xludf.DUMMYFUNCTION("""COMPUTED_VALUE"""),"Nhui Home")</f>
        <v>Nhui Home</v>
      </c>
      <c r="N947" t="str">
        <f>IFERROR(__xludf.DUMMYFUNCTION("""COMPUTED_VALUE"""),"Active")</f>
        <v>Active</v>
      </c>
      <c r="O947" t="str">
        <f>IFERROR(__xludf.DUMMYFUNCTION("""COMPUTED_VALUE"""),"Chinese Speaking")</f>
        <v>Chinese Speaking</v>
      </c>
      <c r="P947" s="155">
        <f>IFERROR(__xludf.DUMMYFUNCTION("""COMPUTED_VALUE"""),33633.0)</f>
        <v>33633</v>
      </c>
      <c r="Q947" s="146" t="str">
        <f>IFERROR(__xludf.DUMMYFUNCTION("""COMPUTED_VALUE"""),"089-7868697")</f>
        <v>089-7868697</v>
      </c>
      <c r="R947" s="147" t="str">
        <f>IFERROR(__xludf.DUMMYFUNCTION("""COMPUTED_VALUE"""),"1-2299-00449-98-0")</f>
        <v>1-2299-00449-98-0</v>
      </c>
      <c r="S947" t="str">
        <f>IFERROR(__xludf.DUMMYFUNCTION("""COMPUTED_VALUE"""),"AC6685246")</f>
        <v>AC6685246</v>
      </c>
      <c r="T947" s="148">
        <f>IFERROR(__xludf.DUMMYFUNCTION("""COMPUTED_VALUE"""),45405.0)</f>
        <v>45405</v>
      </c>
      <c r="U947" s="148">
        <f>IFERROR(__xludf.DUMMYFUNCTION("""COMPUTED_VALUE"""),49056.0)</f>
        <v>49056</v>
      </c>
      <c r="V947" s="149">
        <f>IFERROR(__xludf.DUMMYFUNCTION("""COMPUTED_VALUE"""),48874.0)</f>
        <v>48874</v>
      </c>
      <c r="W947" t="str">
        <f>IFERROR(__xludf.DUMMYFUNCTION("""COMPUTED_VALUE"""),"ปลอดภัย")</f>
        <v>ปลอดภัย</v>
      </c>
      <c r="X947" t="str">
        <f>IFERROR(__xludf.DUMMYFUNCTION("""COMPUTED_VALUE"""),"Chanthaburi Province")</f>
        <v>Chanthaburi Province</v>
      </c>
      <c r="AB947" t="str">
        <f>IFERROR(__xludf.DUMMYFUNCTION("""COMPUTED_VALUE"""),"pattaneenopparat@airasia.com")</f>
        <v>pattaneenopparat@airasia.com</v>
      </c>
    </row>
    <row r="948">
      <c r="A948">
        <f>IFERROR(__xludf.DUMMYFUNCTION("""COMPUTED_VALUE"""),1023590.0)</f>
        <v>1023590</v>
      </c>
      <c r="B948" t="str">
        <f>IFERROR(__xludf.DUMMYFUNCTION("""COMPUTED_VALUE"""),"Ms.")</f>
        <v>Ms.</v>
      </c>
      <c r="C948" t="str">
        <f>IFERROR(__xludf.DUMMYFUNCTION("""COMPUTED_VALUE"""),"Supatsorn")</f>
        <v>Supatsorn</v>
      </c>
      <c r="D948" t="str">
        <f>IFERROR(__xludf.DUMMYFUNCTION("""COMPUTED_VALUE"""),"Awtansakun")</f>
        <v>Awtansakun</v>
      </c>
      <c r="E948" t="str">
        <f>IFERROR(__xludf.DUMMYFUNCTION("""COMPUTED_VALUE"""),"Supatsorn Awtansakun")</f>
        <v>Supatsorn Awtansakun</v>
      </c>
      <c r="F948" t="str">
        <f>IFERROR(__xludf.DUMMYFUNCTION("""COMPUTED_VALUE"""),"นางสาว")</f>
        <v>นางสาว</v>
      </c>
      <c r="G948" t="str">
        <f>IFERROR(__xludf.DUMMYFUNCTION("""COMPUTED_VALUE"""),"สุภัสสร")</f>
        <v>สุภัสสร</v>
      </c>
      <c r="H948" t="str">
        <f>IFERROR(__xludf.DUMMYFUNCTION("""COMPUTED_VALUE"""),"เอาทารย์สกุล")</f>
        <v>เอาทารย์สกุล</v>
      </c>
      <c r="I948" t="str">
        <f>IFERROR(__xludf.DUMMYFUNCTION("""COMPUTED_VALUE"""),"สุภัสสร เอาทารย์สกุล")</f>
        <v>สุภัสสร เอาทารย์สกุล</v>
      </c>
      <c r="J948" t="str">
        <f>IFERROR(__xludf.DUMMYFUNCTION("""COMPUTED_VALUE"""),"Ying/หญิง")</f>
        <v>Ying/หญิง</v>
      </c>
      <c r="K948" t="str">
        <f>IFERROR(__xludf.DUMMYFUNCTION("""COMPUTED_VALUE"""),"Cabin Crew")</f>
        <v>Cabin Crew</v>
      </c>
      <c r="L948" t="str">
        <f>IFERROR(__xludf.DUMMYFUNCTION("""COMPUTED_VALUE"""),"DMK")</f>
        <v>DMK</v>
      </c>
      <c r="M948" s="145" t="str">
        <f>IFERROR(__xludf.DUMMYFUNCTION("""COMPUTED_VALUE"""),"Kor Home")</f>
        <v>Kor Home</v>
      </c>
      <c r="N948" t="str">
        <f>IFERROR(__xludf.DUMMYFUNCTION("""COMPUTED_VALUE"""),"V/LWP")</f>
        <v>V/LWP</v>
      </c>
      <c r="P948" s="143">
        <f>IFERROR(__xludf.DUMMYFUNCTION("""COMPUTED_VALUE"""),33736.0)</f>
        <v>33736</v>
      </c>
      <c r="Q948" s="146" t="str">
        <f>IFERROR(__xludf.DUMMYFUNCTION("""COMPUTED_VALUE"""),"090-558-8299")</f>
        <v>090-558-8299</v>
      </c>
      <c r="R948" s="147" t="str">
        <f>IFERROR(__xludf.DUMMYFUNCTION("""COMPUTED_VALUE"""),"1-7499-00295-96-1")</f>
        <v>1-7499-00295-96-1</v>
      </c>
      <c r="S948" t="str">
        <f>IFERROR(__xludf.DUMMYFUNCTION("""COMPUTED_VALUE"""),"AC2720417")</f>
        <v>AC2720417</v>
      </c>
      <c r="T948" s="148">
        <f>IFERROR(__xludf.DUMMYFUNCTION("""COMPUTED_VALUE"""),44474.0)</f>
        <v>44474</v>
      </c>
      <c r="U948" s="148">
        <f>IFERROR(__xludf.DUMMYFUNCTION("""COMPUTED_VALUE"""),48125.0)</f>
        <v>48125</v>
      </c>
      <c r="V948" s="149">
        <f>IFERROR(__xludf.DUMMYFUNCTION("""COMPUTED_VALUE"""),47942.0)</f>
        <v>47942</v>
      </c>
      <c r="W948" t="str">
        <f>IFERROR(__xludf.DUMMYFUNCTION("""COMPUTED_VALUE"""),"ปลอดภัย")</f>
        <v>ปลอดภัย</v>
      </c>
      <c r="X948" t="str">
        <f>IFERROR(__xludf.DUMMYFUNCTION("""COMPUTED_VALUE"""),"Samut Sakhon Province")</f>
        <v>Samut Sakhon Province</v>
      </c>
      <c r="Y948" t="str">
        <f>IFERROR(__xludf.DUMMYFUNCTION("""COMPUTED_VALUE"""),"Samut Sakhon")</f>
        <v>Samut Sakhon</v>
      </c>
      <c r="Z948" t="str">
        <f>IFERROR(__xludf.DUMMYFUNCTION("""COMPUTED_VALUE"""),"‭06-5629-1656‬")</f>
        <v>‭06-5629-1656‬</v>
      </c>
      <c r="AA948" t="str">
        <f>IFERROR(__xludf.DUMMYFUNCTION("""COMPUTED_VALUE"""),"Sumalee Awtansakun (Mother)")</f>
        <v>Sumalee Awtansakun (Mother)</v>
      </c>
      <c r="AB948" t="str">
        <f>IFERROR(__xludf.DUMMYFUNCTION("""COMPUTED_VALUE"""),"supatsornawtansakun@airasia.com")</f>
        <v>supatsornawtansakun@airasia.com</v>
      </c>
    </row>
    <row r="949">
      <c r="A949">
        <f>IFERROR(__xludf.DUMMYFUNCTION("""COMPUTED_VALUE"""),1023591.0)</f>
        <v>1023591</v>
      </c>
      <c r="B949" t="str">
        <f>IFERROR(__xludf.DUMMYFUNCTION("""COMPUTED_VALUE"""),"Ms.")</f>
        <v>Ms.</v>
      </c>
      <c r="C949" t="str">
        <f>IFERROR(__xludf.DUMMYFUNCTION("""COMPUTED_VALUE"""),"Jittanan")</f>
        <v>Jittanan</v>
      </c>
      <c r="D949" t="str">
        <f>IFERROR(__xludf.DUMMYFUNCTION("""COMPUTED_VALUE"""),"Piromsri")</f>
        <v>Piromsri</v>
      </c>
      <c r="E949" t="str">
        <f>IFERROR(__xludf.DUMMYFUNCTION("""COMPUTED_VALUE"""),"Jittanan Piromsri")</f>
        <v>Jittanan Piromsri</v>
      </c>
      <c r="F949" t="str">
        <f>IFERROR(__xludf.DUMMYFUNCTION("""COMPUTED_VALUE"""),"นางสาว")</f>
        <v>นางสาว</v>
      </c>
      <c r="G949" t="str">
        <f>IFERROR(__xludf.DUMMYFUNCTION("""COMPUTED_VALUE"""),"จิตรานันท์")</f>
        <v>จิตรานันท์</v>
      </c>
      <c r="H949" t="str">
        <f>IFERROR(__xludf.DUMMYFUNCTION("""COMPUTED_VALUE"""),"ภิรมย์ศรี")</f>
        <v>ภิรมย์ศรี</v>
      </c>
      <c r="I949" t="str">
        <f>IFERROR(__xludf.DUMMYFUNCTION("""COMPUTED_VALUE"""),"จิตรานันท์ ภิรมย์ศรี")</f>
        <v>จิตรานันท์ ภิรมย์ศรี</v>
      </c>
      <c r="J949" t="str">
        <f>IFERROR(__xludf.DUMMYFUNCTION("""COMPUTED_VALUE"""),"Jenny / เจนนี่")</f>
        <v>Jenny / เจนนี่</v>
      </c>
      <c r="K949" t="str">
        <f>IFERROR(__xludf.DUMMYFUNCTION("""COMPUTED_VALUE"""),"Cabin Crew")</f>
        <v>Cabin Crew</v>
      </c>
      <c r="L949" t="str">
        <f>IFERROR(__xludf.DUMMYFUNCTION("""COMPUTED_VALUE"""),"DMK")</f>
        <v>DMK</v>
      </c>
      <c r="M949" s="145" t="str">
        <f>IFERROR(__xludf.DUMMYFUNCTION("""COMPUTED_VALUE"""),"Nhui Home")</f>
        <v>Nhui Home</v>
      </c>
      <c r="N949" t="str">
        <f>IFERROR(__xludf.DUMMYFUNCTION("""COMPUTED_VALUE"""),"Active")</f>
        <v>Active</v>
      </c>
      <c r="P949" s="154">
        <f>IFERROR(__xludf.DUMMYFUNCTION("""COMPUTED_VALUE"""),33506.0)</f>
        <v>33506</v>
      </c>
      <c r="Q949" s="146">
        <f>IFERROR(__xludf.DUMMYFUNCTION("""COMPUTED_VALUE"""),8.39423292E8)</f>
        <v>839423292</v>
      </c>
      <c r="R949" s="147" t="str">
        <f>IFERROR(__xludf.DUMMYFUNCTION("""COMPUTED_VALUE"""),"1-1299-00129-43-9")</f>
        <v>1-1299-00129-43-9</v>
      </c>
      <c r="S949" t="str">
        <f>IFERROR(__xludf.DUMMYFUNCTION("""COMPUTED_VALUE"""),"AD1744327")</f>
        <v>AD1744327</v>
      </c>
      <c r="T949" s="148">
        <f>IFERROR(__xludf.DUMMYFUNCTION("""COMPUTED_VALUE"""),45439.0)</f>
        <v>45439</v>
      </c>
      <c r="U949" s="148">
        <f>IFERROR(__xludf.DUMMYFUNCTION("""COMPUTED_VALUE"""),49090.0)</f>
        <v>49090</v>
      </c>
      <c r="V949" s="149">
        <f>IFERROR(__xludf.DUMMYFUNCTION("""COMPUTED_VALUE"""),48909.0)</f>
        <v>48909</v>
      </c>
      <c r="W949" t="str">
        <f>IFERROR(__xludf.DUMMYFUNCTION("""COMPUTED_VALUE"""),"ปลอดภัย")</f>
        <v>ปลอดภัย</v>
      </c>
      <c r="X949" t="str">
        <f>IFERROR(__xludf.DUMMYFUNCTION("""COMPUTED_VALUE"""),"Nonthaburi Province")</f>
        <v>Nonthaburi Province</v>
      </c>
      <c r="Y949" t="str">
        <f>IFERROR(__xludf.DUMMYFUNCTION("""COMPUTED_VALUE"""),"Pathum Thani")</f>
        <v>Pathum Thani</v>
      </c>
      <c r="Z949" t="str">
        <f>IFERROR(__xludf.DUMMYFUNCTION("""COMPUTED_VALUE"""),"081-404-4892")</f>
        <v>081-404-4892</v>
      </c>
      <c r="AA949" t="str">
        <f>IFERROR(__xludf.DUMMYFUNCTION("""COMPUTED_VALUE"""),"Thanaporn Piromsri (Sister)")</f>
        <v>Thanaporn Piromsri (Sister)</v>
      </c>
      <c r="AB949" t="str">
        <f>IFERROR(__xludf.DUMMYFUNCTION("""COMPUTED_VALUE"""),"jittananpiromsri@airasia.com")</f>
        <v>jittananpiromsri@airasia.com</v>
      </c>
    </row>
    <row r="950">
      <c r="A950">
        <f>IFERROR(__xludf.DUMMYFUNCTION("""COMPUTED_VALUE"""),1023594.0)</f>
        <v>1023594</v>
      </c>
      <c r="B950" t="str">
        <f>IFERROR(__xludf.DUMMYFUNCTION("""COMPUTED_VALUE"""),"Ms.")</f>
        <v>Ms.</v>
      </c>
      <c r="C950" t="str">
        <f>IFERROR(__xludf.DUMMYFUNCTION("""COMPUTED_VALUE"""),"Teerada")</f>
        <v>Teerada</v>
      </c>
      <c r="D950" t="str">
        <f>IFERROR(__xludf.DUMMYFUNCTION("""COMPUTED_VALUE"""),"Sripochsomboon")</f>
        <v>Sripochsomboon</v>
      </c>
      <c r="E950" t="str">
        <f>IFERROR(__xludf.DUMMYFUNCTION("""COMPUTED_VALUE"""),"Teerada Sripochsomboon")</f>
        <v>Teerada Sripochsomboon</v>
      </c>
      <c r="F950" t="str">
        <f>IFERROR(__xludf.DUMMYFUNCTION("""COMPUTED_VALUE"""),"นางสาว")</f>
        <v>นางสาว</v>
      </c>
      <c r="G950" t="str">
        <f>IFERROR(__xludf.DUMMYFUNCTION("""COMPUTED_VALUE"""),"ธีรดา")</f>
        <v>ธีรดา</v>
      </c>
      <c r="H950" t="str">
        <f>IFERROR(__xludf.DUMMYFUNCTION("""COMPUTED_VALUE"""),"ศรีโภชน์สมบูรณ์")</f>
        <v>ศรีโภชน์สมบูรณ์</v>
      </c>
      <c r="I950" t="str">
        <f>IFERROR(__xludf.DUMMYFUNCTION("""COMPUTED_VALUE"""),"ธีรดา ศรีโภชน์สมบูรณ์")</f>
        <v>ธีรดา ศรีโภชน์สมบูรณ์</v>
      </c>
      <c r="J950" t="str">
        <f>IFERROR(__xludf.DUMMYFUNCTION("""COMPUTED_VALUE"""),"Gard / การ์ด")</f>
        <v>Gard / การ์ด</v>
      </c>
      <c r="K950" t="str">
        <f>IFERROR(__xludf.DUMMYFUNCTION("""COMPUTED_VALUE"""),"Senior Cabin Crew")</f>
        <v>Senior Cabin Crew</v>
      </c>
      <c r="L950" t="str">
        <f>IFERROR(__xludf.DUMMYFUNCTION("""COMPUTED_VALUE"""),"DMK")</f>
        <v>DMK</v>
      </c>
      <c r="M950" s="145" t="str">
        <f>IFERROR(__xludf.DUMMYFUNCTION("""COMPUTED_VALUE"""),"Por+ Home")</f>
        <v>Por+ Home</v>
      </c>
      <c r="N950" t="str">
        <f>IFERROR(__xludf.DUMMYFUNCTION("""COMPUTED_VALUE"""),"Active")</f>
        <v>Active</v>
      </c>
      <c r="O950" t="str">
        <f>IFERROR(__xludf.DUMMYFUNCTION("""COMPUTED_VALUE"""),"Chinese Speaking")</f>
        <v>Chinese Speaking</v>
      </c>
      <c r="P950" s="154">
        <f>IFERROR(__xludf.DUMMYFUNCTION("""COMPUTED_VALUE"""),34046.0)</f>
        <v>34046</v>
      </c>
      <c r="Q950" s="146" t="str">
        <f>IFERROR(__xludf.DUMMYFUNCTION("""COMPUTED_VALUE"""),"080-558-5522")</f>
        <v>080-558-5522</v>
      </c>
      <c r="R950" s="147" t="str">
        <f>IFERROR(__xludf.DUMMYFUNCTION("""COMPUTED_VALUE"""),"1-1401-00058-62-8")</f>
        <v>1-1401-00058-62-8</v>
      </c>
      <c r="S950" t="str">
        <f>IFERROR(__xludf.DUMMYFUNCTION("""COMPUTED_VALUE"""),"AC8197237")</f>
        <v>AC8197237</v>
      </c>
      <c r="T950" s="148">
        <f>IFERROR(__xludf.DUMMYFUNCTION("""COMPUTED_VALUE"""),45730.0)</f>
        <v>45730</v>
      </c>
      <c r="U950" s="148">
        <f>IFERROR(__xludf.DUMMYFUNCTION("""COMPUTED_VALUE"""),49381.0)</f>
        <v>49381</v>
      </c>
      <c r="V950" s="149">
        <f>IFERROR(__xludf.DUMMYFUNCTION("""COMPUTED_VALUE"""),49200.0)</f>
        <v>49200</v>
      </c>
      <c r="W950" t="str">
        <f>IFERROR(__xludf.DUMMYFUNCTION("""COMPUTED_VALUE"""),"ปลอดภัย")</f>
        <v>ปลอดภัย</v>
      </c>
      <c r="X950" t="str">
        <f>IFERROR(__xludf.DUMMYFUNCTION("""COMPUTED_VALUE"""),"Phra Nakhon Si Ayutthaya Province")</f>
        <v>Phra Nakhon Si Ayutthaya Province</v>
      </c>
      <c r="Y950" t="str">
        <f>IFERROR(__xludf.DUMMYFUNCTION("""COMPUTED_VALUE"""),"Phra Nakhon Si Ayutthaya")</f>
        <v>Phra Nakhon Si Ayutthaya</v>
      </c>
      <c r="Z950" t="str">
        <f>IFERROR(__xludf.DUMMYFUNCTION("""COMPUTED_VALUE"""),"089-767-9222")</f>
        <v>089-767-9222</v>
      </c>
      <c r="AA950" t="str">
        <f>IFERROR(__xludf.DUMMYFUNCTION("""COMPUTED_VALUE"""),"Somsri Sripochsomboon(Mother)")</f>
        <v>Somsri Sripochsomboon(Mother)</v>
      </c>
      <c r="AB950" t="str">
        <f>IFERROR(__xludf.DUMMYFUNCTION("""COMPUTED_VALUE"""),"teeradasripochsombo@airasia.com")</f>
        <v>teeradasripochsombo@airasia.com</v>
      </c>
    </row>
    <row r="951">
      <c r="A951">
        <f>IFERROR(__xludf.DUMMYFUNCTION("""COMPUTED_VALUE"""),1023595.0)</f>
        <v>1023595</v>
      </c>
      <c r="B951" t="str">
        <f>IFERROR(__xludf.DUMMYFUNCTION("""COMPUTED_VALUE"""),"Ms.")</f>
        <v>Ms.</v>
      </c>
      <c r="C951" t="str">
        <f>IFERROR(__xludf.DUMMYFUNCTION("""COMPUTED_VALUE"""),"Kanokpan")</f>
        <v>Kanokpan</v>
      </c>
      <c r="D951" t="str">
        <f>IFERROR(__xludf.DUMMYFUNCTION("""COMPUTED_VALUE"""),"Tongnu")</f>
        <v>Tongnu</v>
      </c>
      <c r="E951" t="str">
        <f>IFERROR(__xludf.DUMMYFUNCTION("""COMPUTED_VALUE"""),"Kanokpan Tongnu")</f>
        <v>Kanokpan Tongnu</v>
      </c>
      <c r="F951" t="str">
        <f>IFERROR(__xludf.DUMMYFUNCTION("""COMPUTED_VALUE"""),"นางสาว")</f>
        <v>นางสาว</v>
      </c>
      <c r="G951" t="str">
        <f>IFERROR(__xludf.DUMMYFUNCTION("""COMPUTED_VALUE"""),"กนกพรรณ")</f>
        <v>กนกพรรณ</v>
      </c>
      <c r="H951" t="str">
        <f>IFERROR(__xludf.DUMMYFUNCTION("""COMPUTED_VALUE"""),"ทองหนู")</f>
        <v>ทองหนู</v>
      </c>
      <c r="I951" t="str">
        <f>IFERROR(__xludf.DUMMYFUNCTION("""COMPUTED_VALUE"""),"กนกพรรณ ทองหนู")</f>
        <v>กนกพรรณ ทองหนู</v>
      </c>
      <c r="J951" t="str">
        <f>IFERROR(__xludf.DUMMYFUNCTION("""COMPUTED_VALUE"""),"Pleng / เพลง")</f>
        <v>Pleng / เพลง</v>
      </c>
      <c r="K951" t="str">
        <f>IFERROR(__xludf.DUMMYFUNCTION("""COMPUTED_VALUE"""),"Cabin Crew")</f>
        <v>Cabin Crew</v>
      </c>
      <c r="L951" t="str">
        <f>IFERROR(__xludf.DUMMYFUNCTION("""COMPUTED_VALUE"""),"DMK")</f>
        <v>DMK</v>
      </c>
      <c r="M951" s="145" t="str">
        <f>IFERROR(__xludf.DUMMYFUNCTION("""COMPUTED_VALUE"""),"Por+ Home")</f>
        <v>Por+ Home</v>
      </c>
      <c r="N951" t="str">
        <f>IFERROR(__xludf.DUMMYFUNCTION("""COMPUTED_VALUE"""),"Active")</f>
        <v>Active</v>
      </c>
      <c r="P951" s="154">
        <f>IFERROR(__xludf.DUMMYFUNCTION("""COMPUTED_VALUE"""),33280.0)</f>
        <v>33280</v>
      </c>
      <c r="Q951" s="146" t="str">
        <f>IFERROR(__xludf.DUMMYFUNCTION("""COMPUTED_VALUE"""),"099-364-4505")</f>
        <v>099-364-4505</v>
      </c>
      <c r="R951" s="147" t="str">
        <f>IFERROR(__xludf.DUMMYFUNCTION("""COMPUTED_VALUE"""),"1-9099-00279-86-7")</f>
        <v>1-9099-00279-86-7</v>
      </c>
      <c r="S951" t="str">
        <f>IFERROR(__xludf.DUMMYFUNCTION("""COMPUTED_VALUE"""),"AD1789476")</f>
        <v>AD1789476</v>
      </c>
      <c r="T951" s="148">
        <f>IFERROR(__xludf.DUMMYFUNCTION("""COMPUTED_VALUE"""),45456.0)</f>
        <v>45456</v>
      </c>
      <c r="U951" s="148">
        <f>IFERROR(__xludf.DUMMYFUNCTION("""COMPUTED_VALUE"""),49107.0)</f>
        <v>49107</v>
      </c>
      <c r="V951" s="149">
        <f>IFERROR(__xludf.DUMMYFUNCTION("""COMPUTED_VALUE"""),48925.0)</f>
        <v>48925</v>
      </c>
      <c r="W951" t="str">
        <f>IFERROR(__xludf.DUMMYFUNCTION("""COMPUTED_VALUE"""),"ปลอดภัย")</f>
        <v>ปลอดภัย</v>
      </c>
      <c r="X951" t="str">
        <f>IFERROR(__xludf.DUMMYFUNCTION("""COMPUTED_VALUE"""),"Songkhla Province")</f>
        <v>Songkhla Province</v>
      </c>
      <c r="Y951" t="str">
        <f>IFERROR(__xludf.DUMMYFUNCTION("""COMPUTED_VALUE"""),"Bangkok")</f>
        <v>Bangkok</v>
      </c>
      <c r="Z951" t="str">
        <f>IFERROR(__xludf.DUMMYFUNCTION("""COMPUTED_VALUE"""),"095-419-1156")</f>
        <v>095-419-1156</v>
      </c>
      <c r="AA951" t="str">
        <f>IFERROR(__xludf.DUMMYFUNCTION("""COMPUTED_VALUE"""),"Noppasorn Tongnu (Sister)")</f>
        <v>Noppasorn Tongnu (Sister)</v>
      </c>
      <c r="AB951" t="str">
        <f>IFERROR(__xludf.DUMMYFUNCTION("""COMPUTED_VALUE"""),"kanokpantongnu@airasia.com")</f>
        <v>kanokpantongnu@airasia.com</v>
      </c>
    </row>
    <row r="952">
      <c r="A952">
        <f>IFERROR(__xludf.DUMMYFUNCTION("""COMPUTED_VALUE"""),1023607.0)</f>
        <v>1023607</v>
      </c>
      <c r="B952" t="str">
        <f>IFERROR(__xludf.DUMMYFUNCTION("""COMPUTED_VALUE"""),"Mr.")</f>
        <v>Mr.</v>
      </c>
      <c r="C952" t="str">
        <f>IFERROR(__xludf.DUMMYFUNCTION("""COMPUTED_VALUE"""),"Kanes")</f>
        <v>Kanes</v>
      </c>
      <c r="D952" t="str">
        <f>IFERROR(__xludf.DUMMYFUNCTION("""COMPUTED_VALUE"""),"Boonyapanachoti")</f>
        <v>Boonyapanachoti</v>
      </c>
      <c r="E952" t="str">
        <f>IFERROR(__xludf.DUMMYFUNCTION("""COMPUTED_VALUE"""),"Kanes Boonyapanachoti")</f>
        <v>Kanes Boonyapanachoti</v>
      </c>
      <c r="F952" t="str">
        <f>IFERROR(__xludf.DUMMYFUNCTION("""COMPUTED_VALUE"""),"นาย")</f>
        <v>นาย</v>
      </c>
      <c r="G952" t="str">
        <f>IFERROR(__xludf.DUMMYFUNCTION("""COMPUTED_VALUE"""),"คเณศ")</f>
        <v>คเณศ</v>
      </c>
      <c r="H952" t="str">
        <f>IFERROR(__xludf.DUMMYFUNCTION("""COMPUTED_VALUE"""),"บุญยะปานะโชติ")</f>
        <v>บุญยะปานะโชติ</v>
      </c>
      <c r="I952" t="str">
        <f>IFERROR(__xludf.DUMMYFUNCTION("""COMPUTED_VALUE"""),"คเณศ บุญยะปานะโชติ")</f>
        <v>คเณศ บุญยะปานะโชติ</v>
      </c>
      <c r="J952" t="str">
        <f>IFERROR(__xludf.DUMMYFUNCTION("""COMPUTED_VALUE"""),"Tity/ตีตี้​")</f>
        <v>Tity/ตีตี้​</v>
      </c>
      <c r="K952" t="str">
        <f>IFERROR(__xludf.DUMMYFUNCTION("""COMPUTED_VALUE"""),"Cabin Crew")</f>
        <v>Cabin Crew</v>
      </c>
      <c r="L952" t="str">
        <f>IFERROR(__xludf.DUMMYFUNCTION("""COMPUTED_VALUE"""),"DMK")</f>
        <v>DMK</v>
      </c>
      <c r="M952" s="145" t="str">
        <f>IFERROR(__xludf.DUMMYFUNCTION("""COMPUTED_VALUE"""),"Nhui Home")</f>
        <v>Nhui Home</v>
      </c>
      <c r="N952" t="str">
        <f>IFERROR(__xludf.DUMMYFUNCTION("""COMPUTED_VALUE"""),"Active")</f>
        <v>Active</v>
      </c>
      <c r="O952" t="str">
        <f>IFERROR(__xludf.DUMMYFUNCTION("""COMPUTED_VALUE"""),"Chinese Speaking")</f>
        <v>Chinese Speaking</v>
      </c>
      <c r="P952" s="154">
        <f>IFERROR(__xludf.DUMMYFUNCTION("""COMPUTED_VALUE"""),32948.0)</f>
        <v>32948</v>
      </c>
      <c r="Q952" s="146" t="str">
        <f>IFERROR(__xludf.DUMMYFUNCTION("""COMPUTED_VALUE"""),"093-936-9822")</f>
        <v>093-936-9822</v>
      </c>
      <c r="R952" s="147" t="str">
        <f>IFERROR(__xludf.DUMMYFUNCTION("""COMPUTED_VALUE"""),"1-1014-01691-95-9")</f>
        <v>1-1014-01691-95-9</v>
      </c>
      <c r="S952" t="str">
        <f>IFERROR(__xludf.DUMMYFUNCTION("""COMPUTED_VALUE"""),"AC2898086")</f>
        <v>AC2898086</v>
      </c>
      <c r="T952" s="148">
        <f>IFERROR(__xludf.DUMMYFUNCTION("""COMPUTED_VALUE"""),44614.0)</f>
        <v>44614</v>
      </c>
      <c r="U952" s="148">
        <f>IFERROR(__xludf.DUMMYFUNCTION("""COMPUTED_VALUE"""),48265.0)</f>
        <v>48265</v>
      </c>
      <c r="V952" s="149">
        <f>IFERROR(__xludf.DUMMYFUNCTION("""COMPUTED_VALUE"""),48081.0)</f>
        <v>48081</v>
      </c>
      <c r="W952" t="str">
        <f>IFERROR(__xludf.DUMMYFUNCTION("""COMPUTED_VALUE"""),"ปลอดภัย")</f>
        <v>ปลอดภัย</v>
      </c>
      <c r="X952" t="str">
        <f>IFERROR(__xludf.DUMMYFUNCTION("""COMPUTED_VALUE"""),"Bangkok")</f>
        <v>Bangkok</v>
      </c>
      <c r="Y952" t="str">
        <f>IFERROR(__xludf.DUMMYFUNCTION("""COMPUTED_VALUE"""),"Bangkok")</f>
        <v>Bangkok</v>
      </c>
      <c r="Z952" t="str">
        <f>IFERROR(__xludf.DUMMYFUNCTION("""COMPUTED_VALUE"""),"098 965 3591")</f>
        <v>098 965 3591</v>
      </c>
      <c r="AA952" t="str">
        <f>IFERROR(__xludf.DUMMYFUNCTION("""COMPUTED_VALUE"""),"Jiraksa Boonyapanachoti (Mother)")</f>
        <v>Jiraksa Boonyapanachoti (Mother)</v>
      </c>
      <c r="AB952" t="str">
        <f>IFERROR(__xludf.DUMMYFUNCTION("""COMPUTED_VALUE"""),"kanesboonyapanachoti@airasia.com")</f>
        <v>kanesboonyapanachoti@airasia.com</v>
      </c>
    </row>
    <row r="953">
      <c r="A953">
        <f>IFERROR(__xludf.DUMMYFUNCTION("""COMPUTED_VALUE"""),1023775.0)</f>
        <v>1023775</v>
      </c>
      <c r="B953" t="str">
        <f>IFERROR(__xludf.DUMMYFUNCTION("""COMPUTED_VALUE"""),"Ms.")</f>
        <v>Ms.</v>
      </c>
      <c r="C953" t="str">
        <f>IFERROR(__xludf.DUMMYFUNCTION("""COMPUTED_VALUE"""),"Apichaya")</f>
        <v>Apichaya</v>
      </c>
      <c r="D953" t="str">
        <f>IFERROR(__xludf.DUMMYFUNCTION("""COMPUTED_VALUE"""),"Intaraudom")</f>
        <v>Intaraudom</v>
      </c>
      <c r="E953" t="str">
        <f>IFERROR(__xludf.DUMMYFUNCTION("""COMPUTED_VALUE"""),"Apichaya Intaraudom")</f>
        <v>Apichaya Intaraudom</v>
      </c>
      <c r="F953" t="str">
        <f>IFERROR(__xludf.DUMMYFUNCTION("""COMPUTED_VALUE"""),"นางสาว")</f>
        <v>นางสาว</v>
      </c>
      <c r="G953" t="str">
        <f>IFERROR(__xludf.DUMMYFUNCTION("""COMPUTED_VALUE"""),"อภิชญา")</f>
        <v>อภิชญา</v>
      </c>
      <c r="H953" t="str">
        <f>IFERROR(__xludf.DUMMYFUNCTION("""COMPUTED_VALUE"""),"อินทรอุดม")</f>
        <v>อินทรอุดม</v>
      </c>
      <c r="I953" t="str">
        <f>IFERROR(__xludf.DUMMYFUNCTION("""COMPUTED_VALUE"""),"อภิชญา อินทรอุดม")</f>
        <v>อภิชญา อินทรอุดม</v>
      </c>
      <c r="J953" t="str">
        <f>IFERROR(__xludf.DUMMYFUNCTION("""COMPUTED_VALUE"""),"Faye/ฝ้าย")</f>
        <v>Faye/ฝ้าย</v>
      </c>
      <c r="K953" t="str">
        <f>IFERROR(__xludf.DUMMYFUNCTION("""COMPUTED_VALUE"""),"Senior Cabin Crew")</f>
        <v>Senior Cabin Crew</v>
      </c>
      <c r="L953" t="str">
        <f>IFERROR(__xludf.DUMMYFUNCTION("""COMPUTED_VALUE"""),"DMK")</f>
        <v>DMK</v>
      </c>
      <c r="M953" s="145" t="str">
        <f>IFERROR(__xludf.DUMMYFUNCTION("""COMPUTED_VALUE"""),"Kor Home")</f>
        <v>Kor Home</v>
      </c>
      <c r="N953" t="str">
        <f>IFERROR(__xludf.DUMMYFUNCTION("""COMPUTED_VALUE"""),"Active")</f>
        <v>Active</v>
      </c>
      <c r="P953" s="154">
        <f>IFERROR(__xludf.DUMMYFUNCTION("""COMPUTED_VALUE"""),32525.0)</f>
        <v>32525</v>
      </c>
      <c r="Q953" s="146" t="str">
        <f>IFERROR(__xludf.DUMMYFUNCTION("""COMPUTED_VALUE"""),"095-195-6649")</f>
        <v>095-195-6649</v>
      </c>
      <c r="R953" s="147" t="str">
        <f>IFERROR(__xludf.DUMMYFUNCTION("""COMPUTED_VALUE"""),"1-1014-01540-63-2")</f>
        <v>1-1014-01540-63-2</v>
      </c>
      <c r="S953" t="str">
        <f>IFERROR(__xludf.DUMMYFUNCTION("""COMPUTED_VALUE"""),"AD1332264")</f>
        <v>AD1332264</v>
      </c>
      <c r="T953" s="148">
        <f>IFERROR(__xludf.DUMMYFUNCTION("""COMPUTED_VALUE"""),45339.0)</f>
        <v>45339</v>
      </c>
      <c r="U953" s="148">
        <f>IFERROR(__xludf.DUMMYFUNCTION("""COMPUTED_VALUE"""),48991.0)</f>
        <v>48991</v>
      </c>
      <c r="V953" s="149">
        <f>IFERROR(__xludf.DUMMYFUNCTION("""COMPUTED_VALUE"""),48807.0)</f>
        <v>48807</v>
      </c>
      <c r="W953" t="str">
        <f>IFERROR(__xludf.DUMMYFUNCTION("""COMPUTED_VALUE"""),"ปลอดภัย")</f>
        <v>ปลอดภัย</v>
      </c>
      <c r="X953" t="str">
        <f>IFERROR(__xludf.DUMMYFUNCTION("""COMPUTED_VALUE"""),"Bangkok")</f>
        <v>Bangkok</v>
      </c>
      <c r="Y953" t="str">
        <f>IFERROR(__xludf.DUMMYFUNCTION("""COMPUTED_VALUE"""),"Bangkok")</f>
        <v>Bangkok</v>
      </c>
      <c r="Z953" t="str">
        <f>IFERROR(__xludf.DUMMYFUNCTION("""COMPUTED_VALUE"""),"087-562-7623")</f>
        <v>087-562-7623</v>
      </c>
      <c r="AA953" t="str">
        <f>IFERROR(__xludf.DUMMYFUNCTION("""COMPUTED_VALUE"""),"Yupin Intaraudom (Mother)")</f>
        <v>Yupin Intaraudom (Mother)</v>
      </c>
      <c r="AB953" t="str">
        <f>IFERROR(__xludf.DUMMYFUNCTION("""COMPUTED_VALUE"""),"apichayaintaraudom@airasia.com")</f>
        <v>apichayaintaraudom@airasia.com</v>
      </c>
    </row>
    <row r="954">
      <c r="AB954" t="str">
        <f>IFERROR(__xludf.DUMMYFUNCTION("""COMPUTED_VALUE"""),"")</f>
        <v/>
      </c>
    </row>
    <row r="955">
      <c r="A955">
        <f>IFERROR(__xludf.DUMMYFUNCTION("""COMPUTED_VALUE"""),1025302.0)</f>
        <v>1025302</v>
      </c>
      <c r="B955" t="str">
        <f>IFERROR(__xludf.DUMMYFUNCTION("""COMPUTED_VALUE"""),"Ms.")</f>
        <v>Ms.</v>
      </c>
      <c r="C955" t="str">
        <f>IFERROR(__xludf.DUMMYFUNCTION("""COMPUTED_VALUE"""),"Krisana")</f>
        <v>Krisana</v>
      </c>
      <c r="D955" t="str">
        <f>IFERROR(__xludf.DUMMYFUNCTION("""COMPUTED_VALUE"""),"Sae-yang")</f>
        <v>Sae-yang</v>
      </c>
      <c r="E955" t="str">
        <f>IFERROR(__xludf.DUMMYFUNCTION("""COMPUTED_VALUE"""),"Krisana Sae-yang")</f>
        <v>Krisana Sae-yang</v>
      </c>
      <c r="F955" t="str">
        <f>IFERROR(__xludf.DUMMYFUNCTION("""COMPUTED_VALUE"""),"นางสาว")</f>
        <v>นางสาว</v>
      </c>
      <c r="G955" t="str">
        <f>IFERROR(__xludf.DUMMYFUNCTION("""COMPUTED_VALUE"""),"กฤษณา")</f>
        <v>กฤษณา</v>
      </c>
      <c r="H955" t="str">
        <f>IFERROR(__xludf.DUMMYFUNCTION("""COMPUTED_VALUE"""),"แซ่หยาง")</f>
        <v>แซ่หยาง</v>
      </c>
      <c r="I955" t="str">
        <f>IFERROR(__xludf.DUMMYFUNCTION("""COMPUTED_VALUE"""),"กฤษณา แซ่หยาง")</f>
        <v>กฤษณา แซ่หยาง</v>
      </c>
      <c r="J955" t="str">
        <f>IFERROR(__xludf.DUMMYFUNCTION("""COMPUTED_VALUE"""),"nut")</f>
        <v>nut</v>
      </c>
      <c r="K955" t="str">
        <f>IFERROR(__xludf.DUMMYFUNCTION("""COMPUTED_VALUE"""),"Cabin Crew")</f>
        <v>Cabin Crew</v>
      </c>
      <c r="L955" t="str">
        <f>IFERROR(__xludf.DUMMYFUNCTION("""COMPUTED_VALUE"""),"DMK")</f>
        <v>DMK</v>
      </c>
      <c r="M955" s="145" t="str">
        <f>IFERROR(__xludf.DUMMYFUNCTION("""COMPUTED_VALUE"""),"Namfon Home")</f>
        <v>Namfon Home</v>
      </c>
      <c r="N955" t="str">
        <f>IFERROR(__xludf.DUMMYFUNCTION("""COMPUTED_VALUE"""),"Active")</f>
        <v>Active</v>
      </c>
      <c r="O955" t="str">
        <f>IFERROR(__xludf.DUMMYFUNCTION("""COMPUTED_VALUE"""),"Chinese Speaking")</f>
        <v>Chinese Speaking</v>
      </c>
      <c r="P955" s="156">
        <f>IFERROR(__xludf.DUMMYFUNCTION("""COMPUTED_VALUE"""),34235.0)</f>
        <v>34235</v>
      </c>
      <c r="Q955" s="146" t="str">
        <f>IFERROR(__xludf.DUMMYFUNCTION("""COMPUTED_VALUE"""),"062 724 6600")</f>
        <v>062 724 6600</v>
      </c>
      <c r="R955" s="147" t="str">
        <f>IFERROR(__xludf.DUMMYFUNCTION("""COMPUTED_VALUE"""),"1 1023 00036 07 7")</f>
        <v>1 1023 00036 07 7</v>
      </c>
      <c r="S955" t="str">
        <f>IFERROR(__xludf.DUMMYFUNCTION("""COMPUTED_VALUE"""),"AC3780731")</f>
        <v>AC3780731</v>
      </c>
      <c r="T955" s="148">
        <f>IFERROR(__xludf.DUMMYFUNCTION("""COMPUTED_VALUE"""),44783.0)</f>
        <v>44783</v>
      </c>
      <c r="U955" s="148">
        <f>IFERROR(__xludf.DUMMYFUNCTION("""COMPUTED_VALUE"""),48435.0)</f>
        <v>48435</v>
      </c>
      <c r="V955" s="149">
        <f>IFERROR(__xludf.DUMMYFUNCTION("""COMPUTED_VALUE"""),48253.0)</f>
        <v>48253</v>
      </c>
      <c r="W955" t="str">
        <f>IFERROR(__xludf.DUMMYFUNCTION("""COMPUTED_VALUE"""),"ปลอดภัย")</f>
        <v>ปลอดภัย</v>
      </c>
      <c r="X955" t="str">
        <f>IFERROR(__xludf.DUMMYFUNCTION("""COMPUTED_VALUE"""),"Bangkok")</f>
        <v>Bangkok</v>
      </c>
      <c r="Y955" t="str">
        <f>IFERROR(__xludf.DUMMYFUNCTION("""COMPUTED_VALUE"""),"Nakhonpathom")</f>
        <v>Nakhonpathom</v>
      </c>
      <c r="Z955" t="str">
        <f>IFERROR(__xludf.DUMMYFUNCTION("""COMPUTED_VALUE"""),"081-705-2258")</f>
        <v>081-705-2258</v>
      </c>
      <c r="AA955" t="str">
        <f>IFERROR(__xludf.DUMMYFUNCTION("""COMPUTED_VALUE"""),"Naiyana Boonkrasin (Mother)")</f>
        <v>Naiyana Boonkrasin (Mother)</v>
      </c>
      <c r="AB955" t="str">
        <f>IFERROR(__xludf.DUMMYFUNCTION("""COMPUTED_VALUE"""),"krisanasaeyang@airasia.com")</f>
        <v>krisanasaeyang@airasia.com</v>
      </c>
    </row>
    <row r="956">
      <c r="A956">
        <f>IFERROR(__xludf.DUMMYFUNCTION("""COMPUTED_VALUE"""),1025304.0)</f>
        <v>1025304</v>
      </c>
      <c r="B956" t="str">
        <f>IFERROR(__xludf.DUMMYFUNCTION("""COMPUTED_VALUE"""),"Mr.")</f>
        <v>Mr.</v>
      </c>
      <c r="C956" t="str">
        <f>IFERROR(__xludf.DUMMYFUNCTION("""COMPUTED_VALUE"""),"Nuthapat")</f>
        <v>Nuthapat</v>
      </c>
      <c r="D956" t="str">
        <f>IFERROR(__xludf.DUMMYFUNCTION("""COMPUTED_VALUE"""),"Thisa")</f>
        <v>Thisa</v>
      </c>
      <c r="E956" t="str">
        <f>IFERROR(__xludf.DUMMYFUNCTION("""COMPUTED_VALUE"""),"Nuthapat Thisa")</f>
        <v>Nuthapat Thisa</v>
      </c>
      <c r="F956" t="str">
        <f>IFERROR(__xludf.DUMMYFUNCTION("""COMPUTED_VALUE"""),"นาย")</f>
        <v>นาย</v>
      </c>
      <c r="G956" t="str">
        <f>IFERROR(__xludf.DUMMYFUNCTION("""COMPUTED_VALUE"""),"ณัฐภัทร")</f>
        <v>ณัฐภัทร</v>
      </c>
      <c r="H956" t="str">
        <f>IFERROR(__xludf.DUMMYFUNCTION("""COMPUTED_VALUE"""),"ธิสา")</f>
        <v>ธิสา</v>
      </c>
      <c r="I956" t="str">
        <f>IFERROR(__xludf.DUMMYFUNCTION("""COMPUTED_VALUE"""),"ณัฐภัทร ธิสา")</f>
        <v>ณัฐภัทร ธิสา</v>
      </c>
      <c r="J956" t="str">
        <f>IFERROR(__xludf.DUMMYFUNCTION("""COMPUTED_VALUE"""),"Max/แม็กซ์")</f>
        <v>Max/แม็กซ์</v>
      </c>
      <c r="K956" t="str">
        <f>IFERROR(__xludf.DUMMYFUNCTION("""COMPUTED_VALUE"""),"Cabin Crew - CNX")</f>
        <v>Cabin Crew - CNX</v>
      </c>
      <c r="L956" t="str">
        <f>IFERROR(__xludf.DUMMYFUNCTION("""COMPUTED_VALUE"""),"CNX")</f>
        <v>CNX</v>
      </c>
      <c r="M956" s="145" t="str">
        <f>IFERROR(__xludf.DUMMYFUNCTION("""COMPUTED_VALUE"""),"Up Home")</f>
        <v>Up Home</v>
      </c>
      <c r="N956" t="str">
        <f>IFERROR(__xludf.DUMMYFUNCTION("""COMPUTED_VALUE"""),"Active")</f>
        <v>Active</v>
      </c>
      <c r="O956" t="str">
        <f>IFERROR(__xludf.DUMMYFUNCTION("""COMPUTED_VALUE"""),"Chinese Speaking")</f>
        <v>Chinese Speaking</v>
      </c>
      <c r="P956" s="155">
        <f>IFERROR(__xludf.DUMMYFUNCTION("""COMPUTED_VALUE"""),34372.0)</f>
        <v>34372</v>
      </c>
      <c r="Q956" s="146" t="str">
        <f>IFERROR(__xludf.DUMMYFUNCTION("""COMPUTED_VALUE"""),"098 429 2956 ")</f>
        <v>098 429 2956 </v>
      </c>
      <c r="R956" s="147" t="str">
        <f>IFERROR(__xludf.DUMMYFUNCTION("""COMPUTED_VALUE"""),"1 5099 01412 29 7")</f>
        <v>1 5099 01412 29 7</v>
      </c>
      <c r="S956" t="str">
        <f>IFERROR(__xludf.DUMMYFUNCTION("""COMPUTED_VALUE"""),"AD3139842")</f>
        <v>AD3139842</v>
      </c>
      <c r="T956" s="148">
        <f>IFERROR(__xludf.DUMMYFUNCTION("""COMPUTED_VALUE"""),46041.0)</f>
        <v>46041</v>
      </c>
      <c r="U956" s="148">
        <f>IFERROR(__xludf.DUMMYFUNCTION("""COMPUTED_VALUE"""),47866.0)</f>
        <v>47866</v>
      </c>
      <c r="V956" s="149">
        <f>IFERROR(__xludf.DUMMYFUNCTION("""COMPUTED_VALUE"""),47682.0)</f>
        <v>47682</v>
      </c>
      <c r="W956" t="str">
        <f>IFERROR(__xludf.DUMMYFUNCTION("""COMPUTED_VALUE"""),"ปลอดภัย")</f>
        <v>ปลอดภัย</v>
      </c>
      <c r="X956" t="str">
        <f>IFERROR(__xludf.DUMMYFUNCTION("""COMPUTED_VALUE"""),"Chiang Mai Province")</f>
        <v>Chiang Mai Province</v>
      </c>
      <c r="Y956" t="str">
        <f>IFERROR(__xludf.DUMMYFUNCTION("""COMPUTED_VALUE"""),"Chiang Mai")</f>
        <v>Chiang Mai</v>
      </c>
      <c r="Z956" t="str">
        <f>IFERROR(__xludf.DUMMYFUNCTION("""COMPUTED_VALUE"""),"081-882-8092")</f>
        <v>081-882-8092</v>
      </c>
      <c r="AA956" t="str">
        <f>IFERROR(__xludf.DUMMYFUNCTION("""COMPUTED_VALUE"""),"Mongkorn Thisa (Father)")</f>
        <v>Mongkorn Thisa (Father)</v>
      </c>
      <c r="AB956" t="str">
        <f>IFERROR(__xludf.DUMMYFUNCTION("""COMPUTED_VALUE"""),"nuthapatthisa@airasia.com")</f>
        <v>nuthapatthisa@airasia.com</v>
      </c>
    </row>
    <row r="957">
      <c r="A957">
        <f>IFERROR(__xludf.DUMMYFUNCTION("""COMPUTED_VALUE"""),1025306.0)</f>
        <v>1025306</v>
      </c>
      <c r="B957" t="str">
        <f>IFERROR(__xludf.DUMMYFUNCTION("""COMPUTED_VALUE"""),"Mr.")</f>
        <v>Mr.</v>
      </c>
      <c r="C957" t="str">
        <f>IFERROR(__xludf.DUMMYFUNCTION("""COMPUTED_VALUE"""),"Soravis")</f>
        <v>Soravis</v>
      </c>
      <c r="D957" t="str">
        <f>IFERROR(__xludf.DUMMYFUNCTION("""COMPUTED_VALUE"""),"Kissanaviparkporn")</f>
        <v>Kissanaviparkporn</v>
      </c>
      <c r="E957" t="str">
        <f>IFERROR(__xludf.DUMMYFUNCTION("""COMPUTED_VALUE"""),"Soravis Kissanaviparkporn")</f>
        <v>Soravis Kissanaviparkporn</v>
      </c>
      <c r="F957" t="str">
        <f>IFERROR(__xludf.DUMMYFUNCTION("""COMPUTED_VALUE"""),"นาย")</f>
        <v>นาย</v>
      </c>
      <c r="G957" t="str">
        <f>IFERROR(__xludf.DUMMYFUNCTION("""COMPUTED_VALUE"""),"สรวิศ")</f>
        <v>สรวิศ</v>
      </c>
      <c r="H957" t="str">
        <f>IFERROR(__xludf.DUMMYFUNCTION("""COMPUTED_VALUE"""),"กฤษณวิภาคพร")</f>
        <v>กฤษณวิภาคพร</v>
      </c>
      <c r="I957" t="str">
        <f>IFERROR(__xludf.DUMMYFUNCTION("""COMPUTED_VALUE"""),"สรวิศ กฤษณวิภาคพร")</f>
        <v>สรวิศ กฤษณวิภาคพร</v>
      </c>
      <c r="J957" t="str">
        <f>IFERROR(__xludf.DUMMYFUNCTION("""COMPUTED_VALUE"""),"Tunyong / ตันหยง")</f>
        <v>Tunyong / ตันหยง</v>
      </c>
      <c r="K957" t="str">
        <f>IFERROR(__xludf.DUMMYFUNCTION("""COMPUTED_VALUE"""),"Cabin Crew - CNX")</f>
        <v>Cabin Crew - CNX</v>
      </c>
      <c r="L957" t="str">
        <f>IFERROR(__xludf.DUMMYFUNCTION("""COMPUTED_VALUE"""),"CNX")</f>
        <v>CNX</v>
      </c>
      <c r="M957" s="145" t="str">
        <f>IFERROR(__xludf.DUMMYFUNCTION("""COMPUTED_VALUE"""),"Up Home")</f>
        <v>Up Home</v>
      </c>
      <c r="N957" t="str">
        <f>IFERROR(__xludf.DUMMYFUNCTION("""COMPUTED_VALUE"""),"Active")</f>
        <v>Active</v>
      </c>
      <c r="O957" t="str">
        <f>IFERROR(__xludf.DUMMYFUNCTION("""COMPUTED_VALUE"""),"Chinese Speaking")</f>
        <v>Chinese Speaking</v>
      </c>
      <c r="P957" s="155">
        <f>IFERROR(__xludf.DUMMYFUNCTION("""COMPUTED_VALUE"""),33738.0)</f>
        <v>33738</v>
      </c>
      <c r="Q957" s="146" t="str">
        <f>IFERROR(__xludf.DUMMYFUNCTION("""COMPUTED_VALUE"""),"095 641 3431")</f>
        <v>095 641 3431</v>
      </c>
      <c r="R957" s="147" t="str">
        <f>IFERROR(__xludf.DUMMYFUNCTION("""COMPUTED_VALUE"""),"0 1108 00804 00 4")</f>
        <v>0 1108 00804 00 4</v>
      </c>
      <c r="S957" t="str">
        <f>IFERROR(__xludf.DUMMYFUNCTION("""COMPUTED_VALUE"""),"AC4145958")</f>
        <v>AC4145958</v>
      </c>
      <c r="T957" s="148">
        <f>IFERROR(__xludf.DUMMYFUNCTION("""COMPUTED_VALUE"""),44881.0)</f>
        <v>44881</v>
      </c>
      <c r="U957" s="148">
        <f>IFERROR(__xludf.DUMMYFUNCTION("""COMPUTED_VALUE"""),48533.0)</f>
        <v>48533</v>
      </c>
      <c r="V957" s="149">
        <f>IFERROR(__xludf.DUMMYFUNCTION("""COMPUTED_VALUE"""),48349.0)</f>
        <v>48349</v>
      </c>
      <c r="W957" t="str">
        <f>IFERROR(__xludf.DUMMYFUNCTION("""COMPUTED_VALUE"""),"ปลอดภัย")</f>
        <v>ปลอดภัย</v>
      </c>
      <c r="X957" t="str">
        <f>IFERROR(__xludf.DUMMYFUNCTION("""COMPUTED_VALUE"""),"Bangkok")</f>
        <v>Bangkok</v>
      </c>
      <c r="Y957" t="str">
        <f>IFERROR(__xludf.DUMMYFUNCTION("""COMPUTED_VALUE"""),"Bangkok")</f>
        <v>Bangkok</v>
      </c>
      <c r="Z957" t="str">
        <f>IFERROR(__xludf.DUMMYFUNCTION("""COMPUTED_VALUE"""),"089-987-3790")</f>
        <v>089-987-3790</v>
      </c>
      <c r="AA957" t="str">
        <f>IFERROR(__xludf.DUMMYFUNCTION("""COMPUTED_VALUE"""),"Sompong Kissanaviparkporn (Father)")</f>
        <v>Sompong Kissanaviparkporn (Father)</v>
      </c>
      <c r="AB957" t="str">
        <f>IFERROR(__xludf.DUMMYFUNCTION("""COMPUTED_VALUE"""),"soraviskissanavipar@airasia.com")</f>
        <v>soraviskissanavipar@airasia.com</v>
      </c>
    </row>
    <row r="958">
      <c r="A958">
        <f>IFERROR(__xludf.DUMMYFUNCTION("""COMPUTED_VALUE"""),1025307.0)</f>
        <v>1025307</v>
      </c>
      <c r="B958" t="str">
        <f>IFERROR(__xludf.DUMMYFUNCTION("""COMPUTED_VALUE"""),"Mr.")</f>
        <v>Mr.</v>
      </c>
      <c r="C958" t="str">
        <f>IFERROR(__xludf.DUMMYFUNCTION("""COMPUTED_VALUE"""),"Krisada")</f>
        <v>Krisada</v>
      </c>
      <c r="D958" t="str">
        <f>IFERROR(__xludf.DUMMYFUNCTION("""COMPUTED_VALUE"""),"Kerdsuwan")</f>
        <v>Kerdsuwan</v>
      </c>
      <c r="E958" t="str">
        <f>IFERROR(__xludf.DUMMYFUNCTION("""COMPUTED_VALUE"""),"Krisada Kerdsuwan")</f>
        <v>Krisada Kerdsuwan</v>
      </c>
      <c r="F958" t="str">
        <f>IFERROR(__xludf.DUMMYFUNCTION("""COMPUTED_VALUE"""),"นาย")</f>
        <v>นาย</v>
      </c>
      <c r="G958" t="str">
        <f>IFERROR(__xludf.DUMMYFUNCTION("""COMPUTED_VALUE"""),"กฤษฎา")</f>
        <v>กฤษฎา</v>
      </c>
      <c r="H958" t="str">
        <f>IFERROR(__xludf.DUMMYFUNCTION("""COMPUTED_VALUE"""),"เกิดสุวรรณ")</f>
        <v>เกิดสุวรรณ</v>
      </c>
      <c r="I958" t="str">
        <f>IFERROR(__xludf.DUMMYFUNCTION("""COMPUTED_VALUE"""),"กฤษฎา เกิดสุวรรณ")</f>
        <v>กฤษฎา เกิดสุวรรณ</v>
      </c>
      <c r="J958" t="str">
        <f>IFERROR(__xludf.DUMMYFUNCTION("""COMPUTED_VALUE"""),"Mark / มาร์ค")</f>
        <v>Mark / มาร์ค</v>
      </c>
      <c r="K958" t="str">
        <f>IFERROR(__xludf.DUMMYFUNCTION("""COMPUTED_VALUE"""),"Cabin Crew")</f>
        <v>Cabin Crew</v>
      </c>
      <c r="L958" t="str">
        <f>IFERROR(__xludf.DUMMYFUNCTION("""COMPUTED_VALUE"""),"DMK")</f>
        <v>DMK</v>
      </c>
      <c r="M958" s="145" t="str">
        <f>IFERROR(__xludf.DUMMYFUNCTION("""COMPUTED_VALUE"""),"Up Home")</f>
        <v>Up Home</v>
      </c>
      <c r="N958" t="str">
        <f>IFERROR(__xludf.DUMMYFUNCTION("""COMPUTED_VALUE"""),"Active")</f>
        <v>Active</v>
      </c>
      <c r="O958" t="str">
        <f>IFERROR(__xludf.DUMMYFUNCTION("""COMPUTED_VALUE"""),"Chinese Speaking")</f>
        <v>Chinese Speaking</v>
      </c>
      <c r="P958" s="155">
        <f>IFERROR(__xludf.DUMMYFUNCTION("""COMPUTED_VALUE"""),33424.0)</f>
        <v>33424</v>
      </c>
      <c r="Q958" s="146" t="str">
        <f>IFERROR(__xludf.DUMMYFUNCTION("""COMPUTED_VALUE"""),"090 494 4959")</f>
        <v>090 494 4959</v>
      </c>
      <c r="R958" s="147" t="str">
        <f>IFERROR(__xludf.DUMMYFUNCTION("""COMPUTED_VALUE"""),"1 1020 01557 71 7")</f>
        <v>1 1020 01557 71 7</v>
      </c>
      <c r="S958" t="str">
        <f>IFERROR(__xludf.DUMMYFUNCTION("""COMPUTED_VALUE"""),"AC5238730")</f>
        <v>AC5238730</v>
      </c>
      <c r="T958" s="148">
        <f>IFERROR(__xludf.DUMMYFUNCTION("""COMPUTED_VALUE"""),45108.0)</f>
        <v>45108</v>
      </c>
      <c r="U958" s="148">
        <f>IFERROR(__xludf.DUMMYFUNCTION("""COMPUTED_VALUE"""),48760.0)</f>
        <v>48760</v>
      </c>
      <c r="V958" s="149">
        <f>IFERROR(__xludf.DUMMYFUNCTION("""COMPUTED_VALUE"""),48578.0)</f>
        <v>48578</v>
      </c>
      <c r="W958" t="str">
        <f>IFERROR(__xludf.DUMMYFUNCTION("""COMPUTED_VALUE"""),"ปลอดภัย")</f>
        <v>ปลอดภัย</v>
      </c>
      <c r="X958" t="str">
        <f>IFERROR(__xludf.DUMMYFUNCTION("""COMPUTED_VALUE"""),"Bangkok")</f>
        <v>Bangkok</v>
      </c>
      <c r="Y958" t="str">
        <f>IFERROR(__xludf.DUMMYFUNCTION("""COMPUTED_VALUE"""),"Nonthaburi")</f>
        <v>Nonthaburi</v>
      </c>
      <c r="Z958" t="str">
        <f>IFERROR(__xludf.DUMMYFUNCTION("""COMPUTED_VALUE"""),"081-988-2567")</f>
        <v>081-988-2567</v>
      </c>
      <c r="AA958" t="str">
        <f>IFERROR(__xludf.DUMMYFUNCTION("""COMPUTED_VALUE"""),"Natnaree Kerdsuwan (Mother)")</f>
        <v>Natnaree Kerdsuwan (Mother)</v>
      </c>
      <c r="AB958" t="str">
        <f>IFERROR(__xludf.DUMMYFUNCTION("""COMPUTED_VALUE"""),"krisadakerdsuwan@airasia.com")</f>
        <v>krisadakerdsuwan@airasia.com</v>
      </c>
    </row>
    <row r="959">
      <c r="A959">
        <f>IFERROR(__xludf.DUMMYFUNCTION("""COMPUTED_VALUE"""),1025308.0)</f>
        <v>1025308</v>
      </c>
      <c r="B959" t="str">
        <f>IFERROR(__xludf.DUMMYFUNCTION("""COMPUTED_VALUE"""),"Ms.")</f>
        <v>Ms.</v>
      </c>
      <c r="C959" t="str">
        <f>IFERROR(__xludf.DUMMYFUNCTION("""COMPUTED_VALUE"""),"Matawee")</f>
        <v>Matawee</v>
      </c>
      <c r="D959" t="str">
        <f>IFERROR(__xludf.DUMMYFUNCTION("""COMPUTED_VALUE"""),"Jongjarrulak")</f>
        <v>Jongjarrulak</v>
      </c>
      <c r="E959" t="str">
        <f>IFERROR(__xludf.DUMMYFUNCTION("""COMPUTED_VALUE"""),"Matawee Jongjarrulak")</f>
        <v>Matawee Jongjarrulak</v>
      </c>
      <c r="F959" t="str">
        <f>IFERROR(__xludf.DUMMYFUNCTION("""COMPUTED_VALUE"""),"นางสาว")</f>
        <v>นางสาว</v>
      </c>
      <c r="G959" t="str">
        <f>IFERROR(__xludf.DUMMYFUNCTION("""COMPUTED_VALUE"""),"เมธาวี")</f>
        <v>เมธาวี</v>
      </c>
      <c r="H959" t="str">
        <f>IFERROR(__xludf.DUMMYFUNCTION("""COMPUTED_VALUE"""),"จงจารุลักษณ์")</f>
        <v>จงจารุลักษณ์</v>
      </c>
      <c r="I959" t="str">
        <f>IFERROR(__xludf.DUMMYFUNCTION("""COMPUTED_VALUE"""),"เมธาวี จงจารุลักษณ์")</f>
        <v>เมธาวี จงจารุลักษณ์</v>
      </c>
      <c r="J959" t="str">
        <f>IFERROR(__xludf.DUMMYFUNCTION("""COMPUTED_VALUE"""),"Mary / เมรี่")</f>
        <v>Mary / เมรี่</v>
      </c>
      <c r="K959" t="str">
        <f>IFERROR(__xludf.DUMMYFUNCTION("""COMPUTED_VALUE"""),"Cabin Crew - HKT")</f>
        <v>Cabin Crew - HKT</v>
      </c>
      <c r="L959" t="str">
        <f>IFERROR(__xludf.DUMMYFUNCTION("""COMPUTED_VALUE"""),"HKT")</f>
        <v>HKT</v>
      </c>
      <c r="M959" s="145" t="str">
        <f>IFERROR(__xludf.DUMMYFUNCTION("""COMPUTED_VALUE"""),"Kor Home")</f>
        <v>Kor Home</v>
      </c>
      <c r="N959" t="str">
        <f>IFERROR(__xludf.DUMMYFUNCTION("""COMPUTED_VALUE"""),"Active")</f>
        <v>Active</v>
      </c>
      <c r="O959" t="str">
        <f>IFERROR(__xludf.DUMMYFUNCTION("""COMPUTED_VALUE"""),"Chinese Speaking")</f>
        <v>Chinese Speaking</v>
      </c>
      <c r="P959" s="155">
        <f>IFERROR(__xludf.DUMMYFUNCTION("""COMPUTED_VALUE"""),33953.0)</f>
        <v>33953</v>
      </c>
      <c r="Q959" s="146" t="str">
        <f>IFERROR(__xludf.DUMMYFUNCTION("""COMPUTED_VALUE"""),"094 459 8614")</f>
        <v>094 459 8614</v>
      </c>
      <c r="R959" s="147" t="str">
        <f>IFERROR(__xludf.DUMMYFUNCTION("""COMPUTED_VALUE"""),"1 8401 00420 10 0")</f>
        <v>1 8401 00420 10 0</v>
      </c>
      <c r="S959" t="str">
        <f>IFERROR(__xludf.DUMMYFUNCTION("""COMPUTED_VALUE"""),"AC3601444")</f>
        <v>AC3601444</v>
      </c>
      <c r="T959" s="148">
        <f>IFERROR(__xludf.DUMMYFUNCTION("""COMPUTED_VALUE"""),44767.0)</f>
        <v>44767</v>
      </c>
      <c r="U959" s="148">
        <f>IFERROR(__xludf.DUMMYFUNCTION("""COMPUTED_VALUE"""),48419.0)</f>
        <v>48419</v>
      </c>
      <c r="V959" s="149">
        <f>IFERROR(__xludf.DUMMYFUNCTION("""COMPUTED_VALUE"""),48237.0)</f>
        <v>48237</v>
      </c>
      <c r="W959" t="str">
        <f>IFERROR(__xludf.DUMMYFUNCTION("""COMPUTED_VALUE"""),"ปลอดภัย")</f>
        <v>ปลอดภัย</v>
      </c>
      <c r="X959" t="str">
        <f>IFERROR(__xludf.DUMMYFUNCTION("""COMPUTED_VALUE"""),"Surat Thani Province")</f>
        <v>Surat Thani Province</v>
      </c>
      <c r="Y959" t="str">
        <f>IFERROR(__xludf.DUMMYFUNCTION("""COMPUTED_VALUE"""),"Bangkok")</f>
        <v>Bangkok</v>
      </c>
      <c r="Z959" t="str">
        <f>IFERROR(__xludf.DUMMYFUNCTION("""COMPUTED_VALUE"""),"086-281-3599")</f>
        <v>086-281-3599</v>
      </c>
      <c r="AA959" t="str">
        <f>IFERROR(__xludf.DUMMYFUNCTION("""COMPUTED_VALUE"""),"Somboon Jongjarrulak (Mother)")</f>
        <v>Somboon Jongjarrulak (Mother)</v>
      </c>
      <c r="AB959" t="str">
        <f>IFERROR(__xludf.DUMMYFUNCTION("""COMPUTED_VALUE"""),"mataweejongjarrulak@airasia.com")</f>
        <v>mataweejongjarrulak@airasia.com</v>
      </c>
    </row>
    <row r="960">
      <c r="A960">
        <f>IFERROR(__xludf.DUMMYFUNCTION("""COMPUTED_VALUE"""),1025309.0)</f>
        <v>1025309</v>
      </c>
      <c r="B960" t="str">
        <f>IFERROR(__xludf.DUMMYFUNCTION("""COMPUTED_VALUE"""),"Mr.")</f>
        <v>Mr.</v>
      </c>
      <c r="C960" t="str">
        <f>IFERROR(__xludf.DUMMYFUNCTION("""COMPUTED_VALUE"""),"Nonthapat")</f>
        <v>Nonthapat</v>
      </c>
      <c r="D960" t="str">
        <f>IFERROR(__xludf.DUMMYFUNCTION("""COMPUTED_VALUE"""),"Mansamak")</f>
        <v>Mansamak</v>
      </c>
      <c r="E960" t="str">
        <f>IFERROR(__xludf.DUMMYFUNCTION("""COMPUTED_VALUE"""),"Nonthapat Mansamak")</f>
        <v>Nonthapat Mansamak</v>
      </c>
      <c r="F960" t="str">
        <f>IFERROR(__xludf.DUMMYFUNCTION("""COMPUTED_VALUE"""),"นาย")</f>
        <v>นาย</v>
      </c>
      <c r="G960" t="str">
        <f>IFERROR(__xludf.DUMMYFUNCTION("""COMPUTED_VALUE"""),"นนทพัทธ์")</f>
        <v>นนทพัทธ์</v>
      </c>
      <c r="H960" t="str">
        <f>IFERROR(__xludf.DUMMYFUNCTION("""COMPUTED_VALUE"""),"หมั่นสมัคร")</f>
        <v>หมั่นสมัคร</v>
      </c>
      <c r="I960" t="str">
        <f>IFERROR(__xludf.DUMMYFUNCTION("""COMPUTED_VALUE"""),"นนทพัทธ์ หมั่นสมัคร")</f>
        <v>นนทพัทธ์ หมั่นสมัคร</v>
      </c>
      <c r="J960" t="str">
        <f>IFERROR(__xludf.DUMMYFUNCTION("""COMPUTED_VALUE"""),"Farm / ฟาร์ม")</f>
        <v>Farm / ฟาร์ม</v>
      </c>
      <c r="K960" t="str">
        <f>IFERROR(__xludf.DUMMYFUNCTION("""COMPUTED_VALUE"""),"Cabin Crew")</f>
        <v>Cabin Crew</v>
      </c>
      <c r="L960" t="str">
        <f>IFERROR(__xludf.DUMMYFUNCTION("""COMPUTED_VALUE"""),"DMK")</f>
        <v>DMK</v>
      </c>
      <c r="M960" s="145" t="str">
        <f>IFERROR(__xludf.DUMMYFUNCTION("""COMPUTED_VALUE"""),"Kor Home")</f>
        <v>Kor Home</v>
      </c>
      <c r="N960" t="str">
        <f>IFERROR(__xludf.DUMMYFUNCTION("""COMPUTED_VALUE"""),"Active")</f>
        <v>Active</v>
      </c>
      <c r="O960" t="str">
        <f>IFERROR(__xludf.DUMMYFUNCTION("""COMPUTED_VALUE"""),"Chinese Speaking")</f>
        <v>Chinese Speaking</v>
      </c>
      <c r="P960" s="155">
        <f>IFERROR(__xludf.DUMMYFUNCTION("""COMPUTED_VALUE"""),34342.0)</f>
        <v>34342</v>
      </c>
      <c r="Q960" s="146" t="str">
        <f>IFERROR(__xludf.DUMMYFUNCTION("""COMPUTED_VALUE"""),"085 116 1711")</f>
        <v>085 116 1711</v>
      </c>
      <c r="R960" s="147" t="str">
        <f>IFERROR(__xludf.DUMMYFUNCTION("""COMPUTED_VALUE"""),"1 1037 01304 52 9")</f>
        <v>1 1037 01304 52 9</v>
      </c>
      <c r="S960" t="str">
        <f>IFERROR(__xludf.DUMMYFUNCTION("""COMPUTED_VALUE"""),"AC7923498")</f>
        <v>AC7923498</v>
      </c>
      <c r="T960" s="148">
        <f>IFERROR(__xludf.DUMMYFUNCTION("""COMPUTED_VALUE"""),45685.0)</f>
        <v>45685</v>
      </c>
      <c r="U960" s="148">
        <f>IFERROR(__xludf.DUMMYFUNCTION("""COMPUTED_VALUE"""),49336.0)</f>
        <v>49336</v>
      </c>
      <c r="V960" s="149">
        <f>IFERROR(__xludf.DUMMYFUNCTION("""COMPUTED_VALUE"""),49152.0)</f>
        <v>49152</v>
      </c>
      <c r="W960" t="str">
        <f>IFERROR(__xludf.DUMMYFUNCTION("""COMPUTED_VALUE"""),"ปลอดภัย")</f>
        <v>ปลอดภัย</v>
      </c>
      <c r="X960" t="str">
        <f>IFERROR(__xludf.DUMMYFUNCTION("""COMPUTED_VALUE"""),"Bangkok")</f>
        <v>Bangkok</v>
      </c>
      <c r="Y960" t="str">
        <f>IFERROR(__xludf.DUMMYFUNCTION("""COMPUTED_VALUE"""),"Bangkok")</f>
        <v>Bangkok</v>
      </c>
      <c r="Z960" t="str">
        <f>IFERROR(__xludf.DUMMYFUNCTION("""COMPUTED_VALUE"""),"084-549-8864")</f>
        <v>084-549-8864</v>
      </c>
      <c r="AA960" t="str">
        <f>IFERROR(__xludf.DUMMYFUNCTION("""COMPUTED_VALUE"""),"Palika Mansamak (Mother)")</f>
        <v>Palika Mansamak (Mother)</v>
      </c>
      <c r="AB960" t="str">
        <f>IFERROR(__xludf.DUMMYFUNCTION("""COMPUTED_VALUE"""),"nonthapatmansamak@airasia.com")</f>
        <v>nonthapatmansamak@airasia.com</v>
      </c>
    </row>
    <row r="961">
      <c r="A961">
        <f>IFERROR(__xludf.DUMMYFUNCTION("""COMPUTED_VALUE"""),1025310.0)</f>
        <v>1025310</v>
      </c>
      <c r="B961" t="str">
        <f>IFERROR(__xludf.DUMMYFUNCTION("""COMPUTED_VALUE"""),"Mr.")</f>
        <v>Mr.</v>
      </c>
      <c r="C961" t="str">
        <f>IFERROR(__xludf.DUMMYFUNCTION("""COMPUTED_VALUE"""),"Nitinan")</f>
        <v>Nitinan</v>
      </c>
      <c r="D961" t="str">
        <f>IFERROR(__xludf.DUMMYFUNCTION("""COMPUTED_VALUE"""),"Sakunchokjaroen")</f>
        <v>Sakunchokjaroen</v>
      </c>
      <c r="E961" t="str">
        <f>IFERROR(__xludf.DUMMYFUNCTION("""COMPUTED_VALUE"""),"Nitinan Sakunchokjaroen")</f>
        <v>Nitinan Sakunchokjaroen</v>
      </c>
      <c r="F961" t="str">
        <f>IFERROR(__xludf.DUMMYFUNCTION("""COMPUTED_VALUE"""),"นาย")</f>
        <v>นาย</v>
      </c>
      <c r="G961" t="str">
        <f>IFERROR(__xludf.DUMMYFUNCTION("""COMPUTED_VALUE"""),"นิธินันท์")</f>
        <v>นิธินันท์</v>
      </c>
      <c r="H961" t="str">
        <f>IFERROR(__xludf.DUMMYFUNCTION("""COMPUTED_VALUE"""),"สกุลโชคเจริญ")</f>
        <v>สกุลโชคเจริญ</v>
      </c>
      <c r="I961" t="str">
        <f>IFERROR(__xludf.DUMMYFUNCTION("""COMPUTED_VALUE"""),"นิธินันท์ สกุลโชคเจริญ")</f>
        <v>นิธินันท์ สกุลโชคเจริญ</v>
      </c>
      <c r="J961" t="str">
        <f>IFERROR(__xludf.DUMMYFUNCTION("""COMPUTED_VALUE"""),"Dome/โดม")</f>
        <v>Dome/โดม</v>
      </c>
      <c r="K961" t="str">
        <f>IFERROR(__xludf.DUMMYFUNCTION("""COMPUTED_VALUE"""),"Senior Cabin Crew")</f>
        <v>Senior Cabin Crew</v>
      </c>
      <c r="L961" t="str">
        <f>IFERROR(__xludf.DUMMYFUNCTION("""COMPUTED_VALUE"""),"DMK")</f>
        <v>DMK</v>
      </c>
      <c r="M961" s="145" t="str">
        <f>IFERROR(__xludf.DUMMYFUNCTION("""COMPUTED_VALUE"""),"Namfon Home")</f>
        <v>Namfon Home</v>
      </c>
      <c r="N961" t="str">
        <f>IFERROR(__xludf.DUMMYFUNCTION("""COMPUTED_VALUE"""),"Active")</f>
        <v>Active</v>
      </c>
      <c r="O961" t="str">
        <f>IFERROR(__xludf.DUMMYFUNCTION("""COMPUTED_VALUE"""),"Chinese Speaking")</f>
        <v>Chinese Speaking</v>
      </c>
      <c r="P961" s="155">
        <f>IFERROR(__xludf.DUMMYFUNCTION("""COMPUTED_VALUE"""),33424.0)</f>
        <v>33424</v>
      </c>
      <c r="Q961" s="146" t="str">
        <f>IFERROR(__xludf.DUMMYFUNCTION("""COMPUTED_VALUE"""),"098 645 3546")</f>
        <v>098 645 3546</v>
      </c>
      <c r="R961" s="147" t="str">
        <f>IFERROR(__xludf.DUMMYFUNCTION("""COMPUTED_VALUE"""),"1 2097 00358 96 4")</f>
        <v>1 2097 00358 96 4</v>
      </c>
      <c r="S961" t="str">
        <f>IFERROR(__xludf.DUMMYFUNCTION("""COMPUTED_VALUE"""),"AC4534812")</f>
        <v>AC4534812</v>
      </c>
      <c r="T961" s="148">
        <f>IFERROR(__xludf.DUMMYFUNCTION("""COMPUTED_VALUE"""),44984.0)</f>
        <v>44984</v>
      </c>
      <c r="U961" s="148">
        <f>IFERROR(__xludf.DUMMYFUNCTION("""COMPUTED_VALUE"""),48636.0)</f>
        <v>48636</v>
      </c>
      <c r="V961" s="149">
        <f>IFERROR(__xludf.DUMMYFUNCTION("""COMPUTED_VALUE"""),48452.0)</f>
        <v>48452</v>
      </c>
      <c r="W961" t="str">
        <f>IFERROR(__xludf.DUMMYFUNCTION("""COMPUTED_VALUE"""),"ปลอดภัย")</f>
        <v>ปลอดภัย</v>
      </c>
      <c r="X961" t="str">
        <f>IFERROR(__xludf.DUMMYFUNCTION("""COMPUTED_VALUE"""),"Chonburi Province")</f>
        <v>Chonburi Province</v>
      </c>
      <c r="Y961" t="str">
        <f>IFERROR(__xludf.DUMMYFUNCTION("""COMPUTED_VALUE"""),"Chonburi")</f>
        <v>Chonburi</v>
      </c>
      <c r="Z961" t="str">
        <f>IFERROR(__xludf.DUMMYFUNCTION("""COMPUTED_VALUE"""),"090-639-2914")</f>
        <v>090-639-2914</v>
      </c>
      <c r="AA961" t="str">
        <f>IFERROR(__xludf.DUMMYFUNCTION("""COMPUTED_VALUE"""),"Kanyanat Sakunchokjaroen (Mother)")</f>
        <v>Kanyanat Sakunchokjaroen (Mother)</v>
      </c>
      <c r="AB961" t="str">
        <f>IFERROR(__xludf.DUMMYFUNCTION("""COMPUTED_VALUE"""),"nitinansakunchokjar@airasia.com")</f>
        <v>nitinansakunchokjar@airasia.com</v>
      </c>
    </row>
    <row r="962">
      <c r="A962">
        <f>IFERROR(__xludf.DUMMYFUNCTION("""COMPUTED_VALUE"""),1025318.0)</f>
        <v>1025318</v>
      </c>
      <c r="B962" t="str">
        <f>IFERROR(__xludf.DUMMYFUNCTION("""COMPUTED_VALUE"""),"Mr.")</f>
        <v>Mr.</v>
      </c>
      <c r="C962" t="str">
        <f>IFERROR(__xludf.DUMMYFUNCTION("""COMPUTED_VALUE"""),"Jetsada")</f>
        <v>Jetsada</v>
      </c>
      <c r="D962" t="str">
        <f>IFERROR(__xludf.DUMMYFUNCTION("""COMPUTED_VALUE"""),"Sutthiniam")</f>
        <v>Sutthiniam</v>
      </c>
      <c r="E962" t="str">
        <f>IFERROR(__xludf.DUMMYFUNCTION("""COMPUTED_VALUE"""),"Jetsada Sutthiniam")</f>
        <v>Jetsada Sutthiniam</v>
      </c>
      <c r="F962" t="str">
        <f>IFERROR(__xludf.DUMMYFUNCTION("""COMPUTED_VALUE"""),"นาย")</f>
        <v>นาย</v>
      </c>
      <c r="G962" t="str">
        <f>IFERROR(__xludf.DUMMYFUNCTION("""COMPUTED_VALUE"""),"เจษฎา")</f>
        <v>เจษฎา</v>
      </c>
      <c r="H962" t="str">
        <f>IFERROR(__xludf.DUMMYFUNCTION("""COMPUTED_VALUE"""),"สุทธิเนียม")</f>
        <v>สุทธิเนียม</v>
      </c>
      <c r="I962" t="str">
        <f>IFERROR(__xludf.DUMMYFUNCTION("""COMPUTED_VALUE"""),"เจษฎา สุทธิเนียม")</f>
        <v>เจษฎา สุทธิเนียม</v>
      </c>
      <c r="J962" t="str">
        <f>IFERROR(__xludf.DUMMYFUNCTION("""COMPUTED_VALUE"""),"Gug / กั๊ก")</f>
        <v>Gug / กั๊ก</v>
      </c>
      <c r="K962" t="str">
        <f>IFERROR(__xludf.DUMMYFUNCTION("""COMPUTED_VALUE"""),"Cabin Crew")</f>
        <v>Cabin Crew</v>
      </c>
      <c r="L962" t="str">
        <f>IFERROR(__xludf.DUMMYFUNCTION("""COMPUTED_VALUE"""),"DMK")</f>
        <v>DMK</v>
      </c>
      <c r="M962" s="145" t="str">
        <f>IFERROR(__xludf.DUMMYFUNCTION("""COMPUTED_VALUE"""),"Por+ Home")</f>
        <v>Por+ Home</v>
      </c>
      <c r="N962" t="str">
        <f>IFERROR(__xludf.DUMMYFUNCTION("""COMPUTED_VALUE"""),"Active")</f>
        <v>Active</v>
      </c>
      <c r="O962" t="str">
        <f>IFERROR(__xludf.DUMMYFUNCTION("""COMPUTED_VALUE"""),"Chinese Speaking")</f>
        <v>Chinese Speaking</v>
      </c>
      <c r="P962" s="155">
        <f>IFERROR(__xludf.DUMMYFUNCTION("""COMPUTED_VALUE"""),32972.0)</f>
        <v>32972</v>
      </c>
      <c r="Q962" s="146">
        <f>IFERROR(__xludf.DUMMYFUNCTION("""COMPUTED_VALUE"""),9.17730397E8)</f>
        <v>917730397</v>
      </c>
      <c r="R962" s="147" t="str">
        <f>IFERROR(__xludf.DUMMYFUNCTION("""COMPUTED_VALUE"""),"1 8402 00126 51 3")</f>
        <v>1 8402 00126 51 3</v>
      </c>
      <c r="S962" t="str">
        <f>IFERROR(__xludf.DUMMYFUNCTION("""COMPUTED_VALUE"""),"AC3000703")</f>
        <v>AC3000703</v>
      </c>
      <c r="T962" s="148">
        <f>IFERROR(__xludf.DUMMYFUNCTION("""COMPUTED_VALUE"""),44671.0)</f>
        <v>44671</v>
      </c>
      <c r="U962" s="148">
        <f>IFERROR(__xludf.DUMMYFUNCTION("""COMPUTED_VALUE"""),48323.0)</f>
        <v>48323</v>
      </c>
      <c r="V962" s="149">
        <f>IFERROR(__xludf.DUMMYFUNCTION("""COMPUTED_VALUE"""),48140.0)</f>
        <v>48140</v>
      </c>
      <c r="W962" t="str">
        <f>IFERROR(__xludf.DUMMYFUNCTION("""COMPUTED_VALUE"""),"ปลอดภัย")</f>
        <v>ปลอดภัย</v>
      </c>
      <c r="X962" t="str">
        <f>IFERROR(__xludf.DUMMYFUNCTION("""COMPUTED_VALUE"""),"Surat Thani Province")</f>
        <v>Surat Thani Province</v>
      </c>
      <c r="Y962" t="str">
        <f>IFERROR(__xludf.DUMMYFUNCTION("""COMPUTED_VALUE"""),"Bangkok")</f>
        <v>Bangkok</v>
      </c>
      <c r="Z962" t="str">
        <f>IFERROR(__xludf.DUMMYFUNCTION("""COMPUTED_VALUE"""),"098-459-5952")</f>
        <v>098-459-5952</v>
      </c>
      <c r="AA962" t="str">
        <f>IFERROR(__xludf.DUMMYFUNCTION("""COMPUTED_VALUE"""),"Chaloemphong Yongkaew (Others)")</f>
        <v>Chaloemphong Yongkaew (Others)</v>
      </c>
      <c r="AB962" t="str">
        <f>IFERROR(__xludf.DUMMYFUNCTION("""COMPUTED_VALUE"""),"jetsadasutthiniam@airasia.com")</f>
        <v>jetsadasutthiniam@airasia.com</v>
      </c>
    </row>
    <row r="963">
      <c r="A963">
        <f>IFERROR(__xludf.DUMMYFUNCTION("""COMPUTED_VALUE"""),1025319.0)</f>
        <v>1025319</v>
      </c>
      <c r="B963" t="str">
        <f>IFERROR(__xludf.DUMMYFUNCTION("""COMPUTED_VALUE"""),"Mr.")</f>
        <v>Mr.</v>
      </c>
      <c r="C963" t="str">
        <f>IFERROR(__xludf.DUMMYFUNCTION("""COMPUTED_VALUE"""),"Phongsakron")</f>
        <v>Phongsakron</v>
      </c>
      <c r="D963" t="str">
        <f>IFERROR(__xludf.DUMMYFUNCTION("""COMPUTED_VALUE"""),"Saepan")</f>
        <v>Saepan</v>
      </c>
      <c r="E963" t="str">
        <f>IFERROR(__xludf.DUMMYFUNCTION("""COMPUTED_VALUE"""),"Phongsakron Saepan")</f>
        <v>Phongsakron Saepan</v>
      </c>
      <c r="F963" t="str">
        <f>IFERROR(__xludf.DUMMYFUNCTION("""COMPUTED_VALUE"""),"นาย")</f>
        <v>นาย</v>
      </c>
      <c r="G963" t="str">
        <f>IFERROR(__xludf.DUMMYFUNCTION("""COMPUTED_VALUE"""),"พงศกร")</f>
        <v>พงศกร</v>
      </c>
      <c r="H963" t="str">
        <f>IFERROR(__xludf.DUMMYFUNCTION("""COMPUTED_VALUE"""),"แซ่พ่าน")</f>
        <v>แซ่พ่าน</v>
      </c>
      <c r="I963" t="str">
        <f>IFERROR(__xludf.DUMMYFUNCTION("""COMPUTED_VALUE"""),"พงศกร แซ่พ่าน")</f>
        <v>พงศกร แซ่พ่าน</v>
      </c>
      <c r="J963" t="str">
        <f>IFERROR(__xludf.DUMMYFUNCTION("""COMPUTED_VALUE"""),"Phong / พง")</f>
        <v>Phong / พง</v>
      </c>
      <c r="K963" t="str">
        <f>IFERROR(__xludf.DUMMYFUNCTION("""COMPUTED_VALUE"""),"Senior Cabin Crew")</f>
        <v>Senior Cabin Crew</v>
      </c>
      <c r="L963" t="str">
        <f>IFERROR(__xludf.DUMMYFUNCTION("""COMPUTED_VALUE"""),"DMK")</f>
        <v>DMK</v>
      </c>
      <c r="M963" s="145" t="str">
        <f>IFERROR(__xludf.DUMMYFUNCTION("""COMPUTED_VALUE"""),"Um Home")</f>
        <v>Um Home</v>
      </c>
      <c r="N963" t="str">
        <f>IFERROR(__xludf.DUMMYFUNCTION("""COMPUTED_VALUE"""),"Active")</f>
        <v>Active</v>
      </c>
      <c r="O963" t="str">
        <f>IFERROR(__xludf.DUMMYFUNCTION("""COMPUTED_VALUE"""),"Chinese Speaking")</f>
        <v>Chinese Speaking</v>
      </c>
      <c r="P963" s="155">
        <f>IFERROR(__xludf.DUMMYFUNCTION("""COMPUTED_VALUE"""),35156.0)</f>
        <v>35156</v>
      </c>
      <c r="Q963" s="146" t="str">
        <f>IFERROR(__xludf.DUMMYFUNCTION("""COMPUTED_VALUE"""),"083 321 0412")</f>
        <v>083 321 0412</v>
      </c>
      <c r="R963" s="147" t="str">
        <f>IFERROR(__xludf.DUMMYFUNCTION("""COMPUTED_VALUE"""),"1 5713 00035 96 3")</f>
        <v>1 5713 00035 96 3</v>
      </c>
      <c r="S963" t="str">
        <f>IFERROR(__xludf.DUMMYFUNCTION("""COMPUTED_VALUE"""),"AC7472458")</f>
        <v>AC7472458</v>
      </c>
      <c r="T963" s="148">
        <f>IFERROR(__xludf.DUMMYFUNCTION("""COMPUTED_VALUE"""),45597.0)</f>
        <v>45597</v>
      </c>
      <c r="U963" s="150">
        <f>IFERROR(__xludf.DUMMYFUNCTION("""COMPUTED_VALUE"""),49248.0)</f>
        <v>49248</v>
      </c>
      <c r="V963" s="149">
        <f>IFERROR(__xludf.DUMMYFUNCTION("""COMPUTED_VALUE"""),49064.0)</f>
        <v>49064</v>
      </c>
      <c r="W963" t="str">
        <f>IFERROR(__xludf.DUMMYFUNCTION("""COMPUTED_VALUE"""),"ปลอดภัย")</f>
        <v>ปลอดภัย</v>
      </c>
      <c r="X963" t="str">
        <f>IFERROR(__xludf.DUMMYFUNCTION("""COMPUTED_VALUE"""),"Chiang Rai Province")</f>
        <v>Chiang Rai Province</v>
      </c>
      <c r="Y963" t="str">
        <f>IFERROR(__xludf.DUMMYFUNCTION("""COMPUTED_VALUE"""),"Phuket")</f>
        <v>Phuket</v>
      </c>
      <c r="Z963" t="str">
        <f>IFERROR(__xludf.DUMMYFUNCTION("""COMPUTED_VALUE"""),"087-816-5528")</f>
        <v>087-816-5528</v>
      </c>
      <c r="AA963" t="str">
        <f>IFERROR(__xludf.DUMMYFUNCTION("""COMPUTED_VALUE"""),"Siriporn Saewang (Others)")</f>
        <v>Siriporn Saewang (Others)</v>
      </c>
      <c r="AB963" t="str">
        <f>IFERROR(__xludf.DUMMYFUNCTION("""COMPUTED_VALUE"""),"phongsakronsaepan@airasia.com")</f>
        <v>phongsakronsaepan@airasia.com</v>
      </c>
    </row>
    <row r="964">
      <c r="A964">
        <f>IFERROR(__xludf.DUMMYFUNCTION("""COMPUTED_VALUE"""),1025320.0)</f>
        <v>1025320</v>
      </c>
      <c r="B964" t="str">
        <f>IFERROR(__xludf.DUMMYFUNCTION("""COMPUTED_VALUE"""),"Mr.")</f>
        <v>Mr.</v>
      </c>
      <c r="C964" t="str">
        <f>IFERROR(__xludf.DUMMYFUNCTION("""COMPUTED_VALUE"""),"Tianyot")</f>
        <v>Tianyot</v>
      </c>
      <c r="D964" t="str">
        <f>IFERROR(__xludf.DUMMYFUNCTION("""COMPUTED_VALUE"""),"Kongkaew")</f>
        <v>Kongkaew</v>
      </c>
      <c r="E964" t="str">
        <f>IFERROR(__xludf.DUMMYFUNCTION("""COMPUTED_VALUE"""),"Tianyot Kongkaew")</f>
        <v>Tianyot Kongkaew</v>
      </c>
      <c r="F964" t="str">
        <f>IFERROR(__xludf.DUMMYFUNCTION("""COMPUTED_VALUE"""),"นาย")</f>
        <v>นาย</v>
      </c>
      <c r="G964" t="str">
        <f>IFERROR(__xludf.DUMMYFUNCTION("""COMPUTED_VALUE"""),"เทียนหยด")</f>
        <v>เทียนหยด</v>
      </c>
      <c r="H964" t="str">
        <f>IFERROR(__xludf.DUMMYFUNCTION("""COMPUTED_VALUE"""),"คงแก้ว")</f>
        <v>คงแก้ว</v>
      </c>
      <c r="I964" t="str">
        <f>IFERROR(__xludf.DUMMYFUNCTION("""COMPUTED_VALUE"""),"เทียนหยด คงแก้ว")</f>
        <v>เทียนหยด คงแก้ว</v>
      </c>
      <c r="J964" t="str">
        <f>IFERROR(__xludf.DUMMYFUNCTION("""COMPUTED_VALUE"""),"Tian/เทียน")</f>
        <v>Tian/เทียน</v>
      </c>
      <c r="K964" t="str">
        <f>IFERROR(__xludf.DUMMYFUNCTION("""COMPUTED_VALUE"""),"Cabin Crew - HKT")</f>
        <v>Cabin Crew - HKT</v>
      </c>
      <c r="L964" t="str">
        <f>IFERROR(__xludf.DUMMYFUNCTION("""COMPUTED_VALUE"""),"HKT")</f>
        <v>HKT</v>
      </c>
      <c r="M964" s="145" t="str">
        <f>IFERROR(__xludf.DUMMYFUNCTION("""COMPUTED_VALUE"""),"Kor Home")</f>
        <v>Kor Home</v>
      </c>
      <c r="N964" t="str">
        <f>IFERROR(__xludf.DUMMYFUNCTION("""COMPUTED_VALUE"""),"Active")</f>
        <v>Active</v>
      </c>
      <c r="O964" t="str">
        <f>IFERROR(__xludf.DUMMYFUNCTION("""COMPUTED_VALUE"""),"Chinese Speaking")</f>
        <v>Chinese Speaking</v>
      </c>
      <c r="P964" s="157">
        <f>IFERROR(__xludf.DUMMYFUNCTION("""COMPUTED_VALUE"""),33051.0)</f>
        <v>33051</v>
      </c>
      <c r="Q964" s="146" t="str">
        <f>IFERROR(__xludf.DUMMYFUNCTION("""COMPUTED_VALUE"""),"064 465 9961")</f>
        <v>064 465 9961</v>
      </c>
      <c r="R964" s="147" t="str">
        <f>IFERROR(__xludf.DUMMYFUNCTION("""COMPUTED_VALUE"""),"1 8099 00317 61 1")</f>
        <v>1 8099 00317 61 1</v>
      </c>
      <c r="S964" t="str">
        <f>IFERROR(__xludf.DUMMYFUNCTION("""COMPUTED_VALUE"""),"AC3793286")</f>
        <v>AC3793286</v>
      </c>
      <c r="T964" s="148">
        <f>IFERROR(__xludf.DUMMYFUNCTION("""COMPUTED_VALUE"""),44775.0)</f>
        <v>44775</v>
      </c>
      <c r="U964" s="148">
        <f>IFERROR(__xludf.DUMMYFUNCTION("""COMPUTED_VALUE"""),48427.0)</f>
        <v>48427</v>
      </c>
      <c r="V964" s="149">
        <f>IFERROR(__xludf.DUMMYFUNCTION("""COMPUTED_VALUE"""),48245.0)</f>
        <v>48245</v>
      </c>
      <c r="W964" t="str">
        <f>IFERROR(__xludf.DUMMYFUNCTION("""COMPUTED_VALUE"""),"ปลอดภัย")</f>
        <v>ปลอดภัย</v>
      </c>
      <c r="X964" t="str">
        <f>IFERROR(__xludf.DUMMYFUNCTION("""COMPUTED_VALUE"""),"Nakhon Si Thammarat Province")</f>
        <v>Nakhon Si Thammarat Province</v>
      </c>
      <c r="Y964" t="str">
        <f>IFERROR(__xludf.DUMMYFUNCTION("""COMPUTED_VALUE"""),"Nakhon si thammarat")</f>
        <v>Nakhon si thammarat</v>
      </c>
      <c r="Z964" t="str">
        <f>IFERROR(__xludf.DUMMYFUNCTION("""COMPUTED_VALUE"""),"089-5917913")</f>
        <v>089-5917913</v>
      </c>
      <c r="AA964" t="str">
        <f>IFERROR(__xludf.DUMMYFUNCTION("""COMPUTED_VALUE"""),"Boontip Kongkaew (Mother)")</f>
        <v>Boontip Kongkaew (Mother)</v>
      </c>
      <c r="AB964" t="str">
        <f>IFERROR(__xludf.DUMMYFUNCTION("""COMPUTED_VALUE"""),"tianyotkongkaew@airasia.com")</f>
        <v>tianyotkongkaew@airasia.com</v>
      </c>
    </row>
    <row r="965">
      <c r="A965">
        <f>IFERROR(__xludf.DUMMYFUNCTION("""COMPUTED_VALUE"""),1025321.0)</f>
        <v>1025321</v>
      </c>
      <c r="B965" t="str">
        <f>IFERROR(__xludf.DUMMYFUNCTION("""COMPUTED_VALUE"""),"Ms.")</f>
        <v>Ms.</v>
      </c>
      <c r="C965" t="str">
        <f>IFERROR(__xludf.DUMMYFUNCTION("""COMPUTED_VALUE"""),"Sasiphak")</f>
        <v>Sasiphak</v>
      </c>
      <c r="D965" t="str">
        <f>IFERROR(__xludf.DUMMYFUNCTION("""COMPUTED_VALUE"""),"Bupphapho")</f>
        <v>Bupphapho</v>
      </c>
      <c r="E965" t="str">
        <f>IFERROR(__xludf.DUMMYFUNCTION("""COMPUTED_VALUE"""),"Sasiphak Bupphapho")</f>
        <v>Sasiphak Bupphapho</v>
      </c>
      <c r="F965" t="str">
        <f>IFERROR(__xludf.DUMMYFUNCTION("""COMPUTED_VALUE"""),"นางสาว")</f>
        <v>นางสาว</v>
      </c>
      <c r="G965" t="str">
        <f>IFERROR(__xludf.DUMMYFUNCTION("""COMPUTED_VALUE"""),"ศศิภักดิ์")</f>
        <v>ศศิภักดิ์</v>
      </c>
      <c r="H965" t="str">
        <f>IFERROR(__xludf.DUMMYFUNCTION("""COMPUTED_VALUE"""),"บุปผะโพธิ์")</f>
        <v>บุปผะโพธิ์</v>
      </c>
      <c r="I965" t="str">
        <f>IFERROR(__xludf.DUMMYFUNCTION("""COMPUTED_VALUE"""),"ศศิภักดิ์ บุปผะโพธิ์")</f>
        <v>ศศิภักดิ์ บุปผะโพธิ์</v>
      </c>
      <c r="J965" t="str">
        <f>IFERROR(__xludf.DUMMYFUNCTION("""COMPUTED_VALUE"""),"Vee / วี")</f>
        <v>Vee / วี</v>
      </c>
      <c r="K965" t="str">
        <f>IFERROR(__xludf.DUMMYFUNCTION("""COMPUTED_VALUE"""),"Cabin Crew - HKT")</f>
        <v>Cabin Crew - HKT</v>
      </c>
      <c r="L965" t="str">
        <f>IFERROR(__xludf.DUMMYFUNCTION("""COMPUTED_VALUE"""),"HKT")</f>
        <v>HKT</v>
      </c>
      <c r="M965" s="145" t="str">
        <f>IFERROR(__xludf.DUMMYFUNCTION("""COMPUTED_VALUE"""),"Kor Home")</f>
        <v>Kor Home</v>
      </c>
      <c r="N965" t="str">
        <f>IFERROR(__xludf.DUMMYFUNCTION("""COMPUTED_VALUE"""),"Active")</f>
        <v>Active</v>
      </c>
      <c r="O965" t="str">
        <f>IFERROR(__xludf.DUMMYFUNCTION("""COMPUTED_VALUE"""),"Chinese Speaking")</f>
        <v>Chinese Speaking</v>
      </c>
      <c r="P965" s="155">
        <f>IFERROR(__xludf.DUMMYFUNCTION("""COMPUTED_VALUE"""),33935.0)</f>
        <v>33935</v>
      </c>
      <c r="Q965" s="146" t="str">
        <f>IFERROR(__xludf.DUMMYFUNCTION("""COMPUTED_VALUE"""),"099 264 5597")</f>
        <v>099 264 5597</v>
      </c>
      <c r="R965" s="147" t="str">
        <f>IFERROR(__xludf.DUMMYFUNCTION("""COMPUTED_VALUE"""),"1 9007 00145 52 4")</f>
        <v>1 9007 00145 52 4</v>
      </c>
      <c r="S965" t="str">
        <f>IFERROR(__xludf.DUMMYFUNCTION("""COMPUTED_VALUE"""),"AC2569795")</f>
        <v>AC2569795</v>
      </c>
      <c r="T965" s="148">
        <f>IFERROR(__xludf.DUMMYFUNCTION("""COMPUTED_VALUE"""),44663.0)</f>
        <v>44663</v>
      </c>
      <c r="U965" s="148">
        <f>IFERROR(__xludf.DUMMYFUNCTION("""COMPUTED_VALUE"""),48315.0)</f>
        <v>48315</v>
      </c>
      <c r="V965" s="149">
        <f>IFERROR(__xludf.DUMMYFUNCTION("""COMPUTED_VALUE"""),48132.0)</f>
        <v>48132</v>
      </c>
      <c r="W965" t="str">
        <f>IFERROR(__xludf.DUMMYFUNCTION("""COMPUTED_VALUE"""),"ปลอดภัย")</f>
        <v>ปลอดภัย</v>
      </c>
      <c r="X965" t="str">
        <f>IFERROR(__xludf.DUMMYFUNCTION("""COMPUTED_VALUE"""),"Songkhla Province")</f>
        <v>Songkhla Province</v>
      </c>
      <c r="Y965" t="str">
        <f>IFERROR(__xludf.DUMMYFUNCTION("""COMPUTED_VALUE"""),"Phuket")</f>
        <v>Phuket</v>
      </c>
      <c r="Z965" t="str">
        <f>IFERROR(__xludf.DUMMYFUNCTION("""COMPUTED_VALUE"""),"082-614-2919")</f>
        <v>082-614-2919</v>
      </c>
      <c r="AA965" t="str">
        <f>IFERROR(__xludf.DUMMYFUNCTION("""COMPUTED_VALUE"""),"Jarukorn Udomrat (Others)")</f>
        <v>Jarukorn Udomrat (Others)</v>
      </c>
      <c r="AB965" t="str">
        <f>IFERROR(__xludf.DUMMYFUNCTION("""COMPUTED_VALUE"""),"sasiphakbupphapho@airasia.com")</f>
        <v>sasiphakbupphapho@airasia.com</v>
      </c>
    </row>
    <row r="966">
      <c r="A966">
        <f>IFERROR(__xludf.DUMMYFUNCTION("""COMPUTED_VALUE"""),1025322.0)</f>
        <v>1025322</v>
      </c>
      <c r="B966" t="str">
        <f>IFERROR(__xludf.DUMMYFUNCTION("""COMPUTED_VALUE"""),"Ms.")</f>
        <v>Ms.</v>
      </c>
      <c r="C966" t="str">
        <f>IFERROR(__xludf.DUMMYFUNCTION("""COMPUTED_VALUE"""),"Nathathai")</f>
        <v>Nathathai</v>
      </c>
      <c r="D966" t="str">
        <f>IFERROR(__xludf.DUMMYFUNCTION("""COMPUTED_VALUE"""),"Sornthawee")</f>
        <v>Sornthawee</v>
      </c>
      <c r="E966" t="str">
        <f>IFERROR(__xludf.DUMMYFUNCTION("""COMPUTED_VALUE"""),"Nathathai Sornthawee")</f>
        <v>Nathathai Sornthawee</v>
      </c>
      <c r="F966" t="str">
        <f>IFERROR(__xludf.DUMMYFUNCTION("""COMPUTED_VALUE"""),"นางสาว")</f>
        <v>นางสาว</v>
      </c>
      <c r="G966" t="str">
        <f>IFERROR(__xludf.DUMMYFUNCTION("""COMPUTED_VALUE"""),"ณัฐหทัย")</f>
        <v>ณัฐหทัย</v>
      </c>
      <c r="H966" t="str">
        <f>IFERROR(__xludf.DUMMYFUNCTION("""COMPUTED_VALUE"""),"สอนทวี")</f>
        <v>สอนทวี</v>
      </c>
      <c r="I966" t="str">
        <f>IFERROR(__xludf.DUMMYFUNCTION("""COMPUTED_VALUE"""),"ณัฐหทัย สอนทวี")</f>
        <v>ณัฐหทัย สอนทวี</v>
      </c>
      <c r="J966" t="str">
        <f>IFERROR(__xludf.DUMMYFUNCTION("""COMPUTED_VALUE"""),"Atom / อะตอม")</f>
        <v>Atom / อะตอม</v>
      </c>
      <c r="K966" t="str">
        <f>IFERROR(__xludf.DUMMYFUNCTION("""COMPUTED_VALUE"""),"Cabin Crew - HKT")</f>
        <v>Cabin Crew - HKT</v>
      </c>
      <c r="L966" t="str">
        <f>IFERROR(__xludf.DUMMYFUNCTION("""COMPUTED_VALUE"""),"HKT")</f>
        <v>HKT</v>
      </c>
      <c r="M966" s="145" t="str">
        <f>IFERROR(__xludf.DUMMYFUNCTION("""COMPUTED_VALUE"""),"Kor Home")</f>
        <v>Kor Home</v>
      </c>
      <c r="N966" t="str">
        <f>IFERROR(__xludf.DUMMYFUNCTION("""COMPUTED_VALUE"""),"Active")</f>
        <v>Active</v>
      </c>
      <c r="O966" t="str">
        <f>IFERROR(__xludf.DUMMYFUNCTION("""COMPUTED_VALUE"""),"Chinese Speaking")</f>
        <v>Chinese Speaking</v>
      </c>
      <c r="P966" s="157">
        <f>IFERROR(__xludf.DUMMYFUNCTION("""COMPUTED_VALUE"""),33618.0)</f>
        <v>33618</v>
      </c>
      <c r="Q966" s="146" t="str">
        <f>IFERROR(__xludf.DUMMYFUNCTION("""COMPUTED_VALUE"""),"098 453 2469")</f>
        <v>098 453 2469</v>
      </c>
      <c r="R966" s="147" t="str">
        <f>IFERROR(__xludf.DUMMYFUNCTION("""COMPUTED_VALUE"""),"1 1020 01666 05 2")</f>
        <v>1 1020 01666 05 2</v>
      </c>
      <c r="S966" t="str">
        <f>IFERROR(__xludf.DUMMYFUNCTION("""COMPUTED_VALUE"""),"AC7501921")</f>
        <v>AC7501921</v>
      </c>
      <c r="T966" s="148">
        <f>IFERROR(__xludf.DUMMYFUNCTION("""COMPUTED_VALUE"""),45537.0)</f>
        <v>45537</v>
      </c>
      <c r="U966" s="148">
        <f>IFERROR(__xludf.DUMMYFUNCTION("""COMPUTED_VALUE"""),49188.0)</f>
        <v>49188</v>
      </c>
      <c r="V966" s="149">
        <f>IFERROR(__xludf.DUMMYFUNCTION("""COMPUTED_VALUE"""),49004.0)</f>
        <v>49004</v>
      </c>
      <c r="W966" t="str">
        <f>IFERROR(__xludf.DUMMYFUNCTION("""COMPUTED_VALUE"""),"ปลอดภัย")</f>
        <v>ปลอดภัย</v>
      </c>
      <c r="X966" t="str">
        <f>IFERROR(__xludf.DUMMYFUNCTION("""COMPUTED_VALUE"""),"Bangkok")</f>
        <v>Bangkok</v>
      </c>
      <c r="Y966" t="str">
        <f>IFERROR(__xludf.DUMMYFUNCTION("""COMPUTED_VALUE"""),"Chumphon")</f>
        <v>Chumphon</v>
      </c>
      <c r="Z966" t="str">
        <f>IFERROR(__xludf.DUMMYFUNCTION("""COMPUTED_VALUE"""),"087-461-0909")</f>
        <v>087-461-0909</v>
      </c>
      <c r="AA966" t="str">
        <f>IFERROR(__xludf.DUMMYFUNCTION("""COMPUTED_VALUE"""),"Chaipat Sornthawee (Father)")</f>
        <v>Chaipat Sornthawee (Father)</v>
      </c>
      <c r="AB966" t="str">
        <f>IFERROR(__xludf.DUMMYFUNCTION("""COMPUTED_VALUE"""),"nathathaisornthawee@airasia.com")</f>
        <v>nathathaisornthawee@airasia.com</v>
      </c>
    </row>
    <row r="967">
      <c r="A967">
        <f>IFERROR(__xludf.DUMMYFUNCTION("""COMPUTED_VALUE"""),1025323.0)</f>
        <v>1025323</v>
      </c>
      <c r="B967" t="str">
        <f>IFERROR(__xludf.DUMMYFUNCTION("""COMPUTED_VALUE"""),"Ms.")</f>
        <v>Ms.</v>
      </c>
      <c r="C967" t="str">
        <f>IFERROR(__xludf.DUMMYFUNCTION("""COMPUTED_VALUE"""),"Jariya")</f>
        <v>Jariya</v>
      </c>
      <c r="D967" t="str">
        <f>IFERROR(__xludf.DUMMYFUNCTION("""COMPUTED_VALUE"""),"Tangmahamek")</f>
        <v>Tangmahamek</v>
      </c>
      <c r="E967" t="str">
        <f>IFERROR(__xludf.DUMMYFUNCTION("""COMPUTED_VALUE"""),"Jariya Tangmahamek")</f>
        <v>Jariya Tangmahamek</v>
      </c>
      <c r="F967" t="str">
        <f>IFERROR(__xludf.DUMMYFUNCTION("""COMPUTED_VALUE"""),"นางสาว")</f>
        <v>นางสาว</v>
      </c>
      <c r="G967" t="str">
        <f>IFERROR(__xludf.DUMMYFUNCTION("""COMPUTED_VALUE"""),"จริยา")</f>
        <v>จริยา</v>
      </c>
      <c r="H967" t="str">
        <f>IFERROR(__xludf.DUMMYFUNCTION("""COMPUTED_VALUE"""),"ตั้งมหาเมฆ")</f>
        <v>ตั้งมหาเมฆ</v>
      </c>
      <c r="I967" t="str">
        <f>IFERROR(__xludf.DUMMYFUNCTION("""COMPUTED_VALUE"""),"จริยา ตั้งมหาเมฆ")</f>
        <v>จริยา ตั้งมหาเมฆ</v>
      </c>
      <c r="J967" t="str">
        <f>IFERROR(__xludf.DUMMYFUNCTION("""COMPUTED_VALUE"""),"Bell / เบล")</f>
        <v>Bell / เบล</v>
      </c>
      <c r="K967" t="str">
        <f>IFERROR(__xludf.DUMMYFUNCTION("""COMPUTED_VALUE"""),"Cabin Crew")</f>
        <v>Cabin Crew</v>
      </c>
      <c r="L967" t="str">
        <f>IFERROR(__xludf.DUMMYFUNCTION("""COMPUTED_VALUE"""),"DMK")</f>
        <v>DMK</v>
      </c>
      <c r="M967" s="145" t="str">
        <f>IFERROR(__xludf.DUMMYFUNCTION("""COMPUTED_VALUE"""),"Kor Home")</f>
        <v>Kor Home</v>
      </c>
      <c r="N967" t="str">
        <f>IFERROR(__xludf.DUMMYFUNCTION("""COMPUTED_VALUE"""),"Active")</f>
        <v>Active</v>
      </c>
      <c r="O967" t="str">
        <f>IFERROR(__xludf.DUMMYFUNCTION("""COMPUTED_VALUE"""),"Chinese Speaking")</f>
        <v>Chinese Speaking</v>
      </c>
      <c r="P967" s="156">
        <f>IFERROR(__xludf.DUMMYFUNCTION("""COMPUTED_VALUE"""),34278.0)</f>
        <v>34278</v>
      </c>
      <c r="Q967" s="146" t="str">
        <f>IFERROR(__xludf.DUMMYFUNCTION("""COMPUTED_VALUE"""),"099 187 5654")</f>
        <v>099 187 5654</v>
      </c>
      <c r="R967" s="147" t="str">
        <f>IFERROR(__xludf.DUMMYFUNCTION("""COMPUTED_VALUE"""),"1 1007 01799 50 9")</f>
        <v>1 1007 01799 50 9</v>
      </c>
      <c r="S967" t="str">
        <f>IFERROR(__xludf.DUMMYFUNCTION("""COMPUTED_VALUE"""),"AC2628528")</f>
        <v>AC2628528</v>
      </c>
      <c r="T967" s="148">
        <f>IFERROR(__xludf.DUMMYFUNCTION("""COMPUTED_VALUE"""),44547.0)</f>
        <v>44547</v>
      </c>
      <c r="U967" s="148">
        <f>IFERROR(__xludf.DUMMYFUNCTION("""COMPUTED_VALUE"""),48198.0)</f>
        <v>48198</v>
      </c>
      <c r="V967" s="149">
        <f>IFERROR(__xludf.DUMMYFUNCTION("""COMPUTED_VALUE"""),48015.0)</f>
        <v>48015</v>
      </c>
      <c r="W967" t="str">
        <f>IFERROR(__xludf.DUMMYFUNCTION("""COMPUTED_VALUE"""),"ปลอดภัย")</f>
        <v>ปลอดภัย</v>
      </c>
      <c r="X967" t="str">
        <f>IFERROR(__xludf.DUMMYFUNCTION("""COMPUTED_VALUE"""),"Bangkok")</f>
        <v>Bangkok</v>
      </c>
      <c r="Y967" t="str">
        <f>IFERROR(__xludf.DUMMYFUNCTION("""COMPUTED_VALUE"""),"Bangkok")</f>
        <v>Bangkok</v>
      </c>
      <c r="Z967" t="str">
        <f>IFERROR(__xludf.DUMMYFUNCTION("""COMPUTED_VALUE"""),"085-022-2973")</f>
        <v>085-022-2973</v>
      </c>
      <c r="AA967" t="str">
        <f>IFERROR(__xludf.DUMMYFUNCTION("""COMPUTED_VALUE"""),"Wiphapon Sae-ear (Mother)")</f>
        <v>Wiphapon Sae-ear (Mother)</v>
      </c>
      <c r="AB967" t="str">
        <f>IFERROR(__xludf.DUMMYFUNCTION("""COMPUTED_VALUE"""),"jariyatangmahamek@airasia.com")</f>
        <v>jariyatangmahamek@airasia.com</v>
      </c>
    </row>
    <row r="968">
      <c r="A968">
        <f>IFERROR(__xludf.DUMMYFUNCTION("""COMPUTED_VALUE"""),1025329.0)</f>
        <v>1025329</v>
      </c>
      <c r="B968" t="str">
        <f>IFERROR(__xludf.DUMMYFUNCTION("""COMPUTED_VALUE"""),"Ms.")</f>
        <v>Ms.</v>
      </c>
      <c r="C968" t="str">
        <f>IFERROR(__xludf.DUMMYFUNCTION("""COMPUTED_VALUE"""),"Jintana")</f>
        <v>Jintana</v>
      </c>
      <c r="D968" t="str">
        <f>IFERROR(__xludf.DUMMYFUNCTION("""COMPUTED_VALUE"""),"Cheng")</f>
        <v>Cheng</v>
      </c>
      <c r="E968" t="str">
        <f>IFERROR(__xludf.DUMMYFUNCTION("""COMPUTED_VALUE"""),"Jintana Cheng")</f>
        <v>Jintana Cheng</v>
      </c>
      <c r="F968" t="str">
        <f>IFERROR(__xludf.DUMMYFUNCTION("""COMPUTED_VALUE"""),"นางสาว")</f>
        <v>นางสาว</v>
      </c>
      <c r="G968" t="str">
        <f>IFERROR(__xludf.DUMMYFUNCTION("""COMPUTED_VALUE"""),"จินตนา")</f>
        <v>จินตนา</v>
      </c>
      <c r="H968" t="str">
        <f>IFERROR(__xludf.DUMMYFUNCTION("""COMPUTED_VALUE"""),"เจิ้ง")</f>
        <v>เจิ้ง</v>
      </c>
      <c r="I968" t="str">
        <f>IFERROR(__xludf.DUMMYFUNCTION("""COMPUTED_VALUE"""),"จินตนา เจิ้ง")</f>
        <v>จินตนา เจิ้ง</v>
      </c>
      <c r="J968" t="str">
        <f>IFERROR(__xludf.DUMMYFUNCTION("""COMPUTED_VALUE"""),"Yong/หยง")</f>
        <v>Yong/หยง</v>
      </c>
      <c r="K968" t="str">
        <f>IFERROR(__xludf.DUMMYFUNCTION("""COMPUTED_VALUE"""),"Cabin Crew")</f>
        <v>Cabin Crew</v>
      </c>
      <c r="L968" t="str">
        <f>IFERROR(__xludf.DUMMYFUNCTION("""COMPUTED_VALUE"""),"DMK")</f>
        <v>DMK</v>
      </c>
      <c r="M968" s="145" t="str">
        <f>IFERROR(__xludf.DUMMYFUNCTION("""COMPUTED_VALUE"""),"Kor Home")</f>
        <v>Kor Home</v>
      </c>
      <c r="N968" t="str">
        <f>IFERROR(__xludf.DUMMYFUNCTION("""COMPUTED_VALUE"""),"Active")</f>
        <v>Active</v>
      </c>
      <c r="O968" t="str">
        <f>IFERROR(__xludf.DUMMYFUNCTION("""COMPUTED_VALUE"""),"Chinese Speaking")</f>
        <v>Chinese Speaking</v>
      </c>
      <c r="P968" s="155">
        <f>IFERROR(__xludf.DUMMYFUNCTION("""COMPUTED_VALUE"""),33583.0)</f>
        <v>33583</v>
      </c>
      <c r="Q968" s="146" t="str">
        <f>IFERROR(__xludf.DUMMYFUNCTION("""COMPUTED_VALUE"""),"062 858 0072")</f>
        <v>062 858 0072</v>
      </c>
      <c r="R968" s="147" t="str">
        <f>IFERROR(__xludf.DUMMYFUNCTION("""COMPUTED_VALUE"""),"5 1101 00049 46 0")</f>
        <v>5 1101 00049 46 0</v>
      </c>
      <c r="S968" t="str">
        <f>IFERROR(__xludf.DUMMYFUNCTION("""COMPUTED_VALUE"""),"AD0783249")</f>
        <v>AD0783249</v>
      </c>
      <c r="T968" s="148">
        <f>IFERROR(__xludf.DUMMYFUNCTION("""COMPUTED_VALUE"""),44953.0)</f>
        <v>44953</v>
      </c>
      <c r="U968" s="148">
        <f>IFERROR(__xludf.DUMMYFUNCTION("""COMPUTED_VALUE"""),48605.0)</f>
        <v>48605</v>
      </c>
      <c r="V968" s="149">
        <f>IFERROR(__xludf.DUMMYFUNCTION("""COMPUTED_VALUE"""),48421.0)</f>
        <v>48421</v>
      </c>
      <c r="W968" t="str">
        <f>IFERROR(__xludf.DUMMYFUNCTION("""COMPUTED_VALUE"""),"ปลอดภัย")</f>
        <v>ปลอดภัย</v>
      </c>
      <c r="X968" t="str">
        <f>IFERROR(__xludf.DUMMYFUNCTION("""COMPUTED_VALUE"""),"Bangkok")</f>
        <v>Bangkok</v>
      </c>
      <c r="Y968" t="str">
        <f>IFERROR(__xludf.DUMMYFUNCTION("""COMPUTED_VALUE"""),"Bangna")</f>
        <v>Bangna</v>
      </c>
      <c r="Z968" t="str">
        <f>IFERROR(__xludf.DUMMYFUNCTION("""COMPUTED_VALUE"""),"061-560-7611")</f>
        <v>061-560-7611</v>
      </c>
      <c r="AA968" t="str">
        <f>IFERROR(__xludf.DUMMYFUNCTION("""COMPUTED_VALUE"""),"Aphinya Cheng (Mother)")</f>
        <v>Aphinya Cheng (Mother)</v>
      </c>
      <c r="AB968" t="str">
        <f>IFERROR(__xludf.DUMMYFUNCTION("""COMPUTED_VALUE"""),"jintanacheng@airasia.com")</f>
        <v>jintanacheng@airasia.com</v>
      </c>
    </row>
    <row r="969">
      <c r="AB969" t="str">
        <f>IFERROR(__xludf.DUMMYFUNCTION("""COMPUTED_VALUE"""),"")</f>
        <v/>
      </c>
    </row>
    <row r="970">
      <c r="A970">
        <f>IFERROR(__xludf.DUMMYFUNCTION("""COMPUTED_VALUE"""),1038750.0)</f>
        <v>1038750</v>
      </c>
      <c r="B970" t="str">
        <f>IFERROR(__xludf.DUMMYFUNCTION("""COMPUTED_VALUE"""),"Ms.")</f>
        <v>Ms.</v>
      </c>
      <c r="C970" t="str">
        <f>IFERROR(__xludf.DUMMYFUNCTION("""COMPUTED_VALUE"""),"Achiraya")</f>
        <v>Achiraya</v>
      </c>
      <c r="D970" t="str">
        <f>IFERROR(__xludf.DUMMYFUNCTION("""COMPUTED_VALUE"""),"Phutthachanyawong")</f>
        <v>Phutthachanyawong</v>
      </c>
      <c r="E970" t="str">
        <f>IFERROR(__xludf.DUMMYFUNCTION("""COMPUTED_VALUE"""),"Achiraya Phutthachanyawong")</f>
        <v>Achiraya Phutthachanyawong</v>
      </c>
      <c r="F970" t="str">
        <f>IFERROR(__xludf.DUMMYFUNCTION("""COMPUTED_VALUE"""),"นางสาว")</f>
        <v>นางสาว</v>
      </c>
      <c r="G970" t="str">
        <f>IFERROR(__xludf.DUMMYFUNCTION("""COMPUTED_VALUE"""),"อชิรญา")</f>
        <v>อชิรญา</v>
      </c>
      <c r="H970" t="str">
        <f>IFERROR(__xludf.DUMMYFUNCTION("""COMPUTED_VALUE"""),"พุทธจรรยาวงศ์")</f>
        <v>พุทธจรรยาวงศ์</v>
      </c>
      <c r="I970" t="str">
        <f>IFERROR(__xludf.DUMMYFUNCTION("""COMPUTED_VALUE"""),"อชิรญา พุทธจรรยาวงศ์")</f>
        <v>อชิรญา พุทธจรรยาวงศ์</v>
      </c>
      <c r="J970" t="str">
        <f>IFERROR(__xludf.DUMMYFUNCTION("""COMPUTED_VALUE"""),"Chi/ชิ")</f>
        <v>Chi/ชิ</v>
      </c>
      <c r="K970" t="str">
        <f>IFERROR(__xludf.DUMMYFUNCTION("""COMPUTED_VALUE"""),"Cabin Crew")</f>
        <v>Cabin Crew</v>
      </c>
      <c r="L970" t="str">
        <f>IFERROR(__xludf.DUMMYFUNCTION("""COMPUTED_VALUE"""),"DMK")</f>
        <v>DMK</v>
      </c>
      <c r="M970" s="145" t="str">
        <f>IFERROR(__xludf.DUMMYFUNCTION("""COMPUTED_VALUE"""),"Kor Home")</f>
        <v>Kor Home</v>
      </c>
      <c r="N970" t="str">
        <f>IFERROR(__xludf.DUMMYFUNCTION("""COMPUTED_VALUE"""),"Active")</f>
        <v>Active</v>
      </c>
      <c r="P970" s="155">
        <f>IFERROR(__xludf.DUMMYFUNCTION("""COMPUTED_VALUE"""),33636.0)</f>
        <v>33636</v>
      </c>
      <c r="Q970" s="146" t="str">
        <f>IFERROR(__xludf.DUMMYFUNCTION("""COMPUTED_VALUE"""),"082-7659022")</f>
        <v>082-7659022</v>
      </c>
      <c r="R970" s="147">
        <f>IFERROR(__xludf.DUMMYFUNCTION("""COMPUTED_VALUE"""),1.509901124313E12)</f>
        <v>1509901124313</v>
      </c>
      <c r="S970" t="str">
        <f>IFERROR(__xludf.DUMMYFUNCTION("""COMPUTED_VALUE"""),"AC8423204")</f>
        <v>AC8423204</v>
      </c>
      <c r="T970" s="148">
        <f>IFERROR(__xludf.DUMMYFUNCTION("""COMPUTED_VALUE"""),46114.0)</f>
        <v>46114</v>
      </c>
      <c r="U970" s="148">
        <f>IFERROR(__xludf.DUMMYFUNCTION("""COMPUTED_VALUE"""),49766.0)</f>
        <v>49766</v>
      </c>
      <c r="V970" s="149">
        <f>IFERROR(__xludf.DUMMYFUNCTION("""COMPUTED_VALUE"""),49583.0)</f>
        <v>49583</v>
      </c>
      <c r="W970" t="str">
        <f>IFERROR(__xludf.DUMMYFUNCTION("""COMPUTED_VALUE"""),"ปลอดภัย")</f>
        <v>ปลอดภัย</v>
      </c>
      <c r="X970" t="str">
        <f>IFERROR(__xludf.DUMMYFUNCTION("""COMPUTED_VALUE"""),"Chiang Mai Province")</f>
        <v>Chiang Mai Province</v>
      </c>
      <c r="Y970" t="str">
        <f>IFERROR(__xludf.DUMMYFUNCTION("""COMPUTED_VALUE"""),"Bangkok")</f>
        <v>Bangkok</v>
      </c>
      <c r="Z970" t="str">
        <f>IFERROR(__xludf.DUMMYFUNCTION("""COMPUTED_VALUE"""),"082-7659022")</f>
        <v>082-7659022</v>
      </c>
      <c r="AA970" t="str">
        <f>IFERROR(__xludf.DUMMYFUNCTION("""COMPUTED_VALUE"""),"นาง พอตา สุวรรณหล่อ Mother")</f>
        <v>นาง พอตา สุวรรณหล่อ Mother</v>
      </c>
      <c r="AB970" t="str">
        <f>IFERROR(__xludf.DUMMYFUNCTION("""COMPUTED_VALUE"""),"achirayaphutthachan@airasia.com")</f>
        <v>achirayaphutthachan@airasia.com</v>
      </c>
    </row>
    <row r="971">
      <c r="A971">
        <f>IFERROR(__xludf.DUMMYFUNCTION("""COMPUTED_VALUE"""),1038751.0)</f>
        <v>1038751</v>
      </c>
      <c r="B971" t="str">
        <f>IFERROR(__xludf.DUMMYFUNCTION("""COMPUTED_VALUE"""),"Ms.")</f>
        <v>Ms.</v>
      </c>
      <c r="C971" t="str">
        <f>IFERROR(__xludf.DUMMYFUNCTION("""COMPUTED_VALUE"""),"Donlaya")</f>
        <v>Donlaya</v>
      </c>
      <c r="D971" t="str">
        <f>IFERROR(__xludf.DUMMYFUNCTION("""COMPUTED_VALUE"""),"Promthep")</f>
        <v>Promthep</v>
      </c>
      <c r="E971" t="str">
        <f>IFERROR(__xludf.DUMMYFUNCTION("""COMPUTED_VALUE"""),"Donlaya Promthep")</f>
        <v>Donlaya Promthep</v>
      </c>
      <c r="F971" t="str">
        <f>IFERROR(__xludf.DUMMYFUNCTION("""COMPUTED_VALUE"""),"นางสาว")</f>
        <v>นางสาว</v>
      </c>
      <c r="G971" t="str">
        <f>IFERROR(__xludf.DUMMYFUNCTION("""COMPUTED_VALUE"""),"ดลยา")</f>
        <v>ดลยา</v>
      </c>
      <c r="H971" t="str">
        <f>IFERROR(__xludf.DUMMYFUNCTION("""COMPUTED_VALUE"""),"พรหมเทพ")</f>
        <v>พรหมเทพ</v>
      </c>
      <c r="I971" t="str">
        <f>IFERROR(__xludf.DUMMYFUNCTION("""COMPUTED_VALUE"""),"ดลยา พรหมเทพ")</f>
        <v>ดลยา พรหมเทพ</v>
      </c>
      <c r="J971" t="str">
        <f>IFERROR(__xludf.DUMMYFUNCTION("""COMPUTED_VALUE"""),"Faii / ฝ้าย")</f>
        <v>Faii / ฝ้าย</v>
      </c>
      <c r="K971" t="str">
        <f>IFERROR(__xludf.DUMMYFUNCTION("""COMPUTED_VALUE"""),"Cabin Crew")</f>
        <v>Cabin Crew</v>
      </c>
      <c r="L971" t="str">
        <f>IFERROR(__xludf.DUMMYFUNCTION("""COMPUTED_VALUE"""),"DMK")</f>
        <v>DMK</v>
      </c>
      <c r="M971" s="145" t="str">
        <f>IFERROR(__xludf.DUMMYFUNCTION("""COMPUTED_VALUE"""),"Up Home")</f>
        <v>Up Home</v>
      </c>
      <c r="N971" t="str">
        <f>IFERROR(__xludf.DUMMYFUNCTION("""COMPUTED_VALUE"""),"Active")</f>
        <v>Active</v>
      </c>
      <c r="P971" s="155">
        <f>IFERROR(__xludf.DUMMYFUNCTION("""COMPUTED_VALUE"""),33328.0)</f>
        <v>33328</v>
      </c>
      <c r="Q971" s="146" t="str">
        <f>IFERROR(__xludf.DUMMYFUNCTION("""COMPUTED_VALUE"""),"081-145-4323")</f>
        <v>081-145-4323</v>
      </c>
      <c r="R971" s="147">
        <f>IFERROR(__xludf.DUMMYFUNCTION("""COMPUTED_VALUE"""),1.520100089295E12)</f>
        <v>1520100089295</v>
      </c>
      <c r="S971" t="str">
        <f>IFERROR(__xludf.DUMMYFUNCTION("""COMPUTED_VALUE"""),"AC3981407")</f>
        <v>AC3981407</v>
      </c>
      <c r="T971" s="148">
        <f>IFERROR(__xludf.DUMMYFUNCTION("""COMPUTED_VALUE"""),44809.0)</f>
        <v>44809</v>
      </c>
      <c r="U971" s="148">
        <f>IFERROR(__xludf.DUMMYFUNCTION("""COMPUTED_VALUE"""),46634.0)</f>
        <v>46634</v>
      </c>
      <c r="V971" s="149">
        <f>IFERROR(__xludf.DUMMYFUNCTION("""COMPUTED_VALUE"""),46450.0)</f>
        <v>46450</v>
      </c>
      <c r="W971" t="str">
        <f>IFERROR(__xludf.DUMMYFUNCTION("""COMPUTED_VALUE"""),"ปลอดภัย")</f>
        <v>ปลอดภัย</v>
      </c>
      <c r="X971" t="str">
        <f>IFERROR(__xludf.DUMMYFUNCTION("""COMPUTED_VALUE"""),"Lampang Province")</f>
        <v>Lampang Province</v>
      </c>
      <c r="Y971" t="str">
        <f>IFERROR(__xludf.DUMMYFUNCTION("""COMPUTED_VALUE"""),"Bangkok")</f>
        <v>Bangkok</v>
      </c>
      <c r="Z971" t="str">
        <f>IFERROR(__xludf.DUMMYFUNCTION("""COMPUTED_VALUE"""),"081-762-9868")</f>
        <v>081-762-9868</v>
      </c>
      <c r="AA971" t="str">
        <f>IFERROR(__xludf.DUMMYFUNCTION("""COMPUTED_VALUE"""),"นางสาว รังสินี ณ.ลำปาง Mother")</f>
        <v>นางสาว รังสินี ณ.ลำปาง Mother</v>
      </c>
      <c r="AB971" t="str">
        <f>IFERROR(__xludf.DUMMYFUNCTION("""COMPUTED_VALUE"""),"donlayapromthep@airasia.com")</f>
        <v>donlayapromthep@airasia.com</v>
      </c>
    </row>
    <row r="972">
      <c r="A972">
        <f>IFERROR(__xludf.DUMMYFUNCTION("""COMPUTED_VALUE"""),1038748.0)</f>
        <v>1038748</v>
      </c>
      <c r="B972" t="str">
        <f>IFERROR(__xludf.DUMMYFUNCTION("""COMPUTED_VALUE"""),"Ms.")</f>
        <v>Ms.</v>
      </c>
      <c r="C972" t="str">
        <f>IFERROR(__xludf.DUMMYFUNCTION("""COMPUTED_VALUE"""),"Napasakorn")</f>
        <v>Napasakorn</v>
      </c>
      <c r="D972" t="str">
        <f>IFERROR(__xludf.DUMMYFUNCTION("""COMPUTED_VALUE"""),"Phaspipatkul")</f>
        <v>Phaspipatkul</v>
      </c>
      <c r="E972" t="str">
        <f>IFERROR(__xludf.DUMMYFUNCTION("""COMPUTED_VALUE"""),"Napasakorn Phaspipatkul")</f>
        <v>Napasakorn Phaspipatkul</v>
      </c>
      <c r="F972" t="str">
        <f>IFERROR(__xludf.DUMMYFUNCTION("""COMPUTED_VALUE"""),"นางสาว")</f>
        <v>นางสาว</v>
      </c>
      <c r="G972" t="str">
        <f>IFERROR(__xludf.DUMMYFUNCTION("""COMPUTED_VALUE"""),"นภัสกร")</f>
        <v>นภัสกร</v>
      </c>
      <c r="H972" t="str">
        <f>IFERROR(__xludf.DUMMYFUNCTION("""COMPUTED_VALUE"""),"ภาสน์พิพัฒน์กุล")</f>
        <v>ภาสน์พิพัฒน์กุล</v>
      </c>
      <c r="I972" t="str">
        <f>IFERROR(__xludf.DUMMYFUNCTION("""COMPUTED_VALUE"""),"นภัสกร ภาสน์พิพัฒน์กุล")</f>
        <v>นภัสกร ภาสน์พิพัฒน์กุล</v>
      </c>
      <c r="J972" t="str">
        <f>IFERROR(__xludf.DUMMYFUNCTION("""COMPUTED_VALUE"""),"Mork / หมอก")</f>
        <v>Mork / หมอก</v>
      </c>
      <c r="K972" t="str">
        <f>IFERROR(__xludf.DUMMYFUNCTION("""COMPUTED_VALUE"""),"Cabin Crew")</f>
        <v>Cabin Crew</v>
      </c>
      <c r="L972" t="str">
        <f>IFERROR(__xludf.DUMMYFUNCTION("""COMPUTED_VALUE"""),"DMK")</f>
        <v>DMK</v>
      </c>
      <c r="M972" s="145" t="str">
        <f>IFERROR(__xludf.DUMMYFUNCTION("""COMPUTED_VALUE"""),"Namfon Home")</f>
        <v>Namfon Home</v>
      </c>
      <c r="N972" t="str">
        <f>IFERROR(__xludf.DUMMYFUNCTION("""COMPUTED_VALUE"""),"Active")</f>
        <v>Active</v>
      </c>
      <c r="P972" s="155">
        <f>IFERROR(__xludf.DUMMYFUNCTION("""COMPUTED_VALUE"""),34694.0)</f>
        <v>34694</v>
      </c>
      <c r="Q972" s="146" t="str">
        <f>IFERROR(__xludf.DUMMYFUNCTION("""COMPUTED_VALUE"""),"083-090-4506")</f>
        <v>083-090-4506</v>
      </c>
      <c r="R972" s="147">
        <f>IFERROR(__xludf.DUMMYFUNCTION("""COMPUTED_VALUE"""),1.579900576865E12)</f>
        <v>1579900576865</v>
      </c>
      <c r="S972" t="str">
        <f>IFERROR(__xludf.DUMMYFUNCTION("""COMPUTED_VALUE"""),"AC3908951")</f>
        <v>AC3908951</v>
      </c>
      <c r="T972" s="148">
        <f>IFERROR(__xludf.DUMMYFUNCTION("""COMPUTED_VALUE"""),44799.0)</f>
        <v>44799</v>
      </c>
      <c r="U972" s="148">
        <f>IFERROR(__xludf.DUMMYFUNCTION("""COMPUTED_VALUE"""),48451.0)</f>
        <v>48451</v>
      </c>
      <c r="V972" s="149">
        <f>IFERROR(__xludf.DUMMYFUNCTION("""COMPUTED_VALUE"""),48269.0)</f>
        <v>48269</v>
      </c>
      <c r="W972" t="str">
        <f>IFERROR(__xludf.DUMMYFUNCTION("""COMPUTED_VALUE"""),"ปลอดภัย")</f>
        <v>ปลอดภัย</v>
      </c>
      <c r="X972" t="str">
        <f>IFERROR(__xludf.DUMMYFUNCTION("""COMPUTED_VALUE"""),"Chiang Rai Province")</f>
        <v>Chiang Rai Province</v>
      </c>
      <c r="Y972" t="str">
        <f>IFERROR(__xludf.DUMMYFUNCTION("""COMPUTED_VALUE"""),"Bangkok")</f>
        <v>Bangkok</v>
      </c>
      <c r="Z972" t="str">
        <f>IFERROR(__xludf.DUMMYFUNCTION("""COMPUTED_VALUE"""),"083-071-7003")</f>
        <v>083-071-7003</v>
      </c>
      <c r="AA972" t="str">
        <f>IFERROR(__xludf.DUMMYFUNCTION("""COMPUTED_VALUE"""),"นางฉันทนา ภาสน์พิพัฒน์กุล Mother")</f>
        <v>นางฉันทนา ภาสน์พิพัฒน์กุล Mother</v>
      </c>
      <c r="AB972" t="str">
        <f>IFERROR(__xludf.DUMMYFUNCTION("""COMPUTED_VALUE"""),"napasakornphaspipat@airasia.com")</f>
        <v>napasakornphaspipat@airasia.com</v>
      </c>
    </row>
    <row r="973">
      <c r="A973">
        <f>IFERROR(__xludf.DUMMYFUNCTION("""COMPUTED_VALUE"""),1038749.0)</f>
        <v>1038749</v>
      </c>
      <c r="B973" t="str">
        <f>IFERROR(__xludf.DUMMYFUNCTION("""COMPUTED_VALUE"""),"Ms.")</f>
        <v>Ms.</v>
      </c>
      <c r="C973" t="str">
        <f>IFERROR(__xludf.DUMMYFUNCTION("""COMPUTED_VALUE"""),"Sirapat")</f>
        <v>Sirapat</v>
      </c>
      <c r="D973" t="str">
        <f>IFERROR(__xludf.DUMMYFUNCTION("""COMPUTED_VALUE"""),"Subpiboonphon")</f>
        <v>Subpiboonphon</v>
      </c>
      <c r="E973" t="str">
        <f>IFERROR(__xludf.DUMMYFUNCTION("""COMPUTED_VALUE"""),"Sirapat Subpiboonphon")</f>
        <v>Sirapat Subpiboonphon</v>
      </c>
      <c r="F973" t="str">
        <f>IFERROR(__xludf.DUMMYFUNCTION("""COMPUTED_VALUE"""),"นางสาว")</f>
        <v>นางสาว</v>
      </c>
      <c r="G973" t="str">
        <f>IFERROR(__xludf.DUMMYFUNCTION("""COMPUTED_VALUE"""),"สิรภัทร")</f>
        <v>สิรภัทร</v>
      </c>
      <c r="H973" t="str">
        <f>IFERROR(__xludf.DUMMYFUNCTION("""COMPUTED_VALUE"""),"ทรัพย์พิบูลย์ผล")</f>
        <v>ทรัพย์พิบูลย์ผล</v>
      </c>
      <c r="I973" t="str">
        <f>IFERROR(__xludf.DUMMYFUNCTION("""COMPUTED_VALUE"""),"สิรภัทร ทรัพย์พิบูลย์ผล")</f>
        <v>สิรภัทร ทรัพย์พิบูลย์ผล</v>
      </c>
      <c r="J973" t="str">
        <f>IFERROR(__xludf.DUMMYFUNCTION("""COMPUTED_VALUE"""),"Mild / มายด์")</f>
        <v>Mild / มายด์</v>
      </c>
      <c r="K973" t="str">
        <f>IFERROR(__xludf.DUMMYFUNCTION("""COMPUTED_VALUE"""),"Cabin Crew")</f>
        <v>Cabin Crew</v>
      </c>
      <c r="L973" t="str">
        <f>IFERROR(__xludf.DUMMYFUNCTION("""COMPUTED_VALUE"""),"DMK")</f>
        <v>DMK</v>
      </c>
      <c r="M973" s="145" t="str">
        <f>IFERROR(__xludf.DUMMYFUNCTION("""COMPUTED_VALUE"""),"Um Home")</f>
        <v>Um Home</v>
      </c>
      <c r="N973" t="str">
        <f>IFERROR(__xludf.DUMMYFUNCTION("""COMPUTED_VALUE"""),"Active")</f>
        <v>Active</v>
      </c>
      <c r="O973" t="str">
        <f>IFERROR(__xludf.DUMMYFUNCTION("""COMPUTED_VALUE"""),"Chinese Speaking")</f>
        <v>Chinese Speaking</v>
      </c>
      <c r="P973" s="155">
        <f>IFERROR(__xludf.DUMMYFUNCTION("""COMPUTED_VALUE"""),34307.0)</f>
        <v>34307</v>
      </c>
      <c r="Q973" s="146" t="str">
        <f>IFERROR(__xludf.DUMMYFUNCTION("""COMPUTED_VALUE"""),"063-416-8884")</f>
        <v>063-416-8884</v>
      </c>
      <c r="R973" s="147">
        <f>IFERROR(__xludf.DUMMYFUNCTION("""COMPUTED_VALUE"""),1.101700143244E12)</f>
        <v>1101700143244</v>
      </c>
      <c r="S973" t="str">
        <f>IFERROR(__xludf.DUMMYFUNCTION("""COMPUTED_VALUE"""),"AC4915530")</f>
        <v>AC4915530</v>
      </c>
      <c r="T973" s="148">
        <f>IFERROR(__xludf.DUMMYFUNCTION("""COMPUTED_VALUE"""),45054.0)</f>
        <v>45054</v>
      </c>
      <c r="U973" s="148">
        <f>IFERROR(__xludf.DUMMYFUNCTION("""COMPUTED_VALUE"""),48706.0)</f>
        <v>48706</v>
      </c>
      <c r="V973" s="149">
        <f>IFERROR(__xludf.DUMMYFUNCTION("""COMPUTED_VALUE"""),48525.0)</f>
        <v>48525</v>
      </c>
      <c r="W973" t="str">
        <f>IFERROR(__xludf.DUMMYFUNCTION("""COMPUTED_VALUE"""),"ปลอดภัย")</f>
        <v>ปลอดภัย</v>
      </c>
      <c r="X973" t="str">
        <f>IFERROR(__xludf.DUMMYFUNCTION("""COMPUTED_VALUE"""),"Bangkok")</f>
        <v>Bangkok</v>
      </c>
      <c r="Y973" t="str">
        <f>IFERROR(__xludf.DUMMYFUNCTION("""COMPUTED_VALUE"""),"Bangkok")</f>
        <v>Bangkok</v>
      </c>
      <c r="Z973" t="str">
        <f>IFERROR(__xludf.DUMMYFUNCTION("""COMPUTED_VALUE"""),"085-133-4491")</f>
        <v>085-133-4491</v>
      </c>
      <c r="AA973" t="str">
        <f>IFERROR(__xludf.DUMMYFUNCTION("""COMPUTED_VALUE"""),"นายเกียรติกร ทรัพย์พิบูลย์ผล Father")</f>
        <v>นายเกียรติกร ทรัพย์พิบูลย์ผล Father</v>
      </c>
      <c r="AB973" t="str">
        <f>IFERROR(__xludf.DUMMYFUNCTION("""COMPUTED_VALUE"""),"sirapatsubpiboonphon@airasia.com")</f>
        <v>sirapatsubpiboonphon@airasia.com</v>
      </c>
    </row>
    <row r="974">
      <c r="A974">
        <f>IFERROR(__xludf.DUMMYFUNCTION("""COMPUTED_VALUE"""),1038747.0)</f>
        <v>1038747</v>
      </c>
      <c r="B974" t="str">
        <f>IFERROR(__xludf.DUMMYFUNCTION("""COMPUTED_VALUE"""),"Ms.")</f>
        <v>Ms.</v>
      </c>
      <c r="C974" t="str">
        <f>IFERROR(__xludf.DUMMYFUNCTION("""COMPUTED_VALUE"""),"Sunun")</f>
        <v>Sunun</v>
      </c>
      <c r="D974" t="str">
        <f>IFERROR(__xludf.DUMMYFUNCTION("""COMPUTED_VALUE"""),"Susereedumrong")</f>
        <v>Susereedumrong</v>
      </c>
      <c r="E974" t="str">
        <f>IFERROR(__xludf.DUMMYFUNCTION("""COMPUTED_VALUE"""),"Sunun Susereedumrong")</f>
        <v>Sunun Susereedumrong</v>
      </c>
      <c r="F974" t="str">
        <f>IFERROR(__xludf.DUMMYFUNCTION("""COMPUTED_VALUE"""),"นางสาว")</f>
        <v>นางสาว</v>
      </c>
      <c r="G974" t="str">
        <f>IFERROR(__xludf.DUMMYFUNCTION("""COMPUTED_VALUE"""),"สุนันท์")</f>
        <v>สุนันท์</v>
      </c>
      <c r="H974" t="str">
        <f>IFERROR(__xludf.DUMMYFUNCTION("""COMPUTED_VALUE"""),"สู่เสรีดำรง")</f>
        <v>สู่เสรีดำรง</v>
      </c>
      <c r="I974" t="str">
        <f>IFERROR(__xludf.DUMMYFUNCTION("""COMPUTED_VALUE"""),"สุนันท์ สู่เสรีดำรง")</f>
        <v>สุนันท์ สู่เสรีดำรง</v>
      </c>
      <c r="J974" t="str">
        <f>IFERROR(__xludf.DUMMYFUNCTION("""COMPUTED_VALUE"""),"Mew / มิว")</f>
        <v>Mew / มิว</v>
      </c>
      <c r="K974" t="str">
        <f>IFERROR(__xludf.DUMMYFUNCTION("""COMPUTED_VALUE"""),"Cabin Crew")</f>
        <v>Cabin Crew</v>
      </c>
      <c r="L974" t="str">
        <f>IFERROR(__xludf.DUMMYFUNCTION("""COMPUTED_VALUE"""),"DMK")</f>
        <v>DMK</v>
      </c>
      <c r="M974" s="145" t="str">
        <f>IFERROR(__xludf.DUMMYFUNCTION("""COMPUTED_VALUE"""),"Kor Home")</f>
        <v>Kor Home</v>
      </c>
      <c r="N974" t="str">
        <f>IFERROR(__xludf.DUMMYFUNCTION("""COMPUTED_VALUE"""),"Active")</f>
        <v>Active</v>
      </c>
      <c r="O974" t="str">
        <f>IFERROR(__xludf.DUMMYFUNCTION("""COMPUTED_VALUE"""),"Chinese Speaking")</f>
        <v>Chinese Speaking</v>
      </c>
      <c r="P974" s="155">
        <f>IFERROR(__xludf.DUMMYFUNCTION("""COMPUTED_VALUE"""),34908.0)</f>
        <v>34908</v>
      </c>
      <c r="Q974" s="146">
        <f>IFERROR(__xludf.DUMMYFUNCTION("""COMPUTED_VALUE"""),9.59030726E8)</f>
        <v>959030726</v>
      </c>
      <c r="R974" s="147">
        <f>IFERROR(__xludf.DUMMYFUNCTION("""COMPUTED_VALUE"""),1.102700494901E12)</f>
        <v>1102700494901</v>
      </c>
      <c r="S974" t="str">
        <f>IFERROR(__xludf.DUMMYFUNCTION("""COMPUTED_VALUE"""),"AC3693908")</f>
        <v>AC3693908</v>
      </c>
      <c r="T974" s="148">
        <f>IFERROR(__xludf.DUMMYFUNCTION("""COMPUTED_VALUE"""),44769.0)</f>
        <v>44769</v>
      </c>
      <c r="U974" s="148">
        <f>IFERROR(__xludf.DUMMYFUNCTION("""COMPUTED_VALUE"""),48421.0)</f>
        <v>48421</v>
      </c>
      <c r="V974" s="149">
        <f>IFERROR(__xludf.DUMMYFUNCTION("""COMPUTED_VALUE"""),48239.0)</f>
        <v>48239</v>
      </c>
      <c r="W974" t="str">
        <f>IFERROR(__xludf.DUMMYFUNCTION("""COMPUTED_VALUE"""),"ปลอดภัย")</f>
        <v>ปลอดภัย</v>
      </c>
      <c r="X974" t="str">
        <f>IFERROR(__xludf.DUMMYFUNCTION("""COMPUTED_VALUE"""),"Bangkok")</f>
        <v>Bangkok</v>
      </c>
      <c r="Y974" t="str">
        <f>IFERROR(__xludf.DUMMYFUNCTION("""COMPUTED_VALUE"""),"Bangkok")</f>
        <v>Bangkok</v>
      </c>
      <c r="Z974" t="str">
        <f>IFERROR(__xludf.DUMMYFUNCTION("""COMPUTED_VALUE"""),"097-246-7064")</f>
        <v>097-246-7064</v>
      </c>
      <c r="AA974" t="str">
        <f>IFERROR(__xludf.DUMMYFUNCTION("""COMPUTED_VALUE"""),"นางสาว ศุภลักษณ์ สู่เสรีดำรง Sister")</f>
        <v>นางสาว ศุภลักษณ์ สู่เสรีดำรง Sister</v>
      </c>
      <c r="AB974" t="str">
        <f>IFERROR(__xludf.DUMMYFUNCTION("""COMPUTED_VALUE"""),"sununsusereedumrong@airasia.com")</f>
        <v>sununsusereedumrong@airasia.com</v>
      </c>
    </row>
    <row r="975">
      <c r="A975">
        <f>IFERROR(__xludf.DUMMYFUNCTION("""COMPUTED_VALUE"""),1038746.0)</f>
        <v>1038746</v>
      </c>
      <c r="B975" t="str">
        <f>IFERROR(__xludf.DUMMYFUNCTION("""COMPUTED_VALUE"""),"Ms.")</f>
        <v>Ms.</v>
      </c>
      <c r="C975" t="str">
        <f>IFERROR(__xludf.DUMMYFUNCTION("""COMPUTED_VALUE"""),"Supakorn")</f>
        <v>Supakorn</v>
      </c>
      <c r="D975" t="str">
        <f>IFERROR(__xludf.DUMMYFUNCTION("""COMPUTED_VALUE"""),"Ekataksin")</f>
        <v>Ekataksin</v>
      </c>
      <c r="E975" t="str">
        <f>IFERROR(__xludf.DUMMYFUNCTION("""COMPUTED_VALUE"""),"Supakorn Ekataksin")</f>
        <v>Supakorn Ekataksin</v>
      </c>
      <c r="F975" t="str">
        <f>IFERROR(__xludf.DUMMYFUNCTION("""COMPUTED_VALUE"""),"นางสาว")</f>
        <v>นางสาว</v>
      </c>
      <c r="G975" t="str">
        <f>IFERROR(__xludf.DUMMYFUNCTION("""COMPUTED_VALUE"""),"ศุภกร")</f>
        <v>ศุภกร</v>
      </c>
      <c r="H975" t="str">
        <f>IFERROR(__xludf.DUMMYFUNCTION("""COMPUTED_VALUE"""),"เอกทักษิณ")</f>
        <v>เอกทักษิณ</v>
      </c>
      <c r="I975" t="str">
        <f>IFERROR(__xludf.DUMMYFUNCTION("""COMPUTED_VALUE"""),"ศุภกร เอกทักษิณ")</f>
        <v>ศุภกร เอกทักษิณ</v>
      </c>
      <c r="J975" t="str">
        <f>IFERROR(__xludf.DUMMYFUNCTION("""COMPUTED_VALUE"""),"พีซ")</f>
        <v>พีซ</v>
      </c>
      <c r="K975" t="str">
        <f>IFERROR(__xludf.DUMMYFUNCTION("""COMPUTED_VALUE"""),"Cabin Crew")</f>
        <v>Cabin Crew</v>
      </c>
      <c r="L975" t="str">
        <f>IFERROR(__xludf.DUMMYFUNCTION("""COMPUTED_VALUE"""),"DMK")</f>
        <v>DMK</v>
      </c>
      <c r="M975" s="145" t="str">
        <f>IFERROR(__xludf.DUMMYFUNCTION("""COMPUTED_VALUE"""),"Toffy Home")</f>
        <v>Toffy Home</v>
      </c>
      <c r="N975" t="str">
        <f>IFERROR(__xludf.DUMMYFUNCTION("""COMPUTED_VALUE"""),"Active")</f>
        <v>Active</v>
      </c>
      <c r="O975" t="str">
        <f>IFERROR(__xludf.DUMMYFUNCTION("""COMPUTED_VALUE"""),"Chinese Speaking")</f>
        <v>Chinese Speaking</v>
      </c>
      <c r="P975" s="155">
        <f>IFERROR(__xludf.DUMMYFUNCTION("""COMPUTED_VALUE"""),34095.0)</f>
        <v>34095</v>
      </c>
      <c r="Q975" s="146" t="str">
        <f>IFERROR(__xludf.DUMMYFUNCTION("""COMPUTED_VALUE"""),"096-196-3593")</f>
        <v>096-196-3593</v>
      </c>
      <c r="R975" s="147">
        <f>IFERROR(__xludf.DUMMYFUNCTION("""COMPUTED_VALUE"""),1.102700264468E12)</f>
        <v>1102700264468</v>
      </c>
      <c r="S975" t="str">
        <f>IFERROR(__xludf.DUMMYFUNCTION("""COMPUTED_VALUE"""),"ACC5192885")</f>
        <v>ACC5192885</v>
      </c>
      <c r="T975" s="148">
        <f>IFERROR(__xludf.DUMMYFUNCTION("""COMPUTED_VALUE"""),45320.0)</f>
        <v>45320</v>
      </c>
      <c r="U975" s="148">
        <f>IFERROR(__xludf.DUMMYFUNCTION("""COMPUTED_VALUE"""),48972.0)</f>
        <v>48972</v>
      </c>
      <c r="V975" s="149">
        <f>IFERROR(__xludf.DUMMYFUNCTION("""COMPUTED_VALUE"""),48788.0)</f>
        <v>48788</v>
      </c>
      <c r="W975" t="str">
        <f>IFERROR(__xludf.DUMMYFUNCTION("""COMPUTED_VALUE"""),"ปลอดภัย")</f>
        <v>ปลอดภัย</v>
      </c>
      <c r="X975" t="str">
        <f>IFERROR(__xludf.DUMMYFUNCTION("""COMPUTED_VALUE"""),"Bangkok")</f>
        <v>Bangkok</v>
      </c>
      <c r="Y975" t="str">
        <f>IFERROR(__xludf.DUMMYFUNCTION("""COMPUTED_VALUE"""),"SUPHAN BURI")</f>
        <v>SUPHAN BURI</v>
      </c>
      <c r="Z975" t="str">
        <f>IFERROR(__xludf.DUMMYFUNCTION("""COMPUTED_VALUE"""),"089-919-8730")</f>
        <v>089-919-8730</v>
      </c>
      <c r="AA975" t="str">
        <f>IFERROR(__xludf.DUMMYFUNCTION("""COMPUTED_VALUE"""),"นางสาวภัทรภา เอกทักษิณ Mother")</f>
        <v>นางสาวภัทรภา เอกทักษิณ Mother</v>
      </c>
      <c r="AB975" t="str">
        <f>IFERROR(__xludf.DUMMYFUNCTION("""COMPUTED_VALUE"""),"supakornekataksin@airasia.com")</f>
        <v>supakornekataksin@airasia.com</v>
      </c>
    </row>
    <row r="976">
      <c r="A976">
        <f>IFERROR(__xludf.DUMMYFUNCTION("""COMPUTED_VALUE"""),1038744.0)</f>
        <v>1038744</v>
      </c>
      <c r="B976" t="str">
        <f>IFERROR(__xludf.DUMMYFUNCTION("""COMPUTED_VALUE"""),"Ms.")</f>
        <v>Ms.</v>
      </c>
      <c r="C976" t="str">
        <f>IFERROR(__xludf.DUMMYFUNCTION("""COMPUTED_VALUE"""),"Panatda")</f>
        <v>Panatda</v>
      </c>
      <c r="D976" t="str">
        <f>IFERROR(__xludf.DUMMYFUNCTION("""COMPUTED_VALUE"""),"Sukkhum")</f>
        <v>Sukkhum</v>
      </c>
      <c r="E976" t="str">
        <f>IFERROR(__xludf.DUMMYFUNCTION("""COMPUTED_VALUE"""),"Panatda Sukkhum")</f>
        <v>Panatda Sukkhum</v>
      </c>
      <c r="F976" t="str">
        <f>IFERROR(__xludf.DUMMYFUNCTION("""COMPUTED_VALUE"""),"นางสาว")</f>
        <v>นางสาว</v>
      </c>
      <c r="G976" t="str">
        <f>IFERROR(__xludf.DUMMYFUNCTION("""COMPUTED_VALUE"""),"ปนัดดา")</f>
        <v>ปนัดดา</v>
      </c>
      <c r="H976" t="str">
        <f>IFERROR(__xludf.DUMMYFUNCTION("""COMPUTED_VALUE"""),"สุขคุ้ม")</f>
        <v>สุขคุ้ม</v>
      </c>
      <c r="I976" t="str">
        <f>IFERROR(__xludf.DUMMYFUNCTION("""COMPUTED_VALUE"""),"ปนัดดา สุขคุ้ม")</f>
        <v>ปนัดดา สุขคุ้ม</v>
      </c>
      <c r="J976" t="str">
        <f>IFERROR(__xludf.DUMMYFUNCTION("""COMPUTED_VALUE"""),"New / นิว")</f>
        <v>New / นิว</v>
      </c>
      <c r="K976" t="str">
        <f>IFERROR(__xludf.DUMMYFUNCTION("""COMPUTED_VALUE"""),"Cabin Crew")</f>
        <v>Cabin Crew</v>
      </c>
      <c r="L976" t="str">
        <f>IFERROR(__xludf.DUMMYFUNCTION("""COMPUTED_VALUE"""),"DMK")</f>
        <v>DMK</v>
      </c>
      <c r="M976" s="145" t="str">
        <f>IFERROR(__xludf.DUMMYFUNCTION("""COMPUTED_VALUE"""),"Um Home")</f>
        <v>Um Home</v>
      </c>
      <c r="N976" t="str">
        <f>IFERROR(__xludf.DUMMYFUNCTION("""COMPUTED_VALUE"""),"Active")</f>
        <v>Active</v>
      </c>
      <c r="P976" s="155">
        <f>IFERROR(__xludf.DUMMYFUNCTION("""COMPUTED_VALUE"""),33489.0)</f>
        <v>33489</v>
      </c>
      <c r="Q976" s="146" t="str">
        <f>IFERROR(__xludf.DUMMYFUNCTION("""COMPUTED_VALUE"""),"087-5698048")</f>
        <v>087-5698048</v>
      </c>
      <c r="R976" s="147">
        <f>IFERROR(__xludf.DUMMYFUNCTION("""COMPUTED_VALUE"""),1.230409059246E12)</f>
        <v>1230409059246</v>
      </c>
      <c r="S976" t="str">
        <f>IFERROR(__xludf.DUMMYFUNCTION("""COMPUTED_VALUE"""),"AC6132499")</f>
        <v>AC6132499</v>
      </c>
      <c r="T976" s="148">
        <f>IFERROR(__xludf.DUMMYFUNCTION("""COMPUTED_VALUE"""),45285.0)</f>
        <v>45285</v>
      </c>
      <c r="U976" s="148">
        <f>IFERROR(__xludf.DUMMYFUNCTION("""COMPUTED_VALUE"""),47111.0)</f>
        <v>47111</v>
      </c>
      <c r="V976" s="149">
        <f>IFERROR(__xludf.DUMMYFUNCTION("""COMPUTED_VALUE"""),46928.0)</f>
        <v>46928</v>
      </c>
      <c r="W976" t="str">
        <f>IFERROR(__xludf.DUMMYFUNCTION("""COMPUTED_VALUE"""),"ปลอดภัย")</f>
        <v>ปลอดภัย</v>
      </c>
      <c r="X976" t="str">
        <f>IFERROR(__xludf.DUMMYFUNCTION("""COMPUTED_VALUE"""),"Trat Province")</f>
        <v>Trat Province</v>
      </c>
      <c r="Y976" t="str">
        <f>IFERROR(__xludf.DUMMYFUNCTION("""COMPUTED_VALUE"""),"Bangkok")</f>
        <v>Bangkok</v>
      </c>
      <c r="Z976" t="str">
        <f>IFERROR(__xludf.DUMMYFUNCTION("""COMPUTED_VALUE"""),"089-6359003")</f>
        <v>089-6359003</v>
      </c>
      <c r="AA976" t="str">
        <f>IFERROR(__xludf.DUMMYFUNCTION("""COMPUTED_VALUE"""),"นางสาวศศิธร ทัดโท Mother")</f>
        <v>นางสาวศศิธร ทัดโท Mother</v>
      </c>
      <c r="AB976" t="str">
        <f>IFERROR(__xludf.DUMMYFUNCTION("""COMPUTED_VALUE"""),"panatdasukkhum@airasia.com")</f>
        <v>panatdasukkhum@airasia.com</v>
      </c>
    </row>
    <row r="977">
      <c r="A977">
        <f>IFERROR(__xludf.DUMMYFUNCTION("""COMPUTED_VALUE"""),1038743.0)</f>
        <v>1038743</v>
      </c>
      <c r="B977" t="str">
        <f>IFERROR(__xludf.DUMMYFUNCTION("""COMPUTED_VALUE"""),"Ms.")</f>
        <v>Ms.</v>
      </c>
      <c r="C977" t="str">
        <f>IFERROR(__xludf.DUMMYFUNCTION("""COMPUTED_VALUE"""),"Patsara")</f>
        <v>Patsara</v>
      </c>
      <c r="D977" t="str">
        <f>IFERROR(__xludf.DUMMYFUNCTION("""COMPUTED_VALUE"""),"Panlers")</f>
        <v>Panlers</v>
      </c>
      <c r="E977" t="str">
        <f>IFERROR(__xludf.DUMMYFUNCTION("""COMPUTED_VALUE"""),"Patsara Panlers")</f>
        <v>Patsara Panlers</v>
      </c>
      <c r="F977" t="str">
        <f>IFERROR(__xludf.DUMMYFUNCTION("""COMPUTED_VALUE"""),"นางสาว")</f>
        <v>นางสาว</v>
      </c>
      <c r="G977" t="str">
        <f>IFERROR(__xludf.DUMMYFUNCTION("""COMPUTED_VALUE"""),"ภัสสรา")</f>
        <v>ภัสสรา</v>
      </c>
      <c r="H977" t="str">
        <f>IFERROR(__xludf.DUMMYFUNCTION("""COMPUTED_VALUE"""),"ปานเลิศ")</f>
        <v>ปานเลิศ</v>
      </c>
      <c r="I977" t="str">
        <f>IFERROR(__xludf.DUMMYFUNCTION("""COMPUTED_VALUE"""),"ภัสสรา ปานเลิศ")</f>
        <v>ภัสสรา ปานเลิศ</v>
      </c>
      <c r="J977" t="str">
        <f>IFERROR(__xludf.DUMMYFUNCTION("""COMPUTED_VALUE"""),"Ploy / พลอย")</f>
        <v>Ploy / พลอย</v>
      </c>
      <c r="K977" t="str">
        <f>IFERROR(__xludf.DUMMYFUNCTION("""COMPUTED_VALUE"""),"Cabin Crew")</f>
        <v>Cabin Crew</v>
      </c>
      <c r="L977" t="str">
        <f>IFERROR(__xludf.DUMMYFUNCTION("""COMPUTED_VALUE"""),"DMK")</f>
        <v>DMK</v>
      </c>
      <c r="M977" s="145" t="str">
        <f>IFERROR(__xludf.DUMMYFUNCTION("""COMPUTED_VALUE"""),"Namfon Home")</f>
        <v>Namfon Home</v>
      </c>
      <c r="N977" t="str">
        <f>IFERROR(__xludf.DUMMYFUNCTION("""COMPUTED_VALUE"""),"Active")</f>
        <v>Active</v>
      </c>
      <c r="P977" s="155">
        <f>IFERROR(__xludf.DUMMYFUNCTION("""COMPUTED_VALUE"""),33878.0)</f>
        <v>33878</v>
      </c>
      <c r="Q977" s="146" t="str">
        <f>IFERROR(__xludf.DUMMYFUNCTION("""COMPUTED_VALUE"""),"085-1177410")</f>
        <v>085-1177410</v>
      </c>
      <c r="R977" s="147">
        <f>IFERROR(__xludf.DUMMYFUNCTION("""COMPUTED_VALUE"""),1.200900137114E12)</f>
        <v>1200900137114</v>
      </c>
      <c r="S977" t="str">
        <f>IFERROR(__xludf.DUMMYFUNCTION("""COMPUTED_VALUE"""),"AD0021071")</f>
        <v>AD0021071</v>
      </c>
      <c r="T977" s="148">
        <f>IFERROR(__xludf.DUMMYFUNCTION("""COMPUTED_VALUE"""),44844.0)</f>
        <v>44844</v>
      </c>
      <c r="U977" s="148">
        <f>IFERROR(__xludf.DUMMYFUNCTION("""COMPUTED_VALUE"""),48496.0)</f>
        <v>48496</v>
      </c>
      <c r="V977" s="149">
        <f>IFERROR(__xludf.DUMMYFUNCTION("""COMPUTED_VALUE"""),48313.0)</f>
        <v>48313</v>
      </c>
      <c r="W977" t="str">
        <f>IFERROR(__xludf.DUMMYFUNCTION("""COMPUTED_VALUE"""),"ปลอดภัย")</f>
        <v>ปลอดภัย</v>
      </c>
      <c r="X977" t="str">
        <f>IFERROR(__xludf.DUMMYFUNCTION("""COMPUTED_VALUE"""),"Chonburi Province")</f>
        <v>Chonburi Province</v>
      </c>
      <c r="Y977" t="str">
        <f>IFERROR(__xludf.DUMMYFUNCTION("""COMPUTED_VALUE"""),"CHON BURI")</f>
        <v>CHON BURI</v>
      </c>
      <c r="Z977" t="str">
        <f>IFERROR(__xludf.DUMMYFUNCTION("""COMPUTED_VALUE"""),"086-1581858")</f>
        <v>086-1581858</v>
      </c>
      <c r="AA977" t="str">
        <f>IFERROR(__xludf.DUMMYFUNCTION("""COMPUTED_VALUE"""),"นาย สมศักดิ์ ปานเลิศ Father")</f>
        <v>นาย สมศักดิ์ ปานเลิศ Father</v>
      </c>
      <c r="AB977" t="str">
        <f>IFERROR(__xludf.DUMMYFUNCTION("""COMPUTED_VALUE"""),"patsarapanlers@airasia.com")</f>
        <v>patsarapanlers@airasia.com</v>
      </c>
    </row>
    <row r="978">
      <c r="A978">
        <f>IFERROR(__xludf.DUMMYFUNCTION("""COMPUTED_VALUE"""),1038742.0)</f>
        <v>1038742</v>
      </c>
      <c r="B978" t="str">
        <f>IFERROR(__xludf.DUMMYFUNCTION("""COMPUTED_VALUE"""),"Ms.")</f>
        <v>Ms.</v>
      </c>
      <c r="C978" t="str">
        <f>IFERROR(__xludf.DUMMYFUNCTION("""COMPUTED_VALUE"""),"Sudarat")</f>
        <v>Sudarat</v>
      </c>
      <c r="D978" t="str">
        <f>IFERROR(__xludf.DUMMYFUNCTION("""COMPUTED_VALUE"""),"Saktawin")</f>
        <v>Saktawin</v>
      </c>
      <c r="E978" t="str">
        <f>IFERROR(__xludf.DUMMYFUNCTION("""COMPUTED_VALUE"""),"Sudarat Saktawin")</f>
        <v>Sudarat Saktawin</v>
      </c>
      <c r="F978" t="str">
        <f>IFERROR(__xludf.DUMMYFUNCTION("""COMPUTED_VALUE"""),"นางสาว")</f>
        <v>นางสาว</v>
      </c>
      <c r="G978" t="str">
        <f>IFERROR(__xludf.DUMMYFUNCTION("""COMPUTED_VALUE"""),"สุดารัตน์")</f>
        <v>สุดารัตน์</v>
      </c>
      <c r="H978" t="str">
        <f>IFERROR(__xludf.DUMMYFUNCTION("""COMPUTED_VALUE"""),"สักเทวิน")</f>
        <v>สักเทวิน</v>
      </c>
      <c r="I978" t="str">
        <f>IFERROR(__xludf.DUMMYFUNCTION("""COMPUTED_VALUE"""),"สุดารัตน์ สักเทวิน")</f>
        <v>สุดารัตน์ สักเทวิน</v>
      </c>
      <c r="J978" t="str">
        <f>IFERROR(__xludf.DUMMYFUNCTION("""COMPUTED_VALUE"""),"ลูกหนู")</f>
        <v>ลูกหนู</v>
      </c>
      <c r="K978" t="str">
        <f>IFERROR(__xludf.DUMMYFUNCTION("""COMPUTED_VALUE"""),"Cabin Crew")</f>
        <v>Cabin Crew</v>
      </c>
      <c r="L978" t="str">
        <f>IFERROR(__xludf.DUMMYFUNCTION("""COMPUTED_VALUE"""),"DMK")</f>
        <v>DMK</v>
      </c>
      <c r="M978" s="145" t="str">
        <f>IFERROR(__xludf.DUMMYFUNCTION("""COMPUTED_VALUE"""),"Nhui Home")</f>
        <v>Nhui Home</v>
      </c>
      <c r="N978" t="str">
        <f>IFERROR(__xludf.DUMMYFUNCTION("""COMPUTED_VALUE"""),"Active")</f>
        <v>Active</v>
      </c>
      <c r="O978" t="str">
        <f>IFERROR(__xludf.DUMMYFUNCTION("""COMPUTED_VALUE"""),"Chinese Speaking")</f>
        <v>Chinese Speaking</v>
      </c>
      <c r="P978" s="155">
        <f>IFERROR(__xludf.DUMMYFUNCTION("""COMPUTED_VALUE"""),33341.0)</f>
        <v>33341</v>
      </c>
      <c r="Q978" s="146">
        <f>IFERROR(__xludf.DUMMYFUNCTION("""COMPUTED_VALUE"""),9.89569155E8)</f>
        <v>989569155</v>
      </c>
      <c r="R978" s="147">
        <f>IFERROR(__xludf.DUMMYFUNCTION("""COMPUTED_VALUE"""),1.100701338366E12)</f>
        <v>1100701338366</v>
      </c>
      <c r="S978" t="str">
        <f>IFERROR(__xludf.DUMMYFUNCTION("""COMPUTED_VALUE"""),"AC4495866")</f>
        <v>AC4495866</v>
      </c>
      <c r="T978" s="148">
        <f>IFERROR(__xludf.DUMMYFUNCTION("""COMPUTED_VALUE"""),44992.0)</f>
        <v>44992</v>
      </c>
      <c r="U978" s="148">
        <f>IFERROR(__xludf.DUMMYFUNCTION("""COMPUTED_VALUE"""),48644.0)</f>
        <v>48644</v>
      </c>
      <c r="V978" s="149">
        <f>IFERROR(__xludf.DUMMYFUNCTION("""COMPUTED_VALUE"""),48463.0)</f>
        <v>48463</v>
      </c>
      <c r="W978" t="str">
        <f>IFERROR(__xludf.DUMMYFUNCTION("""COMPUTED_VALUE"""),"ปลอดภัย")</f>
        <v>ปลอดภัย</v>
      </c>
      <c r="X978" t="str">
        <f>IFERROR(__xludf.DUMMYFUNCTION("""COMPUTED_VALUE"""),"Bangkok")</f>
        <v>Bangkok</v>
      </c>
      <c r="Y978" t="str">
        <f>IFERROR(__xludf.DUMMYFUNCTION("""COMPUTED_VALUE"""),"PATHUMTANI")</f>
        <v>PATHUMTANI</v>
      </c>
      <c r="Z978" t="str">
        <f>IFERROR(__xludf.DUMMYFUNCTION("""COMPUTED_VALUE"""),"093-854-4454 ")</f>
        <v>093-854-4454 </v>
      </c>
      <c r="AA978" t="str">
        <f>IFERROR(__xludf.DUMMYFUNCTION("""COMPUTED_VALUE"""),"นางสาวเบญจมาศ แสงกุล Mother")</f>
        <v>นางสาวเบญจมาศ แสงกุล Mother</v>
      </c>
      <c r="AB978" t="str">
        <f>IFERROR(__xludf.DUMMYFUNCTION("""COMPUTED_VALUE"""),"sudaratsaktawin@airasia.com")</f>
        <v>sudaratsaktawin@airasia.com</v>
      </c>
    </row>
    <row r="979">
      <c r="A979">
        <f>IFERROR(__xludf.DUMMYFUNCTION("""COMPUTED_VALUE"""),1038741.0)</f>
        <v>1038741</v>
      </c>
      <c r="B979" t="str">
        <f>IFERROR(__xludf.DUMMYFUNCTION("""COMPUTED_VALUE"""),"Ms.")</f>
        <v>Ms.</v>
      </c>
      <c r="C979" t="str">
        <f>IFERROR(__xludf.DUMMYFUNCTION("""COMPUTED_VALUE"""),"Sureerat")</f>
        <v>Sureerat</v>
      </c>
      <c r="D979" t="str">
        <f>IFERROR(__xludf.DUMMYFUNCTION("""COMPUTED_VALUE"""),"Supsomran")</f>
        <v>Supsomran</v>
      </c>
      <c r="E979" t="str">
        <f>IFERROR(__xludf.DUMMYFUNCTION("""COMPUTED_VALUE"""),"Sureerat Supsomran")</f>
        <v>Sureerat Supsomran</v>
      </c>
      <c r="F979" t="str">
        <f>IFERROR(__xludf.DUMMYFUNCTION("""COMPUTED_VALUE"""),"นางสาว")</f>
        <v>นางสาว</v>
      </c>
      <c r="G979" t="str">
        <f>IFERROR(__xludf.DUMMYFUNCTION("""COMPUTED_VALUE"""),"สุรีรัตน์")</f>
        <v>สุรีรัตน์</v>
      </c>
      <c r="H979" t="str">
        <f>IFERROR(__xludf.DUMMYFUNCTION("""COMPUTED_VALUE"""),"ทรัพย์สำราญ")</f>
        <v>ทรัพย์สำราญ</v>
      </c>
      <c r="I979" t="str">
        <f>IFERROR(__xludf.DUMMYFUNCTION("""COMPUTED_VALUE"""),"สุรีรัตน์ ทรัพย์สำราญ")</f>
        <v>สุรีรัตน์ ทรัพย์สำราญ</v>
      </c>
      <c r="J979" t="str">
        <f>IFERROR(__xludf.DUMMYFUNCTION("""COMPUTED_VALUE"""),"กุ๊งกิ๊ง")</f>
        <v>กุ๊งกิ๊ง</v>
      </c>
      <c r="K979" t="str">
        <f>IFERROR(__xludf.DUMMYFUNCTION("""COMPUTED_VALUE"""),"Cabin Crew")</f>
        <v>Cabin Crew</v>
      </c>
      <c r="L979" t="str">
        <f>IFERROR(__xludf.DUMMYFUNCTION("""COMPUTED_VALUE"""),"DMK")</f>
        <v>DMK</v>
      </c>
      <c r="M979" s="145" t="str">
        <f>IFERROR(__xludf.DUMMYFUNCTION("""COMPUTED_VALUE"""),"Nhui Home")</f>
        <v>Nhui Home</v>
      </c>
      <c r="N979" t="str">
        <f>IFERROR(__xludf.DUMMYFUNCTION("""COMPUTED_VALUE"""),"Active")</f>
        <v>Active</v>
      </c>
      <c r="P979" s="155">
        <f>IFERROR(__xludf.DUMMYFUNCTION("""COMPUTED_VALUE"""),33711.0)</f>
        <v>33711</v>
      </c>
      <c r="Q979" s="146" t="str">
        <f>IFERROR(__xludf.DUMMYFUNCTION("""COMPUTED_VALUE"""),"097-142-1151")</f>
        <v>097-142-1151</v>
      </c>
      <c r="R979" s="147">
        <f>IFERROR(__xludf.DUMMYFUNCTION("""COMPUTED_VALUE"""),1.460700181321E12)</f>
        <v>1460700181321</v>
      </c>
      <c r="S979" t="str">
        <f>IFERROR(__xludf.DUMMYFUNCTION("""COMPUTED_VALUE"""),"AC4596734")</f>
        <v>AC4596734</v>
      </c>
      <c r="T979" s="148">
        <f>IFERROR(__xludf.DUMMYFUNCTION("""COMPUTED_VALUE"""),44996.0)</f>
        <v>44996</v>
      </c>
      <c r="U979" s="148">
        <f>IFERROR(__xludf.DUMMYFUNCTION("""COMPUTED_VALUE"""),48648.0)</f>
        <v>48648</v>
      </c>
      <c r="V979" s="149">
        <f>IFERROR(__xludf.DUMMYFUNCTION("""COMPUTED_VALUE"""),48467.0)</f>
        <v>48467</v>
      </c>
      <c r="W979" t="str">
        <f>IFERROR(__xludf.DUMMYFUNCTION("""COMPUTED_VALUE"""),"ปลอดภัย")</f>
        <v>ปลอดภัย</v>
      </c>
      <c r="X979" t="str">
        <f>IFERROR(__xludf.DUMMYFUNCTION("""COMPUTED_VALUE"""),"Kalasin Province")</f>
        <v>Kalasin Province</v>
      </c>
      <c r="Y979" t="str">
        <f>IFERROR(__xludf.DUMMYFUNCTION("""COMPUTED_VALUE"""),"Bangkok")</f>
        <v>Bangkok</v>
      </c>
      <c r="Z979" t="str">
        <f>IFERROR(__xludf.DUMMYFUNCTION("""COMPUTED_VALUE"""),"088-655-6569")</f>
        <v>088-655-6569</v>
      </c>
      <c r="AA979" t="str">
        <f>IFERROR(__xludf.DUMMYFUNCTION("""COMPUTED_VALUE"""),"นางสาวศิริลักษณ์ ทรัพย์สำราญ Sister")</f>
        <v>นางสาวศิริลักษณ์ ทรัพย์สำราญ Sister</v>
      </c>
      <c r="AB979" t="str">
        <f>IFERROR(__xludf.DUMMYFUNCTION("""COMPUTED_VALUE"""),"sureeratsupsomran@airasia.com")</f>
        <v>sureeratsupsomran@airasia.com</v>
      </c>
    </row>
    <row r="980">
      <c r="A980">
        <f>IFERROR(__xludf.DUMMYFUNCTION("""COMPUTED_VALUE"""),1011505.0)</f>
        <v>1011505</v>
      </c>
      <c r="B980" t="str">
        <f>IFERROR(__xludf.DUMMYFUNCTION("""COMPUTED_VALUE"""),"Ms.")</f>
        <v>Ms.</v>
      </c>
      <c r="C980" t="str">
        <f>IFERROR(__xludf.DUMMYFUNCTION("""COMPUTED_VALUE"""),"Unyamanee")</f>
        <v>Unyamanee</v>
      </c>
      <c r="D980" t="str">
        <f>IFERROR(__xludf.DUMMYFUNCTION("""COMPUTED_VALUE"""),"Tammawirat")</f>
        <v>Tammawirat</v>
      </c>
      <c r="E980" t="str">
        <f>IFERROR(__xludf.DUMMYFUNCTION("""COMPUTED_VALUE"""),"Unyamanee Tammawirat")</f>
        <v>Unyamanee Tammawirat</v>
      </c>
      <c r="F980" t="str">
        <f>IFERROR(__xludf.DUMMYFUNCTION("""COMPUTED_VALUE"""),"นางสาว")</f>
        <v>นางสาว</v>
      </c>
      <c r="G980" t="str">
        <f>IFERROR(__xludf.DUMMYFUNCTION("""COMPUTED_VALUE"""),"อัญมณี")</f>
        <v>อัญมณี</v>
      </c>
      <c r="H980" t="str">
        <f>IFERROR(__xludf.DUMMYFUNCTION("""COMPUTED_VALUE"""),"ธรรมวิรัช")</f>
        <v>ธรรมวิรัช</v>
      </c>
      <c r="I980" t="str">
        <f>IFERROR(__xludf.DUMMYFUNCTION("""COMPUTED_VALUE"""),"อัญมณี ธรรมวิรัช")</f>
        <v>อัญมณี ธรรมวิรัช</v>
      </c>
      <c r="J980" t="str">
        <f>IFERROR(__xludf.DUMMYFUNCTION("""COMPUTED_VALUE"""),"ลูกเต๋า")</f>
        <v>ลูกเต๋า</v>
      </c>
      <c r="K980" t="str">
        <f>IFERROR(__xludf.DUMMYFUNCTION("""COMPUTED_VALUE"""),"Cabin Crew")</f>
        <v>Cabin Crew</v>
      </c>
      <c r="L980" t="str">
        <f>IFERROR(__xludf.DUMMYFUNCTION("""COMPUTED_VALUE"""),"DMK")</f>
        <v>DMK</v>
      </c>
      <c r="M980" s="145" t="str">
        <f>IFERROR(__xludf.DUMMYFUNCTION("""COMPUTED_VALUE"""),"Toffy Home")</f>
        <v>Toffy Home</v>
      </c>
      <c r="N980" t="str">
        <f>IFERROR(__xludf.DUMMYFUNCTION("""COMPUTED_VALUE"""),"Active")</f>
        <v>Active</v>
      </c>
      <c r="P980" s="155">
        <f>IFERROR(__xludf.DUMMYFUNCTION("""COMPUTED_VALUE"""),31751.0)</f>
        <v>31751</v>
      </c>
      <c r="Q980" s="146">
        <f>IFERROR(__xludf.DUMMYFUNCTION("""COMPUTED_VALUE"""),9.69294966E8)</f>
        <v>969294966</v>
      </c>
      <c r="R980" s="147">
        <f>IFERROR(__xludf.DUMMYFUNCTION("""COMPUTED_VALUE"""),1.730100084411E12)</f>
        <v>1730100084411</v>
      </c>
      <c r="S980" t="str">
        <f>IFERROR(__xludf.DUMMYFUNCTION("""COMPUTED_VALUE"""),"AD1014689")</f>
        <v>AD1014689</v>
      </c>
      <c r="T980" s="148">
        <f>IFERROR(__xludf.DUMMYFUNCTION("""COMPUTED_VALUE"""),45046.0)</f>
        <v>45046</v>
      </c>
      <c r="U980" s="148">
        <f>IFERROR(__xludf.DUMMYFUNCTION("""COMPUTED_VALUE"""),48698.0)</f>
        <v>48698</v>
      </c>
      <c r="V980" s="149">
        <f>IFERROR(__xludf.DUMMYFUNCTION("""COMPUTED_VALUE"""),48516.0)</f>
        <v>48516</v>
      </c>
      <c r="W980" t="str">
        <f>IFERROR(__xludf.DUMMYFUNCTION("""COMPUTED_VALUE"""),"ปลอดภัย")</f>
        <v>ปลอดภัย</v>
      </c>
      <c r="X980" t="str">
        <f>IFERROR(__xludf.DUMMYFUNCTION("""COMPUTED_VALUE"""),"Nakhon Pathom Province")</f>
        <v>Nakhon Pathom Province</v>
      </c>
      <c r="Y980" t="str">
        <f>IFERROR(__xludf.DUMMYFUNCTION("""COMPUTED_VALUE"""),"Bangkok")</f>
        <v>Bangkok</v>
      </c>
      <c r="Z980">
        <f>IFERROR(__xludf.DUMMYFUNCTION("""COMPUTED_VALUE"""),9.48269563E8)</f>
        <v>948269563</v>
      </c>
      <c r="AA980" t="str">
        <f>IFERROR(__xludf.DUMMYFUNCTION("""COMPUTED_VALUE"""),"นาวสาวรุจิรา ธรรมวิรัช Mother")</f>
        <v>นาวสาวรุจิรา ธรรมวิรัช Mother</v>
      </c>
      <c r="AB980" t="str">
        <f>IFERROR(__xludf.DUMMYFUNCTION("""COMPUTED_VALUE"""),"unyamaneetammawirat@airasia.com")</f>
        <v>unyamaneetammawirat@airasia.com</v>
      </c>
    </row>
    <row r="981">
      <c r="A981">
        <f>IFERROR(__xludf.DUMMYFUNCTION("""COMPUTED_VALUE"""),1004855.0)</f>
        <v>1004855</v>
      </c>
      <c r="B981" t="str">
        <f>IFERROR(__xludf.DUMMYFUNCTION("""COMPUTED_VALUE"""),"Mr.")</f>
        <v>Mr.</v>
      </c>
      <c r="C981" t="str">
        <f>IFERROR(__xludf.DUMMYFUNCTION("""COMPUTED_VALUE"""),"Phornchai")</f>
        <v>Phornchai</v>
      </c>
      <c r="D981" t="str">
        <f>IFERROR(__xludf.DUMMYFUNCTION("""COMPUTED_VALUE"""),"Thirawadee")</f>
        <v>Thirawadee</v>
      </c>
      <c r="E981" t="str">
        <f>IFERROR(__xludf.DUMMYFUNCTION("""COMPUTED_VALUE"""),"Phornchai Thirawadee")</f>
        <v>Phornchai Thirawadee</v>
      </c>
      <c r="F981" t="str">
        <f>IFERROR(__xludf.DUMMYFUNCTION("""COMPUTED_VALUE"""),"นาย")</f>
        <v>นาย</v>
      </c>
      <c r="G981" t="str">
        <f>IFERROR(__xludf.DUMMYFUNCTION("""COMPUTED_VALUE"""),"พรชัย")</f>
        <v>พรชัย</v>
      </c>
      <c r="H981" t="str">
        <f>IFERROR(__xludf.DUMMYFUNCTION("""COMPUTED_VALUE"""),"ถิรวดี")</f>
        <v>ถิรวดี</v>
      </c>
      <c r="I981" t="str">
        <f>IFERROR(__xludf.DUMMYFUNCTION("""COMPUTED_VALUE"""),"พรชัย ถิรวดี")</f>
        <v>พรชัย ถิรวดี</v>
      </c>
      <c r="J981" t="str">
        <f>IFERROR(__xludf.DUMMYFUNCTION("""COMPUTED_VALUE"""),"พีท")</f>
        <v>พีท</v>
      </c>
      <c r="K981" t="str">
        <f>IFERROR(__xludf.DUMMYFUNCTION("""COMPUTED_VALUE"""),"Cabin Crew")</f>
        <v>Cabin Crew</v>
      </c>
      <c r="L981" t="str">
        <f>IFERROR(__xludf.DUMMYFUNCTION("""COMPUTED_VALUE"""),"DMK")</f>
        <v>DMK</v>
      </c>
      <c r="M981" s="145" t="str">
        <f>IFERROR(__xludf.DUMMYFUNCTION("""COMPUTED_VALUE"""),"Kor Home")</f>
        <v>Kor Home</v>
      </c>
      <c r="N981" t="str">
        <f>IFERROR(__xludf.DUMMYFUNCTION("""COMPUTED_VALUE"""),"Active")</f>
        <v>Active</v>
      </c>
      <c r="O981" t="str">
        <f>IFERROR(__xludf.DUMMYFUNCTION("""COMPUTED_VALUE"""),"Chinese Speaking")</f>
        <v>Chinese Speaking</v>
      </c>
      <c r="P981" s="155">
        <f>IFERROR(__xludf.DUMMYFUNCTION("""COMPUTED_VALUE"""),31631.0)</f>
        <v>31631</v>
      </c>
      <c r="Q981" s="146" t="str">
        <f>IFERROR(__xludf.DUMMYFUNCTION("""COMPUTED_VALUE"""),"089-8892976")</f>
        <v>089-8892976</v>
      </c>
      <c r="R981" s="147">
        <f>IFERROR(__xludf.DUMMYFUNCTION("""COMPUTED_VALUE"""),1.471200091013E12)</f>
        <v>1471200091013</v>
      </c>
      <c r="S981" t="str">
        <f>IFERROR(__xludf.DUMMYFUNCTION("""COMPUTED_VALUE"""),"AC7920310")</f>
        <v>AC7920310</v>
      </c>
      <c r="T981" s="148">
        <f>IFERROR(__xludf.DUMMYFUNCTION("""COMPUTED_VALUE"""),45670.0)</f>
        <v>45670</v>
      </c>
      <c r="U981" s="148">
        <f>IFERROR(__xludf.DUMMYFUNCTION("""COMPUTED_VALUE"""),49321.0)</f>
        <v>49321</v>
      </c>
      <c r="V981" s="149">
        <f>IFERROR(__xludf.DUMMYFUNCTION("""COMPUTED_VALUE"""),49137.0)</f>
        <v>49137</v>
      </c>
      <c r="W981" t="str">
        <f>IFERROR(__xludf.DUMMYFUNCTION("""COMPUTED_VALUE"""),"ปลอดภัย")</f>
        <v>ปลอดภัย</v>
      </c>
      <c r="X981" t="str">
        <f>IFERROR(__xludf.DUMMYFUNCTION("""COMPUTED_VALUE"""),"Sakon Nakhon Province")</f>
        <v>Sakon Nakhon Province</v>
      </c>
      <c r="Y981" t="str">
        <f>IFERROR(__xludf.DUMMYFUNCTION("""COMPUTED_VALUE"""),"NONTABUTI")</f>
        <v>NONTABUTI</v>
      </c>
      <c r="Z981">
        <f>IFERROR(__xludf.DUMMYFUNCTION("""COMPUTED_VALUE"""),9.57416248E8)</f>
        <v>957416248</v>
      </c>
      <c r="AA981" t="str">
        <f>IFERROR(__xludf.DUMMYFUNCTION("""COMPUTED_VALUE"""),"นางสาว กันติชา วงศ์กระจ่าง Friend")</f>
        <v>นางสาว กันติชา วงศ์กระจ่าง Friend</v>
      </c>
      <c r="AB981" t="str">
        <f>IFERROR(__xludf.DUMMYFUNCTION("""COMPUTED_VALUE"""),"phornchaithirawadee@airasia.com")</f>
        <v>phornchaithirawadee@airasia.com</v>
      </c>
    </row>
    <row r="982">
      <c r="A982">
        <f>IFERROR(__xludf.DUMMYFUNCTION("""COMPUTED_VALUE"""),1006858.0)</f>
        <v>1006858</v>
      </c>
      <c r="B982" t="str">
        <f>IFERROR(__xludf.DUMMYFUNCTION("""COMPUTED_VALUE"""),"Mr.")</f>
        <v>Mr.</v>
      </c>
      <c r="C982" t="str">
        <f>IFERROR(__xludf.DUMMYFUNCTION("""COMPUTED_VALUE"""),"Wachiraphong")</f>
        <v>Wachiraphong</v>
      </c>
      <c r="D982" t="str">
        <f>IFERROR(__xludf.DUMMYFUNCTION("""COMPUTED_VALUE"""),"Wangphisit")</f>
        <v>Wangphisit</v>
      </c>
      <c r="E982" t="str">
        <f>IFERROR(__xludf.DUMMYFUNCTION("""COMPUTED_VALUE"""),"Wachiraphong Wangphisit")</f>
        <v>Wachiraphong Wangphisit</v>
      </c>
      <c r="F982" t="str">
        <f>IFERROR(__xludf.DUMMYFUNCTION("""COMPUTED_VALUE"""),"นาย")</f>
        <v>นาย</v>
      </c>
      <c r="G982" t="str">
        <f>IFERROR(__xludf.DUMMYFUNCTION("""COMPUTED_VALUE"""),"วชิรพงค์")</f>
        <v>วชิรพงค์</v>
      </c>
      <c r="H982" t="str">
        <f>IFERROR(__xludf.DUMMYFUNCTION("""COMPUTED_VALUE"""),"หวังพิสิฐ")</f>
        <v>หวังพิสิฐ</v>
      </c>
      <c r="I982" t="str">
        <f>IFERROR(__xludf.DUMMYFUNCTION("""COMPUTED_VALUE"""),"วชิรพงค์ หวังพิสิฐ")</f>
        <v>วชิรพงค์ หวังพิสิฐ</v>
      </c>
      <c r="J982" t="str">
        <f>IFERROR(__xludf.DUMMYFUNCTION("""COMPUTED_VALUE"""),"Benz/เบนซ์")</f>
        <v>Benz/เบนซ์</v>
      </c>
      <c r="K982" t="str">
        <f>IFERROR(__xludf.DUMMYFUNCTION("""COMPUTED_VALUE"""),"Cabin Crew")</f>
        <v>Cabin Crew</v>
      </c>
      <c r="L982" t="str">
        <f>IFERROR(__xludf.DUMMYFUNCTION("""COMPUTED_VALUE"""),"DMK")</f>
        <v>DMK</v>
      </c>
      <c r="M982" s="145" t="str">
        <f>IFERROR(__xludf.DUMMYFUNCTION("""COMPUTED_VALUE"""),"Toffy Home")</f>
        <v>Toffy Home</v>
      </c>
      <c r="N982" t="str">
        <f>IFERROR(__xludf.DUMMYFUNCTION("""COMPUTED_VALUE"""),"Active")</f>
        <v>Active</v>
      </c>
      <c r="O982" t="str">
        <f>IFERROR(__xludf.DUMMYFUNCTION("""COMPUTED_VALUE"""),"Chinese Speaking")</f>
        <v>Chinese Speaking</v>
      </c>
      <c r="P982" s="155">
        <f>IFERROR(__xludf.DUMMYFUNCTION("""COMPUTED_VALUE"""),32995.0)</f>
        <v>32995</v>
      </c>
      <c r="Q982" s="146" t="str">
        <f>IFERROR(__xludf.DUMMYFUNCTION("""COMPUTED_VALUE"""),"062-442-5495")</f>
        <v>062-442-5495</v>
      </c>
      <c r="R982" s="147">
        <f>IFERROR(__xludf.DUMMYFUNCTION("""COMPUTED_VALUE"""),1.529900427975E12)</f>
        <v>1529900427975</v>
      </c>
      <c r="S982" t="str">
        <f>IFERROR(__xludf.DUMMYFUNCTION("""COMPUTED_VALUE"""),"AD1003737")</f>
        <v>AD1003737</v>
      </c>
      <c r="T982" s="148">
        <f>IFERROR(__xludf.DUMMYFUNCTION("""COMPUTED_VALUE"""),45049.0)</f>
        <v>45049</v>
      </c>
      <c r="U982" s="158">
        <f>IFERROR(__xludf.DUMMYFUNCTION("""COMPUTED_VALUE"""),48701.0)</f>
        <v>48701</v>
      </c>
      <c r="V982" s="149">
        <f>IFERROR(__xludf.DUMMYFUNCTION("""COMPUTED_VALUE"""),48520.0)</f>
        <v>48520</v>
      </c>
      <c r="W982" t="str">
        <f>IFERROR(__xludf.DUMMYFUNCTION("""COMPUTED_VALUE"""),"ปลอดภัย")</f>
        <v>ปลอดภัย</v>
      </c>
      <c r="X982" t="str">
        <f>IFERROR(__xludf.DUMMYFUNCTION("""COMPUTED_VALUE"""),"Lampang Province")</f>
        <v>Lampang Province</v>
      </c>
      <c r="Y982" t="str">
        <f>IFERROR(__xludf.DUMMYFUNCTION("""COMPUTED_VALUE"""),"Bangkok")</f>
        <v>Bangkok</v>
      </c>
      <c r="Z982" t="str">
        <f>IFERROR(__xludf.DUMMYFUNCTION("""COMPUTED_VALUE"""),"092-942-4916")</f>
        <v>092-942-4916</v>
      </c>
      <c r="AA982" t="str">
        <f>IFERROR(__xludf.DUMMYFUNCTION("""COMPUTED_VALUE"""),"นางสาวปาริชาต เกตุบุญล่อ Wife")</f>
        <v>นางสาวปาริชาต เกตุบุญล่อ Wife</v>
      </c>
      <c r="AB982" t="str">
        <f>IFERROR(__xludf.DUMMYFUNCTION("""COMPUTED_VALUE"""),"wachiraphongwangphi@airasia.com")</f>
        <v>wachiraphongwangphi@airasia.com</v>
      </c>
    </row>
    <row r="983">
      <c r="A983">
        <f>IFERROR(__xludf.DUMMYFUNCTION("""COMPUTED_VALUE"""),1001738.0)</f>
        <v>1001738</v>
      </c>
      <c r="B983" t="str">
        <f>IFERROR(__xludf.DUMMYFUNCTION("""COMPUTED_VALUE"""),"Ms.")</f>
        <v>Ms.</v>
      </c>
      <c r="C983" t="str">
        <f>IFERROR(__xludf.DUMMYFUNCTION("""COMPUTED_VALUE"""),"Nannaphat")</f>
        <v>Nannaphat</v>
      </c>
      <c r="D983" t="str">
        <f>IFERROR(__xludf.DUMMYFUNCTION("""COMPUTED_VALUE"""),"Poolklai")</f>
        <v>Poolklai</v>
      </c>
      <c r="E983" t="str">
        <f>IFERROR(__xludf.DUMMYFUNCTION("""COMPUTED_VALUE"""),"Nannaphat Poolklai")</f>
        <v>Nannaphat Poolklai</v>
      </c>
      <c r="F983" t="str">
        <f>IFERROR(__xludf.DUMMYFUNCTION("""COMPUTED_VALUE"""),"นางสาว")</f>
        <v>นางสาว</v>
      </c>
      <c r="G983" t="str">
        <f>IFERROR(__xludf.DUMMYFUNCTION("""COMPUTED_VALUE"""),"นันท์นภัส")</f>
        <v>นันท์นภัส</v>
      </c>
      <c r="H983" t="str">
        <f>IFERROR(__xludf.DUMMYFUNCTION("""COMPUTED_VALUE"""),"พูลคล้าย")</f>
        <v>พูลคล้าย</v>
      </c>
      <c r="I983" t="str">
        <f>IFERROR(__xludf.DUMMYFUNCTION("""COMPUTED_VALUE"""),"นันท์นภัส พูลคล้าย")</f>
        <v>นันท์นภัส พูลคล้าย</v>
      </c>
      <c r="J983" t="str">
        <f>IFERROR(__xludf.DUMMYFUNCTION("""COMPUTED_VALUE"""),"Lookpla/ลูกปลา")</f>
        <v>Lookpla/ลูกปลา</v>
      </c>
      <c r="K983" t="str">
        <f>IFERROR(__xludf.DUMMYFUNCTION("""COMPUTED_VALUE"""),"Cabin Crew")</f>
        <v>Cabin Crew</v>
      </c>
      <c r="L983" t="str">
        <f>IFERROR(__xludf.DUMMYFUNCTION("""COMPUTED_VALUE"""),"DMK")</f>
        <v>DMK</v>
      </c>
      <c r="M983" s="145" t="str">
        <f>IFERROR(__xludf.DUMMYFUNCTION("""COMPUTED_VALUE"""),"Kor Home")</f>
        <v>Kor Home</v>
      </c>
      <c r="N983" t="str">
        <f>IFERROR(__xludf.DUMMYFUNCTION("""COMPUTED_VALUE"""),"Active")</f>
        <v>Active</v>
      </c>
      <c r="P983" s="155">
        <f>IFERROR(__xludf.DUMMYFUNCTION("""COMPUTED_VALUE"""),30508.0)</f>
        <v>30508</v>
      </c>
      <c r="Q983" s="146" t="str">
        <f>IFERROR(__xludf.DUMMYFUNCTION("""COMPUTED_VALUE"""),"088-244-4392")</f>
        <v>088-244-4392</v>
      </c>
      <c r="R983" s="147">
        <f>IFERROR(__xludf.DUMMYFUNCTION("""COMPUTED_VALUE"""),3.660100673766E12)</f>
        <v>3660100673766</v>
      </c>
      <c r="S983" t="str">
        <f>IFERROR(__xludf.DUMMYFUNCTION("""COMPUTED_VALUE"""),"AD1006240")</f>
        <v>AD1006240</v>
      </c>
      <c r="T983" s="148">
        <f>IFERROR(__xludf.DUMMYFUNCTION("""COMPUTED_VALUE"""),45049.0)</f>
        <v>45049</v>
      </c>
      <c r="U983" s="148">
        <f>IFERROR(__xludf.DUMMYFUNCTION("""COMPUTED_VALUE"""),46875.0)</f>
        <v>46875</v>
      </c>
      <c r="V983" s="149">
        <f>IFERROR(__xludf.DUMMYFUNCTION("""COMPUTED_VALUE"""),46693.0)</f>
        <v>46693</v>
      </c>
      <c r="W983" t="str">
        <f>IFERROR(__xludf.DUMMYFUNCTION("""COMPUTED_VALUE"""),"ปลอดภัย")</f>
        <v>ปลอดภัย</v>
      </c>
      <c r="X983" t="str">
        <f>IFERROR(__xludf.DUMMYFUNCTION("""COMPUTED_VALUE"""),"Phichit Province")</f>
        <v>Phichit Province</v>
      </c>
      <c r="Y983" t="str">
        <f>IFERROR(__xludf.DUMMYFUNCTION("""COMPUTED_VALUE"""),"PATHUMTANI")</f>
        <v>PATHUMTANI</v>
      </c>
      <c r="Z983" t="str">
        <f>IFERROR(__xludf.DUMMYFUNCTION("""COMPUTED_VALUE"""),"094-553-1206")</f>
        <v>094-553-1206</v>
      </c>
      <c r="AA983" t="str">
        <f>IFERROR(__xludf.DUMMYFUNCTION("""COMPUTED_VALUE"""),"นายบุญเชิด พูลคล้าย Father")</f>
        <v>นายบุญเชิด พูลคล้าย Father</v>
      </c>
      <c r="AB983" t="str">
        <f>IFERROR(__xludf.DUMMYFUNCTION("""COMPUTED_VALUE"""),"nannaphatpoolklai@airasia.com")</f>
        <v>nannaphatpoolklai@airasia.com</v>
      </c>
    </row>
    <row r="984">
      <c r="A984">
        <f>IFERROR(__xludf.DUMMYFUNCTION("""COMPUTED_VALUE"""),1004447.0)</f>
        <v>1004447</v>
      </c>
      <c r="B984" t="str">
        <f>IFERROR(__xludf.DUMMYFUNCTION("""COMPUTED_VALUE"""),"Ms.")</f>
        <v>Ms.</v>
      </c>
      <c r="C984" t="str">
        <f>IFERROR(__xludf.DUMMYFUNCTION("""COMPUTED_VALUE"""),"Phanwalux")</f>
        <v>Phanwalux</v>
      </c>
      <c r="D984" t="str">
        <f>IFERROR(__xludf.DUMMYFUNCTION("""COMPUTED_VALUE"""),"Sunthornwiphat")</f>
        <v>Sunthornwiphat</v>
      </c>
      <c r="E984" t="str">
        <f>IFERROR(__xludf.DUMMYFUNCTION("""COMPUTED_VALUE"""),"Phanwalux Sunthornwiphat")</f>
        <v>Phanwalux Sunthornwiphat</v>
      </c>
      <c r="F984" t="str">
        <f>IFERROR(__xludf.DUMMYFUNCTION("""COMPUTED_VALUE"""),"นางสาว")</f>
        <v>นางสาว</v>
      </c>
      <c r="G984" t="str">
        <f>IFERROR(__xludf.DUMMYFUNCTION("""COMPUTED_VALUE"""),"พรรณวลักษณ์")</f>
        <v>พรรณวลักษณ์</v>
      </c>
      <c r="H984" t="str">
        <f>IFERROR(__xludf.DUMMYFUNCTION("""COMPUTED_VALUE"""),"สุนทรวิภาต")</f>
        <v>สุนทรวิภาต</v>
      </c>
      <c r="I984" t="str">
        <f>IFERROR(__xludf.DUMMYFUNCTION("""COMPUTED_VALUE"""),"พรรณวลักษณ์ สุนทรวิภาต")</f>
        <v>พรรณวลักษณ์ สุนทรวิภาต</v>
      </c>
      <c r="J984" t="str">
        <f>IFERROR(__xludf.DUMMYFUNCTION("""COMPUTED_VALUE"""),"Yui/ยุ้ย")</f>
        <v>Yui/ยุ้ย</v>
      </c>
      <c r="K984" t="str">
        <f>IFERROR(__xludf.DUMMYFUNCTION("""COMPUTED_VALUE"""),"Cabin Crew")</f>
        <v>Cabin Crew</v>
      </c>
      <c r="L984" t="str">
        <f>IFERROR(__xludf.DUMMYFUNCTION("""COMPUTED_VALUE"""),"DMK")</f>
        <v>DMK</v>
      </c>
      <c r="M984" s="145" t="str">
        <f>IFERROR(__xludf.DUMMYFUNCTION("""COMPUTED_VALUE"""),"Nhui Home")</f>
        <v>Nhui Home</v>
      </c>
      <c r="N984" t="str">
        <f>IFERROR(__xludf.DUMMYFUNCTION("""COMPUTED_VALUE"""),"Active")</f>
        <v>Active</v>
      </c>
      <c r="P984" s="155">
        <f>IFERROR(__xludf.DUMMYFUNCTION("""COMPUTED_VALUE"""),30067.0)</f>
        <v>30067</v>
      </c>
      <c r="Q984" s="146" t="str">
        <f>IFERROR(__xludf.DUMMYFUNCTION("""COMPUTED_VALUE"""),"062-645-6463")</f>
        <v>062-645-6463</v>
      </c>
      <c r="R984" s="147">
        <f>IFERROR(__xludf.DUMMYFUNCTION("""COMPUTED_VALUE"""),3.14130015248E12)</f>
        <v>3141300152480</v>
      </c>
      <c r="S984" t="str">
        <f>IFERROR(__xludf.DUMMYFUNCTION("""COMPUTED_VALUE"""),"AC4660764")</f>
        <v>AC4660764</v>
      </c>
      <c r="T984" s="148">
        <f>IFERROR(__xludf.DUMMYFUNCTION("""COMPUTED_VALUE"""),44999.0)</f>
        <v>44999</v>
      </c>
      <c r="U984" s="148">
        <f>IFERROR(__xludf.DUMMYFUNCTION("""COMPUTED_VALUE"""),48651.0)</f>
        <v>48651</v>
      </c>
      <c r="V984" s="149">
        <f>IFERROR(__xludf.DUMMYFUNCTION("""COMPUTED_VALUE"""),48470.0)</f>
        <v>48470</v>
      </c>
      <c r="W984" t="str">
        <f>IFERROR(__xludf.DUMMYFUNCTION("""COMPUTED_VALUE"""),"ปลอดภัย")</f>
        <v>ปลอดภัย</v>
      </c>
      <c r="X984" t="str">
        <f>IFERROR(__xludf.DUMMYFUNCTION("""COMPUTED_VALUE"""),"Phra Nakhon Si Ayutthaya Province")</f>
        <v>Phra Nakhon Si Ayutthaya Province</v>
      </c>
      <c r="Y984" t="str">
        <f>IFERROR(__xludf.DUMMYFUNCTION("""COMPUTED_VALUE"""),"NONTABUTI")</f>
        <v>NONTABUTI</v>
      </c>
      <c r="Z984" t="str">
        <f>IFERROR(__xludf.DUMMYFUNCTION("""COMPUTED_VALUE"""),"085-164-6624")</f>
        <v>085-164-6624</v>
      </c>
      <c r="AA984" t="str">
        <f>IFERROR(__xludf.DUMMYFUNCTION("""COMPUTED_VALUE"""),"นางพิมลวรรณ ดาวศรประศาสน์ Mother")</f>
        <v>นางพิมลวรรณ ดาวศรประศาสน์ Mother</v>
      </c>
      <c r="AB984" t="str">
        <f>IFERROR(__xludf.DUMMYFUNCTION("""COMPUTED_VALUE"""),"phanwaluxsunthornwi@airasia.com")</f>
        <v>phanwaluxsunthornwi@airasia.com</v>
      </c>
    </row>
    <row r="985">
      <c r="A985">
        <f>IFERROR(__xludf.DUMMYFUNCTION("""COMPUTED_VALUE"""),1005035.0)</f>
        <v>1005035</v>
      </c>
      <c r="B985" t="str">
        <f>IFERROR(__xludf.DUMMYFUNCTION("""COMPUTED_VALUE"""),"Ms.")</f>
        <v>Ms.</v>
      </c>
      <c r="C985" t="str">
        <f>IFERROR(__xludf.DUMMYFUNCTION("""COMPUTED_VALUE"""),"Alisa")</f>
        <v>Alisa</v>
      </c>
      <c r="D985" t="str">
        <f>IFERROR(__xludf.DUMMYFUNCTION("""COMPUTED_VALUE"""),"Watthanachinda")</f>
        <v>Watthanachinda</v>
      </c>
      <c r="E985" t="str">
        <f>IFERROR(__xludf.DUMMYFUNCTION("""COMPUTED_VALUE"""),"Alisa Watthanachinda")</f>
        <v>Alisa Watthanachinda</v>
      </c>
      <c r="F985" t="str">
        <f>IFERROR(__xludf.DUMMYFUNCTION("""COMPUTED_VALUE"""),"นางสาว")</f>
        <v>นางสาว</v>
      </c>
      <c r="G985" t="str">
        <f>IFERROR(__xludf.DUMMYFUNCTION("""COMPUTED_VALUE"""),"อลิษา")</f>
        <v>อลิษา</v>
      </c>
      <c r="H985" t="str">
        <f>IFERROR(__xludf.DUMMYFUNCTION("""COMPUTED_VALUE"""),"วัฒนจินดา")</f>
        <v>วัฒนจินดา</v>
      </c>
      <c r="I985" t="str">
        <f>IFERROR(__xludf.DUMMYFUNCTION("""COMPUTED_VALUE"""),"อลิษา วัฒนจินดา")</f>
        <v>อลิษา วัฒนจินดา</v>
      </c>
      <c r="J985" t="str">
        <f>IFERROR(__xludf.DUMMYFUNCTION("""COMPUTED_VALUE"""),"พลอย")</f>
        <v>พลอย</v>
      </c>
      <c r="K985" t="str">
        <f>IFERROR(__xludf.DUMMYFUNCTION("""COMPUTED_VALUE"""),"Cabin Crew")</f>
        <v>Cabin Crew</v>
      </c>
      <c r="L985" t="str">
        <f>IFERROR(__xludf.DUMMYFUNCTION("""COMPUTED_VALUE"""),"DMK")</f>
        <v>DMK</v>
      </c>
      <c r="M985" s="145" t="str">
        <f>IFERROR(__xludf.DUMMYFUNCTION("""COMPUTED_VALUE"""),"Kor Home")</f>
        <v>Kor Home</v>
      </c>
      <c r="N985" t="str">
        <f>IFERROR(__xludf.DUMMYFUNCTION("""COMPUTED_VALUE"""),"Active")</f>
        <v>Active</v>
      </c>
      <c r="P985" s="155">
        <f>IFERROR(__xludf.DUMMYFUNCTION("""COMPUTED_VALUE"""),32353.0)</f>
        <v>32353</v>
      </c>
      <c r="Q985" s="146" t="str">
        <f>IFERROR(__xludf.DUMMYFUNCTION("""COMPUTED_VALUE"""),"081-2987522")</f>
        <v>081-2987522</v>
      </c>
      <c r="R985" s="147">
        <f>IFERROR(__xludf.DUMMYFUNCTION("""COMPUTED_VALUE"""),1.100200401669E12)</f>
        <v>1100200401669</v>
      </c>
      <c r="S985" t="str">
        <f>IFERROR(__xludf.DUMMYFUNCTION("""COMPUTED_VALUE"""),"AC7499044")</f>
        <v>AC7499044</v>
      </c>
      <c r="T985" s="148">
        <f>IFERROR(__xludf.DUMMYFUNCTION("""COMPUTED_VALUE"""),45544.0)</f>
        <v>45544</v>
      </c>
      <c r="U985" s="148">
        <f>IFERROR(__xludf.DUMMYFUNCTION("""COMPUTED_VALUE"""),49195.0)</f>
        <v>49195</v>
      </c>
      <c r="V985" s="149">
        <f>IFERROR(__xludf.DUMMYFUNCTION("""COMPUTED_VALUE"""),49011.0)</f>
        <v>49011</v>
      </c>
      <c r="W985" t="str">
        <f>IFERROR(__xludf.DUMMYFUNCTION("""COMPUTED_VALUE"""),"ปลอดภัย")</f>
        <v>ปลอดภัย</v>
      </c>
      <c r="X985" t="str">
        <f>IFERROR(__xludf.DUMMYFUNCTION("""COMPUTED_VALUE"""),"Bangkok")</f>
        <v>Bangkok</v>
      </c>
      <c r="Y985" t="str">
        <f>IFERROR(__xludf.DUMMYFUNCTION("""COMPUTED_VALUE"""),"NONTABUTI")</f>
        <v>NONTABUTI</v>
      </c>
      <c r="Z985" t="str">
        <f>IFERROR(__xludf.DUMMYFUNCTION("""COMPUTED_VALUE"""),"062-994-9429")</f>
        <v>062-994-9429</v>
      </c>
      <c r="AA985" t="str">
        <f>IFERROR(__xludf.DUMMYFUNCTION("""COMPUTED_VALUE"""),"นายอนุตพงศ์ แสงโชติ Husband")</f>
        <v>นายอนุตพงศ์ แสงโชติ Husband</v>
      </c>
      <c r="AB985" t="str">
        <f>IFERROR(__xludf.DUMMYFUNCTION("""COMPUTED_VALUE"""),"alisaw@airasia.com")</f>
        <v>alisaw@airasia.com</v>
      </c>
    </row>
    <row r="986">
      <c r="A986">
        <f>IFERROR(__xludf.DUMMYFUNCTION("""COMPUTED_VALUE"""),1024693.0)</f>
        <v>1024693</v>
      </c>
      <c r="B986" t="str">
        <f>IFERROR(__xludf.DUMMYFUNCTION("""COMPUTED_VALUE"""),"Ms.")</f>
        <v>Ms.</v>
      </c>
      <c r="C986" t="str">
        <f>IFERROR(__xludf.DUMMYFUNCTION("""COMPUTED_VALUE"""),"Chanakarn")</f>
        <v>Chanakarn</v>
      </c>
      <c r="D986" t="str">
        <f>IFERROR(__xludf.DUMMYFUNCTION("""COMPUTED_VALUE"""),"Ritwanit")</f>
        <v>Ritwanit</v>
      </c>
      <c r="E986" t="str">
        <f>IFERROR(__xludf.DUMMYFUNCTION("""COMPUTED_VALUE"""),"Chanakarn Ritwanit")</f>
        <v>Chanakarn Ritwanit</v>
      </c>
      <c r="F986" t="str">
        <f>IFERROR(__xludf.DUMMYFUNCTION("""COMPUTED_VALUE"""),"นางสาว")</f>
        <v>นางสาว</v>
      </c>
      <c r="G986" t="str">
        <f>IFERROR(__xludf.DUMMYFUNCTION("""COMPUTED_VALUE"""),"ชนากานต์")</f>
        <v>ชนากานต์</v>
      </c>
      <c r="H986" t="str">
        <f>IFERROR(__xludf.DUMMYFUNCTION("""COMPUTED_VALUE"""),"ฤทธิ์วาณิช")</f>
        <v>ฤทธิ์วาณิช</v>
      </c>
      <c r="I986" t="str">
        <f>IFERROR(__xludf.DUMMYFUNCTION("""COMPUTED_VALUE"""),"ชนากานต์ ฤทธิ์วาณิช")</f>
        <v>ชนากานต์ ฤทธิ์วาณิช</v>
      </c>
      <c r="J986" t="str">
        <f>IFERROR(__xludf.DUMMYFUNCTION("""COMPUTED_VALUE"""),"ฝ้าย")</f>
        <v>ฝ้าย</v>
      </c>
      <c r="K986" t="str">
        <f>IFERROR(__xludf.DUMMYFUNCTION("""COMPUTED_VALUE"""),"Cabin Crew")</f>
        <v>Cabin Crew</v>
      </c>
      <c r="L986" t="str">
        <f>IFERROR(__xludf.DUMMYFUNCTION("""COMPUTED_VALUE"""),"DMK")</f>
        <v>DMK</v>
      </c>
      <c r="M986" s="145" t="str">
        <f>IFERROR(__xludf.DUMMYFUNCTION("""COMPUTED_VALUE"""),"Kor Home")</f>
        <v>Kor Home</v>
      </c>
      <c r="N986" t="str">
        <f>IFERROR(__xludf.DUMMYFUNCTION("""COMPUTED_VALUE"""),"Active")</f>
        <v>Active</v>
      </c>
      <c r="P986" s="155">
        <f>IFERROR(__xludf.DUMMYFUNCTION("""COMPUTED_VALUE"""),33438.0)</f>
        <v>33438</v>
      </c>
      <c r="Q986" s="146">
        <f>IFERROR(__xludf.DUMMYFUNCTION("""COMPUTED_VALUE"""),9.49499665E8)</f>
        <v>949499665</v>
      </c>
      <c r="R986" s="147">
        <f>IFERROR(__xludf.DUMMYFUNCTION("""COMPUTED_VALUE"""),1.539900323142E12)</f>
        <v>1539900323142</v>
      </c>
      <c r="S986" t="str">
        <f>IFERROR(__xludf.DUMMYFUNCTION("""COMPUTED_VALUE"""),"AD1900989")</f>
        <v>AD1900989</v>
      </c>
      <c r="T986" s="148">
        <f>IFERROR(__xludf.DUMMYFUNCTION("""COMPUTED_VALUE"""),45488.0)</f>
        <v>45488</v>
      </c>
      <c r="U986" s="148">
        <f>IFERROR(__xludf.DUMMYFUNCTION("""COMPUTED_VALUE"""),49139.0)</f>
        <v>49139</v>
      </c>
      <c r="V986" s="149">
        <f>IFERROR(__xludf.DUMMYFUNCTION("""COMPUTED_VALUE"""),48958.0)</f>
        <v>48958</v>
      </c>
      <c r="W986" t="str">
        <f>IFERROR(__xludf.DUMMYFUNCTION("""COMPUTED_VALUE"""),"ปลอดภัย")</f>
        <v>ปลอดภัย</v>
      </c>
      <c r="X986" t="str">
        <f>IFERROR(__xludf.DUMMYFUNCTION("""COMPUTED_VALUE"""),"Uttaradit Province")</f>
        <v>Uttaradit Province</v>
      </c>
      <c r="Y986" t="str">
        <f>IFERROR(__xludf.DUMMYFUNCTION("""COMPUTED_VALUE"""),"Bangkok")</f>
        <v>Bangkok</v>
      </c>
      <c r="Z986" t="str">
        <f>IFERROR(__xludf.DUMMYFUNCTION("""COMPUTED_VALUE"""),"0865054509")</f>
        <v>0865054509</v>
      </c>
      <c r="AA986" t="str">
        <f>IFERROR(__xludf.DUMMYFUNCTION("""COMPUTED_VALUE"""),"นายอิฑยา สังขรัตน์ Friend")</f>
        <v>นายอิฑยา สังขรัตน์ Friend</v>
      </c>
      <c r="AB986" t="str">
        <f>IFERROR(__xludf.DUMMYFUNCTION("""COMPUTED_VALUE"""),"chanakarnritwanit@airasia.com")</f>
        <v>chanakarnritwanit@airasia.com</v>
      </c>
    </row>
    <row r="987">
      <c r="A987">
        <f>IFERROR(__xludf.DUMMYFUNCTION("""COMPUTED_VALUE"""),1025570.0)</f>
        <v>1025570</v>
      </c>
      <c r="B987" t="str">
        <f>IFERROR(__xludf.DUMMYFUNCTION("""COMPUTED_VALUE"""),"Ms.")</f>
        <v>Ms.</v>
      </c>
      <c r="C987" t="str">
        <f>IFERROR(__xludf.DUMMYFUNCTION("""COMPUTED_VALUE"""),"Chutima")</f>
        <v>Chutima</v>
      </c>
      <c r="D987" t="str">
        <f>IFERROR(__xludf.DUMMYFUNCTION("""COMPUTED_VALUE"""),"Pornitchayanon")</f>
        <v>Pornitchayanon</v>
      </c>
      <c r="E987" t="str">
        <f>IFERROR(__xludf.DUMMYFUNCTION("""COMPUTED_VALUE"""),"Chutima Pornitchayanon")</f>
        <v>Chutima Pornitchayanon</v>
      </c>
      <c r="F987" t="str">
        <f>IFERROR(__xludf.DUMMYFUNCTION("""COMPUTED_VALUE"""),"นางสาว")</f>
        <v>นางสาว</v>
      </c>
      <c r="G987" t="str">
        <f>IFERROR(__xludf.DUMMYFUNCTION("""COMPUTED_VALUE"""),"ชุติมา")</f>
        <v>ชุติมา</v>
      </c>
      <c r="H987" t="str">
        <f>IFERROR(__xludf.DUMMYFUNCTION("""COMPUTED_VALUE"""),"พรอิชยานนท์")</f>
        <v>พรอิชยานนท์</v>
      </c>
      <c r="I987" t="str">
        <f>IFERROR(__xludf.DUMMYFUNCTION("""COMPUTED_VALUE"""),"ชุติมา พรอิชยานนท์")</f>
        <v>ชุติมา พรอิชยานนท์</v>
      </c>
      <c r="J987" t="str">
        <f>IFERROR(__xludf.DUMMYFUNCTION("""COMPUTED_VALUE"""),"Gyb / กิ๊บ")</f>
        <v>Gyb / กิ๊บ</v>
      </c>
      <c r="K987" t="str">
        <f>IFERROR(__xludf.DUMMYFUNCTION("""COMPUTED_VALUE"""),"Cabin Crew")</f>
        <v>Cabin Crew</v>
      </c>
      <c r="L987" t="str">
        <f>IFERROR(__xludf.DUMMYFUNCTION("""COMPUTED_VALUE"""),"DMK")</f>
        <v>DMK</v>
      </c>
      <c r="M987" s="145" t="str">
        <f>IFERROR(__xludf.DUMMYFUNCTION("""COMPUTED_VALUE"""),"Um Home")</f>
        <v>Um Home</v>
      </c>
      <c r="N987" t="str">
        <f>IFERROR(__xludf.DUMMYFUNCTION("""COMPUTED_VALUE"""),"Active")</f>
        <v>Active</v>
      </c>
      <c r="P987" s="155">
        <f>IFERROR(__xludf.DUMMYFUNCTION("""COMPUTED_VALUE"""),34348.0)</f>
        <v>34348</v>
      </c>
      <c r="Q987" s="146">
        <f>IFERROR(__xludf.DUMMYFUNCTION("""COMPUTED_VALUE"""),9.26626594E8)</f>
        <v>926626594</v>
      </c>
      <c r="R987" s="147">
        <f>IFERROR(__xludf.DUMMYFUNCTION("""COMPUTED_VALUE"""),1.76990033441E12)</f>
        <v>1769900334410</v>
      </c>
      <c r="S987" t="str">
        <f>IFERROR(__xludf.DUMMYFUNCTION("""COMPUTED_VALUE"""),"AD1026972")</f>
        <v>AD1026972</v>
      </c>
      <c r="T987" s="148">
        <f>IFERROR(__xludf.DUMMYFUNCTION("""COMPUTED_VALUE"""),45047.0)</f>
        <v>45047</v>
      </c>
      <c r="U987" s="148">
        <f>IFERROR(__xludf.DUMMYFUNCTION("""COMPUTED_VALUE"""),48699.0)</f>
        <v>48699</v>
      </c>
      <c r="V987" s="149">
        <f>IFERROR(__xludf.DUMMYFUNCTION("""COMPUTED_VALUE"""),48517.0)</f>
        <v>48517</v>
      </c>
      <c r="W987" t="str">
        <f>IFERROR(__xludf.DUMMYFUNCTION("""COMPUTED_VALUE"""),"ปลอดภัย")</f>
        <v>ปลอดภัย</v>
      </c>
      <c r="X987" t="str">
        <f>IFERROR(__xludf.DUMMYFUNCTION("""COMPUTED_VALUE"""),"Phetchaburi Province")</f>
        <v>Phetchaburi Province</v>
      </c>
      <c r="Y987" t="str">
        <f>IFERROR(__xludf.DUMMYFUNCTION("""COMPUTED_VALUE"""),"PATHUMTANI")</f>
        <v>PATHUMTANI</v>
      </c>
      <c r="Z987" t="str">
        <f>IFERROR(__xludf.DUMMYFUNCTION("""COMPUTED_VALUE"""),"0926626594")</f>
        <v>0926626594</v>
      </c>
      <c r="AA987" t="str">
        <f>IFERROR(__xludf.DUMMYFUNCTION("""COMPUTED_VALUE"""),"นายสิทธิพันธ์ พรอิชยานนท์ Husband")</f>
        <v>นายสิทธิพันธ์ พรอิชยานนท์ Husband</v>
      </c>
      <c r="AB987" t="str">
        <f>IFERROR(__xludf.DUMMYFUNCTION("""COMPUTED_VALUE"""),"chutimapornitchayano@airasia.com")</f>
        <v>chutimapornitchayano@airasia.com</v>
      </c>
    </row>
    <row r="988">
      <c r="A988">
        <f>IFERROR(__xludf.DUMMYFUNCTION("""COMPUTED_VALUE"""),1025547.0)</f>
        <v>1025547</v>
      </c>
      <c r="B988" t="str">
        <f>IFERROR(__xludf.DUMMYFUNCTION("""COMPUTED_VALUE"""),"Ms.")</f>
        <v>Ms.</v>
      </c>
      <c r="C988" t="str">
        <f>IFERROR(__xludf.DUMMYFUNCTION("""COMPUTED_VALUE"""),"Jarumon")</f>
        <v>Jarumon</v>
      </c>
      <c r="D988" t="str">
        <f>IFERROR(__xludf.DUMMYFUNCTION("""COMPUTED_VALUE"""),"Iamkanthong")</f>
        <v>Iamkanthong</v>
      </c>
      <c r="E988" t="str">
        <f>IFERROR(__xludf.DUMMYFUNCTION("""COMPUTED_VALUE"""),"Jarumon Iamkanthong")</f>
        <v>Jarumon Iamkanthong</v>
      </c>
      <c r="F988" t="str">
        <f>IFERROR(__xludf.DUMMYFUNCTION("""COMPUTED_VALUE"""),"นางสาว")</f>
        <v>นางสาว</v>
      </c>
      <c r="G988" t="str">
        <f>IFERROR(__xludf.DUMMYFUNCTION("""COMPUTED_VALUE"""),"จารุมน")</f>
        <v>จารุมน</v>
      </c>
      <c r="H988" t="str">
        <f>IFERROR(__xludf.DUMMYFUNCTION("""COMPUTED_VALUE"""),"เอี่ยมขันทอง")</f>
        <v>เอี่ยมขันทอง</v>
      </c>
      <c r="I988" t="str">
        <f>IFERROR(__xludf.DUMMYFUNCTION("""COMPUTED_VALUE"""),"จารุมน เอี่ยมขันทอง")</f>
        <v>จารุมน เอี่ยมขันทอง</v>
      </c>
      <c r="J988" t="str">
        <f>IFERROR(__xludf.DUMMYFUNCTION("""COMPUTED_VALUE"""),"Jah/จ๋า")</f>
        <v>Jah/จ๋า</v>
      </c>
      <c r="K988" t="str">
        <f>IFERROR(__xludf.DUMMYFUNCTION("""COMPUTED_VALUE"""),"Cabin Crew")</f>
        <v>Cabin Crew</v>
      </c>
      <c r="L988" t="str">
        <f>IFERROR(__xludf.DUMMYFUNCTION("""COMPUTED_VALUE"""),"DMK")</f>
        <v>DMK</v>
      </c>
      <c r="M988" s="145" t="str">
        <f>IFERROR(__xludf.DUMMYFUNCTION("""COMPUTED_VALUE"""),"Kor Home")</f>
        <v>Kor Home</v>
      </c>
      <c r="N988" t="str">
        <f>IFERROR(__xludf.DUMMYFUNCTION("""COMPUTED_VALUE"""),"Active")</f>
        <v>Active</v>
      </c>
      <c r="P988" s="155">
        <f>IFERROR(__xludf.DUMMYFUNCTION("""COMPUTED_VALUE"""),32963.0)</f>
        <v>32963</v>
      </c>
      <c r="Q988" s="146">
        <f>IFERROR(__xludf.DUMMYFUNCTION("""COMPUTED_VALUE"""),9.94165536E8)</f>
        <v>994165536</v>
      </c>
      <c r="R988" s="147">
        <f>IFERROR(__xludf.DUMMYFUNCTION("""COMPUTED_VALUE"""),1.103700097392E12)</f>
        <v>1103700097392</v>
      </c>
      <c r="S988" t="str">
        <f>IFERROR(__xludf.DUMMYFUNCTION("""COMPUTED_VALUE"""),"AC3997308")</f>
        <v>AC3997308</v>
      </c>
      <c r="T988" s="148">
        <f>IFERROR(__xludf.DUMMYFUNCTION("""COMPUTED_VALUE"""),44812.0)</f>
        <v>44812</v>
      </c>
      <c r="U988" s="148">
        <f>IFERROR(__xludf.DUMMYFUNCTION("""COMPUTED_VALUE"""),48464.0)</f>
        <v>48464</v>
      </c>
      <c r="V988" s="149">
        <f>IFERROR(__xludf.DUMMYFUNCTION("""COMPUTED_VALUE"""),48280.0)</f>
        <v>48280</v>
      </c>
      <c r="W988" t="str">
        <f>IFERROR(__xludf.DUMMYFUNCTION("""COMPUTED_VALUE"""),"ปลอดภัย")</f>
        <v>ปลอดภัย</v>
      </c>
      <c r="X988" t="str">
        <f>IFERROR(__xludf.DUMMYFUNCTION("""COMPUTED_VALUE"""),"Bangkok")</f>
        <v>Bangkok</v>
      </c>
      <c r="Y988" t="str">
        <f>IFERROR(__xludf.DUMMYFUNCTION("""COMPUTED_VALUE"""),"Bangkok")</f>
        <v>Bangkok</v>
      </c>
      <c r="Z988" t="str">
        <f>IFERROR(__xludf.DUMMYFUNCTION("""COMPUTED_VALUE"""),"0994165536")</f>
        <v>0994165536</v>
      </c>
      <c r="AA988" t="str">
        <f>IFERROR(__xludf.DUMMYFUNCTION("""COMPUTED_VALUE"""),"นายกิตติธัช แดงอุดม Friend")</f>
        <v>นายกิตติธัช แดงอุดม Friend</v>
      </c>
      <c r="AB988" t="str">
        <f>IFERROR(__xludf.DUMMYFUNCTION("""COMPUTED_VALUE"""),"jarumoniamkanthong@airasia.com")</f>
        <v>jarumoniamkanthong@airasia.com</v>
      </c>
    </row>
    <row r="989">
      <c r="A989">
        <f>IFERROR(__xludf.DUMMYFUNCTION("""COMPUTED_VALUE"""),1025202.0)</f>
        <v>1025202</v>
      </c>
      <c r="B989" t="str">
        <f>IFERROR(__xludf.DUMMYFUNCTION("""COMPUTED_VALUE"""),"Ms.")</f>
        <v>Ms.</v>
      </c>
      <c r="C989" t="str">
        <f>IFERROR(__xludf.DUMMYFUNCTION("""COMPUTED_VALUE"""),"Kamonnut")</f>
        <v>Kamonnut</v>
      </c>
      <c r="D989" t="str">
        <f>IFERROR(__xludf.DUMMYFUNCTION("""COMPUTED_VALUE"""),"Kucharoenphisan")</f>
        <v>Kucharoenphisan</v>
      </c>
      <c r="E989" t="str">
        <f>IFERROR(__xludf.DUMMYFUNCTION("""COMPUTED_VALUE"""),"Kamonnut Kucharoenphisan")</f>
        <v>Kamonnut Kucharoenphisan</v>
      </c>
      <c r="F989" t="str">
        <f>IFERROR(__xludf.DUMMYFUNCTION("""COMPUTED_VALUE"""),"นางสาว")</f>
        <v>นางสาว</v>
      </c>
      <c r="G989" t="str">
        <f>IFERROR(__xludf.DUMMYFUNCTION("""COMPUTED_VALUE"""),"กมลนัทธ์")</f>
        <v>กมลนัทธ์</v>
      </c>
      <c r="H989" t="str">
        <f>IFERROR(__xludf.DUMMYFUNCTION("""COMPUTED_VALUE"""),"คูเจริญไพศาล")</f>
        <v>คูเจริญไพศาล</v>
      </c>
      <c r="I989" t="str">
        <f>IFERROR(__xludf.DUMMYFUNCTION("""COMPUTED_VALUE"""),"กมลนัทธ์ คูเจริญไพศาล")</f>
        <v>กมลนัทธ์ คูเจริญไพศาล</v>
      </c>
      <c r="J989" t="str">
        <f>IFERROR(__xludf.DUMMYFUNCTION("""COMPUTED_VALUE"""),"Nut")</f>
        <v>Nut</v>
      </c>
      <c r="K989" t="str">
        <f>IFERROR(__xludf.DUMMYFUNCTION("""COMPUTED_VALUE"""),"Cabin Crew")</f>
        <v>Cabin Crew</v>
      </c>
      <c r="L989" t="str">
        <f>IFERROR(__xludf.DUMMYFUNCTION("""COMPUTED_VALUE"""),"DMK")</f>
        <v>DMK</v>
      </c>
      <c r="M989" s="145" t="str">
        <f>IFERROR(__xludf.DUMMYFUNCTION("""COMPUTED_VALUE"""),"Namfon Home")</f>
        <v>Namfon Home</v>
      </c>
      <c r="N989" t="str">
        <f>IFERROR(__xludf.DUMMYFUNCTION("""COMPUTED_VALUE"""),"Active")</f>
        <v>Active</v>
      </c>
      <c r="P989" s="155">
        <f>IFERROR(__xludf.DUMMYFUNCTION("""COMPUTED_VALUE"""),34827.0)</f>
        <v>34827</v>
      </c>
      <c r="Q989" s="146" t="str">
        <f>IFERROR(__xludf.DUMMYFUNCTION("""COMPUTED_VALUE"""),"089-4099762")</f>
        <v>089-4099762</v>
      </c>
      <c r="R989" s="147">
        <f>IFERROR(__xludf.DUMMYFUNCTION("""COMPUTED_VALUE"""),1.749900437588E12)</f>
        <v>1749900437588</v>
      </c>
      <c r="S989" t="str">
        <f>IFERROR(__xludf.DUMMYFUNCTION("""COMPUTED_VALUE"""),"AC8036331")</f>
        <v>AC8036331</v>
      </c>
      <c r="T989" s="148">
        <f>IFERROR(__xludf.DUMMYFUNCTION("""COMPUTED_VALUE"""),45706.0)</f>
        <v>45706</v>
      </c>
      <c r="U989" s="148">
        <f>IFERROR(__xludf.DUMMYFUNCTION("""COMPUTED_VALUE"""),49357.0)</f>
        <v>49357</v>
      </c>
      <c r="V989" s="149">
        <f>IFERROR(__xludf.DUMMYFUNCTION("""COMPUTED_VALUE"""),49173.0)</f>
        <v>49173</v>
      </c>
      <c r="W989" t="str">
        <f>IFERROR(__xludf.DUMMYFUNCTION("""COMPUTED_VALUE"""),"ปลอดภัย")</f>
        <v>ปลอดภัย</v>
      </c>
      <c r="X989" t="str">
        <f>IFERROR(__xludf.DUMMYFUNCTION("""COMPUTED_VALUE"""),"Samut Sakhon Province")</f>
        <v>Samut Sakhon Province</v>
      </c>
      <c r="Y989" t="str">
        <f>IFERROR(__xludf.DUMMYFUNCTION("""COMPUTED_VALUE"""),"Bangkok")</f>
        <v>Bangkok</v>
      </c>
      <c r="Z989" t="str">
        <f>IFERROR(__xludf.DUMMYFUNCTION("""COMPUTED_VALUE"""),"0847744678")</f>
        <v>0847744678</v>
      </c>
      <c r="AA989" t="str">
        <f>IFERROR(__xludf.DUMMYFUNCTION("""COMPUTED_VALUE"""),"นายภูริช วัฒนพานิชกิจ Friend")</f>
        <v>นายภูริช วัฒนพานิชกิจ Friend</v>
      </c>
      <c r="AB989" t="str">
        <f>IFERROR(__xludf.DUMMYFUNCTION("""COMPUTED_VALUE"""),"kamonnutkucharoenph@airasia.com")</f>
        <v>kamonnutkucharoenph@airasia.com</v>
      </c>
    </row>
    <row r="990">
      <c r="A990">
        <f>IFERROR(__xludf.DUMMYFUNCTION("""COMPUTED_VALUE"""),1025550.0)</f>
        <v>1025550</v>
      </c>
      <c r="B990" t="str">
        <f>IFERROR(__xludf.DUMMYFUNCTION("""COMPUTED_VALUE"""),"Mr.")</f>
        <v>Mr.</v>
      </c>
      <c r="C990" t="str">
        <f>IFERROR(__xludf.DUMMYFUNCTION("""COMPUTED_VALUE"""),"Kathabhon")</f>
        <v>Kathabhon</v>
      </c>
      <c r="D990" t="str">
        <f>IFERROR(__xludf.DUMMYFUNCTION("""COMPUTED_VALUE"""),"Thanalerdsobhon")</f>
        <v>Thanalerdsobhon</v>
      </c>
      <c r="E990" t="str">
        <f>IFERROR(__xludf.DUMMYFUNCTION("""COMPUTED_VALUE"""),"Kathabhon Thanalerdsobhon")</f>
        <v>Kathabhon Thanalerdsobhon</v>
      </c>
      <c r="F990" t="str">
        <f>IFERROR(__xludf.DUMMYFUNCTION("""COMPUTED_VALUE"""),"นาย")</f>
        <v>นาย</v>
      </c>
      <c r="G990" t="str">
        <f>IFERROR(__xludf.DUMMYFUNCTION("""COMPUTED_VALUE"""),"คฑาภณ")</f>
        <v>คฑาภณ</v>
      </c>
      <c r="H990" t="str">
        <f>IFERROR(__xludf.DUMMYFUNCTION("""COMPUTED_VALUE"""),"ธนเลิศโสภณ")</f>
        <v>ธนเลิศโสภณ</v>
      </c>
      <c r="I990" t="str">
        <f>IFERROR(__xludf.DUMMYFUNCTION("""COMPUTED_VALUE"""),"คฑาภณ ธนเลิศโสภณ")</f>
        <v>คฑาภณ ธนเลิศโสภณ</v>
      </c>
      <c r="J990" t="str">
        <f>IFERROR(__xludf.DUMMYFUNCTION("""COMPUTED_VALUE"""),"คฑา")</f>
        <v>คฑา</v>
      </c>
      <c r="K990" t="str">
        <f>IFERROR(__xludf.DUMMYFUNCTION("""COMPUTED_VALUE"""),"Cabin Crew")</f>
        <v>Cabin Crew</v>
      </c>
      <c r="L990" t="str">
        <f>IFERROR(__xludf.DUMMYFUNCTION("""COMPUTED_VALUE"""),"DMK")</f>
        <v>DMK</v>
      </c>
      <c r="M990" s="145" t="str">
        <f>IFERROR(__xludf.DUMMYFUNCTION("""COMPUTED_VALUE"""),"Um Home")</f>
        <v>Um Home</v>
      </c>
      <c r="N990" t="str">
        <f>IFERROR(__xludf.DUMMYFUNCTION("""COMPUTED_VALUE"""),"Active")</f>
        <v>Active</v>
      </c>
      <c r="P990" s="155">
        <f>IFERROR(__xludf.DUMMYFUNCTION("""COMPUTED_VALUE"""),34191.0)</f>
        <v>34191</v>
      </c>
      <c r="Q990" s="146">
        <f>IFERROR(__xludf.DUMMYFUNCTION("""COMPUTED_VALUE"""),8.19151548E8)</f>
        <v>819151548</v>
      </c>
      <c r="R990" s="147">
        <f>IFERROR(__xludf.DUMMYFUNCTION("""COMPUTED_VALUE"""),1.101700132366E12)</f>
        <v>1101700132366</v>
      </c>
      <c r="S990" t="str">
        <f>IFERROR(__xludf.DUMMYFUNCTION("""COMPUTED_VALUE"""),"AC4916280")</f>
        <v>AC4916280</v>
      </c>
      <c r="T990" s="148">
        <f>IFERROR(__xludf.DUMMYFUNCTION("""COMPUTED_VALUE"""),45054.0)</f>
        <v>45054</v>
      </c>
      <c r="U990" s="148">
        <f>IFERROR(__xludf.DUMMYFUNCTION("""COMPUTED_VALUE"""),48706.0)</f>
        <v>48706</v>
      </c>
      <c r="V990" s="149">
        <f>IFERROR(__xludf.DUMMYFUNCTION("""COMPUTED_VALUE"""),48525.0)</f>
        <v>48525</v>
      </c>
      <c r="W990" t="str">
        <f>IFERROR(__xludf.DUMMYFUNCTION("""COMPUTED_VALUE"""),"ปลอดภัย")</f>
        <v>ปลอดภัย</v>
      </c>
      <c r="X990" t="str">
        <f>IFERROR(__xludf.DUMMYFUNCTION("""COMPUTED_VALUE"""),"Bangkok")</f>
        <v>Bangkok</v>
      </c>
      <c r="Y990" t="str">
        <f>IFERROR(__xludf.DUMMYFUNCTION("""COMPUTED_VALUE"""),"Bangkok")</f>
        <v>Bangkok</v>
      </c>
      <c r="Z990" t="str">
        <f>IFERROR(__xludf.DUMMYFUNCTION("""COMPUTED_VALUE"""),"0947918642")</f>
        <v>0947918642</v>
      </c>
      <c r="AA990" t="str">
        <f>IFERROR(__xludf.DUMMYFUNCTION("""COMPUTED_VALUE"""),"นายธนกร ธนเลิศโสภณ Father")</f>
        <v>นายธนกร ธนเลิศโสภณ Father</v>
      </c>
      <c r="AB990" t="str">
        <f>IFERROR(__xludf.DUMMYFUNCTION("""COMPUTED_VALUE"""),"kathabhonthanalerds@airasia.com")</f>
        <v>kathabhonthanalerds@airasia.com</v>
      </c>
    </row>
    <row r="991">
      <c r="A991">
        <f>IFERROR(__xludf.DUMMYFUNCTION("""COMPUTED_VALUE"""),1025575.0)</f>
        <v>1025575</v>
      </c>
      <c r="B991" t="str">
        <f>IFERROR(__xludf.DUMMYFUNCTION("""COMPUTED_VALUE"""),"Ms.")</f>
        <v>Ms.</v>
      </c>
      <c r="C991" t="str">
        <f>IFERROR(__xludf.DUMMYFUNCTION("""COMPUTED_VALUE"""),"Krissana")</f>
        <v>Krissana</v>
      </c>
      <c r="D991" t="str">
        <f>IFERROR(__xludf.DUMMYFUNCTION("""COMPUTED_VALUE"""),"Thanumas")</f>
        <v>Thanumas</v>
      </c>
      <c r="E991" t="str">
        <f>IFERROR(__xludf.DUMMYFUNCTION("""COMPUTED_VALUE"""),"Krissana Thanumas")</f>
        <v>Krissana Thanumas</v>
      </c>
      <c r="F991" t="str">
        <f>IFERROR(__xludf.DUMMYFUNCTION("""COMPUTED_VALUE"""),"นางสาว")</f>
        <v>นางสาว</v>
      </c>
      <c r="G991" t="str">
        <f>IFERROR(__xludf.DUMMYFUNCTION("""COMPUTED_VALUE"""),"กฤษณา")</f>
        <v>กฤษณา</v>
      </c>
      <c r="H991" t="str">
        <f>IFERROR(__xludf.DUMMYFUNCTION("""COMPUTED_VALUE"""),"ธนูมาศ")</f>
        <v>ธนูมาศ</v>
      </c>
      <c r="I991" t="str">
        <f>IFERROR(__xludf.DUMMYFUNCTION("""COMPUTED_VALUE"""),"กฤษณา ธนูมาศ")</f>
        <v>กฤษณา ธนูมาศ</v>
      </c>
      <c r="J991" t="str">
        <f>IFERROR(__xludf.DUMMYFUNCTION("""COMPUTED_VALUE"""),"Kob / กบ")</f>
        <v>Kob / กบ</v>
      </c>
      <c r="K991" t="str">
        <f>IFERROR(__xludf.DUMMYFUNCTION("""COMPUTED_VALUE"""),"Cabin Crew")</f>
        <v>Cabin Crew</v>
      </c>
      <c r="L991" t="str">
        <f>IFERROR(__xludf.DUMMYFUNCTION("""COMPUTED_VALUE"""),"DMK")</f>
        <v>DMK</v>
      </c>
      <c r="M991" s="145" t="str">
        <f>IFERROR(__xludf.DUMMYFUNCTION("""COMPUTED_VALUE"""),"Um Home")</f>
        <v>Um Home</v>
      </c>
      <c r="N991" t="str">
        <f>IFERROR(__xludf.DUMMYFUNCTION("""COMPUTED_VALUE"""),"Active")</f>
        <v>Active</v>
      </c>
      <c r="P991" s="155">
        <f>IFERROR(__xludf.DUMMYFUNCTION("""COMPUTED_VALUE"""),33131.0)</f>
        <v>33131</v>
      </c>
      <c r="Q991" s="146">
        <f>IFERROR(__xludf.DUMMYFUNCTION("""COMPUTED_VALUE"""),8.29514936E8)</f>
        <v>829514936</v>
      </c>
      <c r="R991" s="147">
        <f>IFERROR(__xludf.DUMMYFUNCTION("""COMPUTED_VALUE"""),1.100500442646E12)</f>
        <v>1100500442646</v>
      </c>
      <c r="S991" t="str">
        <f>IFERROR(__xludf.DUMMYFUNCTION("""COMPUTED_VALUE"""),"AC2847954")</f>
        <v>AC2847954</v>
      </c>
      <c r="T991" s="148">
        <f>IFERROR(__xludf.DUMMYFUNCTION("""COMPUTED_VALUE"""),44529.0)</f>
        <v>44529</v>
      </c>
      <c r="U991" s="148">
        <f>IFERROR(__xludf.DUMMYFUNCTION("""COMPUTED_VALUE"""),48180.0)</f>
        <v>48180</v>
      </c>
      <c r="V991" s="149">
        <f>IFERROR(__xludf.DUMMYFUNCTION("""COMPUTED_VALUE"""),47996.0)</f>
        <v>47996</v>
      </c>
      <c r="W991" t="str">
        <f>IFERROR(__xludf.DUMMYFUNCTION("""COMPUTED_VALUE"""),"ปลอดภัย")</f>
        <v>ปลอดภัย</v>
      </c>
      <c r="X991" t="str">
        <f>IFERROR(__xludf.DUMMYFUNCTION("""COMPUTED_VALUE"""),"Bangkok")</f>
        <v>Bangkok</v>
      </c>
      <c r="Y991" t="str">
        <f>IFERROR(__xludf.DUMMYFUNCTION("""COMPUTED_VALUE"""),"PATHUMTANI")</f>
        <v>PATHUMTANI</v>
      </c>
      <c r="Z991" t="str">
        <f>IFERROR(__xludf.DUMMYFUNCTION("""COMPUTED_VALUE"""),"0894424636")</f>
        <v>0894424636</v>
      </c>
      <c r="AA991" t="str">
        <f>IFERROR(__xludf.DUMMYFUNCTION("""COMPUTED_VALUE"""),"พิลาลักษณ์ ธนูมาศ  Sister")</f>
        <v>พิลาลักษณ์ ธนูมาศ  Sister</v>
      </c>
      <c r="AB991" t="str">
        <f>IFERROR(__xludf.DUMMYFUNCTION("""COMPUTED_VALUE"""),"krissanathanumas@airasia.com")</f>
        <v>krissanathanumas@airasia.com</v>
      </c>
    </row>
    <row r="992">
      <c r="A992">
        <f>IFERROR(__xludf.DUMMYFUNCTION("""COMPUTED_VALUE"""),1025554.0)</f>
        <v>1025554</v>
      </c>
      <c r="B992" t="str">
        <f>IFERROR(__xludf.DUMMYFUNCTION("""COMPUTED_VALUE"""),"Ms.")</f>
        <v>Ms.</v>
      </c>
      <c r="C992" t="str">
        <f>IFERROR(__xludf.DUMMYFUNCTION("""COMPUTED_VALUE"""),"Nidchapa")</f>
        <v>Nidchapa</v>
      </c>
      <c r="D992" t="str">
        <f>IFERROR(__xludf.DUMMYFUNCTION("""COMPUTED_VALUE"""),"Vichaidist")</f>
        <v>Vichaidist</v>
      </c>
      <c r="E992" t="str">
        <f>IFERROR(__xludf.DUMMYFUNCTION("""COMPUTED_VALUE"""),"Nidchapa Vichaidist")</f>
        <v>Nidchapa Vichaidist</v>
      </c>
      <c r="F992" t="str">
        <f>IFERROR(__xludf.DUMMYFUNCTION("""COMPUTED_VALUE"""),"นางสาว")</f>
        <v>นางสาว</v>
      </c>
      <c r="G992" t="str">
        <f>IFERROR(__xludf.DUMMYFUNCTION("""COMPUTED_VALUE"""),"ณิชาภา")</f>
        <v>ณิชาภา</v>
      </c>
      <c r="H992" t="str">
        <f>IFERROR(__xludf.DUMMYFUNCTION("""COMPUTED_VALUE"""),"วิชัยดิษฐ")</f>
        <v>วิชัยดิษฐ</v>
      </c>
      <c r="I992" t="str">
        <f>IFERROR(__xludf.DUMMYFUNCTION("""COMPUTED_VALUE"""),"ณิชาภา วิชัยดิษฐ")</f>
        <v>ณิชาภา วิชัยดิษฐ</v>
      </c>
      <c r="J992" t="str">
        <f>IFERROR(__xludf.DUMMYFUNCTION("""COMPUTED_VALUE"""),"First / เฟิส")</f>
        <v>First / เฟิส</v>
      </c>
      <c r="K992" t="str">
        <f>IFERROR(__xludf.DUMMYFUNCTION("""COMPUTED_VALUE"""),"Cabin Crew")</f>
        <v>Cabin Crew</v>
      </c>
      <c r="L992" t="str">
        <f>IFERROR(__xludf.DUMMYFUNCTION("""COMPUTED_VALUE"""),"DMK")</f>
        <v>DMK</v>
      </c>
      <c r="M992" s="145" t="str">
        <f>IFERROR(__xludf.DUMMYFUNCTION("""COMPUTED_VALUE"""),"Namfon Home")</f>
        <v>Namfon Home</v>
      </c>
      <c r="N992" t="str">
        <f>IFERROR(__xludf.DUMMYFUNCTION("""COMPUTED_VALUE"""),"Active")</f>
        <v>Active</v>
      </c>
      <c r="P992" s="155">
        <f>IFERROR(__xludf.DUMMYFUNCTION("""COMPUTED_VALUE"""),34452.0)</f>
        <v>34452</v>
      </c>
      <c r="Q992" s="146">
        <f>IFERROR(__xludf.DUMMYFUNCTION("""COMPUTED_VALUE"""),8.35149619E8)</f>
        <v>835149619</v>
      </c>
      <c r="R992" s="147">
        <f>IFERROR(__xludf.DUMMYFUNCTION("""COMPUTED_VALUE"""),1.100400693345E12)</f>
        <v>1100400693345</v>
      </c>
      <c r="S992" t="str">
        <f>IFERROR(__xludf.DUMMYFUNCTION("""COMPUTED_VALUE"""),"AC5069573")</f>
        <v>AC5069573</v>
      </c>
      <c r="T992" s="148">
        <f>IFERROR(__xludf.DUMMYFUNCTION("""COMPUTED_VALUE"""),45077.0)</f>
        <v>45077</v>
      </c>
      <c r="U992" s="148">
        <f>IFERROR(__xludf.DUMMYFUNCTION("""COMPUTED_VALUE"""),48729.0)</f>
        <v>48729</v>
      </c>
      <c r="V992" s="149">
        <f>IFERROR(__xludf.DUMMYFUNCTION("""COMPUTED_VALUE"""),48548.0)</f>
        <v>48548</v>
      </c>
      <c r="W992" t="str">
        <f>IFERROR(__xludf.DUMMYFUNCTION("""COMPUTED_VALUE"""),"ปลอดภัย")</f>
        <v>ปลอดภัย</v>
      </c>
      <c r="X992" t="str">
        <f>IFERROR(__xludf.DUMMYFUNCTION("""COMPUTED_VALUE"""),"Bangkok")</f>
        <v>Bangkok</v>
      </c>
      <c r="Y992" t="str">
        <f>IFERROR(__xludf.DUMMYFUNCTION("""COMPUTED_VALUE"""),"Bangkok")</f>
        <v>Bangkok</v>
      </c>
      <c r="Z992" t="str">
        <f>IFERROR(__xludf.DUMMYFUNCTION("""COMPUTED_VALUE"""),"0891848011")</f>
        <v>0891848011</v>
      </c>
      <c r="AA992" t="str">
        <f>IFERROR(__xludf.DUMMYFUNCTION("""COMPUTED_VALUE"""),"นางปัทมาพร วิชัยดิษฐ Mother")</f>
        <v>นางปัทมาพร วิชัยดิษฐ Mother</v>
      </c>
      <c r="AB992" t="str">
        <f>IFERROR(__xludf.DUMMYFUNCTION("""COMPUTED_VALUE"""),"nidchapavichaidist@airasia.com")</f>
        <v>nidchapavichaidist@airasia.com</v>
      </c>
    </row>
    <row r="993">
      <c r="A993">
        <f>IFERROR(__xludf.DUMMYFUNCTION("""COMPUTED_VALUE"""),1014079.0)</f>
        <v>1014079</v>
      </c>
      <c r="B993" t="str">
        <f>IFERROR(__xludf.DUMMYFUNCTION("""COMPUTED_VALUE"""),"Ms.")</f>
        <v>Ms.</v>
      </c>
      <c r="C993" t="str">
        <f>IFERROR(__xludf.DUMMYFUNCTION("""COMPUTED_VALUE"""),"Patcharin")</f>
        <v>Patcharin</v>
      </c>
      <c r="D993" t="str">
        <f>IFERROR(__xludf.DUMMYFUNCTION("""COMPUTED_VALUE"""),"Yenkaew")</f>
        <v>Yenkaew</v>
      </c>
      <c r="E993" t="str">
        <f>IFERROR(__xludf.DUMMYFUNCTION("""COMPUTED_VALUE"""),"Patcharin Yenkaew")</f>
        <v>Patcharin Yenkaew</v>
      </c>
      <c r="F993" t="str">
        <f>IFERROR(__xludf.DUMMYFUNCTION("""COMPUTED_VALUE"""),"นางสาว")</f>
        <v>นางสาว</v>
      </c>
      <c r="G993" t="str">
        <f>IFERROR(__xludf.DUMMYFUNCTION("""COMPUTED_VALUE"""),"พัชรินทร์")</f>
        <v>พัชรินทร์</v>
      </c>
      <c r="H993" t="str">
        <f>IFERROR(__xludf.DUMMYFUNCTION("""COMPUTED_VALUE"""),"เย็นแก้ว")</f>
        <v>เย็นแก้ว</v>
      </c>
      <c r="I993" t="str">
        <f>IFERROR(__xludf.DUMMYFUNCTION("""COMPUTED_VALUE"""),"พัชรินทร์ เย็นแก้ว")</f>
        <v>พัชรินทร์ เย็นแก้ว</v>
      </c>
      <c r="J993" t="str">
        <f>IFERROR(__xludf.DUMMYFUNCTION("""COMPUTED_VALUE"""),"มิ้ม")</f>
        <v>มิ้ม</v>
      </c>
      <c r="K993" t="str">
        <f>IFERROR(__xludf.DUMMYFUNCTION("""COMPUTED_VALUE"""),"Cabin Crew")</f>
        <v>Cabin Crew</v>
      </c>
      <c r="L993" t="str">
        <f>IFERROR(__xludf.DUMMYFUNCTION("""COMPUTED_VALUE"""),"DMK")</f>
        <v>DMK</v>
      </c>
      <c r="M993" s="145" t="str">
        <f>IFERROR(__xludf.DUMMYFUNCTION("""COMPUTED_VALUE"""),"Kor Home")</f>
        <v>Kor Home</v>
      </c>
      <c r="N993" t="str">
        <f>IFERROR(__xludf.DUMMYFUNCTION("""COMPUTED_VALUE"""),"Active")</f>
        <v>Active</v>
      </c>
      <c r="P993" s="155">
        <f>IFERROR(__xludf.DUMMYFUNCTION("""COMPUTED_VALUE"""),32917.0)</f>
        <v>32917</v>
      </c>
      <c r="Q993" s="146" t="str">
        <f>IFERROR(__xludf.DUMMYFUNCTION("""COMPUTED_VALUE"""),"084-6245195")</f>
        <v>084-6245195</v>
      </c>
      <c r="R993" s="147">
        <f>IFERROR(__xludf.DUMMYFUNCTION("""COMPUTED_VALUE"""),1.300200129452E12)</f>
        <v>1300200129452</v>
      </c>
      <c r="S993" t="str">
        <f>IFERROR(__xludf.DUMMYFUNCTION("""COMPUTED_VALUE"""),"AC2991317")</f>
        <v>AC2991317</v>
      </c>
      <c r="T993" s="148">
        <f>IFERROR(__xludf.DUMMYFUNCTION("""COMPUTED_VALUE"""),45016.0)</f>
        <v>45016</v>
      </c>
      <c r="U993" s="148">
        <f>IFERROR(__xludf.DUMMYFUNCTION("""COMPUTED_VALUE"""),48303.0)</f>
        <v>48303</v>
      </c>
      <c r="V993" s="149">
        <f>IFERROR(__xludf.DUMMYFUNCTION("""COMPUTED_VALUE"""),48121.0)</f>
        <v>48121</v>
      </c>
      <c r="W993" t="str">
        <f>IFERROR(__xludf.DUMMYFUNCTION("""COMPUTED_VALUE"""),"ปลอดภัย")</f>
        <v>ปลอดภัย</v>
      </c>
      <c r="X993" t="str">
        <f>IFERROR(__xludf.DUMMYFUNCTION("""COMPUTED_VALUE"""),"Nakhon Ratchasima Province")</f>
        <v>Nakhon Ratchasima Province</v>
      </c>
      <c r="Y993" t="str">
        <f>IFERROR(__xludf.DUMMYFUNCTION("""COMPUTED_VALUE"""),"Bangkok")</f>
        <v>Bangkok</v>
      </c>
      <c r="Z993" t="str">
        <f>IFERROR(__xludf.DUMMYFUNCTION("""COMPUTED_VALUE"""),"087-3112213")</f>
        <v>087-3112213</v>
      </c>
      <c r="AA993" t="str">
        <f>IFERROR(__xludf.DUMMYFUNCTION("""COMPUTED_VALUE"""),"นางจันทร์แดง เย็นแก้ว Mother")</f>
        <v>นางจันทร์แดง เย็นแก้ว Mother</v>
      </c>
      <c r="AB993" t="str">
        <f>IFERROR(__xludf.DUMMYFUNCTION("""COMPUTED_VALUE"""),"patchariny@airasia.com")</f>
        <v>patchariny@airasia.com</v>
      </c>
    </row>
    <row r="994">
      <c r="A994">
        <f>IFERROR(__xludf.DUMMYFUNCTION("""COMPUTED_VALUE"""),1025545.0)</f>
        <v>1025545</v>
      </c>
      <c r="B994" t="str">
        <f>IFERROR(__xludf.DUMMYFUNCTION("""COMPUTED_VALUE"""),"Ms.")</f>
        <v>Ms.</v>
      </c>
      <c r="C994" t="str">
        <f>IFERROR(__xludf.DUMMYFUNCTION("""COMPUTED_VALUE"""),"Pattanan")</f>
        <v>Pattanan</v>
      </c>
      <c r="D994" t="str">
        <f>IFERROR(__xludf.DUMMYFUNCTION("""COMPUTED_VALUE"""),"Joompadong")</f>
        <v>Joompadong</v>
      </c>
      <c r="E994" t="str">
        <f>IFERROR(__xludf.DUMMYFUNCTION("""COMPUTED_VALUE"""),"Pattanan Joompadong")</f>
        <v>Pattanan Joompadong</v>
      </c>
      <c r="F994" t="str">
        <f>IFERROR(__xludf.DUMMYFUNCTION("""COMPUTED_VALUE"""),"นางสาว")</f>
        <v>นางสาว</v>
      </c>
      <c r="G994" t="str">
        <f>IFERROR(__xludf.DUMMYFUNCTION("""COMPUTED_VALUE"""),"พัทธนันท์")</f>
        <v>พัทธนันท์</v>
      </c>
      <c r="H994" t="str">
        <f>IFERROR(__xludf.DUMMYFUNCTION("""COMPUTED_VALUE"""),"จุมปาดง")</f>
        <v>จุมปาดง</v>
      </c>
      <c r="I994" t="str">
        <f>IFERROR(__xludf.DUMMYFUNCTION("""COMPUTED_VALUE"""),"พัทธนันท์ จุมปาดง")</f>
        <v>พัทธนันท์ จุมปาดง</v>
      </c>
      <c r="J994" t="str">
        <f>IFERROR(__xludf.DUMMYFUNCTION("""COMPUTED_VALUE"""),"Dumilk / ดูมิ้ลค์")</f>
        <v>Dumilk / ดูมิ้ลค์</v>
      </c>
      <c r="K994" t="str">
        <f>IFERROR(__xludf.DUMMYFUNCTION("""COMPUTED_VALUE"""),"Cabin Crew")</f>
        <v>Cabin Crew</v>
      </c>
      <c r="L994" t="str">
        <f>IFERROR(__xludf.DUMMYFUNCTION("""COMPUTED_VALUE"""),"DMK")</f>
        <v>DMK</v>
      </c>
      <c r="M994" s="145" t="str">
        <f>IFERROR(__xludf.DUMMYFUNCTION("""COMPUTED_VALUE"""),"Namfon Home")</f>
        <v>Namfon Home</v>
      </c>
      <c r="N994" t="str">
        <f>IFERROR(__xludf.DUMMYFUNCTION("""COMPUTED_VALUE"""),"Active")</f>
        <v>Active</v>
      </c>
      <c r="P994" s="155">
        <f>IFERROR(__xludf.DUMMYFUNCTION("""COMPUTED_VALUE"""),32923.0)</f>
        <v>32923</v>
      </c>
      <c r="Q994" s="146">
        <f>IFERROR(__xludf.DUMMYFUNCTION("""COMPUTED_VALUE"""),8.82525907E8)</f>
        <v>882525907</v>
      </c>
      <c r="R994" s="147">
        <f>IFERROR(__xludf.DUMMYFUNCTION("""COMPUTED_VALUE"""),1.509900834759E12)</f>
        <v>1509900834759</v>
      </c>
      <c r="S994" t="str">
        <f>IFERROR(__xludf.DUMMYFUNCTION("""COMPUTED_VALUE"""),"AC5474794")</f>
        <v>AC5474794</v>
      </c>
      <c r="T994" s="148">
        <f>IFERROR(__xludf.DUMMYFUNCTION("""COMPUTED_VALUE"""),45147.0)</f>
        <v>45147</v>
      </c>
      <c r="U994" s="148">
        <f>IFERROR(__xludf.DUMMYFUNCTION("""COMPUTED_VALUE"""),48799.0)</f>
        <v>48799</v>
      </c>
      <c r="V994" s="149">
        <f>IFERROR(__xludf.DUMMYFUNCTION("""COMPUTED_VALUE"""),48618.0)</f>
        <v>48618</v>
      </c>
      <c r="W994" t="str">
        <f>IFERROR(__xludf.DUMMYFUNCTION("""COMPUTED_VALUE"""),"ปลอดภัย")</f>
        <v>ปลอดภัย</v>
      </c>
      <c r="X994" t="str">
        <f>IFERROR(__xludf.DUMMYFUNCTION("""COMPUTED_VALUE"""),"Chiang Mai Province")</f>
        <v>Chiang Mai Province</v>
      </c>
      <c r="Y994" t="str">
        <f>IFERROR(__xludf.DUMMYFUNCTION("""COMPUTED_VALUE"""),"PATHUMTANI")</f>
        <v>PATHUMTANI</v>
      </c>
      <c r="Z994" t="str">
        <f>IFERROR(__xludf.DUMMYFUNCTION("""COMPUTED_VALUE"""),"0891133869")</f>
        <v>0891133869</v>
      </c>
      <c r="AA994" t="str">
        <f>IFERROR(__xludf.DUMMYFUNCTION("""COMPUTED_VALUE"""),"เมธาวี นิธิกาญจน์ Husband")</f>
        <v>เมธาวี นิธิกาญจน์ Husband</v>
      </c>
      <c r="AB994" t="str">
        <f>IFERROR(__xludf.DUMMYFUNCTION("""COMPUTED_VALUE"""),"pattananjoompadong@airasia.com")</f>
        <v>pattananjoompadong@airasia.com</v>
      </c>
    </row>
    <row r="995">
      <c r="A995">
        <f>IFERROR(__xludf.DUMMYFUNCTION("""COMPUTED_VALUE"""),1025204.0)</f>
        <v>1025204</v>
      </c>
      <c r="B995" t="str">
        <f>IFERROR(__xludf.DUMMYFUNCTION("""COMPUTED_VALUE"""),"Mr.")</f>
        <v>Mr.</v>
      </c>
      <c r="C995" t="str">
        <f>IFERROR(__xludf.DUMMYFUNCTION("""COMPUTED_VALUE"""),"Pavich")</f>
        <v>Pavich</v>
      </c>
      <c r="D995" t="str">
        <f>IFERROR(__xludf.DUMMYFUNCTION("""COMPUTED_VALUE"""),"Saprungroj")</f>
        <v>Saprungroj</v>
      </c>
      <c r="E995" t="str">
        <f>IFERROR(__xludf.DUMMYFUNCTION("""COMPUTED_VALUE"""),"Pavich Saprungroj")</f>
        <v>Pavich Saprungroj</v>
      </c>
      <c r="F995" t="str">
        <f>IFERROR(__xludf.DUMMYFUNCTION("""COMPUTED_VALUE"""),"นาย")</f>
        <v>นาย</v>
      </c>
      <c r="G995" t="str">
        <f>IFERROR(__xludf.DUMMYFUNCTION("""COMPUTED_VALUE"""),"พาวิช")</f>
        <v>พาวิช</v>
      </c>
      <c r="H995" t="str">
        <f>IFERROR(__xludf.DUMMYFUNCTION("""COMPUTED_VALUE"""),"ทรัพย์รุ่งโรจน์")</f>
        <v>ทรัพย์รุ่งโรจน์</v>
      </c>
      <c r="I995" t="str">
        <f>IFERROR(__xludf.DUMMYFUNCTION("""COMPUTED_VALUE"""),"พาวิช ทรัพย์รุ่งโรจน์")</f>
        <v>พาวิช ทรัพย์รุ่งโรจน์</v>
      </c>
      <c r="J995" t="str">
        <f>IFERROR(__xludf.DUMMYFUNCTION("""COMPUTED_VALUE"""),"นิกกี้")</f>
        <v>นิกกี้</v>
      </c>
      <c r="K995" t="str">
        <f>IFERROR(__xludf.DUMMYFUNCTION("""COMPUTED_VALUE"""),"Cabin Crew")</f>
        <v>Cabin Crew</v>
      </c>
      <c r="L995" t="str">
        <f>IFERROR(__xludf.DUMMYFUNCTION("""COMPUTED_VALUE"""),"DMK")</f>
        <v>DMK</v>
      </c>
      <c r="M995" s="145" t="str">
        <f>IFERROR(__xludf.DUMMYFUNCTION("""COMPUTED_VALUE"""),"Kor Home")</f>
        <v>Kor Home</v>
      </c>
      <c r="N995" t="str">
        <f>IFERROR(__xludf.DUMMYFUNCTION("""COMPUTED_VALUE"""),"Active")</f>
        <v>Active</v>
      </c>
      <c r="P995" s="155">
        <f>IFERROR(__xludf.DUMMYFUNCTION("""COMPUTED_VALUE"""),33680.0)</f>
        <v>33680</v>
      </c>
      <c r="Q995" s="146" t="str">
        <f>IFERROR(__xludf.DUMMYFUNCTION("""COMPUTED_VALUE"""),"061-9153691")</f>
        <v>061-9153691</v>
      </c>
      <c r="R995" s="147">
        <f>IFERROR(__xludf.DUMMYFUNCTION("""COMPUTED_VALUE"""),1.729900218738E12)</f>
        <v>1729900218738</v>
      </c>
      <c r="S995" t="str">
        <f>IFERROR(__xludf.DUMMYFUNCTION("""COMPUTED_VALUE"""),"AD0507139")</f>
        <v>AD0507139</v>
      </c>
      <c r="T995" s="148">
        <f>IFERROR(__xludf.DUMMYFUNCTION("""COMPUTED_VALUE"""),44916.0)</f>
        <v>44916</v>
      </c>
      <c r="U995" s="148">
        <f>IFERROR(__xludf.DUMMYFUNCTION("""COMPUTED_VALUE"""),48568.0)</f>
        <v>48568</v>
      </c>
      <c r="V995" s="149">
        <f>IFERROR(__xludf.DUMMYFUNCTION("""COMPUTED_VALUE"""),48385.0)</f>
        <v>48385</v>
      </c>
      <c r="W995" t="str">
        <f>IFERROR(__xludf.DUMMYFUNCTION("""COMPUTED_VALUE"""),"ปลอดภัย")</f>
        <v>ปลอดภัย</v>
      </c>
      <c r="X995" t="str">
        <f>IFERROR(__xludf.DUMMYFUNCTION("""COMPUTED_VALUE"""),"Suphan Buri Province")</f>
        <v>Suphan Buri Province</v>
      </c>
      <c r="Y995" t="str">
        <f>IFERROR(__xludf.DUMMYFUNCTION("""COMPUTED_VALUE"""),"Bangkok")</f>
        <v>Bangkok</v>
      </c>
      <c r="Z995" t="str">
        <f>IFERROR(__xludf.DUMMYFUNCTION("""COMPUTED_VALUE"""),"086-7619174")</f>
        <v>086-7619174</v>
      </c>
      <c r="AA995" t="str">
        <f>IFERROR(__xludf.DUMMYFUNCTION("""COMPUTED_VALUE"""),"นถาวดี ทรัพย์รุ่งโรจน์ Mother")</f>
        <v>นถาวดี ทรัพย์รุ่งโรจน์ Mother</v>
      </c>
      <c r="AB995" t="str">
        <f>IFERROR(__xludf.DUMMYFUNCTION("""COMPUTED_VALUE"""),"pavichsaprungroj@airasia.com")</f>
        <v>pavichsaprungroj@airasia.com</v>
      </c>
    </row>
    <row r="996">
      <c r="A996">
        <f>IFERROR(__xludf.DUMMYFUNCTION("""COMPUTED_VALUE"""),1009260.0)</f>
        <v>1009260</v>
      </c>
      <c r="B996" t="str">
        <f>IFERROR(__xludf.DUMMYFUNCTION("""COMPUTED_VALUE"""),"Ms.")</f>
        <v>Ms.</v>
      </c>
      <c r="C996" t="str">
        <f>IFERROR(__xludf.DUMMYFUNCTION("""COMPUTED_VALUE"""),"Wilasinee")</f>
        <v>Wilasinee</v>
      </c>
      <c r="D996" t="str">
        <f>IFERROR(__xludf.DUMMYFUNCTION("""COMPUTED_VALUE"""),"Tirapanumpai")</f>
        <v>Tirapanumpai</v>
      </c>
      <c r="E996" t="str">
        <f>IFERROR(__xludf.DUMMYFUNCTION("""COMPUTED_VALUE"""),"Wilasinee Tirapanumpai")</f>
        <v>Wilasinee Tirapanumpai</v>
      </c>
      <c r="F996" t="str">
        <f>IFERROR(__xludf.DUMMYFUNCTION("""COMPUTED_VALUE"""),"นางสาว")</f>
        <v>นางสาว</v>
      </c>
      <c r="G996" t="str">
        <f>IFERROR(__xludf.DUMMYFUNCTION("""COMPUTED_VALUE"""),"วิลาสินี")</f>
        <v>วิลาสินี</v>
      </c>
      <c r="H996" t="str">
        <f>IFERROR(__xludf.DUMMYFUNCTION("""COMPUTED_VALUE"""),"ติระพันธ์อำไพ")</f>
        <v>ติระพันธ์อำไพ</v>
      </c>
      <c r="I996" t="str">
        <f>IFERROR(__xludf.DUMMYFUNCTION("""COMPUTED_VALUE"""),"วิลาสินี ติระพันธ์อำไพ")</f>
        <v>วิลาสินี ติระพันธ์อำไพ</v>
      </c>
      <c r="J996" t="str">
        <f>IFERROR(__xludf.DUMMYFUNCTION("""COMPUTED_VALUE"""),"สเม ")</f>
        <v>สเม </v>
      </c>
      <c r="K996" t="str">
        <f>IFERROR(__xludf.DUMMYFUNCTION("""COMPUTED_VALUE"""),"Cabin Crew")</f>
        <v>Cabin Crew</v>
      </c>
      <c r="L996" t="str">
        <f>IFERROR(__xludf.DUMMYFUNCTION("""COMPUTED_VALUE"""),"DMK")</f>
        <v>DMK</v>
      </c>
      <c r="M996" s="145" t="str">
        <f>IFERROR(__xludf.DUMMYFUNCTION("""COMPUTED_VALUE"""),"Up Home")</f>
        <v>Up Home</v>
      </c>
      <c r="N996" t="str">
        <f>IFERROR(__xludf.DUMMYFUNCTION("""COMPUTED_VALUE"""),"Active")</f>
        <v>Active</v>
      </c>
      <c r="P996" s="155">
        <f>IFERROR(__xludf.DUMMYFUNCTION("""COMPUTED_VALUE"""),33327.0)</f>
        <v>33327</v>
      </c>
      <c r="Q996" s="146">
        <f>IFERROR(__xludf.DUMMYFUNCTION("""COMPUTED_VALUE"""),6.22358924E8)</f>
        <v>622358924</v>
      </c>
      <c r="R996" s="147">
        <f>IFERROR(__xludf.DUMMYFUNCTION("""COMPUTED_VALUE"""),1.909800519513E12)</f>
        <v>1909800519513</v>
      </c>
      <c r="S996" t="str">
        <f>IFERROR(__xludf.DUMMYFUNCTION("""COMPUTED_VALUE"""),"AC4321201")</f>
        <v>AC4321201</v>
      </c>
      <c r="T996" s="148">
        <f>IFERROR(__xludf.DUMMYFUNCTION("""COMPUTED_VALUE"""),44923.0)</f>
        <v>44923</v>
      </c>
      <c r="U996" s="148">
        <f>IFERROR(__xludf.DUMMYFUNCTION("""COMPUTED_VALUE"""),48575.0)</f>
        <v>48575</v>
      </c>
      <c r="V996" s="149">
        <f>IFERROR(__xludf.DUMMYFUNCTION("""COMPUTED_VALUE"""),48392.0)</f>
        <v>48392</v>
      </c>
      <c r="W996" t="str">
        <f>IFERROR(__xludf.DUMMYFUNCTION("""COMPUTED_VALUE"""),"ปลอดภัย")</f>
        <v>ปลอดภัย</v>
      </c>
      <c r="X996" t="str">
        <f>IFERROR(__xludf.DUMMYFUNCTION("""COMPUTED_VALUE"""),"Songkhla Province")</f>
        <v>Songkhla Province</v>
      </c>
      <c r="Y996" t="str">
        <f>IFERROR(__xludf.DUMMYFUNCTION("""COMPUTED_VALUE"""),"NONTABUTI")</f>
        <v>NONTABUTI</v>
      </c>
      <c r="Z996" t="str">
        <f>IFERROR(__xludf.DUMMYFUNCTION("""COMPUTED_VALUE"""),"094-195-9365")</f>
        <v>094-195-9365</v>
      </c>
      <c r="AA996" t="str">
        <f>IFERROR(__xludf.DUMMYFUNCTION("""COMPUTED_VALUE"""),"นางสาวพัชร์ทิตา ชัยอรวรรณ Friend")</f>
        <v>นางสาวพัชร์ทิตา ชัยอรวรรณ Friend</v>
      </c>
      <c r="AB996" t="str">
        <f>IFERROR(__xludf.DUMMYFUNCTION("""COMPUTED_VALUE"""),"wilasineet@airasia.com")</f>
        <v>wilasineet@airasia.com</v>
      </c>
    </row>
    <row r="997">
      <c r="A997">
        <f>IFERROR(__xludf.DUMMYFUNCTION("""COMPUTED_VALUE"""),1012053.0)</f>
        <v>1012053</v>
      </c>
      <c r="B997" t="str">
        <f>IFERROR(__xludf.DUMMYFUNCTION("""COMPUTED_VALUE"""),"Mr.")</f>
        <v>Mr.</v>
      </c>
      <c r="C997" t="str">
        <f>IFERROR(__xludf.DUMMYFUNCTION("""COMPUTED_VALUE"""),"Nawapol")</f>
        <v>Nawapol</v>
      </c>
      <c r="D997" t="str">
        <f>IFERROR(__xludf.DUMMYFUNCTION("""COMPUTED_VALUE"""),"Songpool")</f>
        <v>Songpool</v>
      </c>
      <c r="E997" t="str">
        <f>IFERROR(__xludf.DUMMYFUNCTION("""COMPUTED_VALUE"""),"Nawapol Songpool")</f>
        <v>Nawapol Songpool</v>
      </c>
      <c r="F997" t="str">
        <f>IFERROR(__xludf.DUMMYFUNCTION("""COMPUTED_VALUE"""),"นาย")</f>
        <v>นาย</v>
      </c>
      <c r="G997" t="str">
        <f>IFERROR(__xludf.DUMMYFUNCTION("""COMPUTED_VALUE"""),"นวพล")</f>
        <v>นวพล</v>
      </c>
      <c r="H997" t="str">
        <f>IFERROR(__xludf.DUMMYFUNCTION("""COMPUTED_VALUE"""),"สงพูล")</f>
        <v>สงพูล</v>
      </c>
      <c r="I997" t="str">
        <f>IFERROR(__xludf.DUMMYFUNCTION("""COMPUTED_VALUE"""),"นวพล สงพูล")</f>
        <v>นวพล สงพูล</v>
      </c>
      <c r="J997" t="str">
        <f>IFERROR(__xludf.DUMMYFUNCTION("""COMPUTED_VALUE"""),"Guygun / กายกันต์")</f>
        <v>Guygun / กายกันต์</v>
      </c>
      <c r="K997" t="str">
        <f>IFERROR(__xludf.DUMMYFUNCTION("""COMPUTED_VALUE"""),"Cabin Crew")</f>
        <v>Cabin Crew</v>
      </c>
      <c r="L997" t="str">
        <f>IFERROR(__xludf.DUMMYFUNCTION("""COMPUTED_VALUE"""),"DMK")</f>
        <v>DMK</v>
      </c>
      <c r="M997" s="145" t="str">
        <f>IFERROR(__xludf.DUMMYFUNCTION("""COMPUTED_VALUE"""),"Um Home")</f>
        <v>Um Home</v>
      </c>
      <c r="N997" t="str">
        <f>IFERROR(__xludf.DUMMYFUNCTION("""COMPUTED_VALUE"""),"Active")</f>
        <v>Active</v>
      </c>
      <c r="P997" s="155">
        <f>IFERROR(__xludf.DUMMYFUNCTION("""COMPUTED_VALUE"""),32763.0)</f>
        <v>32763</v>
      </c>
      <c r="Q997" s="146">
        <f>IFERROR(__xludf.DUMMYFUNCTION("""COMPUTED_VALUE"""),9.61914555E8)</f>
        <v>961914555</v>
      </c>
      <c r="R997" s="147">
        <f>IFERROR(__xludf.DUMMYFUNCTION("""COMPUTED_VALUE"""),1.120600127424E12)</f>
        <v>1120600127424</v>
      </c>
      <c r="S997" t="str">
        <f>IFERROR(__xludf.DUMMYFUNCTION("""COMPUTED_VALUE"""),"AC3418703")</f>
        <v>AC3418703</v>
      </c>
      <c r="T997" s="148">
        <f>IFERROR(__xludf.DUMMYFUNCTION("""COMPUTED_VALUE"""),44734.0)</f>
        <v>44734</v>
      </c>
      <c r="U997" s="148">
        <f>IFERROR(__xludf.DUMMYFUNCTION("""COMPUTED_VALUE"""),48386.0)</f>
        <v>48386</v>
      </c>
      <c r="V997" s="149">
        <f>IFERROR(__xludf.DUMMYFUNCTION("""COMPUTED_VALUE"""),48203.0)</f>
        <v>48203</v>
      </c>
      <c r="W997" t="str">
        <f>IFERROR(__xludf.DUMMYFUNCTION("""COMPUTED_VALUE"""),"ปลอดภัย")</f>
        <v>ปลอดภัย</v>
      </c>
      <c r="X997" t="str">
        <f>IFERROR(__xludf.DUMMYFUNCTION("""COMPUTED_VALUE"""),"Nonthaburi Province")</f>
        <v>Nonthaburi Province</v>
      </c>
      <c r="Y997" t="str">
        <f>IFERROR(__xludf.DUMMYFUNCTION("""COMPUTED_VALUE"""),"PATHUMTANI")</f>
        <v>PATHUMTANI</v>
      </c>
      <c r="Z997" t="str">
        <f>IFERROR(__xludf.DUMMYFUNCTION("""COMPUTED_VALUE"""),"0873390973")</f>
        <v>0873390973</v>
      </c>
      <c r="AA997" t="str">
        <f>IFERROR(__xludf.DUMMYFUNCTION("""COMPUTED_VALUE"""),"นางกาญจนา สงพูล Mother")</f>
        <v>นางกาญจนา สงพูล Mother</v>
      </c>
      <c r="AB997" t="str">
        <f>IFERROR(__xludf.DUMMYFUNCTION("""COMPUTED_VALUE"""),"nawapols@airasia.com")</f>
        <v>nawapols@airasia.com</v>
      </c>
    </row>
    <row r="998">
      <c r="A998">
        <f>IFERROR(__xludf.DUMMYFUNCTION("""COMPUTED_VALUE"""),1013576.0)</f>
        <v>1013576</v>
      </c>
      <c r="B998" t="str">
        <f>IFERROR(__xludf.DUMMYFUNCTION("""COMPUTED_VALUE"""),"Ms.")</f>
        <v>Ms.</v>
      </c>
      <c r="C998" t="str">
        <f>IFERROR(__xludf.DUMMYFUNCTION("""COMPUTED_VALUE"""),"Pawarisar")</f>
        <v>Pawarisar</v>
      </c>
      <c r="D998" t="str">
        <f>IFERROR(__xludf.DUMMYFUNCTION("""COMPUTED_VALUE"""),"Samanthong")</f>
        <v>Samanthong</v>
      </c>
      <c r="E998" t="str">
        <f>IFERROR(__xludf.DUMMYFUNCTION("""COMPUTED_VALUE"""),"Pawarisar Samanthong")</f>
        <v>Pawarisar Samanthong</v>
      </c>
      <c r="F998" t="str">
        <f>IFERROR(__xludf.DUMMYFUNCTION("""COMPUTED_VALUE"""),"นางสาว")</f>
        <v>นางสาว</v>
      </c>
      <c r="G998" t="str">
        <f>IFERROR(__xludf.DUMMYFUNCTION("""COMPUTED_VALUE"""),"ปวริศา")</f>
        <v>ปวริศา</v>
      </c>
      <c r="H998" t="str">
        <f>IFERROR(__xludf.DUMMYFUNCTION("""COMPUTED_VALUE"""),"สมานทอง")</f>
        <v>สมานทอง</v>
      </c>
      <c r="I998" t="str">
        <f>IFERROR(__xludf.DUMMYFUNCTION("""COMPUTED_VALUE"""),"ปวริศา สมานทอง")</f>
        <v>ปวริศา สมานทอง</v>
      </c>
      <c r="J998" t="str">
        <f>IFERROR(__xludf.DUMMYFUNCTION("""COMPUTED_VALUE"""),"เพลิน")</f>
        <v>เพลิน</v>
      </c>
      <c r="K998" t="str">
        <f>IFERROR(__xludf.DUMMYFUNCTION("""COMPUTED_VALUE"""),"Cabin Crew")</f>
        <v>Cabin Crew</v>
      </c>
      <c r="L998" t="str">
        <f>IFERROR(__xludf.DUMMYFUNCTION("""COMPUTED_VALUE"""),"DMK")</f>
        <v>DMK</v>
      </c>
      <c r="M998" s="145" t="str">
        <f>IFERROR(__xludf.DUMMYFUNCTION("""COMPUTED_VALUE"""),"Um Home")</f>
        <v>Um Home</v>
      </c>
      <c r="N998" t="str">
        <f>IFERROR(__xludf.DUMMYFUNCTION("""COMPUTED_VALUE"""),"Active")</f>
        <v>Active</v>
      </c>
      <c r="P998" s="155">
        <f>IFERROR(__xludf.DUMMYFUNCTION("""COMPUTED_VALUE"""),32918.0)</f>
        <v>32918</v>
      </c>
      <c r="Q998" s="146">
        <f>IFERROR(__xludf.DUMMYFUNCTION("""COMPUTED_VALUE"""),8.63282819E8)</f>
        <v>863282819</v>
      </c>
      <c r="R998" s="147">
        <f>IFERROR(__xludf.DUMMYFUNCTION("""COMPUTED_VALUE"""),1.103700055436E12)</f>
        <v>1103700055436</v>
      </c>
      <c r="S998" t="str">
        <f>IFERROR(__xludf.DUMMYFUNCTION("""COMPUTED_VALUE"""),"AC5940960")</f>
        <v>AC5940960</v>
      </c>
      <c r="T998" s="148">
        <f>IFERROR(__xludf.DUMMYFUNCTION("""COMPUTED_VALUE"""),45252.0)</f>
        <v>45252</v>
      </c>
      <c r="U998" s="148">
        <f>IFERROR(__xludf.DUMMYFUNCTION("""COMPUTED_VALUE"""),48904.0)</f>
        <v>48904</v>
      </c>
      <c r="V998" s="149">
        <f>IFERROR(__xludf.DUMMYFUNCTION("""COMPUTED_VALUE"""),48720.0)</f>
        <v>48720</v>
      </c>
      <c r="W998" t="str">
        <f>IFERROR(__xludf.DUMMYFUNCTION("""COMPUTED_VALUE"""),"ปลอดภัย")</f>
        <v>ปลอดภัย</v>
      </c>
      <c r="X998" t="str">
        <f>IFERROR(__xludf.DUMMYFUNCTION("""COMPUTED_VALUE"""),"Bangkok")</f>
        <v>Bangkok</v>
      </c>
      <c r="Y998" t="str">
        <f>IFERROR(__xludf.DUMMYFUNCTION("""COMPUTED_VALUE"""),"Bangkok")</f>
        <v>Bangkok</v>
      </c>
      <c r="Z998">
        <f>IFERROR(__xludf.DUMMYFUNCTION("""COMPUTED_VALUE"""),8.91096928E8)</f>
        <v>891096928</v>
      </c>
      <c r="AA998" t="str">
        <f>IFERROR(__xludf.DUMMYFUNCTION("""COMPUTED_VALUE"""),"นายธนกร สุทธิธน Husband")</f>
        <v>นายธนกร สุทธิธน Husband</v>
      </c>
      <c r="AB998" t="str">
        <f>IFERROR(__xludf.DUMMYFUNCTION("""COMPUTED_VALUE"""),"pawarisars@airasia.com")</f>
        <v>pawarisars@airasia.com</v>
      </c>
    </row>
    <row r="999">
      <c r="AB999" t="str">
        <f>IFERROR(__xludf.DUMMYFUNCTION("""COMPUTED_VALUE"""),"")</f>
        <v/>
      </c>
    </row>
    <row r="1000">
      <c r="A1000">
        <f>IFERROR(__xludf.DUMMYFUNCTION("""COMPUTED_VALUE"""),1025574.0)</f>
        <v>1025574</v>
      </c>
      <c r="B1000" t="str">
        <f>IFERROR(__xludf.DUMMYFUNCTION("""COMPUTED_VALUE"""),"Ms.")</f>
        <v>Ms.</v>
      </c>
      <c r="C1000" t="str">
        <f>IFERROR(__xludf.DUMMYFUNCTION("""COMPUTED_VALUE"""),"Ravinnipa")</f>
        <v>Ravinnipa</v>
      </c>
      <c r="D1000" t="str">
        <f>IFERROR(__xludf.DUMMYFUNCTION("""COMPUTED_VALUE"""),"Hamid")</f>
        <v>Hamid</v>
      </c>
      <c r="E1000" t="str">
        <f>IFERROR(__xludf.DUMMYFUNCTION("""COMPUTED_VALUE"""),"Ravinnipa Hamid")</f>
        <v>Ravinnipa Hamid</v>
      </c>
      <c r="F1000" t="str">
        <f>IFERROR(__xludf.DUMMYFUNCTION("""COMPUTED_VALUE"""),"นางสาว")</f>
        <v>นางสาว</v>
      </c>
      <c r="G1000" t="str">
        <f>IFERROR(__xludf.DUMMYFUNCTION("""COMPUTED_VALUE"""),"รวินท์นิภา")</f>
        <v>รวินท์นิภา</v>
      </c>
      <c r="H1000" t="str">
        <f>IFERROR(__xludf.DUMMYFUNCTION("""COMPUTED_VALUE"""),"ฮามิต")</f>
        <v>ฮามิต</v>
      </c>
      <c r="I1000" t="str">
        <f>IFERROR(__xludf.DUMMYFUNCTION("""COMPUTED_VALUE"""),"รวินท์นิภา ฮามิต")</f>
        <v>รวินท์นิภา ฮามิต</v>
      </c>
      <c r="J1000" t="str">
        <f>IFERROR(__xludf.DUMMYFUNCTION("""COMPUTED_VALUE"""),"กระบุง")</f>
        <v>กระบุง</v>
      </c>
      <c r="K1000" t="str">
        <f>IFERROR(__xludf.DUMMYFUNCTION("""COMPUTED_VALUE"""),"Cabin Crew")</f>
        <v>Cabin Crew</v>
      </c>
      <c r="L1000" t="str">
        <f>IFERROR(__xludf.DUMMYFUNCTION("""COMPUTED_VALUE"""),"DMK")</f>
        <v>DMK</v>
      </c>
      <c r="M1000" s="145" t="str">
        <f>IFERROR(__xludf.DUMMYFUNCTION("""COMPUTED_VALUE"""),"Nhui Home")</f>
        <v>Nhui Home</v>
      </c>
      <c r="N1000" t="str">
        <f>IFERROR(__xludf.DUMMYFUNCTION("""COMPUTED_VALUE"""),"Active")</f>
        <v>Active</v>
      </c>
      <c r="P1000" s="159">
        <f>IFERROR(__xludf.DUMMYFUNCTION("""COMPUTED_VALUE"""),33801.0)</f>
        <v>33801</v>
      </c>
      <c r="Q1000" s="146">
        <f>IFERROR(__xludf.DUMMYFUNCTION("""COMPUTED_VALUE"""),8.77188669E8)</f>
        <v>877188669</v>
      </c>
      <c r="R1000" s="147">
        <f>IFERROR(__xludf.DUMMYFUNCTION("""COMPUTED_VALUE"""),1.100701553658E12)</f>
        <v>1100701553658</v>
      </c>
      <c r="S1000" t="str">
        <f>IFERROR(__xludf.DUMMYFUNCTION("""COMPUTED_VALUE"""),"AC2600805")</f>
        <v>AC2600805</v>
      </c>
      <c r="T1000" s="148">
        <f>IFERROR(__xludf.DUMMYFUNCTION("""COMPUTED_VALUE"""),44532.0)</f>
        <v>44532</v>
      </c>
      <c r="U1000" s="148">
        <f>IFERROR(__xludf.DUMMYFUNCTION("""COMPUTED_VALUE"""),48183.0)</f>
        <v>48183</v>
      </c>
      <c r="V1000" s="149">
        <f>IFERROR(__xludf.DUMMYFUNCTION("""COMPUTED_VALUE"""),48000.0)</f>
        <v>48000</v>
      </c>
      <c r="W1000" t="str">
        <f>IFERROR(__xludf.DUMMYFUNCTION("""COMPUTED_VALUE"""),"ปลอดภัย")</f>
        <v>ปลอดภัย</v>
      </c>
      <c r="X1000" t="str">
        <f>IFERROR(__xludf.DUMMYFUNCTION("""COMPUTED_VALUE"""),"Bangkok")</f>
        <v>Bangkok</v>
      </c>
      <c r="Y1000" t="str">
        <f>IFERROR(__xludf.DUMMYFUNCTION("""COMPUTED_VALUE"""),"Bangkok")</f>
        <v>Bangkok</v>
      </c>
      <c r="Z1000" s="145" t="str">
        <f>IFERROR(__xludf.DUMMYFUNCTION("""COMPUTED_VALUE"""),"0818675118")</f>
        <v>0818675118</v>
      </c>
      <c r="AA1000" t="str">
        <f>IFERROR(__xludf.DUMMYFUNCTION("""COMPUTED_VALUE"""),"ศิริกุล ฮามิต Mother")</f>
        <v>ศิริกุล ฮามิต Mother</v>
      </c>
      <c r="AB1000" t="str">
        <f>IFERROR(__xludf.DUMMYFUNCTION("""COMPUTED_VALUE"""),"ravinnipahamid@airasia.com")</f>
        <v>ravinnipahamid@airasia.com</v>
      </c>
    </row>
    <row r="1001">
      <c r="A1001">
        <f>IFERROR(__xludf.DUMMYFUNCTION("""COMPUTED_VALUE"""),1026015.0)</f>
        <v>1026015</v>
      </c>
      <c r="B1001" t="str">
        <f>IFERROR(__xludf.DUMMYFUNCTION("""COMPUTED_VALUE"""),"Ms.")</f>
        <v>Ms.</v>
      </c>
      <c r="C1001" t="str">
        <f>IFERROR(__xludf.DUMMYFUNCTION("""COMPUTED_VALUE"""),"Thanissa")</f>
        <v>Thanissa</v>
      </c>
      <c r="D1001" t="str">
        <f>IFERROR(__xludf.DUMMYFUNCTION("""COMPUTED_VALUE"""),"Intharit")</f>
        <v>Intharit</v>
      </c>
      <c r="E1001" t="str">
        <f>IFERROR(__xludf.DUMMYFUNCTION("""COMPUTED_VALUE"""),"Thanissa Intharit")</f>
        <v>Thanissa Intharit</v>
      </c>
      <c r="F1001" t="str">
        <f>IFERROR(__xludf.DUMMYFUNCTION("""COMPUTED_VALUE"""),"นางสาว")</f>
        <v>นางสาว</v>
      </c>
      <c r="G1001" t="str">
        <f>IFERROR(__xludf.DUMMYFUNCTION("""COMPUTED_VALUE"""),"ธนิสสา")</f>
        <v>ธนิสสา</v>
      </c>
      <c r="H1001" t="str">
        <f>IFERROR(__xludf.DUMMYFUNCTION("""COMPUTED_VALUE"""),"อินทฤทธิ์")</f>
        <v>อินทฤทธิ์</v>
      </c>
      <c r="I1001" t="str">
        <f>IFERROR(__xludf.DUMMYFUNCTION("""COMPUTED_VALUE"""),"ธนิสสา อินทฤทธิ์")</f>
        <v>ธนิสสา อินทฤทธิ์</v>
      </c>
      <c r="J1001" t="str">
        <f>IFERROR(__xludf.DUMMYFUNCTION("""COMPUTED_VALUE"""),"Pleng / เพลง")</f>
        <v>Pleng / เพลง</v>
      </c>
      <c r="K1001" t="str">
        <f>IFERROR(__xludf.DUMMYFUNCTION("""COMPUTED_VALUE"""),"Cabin Crew")</f>
        <v>Cabin Crew</v>
      </c>
      <c r="L1001" t="str">
        <f>IFERROR(__xludf.DUMMYFUNCTION("""COMPUTED_VALUE"""),"DMK")</f>
        <v>DMK</v>
      </c>
      <c r="M1001" s="145" t="str">
        <f>IFERROR(__xludf.DUMMYFUNCTION("""COMPUTED_VALUE"""),"Toffy Home")</f>
        <v>Toffy Home</v>
      </c>
      <c r="N1001" t="str">
        <f>IFERROR(__xludf.DUMMYFUNCTION("""COMPUTED_VALUE"""),"Active")</f>
        <v>Active</v>
      </c>
      <c r="P1001" s="159">
        <f>IFERROR(__xludf.DUMMYFUNCTION("""COMPUTED_VALUE"""),34493.0)</f>
        <v>34493</v>
      </c>
      <c r="Q1001" s="146">
        <f>IFERROR(__xludf.DUMMYFUNCTION("""COMPUTED_VALUE"""),8.18999185E8)</f>
        <v>818999185</v>
      </c>
      <c r="R1001" s="147">
        <f>IFERROR(__xludf.DUMMYFUNCTION("""COMPUTED_VALUE"""),1.10060029035E12)</f>
        <v>1100600290350</v>
      </c>
      <c r="S1001" t="str">
        <f>IFERROR(__xludf.DUMMYFUNCTION("""COMPUTED_VALUE"""),"AC5678753")</f>
        <v>AC5678753</v>
      </c>
      <c r="T1001" s="148">
        <f>IFERROR(__xludf.DUMMYFUNCTION("""COMPUTED_VALUE"""),45177.0)</f>
        <v>45177</v>
      </c>
      <c r="U1001" s="148">
        <f>IFERROR(__xludf.DUMMYFUNCTION("""COMPUTED_VALUE"""),48829.0)</f>
        <v>48829</v>
      </c>
      <c r="V1001" s="149">
        <f>IFERROR(__xludf.DUMMYFUNCTION("""COMPUTED_VALUE"""),48645.0)</f>
        <v>48645</v>
      </c>
      <c r="W1001" t="str">
        <f>IFERROR(__xludf.DUMMYFUNCTION("""COMPUTED_VALUE"""),"ปลอดภัย")</f>
        <v>ปลอดภัย</v>
      </c>
      <c r="X1001" t="str">
        <f>IFERROR(__xludf.DUMMYFUNCTION("""COMPUTED_VALUE"""),"Bangkok")</f>
        <v>Bangkok</v>
      </c>
      <c r="Y1001" t="str">
        <f>IFERROR(__xludf.DUMMYFUNCTION("""COMPUTED_VALUE"""),"Bangkok")</f>
        <v>Bangkok</v>
      </c>
      <c r="Z1001" s="145" t="str">
        <f>IFERROR(__xludf.DUMMYFUNCTION("""COMPUTED_VALUE"""),"0813743669")</f>
        <v>0813743669</v>
      </c>
      <c r="AA1001" t="str">
        <f>IFERROR(__xludf.DUMMYFUNCTION("""COMPUTED_VALUE"""),"นางสุนิสา อินทฤทธิ์ Mother")</f>
        <v>นางสุนิสา อินทฤทธิ์ Mother</v>
      </c>
      <c r="AB1001" t="str">
        <f>IFERROR(__xludf.DUMMYFUNCTION("""COMPUTED_VALUE"""),"thanissaintharit@airasia.com")</f>
        <v>thanissaintharit@airasia.com</v>
      </c>
    </row>
    <row r="1002">
      <c r="A1002">
        <f>IFERROR(__xludf.DUMMYFUNCTION("""COMPUTED_VALUE"""),1025579.0)</f>
        <v>1025579</v>
      </c>
      <c r="B1002" t="str">
        <f>IFERROR(__xludf.DUMMYFUNCTION("""COMPUTED_VALUE"""),"Ms.")</f>
        <v>Ms.</v>
      </c>
      <c r="C1002" t="str">
        <f>IFERROR(__xludf.DUMMYFUNCTION("""COMPUTED_VALUE"""),"Wasinee")</f>
        <v>Wasinee</v>
      </c>
      <c r="D1002" t="str">
        <f>IFERROR(__xludf.DUMMYFUNCTION("""COMPUTED_VALUE"""),"Eiampongpaitoun")</f>
        <v>Eiampongpaitoun</v>
      </c>
      <c r="E1002" t="str">
        <f>IFERROR(__xludf.DUMMYFUNCTION("""COMPUTED_VALUE"""),"Wasinee Eiampongpaitoun")</f>
        <v>Wasinee Eiampongpaitoun</v>
      </c>
      <c r="F1002" t="str">
        <f>IFERROR(__xludf.DUMMYFUNCTION("""COMPUTED_VALUE"""),"นางสาว")</f>
        <v>นางสาว</v>
      </c>
      <c r="G1002" t="str">
        <f>IFERROR(__xludf.DUMMYFUNCTION("""COMPUTED_VALUE"""),"วศินี​")</f>
        <v>วศินี​</v>
      </c>
      <c r="H1002" t="str">
        <f>IFERROR(__xludf.DUMMYFUNCTION("""COMPUTED_VALUE"""),"เอี่ยมพ​งษ์ไพฑูรย์​")</f>
        <v>เอี่ยมพ​งษ์ไพฑูรย์​</v>
      </c>
      <c r="I1002" t="str">
        <f>IFERROR(__xludf.DUMMYFUNCTION("""COMPUTED_VALUE"""),"วศินี​ เอี่ยมพ​งษ์ไพฑูรย์​")</f>
        <v>วศินี​ เอี่ยมพ​งษ์ไพฑูรย์​</v>
      </c>
      <c r="J1002" t="str">
        <f>IFERROR(__xludf.DUMMYFUNCTION("""COMPUTED_VALUE"""),"Preaw​/เปรียว")</f>
        <v>Preaw​/เปรียว</v>
      </c>
      <c r="K1002" t="str">
        <f>IFERROR(__xludf.DUMMYFUNCTION("""COMPUTED_VALUE"""),"Cabin Crew")</f>
        <v>Cabin Crew</v>
      </c>
      <c r="L1002" t="str">
        <f>IFERROR(__xludf.DUMMYFUNCTION("""COMPUTED_VALUE"""),"DMK")</f>
        <v>DMK</v>
      </c>
      <c r="M1002" s="145" t="str">
        <f>IFERROR(__xludf.DUMMYFUNCTION("""COMPUTED_VALUE"""),"Toffy Home")</f>
        <v>Toffy Home</v>
      </c>
      <c r="N1002" t="str">
        <f>IFERROR(__xludf.DUMMYFUNCTION("""COMPUTED_VALUE"""),"LWPP")</f>
        <v>LWPP</v>
      </c>
      <c r="P1002" s="159">
        <f>IFERROR(__xludf.DUMMYFUNCTION("""COMPUTED_VALUE"""),32588.0)</f>
        <v>32588</v>
      </c>
      <c r="Q1002" s="146" t="str">
        <f>IFERROR(__xludf.DUMMYFUNCTION("""COMPUTED_VALUE"""),"083-044-9878​")</f>
        <v>083-044-9878​</v>
      </c>
      <c r="R1002" s="147">
        <f>IFERROR(__xludf.DUMMYFUNCTION("""COMPUTED_VALUE"""),1.709900438762E12)</f>
        <v>1709900438762</v>
      </c>
      <c r="S1002" t="str">
        <f>IFERROR(__xludf.DUMMYFUNCTION("""COMPUTED_VALUE"""),"AC5186098")</f>
        <v>AC5186098</v>
      </c>
      <c r="T1002" s="148">
        <f>IFERROR(__xludf.DUMMYFUNCTION("""COMPUTED_VALUE"""),45320.0)</f>
        <v>45320</v>
      </c>
      <c r="U1002" s="148">
        <f>IFERROR(__xludf.DUMMYFUNCTION("""COMPUTED_VALUE"""),48972.0)</f>
        <v>48972</v>
      </c>
      <c r="V1002" s="149">
        <f>IFERROR(__xludf.DUMMYFUNCTION("""COMPUTED_VALUE"""),48788.0)</f>
        <v>48788</v>
      </c>
      <c r="W1002" t="str">
        <f>IFERROR(__xludf.DUMMYFUNCTION("""COMPUTED_VALUE"""),"ปลอดภัย")</f>
        <v>ปลอดภัย</v>
      </c>
      <c r="X1002" t="str">
        <f>IFERROR(__xludf.DUMMYFUNCTION("""COMPUTED_VALUE"""),"Ratchaburi Province")</f>
        <v>Ratchaburi Province</v>
      </c>
      <c r="Y1002" t="str">
        <f>IFERROR(__xludf.DUMMYFUNCTION("""COMPUTED_VALUE"""),"Bangkok")</f>
        <v>Bangkok</v>
      </c>
      <c r="Z1002" s="145" t="str">
        <f>IFERROR(__xludf.DUMMYFUNCTION("""COMPUTED_VALUE"""),"0868999446​")</f>
        <v>0868999446​</v>
      </c>
      <c r="AA1002" t="str">
        <f>IFERROR(__xludf.DUMMYFUNCTION("""COMPUTED_VALUE"""),"นางสาววริศ​ เอี่ยมพ​งษ์ไพฑูรย์​ Sister")</f>
        <v>นางสาววริศ​ เอี่ยมพ​งษ์ไพฑูรย์​ Sister</v>
      </c>
      <c r="AB1002" t="str">
        <f>IFERROR(__xludf.DUMMYFUNCTION("""COMPUTED_VALUE"""),"wasineeeiampongpait@airasia.com")</f>
        <v>wasineeeiampongpait@airasia.com</v>
      </c>
    </row>
    <row r="1003">
      <c r="A1003">
        <f>IFERROR(__xludf.DUMMYFUNCTION("""COMPUTED_VALUE"""),1025120.0)</f>
        <v>1025120</v>
      </c>
      <c r="B1003" t="str">
        <f>IFERROR(__xludf.DUMMYFUNCTION("""COMPUTED_VALUE"""),"Ms.")</f>
        <v>Ms.</v>
      </c>
      <c r="C1003" t="str">
        <f>IFERROR(__xludf.DUMMYFUNCTION("""COMPUTED_VALUE"""),"Weawpaka")</f>
        <v>Weawpaka</v>
      </c>
      <c r="D1003" t="str">
        <f>IFERROR(__xludf.DUMMYFUNCTION("""COMPUTED_VALUE"""),"Chatrattichai")</f>
        <v>Chatrattichai</v>
      </c>
      <c r="E1003" t="str">
        <f>IFERROR(__xludf.DUMMYFUNCTION("""COMPUTED_VALUE"""),"Weawpaka Chatrattichai")</f>
        <v>Weawpaka Chatrattichai</v>
      </c>
      <c r="F1003" t="str">
        <f>IFERROR(__xludf.DUMMYFUNCTION("""COMPUTED_VALUE"""),"นางสาว")</f>
        <v>นางสาว</v>
      </c>
      <c r="G1003" t="str">
        <f>IFERROR(__xludf.DUMMYFUNCTION("""COMPUTED_VALUE"""),"แววผกา")</f>
        <v>แววผกา</v>
      </c>
      <c r="H1003" t="str">
        <f>IFERROR(__xludf.DUMMYFUNCTION("""COMPUTED_VALUE"""),"ฉัตร์รัตติชัย")</f>
        <v>ฉัตร์รัตติชัย</v>
      </c>
      <c r="I1003" t="str">
        <f>IFERROR(__xludf.DUMMYFUNCTION("""COMPUTED_VALUE"""),"แววผกา ฉัตร์รัตติชัย")</f>
        <v>แววผกา ฉัตร์รัตติชัย</v>
      </c>
      <c r="J1003" t="str">
        <f>IFERROR(__xludf.DUMMYFUNCTION("""COMPUTED_VALUE"""),"Anne / แอน")</f>
        <v>Anne / แอน</v>
      </c>
      <c r="K1003" t="str">
        <f>IFERROR(__xludf.DUMMYFUNCTION("""COMPUTED_VALUE"""),"Cabin Crew")</f>
        <v>Cabin Crew</v>
      </c>
      <c r="L1003" t="str">
        <f>IFERROR(__xludf.DUMMYFUNCTION("""COMPUTED_VALUE"""),"DMK")</f>
        <v>DMK</v>
      </c>
      <c r="M1003" s="145" t="str">
        <f>IFERROR(__xludf.DUMMYFUNCTION("""COMPUTED_VALUE"""),"Namfon Home")</f>
        <v>Namfon Home</v>
      </c>
      <c r="N1003" t="str">
        <f>IFERROR(__xludf.DUMMYFUNCTION("""COMPUTED_VALUE"""),"Active")</f>
        <v>Active</v>
      </c>
      <c r="P1003" s="159">
        <f>IFERROR(__xludf.DUMMYFUNCTION("""COMPUTED_VALUE"""),32926.0)</f>
        <v>32926</v>
      </c>
      <c r="Q1003" s="146">
        <f>IFERROR(__xludf.DUMMYFUNCTION("""COMPUTED_VALUE"""),6.50514423E8)</f>
        <v>650514423</v>
      </c>
      <c r="R1003" s="147">
        <f>IFERROR(__xludf.DUMMYFUNCTION("""COMPUTED_VALUE"""),1.103700068902E12)</f>
        <v>1103700068902</v>
      </c>
      <c r="S1003" t="str">
        <f>IFERROR(__xludf.DUMMYFUNCTION("""COMPUTED_VALUE"""),"AC3474344")</f>
        <v>AC3474344</v>
      </c>
      <c r="T1003" s="148">
        <f>IFERROR(__xludf.DUMMYFUNCTION("""COMPUTED_VALUE"""),44741.0)</f>
        <v>44741</v>
      </c>
      <c r="U1003" s="148">
        <f>IFERROR(__xludf.DUMMYFUNCTION("""COMPUTED_VALUE"""),48393.0)</f>
        <v>48393</v>
      </c>
      <c r="V1003" s="149">
        <f>IFERROR(__xludf.DUMMYFUNCTION("""COMPUTED_VALUE"""),48210.0)</f>
        <v>48210</v>
      </c>
      <c r="W1003" t="str">
        <f>IFERROR(__xludf.DUMMYFUNCTION("""COMPUTED_VALUE"""),"ปลอดภัย")</f>
        <v>ปลอดภัย</v>
      </c>
      <c r="X1003" t="str">
        <f>IFERROR(__xludf.DUMMYFUNCTION("""COMPUTED_VALUE"""),"Bangkok")</f>
        <v>Bangkok</v>
      </c>
      <c r="Y1003" t="str">
        <f>IFERROR(__xludf.DUMMYFUNCTION("""COMPUTED_VALUE"""),"NONTABUTI")</f>
        <v>NONTABUTI</v>
      </c>
      <c r="Z1003" s="145" t="str">
        <f>IFERROR(__xludf.DUMMYFUNCTION("""COMPUTED_VALUE"""),"0992895111")</f>
        <v>0992895111</v>
      </c>
      <c r="AA1003" t="str">
        <f>IFERROR(__xludf.DUMMYFUNCTION("""COMPUTED_VALUE"""),"นานกังวาล พูลทรัพย์ Husband")</f>
        <v>นานกังวาล พูลทรัพย์ Husband</v>
      </c>
      <c r="AB1003" t="str">
        <f>IFERROR(__xludf.DUMMYFUNCTION("""COMPUTED_VALUE"""),"weawpakachatrattich@airasia.com")</f>
        <v>weawpakachatrattich@airasia.com</v>
      </c>
    </row>
    <row r="1004">
      <c r="A1004">
        <f>IFERROR(__xludf.DUMMYFUNCTION("""COMPUTED_VALUE"""),1028029.0)</f>
        <v>1028029</v>
      </c>
      <c r="B1004" t="str">
        <f>IFERROR(__xludf.DUMMYFUNCTION("""COMPUTED_VALUE"""),"Ms.")</f>
        <v>Ms.</v>
      </c>
      <c r="C1004" t="str">
        <f>IFERROR(__xludf.DUMMYFUNCTION("""COMPUTED_VALUE"""),"Atima")</f>
        <v>Atima</v>
      </c>
      <c r="D1004" t="str">
        <f>IFERROR(__xludf.DUMMYFUNCTION("""COMPUTED_VALUE"""),"Tanapat")</f>
        <v>Tanapat</v>
      </c>
      <c r="E1004" t="str">
        <f>IFERROR(__xludf.DUMMYFUNCTION("""COMPUTED_VALUE"""),"Atima Tanapat")</f>
        <v>Atima Tanapat</v>
      </c>
      <c r="F1004" t="str">
        <f>IFERROR(__xludf.DUMMYFUNCTION("""COMPUTED_VALUE"""),"นางสาว")</f>
        <v>นางสาว</v>
      </c>
      <c r="G1004" t="str">
        <f>IFERROR(__xludf.DUMMYFUNCTION("""COMPUTED_VALUE"""),"อาทิมา")</f>
        <v>อาทิมา</v>
      </c>
      <c r="H1004" t="str">
        <f>IFERROR(__xludf.DUMMYFUNCTION("""COMPUTED_VALUE"""),"ธนะเพทย์")</f>
        <v>ธนะเพทย์</v>
      </c>
      <c r="I1004" t="str">
        <f>IFERROR(__xludf.DUMMYFUNCTION("""COMPUTED_VALUE"""),"อาทิมา ธนะเพทย์")</f>
        <v>อาทิมา ธนะเพทย์</v>
      </c>
      <c r="J1004" t="str">
        <f>IFERROR(__xludf.DUMMYFUNCTION("""COMPUTED_VALUE"""),"Ying / หญิง")</f>
        <v>Ying / หญิง</v>
      </c>
      <c r="K1004" t="str">
        <f>IFERROR(__xludf.DUMMYFUNCTION("""COMPUTED_VALUE"""),"Cabin Crew")</f>
        <v>Cabin Crew</v>
      </c>
      <c r="L1004" t="str">
        <f>IFERROR(__xludf.DUMMYFUNCTION("""COMPUTED_VALUE"""),"DMK")</f>
        <v>DMK</v>
      </c>
      <c r="M1004" s="145" t="str">
        <f>IFERROR(__xludf.DUMMYFUNCTION("""COMPUTED_VALUE"""),"Um Home")</f>
        <v>Um Home</v>
      </c>
      <c r="N1004" t="str">
        <f>IFERROR(__xludf.DUMMYFUNCTION("""COMPUTED_VALUE"""),"Active")</f>
        <v>Active</v>
      </c>
      <c r="P1004" s="159">
        <f>IFERROR(__xludf.DUMMYFUNCTION("""COMPUTED_VALUE"""),34705.0)</f>
        <v>34705</v>
      </c>
      <c r="Q1004" s="146" t="str">
        <f>IFERROR(__xludf.DUMMYFUNCTION("""COMPUTED_VALUE"""),"089-637-8714 หรือ 091-895-9871")</f>
        <v>089-637-8714 หรือ 091-895-9871</v>
      </c>
      <c r="R1004" s="147">
        <f>IFERROR(__xludf.DUMMYFUNCTION("""COMPUTED_VALUE"""),1.103701594365E12)</f>
        <v>1103701594365</v>
      </c>
      <c r="S1004" t="str">
        <f>IFERROR(__xludf.DUMMYFUNCTION("""COMPUTED_VALUE"""),"AD1028281")</f>
        <v>AD1028281</v>
      </c>
      <c r="T1004" s="148">
        <f>IFERROR(__xludf.DUMMYFUNCTION("""COMPUTED_VALUE"""),45048.0)</f>
        <v>45048</v>
      </c>
      <c r="U1004" s="148">
        <f>IFERROR(__xludf.DUMMYFUNCTION("""COMPUTED_VALUE"""),48700.0)</f>
        <v>48700</v>
      </c>
      <c r="V1004" s="149">
        <f>IFERROR(__xludf.DUMMYFUNCTION("""COMPUTED_VALUE"""),48519.0)</f>
        <v>48519</v>
      </c>
      <c r="W1004" t="str">
        <f>IFERROR(__xludf.DUMMYFUNCTION("""COMPUTED_VALUE"""),"ปลอดภัย")</f>
        <v>ปลอดภัย</v>
      </c>
      <c r="X1004" t="str">
        <f>IFERROR(__xludf.DUMMYFUNCTION("""COMPUTED_VALUE"""),"Bangkok")</f>
        <v>Bangkok</v>
      </c>
      <c r="Y1004" t="str">
        <f>IFERROR(__xludf.DUMMYFUNCTION("""COMPUTED_VALUE"""),"Bangkok")</f>
        <v>Bangkok</v>
      </c>
      <c r="Z1004" s="145" t="str">
        <f>IFERROR(__xludf.DUMMYFUNCTION("""COMPUTED_VALUE"""),"089-632-4236 หรือ 081-951-1025")</f>
        <v>089-632-4236 หรือ 081-951-1025</v>
      </c>
      <c r="AA1004" t="str">
        <f>IFERROR(__xludf.DUMMYFUNCTION("""COMPUTED_VALUE"""),"นาง ศิริพร อายะวรรณา Mother")</f>
        <v>นาง ศิริพร อายะวรรณา Mother</v>
      </c>
      <c r="AB1004" t="str">
        <f>IFERROR(__xludf.DUMMYFUNCTION("""COMPUTED_VALUE"""),"atimatanapat@airasia.com")</f>
        <v>atimatanapat@airasia.com</v>
      </c>
    </row>
    <row r="1005">
      <c r="A1005">
        <f>IFERROR(__xludf.DUMMYFUNCTION("""COMPUTED_VALUE"""),1013563.0)</f>
        <v>1013563</v>
      </c>
      <c r="B1005" t="str">
        <f>IFERROR(__xludf.DUMMYFUNCTION("""COMPUTED_VALUE"""),"Mr.")</f>
        <v>Mr.</v>
      </c>
      <c r="C1005" t="str">
        <f>IFERROR(__xludf.DUMMYFUNCTION("""COMPUTED_VALUE"""),"Josiah")</f>
        <v>Josiah</v>
      </c>
      <c r="D1005" t="str">
        <f>IFERROR(__xludf.DUMMYFUNCTION("""COMPUTED_VALUE"""),"Taylor")</f>
        <v>Taylor</v>
      </c>
      <c r="E1005" t="str">
        <f>IFERROR(__xludf.DUMMYFUNCTION("""COMPUTED_VALUE"""),"Josiah Taylor")</f>
        <v>Josiah Taylor</v>
      </c>
      <c r="F1005" t="str">
        <f>IFERROR(__xludf.DUMMYFUNCTION("""COMPUTED_VALUE"""),"นาย")</f>
        <v>นาย</v>
      </c>
      <c r="G1005" t="str">
        <f>IFERROR(__xludf.DUMMYFUNCTION("""COMPUTED_VALUE"""),"โจชิอา")</f>
        <v>โจชิอา</v>
      </c>
      <c r="H1005" t="str">
        <f>IFERROR(__xludf.DUMMYFUNCTION("""COMPUTED_VALUE"""),"เทเลอร์")</f>
        <v>เทเลอร์</v>
      </c>
      <c r="I1005" t="str">
        <f>IFERROR(__xludf.DUMMYFUNCTION("""COMPUTED_VALUE"""),"โจชิอา เทเลอร์")</f>
        <v>โจชิอา เทเลอร์</v>
      </c>
      <c r="J1005" t="str">
        <f>IFERROR(__xludf.DUMMYFUNCTION("""COMPUTED_VALUE"""),"Jo /โจ")</f>
        <v>Jo /โจ</v>
      </c>
      <c r="K1005" t="str">
        <f>IFERROR(__xludf.DUMMYFUNCTION("""COMPUTED_VALUE"""),"Cabin Crew - CNX")</f>
        <v>Cabin Crew - CNX</v>
      </c>
      <c r="L1005" t="str">
        <f>IFERROR(__xludf.DUMMYFUNCTION("""COMPUTED_VALUE"""),"CNX")</f>
        <v>CNX</v>
      </c>
      <c r="M1005" s="145" t="str">
        <f>IFERROR(__xludf.DUMMYFUNCTION("""COMPUTED_VALUE"""),"Up Home")</f>
        <v>Up Home</v>
      </c>
      <c r="N1005" t="str">
        <f>IFERROR(__xludf.DUMMYFUNCTION("""COMPUTED_VALUE"""),"Active")</f>
        <v>Active</v>
      </c>
      <c r="P1005" s="159">
        <f>IFERROR(__xludf.DUMMYFUNCTION("""COMPUTED_VALUE"""),33017.0)</f>
        <v>33017</v>
      </c>
      <c r="Q1005" s="146">
        <f>IFERROR(__xludf.DUMMYFUNCTION("""COMPUTED_VALUE"""),8.25590124E8)</f>
        <v>825590124</v>
      </c>
      <c r="R1005" s="147">
        <f>IFERROR(__xludf.DUMMYFUNCTION("""COMPUTED_VALUE"""),5.502201027176E12)</f>
        <v>5502201027176</v>
      </c>
      <c r="S1005" t="str">
        <f>IFERROR(__xludf.DUMMYFUNCTION("""COMPUTED_VALUE"""),"AC3434000")</f>
        <v>AC3434000</v>
      </c>
      <c r="T1005" s="148">
        <f>IFERROR(__xludf.DUMMYFUNCTION("""COMPUTED_VALUE"""),44733.0)</f>
        <v>44733</v>
      </c>
      <c r="U1005" s="148">
        <f>IFERROR(__xludf.DUMMYFUNCTION("""COMPUTED_VALUE"""),48385.0)</f>
        <v>48385</v>
      </c>
      <c r="V1005" s="149">
        <f>IFERROR(__xludf.DUMMYFUNCTION("""COMPUTED_VALUE"""),48202.0)</f>
        <v>48202</v>
      </c>
      <c r="W1005" t="str">
        <f>IFERROR(__xludf.DUMMYFUNCTION("""COMPUTED_VALUE"""),"ปลอดภัย")</f>
        <v>ปลอดภัย</v>
      </c>
      <c r="X1005" t="str">
        <f>IFERROR(__xludf.DUMMYFUNCTION("""COMPUTED_VALUE"""),"Phetchabun Province")</f>
        <v>Phetchabun Province</v>
      </c>
      <c r="Y1005" t="str">
        <f>IFERROR(__xludf.DUMMYFUNCTION("""COMPUTED_VALUE"""),"Bangkok")</f>
        <v>Bangkok</v>
      </c>
      <c r="Z1005" s="145" t="str">
        <f>IFERROR(__xludf.DUMMYFUNCTION("""COMPUTED_VALUE"""),"0993716665")</f>
        <v>0993716665</v>
      </c>
      <c r="AA1005" t="str">
        <f>IFERROR(__xludf.DUMMYFUNCTION("""COMPUTED_VALUE"""),"นาย บรูซ แพทริค เทเลอร์ Father")</f>
        <v>นาย บรูซ แพทริค เทเลอร์ Father</v>
      </c>
      <c r="AB1005" t="str">
        <f>IFERROR(__xludf.DUMMYFUNCTION("""COMPUTED_VALUE"""),"josiaht@airasia.com")</f>
        <v>josiaht@airasia.com</v>
      </c>
    </row>
    <row r="1006">
      <c r="A1006">
        <f>IFERROR(__xludf.DUMMYFUNCTION("""COMPUTED_VALUE"""),1027118.0)</f>
        <v>1027118</v>
      </c>
      <c r="B1006" t="str">
        <f>IFERROR(__xludf.DUMMYFUNCTION("""COMPUTED_VALUE"""),"Ms.")</f>
        <v>Ms.</v>
      </c>
      <c r="C1006" t="str">
        <f>IFERROR(__xludf.DUMMYFUNCTION("""COMPUTED_VALUE"""),"Kamonkarn")</f>
        <v>Kamonkarn</v>
      </c>
      <c r="D1006" t="str">
        <f>IFERROR(__xludf.DUMMYFUNCTION("""COMPUTED_VALUE"""),"Chuengoen")</f>
        <v>Chuengoen</v>
      </c>
      <c r="E1006" t="str">
        <f>IFERROR(__xludf.DUMMYFUNCTION("""COMPUTED_VALUE"""),"Kamonkarn Chuengoen")</f>
        <v>Kamonkarn Chuengoen</v>
      </c>
      <c r="F1006" t="str">
        <f>IFERROR(__xludf.DUMMYFUNCTION("""COMPUTED_VALUE"""),"นางสาว")</f>
        <v>นางสาว</v>
      </c>
      <c r="G1006" t="str">
        <f>IFERROR(__xludf.DUMMYFUNCTION("""COMPUTED_VALUE"""),"กมลกาญจน์")</f>
        <v>กมลกาญจน์</v>
      </c>
      <c r="H1006" t="str">
        <f>IFERROR(__xludf.DUMMYFUNCTION("""COMPUTED_VALUE"""),"เชื้อเงิน")</f>
        <v>เชื้อเงิน</v>
      </c>
      <c r="I1006" t="str">
        <f>IFERROR(__xludf.DUMMYFUNCTION("""COMPUTED_VALUE"""),"กมลกาญจน์ เชื้อเงิน")</f>
        <v>กมลกาญจน์ เชื้อเงิน</v>
      </c>
      <c r="J1006" t="str">
        <f>IFERROR(__xludf.DUMMYFUNCTION("""COMPUTED_VALUE"""),"กิ๊ฟท์")</f>
        <v>กิ๊ฟท์</v>
      </c>
      <c r="K1006" t="str">
        <f>IFERROR(__xludf.DUMMYFUNCTION("""COMPUTED_VALUE"""),"Cabin Crew")</f>
        <v>Cabin Crew</v>
      </c>
      <c r="L1006" t="str">
        <f>IFERROR(__xludf.DUMMYFUNCTION("""COMPUTED_VALUE"""),"DMK")</f>
        <v>DMK</v>
      </c>
      <c r="M1006" s="145" t="str">
        <f>IFERROR(__xludf.DUMMYFUNCTION("""COMPUTED_VALUE"""),"Nhui Home")</f>
        <v>Nhui Home</v>
      </c>
      <c r="N1006" t="str">
        <f>IFERROR(__xludf.DUMMYFUNCTION("""COMPUTED_VALUE"""),"Active")</f>
        <v>Active</v>
      </c>
      <c r="P1006" s="159">
        <f>IFERROR(__xludf.DUMMYFUNCTION("""COMPUTED_VALUE"""),34169.0)</f>
        <v>34169</v>
      </c>
      <c r="Q1006" s="146">
        <f>IFERROR(__xludf.DUMMYFUNCTION("""COMPUTED_VALUE"""),8.82288482E8)</f>
        <v>882288482</v>
      </c>
      <c r="R1006" s="147">
        <f>IFERROR(__xludf.DUMMYFUNCTION("""COMPUTED_VALUE"""),1.209700486385E12)</f>
        <v>1209700486385</v>
      </c>
      <c r="S1006" t="str">
        <f>IFERROR(__xludf.DUMMYFUNCTION("""COMPUTED_VALUE"""),"AC2304381")</f>
        <v>AC2304381</v>
      </c>
      <c r="T1006" s="148">
        <f>IFERROR(__xludf.DUMMYFUNCTION("""COMPUTED_VALUE"""),44354.0)</f>
        <v>44354</v>
      </c>
      <c r="U1006" s="148">
        <f>IFERROR(__xludf.DUMMYFUNCTION("""COMPUTED_VALUE"""),48005.0)</f>
        <v>48005</v>
      </c>
      <c r="V1006" s="149">
        <f>IFERROR(__xludf.DUMMYFUNCTION("""COMPUTED_VALUE"""),47823.0)</f>
        <v>47823</v>
      </c>
      <c r="W1006" t="str">
        <f>IFERROR(__xludf.DUMMYFUNCTION("""COMPUTED_VALUE"""),"ปลอดภัย")</f>
        <v>ปลอดภัย</v>
      </c>
      <c r="X1006" t="str">
        <f>IFERROR(__xludf.DUMMYFUNCTION("""COMPUTED_VALUE"""),"Chonburi Province")</f>
        <v>Chonburi Province</v>
      </c>
      <c r="Y1006" t="str">
        <f>IFERROR(__xludf.DUMMYFUNCTION("""COMPUTED_VALUE"""),"Chonburi Province")</f>
        <v>Chonburi Province</v>
      </c>
      <c r="Z1006" s="145" t="str">
        <f>IFERROR(__xludf.DUMMYFUNCTION("""COMPUTED_VALUE"""),"063-354-1565")</f>
        <v>063-354-1565</v>
      </c>
      <c r="AA1006" t="str">
        <f>IFERROR(__xludf.DUMMYFUNCTION("""COMPUTED_VALUE"""),"นางกาญจนา เชื้อเงิน Mother")</f>
        <v>นางกาญจนา เชื้อเงิน Mother</v>
      </c>
      <c r="AB1006" t="str">
        <f>IFERROR(__xludf.DUMMYFUNCTION("""COMPUTED_VALUE"""),"kamonkarnchuengoen@airasia.com")</f>
        <v>kamonkarnchuengoen@airasia.com</v>
      </c>
    </row>
    <row r="1007">
      <c r="A1007">
        <f>IFERROR(__xludf.DUMMYFUNCTION("""COMPUTED_VALUE"""),1005312.0)</f>
        <v>1005312</v>
      </c>
      <c r="B1007" t="str">
        <f>IFERROR(__xludf.DUMMYFUNCTION("""COMPUTED_VALUE"""),"Ms.")</f>
        <v>Ms.</v>
      </c>
      <c r="C1007" t="str">
        <f>IFERROR(__xludf.DUMMYFUNCTION("""COMPUTED_VALUE"""),"Khemika")</f>
        <v>Khemika</v>
      </c>
      <c r="D1007" t="str">
        <f>IFERROR(__xludf.DUMMYFUNCTION("""COMPUTED_VALUE"""),"Thnonchaikul")</f>
        <v>Thnonchaikul</v>
      </c>
      <c r="E1007" t="str">
        <f>IFERROR(__xludf.DUMMYFUNCTION("""COMPUTED_VALUE"""),"Khemika Thnonchaikul")</f>
        <v>Khemika Thnonchaikul</v>
      </c>
      <c r="F1007" t="str">
        <f>IFERROR(__xludf.DUMMYFUNCTION("""COMPUTED_VALUE"""),"นางสาว")</f>
        <v>นางสาว</v>
      </c>
      <c r="G1007" t="str">
        <f>IFERROR(__xludf.DUMMYFUNCTION("""COMPUTED_VALUE"""),"เขมิกา")</f>
        <v>เขมิกา</v>
      </c>
      <c r="H1007" t="str">
        <f>IFERROR(__xludf.DUMMYFUNCTION("""COMPUTED_VALUE"""),"ธนญชัยกุล")</f>
        <v>ธนญชัยกุล</v>
      </c>
      <c r="I1007" t="str">
        <f>IFERROR(__xludf.DUMMYFUNCTION("""COMPUTED_VALUE"""),"เขมิกา ธนญชัยกุล")</f>
        <v>เขมิกา ธนญชัยกุล</v>
      </c>
      <c r="J1007" t="str">
        <f>IFERROR(__xludf.DUMMYFUNCTION("""COMPUTED_VALUE"""),"ญี่ปุ่น")</f>
        <v>ญี่ปุ่น</v>
      </c>
      <c r="K1007" t="str">
        <f>IFERROR(__xludf.DUMMYFUNCTION("""COMPUTED_VALUE"""),"Cabin Crew")</f>
        <v>Cabin Crew</v>
      </c>
      <c r="L1007" t="str">
        <f>IFERROR(__xludf.DUMMYFUNCTION("""COMPUTED_VALUE"""),"DMK")</f>
        <v>DMK</v>
      </c>
      <c r="M1007" s="145" t="str">
        <f>IFERROR(__xludf.DUMMYFUNCTION("""COMPUTED_VALUE"""),"Kor Home")</f>
        <v>Kor Home</v>
      </c>
      <c r="N1007" t="str">
        <f>IFERROR(__xludf.DUMMYFUNCTION("""COMPUTED_VALUE"""),"Active")</f>
        <v>Active</v>
      </c>
      <c r="P1007" s="159">
        <f>IFERROR(__xludf.DUMMYFUNCTION("""COMPUTED_VALUE"""),32475.0)</f>
        <v>32475</v>
      </c>
      <c r="Q1007" s="146">
        <f>IFERROR(__xludf.DUMMYFUNCTION("""COMPUTED_VALUE"""),9.72484146E8)</f>
        <v>972484146</v>
      </c>
      <c r="R1007" s="147">
        <f>IFERROR(__xludf.DUMMYFUNCTION("""COMPUTED_VALUE"""),1.100800482988E12)</f>
        <v>1100800482988</v>
      </c>
      <c r="S1007" t="str">
        <f>IFERROR(__xludf.DUMMYFUNCTION("""COMPUTED_VALUE"""),"AC4302496")</f>
        <v>AC4302496</v>
      </c>
      <c r="T1007" s="148">
        <f>IFERROR(__xludf.DUMMYFUNCTION("""COMPUTED_VALUE"""),44914.0)</f>
        <v>44914</v>
      </c>
      <c r="U1007" s="148">
        <f>IFERROR(__xludf.DUMMYFUNCTION("""COMPUTED_VALUE"""),48566.0)</f>
        <v>48566</v>
      </c>
      <c r="V1007" s="149">
        <f>IFERROR(__xludf.DUMMYFUNCTION("""COMPUTED_VALUE"""),48383.0)</f>
        <v>48383</v>
      </c>
      <c r="W1007" t="str">
        <f>IFERROR(__xludf.DUMMYFUNCTION("""COMPUTED_VALUE"""),"ปลอดภัย")</f>
        <v>ปลอดภัย</v>
      </c>
      <c r="X1007" t="str">
        <f>IFERROR(__xludf.DUMMYFUNCTION("""COMPUTED_VALUE"""),"Bangkok")</f>
        <v>Bangkok</v>
      </c>
      <c r="Y1007" t="str">
        <f>IFERROR(__xludf.DUMMYFUNCTION("""COMPUTED_VALUE"""),"Bangkok")</f>
        <v>Bangkok</v>
      </c>
      <c r="Z1007" s="145" t="str">
        <f>IFERROR(__xludf.DUMMYFUNCTION("""COMPUTED_VALUE"""),"0839969439")</f>
        <v>0839969439</v>
      </c>
      <c r="AA1007" t="str">
        <f>IFERROR(__xludf.DUMMYFUNCTION("""COMPUTED_VALUE"""),"ธนิสร ธนญชัยกุล Father")</f>
        <v>ธนิสร ธนญชัยกุล Father</v>
      </c>
      <c r="AB1007" t="str">
        <f>IFERROR(__xludf.DUMMYFUNCTION("""COMPUTED_VALUE"""),"khemikat@airasia.com")</f>
        <v>khemikat@airasia.com</v>
      </c>
    </row>
    <row r="1008">
      <c r="A1008">
        <f>IFERROR(__xludf.DUMMYFUNCTION("""COMPUTED_VALUE"""),1026841.0)</f>
        <v>1026841</v>
      </c>
      <c r="B1008" t="str">
        <f>IFERROR(__xludf.DUMMYFUNCTION("""COMPUTED_VALUE"""),"Ms.")</f>
        <v>Ms.</v>
      </c>
      <c r="C1008" t="str">
        <f>IFERROR(__xludf.DUMMYFUNCTION("""COMPUTED_VALUE"""),"Natjaree")</f>
        <v>Natjaree</v>
      </c>
      <c r="D1008" t="str">
        <f>IFERROR(__xludf.DUMMYFUNCTION("""COMPUTED_VALUE"""),"Phanitwaranan")</f>
        <v>Phanitwaranan</v>
      </c>
      <c r="E1008" t="str">
        <f>IFERROR(__xludf.DUMMYFUNCTION("""COMPUTED_VALUE"""),"Natjaree Phanitwaranan")</f>
        <v>Natjaree Phanitwaranan</v>
      </c>
      <c r="F1008" t="str">
        <f>IFERROR(__xludf.DUMMYFUNCTION("""COMPUTED_VALUE"""),"นางสาว")</f>
        <v>นางสาว</v>
      </c>
      <c r="G1008" t="str">
        <f>IFERROR(__xludf.DUMMYFUNCTION("""COMPUTED_VALUE"""),"ณัฐจารี")</f>
        <v>ณัฐจารี</v>
      </c>
      <c r="H1008" t="str">
        <f>IFERROR(__xludf.DUMMYFUNCTION("""COMPUTED_VALUE"""),"พานิจวรานันท์")</f>
        <v>พานิจวรานันท์</v>
      </c>
      <c r="I1008" t="str">
        <f>IFERROR(__xludf.DUMMYFUNCTION("""COMPUTED_VALUE"""),"ณัฐจารี พานิจวรานันท์")</f>
        <v>ณัฐจารี พานิจวรานันท์</v>
      </c>
      <c r="J1008" t="str">
        <f>IFERROR(__xludf.DUMMYFUNCTION("""COMPUTED_VALUE"""),"Miew / หมิว")</f>
        <v>Miew / หมิว</v>
      </c>
      <c r="K1008" t="str">
        <f>IFERROR(__xludf.DUMMYFUNCTION("""COMPUTED_VALUE"""),"Cabin Crew")</f>
        <v>Cabin Crew</v>
      </c>
      <c r="L1008" t="str">
        <f>IFERROR(__xludf.DUMMYFUNCTION("""COMPUTED_VALUE"""),"DMK")</f>
        <v>DMK</v>
      </c>
      <c r="M1008" s="145" t="str">
        <f>IFERROR(__xludf.DUMMYFUNCTION("""COMPUTED_VALUE"""),"Namfon Home")</f>
        <v>Namfon Home</v>
      </c>
      <c r="N1008" t="str">
        <f>IFERROR(__xludf.DUMMYFUNCTION("""COMPUTED_VALUE"""),"Active")</f>
        <v>Active</v>
      </c>
      <c r="P1008" s="159">
        <f>IFERROR(__xludf.DUMMYFUNCTION("""COMPUTED_VALUE"""),35206.0)</f>
        <v>35206</v>
      </c>
      <c r="Q1008" s="146">
        <f>IFERROR(__xludf.DUMMYFUNCTION("""COMPUTED_VALUE"""),6.46296156E8)</f>
        <v>646296156</v>
      </c>
      <c r="R1008" s="147">
        <f>IFERROR(__xludf.DUMMYFUNCTION("""COMPUTED_VALUE"""),1.609900360349E12)</f>
        <v>1609900360349</v>
      </c>
      <c r="S1008" t="str">
        <f>IFERROR(__xludf.DUMMYFUNCTION("""COMPUTED_VALUE"""),"AC7260716")</f>
        <v>AC7260716</v>
      </c>
      <c r="T1008" s="148">
        <f>IFERROR(__xludf.DUMMYFUNCTION("""COMPUTED_VALUE"""),45615.0)</f>
        <v>45615</v>
      </c>
      <c r="U1008" s="148">
        <f>IFERROR(__xludf.DUMMYFUNCTION("""COMPUTED_VALUE"""),49266.0)</f>
        <v>49266</v>
      </c>
      <c r="V1008" s="149">
        <f>IFERROR(__xludf.DUMMYFUNCTION("""COMPUTED_VALUE"""),49082.0)</f>
        <v>49082</v>
      </c>
      <c r="W1008" t="str">
        <f>IFERROR(__xludf.DUMMYFUNCTION("""COMPUTED_VALUE"""),"ปลอดภัย")</f>
        <v>ปลอดภัย</v>
      </c>
      <c r="X1008" t="str">
        <f>IFERROR(__xludf.DUMMYFUNCTION("""COMPUTED_VALUE"""),"Nakhon Sawan Province")</f>
        <v>Nakhon Sawan Province</v>
      </c>
      <c r="Y1008" t="str">
        <f>IFERROR(__xludf.DUMMYFUNCTION("""COMPUTED_VALUE"""),"NONTABUTI")</f>
        <v>NONTABUTI</v>
      </c>
      <c r="Z1008" s="145" t="str">
        <f>IFERROR(__xludf.DUMMYFUNCTION("""COMPUTED_VALUE"""),"0612954645")</f>
        <v>0612954645</v>
      </c>
      <c r="AA1008" t="str">
        <f>IFERROR(__xludf.DUMMYFUNCTION("""COMPUTED_VALUE"""),"นางพรวรินทร์ พานิจวรานันท์ Mother")</f>
        <v>นางพรวรินทร์ พานิจวรานันท์ Mother</v>
      </c>
      <c r="AB1008" t="str">
        <f>IFERROR(__xludf.DUMMYFUNCTION("""COMPUTED_VALUE"""),"natjareephanitwaran@airasia.com")</f>
        <v>natjareephanitwaran@airasia.com</v>
      </c>
    </row>
    <row r="1009">
      <c r="A1009">
        <f>IFERROR(__xludf.DUMMYFUNCTION("""COMPUTED_VALUE"""),1027538.0)</f>
        <v>1027538</v>
      </c>
      <c r="B1009" t="str">
        <f>IFERROR(__xludf.DUMMYFUNCTION("""COMPUTED_VALUE"""),"Mr.")</f>
        <v>Mr.</v>
      </c>
      <c r="C1009" t="str">
        <f>IFERROR(__xludf.DUMMYFUNCTION("""COMPUTED_VALUE"""),"Opal")</f>
        <v>Opal</v>
      </c>
      <c r="D1009" t="str">
        <f>IFERROR(__xludf.DUMMYFUNCTION("""COMPUTED_VALUE"""),"Nitipon")</f>
        <v>Nitipon</v>
      </c>
      <c r="E1009" t="str">
        <f>IFERROR(__xludf.DUMMYFUNCTION("""COMPUTED_VALUE"""),"Opal Nitipon")</f>
        <v>Opal Nitipon</v>
      </c>
      <c r="F1009" t="str">
        <f>IFERROR(__xludf.DUMMYFUNCTION("""COMPUTED_VALUE"""),"นาย")</f>
        <v>นาย</v>
      </c>
      <c r="G1009" t="str">
        <f>IFERROR(__xludf.DUMMYFUNCTION("""COMPUTED_VALUE"""),"โอปอล")</f>
        <v>โอปอล</v>
      </c>
      <c r="H1009" t="str">
        <f>IFERROR(__xludf.DUMMYFUNCTION("""COMPUTED_VALUE"""),"นิติพน")</f>
        <v>นิติพน</v>
      </c>
      <c r="I1009" t="str">
        <f>IFERROR(__xludf.DUMMYFUNCTION("""COMPUTED_VALUE"""),"โอปอล นิติพน")</f>
        <v>โอปอล นิติพน</v>
      </c>
      <c r="J1009" t="str">
        <f>IFERROR(__xludf.DUMMYFUNCTION("""COMPUTED_VALUE"""),"Ice / ไอซ์")</f>
        <v>Ice / ไอซ์</v>
      </c>
      <c r="K1009" t="str">
        <f>IFERROR(__xludf.DUMMYFUNCTION("""COMPUTED_VALUE"""),"Cabin Crew")</f>
        <v>Cabin Crew</v>
      </c>
      <c r="L1009" t="str">
        <f>IFERROR(__xludf.DUMMYFUNCTION("""COMPUTED_VALUE"""),"DMK")</f>
        <v>DMK</v>
      </c>
      <c r="M1009" s="145" t="str">
        <f>IFERROR(__xludf.DUMMYFUNCTION("""COMPUTED_VALUE"""),"Namfon Home")</f>
        <v>Namfon Home</v>
      </c>
      <c r="N1009" t="str">
        <f>IFERROR(__xludf.DUMMYFUNCTION("""COMPUTED_VALUE"""),"Active")</f>
        <v>Active</v>
      </c>
      <c r="P1009" s="159">
        <f>IFERROR(__xludf.DUMMYFUNCTION("""COMPUTED_VALUE"""),35087.0)</f>
        <v>35087</v>
      </c>
      <c r="Q1009" s="146">
        <f>IFERROR(__xludf.DUMMYFUNCTION("""COMPUTED_VALUE"""),8.45612323E8)</f>
        <v>845612323</v>
      </c>
      <c r="R1009" s="147">
        <f>IFERROR(__xludf.DUMMYFUNCTION("""COMPUTED_VALUE"""),1.101402098194E12)</f>
        <v>1101402098194</v>
      </c>
      <c r="S1009" t="str">
        <f>IFERROR(__xludf.DUMMYFUNCTION("""COMPUTED_VALUE"""),"AC4822062")</f>
        <v>AC4822062</v>
      </c>
      <c r="T1009" s="148">
        <f>IFERROR(__xludf.DUMMYFUNCTION("""COMPUTED_VALUE"""),45015.0)</f>
        <v>45015</v>
      </c>
      <c r="U1009" s="148">
        <f>IFERROR(__xludf.DUMMYFUNCTION("""COMPUTED_VALUE"""),48669.0)</f>
        <v>48669</v>
      </c>
      <c r="V1009" s="149">
        <f>IFERROR(__xludf.DUMMYFUNCTION("""COMPUTED_VALUE"""),48487.0)</f>
        <v>48487</v>
      </c>
      <c r="W1009" t="str">
        <f>IFERROR(__xludf.DUMMYFUNCTION("""COMPUTED_VALUE"""),"ปลอดภัย")</f>
        <v>ปลอดภัย</v>
      </c>
      <c r="X1009" t="str">
        <f>IFERROR(__xludf.DUMMYFUNCTION("""COMPUTED_VALUE"""),"Bangkok")</f>
        <v>Bangkok</v>
      </c>
      <c r="Y1009" t="str">
        <f>IFERROR(__xludf.DUMMYFUNCTION("""COMPUTED_VALUE"""),"NONTABUTI")</f>
        <v>NONTABUTI</v>
      </c>
      <c r="Z1009" s="145" t="str">
        <f>IFERROR(__xludf.DUMMYFUNCTION("""COMPUTED_VALUE"""),"0972417419")</f>
        <v>0972417419</v>
      </c>
      <c r="AA1009" t="str">
        <f>IFERROR(__xludf.DUMMYFUNCTION("""COMPUTED_VALUE"""),"นาง มณีกร นิติพน Mother")</f>
        <v>นาง มณีกร นิติพน Mother</v>
      </c>
      <c r="AB1009" t="str">
        <f>IFERROR(__xludf.DUMMYFUNCTION("""COMPUTED_VALUE"""),"opalnitipon@airasia.com")</f>
        <v>opalnitipon@airasia.com</v>
      </c>
    </row>
    <row r="1010">
      <c r="A1010">
        <f>IFERROR(__xludf.DUMMYFUNCTION("""COMPUTED_VALUE"""),1027495.0)</f>
        <v>1027495</v>
      </c>
      <c r="B1010" t="str">
        <f>IFERROR(__xludf.DUMMYFUNCTION("""COMPUTED_VALUE"""),"Ms.")</f>
        <v>Ms.</v>
      </c>
      <c r="C1010" t="str">
        <f>IFERROR(__xludf.DUMMYFUNCTION("""COMPUTED_VALUE"""),"Poosita")</f>
        <v>Poosita</v>
      </c>
      <c r="D1010" t="str">
        <f>IFERROR(__xludf.DUMMYFUNCTION("""COMPUTED_VALUE"""),"Wongtong")</f>
        <v>Wongtong</v>
      </c>
      <c r="E1010" t="str">
        <f>IFERROR(__xludf.DUMMYFUNCTION("""COMPUTED_VALUE"""),"Poosita Wongtong")</f>
        <v>Poosita Wongtong</v>
      </c>
      <c r="F1010" t="str">
        <f>IFERROR(__xludf.DUMMYFUNCTION("""COMPUTED_VALUE"""),"นางสาว")</f>
        <v>นางสาว</v>
      </c>
      <c r="G1010" t="str">
        <f>IFERROR(__xludf.DUMMYFUNCTION("""COMPUTED_VALUE"""),"ภูษิตา")</f>
        <v>ภูษิตา</v>
      </c>
      <c r="H1010" t="str">
        <f>IFERROR(__xludf.DUMMYFUNCTION("""COMPUTED_VALUE"""),"วงษ์ทอง")</f>
        <v>วงษ์ทอง</v>
      </c>
      <c r="I1010" t="str">
        <f>IFERROR(__xludf.DUMMYFUNCTION("""COMPUTED_VALUE"""),"ภูษิตา วงษ์ทอง")</f>
        <v>ภูษิตา วงษ์ทอง</v>
      </c>
      <c r="J1010" t="str">
        <f>IFERROR(__xludf.DUMMYFUNCTION("""COMPUTED_VALUE"""),"Eve/อีฟ")</f>
        <v>Eve/อีฟ</v>
      </c>
      <c r="K1010" t="str">
        <f>IFERROR(__xludf.DUMMYFUNCTION("""COMPUTED_VALUE"""),"Cabin Crew")</f>
        <v>Cabin Crew</v>
      </c>
      <c r="L1010" t="str">
        <f>IFERROR(__xludf.DUMMYFUNCTION("""COMPUTED_VALUE"""),"DMK")</f>
        <v>DMK</v>
      </c>
      <c r="M1010" s="145" t="str">
        <f>IFERROR(__xludf.DUMMYFUNCTION("""COMPUTED_VALUE"""),"Kor Home")</f>
        <v>Kor Home</v>
      </c>
      <c r="N1010" t="str">
        <f>IFERROR(__xludf.DUMMYFUNCTION("""COMPUTED_VALUE"""),"Active")</f>
        <v>Active</v>
      </c>
      <c r="P1010" s="159">
        <f>IFERROR(__xludf.DUMMYFUNCTION("""COMPUTED_VALUE"""),34305.0)</f>
        <v>34305</v>
      </c>
      <c r="Q1010" s="146">
        <f>IFERROR(__xludf.DUMMYFUNCTION("""COMPUTED_VALUE"""),8.96999425E8)</f>
        <v>896999425</v>
      </c>
      <c r="R1010" s="147">
        <f>IFERROR(__xludf.DUMMYFUNCTION("""COMPUTED_VALUE"""),1.860100131281E12)</f>
        <v>1860100131281</v>
      </c>
      <c r="S1010" t="str">
        <f>IFERROR(__xludf.DUMMYFUNCTION("""COMPUTED_VALUE"""),"AD0415669")</f>
        <v>AD0415669</v>
      </c>
      <c r="T1010" s="148">
        <f>IFERROR(__xludf.DUMMYFUNCTION("""COMPUTED_VALUE"""),44894.0)</f>
        <v>44894</v>
      </c>
      <c r="U1010" s="148">
        <f>IFERROR(__xludf.DUMMYFUNCTION("""COMPUTED_VALUE"""),48546.0)</f>
        <v>48546</v>
      </c>
      <c r="V1010" s="149">
        <f>IFERROR(__xludf.DUMMYFUNCTION("""COMPUTED_VALUE"""),48362.0)</f>
        <v>48362</v>
      </c>
      <c r="W1010" t="str">
        <f>IFERROR(__xludf.DUMMYFUNCTION("""COMPUTED_VALUE"""),"ปลอดภัย")</f>
        <v>ปลอดภัย</v>
      </c>
      <c r="X1010" t="str">
        <f>IFERROR(__xludf.DUMMYFUNCTION("""COMPUTED_VALUE"""),"Chumphon Province")</f>
        <v>Chumphon Province</v>
      </c>
      <c r="Y1010" t="str">
        <f>IFERROR(__xludf.DUMMYFUNCTION("""COMPUTED_VALUE"""),"NONTABUTI")</f>
        <v>NONTABUTI</v>
      </c>
      <c r="Z1010" s="145" t="str">
        <f>IFERROR(__xludf.DUMMYFUNCTION("""COMPUTED_VALUE"""),"0896999425")</f>
        <v>0896999425</v>
      </c>
      <c r="AA1010" t="str">
        <f>IFERROR(__xludf.DUMMYFUNCTION("""COMPUTED_VALUE"""),"นายเจตริน เอี่ยมแทน Friend")</f>
        <v>นายเจตริน เอี่ยมแทน Friend</v>
      </c>
      <c r="AB1010" t="str">
        <f>IFERROR(__xludf.DUMMYFUNCTION("""COMPUTED_VALUE"""),"poositawongtong@airasia.com")</f>
        <v>poositawongtong@airasia.com</v>
      </c>
    </row>
    <row r="1011">
      <c r="A1011">
        <f>IFERROR(__xludf.DUMMYFUNCTION("""COMPUTED_VALUE"""),1026840.0)</f>
        <v>1026840</v>
      </c>
      <c r="B1011" t="str">
        <f>IFERROR(__xludf.DUMMYFUNCTION("""COMPUTED_VALUE"""),"Mr.")</f>
        <v>Mr.</v>
      </c>
      <c r="C1011" t="str">
        <f>IFERROR(__xludf.DUMMYFUNCTION("""COMPUTED_VALUE"""),"Preampiti")</f>
        <v>Preampiti</v>
      </c>
      <c r="D1011" t="str">
        <f>IFERROR(__xludf.DUMMYFUNCTION("""COMPUTED_VALUE"""),"Umprasirt")</f>
        <v>Umprasirt</v>
      </c>
      <c r="E1011" t="str">
        <f>IFERROR(__xludf.DUMMYFUNCTION("""COMPUTED_VALUE"""),"Preampiti Umprasirt")</f>
        <v>Preampiti Umprasirt</v>
      </c>
      <c r="F1011" t="str">
        <f>IFERROR(__xludf.DUMMYFUNCTION("""COMPUTED_VALUE"""),"นาย")</f>
        <v>นาย</v>
      </c>
      <c r="G1011" t="str">
        <f>IFERROR(__xludf.DUMMYFUNCTION("""COMPUTED_VALUE"""),"เปรมปิติ")</f>
        <v>เปรมปิติ</v>
      </c>
      <c r="H1011" t="str">
        <f>IFERROR(__xludf.DUMMYFUNCTION("""COMPUTED_VALUE"""),"อ่ำประเสริฐ")</f>
        <v>อ่ำประเสริฐ</v>
      </c>
      <c r="I1011" t="str">
        <f>IFERROR(__xludf.DUMMYFUNCTION("""COMPUTED_VALUE"""),"เปรมปิติ อ่ำประเสริฐ")</f>
        <v>เปรมปิติ อ่ำประเสริฐ</v>
      </c>
      <c r="J1011" t="str">
        <f>IFERROR(__xludf.DUMMYFUNCTION("""COMPUTED_VALUE"""),"Tong/ โต้ง")</f>
        <v>Tong/ โต้ง</v>
      </c>
      <c r="K1011" t="str">
        <f>IFERROR(__xludf.DUMMYFUNCTION("""COMPUTED_VALUE"""),"Cabin Crew")</f>
        <v>Cabin Crew</v>
      </c>
      <c r="L1011" t="str">
        <f>IFERROR(__xludf.DUMMYFUNCTION("""COMPUTED_VALUE"""),"DMK")</f>
        <v>DMK</v>
      </c>
      <c r="M1011" s="145" t="str">
        <f>IFERROR(__xludf.DUMMYFUNCTION("""COMPUTED_VALUE"""),"Kor Home")</f>
        <v>Kor Home</v>
      </c>
      <c r="N1011" t="str">
        <f>IFERROR(__xludf.DUMMYFUNCTION("""COMPUTED_VALUE"""),"Active")</f>
        <v>Active</v>
      </c>
      <c r="P1011" s="159">
        <f>IFERROR(__xludf.DUMMYFUNCTION("""COMPUTED_VALUE"""),34203.0)</f>
        <v>34203</v>
      </c>
      <c r="Q1011" s="146">
        <f>IFERROR(__xludf.DUMMYFUNCTION("""COMPUTED_VALUE"""),9.66432888E8)</f>
        <v>966432888</v>
      </c>
      <c r="R1011" s="147">
        <f>IFERROR(__xludf.DUMMYFUNCTION("""COMPUTED_VALUE"""),1.100800869645E12)</f>
        <v>1100800869645</v>
      </c>
      <c r="S1011" t="str">
        <f>IFERROR(__xludf.DUMMYFUNCTION("""COMPUTED_VALUE"""),"AC5755613")</f>
        <v>AC5755613</v>
      </c>
      <c r="T1011" s="148">
        <f>IFERROR(__xludf.DUMMYFUNCTION("""COMPUTED_VALUE"""),45208.0)</f>
        <v>45208</v>
      </c>
      <c r="U1011" s="148">
        <f>IFERROR(__xludf.DUMMYFUNCTION("""COMPUTED_VALUE"""),48860.0)</f>
        <v>48860</v>
      </c>
      <c r="V1011" s="149">
        <f>IFERROR(__xludf.DUMMYFUNCTION("""COMPUTED_VALUE"""),48677.0)</f>
        <v>48677</v>
      </c>
      <c r="W1011" t="str">
        <f>IFERROR(__xludf.DUMMYFUNCTION("""COMPUTED_VALUE"""),"ปลอดภัย")</f>
        <v>ปลอดภัย</v>
      </c>
      <c r="X1011" t="str">
        <f>IFERROR(__xludf.DUMMYFUNCTION("""COMPUTED_VALUE"""),"Bangkok")</f>
        <v>Bangkok</v>
      </c>
      <c r="Y1011" t="str">
        <f>IFERROR(__xludf.DUMMYFUNCTION("""COMPUTED_VALUE"""),"Bangkok")</f>
        <v>Bangkok</v>
      </c>
      <c r="Z1011" s="145" t="str">
        <f>IFERROR(__xludf.DUMMYFUNCTION("""COMPUTED_VALUE"""),"0814414340")</f>
        <v>0814414340</v>
      </c>
      <c r="AA1011" t="str">
        <f>IFERROR(__xludf.DUMMYFUNCTION("""COMPUTED_VALUE"""),"นางสาว ประพาฬรัตน์ อ่ำประเสริฐ Mother")</f>
        <v>นางสาว ประพาฬรัตน์ อ่ำประเสริฐ Mother</v>
      </c>
      <c r="AB1011" t="str">
        <f>IFERROR(__xludf.DUMMYFUNCTION("""COMPUTED_VALUE"""),"preampitiumprasirt@airasia.com")</f>
        <v>preampitiumprasirt@airasia.com</v>
      </c>
    </row>
    <row r="1012">
      <c r="A1012">
        <f>IFERROR(__xludf.DUMMYFUNCTION("""COMPUTED_VALUE"""),1026026.0)</f>
        <v>1026026</v>
      </c>
      <c r="B1012" t="str">
        <f>IFERROR(__xludf.DUMMYFUNCTION("""COMPUTED_VALUE"""),"Ms.")</f>
        <v>Ms.</v>
      </c>
      <c r="C1012" t="str">
        <f>IFERROR(__xludf.DUMMYFUNCTION("""COMPUTED_VALUE"""),"Punyisa")</f>
        <v>Punyisa</v>
      </c>
      <c r="D1012" t="str">
        <f>IFERROR(__xludf.DUMMYFUNCTION("""COMPUTED_VALUE"""),"Wongsawan")</f>
        <v>Wongsawan</v>
      </c>
      <c r="E1012" t="str">
        <f>IFERROR(__xludf.DUMMYFUNCTION("""COMPUTED_VALUE"""),"Punyisa Wongsawan")</f>
        <v>Punyisa Wongsawan</v>
      </c>
      <c r="F1012" t="str">
        <f>IFERROR(__xludf.DUMMYFUNCTION("""COMPUTED_VALUE"""),"นางสาว")</f>
        <v>นางสาว</v>
      </c>
      <c r="G1012" t="str">
        <f>IFERROR(__xludf.DUMMYFUNCTION("""COMPUTED_VALUE"""),"ปุญญิศา")</f>
        <v>ปุญญิศา</v>
      </c>
      <c r="H1012" t="str">
        <f>IFERROR(__xludf.DUMMYFUNCTION("""COMPUTED_VALUE"""),"วงษ์สวรรค์")</f>
        <v>วงษ์สวรรค์</v>
      </c>
      <c r="I1012" t="str">
        <f>IFERROR(__xludf.DUMMYFUNCTION("""COMPUTED_VALUE"""),"ปุญญิศา วงษ์สวรรค์")</f>
        <v>ปุญญิศา วงษ์สวรรค์</v>
      </c>
      <c r="J1012" t="str">
        <f>IFERROR(__xludf.DUMMYFUNCTION("""COMPUTED_VALUE"""),"Peach / พีช")</f>
        <v>Peach / พีช</v>
      </c>
      <c r="K1012" t="str">
        <f>IFERROR(__xludf.DUMMYFUNCTION("""COMPUTED_VALUE"""),"Cabin Crew")</f>
        <v>Cabin Crew</v>
      </c>
      <c r="L1012" t="str">
        <f>IFERROR(__xludf.DUMMYFUNCTION("""COMPUTED_VALUE"""),"DMK")</f>
        <v>DMK</v>
      </c>
      <c r="M1012" s="145" t="str">
        <f>IFERROR(__xludf.DUMMYFUNCTION("""COMPUTED_VALUE"""),"Namfon Home")</f>
        <v>Namfon Home</v>
      </c>
      <c r="N1012" t="str">
        <f>IFERROR(__xludf.DUMMYFUNCTION("""COMPUTED_VALUE"""),"Active")</f>
        <v>Active</v>
      </c>
      <c r="P1012" s="159">
        <f>IFERROR(__xludf.DUMMYFUNCTION("""COMPUTED_VALUE"""),34716.0)</f>
        <v>34716</v>
      </c>
      <c r="Q1012" s="146">
        <f>IFERROR(__xludf.DUMMYFUNCTION("""COMPUTED_VALUE"""),8.48718296E8)</f>
        <v>848718296</v>
      </c>
      <c r="R1012" s="147">
        <f>IFERROR(__xludf.DUMMYFUNCTION("""COMPUTED_VALUE"""),1.103701617152E12)</f>
        <v>1103701617152</v>
      </c>
      <c r="S1012" t="str">
        <f>IFERROR(__xludf.DUMMYFUNCTION("""COMPUTED_VALUE"""),"AC6860081")</f>
        <v>AC6860081</v>
      </c>
      <c r="T1012" s="148">
        <f>IFERROR(__xludf.DUMMYFUNCTION("""COMPUTED_VALUE"""),45478.0)</f>
        <v>45478</v>
      </c>
      <c r="U1012" s="148">
        <f>IFERROR(__xludf.DUMMYFUNCTION("""COMPUTED_VALUE"""),47303.0)</f>
        <v>47303</v>
      </c>
      <c r="V1012" s="149">
        <f>IFERROR(__xludf.DUMMYFUNCTION("""COMPUTED_VALUE"""),47122.0)</f>
        <v>47122</v>
      </c>
      <c r="W1012" t="str">
        <f>IFERROR(__xludf.DUMMYFUNCTION("""COMPUTED_VALUE"""),"ปลอดภัย")</f>
        <v>ปลอดภัย</v>
      </c>
      <c r="X1012" t="str">
        <f>IFERROR(__xludf.DUMMYFUNCTION("""COMPUTED_VALUE"""),"Bangkok")</f>
        <v>Bangkok</v>
      </c>
      <c r="Y1012" t="str">
        <f>IFERROR(__xludf.DUMMYFUNCTION("""COMPUTED_VALUE"""),"NONTABUTI")</f>
        <v>NONTABUTI</v>
      </c>
      <c r="Z1012" s="145" t="str">
        <f>IFERROR(__xludf.DUMMYFUNCTION("""COMPUTED_VALUE"""),"086-077-7006")</f>
        <v>086-077-7006</v>
      </c>
      <c r="AA1012" t="str">
        <f>IFERROR(__xludf.DUMMYFUNCTION("""COMPUTED_VALUE"""),"นายพศิณ รัตนรังสิกุล Friend")</f>
        <v>นายพศิณ รัตนรังสิกุล Friend</v>
      </c>
      <c r="AB1012" t="str">
        <f>IFERROR(__xludf.DUMMYFUNCTION("""COMPUTED_VALUE"""),"punyisawongsawan@airasia.com")</f>
        <v>punyisawongsawan@airasia.com</v>
      </c>
    </row>
    <row r="1013">
      <c r="A1013">
        <f>IFERROR(__xludf.DUMMYFUNCTION("""COMPUTED_VALUE"""),1027519.0)</f>
        <v>1027519</v>
      </c>
      <c r="B1013" t="str">
        <f>IFERROR(__xludf.DUMMYFUNCTION("""COMPUTED_VALUE"""),"Mr.")</f>
        <v>Mr.</v>
      </c>
      <c r="C1013" t="str">
        <f>IFERROR(__xludf.DUMMYFUNCTION("""COMPUTED_VALUE"""),"Puttipat")</f>
        <v>Puttipat</v>
      </c>
      <c r="D1013" t="str">
        <f>IFERROR(__xludf.DUMMYFUNCTION("""COMPUTED_VALUE"""),"Ongrojanakul")</f>
        <v>Ongrojanakul</v>
      </c>
      <c r="E1013" t="str">
        <f>IFERROR(__xludf.DUMMYFUNCTION("""COMPUTED_VALUE"""),"Puttipat Ongrojanakul")</f>
        <v>Puttipat Ongrojanakul</v>
      </c>
      <c r="F1013" t="str">
        <f>IFERROR(__xludf.DUMMYFUNCTION("""COMPUTED_VALUE"""),"นาย")</f>
        <v>นาย</v>
      </c>
      <c r="G1013" t="str">
        <f>IFERROR(__xludf.DUMMYFUNCTION("""COMPUTED_VALUE"""),"พุฒิพัฒน์")</f>
        <v>พุฒิพัฒน์</v>
      </c>
      <c r="H1013" t="str">
        <f>IFERROR(__xludf.DUMMYFUNCTION("""COMPUTED_VALUE"""),"องศ์โรจนกุล")</f>
        <v>องศ์โรจนกุล</v>
      </c>
      <c r="I1013" t="str">
        <f>IFERROR(__xludf.DUMMYFUNCTION("""COMPUTED_VALUE"""),"พุฒิพัฒน์ องศ์โรจนกุล")</f>
        <v>พุฒิพัฒน์ องศ์โรจนกุล</v>
      </c>
      <c r="J1013" t="str">
        <f>IFERROR(__xludf.DUMMYFUNCTION("""COMPUTED_VALUE"""),"Arf / อาฟ")</f>
        <v>Arf / อาฟ</v>
      </c>
      <c r="K1013" t="str">
        <f>IFERROR(__xludf.DUMMYFUNCTION("""COMPUTED_VALUE"""),"Cabin Crew")</f>
        <v>Cabin Crew</v>
      </c>
      <c r="L1013" t="str">
        <f>IFERROR(__xludf.DUMMYFUNCTION("""COMPUTED_VALUE"""),"DMK")</f>
        <v>DMK</v>
      </c>
      <c r="M1013" s="145" t="str">
        <f>IFERROR(__xludf.DUMMYFUNCTION("""COMPUTED_VALUE"""),"Up Home")</f>
        <v>Up Home</v>
      </c>
      <c r="N1013" t="str">
        <f>IFERROR(__xludf.DUMMYFUNCTION("""COMPUTED_VALUE"""),"Active")</f>
        <v>Active</v>
      </c>
      <c r="P1013" s="159">
        <f>IFERROR(__xludf.DUMMYFUNCTION("""COMPUTED_VALUE"""),34064.0)</f>
        <v>34064</v>
      </c>
      <c r="Q1013" s="146">
        <f>IFERROR(__xludf.DUMMYFUNCTION("""COMPUTED_VALUE"""),9.68018889E8)</f>
        <v>968018889</v>
      </c>
      <c r="R1013" s="147">
        <f>IFERROR(__xludf.DUMMYFUNCTION("""COMPUTED_VALUE"""),1.101401980454E12)</f>
        <v>1101401980454</v>
      </c>
      <c r="S1013" t="str">
        <f>IFERROR(__xludf.DUMMYFUNCTION("""COMPUTED_VALUE"""),"AC2224937")</f>
        <v>AC2224937</v>
      </c>
      <c r="T1013" s="148">
        <f>IFERROR(__xludf.DUMMYFUNCTION("""COMPUTED_VALUE"""),44274.0)</f>
        <v>44274</v>
      </c>
      <c r="U1013" s="148">
        <f>IFERROR(__xludf.DUMMYFUNCTION("""COMPUTED_VALUE"""),47925.0)</f>
        <v>47925</v>
      </c>
      <c r="V1013" s="149">
        <f>IFERROR(__xludf.DUMMYFUNCTION("""COMPUTED_VALUE"""),47744.0)</f>
        <v>47744</v>
      </c>
      <c r="W1013" t="str">
        <f>IFERROR(__xludf.DUMMYFUNCTION("""COMPUTED_VALUE"""),"ปลอดภัย")</f>
        <v>ปลอดภัย</v>
      </c>
      <c r="X1013" t="str">
        <f>IFERROR(__xludf.DUMMYFUNCTION("""COMPUTED_VALUE"""),"Bangkok")</f>
        <v>Bangkok</v>
      </c>
      <c r="Y1013" t="str">
        <f>IFERROR(__xludf.DUMMYFUNCTION("""COMPUTED_VALUE"""),"Bangkok")</f>
        <v>Bangkok</v>
      </c>
      <c r="Z1013" s="145" t="str">
        <f>IFERROR(__xludf.DUMMYFUNCTION("""COMPUTED_VALUE"""),"0654592565")</f>
        <v>0654592565</v>
      </c>
      <c r="AA1013" t="str">
        <f>IFERROR(__xludf.DUMMYFUNCTION("""COMPUTED_VALUE"""),"นางสาวจุติพร วิเศษโวหาร Wife")</f>
        <v>นางสาวจุติพร วิเศษโวหาร Wife</v>
      </c>
      <c r="AB1013" t="str">
        <f>IFERROR(__xludf.DUMMYFUNCTION("""COMPUTED_VALUE"""),"puttipatongrojanakul@airasia.com")</f>
        <v>puttipatongrojanakul@airasia.com</v>
      </c>
    </row>
    <row r="1014">
      <c r="A1014">
        <f>IFERROR(__xludf.DUMMYFUNCTION("""COMPUTED_VALUE"""),1011749.0)</f>
        <v>1011749</v>
      </c>
      <c r="B1014" t="str">
        <f>IFERROR(__xludf.DUMMYFUNCTION("""COMPUTED_VALUE"""),"Ms.")</f>
        <v>Ms.</v>
      </c>
      <c r="C1014" t="str">
        <f>IFERROR(__xludf.DUMMYFUNCTION("""COMPUTED_VALUE"""),"Ruedeemas")</f>
        <v>Ruedeemas</v>
      </c>
      <c r="D1014" t="str">
        <f>IFERROR(__xludf.DUMMYFUNCTION("""COMPUTED_VALUE"""),"Wachirawutthichai")</f>
        <v>Wachirawutthichai</v>
      </c>
      <c r="E1014" t="str">
        <f>IFERROR(__xludf.DUMMYFUNCTION("""COMPUTED_VALUE"""),"Ruedeemas Wachirawutthichai")</f>
        <v>Ruedeemas Wachirawutthichai</v>
      </c>
      <c r="F1014" t="str">
        <f>IFERROR(__xludf.DUMMYFUNCTION("""COMPUTED_VALUE"""),"นางสาว")</f>
        <v>นางสาว</v>
      </c>
      <c r="G1014" t="str">
        <f>IFERROR(__xludf.DUMMYFUNCTION("""COMPUTED_VALUE"""),"ฤดีมาส")</f>
        <v>ฤดีมาส</v>
      </c>
      <c r="H1014" t="str">
        <f>IFERROR(__xludf.DUMMYFUNCTION("""COMPUTED_VALUE"""),"วชิราวุฒิชัย")</f>
        <v>วชิราวุฒิชัย</v>
      </c>
      <c r="I1014" t="str">
        <f>IFERROR(__xludf.DUMMYFUNCTION("""COMPUTED_VALUE"""),"ฤดีมาส วชิราวุฒิชัย")</f>
        <v>ฤดีมาส วชิราวุฒิชัย</v>
      </c>
      <c r="J1014" t="str">
        <f>IFERROR(__xludf.DUMMYFUNCTION("""COMPUTED_VALUE"""),"Minnie / มินนี่")</f>
        <v>Minnie / มินนี่</v>
      </c>
      <c r="K1014" t="str">
        <f>IFERROR(__xludf.DUMMYFUNCTION("""COMPUTED_VALUE"""),"Cabin Crew")</f>
        <v>Cabin Crew</v>
      </c>
      <c r="L1014" t="str">
        <f>IFERROR(__xludf.DUMMYFUNCTION("""COMPUTED_VALUE"""),"DMK")</f>
        <v>DMK</v>
      </c>
      <c r="M1014" s="145" t="str">
        <f>IFERROR(__xludf.DUMMYFUNCTION("""COMPUTED_VALUE"""),"Por+ Home")</f>
        <v>Por+ Home</v>
      </c>
      <c r="N1014" t="str">
        <f>IFERROR(__xludf.DUMMYFUNCTION("""COMPUTED_VALUE"""),"V/LWP")</f>
        <v>V/LWP</v>
      </c>
      <c r="P1014" s="159">
        <f>IFERROR(__xludf.DUMMYFUNCTION("""COMPUTED_VALUE"""),32722.0)</f>
        <v>32722</v>
      </c>
      <c r="Q1014" s="146" t="str">
        <f>IFERROR(__xludf.DUMMYFUNCTION("""COMPUTED_VALUE"""),"095-597-3787")</f>
        <v>095-597-3787</v>
      </c>
      <c r="R1014" s="147">
        <f>IFERROR(__xludf.DUMMYFUNCTION("""COMPUTED_VALUE"""),1.100500513357E12)</f>
        <v>1100500513357</v>
      </c>
      <c r="S1014" t="str">
        <f>IFERROR(__xludf.DUMMYFUNCTION("""COMPUTED_VALUE"""),"AD0090699")</f>
        <v>AD0090699</v>
      </c>
      <c r="T1014" s="148">
        <f>IFERROR(__xludf.DUMMYFUNCTION("""COMPUTED_VALUE"""),44834.0)</f>
        <v>44834</v>
      </c>
      <c r="U1014" s="148">
        <f>IFERROR(__xludf.DUMMYFUNCTION("""COMPUTED_VALUE"""),48486.0)</f>
        <v>48486</v>
      </c>
      <c r="V1014" s="149">
        <f>IFERROR(__xludf.DUMMYFUNCTION("""COMPUTED_VALUE"""),48302.0)</f>
        <v>48302</v>
      </c>
      <c r="W1014" t="str">
        <f>IFERROR(__xludf.DUMMYFUNCTION("""COMPUTED_VALUE"""),"ปลอดภัย")</f>
        <v>ปลอดภัย</v>
      </c>
      <c r="X1014" t="str">
        <f>IFERROR(__xludf.DUMMYFUNCTION("""COMPUTED_VALUE"""),"Bangkok")</f>
        <v>Bangkok</v>
      </c>
      <c r="Y1014" t="str">
        <f>IFERROR(__xludf.DUMMYFUNCTION("""COMPUTED_VALUE"""),"Bangkok")</f>
        <v>Bangkok</v>
      </c>
      <c r="Z1014" s="145" t="str">
        <f>IFERROR(__xludf.DUMMYFUNCTION("""COMPUTED_VALUE"""),"062-302-1428")</f>
        <v>062-302-1428</v>
      </c>
      <c r="AA1014" t="str">
        <f>IFERROR(__xludf.DUMMYFUNCTION("""COMPUTED_VALUE"""),"นาย วิพุธ เจนวณิชสถาพร Husband")</f>
        <v>นาย วิพุธ เจนวณิชสถาพร Husband</v>
      </c>
      <c r="AB1014" t="str">
        <f>IFERROR(__xludf.DUMMYFUNCTION("""COMPUTED_VALUE"""),"ruedeemasw@airasia.com")</f>
        <v>ruedeemasw@airasia.com</v>
      </c>
    </row>
    <row r="1015">
      <c r="A1015">
        <f>IFERROR(__xludf.DUMMYFUNCTION("""COMPUTED_VALUE"""),1026034.0)</f>
        <v>1026034</v>
      </c>
      <c r="B1015" t="str">
        <f>IFERROR(__xludf.DUMMYFUNCTION("""COMPUTED_VALUE"""),"Mr.")</f>
        <v>Mr.</v>
      </c>
      <c r="C1015" t="str">
        <f>IFERROR(__xludf.DUMMYFUNCTION("""COMPUTED_VALUE"""),"Siwapong")</f>
        <v>Siwapong</v>
      </c>
      <c r="D1015" t="str">
        <f>IFERROR(__xludf.DUMMYFUNCTION("""COMPUTED_VALUE"""),"Pongchampa")</f>
        <v>Pongchampa</v>
      </c>
      <c r="E1015" t="str">
        <f>IFERROR(__xludf.DUMMYFUNCTION("""COMPUTED_VALUE"""),"Siwapong Pongchampa")</f>
        <v>Siwapong Pongchampa</v>
      </c>
      <c r="F1015" t="str">
        <f>IFERROR(__xludf.DUMMYFUNCTION("""COMPUTED_VALUE"""),"นาย")</f>
        <v>นาย</v>
      </c>
      <c r="G1015" t="str">
        <f>IFERROR(__xludf.DUMMYFUNCTION("""COMPUTED_VALUE"""),"ศิวพงษ์")</f>
        <v>ศิวพงษ์</v>
      </c>
      <c r="H1015" t="str">
        <f>IFERROR(__xludf.DUMMYFUNCTION("""COMPUTED_VALUE"""),"พงษ์จำปา")</f>
        <v>พงษ์จำปา</v>
      </c>
      <c r="I1015" t="str">
        <f>IFERROR(__xludf.DUMMYFUNCTION("""COMPUTED_VALUE"""),"ศิวพงษ์ พงษ์จำปา")</f>
        <v>ศิวพงษ์ พงษ์จำปา</v>
      </c>
      <c r="J1015" t="str">
        <f>IFERROR(__xludf.DUMMYFUNCTION("""COMPUTED_VALUE"""),"Bom / บอม")</f>
        <v>Bom / บอม</v>
      </c>
      <c r="K1015" t="str">
        <f>IFERROR(__xludf.DUMMYFUNCTION("""COMPUTED_VALUE"""),"Cabin Crew - CNX")</f>
        <v>Cabin Crew - CNX</v>
      </c>
      <c r="L1015" t="str">
        <f>IFERROR(__xludf.DUMMYFUNCTION("""COMPUTED_VALUE"""),"CNX")</f>
        <v>CNX</v>
      </c>
      <c r="M1015" s="145" t="str">
        <f>IFERROR(__xludf.DUMMYFUNCTION("""COMPUTED_VALUE"""),"Up Home")</f>
        <v>Up Home</v>
      </c>
      <c r="N1015" t="str">
        <f>IFERROR(__xludf.DUMMYFUNCTION("""COMPUTED_VALUE"""),"Active")</f>
        <v>Active</v>
      </c>
      <c r="P1015" s="159">
        <f>IFERROR(__xludf.DUMMYFUNCTION("""COMPUTED_VALUE"""),32962.0)</f>
        <v>32962</v>
      </c>
      <c r="Q1015" s="146" t="str">
        <f>IFERROR(__xludf.DUMMYFUNCTION("""COMPUTED_VALUE"""),"081-180-6730")</f>
        <v>081-180-6730</v>
      </c>
      <c r="R1015" s="147">
        <f>IFERROR(__xludf.DUMMYFUNCTION("""COMPUTED_VALUE"""),1.800100161449E12)</f>
        <v>1800100161449</v>
      </c>
      <c r="S1015" t="str">
        <f>IFERROR(__xludf.DUMMYFUNCTION("""COMPUTED_VALUE"""),"AC2428470")</f>
        <v>AC2428470</v>
      </c>
      <c r="T1015" s="148">
        <f>IFERROR(__xludf.DUMMYFUNCTION("""COMPUTED_VALUE"""),44452.0)</f>
        <v>44452</v>
      </c>
      <c r="U1015" s="148">
        <f>IFERROR(__xludf.DUMMYFUNCTION("""COMPUTED_VALUE"""),48103.0)</f>
        <v>48103</v>
      </c>
      <c r="V1015" s="149">
        <f>IFERROR(__xludf.DUMMYFUNCTION("""COMPUTED_VALUE"""),47919.0)</f>
        <v>47919</v>
      </c>
      <c r="W1015" t="str">
        <f>IFERROR(__xludf.DUMMYFUNCTION("""COMPUTED_VALUE"""),"ปลอดภัย")</f>
        <v>ปลอดภัย</v>
      </c>
      <c r="X1015" t="str">
        <f>IFERROR(__xludf.DUMMYFUNCTION("""COMPUTED_VALUE"""),"Nakhon Si Thammarat Province")</f>
        <v>Nakhon Si Thammarat Province</v>
      </c>
      <c r="Y1015" t="str">
        <f>IFERROR(__xludf.DUMMYFUNCTION("""COMPUTED_VALUE"""),"Bangkok")</f>
        <v>Bangkok</v>
      </c>
      <c r="Z1015" s="145" t="str">
        <f>IFERROR(__xludf.DUMMYFUNCTION("""COMPUTED_VALUE"""),"063-669-0955")</f>
        <v>063-669-0955</v>
      </c>
      <c r="AA1015" t="str">
        <f>IFERROR(__xludf.DUMMYFUNCTION("""COMPUTED_VALUE"""),"นางสาวภรัณยา พิมสาร Friend")</f>
        <v>นางสาวภรัณยา พิมสาร Friend</v>
      </c>
      <c r="AB1015" t="str">
        <f>IFERROR(__xludf.DUMMYFUNCTION("""COMPUTED_VALUE"""),"siwapongpongchampa@airasia.com")</f>
        <v>siwapongpongchampa@airasia.com</v>
      </c>
    </row>
    <row r="1016">
      <c r="A1016">
        <f>IFERROR(__xludf.DUMMYFUNCTION("""COMPUTED_VALUE"""),1010850.0)</f>
        <v>1010850</v>
      </c>
      <c r="B1016" t="str">
        <f>IFERROR(__xludf.DUMMYFUNCTION("""COMPUTED_VALUE"""),"Ms.")</f>
        <v>Ms.</v>
      </c>
      <c r="C1016" t="str">
        <f>IFERROR(__xludf.DUMMYFUNCTION("""COMPUTED_VALUE"""),"Tanaporn")</f>
        <v>Tanaporn</v>
      </c>
      <c r="D1016" t="str">
        <f>IFERROR(__xludf.DUMMYFUNCTION("""COMPUTED_VALUE"""),"Musikapun")</f>
        <v>Musikapun</v>
      </c>
      <c r="E1016" t="str">
        <f>IFERROR(__xludf.DUMMYFUNCTION("""COMPUTED_VALUE"""),"Tanaporn Musikapun")</f>
        <v>Tanaporn Musikapun</v>
      </c>
      <c r="F1016" t="str">
        <f>IFERROR(__xludf.DUMMYFUNCTION("""COMPUTED_VALUE"""),"นางสาว")</f>
        <v>นางสาว</v>
      </c>
      <c r="G1016" t="str">
        <f>IFERROR(__xludf.DUMMYFUNCTION("""COMPUTED_VALUE"""),"ธนพร")</f>
        <v>ธนพร</v>
      </c>
      <c r="H1016" t="str">
        <f>IFERROR(__xludf.DUMMYFUNCTION("""COMPUTED_VALUE"""),"มุสิกพันธ์")</f>
        <v>มุสิกพันธ์</v>
      </c>
      <c r="I1016" t="str">
        <f>IFERROR(__xludf.DUMMYFUNCTION("""COMPUTED_VALUE"""),"ธนพร มุสิกพันธ์")</f>
        <v>ธนพร มุสิกพันธ์</v>
      </c>
      <c r="J1016" t="str">
        <f>IFERROR(__xludf.DUMMYFUNCTION("""COMPUTED_VALUE"""),"อีฟ")</f>
        <v>อีฟ</v>
      </c>
      <c r="K1016" t="str">
        <f>IFERROR(__xludf.DUMMYFUNCTION("""COMPUTED_VALUE"""),"Cabin Crew")</f>
        <v>Cabin Crew</v>
      </c>
      <c r="L1016" t="str">
        <f>IFERROR(__xludf.DUMMYFUNCTION("""COMPUTED_VALUE"""),"DMK")</f>
        <v>DMK</v>
      </c>
      <c r="M1016" s="145" t="str">
        <f>IFERROR(__xludf.DUMMYFUNCTION("""COMPUTED_VALUE"""),"Um Home")</f>
        <v>Um Home</v>
      </c>
      <c r="N1016" t="str">
        <f>IFERROR(__xludf.DUMMYFUNCTION("""COMPUTED_VALUE"""),"Active")</f>
        <v>Active</v>
      </c>
      <c r="P1016" s="159">
        <f>IFERROR(__xludf.DUMMYFUNCTION("""COMPUTED_VALUE"""),33560.0)</f>
        <v>33560</v>
      </c>
      <c r="Q1016" s="146">
        <f>IFERROR(__xludf.DUMMYFUNCTION("""COMPUTED_VALUE"""),9.49361995E8)</f>
        <v>949361995</v>
      </c>
      <c r="R1016" s="147">
        <f>IFERROR(__xludf.DUMMYFUNCTION("""COMPUTED_VALUE"""),1.100600218276E12)</f>
        <v>1100600218276</v>
      </c>
      <c r="S1016" t="str">
        <f>IFERROR(__xludf.DUMMYFUNCTION("""COMPUTED_VALUE"""),"AC3907259")</f>
        <v>AC3907259</v>
      </c>
      <c r="T1016" s="148">
        <f>IFERROR(__xludf.DUMMYFUNCTION("""COMPUTED_VALUE"""),44798.0)</f>
        <v>44798</v>
      </c>
      <c r="U1016" s="148">
        <f>IFERROR(__xludf.DUMMYFUNCTION("""COMPUTED_VALUE"""),48450.0)</f>
        <v>48450</v>
      </c>
      <c r="V1016" s="149">
        <f>IFERROR(__xludf.DUMMYFUNCTION("""COMPUTED_VALUE"""),48268.0)</f>
        <v>48268</v>
      </c>
      <c r="W1016" t="str">
        <f>IFERROR(__xludf.DUMMYFUNCTION("""COMPUTED_VALUE"""),"ปลอดภัย")</f>
        <v>ปลอดภัย</v>
      </c>
      <c r="X1016" t="str">
        <f>IFERROR(__xludf.DUMMYFUNCTION("""COMPUTED_VALUE"""),"Bangkok")</f>
        <v>Bangkok</v>
      </c>
      <c r="Y1016" t="str">
        <f>IFERROR(__xludf.DUMMYFUNCTION("""COMPUTED_VALUE"""),"Bangkok")</f>
        <v>Bangkok</v>
      </c>
      <c r="Z1016" s="145" t="str">
        <f>IFERROR(__xludf.DUMMYFUNCTION("""COMPUTED_VALUE"""),"0949361995")</f>
        <v>0949361995</v>
      </c>
      <c r="AA1016" t="str">
        <f>IFERROR(__xludf.DUMMYFUNCTION("""COMPUTED_VALUE"""),"เบญจวรรณ มุสิกพันธ์ Mother")</f>
        <v>เบญจวรรณ มุสิกพันธ์ Mother</v>
      </c>
      <c r="AB1016" t="str">
        <f>IFERROR(__xludf.DUMMYFUNCTION("""COMPUTED_VALUE"""),"tanapornm@airasia.com")</f>
        <v>tanapornm@airasia.com</v>
      </c>
    </row>
    <row r="1017">
      <c r="A1017">
        <f>IFERROR(__xludf.DUMMYFUNCTION("""COMPUTED_VALUE"""),1027120.0)</f>
        <v>1027120</v>
      </c>
      <c r="B1017" t="str">
        <f>IFERROR(__xludf.DUMMYFUNCTION("""COMPUTED_VALUE"""),"Ms.")</f>
        <v>Ms.</v>
      </c>
      <c r="C1017" t="str">
        <f>IFERROR(__xludf.DUMMYFUNCTION("""COMPUTED_VALUE"""),"Tanchanok")</f>
        <v>Tanchanok</v>
      </c>
      <c r="D1017" t="str">
        <f>IFERROR(__xludf.DUMMYFUNCTION("""COMPUTED_VALUE"""),"Muangwattanakun")</f>
        <v>Muangwattanakun</v>
      </c>
      <c r="E1017" t="str">
        <f>IFERROR(__xludf.DUMMYFUNCTION("""COMPUTED_VALUE"""),"Tanchanok Muangwattanakun")</f>
        <v>Tanchanok Muangwattanakun</v>
      </c>
      <c r="F1017" t="str">
        <f>IFERROR(__xludf.DUMMYFUNCTION("""COMPUTED_VALUE"""),"นางสาว")</f>
        <v>นางสาว</v>
      </c>
      <c r="G1017" t="str">
        <f>IFERROR(__xludf.DUMMYFUNCTION("""COMPUTED_VALUE"""),"ธัญชนก")</f>
        <v>ธัญชนก</v>
      </c>
      <c r="H1017" t="str">
        <f>IFERROR(__xludf.DUMMYFUNCTION("""COMPUTED_VALUE"""),"ม่วงวัฒนะกุล")</f>
        <v>ม่วงวัฒนะกุล</v>
      </c>
      <c r="I1017" t="str">
        <f>IFERROR(__xludf.DUMMYFUNCTION("""COMPUTED_VALUE"""),"ธัญชนก ม่วงวัฒนะกุล")</f>
        <v>ธัญชนก ม่วงวัฒนะกุล</v>
      </c>
      <c r="J1017" t="str">
        <f>IFERROR(__xludf.DUMMYFUNCTION("""COMPUTED_VALUE"""),"นก")</f>
        <v>นก</v>
      </c>
      <c r="K1017" t="str">
        <f>IFERROR(__xludf.DUMMYFUNCTION("""COMPUTED_VALUE"""),"Cabin Crew - CNX")</f>
        <v>Cabin Crew - CNX</v>
      </c>
      <c r="L1017" t="str">
        <f>IFERROR(__xludf.DUMMYFUNCTION("""COMPUTED_VALUE"""),"CNX")</f>
        <v>CNX</v>
      </c>
      <c r="M1017" s="145" t="str">
        <f>IFERROR(__xludf.DUMMYFUNCTION("""COMPUTED_VALUE"""),"Up Home")</f>
        <v>Up Home</v>
      </c>
      <c r="N1017" t="str">
        <f>IFERROR(__xludf.DUMMYFUNCTION("""COMPUTED_VALUE"""),"Active")</f>
        <v>Active</v>
      </c>
      <c r="P1017" s="159">
        <f>IFERROR(__xludf.DUMMYFUNCTION("""COMPUTED_VALUE"""),35016.0)</f>
        <v>35016</v>
      </c>
      <c r="Q1017" s="146" t="str">
        <f>IFERROR(__xludf.DUMMYFUNCTION("""COMPUTED_VALUE"""),"088-267-8390")</f>
        <v>088-267-8390</v>
      </c>
      <c r="R1017" s="147">
        <f>IFERROR(__xludf.DUMMYFUNCTION("""COMPUTED_VALUE"""),1.529900795338E12)</f>
        <v>1529900795338</v>
      </c>
      <c r="S1017" t="str">
        <f>IFERROR(__xludf.DUMMYFUNCTION("""COMPUTED_VALUE"""),"AC4876523")</f>
        <v>AC4876523</v>
      </c>
      <c r="T1017" s="148">
        <f>IFERROR(__xludf.DUMMYFUNCTION("""COMPUTED_VALUE"""),45044.0)</f>
        <v>45044</v>
      </c>
      <c r="U1017" s="148">
        <f>IFERROR(__xludf.DUMMYFUNCTION("""COMPUTED_VALUE"""),48696.0)</f>
        <v>48696</v>
      </c>
      <c r="V1017" s="149">
        <f>IFERROR(__xludf.DUMMYFUNCTION("""COMPUTED_VALUE"""),48514.0)</f>
        <v>48514</v>
      </c>
      <c r="W1017" t="str">
        <f>IFERROR(__xludf.DUMMYFUNCTION("""COMPUTED_VALUE"""),"ปลอดภัย")</f>
        <v>ปลอดภัย</v>
      </c>
      <c r="X1017" t="str">
        <f>IFERROR(__xludf.DUMMYFUNCTION("""COMPUTED_VALUE"""),"Lampang Province")</f>
        <v>Lampang Province</v>
      </c>
      <c r="Y1017" t="str">
        <f>IFERROR(__xludf.DUMMYFUNCTION("""COMPUTED_VALUE"""),"PATHUMTANI")</f>
        <v>PATHUMTANI</v>
      </c>
      <c r="Z1017" s="145" t="str">
        <f>IFERROR(__xludf.DUMMYFUNCTION("""COMPUTED_VALUE"""),"099-971-6155")</f>
        <v>099-971-6155</v>
      </c>
      <c r="AA1017" t="str">
        <f>IFERROR(__xludf.DUMMYFUNCTION("""COMPUTED_VALUE"""),"นายบัญชา ม่วงวัฒนะกุล Brother")</f>
        <v>นายบัญชา ม่วงวัฒนะกุล Brother</v>
      </c>
      <c r="AB1017" t="str">
        <f>IFERROR(__xludf.DUMMYFUNCTION("""COMPUTED_VALUE"""),"tanchanokmuangwatta@airasia.com")</f>
        <v>tanchanokmuangwatta@airasia.com</v>
      </c>
    </row>
    <row r="1018">
      <c r="A1018">
        <f>IFERROR(__xludf.DUMMYFUNCTION("""COMPUTED_VALUE"""),1038952.0)</f>
        <v>1038952</v>
      </c>
      <c r="B1018" t="str">
        <f>IFERROR(__xludf.DUMMYFUNCTION("""COMPUTED_VALUE"""),"Ms.")</f>
        <v>Ms.</v>
      </c>
      <c r="C1018" t="str">
        <f>IFERROR(__xludf.DUMMYFUNCTION("""COMPUTED_VALUE"""),"Arnnuta")</f>
        <v>Arnnuta</v>
      </c>
      <c r="D1018" t="str">
        <f>IFERROR(__xludf.DUMMYFUNCTION("""COMPUTED_VALUE"""),"Dutiyabodhi")</f>
        <v>Dutiyabodhi</v>
      </c>
      <c r="E1018" t="str">
        <f>IFERROR(__xludf.DUMMYFUNCTION("""COMPUTED_VALUE"""),"Arnnuta Dutiyabodhi")</f>
        <v>Arnnuta Dutiyabodhi</v>
      </c>
      <c r="F1018" t="str">
        <f>IFERROR(__xludf.DUMMYFUNCTION("""COMPUTED_VALUE"""),"นางสาว")</f>
        <v>นางสาว</v>
      </c>
      <c r="G1018" t="str">
        <f>IFERROR(__xludf.DUMMYFUNCTION("""COMPUTED_VALUE"""),"อัญนุตา")</f>
        <v>อัญนุตา</v>
      </c>
      <c r="H1018" t="str">
        <f>IFERROR(__xludf.DUMMYFUNCTION("""COMPUTED_VALUE"""),"ทุติยะโพธิ")</f>
        <v>ทุติยะโพธิ</v>
      </c>
      <c r="I1018" t="str">
        <f>IFERROR(__xludf.DUMMYFUNCTION("""COMPUTED_VALUE"""),"อัญนุตา ทุติยะโพธิ")</f>
        <v>อัญนุตา ทุติยะโพธิ</v>
      </c>
      <c r="J1018" t="str">
        <f>IFERROR(__xludf.DUMMYFUNCTION("""COMPUTED_VALUE"""),"Yui / ยุ้ย")</f>
        <v>Yui / ยุ้ย</v>
      </c>
      <c r="K1018" t="str">
        <f>IFERROR(__xludf.DUMMYFUNCTION("""COMPUTED_VALUE"""),"Cabin Crew")</f>
        <v>Cabin Crew</v>
      </c>
      <c r="L1018" t="str">
        <f>IFERROR(__xludf.DUMMYFUNCTION("""COMPUTED_VALUE"""),"DMK")</f>
        <v>DMK</v>
      </c>
      <c r="M1018" s="145" t="str">
        <f>IFERROR(__xludf.DUMMYFUNCTION("""COMPUTED_VALUE"""),"Um Home")</f>
        <v>Um Home</v>
      </c>
      <c r="N1018" t="str">
        <f>IFERROR(__xludf.DUMMYFUNCTION("""COMPUTED_VALUE"""),"Active")</f>
        <v>Active</v>
      </c>
      <c r="P1018" s="159">
        <f>IFERROR(__xludf.DUMMYFUNCTION("""COMPUTED_VALUE"""),33355.0)</f>
        <v>33355</v>
      </c>
      <c r="Q1018" s="146" t="str">
        <f>IFERROR(__xludf.DUMMYFUNCTION("""COMPUTED_VALUE"""),"080-362-6165")</f>
        <v>080-362-6165</v>
      </c>
      <c r="R1018" s="147">
        <f>IFERROR(__xludf.DUMMYFUNCTION("""COMPUTED_VALUE"""),1.110100121761E12)</f>
        <v>1110100121761</v>
      </c>
      <c r="S1018" t="str">
        <f>IFERROR(__xludf.DUMMYFUNCTION("""COMPUTED_VALUE"""),"AC3861134")</f>
        <v>AC3861134</v>
      </c>
      <c r="T1018" s="148">
        <f>IFERROR(__xludf.DUMMYFUNCTION("""COMPUTED_VALUE"""),44774.0)</f>
        <v>44774</v>
      </c>
      <c r="U1018" s="148">
        <f>IFERROR(__xludf.DUMMYFUNCTION("""COMPUTED_VALUE"""),48443.0)</f>
        <v>48443</v>
      </c>
      <c r="V1018" s="149">
        <f>IFERROR(__xludf.DUMMYFUNCTION("""COMPUTED_VALUE"""),48261.0)</f>
        <v>48261</v>
      </c>
      <c r="W1018" t="str">
        <f>IFERROR(__xludf.DUMMYFUNCTION("""COMPUTED_VALUE"""),"ปลอดภัย")</f>
        <v>ปลอดภัย</v>
      </c>
      <c r="X1018" t="str">
        <f>IFERROR(__xludf.DUMMYFUNCTION("""COMPUTED_VALUE"""),"Samut Prakan Province")</f>
        <v>Samut Prakan Province</v>
      </c>
      <c r="Y1018" t="str">
        <f>IFERROR(__xludf.DUMMYFUNCTION("""COMPUTED_VALUE"""),"Samut Prakan")</f>
        <v>Samut Prakan</v>
      </c>
      <c r="Z1018" s="145" t="str">
        <f>IFERROR(__xludf.DUMMYFUNCTION("""COMPUTED_VALUE"""),"089-498-5536")</f>
        <v>089-498-5536</v>
      </c>
      <c r="AA1018" t="str">
        <f>IFERROR(__xludf.DUMMYFUNCTION("""COMPUTED_VALUE"""),"นางสาวทิพยวรรณ ทุติยะโพธิ Mother")</f>
        <v>นางสาวทิพยวรรณ ทุติยะโพธิ Mother</v>
      </c>
      <c r="AB1018" t="str">
        <f>IFERROR(__xludf.DUMMYFUNCTION("""COMPUTED_VALUE"""),"arnnutadutiyabodhi@airasia.com")</f>
        <v>arnnutadutiyabodhi@airasia.com</v>
      </c>
    </row>
    <row r="1019">
      <c r="A1019">
        <f>IFERROR(__xludf.DUMMYFUNCTION("""COMPUTED_VALUE"""),1038944.0)</f>
        <v>1038944</v>
      </c>
      <c r="B1019" t="str">
        <f>IFERROR(__xludf.DUMMYFUNCTION("""COMPUTED_VALUE"""),"Ms.")</f>
        <v>Ms.</v>
      </c>
      <c r="C1019" t="str">
        <f>IFERROR(__xludf.DUMMYFUNCTION("""COMPUTED_VALUE"""),"Kullanit")</f>
        <v>Kullanit</v>
      </c>
      <c r="D1019" t="str">
        <f>IFERROR(__xludf.DUMMYFUNCTION("""COMPUTED_VALUE"""),"Adireglarpwong")</f>
        <v>Adireglarpwong</v>
      </c>
      <c r="E1019" t="str">
        <f>IFERROR(__xludf.DUMMYFUNCTION("""COMPUTED_VALUE"""),"Kullanit Adireglarpwong")</f>
        <v>Kullanit Adireglarpwong</v>
      </c>
      <c r="F1019" t="str">
        <f>IFERROR(__xludf.DUMMYFUNCTION("""COMPUTED_VALUE"""),"นางสาว")</f>
        <v>นางสาว</v>
      </c>
      <c r="G1019" t="str">
        <f>IFERROR(__xludf.DUMMYFUNCTION("""COMPUTED_VALUE"""),"กุลนิษฐ์")</f>
        <v>กุลนิษฐ์</v>
      </c>
      <c r="H1019" t="str">
        <f>IFERROR(__xludf.DUMMYFUNCTION("""COMPUTED_VALUE"""),"อดิเรกลาภวงศ์")</f>
        <v>อดิเรกลาภวงศ์</v>
      </c>
      <c r="I1019" t="str">
        <f>IFERROR(__xludf.DUMMYFUNCTION("""COMPUTED_VALUE"""),"กุลนิษฐ์ อดิเรกลาภวงศ์")</f>
        <v>กุลนิษฐ์ อดิเรกลาภวงศ์</v>
      </c>
      <c r="J1019" t="str">
        <f>IFERROR(__xludf.DUMMYFUNCTION("""COMPUTED_VALUE"""),"Jean / จีน")</f>
        <v>Jean / จีน</v>
      </c>
      <c r="K1019" t="str">
        <f>IFERROR(__xludf.DUMMYFUNCTION("""COMPUTED_VALUE"""),"Cabin Crew")</f>
        <v>Cabin Crew</v>
      </c>
      <c r="L1019" t="str">
        <f>IFERROR(__xludf.DUMMYFUNCTION("""COMPUTED_VALUE"""),"DMK")</f>
        <v>DMK</v>
      </c>
      <c r="M1019" s="145" t="str">
        <f>IFERROR(__xludf.DUMMYFUNCTION("""COMPUTED_VALUE"""),"Um Home")</f>
        <v>Um Home</v>
      </c>
      <c r="N1019" t="str">
        <f>IFERROR(__xludf.DUMMYFUNCTION("""COMPUTED_VALUE"""),"Active")</f>
        <v>Active</v>
      </c>
      <c r="O1019" t="str">
        <f>IFERROR(__xludf.DUMMYFUNCTION("""COMPUTED_VALUE"""),"Korean speaking")</f>
        <v>Korean speaking</v>
      </c>
      <c r="P1019" s="159">
        <f>IFERROR(__xludf.DUMMYFUNCTION("""COMPUTED_VALUE"""),35229.0)</f>
        <v>35229</v>
      </c>
      <c r="Q1019" s="146">
        <f>IFERROR(__xludf.DUMMYFUNCTION("""COMPUTED_VALUE"""),9.11156343E8)</f>
        <v>911156343</v>
      </c>
      <c r="R1019" s="147">
        <f>IFERROR(__xludf.DUMMYFUNCTION("""COMPUTED_VALUE"""),1.509901702953E12)</f>
        <v>1509901702953</v>
      </c>
      <c r="S1019" t="str">
        <f>IFERROR(__xludf.DUMMYFUNCTION("""COMPUTED_VALUE"""),"AC3818220")</f>
        <v>AC3818220</v>
      </c>
      <c r="T1019" s="148">
        <f>IFERROR(__xludf.DUMMYFUNCTION("""COMPUTED_VALUE"""),44824.0)</f>
        <v>44824</v>
      </c>
      <c r="U1019" s="148">
        <f>IFERROR(__xludf.DUMMYFUNCTION("""COMPUTED_VALUE"""),48476.0)</f>
        <v>48476</v>
      </c>
      <c r="V1019" s="149">
        <f>IFERROR(__xludf.DUMMYFUNCTION("""COMPUTED_VALUE"""),48292.0)</f>
        <v>48292</v>
      </c>
      <c r="W1019" t="str">
        <f>IFERROR(__xludf.DUMMYFUNCTION("""COMPUTED_VALUE"""),"ปลอดภัย")</f>
        <v>ปลอดภัย</v>
      </c>
      <c r="X1019" t="str">
        <f>IFERROR(__xludf.DUMMYFUNCTION("""COMPUTED_VALUE"""),"Chiang Mai Province")</f>
        <v>Chiang Mai Province</v>
      </c>
      <c r="Y1019" t="str">
        <f>IFERROR(__xludf.DUMMYFUNCTION("""COMPUTED_VALUE"""),"PATHUMTANI")</f>
        <v>PATHUMTANI</v>
      </c>
      <c r="Z1019" s="145" t="str">
        <f>IFERROR(__xludf.DUMMYFUNCTION("""COMPUTED_VALUE"""),"0968615542")</f>
        <v>0968615542</v>
      </c>
      <c r="AA1019" t="str">
        <f>IFERROR(__xludf.DUMMYFUNCTION("""COMPUTED_VALUE"""),"นางพิมพ์ชนก อดิเรกลาภวงศ์ Mother")</f>
        <v>นางพิมพ์ชนก อดิเรกลาภวงศ์ Mother</v>
      </c>
      <c r="AB1019" t="str">
        <f>IFERROR(__xludf.DUMMYFUNCTION("""COMPUTED_VALUE"""),"kullanitadireglarpw@airasia.com")</f>
        <v>kullanitadireglarpw@airasia.com</v>
      </c>
    </row>
    <row r="1020">
      <c r="A1020">
        <f>IFERROR(__xludf.DUMMYFUNCTION("""COMPUTED_VALUE"""),1019399.0)</f>
        <v>1019399</v>
      </c>
      <c r="B1020" t="str">
        <f>IFERROR(__xludf.DUMMYFUNCTION("""COMPUTED_VALUE"""),"Ms.")</f>
        <v>Ms.</v>
      </c>
      <c r="C1020" t="str">
        <f>IFERROR(__xludf.DUMMYFUNCTION("""COMPUTED_VALUE"""),"Kantida")</f>
        <v>Kantida</v>
      </c>
      <c r="D1020" t="str">
        <f>IFERROR(__xludf.DUMMYFUNCTION("""COMPUTED_VALUE"""),"Tangpradid")</f>
        <v>Tangpradid</v>
      </c>
      <c r="E1020" t="str">
        <f>IFERROR(__xludf.DUMMYFUNCTION("""COMPUTED_VALUE"""),"Kantida Tangpradid")</f>
        <v>Kantida Tangpradid</v>
      </c>
      <c r="F1020" t="str">
        <f>IFERROR(__xludf.DUMMYFUNCTION("""COMPUTED_VALUE"""),"นางสาว")</f>
        <v>นางสาว</v>
      </c>
      <c r="G1020" t="str">
        <f>IFERROR(__xludf.DUMMYFUNCTION("""COMPUTED_VALUE"""),"กานต์ธิดา")</f>
        <v>กานต์ธิดา</v>
      </c>
      <c r="H1020" t="str">
        <f>IFERROR(__xludf.DUMMYFUNCTION("""COMPUTED_VALUE"""),"ตั้งประดิษฐ")</f>
        <v>ตั้งประดิษฐ</v>
      </c>
      <c r="I1020" t="str">
        <f>IFERROR(__xludf.DUMMYFUNCTION("""COMPUTED_VALUE"""),"กานต์ธิดา ตั้งประดิษฐ")</f>
        <v>กานต์ธิดา ตั้งประดิษฐ</v>
      </c>
      <c r="J1020" t="str">
        <f>IFERROR(__xludf.DUMMYFUNCTION("""COMPUTED_VALUE"""),"เน้ะ")</f>
        <v>เน้ะ</v>
      </c>
      <c r="K1020" t="str">
        <f>IFERROR(__xludf.DUMMYFUNCTION("""COMPUTED_VALUE"""),"Cabin Crew")</f>
        <v>Cabin Crew</v>
      </c>
      <c r="L1020" t="str">
        <f>IFERROR(__xludf.DUMMYFUNCTION("""COMPUTED_VALUE"""),"DMK")</f>
        <v>DMK</v>
      </c>
      <c r="M1020" s="145" t="str">
        <f>IFERROR(__xludf.DUMMYFUNCTION("""COMPUTED_VALUE"""),"Por+ Home")</f>
        <v>Por+ Home</v>
      </c>
      <c r="N1020" t="str">
        <f>IFERROR(__xludf.DUMMYFUNCTION("""COMPUTED_VALUE"""),"Active")</f>
        <v>Active</v>
      </c>
      <c r="P1020" s="159">
        <f>IFERROR(__xludf.DUMMYFUNCTION("""COMPUTED_VALUE"""),34163.0)</f>
        <v>34163</v>
      </c>
      <c r="Q1020" s="146" t="str">
        <f>IFERROR(__xludf.DUMMYFUNCTION("""COMPUTED_VALUE"""),"092-447-4249")</f>
        <v>092-447-4249</v>
      </c>
      <c r="R1020" s="147">
        <f>IFERROR(__xludf.DUMMYFUNCTION("""COMPUTED_VALUE"""),1.129700025494E12)</f>
        <v>1129700025494</v>
      </c>
      <c r="S1020" t="str">
        <f>IFERROR(__xludf.DUMMYFUNCTION("""COMPUTED_VALUE"""),"AD1866336")</f>
        <v>AD1866336</v>
      </c>
      <c r="T1020" s="148">
        <f>IFERROR(__xludf.DUMMYFUNCTION("""COMPUTED_VALUE"""),45474.0)</f>
        <v>45474</v>
      </c>
      <c r="U1020" s="148">
        <f>IFERROR(__xludf.DUMMYFUNCTION("""COMPUTED_VALUE"""),49125.0)</f>
        <v>49125</v>
      </c>
      <c r="V1020" s="149">
        <f>IFERROR(__xludf.DUMMYFUNCTION("""COMPUTED_VALUE"""),48943.0)</f>
        <v>48943</v>
      </c>
      <c r="W1020" t="str">
        <f>IFERROR(__xludf.DUMMYFUNCTION("""COMPUTED_VALUE"""),"ปลอดภัย")</f>
        <v>ปลอดภัย</v>
      </c>
      <c r="X1020" t="str">
        <f>IFERROR(__xludf.DUMMYFUNCTION("""COMPUTED_VALUE"""),"Nonthaburi Province")</f>
        <v>Nonthaburi Province</v>
      </c>
      <c r="Y1020" t="str">
        <f>IFERROR(__xludf.DUMMYFUNCTION("""COMPUTED_VALUE"""),"Bangkok")</f>
        <v>Bangkok</v>
      </c>
      <c r="Z1020" s="145" t="str">
        <f>IFERROR(__xludf.DUMMYFUNCTION("""COMPUTED_VALUE"""),"063-935-5641")</f>
        <v>063-935-5641</v>
      </c>
      <c r="AA1020" t="str">
        <f>IFERROR(__xludf.DUMMYFUNCTION("""COMPUTED_VALUE"""),"นายจตุพร ตั้งประดิษฐ Husband")</f>
        <v>นายจตุพร ตั้งประดิษฐ Husband</v>
      </c>
      <c r="AB1020" t="str">
        <f>IFERROR(__xludf.DUMMYFUNCTION("""COMPUTED_VALUE"""),"kantidatangpradid@airasia.com")</f>
        <v>kantidatangpradid@airasia.com</v>
      </c>
    </row>
    <row r="1021">
      <c r="A1021">
        <f>IFERROR(__xludf.DUMMYFUNCTION("""COMPUTED_VALUE"""),1038949.0)</f>
        <v>1038949</v>
      </c>
      <c r="B1021" t="str">
        <f>IFERROR(__xludf.DUMMYFUNCTION("""COMPUTED_VALUE"""),"Ms.")</f>
        <v>Ms.</v>
      </c>
      <c r="C1021" t="str">
        <f>IFERROR(__xludf.DUMMYFUNCTION("""COMPUTED_VALUE"""),"Kanyapon")</f>
        <v>Kanyapon</v>
      </c>
      <c r="D1021" t="str">
        <f>IFERROR(__xludf.DUMMYFUNCTION("""COMPUTED_VALUE"""),"Klinprean")</f>
        <v>Klinprean</v>
      </c>
      <c r="E1021" t="str">
        <f>IFERROR(__xludf.DUMMYFUNCTION("""COMPUTED_VALUE"""),"Kanyapon Klinprean")</f>
        <v>Kanyapon Klinprean</v>
      </c>
      <c r="F1021" t="str">
        <f>IFERROR(__xludf.DUMMYFUNCTION("""COMPUTED_VALUE"""),"นางสาว")</f>
        <v>นางสาว</v>
      </c>
      <c r="G1021" t="str">
        <f>IFERROR(__xludf.DUMMYFUNCTION("""COMPUTED_VALUE"""),"กัลยภรณ์")</f>
        <v>กัลยภรณ์</v>
      </c>
      <c r="H1021" t="str">
        <f>IFERROR(__xludf.DUMMYFUNCTION("""COMPUTED_VALUE"""),"กลิ่นเพียร")</f>
        <v>กลิ่นเพียร</v>
      </c>
      <c r="I1021" t="str">
        <f>IFERROR(__xludf.DUMMYFUNCTION("""COMPUTED_VALUE"""),"กัลยภรณ์ กลิ่นเพียร")</f>
        <v>กัลยภรณ์ กลิ่นเพียร</v>
      </c>
      <c r="J1021" t="str">
        <f>IFERROR(__xludf.DUMMYFUNCTION("""COMPUTED_VALUE"""),"Pie/ พาย")</f>
        <v>Pie/ พาย</v>
      </c>
      <c r="K1021" t="str">
        <f>IFERROR(__xludf.DUMMYFUNCTION("""COMPUTED_VALUE"""),"Cabin Crew")</f>
        <v>Cabin Crew</v>
      </c>
      <c r="L1021" t="str">
        <f>IFERROR(__xludf.DUMMYFUNCTION("""COMPUTED_VALUE"""),"DMK")</f>
        <v>DMK</v>
      </c>
      <c r="M1021" s="145" t="str">
        <f>IFERROR(__xludf.DUMMYFUNCTION("""COMPUTED_VALUE"""),"Nhui Home")</f>
        <v>Nhui Home</v>
      </c>
      <c r="N1021" t="str">
        <f>IFERROR(__xludf.DUMMYFUNCTION("""COMPUTED_VALUE"""),"Active")</f>
        <v>Active</v>
      </c>
      <c r="P1021" s="159">
        <f>IFERROR(__xludf.DUMMYFUNCTION("""COMPUTED_VALUE"""),34141.0)</f>
        <v>34141</v>
      </c>
      <c r="Q1021" s="146" t="str">
        <f>IFERROR(__xludf.DUMMYFUNCTION("""COMPUTED_VALUE"""),"087-655-5456")</f>
        <v>087-655-5456</v>
      </c>
      <c r="R1021" s="147">
        <f>IFERROR(__xludf.DUMMYFUNCTION("""COMPUTED_VALUE"""),1.103000048739E12)</f>
        <v>1103000048739</v>
      </c>
      <c r="S1021" t="str">
        <f>IFERROR(__xludf.DUMMYFUNCTION("""COMPUTED_VALUE"""),"AC5801176")</f>
        <v>AC5801176</v>
      </c>
      <c r="T1021" s="148">
        <f>IFERROR(__xludf.DUMMYFUNCTION("""COMPUTED_VALUE"""),45598.0)</f>
        <v>45598</v>
      </c>
      <c r="U1021" s="150">
        <f>IFERROR(__xludf.DUMMYFUNCTION("""COMPUTED_VALUE"""),48884.0)</f>
        <v>48884</v>
      </c>
      <c r="V1021" s="149">
        <f>IFERROR(__xludf.DUMMYFUNCTION("""COMPUTED_VALUE"""),48700.0)</f>
        <v>48700</v>
      </c>
      <c r="W1021" t="str">
        <f>IFERROR(__xludf.DUMMYFUNCTION("""COMPUTED_VALUE"""),"ปลอดภัย")</f>
        <v>ปลอดภัย</v>
      </c>
      <c r="X1021" t="str">
        <f>IFERROR(__xludf.DUMMYFUNCTION("""COMPUTED_VALUE"""),"Bangkok")</f>
        <v>Bangkok</v>
      </c>
      <c r="Y1021" t="str">
        <f>IFERROR(__xludf.DUMMYFUNCTION("""COMPUTED_VALUE"""),"Bangkok")</f>
        <v>Bangkok</v>
      </c>
      <c r="Z1021" s="145" t="str">
        <f>IFERROR(__xludf.DUMMYFUNCTION("""COMPUTED_VALUE"""),"083-015-0527")</f>
        <v>083-015-0527</v>
      </c>
      <c r="AA1021" t="str">
        <f>IFERROR(__xludf.DUMMYFUNCTION("""COMPUTED_VALUE"""),"นายวิพุธ จันทร์วิเมลือง Husband")</f>
        <v>นายวิพุธ จันทร์วิเมลือง Husband</v>
      </c>
      <c r="AB1021" t="str">
        <f>IFERROR(__xludf.DUMMYFUNCTION("""COMPUTED_VALUE"""),"kanyaponklinprean@airasia.com")</f>
        <v>kanyaponklinprean@airasia.com</v>
      </c>
    </row>
    <row r="1022">
      <c r="A1022">
        <f>IFERROR(__xludf.DUMMYFUNCTION("""COMPUTED_VALUE"""),1038948.0)</f>
        <v>1038948</v>
      </c>
      <c r="B1022" t="str">
        <f>IFERROR(__xludf.DUMMYFUNCTION("""COMPUTED_VALUE"""),"Ms.")</f>
        <v>Ms.</v>
      </c>
      <c r="C1022" t="str">
        <f>IFERROR(__xludf.DUMMYFUNCTION("""COMPUTED_VALUE"""),"Pastatorn")</f>
        <v>Pastatorn</v>
      </c>
      <c r="D1022" t="str">
        <f>IFERROR(__xludf.DUMMYFUNCTION("""COMPUTED_VALUE"""),"Juengpanich")</f>
        <v>Juengpanich</v>
      </c>
      <c r="E1022" t="str">
        <f>IFERROR(__xludf.DUMMYFUNCTION("""COMPUTED_VALUE"""),"Pastatorn Juengpanich")</f>
        <v>Pastatorn Juengpanich</v>
      </c>
      <c r="F1022" t="str">
        <f>IFERROR(__xludf.DUMMYFUNCTION("""COMPUTED_VALUE"""),"นางสาว")</f>
        <v>นางสาว</v>
      </c>
      <c r="G1022" t="str">
        <f>IFERROR(__xludf.DUMMYFUNCTION("""COMPUTED_VALUE"""),"ภัสส์ฐธรณ์")</f>
        <v>ภัสส์ฐธรณ์</v>
      </c>
      <c r="H1022" t="str">
        <f>IFERROR(__xludf.DUMMYFUNCTION("""COMPUTED_VALUE"""),"จึงพานิช")</f>
        <v>จึงพานิช</v>
      </c>
      <c r="I1022" t="str">
        <f>IFERROR(__xludf.DUMMYFUNCTION("""COMPUTED_VALUE"""),"ภัสส์ฐธรณ์ จึงพานิช")</f>
        <v>ภัสส์ฐธรณ์ จึงพานิช</v>
      </c>
      <c r="J1022" t="str">
        <f>IFERROR(__xludf.DUMMYFUNCTION("""COMPUTED_VALUE"""),"แพมมี่")</f>
        <v>แพมมี่</v>
      </c>
      <c r="K1022" t="str">
        <f>IFERROR(__xludf.DUMMYFUNCTION("""COMPUTED_VALUE"""),"Cabin Crew - BKK")</f>
        <v>Cabin Crew - BKK</v>
      </c>
      <c r="L1022" t="str">
        <f>IFERROR(__xludf.DUMMYFUNCTION("""COMPUTED_VALUE"""),"BKK")</f>
        <v>BKK</v>
      </c>
      <c r="M1022" s="145" t="str">
        <f>IFERROR(__xludf.DUMMYFUNCTION("""COMPUTED_VALUE"""),"Nhui Home")</f>
        <v>Nhui Home</v>
      </c>
      <c r="N1022" t="str">
        <f>IFERROR(__xludf.DUMMYFUNCTION("""COMPUTED_VALUE"""),"Active/V/DMK")</f>
        <v>Active/V/DMK</v>
      </c>
      <c r="P1022" s="159">
        <f>IFERROR(__xludf.DUMMYFUNCTION("""COMPUTED_VALUE"""),33491.0)</f>
        <v>33491</v>
      </c>
      <c r="Q1022" s="146" t="str">
        <f>IFERROR(__xludf.DUMMYFUNCTION("""COMPUTED_VALUE"""),"086-980-2393")</f>
        <v>086-980-2393</v>
      </c>
      <c r="R1022" s="147">
        <f>IFERROR(__xludf.DUMMYFUNCTION("""COMPUTED_VALUE"""),1.101401911541E12)</f>
        <v>1101401911541</v>
      </c>
      <c r="S1022" t="str">
        <f>IFERROR(__xludf.DUMMYFUNCTION("""COMPUTED_VALUE"""),"AC5679359")</f>
        <v>AC5679359</v>
      </c>
      <c r="T1022" s="148">
        <f>IFERROR(__xludf.DUMMYFUNCTION("""COMPUTED_VALUE"""),45178.0)</f>
        <v>45178</v>
      </c>
      <c r="U1022" s="148">
        <f>IFERROR(__xludf.DUMMYFUNCTION("""COMPUTED_VALUE"""),48830.0)</f>
        <v>48830</v>
      </c>
      <c r="V1022" s="149">
        <f>IFERROR(__xludf.DUMMYFUNCTION("""COMPUTED_VALUE"""),48646.0)</f>
        <v>48646</v>
      </c>
      <c r="W1022" t="str">
        <f>IFERROR(__xludf.DUMMYFUNCTION("""COMPUTED_VALUE"""),"ปลอดภัย")</f>
        <v>ปลอดภัย</v>
      </c>
      <c r="X1022" t="str">
        <f>IFERROR(__xludf.DUMMYFUNCTION("""COMPUTED_VALUE"""),"Bangkok")</f>
        <v>Bangkok</v>
      </c>
      <c r="Y1022" t="str">
        <f>IFERROR(__xludf.DUMMYFUNCTION("""COMPUTED_VALUE"""),"Bangkok")</f>
        <v>Bangkok</v>
      </c>
      <c r="Z1022" s="145" t="str">
        <f>IFERROR(__xludf.DUMMYFUNCTION("""COMPUTED_VALUE"""),"092-946-9649")</f>
        <v>092-946-9649</v>
      </c>
      <c r="AA1022" t="str">
        <f>IFERROR(__xludf.DUMMYFUNCTION("""COMPUTED_VALUE"""),"นางชัญนภัค พรภูรีมาศ Mother")</f>
        <v>นางชัญนภัค พรภูรีมาศ Mother</v>
      </c>
      <c r="AB1022" t="str">
        <f>IFERROR(__xludf.DUMMYFUNCTION("""COMPUTED_VALUE"""),"pastatornjuengpanich@airasia.com")</f>
        <v>pastatornjuengpanich@airasia.com</v>
      </c>
    </row>
    <row r="1023">
      <c r="A1023">
        <f>IFERROR(__xludf.DUMMYFUNCTION("""COMPUTED_VALUE"""),1038950.0)</f>
        <v>1038950</v>
      </c>
      <c r="B1023" t="str">
        <f>IFERROR(__xludf.DUMMYFUNCTION("""COMPUTED_VALUE"""),"Mr.")</f>
        <v>Mr.</v>
      </c>
      <c r="C1023" t="str">
        <f>IFERROR(__xludf.DUMMYFUNCTION("""COMPUTED_VALUE"""),"Parinya")</f>
        <v>Parinya</v>
      </c>
      <c r="D1023" t="str">
        <f>IFERROR(__xludf.DUMMYFUNCTION("""COMPUTED_VALUE"""),"Silasak")</f>
        <v>Silasak</v>
      </c>
      <c r="E1023" t="str">
        <f>IFERROR(__xludf.DUMMYFUNCTION("""COMPUTED_VALUE"""),"Parinya Silasak")</f>
        <v>Parinya Silasak</v>
      </c>
      <c r="F1023" t="str">
        <f>IFERROR(__xludf.DUMMYFUNCTION("""COMPUTED_VALUE"""),"นาย")</f>
        <v>นาย</v>
      </c>
      <c r="G1023" t="str">
        <f>IFERROR(__xludf.DUMMYFUNCTION("""COMPUTED_VALUE"""),"ปริญญา")</f>
        <v>ปริญญา</v>
      </c>
      <c r="H1023" t="str">
        <f>IFERROR(__xludf.DUMMYFUNCTION("""COMPUTED_VALUE"""),"ศิลาศักดิ์")</f>
        <v>ศิลาศักดิ์</v>
      </c>
      <c r="I1023" t="str">
        <f>IFERROR(__xludf.DUMMYFUNCTION("""COMPUTED_VALUE"""),"ปริญญา ศิลาศักดิ์")</f>
        <v>ปริญญา ศิลาศักดิ์</v>
      </c>
      <c r="J1023" t="str">
        <f>IFERROR(__xludf.DUMMYFUNCTION("""COMPUTED_VALUE"""),"Beer / เบียร์")</f>
        <v>Beer / เบียร์</v>
      </c>
      <c r="K1023" t="str">
        <f>IFERROR(__xludf.DUMMYFUNCTION("""COMPUTED_VALUE"""),"Cabin Crew")</f>
        <v>Cabin Crew</v>
      </c>
      <c r="L1023" t="str">
        <f>IFERROR(__xludf.DUMMYFUNCTION("""COMPUTED_VALUE"""),"DMK")</f>
        <v>DMK</v>
      </c>
      <c r="M1023" s="145" t="str">
        <f>IFERROR(__xludf.DUMMYFUNCTION("""COMPUTED_VALUE"""),"Por+ Home")</f>
        <v>Por+ Home</v>
      </c>
      <c r="N1023" t="str">
        <f>IFERROR(__xludf.DUMMYFUNCTION("""COMPUTED_VALUE"""),"Active")</f>
        <v>Active</v>
      </c>
      <c r="O1023" t="str">
        <f>IFERROR(__xludf.DUMMYFUNCTION("""COMPUTED_VALUE"""),"Chinese Speaking")</f>
        <v>Chinese Speaking</v>
      </c>
      <c r="P1023" s="159">
        <f>IFERROR(__xludf.DUMMYFUNCTION("""COMPUTED_VALUE"""),34676.0)</f>
        <v>34676</v>
      </c>
      <c r="Q1023" s="146" t="str">
        <f>IFERROR(__xludf.DUMMYFUNCTION("""COMPUTED_VALUE"""),"061-602-9233")</f>
        <v>061-602-9233</v>
      </c>
      <c r="R1023" s="147">
        <f>IFERROR(__xludf.DUMMYFUNCTION("""COMPUTED_VALUE"""),1.370500003284E12)</f>
        <v>1370500003284</v>
      </c>
      <c r="S1023" t="str">
        <f>IFERROR(__xludf.DUMMYFUNCTION("""COMPUTED_VALUE"""),"AC4550275")</f>
        <v>AC4550275</v>
      </c>
      <c r="T1023" s="148">
        <f>IFERROR(__xludf.DUMMYFUNCTION("""COMPUTED_VALUE"""),44985.0)</f>
        <v>44985</v>
      </c>
      <c r="U1023" s="148">
        <f>IFERROR(__xludf.DUMMYFUNCTION("""COMPUTED_VALUE"""),48637.0)</f>
        <v>48637</v>
      </c>
      <c r="V1023" s="149">
        <f>IFERROR(__xludf.DUMMYFUNCTION("""COMPUTED_VALUE"""),48453.0)</f>
        <v>48453</v>
      </c>
      <c r="W1023" t="str">
        <f>IFERROR(__xludf.DUMMYFUNCTION("""COMPUTED_VALUE"""),"ปลอดภัย")</f>
        <v>ปลอดภัย</v>
      </c>
      <c r="X1023" t="str">
        <f>IFERROR(__xludf.DUMMYFUNCTION("""COMPUTED_VALUE"""),"Amnat Charoen Province")</f>
        <v>Amnat Charoen Province</v>
      </c>
      <c r="Y1023" t="str">
        <f>IFERROR(__xludf.DUMMYFUNCTION("""COMPUTED_VALUE"""),"Bangkok")</f>
        <v>Bangkok</v>
      </c>
      <c r="Z1023" s="145" t="str">
        <f>IFERROR(__xludf.DUMMYFUNCTION("""COMPUTED_VALUE"""),"063-160-0271")</f>
        <v>063-160-0271</v>
      </c>
      <c r="AA1023" t="str">
        <f>IFERROR(__xludf.DUMMYFUNCTION("""COMPUTED_VALUE"""),"นางสมาน ศิลาศักดิ์ Mother")</f>
        <v>นางสมาน ศิลาศักดิ์ Mother</v>
      </c>
      <c r="AB1023" t="str">
        <f>IFERROR(__xludf.DUMMYFUNCTION("""COMPUTED_VALUE"""),"parinyasilasak@airasia.com")</f>
        <v>parinyasilasak@airasia.com</v>
      </c>
    </row>
    <row r="1024">
      <c r="A1024">
        <f>IFERROR(__xludf.DUMMYFUNCTION("""COMPUTED_VALUE"""),1038947.0)</f>
        <v>1038947</v>
      </c>
      <c r="B1024" t="str">
        <f>IFERROR(__xludf.DUMMYFUNCTION("""COMPUTED_VALUE"""),"Ms.")</f>
        <v>Ms.</v>
      </c>
      <c r="C1024" t="str">
        <f>IFERROR(__xludf.DUMMYFUNCTION("""COMPUTED_VALUE"""),"Phacharamon")</f>
        <v>Phacharamon</v>
      </c>
      <c r="D1024" t="str">
        <f>IFERROR(__xludf.DUMMYFUNCTION("""COMPUTED_VALUE"""),"Polrat")</f>
        <v>Polrat</v>
      </c>
      <c r="E1024" t="str">
        <f>IFERROR(__xludf.DUMMYFUNCTION("""COMPUTED_VALUE"""),"Phacharamon Polrat")</f>
        <v>Phacharamon Polrat</v>
      </c>
      <c r="F1024" t="str">
        <f>IFERROR(__xludf.DUMMYFUNCTION("""COMPUTED_VALUE"""),"นางสาว")</f>
        <v>นางสาว</v>
      </c>
      <c r="G1024" t="str">
        <f>IFERROR(__xludf.DUMMYFUNCTION("""COMPUTED_VALUE"""),"พชรมน")</f>
        <v>พชรมน</v>
      </c>
      <c r="H1024" t="str">
        <f>IFERROR(__xludf.DUMMYFUNCTION("""COMPUTED_VALUE"""),"พลรัตน์")</f>
        <v>พลรัตน์</v>
      </c>
      <c r="I1024" t="str">
        <f>IFERROR(__xludf.DUMMYFUNCTION("""COMPUTED_VALUE"""),"พชรมน พลรัตน์")</f>
        <v>พชรมน พลรัตน์</v>
      </c>
      <c r="J1024" t="str">
        <f>IFERROR(__xludf.DUMMYFUNCTION("""COMPUTED_VALUE"""),"เบียร์")</f>
        <v>เบียร์</v>
      </c>
      <c r="K1024" t="str">
        <f>IFERROR(__xludf.DUMMYFUNCTION("""COMPUTED_VALUE"""),"Cabin Crew")</f>
        <v>Cabin Crew</v>
      </c>
      <c r="L1024" t="str">
        <f>IFERROR(__xludf.DUMMYFUNCTION("""COMPUTED_VALUE"""),"DMK")</f>
        <v>DMK</v>
      </c>
      <c r="M1024" s="145" t="str">
        <f>IFERROR(__xludf.DUMMYFUNCTION("""COMPUTED_VALUE"""),"Namfon Home")</f>
        <v>Namfon Home</v>
      </c>
      <c r="N1024" t="str">
        <f>IFERROR(__xludf.DUMMYFUNCTION("""COMPUTED_VALUE"""),"V/LWP")</f>
        <v>V/LWP</v>
      </c>
      <c r="P1024" s="159">
        <f>IFERROR(__xludf.DUMMYFUNCTION("""COMPUTED_VALUE"""),33448.0)</f>
        <v>33448</v>
      </c>
      <c r="Q1024" s="146" t="str">
        <f>IFERROR(__xludf.DUMMYFUNCTION("""COMPUTED_VALUE"""),"085-4543444")</f>
        <v>085-4543444</v>
      </c>
      <c r="R1024" s="147">
        <f>IFERROR(__xludf.DUMMYFUNCTION("""COMPUTED_VALUE"""),2.489900019761E12)</f>
        <v>2489900019761</v>
      </c>
      <c r="S1024" t="str">
        <f>IFERROR(__xludf.DUMMYFUNCTION("""COMPUTED_VALUE"""),"AC5556671")</f>
        <v>AC5556671</v>
      </c>
      <c r="T1024" s="148">
        <f>IFERROR(__xludf.DUMMYFUNCTION("""COMPUTED_VALUE"""),45165.0)</f>
        <v>45165</v>
      </c>
      <c r="U1024" s="148">
        <f>IFERROR(__xludf.DUMMYFUNCTION("""COMPUTED_VALUE"""),48817.0)</f>
        <v>48817</v>
      </c>
      <c r="V1024" s="149">
        <f>IFERROR(__xludf.DUMMYFUNCTION("""COMPUTED_VALUE"""),48636.0)</f>
        <v>48636</v>
      </c>
      <c r="W1024" t="str">
        <f>IFERROR(__xludf.DUMMYFUNCTION("""COMPUTED_VALUE"""),"ปลอดภัย")</f>
        <v>ปลอดภัย</v>
      </c>
      <c r="X1024" t="str">
        <f>IFERROR(__xludf.DUMMYFUNCTION("""COMPUTED_VALUE"""),"Nakhon Phanom Province")</f>
        <v>Nakhon Phanom Province</v>
      </c>
      <c r="Y1024" t="str">
        <f>IFERROR(__xludf.DUMMYFUNCTION("""COMPUTED_VALUE"""),"NONTABUTI")</f>
        <v>NONTABUTI</v>
      </c>
      <c r="Z1024" s="145" t="str">
        <f>IFERROR(__xludf.DUMMYFUNCTION("""COMPUTED_VALUE"""),"084-6878888")</f>
        <v>084-6878888</v>
      </c>
      <c r="AA1024" t="str">
        <f>IFERROR(__xludf.DUMMYFUNCTION("""COMPUTED_VALUE"""),"นายเกรียงไกร นิตยาทานุกลู Friend")</f>
        <v>นายเกรียงไกร นิตยาทานุกลู Friend</v>
      </c>
      <c r="AB1024" t="str">
        <f>IFERROR(__xludf.DUMMYFUNCTION("""COMPUTED_VALUE"""),"phacharamonpolrat@airasia.com")</f>
        <v>phacharamonpolrat@airasia.com</v>
      </c>
    </row>
    <row r="1025">
      <c r="AB1025" t="str">
        <f>IFERROR(__xludf.DUMMYFUNCTION("""COMPUTED_VALUE"""),"")</f>
        <v/>
      </c>
    </row>
    <row r="1026">
      <c r="A1026">
        <f>IFERROR(__xludf.DUMMYFUNCTION("""COMPUTED_VALUE"""),1027465.0)</f>
        <v>1027465</v>
      </c>
      <c r="B1026" t="str">
        <f>IFERROR(__xludf.DUMMYFUNCTION("""COMPUTED_VALUE"""),"Ms.")</f>
        <v>Ms.</v>
      </c>
      <c r="C1026" t="str">
        <f>IFERROR(__xludf.DUMMYFUNCTION("""COMPUTED_VALUE"""),"Jiraporn")</f>
        <v>Jiraporn</v>
      </c>
      <c r="D1026" t="str">
        <f>IFERROR(__xludf.DUMMYFUNCTION("""COMPUTED_VALUE"""),"Khongpan")</f>
        <v>Khongpan</v>
      </c>
      <c r="E1026" t="str">
        <f>IFERROR(__xludf.DUMMYFUNCTION("""COMPUTED_VALUE"""),"Jiraporn Khongpan")</f>
        <v>Jiraporn Khongpan</v>
      </c>
      <c r="F1026" t="str">
        <f>IFERROR(__xludf.DUMMYFUNCTION("""COMPUTED_VALUE"""),"นางสาว")</f>
        <v>นางสาว</v>
      </c>
      <c r="G1026" t="str">
        <f>IFERROR(__xludf.DUMMYFUNCTION("""COMPUTED_VALUE"""),"จิราภรณ์")</f>
        <v>จิราภรณ์</v>
      </c>
      <c r="H1026" t="str">
        <f>IFERROR(__xludf.DUMMYFUNCTION("""COMPUTED_VALUE"""),"คงปั้น")</f>
        <v>คงปั้น</v>
      </c>
      <c r="I1026" t="str">
        <f>IFERROR(__xludf.DUMMYFUNCTION("""COMPUTED_VALUE"""),"จิราภรณ์ คงปั้น")</f>
        <v>จิราภรณ์ คงปั้น</v>
      </c>
      <c r="J1026" t="str">
        <f>IFERROR(__xludf.DUMMYFUNCTION("""COMPUTED_VALUE"""),"June / จูน")</f>
        <v>June / จูน</v>
      </c>
      <c r="K1026" t="str">
        <f>IFERROR(__xludf.DUMMYFUNCTION("""COMPUTED_VALUE"""),"Cabin Crew")</f>
        <v>Cabin Crew</v>
      </c>
      <c r="L1026" t="str">
        <f>IFERROR(__xludf.DUMMYFUNCTION("""COMPUTED_VALUE"""),"DMK")</f>
        <v>DMK</v>
      </c>
      <c r="M1026" s="145" t="str">
        <f>IFERROR(__xludf.DUMMYFUNCTION("""COMPUTED_VALUE"""),"Um Home")</f>
        <v>Um Home</v>
      </c>
      <c r="N1026" t="str">
        <f>IFERROR(__xludf.DUMMYFUNCTION("""COMPUTED_VALUE"""),"Active")</f>
        <v>Active</v>
      </c>
      <c r="P1026" s="159">
        <f>IFERROR(__xludf.DUMMYFUNCTION("""COMPUTED_VALUE"""),34366.0)</f>
        <v>34366</v>
      </c>
      <c r="Q1026" s="146">
        <f>IFERROR(__xludf.DUMMYFUNCTION("""COMPUTED_VALUE"""),8.04752228E8)</f>
        <v>804752228</v>
      </c>
      <c r="R1026" s="147">
        <f>IFERROR(__xludf.DUMMYFUNCTION("""COMPUTED_VALUE"""),1.559900253861E12)</f>
        <v>1559900253861</v>
      </c>
      <c r="S1026" t="str">
        <f>IFERROR(__xludf.DUMMYFUNCTION("""COMPUTED_VALUE"""),"AC8079606")</f>
        <v>AC8079606</v>
      </c>
      <c r="T1026" s="148">
        <f>IFERROR(__xludf.DUMMYFUNCTION("""COMPUTED_VALUE"""),45699.0)</f>
        <v>45699</v>
      </c>
      <c r="U1026" s="148">
        <f>IFERROR(__xludf.DUMMYFUNCTION("""COMPUTED_VALUE"""),49350.0)</f>
        <v>49350</v>
      </c>
      <c r="V1026" s="149">
        <f>IFERROR(__xludf.DUMMYFUNCTION("""COMPUTED_VALUE"""),49166.0)</f>
        <v>49166</v>
      </c>
      <c r="W1026" t="str">
        <f>IFERROR(__xludf.DUMMYFUNCTION("""COMPUTED_VALUE"""),"ปลอดภัย")</f>
        <v>ปลอดภัย</v>
      </c>
      <c r="X1026" t="str">
        <f>IFERROR(__xludf.DUMMYFUNCTION("""COMPUTED_VALUE"""),"Nan Province")</f>
        <v>Nan Province</v>
      </c>
      <c r="Y1026" t="str">
        <f>IFERROR(__xludf.DUMMYFUNCTION("""COMPUTED_VALUE"""),"PATHUMTANI")</f>
        <v>PATHUMTANI</v>
      </c>
      <c r="Z1026" s="145" t="str">
        <f>IFERROR(__xludf.DUMMYFUNCTION("""COMPUTED_VALUE"""),"0861169965")</f>
        <v>0861169965</v>
      </c>
      <c r="AA1026" t="str">
        <f>IFERROR(__xludf.DUMMYFUNCTION("""COMPUTED_VALUE"""),"นางสาวจุฑาทิพย์ คงปั้น Sister")</f>
        <v>นางสาวจุฑาทิพย์ คงปั้น Sister</v>
      </c>
      <c r="AB1026" t="str">
        <f>IFERROR(__xludf.DUMMYFUNCTION("""COMPUTED_VALUE"""),"jirapornkhongpan@airasia.com")</f>
        <v>jirapornkhongpan@airasia.com</v>
      </c>
    </row>
    <row r="1027">
      <c r="A1027">
        <f>IFERROR(__xludf.DUMMYFUNCTION("""COMPUTED_VALUE"""),1025186.0)</f>
        <v>1025186</v>
      </c>
      <c r="B1027" t="str">
        <f>IFERROR(__xludf.DUMMYFUNCTION("""COMPUTED_VALUE"""),"Ms.")</f>
        <v>Ms.</v>
      </c>
      <c r="C1027" t="str">
        <f>IFERROR(__xludf.DUMMYFUNCTION("""COMPUTED_VALUE"""),"Pawaran")</f>
        <v>Pawaran</v>
      </c>
      <c r="D1027" t="str">
        <f>IFERROR(__xludf.DUMMYFUNCTION("""COMPUTED_VALUE"""),"Modsuwan (Thapwongsakorn)")</f>
        <v>Modsuwan (Thapwongsakorn)</v>
      </c>
      <c r="E1027" t="str">
        <f>IFERROR(__xludf.DUMMYFUNCTION("""COMPUTED_VALUE"""),"Pawaran Modsuwan")</f>
        <v>Pawaran Modsuwan</v>
      </c>
      <c r="F1027" t="str">
        <f>IFERROR(__xludf.DUMMYFUNCTION("""COMPUTED_VALUE"""),"นางสาว")</f>
        <v>นางสาว</v>
      </c>
      <c r="G1027" t="str">
        <f>IFERROR(__xludf.DUMMYFUNCTION("""COMPUTED_VALUE"""),"ภวรัญชน์")</f>
        <v>ภวรัญชน์</v>
      </c>
      <c r="H1027" t="str">
        <f>IFERROR(__xludf.DUMMYFUNCTION("""COMPUTED_VALUE"""),"โหมดสุวรรณ (ทัพพ์วงศกร)")</f>
        <v>โหมดสุวรรณ (ทัพพ์วงศกร)</v>
      </c>
      <c r="I1027" t="str">
        <f>IFERROR(__xludf.DUMMYFUNCTION("""COMPUTED_VALUE"""),"ภวรัญชน์ โหมดสุวรรณ")</f>
        <v>ภวรัญชน์ โหมดสุวรรณ</v>
      </c>
      <c r="J1027" s="160" t="str">
        <f>IFERROR(__xludf.DUMMYFUNCTION("""COMPUTED_VALUE"""),"Cream / ครีม")</f>
        <v>Cream / ครีม</v>
      </c>
      <c r="K1027" t="str">
        <f>IFERROR(__xludf.DUMMYFUNCTION("""COMPUTED_VALUE"""),"Cabin Crew")</f>
        <v>Cabin Crew</v>
      </c>
      <c r="L1027" t="str">
        <f>IFERROR(__xludf.DUMMYFUNCTION("""COMPUTED_VALUE"""),"DMK")</f>
        <v>DMK</v>
      </c>
      <c r="M1027" s="145" t="str">
        <f>IFERROR(__xludf.DUMMYFUNCTION("""COMPUTED_VALUE"""),"Nhui Home")</f>
        <v>Nhui Home</v>
      </c>
      <c r="N1027" t="str">
        <f>IFERROR(__xludf.DUMMYFUNCTION("""COMPUTED_VALUE"""),"Active")</f>
        <v>Active</v>
      </c>
      <c r="P1027" s="159">
        <f>IFERROR(__xludf.DUMMYFUNCTION("""COMPUTED_VALUE"""),34652.0)</f>
        <v>34652</v>
      </c>
      <c r="Q1027" s="146" t="str">
        <f>IFERROR(__xludf.DUMMYFUNCTION("""COMPUTED_VALUE"""),"083-091-8817")</f>
        <v>083-091-8817</v>
      </c>
      <c r="R1027" s="147">
        <f>IFERROR(__xludf.DUMMYFUNCTION("""COMPUTED_VALUE"""),1.100400727037E12)</f>
        <v>1100400727037</v>
      </c>
      <c r="S1027" t="str">
        <f>IFERROR(__xludf.DUMMYFUNCTION("""COMPUTED_VALUE"""),"AC8169741")</f>
        <v>AC8169741</v>
      </c>
      <c r="T1027" s="148">
        <f>IFERROR(__xludf.DUMMYFUNCTION("""COMPUTED_VALUE"""),45964.0)</f>
        <v>45964</v>
      </c>
      <c r="U1027" s="148">
        <f>IFERROR(__xludf.DUMMYFUNCTION("""COMPUTED_VALUE"""),49615.0)</f>
        <v>49615</v>
      </c>
      <c r="V1027" s="149">
        <f>IFERROR(__xludf.DUMMYFUNCTION("""COMPUTED_VALUE"""),49431.0)</f>
        <v>49431</v>
      </c>
      <c r="W1027" t="str">
        <f>IFERROR(__xludf.DUMMYFUNCTION("""COMPUTED_VALUE"""),"ปลอดภัย")</f>
        <v>ปลอดภัย</v>
      </c>
      <c r="X1027" s="160" t="str">
        <f>IFERROR(__xludf.DUMMYFUNCTION("""COMPUTED_VALUE"""),"Bangkok")</f>
        <v>Bangkok</v>
      </c>
      <c r="Y1027" t="str">
        <f>IFERROR(__xludf.DUMMYFUNCTION("""COMPUTED_VALUE"""),"Bangkok")</f>
        <v>Bangkok</v>
      </c>
      <c r="Z1027" s="145" t="str">
        <f>IFERROR(__xludf.DUMMYFUNCTION("""COMPUTED_VALUE"""),"081-619-4698")</f>
        <v>081-619-4698</v>
      </c>
      <c r="AA1027" t="str">
        <f>IFERROR(__xludf.DUMMYFUNCTION("""COMPUTED_VALUE"""),"นายปรีเยศ ทัพพ์วงศกร Father")</f>
        <v>นายปรีเยศ ทัพพ์วงศกร Father</v>
      </c>
      <c r="AB1027" t="str">
        <f>IFERROR(__xludf.DUMMYFUNCTION("""COMPUTED_VALUE"""),"pawaranmodsuwan@airasia.com")</f>
        <v>pawaranmodsuwan@airasia.com</v>
      </c>
    </row>
    <row r="1028">
      <c r="A1028">
        <f>IFERROR(__xludf.DUMMYFUNCTION("""COMPUTED_VALUE"""),1013689.0)</f>
        <v>1013689</v>
      </c>
      <c r="B1028" t="str">
        <f>IFERROR(__xludf.DUMMYFUNCTION("""COMPUTED_VALUE"""),"Ms.")</f>
        <v>Ms.</v>
      </c>
      <c r="C1028" t="str">
        <f>IFERROR(__xludf.DUMMYFUNCTION("""COMPUTED_VALUE"""),"Sutthida")</f>
        <v>Sutthida</v>
      </c>
      <c r="D1028" t="str">
        <f>IFERROR(__xludf.DUMMYFUNCTION("""COMPUTED_VALUE"""),"Taprab")</f>
        <v>Taprab</v>
      </c>
      <c r="E1028" t="str">
        <f>IFERROR(__xludf.DUMMYFUNCTION("""COMPUTED_VALUE"""),"Sutthida Taprab")</f>
        <v>Sutthida Taprab</v>
      </c>
      <c r="F1028" t="str">
        <f>IFERROR(__xludf.DUMMYFUNCTION("""COMPUTED_VALUE"""),"นางสาว")</f>
        <v>นางสาว</v>
      </c>
      <c r="G1028" t="str">
        <f>IFERROR(__xludf.DUMMYFUNCTION("""COMPUTED_VALUE"""),"สุทธิดา")</f>
        <v>สุทธิดา</v>
      </c>
      <c r="H1028" t="str">
        <f>IFERROR(__xludf.DUMMYFUNCTION("""COMPUTED_VALUE"""),"ตาปราบ")</f>
        <v>ตาปราบ</v>
      </c>
      <c r="I1028" t="str">
        <f>IFERROR(__xludf.DUMMYFUNCTION("""COMPUTED_VALUE"""),"สุทธิดา ตาปราบ")</f>
        <v>สุทธิดา ตาปราบ</v>
      </c>
      <c r="J1028" t="str">
        <f>IFERROR(__xludf.DUMMYFUNCTION("""COMPUTED_VALUE"""),"Baifern / ใบเฟิร์น")</f>
        <v>Baifern / ใบเฟิร์น</v>
      </c>
      <c r="K1028" t="str">
        <f>IFERROR(__xludf.DUMMYFUNCTION("""COMPUTED_VALUE"""),"Cabin Crew")</f>
        <v>Cabin Crew</v>
      </c>
      <c r="L1028" t="str">
        <f>IFERROR(__xludf.DUMMYFUNCTION("""COMPUTED_VALUE"""),"DMK")</f>
        <v>DMK</v>
      </c>
      <c r="M1028" s="145" t="str">
        <f>IFERROR(__xludf.DUMMYFUNCTION("""COMPUTED_VALUE"""),"Toffy Home")</f>
        <v>Toffy Home</v>
      </c>
      <c r="N1028" t="str">
        <f>IFERROR(__xludf.DUMMYFUNCTION("""COMPUTED_VALUE"""),"Active")</f>
        <v>Active</v>
      </c>
      <c r="P1028" s="159">
        <f>IFERROR(__xludf.DUMMYFUNCTION("""COMPUTED_VALUE"""),34523.0)</f>
        <v>34523</v>
      </c>
      <c r="Q1028" s="146">
        <f>IFERROR(__xludf.DUMMYFUNCTION("""COMPUTED_VALUE"""),8.24842399E8)</f>
        <v>824842399</v>
      </c>
      <c r="R1028" s="147">
        <f>IFERROR(__xludf.DUMMYFUNCTION("""COMPUTED_VALUE"""),1.369900299782E12)</f>
        <v>1369900299782</v>
      </c>
      <c r="S1028" t="str">
        <f>IFERROR(__xludf.DUMMYFUNCTION("""COMPUTED_VALUE"""),"AC4319819")</f>
        <v>AC4319819</v>
      </c>
      <c r="T1028" s="148">
        <f>IFERROR(__xludf.DUMMYFUNCTION("""COMPUTED_VALUE"""),44929.0)</f>
        <v>44929</v>
      </c>
      <c r="U1028" s="148">
        <f>IFERROR(__xludf.DUMMYFUNCTION("""COMPUTED_VALUE"""),48581.0)</f>
        <v>48581</v>
      </c>
      <c r="V1028" s="149">
        <f>IFERROR(__xludf.DUMMYFUNCTION("""COMPUTED_VALUE"""),48397.0)</f>
        <v>48397</v>
      </c>
      <c r="W1028" t="str">
        <f>IFERROR(__xludf.DUMMYFUNCTION("""COMPUTED_VALUE"""),"ปลอดภัย")</f>
        <v>ปลอดภัย</v>
      </c>
      <c r="X1028" t="str">
        <f>IFERROR(__xludf.DUMMYFUNCTION("""COMPUTED_VALUE"""),"Chaiyaphum Province")</f>
        <v>Chaiyaphum Province</v>
      </c>
      <c r="Y1028" t="str">
        <f>IFERROR(__xludf.DUMMYFUNCTION("""COMPUTED_VALUE"""),"PATHUMTANI")</f>
        <v>PATHUMTANI</v>
      </c>
      <c r="Z1028" s="145" t="str">
        <f>IFERROR(__xludf.DUMMYFUNCTION("""COMPUTED_VALUE"""),"0909787711")</f>
        <v>0909787711</v>
      </c>
      <c r="AA1028" t="str">
        <f>IFERROR(__xludf.DUMMYFUNCTION("""COMPUTED_VALUE"""),"นายพงศธร คำแพงศรี Husband")</f>
        <v>นายพงศธร คำแพงศรี Husband</v>
      </c>
      <c r="AB1028" t="str">
        <f>IFERROR(__xludf.DUMMYFUNCTION("""COMPUTED_VALUE"""),"sutthidat@airasia.com")</f>
        <v>sutthidat@airasia.com</v>
      </c>
    </row>
    <row r="1029">
      <c r="A1029">
        <f>IFERROR(__xludf.DUMMYFUNCTION("""COMPUTED_VALUE"""),1022201.0)</f>
        <v>1022201</v>
      </c>
      <c r="B1029" t="str">
        <f>IFERROR(__xludf.DUMMYFUNCTION("""COMPUTED_VALUE"""),"Ms.")</f>
        <v>Ms.</v>
      </c>
      <c r="C1029" t="str">
        <f>IFERROR(__xludf.DUMMYFUNCTION("""COMPUTED_VALUE"""),"Chompunut")</f>
        <v>Chompunut</v>
      </c>
      <c r="D1029" t="str">
        <f>IFERROR(__xludf.DUMMYFUNCTION("""COMPUTED_VALUE"""),"Kueankanjaroen")</f>
        <v>Kueankanjaroen</v>
      </c>
      <c r="E1029" t="str">
        <f>IFERROR(__xludf.DUMMYFUNCTION("""COMPUTED_VALUE"""),"Chompunut Kueankanjaroen")</f>
        <v>Chompunut Kueankanjaroen</v>
      </c>
      <c r="F1029" t="str">
        <f>IFERROR(__xludf.DUMMYFUNCTION("""COMPUTED_VALUE"""),"นางสาว")</f>
        <v>นางสาว</v>
      </c>
      <c r="G1029" t="str">
        <f>IFERROR(__xludf.DUMMYFUNCTION("""COMPUTED_VALUE"""),"ชมพูนุท")</f>
        <v>ชมพูนุท</v>
      </c>
      <c r="H1029" t="str">
        <f>IFERROR(__xludf.DUMMYFUNCTION("""COMPUTED_VALUE"""),"เขื่อนขันธ์เจริญ")</f>
        <v>เขื่อนขันธ์เจริญ</v>
      </c>
      <c r="I1029" t="str">
        <f>IFERROR(__xludf.DUMMYFUNCTION("""COMPUTED_VALUE"""),"ชมพูนุท เขื่อนขันธ์เจริญ")</f>
        <v>ชมพูนุท เขื่อนขันธ์เจริญ</v>
      </c>
      <c r="J1029" t="str">
        <f>IFERROR(__xludf.DUMMYFUNCTION("""COMPUTED_VALUE"""),"มุก")</f>
        <v>มุก</v>
      </c>
      <c r="K1029" t="str">
        <f>IFERROR(__xludf.DUMMYFUNCTION("""COMPUTED_VALUE"""),"Cabin Crew")</f>
        <v>Cabin Crew</v>
      </c>
      <c r="L1029" t="str">
        <f>IFERROR(__xludf.DUMMYFUNCTION("""COMPUTED_VALUE"""),"DMK")</f>
        <v>DMK</v>
      </c>
      <c r="M1029" s="145" t="str">
        <f>IFERROR(__xludf.DUMMYFUNCTION("""COMPUTED_VALUE"""),"Um Home")</f>
        <v>Um Home</v>
      </c>
      <c r="N1029" t="str">
        <f>IFERROR(__xludf.DUMMYFUNCTION("""COMPUTED_VALUE"""),"Active")</f>
        <v>Active</v>
      </c>
      <c r="P1029" s="159">
        <f>IFERROR(__xludf.DUMMYFUNCTION("""COMPUTED_VALUE"""),33221.0)</f>
        <v>33221</v>
      </c>
      <c r="Q1029" s="146">
        <f>IFERROR(__xludf.DUMMYFUNCTION("""COMPUTED_VALUE"""),8.26653662E8)</f>
        <v>826653662</v>
      </c>
      <c r="R1029" s="147">
        <f>IFERROR(__xludf.DUMMYFUNCTION("""COMPUTED_VALUE"""),1.10370030455E12)</f>
        <v>1103700304550</v>
      </c>
      <c r="S1029" t="str">
        <f>IFERROR(__xludf.DUMMYFUNCTION("""COMPUTED_VALUE"""),"AD0551213")</f>
        <v>AD0551213</v>
      </c>
      <c r="T1029" s="148">
        <f>IFERROR(__xludf.DUMMYFUNCTION("""COMPUTED_VALUE"""),44923.0)</f>
        <v>44923</v>
      </c>
      <c r="U1029" s="148">
        <f>IFERROR(__xludf.DUMMYFUNCTION("""COMPUTED_VALUE"""),48575.0)</f>
        <v>48575</v>
      </c>
      <c r="V1029" s="149">
        <f>IFERROR(__xludf.DUMMYFUNCTION("""COMPUTED_VALUE"""),48392.0)</f>
        <v>48392</v>
      </c>
      <c r="W1029" t="str">
        <f>IFERROR(__xludf.DUMMYFUNCTION("""COMPUTED_VALUE"""),"ปลอดภัย")</f>
        <v>ปลอดภัย</v>
      </c>
      <c r="X1029" t="str">
        <f>IFERROR(__xludf.DUMMYFUNCTION("""COMPUTED_VALUE"""),"Bangkok")</f>
        <v>Bangkok</v>
      </c>
      <c r="Y1029" t="str">
        <f>IFERROR(__xludf.DUMMYFUNCTION("""COMPUTED_VALUE"""),"NONTABUTI")</f>
        <v>NONTABUTI</v>
      </c>
      <c r="Z1029" s="145" t="str">
        <f>IFERROR(__xludf.DUMMYFUNCTION("""COMPUTED_VALUE"""),"0839055652")</f>
        <v>0839055652</v>
      </c>
      <c r="AA1029" t="str">
        <f>IFERROR(__xludf.DUMMYFUNCTION("""COMPUTED_VALUE"""),"หาญณรงค์ เขื่อนขันธ์เจริญ Father")</f>
        <v>หาญณรงค์ เขื่อนขันธ์เจริญ Father</v>
      </c>
      <c r="AB1029" t="str">
        <f>IFERROR(__xludf.DUMMYFUNCTION("""COMPUTED_VALUE"""),"chompunutkueankanja@airasia.com")</f>
        <v>chompunutkueankanja@airasia.com</v>
      </c>
    </row>
    <row r="1030">
      <c r="A1030">
        <f>IFERROR(__xludf.DUMMYFUNCTION("""COMPUTED_VALUE"""),1022348.0)</f>
        <v>1022348</v>
      </c>
      <c r="B1030" t="str">
        <f>IFERROR(__xludf.DUMMYFUNCTION("""COMPUTED_VALUE"""),"Ms.")</f>
        <v>Ms.</v>
      </c>
      <c r="C1030" t="str">
        <f>IFERROR(__xludf.DUMMYFUNCTION("""COMPUTED_VALUE"""),"Korakanjana")</f>
        <v>Korakanjana</v>
      </c>
      <c r="D1030" t="str">
        <f>IFERROR(__xludf.DUMMYFUNCTION("""COMPUTED_VALUE"""),"Punpeng")</f>
        <v>Punpeng</v>
      </c>
      <c r="E1030" t="str">
        <f>IFERROR(__xludf.DUMMYFUNCTION("""COMPUTED_VALUE"""),"Korakanjana Punpeng")</f>
        <v>Korakanjana Punpeng</v>
      </c>
      <c r="F1030" t="str">
        <f>IFERROR(__xludf.DUMMYFUNCTION("""COMPUTED_VALUE"""),"นางสาว")</f>
        <v>นางสาว</v>
      </c>
      <c r="G1030" t="str">
        <f>IFERROR(__xludf.DUMMYFUNCTION("""COMPUTED_VALUE"""),"กรกาญจน์")</f>
        <v>กรกาญจน์</v>
      </c>
      <c r="H1030" t="str">
        <f>IFERROR(__xludf.DUMMYFUNCTION("""COMPUTED_VALUE"""),"พันธุ์เพ็ง")</f>
        <v>พันธุ์เพ็ง</v>
      </c>
      <c r="I1030" t="str">
        <f>IFERROR(__xludf.DUMMYFUNCTION("""COMPUTED_VALUE"""),"กรกาญจน์ พันธุ์เพ็ง")</f>
        <v>กรกาญจน์ พันธุ์เพ็ง</v>
      </c>
      <c r="J1030" s="160" t="str">
        <f>IFERROR(__xludf.DUMMYFUNCTION("""COMPUTED_VALUE"""),"My / มาย")</f>
        <v>My / มาย</v>
      </c>
      <c r="K1030" t="str">
        <f>IFERROR(__xludf.DUMMYFUNCTION("""COMPUTED_VALUE"""),"Cabin Crew")</f>
        <v>Cabin Crew</v>
      </c>
      <c r="L1030" t="str">
        <f>IFERROR(__xludf.DUMMYFUNCTION("""COMPUTED_VALUE"""),"DMK")</f>
        <v>DMK</v>
      </c>
      <c r="M1030" s="145" t="str">
        <f>IFERROR(__xludf.DUMMYFUNCTION("""COMPUTED_VALUE"""),"Um Home")</f>
        <v>Um Home</v>
      </c>
      <c r="N1030" t="str">
        <f>IFERROR(__xludf.DUMMYFUNCTION("""COMPUTED_VALUE"""),"V/LWP")</f>
        <v>V/LWP</v>
      </c>
      <c r="P1030" s="159">
        <f>IFERROR(__xludf.DUMMYFUNCTION("""COMPUTED_VALUE"""),33112.0)</f>
        <v>33112</v>
      </c>
      <c r="Q1030" s="146">
        <f>IFERROR(__xludf.DUMMYFUNCTION("""COMPUTED_VALUE"""),6.56429525E8)</f>
        <v>656429525</v>
      </c>
      <c r="R1030" s="147">
        <f>IFERROR(__xludf.DUMMYFUNCTION("""COMPUTED_VALUE"""),1.103000007447E12)</f>
        <v>1103000007447</v>
      </c>
      <c r="S1030" t="str">
        <f>IFERROR(__xludf.DUMMYFUNCTION("""COMPUTED_VALUE"""),"AC6126118")</f>
        <v>AC6126118</v>
      </c>
      <c r="T1030" s="150">
        <f>IFERROR(__xludf.DUMMYFUNCTION("""COMPUTED_VALUE"""),45280.0)</f>
        <v>45280</v>
      </c>
      <c r="U1030" s="148">
        <f>IFERROR(__xludf.DUMMYFUNCTION("""COMPUTED_VALUE"""),48932.0)</f>
        <v>48932</v>
      </c>
      <c r="V1030" s="149">
        <f>IFERROR(__xludf.DUMMYFUNCTION("""COMPUTED_VALUE"""),48749.0)</f>
        <v>48749</v>
      </c>
      <c r="W1030" t="str">
        <f>IFERROR(__xludf.DUMMYFUNCTION("""COMPUTED_VALUE"""),"ปลอดภัย")</f>
        <v>ปลอดภัย</v>
      </c>
      <c r="X1030" s="160" t="str">
        <f>IFERROR(__xludf.DUMMYFUNCTION("""COMPUTED_VALUE"""),"Bangkok")</f>
        <v>Bangkok</v>
      </c>
      <c r="Y1030" t="str">
        <f>IFERROR(__xludf.DUMMYFUNCTION("""COMPUTED_VALUE"""),"NONTABUTI")</f>
        <v>NONTABUTI</v>
      </c>
      <c r="Z1030" s="145" t="str">
        <f>IFERROR(__xludf.DUMMYFUNCTION("""COMPUTED_VALUE"""),"0818170169")</f>
        <v>0818170169</v>
      </c>
      <c r="AA1030" t="str">
        <f>IFERROR(__xludf.DUMMYFUNCTION("""COMPUTED_VALUE"""),"ประภาจิรี พันธุ์เพ็ง Mother")</f>
        <v>ประภาจิรี พันธุ์เพ็ง Mother</v>
      </c>
      <c r="AB1030" t="str">
        <f>IFERROR(__xludf.DUMMYFUNCTION("""COMPUTED_VALUE"""),"korakanjanapunpeng@airasia.com")</f>
        <v>korakanjanapunpeng@airasia.com</v>
      </c>
    </row>
    <row r="1031">
      <c r="A1031">
        <f>IFERROR(__xludf.DUMMYFUNCTION("""COMPUTED_VALUE"""),1011748.0)</f>
        <v>1011748</v>
      </c>
      <c r="B1031" t="str">
        <f>IFERROR(__xludf.DUMMYFUNCTION("""COMPUTED_VALUE"""),"Ms.")</f>
        <v>Ms.</v>
      </c>
      <c r="C1031" t="str">
        <f>IFERROR(__xludf.DUMMYFUNCTION("""COMPUTED_VALUE"""),"Rattrawee")</f>
        <v>Rattrawee</v>
      </c>
      <c r="D1031" t="str">
        <f>IFERROR(__xludf.DUMMYFUNCTION("""COMPUTED_VALUE"""),"Jirawaree")</f>
        <v>Jirawaree</v>
      </c>
      <c r="E1031" t="str">
        <f>IFERROR(__xludf.DUMMYFUNCTION("""COMPUTED_VALUE"""),"Rattrawee Jirawaree")</f>
        <v>Rattrawee Jirawaree</v>
      </c>
      <c r="F1031" t="str">
        <f>IFERROR(__xludf.DUMMYFUNCTION("""COMPUTED_VALUE"""),"นางสาว")</f>
        <v>นางสาว</v>
      </c>
      <c r="G1031" t="str">
        <f>IFERROR(__xludf.DUMMYFUNCTION("""COMPUTED_VALUE"""),"รัตติ์รวี")</f>
        <v>รัตติ์รวี</v>
      </c>
      <c r="H1031" t="str">
        <f>IFERROR(__xludf.DUMMYFUNCTION("""COMPUTED_VALUE"""),"จิระวารี")</f>
        <v>จิระวารี</v>
      </c>
      <c r="I1031" t="str">
        <f>IFERROR(__xludf.DUMMYFUNCTION("""COMPUTED_VALUE"""),"รัตติ์รวี จิระวารี")</f>
        <v>รัตติ์รวี จิระวารี</v>
      </c>
      <c r="J1031" t="str">
        <f>IFERROR(__xludf.DUMMYFUNCTION("""COMPUTED_VALUE"""),"Prem Mee / เปรมหมี")</f>
        <v>Prem Mee / เปรมหมี</v>
      </c>
      <c r="K1031" t="str">
        <f>IFERROR(__xludf.DUMMYFUNCTION("""COMPUTED_VALUE"""),"Cabin Crew")</f>
        <v>Cabin Crew</v>
      </c>
      <c r="L1031" t="str">
        <f>IFERROR(__xludf.DUMMYFUNCTION("""COMPUTED_VALUE"""),"DMK")</f>
        <v>DMK</v>
      </c>
      <c r="M1031" s="145" t="str">
        <f>IFERROR(__xludf.DUMMYFUNCTION("""COMPUTED_VALUE"""),"Nhui Home")</f>
        <v>Nhui Home</v>
      </c>
      <c r="N1031" t="str">
        <f>IFERROR(__xludf.DUMMYFUNCTION("""COMPUTED_VALUE"""),"Active")</f>
        <v>Active</v>
      </c>
      <c r="O1031" t="str">
        <f>IFERROR(__xludf.DUMMYFUNCTION("""COMPUTED_VALUE"""),"Japanese Speaking")</f>
        <v>Japanese Speaking</v>
      </c>
      <c r="P1031" s="159">
        <f>IFERROR(__xludf.DUMMYFUNCTION("""COMPUTED_VALUE"""),31802.0)</f>
        <v>31802</v>
      </c>
      <c r="Q1031" s="146" t="str">
        <f>IFERROR(__xludf.DUMMYFUNCTION("""COMPUTED_VALUE"""),"086-540-9678")</f>
        <v>086-540-9678</v>
      </c>
      <c r="R1031" s="147">
        <f>IFERROR(__xludf.DUMMYFUNCTION("""COMPUTED_VALUE"""),1.101400904771E12)</f>
        <v>1101400904771</v>
      </c>
      <c r="S1031" t="str">
        <f>IFERROR(__xludf.DUMMYFUNCTION("""COMPUTED_VALUE"""),"AD1843019")</f>
        <v>AD1843019</v>
      </c>
      <c r="T1031" s="148">
        <f>IFERROR(__xludf.DUMMYFUNCTION("""COMPUTED_VALUE"""),45471.0)</f>
        <v>45471</v>
      </c>
      <c r="U1031" s="148">
        <f>IFERROR(__xludf.DUMMYFUNCTION("""COMPUTED_VALUE"""),49122.0)</f>
        <v>49122</v>
      </c>
      <c r="V1031" s="149">
        <f>IFERROR(__xludf.DUMMYFUNCTION("""COMPUTED_VALUE"""),48940.0)</f>
        <v>48940</v>
      </c>
      <c r="W1031" t="str">
        <f>IFERROR(__xludf.DUMMYFUNCTION("""COMPUTED_VALUE"""),"ปลอดภัย")</f>
        <v>ปลอดภัย</v>
      </c>
      <c r="X1031" s="160" t="str">
        <f>IFERROR(__xludf.DUMMYFUNCTION("""COMPUTED_VALUE"""),"Bangkok")</f>
        <v>Bangkok</v>
      </c>
      <c r="Y1031" t="str">
        <f>IFERROR(__xludf.DUMMYFUNCTION("""COMPUTED_VALUE"""),"Bangkok")</f>
        <v>Bangkok</v>
      </c>
      <c r="Z1031" s="145" t="str">
        <f>IFERROR(__xludf.DUMMYFUNCTION("""COMPUTED_VALUE"""),"062-245-2455")</f>
        <v>062-245-2455</v>
      </c>
      <c r="AA1031" t="str">
        <f>IFERROR(__xludf.DUMMYFUNCTION("""COMPUTED_VALUE"""),"นายพิศรพล ธนศาศวัต Friend")</f>
        <v>นายพิศรพล ธนศาศวัต Friend</v>
      </c>
      <c r="AB1031" t="str">
        <f>IFERROR(__xludf.DUMMYFUNCTION("""COMPUTED_VALUE"""),"rattraweej@airasia.com")</f>
        <v>rattraweej@airasia.com</v>
      </c>
    </row>
    <row r="1032">
      <c r="A1032">
        <f>IFERROR(__xludf.DUMMYFUNCTION("""COMPUTED_VALUE"""),1010805.0)</f>
        <v>1010805</v>
      </c>
      <c r="B1032" t="str">
        <f>IFERROR(__xludf.DUMMYFUNCTION("""COMPUTED_VALUE"""),"Ms.")</f>
        <v>Ms.</v>
      </c>
      <c r="C1032" t="str">
        <f>IFERROR(__xludf.DUMMYFUNCTION("""COMPUTED_VALUE"""),"Tipparada")</f>
        <v>Tipparada</v>
      </c>
      <c r="D1032" t="str">
        <f>IFERROR(__xludf.DUMMYFUNCTION("""COMPUTED_VALUE"""),"Chiewsamran")</f>
        <v>Chiewsamran</v>
      </c>
      <c r="E1032" t="str">
        <f>IFERROR(__xludf.DUMMYFUNCTION("""COMPUTED_VALUE"""),"Tipparada Chiewsamran")</f>
        <v>Tipparada Chiewsamran</v>
      </c>
      <c r="F1032" t="str">
        <f>IFERROR(__xludf.DUMMYFUNCTION("""COMPUTED_VALUE"""),"นางสาว")</f>
        <v>นางสาว</v>
      </c>
      <c r="G1032" t="str">
        <f>IFERROR(__xludf.DUMMYFUNCTION("""COMPUTED_VALUE"""),"ทิพรดา")</f>
        <v>ทิพรดา</v>
      </c>
      <c r="H1032" t="str">
        <f>IFERROR(__xludf.DUMMYFUNCTION("""COMPUTED_VALUE"""),"เชี่ยวสำราญ")</f>
        <v>เชี่ยวสำราญ</v>
      </c>
      <c r="I1032" t="str">
        <f>IFERROR(__xludf.DUMMYFUNCTION("""COMPUTED_VALUE"""),"ทิพรดา เชี่ยวสำราญ")</f>
        <v>ทิพรดา เชี่ยวสำราญ</v>
      </c>
      <c r="J1032" s="160" t="str">
        <f>IFERROR(__xludf.DUMMYFUNCTION("""COMPUTED_VALUE"""),"Mameaw / ม่าเหมี่ยว")</f>
        <v>Mameaw / ม่าเหมี่ยว</v>
      </c>
      <c r="K1032" t="str">
        <f>IFERROR(__xludf.DUMMYFUNCTION("""COMPUTED_VALUE"""),"Cabin Crew")</f>
        <v>Cabin Crew</v>
      </c>
      <c r="L1032" t="str">
        <f>IFERROR(__xludf.DUMMYFUNCTION("""COMPUTED_VALUE"""),"DMK")</f>
        <v>DMK</v>
      </c>
      <c r="M1032" s="145" t="str">
        <f>IFERROR(__xludf.DUMMYFUNCTION("""COMPUTED_VALUE"""),"Nhui Home")</f>
        <v>Nhui Home</v>
      </c>
      <c r="N1032" t="str">
        <f>IFERROR(__xludf.DUMMYFUNCTION("""COMPUTED_VALUE"""),"Active")</f>
        <v>Active</v>
      </c>
      <c r="P1032" s="159">
        <f>IFERROR(__xludf.DUMMYFUNCTION("""COMPUTED_VALUE"""),33083.0)</f>
        <v>33083</v>
      </c>
      <c r="Q1032" s="146">
        <f>IFERROR(__xludf.DUMMYFUNCTION("""COMPUTED_VALUE"""),8.04509005E8)</f>
        <v>804509005</v>
      </c>
      <c r="R1032" s="147">
        <f>IFERROR(__xludf.DUMMYFUNCTION("""COMPUTED_VALUE"""),1.10370021321E12)</f>
        <v>1103700213210</v>
      </c>
      <c r="S1032" t="str">
        <f>IFERROR(__xludf.DUMMYFUNCTION("""COMPUTED_VALUE"""),"AD0177782")</f>
        <v>AD0177782</v>
      </c>
      <c r="T1032" s="148">
        <f>IFERROR(__xludf.DUMMYFUNCTION("""COMPUTED_VALUE"""),44861.0)</f>
        <v>44861</v>
      </c>
      <c r="U1032" s="148">
        <f>IFERROR(__xludf.DUMMYFUNCTION("""COMPUTED_VALUE"""),48513.0)</f>
        <v>48513</v>
      </c>
      <c r="V1032" s="149">
        <f>IFERROR(__xludf.DUMMYFUNCTION("""COMPUTED_VALUE"""),48330.0)</f>
        <v>48330</v>
      </c>
      <c r="W1032" t="str">
        <f>IFERROR(__xludf.DUMMYFUNCTION("""COMPUTED_VALUE"""),"ปลอดภัย")</f>
        <v>ปลอดภัย</v>
      </c>
      <c r="X1032" t="str">
        <f>IFERROR(__xludf.DUMMYFUNCTION("""COMPUTED_VALUE"""),"Bangkok")</f>
        <v>Bangkok</v>
      </c>
      <c r="Y1032" t="str">
        <f>IFERROR(__xludf.DUMMYFUNCTION("""COMPUTED_VALUE"""),"Bangkok")</f>
        <v>Bangkok</v>
      </c>
      <c r="Z1032" s="145" t="str">
        <f>IFERROR(__xludf.DUMMYFUNCTION("""COMPUTED_VALUE"""),"0922507790")</f>
        <v>0922507790</v>
      </c>
      <c r="AA1032" t="str">
        <f>IFERROR(__xludf.DUMMYFUNCTION("""COMPUTED_VALUE"""),"นางรดา สมบัติศิริ Mother")</f>
        <v>นางรดา สมบัติศิริ Mother</v>
      </c>
      <c r="AB1032" t="str">
        <f>IFERROR(__xludf.DUMMYFUNCTION("""COMPUTED_VALUE"""),"tipparadac@airasia.com")</f>
        <v>tipparadac@airasia.com</v>
      </c>
    </row>
    <row r="1033">
      <c r="A1033">
        <f>IFERROR(__xludf.DUMMYFUNCTION("""COMPUTED_VALUE"""),1012193.0)</f>
        <v>1012193</v>
      </c>
      <c r="B1033" t="str">
        <f>IFERROR(__xludf.DUMMYFUNCTION("""COMPUTED_VALUE"""),"Mr.")</f>
        <v>Mr.</v>
      </c>
      <c r="C1033" t="str">
        <f>IFERROR(__xludf.DUMMYFUNCTION("""COMPUTED_VALUE"""),"Phoemsakun")</f>
        <v>Phoemsakun</v>
      </c>
      <c r="D1033" t="str">
        <f>IFERROR(__xludf.DUMMYFUNCTION("""COMPUTED_VALUE"""),"Phongpradist")</f>
        <v>Phongpradist</v>
      </c>
      <c r="E1033" t="str">
        <f>IFERROR(__xludf.DUMMYFUNCTION("""COMPUTED_VALUE"""),"Phoemsakun Phongpradist")</f>
        <v>Phoemsakun Phongpradist</v>
      </c>
      <c r="F1033" t="str">
        <f>IFERROR(__xludf.DUMMYFUNCTION("""COMPUTED_VALUE"""),"นาย")</f>
        <v>นาย</v>
      </c>
      <c r="G1033" t="str">
        <f>IFERROR(__xludf.DUMMYFUNCTION("""COMPUTED_VALUE"""),"เพิ่มสกุล")</f>
        <v>เพิ่มสกุล</v>
      </c>
      <c r="H1033" t="str">
        <f>IFERROR(__xludf.DUMMYFUNCTION("""COMPUTED_VALUE"""),"พงษ์ประดิษฐ")</f>
        <v>พงษ์ประดิษฐ</v>
      </c>
      <c r="I1033" t="str">
        <f>IFERROR(__xludf.DUMMYFUNCTION("""COMPUTED_VALUE"""),"เพิ่มสกุล พงษ์ประดิษฐ")</f>
        <v>เพิ่มสกุล พงษ์ประดิษฐ</v>
      </c>
      <c r="J1033" t="str">
        <f>IFERROR(__xludf.DUMMYFUNCTION("""COMPUTED_VALUE"""),"พี")</f>
        <v>พี</v>
      </c>
      <c r="K1033" t="str">
        <f>IFERROR(__xludf.DUMMYFUNCTION("""COMPUTED_VALUE"""),"Cabin Crew")</f>
        <v>Cabin Crew</v>
      </c>
      <c r="L1033" t="str">
        <f>IFERROR(__xludf.DUMMYFUNCTION("""COMPUTED_VALUE"""),"DMK")</f>
        <v>DMK</v>
      </c>
      <c r="M1033" s="145" t="str">
        <f>IFERROR(__xludf.DUMMYFUNCTION("""COMPUTED_VALUE"""),"Por+ Home")</f>
        <v>Por+ Home</v>
      </c>
      <c r="N1033" t="str">
        <f>IFERROR(__xludf.DUMMYFUNCTION("""COMPUTED_VALUE"""),"Active")</f>
        <v>Active</v>
      </c>
      <c r="P1033" s="159">
        <f>IFERROR(__xludf.DUMMYFUNCTION("""COMPUTED_VALUE"""),33493.0)</f>
        <v>33493</v>
      </c>
      <c r="Q1033" s="146">
        <f>IFERROR(__xludf.DUMMYFUNCTION("""COMPUTED_VALUE"""),8.23967746E8)</f>
        <v>823967746</v>
      </c>
      <c r="R1033" s="147">
        <f>IFERROR(__xludf.DUMMYFUNCTION("""COMPUTED_VALUE"""),1.60990018907E11)</f>
        <v>160990018907</v>
      </c>
      <c r="S1033" t="str">
        <f>IFERROR(__xludf.DUMMYFUNCTION("""COMPUTED_VALUE"""),"AC503790")</f>
        <v>AC503790</v>
      </c>
      <c r="T1033" s="148">
        <f>IFERROR(__xludf.DUMMYFUNCTION("""COMPUTED_VALUE"""),45072.0)</f>
        <v>45072</v>
      </c>
      <c r="U1033" s="148">
        <f>IFERROR(__xludf.DUMMYFUNCTION("""COMPUTED_VALUE"""),48724.0)</f>
        <v>48724</v>
      </c>
      <c r="V1033" s="149">
        <f>IFERROR(__xludf.DUMMYFUNCTION("""COMPUTED_VALUE"""),48543.0)</f>
        <v>48543</v>
      </c>
      <c r="W1033" t="str">
        <f>IFERROR(__xludf.DUMMYFUNCTION("""COMPUTED_VALUE"""),"ปลอดภัย")</f>
        <v>ปลอดภัย</v>
      </c>
      <c r="X1033" s="160" t="str">
        <f>IFERROR(__xludf.DUMMYFUNCTION("""COMPUTED_VALUE"""),"Nakhon Sawan Province")</f>
        <v>Nakhon Sawan Province</v>
      </c>
      <c r="Y1033" t="str">
        <f>IFERROR(__xludf.DUMMYFUNCTION("""COMPUTED_VALUE"""),"Bangkok")</f>
        <v>Bangkok</v>
      </c>
      <c r="Z1033" s="145" t="str">
        <f>IFERROR(__xludf.DUMMYFUNCTION("""COMPUTED_VALUE"""),"0863566676")</f>
        <v>0863566676</v>
      </c>
      <c r="AA1033" t="str">
        <f>IFERROR(__xludf.DUMMYFUNCTION("""COMPUTED_VALUE"""),"ชนิดา แซ่เฮ็ง Friend")</f>
        <v>ชนิดา แซ่เฮ็ง Friend</v>
      </c>
      <c r="AB1033" t="str">
        <f>IFERROR(__xludf.DUMMYFUNCTION("""COMPUTED_VALUE"""),"phoemsakunp@airasia.com")</f>
        <v>phoemsakunp@airasia.com</v>
      </c>
    </row>
    <row r="1034">
      <c r="A1034">
        <f>IFERROR(__xludf.DUMMYFUNCTION("""COMPUTED_VALUE"""),1039102.0)</f>
        <v>1039102</v>
      </c>
      <c r="B1034" t="str">
        <f>IFERROR(__xludf.DUMMYFUNCTION("""COMPUTED_VALUE"""),"Ms.")</f>
        <v>Ms.</v>
      </c>
      <c r="C1034" t="str">
        <f>IFERROR(__xludf.DUMMYFUNCTION("""COMPUTED_VALUE"""),"Raviphan")</f>
        <v>Raviphan</v>
      </c>
      <c r="D1034" t="str">
        <f>IFERROR(__xludf.DUMMYFUNCTION("""COMPUTED_VALUE"""),"Medej")</f>
        <v>Medej</v>
      </c>
      <c r="E1034" t="str">
        <f>IFERROR(__xludf.DUMMYFUNCTION("""COMPUTED_VALUE"""),"Raviphan Medej")</f>
        <v>Raviphan Medej</v>
      </c>
      <c r="F1034" t="str">
        <f>IFERROR(__xludf.DUMMYFUNCTION("""COMPUTED_VALUE"""),"นางสาว")</f>
        <v>นางสาว</v>
      </c>
      <c r="G1034" t="str">
        <f>IFERROR(__xludf.DUMMYFUNCTION("""COMPUTED_VALUE"""),"รวิภัน")</f>
        <v>รวิภัน</v>
      </c>
      <c r="H1034" t="str">
        <f>IFERROR(__xludf.DUMMYFUNCTION("""COMPUTED_VALUE"""),"มีเดช")</f>
        <v>มีเดช</v>
      </c>
      <c r="I1034" t="str">
        <f>IFERROR(__xludf.DUMMYFUNCTION("""COMPUTED_VALUE"""),"รวิภัน มีเดช")</f>
        <v>รวิภัน มีเดช</v>
      </c>
      <c r="J1034" s="160" t="str">
        <f>IFERROR(__xludf.DUMMYFUNCTION("""COMPUTED_VALUE"""),"แอร์")</f>
        <v>แอร์</v>
      </c>
      <c r="K1034" t="str">
        <f>IFERROR(__xludf.DUMMYFUNCTION("""COMPUTED_VALUE"""),"Cabin Crew")</f>
        <v>Cabin Crew</v>
      </c>
      <c r="L1034" t="str">
        <f>IFERROR(__xludf.DUMMYFUNCTION("""COMPUTED_VALUE"""),"DMK")</f>
        <v>DMK</v>
      </c>
      <c r="M1034" s="145" t="str">
        <f>IFERROR(__xludf.DUMMYFUNCTION("""COMPUTED_VALUE"""),"Toffy Home")</f>
        <v>Toffy Home</v>
      </c>
      <c r="N1034" t="str">
        <f>IFERROR(__xludf.DUMMYFUNCTION("""COMPUTED_VALUE"""),"Active")</f>
        <v>Active</v>
      </c>
      <c r="P1034" s="159">
        <f>IFERROR(__xludf.DUMMYFUNCTION("""COMPUTED_VALUE"""),34850.0)</f>
        <v>34850</v>
      </c>
      <c r="Q1034" s="146">
        <f>IFERROR(__xludf.DUMMYFUNCTION("""COMPUTED_VALUE"""),9.59414159E8)</f>
        <v>959414159</v>
      </c>
      <c r="R1034" s="147">
        <f>IFERROR(__xludf.DUMMYFUNCTION("""COMPUTED_VALUE"""),1.103000077879E12)</f>
        <v>1103000077879</v>
      </c>
      <c r="S1034" t="str">
        <f>IFERROR(__xludf.DUMMYFUNCTION("""COMPUTED_VALUE"""),"AD1050660")</f>
        <v>AD1050660</v>
      </c>
      <c r="T1034" s="148">
        <f>IFERROR(__xludf.DUMMYFUNCTION("""COMPUTED_VALUE"""),45055.0)</f>
        <v>45055</v>
      </c>
      <c r="U1034" s="148">
        <f>IFERROR(__xludf.DUMMYFUNCTION("""COMPUTED_VALUE"""),48707.0)</f>
        <v>48707</v>
      </c>
      <c r="V1034" s="149">
        <f>IFERROR(__xludf.DUMMYFUNCTION("""COMPUTED_VALUE"""),48526.0)</f>
        <v>48526</v>
      </c>
      <c r="W1034" t="str">
        <f>IFERROR(__xludf.DUMMYFUNCTION("""COMPUTED_VALUE"""),"ปลอดภัย")</f>
        <v>ปลอดภัย</v>
      </c>
      <c r="X1034" s="160" t="str">
        <f>IFERROR(__xludf.DUMMYFUNCTION("""COMPUTED_VALUE"""),"Bangkok")</f>
        <v>Bangkok</v>
      </c>
      <c r="Y1034" t="str">
        <f>IFERROR(__xludf.DUMMYFUNCTION("""COMPUTED_VALUE"""),"Bangkok")</f>
        <v>Bangkok</v>
      </c>
      <c r="Z1034" s="145" t="str">
        <f>IFERROR(__xludf.DUMMYFUNCTION("""COMPUTED_VALUE"""),"0818477232")</f>
        <v>0818477232</v>
      </c>
      <c r="AA1034" t="str">
        <f>IFERROR(__xludf.DUMMYFUNCTION("""COMPUTED_VALUE"""),"นางฐณิกาญ มีเดช Mother")</f>
        <v>นางฐณิกาญ มีเดช Mother</v>
      </c>
      <c r="AB1034" t="str">
        <f>IFERROR(__xludf.DUMMYFUNCTION("""COMPUTED_VALUE"""),"raviphanmedej@airasia.com")</f>
        <v>raviphanmedej@airasia.com</v>
      </c>
    </row>
    <row r="1035">
      <c r="A1035">
        <f>IFERROR(__xludf.DUMMYFUNCTION("""COMPUTED_VALUE"""),1039103.0)</f>
        <v>1039103</v>
      </c>
      <c r="B1035" t="str">
        <f>IFERROR(__xludf.DUMMYFUNCTION("""COMPUTED_VALUE"""),"Mr.")</f>
        <v>Mr.</v>
      </c>
      <c r="C1035" t="str">
        <f>IFERROR(__xludf.DUMMYFUNCTION("""COMPUTED_VALUE"""),"Thaweechai")</f>
        <v>Thaweechai</v>
      </c>
      <c r="D1035" t="str">
        <f>IFERROR(__xludf.DUMMYFUNCTION("""COMPUTED_VALUE"""),"Pruthisart")</f>
        <v>Pruthisart</v>
      </c>
      <c r="E1035" t="str">
        <f>IFERROR(__xludf.DUMMYFUNCTION("""COMPUTED_VALUE"""),"Thaweechai Pruthisart")</f>
        <v>Thaweechai Pruthisart</v>
      </c>
      <c r="F1035" t="str">
        <f>IFERROR(__xludf.DUMMYFUNCTION("""COMPUTED_VALUE"""),"นาย")</f>
        <v>นาย</v>
      </c>
      <c r="G1035" t="str">
        <f>IFERROR(__xludf.DUMMYFUNCTION("""COMPUTED_VALUE"""),"ทวีชัย")</f>
        <v>ทวีชัย</v>
      </c>
      <c r="H1035" t="str">
        <f>IFERROR(__xludf.DUMMYFUNCTION("""COMPUTED_VALUE"""),"พฤฒิศาสตร์")</f>
        <v>พฤฒิศาสตร์</v>
      </c>
      <c r="I1035" t="str">
        <f>IFERROR(__xludf.DUMMYFUNCTION("""COMPUTED_VALUE"""),"ทวีชัย พฤฒิศาสตร์")</f>
        <v>ทวีชัย พฤฒิศาสตร์</v>
      </c>
      <c r="J1035" t="str">
        <f>IFERROR(__xludf.DUMMYFUNCTION("""COMPUTED_VALUE"""),"Toto / โตโต้")</f>
        <v>Toto / โตโต้</v>
      </c>
      <c r="K1035" t="str">
        <f>IFERROR(__xludf.DUMMYFUNCTION("""COMPUTED_VALUE"""),"Cabin Crew")</f>
        <v>Cabin Crew</v>
      </c>
      <c r="L1035" t="str">
        <f>IFERROR(__xludf.DUMMYFUNCTION("""COMPUTED_VALUE"""),"DMK")</f>
        <v>DMK</v>
      </c>
      <c r="M1035" s="145" t="str">
        <f>IFERROR(__xludf.DUMMYFUNCTION("""COMPUTED_VALUE"""),"Por+ Home")</f>
        <v>Por+ Home</v>
      </c>
      <c r="N1035" t="str">
        <f>IFERROR(__xludf.DUMMYFUNCTION("""COMPUTED_VALUE"""),"Active")</f>
        <v>Active</v>
      </c>
      <c r="P1035" s="159">
        <f>IFERROR(__xludf.DUMMYFUNCTION("""COMPUTED_VALUE"""),34944.0)</f>
        <v>34944</v>
      </c>
      <c r="Q1035" s="146">
        <f>IFERROR(__xludf.DUMMYFUNCTION("""COMPUTED_VALUE"""),9.0990952E8)</f>
        <v>909909520</v>
      </c>
      <c r="R1035" s="147">
        <f>IFERROR(__xludf.DUMMYFUNCTION("""COMPUTED_VALUE"""),1.100801041322E12)</f>
        <v>1100801041322</v>
      </c>
      <c r="S1035" t="str">
        <f>IFERROR(__xludf.DUMMYFUNCTION("""COMPUTED_VALUE"""),"AC4958621")</f>
        <v>AC4958621</v>
      </c>
      <c r="T1035" s="148">
        <f>IFERROR(__xludf.DUMMYFUNCTION("""COMPUTED_VALUE"""),45068.0)</f>
        <v>45068</v>
      </c>
      <c r="U1035" s="148">
        <f>IFERROR(__xludf.DUMMYFUNCTION("""COMPUTED_VALUE"""),48720.0)</f>
        <v>48720</v>
      </c>
      <c r="V1035" s="149">
        <f>IFERROR(__xludf.DUMMYFUNCTION("""COMPUTED_VALUE"""),48539.0)</f>
        <v>48539</v>
      </c>
      <c r="W1035" t="str">
        <f>IFERROR(__xludf.DUMMYFUNCTION("""COMPUTED_VALUE"""),"ปลอดภัย")</f>
        <v>ปลอดภัย</v>
      </c>
      <c r="X1035" s="160" t="str">
        <f>IFERROR(__xludf.DUMMYFUNCTION("""COMPUTED_VALUE"""),"Bangkok")</f>
        <v>Bangkok</v>
      </c>
      <c r="Y1035" t="str">
        <f>IFERROR(__xludf.DUMMYFUNCTION("""COMPUTED_VALUE"""),"Bangkok")</f>
        <v>Bangkok</v>
      </c>
      <c r="Z1035" s="145" t="str">
        <f>IFERROR(__xludf.DUMMYFUNCTION("""COMPUTED_VALUE"""),"0819449345")</f>
        <v>0819449345</v>
      </c>
      <c r="AA1035" t="str">
        <f>IFERROR(__xludf.DUMMYFUNCTION("""COMPUTED_VALUE"""),"สมใจ เมธานพคุณ Mother")</f>
        <v>สมใจ เมธานพคุณ Mother</v>
      </c>
      <c r="AB1035" t="str">
        <f>IFERROR(__xludf.DUMMYFUNCTION("""COMPUTED_VALUE"""),"thaweechaipruthisart@airasia.com")</f>
        <v>thaweechaipruthisart@airasia.com</v>
      </c>
    </row>
    <row r="1036">
      <c r="A1036">
        <f>IFERROR(__xludf.DUMMYFUNCTION("""COMPUTED_VALUE"""),1039129.0)</f>
        <v>1039129</v>
      </c>
      <c r="B1036" t="str">
        <f>IFERROR(__xludf.DUMMYFUNCTION("""COMPUTED_VALUE"""),"Ms.")</f>
        <v>Ms.</v>
      </c>
      <c r="C1036" t="str">
        <f>IFERROR(__xludf.DUMMYFUNCTION("""COMPUTED_VALUE"""),"Thitikan")</f>
        <v>Thitikan</v>
      </c>
      <c r="D1036" t="str">
        <f>IFERROR(__xludf.DUMMYFUNCTION("""COMPUTED_VALUE"""),"Bubphachuen")</f>
        <v>Bubphachuen</v>
      </c>
      <c r="E1036" t="str">
        <f>IFERROR(__xludf.DUMMYFUNCTION("""COMPUTED_VALUE"""),"Thitikan Bubphachuen")</f>
        <v>Thitikan Bubphachuen</v>
      </c>
      <c r="F1036" t="str">
        <f>IFERROR(__xludf.DUMMYFUNCTION("""COMPUTED_VALUE"""),"นางสาว")</f>
        <v>นางสาว</v>
      </c>
      <c r="G1036" t="str">
        <f>IFERROR(__xludf.DUMMYFUNCTION("""COMPUTED_VALUE"""),"ฐิติกานต์")</f>
        <v>ฐิติกานต์</v>
      </c>
      <c r="H1036" t="str">
        <f>IFERROR(__xludf.DUMMYFUNCTION("""COMPUTED_VALUE"""),"บุบผาชื่น")</f>
        <v>บุบผาชื่น</v>
      </c>
      <c r="I1036" t="str">
        <f>IFERROR(__xludf.DUMMYFUNCTION("""COMPUTED_VALUE"""),"ฐิติกานต์ บุบผาชื่น")</f>
        <v>ฐิติกานต์ บุบผาชื่น</v>
      </c>
      <c r="J1036" s="160" t="str">
        <f>IFERROR(__xludf.DUMMYFUNCTION("""COMPUTED_VALUE"""),"ฟักแฟง")</f>
        <v>ฟักแฟง</v>
      </c>
      <c r="K1036" t="str">
        <f>IFERROR(__xludf.DUMMYFUNCTION("""COMPUTED_VALUE"""),"Cabin Crew")</f>
        <v>Cabin Crew</v>
      </c>
      <c r="L1036" t="str">
        <f>IFERROR(__xludf.DUMMYFUNCTION("""COMPUTED_VALUE"""),"DMK")</f>
        <v>DMK</v>
      </c>
      <c r="M1036" s="145" t="str">
        <f>IFERROR(__xludf.DUMMYFUNCTION("""COMPUTED_VALUE"""),"Namfon Home")</f>
        <v>Namfon Home</v>
      </c>
      <c r="N1036" t="str">
        <f>IFERROR(__xludf.DUMMYFUNCTION("""COMPUTED_VALUE"""),"Active")</f>
        <v>Active</v>
      </c>
      <c r="P1036" s="159">
        <f>IFERROR(__xludf.DUMMYFUNCTION("""COMPUTED_VALUE"""),33688.0)</f>
        <v>33688</v>
      </c>
      <c r="Q1036" s="146" t="str">
        <f>IFERROR(__xludf.DUMMYFUNCTION("""COMPUTED_VALUE"""),"082-632-3599")</f>
        <v>082-632-3599</v>
      </c>
      <c r="R1036" s="147">
        <f>IFERROR(__xludf.DUMMYFUNCTION("""COMPUTED_VALUE"""),1.579900416078E12)</f>
        <v>1579900416078</v>
      </c>
      <c r="S1036" t="str">
        <f>IFERROR(__xludf.DUMMYFUNCTION("""COMPUTED_VALUE"""),"AC5035586")</f>
        <v>AC5035586</v>
      </c>
      <c r="T1036" s="148">
        <f>IFERROR(__xludf.DUMMYFUNCTION("""COMPUTED_VALUE"""),45072.0)</f>
        <v>45072</v>
      </c>
      <c r="U1036" s="148">
        <f>IFERROR(__xludf.DUMMYFUNCTION("""COMPUTED_VALUE"""),46898.0)</f>
        <v>46898</v>
      </c>
      <c r="V1036" s="149">
        <f>IFERROR(__xludf.DUMMYFUNCTION("""COMPUTED_VALUE"""),46716.0)</f>
        <v>46716</v>
      </c>
      <c r="W1036" t="str">
        <f>IFERROR(__xludf.DUMMYFUNCTION("""COMPUTED_VALUE"""),"ปลอดภัย")</f>
        <v>ปลอดภัย</v>
      </c>
      <c r="X1036" s="160" t="str">
        <f>IFERROR(__xludf.DUMMYFUNCTION("""COMPUTED_VALUE"""),"Chiang Rai Province")</f>
        <v>Chiang Rai Province</v>
      </c>
      <c r="Y1036" t="str">
        <f>IFERROR(__xludf.DUMMYFUNCTION("""COMPUTED_VALUE"""),"Bangkok")</f>
        <v>Bangkok</v>
      </c>
      <c r="Z1036" s="145" t="str">
        <f>IFERROR(__xludf.DUMMYFUNCTION("""COMPUTED_VALUE"""),"084-809-8749")</f>
        <v>084-809-8749</v>
      </c>
      <c r="AA1036" t="str">
        <f>IFERROR(__xludf.DUMMYFUNCTION("""COMPUTED_VALUE"""),"นายสงวนศักดิ์ บุบผาชื่น Father")</f>
        <v>นายสงวนศักดิ์ บุบผาชื่น Father</v>
      </c>
      <c r="AB1036" t="str">
        <f>IFERROR(__xludf.DUMMYFUNCTION("""COMPUTED_VALUE"""),"thitikanbubphachuen@airasia.com")</f>
        <v>thitikanbubphachuen@airasia.com</v>
      </c>
    </row>
    <row r="1037">
      <c r="A1037">
        <f>IFERROR(__xludf.DUMMYFUNCTION("""COMPUTED_VALUE"""),1039104.0)</f>
        <v>1039104</v>
      </c>
      <c r="B1037" t="str">
        <f>IFERROR(__xludf.DUMMYFUNCTION("""COMPUTED_VALUE"""),"Ms.")</f>
        <v>Ms.</v>
      </c>
      <c r="C1037" t="str">
        <f>IFERROR(__xludf.DUMMYFUNCTION("""COMPUTED_VALUE"""),"Dusitta")</f>
        <v>Dusitta</v>
      </c>
      <c r="D1037" t="str">
        <f>IFERROR(__xludf.DUMMYFUNCTION("""COMPUTED_VALUE"""),"Porananon")</f>
        <v>Porananon</v>
      </c>
      <c r="E1037" t="str">
        <f>IFERROR(__xludf.DUMMYFUNCTION("""COMPUTED_VALUE"""),"Dusitta Porananon")</f>
        <v>Dusitta Porananon</v>
      </c>
      <c r="F1037" t="str">
        <f>IFERROR(__xludf.DUMMYFUNCTION("""COMPUTED_VALUE"""),"นางสาว")</f>
        <v>นางสาว</v>
      </c>
      <c r="G1037" t="str">
        <f>IFERROR(__xludf.DUMMYFUNCTION("""COMPUTED_VALUE"""),"ดุสิตตา")</f>
        <v>ดุสิตตา</v>
      </c>
      <c r="H1037" t="str">
        <f>IFERROR(__xludf.DUMMYFUNCTION("""COMPUTED_VALUE"""),"โปราณานนท์")</f>
        <v>โปราณานนท์</v>
      </c>
      <c r="I1037" t="str">
        <f>IFERROR(__xludf.DUMMYFUNCTION("""COMPUTED_VALUE"""),"ดุสิตตา โปราณานนท์")</f>
        <v>ดุสิตตา โปราณานนท์</v>
      </c>
      <c r="J1037" s="160" t="str">
        <f>IFERROR(__xludf.DUMMYFUNCTION("""COMPUTED_VALUE"""),"แพท")</f>
        <v>แพท</v>
      </c>
      <c r="K1037" t="str">
        <f>IFERROR(__xludf.DUMMYFUNCTION("""COMPUTED_VALUE"""),"Cabin Crew")</f>
        <v>Cabin Crew</v>
      </c>
      <c r="L1037" t="str">
        <f>IFERROR(__xludf.DUMMYFUNCTION("""COMPUTED_VALUE"""),"DMK")</f>
        <v>DMK</v>
      </c>
      <c r="M1037" s="145" t="str">
        <f>IFERROR(__xludf.DUMMYFUNCTION("""COMPUTED_VALUE"""),"Por+ Home")</f>
        <v>Por+ Home</v>
      </c>
      <c r="N1037" t="str">
        <f>IFERROR(__xludf.DUMMYFUNCTION("""COMPUTED_VALUE"""),"Active")</f>
        <v>Active</v>
      </c>
      <c r="P1037" s="159">
        <f>IFERROR(__xludf.DUMMYFUNCTION("""COMPUTED_VALUE"""),33568.0)</f>
        <v>33568</v>
      </c>
      <c r="Q1037" s="146">
        <f>IFERROR(__xludf.DUMMYFUNCTION("""COMPUTED_VALUE"""),8.69927144E8)</f>
        <v>869927144</v>
      </c>
      <c r="R1037" s="147">
        <f>IFERROR(__xludf.DUMMYFUNCTION("""COMPUTED_VALUE"""),1.102200089594E12)</f>
        <v>1102200089594</v>
      </c>
      <c r="S1037" t="str">
        <f>IFERROR(__xludf.DUMMYFUNCTION("""COMPUTED_VALUE"""),"AC5191678")</f>
        <v>AC5191678</v>
      </c>
      <c r="T1037" s="148">
        <f>IFERROR(__xludf.DUMMYFUNCTION("""COMPUTED_VALUE"""),45317.0)</f>
        <v>45317</v>
      </c>
      <c r="U1037" s="148">
        <f>IFERROR(__xludf.DUMMYFUNCTION("""COMPUTED_VALUE"""),48969.0)</f>
        <v>48969</v>
      </c>
      <c r="V1037" s="149">
        <f>IFERROR(__xludf.DUMMYFUNCTION("""COMPUTED_VALUE"""),48785.0)</f>
        <v>48785</v>
      </c>
      <c r="W1037" t="str">
        <f>IFERROR(__xludf.DUMMYFUNCTION("""COMPUTED_VALUE"""),"ปลอดภัย")</f>
        <v>ปลอดภัย</v>
      </c>
      <c r="X1037" s="160" t="str">
        <f>IFERROR(__xludf.DUMMYFUNCTION("""COMPUTED_VALUE"""),"Bangkok")</f>
        <v>Bangkok</v>
      </c>
      <c r="Y1037" t="str">
        <f>IFERROR(__xludf.DUMMYFUNCTION("""COMPUTED_VALUE"""),"Bangkok")</f>
        <v>Bangkok</v>
      </c>
      <c r="Z1037" s="145" t="str">
        <f>IFERROR(__xludf.DUMMYFUNCTION("""COMPUTED_VALUE"""),"092-280-3415")</f>
        <v>092-280-3415</v>
      </c>
      <c r="AA1037" t="str">
        <f>IFERROR(__xludf.DUMMYFUNCTION("""COMPUTED_VALUE"""),"นางดารุณี โปราณานนท์ Mother")</f>
        <v>นางดารุณี โปราณานนท์ Mother</v>
      </c>
      <c r="AB1037" t="str">
        <f>IFERROR(__xludf.DUMMYFUNCTION("""COMPUTED_VALUE"""),"dusittaporananon@airasia.com")</f>
        <v>dusittaporananon@airasia.com</v>
      </c>
    </row>
    <row r="1038">
      <c r="A1038">
        <f>IFERROR(__xludf.DUMMYFUNCTION("""COMPUTED_VALUE"""),1039106.0)</f>
        <v>1039106</v>
      </c>
      <c r="B1038" t="str">
        <f>IFERROR(__xludf.DUMMYFUNCTION("""COMPUTED_VALUE"""),"Ms.")</f>
        <v>Ms.</v>
      </c>
      <c r="C1038" t="str">
        <f>IFERROR(__xludf.DUMMYFUNCTION("""COMPUTED_VALUE"""),"Thunyalak")</f>
        <v>Thunyalak</v>
      </c>
      <c r="D1038" t="str">
        <f>IFERROR(__xludf.DUMMYFUNCTION("""COMPUTED_VALUE"""),"Kaewchiangwang")</f>
        <v>Kaewchiangwang</v>
      </c>
      <c r="E1038" t="str">
        <f>IFERROR(__xludf.DUMMYFUNCTION("""COMPUTED_VALUE"""),"Thunyalak Kaewchiangwang")</f>
        <v>Thunyalak Kaewchiangwang</v>
      </c>
      <c r="F1038" t="str">
        <f>IFERROR(__xludf.DUMMYFUNCTION("""COMPUTED_VALUE"""),"นางสาว")</f>
        <v>นางสาว</v>
      </c>
      <c r="G1038" t="str">
        <f>IFERROR(__xludf.DUMMYFUNCTION("""COMPUTED_VALUE"""),"ธัญญลักษณ์")</f>
        <v>ธัญญลักษณ์</v>
      </c>
      <c r="H1038" t="str">
        <f>IFERROR(__xludf.DUMMYFUNCTION("""COMPUTED_VALUE"""),"แก้วเชียงหวาง")</f>
        <v>แก้วเชียงหวาง</v>
      </c>
      <c r="I1038" t="str">
        <f>IFERROR(__xludf.DUMMYFUNCTION("""COMPUTED_VALUE"""),"ธัญญลักษณ์ แก้วเชียงหวาง")</f>
        <v>ธัญญลักษณ์ แก้วเชียงหวาง</v>
      </c>
      <c r="J1038" s="160" t="str">
        <f>IFERROR(__xludf.DUMMYFUNCTION("""COMPUTED_VALUE"""),"Tog / ต๊อก")</f>
        <v>Tog / ต๊อก</v>
      </c>
      <c r="K1038" t="str">
        <f>IFERROR(__xludf.DUMMYFUNCTION("""COMPUTED_VALUE"""),"Cabin Crew")</f>
        <v>Cabin Crew</v>
      </c>
      <c r="L1038" t="str">
        <f>IFERROR(__xludf.DUMMYFUNCTION("""COMPUTED_VALUE"""),"DMK")</f>
        <v>DMK</v>
      </c>
      <c r="M1038" s="145" t="str">
        <f>IFERROR(__xludf.DUMMYFUNCTION("""COMPUTED_VALUE"""),"Nhui Home")</f>
        <v>Nhui Home</v>
      </c>
      <c r="N1038" t="str">
        <f>IFERROR(__xludf.DUMMYFUNCTION("""COMPUTED_VALUE"""),"Active")</f>
        <v>Active</v>
      </c>
      <c r="P1038" s="159">
        <f>IFERROR(__xludf.DUMMYFUNCTION("""COMPUTED_VALUE"""),33789.0)</f>
        <v>33789</v>
      </c>
      <c r="Q1038" s="146" t="str">
        <f>IFERROR(__xludf.DUMMYFUNCTION("""COMPUTED_VALUE"""),"091-987-9569")</f>
        <v>091-987-9569</v>
      </c>
      <c r="R1038" s="147">
        <f>IFERROR(__xludf.DUMMYFUNCTION("""COMPUTED_VALUE"""),1.419900329001E12)</f>
        <v>1419900329001</v>
      </c>
      <c r="S1038" t="str">
        <f>IFERROR(__xludf.DUMMYFUNCTION("""COMPUTED_VALUE"""),"AC7664566")</f>
        <v>AC7664566</v>
      </c>
      <c r="T1038" s="148">
        <f>IFERROR(__xludf.DUMMYFUNCTION("""COMPUTED_VALUE"""),45800.0)</f>
        <v>45800</v>
      </c>
      <c r="U1038" s="148">
        <f>IFERROR(__xludf.DUMMYFUNCTION("""COMPUTED_VALUE"""),49451.0)</f>
        <v>49451</v>
      </c>
      <c r="V1038" s="149">
        <f>IFERROR(__xludf.DUMMYFUNCTION("""COMPUTED_VALUE"""),49270.0)</f>
        <v>49270</v>
      </c>
      <c r="W1038" t="str">
        <f>IFERROR(__xludf.DUMMYFUNCTION("""COMPUTED_VALUE"""),"ปลอดภัย")</f>
        <v>ปลอดภัย</v>
      </c>
      <c r="X1038" t="str">
        <f>IFERROR(__xludf.DUMMYFUNCTION("""COMPUTED_VALUE"""),"Udon Thani Province")</f>
        <v>Udon Thani Province</v>
      </c>
      <c r="Y1038" t="str">
        <f>IFERROR(__xludf.DUMMYFUNCTION("""COMPUTED_VALUE"""),"udontani")</f>
        <v>udontani</v>
      </c>
      <c r="Z1038" s="145" t="str">
        <f>IFERROR(__xludf.DUMMYFUNCTION("""COMPUTED_VALUE"""),"0872221678")</f>
        <v>0872221678</v>
      </c>
      <c r="AA1038" t="str">
        <f>IFERROR(__xludf.DUMMYFUNCTION("""COMPUTED_VALUE"""),"นายค้าม แก้วเชียงหวาง Father")</f>
        <v>นายค้าม แก้วเชียงหวาง Father</v>
      </c>
      <c r="AB1038" t="str">
        <f>IFERROR(__xludf.DUMMYFUNCTION("""COMPUTED_VALUE"""),"thunyalakkaewchiang@airasia.com")</f>
        <v>thunyalakkaewchiang@airasia.com</v>
      </c>
    </row>
    <row r="1039">
      <c r="A1039">
        <f>IFERROR(__xludf.DUMMYFUNCTION("""COMPUTED_VALUE"""),1039105.0)</f>
        <v>1039105</v>
      </c>
      <c r="B1039" t="str">
        <f>IFERROR(__xludf.DUMMYFUNCTION("""COMPUTED_VALUE"""),"Ms.")</f>
        <v>Ms.</v>
      </c>
      <c r="C1039" t="str">
        <f>IFERROR(__xludf.DUMMYFUNCTION("""COMPUTED_VALUE"""),"Nutarika")</f>
        <v>Nutarika</v>
      </c>
      <c r="D1039" t="str">
        <f>IFERROR(__xludf.DUMMYFUNCTION("""COMPUTED_VALUE"""),"Muangpho")</f>
        <v>Muangpho</v>
      </c>
      <c r="E1039" t="str">
        <f>IFERROR(__xludf.DUMMYFUNCTION("""COMPUTED_VALUE"""),"Nutarika Muangpho")</f>
        <v>Nutarika Muangpho</v>
      </c>
      <c r="F1039" t="str">
        <f>IFERROR(__xludf.DUMMYFUNCTION("""COMPUTED_VALUE"""),"นางสาว")</f>
        <v>นางสาว</v>
      </c>
      <c r="G1039" t="str">
        <f>IFERROR(__xludf.DUMMYFUNCTION("""COMPUTED_VALUE"""),"ณัฐริกา")</f>
        <v>ณัฐริกา</v>
      </c>
      <c r="H1039" t="str">
        <f>IFERROR(__xludf.DUMMYFUNCTION("""COMPUTED_VALUE"""),"ม่วงโพธิ์")</f>
        <v>ม่วงโพธิ์</v>
      </c>
      <c r="I1039" t="str">
        <f>IFERROR(__xludf.DUMMYFUNCTION("""COMPUTED_VALUE"""),"ณัฐริกา ม่วงโพธิ์")</f>
        <v>ณัฐริกา ม่วงโพธิ์</v>
      </c>
      <c r="J1039" s="160" t="str">
        <f>IFERROR(__xludf.DUMMYFUNCTION("""COMPUTED_VALUE"""),"พลอย")</f>
        <v>พลอย</v>
      </c>
      <c r="K1039" t="str">
        <f>IFERROR(__xludf.DUMMYFUNCTION("""COMPUTED_VALUE"""),"Cabin Crew")</f>
        <v>Cabin Crew</v>
      </c>
      <c r="L1039" t="str">
        <f>IFERROR(__xludf.DUMMYFUNCTION("""COMPUTED_VALUE"""),"DMK")</f>
        <v>DMK</v>
      </c>
      <c r="M1039" s="145" t="str">
        <f>IFERROR(__xludf.DUMMYFUNCTION("""COMPUTED_VALUE"""),"Kor Home")</f>
        <v>Kor Home</v>
      </c>
      <c r="N1039" t="str">
        <f>IFERROR(__xludf.DUMMYFUNCTION("""COMPUTED_VALUE"""),"Active")</f>
        <v>Active</v>
      </c>
      <c r="P1039" s="159">
        <f>IFERROR(__xludf.DUMMYFUNCTION("""COMPUTED_VALUE"""),35026.0)</f>
        <v>35026</v>
      </c>
      <c r="Q1039" s="146" t="str">
        <f>IFERROR(__xludf.DUMMYFUNCTION("""COMPUTED_VALUE"""),"096-195-4422")</f>
        <v>096-195-4422</v>
      </c>
      <c r="R1039" s="147">
        <f>IFERROR(__xludf.DUMMYFUNCTION("""COMPUTED_VALUE"""),1.160100494568E12)</f>
        <v>1160100494568</v>
      </c>
      <c r="S1039" t="str">
        <f>IFERROR(__xludf.DUMMYFUNCTION("""COMPUTED_VALUE"""),"AD2888058")</f>
        <v>AD2888058</v>
      </c>
      <c r="T1039" s="148">
        <f>IFERROR(__xludf.DUMMYFUNCTION("""COMPUTED_VALUE"""),46065.0)</f>
        <v>46065</v>
      </c>
      <c r="U1039" s="148">
        <f>IFERROR(__xludf.DUMMYFUNCTION("""COMPUTED_VALUE"""),49716.0)</f>
        <v>49716</v>
      </c>
      <c r="V1039" s="149">
        <f>IFERROR(__xludf.DUMMYFUNCTION("""COMPUTED_VALUE"""),49532.0)</f>
        <v>49532</v>
      </c>
      <c r="W1039" t="str">
        <f>IFERROR(__xludf.DUMMYFUNCTION("""COMPUTED_VALUE"""),"ปลอดภัย")</f>
        <v>ปลอดภัย</v>
      </c>
      <c r="X1039" s="160" t="str">
        <f>IFERROR(__xludf.DUMMYFUNCTION("""COMPUTED_VALUE"""),"Lopburi Province")</f>
        <v>Lopburi Province</v>
      </c>
      <c r="Y1039" t="str">
        <f>IFERROR(__xludf.DUMMYFUNCTION("""COMPUTED_VALUE"""),"Bangkok")</f>
        <v>Bangkok</v>
      </c>
      <c r="Z1039" s="145" t="str">
        <f>IFERROR(__xludf.DUMMYFUNCTION("""COMPUTED_VALUE"""),"081-704-2627")</f>
        <v>081-704-2627</v>
      </c>
      <c r="AA1039" t="str">
        <f>IFERROR(__xludf.DUMMYFUNCTION("""COMPUTED_VALUE"""),"นางศิรินาถ ม่วงโพธิ์  Mother")</f>
        <v>นางศิรินาถ ม่วงโพธิ์  Mother</v>
      </c>
      <c r="AB1039" t="str">
        <f>IFERROR(__xludf.DUMMYFUNCTION("""COMPUTED_VALUE"""),"nutarikamuangpho@airasia.com")</f>
        <v>nutarikamuangpho@airasia.com</v>
      </c>
    </row>
    <row r="1040">
      <c r="A1040">
        <f>IFERROR(__xludf.DUMMYFUNCTION("""COMPUTED_VALUE"""),1039107.0)</f>
        <v>1039107</v>
      </c>
      <c r="B1040" t="str">
        <f>IFERROR(__xludf.DUMMYFUNCTION("""COMPUTED_VALUE"""),"Ms.")</f>
        <v>Ms.</v>
      </c>
      <c r="C1040" t="str">
        <f>IFERROR(__xludf.DUMMYFUNCTION("""COMPUTED_VALUE"""),"Sirada")</f>
        <v>Sirada</v>
      </c>
      <c r="D1040" t="str">
        <f>IFERROR(__xludf.DUMMYFUNCTION("""COMPUTED_VALUE"""),"Taveekitrat")</f>
        <v>Taveekitrat</v>
      </c>
      <c r="E1040" t="str">
        <f>IFERROR(__xludf.DUMMYFUNCTION("""COMPUTED_VALUE"""),"Sirada Taveekitrat")</f>
        <v>Sirada Taveekitrat</v>
      </c>
      <c r="F1040" t="str">
        <f>IFERROR(__xludf.DUMMYFUNCTION("""COMPUTED_VALUE"""),"นางสาว")</f>
        <v>นางสาว</v>
      </c>
      <c r="G1040" t="str">
        <f>IFERROR(__xludf.DUMMYFUNCTION("""COMPUTED_VALUE"""),"ศิรดา")</f>
        <v>ศิรดา</v>
      </c>
      <c r="H1040" t="str">
        <f>IFERROR(__xludf.DUMMYFUNCTION("""COMPUTED_VALUE"""),"ทวีกิจรัตน์")</f>
        <v>ทวีกิจรัตน์</v>
      </c>
      <c r="I1040" t="str">
        <f>IFERROR(__xludf.DUMMYFUNCTION("""COMPUTED_VALUE"""),"ศิรดา ทวีกิจรัตน์")</f>
        <v>ศิรดา ทวีกิจรัตน์</v>
      </c>
      <c r="J1040" t="str">
        <f>IFERROR(__xludf.DUMMYFUNCTION("""COMPUTED_VALUE"""),"Cherry/เชอร์รี่")</f>
        <v>Cherry/เชอร์รี่</v>
      </c>
      <c r="K1040" t="str">
        <f>IFERROR(__xludf.DUMMYFUNCTION("""COMPUTED_VALUE"""),"Cabin Crew")</f>
        <v>Cabin Crew</v>
      </c>
      <c r="L1040" t="str">
        <f>IFERROR(__xludf.DUMMYFUNCTION("""COMPUTED_VALUE"""),"DMK")</f>
        <v>DMK</v>
      </c>
      <c r="M1040" s="145" t="str">
        <f>IFERROR(__xludf.DUMMYFUNCTION("""COMPUTED_VALUE"""),"Toffy Home")</f>
        <v>Toffy Home</v>
      </c>
      <c r="N1040" t="str">
        <f>IFERROR(__xludf.DUMMYFUNCTION("""COMPUTED_VALUE"""),"Active")</f>
        <v>Active</v>
      </c>
      <c r="P1040" s="159">
        <f>IFERROR(__xludf.DUMMYFUNCTION("""COMPUTED_VALUE"""),34034.0)</f>
        <v>34034</v>
      </c>
      <c r="Q1040" s="146">
        <f>IFERROR(__xludf.DUMMYFUNCTION("""COMPUTED_VALUE"""),9.82365563E8)</f>
        <v>982365563</v>
      </c>
      <c r="R1040" s="147">
        <f>IFERROR(__xludf.DUMMYFUNCTION("""COMPUTED_VALUE"""),1.101401975663E12)</f>
        <v>1101401975663</v>
      </c>
      <c r="S1040" t="str">
        <f>IFERROR(__xludf.DUMMYFUNCTION("""COMPUTED_VALUE"""),"AC4387582")</f>
        <v>AC4387582</v>
      </c>
      <c r="T1040" s="148">
        <f>IFERROR(__xludf.DUMMYFUNCTION("""COMPUTED_VALUE"""),44939.0)</f>
        <v>44939</v>
      </c>
      <c r="U1040" s="148">
        <f>IFERROR(__xludf.DUMMYFUNCTION("""COMPUTED_VALUE"""),48591.0)</f>
        <v>48591</v>
      </c>
      <c r="V1040" s="149">
        <f>IFERROR(__xludf.DUMMYFUNCTION("""COMPUTED_VALUE"""),48407.0)</f>
        <v>48407</v>
      </c>
      <c r="W1040" t="str">
        <f>IFERROR(__xludf.DUMMYFUNCTION("""COMPUTED_VALUE"""),"ปลอดภัย")</f>
        <v>ปลอดภัย</v>
      </c>
      <c r="X1040" t="str">
        <f>IFERROR(__xludf.DUMMYFUNCTION("""COMPUTED_VALUE"""),"Bangkok")</f>
        <v>Bangkok</v>
      </c>
      <c r="Y1040" t="str">
        <f>IFERROR(__xludf.DUMMYFUNCTION("""COMPUTED_VALUE"""),"Bangkok")</f>
        <v>Bangkok</v>
      </c>
      <c r="Z1040" s="145" t="str">
        <f>IFERROR(__xludf.DUMMYFUNCTION("""COMPUTED_VALUE"""),"0982929395")</f>
        <v>0982929395</v>
      </c>
      <c r="AA1040" t="str">
        <f>IFERROR(__xludf.DUMMYFUNCTION("""COMPUTED_VALUE"""),"เสาวลักษณ์ ทวีกิจรัตน์ Mother")</f>
        <v>เสาวลักษณ์ ทวีกิจรัตน์ Mother</v>
      </c>
      <c r="AB1040" t="str">
        <f>IFERROR(__xludf.DUMMYFUNCTION("""COMPUTED_VALUE"""),"siradataveekitrat@airasia.com")</f>
        <v>siradataveekitrat@airasia.com</v>
      </c>
    </row>
    <row r="1041">
      <c r="A1041">
        <f>IFERROR(__xludf.DUMMYFUNCTION("""COMPUTED_VALUE"""),1039130.0)</f>
        <v>1039130</v>
      </c>
      <c r="B1041" t="str">
        <f>IFERROR(__xludf.DUMMYFUNCTION("""COMPUTED_VALUE"""),"Ms.")</f>
        <v>Ms.</v>
      </c>
      <c r="C1041" t="str">
        <f>IFERROR(__xludf.DUMMYFUNCTION("""COMPUTED_VALUE"""),"Narisara")</f>
        <v>Narisara</v>
      </c>
      <c r="D1041" t="str">
        <f>IFERROR(__xludf.DUMMYFUNCTION("""COMPUTED_VALUE"""),"Phumsawarng")</f>
        <v>Phumsawarng</v>
      </c>
      <c r="E1041" t="str">
        <f>IFERROR(__xludf.DUMMYFUNCTION("""COMPUTED_VALUE"""),"Narisara Phumsawarng")</f>
        <v>Narisara Phumsawarng</v>
      </c>
      <c r="F1041" t="str">
        <f>IFERROR(__xludf.DUMMYFUNCTION("""COMPUTED_VALUE"""),"นางสาว")</f>
        <v>นางสาว</v>
      </c>
      <c r="G1041" t="str">
        <f>IFERROR(__xludf.DUMMYFUNCTION("""COMPUTED_VALUE"""),"นริศรา")</f>
        <v>นริศรา</v>
      </c>
      <c r="H1041" t="str">
        <f>IFERROR(__xludf.DUMMYFUNCTION("""COMPUTED_VALUE"""),"พุ่มสว่าง")</f>
        <v>พุ่มสว่าง</v>
      </c>
      <c r="I1041" t="str">
        <f>IFERROR(__xludf.DUMMYFUNCTION("""COMPUTED_VALUE"""),"นริศรา พุ่มสว่าง")</f>
        <v>นริศรา พุ่มสว่าง</v>
      </c>
      <c r="J1041" s="160" t="str">
        <f>IFERROR(__xludf.DUMMYFUNCTION("""COMPUTED_VALUE"""),"Boom / บูม")</f>
        <v>Boom / บูม</v>
      </c>
      <c r="K1041" t="str">
        <f>IFERROR(__xludf.DUMMYFUNCTION("""COMPUTED_VALUE"""),"Cabin Crew")</f>
        <v>Cabin Crew</v>
      </c>
      <c r="L1041" t="str">
        <f>IFERROR(__xludf.DUMMYFUNCTION("""COMPUTED_VALUE"""),"DMK")</f>
        <v>DMK</v>
      </c>
      <c r="M1041" s="145" t="str">
        <f>IFERROR(__xludf.DUMMYFUNCTION("""COMPUTED_VALUE"""),"Toffy Home")</f>
        <v>Toffy Home</v>
      </c>
      <c r="N1041" t="str">
        <f>IFERROR(__xludf.DUMMYFUNCTION("""COMPUTED_VALUE"""),"Active")</f>
        <v>Active</v>
      </c>
      <c r="P1041" s="159">
        <f>IFERROR(__xludf.DUMMYFUNCTION("""COMPUTED_VALUE"""),33904.0)</f>
        <v>33904</v>
      </c>
      <c r="Q1041" s="146">
        <f>IFERROR(__xludf.DUMMYFUNCTION("""COMPUTED_VALUE"""),6.22636969E8)</f>
        <v>622636969</v>
      </c>
      <c r="R1041" s="147">
        <f>IFERROR(__xludf.DUMMYFUNCTION("""COMPUTED_VALUE"""),1.103800003381E12)</f>
        <v>1103800003381</v>
      </c>
      <c r="S1041" t="str">
        <f>IFERROR(__xludf.DUMMYFUNCTION("""COMPUTED_VALUE"""),"AC3587991")</f>
        <v>AC3587991</v>
      </c>
      <c r="T1041" s="148">
        <f>IFERROR(__xludf.DUMMYFUNCTION("""COMPUTED_VALUE"""),44753.0)</f>
        <v>44753</v>
      </c>
      <c r="U1041" s="148">
        <f>IFERROR(__xludf.DUMMYFUNCTION("""COMPUTED_VALUE"""),48405.0)</f>
        <v>48405</v>
      </c>
      <c r="V1041" s="149">
        <f>IFERROR(__xludf.DUMMYFUNCTION("""COMPUTED_VALUE"""),48223.0)</f>
        <v>48223</v>
      </c>
      <c r="W1041" t="str">
        <f>IFERROR(__xludf.DUMMYFUNCTION("""COMPUTED_VALUE"""),"ปลอดภัย")</f>
        <v>ปลอดภัย</v>
      </c>
      <c r="X1041" t="str">
        <f>IFERROR(__xludf.DUMMYFUNCTION("""COMPUTED_VALUE"""),"Bangkok")</f>
        <v>Bangkok</v>
      </c>
      <c r="Y1041" t="str">
        <f>IFERROR(__xludf.DUMMYFUNCTION("""COMPUTED_VALUE"""),"Bangkok")</f>
        <v>Bangkok</v>
      </c>
      <c r="Z1041" s="145" t="str">
        <f>IFERROR(__xludf.DUMMYFUNCTION("""COMPUTED_VALUE"""),"0818103757")</f>
        <v>0818103757</v>
      </c>
      <c r="AA1041" t="str">
        <f>IFERROR(__xludf.DUMMYFUNCTION("""COMPUTED_VALUE"""),"นายณรงค์ พุ่มสว่าง Father")</f>
        <v>นายณรงค์ พุ่มสว่าง Father</v>
      </c>
      <c r="AB1041" t="str">
        <f>IFERROR(__xludf.DUMMYFUNCTION("""COMPUTED_VALUE"""),"narisaraphumsawarng@airasia.com")</f>
        <v>narisaraphumsawarng@airasia.com</v>
      </c>
    </row>
    <row r="1042">
      <c r="A1042">
        <f>IFERROR(__xludf.DUMMYFUNCTION("""COMPUTED_VALUE"""),1039128.0)</f>
        <v>1039128</v>
      </c>
      <c r="B1042" t="str">
        <f>IFERROR(__xludf.DUMMYFUNCTION("""COMPUTED_VALUE"""),"Ms.")</f>
        <v>Ms.</v>
      </c>
      <c r="C1042" t="str">
        <f>IFERROR(__xludf.DUMMYFUNCTION("""COMPUTED_VALUE"""),"Jiratip")</f>
        <v>Jiratip</v>
      </c>
      <c r="D1042" t="str">
        <f>IFERROR(__xludf.DUMMYFUNCTION("""COMPUTED_VALUE"""),"Pimpa")</f>
        <v>Pimpa</v>
      </c>
      <c r="E1042" t="str">
        <f>IFERROR(__xludf.DUMMYFUNCTION("""COMPUTED_VALUE"""),"Jiratip Pimpa")</f>
        <v>Jiratip Pimpa</v>
      </c>
      <c r="F1042" t="str">
        <f>IFERROR(__xludf.DUMMYFUNCTION("""COMPUTED_VALUE"""),"นางสาว")</f>
        <v>นางสาว</v>
      </c>
      <c r="G1042" t="str">
        <f>IFERROR(__xludf.DUMMYFUNCTION("""COMPUTED_VALUE"""),"จิรธิป")</f>
        <v>จิรธิป</v>
      </c>
      <c r="H1042" t="str">
        <f>IFERROR(__xludf.DUMMYFUNCTION("""COMPUTED_VALUE"""),"พิมพา")</f>
        <v>พิมพา</v>
      </c>
      <c r="I1042" t="str">
        <f>IFERROR(__xludf.DUMMYFUNCTION("""COMPUTED_VALUE"""),"จิรธิป พิมพา")</f>
        <v>จิรธิป พิมพา</v>
      </c>
      <c r="J1042" t="str">
        <f>IFERROR(__xludf.DUMMYFUNCTION("""COMPUTED_VALUE"""),"ฉัตร")</f>
        <v>ฉัตร</v>
      </c>
      <c r="K1042" t="str">
        <f>IFERROR(__xludf.DUMMYFUNCTION("""COMPUTED_VALUE"""),"Cabin Crew")</f>
        <v>Cabin Crew</v>
      </c>
      <c r="L1042" t="str">
        <f>IFERROR(__xludf.DUMMYFUNCTION("""COMPUTED_VALUE"""),"DMK")</f>
        <v>DMK</v>
      </c>
      <c r="M1042" s="145" t="str">
        <f>IFERROR(__xludf.DUMMYFUNCTION("""COMPUTED_VALUE"""),"Namfon Home")</f>
        <v>Namfon Home</v>
      </c>
      <c r="N1042" t="str">
        <f>IFERROR(__xludf.DUMMYFUNCTION("""COMPUTED_VALUE"""),"Active")</f>
        <v>Active</v>
      </c>
      <c r="P1042" s="159">
        <f>IFERROR(__xludf.DUMMYFUNCTION("""COMPUTED_VALUE"""),33729.0)</f>
        <v>33729</v>
      </c>
      <c r="Q1042" s="146">
        <f>IFERROR(__xludf.DUMMYFUNCTION("""COMPUTED_VALUE"""),8.16988515E8)</f>
        <v>816988515</v>
      </c>
      <c r="R1042" s="147">
        <f>IFERROR(__xludf.DUMMYFUNCTION("""COMPUTED_VALUE"""),1.909800621148E12)</f>
        <v>1909800621148</v>
      </c>
      <c r="S1042" t="str">
        <f>IFERROR(__xludf.DUMMYFUNCTION("""COMPUTED_VALUE"""),"AC3149957")</f>
        <v>AC3149957</v>
      </c>
      <c r="T1042" s="148">
        <f>IFERROR(__xludf.DUMMYFUNCTION("""COMPUTED_VALUE"""),44699.0)</f>
        <v>44699</v>
      </c>
      <c r="U1042" s="148">
        <f>IFERROR(__xludf.DUMMYFUNCTION("""COMPUTED_VALUE"""),48351.0)</f>
        <v>48351</v>
      </c>
      <c r="V1042" s="149">
        <f>IFERROR(__xludf.DUMMYFUNCTION("""COMPUTED_VALUE"""),48169.0)</f>
        <v>48169</v>
      </c>
      <c r="W1042" t="str">
        <f>IFERROR(__xludf.DUMMYFUNCTION("""COMPUTED_VALUE"""),"ปลอดภัย")</f>
        <v>ปลอดภัย</v>
      </c>
      <c r="X1042" s="160" t="str">
        <f>IFERROR(__xludf.DUMMYFUNCTION("""COMPUTED_VALUE"""),"Songkhla Province")</f>
        <v>Songkhla Province</v>
      </c>
      <c r="Y1042" t="str">
        <f>IFERROR(__xludf.DUMMYFUNCTION("""COMPUTED_VALUE"""),"Bangkok")</f>
        <v>Bangkok</v>
      </c>
      <c r="Z1042" s="145" t="str">
        <f>IFERROR(__xludf.DUMMYFUNCTION("""COMPUTED_VALUE"""),"0895048991")</f>
        <v>0895048991</v>
      </c>
      <c r="AA1042" t="str">
        <f>IFERROR(__xludf.DUMMYFUNCTION("""COMPUTED_VALUE"""),"นายอัครเดช คชคีรี Friend")</f>
        <v>นายอัครเดช คชคีรี Friend</v>
      </c>
      <c r="AB1042" t="str">
        <f>IFERROR(__xludf.DUMMYFUNCTION("""COMPUTED_VALUE"""),"jiratippimpa@airasia.com")</f>
        <v>jiratippimpa@airasia.com</v>
      </c>
    </row>
    <row r="1043">
      <c r="A1043">
        <f>IFERROR(__xludf.DUMMYFUNCTION("""COMPUTED_VALUE"""),1039131.0)</f>
        <v>1039131</v>
      </c>
      <c r="B1043" t="str">
        <f>IFERROR(__xludf.DUMMYFUNCTION("""COMPUTED_VALUE"""),"Ms.")</f>
        <v>Ms.</v>
      </c>
      <c r="C1043" t="str">
        <f>IFERROR(__xludf.DUMMYFUNCTION("""COMPUTED_VALUE"""),"Sawarin")</f>
        <v>Sawarin</v>
      </c>
      <c r="D1043" t="str">
        <f>IFERROR(__xludf.DUMMYFUNCTION("""COMPUTED_VALUE"""),"Charoenpak")</f>
        <v>Charoenpak</v>
      </c>
      <c r="E1043" t="str">
        <f>IFERROR(__xludf.DUMMYFUNCTION("""COMPUTED_VALUE"""),"Sawarin Charoenpak")</f>
        <v>Sawarin Charoenpak</v>
      </c>
      <c r="F1043" t="str">
        <f>IFERROR(__xludf.DUMMYFUNCTION("""COMPUTED_VALUE"""),"นางสาว")</f>
        <v>นางสาว</v>
      </c>
      <c r="G1043" t="str">
        <f>IFERROR(__xludf.DUMMYFUNCTION("""COMPUTED_VALUE"""),"สวรินทร์")</f>
        <v>สวรินทร์</v>
      </c>
      <c r="H1043" t="str">
        <f>IFERROR(__xludf.DUMMYFUNCTION("""COMPUTED_VALUE"""),"เจริญภักตร์")</f>
        <v>เจริญภักตร์</v>
      </c>
      <c r="I1043" t="str">
        <f>IFERROR(__xludf.DUMMYFUNCTION("""COMPUTED_VALUE"""),"สวรินทร์ เจริญภักตร์")</f>
        <v>สวรินทร์ เจริญภักตร์</v>
      </c>
      <c r="J1043" s="160" t="str">
        <f>IFERROR(__xludf.DUMMYFUNCTION("""COMPUTED_VALUE"""),"ขวัญ")</f>
        <v>ขวัญ</v>
      </c>
      <c r="K1043" t="str">
        <f>IFERROR(__xludf.DUMMYFUNCTION("""COMPUTED_VALUE"""),"Cabin Crew")</f>
        <v>Cabin Crew</v>
      </c>
      <c r="L1043" t="str">
        <f>IFERROR(__xludf.DUMMYFUNCTION("""COMPUTED_VALUE"""),"DMK")</f>
        <v>DMK</v>
      </c>
      <c r="M1043" s="145" t="str">
        <f>IFERROR(__xludf.DUMMYFUNCTION("""COMPUTED_VALUE"""),"Namfon Home")</f>
        <v>Namfon Home</v>
      </c>
      <c r="N1043" t="str">
        <f>IFERROR(__xludf.DUMMYFUNCTION("""COMPUTED_VALUE"""),"Active")</f>
        <v>Active</v>
      </c>
      <c r="P1043" s="159">
        <f>IFERROR(__xludf.DUMMYFUNCTION("""COMPUTED_VALUE"""),34664.0)</f>
        <v>34664</v>
      </c>
      <c r="Q1043" s="146">
        <f>IFERROR(__xludf.DUMMYFUNCTION("""COMPUTED_VALUE"""),8.1116425E8)</f>
        <v>811164250</v>
      </c>
      <c r="R1043" s="147">
        <f>IFERROR(__xludf.DUMMYFUNCTION("""COMPUTED_VALUE"""),1.102002244577E12)</f>
        <v>1102002244577</v>
      </c>
      <c r="S1043" t="str">
        <f>IFERROR(__xludf.DUMMYFUNCTION("""COMPUTED_VALUE"""),"AC3123797")</f>
        <v>AC3123797</v>
      </c>
      <c r="T1043" s="148">
        <f>IFERROR(__xludf.DUMMYFUNCTION("""COMPUTED_VALUE"""),44692.0)</f>
        <v>44692</v>
      </c>
      <c r="U1043" s="148">
        <f>IFERROR(__xludf.DUMMYFUNCTION("""COMPUTED_VALUE"""),48344.0)</f>
        <v>48344</v>
      </c>
      <c r="V1043" s="149">
        <f>IFERROR(__xludf.DUMMYFUNCTION("""COMPUTED_VALUE"""),48162.0)</f>
        <v>48162</v>
      </c>
      <c r="W1043" t="str">
        <f>IFERROR(__xludf.DUMMYFUNCTION("""COMPUTED_VALUE"""),"ปลอดภัย")</f>
        <v>ปลอดภัย</v>
      </c>
      <c r="X1043" s="160" t="str">
        <f>IFERROR(__xludf.DUMMYFUNCTION("""COMPUTED_VALUE"""),"Bangkok")</f>
        <v>Bangkok</v>
      </c>
      <c r="Y1043" t="str">
        <f>IFERROR(__xludf.DUMMYFUNCTION("""COMPUTED_VALUE"""),"NONTABUTI")</f>
        <v>NONTABUTI</v>
      </c>
      <c r="Z1043" s="145" t="str">
        <f>IFERROR(__xludf.DUMMYFUNCTION("""COMPUTED_VALUE"""),"095-254-9974")</f>
        <v>095-254-9974</v>
      </c>
      <c r="AA1043" t="str">
        <f>IFERROR(__xludf.DUMMYFUNCTION("""COMPUTED_VALUE"""),"นางณัชชา เจริญภักตร์ Mother")</f>
        <v>นางณัชชา เจริญภักตร์ Mother</v>
      </c>
      <c r="AB1043" t="str">
        <f>IFERROR(__xludf.DUMMYFUNCTION("""COMPUTED_VALUE"""),"sawarincharoenpak@airasia.com")</f>
        <v>sawarincharoenpak@airasia.com</v>
      </c>
    </row>
    <row r="1044">
      <c r="A1044">
        <f>IFERROR(__xludf.DUMMYFUNCTION("""COMPUTED_VALUE"""),1039132.0)</f>
        <v>1039132</v>
      </c>
      <c r="B1044" t="str">
        <f>IFERROR(__xludf.DUMMYFUNCTION("""COMPUTED_VALUE"""),"Mr.")</f>
        <v>Mr.</v>
      </c>
      <c r="C1044" t="str">
        <f>IFERROR(__xludf.DUMMYFUNCTION("""COMPUTED_VALUE"""),"Intuch")</f>
        <v>Intuch</v>
      </c>
      <c r="D1044" t="str">
        <f>IFERROR(__xludf.DUMMYFUNCTION("""COMPUTED_VALUE"""),"Khanyou")</f>
        <v>Khanyou</v>
      </c>
      <c r="E1044" t="str">
        <f>IFERROR(__xludf.DUMMYFUNCTION("""COMPUTED_VALUE"""),"Intuch Khanyou")</f>
        <v>Intuch Khanyou</v>
      </c>
      <c r="F1044" t="str">
        <f>IFERROR(__xludf.DUMMYFUNCTION("""COMPUTED_VALUE"""),"นาย")</f>
        <v>นาย</v>
      </c>
      <c r="G1044" t="str">
        <f>IFERROR(__xludf.DUMMYFUNCTION("""COMPUTED_VALUE"""),"อินทัช")</f>
        <v>อินทัช</v>
      </c>
      <c r="H1044" t="str">
        <f>IFERROR(__xludf.DUMMYFUNCTION("""COMPUTED_VALUE"""),"คานยู")</f>
        <v>คานยู</v>
      </c>
      <c r="I1044" t="str">
        <f>IFERROR(__xludf.DUMMYFUNCTION("""COMPUTED_VALUE"""),"อินทัช คานยู")</f>
        <v>อินทัช คานยู</v>
      </c>
      <c r="J1044" s="160" t="str">
        <f>IFERROR(__xludf.DUMMYFUNCTION("""COMPUTED_VALUE"""),"Beam / บีม")</f>
        <v>Beam / บีม</v>
      </c>
      <c r="K1044" t="str">
        <f>IFERROR(__xludf.DUMMYFUNCTION("""COMPUTED_VALUE"""),"Cabin Crew")</f>
        <v>Cabin Crew</v>
      </c>
      <c r="L1044" t="str">
        <f>IFERROR(__xludf.DUMMYFUNCTION("""COMPUTED_VALUE"""),"DMK")</f>
        <v>DMK</v>
      </c>
      <c r="M1044" s="145" t="str">
        <f>IFERROR(__xludf.DUMMYFUNCTION("""COMPUTED_VALUE"""),"Toffy Home")</f>
        <v>Toffy Home</v>
      </c>
      <c r="N1044" t="str">
        <f>IFERROR(__xludf.DUMMYFUNCTION("""COMPUTED_VALUE"""),"Active")</f>
        <v>Active</v>
      </c>
      <c r="P1044" s="159">
        <f>IFERROR(__xludf.DUMMYFUNCTION("""COMPUTED_VALUE"""),34406.0)</f>
        <v>34406</v>
      </c>
      <c r="Q1044" s="146">
        <f>IFERROR(__xludf.DUMMYFUNCTION("""COMPUTED_VALUE"""),9.1874412E8)</f>
        <v>918744120</v>
      </c>
      <c r="R1044" s="147">
        <f>IFERROR(__xludf.DUMMYFUNCTION("""COMPUTED_VALUE"""),1.9098008037E12)</f>
        <v>1909800803700</v>
      </c>
      <c r="S1044" t="str">
        <f>IFERROR(__xludf.DUMMYFUNCTION("""COMPUTED_VALUE"""),"AC6442188")</f>
        <v>AC6442188</v>
      </c>
      <c r="T1044" s="148">
        <f>IFERROR(__xludf.DUMMYFUNCTION("""COMPUTED_VALUE"""),45357.0)</f>
        <v>45357</v>
      </c>
      <c r="U1044" s="148">
        <f>IFERROR(__xludf.DUMMYFUNCTION("""COMPUTED_VALUE"""),47182.0)</f>
        <v>47182</v>
      </c>
      <c r="V1044" s="149">
        <f>IFERROR(__xludf.DUMMYFUNCTION("""COMPUTED_VALUE"""),47001.0)</f>
        <v>47001</v>
      </c>
      <c r="W1044" t="str">
        <f>IFERROR(__xludf.DUMMYFUNCTION("""COMPUTED_VALUE"""),"ปลอดภัย")</f>
        <v>ปลอดภัย</v>
      </c>
      <c r="X1044" s="160" t="str">
        <f>IFERROR(__xludf.DUMMYFUNCTION("""COMPUTED_VALUE"""),"Songkhla Province")</f>
        <v>Songkhla Province</v>
      </c>
      <c r="Y1044" t="str">
        <f>IFERROR(__xludf.DUMMYFUNCTION("""COMPUTED_VALUE"""),"Bangkok")</f>
        <v>Bangkok</v>
      </c>
      <c r="Z1044" s="145" t="str">
        <f>IFERROR(__xludf.DUMMYFUNCTION("""COMPUTED_VALUE"""),"061-649-2865")</f>
        <v>061-649-2865</v>
      </c>
      <c r="AA1044" t="str">
        <f>IFERROR(__xludf.DUMMYFUNCTION("""COMPUTED_VALUE"""),"นายธนพล เนียมคง Friend")</f>
        <v>นายธนพล เนียมคง Friend</v>
      </c>
      <c r="AB1044" t="str">
        <f>IFERROR(__xludf.DUMMYFUNCTION("""COMPUTED_VALUE"""),"intuchkhanyou@airasia.com")</f>
        <v>intuchkhanyou@airasia.com</v>
      </c>
    </row>
    <row r="1045">
      <c r="A1045">
        <f>IFERROR(__xludf.DUMMYFUNCTION("""COMPUTED_VALUE"""),1013605.0)</f>
        <v>1013605</v>
      </c>
      <c r="B1045" t="str">
        <f>IFERROR(__xludf.DUMMYFUNCTION("""COMPUTED_VALUE"""),"Mr.")</f>
        <v>Mr.</v>
      </c>
      <c r="C1045" t="str">
        <f>IFERROR(__xludf.DUMMYFUNCTION("""COMPUTED_VALUE"""),"Atiluk")</f>
        <v>Atiluk</v>
      </c>
      <c r="D1045" t="str">
        <f>IFERROR(__xludf.DUMMYFUNCTION("""COMPUTED_VALUE"""),"Apiwong")</f>
        <v>Apiwong</v>
      </c>
      <c r="E1045" t="str">
        <f>IFERROR(__xludf.DUMMYFUNCTION("""COMPUTED_VALUE"""),"Atiluk Apiwong")</f>
        <v>Atiluk Apiwong</v>
      </c>
      <c r="F1045" t="str">
        <f>IFERROR(__xludf.DUMMYFUNCTION("""COMPUTED_VALUE"""),"นาย")</f>
        <v>นาย</v>
      </c>
      <c r="G1045" t="str">
        <f>IFERROR(__xludf.DUMMYFUNCTION("""COMPUTED_VALUE"""),"อติลักษณ์")</f>
        <v>อติลักษณ์</v>
      </c>
      <c r="H1045" t="str">
        <f>IFERROR(__xludf.DUMMYFUNCTION("""COMPUTED_VALUE"""),"อภิวงค์")</f>
        <v>อภิวงค์</v>
      </c>
      <c r="I1045" t="str">
        <f>IFERROR(__xludf.DUMMYFUNCTION("""COMPUTED_VALUE"""),"อติลักษณ์ อภิวงค์")</f>
        <v>อติลักษณ์ อภิวงค์</v>
      </c>
      <c r="J1045" s="160" t="str">
        <f>IFERROR(__xludf.DUMMYFUNCTION("""COMPUTED_VALUE"""),"Tum / ตั้ม")</f>
        <v>Tum / ตั้ม</v>
      </c>
      <c r="K1045" t="str">
        <f>IFERROR(__xludf.DUMMYFUNCTION("""COMPUTED_VALUE"""),"Cabin Crew")</f>
        <v>Cabin Crew</v>
      </c>
      <c r="L1045" t="str">
        <f>IFERROR(__xludf.DUMMYFUNCTION("""COMPUTED_VALUE"""),"DMK")</f>
        <v>DMK</v>
      </c>
      <c r="M1045" s="145" t="str">
        <f>IFERROR(__xludf.DUMMYFUNCTION("""COMPUTED_VALUE"""),"Por+ Home")</f>
        <v>Por+ Home</v>
      </c>
      <c r="N1045" t="str">
        <f>IFERROR(__xludf.DUMMYFUNCTION("""COMPUTED_VALUE"""),"Active")</f>
        <v>Active</v>
      </c>
      <c r="P1045" s="159">
        <f>IFERROR(__xludf.DUMMYFUNCTION("""COMPUTED_VALUE"""),33362.0)</f>
        <v>33362</v>
      </c>
      <c r="Q1045" s="146" t="str">
        <f>IFERROR(__xludf.DUMMYFUNCTION("""COMPUTED_VALUE"""),"087-358-5930")</f>
        <v>087-358-5930</v>
      </c>
      <c r="R1045" s="147">
        <f>IFERROR(__xludf.DUMMYFUNCTION("""COMPUTED_VALUE"""),1.579900358671E12)</f>
        <v>1579900358671</v>
      </c>
      <c r="S1045" t="str">
        <f>IFERROR(__xludf.DUMMYFUNCTION("""COMPUTED_VALUE"""),"AC4959712")</f>
        <v>AC4959712</v>
      </c>
      <c r="T1045" s="148">
        <f>IFERROR(__xludf.DUMMYFUNCTION("""COMPUTED_VALUE"""),45068.0)</f>
        <v>45068</v>
      </c>
      <c r="U1045" s="148">
        <f>IFERROR(__xludf.DUMMYFUNCTION("""COMPUTED_VALUE"""),48720.0)</f>
        <v>48720</v>
      </c>
      <c r="V1045" s="149">
        <f>IFERROR(__xludf.DUMMYFUNCTION("""COMPUTED_VALUE"""),48539.0)</f>
        <v>48539</v>
      </c>
      <c r="W1045" t="str">
        <f>IFERROR(__xludf.DUMMYFUNCTION("""COMPUTED_VALUE"""),"ปลอดภัย")</f>
        <v>ปลอดภัย</v>
      </c>
      <c r="X1045" s="160" t="str">
        <f>IFERROR(__xludf.DUMMYFUNCTION("""COMPUTED_VALUE"""),"Chiang Rai Province")</f>
        <v>Chiang Rai Province</v>
      </c>
      <c r="Y1045" t="str">
        <f>IFERROR(__xludf.DUMMYFUNCTION("""COMPUTED_VALUE"""),"chiangrai")</f>
        <v>chiangrai</v>
      </c>
      <c r="Z1045" s="145" t="str">
        <f>IFERROR(__xludf.DUMMYFUNCTION("""COMPUTED_VALUE"""),"088-262-0128")</f>
        <v>088-262-0128</v>
      </c>
      <c r="AA1045" t="str">
        <f>IFERROR(__xludf.DUMMYFUNCTION("""COMPUTED_VALUE"""),"นางสาว เสาวภา ศรีไกรรส Wife")</f>
        <v>นางสาว เสาวภา ศรีไกรรส Wife</v>
      </c>
      <c r="AB1045" t="str">
        <f>IFERROR(__xludf.DUMMYFUNCTION("""COMPUTED_VALUE"""),"atilukapiwong@airasia.com")</f>
        <v>atilukapiwong@airasia.com</v>
      </c>
    </row>
    <row r="1046">
      <c r="A1046">
        <f>IFERROR(__xludf.DUMMYFUNCTION("""COMPUTED_VALUE"""),1014054.0)</f>
        <v>1014054</v>
      </c>
      <c r="B1046" t="str">
        <f>IFERROR(__xludf.DUMMYFUNCTION("""COMPUTED_VALUE"""),"Mr.")</f>
        <v>Mr.</v>
      </c>
      <c r="C1046" t="str">
        <f>IFERROR(__xludf.DUMMYFUNCTION("""COMPUTED_VALUE"""),"Arnon")</f>
        <v>Arnon</v>
      </c>
      <c r="D1046" t="str">
        <f>IFERROR(__xludf.DUMMYFUNCTION("""COMPUTED_VALUE"""),"Pattanaanunsuk")</f>
        <v>Pattanaanunsuk</v>
      </c>
      <c r="E1046" t="str">
        <f>IFERROR(__xludf.DUMMYFUNCTION("""COMPUTED_VALUE"""),"Arnon Pattanaanunsuk")</f>
        <v>Arnon Pattanaanunsuk</v>
      </c>
      <c r="F1046" t="str">
        <f>IFERROR(__xludf.DUMMYFUNCTION("""COMPUTED_VALUE"""),"นาย")</f>
        <v>นาย</v>
      </c>
      <c r="G1046" t="str">
        <f>IFERROR(__xludf.DUMMYFUNCTION("""COMPUTED_VALUE"""),"อานนท์")</f>
        <v>อานนท์</v>
      </c>
      <c r="H1046" t="str">
        <f>IFERROR(__xludf.DUMMYFUNCTION("""COMPUTED_VALUE"""),"พัฒนอนันต์สุข")</f>
        <v>พัฒนอนันต์สุข</v>
      </c>
      <c r="I1046" t="str">
        <f>IFERROR(__xludf.DUMMYFUNCTION("""COMPUTED_VALUE"""),"อานนท์ พัฒนอนันต์สุข")</f>
        <v>อานนท์ พัฒนอนันต์สุข</v>
      </c>
      <c r="J1046" t="str">
        <f>IFERROR(__xludf.DUMMYFUNCTION("""COMPUTED_VALUE"""),"Pork / พอร์ค")</f>
        <v>Pork / พอร์ค</v>
      </c>
      <c r="K1046" t="str">
        <f>IFERROR(__xludf.DUMMYFUNCTION("""COMPUTED_VALUE"""),"Cabin Crew")</f>
        <v>Cabin Crew</v>
      </c>
      <c r="L1046" t="str">
        <f>IFERROR(__xludf.DUMMYFUNCTION("""COMPUTED_VALUE"""),"DMK")</f>
        <v>DMK</v>
      </c>
      <c r="M1046" s="145" t="str">
        <f>IFERROR(__xludf.DUMMYFUNCTION("""COMPUTED_VALUE"""),"Toffy Home")</f>
        <v>Toffy Home</v>
      </c>
      <c r="N1046" t="str">
        <f>IFERROR(__xludf.DUMMYFUNCTION("""COMPUTED_VALUE"""),"Active")</f>
        <v>Active</v>
      </c>
      <c r="P1046" s="159">
        <f>IFERROR(__xludf.DUMMYFUNCTION("""COMPUTED_VALUE"""),34080.0)</f>
        <v>34080</v>
      </c>
      <c r="Q1046" s="146" t="str">
        <f>IFERROR(__xludf.DUMMYFUNCTION("""COMPUTED_VALUE"""),"089-691-8655")</f>
        <v>089-691-8655</v>
      </c>
      <c r="R1046" s="147">
        <f>IFERROR(__xludf.DUMMYFUNCTION("""COMPUTED_VALUE"""),1.102800031635E12)</f>
        <v>1102800031635</v>
      </c>
      <c r="S1046" t="str">
        <f>IFERROR(__xludf.DUMMYFUNCTION("""COMPUTED_VALUE"""),"AC5025448")</f>
        <v>AC5025448</v>
      </c>
      <c r="T1046" s="148">
        <f>IFERROR(__xludf.DUMMYFUNCTION("""COMPUTED_VALUE"""),45069.0)</f>
        <v>45069</v>
      </c>
      <c r="U1046" s="148">
        <f>IFERROR(__xludf.DUMMYFUNCTION("""COMPUTED_VALUE"""),48721.0)</f>
        <v>48721</v>
      </c>
      <c r="V1046" s="149">
        <f>IFERROR(__xludf.DUMMYFUNCTION("""COMPUTED_VALUE"""),48540.0)</f>
        <v>48540</v>
      </c>
      <c r="W1046" t="str">
        <f>IFERROR(__xludf.DUMMYFUNCTION("""COMPUTED_VALUE"""),"ปลอดภัย")</f>
        <v>ปลอดภัย</v>
      </c>
      <c r="X1046" t="str">
        <f>IFERROR(__xludf.DUMMYFUNCTION("""COMPUTED_VALUE"""),"Bangkok")</f>
        <v>Bangkok</v>
      </c>
      <c r="Y1046" t="str">
        <f>IFERROR(__xludf.DUMMYFUNCTION("""COMPUTED_VALUE"""),"Bangkok")</f>
        <v>Bangkok</v>
      </c>
      <c r="Z1046" s="145" t="str">
        <f>IFERROR(__xludf.DUMMYFUNCTION("""COMPUTED_VALUE"""),"088-222-3991")</f>
        <v>088-222-3991</v>
      </c>
      <c r="AA1046" t="str">
        <f>IFERROR(__xludf.DUMMYFUNCTION("""COMPUTED_VALUE"""),"นางไอริณ พัฒนอนันต์สุข Wife")</f>
        <v>นางไอริณ พัฒนอนันต์สุข Wife</v>
      </c>
      <c r="AB1046" t="str">
        <f>IFERROR(__xludf.DUMMYFUNCTION("""COMPUTED_VALUE"""),"arnonpattanaanunsuk@airasia.com")</f>
        <v>arnonpattanaanunsuk@airasia.com</v>
      </c>
    </row>
    <row r="1047">
      <c r="A1047">
        <f>IFERROR(__xludf.DUMMYFUNCTION("""COMPUTED_VALUE"""),1003909.0)</f>
        <v>1003909</v>
      </c>
      <c r="B1047" t="str">
        <f>IFERROR(__xludf.DUMMYFUNCTION("""COMPUTED_VALUE"""),"Ms.")</f>
        <v>Ms.</v>
      </c>
      <c r="C1047" t="str">
        <f>IFERROR(__xludf.DUMMYFUNCTION("""COMPUTED_VALUE"""),"Phanlapha")</f>
        <v>Phanlapha</v>
      </c>
      <c r="D1047" t="str">
        <f>IFERROR(__xludf.DUMMYFUNCTION("""COMPUTED_VALUE"""),"Uaiphorn")</f>
        <v>Uaiphorn</v>
      </c>
      <c r="E1047" t="str">
        <f>IFERROR(__xludf.DUMMYFUNCTION("""COMPUTED_VALUE"""),"Phanlapha Uaiphorn")</f>
        <v>Phanlapha Uaiphorn</v>
      </c>
      <c r="F1047" t="str">
        <f>IFERROR(__xludf.DUMMYFUNCTION("""COMPUTED_VALUE"""),"นางสาว")</f>
        <v>นางสาว</v>
      </c>
      <c r="G1047" t="str">
        <f>IFERROR(__xludf.DUMMYFUNCTION("""COMPUTED_VALUE"""),"พัลลภา")</f>
        <v>พัลลภา</v>
      </c>
      <c r="H1047" t="str">
        <f>IFERROR(__xludf.DUMMYFUNCTION("""COMPUTED_VALUE"""),"อวยพร")</f>
        <v>อวยพร</v>
      </c>
      <c r="I1047" t="str">
        <f>IFERROR(__xludf.DUMMYFUNCTION("""COMPUTED_VALUE"""),"พัลลภา อวยพร")</f>
        <v>พัลลภา อวยพร</v>
      </c>
      <c r="J1047" s="160" t="str">
        <f>IFERROR(__xludf.DUMMYFUNCTION("""COMPUTED_VALUE"""),"Yui/ยุ้ย")</f>
        <v>Yui/ยุ้ย</v>
      </c>
      <c r="K1047" t="str">
        <f>IFERROR(__xludf.DUMMYFUNCTION("""COMPUTED_VALUE"""),"Cabin Crew")</f>
        <v>Cabin Crew</v>
      </c>
      <c r="L1047" t="str">
        <f>IFERROR(__xludf.DUMMYFUNCTION("""COMPUTED_VALUE"""),"DMK")</f>
        <v>DMK</v>
      </c>
      <c r="M1047" s="145" t="str">
        <f>IFERROR(__xludf.DUMMYFUNCTION("""COMPUTED_VALUE"""),"Toffy Home")</f>
        <v>Toffy Home</v>
      </c>
      <c r="N1047" t="str">
        <f>IFERROR(__xludf.DUMMYFUNCTION("""COMPUTED_VALUE"""),"Active")</f>
        <v>Active</v>
      </c>
      <c r="P1047" s="159">
        <f>IFERROR(__xludf.DUMMYFUNCTION("""COMPUTED_VALUE"""),31174.0)</f>
        <v>31174</v>
      </c>
      <c r="Q1047" s="146" t="str">
        <f>IFERROR(__xludf.DUMMYFUNCTION("""COMPUTED_VALUE"""),"098-239-6598")</f>
        <v>098-239-6598</v>
      </c>
      <c r="R1047" s="147">
        <f>IFERROR(__xludf.DUMMYFUNCTION("""COMPUTED_VALUE"""),1.209700055783E12)</f>
        <v>1209700055783</v>
      </c>
      <c r="S1047" t="str">
        <f>IFERROR(__xludf.DUMMYFUNCTION("""COMPUTED_VALUE"""),"AC5050391")</f>
        <v>AC5050391</v>
      </c>
      <c r="T1047" s="148">
        <f>IFERROR(__xludf.DUMMYFUNCTION("""COMPUTED_VALUE"""),45072.0)</f>
        <v>45072</v>
      </c>
      <c r="U1047" s="148">
        <f>IFERROR(__xludf.DUMMYFUNCTION("""COMPUTED_VALUE"""),48724.0)</f>
        <v>48724</v>
      </c>
      <c r="V1047" s="149">
        <f>IFERROR(__xludf.DUMMYFUNCTION("""COMPUTED_VALUE"""),48543.0)</f>
        <v>48543</v>
      </c>
      <c r="W1047" t="str">
        <f>IFERROR(__xludf.DUMMYFUNCTION("""COMPUTED_VALUE"""),"ปลอดภัย")</f>
        <v>ปลอดภัย</v>
      </c>
      <c r="X1047" t="str">
        <f>IFERROR(__xludf.DUMMYFUNCTION("""COMPUTED_VALUE"""),"Chonburi Province")</f>
        <v>Chonburi Province</v>
      </c>
      <c r="Y1047" t="str">
        <f>IFERROR(__xludf.DUMMYFUNCTION("""COMPUTED_VALUE"""),"Rayong")</f>
        <v>Rayong</v>
      </c>
      <c r="Z1047" s="145" t="str">
        <f>IFERROR(__xludf.DUMMYFUNCTION("""COMPUTED_VALUE"""),"087-1422608")</f>
        <v>087-1422608</v>
      </c>
      <c r="AA1047" t="str">
        <f>IFERROR(__xludf.DUMMYFUNCTION("""COMPUTED_VALUE"""),"น.ส.จันทิมา อวยพร Sister")</f>
        <v>น.ส.จันทิมา อวยพร Sister</v>
      </c>
      <c r="AB1047" t="str">
        <f>IFERROR(__xludf.DUMMYFUNCTION("""COMPUTED_VALUE"""),"phanlaphauaiphorn@airasia.com")</f>
        <v>phanlaphauaiphorn@airasia.com</v>
      </c>
    </row>
    <row r="1048">
      <c r="A1048">
        <f>IFERROR(__xludf.DUMMYFUNCTION("""COMPUTED_VALUE"""),1014262.0)</f>
        <v>1014262</v>
      </c>
      <c r="B1048" t="str">
        <f>IFERROR(__xludf.DUMMYFUNCTION("""COMPUTED_VALUE"""),"Mr.")</f>
        <v>Mr.</v>
      </c>
      <c r="C1048" t="str">
        <f>IFERROR(__xludf.DUMMYFUNCTION("""COMPUTED_VALUE"""),"Wongsakorn")</f>
        <v>Wongsakorn</v>
      </c>
      <c r="D1048" t="str">
        <f>IFERROR(__xludf.DUMMYFUNCTION("""COMPUTED_VALUE"""),"Chumniwatesa")</f>
        <v>Chumniwatesa</v>
      </c>
      <c r="E1048" t="str">
        <f>IFERROR(__xludf.DUMMYFUNCTION("""COMPUTED_VALUE"""),"Wongsakorn Chumniwatesa")</f>
        <v>Wongsakorn Chumniwatesa</v>
      </c>
      <c r="F1048" t="str">
        <f>IFERROR(__xludf.DUMMYFUNCTION("""COMPUTED_VALUE"""),"นาย")</f>
        <v>นาย</v>
      </c>
      <c r="G1048" t="str">
        <f>IFERROR(__xludf.DUMMYFUNCTION("""COMPUTED_VALUE"""),"วงศกร")</f>
        <v>วงศกร</v>
      </c>
      <c r="H1048" t="str">
        <f>IFERROR(__xludf.DUMMYFUNCTION("""COMPUTED_VALUE"""),"ชำนิเวสสะ")</f>
        <v>ชำนิเวสสะ</v>
      </c>
      <c r="I1048" t="str">
        <f>IFERROR(__xludf.DUMMYFUNCTION("""COMPUTED_VALUE"""),"วงศกร ชำนิเวสสะ")</f>
        <v>วงศกร ชำนิเวสสะ</v>
      </c>
      <c r="J1048" s="160" t="str">
        <f>IFERROR(__xludf.DUMMYFUNCTION("""COMPUTED_VALUE"""),"Korn / กร")</f>
        <v>Korn / กร</v>
      </c>
      <c r="K1048" t="str">
        <f>IFERROR(__xludf.DUMMYFUNCTION("""COMPUTED_VALUE"""),"Cabin Crew")</f>
        <v>Cabin Crew</v>
      </c>
      <c r="L1048" t="str">
        <f>IFERROR(__xludf.DUMMYFUNCTION("""COMPUTED_VALUE"""),"DMK")</f>
        <v>DMK</v>
      </c>
      <c r="M1048" s="145" t="str">
        <f>IFERROR(__xludf.DUMMYFUNCTION("""COMPUTED_VALUE"""),"Por+ Home")</f>
        <v>Por+ Home</v>
      </c>
      <c r="N1048" t="str">
        <f>IFERROR(__xludf.DUMMYFUNCTION("""COMPUTED_VALUE"""),"Active")</f>
        <v>Active</v>
      </c>
      <c r="P1048" s="159">
        <f>IFERROR(__xludf.DUMMYFUNCTION("""COMPUTED_VALUE"""),33805.0)</f>
        <v>33805</v>
      </c>
      <c r="Q1048" s="146">
        <f>IFERROR(__xludf.DUMMYFUNCTION("""COMPUTED_VALUE"""),8.76164118E8)</f>
        <v>876164118</v>
      </c>
      <c r="R1048" s="147">
        <f>IFERROR(__xludf.DUMMYFUNCTION("""COMPUTED_VALUE"""),1.103700842284E12)</f>
        <v>1103700842284</v>
      </c>
      <c r="S1048" t="str">
        <f>IFERROR(__xludf.DUMMYFUNCTION("""COMPUTED_VALUE"""),"AC3004188")</f>
        <v>AC3004188</v>
      </c>
      <c r="T1048" s="148">
        <f>IFERROR(__xludf.DUMMYFUNCTION("""COMPUTED_VALUE"""),44673.0)</f>
        <v>44673</v>
      </c>
      <c r="U1048" s="148">
        <f>IFERROR(__xludf.DUMMYFUNCTION("""COMPUTED_VALUE"""),48325.0)</f>
        <v>48325</v>
      </c>
      <c r="V1048" s="149">
        <f>IFERROR(__xludf.DUMMYFUNCTION("""COMPUTED_VALUE"""),48142.0)</f>
        <v>48142</v>
      </c>
      <c r="W1048" t="str">
        <f>IFERROR(__xludf.DUMMYFUNCTION("""COMPUTED_VALUE"""),"ปลอดภัย")</f>
        <v>ปลอดภัย</v>
      </c>
      <c r="X1048" s="160" t="str">
        <f>IFERROR(__xludf.DUMMYFUNCTION("""COMPUTED_VALUE"""),"Bangkok")</f>
        <v>Bangkok</v>
      </c>
      <c r="Y1048" t="str">
        <f>IFERROR(__xludf.DUMMYFUNCTION("""COMPUTED_VALUE"""),"Chonburi")</f>
        <v>Chonburi</v>
      </c>
      <c r="Z1048" s="145" t="str">
        <f>IFERROR(__xludf.DUMMYFUNCTION("""COMPUTED_VALUE"""),"0814847193")</f>
        <v>0814847193</v>
      </c>
      <c r="AA1048" t="str">
        <f>IFERROR(__xludf.DUMMYFUNCTION("""COMPUTED_VALUE"""),"นายวิบูลย์ ชำนิเวสสะ Father")</f>
        <v>นายวิบูลย์ ชำนิเวสสะ Father</v>
      </c>
      <c r="AB1048" t="str">
        <f>IFERROR(__xludf.DUMMYFUNCTION("""COMPUTED_VALUE"""),"wongsakornchumniwat@airasia.com")</f>
        <v>wongsakornchumniwat@airasia.com</v>
      </c>
    </row>
    <row r="1049">
      <c r="AB1049" t="str">
        <f>IFERROR(__xludf.DUMMYFUNCTION("""COMPUTED_VALUE"""),"")</f>
        <v/>
      </c>
    </row>
    <row r="1050">
      <c r="A1050">
        <f>IFERROR(__xludf.DUMMYFUNCTION("""COMPUTED_VALUE"""),1018720.0)</f>
        <v>1018720</v>
      </c>
      <c r="B1050" t="str">
        <f>IFERROR(__xludf.DUMMYFUNCTION("""COMPUTED_VALUE"""),"Ms.")</f>
        <v>Ms.</v>
      </c>
      <c r="C1050" t="str">
        <f>IFERROR(__xludf.DUMMYFUNCTION("""COMPUTED_VALUE"""),"Ratteera")</f>
        <v>Ratteera</v>
      </c>
      <c r="D1050" t="str">
        <f>IFERROR(__xludf.DUMMYFUNCTION("""COMPUTED_VALUE"""),"Dissamarn")</f>
        <v>Dissamarn</v>
      </c>
      <c r="E1050" t="str">
        <f>IFERROR(__xludf.DUMMYFUNCTION("""COMPUTED_VALUE"""),"Ratteera Dissamarn")</f>
        <v>Ratteera Dissamarn</v>
      </c>
      <c r="F1050" t="str">
        <f>IFERROR(__xludf.DUMMYFUNCTION("""COMPUTED_VALUE"""),"นางสาว")</f>
        <v>นางสาว</v>
      </c>
      <c r="G1050" t="str">
        <f>IFERROR(__xludf.DUMMYFUNCTION("""COMPUTED_VALUE"""),"รัฐธีรา")</f>
        <v>รัฐธีรา</v>
      </c>
      <c r="H1050" t="str">
        <f>IFERROR(__xludf.DUMMYFUNCTION("""COMPUTED_VALUE"""),"ดิสสะมาน")</f>
        <v>ดิสสะมาน</v>
      </c>
      <c r="I1050" t="str">
        <f>IFERROR(__xludf.DUMMYFUNCTION("""COMPUTED_VALUE"""),"รัฐธีรา ดิสสะมาน")</f>
        <v>รัฐธีรา ดิสสะมาน</v>
      </c>
      <c r="J1050" t="str">
        <f>IFERROR(__xludf.DUMMYFUNCTION("""COMPUTED_VALUE"""),"พลอย")</f>
        <v>พลอย</v>
      </c>
      <c r="K1050" t="str">
        <f>IFERROR(__xludf.DUMMYFUNCTION("""COMPUTED_VALUE"""),"Cabin Crew")</f>
        <v>Cabin Crew</v>
      </c>
      <c r="L1050" t="str">
        <f>IFERROR(__xludf.DUMMYFUNCTION("""COMPUTED_VALUE"""),"DMK")</f>
        <v>DMK</v>
      </c>
      <c r="M1050" s="145" t="str">
        <f>IFERROR(__xludf.DUMMYFUNCTION("""COMPUTED_VALUE"""),"Namfon Home")</f>
        <v>Namfon Home</v>
      </c>
      <c r="N1050" t="str">
        <f>IFERROR(__xludf.DUMMYFUNCTION("""COMPUTED_VALUE"""),"Active")</f>
        <v>Active</v>
      </c>
      <c r="P1050" s="159">
        <f>IFERROR(__xludf.DUMMYFUNCTION("""COMPUTED_VALUE"""),33741.0)</f>
        <v>33741</v>
      </c>
      <c r="Q1050" s="146" t="str">
        <f>IFERROR(__xludf.DUMMYFUNCTION("""COMPUTED_VALUE"""),"086-923-9655")</f>
        <v>086-923-9655</v>
      </c>
      <c r="R1050" s="147">
        <f>IFERROR(__xludf.DUMMYFUNCTION("""COMPUTED_VALUE"""),1.100701522451E12)</f>
        <v>1100701522451</v>
      </c>
      <c r="S1050" t="str">
        <f>IFERROR(__xludf.DUMMYFUNCTION("""COMPUTED_VALUE"""),"AC5081515")</f>
        <v>AC5081515</v>
      </c>
      <c r="T1050" s="148">
        <f>IFERROR(__xludf.DUMMYFUNCTION("""COMPUTED_VALUE"""),45083.0)</f>
        <v>45083</v>
      </c>
      <c r="U1050" s="148">
        <f>IFERROR(__xludf.DUMMYFUNCTION("""COMPUTED_VALUE"""),48735.0)</f>
        <v>48735</v>
      </c>
      <c r="V1050" s="149">
        <f>IFERROR(__xludf.DUMMYFUNCTION("""COMPUTED_VALUE"""),48553.0)</f>
        <v>48553</v>
      </c>
      <c r="W1050" t="str">
        <f>IFERROR(__xludf.DUMMYFUNCTION("""COMPUTED_VALUE"""),"ปลอดภัย")</f>
        <v>ปลอดภัย</v>
      </c>
      <c r="X1050" t="str">
        <f>IFERROR(__xludf.DUMMYFUNCTION("""COMPUTED_VALUE"""),"Bangkok")</f>
        <v>Bangkok</v>
      </c>
      <c r="Y1050" t="str">
        <f>IFERROR(__xludf.DUMMYFUNCTION("""COMPUTED_VALUE"""),"Bangkok")</f>
        <v>Bangkok</v>
      </c>
      <c r="Z1050" s="145" t="str">
        <f>IFERROR(__xludf.DUMMYFUNCTION("""COMPUTED_VALUE"""),"094-474-5354")</f>
        <v>094-474-5354</v>
      </c>
      <c r="AA1050" t="str">
        <f>IFERROR(__xludf.DUMMYFUNCTION("""COMPUTED_VALUE"""),"พรทิพย์ ทาทอง Friend")</f>
        <v>พรทิพย์ ทาทอง Friend</v>
      </c>
      <c r="AB1050" t="str">
        <f>IFERROR(__xludf.DUMMYFUNCTION("""COMPUTED_VALUE"""),"ratteerad@airasia.com")</f>
        <v>ratteerad@airasia.com</v>
      </c>
    </row>
    <row r="1051">
      <c r="A1051">
        <f>IFERROR(__xludf.DUMMYFUNCTION("""COMPUTED_VALUE"""),1010843.0)</f>
        <v>1010843</v>
      </c>
      <c r="B1051" t="str">
        <f>IFERROR(__xludf.DUMMYFUNCTION("""COMPUTED_VALUE"""),"Ms.")</f>
        <v>Ms.</v>
      </c>
      <c r="C1051" t="str">
        <f>IFERROR(__xludf.DUMMYFUNCTION("""COMPUTED_VALUE"""),"Montakant")</f>
        <v>Montakant</v>
      </c>
      <c r="D1051" t="str">
        <f>IFERROR(__xludf.DUMMYFUNCTION("""COMPUTED_VALUE"""),"Jampathong")</f>
        <v>Jampathong</v>
      </c>
      <c r="E1051" t="str">
        <f>IFERROR(__xludf.DUMMYFUNCTION("""COMPUTED_VALUE"""),"Montakant Jampathong")</f>
        <v>Montakant Jampathong</v>
      </c>
      <c r="F1051" t="str">
        <f>IFERROR(__xludf.DUMMYFUNCTION("""COMPUTED_VALUE"""),"นางสาว")</f>
        <v>นางสาว</v>
      </c>
      <c r="G1051" t="str">
        <f>IFERROR(__xludf.DUMMYFUNCTION("""COMPUTED_VALUE"""),"มนตกานต์")</f>
        <v>มนตกานต์</v>
      </c>
      <c r="H1051" t="str">
        <f>IFERROR(__xludf.DUMMYFUNCTION("""COMPUTED_VALUE"""),"จำปาทอง")</f>
        <v>จำปาทอง</v>
      </c>
      <c r="I1051" t="str">
        <f>IFERROR(__xludf.DUMMYFUNCTION("""COMPUTED_VALUE"""),"มนตกานต์ จำปาทอง")</f>
        <v>มนตกานต์ จำปาทอง</v>
      </c>
      <c r="J1051" t="str">
        <f>IFERROR(__xludf.DUMMYFUNCTION("""COMPUTED_VALUE"""),"Danie / ดานี่")</f>
        <v>Danie / ดานี่</v>
      </c>
      <c r="K1051" t="str">
        <f>IFERROR(__xludf.DUMMYFUNCTION("""COMPUTED_VALUE"""),"Cabin Crew")</f>
        <v>Cabin Crew</v>
      </c>
      <c r="L1051" t="str">
        <f>IFERROR(__xludf.DUMMYFUNCTION("""COMPUTED_VALUE"""),"DMK")</f>
        <v>DMK</v>
      </c>
      <c r="M1051" s="145" t="str">
        <f>IFERROR(__xludf.DUMMYFUNCTION("""COMPUTED_VALUE"""),"Um Home")</f>
        <v>Um Home</v>
      </c>
      <c r="N1051" t="str">
        <f>IFERROR(__xludf.DUMMYFUNCTION("""COMPUTED_VALUE"""),"Active")</f>
        <v>Active</v>
      </c>
      <c r="P1051" s="159">
        <f>IFERROR(__xludf.DUMMYFUNCTION("""COMPUTED_VALUE"""),33858.0)</f>
        <v>33858</v>
      </c>
      <c r="Q1051" s="146" t="str">
        <f>IFERROR(__xludf.DUMMYFUNCTION("""COMPUTED_VALUE"""),"061-297-8936")</f>
        <v>061-297-8936</v>
      </c>
      <c r="R1051" s="147">
        <f>IFERROR(__xludf.DUMMYFUNCTION("""COMPUTED_VALUE"""),1.199900344321E12)</f>
        <v>1199900344321</v>
      </c>
      <c r="S1051" t="str">
        <f>IFERROR(__xludf.DUMMYFUNCTION("""COMPUTED_VALUE"""),"AC2825396")</f>
        <v>AC2825396</v>
      </c>
      <c r="T1051" s="148">
        <f>IFERROR(__xludf.DUMMYFUNCTION("""COMPUTED_VALUE"""),44518.0)</f>
        <v>44518</v>
      </c>
      <c r="U1051" s="148">
        <f>IFERROR(__xludf.DUMMYFUNCTION("""COMPUTED_VALUE"""),48169.0)</f>
        <v>48169</v>
      </c>
      <c r="V1051" s="149">
        <f>IFERROR(__xludf.DUMMYFUNCTION("""COMPUTED_VALUE"""),47985.0)</f>
        <v>47985</v>
      </c>
      <c r="W1051" t="str">
        <f>IFERROR(__xludf.DUMMYFUNCTION("""COMPUTED_VALUE"""),"ปลอดภัย")</f>
        <v>ปลอดภัย</v>
      </c>
      <c r="X1051" t="str">
        <f>IFERROR(__xludf.DUMMYFUNCTION("""COMPUTED_VALUE"""),"Saraburi Province")</f>
        <v>Saraburi Province</v>
      </c>
      <c r="Y1051" t="str">
        <f>IFERROR(__xludf.DUMMYFUNCTION("""COMPUTED_VALUE"""),"Bangkok")</f>
        <v>Bangkok</v>
      </c>
      <c r="Z1051" s="145" t="str">
        <f>IFERROR(__xludf.DUMMYFUNCTION("""COMPUTED_VALUE"""),"080-126-2884")</f>
        <v>080-126-2884</v>
      </c>
      <c r="AA1051" t="str">
        <f>IFERROR(__xludf.DUMMYFUNCTION("""COMPUTED_VALUE"""),"นายกนกพล กูรแก้ว Friend")</f>
        <v>นายกนกพล กูรแก้ว Friend</v>
      </c>
      <c r="AB1051" t="str">
        <f>IFERROR(__xludf.DUMMYFUNCTION("""COMPUTED_VALUE"""),"montakantj@airasia.com")</f>
        <v>montakantj@airasia.com</v>
      </c>
    </row>
    <row r="1052">
      <c r="A1052">
        <f>IFERROR(__xludf.DUMMYFUNCTION("""COMPUTED_VALUE"""),1026187.0)</f>
        <v>1026187</v>
      </c>
      <c r="B1052" t="str">
        <f>IFERROR(__xludf.DUMMYFUNCTION("""COMPUTED_VALUE"""),"Ms.")</f>
        <v>Ms.</v>
      </c>
      <c r="C1052" t="str">
        <f>IFERROR(__xludf.DUMMYFUNCTION("""COMPUTED_VALUE"""),"Nutnicha")</f>
        <v>Nutnicha</v>
      </c>
      <c r="D1052" t="str">
        <f>IFERROR(__xludf.DUMMYFUNCTION("""COMPUTED_VALUE"""),"Pitsuwan")</f>
        <v>Pitsuwan</v>
      </c>
      <c r="E1052" t="str">
        <f>IFERROR(__xludf.DUMMYFUNCTION("""COMPUTED_VALUE"""),"Nutnicha Pitsuwan")</f>
        <v>Nutnicha Pitsuwan</v>
      </c>
      <c r="F1052" t="str">
        <f>IFERROR(__xludf.DUMMYFUNCTION("""COMPUTED_VALUE"""),"นางสาว")</f>
        <v>นางสาว</v>
      </c>
      <c r="G1052" t="str">
        <f>IFERROR(__xludf.DUMMYFUNCTION("""COMPUTED_VALUE"""),"ณัฐณิชา")</f>
        <v>ณัฐณิชา</v>
      </c>
      <c r="H1052" t="str">
        <f>IFERROR(__xludf.DUMMYFUNCTION("""COMPUTED_VALUE"""),"พิศสุวรรณ์")</f>
        <v>พิศสุวรรณ์</v>
      </c>
      <c r="I1052" t="str">
        <f>IFERROR(__xludf.DUMMYFUNCTION("""COMPUTED_VALUE"""),"ณัฐณิชา พิศสุวรรณ์")</f>
        <v>ณัฐณิชา พิศสุวรรณ์</v>
      </c>
      <c r="J1052" t="str">
        <f>IFERROR(__xludf.DUMMYFUNCTION("""COMPUTED_VALUE"""),"Nicha / ณิชา")</f>
        <v>Nicha / ณิชา</v>
      </c>
      <c r="K1052" t="str">
        <f>IFERROR(__xludf.DUMMYFUNCTION("""COMPUTED_VALUE"""),"Cabin Crew")</f>
        <v>Cabin Crew</v>
      </c>
      <c r="L1052" t="str">
        <f>IFERROR(__xludf.DUMMYFUNCTION("""COMPUTED_VALUE"""),"DMK")</f>
        <v>DMK</v>
      </c>
      <c r="M1052" s="145" t="str">
        <f>IFERROR(__xludf.DUMMYFUNCTION("""COMPUTED_VALUE"""),"Nhui Home")</f>
        <v>Nhui Home</v>
      </c>
      <c r="N1052" t="str">
        <f>IFERROR(__xludf.DUMMYFUNCTION("""COMPUTED_VALUE"""),"Active")</f>
        <v>Active</v>
      </c>
      <c r="P1052" s="159">
        <f>IFERROR(__xludf.DUMMYFUNCTION("""COMPUTED_VALUE"""),34971.0)</f>
        <v>34971</v>
      </c>
      <c r="Q1052" s="146">
        <f>IFERROR(__xludf.DUMMYFUNCTION("""COMPUTED_VALUE"""),9.23915159E8)</f>
        <v>923915159</v>
      </c>
      <c r="R1052" s="147">
        <f>IFERROR(__xludf.DUMMYFUNCTION("""COMPUTED_VALUE"""),1.909800972897E12)</f>
        <v>1909800972897</v>
      </c>
      <c r="S1052" t="str">
        <f>IFERROR(__xludf.DUMMYFUNCTION("""COMPUTED_VALUE"""),"AC6229744")</f>
        <v>AC6229744</v>
      </c>
      <c r="T1052" s="148">
        <f>IFERROR(__xludf.DUMMYFUNCTION("""COMPUTED_VALUE"""),45301.0)</f>
        <v>45301</v>
      </c>
      <c r="U1052" s="148">
        <f>IFERROR(__xludf.DUMMYFUNCTION("""COMPUTED_VALUE"""),48953.0)</f>
        <v>48953</v>
      </c>
      <c r="V1052" s="149">
        <f>IFERROR(__xludf.DUMMYFUNCTION("""COMPUTED_VALUE"""),48769.0)</f>
        <v>48769</v>
      </c>
      <c r="W1052" t="str">
        <f>IFERROR(__xludf.DUMMYFUNCTION("""COMPUTED_VALUE"""),"ปลอดภัย")</f>
        <v>ปลอดภัย</v>
      </c>
      <c r="X1052" t="str">
        <f>IFERROR(__xludf.DUMMYFUNCTION("""COMPUTED_VALUE"""),"Songkhla Province")</f>
        <v>Songkhla Province</v>
      </c>
      <c r="Y1052" t="str">
        <f>IFERROR(__xludf.DUMMYFUNCTION("""COMPUTED_VALUE"""),"Bangkok")</f>
        <v>Bangkok</v>
      </c>
      <c r="Z1052" s="145" t="str">
        <f>IFERROR(__xludf.DUMMYFUNCTION("""COMPUTED_VALUE"""),"0949647445")</f>
        <v>0949647445</v>
      </c>
      <c r="AA1052" t="str">
        <f>IFERROR(__xludf.DUMMYFUNCTION("""COMPUTED_VALUE"""),"นพรัตน์ พิศสุวรรณ์ Mother")</f>
        <v>นพรัตน์ พิศสุวรรณ์ Mother</v>
      </c>
      <c r="AB1052" t="str">
        <f>IFERROR(__xludf.DUMMYFUNCTION("""COMPUTED_VALUE"""),"nutnichapitsuwan@airasia.com")</f>
        <v>nutnichapitsuwan@airasia.com</v>
      </c>
    </row>
    <row r="1053">
      <c r="A1053">
        <f>IFERROR(__xludf.DUMMYFUNCTION("""COMPUTED_VALUE"""),1029036.0)</f>
        <v>1029036</v>
      </c>
      <c r="B1053" t="str">
        <f>IFERROR(__xludf.DUMMYFUNCTION("""COMPUTED_VALUE"""),"Ms.")</f>
        <v>Ms.</v>
      </c>
      <c r="C1053" t="str">
        <f>IFERROR(__xludf.DUMMYFUNCTION("""COMPUTED_VALUE"""),"Sornsawan")</f>
        <v>Sornsawan</v>
      </c>
      <c r="D1053" t="str">
        <f>IFERROR(__xludf.DUMMYFUNCTION("""COMPUTED_VALUE"""),"Meksung")</f>
        <v>Meksung</v>
      </c>
      <c r="E1053" t="str">
        <f>IFERROR(__xludf.DUMMYFUNCTION("""COMPUTED_VALUE"""),"Sornsawan Meksung")</f>
        <v>Sornsawan Meksung</v>
      </c>
      <c r="F1053" t="str">
        <f>IFERROR(__xludf.DUMMYFUNCTION("""COMPUTED_VALUE"""),"นางสาว")</f>
        <v>นางสาว</v>
      </c>
      <c r="G1053" t="str">
        <f>IFERROR(__xludf.DUMMYFUNCTION("""COMPUTED_VALUE"""),"ศรสวรรค์")</f>
        <v>ศรสวรรค์</v>
      </c>
      <c r="H1053" t="str">
        <f>IFERROR(__xludf.DUMMYFUNCTION("""COMPUTED_VALUE"""),"เมฆสังข์")</f>
        <v>เมฆสังข์</v>
      </c>
      <c r="I1053" t="str">
        <f>IFERROR(__xludf.DUMMYFUNCTION("""COMPUTED_VALUE"""),"ศรสวรรค์ เมฆสังข์")</f>
        <v>ศรสวรรค์ เมฆสังข์</v>
      </c>
      <c r="J1053" t="str">
        <f>IFERROR(__xludf.DUMMYFUNCTION("""COMPUTED_VALUE"""),"แป้ง")</f>
        <v>แป้ง</v>
      </c>
      <c r="K1053" t="str">
        <f>IFERROR(__xludf.DUMMYFUNCTION("""COMPUTED_VALUE"""),"Cabin Crew")</f>
        <v>Cabin Crew</v>
      </c>
      <c r="L1053" t="str">
        <f>IFERROR(__xludf.DUMMYFUNCTION("""COMPUTED_VALUE"""),"DMK")</f>
        <v>DMK</v>
      </c>
      <c r="M1053" s="145" t="str">
        <f>IFERROR(__xludf.DUMMYFUNCTION("""COMPUTED_VALUE"""),"Toffy Home")</f>
        <v>Toffy Home</v>
      </c>
      <c r="N1053" t="str">
        <f>IFERROR(__xludf.DUMMYFUNCTION("""COMPUTED_VALUE"""),"Active")</f>
        <v>Active</v>
      </c>
      <c r="P1053" s="159">
        <f>IFERROR(__xludf.DUMMYFUNCTION("""COMPUTED_VALUE"""),35016.0)</f>
        <v>35016</v>
      </c>
      <c r="Q1053" s="146" t="str">
        <f>IFERROR(__xludf.DUMMYFUNCTION("""COMPUTED_VALUE"""),"062-6614197")</f>
        <v>062-6614197</v>
      </c>
      <c r="R1053" s="147">
        <f>IFERROR(__xludf.DUMMYFUNCTION("""COMPUTED_VALUE"""),1.539900517265E12)</f>
        <v>1539900517265</v>
      </c>
      <c r="S1053" t="str">
        <f>IFERROR(__xludf.DUMMYFUNCTION("""COMPUTED_VALUE"""),"AC4984364")</f>
        <v>AC4984364</v>
      </c>
      <c r="T1053" s="148">
        <f>IFERROR(__xludf.DUMMYFUNCTION("""COMPUTED_VALUE"""),45083.0)</f>
        <v>45083</v>
      </c>
      <c r="U1053" s="148">
        <f>IFERROR(__xludf.DUMMYFUNCTION("""COMPUTED_VALUE"""),46909.0)</f>
        <v>46909</v>
      </c>
      <c r="V1053" s="149">
        <f>IFERROR(__xludf.DUMMYFUNCTION("""COMPUTED_VALUE"""),46726.0)</f>
        <v>46726</v>
      </c>
      <c r="W1053" t="str">
        <f>IFERROR(__xludf.DUMMYFUNCTION("""COMPUTED_VALUE"""),"ปลอดภัย")</f>
        <v>ปลอดภัย</v>
      </c>
      <c r="X1053" t="str">
        <f>IFERROR(__xludf.DUMMYFUNCTION("""COMPUTED_VALUE"""),"Uttaradit Province")</f>
        <v>Uttaradit Province</v>
      </c>
      <c r="Y1053" t="str">
        <f>IFERROR(__xludf.DUMMYFUNCTION("""COMPUTED_VALUE"""),"Bangkok")</f>
        <v>Bangkok</v>
      </c>
      <c r="Z1053" s="145" t="str">
        <f>IFERROR(__xludf.DUMMYFUNCTION("""COMPUTED_VALUE"""),"099-239-3899")</f>
        <v>099-239-3899</v>
      </c>
      <c r="AA1053" t="str">
        <f>IFERROR(__xludf.DUMMYFUNCTION("""COMPUTED_VALUE"""),"นายพีรพงษ์ พงษ์ภักดี Friend")</f>
        <v>นายพีรพงษ์ พงษ์ภักดี Friend</v>
      </c>
      <c r="AB1053" t="str">
        <f>IFERROR(__xludf.DUMMYFUNCTION("""COMPUTED_VALUE"""),"sornsawanmeksung@airasia.com")</f>
        <v>sornsawanmeksung@airasia.com</v>
      </c>
    </row>
    <row r="1054">
      <c r="A1054">
        <f>IFERROR(__xludf.DUMMYFUNCTION("""COMPUTED_VALUE"""),1027515.0)</f>
        <v>1027515</v>
      </c>
      <c r="B1054" t="str">
        <f>IFERROR(__xludf.DUMMYFUNCTION("""COMPUTED_VALUE"""),"Ms.")</f>
        <v>Ms.</v>
      </c>
      <c r="C1054" t="str">
        <f>IFERROR(__xludf.DUMMYFUNCTION("""COMPUTED_VALUE"""),"Kantaporn")</f>
        <v>Kantaporn</v>
      </c>
      <c r="D1054" t="str">
        <f>IFERROR(__xludf.DUMMYFUNCTION("""COMPUTED_VALUE"""),"Dechchu")</f>
        <v>Dechchu</v>
      </c>
      <c r="E1054" t="str">
        <f>IFERROR(__xludf.DUMMYFUNCTION("""COMPUTED_VALUE"""),"Kantaporn Dechchu")</f>
        <v>Kantaporn Dechchu</v>
      </c>
      <c r="F1054" t="str">
        <f>IFERROR(__xludf.DUMMYFUNCTION("""COMPUTED_VALUE"""),"นางสาว")</f>
        <v>นางสาว</v>
      </c>
      <c r="G1054" t="str">
        <f>IFERROR(__xludf.DUMMYFUNCTION("""COMPUTED_VALUE"""),"กันตพร")</f>
        <v>กันตพร</v>
      </c>
      <c r="H1054" t="str">
        <f>IFERROR(__xludf.DUMMYFUNCTION("""COMPUTED_VALUE"""),"เดชชู")</f>
        <v>เดชชู</v>
      </c>
      <c r="I1054" t="str">
        <f>IFERROR(__xludf.DUMMYFUNCTION("""COMPUTED_VALUE"""),"กันตพร เดชชู")</f>
        <v>กันตพร เดชชู</v>
      </c>
      <c r="J1054" t="str">
        <f>IFERROR(__xludf.DUMMYFUNCTION("""COMPUTED_VALUE"""),"กันต์")</f>
        <v>กันต์</v>
      </c>
      <c r="K1054" t="str">
        <f>IFERROR(__xludf.DUMMYFUNCTION("""COMPUTED_VALUE"""),"Cabin Crew")</f>
        <v>Cabin Crew</v>
      </c>
      <c r="L1054" t="str">
        <f>IFERROR(__xludf.DUMMYFUNCTION("""COMPUTED_VALUE"""),"DMK")</f>
        <v>DMK</v>
      </c>
      <c r="M1054" s="145" t="str">
        <f>IFERROR(__xludf.DUMMYFUNCTION("""COMPUTED_VALUE"""),"Up Home")</f>
        <v>Up Home</v>
      </c>
      <c r="N1054" t="str">
        <f>IFERROR(__xludf.DUMMYFUNCTION("""COMPUTED_VALUE"""),"Active")</f>
        <v>Active</v>
      </c>
      <c r="P1054" s="159">
        <f>IFERROR(__xludf.DUMMYFUNCTION("""COMPUTED_VALUE"""),34449.0)</f>
        <v>34449</v>
      </c>
      <c r="Q1054" s="146">
        <f>IFERROR(__xludf.DUMMYFUNCTION("""COMPUTED_VALUE"""),8.97313723E8)</f>
        <v>897313723</v>
      </c>
      <c r="R1054" s="147">
        <f>IFERROR(__xludf.DUMMYFUNCTION("""COMPUTED_VALUE"""),1.939900248881E12)</f>
        <v>1939900248881</v>
      </c>
      <c r="S1054" t="str">
        <f>IFERROR(__xludf.DUMMYFUNCTION("""COMPUTED_VALUE"""),"AC3099250")</f>
        <v>AC3099250</v>
      </c>
      <c r="T1054" s="148">
        <f>IFERROR(__xludf.DUMMYFUNCTION("""COMPUTED_VALUE"""),44688.0)</f>
        <v>44688</v>
      </c>
      <c r="U1054" s="148">
        <f>IFERROR(__xludf.DUMMYFUNCTION("""COMPUTED_VALUE"""),48340.0)</f>
        <v>48340</v>
      </c>
      <c r="V1054" s="149">
        <f>IFERROR(__xludf.DUMMYFUNCTION("""COMPUTED_VALUE"""),48158.0)</f>
        <v>48158</v>
      </c>
      <c r="W1054" t="str">
        <f>IFERROR(__xludf.DUMMYFUNCTION("""COMPUTED_VALUE"""),"ปลอดภัย")</f>
        <v>ปลอดภัย</v>
      </c>
      <c r="X1054" t="str">
        <f>IFERROR(__xludf.DUMMYFUNCTION("""COMPUTED_VALUE"""),"Phatthalung Province")</f>
        <v>Phatthalung Province</v>
      </c>
      <c r="Y1054" t="str">
        <f>IFERROR(__xludf.DUMMYFUNCTION("""COMPUTED_VALUE"""),"Krabi")</f>
        <v>Krabi</v>
      </c>
      <c r="Z1054" s="145" t="str">
        <f>IFERROR(__xludf.DUMMYFUNCTION("""COMPUTED_VALUE"""),"0876298256")</f>
        <v>0876298256</v>
      </c>
      <c r="AA1054" t="str">
        <f>IFERROR(__xludf.DUMMYFUNCTION("""COMPUTED_VALUE"""),"นางอารีรัตน์ เดชชู Mother")</f>
        <v>นางอารีรัตน์ เดชชู Mother</v>
      </c>
      <c r="AB1054" t="str">
        <f>IFERROR(__xludf.DUMMYFUNCTION("""COMPUTED_VALUE"""),"kantaporndechchu@airasia.com")</f>
        <v>kantaporndechchu@airasia.com</v>
      </c>
    </row>
    <row r="1055">
      <c r="A1055">
        <f>IFERROR(__xludf.DUMMYFUNCTION("""COMPUTED_VALUE"""),1023140.0)</f>
        <v>1023140</v>
      </c>
      <c r="B1055" t="str">
        <f>IFERROR(__xludf.DUMMYFUNCTION("""COMPUTED_VALUE"""),"Mr.")</f>
        <v>Mr.</v>
      </c>
      <c r="C1055" t="str">
        <f>IFERROR(__xludf.DUMMYFUNCTION("""COMPUTED_VALUE"""),"Muhammadreeduan")</f>
        <v>Muhammadreeduan</v>
      </c>
      <c r="D1055" t="str">
        <f>IFERROR(__xludf.DUMMYFUNCTION("""COMPUTED_VALUE"""),"Madoromae")</f>
        <v>Madoromae</v>
      </c>
      <c r="E1055" t="str">
        <f>IFERROR(__xludf.DUMMYFUNCTION("""COMPUTED_VALUE"""),"Muhammadreeduan Madoromae")</f>
        <v>Muhammadreeduan Madoromae</v>
      </c>
      <c r="F1055" t="str">
        <f>IFERROR(__xludf.DUMMYFUNCTION("""COMPUTED_VALUE"""),"นาย")</f>
        <v>นาย</v>
      </c>
      <c r="G1055" t="str">
        <f>IFERROR(__xludf.DUMMYFUNCTION("""COMPUTED_VALUE"""),"มูฮัมหมัดรีดวน")</f>
        <v>มูฮัมหมัดรีดวน</v>
      </c>
      <c r="H1055" t="str">
        <f>IFERROR(__xludf.DUMMYFUNCTION("""COMPUTED_VALUE"""),"มะดอรอรแม")</f>
        <v>มะดอรอรแม</v>
      </c>
      <c r="I1055" t="str">
        <f>IFERROR(__xludf.DUMMYFUNCTION("""COMPUTED_VALUE"""),"มูฮัมหมัดรีดวน มะดอรอรแม")</f>
        <v>มูฮัมหมัดรีดวน มะดอรอรแม</v>
      </c>
      <c r="J1055" t="str">
        <f>IFERROR(__xludf.DUMMYFUNCTION("""COMPUTED_VALUE"""),"วัน")</f>
        <v>วัน</v>
      </c>
      <c r="K1055" t="str">
        <f>IFERROR(__xludf.DUMMYFUNCTION("""COMPUTED_VALUE"""),"Cabin Crew")</f>
        <v>Cabin Crew</v>
      </c>
      <c r="L1055" t="str">
        <f>IFERROR(__xludf.DUMMYFUNCTION("""COMPUTED_VALUE"""),"DMK")</f>
        <v>DMK</v>
      </c>
      <c r="M1055" s="145" t="str">
        <f>IFERROR(__xludf.DUMMYFUNCTION("""COMPUTED_VALUE"""),"Namfon Home")</f>
        <v>Namfon Home</v>
      </c>
      <c r="N1055" t="str">
        <f>IFERROR(__xludf.DUMMYFUNCTION("""COMPUTED_VALUE"""),"Active")</f>
        <v>Active</v>
      </c>
      <c r="P1055" s="159">
        <f>IFERROR(__xludf.DUMMYFUNCTION("""COMPUTED_VALUE"""),34467.0)</f>
        <v>34467</v>
      </c>
      <c r="Q1055" s="146" t="str">
        <f>IFERROR(__xludf.DUMMYFUNCTION("""COMPUTED_VALUE"""),"088-758-6920")</f>
        <v>088-758-6920</v>
      </c>
      <c r="R1055" s="147">
        <f>IFERROR(__xludf.DUMMYFUNCTION("""COMPUTED_VALUE"""),1.969900189302E12)</f>
        <v>1969900189302</v>
      </c>
      <c r="S1055" t="str">
        <f>IFERROR(__xludf.DUMMYFUNCTION("""COMPUTED_VALUE"""),"AD0445483")</f>
        <v>AD0445483</v>
      </c>
      <c r="T1055" s="148">
        <f>IFERROR(__xludf.DUMMYFUNCTION("""COMPUTED_VALUE"""),44876.0)</f>
        <v>44876</v>
      </c>
      <c r="U1055" s="148">
        <f>IFERROR(__xludf.DUMMYFUNCTION("""COMPUTED_VALUE"""),48528.0)</f>
        <v>48528</v>
      </c>
      <c r="V1055" s="149">
        <f>IFERROR(__xludf.DUMMYFUNCTION("""COMPUTED_VALUE"""),48344.0)</f>
        <v>48344</v>
      </c>
      <c r="W1055" t="str">
        <f>IFERROR(__xludf.DUMMYFUNCTION("""COMPUTED_VALUE"""),"ปลอดภัย")</f>
        <v>ปลอดภัย</v>
      </c>
      <c r="X1055" t="str">
        <f>IFERROR(__xludf.DUMMYFUNCTION("""COMPUTED_VALUE"""),"Narathiwat Province")</f>
        <v>Narathiwat Province</v>
      </c>
      <c r="Y1055" t="str">
        <f>IFERROR(__xludf.DUMMYFUNCTION("""COMPUTED_VALUE"""),"Narathiwat")</f>
        <v>Narathiwat</v>
      </c>
      <c r="Z1055" s="145" t="str">
        <f>IFERROR(__xludf.DUMMYFUNCTION("""COMPUTED_VALUE"""),"0612058383")</f>
        <v>0612058383</v>
      </c>
      <c r="AA1055" t="str">
        <f>IFERROR(__xludf.DUMMYFUNCTION("""COMPUTED_VALUE"""),"นางเพ็ญวิภา แวยูโซะ Mother")</f>
        <v>นางเพ็ญวิภา แวยูโซะ Mother</v>
      </c>
      <c r="AB1055" t="str">
        <f>IFERROR(__xludf.DUMMYFUNCTION("""COMPUTED_VALUE"""),"muhammadreeduanmado@airasia.com")</f>
        <v>muhammadreeduanmado@airasia.com</v>
      </c>
    </row>
    <row r="1056">
      <c r="A1056">
        <f>IFERROR(__xludf.DUMMYFUNCTION("""COMPUTED_VALUE"""),1012236.0)</f>
        <v>1012236</v>
      </c>
      <c r="B1056" t="str">
        <f>IFERROR(__xludf.DUMMYFUNCTION("""COMPUTED_VALUE"""),"Mr.")</f>
        <v>Mr.</v>
      </c>
      <c r="C1056" t="str">
        <f>IFERROR(__xludf.DUMMYFUNCTION("""COMPUTED_VALUE"""),"Anucha")</f>
        <v>Anucha</v>
      </c>
      <c r="D1056" t="str">
        <f>IFERROR(__xludf.DUMMYFUNCTION("""COMPUTED_VALUE"""),"Panyachai")</f>
        <v>Panyachai</v>
      </c>
      <c r="E1056" t="str">
        <f>IFERROR(__xludf.DUMMYFUNCTION("""COMPUTED_VALUE"""),"Anucha Panyachai")</f>
        <v>Anucha Panyachai</v>
      </c>
      <c r="F1056" t="str">
        <f>IFERROR(__xludf.DUMMYFUNCTION("""COMPUTED_VALUE"""),"นาย")</f>
        <v>นาย</v>
      </c>
      <c r="G1056" t="str">
        <f>IFERROR(__xludf.DUMMYFUNCTION("""COMPUTED_VALUE"""),"อนุชา")</f>
        <v>อนุชา</v>
      </c>
      <c r="H1056" t="str">
        <f>IFERROR(__xludf.DUMMYFUNCTION("""COMPUTED_VALUE"""),"ปัญญาชัย")</f>
        <v>ปัญญาชัย</v>
      </c>
      <c r="I1056" t="str">
        <f>IFERROR(__xludf.DUMMYFUNCTION("""COMPUTED_VALUE"""),"อนุชา ปัญญาชัย")</f>
        <v>อนุชา ปัญญาชัย</v>
      </c>
      <c r="J1056" t="str">
        <f>IFERROR(__xludf.DUMMYFUNCTION("""COMPUTED_VALUE"""),"Bank / แบงค์")</f>
        <v>Bank / แบงค์</v>
      </c>
      <c r="K1056" t="str">
        <f>IFERROR(__xludf.DUMMYFUNCTION("""COMPUTED_VALUE"""),"Cabin Crew")</f>
        <v>Cabin Crew</v>
      </c>
      <c r="L1056" t="str">
        <f>IFERROR(__xludf.DUMMYFUNCTION("""COMPUTED_VALUE"""),"DMK")</f>
        <v>DMK</v>
      </c>
      <c r="M1056" s="145" t="str">
        <f>IFERROR(__xludf.DUMMYFUNCTION("""COMPUTED_VALUE"""),"Namfon Home")</f>
        <v>Namfon Home</v>
      </c>
      <c r="N1056" t="str">
        <f>IFERROR(__xludf.DUMMYFUNCTION("""COMPUTED_VALUE"""),"Active")</f>
        <v>Active</v>
      </c>
      <c r="P1056" s="159">
        <f>IFERROR(__xludf.DUMMYFUNCTION("""COMPUTED_VALUE"""),34053.0)</f>
        <v>34053</v>
      </c>
      <c r="Q1056" s="146">
        <f>IFERROR(__xludf.DUMMYFUNCTION("""COMPUTED_VALUE"""),8.21876656E8)</f>
        <v>821876656</v>
      </c>
      <c r="R1056" s="147">
        <f>IFERROR(__xludf.DUMMYFUNCTION("""COMPUTED_VALUE"""),1.500900166545E12)</f>
        <v>1500900166545</v>
      </c>
      <c r="S1056" t="str">
        <f>IFERROR(__xludf.DUMMYFUNCTION("""COMPUTED_VALUE"""),"AC3626528")</f>
        <v>AC3626528</v>
      </c>
      <c r="T1056" s="148">
        <f>IFERROR(__xludf.DUMMYFUNCTION("""COMPUTED_VALUE"""),44761.0)</f>
        <v>44761</v>
      </c>
      <c r="U1056" s="148">
        <f>IFERROR(__xludf.DUMMYFUNCTION("""COMPUTED_VALUE"""),48413.0)</f>
        <v>48413</v>
      </c>
      <c r="V1056" s="149">
        <f>IFERROR(__xludf.DUMMYFUNCTION("""COMPUTED_VALUE"""),48231.0)</f>
        <v>48231</v>
      </c>
      <c r="W1056" t="str">
        <f>IFERROR(__xludf.DUMMYFUNCTION("""COMPUTED_VALUE"""),"ปลอดภัย")</f>
        <v>ปลอดภัย</v>
      </c>
      <c r="X1056" t="str">
        <f>IFERROR(__xludf.DUMMYFUNCTION("""COMPUTED_VALUE"""),"Chiang Mai Province")</f>
        <v>Chiang Mai Province</v>
      </c>
      <c r="Y1056" t="str">
        <f>IFERROR(__xludf.DUMMYFUNCTION("""COMPUTED_VALUE"""),"Bangkok")</f>
        <v>Bangkok</v>
      </c>
      <c r="Z1056" s="145" t="str">
        <f>IFERROR(__xludf.DUMMYFUNCTION("""COMPUTED_VALUE"""),"0856222130")</f>
        <v>0856222130</v>
      </c>
      <c r="AA1056" t="str">
        <f>IFERROR(__xludf.DUMMYFUNCTION("""COMPUTED_VALUE"""),"นางสาวเอมมิกา ปัญญาชัย Sister")</f>
        <v>นางสาวเอมมิกา ปัญญาชัย Sister</v>
      </c>
      <c r="AB1056" t="str">
        <f>IFERROR(__xludf.DUMMYFUNCTION("""COMPUTED_VALUE"""),"anuchay@airasia.com")</f>
        <v>anuchay@airasia.com</v>
      </c>
    </row>
    <row r="1057">
      <c r="A1057">
        <f>IFERROR(__xludf.DUMMYFUNCTION("""COMPUTED_VALUE"""),1025144.0)</f>
        <v>1025144</v>
      </c>
      <c r="B1057" t="str">
        <f>IFERROR(__xludf.DUMMYFUNCTION("""COMPUTED_VALUE"""),"Ms.")</f>
        <v>Ms.</v>
      </c>
      <c r="C1057" t="str">
        <f>IFERROR(__xludf.DUMMYFUNCTION("""COMPUTED_VALUE"""),"Maythawee")</f>
        <v>Maythawee</v>
      </c>
      <c r="D1057" t="str">
        <f>IFERROR(__xludf.DUMMYFUNCTION("""COMPUTED_VALUE"""),"Krabuansri")</f>
        <v>Krabuansri</v>
      </c>
      <c r="E1057" t="str">
        <f>IFERROR(__xludf.DUMMYFUNCTION("""COMPUTED_VALUE"""),"Maythawee Krabuansri")</f>
        <v>Maythawee Krabuansri</v>
      </c>
      <c r="F1057" t="str">
        <f>IFERROR(__xludf.DUMMYFUNCTION("""COMPUTED_VALUE"""),"นางสาว")</f>
        <v>นางสาว</v>
      </c>
      <c r="G1057" t="str">
        <f>IFERROR(__xludf.DUMMYFUNCTION("""COMPUTED_VALUE"""),"เมธาวี")</f>
        <v>เมธาวี</v>
      </c>
      <c r="H1057" t="str">
        <f>IFERROR(__xludf.DUMMYFUNCTION("""COMPUTED_VALUE"""),"กระบวนศรี")</f>
        <v>กระบวนศรี</v>
      </c>
      <c r="I1057" t="str">
        <f>IFERROR(__xludf.DUMMYFUNCTION("""COMPUTED_VALUE"""),"เมธาวี กระบวนศรี")</f>
        <v>เมธาวี กระบวนศรี</v>
      </c>
      <c r="J1057" t="str">
        <f>IFERROR(__xludf.DUMMYFUNCTION("""COMPUTED_VALUE"""),"Mayya / เมญ่า")</f>
        <v>Mayya / เมญ่า</v>
      </c>
      <c r="K1057" t="str">
        <f>IFERROR(__xludf.DUMMYFUNCTION("""COMPUTED_VALUE"""),"Cabin Crew")</f>
        <v>Cabin Crew</v>
      </c>
      <c r="L1057" t="str">
        <f>IFERROR(__xludf.DUMMYFUNCTION("""COMPUTED_VALUE"""),"DMK")</f>
        <v>DMK</v>
      </c>
      <c r="M1057" s="145" t="str">
        <f>IFERROR(__xludf.DUMMYFUNCTION("""COMPUTED_VALUE"""),"Kor Home")</f>
        <v>Kor Home</v>
      </c>
      <c r="N1057" t="str">
        <f>IFERROR(__xludf.DUMMYFUNCTION("""COMPUTED_VALUE"""),"Active")</f>
        <v>Active</v>
      </c>
      <c r="P1057" s="159">
        <f>IFERROR(__xludf.DUMMYFUNCTION("""COMPUTED_VALUE"""),33685.0)</f>
        <v>33685</v>
      </c>
      <c r="Q1057" s="146">
        <f>IFERROR(__xludf.DUMMYFUNCTION("""COMPUTED_VALUE"""),9.74239165E8)</f>
        <v>974239165</v>
      </c>
      <c r="R1057" s="147">
        <f>IFERROR(__xludf.DUMMYFUNCTION("""COMPUTED_VALUE"""),1.101500577569E12)</f>
        <v>1101500577569</v>
      </c>
      <c r="S1057" t="str">
        <f>IFERROR(__xludf.DUMMYFUNCTION("""COMPUTED_VALUE"""),"AC4203336")</f>
        <v>AC4203336</v>
      </c>
      <c r="T1057" s="148">
        <f>IFERROR(__xludf.DUMMYFUNCTION("""COMPUTED_VALUE"""),44893.0)</f>
        <v>44893</v>
      </c>
      <c r="U1057" s="148">
        <f>IFERROR(__xludf.DUMMYFUNCTION("""COMPUTED_VALUE"""),48545.0)</f>
        <v>48545</v>
      </c>
      <c r="V1057" s="149">
        <f>IFERROR(__xludf.DUMMYFUNCTION("""COMPUTED_VALUE"""),48361.0)</f>
        <v>48361</v>
      </c>
      <c r="W1057" t="str">
        <f>IFERROR(__xludf.DUMMYFUNCTION("""COMPUTED_VALUE"""),"ปลอดภัย")</f>
        <v>ปลอดภัย</v>
      </c>
      <c r="X1057" t="str">
        <f>IFERROR(__xludf.DUMMYFUNCTION("""COMPUTED_VALUE"""),"Bangkok")</f>
        <v>Bangkok</v>
      </c>
      <c r="Y1057" t="str">
        <f>IFERROR(__xludf.DUMMYFUNCTION("""COMPUTED_VALUE"""),"Bangkok")</f>
        <v>Bangkok</v>
      </c>
      <c r="Z1057" s="145" t="str">
        <f>IFERROR(__xludf.DUMMYFUNCTION("""COMPUTED_VALUE"""),"0914459164")</f>
        <v>0914459164</v>
      </c>
      <c r="AA1057" t="str">
        <f>IFERROR(__xludf.DUMMYFUNCTION("""COMPUTED_VALUE"""),"นายฐณชล วีรทัตประภา Friend")</f>
        <v>นายฐณชล วีรทัตประภา Friend</v>
      </c>
      <c r="AB1057" t="str">
        <f>IFERROR(__xludf.DUMMYFUNCTION("""COMPUTED_VALUE"""),"maythaweekrabuansri@airasia.com")</f>
        <v>maythaweekrabuansri@airasia.com</v>
      </c>
    </row>
    <row r="1058">
      <c r="A1058">
        <f>IFERROR(__xludf.DUMMYFUNCTION("""COMPUTED_VALUE"""),1021432.0)</f>
        <v>1021432</v>
      </c>
      <c r="B1058" t="str">
        <f>IFERROR(__xludf.DUMMYFUNCTION("""COMPUTED_VALUE"""),"Mr.")</f>
        <v>Mr.</v>
      </c>
      <c r="C1058" t="str">
        <f>IFERROR(__xludf.DUMMYFUNCTION("""COMPUTED_VALUE"""),"Nuttapong")</f>
        <v>Nuttapong</v>
      </c>
      <c r="D1058" t="str">
        <f>IFERROR(__xludf.DUMMYFUNCTION("""COMPUTED_VALUE"""),"Pumcharoen")</f>
        <v>Pumcharoen</v>
      </c>
      <c r="E1058" t="str">
        <f>IFERROR(__xludf.DUMMYFUNCTION("""COMPUTED_VALUE"""),"Nuttapong Pumcharoen")</f>
        <v>Nuttapong Pumcharoen</v>
      </c>
      <c r="F1058" t="str">
        <f>IFERROR(__xludf.DUMMYFUNCTION("""COMPUTED_VALUE"""),"นาย")</f>
        <v>นาย</v>
      </c>
      <c r="G1058" t="str">
        <f>IFERROR(__xludf.DUMMYFUNCTION("""COMPUTED_VALUE"""),"นัทพงษ์")</f>
        <v>นัทพงษ์</v>
      </c>
      <c r="H1058" t="str">
        <f>IFERROR(__xludf.DUMMYFUNCTION("""COMPUTED_VALUE"""),"พุ่มเจริญ")</f>
        <v>พุ่มเจริญ</v>
      </c>
      <c r="I1058" t="str">
        <f>IFERROR(__xludf.DUMMYFUNCTION("""COMPUTED_VALUE"""),"นัทพงษ์ พุ่มเจริญ")</f>
        <v>นัทพงษ์ พุ่มเจริญ</v>
      </c>
      <c r="J1058" t="str">
        <f>IFERROR(__xludf.DUMMYFUNCTION("""COMPUTED_VALUE"""),"Benz / เบนซ์")</f>
        <v>Benz / เบนซ์</v>
      </c>
      <c r="K1058" t="str">
        <f>IFERROR(__xludf.DUMMYFUNCTION("""COMPUTED_VALUE"""),"Cabin Crew")</f>
        <v>Cabin Crew</v>
      </c>
      <c r="L1058" t="str">
        <f>IFERROR(__xludf.DUMMYFUNCTION("""COMPUTED_VALUE"""),"DMK")</f>
        <v>DMK</v>
      </c>
      <c r="M1058" s="145" t="str">
        <f>IFERROR(__xludf.DUMMYFUNCTION("""COMPUTED_VALUE"""),"Por+ Home")</f>
        <v>Por+ Home</v>
      </c>
      <c r="N1058" t="str">
        <f>IFERROR(__xludf.DUMMYFUNCTION("""COMPUTED_VALUE"""),"Active")</f>
        <v>Active</v>
      </c>
      <c r="P1058" s="159">
        <f>IFERROR(__xludf.DUMMYFUNCTION("""COMPUTED_VALUE"""),33488.0)</f>
        <v>33488</v>
      </c>
      <c r="Q1058" s="146">
        <f>IFERROR(__xludf.DUMMYFUNCTION("""COMPUTED_VALUE"""),9.80140093E8)</f>
        <v>980140093</v>
      </c>
      <c r="R1058" s="147">
        <f>IFERROR(__xludf.DUMMYFUNCTION("""COMPUTED_VALUE"""),1.103700568883E12)</f>
        <v>1103700568883</v>
      </c>
      <c r="S1058" t="str">
        <f>IFERROR(__xludf.DUMMYFUNCTION("""COMPUTED_VALUE"""),"AC5992349")</f>
        <v>AC5992349</v>
      </c>
      <c r="T1058" s="148">
        <f>IFERROR(__xludf.DUMMYFUNCTION("""COMPUTED_VALUE"""),45593.0)</f>
        <v>45593</v>
      </c>
      <c r="U1058" s="148">
        <f>IFERROR(__xludf.DUMMYFUNCTION("""COMPUTED_VALUE"""),48879.0)</f>
        <v>48879</v>
      </c>
      <c r="V1058" s="149">
        <f>IFERROR(__xludf.DUMMYFUNCTION("""COMPUTED_VALUE"""),48696.0)</f>
        <v>48696</v>
      </c>
      <c r="W1058" t="str">
        <f>IFERROR(__xludf.DUMMYFUNCTION("""COMPUTED_VALUE"""),"ปลอดภัย")</f>
        <v>ปลอดภัย</v>
      </c>
      <c r="X1058" t="str">
        <f>IFERROR(__xludf.DUMMYFUNCTION("""COMPUTED_VALUE"""),"Bangkok")</f>
        <v>Bangkok</v>
      </c>
      <c r="Y1058" t="str">
        <f>IFERROR(__xludf.DUMMYFUNCTION("""COMPUTED_VALUE"""),"Bangkok")</f>
        <v>Bangkok</v>
      </c>
      <c r="Z1058" s="145" t="str">
        <f>IFERROR(__xludf.DUMMYFUNCTION("""COMPUTED_VALUE"""),"0654941592")</f>
        <v>0654941592</v>
      </c>
      <c r="AA1058" t="str">
        <f>IFERROR(__xludf.DUMMYFUNCTION("""COMPUTED_VALUE"""),"นางสาว ทิวทัศน์ สัตตรัตนขจร Friend")</f>
        <v>นางสาว ทิวทัศน์ สัตตรัตนขจร Friend</v>
      </c>
      <c r="AB1058" t="str">
        <f>IFERROR(__xludf.DUMMYFUNCTION("""COMPUTED_VALUE"""),"nuttapongm@airasia.com")</f>
        <v>nuttapongm@airasia.com</v>
      </c>
    </row>
    <row r="1059">
      <c r="A1059">
        <f>IFERROR(__xludf.DUMMYFUNCTION("""COMPUTED_VALUE"""),1012847.0)</f>
        <v>1012847</v>
      </c>
      <c r="B1059" t="str">
        <f>IFERROR(__xludf.DUMMYFUNCTION("""COMPUTED_VALUE"""),"Ms.")</f>
        <v>Ms.</v>
      </c>
      <c r="C1059" t="str">
        <f>IFERROR(__xludf.DUMMYFUNCTION("""COMPUTED_VALUE"""),"Alisa")</f>
        <v>Alisa</v>
      </c>
      <c r="D1059" t="str">
        <f>IFERROR(__xludf.DUMMYFUNCTION("""COMPUTED_VALUE"""),"Khunta")</f>
        <v>Khunta</v>
      </c>
      <c r="E1059" t="str">
        <f>IFERROR(__xludf.DUMMYFUNCTION("""COMPUTED_VALUE"""),"Alisa Khunta")</f>
        <v>Alisa Khunta</v>
      </c>
      <c r="F1059" t="str">
        <f>IFERROR(__xludf.DUMMYFUNCTION("""COMPUTED_VALUE"""),"นางสาว")</f>
        <v>นางสาว</v>
      </c>
      <c r="G1059" t="str">
        <f>IFERROR(__xludf.DUMMYFUNCTION("""COMPUTED_VALUE"""),"อลิศา")</f>
        <v>อลิศา</v>
      </c>
      <c r="H1059" t="str">
        <f>IFERROR(__xludf.DUMMYFUNCTION("""COMPUTED_VALUE"""),"ขันธะ")</f>
        <v>ขันธะ</v>
      </c>
      <c r="I1059" t="str">
        <f>IFERROR(__xludf.DUMMYFUNCTION("""COMPUTED_VALUE"""),"อลิศา ขันธะ")</f>
        <v>อลิศา ขันธะ</v>
      </c>
      <c r="J1059" t="str">
        <f>IFERROR(__xludf.DUMMYFUNCTION("""COMPUTED_VALUE"""),"Mudmee / มัดหมี่")</f>
        <v>Mudmee / มัดหมี่</v>
      </c>
      <c r="K1059" t="str">
        <f>IFERROR(__xludf.DUMMYFUNCTION("""COMPUTED_VALUE"""),"Cabin Crew - CNX")</f>
        <v>Cabin Crew - CNX</v>
      </c>
      <c r="L1059" t="str">
        <f>IFERROR(__xludf.DUMMYFUNCTION("""COMPUTED_VALUE"""),"CNX")</f>
        <v>CNX</v>
      </c>
      <c r="M1059" s="145" t="str">
        <f>IFERROR(__xludf.DUMMYFUNCTION("""COMPUTED_VALUE"""),"Up Home")</f>
        <v>Up Home</v>
      </c>
      <c r="N1059" t="str">
        <f>IFERROR(__xludf.DUMMYFUNCTION("""COMPUTED_VALUE"""),"Active")</f>
        <v>Active</v>
      </c>
      <c r="P1059" s="159">
        <f>IFERROR(__xludf.DUMMYFUNCTION("""COMPUTED_VALUE"""),33538.0)</f>
        <v>33538</v>
      </c>
      <c r="Q1059" s="146" t="str">
        <f>IFERROR(__xludf.DUMMYFUNCTION("""COMPUTED_VALUE"""),"098-923-6922")</f>
        <v>098-923-6922</v>
      </c>
      <c r="R1059" s="147">
        <f>IFERROR(__xludf.DUMMYFUNCTION("""COMPUTED_VALUE"""),1.500700129255E12)</f>
        <v>1500700129255</v>
      </c>
      <c r="S1059" t="str">
        <f>IFERROR(__xludf.DUMMYFUNCTION("""COMPUTED_VALUE"""),"AD1811724")</f>
        <v>AD1811724</v>
      </c>
      <c r="T1059" s="148">
        <f>IFERROR(__xludf.DUMMYFUNCTION("""COMPUTED_VALUE"""),45458.0)</f>
        <v>45458</v>
      </c>
      <c r="U1059" s="148">
        <f>IFERROR(__xludf.DUMMYFUNCTION("""COMPUTED_VALUE"""),49109.0)</f>
        <v>49109</v>
      </c>
      <c r="V1059" s="149">
        <f>IFERROR(__xludf.DUMMYFUNCTION("""COMPUTED_VALUE"""),48927.0)</f>
        <v>48927</v>
      </c>
      <c r="W1059" t="str">
        <f>IFERROR(__xludf.DUMMYFUNCTION("""COMPUTED_VALUE"""),"ปลอดภัย")</f>
        <v>ปลอดภัย</v>
      </c>
      <c r="X1059" t="str">
        <f>IFERROR(__xludf.DUMMYFUNCTION("""COMPUTED_VALUE"""),"Chiang Mai Province")</f>
        <v>Chiang Mai Province</v>
      </c>
      <c r="Y1059" t="str">
        <f>IFERROR(__xludf.DUMMYFUNCTION("""COMPUTED_VALUE"""),"Chiang Mai")</f>
        <v>Chiang Mai</v>
      </c>
      <c r="Z1059" s="145" t="str">
        <f>IFERROR(__xludf.DUMMYFUNCTION("""COMPUTED_VALUE"""),"094-830-1905")</f>
        <v>094-830-1905</v>
      </c>
      <c r="AA1059" t="str">
        <f>IFERROR(__xludf.DUMMYFUNCTION("""COMPUTED_VALUE"""),"นายไพศาล ขันธะ Father")</f>
        <v>นายไพศาล ขันธะ Father</v>
      </c>
      <c r="AB1059" t="str">
        <f>IFERROR(__xludf.DUMMYFUNCTION("""COMPUTED_VALUE"""),"alisak@airasia.com")</f>
        <v>alisak@airasia.com</v>
      </c>
    </row>
    <row r="1060">
      <c r="A1060">
        <f>IFERROR(__xludf.DUMMYFUNCTION("""COMPUTED_VALUE"""),1006109.0)</f>
        <v>1006109</v>
      </c>
      <c r="B1060" t="str">
        <f>IFERROR(__xludf.DUMMYFUNCTION("""COMPUTED_VALUE"""),"Ms.")</f>
        <v>Ms.</v>
      </c>
      <c r="C1060" t="str">
        <f>IFERROR(__xludf.DUMMYFUNCTION("""COMPUTED_VALUE"""),"Suthasinee")</f>
        <v>Suthasinee</v>
      </c>
      <c r="D1060" t="str">
        <f>IFERROR(__xludf.DUMMYFUNCTION("""COMPUTED_VALUE"""),"Kramsiri")</f>
        <v>Kramsiri</v>
      </c>
      <c r="E1060" t="str">
        <f>IFERROR(__xludf.DUMMYFUNCTION("""COMPUTED_VALUE"""),"Suthasinee Kramsiri")</f>
        <v>Suthasinee Kramsiri</v>
      </c>
      <c r="F1060" t="str">
        <f>IFERROR(__xludf.DUMMYFUNCTION("""COMPUTED_VALUE"""),"นางสาว")</f>
        <v>นางสาว</v>
      </c>
      <c r="G1060" t="str">
        <f>IFERROR(__xludf.DUMMYFUNCTION("""COMPUTED_VALUE"""),"สุธาสินี")</f>
        <v>สุธาสินี</v>
      </c>
      <c r="H1060" t="str">
        <f>IFERROR(__xludf.DUMMYFUNCTION("""COMPUTED_VALUE"""),"คร้ามศิริ")</f>
        <v>คร้ามศิริ</v>
      </c>
      <c r="I1060" t="str">
        <f>IFERROR(__xludf.DUMMYFUNCTION("""COMPUTED_VALUE"""),"สุธาสินี คร้ามศิริ")</f>
        <v>สุธาสินี คร้ามศิริ</v>
      </c>
      <c r="J1060" t="str">
        <f>IFERROR(__xludf.DUMMYFUNCTION("""COMPUTED_VALUE"""),"มิ้นท์")</f>
        <v>มิ้นท์</v>
      </c>
      <c r="K1060" t="str">
        <f>IFERROR(__xludf.DUMMYFUNCTION("""COMPUTED_VALUE"""),"Cabin Crew")</f>
        <v>Cabin Crew</v>
      </c>
      <c r="L1060" t="str">
        <f>IFERROR(__xludf.DUMMYFUNCTION("""COMPUTED_VALUE"""),"DMK")</f>
        <v>DMK</v>
      </c>
      <c r="M1060" s="145" t="str">
        <f>IFERROR(__xludf.DUMMYFUNCTION("""COMPUTED_VALUE"""),"Namfon Home")</f>
        <v>Namfon Home</v>
      </c>
      <c r="N1060" t="str">
        <f>IFERROR(__xludf.DUMMYFUNCTION("""COMPUTED_VALUE"""),"Active")</f>
        <v>Active</v>
      </c>
      <c r="P1060" s="159">
        <f>IFERROR(__xludf.DUMMYFUNCTION("""COMPUTED_VALUE"""),32980.0)</f>
        <v>32980</v>
      </c>
      <c r="Q1060" s="146">
        <f>IFERROR(__xludf.DUMMYFUNCTION("""COMPUTED_VALUE"""),8.50763974E8)</f>
        <v>850763974</v>
      </c>
      <c r="R1060" s="147">
        <f>IFERROR(__xludf.DUMMYFUNCTION("""COMPUTED_VALUE"""),1.559900166659E12)</f>
        <v>1559900166659</v>
      </c>
      <c r="S1060" t="str">
        <f>IFERROR(__xludf.DUMMYFUNCTION("""COMPUTED_VALUE"""),"AC4372055")</f>
        <v>AC4372055</v>
      </c>
      <c r="T1060" s="148">
        <f>IFERROR(__xludf.DUMMYFUNCTION("""COMPUTED_VALUE"""),44935.0)</f>
        <v>44935</v>
      </c>
      <c r="U1060" s="150">
        <f>IFERROR(__xludf.DUMMYFUNCTION("""COMPUTED_VALUE"""),46760.0)</f>
        <v>46760</v>
      </c>
      <c r="V1060" s="149">
        <f>IFERROR(__xludf.DUMMYFUNCTION("""COMPUTED_VALUE"""),46576.0)</f>
        <v>46576</v>
      </c>
      <c r="W1060" t="str">
        <f>IFERROR(__xludf.DUMMYFUNCTION("""COMPUTED_VALUE"""),"ปลอดภัย")</f>
        <v>ปลอดภัย</v>
      </c>
      <c r="X1060" t="str">
        <f>IFERROR(__xludf.DUMMYFUNCTION("""COMPUTED_VALUE"""),"Nan Province")</f>
        <v>Nan Province</v>
      </c>
      <c r="Y1060" t="str">
        <f>IFERROR(__xludf.DUMMYFUNCTION("""COMPUTED_VALUE"""),"Bangkok")</f>
        <v>Bangkok</v>
      </c>
      <c r="Z1060" s="145" t="str">
        <f>IFERROR(__xludf.DUMMYFUNCTION("""COMPUTED_VALUE"""),"0822593939")</f>
        <v>0822593939</v>
      </c>
      <c r="AA1060" t="str">
        <f>IFERROR(__xludf.DUMMYFUNCTION("""COMPUTED_VALUE"""),"นาย อิทธืพงษ์ ช่วยแก้ว Brother")</f>
        <v>นาย อิทธืพงษ์ ช่วยแก้ว Brother</v>
      </c>
      <c r="AB1060" t="str">
        <f>IFERROR(__xludf.DUMMYFUNCTION("""COMPUTED_VALUE"""),"suthasinee@airasia.com")</f>
        <v>suthasinee@airasia.com</v>
      </c>
    </row>
    <row r="1061">
      <c r="A1061">
        <f>IFERROR(__xludf.DUMMYFUNCTION("""COMPUTED_VALUE"""),1007325.0)</f>
        <v>1007325</v>
      </c>
      <c r="B1061" t="str">
        <f>IFERROR(__xludf.DUMMYFUNCTION("""COMPUTED_VALUE"""),"Ms.")</f>
        <v>Ms.</v>
      </c>
      <c r="C1061" t="str">
        <f>IFERROR(__xludf.DUMMYFUNCTION("""COMPUTED_VALUE"""),"Supattra")</f>
        <v>Supattra</v>
      </c>
      <c r="D1061" t="str">
        <f>IFERROR(__xludf.DUMMYFUNCTION("""COMPUTED_VALUE"""),"Waswilai")</f>
        <v>Waswilai</v>
      </c>
      <c r="E1061" t="str">
        <f>IFERROR(__xludf.DUMMYFUNCTION("""COMPUTED_VALUE"""),"Supattra Waswilai")</f>
        <v>Supattra Waswilai</v>
      </c>
      <c r="F1061" t="str">
        <f>IFERROR(__xludf.DUMMYFUNCTION("""COMPUTED_VALUE"""),"นางสาว")</f>
        <v>นางสาว</v>
      </c>
      <c r="G1061" t="str">
        <f>IFERROR(__xludf.DUMMYFUNCTION("""COMPUTED_VALUE"""),"สุภัทรา")</f>
        <v>สุภัทรา</v>
      </c>
      <c r="H1061" t="str">
        <f>IFERROR(__xludf.DUMMYFUNCTION("""COMPUTED_VALUE"""),"วาสวิลัย")</f>
        <v>วาสวิลัย</v>
      </c>
      <c r="I1061" t="str">
        <f>IFERROR(__xludf.DUMMYFUNCTION("""COMPUTED_VALUE"""),"สุภัทรา วาสวิลัย")</f>
        <v>สุภัทรา วาสวิลัย</v>
      </c>
      <c r="J1061" t="str">
        <f>IFERROR(__xludf.DUMMYFUNCTION("""COMPUTED_VALUE"""),"กวาง")</f>
        <v>กวาง</v>
      </c>
      <c r="K1061" t="str">
        <f>IFERROR(__xludf.DUMMYFUNCTION("""COMPUTED_VALUE"""),"Cabin Crew - HKT")</f>
        <v>Cabin Crew - HKT</v>
      </c>
      <c r="L1061" t="str">
        <f>IFERROR(__xludf.DUMMYFUNCTION("""COMPUTED_VALUE"""),"HKT")</f>
        <v>HKT</v>
      </c>
      <c r="M1061" s="145" t="str">
        <f>IFERROR(__xludf.DUMMYFUNCTION("""COMPUTED_VALUE"""),"Kor Home")</f>
        <v>Kor Home</v>
      </c>
      <c r="N1061" t="str">
        <f>IFERROR(__xludf.DUMMYFUNCTION("""COMPUTED_VALUE"""),"Active")</f>
        <v>Active</v>
      </c>
      <c r="P1061" s="159">
        <f>IFERROR(__xludf.DUMMYFUNCTION("""COMPUTED_VALUE"""),34205.0)</f>
        <v>34205</v>
      </c>
      <c r="Q1061" s="146">
        <f>IFERROR(__xludf.DUMMYFUNCTION("""COMPUTED_VALUE"""),9.94789899E8)</f>
        <v>994789899</v>
      </c>
      <c r="R1061" s="147">
        <f>IFERROR(__xludf.DUMMYFUNCTION("""COMPUTED_VALUE"""),1.839900308001E12)</f>
        <v>1839900308001</v>
      </c>
      <c r="S1061" t="str">
        <f>IFERROR(__xludf.DUMMYFUNCTION("""COMPUTED_VALUE"""),"AD33766770")</f>
        <v>AD33766770</v>
      </c>
      <c r="T1061" s="148">
        <f>IFERROR(__xludf.DUMMYFUNCTION("""COMPUTED_VALUE"""),46115.0)</f>
        <v>46115</v>
      </c>
      <c r="U1061" s="148">
        <f>IFERROR(__xludf.DUMMYFUNCTION("""COMPUTED_VALUE"""),49767.0)</f>
        <v>49767</v>
      </c>
      <c r="V1061" s="149">
        <f>IFERROR(__xludf.DUMMYFUNCTION("""COMPUTED_VALUE"""),49584.0)</f>
        <v>49584</v>
      </c>
      <c r="W1061" t="str">
        <f>IFERROR(__xludf.DUMMYFUNCTION("""COMPUTED_VALUE"""),"ปลอดภัย")</f>
        <v>ปลอดภัย</v>
      </c>
      <c r="X1061" t="str">
        <f>IFERROR(__xludf.DUMMYFUNCTION("""COMPUTED_VALUE"""),"Phuket Province")</f>
        <v>Phuket Province</v>
      </c>
      <c r="Y1061" t="str">
        <f>IFERROR(__xludf.DUMMYFUNCTION("""COMPUTED_VALUE"""),"Phuket")</f>
        <v>Phuket</v>
      </c>
      <c r="Z1061" s="145" t="str">
        <f>IFERROR(__xludf.DUMMYFUNCTION("""COMPUTED_VALUE"""),"0876283970")</f>
        <v>0876283970</v>
      </c>
      <c r="AA1061" t="str">
        <f>IFERROR(__xludf.DUMMYFUNCTION("""COMPUTED_VALUE"""),"นายศักรินทร์ บุญศรี Husband")</f>
        <v>นายศักรินทร์ บุญศรี Husband</v>
      </c>
      <c r="AB1061" t="str">
        <f>IFERROR(__xludf.DUMMYFUNCTION("""COMPUTED_VALUE"""),"supattraw@airasia.com")</f>
        <v>supattraw@airasia.com</v>
      </c>
    </row>
    <row r="1062">
      <c r="A1062">
        <f>IFERROR(__xludf.DUMMYFUNCTION("""COMPUTED_VALUE"""),1007841.0)</f>
        <v>1007841</v>
      </c>
      <c r="B1062" t="str">
        <f>IFERROR(__xludf.DUMMYFUNCTION("""COMPUTED_VALUE"""),"Ms.")</f>
        <v>Ms.</v>
      </c>
      <c r="C1062" t="str">
        <f>IFERROR(__xludf.DUMMYFUNCTION("""COMPUTED_VALUE"""),"Wisanee")</f>
        <v>Wisanee</v>
      </c>
      <c r="D1062" t="str">
        <f>IFERROR(__xludf.DUMMYFUNCTION("""COMPUTED_VALUE"""),"Nateeviriyaworakul")</f>
        <v>Nateeviriyaworakul</v>
      </c>
      <c r="E1062" t="str">
        <f>IFERROR(__xludf.DUMMYFUNCTION("""COMPUTED_VALUE"""),"Wisanee Nateeviriyaworakul")</f>
        <v>Wisanee Nateeviriyaworakul</v>
      </c>
      <c r="F1062" t="str">
        <f>IFERROR(__xludf.DUMMYFUNCTION("""COMPUTED_VALUE"""),"นางสาว")</f>
        <v>นางสาว</v>
      </c>
      <c r="G1062" t="str">
        <f>IFERROR(__xludf.DUMMYFUNCTION("""COMPUTED_VALUE"""),"วิสนี")</f>
        <v>วิสนี</v>
      </c>
      <c r="H1062" t="str">
        <f>IFERROR(__xludf.DUMMYFUNCTION("""COMPUTED_VALUE"""),"นทีวิริยะวรกุล")</f>
        <v>นทีวิริยะวรกุล</v>
      </c>
      <c r="I1062" t="str">
        <f>IFERROR(__xludf.DUMMYFUNCTION("""COMPUTED_VALUE"""),"วิสนี นทีวิริยะวรกุล")</f>
        <v>วิสนี นทีวิริยะวรกุล</v>
      </c>
      <c r="J1062" t="str">
        <f>IFERROR(__xludf.DUMMYFUNCTION("""COMPUTED_VALUE"""),"Sine /ทราย")</f>
        <v>Sine /ทราย</v>
      </c>
      <c r="K1062" t="str">
        <f>IFERROR(__xludf.DUMMYFUNCTION("""COMPUTED_VALUE"""),"Cabin Crew")</f>
        <v>Cabin Crew</v>
      </c>
      <c r="L1062" t="str">
        <f>IFERROR(__xludf.DUMMYFUNCTION("""COMPUTED_VALUE"""),"DMK")</f>
        <v>DMK</v>
      </c>
      <c r="M1062" s="145" t="str">
        <f>IFERROR(__xludf.DUMMYFUNCTION("""COMPUTED_VALUE"""),"Nhui Home")</f>
        <v>Nhui Home</v>
      </c>
      <c r="N1062" t="str">
        <f>IFERROR(__xludf.DUMMYFUNCTION("""COMPUTED_VALUE"""),"Active")</f>
        <v>Active</v>
      </c>
      <c r="P1062" s="159">
        <f>IFERROR(__xludf.DUMMYFUNCTION("""COMPUTED_VALUE"""),32949.0)</f>
        <v>32949</v>
      </c>
      <c r="Q1062" s="146" t="str">
        <f>IFERROR(__xludf.DUMMYFUNCTION("""COMPUTED_VALUE"""),"083-8206247")</f>
        <v>083-8206247</v>
      </c>
      <c r="R1062" s="147">
        <f>IFERROR(__xludf.DUMMYFUNCTION("""COMPUTED_VALUE"""),1.819900089295E12)</f>
        <v>1819900089295</v>
      </c>
      <c r="S1062" t="str">
        <f>IFERROR(__xludf.DUMMYFUNCTION("""COMPUTED_VALUE"""),"AC4799993")</f>
        <v>AC4799993</v>
      </c>
      <c r="T1062" s="148">
        <f>IFERROR(__xludf.DUMMYFUNCTION("""COMPUTED_VALUE"""),45013.0)</f>
        <v>45013</v>
      </c>
      <c r="U1062" s="148">
        <f>IFERROR(__xludf.DUMMYFUNCTION("""COMPUTED_VALUE"""),48665.0)</f>
        <v>48665</v>
      </c>
      <c r="V1062" s="149">
        <f>IFERROR(__xludf.DUMMYFUNCTION("""COMPUTED_VALUE"""),48484.0)</f>
        <v>48484</v>
      </c>
      <c r="W1062" t="str">
        <f>IFERROR(__xludf.DUMMYFUNCTION("""COMPUTED_VALUE"""),"ปลอดภัย")</f>
        <v>ปลอดภัย</v>
      </c>
      <c r="X1062" t="str">
        <f>IFERROR(__xludf.DUMMYFUNCTION("""COMPUTED_VALUE"""),"Krabi Province")</f>
        <v>Krabi Province</v>
      </c>
      <c r="Y1062" t="str">
        <f>IFERROR(__xludf.DUMMYFUNCTION("""COMPUTED_VALUE"""),"Bangkok")</f>
        <v>Bangkok</v>
      </c>
      <c r="Z1062" s="145" t="str">
        <f>IFERROR(__xludf.DUMMYFUNCTION("""COMPUTED_VALUE"""),"083-5519009")</f>
        <v>083-5519009</v>
      </c>
      <c r="AA1062" t="str">
        <f>IFERROR(__xludf.DUMMYFUNCTION("""COMPUTED_VALUE"""),"นายฐิติกร รัตนะ Husband")</f>
        <v>นายฐิติกร รัตนะ Husband</v>
      </c>
      <c r="AB1062" t="str">
        <f>IFERROR(__xludf.DUMMYFUNCTION("""COMPUTED_VALUE"""),"wisaneen@airasia.com")</f>
        <v>wisaneen@airasia.com</v>
      </c>
    </row>
    <row r="1063">
      <c r="A1063">
        <f>IFERROR(__xludf.DUMMYFUNCTION("""COMPUTED_VALUE"""),1013700.0)</f>
        <v>1013700</v>
      </c>
      <c r="B1063" t="str">
        <f>IFERROR(__xludf.DUMMYFUNCTION("""COMPUTED_VALUE"""),"Mr.")</f>
        <v>Mr.</v>
      </c>
      <c r="C1063" t="str">
        <f>IFERROR(__xludf.DUMMYFUNCTION("""COMPUTED_VALUE"""),"Wittawat")</f>
        <v>Wittawat</v>
      </c>
      <c r="D1063" t="str">
        <f>IFERROR(__xludf.DUMMYFUNCTION("""COMPUTED_VALUE"""),"Indraram")</f>
        <v>Indraram</v>
      </c>
      <c r="E1063" t="str">
        <f>IFERROR(__xludf.DUMMYFUNCTION("""COMPUTED_VALUE"""),"Wittawat Indraram")</f>
        <v>Wittawat Indraram</v>
      </c>
      <c r="F1063" t="str">
        <f>IFERROR(__xludf.DUMMYFUNCTION("""COMPUTED_VALUE"""),"นาย")</f>
        <v>นาย</v>
      </c>
      <c r="G1063" t="str">
        <f>IFERROR(__xludf.DUMMYFUNCTION("""COMPUTED_VALUE"""),"วิทวัส")</f>
        <v>วิทวัส</v>
      </c>
      <c r="H1063" t="str">
        <f>IFERROR(__xludf.DUMMYFUNCTION("""COMPUTED_VALUE"""),"อินทร์อร่าม")</f>
        <v>อินทร์อร่าม</v>
      </c>
      <c r="I1063" t="str">
        <f>IFERROR(__xludf.DUMMYFUNCTION("""COMPUTED_VALUE"""),"วิทวัส อินทร์อร่าม")</f>
        <v>วิทวัส อินทร์อร่าม</v>
      </c>
      <c r="J1063" t="str">
        <f>IFERROR(__xludf.DUMMYFUNCTION("""COMPUTED_VALUE"""),"เม")</f>
        <v>เม</v>
      </c>
      <c r="K1063" t="str">
        <f>IFERROR(__xludf.DUMMYFUNCTION("""COMPUTED_VALUE"""),"Cabin Crew")</f>
        <v>Cabin Crew</v>
      </c>
      <c r="L1063" t="str">
        <f>IFERROR(__xludf.DUMMYFUNCTION("""COMPUTED_VALUE"""),"DMK")</f>
        <v>DMK</v>
      </c>
      <c r="M1063" s="145" t="str">
        <f>IFERROR(__xludf.DUMMYFUNCTION("""COMPUTED_VALUE"""),"Up Home")</f>
        <v>Up Home</v>
      </c>
      <c r="N1063" t="str">
        <f>IFERROR(__xludf.DUMMYFUNCTION("""COMPUTED_VALUE"""),"Active")</f>
        <v>Active</v>
      </c>
      <c r="P1063" s="159">
        <f>IFERROR(__xludf.DUMMYFUNCTION("""COMPUTED_VALUE"""),34471.0)</f>
        <v>34471</v>
      </c>
      <c r="Q1063" s="146">
        <f>IFERROR(__xludf.DUMMYFUNCTION("""COMPUTED_VALUE"""),8.90248062E8)</f>
        <v>890248062</v>
      </c>
      <c r="R1063" s="147">
        <f>IFERROR(__xludf.DUMMYFUNCTION("""COMPUTED_VALUE"""),1.100501099872E12)</f>
        <v>1100501099872</v>
      </c>
      <c r="S1063" t="str">
        <f>IFERROR(__xludf.DUMMYFUNCTION("""COMPUTED_VALUE"""),"AC5024310")</f>
        <v>AC5024310</v>
      </c>
      <c r="T1063" s="148">
        <f>IFERROR(__xludf.DUMMYFUNCTION("""COMPUTED_VALUE"""),45068.0)</f>
        <v>45068</v>
      </c>
      <c r="U1063" s="148">
        <f>IFERROR(__xludf.DUMMYFUNCTION("""COMPUTED_VALUE"""),46894.0)</f>
        <v>46894</v>
      </c>
      <c r="V1063" s="149">
        <f>IFERROR(__xludf.DUMMYFUNCTION("""COMPUTED_VALUE"""),46712.0)</f>
        <v>46712</v>
      </c>
      <c r="W1063" t="str">
        <f>IFERROR(__xludf.DUMMYFUNCTION("""COMPUTED_VALUE"""),"ปลอดภัย")</f>
        <v>ปลอดภัย</v>
      </c>
      <c r="X1063" t="str">
        <f>IFERROR(__xludf.DUMMYFUNCTION("""COMPUTED_VALUE"""),"Bangkok")</f>
        <v>Bangkok</v>
      </c>
      <c r="Y1063" t="str">
        <f>IFERROR(__xludf.DUMMYFUNCTION("""COMPUTED_VALUE"""),"Bangkok")</f>
        <v>Bangkok</v>
      </c>
      <c r="Z1063" s="145" t="str">
        <f>IFERROR(__xludf.DUMMYFUNCTION("""COMPUTED_VALUE"""),"0819363291")</f>
        <v>0819363291</v>
      </c>
      <c r="AA1063" t="str">
        <f>IFERROR(__xludf.DUMMYFUNCTION("""COMPUTED_VALUE"""),"นางจำ อินทร์อร่าม Mother")</f>
        <v>นางจำ อินทร์อร่าม Mother</v>
      </c>
      <c r="AB1063" t="str">
        <f>IFERROR(__xludf.DUMMYFUNCTION("""COMPUTED_VALUE"""),"wittawati@airasia.com")</f>
        <v>wittawati@airasia.com</v>
      </c>
    </row>
    <row r="1064">
      <c r="A1064">
        <f>IFERROR(__xludf.DUMMYFUNCTION("""COMPUTED_VALUE"""),1009255.0)</f>
        <v>1009255</v>
      </c>
      <c r="B1064" t="str">
        <f>IFERROR(__xludf.DUMMYFUNCTION("""COMPUTED_VALUE"""),"Mr.")</f>
        <v>Mr.</v>
      </c>
      <c r="C1064" t="str">
        <f>IFERROR(__xludf.DUMMYFUNCTION("""COMPUTED_VALUE"""),"Pirachat")</f>
        <v>Pirachat</v>
      </c>
      <c r="D1064" t="str">
        <f>IFERROR(__xludf.DUMMYFUNCTION("""COMPUTED_VALUE"""),"Benjanukorn")</f>
        <v>Benjanukorn</v>
      </c>
      <c r="E1064" t="str">
        <f>IFERROR(__xludf.DUMMYFUNCTION("""COMPUTED_VALUE"""),"Pirachat Benjanukorn")</f>
        <v>Pirachat Benjanukorn</v>
      </c>
      <c r="F1064" t="str">
        <f>IFERROR(__xludf.DUMMYFUNCTION("""COMPUTED_VALUE"""),"นาย")</f>
        <v>นาย</v>
      </c>
      <c r="G1064" t="str">
        <f>IFERROR(__xludf.DUMMYFUNCTION("""COMPUTED_VALUE"""),"พิรชัช")</f>
        <v>พิรชัช</v>
      </c>
      <c r="H1064" t="str">
        <f>IFERROR(__xludf.DUMMYFUNCTION("""COMPUTED_VALUE"""),"เบญจานุกร")</f>
        <v>เบญจานุกร</v>
      </c>
      <c r="I1064" t="str">
        <f>IFERROR(__xludf.DUMMYFUNCTION("""COMPUTED_VALUE"""),"พิรชัช เบญจานุกร")</f>
        <v>พิรชัช เบญจานุกร</v>
      </c>
      <c r="J1064" t="str">
        <f>IFERROR(__xludf.DUMMYFUNCTION("""COMPUTED_VALUE"""),"เบญ")</f>
        <v>เบญ</v>
      </c>
      <c r="K1064" t="str">
        <f>IFERROR(__xludf.DUMMYFUNCTION("""COMPUTED_VALUE"""),"Cabin Crew")</f>
        <v>Cabin Crew</v>
      </c>
      <c r="L1064" t="str">
        <f>IFERROR(__xludf.DUMMYFUNCTION("""COMPUTED_VALUE"""),"DMK")</f>
        <v>DMK</v>
      </c>
      <c r="M1064" s="145" t="str">
        <f>IFERROR(__xludf.DUMMYFUNCTION("""COMPUTED_VALUE"""),"Up Home")</f>
        <v>Up Home</v>
      </c>
      <c r="N1064" t="str">
        <f>IFERROR(__xludf.DUMMYFUNCTION("""COMPUTED_VALUE"""),"Active")</f>
        <v>Active</v>
      </c>
      <c r="P1064" s="159">
        <f>IFERROR(__xludf.DUMMYFUNCTION("""COMPUTED_VALUE"""),33346.0)</f>
        <v>33346</v>
      </c>
      <c r="Q1064" s="146" t="str">
        <f>IFERROR(__xludf.DUMMYFUNCTION("""COMPUTED_VALUE"""),"096-654-4446")</f>
        <v>096-654-4446</v>
      </c>
      <c r="R1064" s="147">
        <f>IFERROR(__xludf.DUMMYFUNCTION("""COMPUTED_VALUE"""),1.919900107594E12)</f>
        <v>1919900107594</v>
      </c>
      <c r="S1064" t="str">
        <f>IFERROR(__xludf.DUMMYFUNCTION("""COMPUTED_VALUE"""),"AD0755986")</f>
        <v>AD0755986</v>
      </c>
      <c r="T1064" s="148">
        <f>IFERROR(__xludf.DUMMYFUNCTION("""COMPUTED_VALUE"""),44969.0)</f>
        <v>44969</v>
      </c>
      <c r="U1064" s="148">
        <f>IFERROR(__xludf.DUMMYFUNCTION("""COMPUTED_VALUE"""),48621.0)</f>
        <v>48621</v>
      </c>
      <c r="V1064" s="149">
        <f>IFERROR(__xludf.DUMMYFUNCTION("""COMPUTED_VALUE"""),48437.0)</f>
        <v>48437</v>
      </c>
      <c r="W1064" t="str">
        <f>IFERROR(__xludf.DUMMYFUNCTION("""COMPUTED_VALUE"""),"ปลอดภัย")</f>
        <v>ปลอดภัย</v>
      </c>
      <c r="X1064" t="str">
        <f>IFERROR(__xludf.DUMMYFUNCTION("""COMPUTED_VALUE"""),"Satun Province")</f>
        <v>Satun Province</v>
      </c>
      <c r="Y1064" t="str">
        <f>IFERROR(__xludf.DUMMYFUNCTION("""COMPUTED_VALUE"""),"Bangkok")</f>
        <v>Bangkok</v>
      </c>
      <c r="Z1064" s="145" t="str">
        <f>IFERROR(__xludf.DUMMYFUNCTION("""COMPUTED_VALUE"""),"086-628-1550")</f>
        <v>086-628-1550</v>
      </c>
      <c r="AA1064" t="str">
        <f>IFERROR(__xludf.DUMMYFUNCTION("""COMPUTED_VALUE"""),"นายสันติ สันติเสนาะ Friend")</f>
        <v>นายสันติ สันติเสนาะ Friend</v>
      </c>
      <c r="AB1064" t="str">
        <f>IFERROR(__xludf.DUMMYFUNCTION("""COMPUTED_VALUE"""),"pirachatb@airasia.com")</f>
        <v>pirachatb@airasia.com</v>
      </c>
    </row>
    <row r="1065">
      <c r="A1065">
        <f>IFERROR(__xludf.DUMMYFUNCTION("""COMPUTED_VALUE"""),1005575.0)</f>
        <v>1005575</v>
      </c>
      <c r="B1065" t="str">
        <f>IFERROR(__xludf.DUMMYFUNCTION("""COMPUTED_VALUE"""),"Ms.")</f>
        <v>Ms.</v>
      </c>
      <c r="C1065" t="str">
        <f>IFERROR(__xludf.DUMMYFUNCTION("""COMPUTED_VALUE"""),"Sopan")</f>
        <v>Sopan</v>
      </c>
      <c r="D1065" t="str">
        <f>IFERROR(__xludf.DUMMYFUNCTION("""COMPUTED_VALUE"""),"Srikaew")</f>
        <v>Srikaew</v>
      </c>
      <c r="E1065" t="str">
        <f>IFERROR(__xludf.DUMMYFUNCTION("""COMPUTED_VALUE"""),"Sopan Srikaew")</f>
        <v>Sopan Srikaew</v>
      </c>
      <c r="F1065" t="str">
        <f>IFERROR(__xludf.DUMMYFUNCTION("""COMPUTED_VALUE"""),"นางสาว")</f>
        <v>นางสาว</v>
      </c>
      <c r="G1065" t="str">
        <f>IFERROR(__xludf.DUMMYFUNCTION("""COMPUTED_VALUE"""),"โสภัณ")</f>
        <v>โสภัณ</v>
      </c>
      <c r="H1065" t="str">
        <f>IFERROR(__xludf.DUMMYFUNCTION("""COMPUTED_VALUE"""),"ศรีแก้ว")</f>
        <v>ศรีแก้ว</v>
      </c>
      <c r="I1065" t="str">
        <f>IFERROR(__xludf.DUMMYFUNCTION("""COMPUTED_VALUE"""),"โสภัณ ศรีแก้ว")</f>
        <v>โสภัณ ศรีแก้ว</v>
      </c>
      <c r="J1065" t="str">
        <f>IFERROR(__xludf.DUMMYFUNCTION("""COMPUTED_VALUE"""),"นุ่น")</f>
        <v>นุ่น</v>
      </c>
      <c r="K1065" t="str">
        <f>IFERROR(__xludf.DUMMYFUNCTION("""COMPUTED_VALUE"""),"Cabin Crew")</f>
        <v>Cabin Crew</v>
      </c>
      <c r="L1065" t="str">
        <f>IFERROR(__xludf.DUMMYFUNCTION("""COMPUTED_VALUE"""),"DMK")</f>
        <v>DMK</v>
      </c>
      <c r="M1065" s="145" t="str">
        <f>IFERROR(__xludf.DUMMYFUNCTION("""COMPUTED_VALUE"""),"Por+ Home")</f>
        <v>Por+ Home</v>
      </c>
      <c r="N1065" t="str">
        <f>IFERROR(__xludf.DUMMYFUNCTION("""COMPUTED_VALUE"""),"V/LWP")</f>
        <v>V/LWP</v>
      </c>
      <c r="P1065" s="159">
        <f>IFERROR(__xludf.DUMMYFUNCTION("""COMPUTED_VALUE"""),32997.0)</f>
        <v>32997</v>
      </c>
      <c r="Q1065" s="146">
        <f>IFERROR(__xludf.DUMMYFUNCTION("""COMPUTED_VALUE"""),9.57456114E8)</f>
        <v>957456114</v>
      </c>
      <c r="R1065" s="147">
        <f>IFERROR(__xludf.DUMMYFUNCTION("""COMPUTED_VALUE"""),1.199600040262E12)</f>
        <v>1199600040262</v>
      </c>
      <c r="S1065" t="str">
        <f>IFERROR(__xludf.DUMMYFUNCTION("""COMPUTED_VALUE"""),"AC2858992")</f>
        <v>AC2858992</v>
      </c>
      <c r="T1065" s="148">
        <f>IFERROR(__xludf.DUMMYFUNCTION("""COMPUTED_VALUE"""),44595.0)</f>
        <v>44595</v>
      </c>
      <c r="U1065" s="148">
        <f>IFERROR(__xludf.DUMMYFUNCTION("""COMPUTED_VALUE"""),48246.0)</f>
        <v>48246</v>
      </c>
      <c r="V1065" s="149">
        <f>IFERROR(__xludf.DUMMYFUNCTION("""COMPUTED_VALUE"""),48062.0)</f>
        <v>48062</v>
      </c>
      <c r="W1065" t="str">
        <f>IFERROR(__xludf.DUMMYFUNCTION("""COMPUTED_VALUE"""),"ปลอดภัย")</f>
        <v>ปลอดภัย</v>
      </c>
      <c r="X1065" t="str">
        <f>IFERROR(__xludf.DUMMYFUNCTION("""COMPUTED_VALUE"""),"Saraburi Province")</f>
        <v>Saraburi Province</v>
      </c>
      <c r="Y1065" t="str">
        <f>IFERROR(__xludf.DUMMYFUNCTION("""COMPUTED_VALUE"""),"Bangkok")</f>
        <v>Bangkok</v>
      </c>
      <c r="Z1065" s="145" t="str">
        <f>IFERROR(__xludf.DUMMYFUNCTION("""COMPUTED_VALUE"""),"0874957309")</f>
        <v>0874957309</v>
      </c>
      <c r="AA1065" t="str">
        <f>IFERROR(__xludf.DUMMYFUNCTION("""COMPUTED_VALUE"""),"นายสุทธิพงษ์ เตี๋ยวบุตร Husband")</f>
        <v>นายสุทธิพงษ์ เตี๋ยวบุตร Husband</v>
      </c>
      <c r="AB1065" t="str">
        <f>IFERROR(__xludf.DUMMYFUNCTION("""COMPUTED_VALUE"""),"sopans@airasia.com")</f>
        <v>sopans@airasia.com</v>
      </c>
    </row>
    <row r="1066">
      <c r="A1066">
        <f>IFERROR(__xludf.DUMMYFUNCTION("""COMPUTED_VALUE"""),1009326.0)</f>
        <v>1009326</v>
      </c>
      <c r="B1066" t="str">
        <f>IFERROR(__xludf.DUMMYFUNCTION("""COMPUTED_VALUE"""),"Mr.")</f>
        <v>Mr.</v>
      </c>
      <c r="C1066" t="str">
        <f>IFERROR(__xludf.DUMMYFUNCTION("""COMPUTED_VALUE"""),"Thanarat")</f>
        <v>Thanarat</v>
      </c>
      <c r="D1066" t="str">
        <f>IFERROR(__xludf.DUMMYFUNCTION("""COMPUTED_VALUE"""),"Wintachai")</f>
        <v>Wintachai</v>
      </c>
      <c r="E1066" t="str">
        <f>IFERROR(__xludf.DUMMYFUNCTION("""COMPUTED_VALUE"""),"Thanarat Wintachai")</f>
        <v>Thanarat Wintachai</v>
      </c>
      <c r="F1066" t="str">
        <f>IFERROR(__xludf.DUMMYFUNCTION("""COMPUTED_VALUE"""),"นาย")</f>
        <v>นาย</v>
      </c>
      <c r="G1066" t="str">
        <f>IFERROR(__xludf.DUMMYFUNCTION("""COMPUTED_VALUE"""),"ธนรัชต์")</f>
        <v>ธนรัชต์</v>
      </c>
      <c r="H1066" t="str">
        <f>IFERROR(__xludf.DUMMYFUNCTION("""COMPUTED_VALUE"""),"วินทะไชย")</f>
        <v>วินทะไชย</v>
      </c>
      <c r="I1066" t="str">
        <f>IFERROR(__xludf.DUMMYFUNCTION("""COMPUTED_VALUE"""),"ธนรัชต์ วินทะไชย")</f>
        <v>ธนรัชต์ วินทะไชย</v>
      </c>
      <c r="J1066" t="str">
        <f>IFERROR(__xludf.DUMMYFUNCTION("""COMPUTED_VALUE"""),"ืKao / เก้า")</f>
        <v>ืKao / เก้า</v>
      </c>
      <c r="K1066" t="str">
        <f>IFERROR(__xludf.DUMMYFUNCTION("""COMPUTED_VALUE"""),"Cabin Crew")</f>
        <v>Cabin Crew</v>
      </c>
      <c r="L1066" t="str">
        <f>IFERROR(__xludf.DUMMYFUNCTION("""COMPUTED_VALUE"""),"DMK")</f>
        <v>DMK</v>
      </c>
      <c r="M1066" s="145" t="str">
        <f>IFERROR(__xludf.DUMMYFUNCTION("""COMPUTED_VALUE"""),"Por+ Home")</f>
        <v>Por+ Home</v>
      </c>
      <c r="N1066" t="str">
        <f>IFERROR(__xludf.DUMMYFUNCTION("""COMPUTED_VALUE"""),"Active")</f>
        <v>Active</v>
      </c>
      <c r="P1066" s="159">
        <f>IFERROR(__xludf.DUMMYFUNCTION("""COMPUTED_VALUE"""),33212.0)</f>
        <v>33212</v>
      </c>
      <c r="Q1066" s="146" t="str">
        <f>IFERROR(__xludf.DUMMYFUNCTION("""COMPUTED_VALUE"""),"090-294-4247")</f>
        <v>090-294-4247</v>
      </c>
      <c r="R1066" s="147">
        <f>IFERROR(__xludf.DUMMYFUNCTION("""COMPUTED_VALUE"""),1.450100121301E12)</f>
        <v>1450100121301</v>
      </c>
      <c r="S1066" t="str">
        <f>IFERROR(__xludf.DUMMYFUNCTION("""COMPUTED_VALUE"""),"AC5061808")</f>
        <v>AC5061808</v>
      </c>
      <c r="T1066" s="148">
        <f>IFERROR(__xludf.DUMMYFUNCTION("""COMPUTED_VALUE"""),45075.0)</f>
        <v>45075</v>
      </c>
      <c r="U1066" s="148">
        <f>IFERROR(__xludf.DUMMYFUNCTION("""COMPUTED_VALUE"""),46901.0)</f>
        <v>46901</v>
      </c>
      <c r="V1066" s="149">
        <f>IFERROR(__xludf.DUMMYFUNCTION("""COMPUTED_VALUE"""),46719.0)</f>
        <v>46719</v>
      </c>
      <c r="W1066" t="str">
        <f>IFERROR(__xludf.DUMMYFUNCTION("""COMPUTED_VALUE"""),"ปลอดภัย")</f>
        <v>ปลอดภัย</v>
      </c>
      <c r="X1066" t="str">
        <f>IFERROR(__xludf.DUMMYFUNCTION("""COMPUTED_VALUE"""),"Roi Et Province")</f>
        <v>Roi Et Province</v>
      </c>
      <c r="Y1066" t="str">
        <f>IFERROR(__xludf.DUMMYFUNCTION("""COMPUTED_VALUE"""),"Roi Et")</f>
        <v>Roi Et</v>
      </c>
      <c r="Z1066" s="145" t="str">
        <f>IFERROR(__xludf.DUMMYFUNCTION("""COMPUTED_VALUE"""),"089-620-9812")</f>
        <v>089-620-9812</v>
      </c>
      <c r="AA1066" t="str">
        <f>IFERROR(__xludf.DUMMYFUNCTION("""COMPUTED_VALUE"""),"นาย ชัยรัตน์ วินทะไชย Father")</f>
        <v>นาย ชัยรัตน์ วินทะไชย Father</v>
      </c>
      <c r="AB1066" t="str">
        <f>IFERROR(__xludf.DUMMYFUNCTION("""COMPUTED_VALUE"""),"thanaratw@airasia.com")</f>
        <v>thanaratw@airasia.com</v>
      </c>
    </row>
    <row r="1067">
      <c r="A1067">
        <f>IFERROR(__xludf.DUMMYFUNCTION("""COMPUTED_VALUE"""),1013988.0)</f>
        <v>1013988</v>
      </c>
      <c r="B1067" t="str">
        <f>IFERROR(__xludf.DUMMYFUNCTION("""COMPUTED_VALUE"""),"Ms.")</f>
        <v>Ms.</v>
      </c>
      <c r="C1067" t="str">
        <f>IFERROR(__xludf.DUMMYFUNCTION("""COMPUTED_VALUE"""),"Kritlada")</f>
        <v>Kritlada</v>
      </c>
      <c r="D1067" t="str">
        <f>IFERROR(__xludf.DUMMYFUNCTION("""COMPUTED_VALUE"""),"Thapanapark")</f>
        <v>Thapanapark</v>
      </c>
      <c r="E1067" t="str">
        <f>IFERROR(__xludf.DUMMYFUNCTION("""COMPUTED_VALUE"""),"Kritlada Thapanapark")</f>
        <v>Kritlada Thapanapark</v>
      </c>
      <c r="F1067" t="str">
        <f>IFERROR(__xludf.DUMMYFUNCTION("""COMPUTED_VALUE"""),"นางสาว")</f>
        <v>นางสาว</v>
      </c>
      <c r="G1067" t="str">
        <f>IFERROR(__xludf.DUMMYFUNCTION("""COMPUTED_VALUE"""),"กฤษลดา")</f>
        <v>กฤษลดา</v>
      </c>
      <c r="H1067" t="str">
        <f>IFERROR(__xludf.DUMMYFUNCTION("""COMPUTED_VALUE"""),"ฐาปนภาคย์")</f>
        <v>ฐาปนภาคย์</v>
      </c>
      <c r="I1067" t="str">
        <f>IFERROR(__xludf.DUMMYFUNCTION("""COMPUTED_VALUE"""),"กฤษลดา ฐาปนภาคย์")</f>
        <v>กฤษลดา ฐาปนภาคย์</v>
      </c>
      <c r="J1067" t="str">
        <f>IFERROR(__xludf.DUMMYFUNCTION("""COMPUTED_VALUE"""),"Cartoon / การ์ตูน")</f>
        <v>Cartoon / การ์ตูน</v>
      </c>
      <c r="K1067" t="str">
        <f>IFERROR(__xludf.DUMMYFUNCTION("""COMPUTED_VALUE"""),"Cabin Crew")</f>
        <v>Cabin Crew</v>
      </c>
      <c r="L1067" t="str">
        <f>IFERROR(__xludf.DUMMYFUNCTION("""COMPUTED_VALUE"""),"DMK")</f>
        <v>DMK</v>
      </c>
      <c r="M1067" s="145" t="str">
        <f>IFERROR(__xludf.DUMMYFUNCTION("""COMPUTED_VALUE"""),"Toffy Home")</f>
        <v>Toffy Home</v>
      </c>
      <c r="N1067" t="str">
        <f>IFERROR(__xludf.DUMMYFUNCTION("""COMPUTED_VALUE"""),"Active")</f>
        <v>Active</v>
      </c>
      <c r="P1067" s="159">
        <f>IFERROR(__xludf.DUMMYFUNCTION("""COMPUTED_VALUE"""),34033.0)</f>
        <v>34033</v>
      </c>
      <c r="Q1067" s="146" t="str">
        <f>IFERROR(__xludf.DUMMYFUNCTION("""COMPUTED_VALUE"""),"095-653-0563")</f>
        <v>095-653-0563</v>
      </c>
      <c r="R1067" s="147">
        <f>IFERROR(__xludf.DUMMYFUNCTION("""COMPUTED_VALUE"""),1.10050097575E12)</f>
        <v>1100500975750</v>
      </c>
      <c r="S1067" t="str">
        <f>IFERROR(__xludf.DUMMYFUNCTION("""COMPUTED_VALUE"""),"AC4182688")</f>
        <v>AC4182688</v>
      </c>
      <c r="T1067" s="148">
        <f>IFERROR(__xludf.DUMMYFUNCTION("""COMPUTED_VALUE"""),44888.0)</f>
        <v>44888</v>
      </c>
      <c r="U1067" s="148">
        <f>IFERROR(__xludf.DUMMYFUNCTION("""COMPUTED_VALUE"""),48540.0)</f>
        <v>48540</v>
      </c>
      <c r="V1067" s="149">
        <f>IFERROR(__xludf.DUMMYFUNCTION("""COMPUTED_VALUE"""),48356.0)</f>
        <v>48356</v>
      </c>
      <c r="W1067" t="str">
        <f>IFERROR(__xludf.DUMMYFUNCTION("""COMPUTED_VALUE"""),"ปลอดภัย")</f>
        <v>ปลอดภัย</v>
      </c>
      <c r="X1067" t="str">
        <f>IFERROR(__xludf.DUMMYFUNCTION("""COMPUTED_VALUE"""),"Bangkok")</f>
        <v>Bangkok</v>
      </c>
      <c r="Y1067" t="str">
        <f>IFERROR(__xludf.DUMMYFUNCTION("""COMPUTED_VALUE"""),"PATHUMTANI")</f>
        <v>PATHUMTANI</v>
      </c>
      <c r="Z1067" s="145" t="str">
        <f>IFERROR(__xludf.DUMMYFUNCTION("""COMPUTED_VALUE"""),"086-352-7195")</f>
        <v>086-352-7195</v>
      </c>
      <c r="AA1067" t="str">
        <f>IFERROR(__xludf.DUMMYFUNCTION("""COMPUTED_VALUE"""),"นางชนิตา ฐาปนภาคย์ Mother")</f>
        <v>นางชนิตา ฐาปนภาคย์ Mother</v>
      </c>
      <c r="AB1067" t="str">
        <f>IFERROR(__xludf.DUMMYFUNCTION("""COMPUTED_VALUE"""),"kritladat@airasia.com")</f>
        <v>kritladat@airasia.com</v>
      </c>
    </row>
    <row r="1068">
      <c r="A1068">
        <f>IFERROR(__xludf.DUMMYFUNCTION("""COMPUTED_VALUE"""),1009659.0)</f>
        <v>1009659</v>
      </c>
      <c r="B1068" t="str">
        <f>IFERROR(__xludf.DUMMYFUNCTION("""COMPUTED_VALUE"""),"Ms.")</f>
        <v>Ms.</v>
      </c>
      <c r="C1068" t="str">
        <f>IFERROR(__xludf.DUMMYFUNCTION("""COMPUTED_VALUE"""),"Kanokkorn")</f>
        <v>Kanokkorn</v>
      </c>
      <c r="D1068" t="str">
        <f>IFERROR(__xludf.DUMMYFUNCTION("""COMPUTED_VALUE"""),"Pradit")</f>
        <v>Pradit</v>
      </c>
      <c r="E1068" t="str">
        <f>IFERROR(__xludf.DUMMYFUNCTION("""COMPUTED_VALUE"""),"Kanokkorn Pradit")</f>
        <v>Kanokkorn Pradit</v>
      </c>
      <c r="F1068" t="str">
        <f>IFERROR(__xludf.DUMMYFUNCTION("""COMPUTED_VALUE"""),"นางสาว")</f>
        <v>นางสาว</v>
      </c>
      <c r="G1068" t="str">
        <f>IFERROR(__xludf.DUMMYFUNCTION("""COMPUTED_VALUE"""),"กนกกรณ์")</f>
        <v>กนกกรณ์</v>
      </c>
      <c r="H1068" t="str">
        <f>IFERROR(__xludf.DUMMYFUNCTION("""COMPUTED_VALUE"""),"ประดิษฐ์")</f>
        <v>ประดิษฐ์</v>
      </c>
      <c r="I1068" t="str">
        <f>IFERROR(__xludf.DUMMYFUNCTION("""COMPUTED_VALUE"""),"กนกกรณ์ ประดิษฐ์")</f>
        <v>กนกกรณ์ ประดิษฐ์</v>
      </c>
      <c r="J1068" t="str">
        <f>IFERROR(__xludf.DUMMYFUNCTION("""COMPUTED_VALUE"""),"May / เมย์")</f>
        <v>May / เมย์</v>
      </c>
      <c r="K1068" t="str">
        <f>IFERROR(__xludf.DUMMYFUNCTION("""COMPUTED_VALUE"""),"Cabin Crew")</f>
        <v>Cabin Crew</v>
      </c>
      <c r="L1068" t="str">
        <f>IFERROR(__xludf.DUMMYFUNCTION("""COMPUTED_VALUE"""),"DMK")</f>
        <v>DMK</v>
      </c>
      <c r="M1068" s="145" t="str">
        <f>IFERROR(__xludf.DUMMYFUNCTION("""COMPUTED_VALUE"""),"Up Home")</f>
        <v>Up Home</v>
      </c>
      <c r="N1068" t="str">
        <f>IFERROR(__xludf.DUMMYFUNCTION("""COMPUTED_VALUE"""),"Active")</f>
        <v>Active</v>
      </c>
      <c r="P1068" s="159">
        <f>IFERROR(__xludf.DUMMYFUNCTION("""COMPUTED_VALUE"""),33329.0)</f>
        <v>33329</v>
      </c>
      <c r="Q1068" s="146" t="str">
        <f>IFERROR(__xludf.DUMMYFUNCTION("""COMPUTED_VALUE"""),"086-466-8368")</f>
        <v>086-466-8368</v>
      </c>
      <c r="R1068" s="147">
        <f>IFERROR(__xludf.DUMMYFUNCTION("""COMPUTED_VALUE"""),1.102700089062E12)</f>
        <v>1102700089062</v>
      </c>
      <c r="S1068" t="str">
        <f>IFERROR(__xludf.DUMMYFUNCTION("""COMPUTED_VALUE"""),"AD1100091")</f>
        <v>AD1100091</v>
      </c>
      <c r="T1068" s="148">
        <f>IFERROR(__xludf.DUMMYFUNCTION("""COMPUTED_VALUE"""),45067.0)</f>
        <v>45067</v>
      </c>
      <c r="U1068" s="148">
        <f>IFERROR(__xludf.DUMMYFUNCTION("""COMPUTED_VALUE"""),48719.0)</f>
        <v>48719</v>
      </c>
      <c r="V1068" s="149">
        <f>IFERROR(__xludf.DUMMYFUNCTION("""COMPUTED_VALUE"""),48538.0)</f>
        <v>48538</v>
      </c>
      <c r="W1068" t="str">
        <f>IFERROR(__xludf.DUMMYFUNCTION("""COMPUTED_VALUE"""),"ปลอดภัย")</f>
        <v>ปลอดภัย</v>
      </c>
      <c r="X1068" t="str">
        <f>IFERROR(__xludf.DUMMYFUNCTION("""COMPUTED_VALUE"""),"Bangkok")</f>
        <v>Bangkok</v>
      </c>
      <c r="Y1068" t="str">
        <f>IFERROR(__xludf.DUMMYFUNCTION("""COMPUTED_VALUE"""),"Bangkok")</f>
        <v>Bangkok</v>
      </c>
      <c r="Z1068" s="145" t="str">
        <f>IFERROR(__xludf.DUMMYFUNCTION("""COMPUTED_VALUE"""),"086-456-6587")</f>
        <v>086-456-6587</v>
      </c>
      <c r="AA1068" t="str">
        <f>IFERROR(__xludf.DUMMYFUNCTION("""COMPUTED_VALUE"""),"ปราณี ประดิษฐ์ Mother")</f>
        <v>ปราณี ประดิษฐ์ Mother</v>
      </c>
      <c r="AB1068" t="str">
        <f>IFERROR(__xludf.DUMMYFUNCTION("""COMPUTED_VALUE"""),"kanokkornp@airasia.com")</f>
        <v>kanokkornp@airasia.com</v>
      </c>
    </row>
    <row r="1069">
      <c r="A1069">
        <f>IFERROR(__xludf.DUMMYFUNCTION("""COMPUTED_VALUE"""),1010703.0)</f>
        <v>1010703</v>
      </c>
      <c r="B1069" t="str">
        <f>IFERROR(__xludf.DUMMYFUNCTION("""COMPUTED_VALUE"""),"Mr.")</f>
        <v>Mr.</v>
      </c>
      <c r="C1069" t="str">
        <f>IFERROR(__xludf.DUMMYFUNCTION("""COMPUTED_VALUE"""),"Chayapon")</f>
        <v>Chayapon</v>
      </c>
      <c r="D1069" t="str">
        <f>IFERROR(__xludf.DUMMYFUNCTION("""COMPUTED_VALUE"""),"Singkiporn")</f>
        <v>Singkiporn</v>
      </c>
      <c r="E1069" t="str">
        <f>IFERROR(__xludf.DUMMYFUNCTION("""COMPUTED_VALUE"""),"Chayapon Singkiporn")</f>
        <v>Chayapon Singkiporn</v>
      </c>
      <c r="F1069" t="str">
        <f>IFERROR(__xludf.DUMMYFUNCTION("""COMPUTED_VALUE"""),"นาย")</f>
        <v>นาย</v>
      </c>
      <c r="G1069" t="str">
        <f>IFERROR(__xludf.DUMMYFUNCTION("""COMPUTED_VALUE"""),"ชยพล")</f>
        <v>ชยพล</v>
      </c>
      <c r="H1069" t="str">
        <f>IFERROR(__xludf.DUMMYFUNCTION("""COMPUTED_VALUE"""),"สิงคิพร")</f>
        <v>สิงคิพร</v>
      </c>
      <c r="I1069" t="str">
        <f>IFERROR(__xludf.DUMMYFUNCTION("""COMPUTED_VALUE"""),"ชยพล สิงคิพร")</f>
        <v>ชยพล สิงคิพร</v>
      </c>
      <c r="J1069" t="str">
        <f>IFERROR(__xludf.DUMMYFUNCTION("""COMPUTED_VALUE"""),"Puen/เพื่อน")</f>
        <v>Puen/เพื่อน</v>
      </c>
      <c r="K1069" t="str">
        <f>IFERROR(__xludf.DUMMYFUNCTION("""COMPUTED_VALUE"""),"Cabin Crew")</f>
        <v>Cabin Crew</v>
      </c>
      <c r="L1069" t="str">
        <f>IFERROR(__xludf.DUMMYFUNCTION("""COMPUTED_VALUE"""),"DMK")</f>
        <v>DMK</v>
      </c>
      <c r="M1069" s="145" t="str">
        <f>IFERROR(__xludf.DUMMYFUNCTION("""COMPUTED_VALUE"""),"Kor Home")</f>
        <v>Kor Home</v>
      </c>
      <c r="N1069" t="str">
        <f>IFERROR(__xludf.DUMMYFUNCTION("""COMPUTED_VALUE"""),"Active")</f>
        <v>Active</v>
      </c>
      <c r="P1069" s="159">
        <f>IFERROR(__xludf.DUMMYFUNCTION("""COMPUTED_VALUE"""),33104.0)</f>
        <v>33104</v>
      </c>
      <c r="Q1069" s="146" t="str">
        <f>IFERROR(__xludf.DUMMYFUNCTION("""COMPUTED_VALUE"""),"091-444-6954")</f>
        <v>091-444-6954</v>
      </c>
      <c r="R1069" s="147">
        <f>IFERROR(__xludf.DUMMYFUNCTION("""COMPUTED_VALUE"""),1.809900326211E12)</f>
        <v>1809900326211</v>
      </c>
      <c r="S1069" t="str">
        <f>IFERROR(__xludf.DUMMYFUNCTION("""COMPUTED_VALUE"""),"AC6095895")</f>
        <v>AC6095895</v>
      </c>
      <c r="T1069" s="148">
        <f>IFERROR(__xludf.DUMMYFUNCTION("""COMPUTED_VALUE"""),45268.0)</f>
        <v>45268</v>
      </c>
      <c r="U1069" s="148">
        <f>IFERROR(__xludf.DUMMYFUNCTION("""COMPUTED_VALUE"""),48920.0)</f>
        <v>48920</v>
      </c>
      <c r="V1069" s="149">
        <f>IFERROR(__xludf.DUMMYFUNCTION("""COMPUTED_VALUE"""),48737.0)</f>
        <v>48737</v>
      </c>
      <c r="W1069" t="str">
        <f>IFERROR(__xludf.DUMMYFUNCTION("""COMPUTED_VALUE"""),"ปลอดภัย")</f>
        <v>ปลอดภัย</v>
      </c>
      <c r="X1069" t="str">
        <f>IFERROR(__xludf.DUMMYFUNCTION("""COMPUTED_VALUE"""),"Nakhon Si Thammarat Province")</f>
        <v>Nakhon Si Thammarat Province</v>
      </c>
      <c r="Y1069" t="str">
        <f>IFERROR(__xludf.DUMMYFUNCTION("""COMPUTED_VALUE"""),"Bangkok")</f>
        <v>Bangkok</v>
      </c>
      <c r="Z1069" s="145" t="str">
        <f>IFERROR(__xludf.DUMMYFUNCTION("""COMPUTED_VALUE"""),"094-646-2244")</f>
        <v>094-646-2244</v>
      </c>
      <c r="AA1069" t="str">
        <f>IFERROR(__xludf.DUMMYFUNCTION("""COMPUTED_VALUE"""),"นางสาวหทัยทิพย์ ชัยชนะ Friend")</f>
        <v>นางสาวหทัยทิพย์ ชัยชนะ Friend</v>
      </c>
      <c r="AB1069" t="str">
        <f>IFERROR(__xludf.DUMMYFUNCTION("""COMPUTED_VALUE"""),"chayapons@airasia.com")</f>
        <v>chayapons@airasia.com</v>
      </c>
    </row>
    <row r="1070">
      <c r="A1070">
        <f>IFERROR(__xludf.DUMMYFUNCTION("""COMPUTED_VALUE"""),1006548.0)</f>
        <v>1006548</v>
      </c>
      <c r="B1070" t="str">
        <f>IFERROR(__xludf.DUMMYFUNCTION("""COMPUTED_VALUE"""),"Ms.")</f>
        <v>Ms.</v>
      </c>
      <c r="C1070" t="str">
        <f>IFERROR(__xludf.DUMMYFUNCTION("""COMPUTED_VALUE"""),"Kanokrat")</f>
        <v>Kanokrat</v>
      </c>
      <c r="D1070" t="str">
        <f>IFERROR(__xludf.DUMMYFUNCTION("""COMPUTED_VALUE"""),"Worasuwat")</f>
        <v>Worasuwat</v>
      </c>
      <c r="E1070" t="str">
        <f>IFERROR(__xludf.DUMMYFUNCTION("""COMPUTED_VALUE"""),"Kanokrat Worasuwat")</f>
        <v>Kanokrat Worasuwat</v>
      </c>
      <c r="F1070" t="str">
        <f>IFERROR(__xludf.DUMMYFUNCTION("""COMPUTED_VALUE"""),"นางสาว")</f>
        <v>นางสาว</v>
      </c>
      <c r="G1070" t="str">
        <f>IFERROR(__xludf.DUMMYFUNCTION("""COMPUTED_VALUE"""),"กนกรัตน์")</f>
        <v>กนกรัตน์</v>
      </c>
      <c r="H1070" t="str">
        <f>IFERROR(__xludf.DUMMYFUNCTION("""COMPUTED_VALUE"""),"วรสุวัฒน์")</f>
        <v>วรสุวัฒน์</v>
      </c>
      <c r="I1070" t="str">
        <f>IFERROR(__xludf.DUMMYFUNCTION("""COMPUTED_VALUE"""),"กนกรัตน์ วรสุวัฒน์")</f>
        <v>กนกรัตน์ วรสุวัฒน์</v>
      </c>
      <c r="J1070" t="str">
        <f>IFERROR(__xludf.DUMMYFUNCTION("""COMPUTED_VALUE"""),"Tem / เต็ม")</f>
        <v>Tem / เต็ม</v>
      </c>
      <c r="K1070" t="str">
        <f>IFERROR(__xludf.DUMMYFUNCTION("""COMPUTED_VALUE"""),"Cabin Crew - HKT")</f>
        <v>Cabin Crew - HKT</v>
      </c>
      <c r="L1070" t="str">
        <f>IFERROR(__xludf.DUMMYFUNCTION("""COMPUTED_VALUE"""),"HKT")</f>
        <v>HKT</v>
      </c>
      <c r="M1070" s="145" t="str">
        <f>IFERROR(__xludf.DUMMYFUNCTION("""COMPUTED_VALUE"""),"Kor Home")</f>
        <v>Kor Home</v>
      </c>
      <c r="N1070" t="str">
        <f>IFERROR(__xludf.DUMMYFUNCTION("""COMPUTED_VALUE"""),"Active")</f>
        <v>Active</v>
      </c>
      <c r="P1070" s="159">
        <f>IFERROR(__xludf.DUMMYFUNCTION("""COMPUTED_VALUE"""),33271.0)</f>
        <v>33271</v>
      </c>
      <c r="Q1070" s="146">
        <f>IFERROR(__xludf.DUMMYFUNCTION("""COMPUTED_VALUE"""),9.93975669E8)</f>
        <v>993975669</v>
      </c>
      <c r="R1070" s="147">
        <f>IFERROR(__xludf.DUMMYFUNCTION("""COMPUTED_VALUE"""),1.959900264509E12)</f>
        <v>1959900264509</v>
      </c>
      <c r="S1070" t="str">
        <f>IFERROR(__xludf.DUMMYFUNCTION("""COMPUTED_VALUE"""),"AD0877532")</f>
        <v>AD0877532</v>
      </c>
      <c r="T1070" s="148">
        <f>IFERROR(__xludf.DUMMYFUNCTION("""COMPUTED_VALUE"""),44985.0)</f>
        <v>44985</v>
      </c>
      <c r="U1070" s="148">
        <f>IFERROR(__xludf.DUMMYFUNCTION("""COMPUTED_VALUE"""),48637.0)</f>
        <v>48637</v>
      </c>
      <c r="V1070" s="149">
        <f>IFERROR(__xludf.DUMMYFUNCTION("""COMPUTED_VALUE"""),48453.0)</f>
        <v>48453</v>
      </c>
      <c r="W1070" t="str">
        <f>IFERROR(__xludf.DUMMYFUNCTION("""COMPUTED_VALUE"""),"ปลอดภัย")</f>
        <v>ปลอดภัย</v>
      </c>
      <c r="X1070" t="str">
        <f>IFERROR(__xludf.DUMMYFUNCTION("""COMPUTED_VALUE"""),"Yala Province")</f>
        <v>Yala Province</v>
      </c>
      <c r="Y1070" t="str">
        <f>IFERROR(__xludf.DUMMYFUNCTION("""COMPUTED_VALUE"""),"Phuket")</f>
        <v>Phuket</v>
      </c>
      <c r="Z1070" s="145" t="str">
        <f>IFERROR(__xludf.DUMMYFUNCTION("""COMPUTED_VALUE"""),"0954292906")</f>
        <v>0954292906</v>
      </c>
      <c r="AA1070" t="str">
        <f>IFERROR(__xludf.DUMMYFUNCTION("""COMPUTED_VALUE"""),"นางพัชรินทร์ แซ่จิ๋ว Mother")</f>
        <v>นางพัชรินทร์ แซ่จิ๋ว Mother</v>
      </c>
      <c r="AB1070" t="str">
        <f>IFERROR(__xludf.DUMMYFUNCTION("""COMPUTED_VALUE"""),"kanokratw@airasia.com")</f>
        <v>kanokratw@airasia.com</v>
      </c>
    </row>
    <row r="1071">
      <c r="A1071">
        <f>IFERROR(__xludf.DUMMYFUNCTION("""COMPUTED_VALUE"""),1007147.0)</f>
        <v>1007147</v>
      </c>
      <c r="B1071" t="str">
        <f>IFERROR(__xludf.DUMMYFUNCTION("""COMPUTED_VALUE"""),"Ms.")</f>
        <v>Ms.</v>
      </c>
      <c r="C1071" t="str">
        <f>IFERROR(__xludf.DUMMYFUNCTION("""COMPUTED_VALUE"""),"Nongnaphat")</f>
        <v>Nongnaphat</v>
      </c>
      <c r="D1071" t="str">
        <f>IFERROR(__xludf.DUMMYFUNCTION("""COMPUTED_VALUE"""),"Ongetphon")</f>
        <v>Ongetphon</v>
      </c>
      <c r="E1071" t="str">
        <f>IFERROR(__xludf.DUMMYFUNCTION("""COMPUTED_VALUE"""),"Nongnaphat Ongetphon")</f>
        <v>Nongnaphat Ongetphon</v>
      </c>
      <c r="F1071" t="str">
        <f>IFERROR(__xludf.DUMMYFUNCTION("""COMPUTED_VALUE"""),"นางสาว")</f>
        <v>นางสาว</v>
      </c>
      <c r="G1071" t="str">
        <f>IFERROR(__xludf.DUMMYFUNCTION("""COMPUTED_VALUE"""),"นงนภัส")</f>
        <v>นงนภัส</v>
      </c>
      <c r="H1071" t="str">
        <f>IFERROR(__xludf.DUMMYFUNCTION("""COMPUTED_VALUE"""),"อ่อนเกตุพล")</f>
        <v>อ่อนเกตุพล</v>
      </c>
      <c r="I1071" t="str">
        <f>IFERROR(__xludf.DUMMYFUNCTION("""COMPUTED_VALUE"""),"นงนภัส อ่อนเกตุพล")</f>
        <v>นงนภัส อ่อนเกตุพล</v>
      </c>
      <c r="J1071" t="str">
        <f>IFERROR(__xludf.DUMMYFUNCTION("""COMPUTED_VALUE"""),"หมี่หยก")</f>
        <v>หมี่หยก</v>
      </c>
      <c r="K1071" t="str">
        <f>IFERROR(__xludf.DUMMYFUNCTION("""COMPUTED_VALUE"""),"Cabin Crew")</f>
        <v>Cabin Crew</v>
      </c>
      <c r="L1071" t="str">
        <f>IFERROR(__xludf.DUMMYFUNCTION("""COMPUTED_VALUE"""),"DMK")</f>
        <v>DMK</v>
      </c>
      <c r="M1071" s="145" t="str">
        <f>IFERROR(__xludf.DUMMYFUNCTION("""COMPUTED_VALUE"""),"Por+ Home")</f>
        <v>Por+ Home</v>
      </c>
      <c r="N1071" t="str">
        <f>IFERROR(__xludf.DUMMYFUNCTION("""COMPUTED_VALUE"""),"Active")</f>
        <v>Active</v>
      </c>
      <c r="P1071" s="159">
        <f>IFERROR(__xludf.DUMMYFUNCTION("""COMPUTED_VALUE"""),33343.0)</f>
        <v>33343</v>
      </c>
      <c r="Q1071" s="146" t="str">
        <f>IFERROR(__xludf.DUMMYFUNCTION("""COMPUTED_VALUE"""),"092-6392645")</f>
        <v>092-6392645</v>
      </c>
      <c r="R1071" s="147">
        <f>IFERROR(__xludf.DUMMYFUNCTION("""COMPUTED_VALUE"""),1.841500089673E12)</f>
        <v>1841500089673</v>
      </c>
      <c r="S1071" t="str">
        <f>IFERROR(__xludf.DUMMYFUNCTION("""COMPUTED_VALUE"""),"AD0161200")</f>
        <v>AD0161200</v>
      </c>
      <c r="T1071" s="148">
        <f>IFERROR(__xludf.DUMMYFUNCTION("""COMPUTED_VALUE"""),44852.0)</f>
        <v>44852</v>
      </c>
      <c r="U1071" s="148">
        <f>IFERROR(__xludf.DUMMYFUNCTION("""COMPUTED_VALUE"""),48504.0)</f>
        <v>48504</v>
      </c>
      <c r="V1071" s="149">
        <f>IFERROR(__xludf.DUMMYFUNCTION("""COMPUTED_VALUE"""),48321.0)</f>
        <v>48321</v>
      </c>
      <c r="W1071" t="str">
        <f>IFERROR(__xludf.DUMMYFUNCTION("""COMPUTED_VALUE"""),"ปลอดภัย")</f>
        <v>ปลอดภัย</v>
      </c>
      <c r="X1071" t="str">
        <f>IFERROR(__xludf.DUMMYFUNCTION("""COMPUTED_VALUE"""),"Surat Thani Province")</f>
        <v>Surat Thani Province</v>
      </c>
      <c r="Y1071" t="str">
        <f>IFERROR(__xludf.DUMMYFUNCTION("""COMPUTED_VALUE"""),"Surat Thani")</f>
        <v>Surat Thani</v>
      </c>
      <c r="Z1071" s="145" t="str">
        <f>IFERROR(__xludf.DUMMYFUNCTION("""COMPUTED_VALUE"""),"0887517010")</f>
        <v>0887517010</v>
      </c>
      <c r="AA1071" t="str">
        <f>IFERROR(__xludf.DUMMYFUNCTION("""COMPUTED_VALUE"""),"นายพงศธร เพ็ชรรัตน์ Friend")</f>
        <v>นายพงศธร เพ็ชรรัตน์ Friend</v>
      </c>
      <c r="AB1071" t="str">
        <f>IFERROR(__xludf.DUMMYFUNCTION("""COMPUTED_VALUE"""),"nongnaphato@airasia.com")</f>
        <v>nongnaphato@airasia.com</v>
      </c>
    </row>
    <row r="1072">
      <c r="A1072">
        <f>IFERROR(__xludf.DUMMYFUNCTION("""COMPUTED_VALUE"""),1016381.0)</f>
        <v>1016381</v>
      </c>
      <c r="B1072" t="str">
        <f>IFERROR(__xludf.DUMMYFUNCTION("""COMPUTED_VALUE"""),"Mr.")</f>
        <v>Mr.</v>
      </c>
      <c r="C1072" t="str">
        <f>IFERROR(__xludf.DUMMYFUNCTION("""COMPUTED_VALUE"""),"Pongsathorn")</f>
        <v>Pongsathorn</v>
      </c>
      <c r="D1072" t="str">
        <f>IFERROR(__xludf.DUMMYFUNCTION("""COMPUTED_VALUE"""),"Petcharat")</f>
        <v>Petcharat</v>
      </c>
      <c r="E1072" t="str">
        <f>IFERROR(__xludf.DUMMYFUNCTION("""COMPUTED_VALUE"""),"Pongsathorn Petcharat")</f>
        <v>Pongsathorn Petcharat</v>
      </c>
      <c r="F1072" t="str">
        <f>IFERROR(__xludf.DUMMYFUNCTION("""COMPUTED_VALUE"""),"นาย")</f>
        <v>นาย</v>
      </c>
      <c r="G1072" t="str">
        <f>IFERROR(__xludf.DUMMYFUNCTION("""COMPUTED_VALUE"""),"พงศธร")</f>
        <v>พงศธร</v>
      </c>
      <c r="H1072" t="str">
        <f>IFERROR(__xludf.DUMMYFUNCTION("""COMPUTED_VALUE"""),"เพ็ชรรัตน์")</f>
        <v>เพ็ชรรัตน์</v>
      </c>
      <c r="I1072" t="str">
        <f>IFERROR(__xludf.DUMMYFUNCTION("""COMPUTED_VALUE"""),"พงศธร เพ็ชรรัตน์")</f>
        <v>พงศธร เพ็ชรรัตน์</v>
      </c>
      <c r="J1072" t="str">
        <f>IFERROR(__xludf.DUMMYFUNCTION("""COMPUTED_VALUE"""),"James/เจมส์")</f>
        <v>James/เจมส์</v>
      </c>
      <c r="K1072" t="str">
        <f>IFERROR(__xludf.DUMMYFUNCTION("""COMPUTED_VALUE"""),"Cabin Crew")</f>
        <v>Cabin Crew</v>
      </c>
      <c r="L1072" t="str">
        <f>IFERROR(__xludf.DUMMYFUNCTION("""COMPUTED_VALUE"""),"DMK")</f>
        <v>DMK</v>
      </c>
      <c r="M1072" s="145" t="str">
        <f>IFERROR(__xludf.DUMMYFUNCTION("""COMPUTED_VALUE"""),"Nhui Home")</f>
        <v>Nhui Home</v>
      </c>
      <c r="N1072" t="str">
        <f>IFERROR(__xludf.DUMMYFUNCTION("""COMPUTED_VALUE"""),"Active")</f>
        <v>Active</v>
      </c>
      <c r="P1072" s="159">
        <f>IFERROR(__xludf.DUMMYFUNCTION("""COMPUTED_VALUE"""),34077.0)</f>
        <v>34077</v>
      </c>
      <c r="Q1072" s="146" t="str">
        <f>IFERROR(__xludf.DUMMYFUNCTION("""COMPUTED_VALUE"""),"088-7517010")</f>
        <v>088-7517010</v>
      </c>
      <c r="R1072" s="147">
        <f>IFERROR(__xludf.DUMMYFUNCTION("""COMPUTED_VALUE"""),1.840100434828E12)</f>
        <v>1840100434828</v>
      </c>
      <c r="S1072" t="str">
        <f>IFERROR(__xludf.DUMMYFUNCTION("""COMPUTED_VALUE"""),"AC5609885")</f>
        <v>AC5609885</v>
      </c>
      <c r="T1072" s="148">
        <f>IFERROR(__xludf.DUMMYFUNCTION("""COMPUTED_VALUE"""),45159.0)</f>
        <v>45159</v>
      </c>
      <c r="U1072" s="148">
        <f>IFERROR(__xludf.DUMMYFUNCTION("""COMPUTED_VALUE"""),48811.0)</f>
        <v>48811</v>
      </c>
      <c r="V1072" s="149">
        <f>IFERROR(__xludf.DUMMYFUNCTION("""COMPUTED_VALUE"""),48630.0)</f>
        <v>48630</v>
      </c>
      <c r="W1072" t="str">
        <f>IFERROR(__xludf.DUMMYFUNCTION("""COMPUTED_VALUE"""),"ปลอดภัย")</f>
        <v>ปลอดภัย</v>
      </c>
      <c r="X1072" t="str">
        <f>IFERROR(__xludf.DUMMYFUNCTION("""COMPUTED_VALUE"""),"Surat Thani Province")</f>
        <v>Surat Thani Province</v>
      </c>
      <c r="Y1072" t="str">
        <f>IFERROR(__xludf.DUMMYFUNCTION("""COMPUTED_VALUE"""),"Bangkok")</f>
        <v>Bangkok</v>
      </c>
      <c r="Z1072" s="145" t="str">
        <f>IFERROR(__xludf.DUMMYFUNCTION("""COMPUTED_VALUE"""),"092-6392645")</f>
        <v>092-6392645</v>
      </c>
      <c r="AA1072" t="str">
        <f>IFERROR(__xludf.DUMMYFUNCTION("""COMPUTED_VALUE"""),"นงนภัส อ่อนเกตุพล Friend")</f>
        <v>นงนภัส อ่อนเกตุพล Friend</v>
      </c>
      <c r="AB1072" t="str">
        <f>IFERROR(__xludf.DUMMYFUNCTION("""COMPUTED_VALUE"""),"pongsathornb@airasia.com")</f>
        <v>pongsathornb@airasia.com</v>
      </c>
    </row>
    <row r="1073">
      <c r="A1073">
        <f>IFERROR(__xludf.DUMMYFUNCTION("""COMPUTED_VALUE"""),1039924.0)</f>
        <v>1039924</v>
      </c>
      <c r="B1073" t="str">
        <f>IFERROR(__xludf.DUMMYFUNCTION("""COMPUTED_VALUE"""),"Ms.")</f>
        <v>Ms.</v>
      </c>
      <c r="C1073" t="str">
        <f>IFERROR(__xludf.DUMMYFUNCTION("""COMPUTED_VALUE"""),"Pornkamol")</f>
        <v>Pornkamol</v>
      </c>
      <c r="D1073" t="str">
        <f>IFERROR(__xludf.DUMMYFUNCTION("""COMPUTED_VALUE"""),"Tonsakulwong")</f>
        <v>Tonsakulwong</v>
      </c>
      <c r="E1073" t="str">
        <f>IFERROR(__xludf.DUMMYFUNCTION("""COMPUTED_VALUE"""),"Pornkamol Tonsakulwong")</f>
        <v>Pornkamol Tonsakulwong</v>
      </c>
      <c r="F1073" t="str">
        <f>IFERROR(__xludf.DUMMYFUNCTION("""COMPUTED_VALUE"""),"นางสาว")</f>
        <v>นางสาว</v>
      </c>
      <c r="G1073" t="str">
        <f>IFERROR(__xludf.DUMMYFUNCTION("""COMPUTED_VALUE"""),"พรกมล")</f>
        <v>พรกมล</v>
      </c>
      <c r="H1073" t="str">
        <f>IFERROR(__xludf.DUMMYFUNCTION("""COMPUTED_VALUE"""),"ต้นสกุลวงศ์")</f>
        <v>ต้นสกุลวงศ์</v>
      </c>
      <c r="I1073" t="str">
        <f>IFERROR(__xludf.DUMMYFUNCTION("""COMPUTED_VALUE"""),"พรกมล ต้นสกุลวงศ์")</f>
        <v>พรกมล ต้นสกุลวงศ์</v>
      </c>
      <c r="J1073" t="str">
        <f>IFERROR(__xludf.DUMMYFUNCTION("""COMPUTED_VALUE"""),"Mon/มน")</f>
        <v>Mon/มน</v>
      </c>
      <c r="K1073" t="str">
        <f>IFERROR(__xludf.DUMMYFUNCTION("""COMPUTED_VALUE"""),"Cabin Crew")</f>
        <v>Cabin Crew</v>
      </c>
      <c r="L1073" t="str">
        <f>IFERROR(__xludf.DUMMYFUNCTION("""COMPUTED_VALUE"""),"DMK")</f>
        <v>DMK</v>
      </c>
      <c r="M1073" s="145" t="str">
        <f>IFERROR(__xludf.DUMMYFUNCTION("""COMPUTED_VALUE"""),"Toffy Home")</f>
        <v>Toffy Home</v>
      </c>
      <c r="N1073" t="str">
        <f>IFERROR(__xludf.DUMMYFUNCTION("""COMPUTED_VALUE"""),"Active")</f>
        <v>Active</v>
      </c>
      <c r="P1073" s="159">
        <f>IFERROR(__xludf.DUMMYFUNCTION("""COMPUTED_VALUE"""),34128.0)</f>
        <v>34128</v>
      </c>
      <c r="Q1073" s="146" t="str">
        <f>IFERROR(__xludf.DUMMYFUNCTION("""COMPUTED_VALUE"""),"095-696-1541")</f>
        <v>095-696-1541</v>
      </c>
      <c r="R1073" s="147">
        <f>IFERROR(__xludf.DUMMYFUNCTION("""COMPUTED_VALUE"""),1.102400065711E12)</f>
        <v>1102400065711</v>
      </c>
      <c r="S1073" t="str">
        <f>IFERROR(__xludf.DUMMYFUNCTION("""COMPUTED_VALUE"""),"AC7498765")</f>
        <v>AC7498765</v>
      </c>
      <c r="T1073" s="148">
        <f>IFERROR(__xludf.DUMMYFUNCTION("""COMPUTED_VALUE"""),45541.0)</f>
        <v>45541</v>
      </c>
      <c r="U1073" s="148">
        <f>IFERROR(__xludf.DUMMYFUNCTION("""COMPUTED_VALUE"""),49192.0)</f>
        <v>49192</v>
      </c>
      <c r="V1073" s="149">
        <f>IFERROR(__xludf.DUMMYFUNCTION("""COMPUTED_VALUE"""),49008.0)</f>
        <v>49008</v>
      </c>
      <c r="W1073" t="str">
        <f>IFERROR(__xludf.DUMMYFUNCTION("""COMPUTED_VALUE"""),"ปลอดภัย")</f>
        <v>ปลอดภัย</v>
      </c>
      <c r="X1073" t="str">
        <f>IFERROR(__xludf.DUMMYFUNCTION("""COMPUTED_VALUE"""),"Bangkok")</f>
        <v>Bangkok</v>
      </c>
      <c r="Y1073" t="str">
        <f>IFERROR(__xludf.DUMMYFUNCTION("""COMPUTED_VALUE"""),"Bangkok")</f>
        <v>Bangkok</v>
      </c>
      <c r="Z1073" s="145" t="str">
        <f>IFERROR(__xludf.DUMMYFUNCTION("""COMPUTED_VALUE"""),"095-364-9245")</f>
        <v>095-364-9245</v>
      </c>
      <c r="AA1073" t="str">
        <f>IFERROR(__xludf.DUMMYFUNCTION("""COMPUTED_VALUE"""),"นางพัทธนันท์ ต้นสกุลวงศ์ Mother")</f>
        <v>นางพัทธนันท์ ต้นสกุลวงศ์ Mother</v>
      </c>
      <c r="AB1073" t="str">
        <f>IFERROR(__xludf.DUMMYFUNCTION("""COMPUTED_VALUE"""),"pornkamoltonsakulwo@airasia.com")</f>
        <v>pornkamoltonsakulwo@airasia.com</v>
      </c>
    </row>
    <row r="1074">
      <c r="A1074">
        <f>IFERROR(__xludf.DUMMYFUNCTION("""COMPUTED_VALUE"""),1009672.0)</f>
        <v>1009672</v>
      </c>
      <c r="B1074" t="str">
        <f>IFERROR(__xludf.DUMMYFUNCTION("""COMPUTED_VALUE"""),"Ms.")</f>
        <v>Ms.</v>
      </c>
      <c r="C1074" t="str">
        <f>IFERROR(__xludf.DUMMYFUNCTION("""COMPUTED_VALUE"""),"Sujarinee")</f>
        <v>Sujarinee</v>
      </c>
      <c r="D1074" t="str">
        <f>IFERROR(__xludf.DUMMYFUNCTION("""COMPUTED_VALUE"""),"Sukhon")</f>
        <v>Sukhon</v>
      </c>
      <c r="E1074" t="str">
        <f>IFERROR(__xludf.DUMMYFUNCTION("""COMPUTED_VALUE"""),"Sujarinee Sukhon")</f>
        <v>Sujarinee Sukhon</v>
      </c>
      <c r="F1074" t="str">
        <f>IFERROR(__xludf.DUMMYFUNCTION("""COMPUTED_VALUE"""),"นางสาว")</f>
        <v>นางสาว</v>
      </c>
      <c r="G1074" t="str">
        <f>IFERROR(__xludf.DUMMYFUNCTION("""COMPUTED_VALUE"""),"สุจาริณี")</f>
        <v>สุจาริณี</v>
      </c>
      <c r="H1074" t="str">
        <f>IFERROR(__xludf.DUMMYFUNCTION("""COMPUTED_VALUE"""),"สุคนธ์")</f>
        <v>สุคนธ์</v>
      </c>
      <c r="I1074" t="str">
        <f>IFERROR(__xludf.DUMMYFUNCTION("""COMPUTED_VALUE"""),"สุจาริณี สุคนธ์")</f>
        <v>สุจาริณี สุคนธ์</v>
      </c>
      <c r="J1074" t="str">
        <f>IFERROR(__xludf.DUMMYFUNCTION("""COMPUTED_VALUE"""),"ก้อย")</f>
        <v>ก้อย</v>
      </c>
      <c r="K1074" t="str">
        <f>IFERROR(__xludf.DUMMYFUNCTION("""COMPUTED_VALUE"""),"Cabin Crew")</f>
        <v>Cabin Crew</v>
      </c>
      <c r="L1074" t="str">
        <f>IFERROR(__xludf.DUMMYFUNCTION("""COMPUTED_VALUE"""),"DMK")</f>
        <v>DMK</v>
      </c>
      <c r="M1074" s="145" t="str">
        <f>IFERROR(__xludf.DUMMYFUNCTION("""COMPUTED_VALUE"""),"Kor Home")</f>
        <v>Kor Home</v>
      </c>
      <c r="N1074" t="str">
        <f>IFERROR(__xludf.DUMMYFUNCTION("""COMPUTED_VALUE"""),"Active")</f>
        <v>Active</v>
      </c>
      <c r="P1074" s="159">
        <f>IFERROR(__xludf.DUMMYFUNCTION("""COMPUTED_VALUE"""),32729.0)</f>
        <v>32729</v>
      </c>
      <c r="Q1074" s="146" t="str">
        <f>IFERROR(__xludf.DUMMYFUNCTION("""COMPUTED_VALUE"""),"084-7488489")</f>
        <v>084-7488489</v>
      </c>
      <c r="R1074" s="147">
        <f>IFERROR(__xludf.DUMMYFUNCTION("""COMPUTED_VALUE"""),1.959900204484E12)</f>
        <v>1959900204484</v>
      </c>
      <c r="S1074" t="str">
        <f>IFERROR(__xludf.DUMMYFUNCTION("""COMPUTED_VALUE"""),"AC2328007")</f>
        <v>AC2328007</v>
      </c>
      <c r="T1074" s="148">
        <f>IFERROR(__xludf.DUMMYFUNCTION("""COMPUTED_VALUE"""),44371.0)</f>
        <v>44371</v>
      </c>
      <c r="U1074" s="148">
        <f>IFERROR(__xludf.DUMMYFUNCTION("""COMPUTED_VALUE"""),48022.0)</f>
        <v>48022</v>
      </c>
      <c r="V1074" s="149">
        <f>IFERROR(__xludf.DUMMYFUNCTION("""COMPUTED_VALUE"""),47840.0)</f>
        <v>47840</v>
      </c>
      <c r="W1074" t="str">
        <f>IFERROR(__xludf.DUMMYFUNCTION("""COMPUTED_VALUE"""),"ปลอดภัย")</f>
        <v>ปลอดภัย</v>
      </c>
      <c r="X1074" t="str">
        <f>IFERROR(__xludf.DUMMYFUNCTION("""COMPUTED_VALUE"""),"Yala Province")</f>
        <v>Yala Province</v>
      </c>
      <c r="Y1074" t="str">
        <f>IFERROR(__xludf.DUMMYFUNCTION("""COMPUTED_VALUE"""),"Bangkok")</f>
        <v>Bangkok</v>
      </c>
      <c r="Z1074" s="145" t="str">
        <f>IFERROR(__xludf.DUMMYFUNCTION("""COMPUTED_VALUE"""),"086-399-6031")</f>
        <v>086-399-6031</v>
      </c>
      <c r="AA1074" t="str">
        <f>IFERROR(__xludf.DUMMYFUNCTION("""COMPUTED_VALUE"""),"นางสาวสาวิตรี สุคนธ์ Sister")</f>
        <v>นางสาวสาวิตรี สุคนธ์ Sister</v>
      </c>
      <c r="AB1074" t="str">
        <f>IFERROR(__xludf.DUMMYFUNCTION("""COMPUTED_VALUE"""),"sujarinees@airasia.com")</f>
        <v>sujarinees@airasia.com</v>
      </c>
    </row>
    <row r="1075">
      <c r="A1075">
        <f>IFERROR(__xludf.DUMMYFUNCTION("""COMPUTED_VALUE"""),1007543.0)</f>
        <v>1007543</v>
      </c>
      <c r="B1075" t="str">
        <f>IFERROR(__xludf.DUMMYFUNCTION("""COMPUTED_VALUE"""),"Ms.")</f>
        <v>Ms.</v>
      </c>
      <c r="C1075" t="str">
        <f>IFERROR(__xludf.DUMMYFUNCTION("""COMPUTED_VALUE"""),"Praewphan")</f>
        <v>Praewphan</v>
      </c>
      <c r="D1075" t="str">
        <f>IFERROR(__xludf.DUMMYFUNCTION("""COMPUTED_VALUE"""),"Jampradang")</f>
        <v>Jampradang</v>
      </c>
      <c r="E1075" t="str">
        <f>IFERROR(__xludf.DUMMYFUNCTION("""COMPUTED_VALUE"""),"Praewphan Jampradang")</f>
        <v>Praewphan Jampradang</v>
      </c>
      <c r="F1075" t="str">
        <f>IFERROR(__xludf.DUMMYFUNCTION("""COMPUTED_VALUE"""),"นางสาว")</f>
        <v>นางสาว</v>
      </c>
      <c r="G1075" t="str">
        <f>IFERROR(__xludf.DUMMYFUNCTION("""COMPUTED_VALUE"""),"แพรวพรรณ")</f>
        <v>แพรวพรรณ</v>
      </c>
      <c r="H1075" t="str">
        <f>IFERROR(__xludf.DUMMYFUNCTION("""COMPUTED_VALUE"""),"แจ่มประแดง")</f>
        <v>แจ่มประแดง</v>
      </c>
      <c r="I1075" t="str">
        <f>IFERROR(__xludf.DUMMYFUNCTION("""COMPUTED_VALUE"""),"แพรวพรรณ แจ่มประแดง")</f>
        <v>แพรวพรรณ แจ่มประแดง</v>
      </c>
      <c r="J1075" t="str">
        <f>IFERROR(__xludf.DUMMYFUNCTION("""COMPUTED_VALUE"""),"Bow / โบว์")</f>
        <v>Bow / โบว์</v>
      </c>
      <c r="K1075" t="str">
        <f>IFERROR(__xludf.DUMMYFUNCTION("""COMPUTED_VALUE"""),"Cabin Crew")</f>
        <v>Cabin Crew</v>
      </c>
      <c r="L1075" t="str">
        <f>IFERROR(__xludf.DUMMYFUNCTION("""COMPUTED_VALUE"""),"DMK")</f>
        <v>DMK</v>
      </c>
      <c r="M1075" s="145" t="str">
        <f>IFERROR(__xludf.DUMMYFUNCTION("""COMPUTED_VALUE"""),"Por+ Home")</f>
        <v>Por+ Home</v>
      </c>
      <c r="N1075" t="str">
        <f>IFERROR(__xludf.DUMMYFUNCTION("""COMPUTED_VALUE"""),"Active")</f>
        <v>Active</v>
      </c>
      <c r="P1075" s="159">
        <f>IFERROR(__xludf.DUMMYFUNCTION("""COMPUTED_VALUE"""),33252.0)</f>
        <v>33252</v>
      </c>
      <c r="Q1075" s="146" t="str">
        <f>IFERROR(__xludf.DUMMYFUNCTION("""COMPUTED_VALUE"""),"094-6391496")</f>
        <v>094-6391496</v>
      </c>
      <c r="R1075" s="147">
        <f>IFERROR(__xludf.DUMMYFUNCTION("""COMPUTED_VALUE"""),1.103700360255E12)</f>
        <v>1103700360255</v>
      </c>
      <c r="S1075" t="str">
        <f>IFERROR(__xludf.DUMMYFUNCTION("""COMPUTED_VALUE"""),"AD0572612")</f>
        <v>AD0572612</v>
      </c>
      <c r="T1075" s="148">
        <f>IFERROR(__xludf.DUMMYFUNCTION("""COMPUTED_VALUE"""),44929.0)</f>
        <v>44929</v>
      </c>
      <c r="U1075" s="148">
        <f>IFERROR(__xludf.DUMMYFUNCTION("""COMPUTED_VALUE"""),48581.0)</f>
        <v>48581</v>
      </c>
      <c r="V1075" s="149">
        <f>IFERROR(__xludf.DUMMYFUNCTION("""COMPUTED_VALUE"""),48397.0)</f>
        <v>48397</v>
      </c>
      <c r="W1075" t="str">
        <f>IFERROR(__xludf.DUMMYFUNCTION("""COMPUTED_VALUE"""),"ปลอดภัย")</f>
        <v>ปลอดภัย</v>
      </c>
      <c r="X1075" t="str">
        <f>IFERROR(__xludf.DUMMYFUNCTION("""COMPUTED_VALUE"""),"Bangkok")</f>
        <v>Bangkok</v>
      </c>
      <c r="Y1075" t="str">
        <f>IFERROR(__xludf.DUMMYFUNCTION("""COMPUTED_VALUE"""),"Bangkok")</f>
        <v>Bangkok</v>
      </c>
      <c r="Z1075" s="145" t="str">
        <f>IFERROR(__xludf.DUMMYFUNCTION("""COMPUTED_VALUE"""),"096-193-5942")</f>
        <v>096-193-5942</v>
      </c>
      <c r="AA1075" t="str">
        <f>IFERROR(__xludf.DUMMYFUNCTION("""COMPUTED_VALUE"""),"นายพงศกร ธนาธร Friend")</f>
        <v>นายพงศกร ธนาธร Friend</v>
      </c>
      <c r="AB1075" t="str">
        <f>IFERROR(__xludf.DUMMYFUNCTION("""COMPUTED_VALUE"""),"praewphanj@airasia.com")</f>
        <v>praewphanj@airasia.com</v>
      </c>
    </row>
    <row r="1076">
      <c r="A1076">
        <f>IFERROR(__xludf.DUMMYFUNCTION("""COMPUTED_VALUE"""),1012850.0)</f>
        <v>1012850</v>
      </c>
      <c r="B1076" t="str">
        <f>IFERROR(__xludf.DUMMYFUNCTION("""COMPUTED_VALUE"""),"Mr.")</f>
        <v>Mr.</v>
      </c>
      <c r="C1076" t="str">
        <f>IFERROR(__xludf.DUMMYFUNCTION("""COMPUTED_VALUE"""),"Chanagun")</f>
        <v>Chanagun</v>
      </c>
      <c r="D1076" t="str">
        <f>IFERROR(__xludf.DUMMYFUNCTION("""COMPUTED_VALUE"""),"Phanturat")</f>
        <v>Phanturat</v>
      </c>
      <c r="E1076" t="str">
        <f>IFERROR(__xludf.DUMMYFUNCTION("""COMPUTED_VALUE"""),"Chanagun Phanturat")</f>
        <v>Chanagun Phanturat</v>
      </c>
      <c r="F1076" t="str">
        <f>IFERROR(__xludf.DUMMYFUNCTION("""COMPUTED_VALUE"""),"นาย")</f>
        <v>นาย</v>
      </c>
      <c r="G1076" t="str">
        <f>IFERROR(__xludf.DUMMYFUNCTION("""COMPUTED_VALUE"""),"ชนกันต์")</f>
        <v>ชนกันต์</v>
      </c>
      <c r="H1076" t="str">
        <f>IFERROR(__xludf.DUMMYFUNCTION("""COMPUTED_VALUE"""),"พันธุรัตน์")</f>
        <v>พันธุรัตน์</v>
      </c>
      <c r="I1076" t="str">
        <f>IFERROR(__xludf.DUMMYFUNCTION("""COMPUTED_VALUE"""),"ชนกันต์ พันธุรัตน์")</f>
        <v>ชนกันต์ พันธุรัตน์</v>
      </c>
      <c r="J1076" t="str">
        <f>IFERROR(__xludf.DUMMYFUNCTION("""COMPUTED_VALUE"""),"Chon / ชน")</f>
        <v>Chon / ชน</v>
      </c>
      <c r="K1076" t="str">
        <f>IFERROR(__xludf.DUMMYFUNCTION("""COMPUTED_VALUE"""),"Cabin Crew")</f>
        <v>Cabin Crew</v>
      </c>
      <c r="L1076" t="str">
        <f>IFERROR(__xludf.DUMMYFUNCTION("""COMPUTED_VALUE"""),"DMK")</f>
        <v>DMK</v>
      </c>
      <c r="M1076" s="145" t="str">
        <f>IFERROR(__xludf.DUMMYFUNCTION("""COMPUTED_VALUE"""),"Um Home")</f>
        <v>Um Home</v>
      </c>
      <c r="N1076" t="str">
        <f>IFERROR(__xludf.DUMMYFUNCTION("""COMPUTED_VALUE"""),"Active")</f>
        <v>Active</v>
      </c>
      <c r="P1076" s="159">
        <f>IFERROR(__xludf.DUMMYFUNCTION("""COMPUTED_VALUE"""),34063.0)</f>
        <v>34063</v>
      </c>
      <c r="Q1076" s="146" t="str">
        <f>IFERROR(__xludf.DUMMYFUNCTION("""COMPUTED_VALUE"""),"061-909-3838")</f>
        <v>061-909-3838</v>
      </c>
      <c r="R1076" s="147">
        <f>IFERROR(__xludf.DUMMYFUNCTION("""COMPUTED_VALUE"""),1.100600271207E12)</f>
        <v>1100600271207</v>
      </c>
      <c r="S1076" t="str">
        <f>IFERROR(__xludf.DUMMYFUNCTION("""COMPUTED_VALUE"""),"AC4928045")</f>
        <v>AC4928045</v>
      </c>
      <c r="T1076" s="148">
        <f>IFERROR(__xludf.DUMMYFUNCTION("""COMPUTED_VALUE"""),45057.0)</f>
        <v>45057</v>
      </c>
      <c r="U1076" s="148">
        <f>IFERROR(__xludf.DUMMYFUNCTION("""COMPUTED_VALUE"""),46883.0)</f>
        <v>46883</v>
      </c>
      <c r="V1076" s="149">
        <f>IFERROR(__xludf.DUMMYFUNCTION("""COMPUTED_VALUE"""),46701.0)</f>
        <v>46701</v>
      </c>
      <c r="W1076" t="str">
        <f>IFERROR(__xludf.DUMMYFUNCTION("""COMPUTED_VALUE"""),"ปลอดภัย")</f>
        <v>ปลอดภัย</v>
      </c>
      <c r="X1076" t="str">
        <f>IFERROR(__xludf.DUMMYFUNCTION("""COMPUTED_VALUE"""),"Bangkok")</f>
        <v>Bangkok</v>
      </c>
      <c r="Y1076" t="str">
        <f>IFERROR(__xludf.DUMMYFUNCTION("""COMPUTED_VALUE"""),"Bangkok")</f>
        <v>Bangkok</v>
      </c>
      <c r="Z1076" s="145" t="str">
        <f>IFERROR(__xludf.DUMMYFUNCTION("""COMPUTED_VALUE"""),"085-114-2254")</f>
        <v>085-114-2254</v>
      </c>
      <c r="AA1076" t="str">
        <f>IFERROR(__xludf.DUMMYFUNCTION("""COMPUTED_VALUE"""),"นางสาว อโนมา ธำรงรัตน์ Mother")</f>
        <v>นางสาว อโนมา ธำรงรัตน์ Mother</v>
      </c>
      <c r="AB1076" t="str">
        <f>IFERROR(__xludf.DUMMYFUNCTION("""COMPUTED_VALUE"""),"chanagunp@airasia.com")</f>
        <v>chanagunp@airasia.com</v>
      </c>
    </row>
    <row r="1077">
      <c r="A1077">
        <f>IFERROR(__xludf.DUMMYFUNCTION("""COMPUTED_VALUE"""),1012256.0)</f>
        <v>1012256</v>
      </c>
      <c r="B1077" t="str">
        <f>IFERROR(__xludf.DUMMYFUNCTION("""COMPUTED_VALUE"""),"Mr.")</f>
        <v>Mr.</v>
      </c>
      <c r="C1077" t="str">
        <f>IFERROR(__xludf.DUMMYFUNCTION("""COMPUTED_VALUE"""),"Sarayut")</f>
        <v>Sarayut</v>
      </c>
      <c r="D1077" t="str">
        <f>IFERROR(__xludf.DUMMYFUNCTION("""COMPUTED_VALUE"""),"Ungsaichue")</f>
        <v>Ungsaichue</v>
      </c>
      <c r="E1077" t="str">
        <f>IFERROR(__xludf.DUMMYFUNCTION("""COMPUTED_VALUE"""),"Sarayut Ungsaichue")</f>
        <v>Sarayut Ungsaichue</v>
      </c>
      <c r="F1077" t="str">
        <f>IFERROR(__xludf.DUMMYFUNCTION("""COMPUTED_VALUE"""),"นาย")</f>
        <v>นาย</v>
      </c>
      <c r="G1077" t="str">
        <f>IFERROR(__xludf.DUMMYFUNCTION("""COMPUTED_VALUE"""),"ศรายุทธ​")</f>
        <v>ศรายุทธ​</v>
      </c>
      <c r="H1077" t="str">
        <f>IFERROR(__xludf.DUMMYFUNCTION("""COMPUTED_VALUE"""),"อึ​้งสายเชื้อ​")</f>
        <v>อึ​้งสายเชื้อ​</v>
      </c>
      <c r="I1077" t="str">
        <f>IFERROR(__xludf.DUMMYFUNCTION("""COMPUTED_VALUE"""),"ศรายุทธ​ อึ​้งสายเชื้อ​")</f>
        <v>ศรายุทธ​ อึ​้งสายเชื้อ​</v>
      </c>
      <c r="J1077" t="str">
        <f>IFERROR(__xludf.DUMMYFUNCTION("""COMPUTED_VALUE"""),"เก่ง")</f>
        <v>เก่ง</v>
      </c>
      <c r="K1077" t="str">
        <f>IFERROR(__xludf.DUMMYFUNCTION("""COMPUTED_VALUE"""),"Cabin Crew")</f>
        <v>Cabin Crew</v>
      </c>
      <c r="L1077" t="str">
        <f>IFERROR(__xludf.DUMMYFUNCTION("""COMPUTED_VALUE"""),"DMK")</f>
        <v>DMK</v>
      </c>
      <c r="M1077" s="145" t="str">
        <f>IFERROR(__xludf.DUMMYFUNCTION("""COMPUTED_VALUE"""),"Por+ Home")</f>
        <v>Por+ Home</v>
      </c>
      <c r="N1077" t="str">
        <f>IFERROR(__xludf.DUMMYFUNCTION("""COMPUTED_VALUE"""),"Active")</f>
        <v>Active</v>
      </c>
      <c r="P1077" s="159">
        <f>IFERROR(__xludf.DUMMYFUNCTION("""COMPUTED_VALUE"""),34143.0)</f>
        <v>34143</v>
      </c>
      <c r="Q1077" s="146">
        <f>IFERROR(__xludf.DUMMYFUNCTION("""COMPUTED_VALUE"""),9.44605769E8)</f>
        <v>944605769</v>
      </c>
      <c r="R1077" s="147">
        <f>IFERROR(__xludf.DUMMYFUNCTION("""COMPUTED_VALUE"""),1.100800895921E12)</f>
        <v>1100800895921</v>
      </c>
      <c r="S1077" t="str">
        <f>IFERROR(__xludf.DUMMYFUNCTION("""COMPUTED_VALUE"""),"AD0327422")</f>
        <v>AD0327422</v>
      </c>
      <c r="T1077" s="148">
        <f>IFERROR(__xludf.DUMMYFUNCTION("""COMPUTED_VALUE"""),44868.0)</f>
        <v>44868</v>
      </c>
      <c r="U1077" s="148">
        <f>IFERROR(__xludf.DUMMYFUNCTION("""COMPUTED_VALUE"""),46693.0)</f>
        <v>46693</v>
      </c>
      <c r="V1077" s="149">
        <f>IFERROR(__xludf.DUMMYFUNCTION("""COMPUTED_VALUE"""),46509.0)</f>
        <v>46509</v>
      </c>
      <c r="W1077" t="str">
        <f>IFERROR(__xludf.DUMMYFUNCTION("""COMPUTED_VALUE"""),"ปลอดภัย")</f>
        <v>ปลอดภัย</v>
      </c>
      <c r="X1077" t="str">
        <f>IFERROR(__xludf.DUMMYFUNCTION("""COMPUTED_VALUE"""),"Bangkok")</f>
        <v>Bangkok</v>
      </c>
      <c r="Y1077" t="str">
        <f>IFERROR(__xludf.DUMMYFUNCTION("""COMPUTED_VALUE"""),"Bangkok")</f>
        <v>Bangkok</v>
      </c>
      <c r="Z1077" s="145" t="str">
        <f>IFERROR(__xludf.DUMMYFUNCTION("""COMPUTED_VALUE"""),"0657656551")</f>
        <v>0657656551</v>
      </c>
      <c r="AA1077" t="str">
        <f>IFERROR(__xludf.DUMMYFUNCTION("""COMPUTED_VALUE"""),"นางพรพิมล​ อึ​้งสายเชื้อ​ Mother")</f>
        <v>นางพรพิมล​ อึ​้งสายเชื้อ​ Mother</v>
      </c>
      <c r="AB1077" t="str">
        <f>IFERROR(__xludf.DUMMYFUNCTION("""COMPUTED_VALUE"""),"sarayutu@airasia.com")</f>
        <v>sarayutu@airasia.com</v>
      </c>
    </row>
    <row r="1078">
      <c r="A1078">
        <f>IFERROR(__xludf.DUMMYFUNCTION("""COMPUTED_VALUE"""),1013600.0)</f>
        <v>1013600</v>
      </c>
      <c r="B1078" t="str">
        <f>IFERROR(__xludf.DUMMYFUNCTION("""COMPUTED_VALUE"""),"Ms.")</f>
        <v>Ms.</v>
      </c>
      <c r="C1078" t="str">
        <f>IFERROR(__xludf.DUMMYFUNCTION("""COMPUTED_VALUE"""),"Ammarawadee")</f>
        <v>Ammarawadee</v>
      </c>
      <c r="D1078" t="str">
        <f>IFERROR(__xludf.DUMMYFUNCTION("""COMPUTED_VALUE"""),"Sornsuphap")</f>
        <v>Sornsuphap</v>
      </c>
      <c r="E1078" t="str">
        <f>IFERROR(__xludf.DUMMYFUNCTION("""COMPUTED_VALUE"""),"Ammarawadee Sornsuphap")</f>
        <v>Ammarawadee Sornsuphap</v>
      </c>
      <c r="F1078" t="str">
        <f>IFERROR(__xludf.DUMMYFUNCTION("""COMPUTED_VALUE"""),"นางสาว")</f>
        <v>นางสาว</v>
      </c>
      <c r="G1078" t="str">
        <f>IFERROR(__xludf.DUMMYFUNCTION("""COMPUTED_VALUE"""),"อมราวดี")</f>
        <v>อมราวดี</v>
      </c>
      <c r="H1078" t="str">
        <f>IFERROR(__xludf.DUMMYFUNCTION("""COMPUTED_VALUE"""),"สอนสุภาพ")</f>
        <v>สอนสุภาพ</v>
      </c>
      <c r="I1078" t="str">
        <f>IFERROR(__xludf.DUMMYFUNCTION("""COMPUTED_VALUE"""),"อมราวดี สอนสุภาพ")</f>
        <v>อมราวดี สอนสุภาพ</v>
      </c>
      <c r="J1078" t="str">
        <f>IFERROR(__xludf.DUMMYFUNCTION("""COMPUTED_VALUE"""),"ก๋อมแก๋ม")</f>
        <v>ก๋อมแก๋ม</v>
      </c>
      <c r="K1078" t="str">
        <f>IFERROR(__xludf.DUMMYFUNCTION("""COMPUTED_VALUE"""),"Cabin Crew")</f>
        <v>Cabin Crew</v>
      </c>
      <c r="L1078" t="str">
        <f>IFERROR(__xludf.DUMMYFUNCTION("""COMPUTED_VALUE"""),"DMK")</f>
        <v>DMK</v>
      </c>
      <c r="M1078" s="145" t="str">
        <f>IFERROR(__xludf.DUMMYFUNCTION("""COMPUTED_VALUE"""),"Toffy Home")</f>
        <v>Toffy Home</v>
      </c>
      <c r="N1078" t="str">
        <f>IFERROR(__xludf.DUMMYFUNCTION("""COMPUTED_VALUE"""),"Active")</f>
        <v>Active</v>
      </c>
      <c r="P1078" s="159">
        <f>IFERROR(__xludf.DUMMYFUNCTION("""COMPUTED_VALUE"""),33811.0)</f>
        <v>33811</v>
      </c>
      <c r="Q1078" s="146" t="str">
        <f>IFERROR(__xludf.DUMMYFUNCTION("""COMPUTED_VALUE"""),"098-353-9294")</f>
        <v>098-353-9294</v>
      </c>
      <c r="R1078" s="147">
        <f>IFERROR(__xludf.DUMMYFUNCTION("""COMPUTED_VALUE"""),1.350100249154E12)</f>
        <v>1350100249154</v>
      </c>
      <c r="S1078" t="str">
        <f>IFERROR(__xludf.DUMMYFUNCTION("""COMPUTED_VALUE"""),"AC8420405")</f>
        <v>AC8420405</v>
      </c>
      <c r="T1078" s="148">
        <f>IFERROR(__xludf.DUMMYFUNCTION("""COMPUTED_VALUE"""),46085.0)</f>
        <v>46085</v>
      </c>
      <c r="U1078" s="148">
        <f>IFERROR(__xludf.DUMMYFUNCTION("""COMPUTED_VALUE"""),47910.0)</f>
        <v>47910</v>
      </c>
      <c r="V1078" s="149">
        <f>IFERROR(__xludf.DUMMYFUNCTION("""COMPUTED_VALUE"""),47729.0)</f>
        <v>47729</v>
      </c>
      <c r="W1078" t="str">
        <f>IFERROR(__xludf.DUMMYFUNCTION("""COMPUTED_VALUE"""),"ปลอดภัย")</f>
        <v>ปลอดภัย</v>
      </c>
      <c r="X1078" t="str">
        <f>IFERROR(__xludf.DUMMYFUNCTION("""COMPUTED_VALUE"""),"Yasothon Province")</f>
        <v>Yasothon Province</v>
      </c>
      <c r="Y1078" t="str">
        <f>IFERROR(__xludf.DUMMYFUNCTION("""COMPUTED_VALUE"""),"Bangkok")</f>
        <v>Bangkok</v>
      </c>
      <c r="Z1078" s="145" t="str">
        <f>IFERROR(__xludf.DUMMYFUNCTION("""COMPUTED_VALUE"""),"0935596303")</f>
        <v>0935596303</v>
      </c>
      <c r="AA1078" t="str">
        <f>IFERROR(__xludf.DUMMYFUNCTION("""COMPUTED_VALUE"""),"ศิวนันท์ พรรณวัชรีไชย Friend")</f>
        <v>ศิวนันท์ พรรณวัชรีไชย Friend</v>
      </c>
      <c r="AB1078" t="str">
        <f>IFERROR(__xludf.DUMMYFUNCTION("""COMPUTED_VALUE"""),"ammarawadees@airasia.com")</f>
        <v>ammarawadees@airasia.com</v>
      </c>
    </row>
    <row r="1079">
      <c r="A1079">
        <f>IFERROR(__xludf.DUMMYFUNCTION("""COMPUTED_VALUE"""),1014241.0)</f>
        <v>1014241</v>
      </c>
      <c r="B1079" t="str">
        <f>IFERROR(__xludf.DUMMYFUNCTION("""COMPUTED_VALUE"""),"Ms.")</f>
        <v>Ms.</v>
      </c>
      <c r="C1079" t="str">
        <f>IFERROR(__xludf.DUMMYFUNCTION("""COMPUTED_VALUE"""),"Kittima")</f>
        <v>Kittima</v>
      </c>
      <c r="D1079" t="str">
        <f>IFERROR(__xludf.DUMMYFUNCTION("""COMPUTED_VALUE"""),"Khongnukool")</f>
        <v>Khongnukool</v>
      </c>
      <c r="E1079" t="str">
        <f>IFERROR(__xludf.DUMMYFUNCTION("""COMPUTED_VALUE"""),"Kittima Khongnukool")</f>
        <v>Kittima Khongnukool</v>
      </c>
      <c r="F1079" t="str">
        <f>IFERROR(__xludf.DUMMYFUNCTION("""COMPUTED_VALUE"""),"นางสาว")</f>
        <v>นางสาว</v>
      </c>
      <c r="G1079" t="str">
        <f>IFERROR(__xludf.DUMMYFUNCTION("""COMPUTED_VALUE"""),"กิตติมา")</f>
        <v>กิตติมา</v>
      </c>
      <c r="H1079" t="str">
        <f>IFERROR(__xludf.DUMMYFUNCTION("""COMPUTED_VALUE"""),"คงนุกูล")</f>
        <v>คงนุกูล</v>
      </c>
      <c r="I1079" t="str">
        <f>IFERROR(__xludf.DUMMYFUNCTION("""COMPUTED_VALUE"""),"กิตติมา คงนุกูล")</f>
        <v>กิตติมา คงนุกูล</v>
      </c>
      <c r="J1079" t="str">
        <f>IFERROR(__xludf.DUMMYFUNCTION("""COMPUTED_VALUE"""),"Nan / แนน")</f>
        <v>Nan / แนน</v>
      </c>
      <c r="K1079" t="str">
        <f>IFERROR(__xludf.DUMMYFUNCTION("""COMPUTED_VALUE"""),"Cabin Crew")</f>
        <v>Cabin Crew</v>
      </c>
      <c r="L1079" t="str">
        <f>IFERROR(__xludf.DUMMYFUNCTION("""COMPUTED_VALUE"""),"DMK")</f>
        <v>DMK</v>
      </c>
      <c r="M1079" s="145" t="str">
        <f>IFERROR(__xludf.DUMMYFUNCTION("""COMPUTED_VALUE"""),"Kor Home")</f>
        <v>Kor Home</v>
      </c>
      <c r="N1079" t="str">
        <f>IFERROR(__xludf.DUMMYFUNCTION("""COMPUTED_VALUE"""),"Active")</f>
        <v>Active</v>
      </c>
      <c r="P1079" s="159">
        <f>IFERROR(__xludf.DUMMYFUNCTION("""COMPUTED_VALUE"""),34006.0)</f>
        <v>34006</v>
      </c>
      <c r="Q1079" s="146">
        <f>IFERROR(__xludf.DUMMYFUNCTION("""COMPUTED_VALUE"""),8.90090387E8)</f>
        <v>890090387</v>
      </c>
      <c r="R1079" s="147">
        <f>IFERROR(__xludf.DUMMYFUNCTION("""COMPUTED_VALUE"""),1.809800099906E12)</f>
        <v>1809800099906</v>
      </c>
      <c r="S1079" t="str">
        <f>IFERROR(__xludf.DUMMYFUNCTION("""COMPUTED_VALUE"""),"AC4007033")</f>
        <v>AC4007033</v>
      </c>
      <c r="T1079" s="148">
        <f>IFERROR(__xludf.DUMMYFUNCTION("""COMPUTED_VALUE"""),44813.0)</f>
        <v>44813</v>
      </c>
      <c r="U1079" s="148">
        <f>IFERROR(__xludf.DUMMYFUNCTION("""COMPUTED_VALUE"""),48465.0)</f>
        <v>48465</v>
      </c>
      <c r="V1079" s="149">
        <f>IFERROR(__xludf.DUMMYFUNCTION("""COMPUTED_VALUE"""),48281.0)</f>
        <v>48281</v>
      </c>
      <c r="W1079" t="str">
        <f>IFERROR(__xludf.DUMMYFUNCTION("""COMPUTED_VALUE"""),"ปลอดภัย")</f>
        <v>ปลอดภัย</v>
      </c>
      <c r="X1079" t="str">
        <f>IFERROR(__xludf.DUMMYFUNCTION("""COMPUTED_VALUE"""),"Nakhon Si Thammarat Province")</f>
        <v>Nakhon Si Thammarat Province</v>
      </c>
      <c r="Y1079" t="str">
        <f>IFERROR(__xludf.DUMMYFUNCTION("""COMPUTED_VALUE"""),"Bangkok")</f>
        <v>Bangkok</v>
      </c>
      <c r="Z1079" s="145" t="str">
        <f>IFERROR(__xludf.DUMMYFUNCTION("""COMPUTED_VALUE"""),"0901639727")</f>
        <v>0901639727</v>
      </c>
      <c r="AA1079" t="str">
        <f>IFERROR(__xludf.DUMMYFUNCTION("""COMPUTED_VALUE"""),"นายสมศักดิ์ คงนุกูล Father")</f>
        <v>นายสมศักดิ์ คงนุกูล Father</v>
      </c>
      <c r="AB1079" t="str">
        <f>IFERROR(__xludf.DUMMYFUNCTION("""COMPUTED_VALUE"""),"kittimah@airasia.com")</f>
        <v>kittimah@airasia.com</v>
      </c>
    </row>
    <row r="1080">
      <c r="AB1080" t="str">
        <f>IFERROR(__xludf.DUMMYFUNCTION("""COMPUTED_VALUE"""),"")</f>
        <v/>
      </c>
    </row>
    <row r="1081">
      <c r="A1081" s="161">
        <f>IFERROR(__xludf.DUMMYFUNCTION("""COMPUTED_VALUE"""),1040171.0)</f>
        <v>1040171</v>
      </c>
      <c r="B1081" t="str">
        <f>IFERROR(__xludf.DUMMYFUNCTION("""COMPUTED_VALUE"""),"Mr.")</f>
        <v>Mr.</v>
      </c>
      <c r="C1081" t="str">
        <f>IFERROR(__xludf.DUMMYFUNCTION("""COMPUTED_VALUE"""),"Chaiyawat")</f>
        <v>Chaiyawat</v>
      </c>
      <c r="D1081" t="str">
        <f>IFERROR(__xludf.DUMMYFUNCTION("""COMPUTED_VALUE"""),"Sripornsawan")</f>
        <v>Sripornsawan</v>
      </c>
      <c r="E1081" t="str">
        <f>IFERROR(__xludf.DUMMYFUNCTION("""COMPUTED_VALUE"""),"Chaiyawat Sripornsawan")</f>
        <v>Chaiyawat Sripornsawan</v>
      </c>
      <c r="F1081" t="str">
        <f>IFERROR(__xludf.DUMMYFUNCTION("""COMPUTED_VALUE"""),"นาย")</f>
        <v>นาย</v>
      </c>
      <c r="G1081" t="str">
        <f>IFERROR(__xludf.DUMMYFUNCTION("""COMPUTED_VALUE"""),"ไชยวัฒน์")</f>
        <v>ไชยวัฒน์</v>
      </c>
      <c r="H1081" t="str">
        <f>IFERROR(__xludf.DUMMYFUNCTION("""COMPUTED_VALUE"""),"ศรีพรสวรรค์")</f>
        <v>ศรีพรสวรรค์</v>
      </c>
      <c r="I1081" t="str">
        <f>IFERROR(__xludf.DUMMYFUNCTION("""COMPUTED_VALUE"""),"ไชยวัฒน์ ศรีพรสวรรค์")</f>
        <v>ไชยวัฒน์ ศรีพรสวรรค์</v>
      </c>
      <c r="J1081" t="str">
        <f>IFERROR(__xludf.DUMMYFUNCTION("""COMPUTED_VALUE"""),"น็อต")</f>
        <v>น็อต</v>
      </c>
      <c r="K1081" t="str">
        <f>IFERROR(__xludf.DUMMYFUNCTION("""COMPUTED_VALUE"""),"Cabin Crew")</f>
        <v>Cabin Crew</v>
      </c>
      <c r="L1081" t="str">
        <f>IFERROR(__xludf.DUMMYFUNCTION("""COMPUTED_VALUE"""),"DMK")</f>
        <v>DMK</v>
      </c>
      <c r="M1081" s="145" t="str">
        <f>IFERROR(__xludf.DUMMYFUNCTION("""COMPUTED_VALUE"""),"Por+ Home")</f>
        <v>Por+ Home</v>
      </c>
      <c r="N1081" t="str">
        <f>IFERROR(__xludf.DUMMYFUNCTION("""COMPUTED_VALUE"""),"Active")</f>
        <v>Active</v>
      </c>
      <c r="P1081" s="159">
        <f>IFERROR(__xludf.DUMMYFUNCTION("""COMPUTED_VALUE"""),33636.0)</f>
        <v>33636</v>
      </c>
      <c r="Q1081" s="146">
        <f>IFERROR(__xludf.DUMMYFUNCTION("""COMPUTED_VALUE"""),6.25145593E8)</f>
        <v>625145593</v>
      </c>
      <c r="R1081" s="147">
        <f>IFERROR(__xludf.DUMMYFUNCTION("""COMPUTED_VALUE"""),1.959800076379E12)</f>
        <v>1959800076379</v>
      </c>
      <c r="S1081" t="str">
        <f>IFERROR(__xludf.DUMMYFUNCTION("""COMPUTED_VALUE"""),"ADO177424")</f>
        <v>ADO177424</v>
      </c>
      <c r="T1081" s="148">
        <f>IFERROR(__xludf.DUMMYFUNCTION("""COMPUTED_VALUE"""),44861.0)</f>
        <v>44861</v>
      </c>
      <c r="U1081" s="148">
        <f>IFERROR(__xludf.DUMMYFUNCTION("""COMPUTED_VALUE"""),48513.0)</f>
        <v>48513</v>
      </c>
      <c r="V1081" s="149">
        <f>IFERROR(__xludf.DUMMYFUNCTION("""COMPUTED_VALUE"""),48330.0)</f>
        <v>48330</v>
      </c>
      <c r="W1081" t="str">
        <f>IFERROR(__xludf.DUMMYFUNCTION("""COMPUTED_VALUE"""),"ปลอดภัย")</f>
        <v>ปลอดภัย</v>
      </c>
      <c r="X1081" t="str">
        <f>IFERROR(__xludf.DUMMYFUNCTION("""COMPUTED_VALUE"""),"Yala Province")</f>
        <v>Yala Province</v>
      </c>
      <c r="Y1081" t="str">
        <f>IFERROR(__xludf.DUMMYFUNCTION("""COMPUTED_VALUE"""),"Nontaburi")</f>
        <v>Nontaburi</v>
      </c>
      <c r="Z1081" s="145" t="str">
        <f>IFERROR(__xludf.DUMMYFUNCTION("""COMPUTED_VALUE"""),"0818985790")</f>
        <v>0818985790</v>
      </c>
      <c r="AA1081" t="str">
        <f>IFERROR(__xludf.DUMMYFUNCTION("""COMPUTED_VALUE"""),"นายสรรชัย ศรีพรสวรรค์ Father")</f>
        <v>นายสรรชัย ศรีพรสวรรค์ Father</v>
      </c>
      <c r="AB1081" t="str">
        <f>IFERROR(__xludf.DUMMYFUNCTION("""COMPUTED_VALUE"""),"chaiyawatsripornsaw@airasia.com")</f>
        <v>chaiyawatsripornsaw@airasia.com</v>
      </c>
    </row>
    <row r="1082">
      <c r="A1082" s="161">
        <f>IFERROR(__xludf.DUMMYFUNCTION("""COMPUTED_VALUE"""),1023519.0)</f>
        <v>1023519</v>
      </c>
      <c r="B1082" t="str">
        <f>IFERROR(__xludf.DUMMYFUNCTION("""COMPUTED_VALUE"""),"Ms.")</f>
        <v>Ms.</v>
      </c>
      <c r="C1082" t="str">
        <f>IFERROR(__xludf.DUMMYFUNCTION("""COMPUTED_VALUE"""),"Chuleepohn")</f>
        <v>Chuleepohn</v>
      </c>
      <c r="D1082" t="str">
        <f>IFERROR(__xludf.DUMMYFUNCTION("""COMPUTED_VALUE"""),"Saeiab")</f>
        <v>Saeiab</v>
      </c>
      <c r="E1082" t="str">
        <f>IFERROR(__xludf.DUMMYFUNCTION("""COMPUTED_VALUE"""),"Chuleepohn Saeiab")</f>
        <v>Chuleepohn Saeiab</v>
      </c>
      <c r="F1082" t="str">
        <f>IFERROR(__xludf.DUMMYFUNCTION("""COMPUTED_VALUE"""),"นางสาว")</f>
        <v>นางสาว</v>
      </c>
      <c r="G1082" t="str">
        <f>IFERROR(__xludf.DUMMYFUNCTION("""COMPUTED_VALUE"""),"ชุลีพร")</f>
        <v>ชุลีพร</v>
      </c>
      <c r="H1082" t="str">
        <f>IFERROR(__xludf.DUMMYFUNCTION("""COMPUTED_VALUE"""),"แซ่เอี๊ยบ")</f>
        <v>แซ่เอี๊ยบ</v>
      </c>
      <c r="I1082" t="str">
        <f>IFERROR(__xludf.DUMMYFUNCTION("""COMPUTED_VALUE"""),"ชุลีพร แซ่เอี๊ยบ")</f>
        <v>ชุลีพร แซ่เอี๊ยบ</v>
      </c>
      <c r="J1082" t="str">
        <f>IFERROR(__xludf.DUMMYFUNCTION("""COMPUTED_VALUE"""),"May / เมย์")</f>
        <v>May / เมย์</v>
      </c>
      <c r="K1082" t="str">
        <f>IFERROR(__xludf.DUMMYFUNCTION("""COMPUTED_VALUE"""),"Cabin Crew")</f>
        <v>Cabin Crew</v>
      </c>
      <c r="L1082" t="str">
        <f>IFERROR(__xludf.DUMMYFUNCTION("""COMPUTED_VALUE"""),"DMK")</f>
        <v>DMK</v>
      </c>
      <c r="M1082" s="145" t="str">
        <f>IFERROR(__xludf.DUMMYFUNCTION("""COMPUTED_VALUE"""),"Toffy Home")</f>
        <v>Toffy Home</v>
      </c>
      <c r="N1082" t="str">
        <f>IFERROR(__xludf.DUMMYFUNCTION("""COMPUTED_VALUE"""),"Active")</f>
        <v>Active</v>
      </c>
      <c r="P1082" s="159">
        <f>IFERROR(__xludf.DUMMYFUNCTION("""COMPUTED_VALUE"""),34665.0)</f>
        <v>34665</v>
      </c>
      <c r="Q1082" s="146" t="str">
        <f>IFERROR(__xludf.DUMMYFUNCTION("""COMPUTED_VALUE"""),"098-289-6977")</f>
        <v>098-289-6977</v>
      </c>
      <c r="R1082" s="147">
        <f>IFERROR(__xludf.DUMMYFUNCTION("""COMPUTED_VALUE"""),1.849900128738E12)</f>
        <v>1849900128738</v>
      </c>
      <c r="S1082" t="str">
        <f>IFERROR(__xludf.DUMMYFUNCTION("""COMPUTED_VALUE"""),"AD0035897")</f>
        <v>AD0035897</v>
      </c>
      <c r="T1082" s="148">
        <f>IFERROR(__xludf.DUMMYFUNCTION("""COMPUTED_VALUE"""),44825.0)</f>
        <v>44825</v>
      </c>
      <c r="U1082" s="148">
        <f>IFERROR(__xludf.DUMMYFUNCTION("""COMPUTED_VALUE"""),48477.0)</f>
        <v>48477</v>
      </c>
      <c r="V1082" s="149">
        <f>IFERROR(__xludf.DUMMYFUNCTION("""COMPUTED_VALUE"""),48293.0)</f>
        <v>48293</v>
      </c>
      <c r="W1082" t="str">
        <f>IFERROR(__xludf.DUMMYFUNCTION("""COMPUTED_VALUE"""),"ปลอดภัย")</f>
        <v>ปลอดภัย</v>
      </c>
      <c r="X1082" t="str">
        <f>IFERROR(__xludf.DUMMYFUNCTION("""COMPUTED_VALUE"""),"Surat Thani Province")</f>
        <v>Surat Thani Province</v>
      </c>
      <c r="Y1082" t="str">
        <f>IFERROR(__xludf.DUMMYFUNCTION("""COMPUTED_VALUE"""),"Bangkok")</f>
        <v>Bangkok</v>
      </c>
      <c r="Z1082" s="145" t="str">
        <f>IFERROR(__xludf.DUMMYFUNCTION("""COMPUTED_VALUE"""),"061-546-3654")</f>
        <v>061-546-3654</v>
      </c>
      <c r="AA1082" t="str">
        <f>IFERROR(__xludf.DUMMYFUNCTION("""COMPUTED_VALUE"""),"นายธนทัต แสนวิเศษ Friend")</f>
        <v>นายธนทัต แสนวิเศษ Friend</v>
      </c>
      <c r="AB1082" t="str">
        <f>IFERROR(__xludf.DUMMYFUNCTION("""COMPUTED_VALUE"""),"chuleepohnsaeiab@airasia.com")</f>
        <v>chuleepohnsaeiab@airasia.com</v>
      </c>
    </row>
    <row r="1083">
      <c r="A1083" s="161">
        <f>IFERROR(__xludf.DUMMYFUNCTION("""COMPUTED_VALUE"""),1014254.0)</f>
        <v>1014254</v>
      </c>
      <c r="B1083" t="str">
        <f>IFERROR(__xludf.DUMMYFUNCTION("""COMPUTED_VALUE"""),"Mr.")</f>
        <v>Mr.</v>
      </c>
      <c r="C1083" t="str">
        <f>IFERROR(__xludf.DUMMYFUNCTION("""COMPUTED_VALUE"""),"Sivakron")</f>
        <v>Sivakron</v>
      </c>
      <c r="D1083" t="str">
        <f>IFERROR(__xludf.DUMMYFUNCTION("""COMPUTED_VALUE"""),"Montriwat")</f>
        <v>Montriwat</v>
      </c>
      <c r="E1083" t="str">
        <f>IFERROR(__xludf.DUMMYFUNCTION("""COMPUTED_VALUE"""),"Sivakron Montriwat")</f>
        <v>Sivakron Montriwat</v>
      </c>
      <c r="F1083" t="str">
        <f>IFERROR(__xludf.DUMMYFUNCTION("""COMPUTED_VALUE"""),"นาย")</f>
        <v>นาย</v>
      </c>
      <c r="G1083" t="str">
        <f>IFERROR(__xludf.DUMMYFUNCTION("""COMPUTED_VALUE"""),"ศิวกร")</f>
        <v>ศิวกร</v>
      </c>
      <c r="H1083" t="str">
        <f>IFERROR(__xludf.DUMMYFUNCTION("""COMPUTED_VALUE"""),"มนตรีวัตร")</f>
        <v>มนตรีวัตร</v>
      </c>
      <c r="I1083" t="str">
        <f>IFERROR(__xludf.DUMMYFUNCTION("""COMPUTED_VALUE"""),"ศิวกร มนตรีวัตร")</f>
        <v>ศิวกร มนตรีวัตร</v>
      </c>
      <c r="J1083" t="str">
        <f>IFERROR(__xludf.DUMMYFUNCTION("""COMPUTED_VALUE"""),"Chopper / ชอปเปอร์")</f>
        <v>Chopper / ชอปเปอร์</v>
      </c>
      <c r="K1083" t="str">
        <f>IFERROR(__xludf.DUMMYFUNCTION("""COMPUTED_VALUE"""),"Cabin Crew")</f>
        <v>Cabin Crew</v>
      </c>
      <c r="L1083" t="str">
        <f>IFERROR(__xludf.DUMMYFUNCTION("""COMPUTED_VALUE"""),"DMK")</f>
        <v>DMK</v>
      </c>
      <c r="M1083" s="145" t="str">
        <f>IFERROR(__xludf.DUMMYFUNCTION("""COMPUTED_VALUE"""),"Kor Home")</f>
        <v>Kor Home</v>
      </c>
      <c r="N1083" t="str">
        <f>IFERROR(__xludf.DUMMYFUNCTION("""COMPUTED_VALUE"""),"Active")</f>
        <v>Active</v>
      </c>
      <c r="P1083" s="159">
        <f>IFERROR(__xludf.DUMMYFUNCTION("""COMPUTED_VALUE"""),34326.0)</f>
        <v>34326</v>
      </c>
      <c r="Q1083" s="146">
        <f>IFERROR(__xludf.DUMMYFUNCTION("""COMPUTED_VALUE"""),8.30475456E8)</f>
        <v>830475456</v>
      </c>
      <c r="R1083" s="147">
        <f>IFERROR(__xludf.DUMMYFUNCTION("""COMPUTED_VALUE"""),1.103000056863E12)</f>
        <v>1103000056863</v>
      </c>
      <c r="S1083" t="str">
        <f>IFERROR(__xludf.DUMMYFUNCTION("""COMPUTED_VALUE"""),"AC2401365")</f>
        <v>AC2401365</v>
      </c>
      <c r="T1083" s="148">
        <f>IFERROR(__xludf.DUMMYFUNCTION("""COMPUTED_VALUE"""),44432.0)</f>
        <v>44432</v>
      </c>
      <c r="U1083" s="148">
        <f>IFERROR(__xludf.DUMMYFUNCTION("""COMPUTED_VALUE"""),48083.0)</f>
        <v>48083</v>
      </c>
      <c r="V1083" s="149">
        <f>IFERROR(__xludf.DUMMYFUNCTION("""COMPUTED_VALUE"""),47902.0)</f>
        <v>47902</v>
      </c>
      <c r="W1083" t="str">
        <f>IFERROR(__xludf.DUMMYFUNCTION("""COMPUTED_VALUE"""),"ปลอดภัย")</f>
        <v>ปลอดภัย</v>
      </c>
      <c r="X1083" t="str">
        <f>IFERROR(__xludf.DUMMYFUNCTION("""COMPUTED_VALUE"""),"Bangkok")</f>
        <v>Bangkok</v>
      </c>
      <c r="Y1083" t="str">
        <f>IFERROR(__xludf.DUMMYFUNCTION("""COMPUTED_VALUE"""),"Bangkok")</f>
        <v>Bangkok</v>
      </c>
      <c r="Z1083" s="145" t="str">
        <f>IFERROR(__xludf.DUMMYFUNCTION("""COMPUTED_VALUE"""),"0840994414")</f>
        <v>0840994414</v>
      </c>
      <c r="AA1083" t="str">
        <f>IFERROR(__xludf.DUMMYFUNCTION("""COMPUTED_VALUE"""),"นางสาว ณัฐนันท์ พงศ์สุทธิคุณ Friend")</f>
        <v>นางสาว ณัฐนันท์ พงศ์สุทธิคุณ Friend</v>
      </c>
      <c r="AB1083" t="str">
        <f>IFERROR(__xludf.DUMMYFUNCTION("""COMPUTED_VALUE"""),"sivakronm@airasia.com")</f>
        <v>sivakronm@airasia.com</v>
      </c>
    </row>
    <row r="1084">
      <c r="A1084" s="161">
        <f>IFERROR(__xludf.DUMMYFUNCTION("""COMPUTED_VALUE"""),1016385.0)</f>
        <v>1016385</v>
      </c>
      <c r="B1084" t="str">
        <f>IFERROR(__xludf.DUMMYFUNCTION("""COMPUTED_VALUE"""),"Ms.")</f>
        <v>Ms.</v>
      </c>
      <c r="C1084" t="str">
        <f>IFERROR(__xludf.DUMMYFUNCTION("""COMPUTED_VALUE"""),"Raweewan")</f>
        <v>Raweewan</v>
      </c>
      <c r="D1084" t="str">
        <f>IFERROR(__xludf.DUMMYFUNCTION("""COMPUTED_VALUE"""),"Sritong")</f>
        <v>Sritong</v>
      </c>
      <c r="E1084" t="str">
        <f>IFERROR(__xludf.DUMMYFUNCTION("""COMPUTED_VALUE"""),"Raweewan Sritong")</f>
        <v>Raweewan Sritong</v>
      </c>
      <c r="F1084" t="str">
        <f>IFERROR(__xludf.DUMMYFUNCTION("""COMPUTED_VALUE"""),"นางสาว")</f>
        <v>นางสาว</v>
      </c>
      <c r="G1084" t="str">
        <f>IFERROR(__xludf.DUMMYFUNCTION("""COMPUTED_VALUE"""),"รวีวรรณ")</f>
        <v>รวีวรรณ</v>
      </c>
      <c r="H1084" t="str">
        <f>IFERROR(__xludf.DUMMYFUNCTION("""COMPUTED_VALUE"""),"ศรีทอง")</f>
        <v>ศรีทอง</v>
      </c>
      <c r="I1084" t="str">
        <f>IFERROR(__xludf.DUMMYFUNCTION("""COMPUTED_VALUE"""),"รวีวรรณ ศรีทอง")</f>
        <v>รวีวรรณ ศรีทอง</v>
      </c>
      <c r="J1084" t="str">
        <f>IFERROR(__xludf.DUMMYFUNCTION("""COMPUTED_VALUE"""),"Art/อาร์ท")</f>
        <v>Art/อาร์ท</v>
      </c>
      <c r="K1084" t="str">
        <f>IFERROR(__xludf.DUMMYFUNCTION("""COMPUTED_VALUE"""),"Cabin Crew")</f>
        <v>Cabin Crew</v>
      </c>
      <c r="L1084" t="str">
        <f>IFERROR(__xludf.DUMMYFUNCTION("""COMPUTED_VALUE"""),"DMK")</f>
        <v>DMK</v>
      </c>
      <c r="M1084" s="145" t="str">
        <f>IFERROR(__xludf.DUMMYFUNCTION("""COMPUTED_VALUE"""),"Toffy Home")</f>
        <v>Toffy Home</v>
      </c>
      <c r="N1084" t="str">
        <f>IFERROR(__xludf.DUMMYFUNCTION("""COMPUTED_VALUE"""),"Active")</f>
        <v>Active</v>
      </c>
      <c r="P1084" s="159">
        <f>IFERROR(__xludf.DUMMYFUNCTION("""COMPUTED_VALUE"""),33184.0)</f>
        <v>33184</v>
      </c>
      <c r="Q1084" s="146">
        <f>IFERROR(__xludf.DUMMYFUNCTION("""COMPUTED_VALUE"""),8.54142265E8)</f>
        <v>854142265</v>
      </c>
      <c r="R1084" s="147">
        <f>IFERROR(__xludf.DUMMYFUNCTION("""COMPUTED_VALUE"""),1.410100206314E12)</f>
        <v>1410100206314</v>
      </c>
      <c r="S1084" t="str">
        <f>IFERROR(__xludf.DUMMYFUNCTION("""COMPUTED_VALUE"""),"AD0999942")</f>
        <v>AD0999942</v>
      </c>
      <c r="T1084" s="148">
        <f>IFERROR(__xludf.DUMMYFUNCTION("""COMPUTED_VALUE"""),45043.0)</f>
        <v>45043</v>
      </c>
      <c r="U1084" s="148">
        <f>IFERROR(__xludf.DUMMYFUNCTION("""COMPUTED_VALUE"""),48695.0)</f>
        <v>48695</v>
      </c>
      <c r="V1084" s="149">
        <f>IFERROR(__xludf.DUMMYFUNCTION("""COMPUTED_VALUE"""),48513.0)</f>
        <v>48513</v>
      </c>
      <c r="W1084" t="str">
        <f>IFERROR(__xludf.DUMMYFUNCTION("""COMPUTED_VALUE"""),"ปลอดภัย")</f>
        <v>ปลอดภัย</v>
      </c>
      <c r="X1084" t="str">
        <f>IFERROR(__xludf.DUMMYFUNCTION("""COMPUTED_VALUE"""),"Udon Thani Province")</f>
        <v>Udon Thani Province</v>
      </c>
      <c r="Y1084" t="str">
        <f>IFERROR(__xludf.DUMMYFUNCTION("""COMPUTED_VALUE"""),"Bangkok")</f>
        <v>Bangkok</v>
      </c>
      <c r="Z1084" s="145" t="str">
        <f>IFERROR(__xludf.DUMMYFUNCTION("""COMPUTED_VALUE"""),"0657254612")</f>
        <v>0657254612</v>
      </c>
      <c r="AA1084" t="str">
        <f>IFERROR(__xludf.DUMMYFUNCTION("""COMPUTED_VALUE"""),"นางประสบพร แหล่งสนาม Mother")</f>
        <v>นางประสบพร แหล่งสนาม Mother</v>
      </c>
      <c r="AB1084" t="str">
        <f>IFERROR(__xludf.DUMMYFUNCTION("""COMPUTED_VALUE"""),"raweewans@airasia.com")</f>
        <v>raweewans@airasia.com</v>
      </c>
    </row>
    <row r="1085">
      <c r="A1085" s="161">
        <f>IFERROR(__xludf.DUMMYFUNCTION("""COMPUTED_VALUE"""),1026213.0)</f>
        <v>1026213</v>
      </c>
      <c r="B1085" t="str">
        <f>IFERROR(__xludf.DUMMYFUNCTION("""COMPUTED_VALUE"""),"Mr.")</f>
        <v>Mr.</v>
      </c>
      <c r="C1085" t="str">
        <f>IFERROR(__xludf.DUMMYFUNCTION("""COMPUTED_VALUE"""),"Yossapon")</f>
        <v>Yossapon</v>
      </c>
      <c r="D1085" t="str">
        <f>IFERROR(__xludf.DUMMYFUNCTION("""COMPUTED_VALUE"""),"Pankham")</f>
        <v>Pankham</v>
      </c>
      <c r="E1085" t="str">
        <f>IFERROR(__xludf.DUMMYFUNCTION("""COMPUTED_VALUE"""),"Yossapon Pankham")</f>
        <v>Yossapon Pankham</v>
      </c>
      <c r="F1085" t="str">
        <f>IFERROR(__xludf.DUMMYFUNCTION("""COMPUTED_VALUE"""),"นาย")</f>
        <v>นาย</v>
      </c>
      <c r="G1085" t="str">
        <f>IFERROR(__xludf.DUMMYFUNCTION("""COMPUTED_VALUE"""),"ยศพนธ์")</f>
        <v>ยศพนธ์</v>
      </c>
      <c r="H1085" t="str">
        <f>IFERROR(__xludf.DUMMYFUNCTION("""COMPUTED_VALUE"""),"พันธ์คำ")</f>
        <v>พันธ์คำ</v>
      </c>
      <c r="I1085" t="str">
        <f>IFERROR(__xludf.DUMMYFUNCTION("""COMPUTED_VALUE"""),"ยศพนธ์ พันธ์คำ")</f>
        <v>ยศพนธ์ พันธ์คำ</v>
      </c>
      <c r="J1085" t="str">
        <f>IFERROR(__xludf.DUMMYFUNCTION("""COMPUTED_VALUE"""),"Big")</f>
        <v>Big</v>
      </c>
      <c r="K1085" t="str">
        <f>IFERROR(__xludf.DUMMYFUNCTION("""COMPUTED_VALUE"""),"Cabin Crew")</f>
        <v>Cabin Crew</v>
      </c>
      <c r="L1085" t="str">
        <f>IFERROR(__xludf.DUMMYFUNCTION("""COMPUTED_VALUE"""),"DMK")</f>
        <v>DMK</v>
      </c>
      <c r="M1085" s="145" t="str">
        <f>IFERROR(__xludf.DUMMYFUNCTION("""COMPUTED_VALUE"""),"Por+ Home")</f>
        <v>Por+ Home</v>
      </c>
      <c r="N1085" t="str">
        <f>IFERROR(__xludf.DUMMYFUNCTION("""COMPUTED_VALUE"""),"Active")</f>
        <v>Active</v>
      </c>
      <c r="P1085" s="159">
        <f>IFERROR(__xludf.DUMMYFUNCTION("""COMPUTED_VALUE"""),34657.0)</f>
        <v>34657</v>
      </c>
      <c r="Q1085" s="146">
        <f>IFERROR(__xludf.DUMMYFUNCTION("""COMPUTED_VALUE"""),8.82269729E8)</f>
        <v>882269729</v>
      </c>
      <c r="R1085" s="147">
        <f>IFERROR(__xludf.DUMMYFUNCTION("""COMPUTED_VALUE"""),1.579900570735E12)</f>
        <v>1579900570735</v>
      </c>
      <c r="S1085" t="str">
        <f>IFERROR(__xludf.DUMMYFUNCTION("""COMPUTED_VALUE"""),"AD1749315")</f>
        <v>AD1749315</v>
      </c>
      <c r="T1085" s="148">
        <f>IFERROR(__xludf.DUMMYFUNCTION("""COMPUTED_VALUE"""),45440.0)</f>
        <v>45440</v>
      </c>
      <c r="U1085" s="148">
        <f>IFERROR(__xludf.DUMMYFUNCTION("""COMPUTED_VALUE"""),49091.0)</f>
        <v>49091</v>
      </c>
      <c r="V1085" s="149">
        <f>IFERROR(__xludf.DUMMYFUNCTION("""COMPUTED_VALUE"""),48910.0)</f>
        <v>48910</v>
      </c>
      <c r="W1085" t="str">
        <f>IFERROR(__xludf.DUMMYFUNCTION("""COMPUTED_VALUE"""),"ปลอดภัย")</f>
        <v>ปลอดภัย</v>
      </c>
      <c r="X1085" t="str">
        <f>IFERROR(__xludf.DUMMYFUNCTION("""COMPUTED_VALUE"""),"Chiang Rai Province")</f>
        <v>Chiang Rai Province</v>
      </c>
      <c r="Y1085" t="str">
        <f>IFERROR(__xludf.DUMMYFUNCTION("""COMPUTED_VALUE"""),"Bangkok")</f>
        <v>Bangkok</v>
      </c>
      <c r="Z1085" s="145" t="str">
        <f>IFERROR(__xludf.DUMMYFUNCTION("""COMPUTED_VALUE"""),"0891064568")</f>
        <v>0891064568</v>
      </c>
      <c r="AA1085" t="str">
        <f>IFERROR(__xludf.DUMMYFUNCTION("""COMPUTED_VALUE"""),"สีเล็ก พันธ์คำ Mother")</f>
        <v>สีเล็ก พันธ์คำ Mother</v>
      </c>
      <c r="AB1085" t="str">
        <f>IFERROR(__xludf.DUMMYFUNCTION("""COMPUTED_VALUE"""),"yossaponpankham@airasia.com")</f>
        <v>yossaponpankham@airasia.com</v>
      </c>
    </row>
    <row r="1086">
      <c r="A1086" s="161">
        <f>IFERROR(__xludf.DUMMYFUNCTION("""COMPUTED_VALUE"""),1017564.0)</f>
        <v>1017564</v>
      </c>
      <c r="B1086" t="str">
        <f>IFERROR(__xludf.DUMMYFUNCTION("""COMPUTED_VALUE"""),"Ms.")</f>
        <v>Ms.</v>
      </c>
      <c r="C1086" t="str">
        <f>IFERROR(__xludf.DUMMYFUNCTION("""COMPUTED_VALUE"""),"Atchara")</f>
        <v>Atchara</v>
      </c>
      <c r="D1086" t="str">
        <f>IFERROR(__xludf.DUMMYFUNCTION("""COMPUTED_VALUE"""),"Rungrot")</f>
        <v>Rungrot</v>
      </c>
      <c r="E1086" t="str">
        <f>IFERROR(__xludf.DUMMYFUNCTION("""COMPUTED_VALUE"""),"Atchara Rungrot")</f>
        <v>Atchara Rungrot</v>
      </c>
      <c r="F1086" t="str">
        <f>IFERROR(__xludf.DUMMYFUNCTION("""COMPUTED_VALUE"""),"นางสาว")</f>
        <v>นางสาว</v>
      </c>
      <c r="G1086" t="str">
        <f>IFERROR(__xludf.DUMMYFUNCTION("""COMPUTED_VALUE"""),"อัจฉรา")</f>
        <v>อัจฉรา</v>
      </c>
      <c r="H1086" t="str">
        <f>IFERROR(__xludf.DUMMYFUNCTION("""COMPUTED_VALUE"""),"รุ่งโรจน์")</f>
        <v>รุ่งโรจน์</v>
      </c>
      <c r="I1086" t="str">
        <f>IFERROR(__xludf.DUMMYFUNCTION("""COMPUTED_VALUE"""),"อัจฉรา รุ่งโรจน์")</f>
        <v>อัจฉรา รุ่งโรจน์</v>
      </c>
      <c r="J1086" t="str">
        <f>IFERROR(__xludf.DUMMYFUNCTION("""COMPUTED_VALUE"""),"Air / แอร์")</f>
        <v>Air / แอร์</v>
      </c>
      <c r="K1086" t="str">
        <f>IFERROR(__xludf.DUMMYFUNCTION("""COMPUTED_VALUE"""),"Cabin Crew")</f>
        <v>Cabin Crew</v>
      </c>
      <c r="L1086" t="str">
        <f>IFERROR(__xludf.DUMMYFUNCTION("""COMPUTED_VALUE"""),"DMK")</f>
        <v>DMK</v>
      </c>
      <c r="M1086" s="145" t="str">
        <f>IFERROR(__xludf.DUMMYFUNCTION("""COMPUTED_VALUE"""),"Namfon Home")</f>
        <v>Namfon Home</v>
      </c>
      <c r="N1086" t="str">
        <f>IFERROR(__xludf.DUMMYFUNCTION("""COMPUTED_VALUE"""),"Active")</f>
        <v>Active</v>
      </c>
      <c r="P1086" s="159">
        <f>IFERROR(__xludf.DUMMYFUNCTION("""COMPUTED_VALUE"""),33874.0)</f>
        <v>33874</v>
      </c>
      <c r="Q1086" s="146">
        <f>IFERROR(__xludf.DUMMYFUNCTION("""COMPUTED_VALUE"""),8.35924828E8)</f>
        <v>835924828</v>
      </c>
      <c r="R1086" s="147">
        <f>IFERROR(__xludf.DUMMYFUNCTION("""COMPUTED_VALUE"""),1.840400057621E12)</f>
        <v>1840400057621</v>
      </c>
      <c r="S1086" t="str">
        <f>IFERROR(__xludf.DUMMYFUNCTION("""COMPUTED_VALUE"""),"AC4924544")</f>
        <v>AC4924544</v>
      </c>
      <c r="T1086" s="148">
        <f>IFERROR(__xludf.DUMMYFUNCTION("""COMPUTED_VALUE"""),45055.0)</f>
        <v>45055</v>
      </c>
      <c r="U1086" s="148">
        <f>IFERROR(__xludf.DUMMYFUNCTION("""COMPUTED_VALUE"""),48707.0)</f>
        <v>48707</v>
      </c>
      <c r="V1086" s="149">
        <f>IFERROR(__xludf.DUMMYFUNCTION("""COMPUTED_VALUE"""),48526.0)</f>
        <v>48526</v>
      </c>
      <c r="W1086" t="str">
        <f>IFERROR(__xludf.DUMMYFUNCTION("""COMPUTED_VALUE"""),"ปลอดภัย")</f>
        <v>ปลอดภัย</v>
      </c>
      <c r="X1086" t="str">
        <f>IFERROR(__xludf.DUMMYFUNCTION("""COMPUTED_VALUE"""),"Surat Thani Province")</f>
        <v>Surat Thani Province</v>
      </c>
      <c r="Y1086" t="str">
        <f>IFERROR(__xludf.DUMMYFUNCTION("""COMPUTED_VALUE"""),"Bangkok")</f>
        <v>Bangkok</v>
      </c>
      <c r="Z1086" s="145" t="str">
        <f>IFERROR(__xludf.DUMMYFUNCTION("""COMPUTED_VALUE"""),"092-445-6645")</f>
        <v>092-445-6645</v>
      </c>
      <c r="AA1086" t="str">
        <f>IFERROR(__xludf.DUMMYFUNCTION("""COMPUTED_VALUE"""),"ธีรวรรณ มีเพียร Sister")</f>
        <v>ธีรวรรณ มีเพียร Sister</v>
      </c>
      <c r="AB1086" t="str">
        <f>IFERROR(__xludf.DUMMYFUNCTION("""COMPUTED_VALUE"""),"atcharar@airasia.com")</f>
        <v>atcharar@airasia.com</v>
      </c>
    </row>
    <row r="1087">
      <c r="A1087" s="161">
        <f>IFERROR(__xludf.DUMMYFUNCTION("""COMPUTED_VALUE"""),1015472.0)</f>
        <v>1015472</v>
      </c>
      <c r="B1087" t="str">
        <f>IFERROR(__xludf.DUMMYFUNCTION("""COMPUTED_VALUE"""),"Mr.")</f>
        <v>Mr.</v>
      </c>
      <c r="C1087" t="str">
        <f>IFERROR(__xludf.DUMMYFUNCTION("""COMPUTED_VALUE"""),"Atchariya")</f>
        <v>Atchariya</v>
      </c>
      <c r="D1087" t="str">
        <f>IFERROR(__xludf.DUMMYFUNCTION("""COMPUTED_VALUE"""),"Jandawan")</f>
        <v>Jandawan</v>
      </c>
      <c r="E1087" t="str">
        <f>IFERROR(__xludf.DUMMYFUNCTION("""COMPUTED_VALUE"""),"Atchariya Jandawan")</f>
        <v>Atchariya Jandawan</v>
      </c>
      <c r="F1087" t="str">
        <f>IFERROR(__xludf.DUMMYFUNCTION("""COMPUTED_VALUE"""),"นาย")</f>
        <v>นาย</v>
      </c>
      <c r="G1087" t="str">
        <f>IFERROR(__xludf.DUMMYFUNCTION("""COMPUTED_VALUE"""),"อัจฉริยะ")</f>
        <v>อัจฉริยะ</v>
      </c>
      <c r="H1087" t="str">
        <f>IFERROR(__xludf.DUMMYFUNCTION("""COMPUTED_VALUE"""),"จันดาวัลย์")</f>
        <v>จันดาวัลย์</v>
      </c>
      <c r="I1087" t="str">
        <f>IFERROR(__xludf.DUMMYFUNCTION("""COMPUTED_VALUE"""),"อัจฉริยะ จันดาวัลย์")</f>
        <v>อัจฉริยะ จันดาวัลย์</v>
      </c>
      <c r="J1087" t="str">
        <f>IFERROR(__xludf.DUMMYFUNCTION("""COMPUTED_VALUE"""),"เอิร์ธ")</f>
        <v>เอิร์ธ</v>
      </c>
      <c r="K1087" t="str">
        <f>IFERROR(__xludf.DUMMYFUNCTION("""COMPUTED_VALUE"""),"Cabin Crew")</f>
        <v>Cabin Crew</v>
      </c>
      <c r="L1087" t="str">
        <f>IFERROR(__xludf.DUMMYFUNCTION("""COMPUTED_VALUE"""),"DMK")</f>
        <v>DMK</v>
      </c>
      <c r="M1087" s="145" t="str">
        <f>IFERROR(__xludf.DUMMYFUNCTION("""COMPUTED_VALUE"""),"Toffy Home")</f>
        <v>Toffy Home</v>
      </c>
      <c r="N1087" t="str">
        <f>IFERROR(__xludf.DUMMYFUNCTION("""COMPUTED_VALUE"""),"Active")</f>
        <v>Active</v>
      </c>
      <c r="P1087" s="159">
        <f>IFERROR(__xludf.DUMMYFUNCTION("""COMPUTED_VALUE"""),34370.0)</f>
        <v>34370</v>
      </c>
      <c r="Q1087" s="146">
        <f>IFERROR(__xludf.DUMMYFUNCTION("""COMPUTED_VALUE"""),8.17687162E8)</f>
        <v>817687162</v>
      </c>
      <c r="R1087" s="147">
        <f>IFERROR(__xludf.DUMMYFUNCTION("""COMPUTED_VALUE"""),1.47040017518E12)</f>
        <v>1470400175180</v>
      </c>
      <c r="S1087" t="str">
        <f>IFERROR(__xludf.DUMMYFUNCTION("""COMPUTED_VALUE"""),"AC2746513")</f>
        <v>AC2746513</v>
      </c>
      <c r="T1087" s="148">
        <f>IFERROR(__xludf.DUMMYFUNCTION("""COMPUTED_VALUE"""),44488.0)</f>
        <v>44488</v>
      </c>
      <c r="U1087" s="148">
        <f>IFERROR(__xludf.DUMMYFUNCTION("""COMPUTED_VALUE"""),48139.0)</f>
        <v>48139</v>
      </c>
      <c r="V1087" s="149">
        <f>IFERROR(__xludf.DUMMYFUNCTION("""COMPUTED_VALUE"""),47956.0)</f>
        <v>47956</v>
      </c>
      <c r="W1087" t="str">
        <f>IFERROR(__xludf.DUMMYFUNCTION("""COMPUTED_VALUE"""),"ปลอดภัย")</f>
        <v>ปลอดภัย</v>
      </c>
      <c r="X1087" t="str">
        <f>IFERROR(__xludf.DUMMYFUNCTION("""COMPUTED_VALUE"""),"Sakon Nakhon Province")</f>
        <v>Sakon Nakhon Province</v>
      </c>
      <c r="Y1087" t="str">
        <f>IFERROR(__xludf.DUMMYFUNCTION("""COMPUTED_VALUE"""),"Bangkok")</f>
        <v>Bangkok</v>
      </c>
      <c r="Z1087" s="145" t="str">
        <f>IFERROR(__xludf.DUMMYFUNCTION("""COMPUTED_VALUE"""),"0812632108")</f>
        <v>0812632108</v>
      </c>
      <c r="AA1087" t="str">
        <f>IFERROR(__xludf.DUMMYFUNCTION("""COMPUTED_VALUE"""),"นาย อดิราช จันดาวัลย์ Father")</f>
        <v>นาย อดิราช จันดาวัลย์ Father</v>
      </c>
      <c r="AB1087" t="str">
        <f>IFERROR(__xludf.DUMMYFUNCTION("""COMPUTED_VALUE"""),"atchariyaj@airasia.com")</f>
        <v>atchariyaj@airasia.com</v>
      </c>
    </row>
    <row r="1088">
      <c r="A1088" s="161">
        <f>IFERROR(__xludf.DUMMYFUNCTION("""COMPUTED_VALUE"""),1019949.0)</f>
        <v>1019949</v>
      </c>
      <c r="B1088" t="str">
        <f>IFERROR(__xludf.DUMMYFUNCTION("""COMPUTED_VALUE"""),"Mrs.")</f>
        <v>Mrs.</v>
      </c>
      <c r="C1088" t="str">
        <f>IFERROR(__xludf.DUMMYFUNCTION("""COMPUTED_VALUE"""),"Suphannikar")</f>
        <v>Suphannikar</v>
      </c>
      <c r="D1088" t="str">
        <f>IFERROR(__xludf.DUMMYFUNCTION("""COMPUTED_VALUE"""),"Teparatana (Kaenchan)")</f>
        <v>Teparatana (Kaenchan)</v>
      </c>
      <c r="E1088" t="str">
        <f>IFERROR(__xludf.DUMMYFUNCTION("""COMPUTED_VALUE"""),"Suphannikar Teparatana")</f>
        <v>Suphannikar Teparatana</v>
      </c>
      <c r="F1088" t="str">
        <f>IFERROR(__xludf.DUMMYFUNCTION("""COMPUTED_VALUE"""),"นาง")</f>
        <v>นาง</v>
      </c>
      <c r="G1088" t="str">
        <f>IFERROR(__xludf.DUMMYFUNCTION("""COMPUTED_VALUE"""),"สุพรรณิการ์")</f>
        <v>สุพรรณิการ์</v>
      </c>
      <c r="H1088" t="str">
        <f>IFERROR(__xludf.DUMMYFUNCTION("""COMPUTED_VALUE"""),"เทพรัตน์ (แก่นจันทร์)")</f>
        <v>เทพรัตน์ (แก่นจันทร์)</v>
      </c>
      <c r="I1088" t="str">
        <f>IFERROR(__xludf.DUMMYFUNCTION("""COMPUTED_VALUE"""),"สุพรรณิการ์ เทพรัตน์")</f>
        <v>สุพรรณิการ์ เทพรัตน์</v>
      </c>
      <c r="J1088" t="str">
        <f>IFERROR(__xludf.DUMMYFUNCTION("""COMPUTED_VALUE"""),"Bumbim/บุ๋มบิ๋ม")</f>
        <v>Bumbim/บุ๋มบิ๋ม</v>
      </c>
      <c r="K1088" t="str">
        <f>IFERROR(__xludf.DUMMYFUNCTION("""COMPUTED_VALUE"""),"Cabin Crew - CNX")</f>
        <v>Cabin Crew - CNX</v>
      </c>
      <c r="L1088" t="str">
        <f>IFERROR(__xludf.DUMMYFUNCTION("""COMPUTED_VALUE"""),"CNX")</f>
        <v>CNX</v>
      </c>
      <c r="M1088" s="145" t="str">
        <f>IFERROR(__xludf.DUMMYFUNCTION("""COMPUTED_VALUE"""),"Up Home")</f>
        <v>Up Home</v>
      </c>
      <c r="N1088" t="str">
        <f>IFERROR(__xludf.DUMMYFUNCTION("""COMPUTED_VALUE"""),"MATL")</f>
        <v>MATL</v>
      </c>
      <c r="P1088" s="159">
        <f>IFERROR(__xludf.DUMMYFUNCTION("""COMPUTED_VALUE"""),34580.0)</f>
        <v>34580</v>
      </c>
      <c r="Q1088" s="146">
        <f>IFERROR(__xludf.DUMMYFUNCTION("""COMPUTED_VALUE"""),6.54919193E8)</f>
        <v>654919193</v>
      </c>
      <c r="R1088" s="147">
        <f>IFERROR(__xludf.DUMMYFUNCTION("""COMPUTED_VALUE"""),1.521100049332E12)</f>
        <v>1521100049332</v>
      </c>
      <c r="S1088" t="str">
        <f>IFERROR(__xludf.DUMMYFUNCTION("""COMPUTED_VALUE"""),"AC8488111")</f>
        <v>AC8488111</v>
      </c>
      <c r="T1088" s="148">
        <f>IFERROR(__xludf.DUMMYFUNCTION("""COMPUTED_VALUE"""),45950.0)</f>
        <v>45950</v>
      </c>
      <c r="U1088" s="148">
        <f>IFERROR(__xludf.DUMMYFUNCTION("""COMPUTED_VALUE"""),49601.0)</f>
        <v>49601</v>
      </c>
      <c r="V1088" s="149">
        <f>IFERROR(__xludf.DUMMYFUNCTION("""COMPUTED_VALUE"""),49418.0)</f>
        <v>49418</v>
      </c>
      <c r="W1088" t="str">
        <f>IFERROR(__xludf.DUMMYFUNCTION("""COMPUTED_VALUE"""),"ปลอดภัย")</f>
        <v>ปลอดภัย</v>
      </c>
      <c r="X1088" t="str">
        <f>IFERROR(__xludf.DUMMYFUNCTION("""COMPUTED_VALUE"""),"Lampang Province")</f>
        <v>Lampang Province</v>
      </c>
      <c r="Y1088" t="str">
        <f>IFERROR(__xludf.DUMMYFUNCTION("""COMPUTED_VALUE"""),"lumpang")</f>
        <v>lumpang</v>
      </c>
      <c r="Z1088" s="145" t="str">
        <f>IFERROR(__xludf.DUMMYFUNCTION("""COMPUTED_VALUE"""),"0843698362")</f>
        <v>0843698362</v>
      </c>
      <c r="AA1088" t="str">
        <f>IFERROR(__xludf.DUMMYFUNCTION("""COMPUTED_VALUE"""),"นางมาลัย แก่นจันทร์ Mother")</f>
        <v>นางมาลัย แก่นจันทร์ Mother</v>
      </c>
      <c r="AB1088" t="str">
        <f>IFERROR(__xludf.DUMMYFUNCTION("""COMPUTED_VALUE"""),"suphannikarte@airasia.com")</f>
        <v>suphannikarte@airasia.com</v>
      </c>
    </row>
    <row r="1089">
      <c r="A1089" s="161">
        <f>IFERROR(__xludf.DUMMYFUNCTION("""COMPUTED_VALUE"""),1026704.0)</f>
        <v>1026704</v>
      </c>
      <c r="B1089" t="str">
        <f>IFERROR(__xludf.DUMMYFUNCTION("""COMPUTED_VALUE"""),"Ms.")</f>
        <v>Ms.</v>
      </c>
      <c r="C1089" t="str">
        <f>IFERROR(__xludf.DUMMYFUNCTION("""COMPUTED_VALUE"""),"Khemjira")</f>
        <v>Khemjira</v>
      </c>
      <c r="D1089" t="str">
        <f>IFERROR(__xludf.DUMMYFUNCTION("""COMPUTED_VALUE"""),"Weeradetch")</f>
        <v>Weeradetch</v>
      </c>
      <c r="E1089" t="str">
        <f>IFERROR(__xludf.DUMMYFUNCTION("""COMPUTED_VALUE"""),"Khemjira Weeradetch")</f>
        <v>Khemjira Weeradetch</v>
      </c>
      <c r="F1089" t="str">
        <f>IFERROR(__xludf.DUMMYFUNCTION("""COMPUTED_VALUE"""),"นางสาว")</f>
        <v>นางสาว</v>
      </c>
      <c r="G1089" t="str">
        <f>IFERROR(__xludf.DUMMYFUNCTION("""COMPUTED_VALUE"""),"เขมจิรา")</f>
        <v>เขมจิรา</v>
      </c>
      <c r="H1089" t="str">
        <f>IFERROR(__xludf.DUMMYFUNCTION("""COMPUTED_VALUE"""),"วีระเดช")</f>
        <v>วีระเดช</v>
      </c>
      <c r="I1089" t="str">
        <f>IFERROR(__xludf.DUMMYFUNCTION("""COMPUTED_VALUE"""),"เขมจิรา วีระเดช")</f>
        <v>เขมจิรา วีระเดช</v>
      </c>
      <c r="J1089" t="str">
        <f>IFERROR(__xludf.DUMMYFUNCTION("""COMPUTED_VALUE"""),"โยปัน")</f>
        <v>โยปัน</v>
      </c>
      <c r="K1089" t="str">
        <f>IFERROR(__xludf.DUMMYFUNCTION("""COMPUTED_VALUE"""),"Cabin Crew")</f>
        <v>Cabin Crew</v>
      </c>
      <c r="L1089" t="str">
        <f>IFERROR(__xludf.DUMMYFUNCTION("""COMPUTED_VALUE"""),"DMK")</f>
        <v>DMK</v>
      </c>
      <c r="M1089" s="145" t="str">
        <f>IFERROR(__xludf.DUMMYFUNCTION("""COMPUTED_VALUE"""),"Toffy Home")</f>
        <v>Toffy Home</v>
      </c>
      <c r="N1089" t="str">
        <f>IFERROR(__xludf.DUMMYFUNCTION("""COMPUTED_VALUE"""),"Active")</f>
        <v>Active</v>
      </c>
      <c r="P1089" s="159">
        <f>IFERROR(__xludf.DUMMYFUNCTION("""COMPUTED_VALUE"""),34886.0)</f>
        <v>34886</v>
      </c>
      <c r="Q1089" s="146">
        <f>IFERROR(__xludf.DUMMYFUNCTION("""COMPUTED_VALUE"""),6.14292663E8)</f>
        <v>614292663</v>
      </c>
      <c r="R1089" s="147">
        <f>IFERROR(__xludf.DUMMYFUNCTION("""COMPUTED_VALUE"""),1.103701750839E12)</f>
        <v>1103701750839</v>
      </c>
      <c r="S1089" t="str">
        <f>IFERROR(__xludf.DUMMYFUNCTION("""COMPUTED_VALUE"""),"AD0586936")</f>
        <v>AD0586936</v>
      </c>
      <c r="T1089" s="148">
        <f>IFERROR(__xludf.DUMMYFUNCTION("""COMPUTED_VALUE"""),44930.0)</f>
        <v>44930</v>
      </c>
      <c r="U1089" s="148">
        <f>IFERROR(__xludf.DUMMYFUNCTION("""COMPUTED_VALUE"""),46755.0)</f>
        <v>46755</v>
      </c>
      <c r="V1089" s="149">
        <f>IFERROR(__xludf.DUMMYFUNCTION("""COMPUTED_VALUE"""),46571.0)</f>
        <v>46571</v>
      </c>
      <c r="W1089" t="str">
        <f>IFERROR(__xludf.DUMMYFUNCTION("""COMPUTED_VALUE"""),"ปลอดภัย")</f>
        <v>ปลอดภัย</v>
      </c>
      <c r="X1089" t="str">
        <f>IFERROR(__xludf.DUMMYFUNCTION("""COMPUTED_VALUE"""),"Bangkok")</f>
        <v>Bangkok</v>
      </c>
      <c r="Y1089" t="str">
        <f>IFERROR(__xludf.DUMMYFUNCTION("""COMPUTED_VALUE"""),"Bangkok")</f>
        <v>Bangkok</v>
      </c>
      <c r="Z1089" s="145" t="str">
        <f>IFERROR(__xludf.DUMMYFUNCTION("""COMPUTED_VALUE"""),"0996215550")</f>
        <v>0996215550</v>
      </c>
      <c r="AA1089" t="str">
        <f>IFERROR(__xludf.DUMMYFUNCTION("""COMPUTED_VALUE"""),"นางสาวณทิพรดา วีระเดช Sister")</f>
        <v>นางสาวณทิพรดา วีระเดช Sister</v>
      </c>
      <c r="AB1089" t="str">
        <f>IFERROR(__xludf.DUMMYFUNCTION("""COMPUTED_VALUE"""),"khemjiraweeradetch@airasia.com")</f>
        <v>khemjiraweeradetch@airasia.com</v>
      </c>
    </row>
    <row r="1090">
      <c r="A1090" s="161">
        <f>IFERROR(__xludf.DUMMYFUNCTION("""COMPUTED_VALUE"""),1022690.0)</f>
        <v>1022690</v>
      </c>
      <c r="B1090" t="str">
        <f>IFERROR(__xludf.DUMMYFUNCTION("""COMPUTED_VALUE"""),"Mr.")</f>
        <v>Mr.</v>
      </c>
      <c r="C1090" t="str">
        <f>IFERROR(__xludf.DUMMYFUNCTION("""COMPUTED_VALUE"""),"Peerasin")</f>
        <v>Peerasin</v>
      </c>
      <c r="D1090" t="str">
        <f>IFERROR(__xludf.DUMMYFUNCTION("""COMPUTED_VALUE"""),"Yinharnmingmongkol")</f>
        <v>Yinharnmingmongkol</v>
      </c>
      <c r="E1090" t="str">
        <f>IFERROR(__xludf.DUMMYFUNCTION("""COMPUTED_VALUE"""),"Peerasin Yinharnmingmongkol")</f>
        <v>Peerasin Yinharnmingmongkol</v>
      </c>
      <c r="F1090" t="str">
        <f>IFERROR(__xludf.DUMMYFUNCTION("""COMPUTED_VALUE"""),"นาย")</f>
        <v>นาย</v>
      </c>
      <c r="G1090" t="str">
        <f>IFERROR(__xludf.DUMMYFUNCTION("""COMPUTED_VALUE"""),"ภีรศิลป์")</f>
        <v>ภีรศิลป์</v>
      </c>
      <c r="H1090" t="str">
        <f>IFERROR(__xludf.DUMMYFUNCTION("""COMPUTED_VALUE"""),"ยินหาญมิ่งมงคล")</f>
        <v>ยินหาญมิ่งมงคล</v>
      </c>
      <c r="I1090" t="str">
        <f>IFERROR(__xludf.DUMMYFUNCTION("""COMPUTED_VALUE"""),"ภีรศิลป์ ยินหาญมิ่งมงคล")</f>
        <v>ภีรศิลป์ ยินหาญมิ่งมงคล</v>
      </c>
      <c r="J1090" t="str">
        <f>IFERROR(__xludf.DUMMYFUNCTION("""COMPUTED_VALUE"""),"Pee / ภี")</f>
        <v>Pee / ภี</v>
      </c>
      <c r="K1090" t="str">
        <f>IFERROR(__xludf.DUMMYFUNCTION("""COMPUTED_VALUE"""),"Cabin Crew")</f>
        <v>Cabin Crew</v>
      </c>
      <c r="L1090" t="str">
        <f>IFERROR(__xludf.DUMMYFUNCTION("""COMPUTED_VALUE"""),"DMK")</f>
        <v>DMK</v>
      </c>
      <c r="M1090" s="145" t="str">
        <f>IFERROR(__xludf.DUMMYFUNCTION("""COMPUTED_VALUE"""),"Namfon Home")</f>
        <v>Namfon Home</v>
      </c>
      <c r="N1090" t="str">
        <f>IFERROR(__xludf.DUMMYFUNCTION("""COMPUTED_VALUE"""),"Active")</f>
        <v>Active</v>
      </c>
      <c r="P1090" s="159">
        <f>IFERROR(__xludf.DUMMYFUNCTION("""COMPUTED_VALUE"""),34049.0)</f>
        <v>34049</v>
      </c>
      <c r="Q1090" s="146" t="str">
        <f>IFERROR(__xludf.DUMMYFUNCTION("""COMPUTED_VALUE"""),"082-356-5424")</f>
        <v>082-356-5424</v>
      </c>
      <c r="R1090" s="147">
        <f>IFERROR(__xludf.DUMMYFUNCTION("""COMPUTED_VALUE"""),1.100701693824E12)</f>
        <v>1100701693824</v>
      </c>
      <c r="S1090" t="str">
        <f>IFERROR(__xludf.DUMMYFUNCTION("""COMPUTED_VALUE"""),"AD0754614")</f>
        <v>AD0754614</v>
      </c>
      <c r="T1090" s="148">
        <f>IFERROR(__xludf.DUMMYFUNCTION("""COMPUTED_VALUE"""),44968.0)</f>
        <v>44968</v>
      </c>
      <c r="U1090" s="148">
        <f>IFERROR(__xludf.DUMMYFUNCTION("""COMPUTED_VALUE"""),48620.0)</f>
        <v>48620</v>
      </c>
      <c r="V1090" s="149">
        <f>IFERROR(__xludf.DUMMYFUNCTION("""COMPUTED_VALUE"""),48436.0)</f>
        <v>48436</v>
      </c>
      <c r="W1090" t="str">
        <f>IFERROR(__xludf.DUMMYFUNCTION("""COMPUTED_VALUE"""),"ปลอดภัย")</f>
        <v>ปลอดภัย</v>
      </c>
      <c r="X1090" t="str">
        <f>IFERROR(__xludf.DUMMYFUNCTION("""COMPUTED_VALUE"""),"Bangkok")</f>
        <v>Bangkok</v>
      </c>
      <c r="Y1090" t="str">
        <f>IFERROR(__xludf.DUMMYFUNCTION("""COMPUTED_VALUE"""),"Bangkok")</f>
        <v>Bangkok</v>
      </c>
      <c r="Z1090" s="145" t="str">
        <f>IFERROR(__xludf.DUMMYFUNCTION("""COMPUTED_VALUE"""),"096-261-5551")</f>
        <v>096-261-5551</v>
      </c>
      <c r="AA1090" t="str">
        <f>IFERROR(__xludf.DUMMYFUNCTION("""COMPUTED_VALUE"""),"นางสาว รวีวรรณ ยินหาญมิ่งมงคล Sister")</f>
        <v>นางสาว รวีวรรณ ยินหาญมิ่งมงคล Sister</v>
      </c>
      <c r="AB1090" t="str">
        <f>IFERROR(__xludf.DUMMYFUNCTION("""COMPUTED_VALUE"""),"peerasinyinharnming@airasia.com")</f>
        <v>peerasinyinharnming@airasia.com</v>
      </c>
    </row>
    <row r="1091">
      <c r="A1091" s="161">
        <f>IFERROR(__xludf.DUMMYFUNCTION("""COMPUTED_VALUE"""),1025338.0)</f>
        <v>1025338</v>
      </c>
      <c r="B1091" t="str">
        <f>IFERROR(__xludf.DUMMYFUNCTION("""COMPUTED_VALUE"""),"Ms.")</f>
        <v>Ms.</v>
      </c>
      <c r="C1091" t="str">
        <f>IFERROR(__xludf.DUMMYFUNCTION("""COMPUTED_VALUE"""),"Ampawan")</f>
        <v>Ampawan</v>
      </c>
      <c r="D1091" t="str">
        <f>IFERROR(__xludf.DUMMYFUNCTION("""COMPUTED_VALUE"""),"Chinsakchai")</f>
        <v>Chinsakchai</v>
      </c>
      <c r="E1091" t="str">
        <f>IFERROR(__xludf.DUMMYFUNCTION("""COMPUTED_VALUE"""),"Ampawan Chinsakchai")</f>
        <v>Ampawan Chinsakchai</v>
      </c>
      <c r="F1091" t="str">
        <f>IFERROR(__xludf.DUMMYFUNCTION("""COMPUTED_VALUE"""),"นางสาว")</f>
        <v>นางสาว</v>
      </c>
      <c r="G1091" t="str">
        <f>IFERROR(__xludf.DUMMYFUNCTION("""COMPUTED_VALUE"""),"อัมพวัน")</f>
        <v>อัมพวัน</v>
      </c>
      <c r="H1091" t="str">
        <f>IFERROR(__xludf.DUMMYFUNCTION("""COMPUTED_VALUE"""),"ชินศักดิ์ชัย")</f>
        <v>ชินศักดิ์ชัย</v>
      </c>
      <c r="I1091" t="str">
        <f>IFERROR(__xludf.DUMMYFUNCTION("""COMPUTED_VALUE"""),"อัมพวัน ชินศักดิ์ชัย")</f>
        <v>อัมพวัน ชินศักดิ์ชัย</v>
      </c>
      <c r="J1091" t="str">
        <f>IFERROR(__xludf.DUMMYFUNCTION("""COMPUTED_VALUE"""),"อองฟองต์")</f>
        <v>อองฟองต์</v>
      </c>
      <c r="K1091" t="str">
        <f>IFERROR(__xludf.DUMMYFUNCTION("""COMPUTED_VALUE"""),"Cabin Crew")</f>
        <v>Cabin Crew</v>
      </c>
      <c r="L1091" t="str">
        <f>IFERROR(__xludf.DUMMYFUNCTION("""COMPUTED_VALUE"""),"DMK")</f>
        <v>DMK</v>
      </c>
      <c r="M1091" s="145" t="str">
        <f>IFERROR(__xludf.DUMMYFUNCTION("""COMPUTED_VALUE"""),"Por+ Home")</f>
        <v>Por+ Home</v>
      </c>
      <c r="N1091" t="str">
        <f>IFERROR(__xludf.DUMMYFUNCTION("""COMPUTED_VALUE"""),"LWPP")</f>
        <v>LWPP</v>
      </c>
      <c r="P1091" s="159">
        <f>IFERROR(__xludf.DUMMYFUNCTION("""COMPUTED_VALUE"""),34229.0)</f>
        <v>34229</v>
      </c>
      <c r="Q1091" s="146">
        <f>IFERROR(__xludf.DUMMYFUNCTION("""COMPUTED_VALUE"""),8.71431752E8)</f>
        <v>871431752</v>
      </c>
      <c r="R1091" s="147">
        <f>IFERROR(__xludf.DUMMYFUNCTION("""COMPUTED_VALUE"""),1.250100258162E12)</f>
        <v>1250100258162</v>
      </c>
      <c r="S1091" t="str">
        <f>IFERROR(__xludf.DUMMYFUNCTION("""COMPUTED_VALUE"""),"AC5810561")</f>
        <v>AC5810561</v>
      </c>
      <c r="T1091" s="148">
        <f>IFERROR(__xludf.DUMMYFUNCTION("""COMPUTED_VALUE"""),45188.0)</f>
        <v>45188</v>
      </c>
      <c r="U1091" s="148">
        <f>IFERROR(__xludf.DUMMYFUNCTION("""COMPUTED_VALUE"""),47014.0)</f>
        <v>47014</v>
      </c>
      <c r="V1091" s="149">
        <f>IFERROR(__xludf.DUMMYFUNCTION("""COMPUTED_VALUE"""),46830.0)</f>
        <v>46830</v>
      </c>
      <c r="W1091" t="str">
        <f>IFERROR(__xludf.DUMMYFUNCTION("""COMPUTED_VALUE"""),"ปลอดภัย")</f>
        <v>ปลอดภัย</v>
      </c>
      <c r="X1091" t="str">
        <f>IFERROR(__xludf.DUMMYFUNCTION("""COMPUTED_VALUE"""),"Prachinburi Province")</f>
        <v>Prachinburi Province</v>
      </c>
      <c r="Y1091" t="str">
        <f>IFERROR(__xludf.DUMMYFUNCTION("""COMPUTED_VALUE"""),"Bangkok")</f>
        <v>Bangkok</v>
      </c>
      <c r="Z1091" s="145" t="str">
        <f>IFERROR(__xludf.DUMMYFUNCTION("""COMPUTED_VALUE"""),"0890115253")</f>
        <v>0890115253</v>
      </c>
      <c r="AA1091" t="str">
        <f>IFERROR(__xludf.DUMMYFUNCTION("""COMPUTED_VALUE"""),"นางอุทัยวรรณ ถาวร Mother")</f>
        <v>นางอุทัยวรรณ ถาวร Mother</v>
      </c>
      <c r="AB1091" t="str">
        <f>IFERROR(__xludf.DUMMYFUNCTION("""COMPUTED_VALUE"""),"ampawanchinsakchai@airasia.com")</f>
        <v>ampawanchinsakchai@airasia.com</v>
      </c>
    </row>
    <row r="1092">
      <c r="A1092" s="161">
        <f>IFERROR(__xludf.DUMMYFUNCTION("""COMPUTED_VALUE"""),1009006.0)</f>
        <v>1009006</v>
      </c>
      <c r="B1092" t="str">
        <f>IFERROR(__xludf.DUMMYFUNCTION("""COMPUTED_VALUE"""),"Mr.")</f>
        <v>Mr.</v>
      </c>
      <c r="C1092" t="str">
        <f>IFERROR(__xludf.DUMMYFUNCTION("""COMPUTED_VALUE"""),"Tuchteerasit")</f>
        <v>Tuchteerasit</v>
      </c>
      <c r="D1092" t="str">
        <f>IFERROR(__xludf.DUMMYFUNCTION("""COMPUTED_VALUE"""),"Saichittham")</f>
        <v>Saichittham</v>
      </c>
      <c r="E1092" t="str">
        <f>IFERROR(__xludf.DUMMYFUNCTION("""COMPUTED_VALUE"""),"Tuchteerasit Saichittham")</f>
        <v>Tuchteerasit Saichittham</v>
      </c>
      <c r="F1092" t="str">
        <f>IFERROR(__xludf.DUMMYFUNCTION("""COMPUTED_VALUE"""),"นาย")</f>
        <v>นาย</v>
      </c>
      <c r="G1092" t="str">
        <f>IFERROR(__xludf.DUMMYFUNCTION("""COMPUTED_VALUE"""),"ธัชธีรสิทธิ์")</f>
        <v>ธัชธีรสิทธิ์</v>
      </c>
      <c r="H1092" t="str">
        <f>IFERROR(__xludf.DUMMYFUNCTION("""COMPUTED_VALUE"""),"สายจิตธรรม")</f>
        <v>สายจิตธรรม</v>
      </c>
      <c r="I1092" t="str">
        <f>IFERROR(__xludf.DUMMYFUNCTION("""COMPUTED_VALUE"""),"ธัชธีรสิทธิ์ สายจิตธรรม")</f>
        <v>ธัชธีรสิทธิ์ สายจิตธรรม</v>
      </c>
      <c r="J1092" t="str">
        <f>IFERROR(__xludf.DUMMYFUNCTION("""COMPUTED_VALUE"""),"Tonnam / ต้นน้ำ")</f>
        <v>Tonnam / ต้นน้ำ</v>
      </c>
      <c r="K1092" t="str">
        <f>IFERROR(__xludf.DUMMYFUNCTION("""COMPUTED_VALUE"""),"Cabin Crew - CNX")</f>
        <v>Cabin Crew - CNX</v>
      </c>
      <c r="L1092" t="str">
        <f>IFERROR(__xludf.DUMMYFUNCTION("""COMPUTED_VALUE"""),"CNX")</f>
        <v>CNX</v>
      </c>
      <c r="M1092" s="145" t="str">
        <f>IFERROR(__xludf.DUMMYFUNCTION("""COMPUTED_VALUE"""),"Up Home")</f>
        <v>Up Home</v>
      </c>
      <c r="N1092" t="str">
        <f>IFERROR(__xludf.DUMMYFUNCTION("""COMPUTED_VALUE"""),"Active")</f>
        <v>Active</v>
      </c>
      <c r="P1092" s="159">
        <f>IFERROR(__xludf.DUMMYFUNCTION("""COMPUTED_VALUE"""),33559.0)</f>
        <v>33559</v>
      </c>
      <c r="Q1092" s="146" t="str">
        <f>IFERROR(__xludf.DUMMYFUNCTION("""COMPUTED_VALUE"""),"095-675-2505")</f>
        <v>095-675-2505</v>
      </c>
      <c r="R1092" s="147">
        <f>IFERROR(__xludf.DUMMYFUNCTION("""COMPUTED_VALUE"""),1.34070035451E12)</f>
        <v>1340700354510</v>
      </c>
      <c r="S1092" t="str">
        <f>IFERROR(__xludf.DUMMYFUNCTION("""COMPUTED_VALUE"""),"AC4701955")</f>
        <v>AC4701955</v>
      </c>
      <c r="T1092" s="148">
        <f>IFERROR(__xludf.DUMMYFUNCTION("""COMPUTED_VALUE"""),45001.0)</f>
        <v>45001</v>
      </c>
      <c r="U1092" s="148">
        <f>IFERROR(__xludf.DUMMYFUNCTION("""COMPUTED_VALUE"""),48653.0)</f>
        <v>48653</v>
      </c>
      <c r="V1092" s="149">
        <f>IFERROR(__xludf.DUMMYFUNCTION("""COMPUTED_VALUE"""),48472.0)</f>
        <v>48472</v>
      </c>
      <c r="W1092" t="str">
        <f>IFERROR(__xludf.DUMMYFUNCTION("""COMPUTED_VALUE"""),"ปลอดภัย")</f>
        <v>ปลอดภัย</v>
      </c>
      <c r="X1092" t="str">
        <f>IFERROR(__xludf.DUMMYFUNCTION("""COMPUTED_VALUE"""),"Ubon Ratchathani Province")</f>
        <v>Ubon Ratchathani Province</v>
      </c>
      <c r="Y1092" t="str">
        <f>IFERROR(__xludf.DUMMYFUNCTION("""COMPUTED_VALUE"""),"chaing mai")</f>
        <v>chaing mai</v>
      </c>
      <c r="Z1092" s="145" t="str">
        <f>IFERROR(__xludf.DUMMYFUNCTION("""COMPUTED_VALUE"""),"081-162-7707")</f>
        <v>081-162-7707</v>
      </c>
      <c r="AA1092" t="str">
        <f>IFERROR(__xludf.DUMMYFUNCTION("""COMPUTED_VALUE"""),"นางนิภาพร สายจิตธรรม Mother")</f>
        <v>นางนิภาพร สายจิตธรรม Mother</v>
      </c>
      <c r="AB1092" t="str">
        <f>IFERROR(__xludf.DUMMYFUNCTION("""COMPUTED_VALUE"""),"tuchteerasits@airasia.com")</f>
        <v>tuchteerasits@airasia.com</v>
      </c>
    </row>
    <row r="1093">
      <c r="A1093" s="161">
        <f>IFERROR(__xludf.DUMMYFUNCTION("""COMPUTED_VALUE"""),1026210.0)</f>
        <v>1026210</v>
      </c>
      <c r="B1093" t="str">
        <f>IFERROR(__xludf.DUMMYFUNCTION("""COMPUTED_VALUE"""),"Ms.")</f>
        <v>Ms.</v>
      </c>
      <c r="C1093" t="str">
        <f>IFERROR(__xludf.DUMMYFUNCTION("""COMPUTED_VALUE"""),"Warissaraporn")</f>
        <v>Warissaraporn</v>
      </c>
      <c r="D1093" t="str">
        <f>IFERROR(__xludf.DUMMYFUNCTION("""COMPUTED_VALUE"""),"Srisathienkul")</f>
        <v>Srisathienkul</v>
      </c>
      <c r="E1093" t="str">
        <f>IFERROR(__xludf.DUMMYFUNCTION("""COMPUTED_VALUE"""),"Warissaraporn Srisathienkul")</f>
        <v>Warissaraporn Srisathienkul</v>
      </c>
      <c r="F1093" t="str">
        <f>IFERROR(__xludf.DUMMYFUNCTION("""COMPUTED_VALUE"""),"นางสาว")</f>
        <v>นางสาว</v>
      </c>
      <c r="G1093" t="str">
        <f>IFERROR(__xludf.DUMMYFUNCTION("""COMPUTED_VALUE"""),"วริศราภรณ์")</f>
        <v>วริศราภรณ์</v>
      </c>
      <c r="H1093" t="str">
        <f>IFERROR(__xludf.DUMMYFUNCTION("""COMPUTED_VALUE"""),"ศรีเสถียรกุล")</f>
        <v>ศรีเสถียรกุล</v>
      </c>
      <c r="I1093" t="str">
        <f>IFERROR(__xludf.DUMMYFUNCTION("""COMPUTED_VALUE"""),"วริศราภรณ์ ศรีเสถียรกุล")</f>
        <v>วริศราภรณ์ ศรีเสถียรกุล</v>
      </c>
      <c r="J1093" t="str">
        <f>IFERROR(__xludf.DUMMYFUNCTION("""COMPUTED_VALUE"""),"มิก")</f>
        <v>มิก</v>
      </c>
      <c r="K1093" t="str">
        <f>IFERROR(__xludf.DUMMYFUNCTION("""COMPUTED_VALUE"""),"Cabin Crew")</f>
        <v>Cabin Crew</v>
      </c>
      <c r="L1093" t="str">
        <f>IFERROR(__xludf.DUMMYFUNCTION("""COMPUTED_VALUE"""),"DMK")</f>
        <v>DMK</v>
      </c>
      <c r="M1093" s="145" t="str">
        <f>IFERROR(__xludf.DUMMYFUNCTION("""COMPUTED_VALUE"""),"Por+ Home")</f>
        <v>Por+ Home</v>
      </c>
      <c r="N1093" t="str">
        <f>IFERROR(__xludf.DUMMYFUNCTION("""COMPUTED_VALUE"""),"Active")</f>
        <v>Active</v>
      </c>
      <c r="P1093" s="159">
        <f>IFERROR(__xludf.DUMMYFUNCTION("""COMPUTED_VALUE"""),34830.0)</f>
        <v>34830</v>
      </c>
      <c r="Q1093" s="146">
        <f>IFERROR(__xludf.DUMMYFUNCTION("""COMPUTED_VALUE"""),8.53664245E8)</f>
        <v>853664245</v>
      </c>
      <c r="R1093" s="147">
        <f>IFERROR(__xludf.DUMMYFUNCTION("""COMPUTED_VALUE"""),1.709900967609E12)</f>
        <v>1709900967609</v>
      </c>
      <c r="S1093" t="str">
        <f>IFERROR(__xludf.DUMMYFUNCTION("""COMPUTED_VALUE"""),"AC4186177")</f>
        <v>AC4186177</v>
      </c>
      <c r="T1093" s="148">
        <f>IFERROR(__xludf.DUMMYFUNCTION("""COMPUTED_VALUE"""),44888.0)</f>
        <v>44888</v>
      </c>
      <c r="U1093" s="148">
        <f>IFERROR(__xludf.DUMMYFUNCTION("""COMPUTED_VALUE"""),48540.0)</f>
        <v>48540</v>
      </c>
      <c r="V1093" s="149">
        <f>IFERROR(__xludf.DUMMYFUNCTION("""COMPUTED_VALUE"""),48356.0)</f>
        <v>48356</v>
      </c>
      <c r="W1093" t="str">
        <f>IFERROR(__xludf.DUMMYFUNCTION("""COMPUTED_VALUE"""),"ปลอดภัย")</f>
        <v>ปลอดภัย</v>
      </c>
      <c r="X1093" t="str">
        <f>IFERROR(__xludf.DUMMYFUNCTION("""COMPUTED_VALUE"""),"Ratchaburi Province")</f>
        <v>Ratchaburi Province</v>
      </c>
      <c r="Y1093" t="str">
        <f>IFERROR(__xludf.DUMMYFUNCTION("""COMPUTED_VALUE"""),"Bangkok")</f>
        <v>Bangkok</v>
      </c>
      <c r="Z1093" s="145" t="str">
        <f>IFERROR(__xludf.DUMMYFUNCTION("""COMPUTED_VALUE"""),"0865140829")</f>
        <v>0865140829</v>
      </c>
      <c r="AA1093" t="str">
        <f>IFERROR(__xludf.DUMMYFUNCTION("""COMPUTED_VALUE"""),"คุณ สมจิตร โพธิ์สีมา Mother")</f>
        <v>คุณ สมจิตร โพธิ์สีมา Mother</v>
      </c>
      <c r="AB1093" t="str">
        <f>IFERROR(__xludf.DUMMYFUNCTION("""COMPUTED_VALUE"""),"warissarapornsrisat@airasia.com")</f>
        <v>warissarapornsrisat@airasia.com</v>
      </c>
    </row>
    <row r="1094">
      <c r="A1094" s="161">
        <f>IFERROR(__xludf.DUMMYFUNCTION("""COMPUTED_VALUE"""),1026705.0)</f>
        <v>1026705</v>
      </c>
      <c r="B1094" t="str">
        <f>IFERROR(__xludf.DUMMYFUNCTION("""COMPUTED_VALUE"""),"Ms.")</f>
        <v>Ms.</v>
      </c>
      <c r="C1094" t="str">
        <f>IFERROR(__xludf.DUMMYFUNCTION("""COMPUTED_VALUE"""),"Krittaya")</f>
        <v>Krittaya</v>
      </c>
      <c r="D1094" t="str">
        <f>IFERROR(__xludf.DUMMYFUNCTION("""COMPUTED_VALUE"""),"Tejawong")</f>
        <v>Tejawong</v>
      </c>
      <c r="E1094" t="str">
        <f>IFERROR(__xludf.DUMMYFUNCTION("""COMPUTED_VALUE"""),"Krittaya Tejawong")</f>
        <v>Krittaya Tejawong</v>
      </c>
      <c r="F1094" t="str">
        <f>IFERROR(__xludf.DUMMYFUNCTION("""COMPUTED_VALUE"""),"นางสาว")</f>
        <v>นางสาว</v>
      </c>
      <c r="G1094" t="str">
        <f>IFERROR(__xludf.DUMMYFUNCTION("""COMPUTED_VALUE"""),"กฤตยา")</f>
        <v>กฤตยา</v>
      </c>
      <c r="H1094" t="str">
        <f>IFERROR(__xludf.DUMMYFUNCTION("""COMPUTED_VALUE"""),"เตจ๊ะวงค์")</f>
        <v>เตจ๊ะวงค์</v>
      </c>
      <c r="I1094" t="str">
        <f>IFERROR(__xludf.DUMMYFUNCTION("""COMPUTED_VALUE"""),"กฤตยา เตจ๊ะวงค์")</f>
        <v>กฤตยา เตจ๊ะวงค์</v>
      </c>
      <c r="J1094" t="str">
        <f>IFERROR(__xludf.DUMMYFUNCTION("""COMPUTED_VALUE"""),"Pompam / ป๋อมแป๋ม")</f>
        <v>Pompam / ป๋อมแป๋ม</v>
      </c>
      <c r="K1094" t="str">
        <f>IFERROR(__xludf.DUMMYFUNCTION("""COMPUTED_VALUE"""),"Cabin Crew")</f>
        <v>Cabin Crew</v>
      </c>
      <c r="L1094" t="str">
        <f>IFERROR(__xludf.DUMMYFUNCTION("""COMPUTED_VALUE"""),"DMK")</f>
        <v>DMK</v>
      </c>
      <c r="M1094" s="145" t="str">
        <f>IFERROR(__xludf.DUMMYFUNCTION("""COMPUTED_VALUE"""),"Um Home")</f>
        <v>Um Home</v>
      </c>
      <c r="N1094" t="str">
        <f>IFERROR(__xludf.DUMMYFUNCTION("""COMPUTED_VALUE"""),"Active")</f>
        <v>Active</v>
      </c>
      <c r="P1094" s="159">
        <f>IFERROR(__xludf.DUMMYFUNCTION("""COMPUTED_VALUE"""),34584.0)</f>
        <v>34584</v>
      </c>
      <c r="Q1094" s="146" t="str">
        <f>IFERROR(__xludf.DUMMYFUNCTION("""COMPUTED_VALUE"""),"095-446-2834")</f>
        <v>095-446-2834</v>
      </c>
      <c r="R1094" s="147">
        <f>IFERROR(__xludf.DUMMYFUNCTION("""COMPUTED_VALUE"""),1.509901483551E12)</f>
        <v>1509901483551</v>
      </c>
      <c r="S1094" t="str">
        <f>IFERROR(__xludf.DUMMYFUNCTION("""COMPUTED_VALUE"""),"AC4397692")</f>
        <v>AC4397692</v>
      </c>
      <c r="T1094" s="148">
        <f>IFERROR(__xludf.DUMMYFUNCTION("""COMPUTED_VALUE"""),44942.0)</f>
        <v>44942</v>
      </c>
      <c r="U1094" s="148">
        <f>IFERROR(__xludf.DUMMYFUNCTION("""COMPUTED_VALUE"""),46767.0)</f>
        <v>46767</v>
      </c>
      <c r="V1094" s="149">
        <f>IFERROR(__xludf.DUMMYFUNCTION("""COMPUTED_VALUE"""),46583.0)</f>
        <v>46583</v>
      </c>
      <c r="W1094" t="str">
        <f>IFERROR(__xludf.DUMMYFUNCTION("""COMPUTED_VALUE"""),"ปลอดภัย")</f>
        <v>ปลอดภัย</v>
      </c>
      <c r="X1094" t="str">
        <f>IFERROR(__xludf.DUMMYFUNCTION("""COMPUTED_VALUE"""),"Chiang Mai Province")</f>
        <v>Chiang Mai Province</v>
      </c>
      <c r="Y1094" t="str">
        <f>IFERROR(__xludf.DUMMYFUNCTION("""COMPUTED_VALUE"""),"Bangkok")</f>
        <v>Bangkok</v>
      </c>
      <c r="Z1094" s="145" t="str">
        <f>IFERROR(__xludf.DUMMYFUNCTION("""COMPUTED_VALUE"""),"089-264-9788")</f>
        <v>089-264-9788</v>
      </c>
      <c r="AA1094" t="str">
        <f>IFERROR(__xludf.DUMMYFUNCTION("""COMPUTED_VALUE"""),"นางกรองจิตร เตจ๊ะวงค์ Mother")</f>
        <v>นางกรองจิตร เตจ๊ะวงค์ Mother</v>
      </c>
      <c r="AB1094" t="str">
        <f>IFERROR(__xludf.DUMMYFUNCTION("""COMPUTED_VALUE"""),"krittayatejawong@airasia.com")</f>
        <v>krittayatejawong@airasia.com</v>
      </c>
    </row>
    <row r="1095">
      <c r="A1095" s="161">
        <f>IFERROR(__xludf.DUMMYFUNCTION("""COMPUTED_VALUE"""),1014554.0)</f>
        <v>1014554</v>
      </c>
      <c r="B1095" t="str">
        <f>IFERROR(__xludf.DUMMYFUNCTION("""COMPUTED_VALUE"""),"Ms.")</f>
        <v>Ms.</v>
      </c>
      <c r="C1095" t="str">
        <f>IFERROR(__xludf.DUMMYFUNCTION("""COMPUTED_VALUE"""),"Katthareeya")</f>
        <v>Katthareeya</v>
      </c>
      <c r="D1095" t="str">
        <f>IFERROR(__xludf.DUMMYFUNCTION("""COMPUTED_VALUE"""),"Trachoowanich")</f>
        <v>Trachoowanich</v>
      </c>
      <c r="E1095" t="str">
        <f>IFERROR(__xludf.DUMMYFUNCTION("""COMPUTED_VALUE"""),"Katthareeya Trachoowanich")</f>
        <v>Katthareeya Trachoowanich</v>
      </c>
      <c r="F1095" t="str">
        <f>IFERROR(__xludf.DUMMYFUNCTION("""COMPUTED_VALUE"""),"นางสาว")</f>
        <v>นางสาว</v>
      </c>
      <c r="G1095" t="str">
        <f>IFERROR(__xludf.DUMMYFUNCTION("""COMPUTED_VALUE"""),"แคทรียา")</f>
        <v>แคทรียา</v>
      </c>
      <c r="H1095" t="str">
        <f>IFERROR(__xludf.DUMMYFUNCTION("""COMPUTED_VALUE"""),"ตราชูวณิช")</f>
        <v>ตราชูวณิช</v>
      </c>
      <c r="I1095" t="str">
        <f>IFERROR(__xludf.DUMMYFUNCTION("""COMPUTED_VALUE"""),"แคทรียา ตราชูวณิช")</f>
        <v>แคทรียา ตราชูวณิช</v>
      </c>
      <c r="J1095" t="str">
        <f>IFERROR(__xludf.DUMMYFUNCTION("""COMPUTED_VALUE"""),"Green / กรีน")</f>
        <v>Green / กรีน</v>
      </c>
      <c r="K1095" t="str">
        <f>IFERROR(__xludf.DUMMYFUNCTION("""COMPUTED_VALUE"""),"Cabin Crew")</f>
        <v>Cabin Crew</v>
      </c>
      <c r="L1095" t="str">
        <f>IFERROR(__xludf.DUMMYFUNCTION("""COMPUTED_VALUE"""),"DMK")</f>
        <v>DMK</v>
      </c>
      <c r="M1095" s="145" t="str">
        <f>IFERROR(__xludf.DUMMYFUNCTION("""COMPUTED_VALUE"""),"Kor Home")</f>
        <v>Kor Home</v>
      </c>
      <c r="N1095" t="str">
        <f>IFERROR(__xludf.DUMMYFUNCTION("""COMPUTED_VALUE"""),"Active")</f>
        <v>Active</v>
      </c>
      <c r="P1095" s="159">
        <f>IFERROR(__xludf.DUMMYFUNCTION("""COMPUTED_VALUE"""),34593.0)</f>
        <v>34593</v>
      </c>
      <c r="Q1095" s="146" t="str">
        <f>IFERROR(__xludf.DUMMYFUNCTION("""COMPUTED_VALUE"""),"086-353-5311")</f>
        <v>086-353-5311</v>
      </c>
      <c r="R1095" s="147">
        <f>IFERROR(__xludf.DUMMYFUNCTION("""COMPUTED_VALUE"""),1.769900359072E12)</f>
        <v>1769900359072</v>
      </c>
      <c r="S1095" t="str">
        <f>IFERROR(__xludf.DUMMYFUNCTION("""COMPUTED_VALUE"""),"AC6215064")</f>
        <v>AC6215064</v>
      </c>
      <c r="T1095" s="148">
        <f>IFERROR(__xludf.DUMMYFUNCTION("""COMPUTED_VALUE"""),45301.0)</f>
        <v>45301</v>
      </c>
      <c r="U1095" s="148">
        <f>IFERROR(__xludf.DUMMYFUNCTION("""COMPUTED_VALUE"""),48953.0)</f>
        <v>48953</v>
      </c>
      <c r="V1095" s="149">
        <f>IFERROR(__xludf.DUMMYFUNCTION("""COMPUTED_VALUE"""),48769.0)</f>
        <v>48769</v>
      </c>
      <c r="W1095" t="str">
        <f>IFERROR(__xludf.DUMMYFUNCTION("""COMPUTED_VALUE"""),"ปลอดภัย")</f>
        <v>ปลอดภัย</v>
      </c>
      <c r="X1095" t="str">
        <f>IFERROR(__xludf.DUMMYFUNCTION("""COMPUTED_VALUE"""),"Phetchaburi Province")</f>
        <v>Phetchaburi Province</v>
      </c>
      <c r="Y1095" t="str">
        <f>IFERROR(__xludf.DUMMYFUNCTION("""COMPUTED_VALUE"""),"Bangkok")</f>
        <v>Bangkok</v>
      </c>
      <c r="Z1095" s="145" t="str">
        <f>IFERROR(__xludf.DUMMYFUNCTION("""COMPUTED_VALUE"""),"088-674-8213")</f>
        <v>088-674-8213</v>
      </c>
      <c r="AA1095" t="str">
        <f>IFERROR(__xludf.DUMMYFUNCTION("""COMPUTED_VALUE"""),"นางอัญชลี ตราชูวณิช Mother")</f>
        <v>นางอัญชลี ตราชูวณิช Mother</v>
      </c>
      <c r="AB1095" t="str">
        <f>IFERROR(__xludf.DUMMYFUNCTION("""COMPUTED_VALUE"""),"katthareeyat@airasia.com")</f>
        <v>katthareeyat@airasia.com</v>
      </c>
    </row>
    <row r="1096">
      <c r="A1096" s="161">
        <f>IFERROR(__xludf.DUMMYFUNCTION("""COMPUTED_VALUE"""),1013468.0)</f>
        <v>1013468</v>
      </c>
      <c r="B1096" t="str">
        <f>IFERROR(__xludf.DUMMYFUNCTION("""COMPUTED_VALUE"""),"Ms.")</f>
        <v>Ms.</v>
      </c>
      <c r="C1096" t="str">
        <f>IFERROR(__xludf.DUMMYFUNCTION("""COMPUTED_VALUE"""),"Pim")</f>
        <v>Pim</v>
      </c>
      <c r="D1096" t="str">
        <f>IFERROR(__xludf.DUMMYFUNCTION("""COMPUTED_VALUE"""),"Piwasin")</f>
        <v>Piwasin</v>
      </c>
      <c r="E1096" t="str">
        <f>IFERROR(__xludf.DUMMYFUNCTION("""COMPUTED_VALUE"""),"Pim Piwasin")</f>
        <v>Pim Piwasin</v>
      </c>
      <c r="F1096" t="str">
        <f>IFERROR(__xludf.DUMMYFUNCTION("""COMPUTED_VALUE"""),"นางสาว")</f>
        <v>นางสาว</v>
      </c>
      <c r="G1096" t="str">
        <f>IFERROR(__xludf.DUMMYFUNCTION("""COMPUTED_VALUE"""),"พิม")</f>
        <v>พิม</v>
      </c>
      <c r="H1096" t="str">
        <f>IFERROR(__xludf.DUMMYFUNCTION("""COMPUTED_VALUE"""),"ปิวศิลป์")</f>
        <v>ปิวศิลป์</v>
      </c>
      <c r="I1096" t="str">
        <f>IFERROR(__xludf.DUMMYFUNCTION("""COMPUTED_VALUE"""),"พิม ปิวศิลป์")</f>
        <v>พิม ปิวศิลป์</v>
      </c>
      <c r="J1096" t="str">
        <f>IFERROR(__xludf.DUMMYFUNCTION("""COMPUTED_VALUE"""),"พิม")</f>
        <v>พิม</v>
      </c>
      <c r="K1096" t="str">
        <f>IFERROR(__xludf.DUMMYFUNCTION("""COMPUTED_VALUE"""),"Cabin Crew - CNX")</f>
        <v>Cabin Crew - CNX</v>
      </c>
      <c r="L1096" t="str">
        <f>IFERROR(__xludf.DUMMYFUNCTION("""COMPUTED_VALUE"""),"CNX")</f>
        <v>CNX</v>
      </c>
      <c r="M1096" s="145" t="str">
        <f>IFERROR(__xludf.DUMMYFUNCTION("""COMPUTED_VALUE"""),"Up Home")</f>
        <v>Up Home</v>
      </c>
      <c r="N1096" t="str">
        <f>IFERROR(__xludf.DUMMYFUNCTION("""COMPUTED_VALUE"""),"Active")</f>
        <v>Active</v>
      </c>
      <c r="P1096" s="159">
        <f>IFERROR(__xludf.DUMMYFUNCTION("""COMPUTED_VALUE"""),33978.0)</f>
        <v>33978</v>
      </c>
      <c r="Q1096" s="146" t="str">
        <f>IFERROR(__xludf.DUMMYFUNCTION("""COMPUTED_VALUE"""),"084-363-3993")</f>
        <v>084-363-3993</v>
      </c>
      <c r="R1096" s="147">
        <f>IFERROR(__xludf.DUMMYFUNCTION("""COMPUTED_VALUE"""),1.509901256694E12)</f>
        <v>1509901256694</v>
      </c>
      <c r="S1096" t="str">
        <f>IFERROR(__xludf.DUMMYFUNCTION("""COMPUTED_VALUE"""),"AC4735844")</f>
        <v>AC4735844</v>
      </c>
      <c r="T1096" s="148">
        <f>IFERROR(__xludf.DUMMYFUNCTION("""COMPUTED_VALUE"""),45012.0)</f>
        <v>45012</v>
      </c>
      <c r="U1096" s="148">
        <f>IFERROR(__xludf.DUMMYFUNCTION("""COMPUTED_VALUE"""),46838.0)</f>
        <v>46838</v>
      </c>
      <c r="V1096" s="149">
        <f>IFERROR(__xludf.DUMMYFUNCTION("""COMPUTED_VALUE"""),46656.0)</f>
        <v>46656</v>
      </c>
      <c r="W1096" t="str">
        <f>IFERROR(__xludf.DUMMYFUNCTION("""COMPUTED_VALUE"""),"ปลอดภัย")</f>
        <v>ปลอดภัย</v>
      </c>
      <c r="X1096" t="str">
        <f>IFERROR(__xludf.DUMMYFUNCTION("""COMPUTED_VALUE"""),"Chiang Mai Province")</f>
        <v>Chiang Mai Province</v>
      </c>
      <c r="Y1096" t="str">
        <f>IFERROR(__xludf.DUMMYFUNCTION("""COMPUTED_VALUE"""),"Lumphoon")</f>
        <v>Lumphoon</v>
      </c>
      <c r="Z1096" s="145" t="str">
        <f>IFERROR(__xludf.DUMMYFUNCTION("""COMPUTED_VALUE"""),"081-163-4343")</f>
        <v>081-163-4343</v>
      </c>
      <c r="AA1096" t="str">
        <f>IFERROR(__xludf.DUMMYFUNCTION("""COMPUTED_VALUE"""),"นางโสภาพรรณ ปิวศิลป์ Mother")</f>
        <v>นางโสภาพรรณ ปิวศิลป์ Mother</v>
      </c>
      <c r="AB1096" t="str">
        <f>IFERROR(__xludf.DUMMYFUNCTION("""COMPUTED_VALUE"""),"pimp@airasia.com")</f>
        <v>pimp@airasia.com</v>
      </c>
    </row>
    <row r="1097">
      <c r="A1097">
        <f>IFERROR(__xludf.DUMMYFUNCTION("""COMPUTED_VALUE"""),1014143.0)</f>
        <v>1014143</v>
      </c>
      <c r="B1097" t="str">
        <f>IFERROR(__xludf.DUMMYFUNCTION("""COMPUTED_VALUE"""),"Ms.")</f>
        <v>Ms.</v>
      </c>
      <c r="C1097" t="str">
        <f>IFERROR(__xludf.DUMMYFUNCTION("""COMPUTED_VALUE"""),"Sudarat ")</f>
        <v>Sudarat </v>
      </c>
      <c r="D1097" t="str">
        <f>IFERROR(__xludf.DUMMYFUNCTION("""COMPUTED_VALUE"""),"Prosri")</f>
        <v>Prosri</v>
      </c>
      <c r="E1097" t="str">
        <f>IFERROR(__xludf.DUMMYFUNCTION("""COMPUTED_VALUE"""),"Sudarat  Prosri")</f>
        <v>Sudarat  Prosri</v>
      </c>
      <c r="F1097" t="str">
        <f>IFERROR(__xludf.DUMMYFUNCTION("""COMPUTED_VALUE"""),"นางสาว")</f>
        <v>นางสาว</v>
      </c>
      <c r="G1097" t="str">
        <f>IFERROR(__xludf.DUMMYFUNCTION("""COMPUTED_VALUE"""),"สุดารัตน์")</f>
        <v>สุดารัตน์</v>
      </c>
      <c r="H1097" t="str">
        <f>IFERROR(__xludf.DUMMYFUNCTION("""COMPUTED_VALUE"""),"โพธิ์ศรี")</f>
        <v>โพธิ์ศรี</v>
      </c>
      <c r="I1097" t="str">
        <f>IFERROR(__xludf.DUMMYFUNCTION("""COMPUTED_VALUE"""),"สุดารัตน์ โพธิ์ศรี")</f>
        <v>สุดารัตน์ โพธิ์ศรี</v>
      </c>
      <c r="J1097" t="str">
        <f>IFERROR(__xludf.DUMMYFUNCTION("""COMPUTED_VALUE"""),"มิ้งค์")</f>
        <v>มิ้งค์</v>
      </c>
      <c r="K1097" t="str">
        <f>IFERROR(__xludf.DUMMYFUNCTION("""COMPUTED_VALUE"""),"Cabin Crew - CNX")</f>
        <v>Cabin Crew - CNX</v>
      </c>
      <c r="L1097" t="str">
        <f>IFERROR(__xludf.DUMMYFUNCTION("""COMPUTED_VALUE"""),"CNX")</f>
        <v>CNX</v>
      </c>
      <c r="M1097" s="145" t="str">
        <f>IFERROR(__xludf.DUMMYFUNCTION("""COMPUTED_VALUE"""),"Up Home")</f>
        <v>Up Home</v>
      </c>
      <c r="N1097" t="str">
        <f>IFERROR(__xludf.DUMMYFUNCTION("""COMPUTED_VALUE"""),"Active")</f>
        <v>Active</v>
      </c>
      <c r="P1097" s="159">
        <f>IFERROR(__xludf.DUMMYFUNCTION("""COMPUTED_VALUE"""),33830.0)</f>
        <v>33830</v>
      </c>
      <c r="Q1097" s="146">
        <f>IFERROR(__xludf.DUMMYFUNCTION("""COMPUTED_VALUE"""),8.95021547E8)</f>
        <v>895021547</v>
      </c>
      <c r="R1097" s="147">
        <f>IFERROR(__xludf.DUMMYFUNCTION("""COMPUTED_VALUE"""),1.52010009616E12)</f>
        <v>1520100096160</v>
      </c>
      <c r="S1097" t="str">
        <f>IFERROR(__xludf.DUMMYFUNCTION("""COMPUTED_VALUE"""),"AC4898666")</f>
        <v>AC4898666</v>
      </c>
      <c r="T1097" s="148">
        <f>IFERROR(__xludf.DUMMYFUNCTION("""COMPUTED_VALUE"""),45042.0)</f>
        <v>45042</v>
      </c>
      <c r="U1097" s="148">
        <f>IFERROR(__xludf.DUMMYFUNCTION("""COMPUTED_VALUE"""),48694.0)</f>
        <v>48694</v>
      </c>
      <c r="V1097" s="149">
        <f>IFERROR(__xludf.DUMMYFUNCTION("""COMPUTED_VALUE"""),48512.0)</f>
        <v>48512</v>
      </c>
      <c r="W1097" t="str">
        <f>IFERROR(__xludf.DUMMYFUNCTION("""COMPUTED_VALUE"""),"ปลอดภัย")</f>
        <v>ปลอดภัย</v>
      </c>
      <c r="X1097" t="str">
        <f>IFERROR(__xludf.DUMMYFUNCTION("""COMPUTED_VALUE"""),"lamprang")</f>
        <v>lamprang</v>
      </c>
      <c r="Y1097" t="str">
        <f>IFERROR(__xludf.DUMMYFUNCTION("""COMPUTED_VALUE"""),"Bangkok")</f>
        <v>Bangkok</v>
      </c>
      <c r="Z1097" s="145" t="str">
        <f>IFERROR(__xludf.DUMMYFUNCTION("""COMPUTED_VALUE"""),"06-4720-7137")</f>
        <v>06-4720-7137</v>
      </c>
      <c r="AA1097" t="str">
        <f>IFERROR(__xludf.DUMMYFUNCTION("""COMPUTED_VALUE"""),"นางอำพร โพธิ์ศรี Mother")</f>
        <v>นางอำพร โพธิ์ศรี Mother</v>
      </c>
      <c r="AB1097" t="str">
        <f>IFERROR(__xludf.DUMMYFUNCTION("""COMPUTED_VALUE"""),"sudaratp@airasia.com")</f>
        <v>sudaratp@airasia.com</v>
      </c>
    </row>
    <row r="1098">
      <c r="A1098">
        <f>IFERROR(__xludf.DUMMYFUNCTION("""COMPUTED_VALUE"""),1009434.0)</f>
        <v>1009434</v>
      </c>
      <c r="B1098" t="str">
        <f>IFERROR(__xludf.DUMMYFUNCTION("""COMPUTED_VALUE"""),"Mr.")</f>
        <v>Mr.</v>
      </c>
      <c r="C1098" t="str">
        <f>IFERROR(__xludf.DUMMYFUNCTION("""COMPUTED_VALUE"""),"Wanpiya")</f>
        <v>Wanpiya</v>
      </c>
      <c r="D1098" t="str">
        <f>IFERROR(__xludf.DUMMYFUNCTION("""COMPUTED_VALUE"""),"Kaewyok")</f>
        <v>Kaewyok</v>
      </c>
      <c r="E1098" t="str">
        <f>IFERROR(__xludf.DUMMYFUNCTION("""COMPUTED_VALUE"""),"Wanpiya Kaewyok")</f>
        <v>Wanpiya Kaewyok</v>
      </c>
      <c r="F1098" t="str">
        <f>IFERROR(__xludf.DUMMYFUNCTION("""COMPUTED_VALUE"""),"นาย")</f>
        <v>นาย</v>
      </c>
      <c r="G1098" t="str">
        <f>IFERROR(__xludf.DUMMYFUNCTION("""COMPUTED_VALUE"""),"วันปิยะ")</f>
        <v>วันปิยะ</v>
      </c>
      <c r="H1098" t="str">
        <f>IFERROR(__xludf.DUMMYFUNCTION("""COMPUTED_VALUE"""),"แก้วยก")</f>
        <v>แก้วยก</v>
      </c>
      <c r="I1098" t="str">
        <f>IFERROR(__xludf.DUMMYFUNCTION("""COMPUTED_VALUE"""),"วันปิยะ แก้วยก")</f>
        <v>วันปิยะ แก้วยก</v>
      </c>
      <c r="J1098" t="str">
        <f>IFERROR(__xludf.DUMMYFUNCTION("""COMPUTED_VALUE"""),"ไนน์")</f>
        <v>ไนน์</v>
      </c>
      <c r="K1098" t="str">
        <f>IFERROR(__xludf.DUMMYFUNCTION("""COMPUTED_VALUE"""),"Cabin Crew")</f>
        <v>Cabin Crew</v>
      </c>
      <c r="L1098" t="str">
        <f>IFERROR(__xludf.DUMMYFUNCTION("""COMPUTED_VALUE"""),"DMK")</f>
        <v>DMK</v>
      </c>
      <c r="M1098" s="145" t="str">
        <f>IFERROR(__xludf.DUMMYFUNCTION("""COMPUTED_VALUE"""),"Toffy Home")</f>
        <v>Toffy Home</v>
      </c>
      <c r="N1098" t="str">
        <f>IFERROR(__xludf.DUMMYFUNCTION("""COMPUTED_VALUE"""),"Active")</f>
        <v>Active</v>
      </c>
      <c r="P1098" s="159">
        <f>IFERROR(__xludf.DUMMYFUNCTION("""COMPUTED_VALUE"""),34265.0)</f>
        <v>34265</v>
      </c>
      <c r="Q1098" s="146" t="str">
        <f>IFERROR(__xludf.DUMMYFUNCTION("""COMPUTED_VALUE"""),"089-659-0090")</f>
        <v>089-659-0090</v>
      </c>
      <c r="R1098" s="147">
        <f>IFERROR(__xludf.DUMMYFUNCTION("""COMPUTED_VALUE"""),1.909800762485E12)</f>
        <v>1909800762485</v>
      </c>
      <c r="S1098" t="str">
        <f>IFERROR(__xludf.DUMMYFUNCTION("""COMPUTED_VALUE"""),"AC2223037")</f>
        <v>AC2223037</v>
      </c>
      <c r="T1098" s="148">
        <f>IFERROR(__xludf.DUMMYFUNCTION("""COMPUTED_VALUE"""),44271.0)</f>
        <v>44271</v>
      </c>
      <c r="U1098" s="148">
        <f>IFERROR(__xludf.DUMMYFUNCTION("""COMPUTED_VALUE"""),47922.0)</f>
        <v>47922</v>
      </c>
      <c r="V1098" s="149">
        <f>IFERROR(__xludf.DUMMYFUNCTION("""COMPUTED_VALUE"""),47741.0)</f>
        <v>47741</v>
      </c>
      <c r="W1098" t="str">
        <f>IFERROR(__xludf.DUMMYFUNCTION("""COMPUTED_VALUE"""),"ปลอดภัย")</f>
        <v>ปลอดภัย</v>
      </c>
      <c r="X1098" t="str">
        <f>IFERROR(__xludf.DUMMYFUNCTION("""COMPUTED_VALUE"""),"Songkhla Province")</f>
        <v>Songkhla Province</v>
      </c>
      <c r="Y1098" t="str">
        <f>IFERROR(__xludf.DUMMYFUNCTION("""COMPUTED_VALUE"""),"Bangkok")</f>
        <v>Bangkok</v>
      </c>
      <c r="Z1098" s="145" t="str">
        <f>IFERROR(__xludf.DUMMYFUNCTION("""COMPUTED_VALUE"""),"089-776-4944")</f>
        <v>089-776-4944</v>
      </c>
      <c r="AA1098" t="str">
        <f>IFERROR(__xludf.DUMMYFUNCTION("""COMPUTED_VALUE"""),"นายเฉลิม แก้วยก Father")</f>
        <v>นายเฉลิม แก้วยก Father</v>
      </c>
      <c r="AB1098" t="str">
        <f>IFERROR(__xludf.DUMMYFUNCTION("""COMPUTED_VALUE"""),"wanpiyak@airasia.com")</f>
        <v>wanpiyak@airasia.com</v>
      </c>
    </row>
    <row r="1099">
      <c r="A1099">
        <f>IFERROR(__xludf.DUMMYFUNCTION("""COMPUTED_VALUE"""),1007306.0)</f>
        <v>1007306</v>
      </c>
      <c r="B1099" t="str">
        <f>IFERROR(__xludf.DUMMYFUNCTION("""COMPUTED_VALUE"""),"Ms.")</f>
        <v>Ms.</v>
      </c>
      <c r="C1099" t="str">
        <f>IFERROR(__xludf.DUMMYFUNCTION("""COMPUTED_VALUE"""),"Theevipa")</f>
        <v>Theevipa</v>
      </c>
      <c r="D1099" t="str">
        <f>IFERROR(__xludf.DUMMYFUNCTION("""COMPUTED_VALUE"""),"Thanunjirabul")</f>
        <v>Thanunjirabul</v>
      </c>
      <c r="E1099" t="str">
        <f>IFERROR(__xludf.DUMMYFUNCTION("""COMPUTED_VALUE"""),"Theevipa Thanunjirabul")</f>
        <v>Theevipa Thanunjirabul</v>
      </c>
      <c r="F1099" t="str">
        <f>IFERROR(__xludf.DUMMYFUNCTION("""COMPUTED_VALUE"""),"นางสาว")</f>
        <v>นางสาว</v>
      </c>
      <c r="G1099" t="str">
        <f>IFERROR(__xludf.DUMMYFUNCTION("""COMPUTED_VALUE"""),"ธีร์วิภา")</f>
        <v>ธีร์วิภา</v>
      </c>
      <c r="H1099" t="str">
        <f>IFERROR(__xludf.DUMMYFUNCTION("""COMPUTED_VALUE"""),"ธนันจิรบูลย์")</f>
        <v>ธนันจิรบูลย์</v>
      </c>
      <c r="I1099" t="str">
        <f>IFERROR(__xludf.DUMMYFUNCTION("""COMPUTED_VALUE"""),"ธีร์วิภา ธนันจิรบูลย์")</f>
        <v>ธีร์วิภา ธนันจิรบูลย์</v>
      </c>
      <c r="J1099" t="str">
        <f>IFERROR(__xludf.DUMMYFUNCTION("""COMPUTED_VALUE"""),"กุ๊กกิ๊ก")</f>
        <v>กุ๊กกิ๊ก</v>
      </c>
      <c r="K1099" t="str">
        <f>IFERROR(__xludf.DUMMYFUNCTION("""COMPUTED_VALUE"""),"Cabin Crew")</f>
        <v>Cabin Crew</v>
      </c>
      <c r="L1099" t="str">
        <f>IFERROR(__xludf.DUMMYFUNCTION("""COMPUTED_VALUE"""),"DMK")</f>
        <v>DMK</v>
      </c>
      <c r="M1099" s="145" t="str">
        <f>IFERROR(__xludf.DUMMYFUNCTION("""COMPUTED_VALUE"""),"Por+ Home")</f>
        <v>Por+ Home</v>
      </c>
      <c r="N1099" t="str">
        <f>IFERROR(__xludf.DUMMYFUNCTION("""COMPUTED_VALUE"""),"Active")</f>
        <v>Active</v>
      </c>
      <c r="P1099" s="159">
        <f>IFERROR(__xludf.DUMMYFUNCTION("""COMPUTED_VALUE"""),32467.0)</f>
        <v>32467</v>
      </c>
      <c r="Q1099" s="146" t="str">
        <f>IFERROR(__xludf.DUMMYFUNCTION("""COMPUTED_VALUE"""),"083-245-5559")</f>
        <v>083-245-5559</v>
      </c>
      <c r="R1099" s="147">
        <f>IFERROR(__xludf.DUMMYFUNCTION("""COMPUTED_VALUE"""),1.100400363639E12)</f>
        <v>1100400363639</v>
      </c>
      <c r="S1099" t="str">
        <f>IFERROR(__xludf.DUMMYFUNCTION("""COMPUTED_VALUE"""),"AC4030854")</f>
        <v>AC4030854</v>
      </c>
      <c r="T1099" s="148">
        <f>IFERROR(__xludf.DUMMYFUNCTION("""COMPUTED_VALUE"""),44817.0)</f>
        <v>44817</v>
      </c>
      <c r="U1099" s="148">
        <f>IFERROR(__xludf.DUMMYFUNCTION("""COMPUTED_VALUE"""),48469.0)</f>
        <v>48469</v>
      </c>
      <c r="V1099" s="149">
        <f>IFERROR(__xludf.DUMMYFUNCTION("""COMPUTED_VALUE"""),48285.0)</f>
        <v>48285</v>
      </c>
      <c r="W1099" t="str">
        <f>IFERROR(__xludf.DUMMYFUNCTION("""COMPUTED_VALUE"""),"ปลอดภัย")</f>
        <v>ปลอดภัย</v>
      </c>
      <c r="X1099" t="str">
        <f>IFERROR(__xludf.DUMMYFUNCTION("""COMPUTED_VALUE"""),"Bangkok")</f>
        <v>Bangkok</v>
      </c>
      <c r="Y1099" t="str">
        <f>IFERROR(__xludf.DUMMYFUNCTION("""COMPUTED_VALUE"""),"Bangkok")</f>
        <v>Bangkok</v>
      </c>
      <c r="Z1099" s="145" t="str">
        <f>IFERROR(__xludf.DUMMYFUNCTION("""COMPUTED_VALUE"""),"091-552-8987")</f>
        <v>091-552-8987</v>
      </c>
      <c r="AA1099" t="str">
        <f>IFERROR(__xludf.DUMMYFUNCTION("""COMPUTED_VALUE"""),"นายชินวัฒน์ หิรัญชัย Friend")</f>
        <v>นายชินวัฒน์ หิรัญชัย Friend</v>
      </c>
      <c r="AB1099" t="str">
        <f>IFERROR(__xludf.DUMMYFUNCTION("""COMPUTED_VALUE"""),"theevipat@airasia.com")</f>
        <v>theevipat@airasia.com</v>
      </c>
    </row>
    <row r="1100">
      <c r="A1100">
        <f>IFERROR(__xludf.DUMMYFUNCTION("""COMPUTED_VALUE"""),1008424.0)</f>
        <v>1008424</v>
      </c>
      <c r="B1100" t="str">
        <f>IFERROR(__xludf.DUMMYFUNCTION("""COMPUTED_VALUE"""),"Ms.")</f>
        <v>Ms.</v>
      </c>
      <c r="C1100" t="str">
        <f>IFERROR(__xludf.DUMMYFUNCTION("""COMPUTED_VALUE"""),"Sudsaiparn")</f>
        <v>Sudsaiparn</v>
      </c>
      <c r="D1100" t="str">
        <f>IFERROR(__xludf.DUMMYFUNCTION("""COMPUTED_VALUE"""),"Sasiwannapong")</f>
        <v>Sasiwannapong</v>
      </c>
      <c r="E1100" t="str">
        <f>IFERROR(__xludf.DUMMYFUNCTION("""COMPUTED_VALUE"""),"Sudsaiparn Sasiwannapong")</f>
        <v>Sudsaiparn Sasiwannapong</v>
      </c>
      <c r="F1100" t="str">
        <f>IFERROR(__xludf.DUMMYFUNCTION("""COMPUTED_VALUE"""),"นางสาว")</f>
        <v>นางสาว</v>
      </c>
      <c r="G1100" t="str">
        <f>IFERROR(__xludf.DUMMYFUNCTION("""COMPUTED_VALUE"""),"สุดสายป่าน")</f>
        <v>สุดสายป่าน</v>
      </c>
      <c r="H1100" t="str">
        <f>IFERROR(__xludf.DUMMYFUNCTION("""COMPUTED_VALUE"""),"ศศิวรรณพงศ์")</f>
        <v>ศศิวรรณพงศ์</v>
      </c>
      <c r="I1100" t="str">
        <f>IFERROR(__xludf.DUMMYFUNCTION("""COMPUTED_VALUE"""),"สุดสายป่าน ศศิวรรณพงศ์")</f>
        <v>สุดสายป่าน ศศิวรรณพงศ์</v>
      </c>
      <c r="J1100" t="str">
        <f>IFERROR(__xludf.DUMMYFUNCTION("""COMPUTED_VALUE"""),"สายป่าน")</f>
        <v>สายป่าน</v>
      </c>
      <c r="K1100" t="str">
        <f>IFERROR(__xludf.DUMMYFUNCTION("""COMPUTED_VALUE"""),"Cabin Crew - CNX")</f>
        <v>Cabin Crew - CNX</v>
      </c>
      <c r="L1100" t="str">
        <f>IFERROR(__xludf.DUMMYFUNCTION("""COMPUTED_VALUE"""),"CNX")</f>
        <v>CNX</v>
      </c>
      <c r="M1100" s="145" t="str">
        <f>IFERROR(__xludf.DUMMYFUNCTION("""COMPUTED_VALUE"""),"Up Home")</f>
        <v>Up Home</v>
      </c>
      <c r="N1100" t="str">
        <f>IFERROR(__xludf.DUMMYFUNCTION("""COMPUTED_VALUE"""),"Active/V/DMK")</f>
        <v>Active/V/DMK</v>
      </c>
      <c r="P1100" s="159">
        <f>IFERROR(__xludf.DUMMYFUNCTION("""COMPUTED_VALUE"""),33383.0)</f>
        <v>33383</v>
      </c>
      <c r="Q1100" s="146" t="str">
        <f>IFERROR(__xludf.DUMMYFUNCTION("""COMPUTED_VALUE"""),"082-563-9259")</f>
        <v>082-563-9259</v>
      </c>
      <c r="R1100" s="147">
        <f>IFERROR(__xludf.DUMMYFUNCTION("""COMPUTED_VALUE"""),1.509901012884E12)</f>
        <v>1509901012884</v>
      </c>
      <c r="S1100" t="str">
        <f>IFERROR(__xludf.DUMMYFUNCTION("""COMPUTED_VALUE"""),"AC2314658")</f>
        <v>AC2314658</v>
      </c>
      <c r="T1100" s="148">
        <f>IFERROR(__xludf.DUMMYFUNCTION("""COMPUTED_VALUE"""),44362.0)</f>
        <v>44362</v>
      </c>
      <c r="U1100" s="148">
        <f>IFERROR(__xludf.DUMMYFUNCTION("""COMPUTED_VALUE"""),48013.0)</f>
        <v>48013</v>
      </c>
      <c r="V1100" s="149">
        <f>IFERROR(__xludf.DUMMYFUNCTION("""COMPUTED_VALUE"""),47831.0)</f>
        <v>47831</v>
      </c>
      <c r="W1100" t="str">
        <f>IFERROR(__xludf.DUMMYFUNCTION("""COMPUTED_VALUE"""),"ปลอดภัย")</f>
        <v>ปลอดภัย</v>
      </c>
      <c r="X1100" t="str">
        <f>IFERROR(__xludf.DUMMYFUNCTION("""COMPUTED_VALUE"""),"Chiang Mai Province")</f>
        <v>Chiang Mai Province</v>
      </c>
      <c r="Y1100" t="str">
        <f>IFERROR(__xludf.DUMMYFUNCTION("""COMPUTED_VALUE"""),"Bangkok")</f>
        <v>Bangkok</v>
      </c>
      <c r="Z1100" s="145" t="str">
        <f>IFERROR(__xludf.DUMMYFUNCTION("""COMPUTED_VALUE"""),"081-881-4151")</f>
        <v>081-881-4151</v>
      </c>
      <c r="AA1100" t="str">
        <f>IFERROR(__xludf.DUMMYFUNCTION("""COMPUTED_VALUE"""),"นาง ยุพรัตน์ ศศิวรรณพงศ์ Mother")</f>
        <v>นาง ยุพรัตน์ ศศิวรรณพงศ์ Mother</v>
      </c>
      <c r="AB1100" t="str">
        <f>IFERROR(__xludf.DUMMYFUNCTION("""COMPUTED_VALUE"""),"sudsaiparns@airasia.com")</f>
        <v>sudsaiparns@airasia.com</v>
      </c>
    </row>
    <row r="1101">
      <c r="A1101">
        <f>IFERROR(__xludf.DUMMYFUNCTION("""COMPUTED_VALUE"""),1012554.0)</f>
        <v>1012554</v>
      </c>
      <c r="B1101" t="str">
        <f>IFERROR(__xludf.DUMMYFUNCTION("""COMPUTED_VALUE"""),"Mr.")</f>
        <v>Mr.</v>
      </c>
      <c r="C1101" t="str">
        <f>IFERROR(__xludf.DUMMYFUNCTION("""COMPUTED_VALUE"""),"Bhuriwat")</f>
        <v>Bhuriwat</v>
      </c>
      <c r="D1101" t="str">
        <f>IFERROR(__xludf.DUMMYFUNCTION("""COMPUTED_VALUE"""),"Udomphol")</f>
        <v>Udomphol</v>
      </c>
      <c r="E1101" t="str">
        <f>IFERROR(__xludf.DUMMYFUNCTION("""COMPUTED_VALUE"""),"Bhuriwat Udomphol")</f>
        <v>Bhuriwat Udomphol</v>
      </c>
      <c r="F1101" t="str">
        <f>IFERROR(__xludf.DUMMYFUNCTION("""COMPUTED_VALUE"""),"นาย")</f>
        <v>นาย</v>
      </c>
      <c r="G1101" t="str">
        <f>IFERROR(__xludf.DUMMYFUNCTION("""COMPUTED_VALUE"""),"ภูริวัชร์")</f>
        <v>ภูริวัชร์</v>
      </c>
      <c r="H1101" t="str">
        <f>IFERROR(__xludf.DUMMYFUNCTION("""COMPUTED_VALUE"""),"อุดมผล")</f>
        <v>อุดมผล</v>
      </c>
      <c r="I1101" t="str">
        <f>IFERROR(__xludf.DUMMYFUNCTION("""COMPUTED_VALUE"""),"ภูริวัชร์ อุดมผล")</f>
        <v>ภูริวัชร์ อุดมผล</v>
      </c>
      <c r="J1101" t="str">
        <f>IFERROR(__xludf.DUMMYFUNCTION("""COMPUTED_VALUE"""),"max / แม๊กซ์")</f>
        <v>max / แม๊กซ์</v>
      </c>
      <c r="K1101" t="str">
        <f>IFERROR(__xludf.DUMMYFUNCTION("""COMPUTED_VALUE"""),"Cabin Crew")</f>
        <v>Cabin Crew</v>
      </c>
      <c r="L1101" t="str">
        <f>IFERROR(__xludf.DUMMYFUNCTION("""COMPUTED_VALUE"""),"DMK")</f>
        <v>DMK</v>
      </c>
      <c r="M1101" s="145" t="str">
        <f>IFERROR(__xludf.DUMMYFUNCTION("""COMPUTED_VALUE"""),"Um Home")</f>
        <v>Um Home</v>
      </c>
      <c r="N1101" t="str">
        <f>IFERROR(__xludf.DUMMYFUNCTION("""COMPUTED_VALUE"""),"Active")</f>
        <v>Active</v>
      </c>
      <c r="P1101" s="159">
        <f>IFERROR(__xludf.DUMMYFUNCTION("""COMPUTED_VALUE"""),33143.0)</f>
        <v>33143</v>
      </c>
      <c r="Q1101" s="146">
        <f>IFERROR(__xludf.DUMMYFUNCTION("""COMPUTED_VALUE"""),8.92233909E8)</f>
        <v>892233909</v>
      </c>
      <c r="R1101" s="147">
        <f>IFERROR(__xludf.DUMMYFUNCTION("""COMPUTED_VALUE"""),1.309900620661E12)</f>
        <v>1309900620661</v>
      </c>
      <c r="S1101" t="str">
        <f>IFERROR(__xludf.DUMMYFUNCTION("""COMPUTED_VALUE"""),"AC3158709")</f>
        <v>AC3158709</v>
      </c>
      <c r="T1101" s="148">
        <f>IFERROR(__xludf.DUMMYFUNCTION("""COMPUTED_VALUE"""),44700.0)</f>
        <v>44700</v>
      </c>
      <c r="U1101" s="148">
        <f>IFERROR(__xludf.DUMMYFUNCTION("""COMPUTED_VALUE"""),48352.0)</f>
        <v>48352</v>
      </c>
      <c r="V1101" s="149">
        <f>IFERROR(__xludf.DUMMYFUNCTION("""COMPUTED_VALUE"""),48170.0)</f>
        <v>48170</v>
      </c>
      <c r="W1101" t="str">
        <f>IFERROR(__xludf.DUMMYFUNCTION("""COMPUTED_VALUE"""),"ปลอดภัย")</f>
        <v>ปลอดภัย</v>
      </c>
      <c r="X1101" t="str">
        <f>IFERROR(__xludf.DUMMYFUNCTION("""COMPUTED_VALUE"""),"Nakhon Ratchasima Province")</f>
        <v>Nakhon Ratchasima Province</v>
      </c>
      <c r="Y1101" t="str">
        <f>IFERROR(__xludf.DUMMYFUNCTION("""COMPUTED_VALUE"""),"Bangkok")</f>
        <v>Bangkok</v>
      </c>
      <c r="Z1101" s="145" t="str">
        <f>IFERROR(__xludf.DUMMYFUNCTION("""COMPUTED_VALUE"""),"0862451933")</f>
        <v>0862451933</v>
      </c>
      <c r="AA1101" t="str">
        <f>IFERROR(__xludf.DUMMYFUNCTION("""COMPUTED_VALUE"""),"นางกฤษณี อุดมผล Mother")</f>
        <v>นางกฤษณี อุดมผล Mother</v>
      </c>
      <c r="AB1101" t="str">
        <f>IFERROR(__xludf.DUMMYFUNCTION("""COMPUTED_VALUE"""),"bhuriwatu@airasia.com")</f>
        <v>bhuriwatu@airasia.com</v>
      </c>
    </row>
    <row r="1102">
      <c r="A1102">
        <f>IFERROR(__xludf.DUMMYFUNCTION("""COMPUTED_VALUE"""),1017975.0)</f>
        <v>1017975</v>
      </c>
      <c r="B1102" t="str">
        <f>IFERROR(__xludf.DUMMYFUNCTION("""COMPUTED_VALUE"""),"Ms.")</f>
        <v>Ms.</v>
      </c>
      <c r="C1102" t="str">
        <f>IFERROR(__xludf.DUMMYFUNCTION("""COMPUTED_VALUE"""),"Nilin")</f>
        <v>Nilin</v>
      </c>
      <c r="D1102" t="str">
        <f>IFERROR(__xludf.DUMMYFUNCTION("""COMPUTED_VALUE"""),"Ngampuak")</f>
        <v>Ngampuak</v>
      </c>
      <c r="E1102" t="str">
        <f>IFERROR(__xludf.DUMMYFUNCTION("""COMPUTED_VALUE"""),"Nilin Ngampuak")</f>
        <v>Nilin Ngampuak</v>
      </c>
      <c r="F1102" t="str">
        <f>IFERROR(__xludf.DUMMYFUNCTION("""COMPUTED_VALUE"""),"นางสาว")</f>
        <v>นางสาว</v>
      </c>
      <c r="G1102" t="str">
        <f>IFERROR(__xludf.DUMMYFUNCTION("""COMPUTED_VALUE"""),"นิลิน")</f>
        <v>นิลิน</v>
      </c>
      <c r="H1102" t="str">
        <f>IFERROR(__xludf.DUMMYFUNCTION("""COMPUTED_VALUE"""),"งามเผือก")</f>
        <v>งามเผือก</v>
      </c>
      <c r="I1102" t="str">
        <f>IFERROR(__xludf.DUMMYFUNCTION("""COMPUTED_VALUE"""),"นิลิน งามเผือก")</f>
        <v>นิลิน งามเผือก</v>
      </c>
      <c r="J1102" t="str">
        <f>IFERROR(__xludf.DUMMYFUNCTION("""COMPUTED_VALUE"""),"New/นิว")</f>
        <v>New/นิว</v>
      </c>
      <c r="K1102" t="str">
        <f>IFERROR(__xludf.DUMMYFUNCTION("""COMPUTED_VALUE"""),"Cabin Crew")</f>
        <v>Cabin Crew</v>
      </c>
      <c r="L1102" t="str">
        <f>IFERROR(__xludf.DUMMYFUNCTION("""COMPUTED_VALUE"""),"DMK")</f>
        <v>DMK</v>
      </c>
      <c r="M1102" s="145" t="str">
        <f>IFERROR(__xludf.DUMMYFUNCTION("""COMPUTED_VALUE"""),"Por+ Home")</f>
        <v>Por+ Home</v>
      </c>
      <c r="N1102" t="str">
        <f>IFERROR(__xludf.DUMMYFUNCTION("""COMPUTED_VALUE"""),"Active")</f>
        <v>Active</v>
      </c>
      <c r="P1102" s="159">
        <f>IFERROR(__xludf.DUMMYFUNCTION("""COMPUTED_VALUE"""),34333.0)</f>
        <v>34333</v>
      </c>
      <c r="Q1102" s="146">
        <f>IFERROR(__xludf.DUMMYFUNCTION("""COMPUTED_VALUE"""),9.76942424E8)</f>
        <v>976942424</v>
      </c>
      <c r="R1102" s="147">
        <f>IFERROR(__xludf.DUMMYFUNCTION("""COMPUTED_VALUE"""),1.759900244241E12)</f>
        <v>1759900244241</v>
      </c>
      <c r="S1102" t="str">
        <f>IFERROR(__xludf.DUMMYFUNCTION("""COMPUTED_VALUE"""),"AC3215769")</f>
        <v>AC3215769</v>
      </c>
      <c r="T1102" s="148">
        <f>IFERROR(__xludf.DUMMYFUNCTION("""COMPUTED_VALUE"""),44707.0)</f>
        <v>44707</v>
      </c>
      <c r="U1102" s="148">
        <f>IFERROR(__xludf.DUMMYFUNCTION("""COMPUTED_VALUE"""),48359.0)</f>
        <v>48359</v>
      </c>
      <c r="V1102" s="149">
        <f>IFERROR(__xludf.DUMMYFUNCTION("""COMPUTED_VALUE"""),48177.0)</f>
        <v>48177</v>
      </c>
      <c r="W1102" t="str">
        <f>IFERROR(__xludf.DUMMYFUNCTION("""COMPUTED_VALUE"""),"ปลอดภัย")</f>
        <v>ปลอดภัย</v>
      </c>
      <c r="X1102" t="str">
        <f>IFERROR(__xludf.DUMMYFUNCTION("""COMPUTED_VALUE"""),"Samut Songkhram Province")</f>
        <v>Samut Songkhram Province</v>
      </c>
      <c r="Y1102" t="str">
        <f>IFERROR(__xludf.DUMMYFUNCTION("""COMPUTED_VALUE"""),"PATHUMTANI")</f>
        <v>PATHUMTANI</v>
      </c>
      <c r="Z1102" s="145" t="str">
        <f>IFERROR(__xludf.DUMMYFUNCTION("""COMPUTED_VALUE"""),"0626546646")</f>
        <v>0626546646</v>
      </c>
      <c r="AA1102" t="str">
        <f>IFERROR(__xludf.DUMMYFUNCTION("""COMPUTED_VALUE"""),"นายธนดล ฤกษ์ดี Friend")</f>
        <v>นายธนดล ฤกษ์ดี Friend</v>
      </c>
      <c r="AB1102" t="str">
        <f>IFERROR(__xludf.DUMMYFUNCTION("""COMPUTED_VALUE"""),"nilinn@airasia.com")</f>
        <v>nilinn@airasia.com</v>
      </c>
    </row>
    <row r="1103">
      <c r="A1103">
        <f>IFERROR(__xludf.DUMMYFUNCTION("""COMPUTED_VALUE"""),1024269.0)</f>
        <v>1024269</v>
      </c>
      <c r="B1103" t="str">
        <f>IFERROR(__xludf.DUMMYFUNCTION("""COMPUTED_VALUE"""),"Ms.")</f>
        <v>Ms.</v>
      </c>
      <c r="C1103" t="str">
        <f>IFERROR(__xludf.DUMMYFUNCTION("""COMPUTED_VALUE"""),"Amarita")</f>
        <v>Amarita</v>
      </c>
      <c r="D1103" t="str">
        <f>IFERROR(__xludf.DUMMYFUNCTION("""COMPUTED_VALUE"""),"Haithuk")</f>
        <v>Haithuk</v>
      </c>
      <c r="E1103" t="str">
        <f>IFERROR(__xludf.DUMMYFUNCTION("""COMPUTED_VALUE"""),"Amarita Haithuk")</f>
        <v>Amarita Haithuk</v>
      </c>
      <c r="F1103" t="str">
        <f>IFERROR(__xludf.DUMMYFUNCTION("""COMPUTED_VALUE"""),"นางสาว")</f>
        <v>นางสาว</v>
      </c>
      <c r="G1103" t="str">
        <f>IFERROR(__xludf.DUMMYFUNCTION("""COMPUTED_VALUE"""),"อมฤตา")</f>
        <v>อมฤตา</v>
      </c>
      <c r="H1103" t="str">
        <f>IFERROR(__xludf.DUMMYFUNCTION("""COMPUTED_VALUE"""),"หายทุกข์")</f>
        <v>หายทุกข์</v>
      </c>
      <c r="I1103" t="str">
        <f>IFERROR(__xludf.DUMMYFUNCTION("""COMPUTED_VALUE"""),"อมฤตา หายทุกข์")</f>
        <v>อมฤตา หายทุกข์</v>
      </c>
      <c r="J1103" t="str">
        <f>IFERROR(__xludf.DUMMYFUNCTION("""COMPUTED_VALUE"""),"ปอย")</f>
        <v>ปอย</v>
      </c>
      <c r="K1103" t="str">
        <f>IFERROR(__xludf.DUMMYFUNCTION("""COMPUTED_VALUE"""),"Cabin Crew - HKT")</f>
        <v>Cabin Crew - HKT</v>
      </c>
      <c r="L1103" t="str">
        <f>IFERROR(__xludf.DUMMYFUNCTION("""COMPUTED_VALUE"""),"HKT")</f>
        <v>HKT</v>
      </c>
      <c r="M1103" s="145" t="str">
        <f>IFERROR(__xludf.DUMMYFUNCTION("""COMPUTED_VALUE"""),"Kor Home")</f>
        <v>Kor Home</v>
      </c>
      <c r="N1103" t="str">
        <f>IFERROR(__xludf.DUMMYFUNCTION("""COMPUTED_VALUE"""),"V/LWP")</f>
        <v>V/LWP</v>
      </c>
      <c r="P1103" s="159">
        <f>IFERROR(__xludf.DUMMYFUNCTION("""COMPUTED_VALUE"""),34882.0)</f>
        <v>34882</v>
      </c>
      <c r="Q1103" s="146">
        <f>IFERROR(__xludf.DUMMYFUNCTION("""COMPUTED_VALUE"""),9.52763236E8)</f>
        <v>952763236</v>
      </c>
      <c r="R1103" s="147">
        <f>IFERROR(__xludf.DUMMYFUNCTION("""COMPUTED_VALUE"""),1.839900383363E12)</f>
        <v>1839900383363</v>
      </c>
      <c r="S1103" t="str">
        <f>IFERROR(__xludf.DUMMYFUNCTION("""COMPUTED_VALUE"""),"AC6833152")</f>
        <v>AC6833152</v>
      </c>
      <c r="T1103" s="148">
        <f>IFERROR(__xludf.DUMMYFUNCTION("""COMPUTED_VALUE"""),45447.0)</f>
        <v>45447</v>
      </c>
      <c r="U1103" s="148">
        <f>IFERROR(__xludf.DUMMYFUNCTION("""COMPUTED_VALUE"""),49098.0)</f>
        <v>49098</v>
      </c>
      <c r="V1103" s="149">
        <f>IFERROR(__xludf.DUMMYFUNCTION("""COMPUTED_VALUE"""),48916.0)</f>
        <v>48916</v>
      </c>
      <c r="W1103" t="str">
        <f>IFERROR(__xludf.DUMMYFUNCTION("""COMPUTED_VALUE"""),"ปลอดภัย")</f>
        <v>ปลอดภัย</v>
      </c>
      <c r="X1103" t="str">
        <f>IFERROR(__xludf.DUMMYFUNCTION("""COMPUTED_VALUE"""),"Phuket Province")</f>
        <v>Phuket Province</v>
      </c>
      <c r="Y1103" t="str">
        <f>IFERROR(__xludf.DUMMYFUNCTION("""COMPUTED_VALUE"""),"Chaing rai")</f>
        <v>Chaing rai</v>
      </c>
      <c r="Z1103" s="145" t="str">
        <f>IFERROR(__xludf.DUMMYFUNCTION("""COMPUTED_VALUE"""),"0882519890")</f>
        <v>0882519890</v>
      </c>
      <c r="AA1103" t="str">
        <f>IFERROR(__xludf.DUMMYFUNCTION("""COMPUTED_VALUE"""),"นายรัชนันท์ เชาวน์สถาพรพงศ์ Friend")</f>
        <v>นายรัชนันท์ เชาวน์สถาพรพงศ์ Friend</v>
      </c>
      <c r="AB1103" t="str">
        <f>IFERROR(__xludf.DUMMYFUNCTION("""COMPUTED_VALUE"""),"amaritahaithuk@airasia.com")</f>
        <v>amaritahaithuk@airasia.com</v>
      </c>
    </row>
    <row r="1104">
      <c r="A1104">
        <f>IFERROR(__xludf.DUMMYFUNCTION("""COMPUTED_VALUE"""),1012680.0)</f>
        <v>1012680</v>
      </c>
      <c r="B1104" t="str">
        <f>IFERROR(__xludf.DUMMYFUNCTION("""COMPUTED_VALUE"""),"Ms.")</f>
        <v>Ms.</v>
      </c>
      <c r="C1104" t="str">
        <f>IFERROR(__xludf.DUMMYFUNCTION("""COMPUTED_VALUE"""),"Wiracha")</f>
        <v>Wiracha</v>
      </c>
      <c r="D1104" t="str">
        <f>IFERROR(__xludf.DUMMYFUNCTION("""COMPUTED_VALUE"""),"Chamsoongnern")</f>
        <v>Chamsoongnern</v>
      </c>
      <c r="E1104" t="str">
        <f>IFERROR(__xludf.DUMMYFUNCTION("""COMPUTED_VALUE"""),"Wiracha Chamsoongnern")</f>
        <v>Wiracha Chamsoongnern</v>
      </c>
      <c r="F1104" t="str">
        <f>IFERROR(__xludf.DUMMYFUNCTION("""COMPUTED_VALUE"""),"นางสาว")</f>
        <v>นางสาว</v>
      </c>
      <c r="G1104" t="str">
        <f>IFERROR(__xludf.DUMMYFUNCTION("""COMPUTED_VALUE"""),"วิรชา")</f>
        <v>วิรชา</v>
      </c>
      <c r="H1104" t="str">
        <f>IFERROR(__xludf.DUMMYFUNCTION("""COMPUTED_VALUE"""),"ฉ่ำสูงเนิน")</f>
        <v>ฉ่ำสูงเนิน</v>
      </c>
      <c r="I1104" t="str">
        <f>IFERROR(__xludf.DUMMYFUNCTION("""COMPUTED_VALUE"""),"วิรชา ฉ่ำสูงเนิน")</f>
        <v>วิรชา ฉ่ำสูงเนิน</v>
      </c>
      <c r="J1104" t="str">
        <f>IFERROR(__xludf.DUMMYFUNCTION("""COMPUTED_VALUE"""),"Beau/โบ")</f>
        <v>Beau/โบ</v>
      </c>
      <c r="K1104" t="str">
        <f>IFERROR(__xludf.DUMMYFUNCTION("""COMPUTED_VALUE"""),"Cabin Crew")</f>
        <v>Cabin Crew</v>
      </c>
      <c r="L1104" t="str">
        <f>IFERROR(__xludf.DUMMYFUNCTION("""COMPUTED_VALUE"""),"DMK")</f>
        <v>DMK</v>
      </c>
      <c r="M1104" s="145" t="str">
        <f>IFERROR(__xludf.DUMMYFUNCTION("""COMPUTED_VALUE"""),"Namfon Home")</f>
        <v>Namfon Home</v>
      </c>
      <c r="N1104" t="str">
        <f>IFERROR(__xludf.DUMMYFUNCTION("""COMPUTED_VALUE"""),"Active")</f>
        <v>Active</v>
      </c>
      <c r="P1104" s="159">
        <f>IFERROR(__xludf.DUMMYFUNCTION("""COMPUTED_VALUE"""),33223.0)</f>
        <v>33223</v>
      </c>
      <c r="Q1104" s="146" t="str">
        <f>IFERROR(__xludf.DUMMYFUNCTION("""COMPUTED_VALUE"""),"081-5405993")</f>
        <v>081-5405993</v>
      </c>
      <c r="R1104" s="147">
        <f>IFERROR(__xludf.DUMMYFUNCTION("""COMPUTED_VALUE"""),1.90980049491E12)</f>
        <v>1909800494910</v>
      </c>
      <c r="S1104" t="str">
        <f>IFERROR(__xludf.DUMMYFUNCTION("""COMPUTED_VALUE"""),"AC6767122")</f>
        <v>AC6767122</v>
      </c>
      <c r="T1104" s="148">
        <f>IFERROR(__xludf.DUMMYFUNCTION("""COMPUTED_VALUE"""),45427.0)</f>
        <v>45427</v>
      </c>
      <c r="U1104" s="148">
        <f>IFERROR(__xludf.DUMMYFUNCTION("""COMPUTED_VALUE"""),49078.0)</f>
        <v>49078</v>
      </c>
      <c r="V1104" s="149">
        <f>IFERROR(__xludf.DUMMYFUNCTION("""COMPUTED_VALUE"""),48897.0)</f>
        <v>48897</v>
      </c>
      <c r="W1104" t="str">
        <f>IFERROR(__xludf.DUMMYFUNCTION("""COMPUTED_VALUE"""),"ปลอดภัย")</f>
        <v>ปลอดภัย</v>
      </c>
      <c r="X1104" t="str">
        <f>IFERROR(__xludf.DUMMYFUNCTION("""COMPUTED_VALUE"""),"Songkhla Province")</f>
        <v>Songkhla Province</v>
      </c>
      <c r="Y1104" t="str">
        <f>IFERROR(__xludf.DUMMYFUNCTION("""COMPUTED_VALUE"""),"Bangkok")</f>
        <v>Bangkok</v>
      </c>
      <c r="Z1104" s="145" t="str">
        <f>IFERROR(__xludf.DUMMYFUNCTION("""COMPUTED_VALUE"""),"083-515-9971")</f>
        <v>083-515-9971</v>
      </c>
      <c r="AA1104" t="str">
        <f>IFERROR(__xludf.DUMMYFUNCTION("""COMPUTED_VALUE"""),"นายทิวัส ฉ่ำสูงเนิน Brother")</f>
        <v>นายทิวัส ฉ่ำสูงเนิน Brother</v>
      </c>
      <c r="AB1104" t="str">
        <f>IFERROR(__xludf.DUMMYFUNCTION("""COMPUTED_VALUE"""),"wirachac@airasia.com")</f>
        <v>wirachac@airasia.com</v>
      </c>
    </row>
    <row r="1105">
      <c r="A1105">
        <f>IFERROR(__xludf.DUMMYFUNCTION("""COMPUTED_VALUE"""),1022817.0)</f>
        <v>1022817</v>
      </c>
      <c r="B1105" t="str">
        <f>IFERROR(__xludf.DUMMYFUNCTION("""COMPUTED_VALUE"""),"Ms.")</f>
        <v>Ms.</v>
      </c>
      <c r="C1105" t="str">
        <f>IFERROR(__xludf.DUMMYFUNCTION("""COMPUTED_VALUE"""),"Paradee")</f>
        <v>Paradee</v>
      </c>
      <c r="D1105" t="str">
        <f>IFERROR(__xludf.DUMMYFUNCTION("""COMPUTED_VALUE"""),"Pupradid")</f>
        <v>Pupradid</v>
      </c>
      <c r="E1105" t="str">
        <f>IFERROR(__xludf.DUMMYFUNCTION("""COMPUTED_VALUE"""),"Paradee Pupradid")</f>
        <v>Paradee Pupradid</v>
      </c>
      <c r="F1105" t="str">
        <f>IFERROR(__xludf.DUMMYFUNCTION("""COMPUTED_VALUE"""),"นางสาว")</f>
        <v>นางสาว</v>
      </c>
      <c r="G1105" t="str">
        <f>IFERROR(__xludf.DUMMYFUNCTION("""COMPUTED_VALUE"""),"ภารดี")</f>
        <v>ภารดี</v>
      </c>
      <c r="H1105" t="str">
        <f>IFERROR(__xludf.DUMMYFUNCTION("""COMPUTED_VALUE"""),"ภู่ประดิษฐ์")</f>
        <v>ภู่ประดิษฐ์</v>
      </c>
      <c r="I1105" t="str">
        <f>IFERROR(__xludf.DUMMYFUNCTION("""COMPUTED_VALUE"""),"ภารดี ภู่ประดิษฐ์")</f>
        <v>ภารดี ภู่ประดิษฐ์</v>
      </c>
      <c r="J1105" t="str">
        <f>IFERROR(__xludf.DUMMYFUNCTION("""COMPUTED_VALUE"""),"Stamp/แสตมป์")</f>
        <v>Stamp/แสตมป์</v>
      </c>
      <c r="K1105" t="str">
        <f>IFERROR(__xludf.DUMMYFUNCTION("""COMPUTED_VALUE"""),"Cabin Crew")</f>
        <v>Cabin Crew</v>
      </c>
      <c r="L1105" t="str">
        <f>IFERROR(__xludf.DUMMYFUNCTION("""COMPUTED_VALUE"""),"DMK")</f>
        <v>DMK</v>
      </c>
      <c r="M1105" s="145" t="str">
        <f>IFERROR(__xludf.DUMMYFUNCTION("""COMPUTED_VALUE"""),"Nhui Home")</f>
        <v>Nhui Home</v>
      </c>
      <c r="N1105" t="str">
        <f>IFERROR(__xludf.DUMMYFUNCTION("""COMPUTED_VALUE"""),"Active")</f>
        <v>Active</v>
      </c>
      <c r="P1105" s="159">
        <f>IFERROR(__xludf.DUMMYFUNCTION("""COMPUTED_VALUE"""),34940.0)</f>
        <v>34940</v>
      </c>
      <c r="Q1105" s="146" t="str">
        <f>IFERROR(__xludf.DUMMYFUNCTION("""COMPUTED_VALUE"""),"092-278-2885")</f>
        <v>092-278-2885</v>
      </c>
      <c r="R1105" s="147">
        <f>IFERROR(__xludf.DUMMYFUNCTION("""COMPUTED_VALUE"""),1.100501229113E12)</f>
        <v>1100501229113</v>
      </c>
      <c r="S1105" t="str">
        <f>IFERROR(__xludf.DUMMYFUNCTION("""COMPUTED_VALUE"""),"Ac3504969")</f>
        <v>Ac3504969</v>
      </c>
      <c r="T1105" s="148">
        <f>IFERROR(__xludf.DUMMYFUNCTION("""COMPUTED_VALUE"""),44743.0)</f>
        <v>44743</v>
      </c>
      <c r="U1105" s="148">
        <f>IFERROR(__xludf.DUMMYFUNCTION("""COMPUTED_VALUE"""),48395.0)</f>
        <v>48395</v>
      </c>
      <c r="V1105" s="149">
        <f>IFERROR(__xludf.DUMMYFUNCTION("""COMPUTED_VALUE"""),48212.0)</f>
        <v>48212</v>
      </c>
      <c r="W1105" t="str">
        <f>IFERROR(__xludf.DUMMYFUNCTION("""COMPUTED_VALUE"""),"ปลอดภัย")</f>
        <v>ปลอดภัย</v>
      </c>
      <c r="X1105" t="str">
        <f>IFERROR(__xludf.DUMMYFUNCTION("""COMPUTED_VALUE"""),"Bangkok")</f>
        <v>Bangkok</v>
      </c>
      <c r="Y1105" t="str">
        <f>IFERROR(__xludf.DUMMYFUNCTION("""COMPUTED_VALUE"""),"Bangkok")</f>
        <v>Bangkok</v>
      </c>
      <c r="Z1105" s="145" t="str">
        <f>IFERROR(__xludf.DUMMYFUNCTION("""COMPUTED_VALUE"""),"062-150-9355")</f>
        <v>062-150-9355</v>
      </c>
      <c r="AA1105" t="str">
        <f>IFERROR(__xludf.DUMMYFUNCTION("""COMPUTED_VALUE"""),"นางสาวธัญชนก สุขใจ Mother")</f>
        <v>นางสาวธัญชนก สุขใจ Mother</v>
      </c>
      <c r="AB1105" t="str">
        <f>IFERROR(__xludf.DUMMYFUNCTION("""COMPUTED_VALUE"""),"paradeepupradid@airasia.com")</f>
        <v>paradeepupradid@airasia.com</v>
      </c>
    </row>
    <row r="1106">
      <c r="A1106">
        <f>IFERROR(__xludf.DUMMYFUNCTION("""COMPUTED_VALUE"""),1021945.0)</f>
        <v>1021945</v>
      </c>
      <c r="B1106" t="str">
        <f>IFERROR(__xludf.DUMMYFUNCTION("""COMPUTED_VALUE"""),"Ms.")</f>
        <v>Ms.</v>
      </c>
      <c r="C1106" t="str">
        <f>IFERROR(__xludf.DUMMYFUNCTION("""COMPUTED_VALUE"""),"Pornpimon")</f>
        <v>Pornpimon</v>
      </c>
      <c r="D1106" t="str">
        <f>IFERROR(__xludf.DUMMYFUNCTION("""COMPUTED_VALUE"""),"Sakulpan")</f>
        <v>Sakulpan</v>
      </c>
      <c r="E1106" t="str">
        <f>IFERROR(__xludf.DUMMYFUNCTION("""COMPUTED_VALUE"""),"Pornpimon Sakulpan")</f>
        <v>Pornpimon Sakulpan</v>
      </c>
      <c r="F1106" t="str">
        <f>IFERROR(__xludf.DUMMYFUNCTION("""COMPUTED_VALUE"""),"นางสาว")</f>
        <v>นางสาว</v>
      </c>
      <c r="G1106" t="str">
        <f>IFERROR(__xludf.DUMMYFUNCTION("""COMPUTED_VALUE"""),"พรพิมล")</f>
        <v>พรพิมล</v>
      </c>
      <c r="H1106" t="str">
        <f>IFERROR(__xludf.DUMMYFUNCTION("""COMPUTED_VALUE"""),"สกุลพันธ์ุ")</f>
        <v>สกุลพันธ์ุ</v>
      </c>
      <c r="I1106" t="str">
        <f>IFERROR(__xludf.DUMMYFUNCTION("""COMPUTED_VALUE"""),"พรพิมล สกุลพันธ์ุ")</f>
        <v>พรพิมล สกุลพันธ์ุ</v>
      </c>
      <c r="J1106" t="str">
        <f>IFERROR(__xludf.DUMMYFUNCTION("""COMPUTED_VALUE"""),"Pond/พร")</f>
        <v>Pond/พร</v>
      </c>
      <c r="K1106" t="str">
        <f>IFERROR(__xludf.DUMMYFUNCTION("""COMPUTED_VALUE"""),"Cabin Crew")</f>
        <v>Cabin Crew</v>
      </c>
      <c r="L1106" t="str">
        <f>IFERROR(__xludf.DUMMYFUNCTION("""COMPUTED_VALUE"""),"DMK")</f>
        <v>DMK</v>
      </c>
      <c r="M1106" s="145" t="str">
        <f>IFERROR(__xludf.DUMMYFUNCTION("""COMPUTED_VALUE"""),"Kor Home")</f>
        <v>Kor Home</v>
      </c>
      <c r="N1106" t="str">
        <f>IFERROR(__xludf.DUMMYFUNCTION("""COMPUTED_VALUE"""),"Active")</f>
        <v>Active</v>
      </c>
      <c r="P1106" s="159">
        <f>IFERROR(__xludf.DUMMYFUNCTION("""COMPUTED_VALUE"""),33743.0)</f>
        <v>33743</v>
      </c>
      <c r="Q1106" s="146" t="str">
        <f>IFERROR(__xludf.DUMMYFUNCTION("""COMPUTED_VALUE"""),"080-092-6626")</f>
        <v>080-092-6626</v>
      </c>
      <c r="R1106" s="147">
        <f>IFERROR(__xludf.DUMMYFUNCTION("""COMPUTED_VALUE"""),1.20010040682E12)</f>
        <v>1200100406820</v>
      </c>
      <c r="S1106" t="str">
        <f>IFERROR(__xludf.DUMMYFUNCTION("""COMPUTED_VALUE"""),"AD0268594")</f>
        <v>AD0268594</v>
      </c>
      <c r="T1106" s="148">
        <f>IFERROR(__xludf.DUMMYFUNCTION("""COMPUTED_VALUE"""),44865.0)</f>
        <v>44865</v>
      </c>
      <c r="U1106" s="148">
        <f>IFERROR(__xludf.DUMMYFUNCTION("""COMPUTED_VALUE"""),48517.0)</f>
        <v>48517</v>
      </c>
      <c r="V1106" s="149">
        <f>IFERROR(__xludf.DUMMYFUNCTION("""COMPUTED_VALUE"""),48334.0)</f>
        <v>48334</v>
      </c>
      <c r="W1106" t="str">
        <f>IFERROR(__xludf.DUMMYFUNCTION("""COMPUTED_VALUE"""),"ปลอดภัย")</f>
        <v>ปลอดภัย</v>
      </c>
      <c r="X1106" t="str">
        <f>IFERROR(__xludf.DUMMYFUNCTION("""COMPUTED_VALUE"""),"Chonburi Province")</f>
        <v>Chonburi Province</v>
      </c>
      <c r="Y1106" t="str">
        <f>IFERROR(__xludf.DUMMYFUNCTION("""COMPUTED_VALUE"""),"Chonburi")</f>
        <v>Chonburi</v>
      </c>
      <c r="Z1106" s="145" t="str">
        <f>IFERROR(__xludf.DUMMYFUNCTION("""COMPUTED_VALUE"""),"062-407-8299")</f>
        <v>062-407-8299</v>
      </c>
      <c r="AA1106" t="str">
        <f>IFERROR(__xludf.DUMMYFUNCTION("""COMPUTED_VALUE"""),"นางพจนีย์ สกุลพันธุ์ Mother")</f>
        <v>นางพจนีย์ สกุลพันธุ์ Mother</v>
      </c>
      <c r="AB1106" t="str">
        <f>IFERROR(__xludf.DUMMYFUNCTION("""COMPUTED_VALUE"""),"pornpimons@airasia.com")</f>
        <v>pornpimons@airasia.com</v>
      </c>
    </row>
    <row r="1107">
      <c r="A1107">
        <f>IFERROR(__xludf.DUMMYFUNCTION("""COMPUTED_VALUE"""),1014778.0)</f>
        <v>1014778</v>
      </c>
      <c r="B1107" t="str">
        <f>IFERROR(__xludf.DUMMYFUNCTION("""COMPUTED_VALUE"""),"Ms.")</f>
        <v>Ms.</v>
      </c>
      <c r="C1107" t="str">
        <f>IFERROR(__xludf.DUMMYFUNCTION("""COMPUTED_VALUE"""),"Parita")</f>
        <v>Parita</v>
      </c>
      <c r="D1107" t="str">
        <f>IFERROR(__xludf.DUMMYFUNCTION("""COMPUTED_VALUE"""),"Sutinanopas")</f>
        <v>Sutinanopas</v>
      </c>
      <c r="E1107" t="str">
        <f>IFERROR(__xludf.DUMMYFUNCTION("""COMPUTED_VALUE"""),"Parita Sutinanopas")</f>
        <v>Parita Sutinanopas</v>
      </c>
      <c r="F1107" t="str">
        <f>IFERROR(__xludf.DUMMYFUNCTION("""COMPUTED_VALUE"""),"นางสาว")</f>
        <v>นางสาว</v>
      </c>
      <c r="G1107" t="str">
        <f>IFERROR(__xludf.DUMMYFUNCTION("""COMPUTED_VALUE"""),"ปาริตา")</f>
        <v>ปาริตา</v>
      </c>
      <c r="H1107" t="str">
        <f>IFERROR(__xludf.DUMMYFUNCTION("""COMPUTED_VALUE"""),"สูตินันท์โอภาส")</f>
        <v>สูตินันท์โอภาส</v>
      </c>
      <c r="I1107" t="str">
        <f>IFERROR(__xludf.DUMMYFUNCTION("""COMPUTED_VALUE"""),"ปาริตา สูตินันท์โอภาส")</f>
        <v>ปาริตา สูตินันท์โอภาส</v>
      </c>
      <c r="J1107" t="str">
        <f>IFERROR(__xludf.DUMMYFUNCTION("""COMPUTED_VALUE"""),"แบ๋ม")</f>
        <v>แบ๋ม</v>
      </c>
      <c r="K1107" t="str">
        <f>IFERROR(__xludf.DUMMYFUNCTION("""COMPUTED_VALUE"""),"Cabin Crew")</f>
        <v>Cabin Crew</v>
      </c>
      <c r="L1107" t="str">
        <f>IFERROR(__xludf.DUMMYFUNCTION("""COMPUTED_VALUE"""),"DMK")</f>
        <v>DMK</v>
      </c>
      <c r="M1107" s="145" t="str">
        <f>IFERROR(__xludf.DUMMYFUNCTION("""COMPUTED_VALUE"""),"Toffy Home")</f>
        <v>Toffy Home</v>
      </c>
      <c r="N1107" t="str">
        <f>IFERROR(__xludf.DUMMYFUNCTION("""COMPUTED_VALUE"""),"Active")</f>
        <v>Active</v>
      </c>
      <c r="P1107" s="159">
        <f>IFERROR(__xludf.DUMMYFUNCTION("""COMPUTED_VALUE"""),33884.0)</f>
        <v>33884</v>
      </c>
      <c r="Q1107" s="146" t="str">
        <f>IFERROR(__xludf.DUMMYFUNCTION("""COMPUTED_VALUE"""),"095-662-2282")</f>
        <v>095-662-2282</v>
      </c>
      <c r="R1107" s="147">
        <f>IFERROR(__xludf.DUMMYFUNCTION("""COMPUTED_VALUE"""),1.469900212121E12)</f>
        <v>1469900212121</v>
      </c>
      <c r="S1107" t="str">
        <f>IFERROR(__xludf.DUMMYFUNCTION("""COMPUTED_VALUE"""),"AC6152607")</f>
        <v>AC6152607</v>
      </c>
      <c r="T1107" s="148">
        <f>IFERROR(__xludf.DUMMYFUNCTION("""COMPUTED_VALUE"""),45262.0)</f>
        <v>45262</v>
      </c>
      <c r="U1107" s="148">
        <f>IFERROR(__xludf.DUMMYFUNCTION("""COMPUTED_VALUE"""),48914.0)</f>
        <v>48914</v>
      </c>
      <c r="V1107" s="149">
        <f>IFERROR(__xludf.DUMMYFUNCTION("""COMPUTED_VALUE"""),48731.0)</f>
        <v>48731</v>
      </c>
      <c r="W1107" t="str">
        <f>IFERROR(__xludf.DUMMYFUNCTION("""COMPUTED_VALUE"""),"ปลอดภัย")</f>
        <v>ปลอดภัย</v>
      </c>
      <c r="X1107" t="str">
        <f>IFERROR(__xludf.DUMMYFUNCTION("""COMPUTED_VALUE"""),"Kalasin Province")</f>
        <v>Kalasin Province</v>
      </c>
      <c r="Y1107" t="str">
        <f>IFERROR(__xludf.DUMMYFUNCTION("""COMPUTED_VALUE"""),"Bangkok")</f>
        <v>Bangkok</v>
      </c>
      <c r="Z1107" s="145" t="str">
        <f>IFERROR(__xludf.DUMMYFUNCTION("""COMPUTED_VALUE"""),"062-291-6226")</f>
        <v>062-291-6226</v>
      </c>
      <c r="AA1107" t="str">
        <f>IFERROR(__xludf.DUMMYFUNCTION("""COMPUTED_VALUE"""),"นางสาวปรีชญา สูตินันท์โอภาส Sister")</f>
        <v>นางสาวปรีชญา สูตินันท์โอภาส Sister</v>
      </c>
      <c r="AB1107" t="str">
        <f>IFERROR(__xludf.DUMMYFUNCTION("""COMPUTED_VALUE"""),"paritas@airasia.com")</f>
        <v>paritas@airasia.com</v>
      </c>
    </row>
    <row r="1108">
      <c r="A1108">
        <f>IFERROR(__xludf.DUMMYFUNCTION("""COMPUTED_VALUE"""),1018553.0)</f>
        <v>1018553</v>
      </c>
      <c r="B1108" t="str">
        <f>IFERROR(__xludf.DUMMYFUNCTION("""COMPUTED_VALUE"""),"Ms.")</f>
        <v>Ms.</v>
      </c>
      <c r="C1108" t="str">
        <f>IFERROR(__xludf.DUMMYFUNCTION("""COMPUTED_VALUE"""),"Kawisara")</f>
        <v>Kawisara</v>
      </c>
      <c r="D1108" t="str">
        <f>IFERROR(__xludf.DUMMYFUNCTION("""COMPUTED_VALUE"""),"Klinkesorn")</f>
        <v>Klinkesorn</v>
      </c>
      <c r="E1108" t="str">
        <f>IFERROR(__xludf.DUMMYFUNCTION("""COMPUTED_VALUE"""),"Kawisara Klinkesorn")</f>
        <v>Kawisara Klinkesorn</v>
      </c>
      <c r="F1108" t="str">
        <f>IFERROR(__xludf.DUMMYFUNCTION("""COMPUTED_VALUE"""),"นางสาว")</f>
        <v>นางสาว</v>
      </c>
      <c r="G1108" t="str">
        <f>IFERROR(__xludf.DUMMYFUNCTION("""COMPUTED_VALUE"""),"กวิสรา")</f>
        <v>กวิสรา</v>
      </c>
      <c r="H1108" t="str">
        <f>IFERROR(__xludf.DUMMYFUNCTION("""COMPUTED_VALUE"""),"กลิ่นเกษร")</f>
        <v>กลิ่นเกษร</v>
      </c>
      <c r="I1108" t="str">
        <f>IFERROR(__xludf.DUMMYFUNCTION("""COMPUTED_VALUE"""),"กวิสรา กลิ่นเกษร")</f>
        <v>กวิสรา กลิ่นเกษร</v>
      </c>
      <c r="J1108" t="str">
        <f>IFERROR(__xludf.DUMMYFUNCTION("""COMPUTED_VALUE"""),"New / นิว")</f>
        <v>New / นิว</v>
      </c>
      <c r="K1108" t="str">
        <f>IFERROR(__xludf.DUMMYFUNCTION("""COMPUTED_VALUE"""),"Cabin Crew")</f>
        <v>Cabin Crew</v>
      </c>
      <c r="L1108" t="str">
        <f>IFERROR(__xludf.DUMMYFUNCTION("""COMPUTED_VALUE"""),"DMK")</f>
        <v>DMK</v>
      </c>
      <c r="M1108" s="145" t="str">
        <f>IFERROR(__xludf.DUMMYFUNCTION("""COMPUTED_VALUE"""),"Namfon Home")</f>
        <v>Namfon Home</v>
      </c>
      <c r="N1108" t="str">
        <f>IFERROR(__xludf.DUMMYFUNCTION("""COMPUTED_VALUE"""),"Active")</f>
        <v>Active</v>
      </c>
      <c r="P1108" s="159">
        <f>IFERROR(__xludf.DUMMYFUNCTION("""COMPUTED_VALUE"""),34843.0)</f>
        <v>34843</v>
      </c>
      <c r="Q1108" s="146" t="str">
        <f>IFERROR(__xludf.DUMMYFUNCTION("""COMPUTED_VALUE"""),"093-226-9236")</f>
        <v>093-226-9236</v>
      </c>
      <c r="R1108" s="147">
        <f>IFERROR(__xludf.DUMMYFUNCTION("""COMPUTED_VALUE"""),1.103701714778E12)</f>
        <v>1103701714778</v>
      </c>
      <c r="S1108" t="str">
        <f>IFERROR(__xludf.DUMMYFUNCTION("""COMPUTED_VALUE"""),"AC4100530")</f>
        <v>AC4100530</v>
      </c>
      <c r="T1108" s="148">
        <f>IFERROR(__xludf.DUMMYFUNCTION("""COMPUTED_VALUE"""),44840.0)</f>
        <v>44840</v>
      </c>
      <c r="U1108" s="148">
        <f>IFERROR(__xludf.DUMMYFUNCTION("""COMPUTED_VALUE"""),48492.0)</f>
        <v>48492</v>
      </c>
      <c r="V1108" s="149">
        <f>IFERROR(__xludf.DUMMYFUNCTION("""COMPUTED_VALUE"""),48309.0)</f>
        <v>48309</v>
      </c>
      <c r="W1108" t="str">
        <f>IFERROR(__xludf.DUMMYFUNCTION("""COMPUTED_VALUE"""),"ปลอดภัย")</f>
        <v>ปลอดภัย</v>
      </c>
      <c r="X1108" t="str">
        <f>IFERROR(__xludf.DUMMYFUNCTION("""COMPUTED_VALUE"""),"Bangkok")</f>
        <v>Bangkok</v>
      </c>
      <c r="Y1108" t="str">
        <f>IFERROR(__xludf.DUMMYFUNCTION("""COMPUTED_VALUE"""),"Bangkok")</f>
        <v>Bangkok</v>
      </c>
      <c r="Z1108" s="145" t="str">
        <f>IFERROR(__xludf.DUMMYFUNCTION("""COMPUTED_VALUE"""),"064-897-9790")</f>
        <v>064-897-9790</v>
      </c>
      <c r="AA1108" t="str">
        <f>IFERROR(__xludf.DUMMYFUNCTION("""COMPUTED_VALUE"""),"น.ส.รวิภา พรหมณะ Mother")</f>
        <v>น.ส.รวิภา พรหมณะ Mother</v>
      </c>
      <c r="AB1108" t="str">
        <f>IFERROR(__xludf.DUMMYFUNCTION("""COMPUTED_VALUE"""),"kawisarak@airasia.com")</f>
        <v>kawisarak@airasia.com</v>
      </c>
    </row>
    <row r="1109">
      <c r="AB1109" t="str">
        <f>IFERROR(__xludf.DUMMYFUNCTION("""COMPUTED_VALUE"""),"")</f>
        <v/>
      </c>
    </row>
    <row r="1110">
      <c r="A1110">
        <f>IFERROR(__xludf.DUMMYFUNCTION("""COMPUTED_VALUE"""),1040341.0)</f>
        <v>1040341</v>
      </c>
      <c r="B1110" t="str">
        <f>IFERROR(__xludf.DUMMYFUNCTION("""COMPUTED_VALUE"""),"Ms.")</f>
        <v>Ms.</v>
      </c>
      <c r="C1110" t="str">
        <f>IFERROR(__xludf.DUMMYFUNCTION("""COMPUTED_VALUE"""),"Adipa")</f>
        <v>Adipa</v>
      </c>
      <c r="D1110" t="str">
        <f>IFERROR(__xludf.DUMMYFUNCTION("""COMPUTED_VALUE"""),"Nilachart")</f>
        <v>Nilachart</v>
      </c>
      <c r="E1110" t="str">
        <f>IFERROR(__xludf.DUMMYFUNCTION("""COMPUTED_VALUE"""),"Adipa Nilachart")</f>
        <v>Adipa Nilachart</v>
      </c>
      <c r="F1110" t="str">
        <f>IFERROR(__xludf.DUMMYFUNCTION("""COMPUTED_VALUE"""),"นางสาว")</f>
        <v>นางสาว</v>
      </c>
      <c r="G1110" t="str">
        <f>IFERROR(__xludf.DUMMYFUNCTION("""COMPUTED_VALUE"""),"อดิภา")</f>
        <v>อดิภา</v>
      </c>
      <c r="H1110" t="str">
        <f>IFERROR(__xludf.DUMMYFUNCTION("""COMPUTED_VALUE"""),"นิลชาติ")</f>
        <v>นิลชาติ</v>
      </c>
      <c r="I1110" t="str">
        <f>IFERROR(__xludf.DUMMYFUNCTION("""COMPUTED_VALUE"""),"อดิภา นิลชาติ")</f>
        <v>อดิภา นิลชาติ</v>
      </c>
      <c r="J1110" s="145" t="str">
        <f>IFERROR(__xludf.DUMMYFUNCTION("""COMPUTED_VALUE"""),"Aom/ออม")</f>
        <v>Aom/ออม</v>
      </c>
      <c r="K1110" t="str">
        <f>IFERROR(__xludf.DUMMYFUNCTION("""COMPUTED_VALUE"""),"Cabin Crew")</f>
        <v>Cabin Crew</v>
      </c>
      <c r="L1110" t="str">
        <f>IFERROR(__xludf.DUMMYFUNCTION("""COMPUTED_VALUE"""),"DMK")</f>
        <v>DMK</v>
      </c>
      <c r="M1110" s="145" t="str">
        <f>IFERROR(__xludf.DUMMYFUNCTION("""COMPUTED_VALUE"""),"Um Home")</f>
        <v>Um Home</v>
      </c>
      <c r="N1110" t="str">
        <f>IFERROR(__xludf.DUMMYFUNCTION("""COMPUTED_VALUE"""),"Active")</f>
        <v>Active</v>
      </c>
      <c r="P1110" s="162">
        <f>IFERROR(__xludf.DUMMYFUNCTION("""COMPUTED_VALUE"""),35601.0)</f>
        <v>35601</v>
      </c>
      <c r="Q1110" s="146" t="str">
        <f>IFERROR(__xludf.DUMMYFUNCTION("""COMPUTED_VALUE"""),"089 765 7965")</f>
        <v>089 765 7965</v>
      </c>
      <c r="R1110" s="147" t="str">
        <f>IFERROR(__xludf.DUMMYFUNCTION("""COMPUTED_VALUE"""),"1-1014-02148-32-9")</f>
        <v>1-1014-02148-32-9</v>
      </c>
      <c r="S1110" t="str">
        <f>IFERROR(__xludf.DUMMYFUNCTION("""COMPUTED_VALUE"""),"AC2385570")</f>
        <v>AC2385570</v>
      </c>
      <c r="T1110" s="148">
        <f>IFERROR(__xludf.DUMMYFUNCTION("""COMPUTED_VALUE"""),44406.0)</f>
        <v>44406</v>
      </c>
      <c r="U1110" s="148">
        <f>IFERROR(__xludf.DUMMYFUNCTION("""COMPUTED_VALUE"""),48057.0)</f>
        <v>48057</v>
      </c>
      <c r="V1110" s="149">
        <f>IFERROR(__xludf.DUMMYFUNCTION("""COMPUTED_VALUE"""),47876.0)</f>
        <v>47876</v>
      </c>
      <c r="W1110" t="str">
        <f>IFERROR(__xludf.DUMMYFUNCTION("""COMPUTED_VALUE"""),"ปลอดภัย")</f>
        <v>ปลอดภัย</v>
      </c>
      <c r="X1110" t="str">
        <f>IFERROR(__xludf.DUMMYFUNCTION("""COMPUTED_VALUE"""),"Bangkok")</f>
        <v>Bangkok</v>
      </c>
      <c r="Y1110" s="145" t="str">
        <f>IFERROR(__xludf.DUMMYFUNCTION("""COMPUTED_VALUE"""),"Bangkok")</f>
        <v>Bangkok</v>
      </c>
      <c r="Z1110" s="145" t="str">
        <f>IFERROR(__xludf.DUMMYFUNCTION("""COMPUTED_VALUE"""),"089-692-2929")</f>
        <v>089-692-2929</v>
      </c>
      <c r="AA1110" s="145" t="str">
        <f>IFERROR(__xludf.DUMMYFUNCTION("""COMPUTED_VALUE"""),"นายชูศักดิ์ นิลชาติ Father")</f>
        <v>นายชูศักดิ์ นิลชาติ Father</v>
      </c>
      <c r="AB1110" t="str">
        <f>IFERROR(__xludf.DUMMYFUNCTION("""COMPUTED_VALUE"""),"adipanilachart@airasia.com")</f>
        <v>adipanilachart@airasia.com</v>
      </c>
    </row>
    <row r="1111">
      <c r="A1111">
        <f>IFERROR(__xludf.DUMMYFUNCTION("""COMPUTED_VALUE"""),1040342.0)</f>
        <v>1040342</v>
      </c>
      <c r="B1111" t="str">
        <f>IFERROR(__xludf.DUMMYFUNCTION("""COMPUTED_VALUE"""),"Ms.")</f>
        <v>Ms.</v>
      </c>
      <c r="C1111" t="str">
        <f>IFERROR(__xludf.DUMMYFUNCTION("""COMPUTED_VALUE"""),"Areeya")</f>
        <v>Areeya</v>
      </c>
      <c r="D1111" t="str">
        <f>IFERROR(__xludf.DUMMYFUNCTION("""COMPUTED_VALUE"""),"Taleb")</f>
        <v>Taleb</v>
      </c>
      <c r="E1111" t="str">
        <f>IFERROR(__xludf.DUMMYFUNCTION("""COMPUTED_VALUE"""),"Areeya Taleb")</f>
        <v>Areeya Taleb</v>
      </c>
      <c r="F1111" t="str">
        <f>IFERROR(__xludf.DUMMYFUNCTION("""COMPUTED_VALUE"""),"นางสาว")</f>
        <v>นางสาว</v>
      </c>
      <c r="G1111" t="str">
        <f>IFERROR(__xludf.DUMMYFUNCTION("""COMPUTED_VALUE"""),"อารียา")</f>
        <v>อารียา</v>
      </c>
      <c r="H1111" t="str">
        <f>IFERROR(__xludf.DUMMYFUNCTION("""COMPUTED_VALUE"""),"ตะเหลบ")</f>
        <v>ตะเหลบ</v>
      </c>
      <c r="I1111" t="str">
        <f>IFERROR(__xludf.DUMMYFUNCTION("""COMPUTED_VALUE"""),"อารียา ตะเหลบ")</f>
        <v>อารียา ตะเหลบ</v>
      </c>
      <c r="J1111" s="145" t="str">
        <f>IFERROR(__xludf.DUMMYFUNCTION("""COMPUTED_VALUE"""),"Ai / ไอ")</f>
        <v>Ai / ไอ</v>
      </c>
      <c r="K1111" t="str">
        <f>IFERROR(__xludf.DUMMYFUNCTION("""COMPUTED_VALUE"""),"Cabin Crew")</f>
        <v>Cabin Crew</v>
      </c>
      <c r="L1111" t="str">
        <f>IFERROR(__xludf.DUMMYFUNCTION("""COMPUTED_VALUE"""),"DMK")</f>
        <v>DMK</v>
      </c>
      <c r="M1111" s="145" t="str">
        <f>IFERROR(__xludf.DUMMYFUNCTION("""COMPUTED_VALUE"""),"Namfon Home")</f>
        <v>Namfon Home</v>
      </c>
      <c r="N1111" t="str">
        <f>IFERROR(__xludf.DUMMYFUNCTION("""COMPUTED_VALUE"""),"Active")</f>
        <v>Active</v>
      </c>
      <c r="P1111" s="162">
        <f>IFERROR(__xludf.DUMMYFUNCTION("""COMPUTED_VALUE"""),36430.0)</f>
        <v>36430</v>
      </c>
      <c r="Q1111" s="146" t="str">
        <f>IFERROR(__xludf.DUMMYFUNCTION("""COMPUTED_VALUE"""),"082 806 5767")</f>
        <v>082 806 5767</v>
      </c>
      <c r="R1111" s="147" t="str">
        <f>IFERROR(__xludf.DUMMYFUNCTION("""COMPUTED_VALUE"""),"1-8099-00946-59-7")</f>
        <v>1-8099-00946-59-7</v>
      </c>
      <c r="S1111" t="str">
        <f>IFERROR(__xludf.DUMMYFUNCTION("""COMPUTED_VALUE"""),"AC6632369")</f>
        <v>AC6632369</v>
      </c>
      <c r="T1111" s="148">
        <f>IFERROR(__xludf.DUMMYFUNCTION("""COMPUTED_VALUE"""),45412.0)</f>
        <v>45412</v>
      </c>
      <c r="U1111" s="148">
        <f>IFERROR(__xludf.DUMMYFUNCTION("""COMPUTED_VALUE"""),49063.0)</f>
        <v>49063</v>
      </c>
      <c r="V1111" s="149">
        <f>IFERROR(__xludf.DUMMYFUNCTION("""COMPUTED_VALUE"""),48881.0)</f>
        <v>48881</v>
      </c>
      <c r="W1111" t="str">
        <f>IFERROR(__xludf.DUMMYFUNCTION("""COMPUTED_VALUE"""),"ปลอดภัย")</f>
        <v>ปลอดภัย</v>
      </c>
      <c r="X1111" t="str">
        <f>IFERROR(__xludf.DUMMYFUNCTION("""COMPUTED_VALUE"""),"Nakhon Si Thammarat Province")</f>
        <v>Nakhon Si Thammarat Province</v>
      </c>
      <c r="Y1111" s="145" t="str">
        <f>IFERROR(__xludf.DUMMYFUNCTION("""COMPUTED_VALUE"""),"Krabi")</f>
        <v>Krabi</v>
      </c>
      <c r="Z1111" s="145" t="str">
        <f>IFERROR(__xludf.DUMMYFUNCTION("""COMPUTED_VALUE"""),"0806907032")</f>
        <v>0806907032</v>
      </c>
      <c r="AA1111" s="145" t="str">
        <f>IFERROR(__xludf.DUMMYFUNCTION("""COMPUTED_VALUE"""),"สุดา เส็มหมาด Mother")</f>
        <v>สุดา เส็มหมาด Mother</v>
      </c>
      <c r="AB1111" t="str">
        <f>IFERROR(__xludf.DUMMYFUNCTION("""COMPUTED_VALUE"""),"areeyataleb@airasia.com")</f>
        <v>areeyataleb@airasia.com</v>
      </c>
    </row>
    <row r="1112">
      <c r="A1112">
        <f>IFERROR(__xludf.DUMMYFUNCTION("""COMPUTED_VALUE"""),1040356.0)</f>
        <v>1040356</v>
      </c>
      <c r="B1112" t="str">
        <f>IFERROR(__xludf.DUMMYFUNCTION("""COMPUTED_VALUE"""),"Ms.")</f>
        <v>Ms.</v>
      </c>
      <c r="C1112" t="str">
        <f>IFERROR(__xludf.DUMMYFUNCTION("""COMPUTED_VALUE"""),"Benyapa")</f>
        <v>Benyapa</v>
      </c>
      <c r="D1112" t="str">
        <f>IFERROR(__xludf.DUMMYFUNCTION("""COMPUTED_VALUE"""),"Suyaai")</f>
        <v>Suyaai</v>
      </c>
      <c r="E1112" t="str">
        <f>IFERROR(__xludf.DUMMYFUNCTION("""COMPUTED_VALUE"""),"Benyapa Suyaai")</f>
        <v>Benyapa Suyaai</v>
      </c>
      <c r="F1112" t="str">
        <f>IFERROR(__xludf.DUMMYFUNCTION("""COMPUTED_VALUE"""),"นางสาว")</f>
        <v>นางสาว</v>
      </c>
      <c r="G1112" t="str">
        <f>IFERROR(__xludf.DUMMYFUNCTION("""COMPUTED_VALUE"""),"เบญญาภา")</f>
        <v>เบญญาภา</v>
      </c>
      <c r="H1112" t="str">
        <f>IFERROR(__xludf.DUMMYFUNCTION("""COMPUTED_VALUE"""),"สุยะไอ่")</f>
        <v>สุยะไอ่</v>
      </c>
      <c r="I1112" t="str">
        <f>IFERROR(__xludf.DUMMYFUNCTION("""COMPUTED_VALUE"""),"เบญญาภา สุยะไอ่")</f>
        <v>เบญญาภา สุยะไอ่</v>
      </c>
      <c r="J1112" s="145" t="str">
        <f>IFERROR(__xludf.DUMMYFUNCTION("""COMPUTED_VALUE"""),"Champagne / แชมเปญ")</f>
        <v>Champagne / แชมเปญ</v>
      </c>
      <c r="K1112" t="str">
        <f>IFERROR(__xludf.DUMMYFUNCTION("""COMPUTED_VALUE"""),"Cabin Crew - CNX")</f>
        <v>Cabin Crew - CNX</v>
      </c>
      <c r="L1112" t="str">
        <f>IFERROR(__xludf.DUMMYFUNCTION("""COMPUTED_VALUE"""),"CNX")</f>
        <v>CNX</v>
      </c>
      <c r="M1112" s="145" t="str">
        <f>IFERROR(__xludf.DUMMYFUNCTION("""COMPUTED_VALUE"""),"Up Home")</f>
        <v>Up Home</v>
      </c>
      <c r="N1112" t="str">
        <f>IFERROR(__xludf.DUMMYFUNCTION("""COMPUTED_VALUE"""),"Active/V/DMK")</f>
        <v>Active/V/DMK</v>
      </c>
      <c r="P1112" s="162">
        <f>IFERROR(__xludf.DUMMYFUNCTION("""COMPUTED_VALUE"""),35397.0)</f>
        <v>35397</v>
      </c>
      <c r="Q1112" s="146" t="str">
        <f>IFERROR(__xludf.DUMMYFUNCTION("""COMPUTED_VALUE"""),"063 564 2624")</f>
        <v>063 564 2624</v>
      </c>
      <c r="R1112" s="147" t="str">
        <f>IFERROR(__xludf.DUMMYFUNCTION("""COMPUTED_VALUE"""),"1-5099-01724-61-2")</f>
        <v>1-5099-01724-61-2</v>
      </c>
      <c r="S1112" t="str">
        <f>IFERROR(__xludf.DUMMYFUNCTION("""COMPUTED_VALUE"""),"AC4061316")</f>
        <v>AC4061316</v>
      </c>
      <c r="T1112" s="148">
        <f>IFERROR(__xludf.DUMMYFUNCTION("""COMPUTED_VALUE"""),44824.0)</f>
        <v>44824</v>
      </c>
      <c r="U1112" s="148">
        <f>IFERROR(__xludf.DUMMYFUNCTION("""COMPUTED_VALUE"""),48476.0)</f>
        <v>48476</v>
      </c>
      <c r="V1112" s="149">
        <f>IFERROR(__xludf.DUMMYFUNCTION("""COMPUTED_VALUE"""),48292.0)</f>
        <v>48292</v>
      </c>
      <c r="W1112" t="str">
        <f>IFERROR(__xludf.DUMMYFUNCTION("""COMPUTED_VALUE"""),"ปลอดภัย")</f>
        <v>ปลอดภัย</v>
      </c>
      <c r="X1112" t="str">
        <f>IFERROR(__xludf.DUMMYFUNCTION("""COMPUTED_VALUE"""),"Chiang Mai Province")</f>
        <v>Chiang Mai Province</v>
      </c>
      <c r="Y1112" s="145" t="str">
        <f>IFERROR(__xludf.DUMMYFUNCTION("""COMPUTED_VALUE"""),"Chiang mai")</f>
        <v>Chiang mai</v>
      </c>
      <c r="Z1112" s="145" t="str">
        <f>IFERROR(__xludf.DUMMYFUNCTION("""COMPUTED_VALUE"""),"0635642915")</f>
        <v>0635642915</v>
      </c>
      <c r="AA1112" s="145" t="str">
        <f>IFERROR(__xludf.DUMMYFUNCTION("""COMPUTED_VALUE"""),"นางชนมณี ไชยยศ Mother")</f>
        <v>นางชนมณี ไชยยศ Mother</v>
      </c>
      <c r="AB1112" t="str">
        <f>IFERROR(__xludf.DUMMYFUNCTION("""COMPUTED_VALUE"""),"benyapasuyaai@airasia.com")</f>
        <v>benyapasuyaai@airasia.com</v>
      </c>
    </row>
    <row r="1113">
      <c r="A1113">
        <f>IFERROR(__xludf.DUMMYFUNCTION("""COMPUTED_VALUE"""),1040350.0)</f>
        <v>1040350</v>
      </c>
      <c r="B1113" t="str">
        <f>IFERROR(__xludf.DUMMYFUNCTION("""COMPUTED_VALUE"""),"Ms.")</f>
        <v>Ms.</v>
      </c>
      <c r="C1113" t="str">
        <f>IFERROR(__xludf.DUMMYFUNCTION("""COMPUTED_VALUE"""),"Busakorn")</f>
        <v>Busakorn</v>
      </c>
      <c r="D1113" t="str">
        <f>IFERROR(__xludf.DUMMYFUNCTION("""COMPUTED_VALUE"""),"Soonthonthaisri")</f>
        <v>Soonthonthaisri</v>
      </c>
      <c r="E1113" t="str">
        <f>IFERROR(__xludf.DUMMYFUNCTION("""COMPUTED_VALUE"""),"Busakorn Soonthonthaisri")</f>
        <v>Busakorn Soonthonthaisri</v>
      </c>
      <c r="F1113" t="str">
        <f>IFERROR(__xludf.DUMMYFUNCTION("""COMPUTED_VALUE"""),"นางสาว")</f>
        <v>นางสาว</v>
      </c>
      <c r="G1113" t="str">
        <f>IFERROR(__xludf.DUMMYFUNCTION("""COMPUTED_VALUE"""),"บุษกร")</f>
        <v>บุษกร</v>
      </c>
      <c r="H1113" t="str">
        <f>IFERROR(__xludf.DUMMYFUNCTION("""COMPUTED_VALUE"""),"สุนทรไทศรี")</f>
        <v>สุนทรไทศรี</v>
      </c>
      <c r="I1113" t="str">
        <f>IFERROR(__xludf.DUMMYFUNCTION("""COMPUTED_VALUE"""),"บุษกร สุนทรไทศรี")</f>
        <v>บุษกร สุนทรไทศรี</v>
      </c>
      <c r="J1113" s="145" t="str">
        <f>IFERROR(__xludf.DUMMYFUNCTION("""COMPUTED_VALUE"""),"ซิน")</f>
        <v>ซิน</v>
      </c>
      <c r="K1113" t="str">
        <f>IFERROR(__xludf.DUMMYFUNCTION("""COMPUTED_VALUE"""),"Cabin Crew")</f>
        <v>Cabin Crew</v>
      </c>
      <c r="L1113" t="str">
        <f>IFERROR(__xludf.DUMMYFUNCTION("""COMPUTED_VALUE"""),"DMK")</f>
        <v>DMK</v>
      </c>
      <c r="M1113" s="145" t="str">
        <f>IFERROR(__xludf.DUMMYFUNCTION("""COMPUTED_VALUE"""),"Um Home")</f>
        <v>Um Home</v>
      </c>
      <c r="N1113" t="str">
        <f>IFERROR(__xludf.DUMMYFUNCTION("""COMPUTED_VALUE"""),"Active")</f>
        <v>Active</v>
      </c>
      <c r="P1113" s="162">
        <f>IFERROR(__xludf.DUMMYFUNCTION("""COMPUTED_VALUE"""),36237.0)</f>
        <v>36237</v>
      </c>
      <c r="Q1113" s="146" t="str">
        <f>IFERROR(__xludf.DUMMYFUNCTION("""COMPUTED_VALUE"""),"097 275 1326")</f>
        <v>097 275 1326</v>
      </c>
      <c r="R1113" s="147" t="str">
        <f>IFERROR(__xludf.DUMMYFUNCTION("""COMPUTED_VALUE"""),"1-1042-00085-66-3")</f>
        <v>1-1042-00085-66-3</v>
      </c>
      <c r="S1113" t="str">
        <f>IFERROR(__xludf.DUMMYFUNCTION("""COMPUTED_VALUE"""),"AC6247202")</f>
        <v>AC6247202</v>
      </c>
      <c r="T1113" s="148">
        <f>IFERROR(__xludf.DUMMYFUNCTION("""COMPUTED_VALUE"""),45310.0)</f>
        <v>45310</v>
      </c>
      <c r="U1113" s="148">
        <f>IFERROR(__xludf.DUMMYFUNCTION("""COMPUTED_VALUE"""),47136.0)</f>
        <v>47136</v>
      </c>
      <c r="V1113" s="149">
        <f>IFERROR(__xludf.DUMMYFUNCTION("""COMPUTED_VALUE"""),46952.0)</f>
        <v>46952</v>
      </c>
      <c r="W1113" t="str">
        <f>IFERROR(__xludf.DUMMYFUNCTION("""COMPUTED_VALUE"""),"ปลอดภัย")</f>
        <v>ปลอดภัย</v>
      </c>
      <c r="X1113" t="str">
        <f>IFERROR(__xludf.DUMMYFUNCTION("""COMPUTED_VALUE"""),"Bangkok")</f>
        <v>Bangkok</v>
      </c>
      <c r="Y1113" s="145" t="str">
        <f>IFERROR(__xludf.DUMMYFUNCTION("""COMPUTED_VALUE"""),"Bangkok")</f>
        <v>Bangkok</v>
      </c>
      <c r="Z1113" s="145" t="str">
        <f>IFERROR(__xludf.DUMMYFUNCTION("""COMPUTED_VALUE"""),"088-611-7171")</f>
        <v>088-611-7171</v>
      </c>
      <c r="AA1113" s="145" t="str">
        <f>IFERROR(__xludf.DUMMYFUNCTION("""COMPUTED_VALUE"""),"นางอังคณา สุนทรไทศรี Mother")</f>
        <v>นางอังคณา สุนทรไทศรี Mother</v>
      </c>
      <c r="AB1113" t="str">
        <f>IFERROR(__xludf.DUMMYFUNCTION("""COMPUTED_VALUE"""),"busakornsoonthontha@airasia.com")</f>
        <v>busakornsoonthontha@airasia.com</v>
      </c>
    </row>
    <row r="1114">
      <c r="A1114">
        <f>IFERROR(__xludf.DUMMYFUNCTION("""COMPUTED_VALUE"""),1040348.0)</f>
        <v>1040348</v>
      </c>
      <c r="B1114" t="str">
        <f>IFERROR(__xludf.DUMMYFUNCTION("""COMPUTED_VALUE"""),"Ms.")</f>
        <v>Ms.</v>
      </c>
      <c r="C1114" t="str">
        <f>IFERROR(__xludf.DUMMYFUNCTION("""COMPUTED_VALUE"""),"Chitsanucha")</f>
        <v>Chitsanucha</v>
      </c>
      <c r="D1114" t="str">
        <f>IFERROR(__xludf.DUMMYFUNCTION("""COMPUTED_VALUE"""),"Sanvanitpattana")</f>
        <v>Sanvanitpattana</v>
      </c>
      <c r="E1114" t="str">
        <f>IFERROR(__xludf.DUMMYFUNCTION("""COMPUTED_VALUE"""),"Chitsanucha Sanvanitpattana")</f>
        <v>Chitsanucha Sanvanitpattana</v>
      </c>
      <c r="F1114" t="str">
        <f>IFERROR(__xludf.DUMMYFUNCTION("""COMPUTED_VALUE"""),"นางสาว")</f>
        <v>นางสาว</v>
      </c>
      <c r="G1114" t="str">
        <f>IFERROR(__xludf.DUMMYFUNCTION("""COMPUTED_VALUE"""),"ชิษณุชา")</f>
        <v>ชิษณุชา</v>
      </c>
      <c r="H1114" t="str">
        <f>IFERROR(__xludf.DUMMYFUNCTION("""COMPUTED_VALUE"""),"สรรค์วนิชพัฒนา")</f>
        <v>สรรค์วนิชพัฒนา</v>
      </c>
      <c r="I1114" t="str">
        <f>IFERROR(__xludf.DUMMYFUNCTION("""COMPUTED_VALUE"""),"ชิษณุชา สรรค์วนิชพัฒนา")</f>
        <v>ชิษณุชา สรรค์วนิชพัฒนา</v>
      </c>
      <c r="J1114" s="145" t="str">
        <f>IFERROR(__xludf.DUMMYFUNCTION("""COMPUTED_VALUE"""),"Kanomcake / ขนมเค้ก")</f>
        <v>Kanomcake / ขนมเค้ก</v>
      </c>
      <c r="K1114" t="str">
        <f>IFERROR(__xludf.DUMMYFUNCTION("""COMPUTED_VALUE"""),"Cabin Crew")</f>
        <v>Cabin Crew</v>
      </c>
      <c r="L1114" t="str">
        <f>IFERROR(__xludf.DUMMYFUNCTION("""COMPUTED_VALUE"""),"DMK")</f>
        <v>DMK</v>
      </c>
      <c r="M1114" s="145" t="str">
        <f>IFERROR(__xludf.DUMMYFUNCTION("""COMPUTED_VALUE"""),"Um Home")</f>
        <v>Um Home</v>
      </c>
      <c r="N1114" t="str">
        <f>IFERROR(__xludf.DUMMYFUNCTION("""COMPUTED_VALUE"""),"Active")</f>
        <v>Active</v>
      </c>
      <c r="P1114" s="162">
        <f>IFERROR(__xludf.DUMMYFUNCTION("""COMPUTED_VALUE"""),37134.0)</f>
        <v>37134</v>
      </c>
      <c r="Q1114" s="146" t="str">
        <f>IFERROR(__xludf.DUMMYFUNCTION("""COMPUTED_VALUE"""),"095 549 4193")</f>
        <v>095 549 4193</v>
      </c>
      <c r="R1114" s="147" t="str">
        <f>IFERROR(__xludf.DUMMYFUNCTION("""COMPUTED_VALUE"""),"1-1017-00305-36-8")</f>
        <v>1-1017-00305-36-8</v>
      </c>
      <c r="S1114" t="str">
        <f>IFERROR(__xludf.DUMMYFUNCTION("""COMPUTED_VALUE"""),"AC6370234")</f>
        <v>AC6370234</v>
      </c>
      <c r="T1114" s="148">
        <f>IFERROR(__xludf.DUMMYFUNCTION("""COMPUTED_VALUE"""),45355.0)</f>
        <v>45355</v>
      </c>
      <c r="U1114" s="148">
        <f>IFERROR(__xludf.DUMMYFUNCTION("""COMPUTED_VALUE"""),49006.0)</f>
        <v>49006</v>
      </c>
      <c r="V1114" s="149">
        <f>IFERROR(__xludf.DUMMYFUNCTION("""COMPUTED_VALUE"""),48825.0)</f>
        <v>48825</v>
      </c>
      <c r="W1114" t="str">
        <f>IFERROR(__xludf.DUMMYFUNCTION("""COMPUTED_VALUE"""),"ปลอดภัย")</f>
        <v>ปลอดภัย</v>
      </c>
      <c r="X1114" t="str">
        <f>IFERROR(__xludf.DUMMYFUNCTION("""COMPUTED_VALUE"""),"Bangkok")</f>
        <v>Bangkok</v>
      </c>
      <c r="Y1114" s="145" t="str">
        <f>IFERROR(__xludf.DUMMYFUNCTION("""COMPUTED_VALUE"""),"Bangkok")</f>
        <v>Bangkok</v>
      </c>
      <c r="Z1114" s="145" t="str">
        <f>IFERROR(__xludf.DUMMYFUNCTION("""COMPUTED_VALUE"""),"081-422-2092")</f>
        <v>081-422-2092</v>
      </c>
      <c r="AA1114" s="145" t="str">
        <f>IFERROR(__xludf.DUMMYFUNCTION("""COMPUTED_VALUE"""),"นายบุตรปิยะ สรรค์วนิชพัฒนา Father")</f>
        <v>นายบุตรปิยะ สรรค์วนิชพัฒนา Father</v>
      </c>
      <c r="AB1114" t="str">
        <f>IFERROR(__xludf.DUMMYFUNCTION("""COMPUTED_VALUE"""),"chitsanuchasanvanit@airasia.com")</f>
        <v>chitsanuchasanvanit@airasia.com</v>
      </c>
    </row>
    <row r="1115">
      <c r="A1115">
        <f>IFERROR(__xludf.DUMMYFUNCTION("""COMPUTED_VALUE"""),1040358.0)</f>
        <v>1040358</v>
      </c>
      <c r="B1115" t="str">
        <f>IFERROR(__xludf.DUMMYFUNCTION("""COMPUTED_VALUE"""),"Ms.")</f>
        <v>Ms.</v>
      </c>
      <c r="C1115" t="str">
        <f>IFERROR(__xludf.DUMMYFUNCTION("""COMPUTED_VALUE"""),"Dena")</f>
        <v>Dena</v>
      </c>
      <c r="D1115" t="str">
        <f>IFERROR(__xludf.DUMMYFUNCTION("""COMPUTED_VALUE"""),"Satthamanu")</f>
        <v>Satthamanu</v>
      </c>
      <c r="E1115" t="str">
        <f>IFERROR(__xludf.DUMMYFUNCTION("""COMPUTED_VALUE"""),"Dena Satthamanu")</f>
        <v>Dena Satthamanu</v>
      </c>
      <c r="F1115" t="str">
        <f>IFERROR(__xludf.DUMMYFUNCTION("""COMPUTED_VALUE"""),"นางสาว")</f>
        <v>นางสาว</v>
      </c>
      <c r="G1115" t="str">
        <f>IFERROR(__xludf.DUMMYFUNCTION("""COMPUTED_VALUE"""),"ดีน่า")</f>
        <v>ดีน่า</v>
      </c>
      <c r="H1115" t="str">
        <f>IFERROR(__xludf.DUMMYFUNCTION("""COMPUTED_VALUE"""),"ศรัทธามนู")</f>
        <v>ศรัทธามนู</v>
      </c>
      <c r="I1115" t="str">
        <f>IFERROR(__xludf.DUMMYFUNCTION("""COMPUTED_VALUE"""),"ดีน่า ศรัทธามนู")</f>
        <v>ดีน่า ศรัทธามนู</v>
      </c>
      <c r="J1115" s="145" t="str">
        <f>IFERROR(__xludf.DUMMYFUNCTION("""COMPUTED_VALUE"""),"ดีน่า")</f>
        <v>ดีน่า</v>
      </c>
      <c r="K1115" t="str">
        <f>IFERROR(__xludf.DUMMYFUNCTION("""COMPUTED_VALUE"""),"Cabin Crew - HKT")</f>
        <v>Cabin Crew - HKT</v>
      </c>
      <c r="L1115" t="str">
        <f>IFERROR(__xludf.DUMMYFUNCTION("""COMPUTED_VALUE"""),"HKT")</f>
        <v>HKT</v>
      </c>
      <c r="M1115" s="145" t="str">
        <f>IFERROR(__xludf.DUMMYFUNCTION("""COMPUTED_VALUE"""),"Kor Home")</f>
        <v>Kor Home</v>
      </c>
      <c r="N1115" t="str">
        <f>IFERROR(__xludf.DUMMYFUNCTION("""COMPUTED_VALUE"""),"Active")</f>
        <v>Active</v>
      </c>
      <c r="P1115" s="162">
        <f>IFERROR(__xludf.DUMMYFUNCTION("""COMPUTED_VALUE"""),36840.0)</f>
        <v>36840</v>
      </c>
      <c r="Q1115" s="146" t="str">
        <f>IFERROR(__xludf.DUMMYFUNCTION("""COMPUTED_VALUE"""),"099  317 3934")</f>
        <v>099  317 3934</v>
      </c>
      <c r="R1115" s="147" t="str">
        <f>IFERROR(__xludf.DUMMYFUNCTION("""COMPUTED_VALUE"""),"1-8399-00624-10-7")</f>
        <v>1-8399-00624-10-7</v>
      </c>
      <c r="S1115" t="str">
        <f>IFERROR(__xludf.DUMMYFUNCTION("""COMPUTED_VALUE"""),"AD0188959")</f>
        <v>AD0188959</v>
      </c>
      <c r="T1115" s="148">
        <f>IFERROR(__xludf.DUMMYFUNCTION("""COMPUTED_VALUE"""),44854.0)</f>
        <v>44854</v>
      </c>
      <c r="U1115" s="148">
        <f>IFERROR(__xludf.DUMMYFUNCTION("""COMPUTED_VALUE"""),48506.0)</f>
        <v>48506</v>
      </c>
      <c r="V1115" s="149">
        <f>IFERROR(__xludf.DUMMYFUNCTION("""COMPUTED_VALUE"""),48323.0)</f>
        <v>48323</v>
      </c>
      <c r="W1115" t="str">
        <f>IFERROR(__xludf.DUMMYFUNCTION("""COMPUTED_VALUE"""),"ปลอดภัย")</f>
        <v>ปลอดภัย</v>
      </c>
      <c r="X1115" t="str">
        <f>IFERROR(__xludf.DUMMYFUNCTION("""COMPUTED_VALUE"""),"Phuket Province")</f>
        <v>Phuket Province</v>
      </c>
      <c r="Y1115" s="145" t="str">
        <f>IFERROR(__xludf.DUMMYFUNCTION("""COMPUTED_VALUE"""),"Phuket")</f>
        <v>Phuket</v>
      </c>
      <c r="Z1115" s="145" t="str">
        <f>IFERROR(__xludf.DUMMYFUNCTION("""COMPUTED_VALUE"""),"080-526-1347")</f>
        <v>080-526-1347</v>
      </c>
      <c r="AA1115" s="145" t="str">
        <f>IFERROR(__xludf.DUMMYFUNCTION("""COMPUTED_VALUE"""),"นายเกษมสันต์ ศรัทธามนู Father")</f>
        <v>นายเกษมสันต์ ศรัทธามนู Father</v>
      </c>
      <c r="AB1115" t="str">
        <f>IFERROR(__xludf.DUMMYFUNCTION("""COMPUTED_VALUE"""),"denasatthamanu@airasia.com")</f>
        <v>denasatthamanu@airasia.com</v>
      </c>
    </row>
    <row r="1116">
      <c r="A1116">
        <f>IFERROR(__xludf.DUMMYFUNCTION("""COMPUTED_VALUE"""),1040352.0)</f>
        <v>1040352</v>
      </c>
      <c r="B1116" t="str">
        <f>IFERROR(__xludf.DUMMYFUNCTION("""COMPUTED_VALUE"""),"Ms.")</f>
        <v>Ms.</v>
      </c>
      <c r="C1116" t="str">
        <f>IFERROR(__xludf.DUMMYFUNCTION("""COMPUTED_VALUE"""),"Jaksananapa")</f>
        <v>Jaksananapa</v>
      </c>
      <c r="D1116" t="str">
        <f>IFERROR(__xludf.DUMMYFUNCTION("""COMPUTED_VALUE"""),"Yingprayoon")</f>
        <v>Yingprayoon</v>
      </c>
      <c r="E1116" t="str">
        <f>IFERROR(__xludf.DUMMYFUNCTION("""COMPUTED_VALUE"""),"Jaksananapa Yingprayoon")</f>
        <v>Jaksananapa Yingprayoon</v>
      </c>
      <c r="F1116" t="str">
        <f>IFERROR(__xludf.DUMMYFUNCTION("""COMPUTED_VALUE"""),"นางสาว")</f>
        <v>นางสาว</v>
      </c>
      <c r="G1116" t="str">
        <f>IFERROR(__xludf.DUMMYFUNCTION("""COMPUTED_VALUE"""),"จักษณนภา")</f>
        <v>จักษณนภา</v>
      </c>
      <c r="H1116" t="str">
        <f>IFERROR(__xludf.DUMMYFUNCTION("""COMPUTED_VALUE"""),"หญิงประยูร")</f>
        <v>หญิงประยูร</v>
      </c>
      <c r="I1116" t="str">
        <f>IFERROR(__xludf.DUMMYFUNCTION("""COMPUTED_VALUE"""),"จักษณนภา หญิงประยูร")</f>
        <v>จักษณนภา หญิงประยูร</v>
      </c>
      <c r="J1116" s="145" t="str">
        <f>IFERROR(__xludf.DUMMYFUNCTION("""COMPUTED_VALUE"""),"TEM / เต็ม")</f>
        <v>TEM / เต็ม</v>
      </c>
      <c r="K1116" t="str">
        <f>IFERROR(__xludf.DUMMYFUNCTION("""COMPUTED_VALUE"""),"Cabin Crew")</f>
        <v>Cabin Crew</v>
      </c>
      <c r="L1116" t="str">
        <f>IFERROR(__xludf.DUMMYFUNCTION("""COMPUTED_VALUE"""),"DMK")</f>
        <v>DMK</v>
      </c>
      <c r="M1116" s="145" t="str">
        <f>IFERROR(__xludf.DUMMYFUNCTION("""COMPUTED_VALUE"""),"Kor Home")</f>
        <v>Kor Home</v>
      </c>
      <c r="N1116" t="str">
        <f>IFERROR(__xludf.DUMMYFUNCTION("""COMPUTED_VALUE"""),"Active")</f>
        <v>Active</v>
      </c>
      <c r="P1116" s="162">
        <f>IFERROR(__xludf.DUMMYFUNCTION("""COMPUTED_VALUE"""),35573.0)</f>
        <v>35573</v>
      </c>
      <c r="Q1116" s="146" t="str">
        <f>IFERROR(__xludf.DUMMYFUNCTION("""COMPUTED_VALUE"""),"095 792 6951")</f>
        <v>095 792 6951</v>
      </c>
      <c r="R1116" s="147" t="str">
        <f>IFERROR(__xludf.DUMMYFUNCTION("""COMPUTED_VALUE"""),"1-1014-02146-18-1")</f>
        <v>1-1014-02146-18-1</v>
      </c>
      <c r="S1116" t="str">
        <f>IFERROR(__xludf.DUMMYFUNCTION("""COMPUTED_VALUE"""),"AC2289486")</f>
        <v>AC2289486</v>
      </c>
      <c r="T1116" s="148">
        <f>IFERROR(__xludf.DUMMYFUNCTION("""COMPUTED_VALUE"""),44341.0)</f>
        <v>44341</v>
      </c>
      <c r="U1116" s="148">
        <f>IFERROR(__xludf.DUMMYFUNCTION("""COMPUTED_VALUE"""),47992.0)</f>
        <v>47992</v>
      </c>
      <c r="V1116" s="149">
        <f>IFERROR(__xludf.DUMMYFUNCTION("""COMPUTED_VALUE"""),47811.0)</f>
        <v>47811</v>
      </c>
      <c r="W1116" t="str">
        <f>IFERROR(__xludf.DUMMYFUNCTION("""COMPUTED_VALUE"""),"ปลอดภัย")</f>
        <v>ปลอดภัย</v>
      </c>
      <c r="X1116" t="str">
        <f>IFERROR(__xludf.DUMMYFUNCTION("""COMPUTED_VALUE"""),"Bangkok")</f>
        <v>Bangkok</v>
      </c>
      <c r="Y1116" s="145" t="str">
        <f>IFERROR(__xludf.DUMMYFUNCTION("""COMPUTED_VALUE"""),"Bangkok")</f>
        <v>Bangkok</v>
      </c>
      <c r="Z1116" s="145" t="str">
        <f>IFERROR(__xludf.DUMMYFUNCTION("""COMPUTED_VALUE"""),"087-544-6628")</f>
        <v>087-544-6628</v>
      </c>
      <c r="AA1116" s="145" t="str">
        <f>IFERROR(__xludf.DUMMYFUNCTION("""COMPUTED_VALUE"""),"นายปฐมพร ศรีอร่าม Friend")</f>
        <v>นายปฐมพร ศรีอร่าม Friend</v>
      </c>
      <c r="AB1116" t="str">
        <f>IFERROR(__xludf.DUMMYFUNCTION("""COMPUTED_VALUE"""),"jaksananapayingpray@airasia.com")</f>
        <v>jaksananapayingpray@airasia.com</v>
      </c>
    </row>
    <row r="1117">
      <c r="A1117">
        <f>IFERROR(__xludf.DUMMYFUNCTION("""COMPUTED_VALUE"""),1040353.0)</f>
        <v>1040353</v>
      </c>
      <c r="B1117" t="str">
        <f>IFERROR(__xludf.DUMMYFUNCTION("""COMPUTED_VALUE"""),"Ms.")</f>
        <v>Ms.</v>
      </c>
      <c r="C1117" t="str">
        <f>IFERROR(__xludf.DUMMYFUNCTION("""COMPUTED_VALUE"""),"Khanthida")</f>
        <v>Khanthida</v>
      </c>
      <c r="D1117" t="str">
        <f>IFERROR(__xludf.DUMMYFUNCTION("""COMPUTED_VALUE"""),"Phethai")</f>
        <v>Phethai</v>
      </c>
      <c r="E1117" t="str">
        <f>IFERROR(__xludf.DUMMYFUNCTION("""COMPUTED_VALUE"""),"Khanthida Phethai")</f>
        <v>Khanthida Phethai</v>
      </c>
      <c r="F1117" t="str">
        <f>IFERROR(__xludf.DUMMYFUNCTION("""COMPUTED_VALUE"""),"นางสาว")</f>
        <v>นางสาว</v>
      </c>
      <c r="G1117" t="str">
        <f>IFERROR(__xludf.DUMMYFUNCTION("""COMPUTED_VALUE"""),"กานต์ธิดา")</f>
        <v>กานต์ธิดา</v>
      </c>
      <c r="H1117" t="str">
        <f>IFERROR(__xludf.DUMMYFUNCTION("""COMPUTED_VALUE"""),"เพทัย")</f>
        <v>เพทัย</v>
      </c>
      <c r="I1117" t="str">
        <f>IFERROR(__xludf.DUMMYFUNCTION("""COMPUTED_VALUE"""),"กานต์ธิดา เพทัย")</f>
        <v>กานต์ธิดา เพทัย</v>
      </c>
      <c r="J1117" s="145" t="str">
        <f>IFERROR(__xludf.DUMMYFUNCTION("""COMPUTED_VALUE"""),"เฟิร์ส")</f>
        <v>เฟิร์ส</v>
      </c>
      <c r="K1117" t="str">
        <f>IFERROR(__xludf.DUMMYFUNCTION("""COMPUTED_VALUE"""),"Cabin Crew")</f>
        <v>Cabin Crew</v>
      </c>
      <c r="L1117" t="str">
        <f>IFERROR(__xludf.DUMMYFUNCTION("""COMPUTED_VALUE"""),"DMK")</f>
        <v>DMK</v>
      </c>
      <c r="M1117" s="145" t="str">
        <f>IFERROR(__xludf.DUMMYFUNCTION("""COMPUTED_VALUE"""),"Namfon Home")</f>
        <v>Namfon Home</v>
      </c>
      <c r="N1117" t="str">
        <f>IFERROR(__xludf.DUMMYFUNCTION("""COMPUTED_VALUE"""),"Active")</f>
        <v>Active</v>
      </c>
      <c r="P1117" s="162">
        <f>IFERROR(__xludf.DUMMYFUNCTION("""COMPUTED_VALUE"""),35664.0)</f>
        <v>35664</v>
      </c>
      <c r="Q1117" s="146" t="str">
        <f>IFERROR(__xludf.DUMMYFUNCTION("""COMPUTED_VALUE"""),"092 594 9944")</f>
        <v>092 594 9944</v>
      </c>
      <c r="R1117" s="147" t="str">
        <f>IFERROR(__xludf.DUMMYFUNCTION("""COMPUTED_VALUE"""),"1-1030-00125-81-4")</f>
        <v>1-1030-00125-81-4</v>
      </c>
      <c r="S1117" t="str">
        <f>IFERROR(__xludf.DUMMYFUNCTION("""COMPUTED_VALUE"""),"AC5258215")</f>
        <v>AC5258215</v>
      </c>
      <c r="T1117" s="148">
        <f>IFERROR(__xludf.DUMMYFUNCTION("""COMPUTED_VALUE"""),45111.0)</f>
        <v>45111</v>
      </c>
      <c r="U1117" s="148">
        <f>IFERROR(__xludf.DUMMYFUNCTION("""COMPUTED_VALUE"""),48763.0)</f>
        <v>48763</v>
      </c>
      <c r="V1117" s="149">
        <f>IFERROR(__xludf.DUMMYFUNCTION("""COMPUTED_VALUE"""),48582.0)</f>
        <v>48582</v>
      </c>
      <c r="W1117" t="str">
        <f>IFERROR(__xludf.DUMMYFUNCTION("""COMPUTED_VALUE"""),"ปลอดภัย")</f>
        <v>ปลอดภัย</v>
      </c>
      <c r="X1117" t="str">
        <f>IFERROR(__xludf.DUMMYFUNCTION("""COMPUTED_VALUE"""),"Bangkok")</f>
        <v>Bangkok</v>
      </c>
      <c r="Y1117" s="145" t="str">
        <f>IFERROR(__xludf.DUMMYFUNCTION("""COMPUTED_VALUE"""),"Bangkok")</f>
        <v>Bangkok</v>
      </c>
      <c r="Z1117" s="145" t="str">
        <f>IFERROR(__xludf.DUMMYFUNCTION("""COMPUTED_VALUE"""),"0850188393")</f>
        <v>0850188393</v>
      </c>
      <c r="AA1117" s="145" t="str">
        <f>IFERROR(__xludf.DUMMYFUNCTION("""COMPUTED_VALUE"""),"สิริพร เพทัย Mother")</f>
        <v>สิริพร เพทัย Mother</v>
      </c>
      <c r="AB1117" t="str">
        <f>IFERROR(__xludf.DUMMYFUNCTION("""COMPUTED_VALUE"""),"khanthidaphethai@airasia.com")</f>
        <v>khanthidaphethai@airasia.com</v>
      </c>
    </row>
    <row r="1118">
      <c r="A1118">
        <f>IFERROR(__xludf.DUMMYFUNCTION("""COMPUTED_VALUE"""),1040357.0)</f>
        <v>1040357</v>
      </c>
      <c r="B1118" t="str">
        <f>IFERROR(__xludf.DUMMYFUNCTION("""COMPUTED_VALUE"""),"Mr.")</f>
        <v>Mr.</v>
      </c>
      <c r="C1118" t="str">
        <f>IFERROR(__xludf.DUMMYFUNCTION("""COMPUTED_VALUE"""),"Korakot")</f>
        <v>Korakot</v>
      </c>
      <c r="D1118" t="str">
        <f>IFERROR(__xludf.DUMMYFUNCTION("""COMPUTED_VALUE"""),"Santisurat")</f>
        <v>Santisurat</v>
      </c>
      <c r="E1118" t="str">
        <f>IFERROR(__xludf.DUMMYFUNCTION("""COMPUTED_VALUE"""),"Korakot Santisurat")</f>
        <v>Korakot Santisurat</v>
      </c>
      <c r="F1118" t="str">
        <f>IFERROR(__xludf.DUMMYFUNCTION("""COMPUTED_VALUE"""),"นาย")</f>
        <v>นาย</v>
      </c>
      <c r="G1118" t="str">
        <f>IFERROR(__xludf.DUMMYFUNCTION("""COMPUTED_VALUE"""),"กรกฎ")</f>
        <v>กรกฎ</v>
      </c>
      <c r="H1118" t="str">
        <f>IFERROR(__xludf.DUMMYFUNCTION("""COMPUTED_VALUE"""),"สันติสุรัตน์")</f>
        <v>สันติสุรัตน์</v>
      </c>
      <c r="I1118" t="str">
        <f>IFERROR(__xludf.DUMMYFUNCTION("""COMPUTED_VALUE"""),"กรกฎ สันติสุรัตน์")</f>
        <v>กรกฎ สันติสุรัตน์</v>
      </c>
      <c r="J1118" s="145" t="str">
        <f>IFERROR(__xludf.DUMMYFUNCTION("""COMPUTED_VALUE"""),"Sky/ สกาย")</f>
        <v>Sky/ สกาย</v>
      </c>
      <c r="K1118" t="str">
        <f>IFERROR(__xludf.DUMMYFUNCTION("""COMPUTED_VALUE"""),"Cabin Crew - CNX")</f>
        <v>Cabin Crew - CNX</v>
      </c>
      <c r="L1118" t="str">
        <f>IFERROR(__xludf.DUMMYFUNCTION("""COMPUTED_VALUE"""),"CNX")</f>
        <v>CNX</v>
      </c>
      <c r="M1118" s="145" t="str">
        <f>IFERROR(__xludf.DUMMYFUNCTION("""COMPUTED_VALUE"""),"Up Home")</f>
        <v>Up Home</v>
      </c>
      <c r="N1118" t="str">
        <f>IFERROR(__xludf.DUMMYFUNCTION("""COMPUTED_VALUE"""),"Active")</f>
        <v>Active</v>
      </c>
      <c r="P1118" s="162">
        <f>IFERROR(__xludf.DUMMYFUNCTION("""COMPUTED_VALUE"""),35086.0)</f>
        <v>35086</v>
      </c>
      <c r="Q1118" s="146" t="str">
        <f>IFERROR(__xludf.DUMMYFUNCTION("""COMPUTED_VALUE"""),"094 836 9423")</f>
        <v>094 836 9423</v>
      </c>
      <c r="R1118" s="147" t="str">
        <f>IFERROR(__xludf.DUMMYFUNCTION("""COMPUTED_VALUE"""),"1-5099-01672-82-5")</f>
        <v>1-5099-01672-82-5</v>
      </c>
      <c r="S1118" t="str">
        <f>IFERROR(__xludf.DUMMYFUNCTION("""COMPUTED_VALUE"""),"AC4926267")</f>
        <v>AC4926267</v>
      </c>
      <c r="T1118" s="148">
        <f>IFERROR(__xludf.DUMMYFUNCTION("""COMPUTED_VALUE"""),45055.0)</f>
        <v>45055</v>
      </c>
      <c r="U1118" s="148">
        <f>IFERROR(__xludf.DUMMYFUNCTION("""COMPUTED_VALUE"""),46881.0)</f>
        <v>46881</v>
      </c>
      <c r="V1118" s="149">
        <f>IFERROR(__xludf.DUMMYFUNCTION("""COMPUTED_VALUE"""),46699.0)</f>
        <v>46699</v>
      </c>
      <c r="W1118" t="str">
        <f>IFERROR(__xludf.DUMMYFUNCTION("""COMPUTED_VALUE"""),"ปลอดภัย")</f>
        <v>ปลอดภัย</v>
      </c>
      <c r="X1118" t="str">
        <f>IFERROR(__xludf.DUMMYFUNCTION("""COMPUTED_VALUE"""),"Chiang Mai Province")</f>
        <v>Chiang Mai Province</v>
      </c>
      <c r="Y1118" s="145" t="str">
        <f>IFERROR(__xludf.DUMMYFUNCTION("""COMPUTED_VALUE"""),"Chiang mai")</f>
        <v>Chiang mai</v>
      </c>
      <c r="Z1118" s="145" t="str">
        <f>IFERROR(__xludf.DUMMYFUNCTION("""COMPUTED_VALUE"""),"099-242-5656")</f>
        <v>099-242-5656</v>
      </c>
      <c r="AA1118" s="145" t="str">
        <f>IFERROR(__xludf.DUMMYFUNCTION("""COMPUTED_VALUE"""),"นางทรรศน์มน แก้วเป็ง Mother")</f>
        <v>นางทรรศน์มน แก้วเป็ง Mother</v>
      </c>
      <c r="AB1118" t="str">
        <f>IFERROR(__xludf.DUMMYFUNCTION("""COMPUTED_VALUE"""),"korakotsantisurat@airasia.com")</f>
        <v>korakotsantisurat@airasia.com</v>
      </c>
    </row>
    <row r="1119">
      <c r="A1119">
        <f>IFERROR(__xludf.DUMMYFUNCTION("""COMPUTED_VALUE"""),1040349.0)</f>
        <v>1040349</v>
      </c>
      <c r="B1119" t="str">
        <f>IFERROR(__xludf.DUMMYFUNCTION("""COMPUTED_VALUE"""),"Ms.")</f>
        <v>Ms.</v>
      </c>
      <c r="C1119" t="str">
        <f>IFERROR(__xludf.DUMMYFUNCTION("""COMPUTED_VALUE"""),"Kwanchanok")</f>
        <v>Kwanchanok</v>
      </c>
      <c r="D1119" t="str">
        <f>IFERROR(__xludf.DUMMYFUNCTION("""COMPUTED_VALUE"""),"Kositanont")</f>
        <v>Kositanont</v>
      </c>
      <c r="E1119" t="str">
        <f>IFERROR(__xludf.DUMMYFUNCTION("""COMPUTED_VALUE"""),"Kwanchanok Kositanont")</f>
        <v>Kwanchanok Kositanont</v>
      </c>
      <c r="F1119" t="str">
        <f>IFERROR(__xludf.DUMMYFUNCTION("""COMPUTED_VALUE"""),"นางสาว")</f>
        <v>นางสาว</v>
      </c>
      <c r="G1119" t="str">
        <f>IFERROR(__xludf.DUMMYFUNCTION("""COMPUTED_VALUE"""),"ขวัญชนก")</f>
        <v>ขวัญชนก</v>
      </c>
      <c r="H1119" t="str">
        <f>IFERROR(__xludf.DUMMYFUNCTION("""COMPUTED_VALUE"""),"โฆษิตานนท์")</f>
        <v>โฆษิตานนท์</v>
      </c>
      <c r="I1119" t="str">
        <f>IFERROR(__xludf.DUMMYFUNCTION("""COMPUTED_VALUE"""),"ขวัญชนก โฆษิตานนท์")</f>
        <v>ขวัญชนก โฆษิตานนท์</v>
      </c>
      <c r="J1119" s="145" t="str">
        <f>IFERROR(__xludf.DUMMYFUNCTION("""COMPUTED_VALUE"""),"Bling / บลิ่ง")</f>
        <v>Bling / บลิ่ง</v>
      </c>
      <c r="K1119" t="str">
        <f>IFERROR(__xludf.DUMMYFUNCTION("""COMPUTED_VALUE"""),"Cabin Crew")</f>
        <v>Cabin Crew</v>
      </c>
      <c r="L1119" t="str">
        <f>IFERROR(__xludf.DUMMYFUNCTION("""COMPUTED_VALUE"""),"DMK")</f>
        <v>DMK</v>
      </c>
      <c r="M1119" s="145" t="str">
        <f>IFERROR(__xludf.DUMMYFUNCTION("""COMPUTED_VALUE"""),"Um Home")</f>
        <v>Um Home</v>
      </c>
      <c r="N1119" t="str">
        <f>IFERROR(__xludf.DUMMYFUNCTION("""COMPUTED_VALUE"""),"Active")</f>
        <v>Active</v>
      </c>
      <c r="P1119" s="162">
        <f>IFERROR(__xludf.DUMMYFUNCTION("""COMPUTED_VALUE"""),34379.0)</f>
        <v>34379</v>
      </c>
      <c r="Q1119" s="146" t="str">
        <f>IFERROR(__xludf.DUMMYFUNCTION("""COMPUTED_VALUE"""),"096 292 9359")</f>
        <v>096 292 9359</v>
      </c>
      <c r="R1119" s="147" t="str">
        <f>IFERROR(__xludf.DUMMYFUNCTION("""COMPUTED_VALUE"""),"1-5099-01413-01-3")</f>
        <v>1-5099-01413-01-3</v>
      </c>
      <c r="S1119" t="str">
        <f>IFERROR(__xludf.DUMMYFUNCTION("""COMPUTED_VALUE"""),"AD1586726")</f>
        <v>AD1586726</v>
      </c>
      <c r="T1119" s="148">
        <f>IFERROR(__xludf.DUMMYFUNCTION("""COMPUTED_VALUE"""),45309.0)</f>
        <v>45309</v>
      </c>
      <c r="U1119" s="148">
        <f>IFERROR(__xludf.DUMMYFUNCTION("""COMPUTED_VALUE"""),48961.0)</f>
        <v>48961</v>
      </c>
      <c r="V1119" s="149">
        <f>IFERROR(__xludf.DUMMYFUNCTION("""COMPUTED_VALUE"""),48777.0)</f>
        <v>48777</v>
      </c>
      <c r="W1119" t="str">
        <f>IFERROR(__xludf.DUMMYFUNCTION("""COMPUTED_VALUE"""),"ปลอดภัย")</f>
        <v>ปลอดภัย</v>
      </c>
      <c r="X1119" t="str">
        <f>IFERROR(__xludf.DUMMYFUNCTION("""COMPUTED_VALUE"""),"Chiang Mai Province")</f>
        <v>Chiang Mai Province</v>
      </c>
      <c r="Y1119" s="145" t="str">
        <f>IFERROR(__xludf.DUMMYFUNCTION("""COMPUTED_VALUE"""),"Bangkok")</f>
        <v>Bangkok</v>
      </c>
      <c r="Z1119" s="145" t="str">
        <f>IFERROR(__xludf.DUMMYFUNCTION("""COMPUTED_VALUE"""),"083-824-5965")</f>
        <v>083-824-5965</v>
      </c>
      <c r="AA1119" s="145" t="str">
        <f>IFERROR(__xludf.DUMMYFUNCTION("""COMPUTED_VALUE"""),"นายดุษิต โฆษิตานนท์ Brother")</f>
        <v>นายดุษิต โฆษิตานนท์ Brother</v>
      </c>
      <c r="AB1119" t="str">
        <f>IFERROR(__xludf.DUMMYFUNCTION("""COMPUTED_VALUE"""),"kwanchanokkositanont@airasia.com")</f>
        <v>kwanchanokkositanont@airasia.com</v>
      </c>
    </row>
    <row r="1120">
      <c r="A1120">
        <f>IFERROR(__xludf.DUMMYFUNCTION("""COMPUTED_VALUE"""),1040343.0)</f>
        <v>1040343</v>
      </c>
      <c r="B1120" t="str">
        <f>IFERROR(__xludf.DUMMYFUNCTION("""COMPUTED_VALUE"""),"Ms.")</f>
        <v>Ms.</v>
      </c>
      <c r="C1120" t="str">
        <f>IFERROR(__xludf.DUMMYFUNCTION("""COMPUTED_VALUE"""),"Sherlyn")</f>
        <v>Sherlyn</v>
      </c>
      <c r="D1120" t="str">
        <f>IFERROR(__xludf.DUMMYFUNCTION("""COMPUTED_VALUE"""),"Polmethakulluk")</f>
        <v>Polmethakulluk</v>
      </c>
      <c r="E1120" t="str">
        <f>IFERROR(__xludf.DUMMYFUNCTION("""COMPUTED_VALUE"""),"Sherlyn Polmethakulluk")</f>
        <v>Sherlyn Polmethakulluk</v>
      </c>
      <c r="F1120" t="str">
        <f>IFERROR(__xludf.DUMMYFUNCTION("""COMPUTED_VALUE"""),"นางสาว")</f>
        <v>นางสาว</v>
      </c>
      <c r="G1120" t="str">
        <f>IFERROR(__xludf.DUMMYFUNCTION("""COMPUTED_VALUE"""),"เฌอลินญ์")</f>
        <v>เฌอลินญ์</v>
      </c>
      <c r="H1120" t="str">
        <f>IFERROR(__xludf.DUMMYFUNCTION("""COMPUTED_VALUE"""),"พลเมธากุลลักษณ์")</f>
        <v>พลเมธากุลลักษณ์</v>
      </c>
      <c r="I1120" t="str">
        <f>IFERROR(__xludf.DUMMYFUNCTION("""COMPUTED_VALUE"""),"เฌอลินญ์ พลเมธากุลลักษณ์")</f>
        <v>เฌอลินญ์ พลเมธากุลลักษณ์</v>
      </c>
      <c r="J1120" s="145" t="str">
        <f>IFERROR(__xludf.DUMMYFUNCTION("""COMPUTED_VALUE"""),"Paan / ป่าน")</f>
        <v>Paan / ป่าน</v>
      </c>
      <c r="K1120" t="str">
        <f>IFERROR(__xludf.DUMMYFUNCTION("""COMPUTED_VALUE"""),"Cabin Crew")</f>
        <v>Cabin Crew</v>
      </c>
      <c r="L1120" t="str">
        <f>IFERROR(__xludf.DUMMYFUNCTION("""COMPUTED_VALUE"""),"DMK")</f>
        <v>DMK</v>
      </c>
      <c r="M1120" s="145" t="str">
        <f>IFERROR(__xludf.DUMMYFUNCTION("""COMPUTED_VALUE"""),"Por+ Home")</f>
        <v>Por+ Home</v>
      </c>
      <c r="N1120" t="str">
        <f>IFERROR(__xludf.DUMMYFUNCTION("""COMPUTED_VALUE"""),"Active")</f>
        <v>Active</v>
      </c>
      <c r="P1120" s="162">
        <f>IFERROR(__xludf.DUMMYFUNCTION("""COMPUTED_VALUE"""),35769.0)</f>
        <v>35769</v>
      </c>
      <c r="Q1120" s="146" t="str">
        <f>IFERROR(__xludf.DUMMYFUNCTION("""COMPUTED_VALUE"""),"092 445 6917")</f>
        <v>092 445 6917</v>
      </c>
      <c r="R1120" s="147" t="str">
        <f>IFERROR(__xludf.DUMMYFUNCTION("""COMPUTED_VALUE"""),"1-1007-02628-48-1")</f>
        <v>1-1007-02628-48-1</v>
      </c>
      <c r="S1120" t="str">
        <f>IFERROR(__xludf.DUMMYFUNCTION("""COMPUTED_VALUE"""),"AD1170890")</f>
        <v>AD1170890</v>
      </c>
      <c r="T1120" s="148">
        <f>IFERROR(__xludf.DUMMYFUNCTION("""COMPUTED_VALUE"""),45204.0)</f>
        <v>45204</v>
      </c>
      <c r="U1120" s="148">
        <f>IFERROR(__xludf.DUMMYFUNCTION("""COMPUTED_VALUE"""),48856.0)</f>
        <v>48856</v>
      </c>
      <c r="V1120" s="149">
        <f>IFERROR(__xludf.DUMMYFUNCTION("""COMPUTED_VALUE"""),48673.0)</f>
        <v>48673</v>
      </c>
      <c r="W1120" t="str">
        <f>IFERROR(__xludf.DUMMYFUNCTION("""COMPUTED_VALUE"""),"ปลอดภัย")</f>
        <v>ปลอดภัย</v>
      </c>
      <c r="X1120" t="str">
        <f>IFERROR(__xludf.DUMMYFUNCTION("""COMPUTED_VALUE"""),"Bangkok")</f>
        <v>Bangkok</v>
      </c>
      <c r="Y1120" s="145" t="str">
        <f>IFERROR(__xludf.DUMMYFUNCTION("""COMPUTED_VALUE"""),"Bangkok")</f>
        <v>Bangkok</v>
      </c>
      <c r="Z1120" s="145" t="str">
        <f>IFERROR(__xludf.DUMMYFUNCTION("""COMPUTED_VALUE"""),"081-809-0228")</f>
        <v>081-809-0228</v>
      </c>
      <c r="AA1120" s="145" t="str">
        <f>IFERROR(__xludf.DUMMYFUNCTION("""COMPUTED_VALUE"""),"นายกัณฐัศว์ วุ่นทางบุญ Father")</f>
        <v>นายกัณฐัศว์ วุ่นทางบุญ Father</v>
      </c>
      <c r="AB1120" t="str">
        <f>IFERROR(__xludf.DUMMYFUNCTION("""COMPUTED_VALUE"""),"sherlynpolmethakull@airasia.com")</f>
        <v>sherlynpolmethakull@airasia.com</v>
      </c>
    </row>
    <row r="1121">
      <c r="A1121">
        <f>IFERROR(__xludf.DUMMYFUNCTION("""COMPUTED_VALUE"""),1040337.0)</f>
        <v>1040337</v>
      </c>
      <c r="B1121" t="str">
        <f>IFERROR(__xludf.DUMMYFUNCTION("""COMPUTED_VALUE"""),"Ms.")</f>
        <v>Ms.</v>
      </c>
      <c r="C1121" t="str">
        <f>IFERROR(__xludf.DUMMYFUNCTION("""COMPUTED_VALUE"""),"Monthicha")</f>
        <v>Monthicha</v>
      </c>
      <c r="D1121" t="str">
        <f>IFERROR(__xludf.DUMMYFUNCTION("""COMPUTED_VALUE"""),"Roschan")</f>
        <v>Roschan</v>
      </c>
      <c r="E1121" t="str">
        <f>IFERROR(__xludf.DUMMYFUNCTION("""COMPUTED_VALUE"""),"Monthicha Roschan")</f>
        <v>Monthicha Roschan</v>
      </c>
      <c r="F1121" t="str">
        <f>IFERROR(__xludf.DUMMYFUNCTION("""COMPUTED_VALUE"""),"นางสาว")</f>
        <v>นางสาว</v>
      </c>
      <c r="G1121" t="str">
        <f>IFERROR(__xludf.DUMMYFUNCTION("""COMPUTED_VALUE"""),"มณฑิชา")</f>
        <v>มณฑิชา</v>
      </c>
      <c r="H1121" t="str">
        <f>IFERROR(__xludf.DUMMYFUNCTION("""COMPUTED_VALUE"""),"รสจันทน์")</f>
        <v>รสจันทน์</v>
      </c>
      <c r="I1121" t="str">
        <f>IFERROR(__xludf.DUMMYFUNCTION("""COMPUTED_VALUE"""),"มณฑิชา รสจันทน์")</f>
        <v>มณฑิชา รสจันทน์</v>
      </c>
      <c r="J1121" s="145" t="str">
        <f>IFERROR(__xludf.DUMMYFUNCTION("""COMPUTED_VALUE"""),"Gift / กิ๊ฟ")</f>
        <v>Gift / กิ๊ฟ</v>
      </c>
      <c r="K1121" t="str">
        <f>IFERROR(__xludf.DUMMYFUNCTION("""COMPUTED_VALUE"""),"Cabin Crew")</f>
        <v>Cabin Crew</v>
      </c>
      <c r="L1121" t="str">
        <f>IFERROR(__xludf.DUMMYFUNCTION("""COMPUTED_VALUE"""),"DMK")</f>
        <v>DMK</v>
      </c>
      <c r="M1121" s="145" t="str">
        <f>IFERROR(__xludf.DUMMYFUNCTION("""COMPUTED_VALUE"""),"Namfon Home")</f>
        <v>Namfon Home</v>
      </c>
      <c r="N1121" t="str">
        <f>IFERROR(__xludf.DUMMYFUNCTION("""COMPUTED_VALUE"""),"Active")</f>
        <v>Active</v>
      </c>
      <c r="P1121" s="162">
        <f>IFERROR(__xludf.DUMMYFUNCTION("""COMPUTED_VALUE"""),36923.0)</f>
        <v>36923</v>
      </c>
      <c r="Q1121" s="146" t="str">
        <f>IFERROR(__xludf.DUMMYFUNCTION("""COMPUTED_VALUE"""),"085 131 8442")</f>
        <v>085 131 8442</v>
      </c>
      <c r="R1121" s="147" t="str">
        <f>IFERROR(__xludf.DUMMYFUNCTION("""COMPUTED_VALUE"""),"1-1037-03186-36-1")</f>
        <v>1-1037-03186-36-1</v>
      </c>
      <c r="S1121" t="str">
        <f>IFERROR(__xludf.DUMMYFUNCTION("""COMPUTED_VALUE"""),"AC5444008")</f>
        <v>AC5444008</v>
      </c>
      <c r="T1121" s="148">
        <f>IFERROR(__xludf.DUMMYFUNCTION("""COMPUTED_VALUE"""),45133.0)</f>
        <v>45133</v>
      </c>
      <c r="U1121" s="148">
        <f>IFERROR(__xludf.DUMMYFUNCTION("""COMPUTED_VALUE"""),48785.0)</f>
        <v>48785</v>
      </c>
      <c r="V1121" s="149">
        <f>IFERROR(__xludf.DUMMYFUNCTION("""COMPUTED_VALUE"""),48604.0)</f>
        <v>48604</v>
      </c>
      <c r="W1121" t="str">
        <f>IFERROR(__xludf.DUMMYFUNCTION("""COMPUTED_VALUE"""),"ปลอดภัย")</f>
        <v>ปลอดภัย</v>
      </c>
      <c r="X1121" t="str">
        <f>IFERROR(__xludf.DUMMYFUNCTION("""COMPUTED_VALUE"""),"Bangkok")</f>
        <v>Bangkok</v>
      </c>
      <c r="Y1121" s="145" t="str">
        <f>IFERROR(__xludf.DUMMYFUNCTION("""COMPUTED_VALUE"""),"Bangkok")</f>
        <v>Bangkok</v>
      </c>
      <c r="Z1121" s="145" t="str">
        <f>IFERROR(__xludf.DUMMYFUNCTION("""COMPUTED_VALUE"""),"0909267943")</f>
        <v>0909267943</v>
      </c>
      <c r="AA1121" s="145" t="str">
        <f>IFERROR(__xludf.DUMMYFUNCTION("""COMPUTED_VALUE"""),"นายมงคลรัฐ รสจันทน์ Brother")</f>
        <v>นายมงคลรัฐ รสจันทน์ Brother</v>
      </c>
      <c r="AB1121" t="str">
        <f>IFERROR(__xludf.DUMMYFUNCTION("""COMPUTED_VALUE"""),"monthicharoschan@airasia.com")</f>
        <v>monthicharoschan@airasia.com</v>
      </c>
    </row>
    <row r="1122">
      <c r="A1122">
        <f>IFERROR(__xludf.DUMMYFUNCTION("""COMPUTED_VALUE"""),1040359.0)</f>
        <v>1040359</v>
      </c>
      <c r="B1122" t="str">
        <f>IFERROR(__xludf.DUMMYFUNCTION("""COMPUTED_VALUE"""),"Ms.")</f>
        <v>Ms.</v>
      </c>
      <c r="C1122" t="str">
        <f>IFERROR(__xludf.DUMMYFUNCTION("""COMPUTED_VALUE"""),"Naphaphon")</f>
        <v>Naphaphon</v>
      </c>
      <c r="D1122" t="str">
        <f>IFERROR(__xludf.DUMMYFUNCTION("""COMPUTED_VALUE"""),"Khakham")</f>
        <v>Khakham</v>
      </c>
      <c r="E1122" t="str">
        <f>IFERROR(__xludf.DUMMYFUNCTION("""COMPUTED_VALUE"""),"Naphaphon Khakham")</f>
        <v>Naphaphon Khakham</v>
      </c>
      <c r="F1122" t="str">
        <f>IFERROR(__xludf.DUMMYFUNCTION("""COMPUTED_VALUE"""),"นางสาว")</f>
        <v>นางสาว</v>
      </c>
      <c r="G1122" t="str">
        <f>IFERROR(__xludf.DUMMYFUNCTION("""COMPUTED_VALUE"""),"นภาพร")</f>
        <v>นภาพร</v>
      </c>
      <c r="H1122" t="str">
        <f>IFERROR(__xludf.DUMMYFUNCTION("""COMPUTED_VALUE"""),"ค่าคาม")</f>
        <v>ค่าคาม</v>
      </c>
      <c r="I1122" t="str">
        <f>IFERROR(__xludf.DUMMYFUNCTION("""COMPUTED_VALUE"""),"นภาพร ค่าคาม")</f>
        <v>นภาพร ค่าคาม</v>
      </c>
      <c r="J1122" s="145" t="str">
        <f>IFERROR(__xludf.DUMMYFUNCTION("""COMPUTED_VALUE"""),"จีจี้")</f>
        <v>จีจี้</v>
      </c>
      <c r="K1122" t="str">
        <f>IFERROR(__xludf.DUMMYFUNCTION("""COMPUTED_VALUE"""),"Cabin Crew - CNX")</f>
        <v>Cabin Crew - CNX</v>
      </c>
      <c r="L1122" t="str">
        <f>IFERROR(__xludf.DUMMYFUNCTION("""COMPUTED_VALUE"""),"CNX")</f>
        <v>CNX</v>
      </c>
      <c r="M1122" s="145" t="str">
        <f>IFERROR(__xludf.DUMMYFUNCTION("""COMPUTED_VALUE"""),"Up Home")</f>
        <v>Up Home</v>
      </c>
      <c r="N1122" t="str">
        <f>IFERROR(__xludf.DUMMYFUNCTION("""COMPUTED_VALUE"""),"Active")</f>
        <v>Active</v>
      </c>
      <c r="P1122" s="162">
        <f>IFERROR(__xludf.DUMMYFUNCTION("""COMPUTED_VALUE"""),36548.0)</f>
        <v>36548</v>
      </c>
      <c r="Q1122" s="146" t="str">
        <f>IFERROR(__xludf.DUMMYFUNCTION("""COMPUTED_VALUE"""),"095 686 1218")</f>
        <v>095 686 1218</v>
      </c>
      <c r="R1122" s="147" t="str">
        <f>IFERROR(__xludf.DUMMYFUNCTION("""COMPUTED_VALUE"""),"1-5599-00380-02-2")</f>
        <v>1-5599-00380-02-2</v>
      </c>
      <c r="S1122" t="str">
        <f>IFERROR(__xludf.DUMMYFUNCTION("""COMPUTED_VALUE"""),"AC3383657")</f>
        <v>AC3383657</v>
      </c>
      <c r="T1122" s="148">
        <f>IFERROR(__xludf.DUMMYFUNCTION("""COMPUTED_VALUE"""),44727.0)</f>
        <v>44727</v>
      </c>
      <c r="U1122" s="148">
        <f>IFERROR(__xludf.DUMMYFUNCTION("""COMPUTED_VALUE"""),48379.0)</f>
        <v>48379</v>
      </c>
      <c r="V1122" s="149">
        <f>IFERROR(__xludf.DUMMYFUNCTION("""COMPUTED_VALUE"""),48196.0)</f>
        <v>48196</v>
      </c>
      <c r="W1122" t="str">
        <f>IFERROR(__xludf.DUMMYFUNCTION("""COMPUTED_VALUE"""),"ปลอดภัย")</f>
        <v>ปลอดภัย</v>
      </c>
      <c r="X1122" t="str">
        <f>IFERROR(__xludf.DUMMYFUNCTION("""COMPUTED_VALUE"""),"Nan Province")</f>
        <v>Nan Province</v>
      </c>
      <c r="Y1122" s="145" t="str">
        <f>IFERROR(__xludf.DUMMYFUNCTION("""COMPUTED_VALUE"""),"Nan")</f>
        <v>Nan</v>
      </c>
      <c r="Z1122" s="145" t="str">
        <f>IFERROR(__xludf.DUMMYFUNCTION("""COMPUTED_VALUE"""),"0644915199")</f>
        <v>0644915199</v>
      </c>
      <c r="AA1122" s="145" t="str">
        <f>IFERROR(__xludf.DUMMYFUNCTION("""COMPUTED_VALUE"""),"นายนิพิฐพนธ์ สุวรรณ์ Husband")</f>
        <v>นายนิพิฐพนธ์ สุวรรณ์ Husband</v>
      </c>
      <c r="AB1122" t="str">
        <f>IFERROR(__xludf.DUMMYFUNCTION("""COMPUTED_VALUE"""),"naphaphonkhakham@airasia.com")</f>
        <v>naphaphonkhakham@airasia.com</v>
      </c>
    </row>
    <row r="1123">
      <c r="A1123">
        <f>IFERROR(__xludf.DUMMYFUNCTION("""COMPUTED_VALUE"""),1040339.0)</f>
        <v>1040339</v>
      </c>
      <c r="B1123" t="str">
        <f>IFERROR(__xludf.DUMMYFUNCTION("""COMPUTED_VALUE"""),"Ms.")</f>
        <v>Ms.</v>
      </c>
      <c r="C1123" t="str">
        <f>IFERROR(__xludf.DUMMYFUNCTION("""COMPUTED_VALUE"""),"Nutthanita")</f>
        <v>Nutthanita</v>
      </c>
      <c r="D1123" t="str">
        <f>IFERROR(__xludf.DUMMYFUNCTION("""COMPUTED_VALUE"""),"Akarapasit")</f>
        <v>Akarapasit</v>
      </c>
      <c r="E1123" t="str">
        <f>IFERROR(__xludf.DUMMYFUNCTION("""COMPUTED_VALUE"""),"Nutthanita Akarapasit")</f>
        <v>Nutthanita Akarapasit</v>
      </c>
      <c r="F1123" t="str">
        <f>IFERROR(__xludf.DUMMYFUNCTION("""COMPUTED_VALUE"""),"นางสาว")</f>
        <v>นางสาว</v>
      </c>
      <c r="G1123" t="str">
        <f>IFERROR(__xludf.DUMMYFUNCTION("""COMPUTED_VALUE"""),"ณัฐฐานิตา")</f>
        <v>ณัฐฐานิตา</v>
      </c>
      <c r="H1123" t="str">
        <f>IFERROR(__xludf.DUMMYFUNCTION("""COMPUTED_VALUE"""),"อัครพสิษฐ์")</f>
        <v>อัครพสิษฐ์</v>
      </c>
      <c r="I1123" t="str">
        <f>IFERROR(__xludf.DUMMYFUNCTION("""COMPUTED_VALUE"""),"ณัฐฐานิตา อัครพสิษฐ์")</f>
        <v>ณัฐฐานิตา อัครพสิษฐ์</v>
      </c>
      <c r="J1123" s="145" t="str">
        <f>IFERROR(__xludf.DUMMYFUNCTION("""COMPUTED_VALUE"""),"แก้ม")</f>
        <v>แก้ม</v>
      </c>
      <c r="K1123" t="str">
        <f>IFERROR(__xludf.DUMMYFUNCTION("""COMPUTED_VALUE"""),"Cabin Crew")</f>
        <v>Cabin Crew</v>
      </c>
      <c r="L1123" t="str">
        <f>IFERROR(__xludf.DUMMYFUNCTION("""COMPUTED_VALUE"""),"DMK")</f>
        <v>DMK</v>
      </c>
      <c r="M1123" s="145" t="str">
        <f>IFERROR(__xludf.DUMMYFUNCTION("""COMPUTED_VALUE"""),"Toffy Home")</f>
        <v>Toffy Home</v>
      </c>
      <c r="N1123" t="str">
        <f>IFERROR(__xludf.DUMMYFUNCTION("""COMPUTED_VALUE"""),"V/LWP")</f>
        <v>V/LWP</v>
      </c>
      <c r="P1123" s="162">
        <f>IFERROR(__xludf.DUMMYFUNCTION("""COMPUTED_VALUE"""),35664.0)</f>
        <v>35664</v>
      </c>
      <c r="Q1123" s="146" t="str">
        <f>IFERROR(__xludf.DUMMYFUNCTION("""COMPUTED_VALUE"""),"083 2655991")</f>
        <v>083 2655991</v>
      </c>
      <c r="R1123" s="147" t="str">
        <f>IFERROR(__xludf.DUMMYFUNCTION("""COMPUTED_VALUE"""),"2-3099-01056-05-9")</f>
        <v>2-3099-01056-05-9</v>
      </c>
      <c r="S1123" t="str">
        <f>IFERROR(__xludf.DUMMYFUNCTION("""COMPUTED_VALUE"""),"AC5888794")</f>
        <v>AC5888794</v>
      </c>
      <c r="T1123" s="148">
        <f>IFERROR(__xludf.DUMMYFUNCTION("""COMPUTED_VALUE"""),45217.0)</f>
        <v>45217</v>
      </c>
      <c r="U1123" s="148">
        <f>IFERROR(__xludf.DUMMYFUNCTION("""COMPUTED_VALUE"""),47043.0)</f>
        <v>47043</v>
      </c>
      <c r="V1123" s="149">
        <f>IFERROR(__xludf.DUMMYFUNCTION("""COMPUTED_VALUE"""),46860.0)</f>
        <v>46860</v>
      </c>
      <c r="W1123" t="str">
        <f>IFERROR(__xludf.DUMMYFUNCTION("""COMPUTED_VALUE"""),"ปลอดภัย")</f>
        <v>ปลอดภัย</v>
      </c>
      <c r="X1123" t="str">
        <f>IFERROR(__xludf.DUMMYFUNCTION("""COMPUTED_VALUE"""),"Nakhon Ratchasima Province")</f>
        <v>Nakhon Ratchasima Province</v>
      </c>
      <c r="Y1123" s="145" t="str">
        <f>IFERROR(__xludf.DUMMYFUNCTION("""COMPUTED_VALUE"""),"nakhon ratchasima")</f>
        <v>nakhon ratchasima</v>
      </c>
      <c r="Z1123" s="145" t="str">
        <f>IFERROR(__xludf.DUMMYFUNCTION("""COMPUTED_VALUE"""),"0832265463")</f>
        <v>0832265463</v>
      </c>
      <c r="AA1123" s="145" t="str">
        <f>IFERROR(__xludf.DUMMYFUNCTION("""COMPUTED_VALUE"""),"นางสาวปรียาวัลย์ มหาชานนท์ Mother")</f>
        <v>นางสาวปรียาวัลย์ มหาชานนท์ Mother</v>
      </c>
      <c r="AB1123" t="str">
        <f>IFERROR(__xludf.DUMMYFUNCTION("""COMPUTED_VALUE"""),"nutthanitaakarapasit@airasia.com")</f>
        <v>nutthanitaakarapasit@airasia.com</v>
      </c>
    </row>
    <row r="1124">
      <c r="A1124">
        <f>IFERROR(__xludf.DUMMYFUNCTION("""COMPUTED_VALUE"""),1040336.0)</f>
        <v>1040336</v>
      </c>
      <c r="B1124" t="str">
        <f>IFERROR(__xludf.DUMMYFUNCTION("""COMPUTED_VALUE"""),"Ms.")</f>
        <v>Ms.</v>
      </c>
      <c r="C1124" t="str">
        <f>IFERROR(__xludf.DUMMYFUNCTION("""COMPUTED_VALUE"""),"Patcharapan")</f>
        <v>Patcharapan</v>
      </c>
      <c r="D1124" t="str">
        <f>IFERROR(__xludf.DUMMYFUNCTION("""COMPUTED_VALUE"""),"Suwanmanee")</f>
        <v>Suwanmanee</v>
      </c>
      <c r="E1124" t="str">
        <f>IFERROR(__xludf.DUMMYFUNCTION("""COMPUTED_VALUE"""),"Patcharapan Suwanmanee")</f>
        <v>Patcharapan Suwanmanee</v>
      </c>
      <c r="F1124" t="str">
        <f>IFERROR(__xludf.DUMMYFUNCTION("""COMPUTED_VALUE"""),"นางสาว")</f>
        <v>นางสาว</v>
      </c>
      <c r="G1124" t="str">
        <f>IFERROR(__xludf.DUMMYFUNCTION("""COMPUTED_VALUE"""),"พัชราพรรณ")</f>
        <v>พัชราพรรณ</v>
      </c>
      <c r="H1124" t="str">
        <f>IFERROR(__xludf.DUMMYFUNCTION("""COMPUTED_VALUE"""),"สุวรรณมณี")</f>
        <v>สุวรรณมณี</v>
      </c>
      <c r="I1124" t="str">
        <f>IFERROR(__xludf.DUMMYFUNCTION("""COMPUTED_VALUE"""),"พัชราพรรณ สุวรรณมณี")</f>
        <v>พัชราพรรณ สุวรรณมณี</v>
      </c>
      <c r="J1124" s="145" t="str">
        <f>IFERROR(__xludf.DUMMYFUNCTION("""COMPUTED_VALUE"""),"Noon / นุ่น")</f>
        <v>Noon / นุ่น</v>
      </c>
      <c r="K1124" t="str">
        <f>IFERROR(__xludf.DUMMYFUNCTION("""COMPUTED_VALUE"""),"Cabin Crew")</f>
        <v>Cabin Crew</v>
      </c>
      <c r="L1124" t="str">
        <f>IFERROR(__xludf.DUMMYFUNCTION("""COMPUTED_VALUE"""),"DMK")</f>
        <v>DMK</v>
      </c>
      <c r="M1124" s="145" t="str">
        <f>IFERROR(__xludf.DUMMYFUNCTION("""COMPUTED_VALUE"""),"Um Home")</f>
        <v>Um Home</v>
      </c>
      <c r="N1124" t="str">
        <f>IFERROR(__xludf.DUMMYFUNCTION("""COMPUTED_VALUE"""),"V/LWP")</f>
        <v>V/LWP</v>
      </c>
      <c r="P1124" s="162">
        <f>IFERROR(__xludf.DUMMYFUNCTION("""COMPUTED_VALUE"""),35240.0)</f>
        <v>35240</v>
      </c>
      <c r="Q1124" s="146" t="str">
        <f>IFERROR(__xludf.DUMMYFUNCTION("""COMPUTED_VALUE"""),"084 246 4926")</f>
        <v>084 246 4926</v>
      </c>
      <c r="R1124" s="147" t="str">
        <f>IFERROR(__xludf.DUMMYFUNCTION("""COMPUTED_VALUE"""),"1-9098-01055-88-0")</f>
        <v>1-9098-01055-88-0</v>
      </c>
      <c r="S1124" t="str">
        <f>IFERROR(__xludf.DUMMYFUNCTION("""COMPUTED_VALUE"""),"AC4208985")</f>
        <v>AC4208985</v>
      </c>
      <c r="T1124" s="148">
        <f>IFERROR(__xludf.DUMMYFUNCTION("""COMPUTED_VALUE"""),44890.0)</f>
        <v>44890</v>
      </c>
      <c r="U1124" s="148">
        <f>IFERROR(__xludf.DUMMYFUNCTION("""COMPUTED_VALUE"""),48542.0)</f>
        <v>48542</v>
      </c>
      <c r="V1124" s="149">
        <f>IFERROR(__xludf.DUMMYFUNCTION("""COMPUTED_VALUE"""),48358.0)</f>
        <v>48358</v>
      </c>
      <c r="W1124" t="str">
        <f>IFERROR(__xludf.DUMMYFUNCTION("""COMPUTED_VALUE"""),"ปลอดภัย")</f>
        <v>ปลอดภัย</v>
      </c>
      <c r="X1124" t="str">
        <f>IFERROR(__xludf.DUMMYFUNCTION("""COMPUTED_VALUE"""),"Songkhla Province")</f>
        <v>Songkhla Province</v>
      </c>
      <c r="Y1124" s="145" t="str">
        <f>IFERROR(__xludf.DUMMYFUNCTION("""COMPUTED_VALUE"""),"Songkra")</f>
        <v>Songkra</v>
      </c>
      <c r="Z1124" s="145" t="str">
        <f>IFERROR(__xludf.DUMMYFUNCTION("""COMPUTED_VALUE"""),"061-465-0666")</f>
        <v>061-465-0666</v>
      </c>
      <c r="AA1124" s="145" t="str">
        <f>IFERROR(__xludf.DUMMYFUNCTION("""COMPUTED_VALUE"""),"นางสาวทิพย์สุคนธ์ สุวรรณมณี Sister")</f>
        <v>นางสาวทิพย์สุคนธ์ สุวรรณมณี Sister</v>
      </c>
      <c r="AB1124" t="str">
        <f>IFERROR(__xludf.DUMMYFUNCTION("""COMPUTED_VALUE"""),"patcharapansuwanman@airasia.com")</f>
        <v>patcharapansuwanman@airasia.com</v>
      </c>
    </row>
    <row r="1125">
      <c r="A1125">
        <f>IFERROR(__xludf.DUMMYFUNCTION("""COMPUTED_VALUE"""),1040338.0)</f>
        <v>1040338</v>
      </c>
      <c r="B1125" t="str">
        <f>IFERROR(__xludf.DUMMYFUNCTION("""COMPUTED_VALUE"""),"Ms.")</f>
        <v>Ms.</v>
      </c>
      <c r="C1125" t="str">
        <f>IFERROR(__xludf.DUMMYFUNCTION("""COMPUTED_VALUE"""),"Piyakorn")</f>
        <v>Piyakorn</v>
      </c>
      <c r="D1125" t="str">
        <f>IFERROR(__xludf.DUMMYFUNCTION("""COMPUTED_VALUE"""),"Sripraphan")</f>
        <v>Sripraphan</v>
      </c>
      <c r="E1125" t="str">
        <f>IFERROR(__xludf.DUMMYFUNCTION("""COMPUTED_VALUE"""),"Piyakorn Sripraphan")</f>
        <v>Piyakorn Sripraphan</v>
      </c>
      <c r="F1125" t="str">
        <f>IFERROR(__xludf.DUMMYFUNCTION("""COMPUTED_VALUE"""),"นางสาว")</f>
        <v>นางสาว</v>
      </c>
      <c r="G1125" t="str">
        <f>IFERROR(__xludf.DUMMYFUNCTION("""COMPUTED_VALUE"""),"ปิยากร")</f>
        <v>ปิยากร</v>
      </c>
      <c r="H1125" t="str">
        <f>IFERROR(__xludf.DUMMYFUNCTION("""COMPUTED_VALUE"""),"ศรีประพันธ์")</f>
        <v>ศรีประพันธ์</v>
      </c>
      <c r="I1125" t="str">
        <f>IFERROR(__xludf.DUMMYFUNCTION("""COMPUTED_VALUE"""),"ปิยากร ศรีประพันธ์")</f>
        <v>ปิยากร ศรีประพันธ์</v>
      </c>
      <c r="J1125" s="145" t="str">
        <f>IFERROR(__xludf.DUMMYFUNCTION("""COMPUTED_VALUE"""),"Knew / นิว")</f>
        <v>Knew / นิว</v>
      </c>
      <c r="K1125" t="str">
        <f>IFERROR(__xludf.DUMMYFUNCTION("""COMPUTED_VALUE"""),"Cabin Crew")</f>
        <v>Cabin Crew</v>
      </c>
      <c r="L1125" t="str">
        <f>IFERROR(__xludf.DUMMYFUNCTION("""COMPUTED_VALUE"""),"DMK")</f>
        <v>DMK</v>
      </c>
      <c r="M1125" s="145" t="str">
        <f>IFERROR(__xludf.DUMMYFUNCTION("""COMPUTED_VALUE"""),"Kor Home")</f>
        <v>Kor Home</v>
      </c>
      <c r="N1125" t="str">
        <f>IFERROR(__xludf.DUMMYFUNCTION("""COMPUTED_VALUE"""),"V/LWP")</f>
        <v>V/LWP</v>
      </c>
      <c r="P1125" s="143">
        <f>IFERROR(__xludf.DUMMYFUNCTION("""COMPUTED_VALUE"""),37022.0)</f>
        <v>37022</v>
      </c>
      <c r="Q1125" s="146" t="str">
        <f>IFERROR(__xludf.DUMMYFUNCTION("""COMPUTED_VALUE"""),"062 921 5755")</f>
        <v>062 921 5755</v>
      </c>
      <c r="R1125" s="147" t="str">
        <f>IFERROR(__xludf.DUMMYFUNCTION("""COMPUTED_VALUE"""),"1-1008-01392-54-1")</f>
        <v>1-1008-01392-54-1</v>
      </c>
      <c r="S1125" t="str">
        <f>IFERROR(__xludf.DUMMYFUNCTION("""COMPUTED_VALUE"""),"AC5270457")</f>
        <v>AC5270457</v>
      </c>
      <c r="T1125" s="148">
        <f>IFERROR(__xludf.DUMMYFUNCTION("""COMPUTED_VALUE"""),45114.0)</f>
        <v>45114</v>
      </c>
      <c r="U1125" s="148">
        <f>IFERROR(__xludf.DUMMYFUNCTION("""COMPUTED_VALUE"""),46940.0)</f>
        <v>46940</v>
      </c>
      <c r="V1125" s="149">
        <f>IFERROR(__xludf.DUMMYFUNCTION("""COMPUTED_VALUE"""),46758.0)</f>
        <v>46758</v>
      </c>
      <c r="W1125" t="str">
        <f>IFERROR(__xludf.DUMMYFUNCTION("""COMPUTED_VALUE"""),"ปลอดภัย")</f>
        <v>ปลอดภัย</v>
      </c>
      <c r="X1125" t="str">
        <f>IFERROR(__xludf.DUMMYFUNCTION("""COMPUTED_VALUE"""),"Bangkok")</f>
        <v>Bangkok</v>
      </c>
      <c r="Y1125" s="145" t="str">
        <f>IFERROR(__xludf.DUMMYFUNCTION("""COMPUTED_VALUE"""),"Bangkok")</f>
        <v>Bangkok</v>
      </c>
      <c r="Z1125" s="145" t="str">
        <f>IFERROR(__xludf.DUMMYFUNCTION("""COMPUTED_VALUE"""),"086-539-3996")</f>
        <v>086-539-3996</v>
      </c>
      <c r="AA1125" s="145" t="str">
        <f>IFERROR(__xludf.DUMMYFUNCTION("""COMPUTED_VALUE"""),"นางมุกดาวรรณ ศรีประพันธ์ Mother")</f>
        <v>นางมุกดาวรรณ ศรีประพันธ์ Mother</v>
      </c>
      <c r="AB1125" t="str">
        <f>IFERROR(__xludf.DUMMYFUNCTION("""COMPUTED_VALUE"""),"piyakornsripraphan@airasia.com")</f>
        <v>piyakornsripraphan@airasia.com</v>
      </c>
    </row>
    <row r="1126">
      <c r="A1126">
        <f>IFERROR(__xludf.DUMMYFUNCTION("""COMPUTED_VALUE"""),1040344.0)</f>
        <v>1040344</v>
      </c>
      <c r="B1126" t="str">
        <f>IFERROR(__xludf.DUMMYFUNCTION("""COMPUTED_VALUE"""),"Ms.")</f>
        <v>Ms.</v>
      </c>
      <c r="C1126" t="str">
        <f>IFERROR(__xludf.DUMMYFUNCTION("""COMPUTED_VALUE"""),"Rinlaphat")</f>
        <v>Rinlaphat</v>
      </c>
      <c r="D1126" t="str">
        <f>IFERROR(__xludf.DUMMYFUNCTION("""COMPUTED_VALUE"""),"Wattanadechrojkul")</f>
        <v>Wattanadechrojkul</v>
      </c>
      <c r="E1126" t="str">
        <f>IFERROR(__xludf.DUMMYFUNCTION("""COMPUTED_VALUE"""),"Rinlaphat Wattanadechrojkul")</f>
        <v>Rinlaphat Wattanadechrojkul</v>
      </c>
      <c r="F1126" t="str">
        <f>IFERROR(__xludf.DUMMYFUNCTION("""COMPUTED_VALUE"""),"นางสาว")</f>
        <v>นางสาว</v>
      </c>
      <c r="G1126" t="str">
        <f>IFERROR(__xludf.DUMMYFUNCTION("""COMPUTED_VALUE"""),"รินทร์ลภัส")</f>
        <v>รินทร์ลภัส</v>
      </c>
      <c r="H1126" t="str">
        <f>IFERROR(__xludf.DUMMYFUNCTION("""COMPUTED_VALUE"""),"วัฒนเดชโรจน์กุล")</f>
        <v>วัฒนเดชโรจน์กุล</v>
      </c>
      <c r="I1126" t="str">
        <f>IFERROR(__xludf.DUMMYFUNCTION("""COMPUTED_VALUE"""),"รินทร์ลภัส วัฒนเดชโรจน์กุล")</f>
        <v>รินทร์ลภัส วัฒนเดชโรจน์กุล</v>
      </c>
      <c r="J1126" s="145" t="str">
        <f>IFERROR(__xludf.DUMMYFUNCTION("""COMPUTED_VALUE"""),"Enjoy/ เอ็นจอย")</f>
        <v>Enjoy/ เอ็นจอย</v>
      </c>
      <c r="K1126" t="str">
        <f>IFERROR(__xludf.DUMMYFUNCTION("""COMPUTED_VALUE"""),"Cabin Crew - HKT")</f>
        <v>Cabin Crew - HKT</v>
      </c>
      <c r="L1126" t="str">
        <f>IFERROR(__xludf.DUMMYFUNCTION("""COMPUTED_VALUE"""),"HKT")</f>
        <v>HKT</v>
      </c>
      <c r="M1126" s="145" t="str">
        <f>IFERROR(__xludf.DUMMYFUNCTION("""COMPUTED_VALUE"""),"Kor Home")</f>
        <v>Kor Home</v>
      </c>
      <c r="N1126" t="str">
        <f>IFERROR(__xludf.DUMMYFUNCTION("""COMPUTED_VALUE"""),"Active")</f>
        <v>Active</v>
      </c>
      <c r="P1126" s="162">
        <f>IFERROR(__xludf.DUMMYFUNCTION("""COMPUTED_VALUE"""),36839.0)</f>
        <v>36839</v>
      </c>
      <c r="Q1126" s="146" t="str">
        <f>IFERROR(__xludf.DUMMYFUNCTION("""COMPUTED_VALUE"""),"093 678 2319")</f>
        <v>093 678 2319</v>
      </c>
      <c r="R1126" s="147" t="str">
        <f>IFERROR(__xludf.DUMMYFUNCTION("""COMPUTED_VALUE"""),"1-8205-01190-54-7")</f>
        <v>1-8205-01190-54-7</v>
      </c>
      <c r="S1126" t="str">
        <f>IFERROR(__xludf.DUMMYFUNCTION("""COMPUTED_VALUE"""),"AD0970806")</f>
        <v>AD0970806</v>
      </c>
      <c r="T1126" s="148">
        <f>IFERROR(__xludf.DUMMYFUNCTION("""COMPUTED_VALUE"""),45038.0)</f>
        <v>45038</v>
      </c>
      <c r="U1126" s="148">
        <f>IFERROR(__xludf.DUMMYFUNCTION("""COMPUTED_VALUE"""),48690.0)</f>
        <v>48690</v>
      </c>
      <c r="V1126" s="149">
        <f>IFERROR(__xludf.DUMMYFUNCTION("""COMPUTED_VALUE"""),48508.0)</f>
        <v>48508</v>
      </c>
      <c r="W1126" t="str">
        <f>IFERROR(__xludf.DUMMYFUNCTION("""COMPUTED_VALUE"""),"ปลอดภัย")</f>
        <v>ปลอดภัย</v>
      </c>
      <c r="X1126" t="str">
        <f>IFERROR(__xludf.DUMMYFUNCTION("""COMPUTED_VALUE"""),"Phang Nga Province")</f>
        <v>Phang Nga Province</v>
      </c>
      <c r="Y1126" s="145" t="str">
        <f>IFERROR(__xludf.DUMMYFUNCTION("""COMPUTED_VALUE"""),"Phangnga")</f>
        <v>Phangnga</v>
      </c>
      <c r="Z1126" s="145" t="str">
        <f>IFERROR(__xludf.DUMMYFUNCTION("""COMPUTED_VALUE"""),"0616902179")</f>
        <v>0616902179</v>
      </c>
      <c r="AA1126" s="145" t="str">
        <f>IFERROR(__xludf.DUMMYFUNCTION("""COMPUTED_VALUE"""),"นายพีระวัฒน์ พวงทอง Friend")</f>
        <v>นายพีระวัฒน์ พวงทอง Friend</v>
      </c>
      <c r="AB1126" t="str">
        <f>IFERROR(__xludf.DUMMYFUNCTION("""COMPUTED_VALUE"""),"rinlaphatwattanadec@airasia.com")</f>
        <v>rinlaphatwattanadec@airasia.com</v>
      </c>
    </row>
    <row r="1127">
      <c r="A1127">
        <f>IFERROR(__xludf.DUMMYFUNCTION("""COMPUTED_VALUE"""),1040334.0)</f>
        <v>1040334</v>
      </c>
      <c r="B1127" t="str">
        <f>IFERROR(__xludf.DUMMYFUNCTION("""COMPUTED_VALUE"""),"Ms.")</f>
        <v>Ms.</v>
      </c>
      <c r="C1127" t="str">
        <f>IFERROR(__xludf.DUMMYFUNCTION("""COMPUTED_VALUE"""),"Switta")</f>
        <v>Switta</v>
      </c>
      <c r="D1127" t="str">
        <f>IFERROR(__xludf.DUMMYFUNCTION("""COMPUTED_VALUE"""),"Pongdontree")</f>
        <v>Pongdontree</v>
      </c>
      <c r="E1127" t="str">
        <f>IFERROR(__xludf.DUMMYFUNCTION("""COMPUTED_VALUE"""),"Switta Pongdontree")</f>
        <v>Switta Pongdontree</v>
      </c>
      <c r="F1127" t="str">
        <f>IFERROR(__xludf.DUMMYFUNCTION("""COMPUTED_VALUE"""),"นางสาว")</f>
        <v>นางสาว</v>
      </c>
      <c r="G1127" t="str">
        <f>IFERROR(__xludf.DUMMYFUNCTION("""COMPUTED_VALUE"""),"สวิตตา")</f>
        <v>สวิตตา</v>
      </c>
      <c r="H1127" t="str">
        <f>IFERROR(__xludf.DUMMYFUNCTION("""COMPUTED_VALUE"""),"พงษ์ดนตรี")</f>
        <v>พงษ์ดนตรี</v>
      </c>
      <c r="I1127" t="str">
        <f>IFERROR(__xludf.DUMMYFUNCTION("""COMPUTED_VALUE"""),"สวิตตา พงษ์ดนตรี")</f>
        <v>สวิตตา พงษ์ดนตรี</v>
      </c>
      <c r="J1127" s="145" t="str">
        <f>IFERROR(__xludf.DUMMYFUNCTION("""COMPUTED_VALUE"""),"Dazy / เดซี่")</f>
        <v>Dazy / เดซี่</v>
      </c>
      <c r="K1127" t="str">
        <f>IFERROR(__xludf.DUMMYFUNCTION("""COMPUTED_VALUE"""),"Cabin Crew")</f>
        <v>Cabin Crew</v>
      </c>
      <c r="L1127" t="str">
        <f>IFERROR(__xludf.DUMMYFUNCTION("""COMPUTED_VALUE"""),"DMK")</f>
        <v>DMK</v>
      </c>
      <c r="M1127" s="145" t="str">
        <f>IFERROR(__xludf.DUMMYFUNCTION("""COMPUTED_VALUE"""),"Namfon Home")</f>
        <v>Namfon Home</v>
      </c>
      <c r="N1127" t="str">
        <f>IFERROR(__xludf.DUMMYFUNCTION("""COMPUTED_VALUE"""),"Active")</f>
        <v>Active</v>
      </c>
      <c r="P1127" s="162">
        <f>IFERROR(__xludf.DUMMYFUNCTION("""COMPUTED_VALUE"""),36446.0)</f>
        <v>36446</v>
      </c>
      <c r="Q1127" s="146" t="str">
        <f>IFERROR(__xludf.DUMMYFUNCTION("""COMPUTED_VALUE"""),"094 927 6665")</f>
        <v>094 927 6665</v>
      </c>
      <c r="R1127" s="147" t="str">
        <f>IFERROR(__xludf.DUMMYFUNCTION("""COMPUTED_VALUE"""),"1-1037-02903-05-1")</f>
        <v>1-1037-02903-05-1</v>
      </c>
      <c r="S1127" t="str">
        <f>IFERROR(__xludf.DUMMYFUNCTION("""COMPUTED_VALUE"""),"AC5063415")</f>
        <v>AC5063415</v>
      </c>
      <c r="T1127" s="148">
        <f>IFERROR(__xludf.DUMMYFUNCTION("""COMPUTED_VALUE"""),45075.0)</f>
        <v>45075</v>
      </c>
      <c r="U1127" s="148">
        <f>IFERROR(__xludf.DUMMYFUNCTION("""COMPUTED_VALUE"""),46901.0)</f>
        <v>46901</v>
      </c>
      <c r="V1127" s="149">
        <f>IFERROR(__xludf.DUMMYFUNCTION("""COMPUTED_VALUE"""),46719.0)</f>
        <v>46719</v>
      </c>
      <c r="W1127" t="str">
        <f>IFERROR(__xludf.DUMMYFUNCTION("""COMPUTED_VALUE"""),"ปลอดภัย")</f>
        <v>ปลอดภัย</v>
      </c>
      <c r="X1127" t="str">
        <f>IFERROR(__xludf.DUMMYFUNCTION("""COMPUTED_VALUE"""),"Bangkok")</f>
        <v>Bangkok</v>
      </c>
      <c r="Y1127" s="145" t="str">
        <f>IFERROR(__xludf.DUMMYFUNCTION("""COMPUTED_VALUE"""),"Bangkok")</f>
        <v>Bangkok</v>
      </c>
      <c r="Z1127" s="145" t="str">
        <f>IFERROR(__xludf.DUMMYFUNCTION("""COMPUTED_VALUE"""),"094-858-4114")</f>
        <v>094-858-4114</v>
      </c>
      <c r="AA1127" s="145" t="str">
        <f>IFERROR(__xludf.DUMMYFUNCTION("""COMPUTED_VALUE"""),"นางเนตรดาว พงษ์ดนตรี Mother")</f>
        <v>นางเนตรดาว พงษ์ดนตรี Mother</v>
      </c>
      <c r="AB1127" t="str">
        <f>IFERROR(__xludf.DUMMYFUNCTION("""COMPUTED_VALUE"""),"swittapongdontree@airasia.com")</f>
        <v>swittapongdontree@airasia.com</v>
      </c>
    </row>
    <row r="1128">
      <c r="A1128">
        <f>IFERROR(__xludf.DUMMYFUNCTION("""COMPUTED_VALUE"""),1040347.0)</f>
        <v>1040347</v>
      </c>
      <c r="B1128" t="str">
        <f>IFERROR(__xludf.DUMMYFUNCTION("""COMPUTED_VALUE"""),"Ms.")</f>
        <v>Ms.</v>
      </c>
      <c r="C1128" t="str">
        <f>IFERROR(__xludf.DUMMYFUNCTION("""COMPUTED_VALUE"""),"Thatchanya")</f>
        <v>Thatchanya</v>
      </c>
      <c r="D1128" t="str">
        <f>IFERROR(__xludf.DUMMYFUNCTION("""COMPUTED_VALUE"""),"Wongsachayo")</f>
        <v>Wongsachayo</v>
      </c>
      <c r="E1128" t="str">
        <f>IFERROR(__xludf.DUMMYFUNCTION("""COMPUTED_VALUE"""),"Thatchanya Wongsachayo")</f>
        <v>Thatchanya Wongsachayo</v>
      </c>
      <c r="F1128" t="str">
        <f>IFERROR(__xludf.DUMMYFUNCTION("""COMPUTED_VALUE"""),"นางสาว")</f>
        <v>นางสาว</v>
      </c>
      <c r="G1128" t="str">
        <f>IFERROR(__xludf.DUMMYFUNCTION("""COMPUTED_VALUE"""),"ธัชชัญญา")</f>
        <v>ธัชชัญญา</v>
      </c>
      <c r="H1128" t="str">
        <f>IFERROR(__xludf.DUMMYFUNCTION("""COMPUTED_VALUE"""),"วงศาชโย")</f>
        <v>วงศาชโย</v>
      </c>
      <c r="I1128" t="str">
        <f>IFERROR(__xludf.DUMMYFUNCTION("""COMPUTED_VALUE"""),"ธัชชัญญา วงศาชโย")</f>
        <v>ธัชชัญญา วงศาชโย</v>
      </c>
      <c r="J1128" s="145" t="str">
        <f>IFERROR(__xludf.DUMMYFUNCTION("""COMPUTED_VALUE"""),"Almond / แอลมอนด์")</f>
        <v>Almond / แอลมอนด์</v>
      </c>
      <c r="K1128" t="str">
        <f>IFERROR(__xludf.DUMMYFUNCTION("""COMPUTED_VALUE"""),"Cabin Crew")</f>
        <v>Cabin Crew</v>
      </c>
      <c r="L1128" t="str">
        <f>IFERROR(__xludf.DUMMYFUNCTION("""COMPUTED_VALUE"""),"DMK")</f>
        <v>DMK</v>
      </c>
      <c r="M1128" s="145" t="str">
        <f>IFERROR(__xludf.DUMMYFUNCTION("""COMPUTED_VALUE"""),"Nhui Home")</f>
        <v>Nhui Home</v>
      </c>
      <c r="N1128" t="str">
        <f>IFERROR(__xludf.DUMMYFUNCTION("""COMPUTED_VALUE"""),"Active")</f>
        <v>Active</v>
      </c>
      <c r="P1128" s="162">
        <f>IFERROR(__xludf.DUMMYFUNCTION("""COMPUTED_VALUE"""),36793.0)</f>
        <v>36793</v>
      </c>
      <c r="Q1128" s="146" t="str">
        <f>IFERROR(__xludf.DUMMYFUNCTION("""COMPUTED_VALUE"""),"080 049 5602")</f>
        <v>080 049 5602</v>
      </c>
      <c r="R1128" s="147" t="str">
        <f>IFERROR(__xludf.DUMMYFUNCTION("""COMPUTED_VALUE"""),"1-7399-01903-45-1")</f>
        <v>1-7399-01903-45-1</v>
      </c>
      <c r="S1128" t="str">
        <f>IFERROR(__xludf.DUMMYFUNCTION("""COMPUTED_VALUE"""),"AC6768946")</f>
        <v>AC6768946</v>
      </c>
      <c r="T1128" s="148">
        <f>IFERROR(__xludf.DUMMYFUNCTION("""COMPUTED_VALUE"""),45427.0)</f>
        <v>45427</v>
      </c>
      <c r="U1128" s="148">
        <f>IFERROR(__xludf.DUMMYFUNCTION("""COMPUTED_VALUE"""),49078.0)</f>
        <v>49078</v>
      </c>
      <c r="V1128" s="149">
        <f>IFERROR(__xludf.DUMMYFUNCTION("""COMPUTED_VALUE"""),48897.0)</f>
        <v>48897</v>
      </c>
      <c r="W1128" t="str">
        <f>IFERROR(__xludf.DUMMYFUNCTION("""COMPUTED_VALUE"""),"ปลอดภัย")</f>
        <v>ปลอดภัย</v>
      </c>
      <c r="X1128" t="str">
        <f>IFERROR(__xludf.DUMMYFUNCTION("""COMPUTED_VALUE"""),"Nakhon Pathom Province")</f>
        <v>Nakhon Pathom Province</v>
      </c>
      <c r="Y1128" s="145" t="str">
        <f>IFERROR(__xludf.DUMMYFUNCTION("""COMPUTED_VALUE"""),"nakornpathom")</f>
        <v>nakornpathom</v>
      </c>
      <c r="Z1128" s="145" t="str">
        <f>IFERROR(__xludf.DUMMYFUNCTION("""COMPUTED_VALUE"""),"089-836-1121")</f>
        <v>089-836-1121</v>
      </c>
      <c r="AA1128" s="145" t="str">
        <f>IFERROR(__xludf.DUMMYFUNCTION("""COMPUTED_VALUE"""),"นางวิภา วงศาชโย Mother")</f>
        <v>นางวิภา วงศาชโย Mother</v>
      </c>
      <c r="AB1128" t="str">
        <f>IFERROR(__xludf.DUMMYFUNCTION("""COMPUTED_VALUE"""),"thatchanyawongsacha@airasia.com")</f>
        <v>thatchanyawongsacha@airasia.com</v>
      </c>
    </row>
    <row r="1129">
      <c r="A1129">
        <f>IFERROR(__xludf.DUMMYFUNCTION("""COMPUTED_VALUE"""),1040333.0)</f>
        <v>1040333</v>
      </c>
      <c r="B1129" t="str">
        <f>IFERROR(__xludf.DUMMYFUNCTION("""COMPUTED_VALUE"""),"Ms.")</f>
        <v>Ms.</v>
      </c>
      <c r="C1129" t="str">
        <f>IFERROR(__xludf.DUMMYFUNCTION("""COMPUTED_VALUE"""),"Warisara")</f>
        <v>Warisara</v>
      </c>
      <c r="D1129" t="str">
        <f>IFERROR(__xludf.DUMMYFUNCTION("""COMPUTED_VALUE"""),"Chaoyut")</f>
        <v>Chaoyut</v>
      </c>
      <c r="E1129" t="str">
        <f>IFERROR(__xludf.DUMMYFUNCTION("""COMPUTED_VALUE"""),"Warisara Chaoyut")</f>
        <v>Warisara Chaoyut</v>
      </c>
      <c r="F1129" t="str">
        <f>IFERROR(__xludf.DUMMYFUNCTION("""COMPUTED_VALUE"""),"นางสาว")</f>
        <v>นางสาว</v>
      </c>
      <c r="G1129" t="str">
        <f>IFERROR(__xludf.DUMMYFUNCTION("""COMPUTED_VALUE"""),"วริศรา")</f>
        <v>วริศรา</v>
      </c>
      <c r="H1129" t="str">
        <f>IFERROR(__xludf.DUMMYFUNCTION("""COMPUTED_VALUE"""),"เชาว์ยุทธ์")</f>
        <v>เชาว์ยุทธ์</v>
      </c>
      <c r="I1129" t="str">
        <f>IFERROR(__xludf.DUMMYFUNCTION("""COMPUTED_VALUE"""),"วริศรา เชาว์ยุทธ์")</f>
        <v>วริศรา เชาว์ยุทธ์</v>
      </c>
      <c r="J1129" s="145" t="str">
        <f>IFERROR(__xludf.DUMMYFUNCTION("""COMPUTED_VALUE"""),"Praew/แพรว")</f>
        <v>Praew/แพรว</v>
      </c>
      <c r="K1129" t="str">
        <f>IFERROR(__xludf.DUMMYFUNCTION("""COMPUTED_VALUE"""),"Cabin Crew - CNX")</f>
        <v>Cabin Crew - CNX</v>
      </c>
      <c r="L1129" t="str">
        <f>IFERROR(__xludf.DUMMYFUNCTION("""COMPUTED_VALUE"""),"CNX")</f>
        <v>CNX</v>
      </c>
      <c r="M1129" s="145" t="str">
        <f>IFERROR(__xludf.DUMMYFUNCTION("""COMPUTED_VALUE"""),"Up Home")</f>
        <v>Up Home</v>
      </c>
      <c r="N1129" t="str">
        <f>IFERROR(__xludf.DUMMYFUNCTION("""COMPUTED_VALUE"""),"Active")</f>
        <v>Active</v>
      </c>
      <c r="P1129" s="162">
        <f>IFERROR(__xludf.DUMMYFUNCTION("""COMPUTED_VALUE"""),35146.0)</f>
        <v>35146</v>
      </c>
      <c r="Q1129" s="146" t="str">
        <f>IFERROR(__xludf.DUMMYFUNCTION("""COMPUTED_VALUE"""),"096 678 6963")</f>
        <v>096 678 6963</v>
      </c>
      <c r="R1129" s="147" t="str">
        <f>IFERROR(__xludf.DUMMYFUNCTION("""COMPUTED_VALUE"""),"1-5799-00654-92-1")</f>
        <v>1-5799-00654-92-1</v>
      </c>
      <c r="S1129" t="str">
        <f>IFERROR(__xludf.DUMMYFUNCTION("""COMPUTED_VALUE"""),"AD0144570")</f>
        <v>AD0144570</v>
      </c>
      <c r="T1129" s="148">
        <f>IFERROR(__xludf.DUMMYFUNCTION("""COMPUTED_VALUE"""),44851.0)</f>
        <v>44851</v>
      </c>
      <c r="U1129" s="148">
        <f>IFERROR(__xludf.DUMMYFUNCTION("""COMPUTED_VALUE"""),48503.0)</f>
        <v>48503</v>
      </c>
      <c r="V1129" s="149">
        <f>IFERROR(__xludf.DUMMYFUNCTION("""COMPUTED_VALUE"""),48320.0)</f>
        <v>48320</v>
      </c>
      <c r="W1129" t="str">
        <f>IFERROR(__xludf.DUMMYFUNCTION("""COMPUTED_VALUE"""),"ปลอดภัย")</f>
        <v>ปลอดภัย</v>
      </c>
      <c r="X1129" t="str">
        <f>IFERROR(__xludf.DUMMYFUNCTION("""COMPUTED_VALUE"""),"Chiang Rai Province")</f>
        <v>Chiang Rai Province</v>
      </c>
      <c r="Y1129" s="145" t="str">
        <f>IFERROR(__xludf.DUMMYFUNCTION("""COMPUTED_VALUE"""),"Chiang rai")</f>
        <v>Chiang rai</v>
      </c>
      <c r="Z1129" s="145" t="str">
        <f>IFERROR(__xludf.DUMMYFUNCTION("""COMPUTED_VALUE"""),"089-2630612")</f>
        <v>089-2630612</v>
      </c>
      <c r="AA1129" s="145" t="str">
        <f>IFERROR(__xludf.DUMMYFUNCTION("""COMPUTED_VALUE"""),"นางสาวศิริลักษณ์ เชาว์ยุทธ์ Mother")</f>
        <v>นางสาวศิริลักษณ์ เชาว์ยุทธ์ Mother</v>
      </c>
      <c r="AB1129" t="str">
        <f>IFERROR(__xludf.DUMMYFUNCTION("""COMPUTED_VALUE"""),"warisarachaoyut@airasia.com")</f>
        <v>warisarachaoyut@airasia.com</v>
      </c>
    </row>
    <row r="1130">
      <c r="A1130">
        <f>IFERROR(__xludf.DUMMYFUNCTION("""COMPUTED_VALUE"""),1040332.0)</f>
        <v>1040332</v>
      </c>
      <c r="B1130" t="str">
        <f>IFERROR(__xludf.DUMMYFUNCTION("""COMPUTED_VALUE"""),"Ms.")</f>
        <v>Ms.</v>
      </c>
      <c r="C1130" t="str">
        <f>IFERROR(__xludf.DUMMYFUNCTION("""COMPUTED_VALUE"""),"Wijittra")</f>
        <v>Wijittra</v>
      </c>
      <c r="D1130" t="str">
        <f>IFERROR(__xludf.DUMMYFUNCTION("""COMPUTED_VALUE"""),"Asawasukhon")</f>
        <v>Asawasukhon</v>
      </c>
      <c r="E1130" t="str">
        <f>IFERROR(__xludf.DUMMYFUNCTION("""COMPUTED_VALUE"""),"Wijittra Asawasukhon")</f>
        <v>Wijittra Asawasukhon</v>
      </c>
      <c r="F1130" t="str">
        <f>IFERROR(__xludf.DUMMYFUNCTION("""COMPUTED_VALUE"""),"นางสาว")</f>
        <v>นางสาว</v>
      </c>
      <c r="G1130" t="str">
        <f>IFERROR(__xludf.DUMMYFUNCTION("""COMPUTED_VALUE"""),"วิจิตรา")</f>
        <v>วิจิตรา</v>
      </c>
      <c r="H1130" t="str">
        <f>IFERROR(__xludf.DUMMYFUNCTION("""COMPUTED_VALUE"""),"อัศวสุคนธ์")</f>
        <v>อัศวสุคนธ์</v>
      </c>
      <c r="I1130" t="str">
        <f>IFERROR(__xludf.DUMMYFUNCTION("""COMPUTED_VALUE"""),"วิจิตรา อัศวสุคนธ์")</f>
        <v>วิจิตรา อัศวสุคนธ์</v>
      </c>
      <c r="J1130" s="145" t="str">
        <f>IFERROR(__xludf.DUMMYFUNCTION("""COMPUTED_VALUE"""),"Ying / หญิง")</f>
        <v>Ying / หญิง</v>
      </c>
      <c r="K1130" t="str">
        <f>IFERROR(__xludf.DUMMYFUNCTION("""COMPUTED_VALUE"""),"Cabin Crew - CNX")</f>
        <v>Cabin Crew - CNX</v>
      </c>
      <c r="L1130" t="str">
        <f>IFERROR(__xludf.DUMMYFUNCTION("""COMPUTED_VALUE"""),"CNX")</f>
        <v>CNX</v>
      </c>
      <c r="M1130" s="145" t="str">
        <f>IFERROR(__xludf.DUMMYFUNCTION("""COMPUTED_VALUE"""),"Up Home")</f>
        <v>Up Home</v>
      </c>
      <c r="N1130" t="str">
        <f>IFERROR(__xludf.DUMMYFUNCTION("""COMPUTED_VALUE"""),"Active")</f>
        <v>Active</v>
      </c>
      <c r="P1130" s="162">
        <f>IFERROR(__xludf.DUMMYFUNCTION("""COMPUTED_VALUE"""),34997.0)</f>
        <v>34997</v>
      </c>
      <c r="Q1130" s="146" t="str">
        <f>IFERROR(__xludf.DUMMYFUNCTION("""COMPUTED_VALUE"""),"089 851 2448")</f>
        <v>089 851 2448</v>
      </c>
      <c r="R1130" s="147" t="str">
        <f>IFERROR(__xludf.DUMMYFUNCTION("""COMPUTED_VALUE"""),"1-5799-00625-93-9")</f>
        <v>1-5799-00625-93-9</v>
      </c>
      <c r="S1130" t="str">
        <f>IFERROR(__xludf.DUMMYFUNCTION("""COMPUTED_VALUE"""),"AC4830902")</f>
        <v>AC4830902</v>
      </c>
      <c r="T1130" s="148">
        <f>IFERROR(__xludf.DUMMYFUNCTION("""COMPUTED_VALUE"""),45018.0)</f>
        <v>45018</v>
      </c>
      <c r="U1130" s="148">
        <f>IFERROR(__xludf.DUMMYFUNCTION("""COMPUTED_VALUE"""),46844.0)</f>
        <v>46844</v>
      </c>
      <c r="V1130" s="149">
        <f>IFERROR(__xludf.DUMMYFUNCTION("""COMPUTED_VALUE"""),46661.0)</f>
        <v>46661</v>
      </c>
      <c r="W1130" t="str">
        <f>IFERROR(__xludf.DUMMYFUNCTION("""COMPUTED_VALUE"""),"ปลอดภัย")</f>
        <v>ปลอดภัย</v>
      </c>
      <c r="X1130" t="str">
        <f>IFERROR(__xludf.DUMMYFUNCTION("""COMPUTED_VALUE"""),"Chiang Rai Province")</f>
        <v>Chiang Rai Province</v>
      </c>
      <c r="Y1130" s="145" t="str">
        <f>IFERROR(__xludf.DUMMYFUNCTION("""COMPUTED_VALUE"""),"Chiang rai")</f>
        <v>Chiang rai</v>
      </c>
      <c r="Z1130" s="145" t="str">
        <f>IFERROR(__xludf.DUMMYFUNCTION("""COMPUTED_VALUE"""),"081-993-9001")</f>
        <v>081-993-9001</v>
      </c>
      <c r="AA1130" s="145" t="str">
        <f>IFERROR(__xludf.DUMMYFUNCTION("""COMPUTED_VALUE"""),"นางสาวจิรา อินทจักร Mother")</f>
        <v>นางสาวจิรา อินทจักร Mother</v>
      </c>
      <c r="AB1130" t="str">
        <f>IFERROR(__xludf.DUMMYFUNCTION("""COMPUTED_VALUE"""),"wijittraasawasukhon@airasia.com")</f>
        <v>wijittraasawasukhon@airasia.com</v>
      </c>
    </row>
    <row r="1131">
      <c r="AB1131" t="str">
        <f>IFERROR(__xludf.DUMMYFUNCTION("""COMPUTED_VALUE"""),"")</f>
        <v/>
      </c>
    </row>
    <row r="1132">
      <c r="A1132">
        <f>IFERROR(__xludf.DUMMYFUNCTION("""COMPUTED_VALUE"""),1040505.0)</f>
        <v>1040505</v>
      </c>
      <c r="B1132" t="str">
        <f>IFERROR(__xludf.DUMMYFUNCTION("""COMPUTED_VALUE"""),"Ms.")</f>
        <v>Ms.</v>
      </c>
      <c r="C1132" t="str">
        <f>IFERROR(__xludf.DUMMYFUNCTION("""COMPUTED_VALUE"""),"Atchamaporn")</f>
        <v>Atchamaporn</v>
      </c>
      <c r="D1132" t="str">
        <f>IFERROR(__xludf.DUMMYFUNCTION("""COMPUTED_VALUE"""),"Pimrin")</f>
        <v>Pimrin</v>
      </c>
      <c r="E1132" t="str">
        <f>IFERROR(__xludf.DUMMYFUNCTION("""COMPUTED_VALUE"""),"Atchamaporn Pimrin")</f>
        <v>Atchamaporn Pimrin</v>
      </c>
      <c r="F1132" t="str">
        <f>IFERROR(__xludf.DUMMYFUNCTION("""COMPUTED_VALUE"""),"นางสาว")</f>
        <v>นางสาว</v>
      </c>
      <c r="G1132" t="str">
        <f>IFERROR(__xludf.DUMMYFUNCTION("""COMPUTED_VALUE"""),"อัฌมาภรณ์")</f>
        <v>อัฌมาภรณ์</v>
      </c>
      <c r="H1132" t="str">
        <f>IFERROR(__xludf.DUMMYFUNCTION("""COMPUTED_VALUE"""),"พิมรินทร์")</f>
        <v>พิมรินทร์</v>
      </c>
      <c r="I1132" t="str">
        <f>IFERROR(__xludf.DUMMYFUNCTION("""COMPUTED_VALUE"""),"อัฌมาภรณ์ พิมรินทร์")</f>
        <v>อัฌมาภรณ์ พิมรินทร์</v>
      </c>
      <c r="J1132" t="str">
        <f>IFERROR(__xludf.DUMMYFUNCTION("""COMPUTED_VALUE"""),"Aom / ออม")</f>
        <v>Aom / ออม</v>
      </c>
      <c r="K1132" t="str">
        <f>IFERROR(__xludf.DUMMYFUNCTION("""COMPUTED_VALUE"""),"Cabin Crew")</f>
        <v>Cabin Crew</v>
      </c>
      <c r="L1132" t="str">
        <f>IFERROR(__xludf.DUMMYFUNCTION("""COMPUTED_VALUE"""),"DMK")</f>
        <v>DMK</v>
      </c>
      <c r="M1132" s="145" t="str">
        <f>IFERROR(__xludf.DUMMYFUNCTION("""COMPUTED_VALUE"""),"Por+ Home")</f>
        <v>Por+ Home</v>
      </c>
      <c r="N1132" t="str">
        <f>IFERROR(__xludf.DUMMYFUNCTION("""COMPUTED_VALUE"""),"Active")</f>
        <v>Active</v>
      </c>
      <c r="P1132" s="163">
        <f>IFERROR(__xludf.DUMMYFUNCTION("""COMPUTED_VALUE"""),36392.0)</f>
        <v>36392</v>
      </c>
      <c r="Q1132" s="146" t="str">
        <f>IFERROR(__xludf.DUMMYFUNCTION("""COMPUTED_VALUE"""),"091 060 4751")</f>
        <v>091 060 4751</v>
      </c>
      <c r="R1132" s="146" t="str">
        <f>IFERROR(__xludf.DUMMYFUNCTION("""COMPUTED_VALUE"""),"1-4099-01831-13-4")</f>
        <v>1-4099-01831-13-4</v>
      </c>
      <c r="S1132" t="str">
        <f>IFERROR(__xludf.DUMMYFUNCTION("""COMPUTED_VALUE"""),"AC5338487")</f>
        <v>AC5338487</v>
      </c>
      <c r="T1132" s="148">
        <f>IFERROR(__xludf.DUMMYFUNCTION("""COMPUTED_VALUE"""),45094.0)</f>
        <v>45094</v>
      </c>
      <c r="U1132" s="148">
        <f>IFERROR(__xludf.DUMMYFUNCTION("""COMPUTED_VALUE"""),48746.0)</f>
        <v>48746</v>
      </c>
      <c r="V1132" s="149">
        <f>IFERROR(__xludf.DUMMYFUNCTION("""COMPUTED_VALUE"""),48564.0)</f>
        <v>48564</v>
      </c>
      <c r="W1132" t="str">
        <f>IFERROR(__xludf.DUMMYFUNCTION("""COMPUTED_VALUE"""),"ปลอดภัย")</f>
        <v>ปลอดภัย</v>
      </c>
      <c r="X1132" t="str">
        <f>IFERROR(__xludf.DUMMYFUNCTION("""COMPUTED_VALUE"""),"Khon Kaen Province")</f>
        <v>Khon Kaen Province</v>
      </c>
      <c r="Y1132" t="str">
        <f>IFERROR(__xludf.DUMMYFUNCTION("""COMPUTED_VALUE"""),"Bangkok")</f>
        <v>Bangkok</v>
      </c>
      <c r="Z1132" s="161" t="str">
        <f>IFERROR(__xludf.DUMMYFUNCTION("""COMPUTED_VALUE"""),"089-711-6418")</f>
        <v>089-711-6418</v>
      </c>
      <c r="AA1132" t="str">
        <f>IFERROR(__xludf.DUMMYFUNCTION("""COMPUTED_VALUE"""),"นายผาด พิมรินทร์ Father")</f>
        <v>นายผาด พิมรินทร์ Father</v>
      </c>
      <c r="AB1132" t="str">
        <f>IFERROR(__xludf.DUMMYFUNCTION("""COMPUTED_VALUE"""),"atchamapornpimrin@airasia.com")</f>
        <v>atchamapornpimrin@airasia.com</v>
      </c>
    </row>
    <row r="1133">
      <c r="A1133">
        <f>IFERROR(__xludf.DUMMYFUNCTION("""COMPUTED_VALUE"""),1040506.0)</f>
        <v>1040506</v>
      </c>
      <c r="B1133" t="str">
        <f>IFERROR(__xludf.DUMMYFUNCTION("""COMPUTED_VALUE"""),"Ms.")</f>
        <v>Ms.</v>
      </c>
      <c r="C1133" t="str">
        <f>IFERROR(__xludf.DUMMYFUNCTION("""COMPUTED_VALUE"""),"Chomphunut")</f>
        <v>Chomphunut</v>
      </c>
      <c r="D1133" t="str">
        <f>IFERROR(__xludf.DUMMYFUNCTION("""COMPUTED_VALUE"""),"Detdutsadee")</f>
        <v>Detdutsadee</v>
      </c>
      <c r="E1133" t="str">
        <f>IFERROR(__xludf.DUMMYFUNCTION("""COMPUTED_VALUE"""),"Chomphunut Detdutsadee")</f>
        <v>Chomphunut Detdutsadee</v>
      </c>
      <c r="F1133" t="str">
        <f>IFERROR(__xludf.DUMMYFUNCTION("""COMPUTED_VALUE"""),"นางสาว")</f>
        <v>นางสาว</v>
      </c>
      <c r="G1133" t="str">
        <f>IFERROR(__xludf.DUMMYFUNCTION("""COMPUTED_VALUE"""),"ชมพูนุท")</f>
        <v>ชมพูนุท</v>
      </c>
      <c r="H1133" t="str">
        <f>IFERROR(__xludf.DUMMYFUNCTION("""COMPUTED_VALUE"""),"เดชดุษฎี")</f>
        <v>เดชดุษฎี</v>
      </c>
      <c r="I1133" t="str">
        <f>IFERROR(__xludf.DUMMYFUNCTION("""COMPUTED_VALUE"""),"ชมพูนุท เดชดุษฎี")</f>
        <v>ชมพูนุท เดชดุษฎี</v>
      </c>
      <c r="J1133" t="str">
        <f>IFERROR(__xludf.DUMMYFUNCTION("""COMPUTED_VALUE"""),"Wen / เหวิน")</f>
        <v>Wen / เหวิน</v>
      </c>
      <c r="K1133" t="str">
        <f>IFERROR(__xludf.DUMMYFUNCTION("""COMPUTED_VALUE"""),"Cabin Crew")</f>
        <v>Cabin Crew</v>
      </c>
      <c r="L1133" t="str">
        <f>IFERROR(__xludf.DUMMYFUNCTION("""COMPUTED_VALUE"""),"DMK")</f>
        <v>DMK</v>
      </c>
      <c r="M1133" s="145" t="str">
        <f>IFERROR(__xludf.DUMMYFUNCTION("""COMPUTED_VALUE"""),"Kor Home")</f>
        <v>Kor Home</v>
      </c>
      <c r="N1133" t="str">
        <f>IFERROR(__xludf.DUMMYFUNCTION("""COMPUTED_VALUE"""),"Active")</f>
        <v>Active</v>
      </c>
      <c r="O1133" t="str">
        <f>IFERROR(__xludf.DUMMYFUNCTION("""COMPUTED_VALUE"""),"Chinese Speaking")</f>
        <v>Chinese Speaking</v>
      </c>
      <c r="P1133" s="163">
        <f>IFERROR(__xludf.DUMMYFUNCTION("""COMPUTED_VALUE"""),35902.0)</f>
        <v>35902</v>
      </c>
      <c r="Q1133" s="146" t="str">
        <f>IFERROR(__xludf.DUMMYFUNCTION("""COMPUTED_VALUE"""),"090 319 1390")</f>
        <v>090 319 1390</v>
      </c>
      <c r="R1133" s="146" t="str">
        <f>IFERROR(__xludf.DUMMYFUNCTION("""COMPUTED_VALUE"""),"8-5710-73002-24-2")</f>
        <v>8-5710-73002-24-2</v>
      </c>
      <c r="S1133" t="str">
        <f>IFERROR(__xludf.DUMMYFUNCTION("""COMPUTED_VALUE"""),"AC3122134")</f>
        <v>AC3122134</v>
      </c>
      <c r="T1133" s="148">
        <f>IFERROR(__xludf.DUMMYFUNCTION("""COMPUTED_VALUE"""),44692.0)</f>
        <v>44692</v>
      </c>
      <c r="U1133" s="148">
        <f>IFERROR(__xludf.DUMMYFUNCTION("""COMPUTED_VALUE"""),48344.0)</f>
        <v>48344</v>
      </c>
      <c r="V1133" s="149">
        <f>IFERROR(__xludf.DUMMYFUNCTION("""COMPUTED_VALUE"""),48162.0)</f>
        <v>48162</v>
      </c>
      <c r="W1133" t="str">
        <f>IFERROR(__xludf.DUMMYFUNCTION("""COMPUTED_VALUE"""),"ปลอดภัย")</f>
        <v>ปลอดภัย</v>
      </c>
      <c r="X1133" t="str">
        <f>IFERROR(__xludf.DUMMYFUNCTION("""COMPUTED_VALUE"""),"Chiang Mai Province")</f>
        <v>Chiang Mai Province</v>
      </c>
      <c r="Y1133" t="str">
        <f>IFERROR(__xludf.DUMMYFUNCTION("""COMPUTED_VALUE"""),"Chiang Mai")</f>
        <v>Chiang Mai</v>
      </c>
      <c r="Z1133" s="161" t="str">
        <f>IFERROR(__xludf.DUMMYFUNCTION("""COMPUTED_VALUE"""),"0998645826")</f>
        <v>0998645826</v>
      </c>
      <c r="AA1133" t="str">
        <f>IFERROR(__xludf.DUMMYFUNCTION("""COMPUTED_VALUE"""),"นางสาว อาเซียง แซ่เชล Mother")</f>
        <v>นางสาว อาเซียง แซ่เชล Mother</v>
      </c>
      <c r="AB1133" t="str">
        <f>IFERROR(__xludf.DUMMYFUNCTION("""COMPUTED_VALUE"""),"chomphunutdetdutsad@airasia.com")</f>
        <v>chomphunutdetdutsad@airasia.com</v>
      </c>
    </row>
    <row r="1134">
      <c r="A1134">
        <f>IFERROR(__xludf.DUMMYFUNCTION("""COMPUTED_VALUE"""),1040507.0)</f>
        <v>1040507</v>
      </c>
      <c r="B1134" t="str">
        <f>IFERROR(__xludf.DUMMYFUNCTION("""COMPUTED_VALUE"""),"Ms.")</f>
        <v>Ms.</v>
      </c>
      <c r="C1134" t="str">
        <f>IFERROR(__xludf.DUMMYFUNCTION("""COMPUTED_VALUE"""),"Jenine")</f>
        <v>Jenine</v>
      </c>
      <c r="D1134" t="str">
        <f>IFERROR(__xludf.DUMMYFUNCTION("""COMPUTED_VALUE"""),"Satiranon")</f>
        <v>Satiranon</v>
      </c>
      <c r="E1134" t="str">
        <f>IFERROR(__xludf.DUMMYFUNCTION("""COMPUTED_VALUE"""),"Jenine Satiranon")</f>
        <v>Jenine Satiranon</v>
      </c>
      <c r="F1134" t="str">
        <f>IFERROR(__xludf.DUMMYFUNCTION("""COMPUTED_VALUE"""),"นางสาว")</f>
        <v>นางสาว</v>
      </c>
      <c r="G1134" t="str">
        <f>IFERROR(__xludf.DUMMYFUNCTION("""COMPUTED_VALUE"""),"เจนีร")</f>
        <v>เจนีร</v>
      </c>
      <c r="H1134" t="str">
        <f>IFERROR(__xludf.DUMMYFUNCTION("""COMPUTED_VALUE"""),"สถิรานนท์")</f>
        <v>สถิรานนท์</v>
      </c>
      <c r="I1134" t="str">
        <f>IFERROR(__xludf.DUMMYFUNCTION("""COMPUTED_VALUE"""),"เจนีร สถิรานนท์")</f>
        <v>เจนีร สถิรานนท์</v>
      </c>
      <c r="J1134" t="str">
        <f>IFERROR(__xludf.DUMMYFUNCTION("""COMPUTED_VALUE"""),"เจนนี่")</f>
        <v>เจนนี่</v>
      </c>
      <c r="K1134" t="str">
        <f>IFERROR(__xludf.DUMMYFUNCTION("""COMPUTED_VALUE"""),"Cabin Crew")</f>
        <v>Cabin Crew</v>
      </c>
      <c r="L1134" t="str">
        <f>IFERROR(__xludf.DUMMYFUNCTION("""COMPUTED_VALUE"""),"DMK")</f>
        <v>DMK</v>
      </c>
      <c r="M1134" s="145" t="str">
        <f>IFERROR(__xludf.DUMMYFUNCTION("""COMPUTED_VALUE"""),"Um Home")</f>
        <v>Um Home</v>
      </c>
      <c r="N1134" t="str">
        <f>IFERROR(__xludf.DUMMYFUNCTION("""COMPUTED_VALUE"""),"Active")</f>
        <v>Active</v>
      </c>
      <c r="P1134" s="163">
        <f>IFERROR(__xludf.DUMMYFUNCTION("""COMPUTED_VALUE"""),36555.0)</f>
        <v>36555</v>
      </c>
      <c r="Q1134" s="146" t="str">
        <f>IFERROR(__xludf.DUMMYFUNCTION("""COMPUTED_VALUE"""),"083 722 1444")</f>
        <v>083 722 1444</v>
      </c>
      <c r="R1134" s="146" t="str">
        <f>IFERROR(__xludf.DUMMYFUNCTION("""COMPUTED_VALUE"""),"1-1299-01579-93-4")</f>
        <v>1-1299-01579-93-4</v>
      </c>
      <c r="S1134" t="str">
        <f>IFERROR(__xludf.DUMMYFUNCTION("""COMPUTED_VALUE"""),"AC2745783")</f>
        <v>AC2745783</v>
      </c>
      <c r="T1134" s="148">
        <f>IFERROR(__xludf.DUMMYFUNCTION("""COMPUTED_VALUE"""),44484.0)</f>
        <v>44484</v>
      </c>
      <c r="U1134" s="148">
        <f>IFERROR(__xludf.DUMMYFUNCTION("""COMPUTED_VALUE"""),48135.0)</f>
        <v>48135</v>
      </c>
      <c r="V1134" s="149">
        <f>IFERROR(__xludf.DUMMYFUNCTION("""COMPUTED_VALUE"""),47952.0)</f>
        <v>47952</v>
      </c>
      <c r="W1134" t="str">
        <f>IFERROR(__xludf.DUMMYFUNCTION("""COMPUTED_VALUE"""),"ปลอดภัย")</f>
        <v>ปลอดภัย</v>
      </c>
      <c r="X1134" t="str">
        <f>IFERROR(__xludf.DUMMYFUNCTION("""COMPUTED_VALUE"""),"Nonthaburi Province")</f>
        <v>Nonthaburi Province</v>
      </c>
      <c r="Y1134" t="str">
        <f>IFERROR(__xludf.DUMMYFUNCTION("""COMPUTED_VALUE"""),"Nonthaburi")</f>
        <v>Nonthaburi</v>
      </c>
      <c r="Z1134" s="161" t="str">
        <f>IFERROR(__xludf.DUMMYFUNCTION("""COMPUTED_VALUE"""),"083-722-1444")</f>
        <v>083-722-1444</v>
      </c>
      <c r="AA1134" t="str">
        <f>IFERROR(__xludf.DUMMYFUNCTION("""COMPUTED_VALUE"""),"นางพชรชล สถิรานนท์ Mother")</f>
        <v>นางพชรชล สถิรานนท์ Mother</v>
      </c>
      <c r="AB1134" t="str">
        <f>IFERROR(__xludf.DUMMYFUNCTION("""COMPUTED_VALUE"""),"jeninesatiranon@airasia.com")</f>
        <v>jeninesatiranon@airasia.com</v>
      </c>
    </row>
    <row r="1135">
      <c r="A1135">
        <f>IFERROR(__xludf.DUMMYFUNCTION("""COMPUTED_VALUE"""),1023167.0)</f>
        <v>1023167</v>
      </c>
      <c r="B1135" t="str">
        <f>IFERROR(__xludf.DUMMYFUNCTION("""COMPUTED_VALUE"""),"Ms.")</f>
        <v>Ms.</v>
      </c>
      <c r="C1135" t="str">
        <f>IFERROR(__xludf.DUMMYFUNCTION("""COMPUTED_VALUE"""),"Jiratchaya")</f>
        <v>Jiratchaya</v>
      </c>
      <c r="D1135" t="str">
        <f>IFERROR(__xludf.DUMMYFUNCTION("""COMPUTED_VALUE"""),"Ubonpitak")</f>
        <v>Ubonpitak</v>
      </c>
      <c r="E1135" t="str">
        <f>IFERROR(__xludf.DUMMYFUNCTION("""COMPUTED_VALUE"""),"Jiratchaya Ubonpitak")</f>
        <v>Jiratchaya Ubonpitak</v>
      </c>
      <c r="F1135" t="str">
        <f>IFERROR(__xludf.DUMMYFUNCTION("""COMPUTED_VALUE"""),"นางสาว")</f>
        <v>นางสาว</v>
      </c>
      <c r="G1135" t="str">
        <f>IFERROR(__xludf.DUMMYFUNCTION("""COMPUTED_VALUE"""),"จิรัชยา")</f>
        <v>จิรัชยา</v>
      </c>
      <c r="H1135" t="str">
        <f>IFERROR(__xludf.DUMMYFUNCTION("""COMPUTED_VALUE"""),"อุบลพิทักษ์")</f>
        <v>อุบลพิทักษ์</v>
      </c>
      <c r="I1135" t="str">
        <f>IFERROR(__xludf.DUMMYFUNCTION("""COMPUTED_VALUE"""),"จิรัชยา อุบลพิทักษ์")</f>
        <v>จิรัชยา อุบลพิทักษ์</v>
      </c>
      <c r="J1135" t="str">
        <f>IFERROR(__xludf.DUMMYFUNCTION("""COMPUTED_VALUE"""),"นุ่มนิ่ม")</f>
        <v>นุ่มนิ่ม</v>
      </c>
      <c r="K1135" t="str">
        <f>IFERROR(__xludf.DUMMYFUNCTION("""COMPUTED_VALUE"""),"Cabin Crew - BKK")</f>
        <v>Cabin Crew - BKK</v>
      </c>
      <c r="L1135" t="str">
        <f>IFERROR(__xludf.DUMMYFUNCTION("""COMPUTED_VALUE"""),"BKK")</f>
        <v>BKK</v>
      </c>
      <c r="M1135" s="145" t="str">
        <f>IFERROR(__xludf.DUMMYFUNCTION("""COMPUTED_VALUE"""),"Nhui Home")</f>
        <v>Nhui Home</v>
      </c>
      <c r="N1135" t="str">
        <f>IFERROR(__xludf.DUMMYFUNCTION("""COMPUTED_VALUE"""),"Active")</f>
        <v>Active</v>
      </c>
      <c r="P1135" s="163">
        <f>IFERROR(__xludf.DUMMYFUNCTION("""COMPUTED_VALUE"""),32960.0)</f>
        <v>32960</v>
      </c>
      <c r="Q1135" s="146" t="str">
        <f>IFERROR(__xludf.DUMMYFUNCTION("""COMPUTED_VALUE"""),"065 926 3614")</f>
        <v>065 926 3614</v>
      </c>
      <c r="R1135" s="146" t="str">
        <f>IFERROR(__xludf.DUMMYFUNCTION("""COMPUTED_VALUE"""),"1-4101-00193-29-8")</f>
        <v>1-4101-00193-29-8</v>
      </c>
      <c r="S1135" t="str">
        <f>IFERROR(__xludf.DUMMYFUNCTION("""COMPUTED_VALUE"""),"AD2175739")</f>
        <v>AD2175739</v>
      </c>
      <c r="T1135" s="148">
        <f>IFERROR(__xludf.DUMMYFUNCTION("""COMPUTED_VALUE"""),45798.0)</f>
        <v>45798</v>
      </c>
      <c r="U1135" s="148">
        <f>IFERROR(__xludf.DUMMYFUNCTION("""COMPUTED_VALUE"""),47623.0)</f>
        <v>47623</v>
      </c>
      <c r="V1135" s="149">
        <f>IFERROR(__xludf.DUMMYFUNCTION("""COMPUTED_VALUE"""),47442.0)</f>
        <v>47442</v>
      </c>
      <c r="W1135" t="str">
        <f>IFERROR(__xludf.DUMMYFUNCTION("""COMPUTED_VALUE"""),"ปลอดภัย")</f>
        <v>ปลอดภัย</v>
      </c>
      <c r="X1135" t="str">
        <f>IFERROR(__xludf.DUMMYFUNCTION("""COMPUTED_VALUE"""),"Udon Thani Province")</f>
        <v>Udon Thani Province</v>
      </c>
      <c r="Y1135" t="str">
        <f>IFERROR(__xludf.DUMMYFUNCTION("""COMPUTED_VALUE"""),"Bangkok")</f>
        <v>Bangkok</v>
      </c>
      <c r="Z1135" s="161" t="str">
        <f>IFERROR(__xludf.DUMMYFUNCTION("""COMPUTED_VALUE"""),"0898402028")</f>
        <v>0898402028</v>
      </c>
      <c r="AA1135" t="str">
        <f>IFERROR(__xludf.DUMMYFUNCTION("""COMPUTED_VALUE"""),"นางจินดา อุบลพิทักษ์ Mother")</f>
        <v>นางจินดา อุบลพิทักษ์ Mother</v>
      </c>
      <c r="AB1135" t="str">
        <f>IFERROR(__xludf.DUMMYFUNCTION("""COMPUTED_VALUE"""),"jiratchayau@airasia.com")</f>
        <v>jiratchayau@airasia.com</v>
      </c>
    </row>
    <row r="1136">
      <c r="A1136">
        <f>IFERROR(__xludf.DUMMYFUNCTION("""COMPUTED_VALUE"""),1040508.0)</f>
        <v>1040508</v>
      </c>
      <c r="B1136" t="str">
        <f>IFERROR(__xludf.DUMMYFUNCTION("""COMPUTED_VALUE"""),"Ms.")</f>
        <v>Ms.</v>
      </c>
      <c r="C1136" t="str">
        <f>IFERROR(__xludf.DUMMYFUNCTION("""COMPUTED_VALUE"""),"Kittikan")</f>
        <v>Kittikan</v>
      </c>
      <c r="D1136" t="str">
        <f>IFERROR(__xludf.DUMMYFUNCTION("""COMPUTED_VALUE"""),"Wajanaruangthai")</f>
        <v>Wajanaruangthai</v>
      </c>
      <c r="E1136" t="str">
        <f>IFERROR(__xludf.DUMMYFUNCTION("""COMPUTED_VALUE"""),"Kittikan Wajanaruangthai")</f>
        <v>Kittikan Wajanaruangthai</v>
      </c>
      <c r="F1136" t="str">
        <f>IFERROR(__xludf.DUMMYFUNCTION("""COMPUTED_VALUE"""),"นางสาว")</f>
        <v>นางสาว</v>
      </c>
      <c r="G1136" t="str">
        <f>IFERROR(__xludf.DUMMYFUNCTION("""COMPUTED_VALUE"""),"กิตติกานต์")</f>
        <v>กิตติกานต์</v>
      </c>
      <c r="H1136" t="str">
        <f>IFERROR(__xludf.DUMMYFUNCTION("""COMPUTED_VALUE"""),"วจนะเรืองไท")</f>
        <v>วจนะเรืองไท</v>
      </c>
      <c r="I1136" t="str">
        <f>IFERROR(__xludf.DUMMYFUNCTION("""COMPUTED_VALUE"""),"กิตติกานต์ วจนะเรืองไท")</f>
        <v>กิตติกานต์ วจนะเรืองไท</v>
      </c>
      <c r="J1136" t="str">
        <f>IFERROR(__xludf.DUMMYFUNCTION("""COMPUTED_VALUE"""),"Sandy / แซนดี้")</f>
        <v>Sandy / แซนดี้</v>
      </c>
      <c r="K1136" t="str">
        <f>IFERROR(__xludf.DUMMYFUNCTION("""COMPUTED_VALUE"""),"Cabin Crew")</f>
        <v>Cabin Crew</v>
      </c>
      <c r="L1136" t="str">
        <f>IFERROR(__xludf.DUMMYFUNCTION("""COMPUTED_VALUE"""),"DMK")</f>
        <v>DMK</v>
      </c>
      <c r="M1136" s="145" t="str">
        <f>IFERROR(__xludf.DUMMYFUNCTION("""COMPUTED_VALUE"""),"Por+ Home")</f>
        <v>Por+ Home</v>
      </c>
      <c r="N1136" t="str">
        <f>IFERROR(__xludf.DUMMYFUNCTION("""COMPUTED_VALUE"""),"Active")</f>
        <v>Active</v>
      </c>
      <c r="P1136" s="163">
        <f>IFERROR(__xludf.DUMMYFUNCTION("""COMPUTED_VALUE"""),35292.0)</f>
        <v>35292</v>
      </c>
      <c r="Q1136" s="146" t="str">
        <f>IFERROR(__xludf.DUMMYFUNCTION("""COMPUTED_VALUE"""),"088 737 6263")</f>
        <v>088 737 6263</v>
      </c>
      <c r="R1136" s="146" t="str">
        <f>IFERROR(__xludf.DUMMYFUNCTION("""COMPUTED_VALUE"""),"1-4999-00231-79-6")</f>
        <v>1-4999-00231-79-6</v>
      </c>
      <c r="S1136" t="str">
        <f>IFERROR(__xludf.DUMMYFUNCTION("""COMPUTED_VALUE"""),"Ad1165509")</f>
        <v>Ad1165509</v>
      </c>
      <c r="T1136" s="148">
        <f>IFERROR(__xludf.DUMMYFUNCTION("""COMPUTED_VALUE"""),45182.0)</f>
        <v>45182</v>
      </c>
      <c r="U1136" s="150">
        <f>IFERROR(__xludf.DUMMYFUNCTION("""COMPUTED_VALUE"""),47008.0)</f>
        <v>47008</v>
      </c>
      <c r="V1136" s="149">
        <f>IFERROR(__xludf.DUMMYFUNCTION("""COMPUTED_VALUE"""),46824.0)</f>
        <v>46824</v>
      </c>
      <c r="W1136" t="str">
        <f>IFERROR(__xludf.DUMMYFUNCTION("""COMPUTED_VALUE"""),"ปลอดภัย")</f>
        <v>ปลอดภัย</v>
      </c>
      <c r="X1136" t="str">
        <f>IFERROR(__xludf.DUMMYFUNCTION("""COMPUTED_VALUE"""),"Mukdahan Province")</f>
        <v>Mukdahan Province</v>
      </c>
      <c r="Y1136" t="str">
        <f>IFERROR(__xludf.DUMMYFUNCTION("""COMPUTED_VALUE"""),"Bangkok")</f>
        <v>Bangkok</v>
      </c>
      <c r="Z1136" s="161" t="str">
        <f>IFERROR(__xludf.DUMMYFUNCTION("""COMPUTED_VALUE"""),"081-551-6225")</f>
        <v>081-551-6225</v>
      </c>
      <c r="AA1136" t="str">
        <f>IFERROR(__xludf.DUMMYFUNCTION("""COMPUTED_VALUE"""),"นายอนุกูล วจนะเรืองไท Father")</f>
        <v>นายอนุกูล วจนะเรืองไท Father</v>
      </c>
      <c r="AB1136" t="str">
        <f>IFERROR(__xludf.DUMMYFUNCTION("""COMPUTED_VALUE"""),"kittikanwajanaruang@airasia.com")</f>
        <v>kittikanwajanaruang@airasia.com</v>
      </c>
    </row>
    <row r="1137">
      <c r="A1137">
        <f>IFERROR(__xludf.DUMMYFUNCTION("""COMPUTED_VALUE"""),1022986.0)</f>
        <v>1022986</v>
      </c>
      <c r="B1137" t="str">
        <f>IFERROR(__xludf.DUMMYFUNCTION("""COMPUTED_VALUE"""),"Ms.")</f>
        <v>Ms.</v>
      </c>
      <c r="C1137" t="str">
        <f>IFERROR(__xludf.DUMMYFUNCTION("""COMPUTED_VALUE"""),"Minthita")</f>
        <v>Minthita</v>
      </c>
      <c r="D1137" t="str">
        <f>IFERROR(__xludf.DUMMYFUNCTION("""COMPUTED_VALUE"""),"Kanchanapinpong")</f>
        <v>Kanchanapinpong</v>
      </c>
      <c r="E1137" t="str">
        <f>IFERROR(__xludf.DUMMYFUNCTION("""COMPUTED_VALUE"""),"Minthita Kanchanapinpong")</f>
        <v>Minthita Kanchanapinpong</v>
      </c>
      <c r="F1137" t="str">
        <f>IFERROR(__xludf.DUMMYFUNCTION("""COMPUTED_VALUE"""),"นางสาว")</f>
        <v>นางสาว</v>
      </c>
      <c r="G1137" t="str">
        <f>IFERROR(__xludf.DUMMYFUNCTION("""COMPUTED_VALUE"""),"มินทร์ฐิตา")</f>
        <v>มินทร์ฐิตา</v>
      </c>
      <c r="H1137" t="str">
        <f>IFERROR(__xludf.DUMMYFUNCTION("""COMPUTED_VALUE"""),"กาญจนภิญพงศ์")</f>
        <v>กาญจนภิญพงศ์</v>
      </c>
      <c r="I1137" t="str">
        <f>IFERROR(__xludf.DUMMYFUNCTION("""COMPUTED_VALUE"""),"มินทร์ฐิตา กาญจนภิญพงศ์")</f>
        <v>มินทร์ฐิตา กาญจนภิญพงศ์</v>
      </c>
      <c r="J1137" t="str">
        <f>IFERROR(__xludf.DUMMYFUNCTION("""COMPUTED_VALUE"""),"PLOY")</f>
        <v>PLOY</v>
      </c>
      <c r="K1137" t="str">
        <f>IFERROR(__xludf.DUMMYFUNCTION("""COMPUTED_VALUE"""),"Cabin Crew")</f>
        <v>Cabin Crew</v>
      </c>
      <c r="L1137" t="str">
        <f>IFERROR(__xludf.DUMMYFUNCTION("""COMPUTED_VALUE"""),"DMK")</f>
        <v>DMK</v>
      </c>
      <c r="M1137" s="145" t="str">
        <f>IFERROR(__xludf.DUMMYFUNCTION("""COMPUTED_VALUE"""),"Namfon Home")</f>
        <v>Namfon Home</v>
      </c>
      <c r="N1137" t="str">
        <f>IFERROR(__xludf.DUMMYFUNCTION("""COMPUTED_VALUE"""),"Active")</f>
        <v>Active</v>
      </c>
      <c r="P1137" s="163">
        <f>IFERROR(__xludf.DUMMYFUNCTION("""COMPUTED_VALUE"""),33170.0)</f>
        <v>33170</v>
      </c>
      <c r="Q1137" s="146" t="str">
        <f>IFERROR(__xludf.DUMMYFUNCTION("""COMPUTED_VALUE"""),"084 678 7960")</f>
        <v>084 678 7960</v>
      </c>
      <c r="R1137" s="146" t="str">
        <f>IFERROR(__xludf.DUMMYFUNCTION("""COMPUTED_VALUE"""),"1-1008-00646-04-2")</f>
        <v>1-1008-00646-04-2</v>
      </c>
      <c r="S1137" t="str">
        <f>IFERROR(__xludf.DUMMYFUNCTION("""COMPUTED_VALUE"""),"AD1300473")</f>
        <v>AD1300473</v>
      </c>
      <c r="T1137" s="148">
        <f>IFERROR(__xludf.DUMMYFUNCTION("""COMPUTED_VALUE"""),45334.0)</f>
        <v>45334</v>
      </c>
      <c r="U1137" s="148">
        <f>IFERROR(__xludf.DUMMYFUNCTION("""COMPUTED_VALUE"""),48986.0)</f>
        <v>48986</v>
      </c>
      <c r="V1137" s="149">
        <f>IFERROR(__xludf.DUMMYFUNCTION("""COMPUTED_VALUE"""),48802.0)</f>
        <v>48802</v>
      </c>
      <c r="W1137" t="str">
        <f>IFERROR(__xludf.DUMMYFUNCTION("""COMPUTED_VALUE"""),"ปลอดภัย")</f>
        <v>ปลอดภัย</v>
      </c>
      <c r="X1137" t="str">
        <f>IFERROR(__xludf.DUMMYFUNCTION("""COMPUTED_VALUE"""),"Bangkok")</f>
        <v>Bangkok</v>
      </c>
      <c r="Y1137" t="str">
        <f>IFERROR(__xludf.DUMMYFUNCTION("""COMPUTED_VALUE"""),"Bangkok")</f>
        <v>Bangkok</v>
      </c>
      <c r="Z1137" t="str">
        <f>IFERROR(__xludf.DUMMYFUNCTION("""COMPUTED_VALUE"""),"089-9149669")</f>
        <v>089-9149669</v>
      </c>
      <c r="AA1137" t="str">
        <f>IFERROR(__xludf.DUMMYFUNCTION("""COMPUTED_VALUE"""),"นางสุพิชฌาย์ กาญจนภิญพงศ์ Mother")</f>
        <v>นางสุพิชฌาย์ กาญจนภิญพงศ์ Mother</v>
      </c>
      <c r="AB1137" t="str">
        <f>IFERROR(__xludf.DUMMYFUNCTION("""COMPUTED_VALUE"""),"minthitaka@airasia.com")</f>
        <v>minthitaka@airasia.com</v>
      </c>
    </row>
    <row r="1138">
      <c r="A1138">
        <f>IFERROR(__xludf.DUMMYFUNCTION("""COMPUTED_VALUE"""),1040509.0)</f>
        <v>1040509</v>
      </c>
      <c r="B1138" t="str">
        <f>IFERROR(__xludf.DUMMYFUNCTION("""COMPUTED_VALUE"""),"Ms.")</f>
        <v>Ms.</v>
      </c>
      <c r="C1138" t="str">
        <f>IFERROR(__xludf.DUMMYFUNCTION("""COMPUTED_VALUE"""),"Namita")</f>
        <v>Namita</v>
      </c>
      <c r="D1138" t="str">
        <f>IFERROR(__xludf.DUMMYFUNCTION("""COMPUTED_VALUE"""),"Sukanan")</f>
        <v>Sukanan</v>
      </c>
      <c r="E1138" t="str">
        <f>IFERROR(__xludf.DUMMYFUNCTION("""COMPUTED_VALUE"""),"Namita Sukanan")</f>
        <v>Namita Sukanan</v>
      </c>
      <c r="F1138" t="str">
        <f>IFERROR(__xludf.DUMMYFUNCTION("""COMPUTED_VALUE"""),"นางสาว")</f>
        <v>นางสาว</v>
      </c>
      <c r="G1138" t="str">
        <f>IFERROR(__xludf.DUMMYFUNCTION("""COMPUTED_VALUE"""),"นมิตา")</f>
        <v>นมิตา</v>
      </c>
      <c r="H1138" t="str">
        <f>IFERROR(__xludf.DUMMYFUNCTION("""COMPUTED_VALUE"""),"สุขอนันต์")</f>
        <v>สุขอนันต์</v>
      </c>
      <c r="I1138" t="str">
        <f>IFERROR(__xludf.DUMMYFUNCTION("""COMPUTED_VALUE"""),"นมิตา สุขอนันต์")</f>
        <v>นมิตา สุขอนันต์</v>
      </c>
      <c r="J1138" t="str">
        <f>IFERROR(__xludf.DUMMYFUNCTION("""COMPUTED_VALUE"""),"Midta / มิดต้า")</f>
        <v>Midta / มิดต้า</v>
      </c>
      <c r="K1138" t="str">
        <f>IFERROR(__xludf.DUMMYFUNCTION("""COMPUTED_VALUE"""),"Cabin Crew")</f>
        <v>Cabin Crew</v>
      </c>
      <c r="L1138" t="str">
        <f>IFERROR(__xludf.DUMMYFUNCTION("""COMPUTED_VALUE"""),"DMK")</f>
        <v>DMK</v>
      </c>
      <c r="M1138" s="145" t="str">
        <f>IFERROR(__xludf.DUMMYFUNCTION("""COMPUTED_VALUE"""),"Toffy Home")</f>
        <v>Toffy Home</v>
      </c>
      <c r="N1138" t="str">
        <f>IFERROR(__xludf.DUMMYFUNCTION("""COMPUTED_VALUE"""),"Active")</f>
        <v>Active</v>
      </c>
      <c r="P1138" s="163">
        <f>IFERROR(__xludf.DUMMYFUNCTION("""COMPUTED_VALUE"""),36524.0)</f>
        <v>36524</v>
      </c>
      <c r="Q1138" s="146" t="str">
        <f>IFERROR(__xludf.DUMMYFUNCTION("""COMPUTED_VALUE"""),"094 218 0546")</f>
        <v>094 218 0546</v>
      </c>
      <c r="R1138" s="146" t="str">
        <f>IFERROR(__xludf.DUMMYFUNCTION("""COMPUTED_VALUE"""),"1-8097-00350-63-1")</f>
        <v>1-8097-00350-63-1</v>
      </c>
      <c r="S1138" t="str">
        <f>IFERROR(__xludf.DUMMYFUNCTION("""COMPUTED_VALUE"""),"AC8158028")</f>
        <v>AC8158028</v>
      </c>
      <c r="T1138" s="148">
        <f>IFERROR(__xludf.DUMMYFUNCTION("""COMPUTED_VALUE"""),45873.0)</f>
        <v>45873</v>
      </c>
      <c r="U1138" s="148">
        <f>IFERROR(__xludf.DUMMYFUNCTION("""COMPUTED_VALUE"""),47698.0)</f>
        <v>47698</v>
      </c>
      <c r="V1138" s="149">
        <f>IFERROR(__xludf.DUMMYFUNCTION("""COMPUTED_VALUE"""),47517.0)</f>
        <v>47517</v>
      </c>
      <c r="W1138" t="str">
        <f>IFERROR(__xludf.DUMMYFUNCTION("""COMPUTED_VALUE"""),"ปลอดภัย")</f>
        <v>ปลอดภัย</v>
      </c>
      <c r="X1138" t="str">
        <f>IFERROR(__xludf.DUMMYFUNCTION("""COMPUTED_VALUE"""),"Nakhon Si Thammarat Province")</f>
        <v>Nakhon Si Thammarat Province</v>
      </c>
      <c r="Y1138" t="str">
        <f>IFERROR(__xludf.DUMMYFUNCTION("""COMPUTED_VALUE"""),"Pathum Thani")</f>
        <v>Pathum Thani</v>
      </c>
      <c r="Z1138" s="161" t="str">
        <f>IFERROR(__xludf.DUMMYFUNCTION("""COMPUTED_VALUE"""),"0932539888")</f>
        <v>0932539888</v>
      </c>
      <c r="AA1138" t="str">
        <f>IFERROR(__xludf.DUMMYFUNCTION("""COMPUTED_VALUE"""),"นาย เสฏฐะวุฒิ บุญนำ Friend")</f>
        <v>นาย เสฏฐะวุฒิ บุญนำ Friend</v>
      </c>
      <c r="AB1138" t="str">
        <f>IFERROR(__xludf.DUMMYFUNCTION("""COMPUTED_VALUE"""),"namitasukanan@airasia.com")</f>
        <v>namitasukanan@airasia.com</v>
      </c>
    </row>
    <row r="1139">
      <c r="A1139">
        <f>IFERROR(__xludf.DUMMYFUNCTION("""COMPUTED_VALUE"""),1040510.0)</f>
        <v>1040510</v>
      </c>
      <c r="B1139" t="str">
        <f>IFERROR(__xludf.DUMMYFUNCTION("""COMPUTED_VALUE"""),"Ms.")</f>
        <v>Ms.</v>
      </c>
      <c r="C1139" t="str">
        <f>IFERROR(__xludf.DUMMYFUNCTION("""COMPUTED_VALUE"""),"Namwa")</f>
        <v>Namwa</v>
      </c>
      <c r="D1139" t="str">
        <f>IFERROR(__xludf.DUMMYFUNCTION("""COMPUTED_VALUE"""),"Paettrakul")</f>
        <v>Paettrakul</v>
      </c>
      <c r="E1139" t="str">
        <f>IFERROR(__xludf.DUMMYFUNCTION("""COMPUTED_VALUE"""),"Namwa Paettrakul")</f>
        <v>Namwa Paettrakul</v>
      </c>
      <c r="F1139" t="str">
        <f>IFERROR(__xludf.DUMMYFUNCTION("""COMPUTED_VALUE"""),"นางสาว")</f>
        <v>นางสาว</v>
      </c>
      <c r="G1139" t="str">
        <f>IFERROR(__xludf.DUMMYFUNCTION("""COMPUTED_VALUE"""),"น้ำว้า")</f>
        <v>น้ำว้า</v>
      </c>
      <c r="H1139" t="str">
        <f>IFERROR(__xludf.DUMMYFUNCTION("""COMPUTED_VALUE"""),"แพศย์ตระกูล")</f>
        <v>แพศย์ตระกูล</v>
      </c>
      <c r="I1139" t="str">
        <f>IFERROR(__xludf.DUMMYFUNCTION("""COMPUTED_VALUE"""),"น้ำว้า แพศย์ตระกูล")</f>
        <v>น้ำว้า แพศย์ตระกูล</v>
      </c>
      <c r="J1139" t="str">
        <f>IFERROR(__xludf.DUMMYFUNCTION("""COMPUTED_VALUE"""),"Namwa / น้ำว้า")</f>
        <v>Namwa / น้ำว้า</v>
      </c>
      <c r="K1139" t="str">
        <f>IFERROR(__xludf.DUMMYFUNCTION("""COMPUTED_VALUE"""),"Cabin Crew")</f>
        <v>Cabin Crew</v>
      </c>
      <c r="L1139" t="str">
        <f>IFERROR(__xludf.DUMMYFUNCTION("""COMPUTED_VALUE"""),"DMK")</f>
        <v>DMK</v>
      </c>
      <c r="M1139" s="145" t="str">
        <f>IFERROR(__xludf.DUMMYFUNCTION("""COMPUTED_VALUE"""),"Toffy Home")</f>
        <v>Toffy Home</v>
      </c>
      <c r="N1139" t="str">
        <f>IFERROR(__xludf.DUMMYFUNCTION("""COMPUTED_VALUE"""),"Active")</f>
        <v>Active</v>
      </c>
      <c r="P1139" s="163">
        <f>IFERROR(__xludf.DUMMYFUNCTION("""COMPUTED_VALUE"""),35093.0)</f>
        <v>35093</v>
      </c>
      <c r="Q1139" s="146" t="str">
        <f>IFERROR(__xludf.DUMMYFUNCTION("""COMPUTED_VALUE"""),"094 665 4191")</f>
        <v>094 665 4191</v>
      </c>
      <c r="R1139" s="146" t="str">
        <f>IFERROR(__xludf.DUMMYFUNCTION("""COMPUTED_VALUE"""),"1-1006-00342-99-6")</f>
        <v>1-1006-00342-99-6</v>
      </c>
      <c r="S1139" t="str">
        <f>IFERROR(__xludf.DUMMYFUNCTION("""COMPUTED_VALUE"""),"AD0968846")</f>
        <v>AD0968846</v>
      </c>
      <c r="T1139" s="148">
        <f>IFERROR(__xludf.DUMMYFUNCTION("""COMPUTED_VALUE"""),45037.0)</f>
        <v>45037</v>
      </c>
      <c r="U1139" s="148">
        <f>IFERROR(__xludf.DUMMYFUNCTION("""COMPUTED_VALUE"""),48689.0)</f>
        <v>48689</v>
      </c>
      <c r="V1139" s="149">
        <f>IFERROR(__xludf.DUMMYFUNCTION("""COMPUTED_VALUE"""),48507.0)</f>
        <v>48507</v>
      </c>
      <c r="W1139" t="str">
        <f>IFERROR(__xludf.DUMMYFUNCTION("""COMPUTED_VALUE"""),"ปลอดภัย")</f>
        <v>ปลอดภัย</v>
      </c>
      <c r="X1139" t="str">
        <f>IFERROR(__xludf.DUMMYFUNCTION("""COMPUTED_VALUE"""),"Bangkok")</f>
        <v>Bangkok</v>
      </c>
      <c r="Y1139" t="str">
        <f>IFERROR(__xludf.DUMMYFUNCTION("""COMPUTED_VALUE"""),"Bangkok")</f>
        <v>Bangkok</v>
      </c>
      <c r="Z1139" s="161" t="str">
        <f>IFERROR(__xludf.DUMMYFUNCTION("""COMPUTED_VALUE"""),"085-414-9191")</f>
        <v>085-414-9191</v>
      </c>
      <c r="AA1139" t="str">
        <f>IFERROR(__xludf.DUMMYFUNCTION("""COMPUTED_VALUE"""),"นายมานพ แพศย์ตระกูล Father")</f>
        <v>นายมานพ แพศย์ตระกูล Father</v>
      </c>
      <c r="AB1139" t="str">
        <f>IFERROR(__xludf.DUMMYFUNCTION("""COMPUTED_VALUE"""),"namwapaettrakul@airasia.com")</f>
        <v>namwapaettrakul@airasia.com</v>
      </c>
    </row>
    <row r="1140">
      <c r="A1140">
        <f>IFERROR(__xludf.DUMMYFUNCTION("""COMPUTED_VALUE"""),1040512.0)</f>
        <v>1040512</v>
      </c>
      <c r="B1140" t="str">
        <f>IFERROR(__xludf.DUMMYFUNCTION("""COMPUTED_VALUE"""),"Ms.")</f>
        <v>Ms.</v>
      </c>
      <c r="C1140" t="str">
        <f>IFERROR(__xludf.DUMMYFUNCTION("""COMPUTED_VALUE"""),"Nichapa")</f>
        <v>Nichapa</v>
      </c>
      <c r="D1140" t="str">
        <f>IFERROR(__xludf.DUMMYFUNCTION("""COMPUTED_VALUE"""),"Punsuwan")</f>
        <v>Punsuwan</v>
      </c>
      <c r="E1140" t="str">
        <f>IFERROR(__xludf.DUMMYFUNCTION("""COMPUTED_VALUE"""),"Nichapa Punsuwan")</f>
        <v>Nichapa Punsuwan</v>
      </c>
      <c r="F1140" t="str">
        <f>IFERROR(__xludf.DUMMYFUNCTION("""COMPUTED_VALUE"""),"นางสาว")</f>
        <v>นางสาว</v>
      </c>
      <c r="G1140" t="str">
        <f>IFERROR(__xludf.DUMMYFUNCTION("""COMPUTED_VALUE"""),"นิชาภา")</f>
        <v>นิชาภา</v>
      </c>
      <c r="H1140" t="str">
        <f>IFERROR(__xludf.DUMMYFUNCTION("""COMPUTED_VALUE"""),"ปั้นสุวรรณ")</f>
        <v>ปั้นสุวรรณ</v>
      </c>
      <c r="I1140" t="str">
        <f>IFERROR(__xludf.DUMMYFUNCTION("""COMPUTED_VALUE"""),"นิชาภา ปั้นสุวรรณ")</f>
        <v>นิชาภา ปั้นสุวรรณ</v>
      </c>
      <c r="J1140" t="str">
        <f>IFERROR(__xludf.DUMMYFUNCTION("""COMPUTED_VALUE"""),"จิ๊กกี๋")</f>
        <v>จิ๊กกี๋</v>
      </c>
      <c r="K1140" t="str">
        <f>IFERROR(__xludf.DUMMYFUNCTION("""COMPUTED_VALUE"""),"Cabin Crew")</f>
        <v>Cabin Crew</v>
      </c>
      <c r="L1140" t="str">
        <f>IFERROR(__xludf.DUMMYFUNCTION("""COMPUTED_VALUE"""),"DMK")</f>
        <v>DMK</v>
      </c>
      <c r="M1140" s="145" t="str">
        <f>IFERROR(__xludf.DUMMYFUNCTION("""COMPUTED_VALUE"""),"Nhui Home")</f>
        <v>Nhui Home</v>
      </c>
      <c r="N1140" t="str">
        <f>IFERROR(__xludf.DUMMYFUNCTION("""COMPUTED_VALUE"""),"Active")</f>
        <v>Active</v>
      </c>
      <c r="P1140" s="163">
        <f>IFERROR(__xludf.DUMMYFUNCTION("""COMPUTED_VALUE"""),32651.0)</f>
        <v>32651</v>
      </c>
      <c r="Q1140" s="146" t="str">
        <f>IFERROR(__xludf.DUMMYFUNCTION("""COMPUTED_VALUE"""),"081 406 3336")</f>
        <v>081 406 3336</v>
      </c>
      <c r="R1140" s="146" t="str">
        <f>IFERROR(__xludf.DUMMYFUNCTION("""COMPUTED_VALUE"""),"1-1014-01616-89-2")</f>
        <v>1-1014-01616-89-2</v>
      </c>
      <c r="S1140" t="str">
        <f>IFERROR(__xludf.DUMMYFUNCTION("""COMPUTED_VALUE"""),"AC3242655")</f>
        <v>AC3242655</v>
      </c>
      <c r="T1140" s="148">
        <f>IFERROR(__xludf.DUMMYFUNCTION("""COMPUTED_VALUE"""),44712.0)</f>
        <v>44712</v>
      </c>
      <c r="U1140" s="148">
        <f>IFERROR(__xludf.DUMMYFUNCTION("""COMPUTED_VALUE"""),48364.0)</f>
        <v>48364</v>
      </c>
      <c r="V1140" s="149">
        <f>IFERROR(__xludf.DUMMYFUNCTION("""COMPUTED_VALUE"""),48182.0)</f>
        <v>48182</v>
      </c>
      <c r="W1140" t="str">
        <f>IFERROR(__xludf.DUMMYFUNCTION("""COMPUTED_VALUE"""),"ปลอดภัย")</f>
        <v>ปลอดภัย</v>
      </c>
      <c r="X1140" t="str">
        <f>IFERROR(__xludf.DUMMYFUNCTION("""COMPUTED_VALUE"""),"Bangkok")</f>
        <v>Bangkok</v>
      </c>
      <c r="Y1140" t="str">
        <f>IFERROR(__xludf.DUMMYFUNCTION("""COMPUTED_VALUE"""),"Bangkok")</f>
        <v>Bangkok</v>
      </c>
      <c r="Z1140" s="161" t="str">
        <f>IFERROR(__xludf.DUMMYFUNCTION("""COMPUTED_VALUE"""),"081-621-3840")</f>
        <v>081-621-3840</v>
      </c>
      <c r="AA1140" t="str">
        <f>IFERROR(__xludf.DUMMYFUNCTION("""COMPUTED_VALUE"""),"นาง รัตนา ปั้นสุวรรณ Mother")</f>
        <v>นาง รัตนา ปั้นสุวรรณ Mother</v>
      </c>
      <c r="AB1140" t="str">
        <f>IFERROR(__xludf.DUMMYFUNCTION("""COMPUTED_VALUE"""),"nichapapunsuwan@airasia.com")</f>
        <v>nichapapunsuwan@airasia.com</v>
      </c>
    </row>
    <row r="1141">
      <c r="A1141">
        <f>IFERROR(__xludf.DUMMYFUNCTION("""COMPUTED_VALUE"""),1040514.0)</f>
        <v>1040514</v>
      </c>
      <c r="B1141" t="str">
        <f>IFERROR(__xludf.DUMMYFUNCTION("""COMPUTED_VALUE"""),"Ms.")</f>
        <v>Ms.</v>
      </c>
      <c r="C1141" t="str">
        <f>IFERROR(__xludf.DUMMYFUNCTION("""COMPUTED_VALUE"""),"Ploylada")</f>
        <v>Ploylada</v>
      </c>
      <c r="D1141" t="str">
        <f>IFERROR(__xludf.DUMMYFUNCTION("""COMPUTED_VALUE"""),"Phanitwaranan")</f>
        <v>Phanitwaranan</v>
      </c>
      <c r="E1141" t="str">
        <f>IFERROR(__xludf.DUMMYFUNCTION("""COMPUTED_VALUE"""),"Ploylada Phanitwaranan")</f>
        <v>Ploylada Phanitwaranan</v>
      </c>
      <c r="F1141" t="str">
        <f>IFERROR(__xludf.DUMMYFUNCTION("""COMPUTED_VALUE"""),"นางสาว")</f>
        <v>นางสาว</v>
      </c>
      <c r="G1141" t="str">
        <f>IFERROR(__xludf.DUMMYFUNCTION("""COMPUTED_VALUE"""),"พลอยลดา")</f>
        <v>พลอยลดา</v>
      </c>
      <c r="H1141" t="str">
        <f>IFERROR(__xludf.DUMMYFUNCTION("""COMPUTED_VALUE"""),"พานิจวรานันท์")</f>
        <v>พานิจวรานันท์</v>
      </c>
      <c r="I1141" t="str">
        <f>IFERROR(__xludf.DUMMYFUNCTION("""COMPUTED_VALUE"""),"พลอยลดา พานิจวรานันท์")</f>
        <v>พลอยลดา พานิจวรานันท์</v>
      </c>
      <c r="J1141" t="str">
        <f>IFERROR(__xludf.DUMMYFUNCTION("""COMPUTED_VALUE"""),"Ball / บอล")</f>
        <v>Ball / บอล</v>
      </c>
      <c r="K1141" t="str">
        <f>IFERROR(__xludf.DUMMYFUNCTION("""COMPUTED_VALUE"""),"Cabin Crew")</f>
        <v>Cabin Crew</v>
      </c>
      <c r="L1141" t="str">
        <f>IFERROR(__xludf.DUMMYFUNCTION("""COMPUTED_VALUE"""),"DMK")</f>
        <v>DMK</v>
      </c>
      <c r="M1141" s="145" t="str">
        <f>IFERROR(__xludf.DUMMYFUNCTION("""COMPUTED_VALUE"""),"Kor Home")</f>
        <v>Kor Home</v>
      </c>
      <c r="N1141" t="str">
        <f>IFERROR(__xludf.DUMMYFUNCTION("""COMPUTED_VALUE"""),"Active")</f>
        <v>Active</v>
      </c>
      <c r="P1141" s="163">
        <f>IFERROR(__xludf.DUMMYFUNCTION("""COMPUTED_VALUE"""),36612.0)</f>
        <v>36612</v>
      </c>
      <c r="Q1141" s="146" t="str">
        <f>IFERROR(__xludf.DUMMYFUNCTION("""COMPUTED_VALUE"""),"095 629 7093")</f>
        <v>095 629 7093</v>
      </c>
      <c r="R1141" s="146" t="str">
        <f>IFERROR(__xludf.DUMMYFUNCTION("""COMPUTED_VALUE"""),"1-6099-00497-14-0")</f>
        <v>1-6099-00497-14-0</v>
      </c>
      <c r="S1141" t="str">
        <f>IFERROR(__xludf.DUMMYFUNCTION("""COMPUTED_VALUE"""),"AC5655488")</f>
        <v>AC5655488</v>
      </c>
      <c r="T1141" s="148">
        <f>IFERROR(__xludf.DUMMYFUNCTION("""COMPUTED_VALUE"""),45176.0)</f>
        <v>45176</v>
      </c>
      <c r="U1141" s="148">
        <f>IFERROR(__xludf.DUMMYFUNCTION("""COMPUTED_VALUE"""),48828.0)</f>
        <v>48828</v>
      </c>
      <c r="V1141" s="149">
        <f>IFERROR(__xludf.DUMMYFUNCTION("""COMPUTED_VALUE"""),48644.0)</f>
        <v>48644</v>
      </c>
      <c r="W1141" t="str">
        <f>IFERROR(__xludf.DUMMYFUNCTION("""COMPUTED_VALUE"""),"ปลอดภัย")</f>
        <v>ปลอดภัย</v>
      </c>
      <c r="X1141" t="str">
        <f>IFERROR(__xludf.DUMMYFUNCTION("""COMPUTED_VALUE"""),"Nakhon Sawan Province")</f>
        <v>Nakhon Sawan Province</v>
      </c>
      <c r="Y1141" t="str">
        <f>IFERROR(__xludf.DUMMYFUNCTION("""COMPUTED_VALUE"""),"Bangkok")</f>
        <v>Bangkok</v>
      </c>
      <c r="Z1141" s="161" t="str">
        <f>IFERROR(__xludf.DUMMYFUNCTION("""COMPUTED_VALUE"""),"064-6296156")</f>
        <v>064-6296156</v>
      </c>
      <c r="AA1141" t="str">
        <f>IFERROR(__xludf.DUMMYFUNCTION("""COMPUTED_VALUE"""),"นางสาวณัฐจารี พานิจวรานันท์ Sister")</f>
        <v>นางสาวณัฐจารี พานิจวรานันท์ Sister</v>
      </c>
      <c r="AB1141" t="str">
        <f>IFERROR(__xludf.DUMMYFUNCTION("""COMPUTED_VALUE"""),"ployladaphanitwaran@airasia.com")</f>
        <v>ployladaphanitwaran@airasia.com</v>
      </c>
    </row>
    <row r="1142">
      <c r="A1142">
        <f>IFERROR(__xludf.DUMMYFUNCTION("""COMPUTED_VALUE"""),1040516.0)</f>
        <v>1040516</v>
      </c>
      <c r="B1142" t="str">
        <f>IFERROR(__xludf.DUMMYFUNCTION("""COMPUTED_VALUE"""),"Ms.")</f>
        <v>Ms.</v>
      </c>
      <c r="C1142" t="str">
        <f>IFERROR(__xludf.DUMMYFUNCTION("""COMPUTED_VALUE"""),"Suchanan")</f>
        <v>Suchanan</v>
      </c>
      <c r="D1142" t="str">
        <f>IFERROR(__xludf.DUMMYFUNCTION("""COMPUTED_VALUE"""),"Chungsai")</f>
        <v>Chungsai</v>
      </c>
      <c r="E1142" t="str">
        <f>IFERROR(__xludf.DUMMYFUNCTION("""COMPUTED_VALUE"""),"Suchanan Chungsai")</f>
        <v>Suchanan Chungsai</v>
      </c>
      <c r="F1142" t="str">
        <f>IFERROR(__xludf.DUMMYFUNCTION("""COMPUTED_VALUE"""),"นางสาว")</f>
        <v>นางสาว</v>
      </c>
      <c r="G1142" t="str">
        <f>IFERROR(__xludf.DUMMYFUNCTION("""COMPUTED_VALUE"""),"สุชานันท์")</f>
        <v>สุชานันท์</v>
      </c>
      <c r="H1142" t="str">
        <f>IFERROR(__xludf.DUMMYFUNCTION("""COMPUTED_VALUE"""),"จูงสาย")</f>
        <v>จูงสาย</v>
      </c>
      <c r="I1142" t="str">
        <f>IFERROR(__xludf.DUMMYFUNCTION("""COMPUTED_VALUE"""),"สุชานันท์ จูงสาย")</f>
        <v>สุชานันท์ จูงสาย</v>
      </c>
      <c r="J1142" t="str">
        <f>IFERROR(__xludf.DUMMYFUNCTION("""COMPUTED_VALUE"""),"Nook")</f>
        <v>Nook</v>
      </c>
      <c r="K1142" t="str">
        <f>IFERROR(__xludf.DUMMYFUNCTION("""COMPUTED_VALUE"""),"Cabin Crew")</f>
        <v>Cabin Crew</v>
      </c>
      <c r="L1142" t="str">
        <f>IFERROR(__xludf.DUMMYFUNCTION("""COMPUTED_VALUE"""),"DMK")</f>
        <v>DMK</v>
      </c>
      <c r="M1142" s="145" t="str">
        <f>IFERROR(__xludf.DUMMYFUNCTION("""COMPUTED_VALUE"""),"Um Home")</f>
        <v>Um Home</v>
      </c>
      <c r="N1142" t="str">
        <f>IFERROR(__xludf.DUMMYFUNCTION("""COMPUTED_VALUE"""),"Active")</f>
        <v>Active</v>
      </c>
      <c r="P1142" s="163">
        <f>IFERROR(__xludf.DUMMYFUNCTION("""COMPUTED_VALUE"""),35503.0)</f>
        <v>35503</v>
      </c>
      <c r="Q1142" s="146" t="str">
        <f>IFERROR(__xludf.DUMMYFUNCTION("""COMPUTED_VALUE"""),"099 215 9222")</f>
        <v>099 215 9222</v>
      </c>
      <c r="R1142" s="146" t="str">
        <f>IFERROR(__xludf.DUMMYFUNCTION("""COMPUTED_VALUE"""),"1-1005-01394-86-6")</f>
        <v>1-1005-01394-86-6</v>
      </c>
      <c r="S1142" t="str">
        <f>IFERROR(__xludf.DUMMYFUNCTION("""COMPUTED_VALUE"""),"AD1394283")</f>
        <v>AD1394283</v>
      </c>
      <c r="T1142" s="148">
        <f>IFERROR(__xludf.DUMMYFUNCTION("""COMPUTED_VALUE"""),45236.0)</f>
        <v>45236</v>
      </c>
      <c r="U1142" s="148">
        <f>IFERROR(__xludf.DUMMYFUNCTION("""COMPUTED_VALUE"""),48888.0)</f>
        <v>48888</v>
      </c>
      <c r="V1142" s="149">
        <f>IFERROR(__xludf.DUMMYFUNCTION("""COMPUTED_VALUE"""),48704.0)</f>
        <v>48704</v>
      </c>
      <c r="W1142" t="str">
        <f>IFERROR(__xludf.DUMMYFUNCTION("""COMPUTED_VALUE"""),"ปลอดภัย")</f>
        <v>ปลอดภัย</v>
      </c>
      <c r="X1142" t="str">
        <f>IFERROR(__xludf.DUMMYFUNCTION("""COMPUTED_VALUE"""),"Bangkok")</f>
        <v>Bangkok</v>
      </c>
      <c r="Y1142" t="str">
        <f>IFERROR(__xludf.DUMMYFUNCTION("""COMPUTED_VALUE"""),"Bangkok")</f>
        <v>Bangkok</v>
      </c>
      <c r="Z1142" s="161" t="str">
        <f>IFERROR(__xludf.DUMMYFUNCTION("""COMPUTED_VALUE"""),"0905654442")</f>
        <v>0905654442</v>
      </c>
      <c r="AA1142" t="str">
        <f>IFERROR(__xludf.DUMMYFUNCTION("""COMPUTED_VALUE"""),"นางสุชานุช เกษจรัล Mother")</f>
        <v>นางสุชานุช เกษจรัล Mother</v>
      </c>
      <c r="AB1142" t="str">
        <f>IFERROR(__xludf.DUMMYFUNCTION("""COMPUTED_VALUE"""),"suchananchungsai@airasia.com")</f>
        <v>suchananchungsai@airasia.com</v>
      </c>
    </row>
    <row r="1143">
      <c r="A1143">
        <f>IFERROR(__xludf.DUMMYFUNCTION("""COMPUTED_VALUE"""),1040518.0)</f>
        <v>1040518</v>
      </c>
      <c r="B1143" t="str">
        <f>IFERROR(__xludf.DUMMYFUNCTION("""COMPUTED_VALUE"""),"Ms.")</f>
        <v>Ms.</v>
      </c>
      <c r="C1143" t="str">
        <f>IFERROR(__xludf.DUMMYFUNCTION("""COMPUTED_VALUE"""),"Thanyarat")</f>
        <v>Thanyarat</v>
      </c>
      <c r="D1143" t="str">
        <f>IFERROR(__xludf.DUMMYFUNCTION("""COMPUTED_VALUE"""),"Kajornchaiyakul")</f>
        <v>Kajornchaiyakul</v>
      </c>
      <c r="E1143" t="str">
        <f>IFERROR(__xludf.DUMMYFUNCTION("""COMPUTED_VALUE"""),"Thanyarat Kajornchaiyakul")</f>
        <v>Thanyarat Kajornchaiyakul</v>
      </c>
      <c r="F1143" t="str">
        <f>IFERROR(__xludf.DUMMYFUNCTION("""COMPUTED_VALUE"""),"นางสาว")</f>
        <v>นางสาว</v>
      </c>
      <c r="G1143" t="str">
        <f>IFERROR(__xludf.DUMMYFUNCTION("""COMPUTED_VALUE"""),"ธัญรัศ")</f>
        <v>ธัญรัศ</v>
      </c>
      <c r="H1143" t="str">
        <f>IFERROR(__xludf.DUMMYFUNCTION("""COMPUTED_VALUE"""),"ขจรไชยกูล")</f>
        <v>ขจรไชยกูล</v>
      </c>
      <c r="I1143" t="str">
        <f>IFERROR(__xludf.DUMMYFUNCTION("""COMPUTED_VALUE"""),"ธัญรัศ ขจรไชยกูล")</f>
        <v>ธัญรัศ ขจรไชยกูล</v>
      </c>
      <c r="J1143" t="str">
        <f>IFERROR(__xludf.DUMMYFUNCTION("""COMPUTED_VALUE"""),"Ben / เบญ")</f>
        <v>Ben / เบญ</v>
      </c>
      <c r="K1143" t="str">
        <f>IFERROR(__xludf.DUMMYFUNCTION("""COMPUTED_VALUE"""),"Cabin Crew")</f>
        <v>Cabin Crew</v>
      </c>
      <c r="L1143" t="str">
        <f>IFERROR(__xludf.DUMMYFUNCTION("""COMPUTED_VALUE"""),"DMK")</f>
        <v>DMK</v>
      </c>
      <c r="M1143" s="145" t="str">
        <f>IFERROR(__xludf.DUMMYFUNCTION("""COMPUTED_VALUE"""),"Toffy Home")</f>
        <v>Toffy Home</v>
      </c>
      <c r="N1143" t="str">
        <f>IFERROR(__xludf.DUMMYFUNCTION("""COMPUTED_VALUE"""),"Active")</f>
        <v>Active</v>
      </c>
      <c r="P1143" s="163">
        <f>IFERROR(__xludf.DUMMYFUNCTION("""COMPUTED_VALUE"""),32033.0)</f>
        <v>32033</v>
      </c>
      <c r="Q1143" s="146" t="str">
        <f>IFERROR(__xludf.DUMMYFUNCTION("""COMPUTED_VALUE"""),"082 664 9697")</f>
        <v>082 664 9697</v>
      </c>
      <c r="R1143" s="146" t="str">
        <f>IFERROR(__xludf.DUMMYFUNCTION("""COMPUTED_VALUE"""),"1-1008-00373-35-6")</f>
        <v>1-1008-00373-35-6</v>
      </c>
      <c r="S1143" t="str">
        <f>IFERROR(__xludf.DUMMYFUNCTION("""COMPUTED_VALUE"""),"AD0594538")</f>
        <v>AD0594538</v>
      </c>
      <c r="T1143" s="148">
        <f>IFERROR(__xludf.DUMMYFUNCTION("""COMPUTED_VALUE"""),48591.0)</f>
        <v>48591</v>
      </c>
      <c r="U1143" s="148">
        <f>IFERROR(__xludf.DUMMYFUNCTION("""COMPUTED_VALUE"""),48590.0)</f>
        <v>48590</v>
      </c>
      <c r="V1143" s="149">
        <f>IFERROR(__xludf.DUMMYFUNCTION("""COMPUTED_VALUE"""),48406.0)</f>
        <v>48406</v>
      </c>
      <c r="W1143" t="str">
        <f>IFERROR(__xludf.DUMMYFUNCTION("""COMPUTED_VALUE"""),"ปลอดภัย")</f>
        <v>ปลอดภัย</v>
      </c>
      <c r="X1143" t="str">
        <f>IFERROR(__xludf.DUMMYFUNCTION("""COMPUTED_VALUE"""),"Bangkok")</f>
        <v>Bangkok</v>
      </c>
      <c r="Y1143" t="str">
        <f>IFERROR(__xludf.DUMMYFUNCTION("""COMPUTED_VALUE"""),"Nonthaburi")</f>
        <v>Nonthaburi</v>
      </c>
      <c r="Z1143" s="161" t="str">
        <f>IFERROR(__xludf.DUMMYFUNCTION("""COMPUTED_VALUE"""),"062-909-5924")</f>
        <v>062-909-5924</v>
      </c>
      <c r="AA1143" t="str">
        <f>IFERROR(__xludf.DUMMYFUNCTION("""COMPUTED_VALUE"""),"นายฤทธิรงค์ เรืองศักดิ์ Friend")</f>
        <v>นายฤทธิรงค์ เรืองศักดิ์ Friend</v>
      </c>
      <c r="AB1143" t="str">
        <f>IFERROR(__xludf.DUMMYFUNCTION("""COMPUTED_VALUE"""),"thanyaratkajornchai@airasia.com")</f>
        <v>thanyaratkajornchai@airasia.com</v>
      </c>
    </row>
    <row r="1144">
      <c r="A1144">
        <f>IFERROR(__xludf.DUMMYFUNCTION("""COMPUTED_VALUE"""),1040519.0)</f>
        <v>1040519</v>
      </c>
      <c r="B1144" t="str">
        <f>IFERROR(__xludf.DUMMYFUNCTION("""COMPUTED_VALUE"""),"Ms.")</f>
        <v>Ms.</v>
      </c>
      <c r="C1144" t="str">
        <f>IFERROR(__xludf.DUMMYFUNCTION("""COMPUTED_VALUE"""),"Thatsani")</f>
        <v>Thatsani</v>
      </c>
      <c r="D1144" t="str">
        <f>IFERROR(__xludf.DUMMYFUNCTION("""COMPUTED_VALUE"""),"Saecai")</f>
        <v>Saecai</v>
      </c>
      <c r="E1144" t="str">
        <f>IFERROR(__xludf.DUMMYFUNCTION("""COMPUTED_VALUE"""),"Thatsani Saecai")</f>
        <v>Thatsani Saecai</v>
      </c>
      <c r="F1144" t="str">
        <f>IFERROR(__xludf.DUMMYFUNCTION("""COMPUTED_VALUE"""),"นางสาว")</f>
        <v>นางสาว</v>
      </c>
      <c r="G1144" t="str">
        <f>IFERROR(__xludf.DUMMYFUNCTION("""COMPUTED_VALUE"""),"ทัศนีย์")</f>
        <v>ทัศนีย์</v>
      </c>
      <c r="H1144" t="str">
        <f>IFERROR(__xludf.DUMMYFUNCTION("""COMPUTED_VALUE"""),"แซ่ไช่")</f>
        <v>แซ่ไช่</v>
      </c>
      <c r="I1144" t="str">
        <f>IFERROR(__xludf.DUMMYFUNCTION("""COMPUTED_VALUE"""),"ทัศนีย์ แซ่ไช่")</f>
        <v>ทัศนีย์ แซ่ไช่</v>
      </c>
      <c r="J1144" t="str">
        <f>IFERROR(__xludf.DUMMYFUNCTION("""COMPUTED_VALUE"""),"Lhing / หลิง")</f>
        <v>Lhing / หลิง</v>
      </c>
      <c r="K1144" t="str">
        <f>IFERROR(__xludf.DUMMYFUNCTION("""COMPUTED_VALUE"""),"Cabin Crew")</f>
        <v>Cabin Crew</v>
      </c>
      <c r="L1144" t="str">
        <f>IFERROR(__xludf.DUMMYFUNCTION("""COMPUTED_VALUE"""),"DMK")</f>
        <v>DMK</v>
      </c>
      <c r="M1144" s="145" t="str">
        <f>IFERROR(__xludf.DUMMYFUNCTION("""COMPUTED_VALUE"""),"Kor Home")</f>
        <v>Kor Home</v>
      </c>
      <c r="N1144" t="str">
        <f>IFERROR(__xludf.DUMMYFUNCTION("""COMPUTED_VALUE"""),"Active")</f>
        <v>Active</v>
      </c>
      <c r="P1144" s="163">
        <f>IFERROR(__xludf.DUMMYFUNCTION("""COMPUTED_VALUE"""),35371.0)</f>
        <v>35371</v>
      </c>
      <c r="Q1144" s="146" t="str">
        <f>IFERROR(__xludf.DUMMYFUNCTION("""COMPUTED_VALUE"""),"065 953 6246")</f>
        <v>065 953 6246</v>
      </c>
      <c r="R1144" s="146" t="str">
        <f>IFERROR(__xludf.DUMMYFUNCTION("""COMPUTED_VALUE"""),"1-1101-00179-79-4")</f>
        <v>1-1101-00179-79-4</v>
      </c>
      <c r="S1144" t="str">
        <f>IFERROR(__xludf.DUMMYFUNCTION("""COMPUTED_VALUE"""),"AC3916876")</f>
        <v>AC3916876</v>
      </c>
      <c r="T1144" s="148">
        <f>IFERROR(__xludf.DUMMYFUNCTION("""COMPUTED_VALUE"""),44799.0)</f>
        <v>44799</v>
      </c>
      <c r="U1144" s="148">
        <f>IFERROR(__xludf.DUMMYFUNCTION("""COMPUTED_VALUE"""),48451.0)</f>
        <v>48451</v>
      </c>
      <c r="V1144" s="149">
        <f>IFERROR(__xludf.DUMMYFUNCTION("""COMPUTED_VALUE"""),48269.0)</f>
        <v>48269</v>
      </c>
      <c r="W1144" t="str">
        <f>IFERROR(__xludf.DUMMYFUNCTION("""COMPUTED_VALUE"""),"ปลอดภัย")</f>
        <v>ปลอดภัย</v>
      </c>
      <c r="X1144" t="str">
        <f>IFERROR(__xludf.DUMMYFUNCTION("""COMPUTED_VALUE"""),"Samut Prakan Province")</f>
        <v>Samut Prakan Province</v>
      </c>
      <c r="Y1144" t="str">
        <f>IFERROR(__xludf.DUMMYFUNCTION("""COMPUTED_VALUE"""),"Bangkok")</f>
        <v>Bangkok</v>
      </c>
      <c r="Z1144" s="161" t="str">
        <f>IFERROR(__xludf.DUMMYFUNCTION("""COMPUTED_VALUE"""),"085-027-1425")</f>
        <v>085-027-1425</v>
      </c>
      <c r="AA1144" t="str">
        <f>IFERROR(__xludf.DUMMYFUNCTION("""COMPUTED_VALUE"""),"นายวรากร เจริญรัตน์ Friend")</f>
        <v>นายวรากร เจริญรัตน์ Friend</v>
      </c>
      <c r="AB1144" t="str">
        <f>IFERROR(__xludf.DUMMYFUNCTION("""COMPUTED_VALUE"""),"thatsanisaecai@airasia.com")</f>
        <v>thatsanisaecai@airasia.com</v>
      </c>
    </row>
    <row r="1145">
      <c r="A1145">
        <f>IFERROR(__xludf.DUMMYFUNCTION("""COMPUTED_VALUE"""),1040520.0)</f>
        <v>1040520</v>
      </c>
      <c r="B1145" t="str">
        <f>IFERROR(__xludf.DUMMYFUNCTION("""COMPUTED_VALUE"""),"Ms.")</f>
        <v>Ms.</v>
      </c>
      <c r="C1145" t="str">
        <f>IFERROR(__xludf.DUMMYFUNCTION("""COMPUTED_VALUE"""),"Thitapron")</f>
        <v>Thitapron</v>
      </c>
      <c r="D1145" t="str">
        <f>IFERROR(__xludf.DUMMYFUNCTION("""COMPUTED_VALUE"""),"Rattanavichien")</f>
        <v>Rattanavichien</v>
      </c>
      <c r="E1145" t="str">
        <f>IFERROR(__xludf.DUMMYFUNCTION("""COMPUTED_VALUE"""),"Thitapron Rattanavichien")</f>
        <v>Thitapron Rattanavichien</v>
      </c>
      <c r="F1145" t="str">
        <f>IFERROR(__xludf.DUMMYFUNCTION("""COMPUTED_VALUE"""),"นางสาว")</f>
        <v>นางสาว</v>
      </c>
      <c r="G1145" t="str">
        <f>IFERROR(__xludf.DUMMYFUNCTION("""COMPUTED_VALUE"""),"ฐิตาภรณ์")</f>
        <v>ฐิตาภรณ์</v>
      </c>
      <c r="H1145" t="str">
        <f>IFERROR(__xludf.DUMMYFUNCTION("""COMPUTED_VALUE"""),"รัตนวิเชียร")</f>
        <v>รัตนวิเชียร</v>
      </c>
      <c r="I1145" t="str">
        <f>IFERROR(__xludf.DUMMYFUNCTION("""COMPUTED_VALUE"""),"ฐิตาภรณ์ รัตนวิเชียร")</f>
        <v>ฐิตาภรณ์ รัตนวิเชียร</v>
      </c>
      <c r="J1145" t="str">
        <f>IFERROR(__xludf.DUMMYFUNCTION("""COMPUTED_VALUE"""),"Mind / มายด์")</f>
        <v>Mind / มายด์</v>
      </c>
      <c r="K1145" t="str">
        <f>IFERROR(__xludf.DUMMYFUNCTION("""COMPUTED_VALUE"""),"Cabin Crew")</f>
        <v>Cabin Crew</v>
      </c>
      <c r="L1145" t="str">
        <f>IFERROR(__xludf.DUMMYFUNCTION("""COMPUTED_VALUE"""),"DMK")</f>
        <v>DMK</v>
      </c>
      <c r="M1145" s="145" t="str">
        <f>IFERROR(__xludf.DUMMYFUNCTION("""COMPUTED_VALUE"""),"Nhui Home")</f>
        <v>Nhui Home</v>
      </c>
      <c r="N1145" t="str">
        <f>IFERROR(__xludf.DUMMYFUNCTION("""COMPUTED_VALUE"""),"Active")</f>
        <v>Active</v>
      </c>
      <c r="P1145" s="163">
        <f>IFERROR(__xludf.DUMMYFUNCTION("""COMPUTED_VALUE"""),35004.0)</f>
        <v>35004</v>
      </c>
      <c r="Q1145" s="146" t="str">
        <f>IFERROR(__xludf.DUMMYFUNCTION("""COMPUTED_VALUE"""),"081 534 0680")</f>
        <v>081 534 0680</v>
      </c>
      <c r="R1145" s="146" t="str">
        <f>IFERROR(__xludf.DUMMYFUNCTION("""COMPUTED_VALUE"""),"1-1005-01254-25-8")</f>
        <v>1-1005-01254-25-8</v>
      </c>
      <c r="S1145" t="str">
        <f>IFERROR(__xludf.DUMMYFUNCTION("""COMPUTED_VALUE"""),"AC2561421")</f>
        <v>AC2561421</v>
      </c>
      <c r="T1145" s="148">
        <f>IFERROR(__xludf.DUMMYFUNCTION("""COMPUTED_VALUE"""),44663.0)</f>
        <v>44663</v>
      </c>
      <c r="U1145" s="148">
        <f>IFERROR(__xludf.DUMMYFUNCTION("""COMPUTED_VALUE"""),48315.0)</f>
        <v>48315</v>
      </c>
      <c r="V1145" s="149">
        <f>IFERROR(__xludf.DUMMYFUNCTION("""COMPUTED_VALUE"""),48132.0)</f>
        <v>48132</v>
      </c>
      <c r="W1145" t="str">
        <f>IFERROR(__xludf.DUMMYFUNCTION("""COMPUTED_VALUE"""),"ปลอดภัย")</f>
        <v>ปลอดภัย</v>
      </c>
      <c r="X1145" t="str">
        <f>IFERROR(__xludf.DUMMYFUNCTION("""COMPUTED_VALUE"""),"Bangkok")</f>
        <v>Bangkok</v>
      </c>
      <c r="Y1145" t="str">
        <f>IFERROR(__xludf.DUMMYFUNCTION("""COMPUTED_VALUE"""),"Pathum Thani")</f>
        <v>Pathum Thani</v>
      </c>
      <c r="Z1145" s="161" t="str">
        <f>IFERROR(__xludf.DUMMYFUNCTION("""COMPUTED_VALUE"""),"081-533-2635")</f>
        <v>081-533-2635</v>
      </c>
      <c r="AA1145" t="str">
        <f>IFERROR(__xludf.DUMMYFUNCTION("""COMPUTED_VALUE"""),"นาวาอากาศเอกหญิง สิริกร รัตนวิเชียร Mother")</f>
        <v>นาวาอากาศเอกหญิง สิริกร รัตนวิเชียร Mother</v>
      </c>
      <c r="AB1145" t="str">
        <f>IFERROR(__xludf.DUMMYFUNCTION("""COMPUTED_VALUE"""),"thitapronrattanavic@airasia.com")</f>
        <v>thitapronrattanavic@airasia.com</v>
      </c>
    </row>
    <row r="1146">
      <c r="A1146">
        <f>IFERROR(__xludf.DUMMYFUNCTION("""COMPUTED_VALUE"""),1040521.0)</f>
        <v>1040521</v>
      </c>
      <c r="B1146" t="str">
        <f>IFERROR(__xludf.DUMMYFUNCTION("""COMPUTED_VALUE"""),"Ms.")</f>
        <v>Ms.</v>
      </c>
      <c r="C1146" t="str">
        <f>IFERROR(__xludf.DUMMYFUNCTION("""COMPUTED_VALUE"""),"Thunsuda")</f>
        <v>Thunsuda</v>
      </c>
      <c r="D1146" t="str">
        <f>IFERROR(__xludf.DUMMYFUNCTION("""COMPUTED_VALUE"""),"Kwawsibsam")</f>
        <v>Kwawsibsam</v>
      </c>
      <c r="E1146" t="str">
        <f>IFERROR(__xludf.DUMMYFUNCTION("""COMPUTED_VALUE"""),"Thunsuda Kwawsibsam")</f>
        <v>Thunsuda Kwawsibsam</v>
      </c>
      <c r="F1146" t="str">
        <f>IFERROR(__xludf.DUMMYFUNCTION("""COMPUTED_VALUE"""),"นางสาว")</f>
        <v>นางสาว</v>
      </c>
      <c r="G1146" t="str">
        <f>IFERROR(__xludf.DUMMYFUNCTION("""COMPUTED_VALUE"""),"ธัญสุดา")</f>
        <v>ธัญสุดา</v>
      </c>
      <c r="H1146" t="str">
        <f>IFERROR(__xludf.DUMMYFUNCTION("""COMPUTED_VALUE"""),"กวาวสิบสาม")</f>
        <v>กวาวสิบสาม</v>
      </c>
      <c r="I1146" t="str">
        <f>IFERROR(__xludf.DUMMYFUNCTION("""COMPUTED_VALUE"""),"ธัญสุดา กวาวสิบสาม")</f>
        <v>ธัญสุดา กวาวสิบสาม</v>
      </c>
      <c r="J1146" t="str">
        <f>IFERROR(__xludf.DUMMYFUNCTION("""COMPUTED_VALUE"""),"Bifern")</f>
        <v>Bifern</v>
      </c>
      <c r="K1146" t="str">
        <f>IFERROR(__xludf.DUMMYFUNCTION("""COMPUTED_VALUE"""),"Cabin Crew")</f>
        <v>Cabin Crew</v>
      </c>
      <c r="L1146" t="str">
        <f>IFERROR(__xludf.DUMMYFUNCTION("""COMPUTED_VALUE"""),"DMK")</f>
        <v>DMK</v>
      </c>
      <c r="M1146" s="145" t="str">
        <f>IFERROR(__xludf.DUMMYFUNCTION("""COMPUTED_VALUE"""),"Toffy Home")</f>
        <v>Toffy Home</v>
      </c>
      <c r="N1146" t="str">
        <f>IFERROR(__xludf.DUMMYFUNCTION("""COMPUTED_VALUE"""),"Active")</f>
        <v>Active</v>
      </c>
      <c r="P1146" s="163">
        <f>IFERROR(__xludf.DUMMYFUNCTION("""COMPUTED_VALUE"""),35252.0)</f>
        <v>35252</v>
      </c>
      <c r="Q1146" s="146" t="str">
        <f>IFERROR(__xludf.DUMMYFUNCTION("""COMPUTED_VALUE"""),"089 637 0250")</f>
        <v>089 637 0250</v>
      </c>
      <c r="R1146" s="146" t="str">
        <f>IFERROR(__xludf.DUMMYFUNCTION("""COMPUTED_VALUE"""),"1-5599-00308-43-7")</f>
        <v>1-5599-00308-43-7</v>
      </c>
      <c r="S1146" t="str">
        <f>IFERROR(__xludf.DUMMYFUNCTION("""COMPUTED_VALUE"""),"AC2298253")</f>
        <v>AC2298253</v>
      </c>
      <c r="T1146" s="148">
        <f>IFERROR(__xludf.DUMMYFUNCTION("""COMPUTED_VALUE"""),44351.0)</f>
        <v>44351</v>
      </c>
      <c r="U1146" s="148">
        <f>IFERROR(__xludf.DUMMYFUNCTION("""COMPUTED_VALUE"""),48002.0)</f>
        <v>48002</v>
      </c>
      <c r="V1146" s="149">
        <f>IFERROR(__xludf.DUMMYFUNCTION("""COMPUTED_VALUE"""),47820.0)</f>
        <v>47820</v>
      </c>
      <c r="W1146" t="str">
        <f>IFERROR(__xludf.DUMMYFUNCTION("""COMPUTED_VALUE"""),"ปลอดภัย")</f>
        <v>ปลอดภัย</v>
      </c>
      <c r="X1146" t="str">
        <f>IFERROR(__xludf.DUMMYFUNCTION("""COMPUTED_VALUE"""),"Nan Province")</f>
        <v>Nan Province</v>
      </c>
      <c r="Y1146" t="str">
        <f>IFERROR(__xludf.DUMMYFUNCTION("""COMPUTED_VALUE"""),"Bangkok")</f>
        <v>Bangkok</v>
      </c>
      <c r="Z1146" s="161" t="str">
        <f>IFERROR(__xludf.DUMMYFUNCTION("""COMPUTED_VALUE"""),"0823852457")</f>
        <v>0823852457</v>
      </c>
      <c r="AA1146" t="str">
        <f>IFERROR(__xludf.DUMMYFUNCTION("""COMPUTED_VALUE"""),"นางสุธาทิพย์ กวาวสิบสาม Mother")</f>
        <v>นางสุธาทิพย์ กวาวสิบสาม Mother</v>
      </c>
      <c r="AB1146" t="str">
        <f>IFERROR(__xludf.DUMMYFUNCTION("""COMPUTED_VALUE"""),"thunsudakwawsibsam@airasia.com")</f>
        <v>thunsudakwawsibsam@airasia.com</v>
      </c>
    </row>
    <row r="1147">
      <c r="A1147">
        <f>IFERROR(__xludf.DUMMYFUNCTION("""COMPUTED_VALUE"""),1040522.0)</f>
        <v>1040522</v>
      </c>
      <c r="B1147" t="str">
        <f>IFERROR(__xludf.DUMMYFUNCTION("""COMPUTED_VALUE"""),"Ms.")</f>
        <v>Ms.</v>
      </c>
      <c r="C1147" t="str">
        <f>IFERROR(__xludf.DUMMYFUNCTION("""COMPUTED_VALUE"""),"Titapa")</f>
        <v>Titapa</v>
      </c>
      <c r="D1147" t="str">
        <f>IFERROR(__xludf.DUMMYFUNCTION("""COMPUTED_VALUE"""),"Tiyasoponjit")</f>
        <v>Tiyasoponjit</v>
      </c>
      <c r="E1147" t="str">
        <f>IFERROR(__xludf.DUMMYFUNCTION("""COMPUTED_VALUE"""),"Titapa Tiyasoponjit")</f>
        <v>Titapa Tiyasoponjit</v>
      </c>
      <c r="F1147" t="str">
        <f>IFERROR(__xludf.DUMMYFUNCTION("""COMPUTED_VALUE"""),"นางสาว")</f>
        <v>นางสาว</v>
      </c>
      <c r="G1147" t="str">
        <f>IFERROR(__xludf.DUMMYFUNCTION("""COMPUTED_VALUE"""),"ฐิติาภา")</f>
        <v>ฐิติาภา</v>
      </c>
      <c r="H1147" t="str">
        <f>IFERROR(__xludf.DUMMYFUNCTION("""COMPUTED_VALUE"""),"ติยะโสภณจิต")</f>
        <v>ติยะโสภณจิต</v>
      </c>
      <c r="I1147" t="str">
        <f>IFERROR(__xludf.DUMMYFUNCTION("""COMPUTED_VALUE"""),"ฐิติาภา ติยะโสภณจิต")</f>
        <v>ฐิติาภา ติยะโสภณจิต</v>
      </c>
      <c r="J1147" t="str">
        <f>IFERROR(__xludf.DUMMYFUNCTION("""COMPUTED_VALUE"""),"Patty / แพตตี้")</f>
        <v>Patty / แพตตี้</v>
      </c>
      <c r="K1147" t="str">
        <f>IFERROR(__xludf.DUMMYFUNCTION("""COMPUTED_VALUE"""),"Cabin Crew")</f>
        <v>Cabin Crew</v>
      </c>
      <c r="L1147" t="str">
        <f>IFERROR(__xludf.DUMMYFUNCTION("""COMPUTED_VALUE"""),"DMK")</f>
        <v>DMK</v>
      </c>
      <c r="M1147" s="145" t="str">
        <f>IFERROR(__xludf.DUMMYFUNCTION("""COMPUTED_VALUE"""),"Kor Home")</f>
        <v>Kor Home</v>
      </c>
      <c r="N1147" t="str">
        <f>IFERROR(__xludf.DUMMYFUNCTION("""COMPUTED_VALUE"""),"V/LWP")</f>
        <v>V/LWP</v>
      </c>
      <c r="P1147" s="163">
        <f>IFERROR(__xludf.DUMMYFUNCTION("""COMPUTED_VALUE"""),35767.0)</f>
        <v>35767</v>
      </c>
      <c r="Q1147" s="146" t="str">
        <f>IFERROR(__xludf.DUMMYFUNCTION("""COMPUTED_VALUE"""),"089 888 0946")</f>
        <v>089 888 0946</v>
      </c>
      <c r="R1147" s="146" t="str">
        <f>IFERROR(__xludf.DUMMYFUNCTION("""COMPUTED_VALUE"""),"1-1020-02851-20-1")</f>
        <v>1-1020-02851-20-1</v>
      </c>
      <c r="S1147" t="str">
        <f>IFERROR(__xludf.DUMMYFUNCTION("""COMPUTED_VALUE"""),"AD3257190")</f>
        <v>AD3257190</v>
      </c>
      <c r="T1147" s="148">
        <f>IFERROR(__xludf.DUMMYFUNCTION("""COMPUTED_VALUE"""),46041.0)</f>
        <v>46041</v>
      </c>
      <c r="U1147" s="148">
        <f>IFERROR(__xludf.DUMMYFUNCTION("""COMPUTED_VALUE"""),49692.0)</f>
        <v>49692</v>
      </c>
      <c r="V1147" s="149">
        <f>IFERROR(__xludf.DUMMYFUNCTION("""COMPUTED_VALUE"""),49508.0)</f>
        <v>49508</v>
      </c>
      <c r="W1147" t="str">
        <f>IFERROR(__xludf.DUMMYFUNCTION("""COMPUTED_VALUE"""),"ปลอดภัย")</f>
        <v>ปลอดภัย</v>
      </c>
      <c r="X1147" t="str">
        <f>IFERROR(__xludf.DUMMYFUNCTION("""COMPUTED_VALUE"""),"Bangkok")</f>
        <v>Bangkok</v>
      </c>
      <c r="Y1147" t="str">
        <f>IFERROR(__xludf.DUMMYFUNCTION("""COMPUTED_VALUE"""),"Bangkok")</f>
        <v>Bangkok</v>
      </c>
      <c r="Z1147" s="161" t="str">
        <f>IFERROR(__xludf.DUMMYFUNCTION("""COMPUTED_VALUE"""),"081-584-5041")</f>
        <v>081-584-5041</v>
      </c>
      <c r="AA1147" t="str">
        <f>IFERROR(__xludf.DUMMYFUNCTION("""COMPUTED_VALUE"""),"นางสาววราภรณ์ อรุณอาภารัตน์ Mother")</f>
        <v>นางสาววราภรณ์ อรุณอาภารัตน์ Mother</v>
      </c>
      <c r="AB1147" t="str">
        <f>IFERROR(__xludf.DUMMYFUNCTION("""COMPUTED_VALUE"""),"titapatiyasoponjit@airasia.com")</f>
        <v>titapatiyasoponjit@airasia.com</v>
      </c>
    </row>
    <row r="1148">
      <c r="A1148">
        <f>IFERROR(__xludf.DUMMYFUNCTION("""COMPUTED_VALUE"""),1040524.0)</f>
        <v>1040524</v>
      </c>
      <c r="B1148" t="str">
        <f>IFERROR(__xludf.DUMMYFUNCTION("""COMPUTED_VALUE"""),"Ms.")</f>
        <v>Ms.</v>
      </c>
      <c r="C1148" t="str">
        <f>IFERROR(__xludf.DUMMYFUNCTION("""COMPUTED_VALUE"""),"Vipassara")</f>
        <v>Vipassara</v>
      </c>
      <c r="D1148" t="str">
        <f>IFERROR(__xludf.DUMMYFUNCTION("""COMPUTED_VALUE"""),"Cheepsaritdiphong")</f>
        <v>Cheepsaritdiphong</v>
      </c>
      <c r="E1148" t="str">
        <f>IFERROR(__xludf.DUMMYFUNCTION("""COMPUTED_VALUE"""),"Vipassara Cheepsaritdiphong")</f>
        <v>Vipassara Cheepsaritdiphong</v>
      </c>
      <c r="F1148" t="str">
        <f>IFERROR(__xludf.DUMMYFUNCTION("""COMPUTED_VALUE"""),"นางสาว")</f>
        <v>นางสาว</v>
      </c>
      <c r="G1148" t="str">
        <f>IFERROR(__xludf.DUMMYFUNCTION("""COMPUTED_VALUE"""),"วิภัสรา")</f>
        <v>วิภัสรา</v>
      </c>
      <c r="H1148" t="str">
        <f>IFERROR(__xludf.DUMMYFUNCTION("""COMPUTED_VALUE"""),"ชีพสฤษดิพงศ์")</f>
        <v>ชีพสฤษดิพงศ์</v>
      </c>
      <c r="I1148" t="str">
        <f>IFERROR(__xludf.DUMMYFUNCTION("""COMPUTED_VALUE"""),"วิภัสรา ชีพสฤษดิพงศ์")</f>
        <v>วิภัสรา ชีพสฤษดิพงศ์</v>
      </c>
      <c r="J1148" t="str">
        <f>IFERROR(__xludf.DUMMYFUNCTION("""COMPUTED_VALUE"""),"Nam / น้ำ")</f>
        <v>Nam / น้ำ</v>
      </c>
      <c r="K1148" t="str">
        <f>IFERROR(__xludf.DUMMYFUNCTION("""COMPUTED_VALUE"""),"Cabin Crew")</f>
        <v>Cabin Crew</v>
      </c>
      <c r="L1148" t="str">
        <f>IFERROR(__xludf.DUMMYFUNCTION("""COMPUTED_VALUE"""),"DMK")</f>
        <v>DMK</v>
      </c>
      <c r="M1148" s="145" t="str">
        <f>IFERROR(__xludf.DUMMYFUNCTION("""COMPUTED_VALUE"""),"Kor Home")</f>
        <v>Kor Home</v>
      </c>
      <c r="N1148" t="str">
        <f>IFERROR(__xludf.DUMMYFUNCTION("""COMPUTED_VALUE"""),"Active")</f>
        <v>Active</v>
      </c>
      <c r="P1148" s="163">
        <f>IFERROR(__xludf.DUMMYFUNCTION("""COMPUTED_VALUE"""),36629.0)</f>
        <v>36629</v>
      </c>
      <c r="Q1148" s="146" t="str">
        <f>IFERROR(__xludf.DUMMYFUNCTION("""COMPUTED_VALUE"""),"086 392 7257")</f>
        <v>086 392 7257</v>
      </c>
      <c r="R1148" s="146" t="str">
        <f>IFERROR(__xludf.DUMMYFUNCTION("""COMPUTED_VALUE"""),"1-1024-00122-86-2")</f>
        <v>1-1024-00122-86-2</v>
      </c>
      <c r="S1148" t="str">
        <f>IFERROR(__xludf.DUMMYFUNCTION("""COMPUTED_VALUE"""),"AC5831492")</f>
        <v>AC5831492</v>
      </c>
      <c r="T1148" s="148">
        <f>IFERROR(__xludf.DUMMYFUNCTION("""COMPUTED_VALUE"""),45194.0)</f>
        <v>45194</v>
      </c>
      <c r="U1148" s="148">
        <f>IFERROR(__xludf.DUMMYFUNCTION("""COMPUTED_VALUE"""),48846.0)</f>
        <v>48846</v>
      </c>
      <c r="V1148" s="149">
        <f>IFERROR(__xludf.DUMMYFUNCTION("""COMPUTED_VALUE"""),48662.0)</f>
        <v>48662</v>
      </c>
      <c r="W1148" t="str">
        <f>IFERROR(__xludf.DUMMYFUNCTION("""COMPUTED_VALUE"""),"ปลอดภัย")</f>
        <v>ปลอดภัย</v>
      </c>
      <c r="X1148" t="str">
        <f>IFERROR(__xludf.DUMMYFUNCTION("""COMPUTED_VALUE"""),"Bangkok")</f>
        <v>Bangkok</v>
      </c>
      <c r="Y1148" t="str">
        <f>IFERROR(__xludf.DUMMYFUNCTION("""COMPUTED_VALUE"""),"Bangkok")</f>
        <v>Bangkok</v>
      </c>
      <c r="Z1148" s="161" t="str">
        <f>IFERROR(__xludf.DUMMYFUNCTION("""COMPUTED_VALUE"""),"085-898-2745")</f>
        <v>085-898-2745</v>
      </c>
      <c r="AA1148" t="str">
        <f>IFERROR(__xludf.DUMMYFUNCTION("""COMPUTED_VALUE"""),"นางสาวประภัสสร ภิรมย์รัตน์ Mother")</f>
        <v>นางสาวประภัสสร ภิรมย์รัตน์ Mother</v>
      </c>
      <c r="AB1148" t="str">
        <f>IFERROR(__xludf.DUMMYFUNCTION("""COMPUTED_VALUE"""),"vipassaracheepsarit@airasia.com")</f>
        <v>vipassaracheepsarit@airasia.com</v>
      </c>
    </row>
    <row r="1149">
      <c r="A1149">
        <f>IFERROR(__xludf.DUMMYFUNCTION("""COMPUTED_VALUE"""),1040525.0)</f>
        <v>1040525</v>
      </c>
      <c r="B1149" t="str">
        <f>IFERROR(__xludf.DUMMYFUNCTION("""COMPUTED_VALUE"""),"Ms.")</f>
        <v>Ms.</v>
      </c>
      <c r="C1149" t="str">
        <f>IFERROR(__xludf.DUMMYFUNCTION("""COMPUTED_VALUE"""),"Watsamon")</f>
        <v>Watsamon</v>
      </c>
      <c r="D1149" t="str">
        <f>IFERROR(__xludf.DUMMYFUNCTION("""COMPUTED_VALUE"""),"Buaphuean")</f>
        <v>Buaphuean</v>
      </c>
      <c r="E1149" t="str">
        <f>IFERROR(__xludf.DUMMYFUNCTION("""COMPUTED_VALUE"""),"Watsamon Buaphuean")</f>
        <v>Watsamon Buaphuean</v>
      </c>
      <c r="F1149" t="str">
        <f>IFERROR(__xludf.DUMMYFUNCTION("""COMPUTED_VALUE"""),"นางสาว")</f>
        <v>นางสาว</v>
      </c>
      <c r="G1149" t="str">
        <f>IFERROR(__xludf.DUMMYFUNCTION("""COMPUTED_VALUE"""),"วรรษมน")</f>
        <v>วรรษมน</v>
      </c>
      <c r="H1149" t="str">
        <f>IFERROR(__xludf.DUMMYFUNCTION("""COMPUTED_VALUE"""),"บัวเผื่อน")</f>
        <v>บัวเผื่อน</v>
      </c>
      <c r="I1149" t="str">
        <f>IFERROR(__xludf.DUMMYFUNCTION("""COMPUTED_VALUE"""),"วรรษมน บัวเผื่อน")</f>
        <v>วรรษมน บัวเผื่อน</v>
      </c>
      <c r="J1149" t="str">
        <f>IFERROR(__xludf.DUMMYFUNCTION("""COMPUTED_VALUE"""),"แตงกวา")</f>
        <v>แตงกวา</v>
      </c>
      <c r="K1149" t="str">
        <f>IFERROR(__xludf.DUMMYFUNCTION("""COMPUTED_VALUE"""),"Cabin Crew")</f>
        <v>Cabin Crew</v>
      </c>
      <c r="L1149" t="str">
        <f>IFERROR(__xludf.DUMMYFUNCTION("""COMPUTED_VALUE"""),"DMK")</f>
        <v>DMK</v>
      </c>
      <c r="M1149" s="145" t="str">
        <f>IFERROR(__xludf.DUMMYFUNCTION("""COMPUTED_VALUE"""),"Kor Home")</f>
        <v>Kor Home</v>
      </c>
      <c r="N1149" t="str">
        <f>IFERROR(__xludf.DUMMYFUNCTION("""COMPUTED_VALUE"""),"Active")</f>
        <v>Active</v>
      </c>
      <c r="P1149" s="163">
        <f>IFERROR(__xludf.DUMMYFUNCTION("""COMPUTED_VALUE"""),35009.0)</f>
        <v>35009</v>
      </c>
      <c r="Q1149" s="146" t="str">
        <f>IFERROR(__xludf.DUMMYFUNCTION("""COMPUTED_VALUE"""),"089 091 1481")</f>
        <v>089 091 1481</v>
      </c>
      <c r="R1149" s="146" t="str">
        <f>IFERROR(__xludf.DUMMYFUNCTION("""COMPUTED_VALUE"""),"1-2299-00681-13-1")</f>
        <v>1-2299-00681-13-1</v>
      </c>
      <c r="S1149" t="str">
        <f>IFERROR(__xludf.DUMMYFUNCTION("""COMPUTED_VALUE"""),"AC2933829")</f>
        <v>AC2933829</v>
      </c>
      <c r="T1149" s="148">
        <f>IFERROR(__xludf.DUMMYFUNCTION("""COMPUTED_VALUE"""),44629.0)</f>
        <v>44629</v>
      </c>
      <c r="U1149" s="148">
        <f>IFERROR(__xludf.DUMMYFUNCTION("""COMPUTED_VALUE"""),46454.0)</f>
        <v>46454</v>
      </c>
      <c r="V1149" s="149">
        <f>IFERROR(__xludf.DUMMYFUNCTION("""COMPUTED_VALUE"""),46273.0)</f>
        <v>46273</v>
      </c>
      <c r="W1149" t="str">
        <f>IFERROR(__xludf.DUMMYFUNCTION("""COMPUTED_VALUE"""),"ปลอดภัย")</f>
        <v>ปลอดภัย</v>
      </c>
      <c r="X1149" t="str">
        <f>IFERROR(__xludf.DUMMYFUNCTION("""COMPUTED_VALUE"""),"Chanthaburi Province")</f>
        <v>Chanthaburi Province</v>
      </c>
      <c r="Y1149" t="str">
        <f>IFERROR(__xludf.DUMMYFUNCTION("""COMPUTED_VALUE"""),"Chanthaburi")</f>
        <v>Chanthaburi</v>
      </c>
      <c r="Z1149" s="161" t="str">
        <f>IFERROR(__xludf.DUMMYFUNCTION("""COMPUTED_VALUE"""),"0895428801")</f>
        <v>0895428801</v>
      </c>
      <c r="AA1149" t="str">
        <f>IFERROR(__xludf.DUMMYFUNCTION("""COMPUTED_VALUE"""),"นางนงนภัส หนองบัวล่าง Mother")</f>
        <v>นางนงนภัส หนองบัวล่าง Mother</v>
      </c>
      <c r="AB1149" t="str">
        <f>IFERROR(__xludf.DUMMYFUNCTION("""COMPUTED_VALUE"""),"watsamonbuaphuean@airasia.com")</f>
        <v>watsamonbuaphuean@airasia.com</v>
      </c>
    </row>
    <row r="1150">
      <c r="A1150">
        <f>IFERROR(__xludf.DUMMYFUNCTION("""COMPUTED_VALUE"""),1040526.0)</f>
        <v>1040526</v>
      </c>
      <c r="B1150" t="str">
        <f>IFERROR(__xludf.DUMMYFUNCTION("""COMPUTED_VALUE"""),"Ms.")</f>
        <v>Ms.</v>
      </c>
      <c r="C1150" t="str">
        <f>IFERROR(__xludf.DUMMYFUNCTION("""COMPUTED_VALUE"""),"Wichayakarn")</f>
        <v>Wichayakarn</v>
      </c>
      <c r="D1150" t="str">
        <f>IFERROR(__xludf.DUMMYFUNCTION("""COMPUTED_VALUE"""),"Wongsunthon")</f>
        <v>Wongsunthon</v>
      </c>
      <c r="E1150" t="str">
        <f>IFERROR(__xludf.DUMMYFUNCTION("""COMPUTED_VALUE"""),"Wichayakarn Wongsunthon")</f>
        <v>Wichayakarn Wongsunthon</v>
      </c>
      <c r="F1150" t="str">
        <f>IFERROR(__xludf.DUMMYFUNCTION("""COMPUTED_VALUE"""),"นางสาว")</f>
        <v>นางสาว</v>
      </c>
      <c r="G1150" t="str">
        <f>IFERROR(__xludf.DUMMYFUNCTION("""COMPUTED_VALUE"""),"วิชญกานต์")</f>
        <v>วิชญกานต์</v>
      </c>
      <c r="H1150" t="str">
        <f>IFERROR(__xludf.DUMMYFUNCTION("""COMPUTED_VALUE"""),"วงศ์สุนทร")</f>
        <v>วงศ์สุนทร</v>
      </c>
      <c r="I1150" t="str">
        <f>IFERROR(__xludf.DUMMYFUNCTION("""COMPUTED_VALUE"""),"วิชญกานต์ วงศ์สุนทร")</f>
        <v>วิชญกานต์ วงศ์สุนทร</v>
      </c>
      <c r="J1150" t="str">
        <f>IFERROR(__xludf.DUMMYFUNCTION("""COMPUTED_VALUE"""),"สมายด์")</f>
        <v>สมายด์</v>
      </c>
      <c r="K1150" t="str">
        <f>IFERROR(__xludf.DUMMYFUNCTION("""COMPUTED_VALUE"""),"Cabin Crew")</f>
        <v>Cabin Crew</v>
      </c>
      <c r="L1150" t="str">
        <f>IFERROR(__xludf.DUMMYFUNCTION("""COMPUTED_VALUE"""),"DMK")</f>
        <v>DMK</v>
      </c>
      <c r="M1150" s="145" t="str">
        <f>IFERROR(__xludf.DUMMYFUNCTION("""COMPUTED_VALUE"""),"Toffy Home")</f>
        <v>Toffy Home</v>
      </c>
      <c r="N1150" t="str">
        <f>IFERROR(__xludf.DUMMYFUNCTION("""COMPUTED_VALUE"""),"Active")</f>
        <v>Active</v>
      </c>
      <c r="P1150" s="163">
        <f>IFERROR(__xludf.DUMMYFUNCTION("""COMPUTED_VALUE"""),36190.0)</f>
        <v>36190</v>
      </c>
      <c r="Q1150" s="146" t="str">
        <f>IFERROR(__xludf.DUMMYFUNCTION("""COMPUTED_VALUE"""),"093 129 0495")</f>
        <v>093 129 0495</v>
      </c>
      <c r="R1150" s="146" t="str">
        <f>IFERROR(__xludf.DUMMYFUNCTION("""COMPUTED_VALUE"""),"1-5007-01252-01-8")</f>
        <v>1-5007-01252-01-8</v>
      </c>
      <c r="S1150" t="str">
        <f>IFERROR(__xludf.DUMMYFUNCTION("""COMPUTED_VALUE"""),"AC8570584")</f>
        <v>AC8570584</v>
      </c>
      <c r="T1150" s="148">
        <f>IFERROR(__xludf.DUMMYFUNCTION("""COMPUTED_VALUE"""),45971.0)</f>
        <v>45971</v>
      </c>
      <c r="U1150" s="148">
        <f>IFERROR(__xludf.DUMMYFUNCTION("""COMPUTED_VALUE"""),49622.0)</f>
        <v>49622</v>
      </c>
      <c r="V1150" s="149">
        <f>IFERROR(__xludf.DUMMYFUNCTION("""COMPUTED_VALUE"""),49438.0)</f>
        <v>49438</v>
      </c>
      <c r="W1150" t="str">
        <f>IFERROR(__xludf.DUMMYFUNCTION("""COMPUTED_VALUE"""),"ปลอดภัย")</f>
        <v>ปลอดภัย</v>
      </c>
      <c r="X1150" t="str">
        <f>IFERROR(__xludf.DUMMYFUNCTION("""COMPUTED_VALUE"""),"Chiang Mai Province")</f>
        <v>Chiang Mai Province</v>
      </c>
      <c r="Y1150" t="str">
        <f>IFERROR(__xludf.DUMMYFUNCTION("""COMPUTED_VALUE"""),"Chiang Mai")</f>
        <v>Chiang Mai</v>
      </c>
      <c r="Z1150" s="161" t="str">
        <f>IFERROR(__xludf.DUMMYFUNCTION("""COMPUTED_VALUE"""),"0629519594")</f>
        <v>0629519594</v>
      </c>
      <c r="AA1150" t="str">
        <f>IFERROR(__xludf.DUMMYFUNCTION("""COMPUTED_VALUE"""),"ปิติภูมิ บุญญวรรณ Friend")</f>
        <v>ปิติภูมิ บุญญวรรณ Friend</v>
      </c>
      <c r="AB1150" t="str">
        <f>IFERROR(__xludf.DUMMYFUNCTION("""COMPUTED_VALUE"""),"wichayakarnwongsunt@airasia.com")</f>
        <v>wichayakarnwongsunt@airasia.com</v>
      </c>
    </row>
    <row r="1151">
      <c r="A1151">
        <f>IFERROR(__xludf.DUMMYFUNCTION("""COMPUTED_VALUE"""),1040527.0)</f>
        <v>1040527</v>
      </c>
      <c r="B1151" t="str">
        <f>IFERROR(__xludf.DUMMYFUNCTION("""COMPUTED_VALUE"""),"Ms.")</f>
        <v>Ms.</v>
      </c>
      <c r="C1151" t="str">
        <f>IFERROR(__xludf.DUMMYFUNCTION("""COMPUTED_VALUE"""),"Yasumin")</f>
        <v>Yasumin</v>
      </c>
      <c r="D1151" t="str">
        <f>IFERROR(__xludf.DUMMYFUNCTION("""COMPUTED_VALUE"""),"Yuenyong")</f>
        <v>Yuenyong</v>
      </c>
      <c r="E1151" t="str">
        <f>IFERROR(__xludf.DUMMYFUNCTION("""COMPUTED_VALUE"""),"Yasumin Yuenyong")</f>
        <v>Yasumin Yuenyong</v>
      </c>
      <c r="F1151" t="str">
        <f>IFERROR(__xludf.DUMMYFUNCTION("""COMPUTED_VALUE"""),"นางสาว")</f>
        <v>นางสาว</v>
      </c>
      <c r="G1151" t="str">
        <f>IFERROR(__xludf.DUMMYFUNCTION("""COMPUTED_VALUE"""),"ญาสุมินทร์")</f>
        <v>ญาสุมินทร์</v>
      </c>
      <c r="H1151" t="str">
        <f>IFERROR(__xludf.DUMMYFUNCTION("""COMPUTED_VALUE"""),"ยืนยง")</f>
        <v>ยืนยง</v>
      </c>
      <c r="I1151" t="str">
        <f>IFERROR(__xludf.DUMMYFUNCTION("""COMPUTED_VALUE"""),"ญาสุมินทร์ ยืนยง")</f>
        <v>ญาสุมินทร์ ยืนยง</v>
      </c>
      <c r="J1151" t="str">
        <f>IFERROR(__xludf.DUMMYFUNCTION("""COMPUTED_VALUE"""),"Min/มินทร์")</f>
        <v>Min/มินทร์</v>
      </c>
      <c r="K1151" t="str">
        <f>IFERROR(__xludf.DUMMYFUNCTION("""COMPUTED_VALUE"""),"Cabin Crew")</f>
        <v>Cabin Crew</v>
      </c>
      <c r="L1151" t="str">
        <f>IFERROR(__xludf.DUMMYFUNCTION("""COMPUTED_VALUE"""),"DMK")</f>
        <v>DMK</v>
      </c>
      <c r="M1151" s="145" t="str">
        <f>IFERROR(__xludf.DUMMYFUNCTION("""COMPUTED_VALUE"""),"Nhui Home")</f>
        <v>Nhui Home</v>
      </c>
      <c r="N1151" t="str">
        <f>IFERROR(__xludf.DUMMYFUNCTION("""COMPUTED_VALUE"""),"Active")</f>
        <v>Active</v>
      </c>
      <c r="P1151" s="163">
        <f>IFERROR(__xludf.DUMMYFUNCTION("""COMPUTED_VALUE"""),35115.0)</f>
        <v>35115</v>
      </c>
      <c r="Q1151" s="146" t="str">
        <f>IFERROR(__xludf.DUMMYFUNCTION("""COMPUTED_VALUE"""),"092 999 3552")</f>
        <v>092 999 3552</v>
      </c>
      <c r="R1151" s="146" t="str">
        <f>IFERROR(__xludf.DUMMYFUNCTION("""COMPUTED_VALUE"""),"1-1399-00208-74-6")</f>
        <v>1-1399-00208-74-6</v>
      </c>
      <c r="S1151" t="str">
        <f>IFERROR(__xludf.DUMMYFUNCTION("""COMPUTED_VALUE"""),"AC2506976")</f>
        <v>AC2506976</v>
      </c>
      <c r="T1151" s="148">
        <f>IFERROR(__xludf.DUMMYFUNCTION("""COMPUTED_VALUE"""),44568.0)</f>
        <v>44568</v>
      </c>
      <c r="U1151" s="148">
        <f>IFERROR(__xludf.DUMMYFUNCTION("""COMPUTED_VALUE"""),48219.0)</f>
        <v>48219</v>
      </c>
      <c r="V1151" s="149">
        <f>IFERROR(__xludf.DUMMYFUNCTION("""COMPUTED_VALUE"""),48035.0)</f>
        <v>48035</v>
      </c>
      <c r="W1151" t="str">
        <f>IFERROR(__xludf.DUMMYFUNCTION("""COMPUTED_VALUE"""),"ปลอดภัย")</f>
        <v>ปลอดภัย</v>
      </c>
      <c r="X1151" t="str">
        <f>IFERROR(__xludf.DUMMYFUNCTION("""COMPUTED_VALUE"""),"Pathum Thani Province")</f>
        <v>Pathum Thani Province</v>
      </c>
      <c r="Y1151" t="str">
        <f>IFERROR(__xludf.DUMMYFUNCTION("""COMPUTED_VALUE"""),"Bangkok")</f>
        <v>Bangkok</v>
      </c>
      <c r="Z1151" s="161" t="str">
        <f>IFERROR(__xludf.DUMMYFUNCTION("""COMPUTED_VALUE"""),"0815848448")</f>
        <v>0815848448</v>
      </c>
      <c r="AA1151" t="str">
        <f>IFERROR(__xludf.DUMMYFUNCTION("""COMPUTED_VALUE"""),"นางสาวฐิศิรักน์ เทียนเกษม Friend")</f>
        <v>นางสาวฐิศิรักน์ เทียนเกษม Friend</v>
      </c>
      <c r="AB1151" t="str">
        <f>IFERROR(__xludf.DUMMYFUNCTION("""COMPUTED_VALUE"""),"yasuminyuenyong@airasia.com")</f>
        <v>yasuminyuenyong@airasia.com</v>
      </c>
    </row>
    <row r="1152">
      <c r="A1152">
        <f>IFERROR(__xludf.DUMMYFUNCTION("""COMPUTED_VALUE"""),1028736.0)</f>
        <v>1028736</v>
      </c>
      <c r="B1152" t="str">
        <f>IFERROR(__xludf.DUMMYFUNCTION("""COMPUTED_VALUE"""),"Ms.")</f>
        <v>Ms.</v>
      </c>
      <c r="C1152" t="str">
        <f>IFERROR(__xludf.DUMMYFUNCTION("""COMPUTED_VALUE"""),"Nutchanat")</f>
        <v>Nutchanat</v>
      </c>
      <c r="D1152" t="str">
        <f>IFERROR(__xludf.DUMMYFUNCTION("""COMPUTED_VALUE"""),"Tawong")</f>
        <v>Tawong</v>
      </c>
      <c r="E1152" t="str">
        <f>IFERROR(__xludf.DUMMYFUNCTION("""COMPUTED_VALUE"""),"Nutchanat Tawong")</f>
        <v>Nutchanat Tawong</v>
      </c>
      <c r="F1152" t="str">
        <f>IFERROR(__xludf.DUMMYFUNCTION("""COMPUTED_VALUE"""),"นางสาว")</f>
        <v>นางสาว</v>
      </c>
      <c r="G1152" t="str">
        <f>IFERROR(__xludf.DUMMYFUNCTION("""COMPUTED_VALUE"""),"นุชนารถ")</f>
        <v>นุชนารถ</v>
      </c>
      <c r="H1152" t="str">
        <f>IFERROR(__xludf.DUMMYFUNCTION("""COMPUTED_VALUE"""),"ทะวงศ์")</f>
        <v>ทะวงศ์</v>
      </c>
      <c r="I1152" t="str">
        <f>IFERROR(__xludf.DUMMYFUNCTION("""COMPUTED_VALUE"""),"นุชนารถ ทะวงศ์")</f>
        <v>นุชนารถ ทะวงศ์</v>
      </c>
      <c r="J1152" t="str">
        <f>IFERROR(__xludf.DUMMYFUNCTION("""COMPUTED_VALUE"""),"น้ำตาล")</f>
        <v>น้ำตาล</v>
      </c>
      <c r="K1152" t="str">
        <f>IFERROR(__xludf.DUMMYFUNCTION("""COMPUTED_VALUE"""),"Cabin Crew")</f>
        <v>Cabin Crew</v>
      </c>
      <c r="L1152" t="str">
        <f>IFERROR(__xludf.DUMMYFUNCTION("""COMPUTED_VALUE"""),"DMK")</f>
        <v>DMK</v>
      </c>
      <c r="M1152" s="145" t="str">
        <f>IFERROR(__xludf.DUMMYFUNCTION("""COMPUTED_VALUE"""),"Por+ Home")</f>
        <v>Por+ Home</v>
      </c>
      <c r="N1152" t="str">
        <f>IFERROR(__xludf.DUMMYFUNCTION("""COMPUTED_VALUE"""),"Active")</f>
        <v>Active</v>
      </c>
      <c r="P1152" s="164">
        <f>IFERROR(__xludf.DUMMYFUNCTION("""COMPUTED_VALUE"""),34836.0)</f>
        <v>34836</v>
      </c>
      <c r="Q1152" s="146" t="str">
        <f>IFERROR(__xludf.DUMMYFUNCTION("""COMPUTED_VALUE"""),"097 359 6511")</f>
        <v>097 359 6511</v>
      </c>
      <c r="R1152" s="146" t="str">
        <f>IFERROR(__xludf.DUMMYFUNCTION("""COMPUTED_VALUE"""),"1-1037-01717-54-8")</f>
        <v>1-1037-01717-54-8</v>
      </c>
      <c r="S1152" t="str">
        <f>IFERROR(__xludf.DUMMYFUNCTION("""COMPUTED_VALUE"""),"AB2707008")</f>
        <v>AB2707008</v>
      </c>
      <c r="T1152" s="148">
        <f>IFERROR(__xludf.DUMMYFUNCTION("""COMPUTED_VALUE"""),44594.0)</f>
        <v>44594</v>
      </c>
      <c r="U1152" s="148">
        <f>IFERROR(__xludf.DUMMYFUNCTION("""COMPUTED_VALUE"""),46419.0)</f>
        <v>46419</v>
      </c>
      <c r="V1152" s="149">
        <f>IFERROR(__xludf.DUMMYFUNCTION("""COMPUTED_VALUE"""),46235.0)</f>
        <v>46235</v>
      </c>
      <c r="W1152" t="str">
        <f>IFERROR(__xludf.DUMMYFUNCTION("""COMPUTED_VALUE"""),"ปลอดภัย")</f>
        <v>ปลอดภัย</v>
      </c>
      <c r="X1152" t="str">
        <f>IFERROR(__xludf.DUMMYFUNCTION("""COMPUTED_VALUE"""),"Bangkok")</f>
        <v>Bangkok</v>
      </c>
      <c r="Y1152" t="str">
        <f>IFERROR(__xludf.DUMMYFUNCTION("""COMPUTED_VALUE"""),"Bangkok")</f>
        <v>Bangkok</v>
      </c>
      <c r="Z1152" s="161" t="str">
        <f>IFERROR(__xludf.DUMMYFUNCTION("""COMPUTED_VALUE"""),"0837636927")</f>
        <v>0837636927</v>
      </c>
      <c r="AA1152" t="str">
        <f>IFERROR(__xludf.DUMMYFUNCTION("""COMPUTED_VALUE"""),"นายจิรายุ สุวรรณสัมพันธ์ Friend")</f>
        <v>นายจิรายุ สุวรรณสัมพันธ์ Friend</v>
      </c>
      <c r="AB1152" t="str">
        <f>IFERROR(__xludf.DUMMYFUNCTION("""COMPUTED_VALUE"""),"nutchanattawong@airasia.com")</f>
        <v>nutchanattawong@airasia.com</v>
      </c>
    </row>
    <row r="1153">
      <c r="A1153">
        <f>IFERROR(__xludf.DUMMYFUNCTION("""COMPUTED_VALUE"""),1018573.0)</f>
        <v>1018573</v>
      </c>
      <c r="B1153" t="str">
        <f>IFERROR(__xludf.DUMMYFUNCTION("""COMPUTED_VALUE"""),"Mr.")</f>
        <v>Mr.</v>
      </c>
      <c r="C1153" t="str">
        <f>IFERROR(__xludf.DUMMYFUNCTION("""COMPUTED_VALUE"""),"Sutat")</f>
        <v>Sutat</v>
      </c>
      <c r="D1153" t="str">
        <f>IFERROR(__xludf.DUMMYFUNCTION("""COMPUTED_VALUE"""),"Chapchainai")</f>
        <v>Chapchainai</v>
      </c>
      <c r="E1153" t="str">
        <f>IFERROR(__xludf.DUMMYFUNCTION("""COMPUTED_VALUE"""),"Sutat Chapchainai")</f>
        <v>Sutat Chapchainai</v>
      </c>
      <c r="F1153" t="str">
        <f>IFERROR(__xludf.DUMMYFUNCTION("""COMPUTED_VALUE"""),"นาย")</f>
        <v>นาย</v>
      </c>
      <c r="G1153" t="str">
        <f>IFERROR(__xludf.DUMMYFUNCTION("""COMPUTED_VALUE"""),"สุทัศน์")</f>
        <v>สุทัศน์</v>
      </c>
      <c r="H1153" t="str">
        <f>IFERROR(__xludf.DUMMYFUNCTION("""COMPUTED_VALUE"""),"จับใจนาย")</f>
        <v>จับใจนาย</v>
      </c>
      <c r="I1153" t="str">
        <f>IFERROR(__xludf.DUMMYFUNCTION("""COMPUTED_VALUE"""),"สุทัศน์ จับใจนาย")</f>
        <v>สุทัศน์ จับใจนาย</v>
      </c>
      <c r="J1153" t="str">
        <f>IFERROR(__xludf.DUMMYFUNCTION("""COMPUTED_VALUE"""),"Peter / ปีเตอร์")</f>
        <v>Peter / ปีเตอร์</v>
      </c>
      <c r="K1153" t="str">
        <f>IFERROR(__xludf.DUMMYFUNCTION("""COMPUTED_VALUE"""),"Cabin Crew")</f>
        <v>Cabin Crew</v>
      </c>
      <c r="L1153" t="str">
        <f>IFERROR(__xludf.DUMMYFUNCTION("""COMPUTED_VALUE"""),"DMK")</f>
        <v>DMK</v>
      </c>
      <c r="M1153" s="145" t="str">
        <f>IFERROR(__xludf.DUMMYFUNCTION("""COMPUTED_VALUE"""),"Kor Home")</f>
        <v>Kor Home</v>
      </c>
      <c r="N1153" t="str">
        <f>IFERROR(__xludf.DUMMYFUNCTION("""COMPUTED_VALUE"""),"Active")</f>
        <v>Active</v>
      </c>
      <c r="P1153" s="163">
        <f>IFERROR(__xludf.DUMMYFUNCTION("""COMPUTED_VALUE"""),34319.0)</f>
        <v>34319</v>
      </c>
      <c r="Q1153" s="146" t="str">
        <f>IFERROR(__xludf.DUMMYFUNCTION("""COMPUTED_VALUE"""),"088 251 8245")</f>
        <v>088 251 8245</v>
      </c>
      <c r="R1153" s="146" t="str">
        <f>IFERROR(__xludf.DUMMYFUNCTION("""COMPUTED_VALUE"""),"1-5707-00180-67-6")</f>
        <v>1-5707-00180-67-6</v>
      </c>
      <c r="S1153" t="str">
        <f>IFERROR(__xludf.DUMMYFUNCTION("""COMPUTED_VALUE"""),"AD1600675")</f>
        <v>AD1600675</v>
      </c>
      <c r="T1153" s="148">
        <f>IFERROR(__xludf.DUMMYFUNCTION("""COMPUTED_VALUE"""),45312.0)</f>
        <v>45312</v>
      </c>
      <c r="U1153" s="148">
        <f>IFERROR(__xludf.DUMMYFUNCTION("""COMPUTED_VALUE"""),48964.0)</f>
        <v>48964</v>
      </c>
      <c r="V1153" s="149">
        <f>IFERROR(__xludf.DUMMYFUNCTION("""COMPUTED_VALUE"""),48780.0)</f>
        <v>48780</v>
      </c>
      <c r="W1153" t="str">
        <f>IFERROR(__xludf.DUMMYFUNCTION("""COMPUTED_VALUE"""),"ปลอดภัย")</f>
        <v>ปลอดภัย</v>
      </c>
      <c r="X1153" t="str">
        <f>IFERROR(__xludf.DUMMYFUNCTION("""COMPUTED_VALUE"""),"Chiang Rai Province")</f>
        <v>Chiang Rai Province</v>
      </c>
      <c r="Y1153" t="str">
        <f>IFERROR(__xludf.DUMMYFUNCTION("""COMPUTED_VALUE"""),"Bangkok")</f>
        <v>Bangkok</v>
      </c>
      <c r="Z1153" s="161" t="str">
        <f>IFERROR(__xludf.DUMMYFUNCTION("""COMPUTED_VALUE"""),"089-794-4512")</f>
        <v>089-794-4512</v>
      </c>
      <c r="AA1153" t="str">
        <f>IFERROR(__xludf.DUMMYFUNCTION("""COMPUTED_VALUE"""),"นายภูมมินทร์ จับใจนาย Brother")</f>
        <v>นายภูมมินทร์ จับใจนาย Brother</v>
      </c>
      <c r="AB1153" t="str">
        <f>IFERROR(__xludf.DUMMYFUNCTION("""COMPUTED_VALUE"""),"sutatc@airasia.com")</f>
        <v>sutatc@airasia.com</v>
      </c>
    </row>
    <row r="1154">
      <c r="AB1154" t="str">
        <f>IFERROR(__xludf.DUMMYFUNCTION("""COMPUTED_VALUE"""),"")</f>
        <v/>
      </c>
    </row>
    <row r="1155">
      <c r="A1155">
        <f>IFERROR(__xludf.DUMMYFUNCTION("""COMPUTED_VALUE"""),1003199.0)</f>
        <v>1003199</v>
      </c>
      <c r="B1155" t="str">
        <f>IFERROR(__xludf.DUMMYFUNCTION("""COMPUTED_VALUE"""),"Ms.")</f>
        <v>Ms.</v>
      </c>
      <c r="C1155" t="str">
        <f>IFERROR(__xludf.DUMMYFUNCTION("""COMPUTED_VALUE"""),"Sumana")</f>
        <v>Sumana</v>
      </c>
      <c r="D1155" t="str">
        <f>IFERROR(__xludf.DUMMYFUNCTION("""COMPUTED_VALUE"""),"Chongkewtrakul")</f>
        <v>Chongkewtrakul</v>
      </c>
      <c r="E1155" t="str">
        <f>IFERROR(__xludf.DUMMYFUNCTION("""COMPUTED_VALUE"""),"Sumana Chongkewtrakul")</f>
        <v>Sumana Chongkewtrakul</v>
      </c>
      <c r="F1155" t="str">
        <f>IFERROR(__xludf.DUMMYFUNCTION("""COMPUTED_VALUE"""),"นางสาว")</f>
        <v>นางสาว</v>
      </c>
      <c r="G1155" t="str">
        <f>IFERROR(__xludf.DUMMYFUNCTION("""COMPUTED_VALUE"""),"สุมนา")</f>
        <v>สุมนา</v>
      </c>
      <c r="H1155" t="str">
        <f>IFERROR(__xludf.DUMMYFUNCTION("""COMPUTED_VALUE"""),"จงเกื้อตระกูล")</f>
        <v>จงเกื้อตระกูล</v>
      </c>
      <c r="I1155" t="str">
        <f>IFERROR(__xludf.DUMMYFUNCTION("""COMPUTED_VALUE"""),"สุมนา จงเกื้อตระกูล")</f>
        <v>สุมนา จงเกื้อตระกูล</v>
      </c>
      <c r="J1155" t="str">
        <f>IFERROR(__xludf.DUMMYFUNCTION("""COMPUTED_VALUE"""),"แก้ม")</f>
        <v>แก้ม</v>
      </c>
      <c r="K1155" t="str">
        <f>IFERROR(__xludf.DUMMYFUNCTION("""COMPUTED_VALUE"""),"Cabin Crew")</f>
        <v>Cabin Crew</v>
      </c>
      <c r="L1155" t="str">
        <f>IFERROR(__xludf.DUMMYFUNCTION("""COMPUTED_VALUE"""),"DMK")</f>
        <v>DMK</v>
      </c>
      <c r="M1155" s="145" t="str">
        <f>IFERROR(__xludf.DUMMYFUNCTION("""COMPUTED_VALUE"""),"Namfon Home")</f>
        <v>Namfon Home</v>
      </c>
      <c r="N1155" t="str">
        <f>IFERROR(__xludf.DUMMYFUNCTION("""COMPUTED_VALUE"""),"Active")</f>
        <v>Active</v>
      </c>
      <c r="P1155" s="165">
        <f>IFERROR(__xludf.DUMMYFUNCTION("""COMPUTED_VALUE"""),31548.0)</f>
        <v>31548</v>
      </c>
      <c r="Q1155" s="146" t="str">
        <f>IFERROR(__xludf.DUMMYFUNCTION("""COMPUTED_VALUE"""),"098-259-0155")</f>
        <v>098-259-0155</v>
      </c>
      <c r="R1155" s="147" t="str">
        <f>IFERROR(__xludf.DUMMYFUNCTION("""COMPUTED_VALUE"""),"1-1007-00485-59-4")</f>
        <v>1-1007-00485-59-4</v>
      </c>
      <c r="S1155" t="str">
        <f>IFERROR(__xludf.DUMMYFUNCTION("""COMPUTED_VALUE"""),"AC5584583")</f>
        <v>AC5584583</v>
      </c>
      <c r="T1155" s="148">
        <f>IFERROR(__xludf.DUMMYFUNCTION("""COMPUTED_VALUE"""),45170.0)</f>
        <v>45170</v>
      </c>
      <c r="U1155" s="148">
        <f>IFERROR(__xludf.DUMMYFUNCTION("""COMPUTED_VALUE"""),48822.0)</f>
        <v>48822</v>
      </c>
      <c r="V1155" s="149">
        <f>IFERROR(__xludf.DUMMYFUNCTION("""COMPUTED_VALUE"""),48638.0)</f>
        <v>48638</v>
      </c>
      <c r="W1155" t="str">
        <f>IFERROR(__xludf.DUMMYFUNCTION("""COMPUTED_VALUE"""),"ปลอดภัย")</f>
        <v>ปลอดภัย</v>
      </c>
      <c r="X1155" t="str">
        <f>IFERROR(__xludf.DUMMYFUNCTION("""COMPUTED_VALUE"""),"Bangkok")</f>
        <v>Bangkok</v>
      </c>
      <c r="Y1155" t="str">
        <f>IFERROR(__xludf.DUMMYFUNCTION("""COMPUTED_VALUE"""),"Bangkok")</f>
        <v>Bangkok</v>
      </c>
      <c r="Z1155" s="145" t="str">
        <f>IFERROR(__xludf.DUMMYFUNCTION("""COMPUTED_VALUE"""),"0845426461")</f>
        <v>0845426461</v>
      </c>
      <c r="AA1155" t="str">
        <f>IFERROR(__xludf.DUMMYFUNCTION("""COMPUTED_VALUE"""),"นาย ภูธร พุกะทรัพย์ Husband")</f>
        <v>นาย ภูธร พุกะทรัพย์ Husband</v>
      </c>
      <c r="AB1155" t="str">
        <f>IFERROR(__xludf.DUMMYFUNCTION("""COMPUTED_VALUE"""),"sumanachongkewtraku@airasia.com")</f>
        <v>sumanachongkewtraku@airasia.com</v>
      </c>
    </row>
    <row r="1156">
      <c r="A1156">
        <f>IFERROR(__xludf.DUMMYFUNCTION("""COMPUTED_VALUE"""),1040813.0)</f>
        <v>1040813</v>
      </c>
      <c r="B1156" t="str">
        <f>IFERROR(__xludf.DUMMYFUNCTION("""COMPUTED_VALUE"""),"Ms.")</f>
        <v>Ms.</v>
      </c>
      <c r="C1156" t="str">
        <f>IFERROR(__xludf.DUMMYFUNCTION("""COMPUTED_VALUE"""),"Areeyaporn")</f>
        <v>Areeyaporn</v>
      </c>
      <c r="D1156" t="str">
        <f>IFERROR(__xludf.DUMMYFUNCTION("""COMPUTED_VALUE"""),"Korajak")</f>
        <v>Korajak</v>
      </c>
      <c r="E1156" t="str">
        <f>IFERROR(__xludf.DUMMYFUNCTION("""COMPUTED_VALUE"""),"Areeyaporn Korajak")</f>
        <v>Areeyaporn Korajak</v>
      </c>
      <c r="F1156" t="str">
        <f>IFERROR(__xludf.DUMMYFUNCTION("""COMPUTED_VALUE"""),"นางสาว")</f>
        <v>นางสาว</v>
      </c>
      <c r="G1156" t="str">
        <f>IFERROR(__xludf.DUMMYFUNCTION("""COMPUTED_VALUE"""),"อารียาพร")</f>
        <v>อารียาพร</v>
      </c>
      <c r="H1156" t="str">
        <f>IFERROR(__xludf.DUMMYFUNCTION("""COMPUTED_VALUE"""),"กรจักร์")</f>
        <v>กรจักร์</v>
      </c>
      <c r="I1156" t="str">
        <f>IFERROR(__xludf.DUMMYFUNCTION("""COMPUTED_VALUE"""),"อารียาพร กรจักร์")</f>
        <v>อารียาพร กรจักร์</v>
      </c>
      <c r="J1156" t="str">
        <f>IFERROR(__xludf.DUMMYFUNCTION("""COMPUTED_VALUE"""),"Kratae / กระแต")</f>
        <v>Kratae / กระแต</v>
      </c>
      <c r="K1156" t="str">
        <f>IFERROR(__xludf.DUMMYFUNCTION("""COMPUTED_VALUE"""),"Cabin Crew")</f>
        <v>Cabin Crew</v>
      </c>
      <c r="L1156" t="str">
        <f>IFERROR(__xludf.DUMMYFUNCTION("""COMPUTED_VALUE"""),"DMK")</f>
        <v>DMK</v>
      </c>
      <c r="M1156" s="145" t="str">
        <f>IFERROR(__xludf.DUMMYFUNCTION("""COMPUTED_VALUE"""),"Nhui Home")</f>
        <v>Nhui Home</v>
      </c>
      <c r="N1156" t="str">
        <f>IFERROR(__xludf.DUMMYFUNCTION("""COMPUTED_VALUE"""),"Active")</f>
        <v>Active</v>
      </c>
      <c r="P1156" s="156">
        <f>IFERROR(__xludf.DUMMYFUNCTION("""COMPUTED_VALUE"""),35011.0)</f>
        <v>35011</v>
      </c>
      <c r="Q1156" s="146" t="str">
        <f>IFERROR(__xludf.DUMMYFUNCTION("""COMPUTED_VALUE"""),"065 450 5995")</f>
        <v>065 450 5995</v>
      </c>
      <c r="R1156" s="147" t="str">
        <f>IFERROR(__xludf.DUMMYFUNCTION("""COMPUTED_VALUE"""),"1-4399-00240-60-4")</f>
        <v>1-4399-00240-60-4</v>
      </c>
      <c r="S1156" t="str">
        <f>IFERROR(__xludf.DUMMYFUNCTION("""COMPUTED_VALUE"""),"AC2774194")</f>
        <v>AC2774194</v>
      </c>
      <c r="T1156" s="148">
        <f>IFERROR(__xludf.DUMMYFUNCTION("""COMPUTED_VALUE"""),45227.0)</f>
        <v>45227</v>
      </c>
      <c r="U1156" s="148">
        <f>IFERROR(__xludf.DUMMYFUNCTION("""COMPUTED_VALUE"""),48148.0)</f>
        <v>48148</v>
      </c>
      <c r="V1156" s="149">
        <f>IFERROR(__xludf.DUMMYFUNCTION("""COMPUTED_VALUE"""),47965.0)</f>
        <v>47965</v>
      </c>
      <c r="W1156" t="str">
        <f>IFERROR(__xludf.DUMMYFUNCTION("""COMPUTED_VALUE"""),"ปลอดภัย")</f>
        <v>ปลอดภัย</v>
      </c>
      <c r="X1156" t="str">
        <f>IFERROR(__xludf.DUMMYFUNCTION("""COMPUTED_VALUE"""),"Nong Khai Province")</f>
        <v>Nong Khai Province</v>
      </c>
      <c r="Y1156" t="str">
        <f>IFERROR(__xludf.DUMMYFUNCTION("""COMPUTED_VALUE"""),"Bangkok")</f>
        <v>Bangkok</v>
      </c>
      <c r="Z1156" s="145" t="str">
        <f>IFERROR(__xludf.DUMMYFUNCTION("""COMPUTED_VALUE"""),"061-989-9365")</f>
        <v>061-989-9365</v>
      </c>
      <c r="AA1156" t="str">
        <f>IFERROR(__xludf.DUMMYFUNCTION("""COMPUTED_VALUE"""),"นายสุรวุฒิ ศรีสถิต Friend")</f>
        <v>นายสุรวุฒิ ศรีสถิต Friend</v>
      </c>
      <c r="AB1156" t="str">
        <f>IFERROR(__xludf.DUMMYFUNCTION("""COMPUTED_VALUE"""),"areeyapornk@airasia.com")</f>
        <v>areeyapornk@airasia.com</v>
      </c>
    </row>
    <row r="1157">
      <c r="A1157">
        <f>IFERROR(__xludf.DUMMYFUNCTION("""COMPUTED_VALUE"""),1040860.0)</f>
        <v>1040860</v>
      </c>
      <c r="B1157" t="str">
        <f>IFERROR(__xludf.DUMMYFUNCTION("""COMPUTED_VALUE"""),"Ms.")</f>
        <v>Ms.</v>
      </c>
      <c r="C1157" t="str">
        <f>IFERROR(__xludf.DUMMYFUNCTION("""COMPUTED_VALUE"""),"Chananya")</f>
        <v>Chananya</v>
      </c>
      <c r="D1157" t="str">
        <f>IFERROR(__xludf.DUMMYFUNCTION("""COMPUTED_VALUE"""),"Srichamchoi")</f>
        <v>Srichamchoi</v>
      </c>
      <c r="E1157" t="str">
        <f>IFERROR(__xludf.DUMMYFUNCTION("""COMPUTED_VALUE"""),"Chananya Srichamchoi")</f>
        <v>Chananya Srichamchoi</v>
      </c>
      <c r="F1157" t="str">
        <f>IFERROR(__xludf.DUMMYFUNCTION("""COMPUTED_VALUE"""),"นางสาว")</f>
        <v>นางสาว</v>
      </c>
      <c r="G1157" t="str">
        <f>IFERROR(__xludf.DUMMYFUNCTION("""COMPUTED_VALUE"""),"ชนัญญา")</f>
        <v>ชนัญญา</v>
      </c>
      <c r="H1157" t="str">
        <f>IFERROR(__xludf.DUMMYFUNCTION("""COMPUTED_VALUE"""),"ศรีแช่มช้อย")</f>
        <v>ศรีแช่มช้อย</v>
      </c>
      <c r="I1157" t="str">
        <f>IFERROR(__xludf.DUMMYFUNCTION("""COMPUTED_VALUE"""),"ชนัญญา ศรีแช่มช้อย")</f>
        <v>ชนัญญา ศรีแช่มช้อย</v>
      </c>
      <c r="J1157" t="str">
        <f>IFERROR(__xludf.DUMMYFUNCTION("""COMPUTED_VALUE"""),"มาย")</f>
        <v>มาย</v>
      </c>
      <c r="K1157" t="str">
        <f>IFERROR(__xludf.DUMMYFUNCTION("""COMPUTED_VALUE"""),"Cabin Crew")</f>
        <v>Cabin Crew</v>
      </c>
      <c r="L1157" t="str">
        <f>IFERROR(__xludf.DUMMYFUNCTION("""COMPUTED_VALUE"""),"DMK")</f>
        <v>DMK</v>
      </c>
      <c r="M1157" s="145" t="str">
        <f>IFERROR(__xludf.DUMMYFUNCTION("""COMPUTED_VALUE"""),"Um Home")</f>
        <v>Um Home</v>
      </c>
      <c r="N1157" t="str">
        <f>IFERROR(__xludf.DUMMYFUNCTION("""COMPUTED_VALUE"""),"Active")</f>
        <v>Active</v>
      </c>
      <c r="P1157" s="156">
        <f>IFERROR(__xludf.DUMMYFUNCTION("""COMPUTED_VALUE"""),35475.0)</f>
        <v>35475</v>
      </c>
      <c r="Q1157" s="146" t="str">
        <f>IFERROR(__xludf.DUMMYFUNCTION("""COMPUTED_VALUE"""),"085 369 7071")</f>
        <v>085 369 7071</v>
      </c>
      <c r="R1157" s="147" t="str">
        <f>IFERROR(__xludf.DUMMYFUNCTION("""COMPUTED_VALUE"""),"1-1203-00080-34-1")</f>
        <v>1-1203-00080-34-1</v>
      </c>
      <c r="S1157" t="str">
        <f>IFERROR(__xludf.DUMMYFUNCTION("""COMPUTED_VALUE"""),"AC2401054")</f>
        <v>AC2401054</v>
      </c>
      <c r="T1157" s="148">
        <f>IFERROR(__xludf.DUMMYFUNCTION("""COMPUTED_VALUE"""),44427.0)</f>
        <v>44427</v>
      </c>
      <c r="U1157" s="148">
        <f>IFERROR(__xludf.DUMMYFUNCTION("""COMPUTED_VALUE"""),48078.0)</f>
        <v>48078</v>
      </c>
      <c r="V1157" s="149">
        <f>IFERROR(__xludf.DUMMYFUNCTION("""COMPUTED_VALUE"""),47897.0)</f>
        <v>47897</v>
      </c>
      <c r="W1157" t="str">
        <f>IFERROR(__xludf.DUMMYFUNCTION("""COMPUTED_VALUE"""),"ปลอดภัย")</f>
        <v>ปลอดภัย</v>
      </c>
      <c r="X1157" t="str">
        <f>IFERROR(__xludf.DUMMYFUNCTION("""COMPUTED_VALUE"""),"Nonthaburi Province")</f>
        <v>Nonthaburi Province</v>
      </c>
      <c r="Y1157" t="str">
        <f>IFERROR(__xludf.DUMMYFUNCTION("""COMPUTED_VALUE"""),"Nonthaburi")</f>
        <v>Nonthaburi</v>
      </c>
      <c r="Z1157" s="145" t="str">
        <f>IFERROR(__xludf.DUMMYFUNCTION("""COMPUTED_VALUE"""),"0846750651")</f>
        <v>0846750651</v>
      </c>
      <c r="AA1157" t="str">
        <f>IFERROR(__xludf.DUMMYFUNCTION("""COMPUTED_VALUE"""),"นางอินทิรา ศรีแช่มช้อย Mother")</f>
        <v>นางอินทิรา ศรีแช่มช้อย Mother</v>
      </c>
      <c r="AB1157" t="str">
        <f>IFERROR(__xludf.DUMMYFUNCTION("""COMPUTED_VALUE"""),"chananyasrichamchoi@airasia.com")</f>
        <v>chananyasrichamchoi@airasia.com</v>
      </c>
    </row>
    <row r="1158">
      <c r="A1158">
        <f>IFERROR(__xludf.DUMMYFUNCTION("""COMPUTED_VALUE"""),1040861.0)</f>
        <v>1040861</v>
      </c>
      <c r="B1158" t="str">
        <f>IFERROR(__xludf.DUMMYFUNCTION("""COMPUTED_VALUE"""),"Ms.")</f>
        <v>Ms.</v>
      </c>
      <c r="C1158" t="str">
        <f>IFERROR(__xludf.DUMMYFUNCTION("""COMPUTED_VALUE"""),"Chanikan")</f>
        <v>Chanikan</v>
      </c>
      <c r="D1158" t="str">
        <f>IFERROR(__xludf.DUMMYFUNCTION("""COMPUTED_VALUE"""),"Naktongkaew")</f>
        <v>Naktongkaew</v>
      </c>
      <c r="E1158" t="str">
        <f>IFERROR(__xludf.DUMMYFUNCTION("""COMPUTED_VALUE"""),"Chanikan Naktongkaew")</f>
        <v>Chanikan Naktongkaew</v>
      </c>
      <c r="F1158" t="str">
        <f>IFERROR(__xludf.DUMMYFUNCTION("""COMPUTED_VALUE"""),"นางสาว")</f>
        <v>นางสาว</v>
      </c>
      <c r="G1158" t="str">
        <f>IFERROR(__xludf.DUMMYFUNCTION("""COMPUTED_VALUE"""),"ชนิกานต์")</f>
        <v>ชนิกานต์</v>
      </c>
      <c r="H1158" t="str">
        <f>IFERROR(__xludf.DUMMYFUNCTION("""COMPUTED_VALUE"""),"นาคทองแก้ว")</f>
        <v>นาคทองแก้ว</v>
      </c>
      <c r="I1158" t="str">
        <f>IFERROR(__xludf.DUMMYFUNCTION("""COMPUTED_VALUE"""),"ชนิกานต์ นาคทองแก้ว")</f>
        <v>ชนิกานต์ นาคทองแก้ว</v>
      </c>
      <c r="J1158" t="str">
        <f>IFERROR(__xludf.DUMMYFUNCTION("""COMPUTED_VALUE"""),"ฟ้า")</f>
        <v>ฟ้า</v>
      </c>
      <c r="K1158" t="str">
        <f>IFERROR(__xludf.DUMMYFUNCTION("""COMPUTED_VALUE"""),"Cabin Crew")</f>
        <v>Cabin Crew</v>
      </c>
      <c r="L1158" t="str">
        <f>IFERROR(__xludf.DUMMYFUNCTION("""COMPUTED_VALUE"""),"DMK")</f>
        <v>DMK</v>
      </c>
      <c r="M1158" s="145" t="str">
        <f>IFERROR(__xludf.DUMMYFUNCTION("""COMPUTED_VALUE"""),"Toffy Home")</f>
        <v>Toffy Home</v>
      </c>
      <c r="N1158" t="str">
        <f>IFERROR(__xludf.DUMMYFUNCTION("""COMPUTED_VALUE"""),"Active")</f>
        <v>Active</v>
      </c>
      <c r="P1158" s="156">
        <f>IFERROR(__xludf.DUMMYFUNCTION("""COMPUTED_VALUE"""),36259.0)</f>
        <v>36259</v>
      </c>
      <c r="Q1158" s="146" t="str">
        <f>IFERROR(__xludf.DUMMYFUNCTION("""COMPUTED_VALUE"""),"093 756 3765")</f>
        <v>093 756 3765</v>
      </c>
      <c r="R1158" s="147" t="str">
        <f>IFERROR(__xludf.DUMMYFUNCTION("""COMPUTED_VALUE"""),"1-8499-01370-92-3")</f>
        <v>1-8499-01370-92-3</v>
      </c>
      <c r="S1158" t="str">
        <f>IFERROR(__xludf.DUMMYFUNCTION("""COMPUTED_VALUE"""),"AC5847126")</f>
        <v>AC5847126</v>
      </c>
      <c r="T1158" s="148">
        <f>IFERROR(__xludf.DUMMYFUNCTION("""COMPUTED_VALUE"""),45186.0)</f>
        <v>45186</v>
      </c>
      <c r="U1158" s="148">
        <f>IFERROR(__xludf.DUMMYFUNCTION("""COMPUTED_VALUE"""),48838.0)</f>
        <v>48838</v>
      </c>
      <c r="V1158" s="149">
        <f>IFERROR(__xludf.DUMMYFUNCTION("""COMPUTED_VALUE"""),48654.0)</f>
        <v>48654</v>
      </c>
      <c r="W1158" t="str">
        <f>IFERROR(__xludf.DUMMYFUNCTION("""COMPUTED_VALUE"""),"ปลอดภัย")</f>
        <v>ปลอดภัย</v>
      </c>
      <c r="X1158" t="str">
        <f>IFERROR(__xludf.DUMMYFUNCTION("""COMPUTED_VALUE"""),"Surat thani Province")</f>
        <v>Surat thani Province</v>
      </c>
      <c r="Y1158" t="str">
        <f>IFERROR(__xludf.DUMMYFUNCTION("""COMPUTED_VALUE"""),"Bangkok")</f>
        <v>Bangkok</v>
      </c>
      <c r="Z1158" s="145" t="str">
        <f>IFERROR(__xludf.DUMMYFUNCTION("""COMPUTED_VALUE"""),"086-279-5569")</f>
        <v>086-279-5569</v>
      </c>
      <c r="AA1158" t="str">
        <f>IFERROR(__xludf.DUMMYFUNCTION("""COMPUTED_VALUE"""),"นางพันธุ์รัตนา นาคทองแก้ว Mother")</f>
        <v>นางพันธุ์รัตนา นาคทองแก้ว Mother</v>
      </c>
      <c r="AB1158" t="str">
        <f>IFERROR(__xludf.DUMMYFUNCTION("""COMPUTED_VALUE"""),"chanikannaktongkaew@airasia.com")</f>
        <v>chanikannaktongkaew@airasia.com</v>
      </c>
    </row>
    <row r="1159">
      <c r="A1159">
        <f>IFERROR(__xludf.DUMMYFUNCTION("""COMPUTED_VALUE"""),1040862.0)</f>
        <v>1040862</v>
      </c>
      <c r="B1159" t="str">
        <f>IFERROR(__xludf.DUMMYFUNCTION("""COMPUTED_VALUE"""),"Ms.")</f>
        <v>Ms.</v>
      </c>
      <c r="C1159" t="str">
        <f>IFERROR(__xludf.DUMMYFUNCTION("""COMPUTED_VALUE"""),"Chatsita")</f>
        <v>Chatsita</v>
      </c>
      <c r="D1159" t="str">
        <f>IFERROR(__xludf.DUMMYFUNCTION("""COMPUTED_VALUE"""),"Kleekhajai")</f>
        <v>Kleekhajai</v>
      </c>
      <c r="E1159" t="str">
        <f>IFERROR(__xludf.DUMMYFUNCTION("""COMPUTED_VALUE"""),"Chatsita Kleekhajai")</f>
        <v>Chatsita Kleekhajai</v>
      </c>
      <c r="F1159" t="str">
        <f>IFERROR(__xludf.DUMMYFUNCTION("""COMPUTED_VALUE"""),"นางสาว")</f>
        <v>นางสาว</v>
      </c>
      <c r="G1159" t="str">
        <f>IFERROR(__xludf.DUMMYFUNCTION("""COMPUTED_VALUE"""),"ฉัตสิตา")</f>
        <v>ฉัตสิตา</v>
      </c>
      <c r="H1159" t="str">
        <f>IFERROR(__xludf.DUMMYFUNCTION("""COMPUTED_VALUE"""),"คลี่ขจาย")</f>
        <v>คลี่ขจาย</v>
      </c>
      <c r="I1159" t="str">
        <f>IFERROR(__xludf.DUMMYFUNCTION("""COMPUTED_VALUE"""),"ฉัตสิตา คลี่ขจาย")</f>
        <v>ฉัตสิตา คลี่ขจาย</v>
      </c>
      <c r="J1159" t="str">
        <f>IFERROR(__xludf.DUMMYFUNCTION("""COMPUTED_VALUE"""),"อุ๋มอิ๋ม")</f>
        <v>อุ๋มอิ๋ม</v>
      </c>
      <c r="K1159" t="str">
        <f>IFERROR(__xludf.DUMMYFUNCTION("""COMPUTED_VALUE"""),"Cabin Crew")</f>
        <v>Cabin Crew</v>
      </c>
      <c r="L1159" t="str">
        <f>IFERROR(__xludf.DUMMYFUNCTION("""COMPUTED_VALUE"""),"DMK")</f>
        <v>DMK</v>
      </c>
      <c r="M1159" s="145" t="str">
        <f>IFERROR(__xludf.DUMMYFUNCTION("""COMPUTED_VALUE"""),"Um Home")</f>
        <v>Um Home</v>
      </c>
      <c r="N1159" t="str">
        <f>IFERROR(__xludf.DUMMYFUNCTION("""COMPUTED_VALUE"""),"Active")</f>
        <v>Active</v>
      </c>
      <c r="P1159" s="165">
        <f>IFERROR(__xludf.DUMMYFUNCTION("""COMPUTED_VALUE"""),34096.0)</f>
        <v>34096</v>
      </c>
      <c r="Q1159" s="146" t="str">
        <f>IFERROR(__xludf.DUMMYFUNCTION("""COMPUTED_VALUE"""),"081 822 6206")</f>
        <v>081 822 6206</v>
      </c>
      <c r="R1159" s="147" t="str">
        <f>IFERROR(__xludf.DUMMYFUNCTION("""COMPUTED_VALUE"""),"1-1014-01982-67-8")</f>
        <v>1-1014-01982-67-8</v>
      </c>
      <c r="S1159" t="str">
        <f>IFERROR(__xludf.DUMMYFUNCTION("""COMPUTED_VALUE"""),"ac6200891")</f>
        <v>ac6200891</v>
      </c>
      <c r="T1159" s="148">
        <f>IFERROR(__xludf.DUMMYFUNCTION("""COMPUTED_VALUE"""),45276.0)</f>
        <v>45276</v>
      </c>
      <c r="U1159" s="148">
        <f>IFERROR(__xludf.DUMMYFUNCTION("""COMPUTED_VALUE"""),48928.0)</f>
        <v>48928</v>
      </c>
      <c r="V1159" s="149">
        <f>IFERROR(__xludf.DUMMYFUNCTION("""COMPUTED_VALUE"""),48745.0)</f>
        <v>48745</v>
      </c>
      <c r="W1159" t="str">
        <f>IFERROR(__xludf.DUMMYFUNCTION("""COMPUTED_VALUE"""),"ปลอดภัย")</f>
        <v>ปลอดภัย</v>
      </c>
      <c r="X1159" t="str">
        <f>IFERROR(__xludf.DUMMYFUNCTION("""COMPUTED_VALUE"""),"Bangkok")</f>
        <v>Bangkok</v>
      </c>
      <c r="Y1159" t="str">
        <f>IFERROR(__xludf.DUMMYFUNCTION("""COMPUTED_VALUE"""),"Bangkok")</f>
        <v>Bangkok</v>
      </c>
      <c r="Z1159" s="145" t="str">
        <f>IFERROR(__xludf.DUMMYFUNCTION("""COMPUTED_VALUE"""),"0891596464")</f>
        <v>0891596464</v>
      </c>
      <c r="AA1159" t="str">
        <f>IFERROR(__xludf.DUMMYFUNCTION("""COMPUTED_VALUE"""),"ศุภมน อิงคะประดิษฐ์ Friend")</f>
        <v>ศุภมน อิงคะประดิษฐ์ Friend</v>
      </c>
      <c r="AB1159" t="str">
        <f>IFERROR(__xludf.DUMMYFUNCTION("""COMPUTED_VALUE"""),"chatsitakleekhajai@airasia.com")</f>
        <v>chatsitakleekhajai@airasia.com</v>
      </c>
    </row>
    <row r="1160">
      <c r="A1160">
        <f>IFERROR(__xludf.DUMMYFUNCTION("""COMPUTED_VALUE"""),1040863.0)</f>
        <v>1040863</v>
      </c>
      <c r="B1160" t="str">
        <f>IFERROR(__xludf.DUMMYFUNCTION("""COMPUTED_VALUE"""),"Ms.")</f>
        <v>Ms.</v>
      </c>
      <c r="C1160" t="str">
        <f>IFERROR(__xludf.DUMMYFUNCTION("""COMPUTED_VALUE"""),"Hathaithip")</f>
        <v>Hathaithip</v>
      </c>
      <c r="D1160" t="str">
        <f>IFERROR(__xludf.DUMMYFUNCTION("""COMPUTED_VALUE"""),"Tangwangmon")</f>
        <v>Tangwangmon</v>
      </c>
      <c r="E1160" t="str">
        <f>IFERROR(__xludf.DUMMYFUNCTION("""COMPUTED_VALUE"""),"Hathaithip Tangwangmon")</f>
        <v>Hathaithip Tangwangmon</v>
      </c>
      <c r="F1160" t="str">
        <f>IFERROR(__xludf.DUMMYFUNCTION("""COMPUTED_VALUE"""),"นางสาว")</f>
        <v>นางสาว</v>
      </c>
      <c r="G1160" t="str">
        <f>IFERROR(__xludf.DUMMYFUNCTION("""COMPUTED_VALUE"""),"หทัยทิพย์")</f>
        <v>หทัยทิพย์</v>
      </c>
      <c r="H1160" t="str">
        <f>IFERROR(__xludf.DUMMYFUNCTION("""COMPUTED_VALUE"""),"ตั้งวังมน")</f>
        <v>ตั้งวังมน</v>
      </c>
      <c r="I1160" t="str">
        <f>IFERROR(__xludf.DUMMYFUNCTION("""COMPUTED_VALUE"""),"หทัยทิพย์ ตั้งวังมน")</f>
        <v>หทัยทิพย์ ตั้งวังมน</v>
      </c>
      <c r="J1160" t="str">
        <f>IFERROR(__xludf.DUMMYFUNCTION("""COMPUTED_VALUE"""),"อาปวย")</f>
        <v>อาปวย</v>
      </c>
      <c r="K1160" t="str">
        <f>IFERROR(__xludf.DUMMYFUNCTION("""COMPUTED_VALUE"""),"Cabin Crew")</f>
        <v>Cabin Crew</v>
      </c>
      <c r="L1160" t="str">
        <f>IFERROR(__xludf.DUMMYFUNCTION("""COMPUTED_VALUE"""),"DMK")</f>
        <v>DMK</v>
      </c>
      <c r="M1160" s="145" t="str">
        <f>IFERROR(__xludf.DUMMYFUNCTION("""COMPUTED_VALUE"""),"Namfon Home")</f>
        <v>Namfon Home</v>
      </c>
      <c r="N1160" t="str">
        <f>IFERROR(__xludf.DUMMYFUNCTION("""COMPUTED_VALUE"""),"Active")</f>
        <v>Active</v>
      </c>
      <c r="P1160" s="156">
        <f>IFERROR(__xludf.DUMMYFUNCTION("""COMPUTED_VALUE"""),35606.0)</f>
        <v>35606</v>
      </c>
      <c r="Q1160" s="146" t="str">
        <f>IFERROR(__xludf.DUMMYFUNCTION("""COMPUTED_VALUE"""),"081 392 6345")</f>
        <v>081 392 6345</v>
      </c>
      <c r="R1160" s="147" t="str">
        <f>IFERROR(__xludf.DUMMYFUNCTION("""COMPUTED_VALUE"""),"1-4299-00296-48-1")</f>
        <v>1-4299-00296-48-1</v>
      </c>
      <c r="S1160" t="str">
        <f>IFERROR(__xludf.DUMMYFUNCTION("""COMPUTED_VALUE"""),"AC3460965")</f>
        <v>AC3460965</v>
      </c>
      <c r="T1160" s="148">
        <f>IFERROR(__xludf.DUMMYFUNCTION("""COMPUTED_VALUE"""),44739.0)</f>
        <v>44739</v>
      </c>
      <c r="U1160" s="148">
        <f>IFERROR(__xludf.DUMMYFUNCTION("""COMPUTED_VALUE"""),48391.0)</f>
        <v>48391</v>
      </c>
      <c r="V1160" s="149">
        <f>IFERROR(__xludf.DUMMYFUNCTION("""COMPUTED_VALUE"""),48208.0)</f>
        <v>48208</v>
      </c>
      <c r="W1160" t="str">
        <f>IFERROR(__xludf.DUMMYFUNCTION("""COMPUTED_VALUE"""),"ปลอดภัย")</f>
        <v>ปลอดภัย</v>
      </c>
      <c r="X1160" t="str">
        <f>IFERROR(__xludf.DUMMYFUNCTION("""COMPUTED_VALUE"""),"Loei Province")</f>
        <v>Loei Province</v>
      </c>
      <c r="Y1160" t="str">
        <f>IFERROR(__xludf.DUMMYFUNCTION("""COMPUTED_VALUE"""),"Pathum Thani Province")</f>
        <v>Pathum Thani Province</v>
      </c>
      <c r="Z1160" s="145" t="str">
        <f>IFERROR(__xludf.DUMMYFUNCTION("""COMPUTED_VALUE"""),"0815443268")</f>
        <v>0815443268</v>
      </c>
      <c r="AA1160" t="str">
        <f>IFERROR(__xludf.DUMMYFUNCTION("""COMPUTED_VALUE"""),"นางปุญญิศา ตั้งวังมน Mother")</f>
        <v>นางปุญญิศา ตั้งวังมน Mother</v>
      </c>
      <c r="AB1160" t="str">
        <f>IFERROR(__xludf.DUMMYFUNCTION("""COMPUTED_VALUE"""),"hathaithiptangwangm@airasia.com")</f>
        <v>hathaithiptangwangm@airasia.com</v>
      </c>
    </row>
    <row r="1161">
      <c r="A1161">
        <f>IFERROR(__xludf.DUMMYFUNCTION("""COMPUTED_VALUE"""),1040864.0)</f>
        <v>1040864</v>
      </c>
      <c r="B1161" t="str">
        <f>IFERROR(__xludf.DUMMYFUNCTION("""COMPUTED_VALUE"""),"Ms.")</f>
        <v>Ms.</v>
      </c>
      <c r="C1161" t="str">
        <f>IFERROR(__xludf.DUMMYFUNCTION("""COMPUTED_VALUE"""),"Jaratpon")</f>
        <v>Jaratpon</v>
      </c>
      <c r="D1161" t="str">
        <f>IFERROR(__xludf.DUMMYFUNCTION("""COMPUTED_VALUE"""),"Saetong")</f>
        <v>Saetong</v>
      </c>
      <c r="E1161" t="str">
        <f>IFERROR(__xludf.DUMMYFUNCTION("""COMPUTED_VALUE"""),"Jaratpon Saetong")</f>
        <v>Jaratpon Saetong</v>
      </c>
      <c r="F1161" t="str">
        <f>IFERROR(__xludf.DUMMYFUNCTION("""COMPUTED_VALUE"""),"นางสาว")</f>
        <v>นางสาว</v>
      </c>
      <c r="G1161" t="str">
        <f>IFERROR(__xludf.DUMMYFUNCTION("""COMPUTED_VALUE"""),"จรัสพร")</f>
        <v>จรัสพร</v>
      </c>
      <c r="H1161" t="str">
        <f>IFERROR(__xludf.DUMMYFUNCTION("""COMPUTED_VALUE"""),"แซ่ตั้ง")</f>
        <v>แซ่ตั้ง</v>
      </c>
      <c r="I1161" t="str">
        <f>IFERROR(__xludf.DUMMYFUNCTION("""COMPUTED_VALUE"""),"จรัสพร แซ่ตั้ง")</f>
        <v>จรัสพร แซ่ตั้ง</v>
      </c>
      <c r="J1161" t="str">
        <f>IFERROR(__xludf.DUMMYFUNCTION("""COMPUTED_VALUE"""),"Kukkik / กุ๊กกิ๊ก")</f>
        <v>Kukkik / กุ๊กกิ๊ก</v>
      </c>
      <c r="K1161" t="str">
        <f>IFERROR(__xludf.DUMMYFUNCTION("""COMPUTED_VALUE"""),"Cabin Crew")</f>
        <v>Cabin Crew</v>
      </c>
      <c r="L1161" t="str">
        <f>IFERROR(__xludf.DUMMYFUNCTION("""COMPUTED_VALUE"""),"DMK")</f>
        <v>DMK</v>
      </c>
      <c r="M1161" s="145" t="str">
        <f>IFERROR(__xludf.DUMMYFUNCTION("""COMPUTED_VALUE"""),"Kor Home")</f>
        <v>Kor Home</v>
      </c>
      <c r="N1161" t="str">
        <f>IFERROR(__xludf.DUMMYFUNCTION("""COMPUTED_VALUE"""),"Active")</f>
        <v>Active</v>
      </c>
      <c r="P1161" s="156">
        <f>IFERROR(__xludf.DUMMYFUNCTION("""COMPUTED_VALUE"""),35909.0)</f>
        <v>35909</v>
      </c>
      <c r="Q1161" s="146" t="str">
        <f>IFERROR(__xludf.DUMMYFUNCTION("""COMPUTED_VALUE"""),"081 160 4871")</f>
        <v>081 160 4871</v>
      </c>
      <c r="R1161" s="147" t="str">
        <f>IFERROR(__xludf.DUMMYFUNCTION("""COMPUTED_VALUE"""),"1-2299-00808-19-0")</f>
        <v>1-2299-00808-19-0</v>
      </c>
      <c r="S1161" t="str">
        <f>IFERROR(__xludf.DUMMYFUNCTION("""COMPUTED_VALUE"""),"AC4747192")</f>
        <v>AC4747192</v>
      </c>
      <c r="T1161" s="148">
        <f>IFERROR(__xludf.DUMMYFUNCTION("""COMPUTED_VALUE"""),45007.0)</f>
        <v>45007</v>
      </c>
      <c r="U1161" s="148">
        <f>IFERROR(__xludf.DUMMYFUNCTION("""COMPUTED_VALUE"""),46833.0)</f>
        <v>46833</v>
      </c>
      <c r="V1161" s="149">
        <f>IFERROR(__xludf.DUMMYFUNCTION("""COMPUTED_VALUE"""),46651.0)</f>
        <v>46651</v>
      </c>
      <c r="W1161" t="str">
        <f>IFERROR(__xludf.DUMMYFUNCTION("""COMPUTED_VALUE"""),"ปลอดภัย")</f>
        <v>ปลอดภัย</v>
      </c>
      <c r="X1161" t="str">
        <f>IFERROR(__xludf.DUMMYFUNCTION("""COMPUTED_VALUE"""),"Chanthaburi Province")</f>
        <v>Chanthaburi Province</v>
      </c>
      <c r="Y1161" t="str">
        <f>IFERROR(__xludf.DUMMYFUNCTION("""COMPUTED_VALUE"""),"Bangkok")</f>
        <v>Bangkok</v>
      </c>
      <c r="Z1161" s="145" t="str">
        <f>IFERROR(__xludf.DUMMYFUNCTION("""COMPUTED_VALUE"""),"061-149-8555")</f>
        <v>061-149-8555</v>
      </c>
      <c r="AA1161" t="str">
        <f>IFERROR(__xludf.DUMMYFUNCTION("""COMPUTED_VALUE"""),"นางสาวรัตติยากร ทวีสุข Friend")</f>
        <v>นางสาวรัตติยากร ทวีสุข Friend</v>
      </c>
      <c r="AB1161" t="str">
        <f>IFERROR(__xludf.DUMMYFUNCTION("""COMPUTED_VALUE"""),"jaratponsaetong@airasia.com")</f>
        <v>jaratponsaetong@airasia.com</v>
      </c>
    </row>
    <row r="1162">
      <c r="A1162">
        <f>IFERROR(__xludf.DUMMYFUNCTION("""COMPUTED_VALUE"""),1040865.0)</f>
        <v>1040865</v>
      </c>
      <c r="B1162" t="str">
        <f>IFERROR(__xludf.DUMMYFUNCTION("""COMPUTED_VALUE"""),"Ms.")</f>
        <v>Ms.</v>
      </c>
      <c r="C1162" t="str">
        <f>IFERROR(__xludf.DUMMYFUNCTION("""COMPUTED_VALUE"""),"Kantiya")</f>
        <v>Kantiya</v>
      </c>
      <c r="D1162" t="str">
        <f>IFERROR(__xludf.DUMMYFUNCTION("""COMPUTED_VALUE"""),"Hengprasert")</f>
        <v>Hengprasert</v>
      </c>
      <c r="E1162" t="str">
        <f>IFERROR(__xludf.DUMMYFUNCTION("""COMPUTED_VALUE"""),"Kantiya Hengprasert")</f>
        <v>Kantiya Hengprasert</v>
      </c>
      <c r="F1162" t="str">
        <f>IFERROR(__xludf.DUMMYFUNCTION("""COMPUTED_VALUE"""),"นางสาว")</f>
        <v>นางสาว</v>
      </c>
      <c r="G1162" t="str">
        <f>IFERROR(__xludf.DUMMYFUNCTION("""COMPUTED_VALUE"""),"กันติยา")</f>
        <v>กันติยา</v>
      </c>
      <c r="H1162" t="str">
        <f>IFERROR(__xludf.DUMMYFUNCTION("""COMPUTED_VALUE"""),"เฮงประเสริฐ")</f>
        <v>เฮงประเสริฐ</v>
      </c>
      <c r="I1162" t="str">
        <f>IFERROR(__xludf.DUMMYFUNCTION("""COMPUTED_VALUE"""),"กันติยา เฮงประเสริฐ")</f>
        <v>กันติยา เฮงประเสริฐ</v>
      </c>
      <c r="J1162" t="str">
        <f>IFERROR(__xludf.DUMMYFUNCTION("""COMPUTED_VALUE"""),"Eve / อีฟ")</f>
        <v>Eve / อีฟ</v>
      </c>
      <c r="K1162" t="str">
        <f>IFERROR(__xludf.DUMMYFUNCTION("""COMPUTED_VALUE"""),"Cabin Crew")</f>
        <v>Cabin Crew</v>
      </c>
      <c r="L1162" t="str">
        <f>IFERROR(__xludf.DUMMYFUNCTION("""COMPUTED_VALUE"""),"DMK")</f>
        <v>DMK</v>
      </c>
      <c r="M1162" s="145" t="str">
        <f>IFERROR(__xludf.DUMMYFUNCTION("""COMPUTED_VALUE"""),"Um Home")</f>
        <v>Um Home</v>
      </c>
      <c r="N1162" t="str">
        <f>IFERROR(__xludf.DUMMYFUNCTION("""COMPUTED_VALUE"""),"Active")</f>
        <v>Active</v>
      </c>
      <c r="P1162" s="156">
        <f>IFERROR(__xludf.DUMMYFUNCTION("""COMPUTED_VALUE"""),36938.0)</f>
        <v>36938</v>
      </c>
      <c r="Q1162" s="146" t="str">
        <f>IFERROR(__xludf.DUMMYFUNCTION("""COMPUTED_VALUE"""),"080 635 5838")</f>
        <v>080 635 5838</v>
      </c>
      <c r="R1162" s="147" t="str">
        <f>IFERROR(__xludf.DUMMYFUNCTION("""COMPUTED_VALUE"""),"1-2799-00158-72-1")</f>
        <v>1-2799-00158-72-1</v>
      </c>
      <c r="S1162" t="str">
        <f>IFERROR(__xludf.DUMMYFUNCTION("""COMPUTED_VALUE"""),"AC4503744")</f>
        <v>AC4503744</v>
      </c>
      <c r="T1162" s="148">
        <f>IFERROR(__xludf.DUMMYFUNCTION("""COMPUTED_VALUE"""),44977.0)</f>
        <v>44977</v>
      </c>
      <c r="U1162" s="148">
        <f>IFERROR(__xludf.DUMMYFUNCTION("""COMPUTED_VALUE"""),46802.0)</f>
        <v>46802</v>
      </c>
      <c r="V1162" s="149">
        <f>IFERROR(__xludf.DUMMYFUNCTION("""COMPUTED_VALUE"""),46618.0)</f>
        <v>46618</v>
      </c>
      <c r="W1162" t="str">
        <f>IFERROR(__xludf.DUMMYFUNCTION("""COMPUTED_VALUE"""),"ปลอดภัย")</f>
        <v>ปลอดภัย</v>
      </c>
      <c r="X1162" t="str">
        <f>IFERROR(__xludf.DUMMYFUNCTION("""COMPUTED_VALUE"""),"Sa Kaeo Province")</f>
        <v>Sa Kaeo Province</v>
      </c>
      <c r="Y1162" t="str">
        <f>IFERROR(__xludf.DUMMYFUNCTION("""COMPUTED_VALUE"""),"Bangkok")</f>
        <v>Bangkok</v>
      </c>
      <c r="Z1162" s="145" t="str">
        <f>IFERROR(__xludf.DUMMYFUNCTION("""COMPUTED_VALUE"""),"0813771164")</f>
        <v>0813771164</v>
      </c>
      <c r="AA1162" t="str">
        <f>IFERROR(__xludf.DUMMYFUNCTION("""COMPUTED_VALUE"""),"นางกานดา เฮงประเสริฐ Mother")</f>
        <v>นางกานดา เฮงประเสริฐ Mother</v>
      </c>
      <c r="AB1162" t="str">
        <f>IFERROR(__xludf.DUMMYFUNCTION("""COMPUTED_VALUE"""),"kantiyahengprasert@airasia.com")</f>
        <v>kantiyahengprasert@airasia.com</v>
      </c>
    </row>
    <row r="1163">
      <c r="A1163">
        <f>IFERROR(__xludf.DUMMYFUNCTION("""COMPUTED_VALUE"""),1040866.0)</f>
        <v>1040866</v>
      </c>
      <c r="B1163" t="str">
        <f>IFERROR(__xludf.DUMMYFUNCTION("""COMPUTED_VALUE"""),"Ms.")</f>
        <v>Ms.</v>
      </c>
      <c r="C1163" t="str">
        <f>IFERROR(__xludf.DUMMYFUNCTION("""COMPUTED_VALUE"""),"Kesinee")</f>
        <v>Kesinee</v>
      </c>
      <c r="D1163" t="str">
        <f>IFERROR(__xludf.DUMMYFUNCTION("""COMPUTED_VALUE"""),"Kanha")</f>
        <v>Kanha</v>
      </c>
      <c r="E1163" t="str">
        <f>IFERROR(__xludf.DUMMYFUNCTION("""COMPUTED_VALUE"""),"Kesinee Kanha")</f>
        <v>Kesinee Kanha</v>
      </c>
      <c r="F1163" t="str">
        <f>IFERROR(__xludf.DUMMYFUNCTION("""COMPUTED_VALUE"""),"นางสาว")</f>
        <v>นางสาว</v>
      </c>
      <c r="G1163" t="str">
        <f>IFERROR(__xludf.DUMMYFUNCTION("""COMPUTED_VALUE"""),"เกศินี")</f>
        <v>เกศินี</v>
      </c>
      <c r="H1163" t="str">
        <f>IFERROR(__xludf.DUMMYFUNCTION("""COMPUTED_VALUE"""),"กัณฑ์หา")</f>
        <v>กัณฑ์หา</v>
      </c>
      <c r="I1163" t="str">
        <f>IFERROR(__xludf.DUMMYFUNCTION("""COMPUTED_VALUE"""),"เกศินี กัณฑ์หา")</f>
        <v>เกศินี กัณฑ์หา</v>
      </c>
      <c r="J1163" t="str">
        <f>IFERROR(__xludf.DUMMYFUNCTION("""COMPUTED_VALUE"""),"Cherry")</f>
        <v>Cherry</v>
      </c>
      <c r="K1163" t="str">
        <f>IFERROR(__xludf.DUMMYFUNCTION("""COMPUTED_VALUE"""),"Cabin Crew")</f>
        <v>Cabin Crew</v>
      </c>
      <c r="L1163" t="str">
        <f>IFERROR(__xludf.DUMMYFUNCTION("""COMPUTED_VALUE"""),"DMK")</f>
        <v>DMK</v>
      </c>
      <c r="M1163" s="145" t="str">
        <f>IFERROR(__xludf.DUMMYFUNCTION("""COMPUTED_VALUE"""),"Namfon Home")</f>
        <v>Namfon Home</v>
      </c>
      <c r="N1163" t="str">
        <f>IFERROR(__xludf.DUMMYFUNCTION("""COMPUTED_VALUE"""),"Active")</f>
        <v>Active</v>
      </c>
      <c r="P1163" s="156">
        <f>IFERROR(__xludf.DUMMYFUNCTION("""COMPUTED_VALUE"""),33067.0)</f>
        <v>33067</v>
      </c>
      <c r="Q1163" s="146" t="str">
        <f>IFERROR(__xludf.DUMMYFUNCTION("""COMPUTED_VALUE"""),"095 763 7973")</f>
        <v>095 763 7973</v>
      </c>
      <c r="R1163" s="147" t="str">
        <f>IFERROR(__xludf.DUMMYFUNCTION("""COMPUTED_VALUE"""),"1-3309-00174-78-7")</f>
        <v>1-3309-00174-78-7</v>
      </c>
      <c r="S1163" t="str">
        <f>IFERROR(__xludf.DUMMYFUNCTION("""COMPUTED_VALUE"""),"AC2640702")</f>
        <v>AC2640702</v>
      </c>
      <c r="T1163" s="148">
        <f>IFERROR(__xludf.DUMMYFUNCTION("""COMPUTED_VALUE"""),44554.0)</f>
        <v>44554</v>
      </c>
      <c r="U1163" s="148">
        <f>IFERROR(__xludf.DUMMYFUNCTION("""COMPUTED_VALUE"""),48205.0)</f>
        <v>48205</v>
      </c>
      <c r="V1163" s="149">
        <f>IFERROR(__xludf.DUMMYFUNCTION("""COMPUTED_VALUE"""),48022.0)</f>
        <v>48022</v>
      </c>
      <c r="W1163" t="str">
        <f>IFERROR(__xludf.DUMMYFUNCTION("""COMPUTED_VALUE"""),"ปลอดภัย")</f>
        <v>ปลอดภัย</v>
      </c>
      <c r="X1163" t="str">
        <f>IFERROR(__xludf.DUMMYFUNCTION("""COMPUTED_VALUE"""),"Sisaket Province")</f>
        <v>Sisaket Province</v>
      </c>
      <c r="Y1163" t="str">
        <f>IFERROR(__xludf.DUMMYFUNCTION("""COMPUTED_VALUE"""),"Bangkok")</f>
        <v>Bangkok</v>
      </c>
      <c r="Z1163" s="145" t="str">
        <f>IFERROR(__xludf.DUMMYFUNCTION("""COMPUTED_VALUE"""),"095-639-6914")</f>
        <v>095-639-6914</v>
      </c>
      <c r="AA1163" t="str">
        <f>IFERROR(__xludf.DUMMYFUNCTION("""COMPUTED_VALUE"""),"นางสาววรัญญา ไทยานนท์ Friend")</f>
        <v>นางสาววรัญญา ไทยานนท์ Friend</v>
      </c>
      <c r="AB1163" t="str">
        <f>IFERROR(__xludf.DUMMYFUNCTION("""COMPUTED_VALUE"""),"kesineekanha@airasia.com")</f>
        <v>kesineekanha@airasia.com</v>
      </c>
    </row>
    <row r="1164">
      <c r="A1164">
        <f>IFERROR(__xludf.DUMMYFUNCTION("""COMPUTED_VALUE"""),1040868.0)</f>
        <v>1040868</v>
      </c>
      <c r="B1164" t="str">
        <f>IFERROR(__xludf.DUMMYFUNCTION("""COMPUTED_VALUE"""),"Ms.")</f>
        <v>Ms.</v>
      </c>
      <c r="C1164" t="str">
        <f>IFERROR(__xludf.DUMMYFUNCTION("""COMPUTED_VALUE"""),"Napatchakorn")</f>
        <v>Napatchakorn</v>
      </c>
      <c r="D1164" t="str">
        <f>IFERROR(__xludf.DUMMYFUNCTION("""COMPUTED_VALUE"""),"Khaminbut")</f>
        <v>Khaminbut</v>
      </c>
      <c r="E1164" t="str">
        <f>IFERROR(__xludf.DUMMYFUNCTION("""COMPUTED_VALUE"""),"Napatchakorn Khaminbut")</f>
        <v>Napatchakorn Khaminbut</v>
      </c>
      <c r="F1164" t="str">
        <f>IFERROR(__xludf.DUMMYFUNCTION("""COMPUTED_VALUE"""),"นางสาว")</f>
        <v>นางสาว</v>
      </c>
      <c r="G1164" t="str">
        <f>IFERROR(__xludf.DUMMYFUNCTION("""COMPUTED_VALUE"""),"นพัชกร")</f>
        <v>นพัชกร</v>
      </c>
      <c r="H1164" t="str">
        <f>IFERROR(__xludf.DUMMYFUNCTION("""COMPUTED_VALUE"""),"คำอินบุตร")</f>
        <v>คำอินบุตร</v>
      </c>
      <c r="I1164" t="str">
        <f>IFERROR(__xludf.DUMMYFUNCTION("""COMPUTED_VALUE"""),"นพัชกร คำอินบุตร")</f>
        <v>นพัชกร คำอินบุตร</v>
      </c>
      <c r="J1164" t="str">
        <f>IFERROR(__xludf.DUMMYFUNCTION("""COMPUTED_VALUE"""),"Pang/แป้ง")</f>
        <v>Pang/แป้ง</v>
      </c>
      <c r="K1164" t="str">
        <f>IFERROR(__xludf.DUMMYFUNCTION("""COMPUTED_VALUE"""),"Cabin Crew - CNX")</f>
        <v>Cabin Crew - CNX</v>
      </c>
      <c r="L1164" t="str">
        <f>IFERROR(__xludf.DUMMYFUNCTION("""COMPUTED_VALUE"""),"CNX")</f>
        <v>CNX</v>
      </c>
      <c r="M1164" s="145" t="str">
        <f>IFERROR(__xludf.DUMMYFUNCTION("""COMPUTED_VALUE"""),"Up Home")</f>
        <v>Up Home</v>
      </c>
      <c r="N1164" t="str">
        <f>IFERROR(__xludf.DUMMYFUNCTION("""COMPUTED_VALUE"""),"Active/V/DMK")</f>
        <v>Active/V/DMK</v>
      </c>
      <c r="P1164" s="156">
        <f>IFERROR(__xludf.DUMMYFUNCTION("""COMPUTED_VALUE"""),35058.0)</f>
        <v>35058</v>
      </c>
      <c r="Q1164" s="146" t="str">
        <f>IFERROR(__xludf.DUMMYFUNCTION("""COMPUTED_VALUE"""),"082 694 6304")</f>
        <v>082 694 6304</v>
      </c>
      <c r="R1164" s="147" t="str">
        <f>IFERROR(__xludf.DUMMYFUNCTION("""COMPUTED_VALUE"""),"1-5299-00802-19-9")</f>
        <v>1-5299-00802-19-9</v>
      </c>
      <c r="S1164" t="str">
        <f>IFERROR(__xludf.DUMMYFUNCTION("""COMPUTED_VALUE"""),"AC2774857")</f>
        <v>AC2774857</v>
      </c>
      <c r="T1164" s="148">
        <f>IFERROR(__xludf.DUMMYFUNCTION("""COMPUTED_VALUE"""),44501.0)</f>
        <v>44501</v>
      </c>
      <c r="U1164" s="148">
        <f>IFERROR(__xludf.DUMMYFUNCTION("""COMPUTED_VALUE"""),48152.0)</f>
        <v>48152</v>
      </c>
      <c r="V1164" s="149">
        <f>IFERROR(__xludf.DUMMYFUNCTION("""COMPUTED_VALUE"""),47968.0)</f>
        <v>47968</v>
      </c>
      <c r="W1164" t="str">
        <f>IFERROR(__xludf.DUMMYFUNCTION("""COMPUTED_VALUE"""),"ปลอดภัย")</f>
        <v>ปลอดภัย</v>
      </c>
      <c r="X1164" t="str">
        <f>IFERROR(__xludf.DUMMYFUNCTION("""COMPUTED_VALUE"""),"Lampang Province")</f>
        <v>Lampang Province</v>
      </c>
      <c r="Y1164" t="str">
        <f>IFERROR(__xludf.DUMMYFUNCTION("""COMPUTED_VALUE"""),"Pathum Thani Province")</f>
        <v>Pathum Thani Province</v>
      </c>
      <c r="Z1164" s="145" t="str">
        <f>IFERROR(__xludf.DUMMYFUNCTION("""COMPUTED_VALUE"""),"0903171579")</f>
        <v>0903171579</v>
      </c>
      <c r="AA1164" t="str">
        <f>IFERROR(__xludf.DUMMYFUNCTION("""COMPUTED_VALUE"""),"นางจุรีย์ อรรจนเมธี Mother")</f>
        <v>นางจุรีย์ อรรจนเมธี Mother</v>
      </c>
      <c r="AB1164" t="str">
        <f>IFERROR(__xludf.DUMMYFUNCTION("""COMPUTED_VALUE"""),"napatchakornkhaminb@airasia.com")</f>
        <v>napatchakornkhaminb@airasia.com</v>
      </c>
    </row>
    <row r="1165">
      <c r="A1165">
        <f>IFERROR(__xludf.DUMMYFUNCTION("""COMPUTED_VALUE"""),1040869.0)</f>
        <v>1040869</v>
      </c>
      <c r="B1165" t="str">
        <f>IFERROR(__xludf.DUMMYFUNCTION("""COMPUTED_VALUE"""),"Ms.")</f>
        <v>Ms.</v>
      </c>
      <c r="C1165" t="str">
        <f>IFERROR(__xludf.DUMMYFUNCTION("""COMPUTED_VALUE"""),"Natachon")</f>
        <v>Natachon</v>
      </c>
      <c r="D1165" t="str">
        <f>IFERROR(__xludf.DUMMYFUNCTION("""COMPUTED_VALUE"""),"Boonpradit")</f>
        <v>Boonpradit</v>
      </c>
      <c r="E1165" t="str">
        <f>IFERROR(__xludf.DUMMYFUNCTION("""COMPUTED_VALUE"""),"Natachon Boonpradit")</f>
        <v>Natachon Boonpradit</v>
      </c>
      <c r="F1165" t="str">
        <f>IFERROR(__xludf.DUMMYFUNCTION("""COMPUTED_VALUE"""),"นางสาว")</f>
        <v>นางสาว</v>
      </c>
      <c r="G1165" t="str">
        <f>IFERROR(__xludf.DUMMYFUNCTION("""COMPUTED_VALUE"""),"ณฐชนม์")</f>
        <v>ณฐชนม์</v>
      </c>
      <c r="H1165" t="str">
        <f>IFERROR(__xludf.DUMMYFUNCTION("""COMPUTED_VALUE"""),"บุญประดิษฐ์")</f>
        <v>บุญประดิษฐ์</v>
      </c>
      <c r="I1165" t="str">
        <f>IFERROR(__xludf.DUMMYFUNCTION("""COMPUTED_VALUE"""),"ณฐชนม์ บุญประดิษฐ์")</f>
        <v>ณฐชนม์ บุญประดิษฐ์</v>
      </c>
      <c r="J1165" t="str">
        <f>IFERROR(__xludf.DUMMYFUNCTION("""COMPUTED_VALUE"""),"Ploy / พลอย")</f>
        <v>Ploy / พลอย</v>
      </c>
      <c r="K1165" t="str">
        <f>IFERROR(__xludf.DUMMYFUNCTION("""COMPUTED_VALUE"""),"Cabin Crew")</f>
        <v>Cabin Crew</v>
      </c>
      <c r="L1165" t="str">
        <f>IFERROR(__xludf.DUMMYFUNCTION("""COMPUTED_VALUE"""),"DMK")</f>
        <v>DMK</v>
      </c>
      <c r="M1165" s="145" t="str">
        <f>IFERROR(__xludf.DUMMYFUNCTION("""COMPUTED_VALUE"""),"Nhui Home")</f>
        <v>Nhui Home</v>
      </c>
      <c r="N1165" t="str">
        <f>IFERROR(__xludf.DUMMYFUNCTION("""COMPUTED_VALUE"""),"Active")</f>
        <v>Active</v>
      </c>
      <c r="P1165" s="156">
        <f>IFERROR(__xludf.DUMMYFUNCTION("""COMPUTED_VALUE"""),35373.0)</f>
        <v>35373</v>
      </c>
      <c r="Q1165" s="146" t="str">
        <f>IFERROR(__xludf.DUMMYFUNCTION("""COMPUTED_VALUE"""),"089 535 9594")</f>
        <v>089 535 9594</v>
      </c>
      <c r="R1165" s="147" t="str">
        <f>IFERROR(__xludf.DUMMYFUNCTION("""COMPUTED_VALUE"""),"1-1027-00671-59-4")</f>
        <v>1-1027-00671-59-4</v>
      </c>
      <c r="S1165" t="str">
        <f>IFERROR(__xludf.DUMMYFUNCTION("""COMPUTED_VALUE"""),"AC3706210")</f>
        <v>AC3706210</v>
      </c>
      <c r="T1165" s="148">
        <f>IFERROR(__xludf.DUMMYFUNCTION("""COMPUTED_VALUE"""),44775.0)</f>
        <v>44775</v>
      </c>
      <c r="U1165" s="148">
        <f>IFERROR(__xludf.DUMMYFUNCTION("""COMPUTED_VALUE"""),48427.0)</f>
        <v>48427</v>
      </c>
      <c r="V1165" s="149">
        <f>IFERROR(__xludf.DUMMYFUNCTION("""COMPUTED_VALUE"""),48245.0)</f>
        <v>48245</v>
      </c>
      <c r="W1165" t="str">
        <f>IFERROR(__xludf.DUMMYFUNCTION("""COMPUTED_VALUE"""),"ปลอดภัย")</f>
        <v>ปลอดภัย</v>
      </c>
      <c r="X1165" t="str">
        <f>IFERROR(__xludf.DUMMYFUNCTION("""COMPUTED_VALUE"""),"Bangkok")</f>
        <v>Bangkok</v>
      </c>
      <c r="Y1165" t="str">
        <f>IFERROR(__xludf.DUMMYFUNCTION("""COMPUTED_VALUE"""),"Bangkok")</f>
        <v>Bangkok</v>
      </c>
      <c r="Z1165" s="145" t="str">
        <f>IFERROR(__xludf.DUMMYFUNCTION("""COMPUTED_VALUE"""),"089-822-9422")</f>
        <v>089-822-9422</v>
      </c>
      <c r="AA1165" t="str">
        <f>IFERROR(__xludf.DUMMYFUNCTION("""COMPUTED_VALUE"""),"นางสาวบุษรินทร์ ใกล้ชิด Mother")</f>
        <v>นางสาวบุษรินทร์ ใกล้ชิด Mother</v>
      </c>
      <c r="AB1165" t="str">
        <f>IFERROR(__xludf.DUMMYFUNCTION("""COMPUTED_VALUE"""),"natachonboonpradit@airasia.com")</f>
        <v>natachonboonpradit@airasia.com</v>
      </c>
    </row>
    <row r="1166">
      <c r="A1166">
        <f>IFERROR(__xludf.DUMMYFUNCTION("""COMPUTED_VALUE"""),1040870.0)</f>
        <v>1040870</v>
      </c>
      <c r="B1166" t="str">
        <f>IFERROR(__xludf.DUMMYFUNCTION("""COMPUTED_VALUE"""),"Ms.")</f>
        <v>Ms.</v>
      </c>
      <c r="C1166" t="str">
        <f>IFERROR(__xludf.DUMMYFUNCTION("""COMPUTED_VALUE"""),"Nipha")</f>
        <v>Nipha</v>
      </c>
      <c r="D1166" t="str">
        <f>IFERROR(__xludf.DUMMYFUNCTION("""COMPUTED_VALUE"""),"Thaveekijphokai")</f>
        <v>Thaveekijphokai</v>
      </c>
      <c r="E1166" t="str">
        <f>IFERROR(__xludf.DUMMYFUNCTION("""COMPUTED_VALUE"""),"Nipha Thaveekijphokai")</f>
        <v>Nipha Thaveekijphokai</v>
      </c>
      <c r="F1166" t="str">
        <f>IFERROR(__xludf.DUMMYFUNCTION("""COMPUTED_VALUE"""),"นางสาว")</f>
        <v>นางสาว</v>
      </c>
      <c r="G1166" t="str">
        <f>IFERROR(__xludf.DUMMYFUNCTION("""COMPUTED_VALUE"""),"นิภา")</f>
        <v>นิภา</v>
      </c>
      <c r="H1166" t="str">
        <f>IFERROR(__xludf.DUMMYFUNCTION("""COMPUTED_VALUE"""),"ทวีกิจโภไคย")</f>
        <v>ทวีกิจโภไคย</v>
      </c>
      <c r="I1166" t="str">
        <f>IFERROR(__xludf.DUMMYFUNCTION("""COMPUTED_VALUE"""),"นิภา ทวีกิจโภไคย")</f>
        <v>นิภา ทวีกิจโภไคย</v>
      </c>
      <c r="J1166" t="str">
        <f>IFERROR(__xludf.DUMMYFUNCTION("""COMPUTED_VALUE"""),"Ploy / พลอย")</f>
        <v>Ploy / พลอย</v>
      </c>
      <c r="K1166" t="str">
        <f>IFERROR(__xludf.DUMMYFUNCTION("""COMPUTED_VALUE"""),"Cabin Crew")</f>
        <v>Cabin Crew</v>
      </c>
      <c r="L1166" t="str">
        <f>IFERROR(__xludf.DUMMYFUNCTION("""COMPUTED_VALUE"""),"DMK")</f>
        <v>DMK</v>
      </c>
      <c r="M1166" s="145" t="str">
        <f>IFERROR(__xludf.DUMMYFUNCTION("""COMPUTED_VALUE"""),"Toffy Home")</f>
        <v>Toffy Home</v>
      </c>
      <c r="N1166" t="str">
        <f>IFERROR(__xludf.DUMMYFUNCTION("""COMPUTED_VALUE"""),"Active")</f>
        <v>Active</v>
      </c>
      <c r="P1166" s="156">
        <f>IFERROR(__xludf.DUMMYFUNCTION("""COMPUTED_VALUE"""),35320.0)</f>
        <v>35320</v>
      </c>
      <c r="Q1166" s="146" t="str">
        <f>IFERROR(__xludf.DUMMYFUNCTION("""COMPUTED_VALUE"""),"064 146 9444")</f>
        <v>064 146 9444</v>
      </c>
      <c r="R1166" s="147" t="str">
        <f>IFERROR(__xludf.DUMMYFUNCTION("""COMPUTED_VALUE"""),"1-1199-00639-33-0")</f>
        <v>1-1199-00639-33-0</v>
      </c>
      <c r="S1166" t="str">
        <f>IFERROR(__xludf.DUMMYFUNCTION("""COMPUTED_VALUE"""),"AC4446617")</f>
        <v>AC4446617</v>
      </c>
      <c r="T1166" s="148">
        <f>IFERROR(__xludf.DUMMYFUNCTION("""COMPUTED_VALUE"""),44961.0)</f>
        <v>44961</v>
      </c>
      <c r="U1166" s="148">
        <f>IFERROR(__xludf.DUMMYFUNCTION("""COMPUTED_VALUE"""),48613.0)</f>
        <v>48613</v>
      </c>
      <c r="V1166" s="149">
        <f>IFERROR(__xludf.DUMMYFUNCTION("""COMPUTED_VALUE"""),48429.0)</f>
        <v>48429</v>
      </c>
      <c r="W1166" t="str">
        <f>IFERROR(__xludf.DUMMYFUNCTION("""COMPUTED_VALUE"""),"ปลอดภัย")</f>
        <v>ปลอดภัย</v>
      </c>
      <c r="X1166" t="str">
        <f>IFERROR(__xludf.DUMMYFUNCTION("""COMPUTED_VALUE"""),"Samut Prakan Province")</f>
        <v>Samut Prakan Province</v>
      </c>
      <c r="Y1166" t="str">
        <f>IFERROR(__xludf.DUMMYFUNCTION("""COMPUTED_VALUE"""),"Bangkok")</f>
        <v>Bangkok</v>
      </c>
      <c r="Z1166" s="145" t="str">
        <f>IFERROR(__xludf.DUMMYFUNCTION("""COMPUTED_VALUE"""),"0818318295")</f>
        <v>0818318295</v>
      </c>
      <c r="AA1166" t="str">
        <f>IFERROR(__xludf.DUMMYFUNCTION("""COMPUTED_VALUE"""),"นายสมนึก ทวีกิจโภไคย Father")</f>
        <v>นายสมนึก ทวีกิจโภไคย Father</v>
      </c>
      <c r="AB1166" t="str">
        <f>IFERROR(__xludf.DUMMYFUNCTION("""COMPUTED_VALUE"""),"niphathaveekijphoka@airasia.com")</f>
        <v>niphathaveekijphoka@airasia.com</v>
      </c>
    </row>
    <row r="1167">
      <c r="A1167">
        <f>IFERROR(__xludf.DUMMYFUNCTION("""COMPUTED_VALUE"""),1040871.0)</f>
        <v>1040871</v>
      </c>
      <c r="B1167" t="str">
        <f>IFERROR(__xludf.DUMMYFUNCTION("""COMPUTED_VALUE"""),"Ms.")</f>
        <v>Ms.</v>
      </c>
      <c r="C1167" t="str">
        <f>IFERROR(__xludf.DUMMYFUNCTION("""COMPUTED_VALUE"""),"Niraporn")</f>
        <v>Niraporn</v>
      </c>
      <c r="D1167" t="str">
        <f>IFERROR(__xludf.DUMMYFUNCTION("""COMPUTED_VALUE"""),"Soithong")</f>
        <v>Soithong</v>
      </c>
      <c r="E1167" t="str">
        <f>IFERROR(__xludf.DUMMYFUNCTION("""COMPUTED_VALUE"""),"Niraporn Soithong")</f>
        <v>Niraporn Soithong</v>
      </c>
      <c r="F1167" t="str">
        <f>IFERROR(__xludf.DUMMYFUNCTION("""COMPUTED_VALUE"""),"นางสาว")</f>
        <v>นางสาว</v>
      </c>
      <c r="G1167" t="str">
        <f>IFERROR(__xludf.DUMMYFUNCTION("""COMPUTED_VALUE"""),"นิราพร")</f>
        <v>นิราพร</v>
      </c>
      <c r="H1167" t="str">
        <f>IFERROR(__xludf.DUMMYFUNCTION("""COMPUTED_VALUE"""),"สร้อยทอง")</f>
        <v>สร้อยทอง</v>
      </c>
      <c r="I1167" t="str">
        <f>IFERROR(__xludf.DUMMYFUNCTION("""COMPUTED_VALUE"""),"นิราพร สร้อยทอง")</f>
        <v>นิราพร สร้อยทอง</v>
      </c>
      <c r="J1167" t="str">
        <f>IFERROR(__xludf.DUMMYFUNCTION("""COMPUTED_VALUE"""),"เฟิร์น")</f>
        <v>เฟิร์น</v>
      </c>
      <c r="K1167" t="str">
        <f>IFERROR(__xludf.DUMMYFUNCTION("""COMPUTED_VALUE"""),"Cabin Crew")</f>
        <v>Cabin Crew</v>
      </c>
      <c r="L1167" t="str">
        <f>IFERROR(__xludf.DUMMYFUNCTION("""COMPUTED_VALUE"""),"DMK")</f>
        <v>DMK</v>
      </c>
      <c r="M1167" s="145" t="str">
        <f>IFERROR(__xludf.DUMMYFUNCTION("""COMPUTED_VALUE"""),"Por+ Home")</f>
        <v>Por+ Home</v>
      </c>
      <c r="N1167" t="str">
        <f>IFERROR(__xludf.DUMMYFUNCTION("""COMPUTED_VALUE"""),"Active")</f>
        <v>Active</v>
      </c>
      <c r="P1167" s="156">
        <f>IFERROR(__xludf.DUMMYFUNCTION("""COMPUTED_VALUE"""),35000.0)</f>
        <v>35000</v>
      </c>
      <c r="Q1167" s="146" t="str">
        <f>IFERROR(__xludf.DUMMYFUNCTION("""COMPUTED_VALUE"""),"093 469 9298")</f>
        <v>093 469 9298</v>
      </c>
      <c r="R1167" s="147" t="str">
        <f>IFERROR(__xludf.DUMMYFUNCTION("""COMPUTED_VALUE"""),"1-6406-00235-11-7")</f>
        <v>1-6406-00235-11-7</v>
      </c>
      <c r="S1167" t="str">
        <f>IFERROR(__xludf.DUMMYFUNCTION("""COMPUTED_VALUE"""),"AC5491864")</f>
        <v>AC5491864</v>
      </c>
      <c r="T1167" s="148">
        <f>IFERROR(__xludf.DUMMYFUNCTION("""COMPUTED_VALUE"""),45154.0)</f>
        <v>45154</v>
      </c>
      <c r="U1167" s="148">
        <f>IFERROR(__xludf.DUMMYFUNCTION("""COMPUTED_VALUE"""),48806.0)</f>
        <v>48806</v>
      </c>
      <c r="V1167" s="149">
        <f>IFERROR(__xludf.DUMMYFUNCTION("""COMPUTED_VALUE"""),48625.0)</f>
        <v>48625</v>
      </c>
      <c r="W1167" t="str">
        <f>IFERROR(__xludf.DUMMYFUNCTION("""COMPUTED_VALUE"""),"ปลอดภัย")</f>
        <v>ปลอดภัย</v>
      </c>
      <c r="X1167" t="str">
        <f>IFERROR(__xludf.DUMMYFUNCTION("""COMPUTED_VALUE"""),"Sukhothai Province")</f>
        <v>Sukhothai Province</v>
      </c>
      <c r="Y1167" t="str">
        <f>IFERROR(__xludf.DUMMYFUNCTION("""COMPUTED_VALUE"""),"Bangkok")</f>
        <v>Bangkok</v>
      </c>
      <c r="Z1167" s="145" t="str">
        <f>IFERROR(__xludf.DUMMYFUNCTION("""COMPUTED_VALUE"""),"0895667365")</f>
        <v>0895667365</v>
      </c>
      <c r="AA1167" t="str">
        <f>IFERROR(__xludf.DUMMYFUNCTION("""COMPUTED_VALUE"""),"นางสาวนันทวรรณ์ ภู่พันธ์ Mother")</f>
        <v>นางสาวนันทวรรณ์ ภู่พันธ์ Mother</v>
      </c>
      <c r="AB1167" t="str">
        <f>IFERROR(__xludf.DUMMYFUNCTION("""COMPUTED_VALUE"""),"nirapornsoithong@airasia.com")</f>
        <v>nirapornsoithong@airasia.com</v>
      </c>
    </row>
    <row r="1168">
      <c r="A1168">
        <f>IFERROR(__xludf.DUMMYFUNCTION("""COMPUTED_VALUE"""),1040874.0)</f>
        <v>1040874</v>
      </c>
      <c r="B1168" t="str">
        <f>IFERROR(__xludf.DUMMYFUNCTION("""COMPUTED_VALUE"""),"Ms.")</f>
        <v>Ms.</v>
      </c>
      <c r="C1168" t="str">
        <f>IFERROR(__xludf.DUMMYFUNCTION("""COMPUTED_VALUE"""),"Pairwa")</f>
        <v>Pairwa</v>
      </c>
      <c r="D1168" t="str">
        <f>IFERROR(__xludf.DUMMYFUNCTION("""COMPUTED_VALUE"""),"Suwan")</f>
        <v>Suwan</v>
      </c>
      <c r="E1168" t="str">
        <f>IFERROR(__xludf.DUMMYFUNCTION("""COMPUTED_VALUE"""),"Pairwa Suwan")</f>
        <v>Pairwa Suwan</v>
      </c>
      <c r="F1168" t="str">
        <f>IFERROR(__xludf.DUMMYFUNCTION("""COMPUTED_VALUE"""),"นางสาว")</f>
        <v>นางสาว</v>
      </c>
      <c r="G1168" t="str">
        <f>IFERROR(__xludf.DUMMYFUNCTION("""COMPUTED_VALUE"""),"แพรวา")</f>
        <v>แพรวา</v>
      </c>
      <c r="H1168" t="str">
        <f>IFERROR(__xludf.DUMMYFUNCTION("""COMPUTED_VALUE"""),"สุวรรณ")</f>
        <v>สุวรรณ</v>
      </c>
      <c r="I1168" t="str">
        <f>IFERROR(__xludf.DUMMYFUNCTION("""COMPUTED_VALUE"""),"แพรวา สุวรรณ")</f>
        <v>แพรวา สุวรรณ</v>
      </c>
      <c r="J1168" t="str">
        <f>IFERROR(__xludf.DUMMYFUNCTION("""COMPUTED_VALUE"""),"Wa / วา")</f>
        <v>Wa / วา</v>
      </c>
      <c r="K1168" t="str">
        <f>IFERROR(__xludf.DUMMYFUNCTION("""COMPUTED_VALUE"""),"Cabin Crew")</f>
        <v>Cabin Crew</v>
      </c>
      <c r="L1168" t="str">
        <f>IFERROR(__xludf.DUMMYFUNCTION("""COMPUTED_VALUE"""),"DMK")</f>
        <v>DMK</v>
      </c>
      <c r="M1168" s="145" t="str">
        <f>IFERROR(__xludf.DUMMYFUNCTION("""COMPUTED_VALUE"""),"Toffy Home")</f>
        <v>Toffy Home</v>
      </c>
      <c r="N1168" t="str">
        <f>IFERROR(__xludf.DUMMYFUNCTION("""COMPUTED_VALUE"""),"Active")</f>
        <v>Active</v>
      </c>
      <c r="P1168" s="156">
        <f>IFERROR(__xludf.DUMMYFUNCTION("""COMPUTED_VALUE"""),35383.0)</f>
        <v>35383</v>
      </c>
      <c r="Q1168" s="146" t="str">
        <f>IFERROR(__xludf.DUMMYFUNCTION("""COMPUTED_VALUE"""),"080 592 1918")</f>
        <v>080 592 1918</v>
      </c>
      <c r="R1168" s="147" t="str">
        <f>IFERROR(__xludf.DUMMYFUNCTION("""COMPUTED_VALUE"""),"1-1030-00114-65-1")</f>
        <v>1-1030-00114-65-1</v>
      </c>
      <c r="S1168" t="str">
        <f>IFERROR(__xludf.DUMMYFUNCTION("""COMPUTED_VALUE"""),"AC2669626")</f>
        <v>AC2669626</v>
      </c>
      <c r="T1168" s="148">
        <f>IFERROR(__xludf.DUMMYFUNCTION("""COMPUTED_VALUE"""),44574.0)</f>
        <v>44574</v>
      </c>
      <c r="U1168" s="148">
        <f>IFERROR(__xludf.DUMMYFUNCTION("""COMPUTED_VALUE"""),48225.0)</f>
        <v>48225</v>
      </c>
      <c r="V1168" s="149">
        <f>IFERROR(__xludf.DUMMYFUNCTION("""COMPUTED_VALUE"""),48041.0)</f>
        <v>48041</v>
      </c>
      <c r="W1168" t="str">
        <f>IFERROR(__xludf.DUMMYFUNCTION("""COMPUTED_VALUE"""),"ปลอดภัย")</f>
        <v>ปลอดภัย</v>
      </c>
      <c r="X1168" t="str">
        <f>IFERROR(__xludf.DUMMYFUNCTION("""COMPUTED_VALUE"""),"Bangkok")</f>
        <v>Bangkok</v>
      </c>
      <c r="Y1168" t="str">
        <f>IFERROR(__xludf.DUMMYFUNCTION("""COMPUTED_VALUE"""),"Bangkok")</f>
        <v>Bangkok</v>
      </c>
      <c r="Z1168" s="145" t="str">
        <f>IFERROR(__xludf.DUMMYFUNCTION("""COMPUTED_VALUE"""),"086-781-0550")</f>
        <v>086-781-0550</v>
      </c>
      <c r="AA1168" t="str">
        <f>IFERROR(__xludf.DUMMYFUNCTION("""COMPUTED_VALUE"""),"นาง ทรรศพร สุวรรณ Mother")</f>
        <v>นาง ทรรศพร สุวรรณ Mother</v>
      </c>
      <c r="AB1168" t="str">
        <f>IFERROR(__xludf.DUMMYFUNCTION("""COMPUTED_VALUE"""),"pairwasuwan@airasia.com")</f>
        <v>pairwasuwan@airasia.com</v>
      </c>
    </row>
    <row r="1169">
      <c r="A1169">
        <f>IFERROR(__xludf.DUMMYFUNCTION("""COMPUTED_VALUE"""),1040875.0)</f>
        <v>1040875</v>
      </c>
      <c r="B1169" t="str">
        <f>IFERROR(__xludf.DUMMYFUNCTION("""COMPUTED_VALUE"""),"Ms.")</f>
        <v>Ms.</v>
      </c>
      <c r="C1169" t="str">
        <f>IFERROR(__xludf.DUMMYFUNCTION("""COMPUTED_VALUE"""),"Peerachaya")</f>
        <v>Peerachaya</v>
      </c>
      <c r="D1169" t="str">
        <f>IFERROR(__xludf.DUMMYFUNCTION("""COMPUTED_VALUE"""),"Wuttichonlapak")</f>
        <v>Wuttichonlapak</v>
      </c>
      <c r="E1169" t="str">
        <f>IFERROR(__xludf.DUMMYFUNCTION("""COMPUTED_VALUE"""),"Peerachaya Wuttichonlapak")</f>
        <v>Peerachaya Wuttichonlapak</v>
      </c>
      <c r="F1169" t="str">
        <f>IFERROR(__xludf.DUMMYFUNCTION("""COMPUTED_VALUE"""),"นางสาว")</f>
        <v>นางสาว</v>
      </c>
      <c r="G1169" t="str">
        <f>IFERROR(__xludf.DUMMYFUNCTION("""COMPUTED_VALUE"""),"พีรชญา")</f>
        <v>พีรชญา</v>
      </c>
      <c r="H1169" t="str">
        <f>IFERROR(__xludf.DUMMYFUNCTION("""COMPUTED_VALUE"""),"วุฒิชลภัค")</f>
        <v>วุฒิชลภัค</v>
      </c>
      <c r="I1169" t="str">
        <f>IFERROR(__xludf.DUMMYFUNCTION("""COMPUTED_VALUE"""),"พีรชญา วุฒิชลภัค")</f>
        <v>พีรชญา วุฒิชลภัค</v>
      </c>
      <c r="J1169" t="str">
        <f>IFERROR(__xludf.DUMMYFUNCTION("""COMPUTED_VALUE"""),"Por / ปอ")</f>
        <v>Por / ปอ</v>
      </c>
      <c r="K1169" t="str">
        <f>IFERROR(__xludf.DUMMYFUNCTION("""COMPUTED_VALUE"""),"Cabin Crew - CNX")</f>
        <v>Cabin Crew - CNX</v>
      </c>
      <c r="L1169" t="str">
        <f>IFERROR(__xludf.DUMMYFUNCTION("""COMPUTED_VALUE"""),"CNX")</f>
        <v>CNX</v>
      </c>
      <c r="M1169" s="145" t="str">
        <f>IFERROR(__xludf.DUMMYFUNCTION("""COMPUTED_VALUE"""),"Up Home")</f>
        <v>Up Home</v>
      </c>
      <c r="N1169" t="str">
        <f>IFERROR(__xludf.DUMMYFUNCTION("""COMPUTED_VALUE"""),"Active/V/DMK")</f>
        <v>Active/V/DMK</v>
      </c>
      <c r="P1169" s="156">
        <f>IFERROR(__xludf.DUMMYFUNCTION("""COMPUTED_VALUE"""),35771.0)</f>
        <v>35771</v>
      </c>
      <c r="Q1169" s="146" t="str">
        <f>IFERROR(__xludf.DUMMYFUNCTION("""COMPUTED_VALUE"""),"089 636 9189")</f>
        <v>089 636 9189</v>
      </c>
      <c r="R1169" s="147" t="str">
        <f>IFERROR(__xludf.DUMMYFUNCTION("""COMPUTED_VALUE"""),"1-5601-00436-751")</f>
        <v>1-5601-00436-751</v>
      </c>
      <c r="S1169" t="str">
        <f>IFERROR(__xludf.DUMMYFUNCTION("""COMPUTED_VALUE"""),"AC3864585")</f>
        <v>AC3864585</v>
      </c>
      <c r="T1169" s="148">
        <f>IFERROR(__xludf.DUMMYFUNCTION("""COMPUTED_VALUE"""),44791.0)</f>
        <v>44791</v>
      </c>
      <c r="U1169" s="148">
        <f>IFERROR(__xludf.DUMMYFUNCTION("""COMPUTED_VALUE"""),46616.0)</f>
        <v>46616</v>
      </c>
      <c r="V1169" s="149">
        <f>IFERROR(__xludf.DUMMYFUNCTION("""COMPUTED_VALUE"""),46435.0)</f>
        <v>46435</v>
      </c>
      <c r="W1169" t="str">
        <f>IFERROR(__xludf.DUMMYFUNCTION("""COMPUTED_VALUE"""),"ปลอดภัย")</f>
        <v>ปลอดภัย</v>
      </c>
      <c r="X1169" t="str">
        <f>IFERROR(__xludf.DUMMYFUNCTION("""COMPUTED_VALUE"""),"Phayao Province")</f>
        <v>Phayao Province</v>
      </c>
      <c r="Y1169" t="str">
        <f>IFERROR(__xludf.DUMMYFUNCTION("""COMPUTED_VALUE"""),"Bangkok")</f>
        <v>Bangkok</v>
      </c>
      <c r="Z1169" s="145" t="str">
        <f>IFERROR(__xludf.DUMMYFUNCTION("""COMPUTED_VALUE"""),"0882323978")</f>
        <v>0882323978</v>
      </c>
      <c r="AA1169" t="str">
        <f>IFERROR(__xludf.DUMMYFUNCTION("""COMPUTED_VALUE"""),"ธนาศิลป์ สุขสถิตย์ Friend")</f>
        <v>ธนาศิลป์ สุขสถิตย์ Friend</v>
      </c>
      <c r="AB1169" t="str">
        <f>IFERROR(__xludf.DUMMYFUNCTION("""COMPUTED_VALUE"""),"peerachayawuttichon@airasia.com")</f>
        <v>peerachayawuttichon@airasia.com</v>
      </c>
    </row>
    <row r="1170">
      <c r="A1170">
        <f>IFERROR(__xludf.DUMMYFUNCTION("""COMPUTED_VALUE"""),1040876.0)</f>
        <v>1040876</v>
      </c>
      <c r="B1170" t="str">
        <f>IFERROR(__xludf.DUMMYFUNCTION("""COMPUTED_VALUE"""),"Ms.")</f>
        <v>Ms.</v>
      </c>
      <c r="C1170" t="str">
        <f>IFERROR(__xludf.DUMMYFUNCTION("""COMPUTED_VALUE"""),"Piangruethai")</f>
        <v>Piangruethai</v>
      </c>
      <c r="D1170" t="str">
        <f>IFERROR(__xludf.DUMMYFUNCTION("""COMPUTED_VALUE"""),"Prathumchompoo")</f>
        <v>Prathumchompoo</v>
      </c>
      <c r="E1170" t="str">
        <f>IFERROR(__xludf.DUMMYFUNCTION("""COMPUTED_VALUE"""),"Piangruethai Prathumchompoo")</f>
        <v>Piangruethai Prathumchompoo</v>
      </c>
      <c r="F1170" t="str">
        <f>IFERROR(__xludf.DUMMYFUNCTION("""COMPUTED_VALUE"""),"นางสาว")</f>
        <v>นางสาว</v>
      </c>
      <c r="G1170" t="str">
        <f>IFERROR(__xludf.DUMMYFUNCTION("""COMPUTED_VALUE"""),"เพียงฤทัย")</f>
        <v>เพียงฤทัย</v>
      </c>
      <c r="H1170" t="str">
        <f>IFERROR(__xludf.DUMMYFUNCTION("""COMPUTED_VALUE"""),"ประทุมชมภู")</f>
        <v>ประทุมชมภู</v>
      </c>
      <c r="I1170" t="str">
        <f>IFERROR(__xludf.DUMMYFUNCTION("""COMPUTED_VALUE"""),"เพียงฤทัย ประทุมชมภู")</f>
        <v>เพียงฤทัย ประทุมชมภู</v>
      </c>
      <c r="J1170" t="str">
        <f>IFERROR(__xludf.DUMMYFUNCTION("""COMPUTED_VALUE"""),"อีฟ")</f>
        <v>อีฟ</v>
      </c>
      <c r="K1170" t="str">
        <f>IFERROR(__xludf.DUMMYFUNCTION("""COMPUTED_VALUE"""),"Cabin Crew")</f>
        <v>Cabin Crew</v>
      </c>
      <c r="L1170" t="str">
        <f>IFERROR(__xludf.DUMMYFUNCTION("""COMPUTED_VALUE"""),"DMK")</f>
        <v>DMK</v>
      </c>
      <c r="M1170" s="145" t="str">
        <f>IFERROR(__xludf.DUMMYFUNCTION("""COMPUTED_VALUE"""),"Por+ Home")</f>
        <v>Por+ Home</v>
      </c>
      <c r="N1170" t="str">
        <f>IFERROR(__xludf.DUMMYFUNCTION("""COMPUTED_VALUE"""),"Active")</f>
        <v>Active</v>
      </c>
      <c r="P1170" s="156">
        <f>IFERROR(__xludf.DUMMYFUNCTION("""COMPUTED_VALUE"""),36329.0)</f>
        <v>36329</v>
      </c>
      <c r="Q1170" s="146" t="str">
        <f>IFERROR(__xludf.DUMMYFUNCTION("""COMPUTED_VALUE"""),"087 976 2938")</f>
        <v>087 976 2938</v>
      </c>
      <c r="R1170" s="147" t="str">
        <f>IFERROR(__xludf.DUMMYFUNCTION("""COMPUTED_VALUE"""),"1-3499-00987-02-6")</f>
        <v>1-3499-00987-02-6</v>
      </c>
      <c r="S1170" t="str">
        <f>IFERROR(__xludf.DUMMYFUNCTION("""COMPUTED_VALUE"""),"AC2293522")</f>
        <v>AC2293522</v>
      </c>
      <c r="T1170" s="148">
        <f>IFERROR(__xludf.DUMMYFUNCTION("""COMPUTED_VALUE"""),44347.0)</f>
        <v>44347</v>
      </c>
      <c r="U1170" s="148">
        <f>IFERROR(__xludf.DUMMYFUNCTION("""COMPUTED_VALUE"""),47998.0)</f>
        <v>47998</v>
      </c>
      <c r="V1170" s="149">
        <f>IFERROR(__xludf.DUMMYFUNCTION("""COMPUTED_VALUE"""),47817.0)</f>
        <v>47817</v>
      </c>
      <c r="W1170" t="str">
        <f>IFERROR(__xludf.DUMMYFUNCTION("""COMPUTED_VALUE"""),"ปลอดภัย")</f>
        <v>ปลอดภัย</v>
      </c>
      <c r="X1170" t="str">
        <f>IFERROR(__xludf.DUMMYFUNCTION("""COMPUTED_VALUE"""),"Ubon Ratchathani Province")</f>
        <v>Ubon Ratchathani Province</v>
      </c>
      <c r="Y1170" t="str">
        <f>IFERROR(__xludf.DUMMYFUNCTION("""COMPUTED_VALUE"""),"Samut prakarn")</f>
        <v>Samut prakarn</v>
      </c>
      <c r="Z1170" s="145" t="str">
        <f>IFERROR(__xludf.DUMMYFUNCTION("""COMPUTED_VALUE"""),"0898176738")</f>
        <v>0898176738</v>
      </c>
      <c r="AA1170" t="str">
        <f>IFERROR(__xludf.DUMMYFUNCTION("""COMPUTED_VALUE"""),"นางพิศมัย ประทุมชมภู Mother")</f>
        <v>นางพิศมัย ประทุมชมภู Mother</v>
      </c>
      <c r="AB1170" t="str">
        <f>IFERROR(__xludf.DUMMYFUNCTION("""COMPUTED_VALUE"""),"piangruethaiprathum@airasia.com")</f>
        <v>piangruethaiprathum@airasia.com</v>
      </c>
    </row>
    <row r="1171">
      <c r="A1171">
        <f>IFERROR(__xludf.DUMMYFUNCTION("""COMPUTED_VALUE"""),1040877.0)</f>
        <v>1040877</v>
      </c>
      <c r="B1171" t="str">
        <f>IFERROR(__xludf.DUMMYFUNCTION("""COMPUTED_VALUE"""),"Ms.")</f>
        <v>Ms.</v>
      </c>
      <c r="C1171" t="str">
        <f>IFERROR(__xludf.DUMMYFUNCTION("""COMPUTED_VALUE"""),"Pitchayaporn")</f>
        <v>Pitchayaporn</v>
      </c>
      <c r="D1171" t="str">
        <f>IFERROR(__xludf.DUMMYFUNCTION("""COMPUTED_VALUE"""),"Uthaituraton")</f>
        <v>Uthaituraton</v>
      </c>
      <c r="E1171" t="str">
        <f>IFERROR(__xludf.DUMMYFUNCTION("""COMPUTED_VALUE"""),"Pitchayaporn Uthaituraton")</f>
        <v>Pitchayaporn Uthaituraton</v>
      </c>
      <c r="F1171" t="str">
        <f>IFERROR(__xludf.DUMMYFUNCTION("""COMPUTED_VALUE"""),"นางสาว")</f>
        <v>นางสาว</v>
      </c>
      <c r="G1171" t="str">
        <f>IFERROR(__xludf.DUMMYFUNCTION("""COMPUTED_VALUE"""),"พิชญาพร")</f>
        <v>พิชญาพร</v>
      </c>
      <c r="H1171" t="str">
        <f>IFERROR(__xludf.DUMMYFUNCTION("""COMPUTED_VALUE"""),"อุไทยธุราทร")</f>
        <v>อุไทยธุราทร</v>
      </c>
      <c r="I1171" t="str">
        <f>IFERROR(__xludf.DUMMYFUNCTION("""COMPUTED_VALUE"""),"พิชญาพร อุไทยธุราทร")</f>
        <v>พิชญาพร อุไทยธุราทร</v>
      </c>
      <c r="J1171" t="str">
        <f>IFERROR(__xludf.DUMMYFUNCTION("""COMPUTED_VALUE"""),"Lukkade / ลูกเกด")</f>
        <v>Lukkade / ลูกเกด</v>
      </c>
      <c r="K1171" t="str">
        <f>IFERROR(__xludf.DUMMYFUNCTION("""COMPUTED_VALUE"""),"Cabin Crew")</f>
        <v>Cabin Crew</v>
      </c>
      <c r="L1171" t="str">
        <f>IFERROR(__xludf.DUMMYFUNCTION("""COMPUTED_VALUE"""),"DMK")</f>
        <v>DMK</v>
      </c>
      <c r="M1171" s="145" t="str">
        <f>IFERROR(__xludf.DUMMYFUNCTION("""COMPUTED_VALUE"""),"Por+ Home")</f>
        <v>Por+ Home</v>
      </c>
      <c r="N1171" t="str">
        <f>IFERROR(__xludf.DUMMYFUNCTION("""COMPUTED_VALUE"""),"Active")</f>
        <v>Active</v>
      </c>
      <c r="P1171" s="156">
        <f>IFERROR(__xludf.DUMMYFUNCTION("""COMPUTED_VALUE"""),35544.0)</f>
        <v>35544</v>
      </c>
      <c r="Q1171" s="146" t="str">
        <f>IFERROR(__xludf.DUMMYFUNCTION("""COMPUTED_VALUE"""),"081 929 6328")</f>
        <v>081 929 6328</v>
      </c>
      <c r="R1171" s="147" t="str">
        <f>IFERROR(__xludf.DUMMYFUNCTION("""COMPUTED_VALUE"""),"1-1037-02311-61-8")</f>
        <v>1-1037-02311-61-8</v>
      </c>
      <c r="S1171" t="str">
        <f>IFERROR(__xludf.DUMMYFUNCTION("""COMPUTED_VALUE"""),"AD3553623")</f>
        <v>AD3553623</v>
      </c>
      <c r="T1171" s="148">
        <f>IFERROR(__xludf.DUMMYFUNCTION("""COMPUTED_VALUE"""),46108.0)</f>
        <v>46108</v>
      </c>
      <c r="U1171" s="148">
        <f>IFERROR(__xludf.DUMMYFUNCTION("""COMPUTED_VALUE"""),47933.0)</f>
        <v>47933</v>
      </c>
      <c r="V1171" s="149">
        <f>IFERROR(__xludf.DUMMYFUNCTION("""COMPUTED_VALUE"""),47752.0)</f>
        <v>47752</v>
      </c>
      <c r="W1171" t="str">
        <f>IFERROR(__xludf.DUMMYFUNCTION("""COMPUTED_VALUE"""),"ปลอดภัย")</f>
        <v>ปลอดภัย</v>
      </c>
      <c r="X1171" t="str">
        <f>IFERROR(__xludf.DUMMYFUNCTION("""COMPUTED_VALUE"""),"Bangkok")</f>
        <v>Bangkok</v>
      </c>
      <c r="Y1171" t="str">
        <f>IFERROR(__xludf.DUMMYFUNCTION("""COMPUTED_VALUE"""),"Bangkok")</f>
        <v>Bangkok</v>
      </c>
      <c r="Z1171" s="145" t="str">
        <f>IFERROR(__xludf.DUMMYFUNCTION("""COMPUTED_VALUE"""),"0813413525")</f>
        <v>0813413525</v>
      </c>
      <c r="AA1171" t="str">
        <f>IFERROR(__xludf.DUMMYFUNCTION("""COMPUTED_VALUE"""),"นายกษิเดช อุไทยธุราทร Father")</f>
        <v>นายกษิเดช อุไทยธุราทร Father</v>
      </c>
      <c r="AB1171" t="str">
        <f>IFERROR(__xludf.DUMMYFUNCTION("""COMPUTED_VALUE"""),"pitchayapornuthaitu@airasia.com")</f>
        <v>pitchayapornuthaitu@airasia.com</v>
      </c>
    </row>
    <row r="1172">
      <c r="A1172">
        <f>IFERROR(__xludf.DUMMYFUNCTION("""COMPUTED_VALUE"""),1040879.0)</f>
        <v>1040879</v>
      </c>
      <c r="B1172" t="str">
        <f>IFERROR(__xludf.DUMMYFUNCTION("""COMPUTED_VALUE"""),"Ms.")</f>
        <v>Ms.</v>
      </c>
      <c r="C1172" t="str">
        <f>IFERROR(__xludf.DUMMYFUNCTION("""COMPUTED_VALUE"""),"Sirikorn")</f>
        <v>Sirikorn</v>
      </c>
      <c r="D1172" t="str">
        <f>IFERROR(__xludf.DUMMYFUNCTION("""COMPUTED_VALUE"""),"Phuakbangna")</f>
        <v>Phuakbangna</v>
      </c>
      <c r="E1172" t="str">
        <f>IFERROR(__xludf.DUMMYFUNCTION("""COMPUTED_VALUE"""),"Sirikorn Phuakbangna")</f>
        <v>Sirikorn Phuakbangna</v>
      </c>
      <c r="F1172" t="str">
        <f>IFERROR(__xludf.DUMMYFUNCTION("""COMPUTED_VALUE"""),"นางสาว")</f>
        <v>นางสาว</v>
      </c>
      <c r="G1172" t="str">
        <f>IFERROR(__xludf.DUMMYFUNCTION("""COMPUTED_VALUE"""),"สิริกร")</f>
        <v>สิริกร</v>
      </c>
      <c r="H1172" t="str">
        <f>IFERROR(__xludf.DUMMYFUNCTION("""COMPUTED_VALUE"""),"เผือกบางนา")</f>
        <v>เผือกบางนา</v>
      </c>
      <c r="I1172" t="str">
        <f>IFERROR(__xludf.DUMMYFUNCTION("""COMPUTED_VALUE"""),"สิริกร เผือกบางนา")</f>
        <v>สิริกร เผือกบางนา</v>
      </c>
      <c r="J1172" t="str">
        <f>IFERROR(__xludf.DUMMYFUNCTION("""COMPUTED_VALUE"""),"Sea / ซี")</f>
        <v>Sea / ซี</v>
      </c>
      <c r="K1172" t="str">
        <f>IFERROR(__xludf.DUMMYFUNCTION("""COMPUTED_VALUE"""),"Cabin Crew")</f>
        <v>Cabin Crew</v>
      </c>
      <c r="L1172" t="str">
        <f>IFERROR(__xludf.DUMMYFUNCTION("""COMPUTED_VALUE"""),"DMK")</f>
        <v>DMK</v>
      </c>
      <c r="M1172" s="145" t="str">
        <f>IFERROR(__xludf.DUMMYFUNCTION("""COMPUTED_VALUE"""),"Por+ Home")</f>
        <v>Por+ Home</v>
      </c>
      <c r="N1172" t="str">
        <f>IFERROR(__xludf.DUMMYFUNCTION("""COMPUTED_VALUE"""),"Active")</f>
        <v>Active</v>
      </c>
      <c r="P1172" s="156">
        <f>IFERROR(__xludf.DUMMYFUNCTION("""COMPUTED_VALUE"""),36195.0)</f>
        <v>36195</v>
      </c>
      <c r="Q1172" s="146" t="str">
        <f>IFERROR(__xludf.DUMMYFUNCTION("""COMPUTED_VALUE"""),"094 554 2462")</f>
        <v>094 554 2462</v>
      </c>
      <c r="R1172" s="147" t="str">
        <f>IFERROR(__xludf.DUMMYFUNCTION("""COMPUTED_VALUE"""),"1-1042-00079-92-2")</f>
        <v>1-1042-00079-92-2</v>
      </c>
      <c r="S1172" t="str">
        <f>IFERROR(__xludf.DUMMYFUNCTION("""COMPUTED_VALUE"""),"AD0605255")</f>
        <v>AD0605255</v>
      </c>
      <c r="T1172" s="148">
        <f>IFERROR(__xludf.DUMMYFUNCTION("""COMPUTED_VALUE"""),44931.0)</f>
        <v>44931</v>
      </c>
      <c r="U1172" s="148">
        <f>IFERROR(__xludf.DUMMYFUNCTION("""COMPUTED_VALUE"""),48583.0)</f>
        <v>48583</v>
      </c>
      <c r="V1172" s="149">
        <f>IFERROR(__xludf.DUMMYFUNCTION("""COMPUTED_VALUE"""),48399.0)</f>
        <v>48399</v>
      </c>
      <c r="W1172" t="str">
        <f>IFERROR(__xludf.DUMMYFUNCTION("""COMPUTED_VALUE"""),"ปลอดภัย")</f>
        <v>ปลอดภัย</v>
      </c>
      <c r="X1172" t="str">
        <f>IFERROR(__xludf.DUMMYFUNCTION("""COMPUTED_VALUE"""),"Bangkok")</f>
        <v>Bangkok</v>
      </c>
      <c r="Y1172" t="str">
        <f>IFERROR(__xludf.DUMMYFUNCTION("""COMPUTED_VALUE"""),"Bangkok")</f>
        <v>Bangkok</v>
      </c>
      <c r="Z1172" s="145" t="str">
        <f>IFERROR(__xludf.DUMMYFUNCTION("""COMPUTED_VALUE"""),"0869972035")</f>
        <v>0869972035</v>
      </c>
      <c r="AA1172" t="str">
        <f>IFERROR(__xludf.DUMMYFUNCTION("""COMPUTED_VALUE"""),"นางกรรณิกา เผือกบางนา Mother")</f>
        <v>นางกรรณิกา เผือกบางนา Mother</v>
      </c>
      <c r="AB1172" t="str">
        <f>IFERROR(__xludf.DUMMYFUNCTION("""COMPUTED_VALUE"""),"sirikornphuakbangna@airasia.com")</f>
        <v>sirikornphuakbangna@airasia.com</v>
      </c>
    </row>
    <row r="1173">
      <c r="A1173">
        <f>IFERROR(__xludf.DUMMYFUNCTION("""COMPUTED_VALUE"""),1040911.0)</f>
        <v>1040911</v>
      </c>
      <c r="B1173" t="str">
        <f>IFERROR(__xludf.DUMMYFUNCTION("""COMPUTED_VALUE"""),"Ms.")</f>
        <v>Ms.</v>
      </c>
      <c r="C1173" t="str">
        <f>IFERROR(__xludf.DUMMYFUNCTION("""COMPUTED_VALUE"""),"Supanun")</f>
        <v>Supanun</v>
      </c>
      <c r="D1173" t="str">
        <f>IFERROR(__xludf.DUMMYFUNCTION("""COMPUTED_VALUE"""),"Suwanbongkot")</f>
        <v>Suwanbongkot</v>
      </c>
      <c r="E1173" t="str">
        <f>IFERROR(__xludf.DUMMYFUNCTION("""COMPUTED_VALUE"""),"Supanun Suwanbongkot")</f>
        <v>Supanun Suwanbongkot</v>
      </c>
      <c r="F1173" t="str">
        <f>IFERROR(__xludf.DUMMYFUNCTION("""COMPUTED_VALUE"""),"นางสาว")</f>
        <v>นางสาว</v>
      </c>
      <c r="G1173" t="str">
        <f>IFERROR(__xludf.DUMMYFUNCTION("""COMPUTED_VALUE"""),"ศุภานัน")</f>
        <v>ศุภานัน</v>
      </c>
      <c r="H1173" t="str">
        <f>IFERROR(__xludf.DUMMYFUNCTION("""COMPUTED_VALUE"""),"สุวรรณบงกช")</f>
        <v>สุวรรณบงกช</v>
      </c>
      <c r="I1173" t="str">
        <f>IFERROR(__xludf.DUMMYFUNCTION("""COMPUTED_VALUE"""),"ศุภานัน สุวรรณบงกช")</f>
        <v>ศุภานัน สุวรรณบงกช</v>
      </c>
      <c r="J1173" t="str">
        <f>IFERROR(__xludf.DUMMYFUNCTION("""COMPUTED_VALUE"""),"มิ้น")</f>
        <v>มิ้น</v>
      </c>
      <c r="K1173" t="str">
        <f>IFERROR(__xludf.DUMMYFUNCTION("""COMPUTED_VALUE"""),"Cabin Crew")</f>
        <v>Cabin Crew</v>
      </c>
      <c r="L1173" t="str">
        <f>IFERROR(__xludf.DUMMYFUNCTION("""COMPUTED_VALUE"""),"DMK")</f>
        <v>DMK</v>
      </c>
      <c r="M1173" s="145" t="str">
        <f>IFERROR(__xludf.DUMMYFUNCTION("""COMPUTED_VALUE"""),"Um Home")</f>
        <v>Um Home</v>
      </c>
      <c r="N1173" t="str">
        <f>IFERROR(__xludf.DUMMYFUNCTION("""COMPUTED_VALUE"""),"Active")</f>
        <v>Active</v>
      </c>
      <c r="P1173" s="156">
        <f>IFERROR(__xludf.DUMMYFUNCTION("""COMPUTED_VALUE"""),35371.0)</f>
        <v>35371</v>
      </c>
      <c r="Q1173" s="146" t="str">
        <f>IFERROR(__xludf.DUMMYFUNCTION("""COMPUTED_VALUE"""),"089 261 6075")</f>
        <v>089 261 6075</v>
      </c>
      <c r="R1173" s="147" t="str">
        <f>IFERROR(__xludf.DUMMYFUNCTION("""COMPUTED_VALUE"""),"1-5052-00020-75-5")</f>
        <v>1-5052-00020-75-5</v>
      </c>
      <c r="S1173" t="str">
        <f>IFERROR(__xludf.DUMMYFUNCTION("""COMPUTED_VALUE"""),"AD1833266")</f>
        <v>AD1833266</v>
      </c>
      <c r="T1173" s="148">
        <f>IFERROR(__xludf.DUMMYFUNCTION("""COMPUTED_VALUE"""),45467.0)</f>
        <v>45467</v>
      </c>
      <c r="U1173" s="148">
        <f>IFERROR(__xludf.DUMMYFUNCTION("""COMPUTED_VALUE"""),49118.0)</f>
        <v>49118</v>
      </c>
      <c r="V1173" s="149">
        <f>IFERROR(__xludf.DUMMYFUNCTION("""COMPUTED_VALUE"""),48936.0)</f>
        <v>48936</v>
      </c>
      <c r="W1173" t="str">
        <f>IFERROR(__xludf.DUMMYFUNCTION("""COMPUTED_VALUE"""),"ปลอดภัย")</f>
        <v>ปลอดภัย</v>
      </c>
      <c r="X1173" t="str">
        <f>IFERROR(__xludf.DUMMYFUNCTION("""COMPUTED_VALUE"""),"Chiang Mai Province")</f>
        <v>Chiang Mai Province</v>
      </c>
      <c r="Y1173" t="str">
        <f>IFERROR(__xludf.DUMMYFUNCTION("""COMPUTED_VALUE"""),"Bangkok")</f>
        <v>Bangkok</v>
      </c>
      <c r="Z1173" s="145" t="str">
        <f>IFERROR(__xludf.DUMMYFUNCTION("""COMPUTED_VALUE"""),"0892616075")</f>
        <v>0892616075</v>
      </c>
      <c r="AA1173" t="str">
        <f>IFERROR(__xludf.DUMMYFUNCTION("""COMPUTED_VALUE"""),"ประภาพร สุวรรณบงกช Mother")</f>
        <v>ประภาพร สุวรรณบงกช Mother</v>
      </c>
      <c r="AB1173" t="str">
        <f>IFERROR(__xludf.DUMMYFUNCTION("""COMPUTED_VALUE"""),"supanunsuwanbongkot@airasia.com")</f>
        <v>supanunsuwanbongkot@airasia.com</v>
      </c>
    </row>
    <row r="1174">
      <c r="A1174">
        <f>IFERROR(__xludf.DUMMYFUNCTION("""COMPUTED_VALUE"""),1040912.0)</f>
        <v>1040912</v>
      </c>
      <c r="B1174" t="str">
        <f>IFERROR(__xludf.DUMMYFUNCTION("""COMPUTED_VALUE"""),"Ms.")</f>
        <v>Ms.</v>
      </c>
      <c r="C1174" t="str">
        <f>IFERROR(__xludf.DUMMYFUNCTION("""COMPUTED_VALUE"""),"Wesudanatcha")</f>
        <v>Wesudanatcha</v>
      </c>
      <c r="D1174" t="str">
        <f>IFERROR(__xludf.DUMMYFUNCTION("""COMPUTED_VALUE"""),"Hengsuwan")</f>
        <v>Hengsuwan</v>
      </c>
      <c r="E1174" t="str">
        <f>IFERROR(__xludf.DUMMYFUNCTION("""COMPUTED_VALUE"""),"Wesudanatcha Hengsuwan")</f>
        <v>Wesudanatcha Hengsuwan</v>
      </c>
      <c r="F1174" t="str">
        <f>IFERROR(__xludf.DUMMYFUNCTION("""COMPUTED_VALUE"""),"นางสาว")</f>
        <v>นางสาว</v>
      </c>
      <c r="G1174" t="str">
        <f>IFERROR(__xludf.DUMMYFUNCTION("""COMPUTED_VALUE"""),"วีร์สุดานัชชา")</f>
        <v>วีร์สุดานัชชา</v>
      </c>
      <c r="H1174" t="str">
        <f>IFERROR(__xludf.DUMMYFUNCTION("""COMPUTED_VALUE"""),"เฮงสุวรรณ์")</f>
        <v>เฮงสุวรรณ์</v>
      </c>
      <c r="I1174" t="str">
        <f>IFERROR(__xludf.DUMMYFUNCTION("""COMPUTED_VALUE"""),"วีร์สุดานัชชา เฮงสุวรรณ์")</f>
        <v>วีร์สุดานัชชา เฮงสุวรรณ์</v>
      </c>
      <c r="J1174" t="str">
        <f>IFERROR(__xludf.DUMMYFUNCTION("""COMPUTED_VALUE"""),"Paytong / เปตอง")</f>
        <v>Paytong / เปตอง</v>
      </c>
      <c r="K1174" t="str">
        <f>IFERROR(__xludf.DUMMYFUNCTION("""COMPUTED_VALUE"""),"Cabin Crew")</f>
        <v>Cabin Crew</v>
      </c>
      <c r="L1174" t="str">
        <f>IFERROR(__xludf.DUMMYFUNCTION("""COMPUTED_VALUE"""),"DMK")</f>
        <v>DMK</v>
      </c>
      <c r="M1174" s="145" t="str">
        <f>IFERROR(__xludf.DUMMYFUNCTION("""COMPUTED_VALUE"""),"Toffy Home")</f>
        <v>Toffy Home</v>
      </c>
      <c r="N1174" t="str">
        <f>IFERROR(__xludf.DUMMYFUNCTION("""COMPUTED_VALUE"""),"Active")</f>
        <v>Active</v>
      </c>
      <c r="P1174" s="156">
        <f>IFERROR(__xludf.DUMMYFUNCTION("""COMPUTED_VALUE"""),34062.0)</f>
        <v>34062</v>
      </c>
      <c r="Q1174" s="146" t="str">
        <f>IFERROR(__xludf.DUMMYFUNCTION("""COMPUTED_VALUE"""),"081 358 7942")</f>
        <v>081 358 7942</v>
      </c>
      <c r="R1174" s="147" t="str">
        <f>IFERROR(__xludf.DUMMYFUNCTION("""COMPUTED_VALUE"""),"1-1002-00821-33-1")</f>
        <v>1-1002-00821-33-1</v>
      </c>
      <c r="S1174" t="str">
        <f>IFERROR(__xludf.DUMMYFUNCTION("""COMPUTED_VALUE"""),"AD0436359")</f>
        <v>AD0436359</v>
      </c>
      <c r="T1174" s="148">
        <f>IFERROR(__xludf.DUMMYFUNCTION("""COMPUTED_VALUE"""),44902.0)</f>
        <v>44902</v>
      </c>
      <c r="U1174" s="148">
        <f>IFERROR(__xludf.DUMMYFUNCTION("""COMPUTED_VALUE"""),48554.0)</f>
        <v>48554</v>
      </c>
      <c r="V1174" s="149">
        <f>IFERROR(__xludf.DUMMYFUNCTION("""COMPUTED_VALUE"""),48371.0)</f>
        <v>48371</v>
      </c>
      <c r="W1174" t="str">
        <f>IFERROR(__xludf.DUMMYFUNCTION("""COMPUTED_VALUE"""),"ปลอดภัย")</f>
        <v>ปลอดภัย</v>
      </c>
      <c r="X1174" t="str">
        <f>IFERROR(__xludf.DUMMYFUNCTION("""COMPUTED_VALUE"""),"Bangkok")</f>
        <v>Bangkok</v>
      </c>
      <c r="Y1174" t="str">
        <f>IFERROR(__xludf.DUMMYFUNCTION("""COMPUTED_VALUE"""),"Bangkok")</f>
        <v>Bangkok</v>
      </c>
      <c r="Z1174" s="145" t="str">
        <f>IFERROR(__xludf.DUMMYFUNCTION("""COMPUTED_VALUE"""),"065-989-9789")</f>
        <v>065-989-9789</v>
      </c>
      <c r="AA1174" t="str">
        <f>IFERROR(__xludf.DUMMYFUNCTION("""COMPUTED_VALUE"""),"พ.ต.อ. ประเสริฐสุข เฮงสุวรรณ์ Father")</f>
        <v>พ.ต.อ. ประเสริฐสุข เฮงสุวรรณ์ Father</v>
      </c>
      <c r="AB1174" t="str">
        <f>IFERROR(__xludf.DUMMYFUNCTION("""COMPUTED_VALUE"""),"wesudanatchahengsuw@airasia.com")</f>
        <v>wesudanatchahengsuw@airasia.com</v>
      </c>
    </row>
    <row r="1175">
      <c r="AB1175" t="str">
        <f>IFERROR(__xludf.DUMMYFUNCTION("""COMPUTED_VALUE"""),"")</f>
        <v/>
      </c>
    </row>
    <row r="1176">
      <c r="A1176">
        <f>IFERROR(__xludf.DUMMYFUNCTION("""COMPUTED_VALUE"""),1010830.0)</f>
        <v>1010830</v>
      </c>
      <c r="B1176" t="str">
        <f>IFERROR(__xludf.DUMMYFUNCTION("""COMPUTED_VALUE"""),"Mrs.")</f>
        <v>Mrs.</v>
      </c>
      <c r="C1176" t="str">
        <f>IFERROR(__xludf.DUMMYFUNCTION("""COMPUTED_VALUE"""),"Maylada")</f>
        <v>Maylada</v>
      </c>
      <c r="D1176" t="str">
        <f>IFERROR(__xludf.DUMMYFUNCTION("""COMPUTED_VALUE"""),"Srithai")</f>
        <v>Srithai</v>
      </c>
      <c r="E1176" t="str">
        <f>IFERROR(__xludf.DUMMYFUNCTION("""COMPUTED_VALUE"""),"Maylada Srithai")</f>
        <v>Maylada Srithai</v>
      </c>
      <c r="F1176" t="str">
        <f>IFERROR(__xludf.DUMMYFUNCTION("""COMPUTED_VALUE"""),"นาง")</f>
        <v>นาง</v>
      </c>
      <c r="G1176" t="str">
        <f>IFERROR(__xludf.DUMMYFUNCTION("""COMPUTED_VALUE"""),"เมลดา")</f>
        <v>เมลดา</v>
      </c>
      <c r="H1176" t="str">
        <f>IFERROR(__xludf.DUMMYFUNCTION("""COMPUTED_VALUE"""),"ศรีไทย")</f>
        <v>ศรีไทย</v>
      </c>
      <c r="I1176" t="str">
        <f>IFERROR(__xludf.DUMMYFUNCTION("""COMPUTED_VALUE"""),"เมลดา ศรีไทย")</f>
        <v>เมลดา ศรีไทย</v>
      </c>
      <c r="J1176" t="str">
        <f>IFERROR(__xludf.DUMMYFUNCTION("""COMPUTED_VALUE"""),"เม")</f>
        <v>เม</v>
      </c>
      <c r="K1176" t="str">
        <f>IFERROR(__xludf.DUMMYFUNCTION("""COMPUTED_VALUE"""),"Cabin Crew")</f>
        <v>Cabin Crew</v>
      </c>
      <c r="L1176" t="str">
        <f>IFERROR(__xludf.DUMMYFUNCTION("""COMPUTED_VALUE"""),"DMK")</f>
        <v>DMK</v>
      </c>
      <c r="M1176" s="145" t="str">
        <f>IFERROR(__xludf.DUMMYFUNCTION("""COMPUTED_VALUE"""),"Por+ Home")</f>
        <v>Por+ Home</v>
      </c>
      <c r="N1176" t="str">
        <f>IFERROR(__xludf.DUMMYFUNCTION("""COMPUTED_VALUE"""),"Active")</f>
        <v>Active</v>
      </c>
      <c r="P1176" s="156">
        <f>IFERROR(__xludf.DUMMYFUNCTION("""COMPUTED_VALUE"""),31726.0)</f>
        <v>31726</v>
      </c>
      <c r="Q1176" s="146">
        <f>IFERROR(__xludf.DUMMYFUNCTION("""COMPUTED_VALUE"""),9.36245429E8)</f>
        <v>936245429</v>
      </c>
      <c r="R1176" s="147" t="str">
        <f>IFERROR(__xludf.DUMMYFUNCTION("""COMPUTED_VALUE"""),"1-9098-99008-10-9")</f>
        <v>1-9098-99008-10-9</v>
      </c>
      <c r="S1176" t="str">
        <f>IFERROR(__xludf.DUMMYFUNCTION("""COMPUTED_VALUE"""),"AC5551044")</f>
        <v>AC5551044</v>
      </c>
      <c r="T1176" s="148">
        <f>IFERROR(__xludf.DUMMYFUNCTION("""COMPUTED_VALUE"""),45163.0)</f>
        <v>45163</v>
      </c>
      <c r="U1176" s="148">
        <f>IFERROR(__xludf.DUMMYFUNCTION("""COMPUTED_VALUE"""),48815.0)</f>
        <v>48815</v>
      </c>
      <c r="V1176" s="149">
        <f>IFERROR(__xludf.DUMMYFUNCTION("""COMPUTED_VALUE"""),48634.0)</f>
        <v>48634</v>
      </c>
      <c r="W1176" t="str">
        <f>IFERROR(__xludf.DUMMYFUNCTION("""COMPUTED_VALUE"""),"ปลอดภัย")</f>
        <v>ปลอดภัย</v>
      </c>
      <c r="X1176" t="str">
        <f>IFERROR(__xludf.DUMMYFUNCTION("""COMPUTED_VALUE"""),"Songkhla Province")</f>
        <v>Songkhla Province</v>
      </c>
      <c r="Y1176" t="str">
        <f>IFERROR(__xludf.DUMMYFUNCTION("""COMPUTED_VALUE"""),"Bangkok")</f>
        <v>Bangkok</v>
      </c>
      <c r="Z1176" s="145" t="str">
        <f>IFERROR(__xludf.DUMMYFUNCTION("""COMPUTED_VALUE"""),"0936245429")</f>
        <v>0936245429</v>
      </c>
      <c r="AA1176" t="str">
        <f>IFERROR(__xludf.DUMMYFUNCTION("""COMPUTED_VALUE"""),"นายนพคุณ ศรีไทย Husband")</f>
        <v>นายนพคุณ ศรีไทย Husband</v>
      </c>
      <c r="AB1176" t="str">
        <f>IFERROR(__xludf.DUMMYFUNCTION("""COMPUTED_VALUE"""),"mayladasri@airasia.com")</f>
        <v>mayladasri@airasia.com</v>
      </c>
    </row>
    <row r="1177">
      <c r="A1177">
        <f>IFERROR(__xludf.DUMMYFUNCTION("""COMPUTED_VALUE"""),1026025.0)</f>
        <v>1026025</v>
      </c>
      <c r="B1177" t="str">
        <f>IFERROR(__xludf.DUMMYFUNCTION("""COMPUTED_VALUE"""),"Ms.")</f>
        <v>Ms.</v>
      </c>
      <c r="C1177" t="str">
        <f>IFERROR(__xludf.DUMMYFUNCTION("""COMPUTED_VALUE"""),"Marisa")</f>
        <v>Marisa</v>
      </c>
      <c r="D1177" t="str">
        <f>IFERROR(__xludf.DUMMYFUNCTION("""COMPUTED_VALUE"""),"Homderm")</f>
        <v>Homderm</v>
      </c>
      <c r="E1177" t="str">
        <f>IFERROR(__xludf.DUMMYFUNCTION("""COMPUTED_VALUE"""),"Marisa Homderm")</f>
        <v>Marisa Homderm</v>
      </c>
      <c r="F1177" t="str">
        <f>IFERROR(__xludf.DUMMYFUNCTION("""COMPUTED_VALUE"""),"นางสาว")</f>
        <v>นางสาว</v>
      </c>
      <c r="G1177" t="str">
        <f>IFERROR(__xludf.DUMMYFUNCTION("""COMPUTED_VALUE"""),"มาริสา")</f>
        <v>มาริสา</v>
      </c>
      <c r="H1177" t="str">
        <f>IFERROR(__xludf.DUMMYFUNCTION("""COMPUTED_VALUE"""),"หอมเดิม")</f>
        <v>หอมเดิม</v>
      </c>
      <c r="I1177" t="str">
        <f>IFERROR(__xludf.DUMMYFUNCTION("""COMPUTED_VALUE"""),"มาริสา หอมเดิม")</f>
        <v>มาริสา หอมเดิม</v>
      </c>
      <c r="J1177" t="str">
        <f>IFERROR(__xludf.DUMMYFUNCTION("""COMPUTED_VALUE"""),"สา")</f>
        <v>สา</v>
      </c>
      <c r="K1177" t="str">
        <f>IFERROR(__xludf.DUMMYFUNCTION("""COMPUTED_VALUE"""),"Cabin Crew")</f>
        <v>Cabin Crew</v>
      </c>
      <c r="L1177" t="str">
        <f>IFERROR(__xludf.DUMMYFUNCTION("""COMPUTED_VALUE"""),"DMK")</f>
        <v>DMK</v>
      </c>
      <c r="M1177" s="145" t="str">
        <f>IFERROR(__xludf.DUMMYFUNCTION("""COMPUTED_VALUE"""),"Toffy Home")</f>
        <v>Toffy Home</v>
      </c>
      <c r="N1177" t="str">
        <f>IFERROR(__xludf.DUMMYFUNCTION("""COMPUTED_VALUE"""),"Active")</f>
        <v>Active</v>
      </c>
      <c r="P1177" s="156">
        <f>IFERROR(__xludf.DUMMYFUNCTION("""COMPUTED_VALUE"""),35105.0)</f>
        <v>35105</v>
      </c>
      <c r="Q1177" s="146">
        <f>IFERROR(__xludf.DUMMYFUNCTION("""COMPUTED_VALUE"""),9.4649777E8)</f>
        <v>946497770</v>
      </c>
      <c r="R1177" s="147">
        <f>IFERROR(__xludf.DUMMYFUNCTION("""COMPUTED_VALUE"""),1.549900434661E12)</f>
        <v>1549900434661</v>
      </c>
      <c r="S1177" t="str">
        <f>IFERROR(__xludf.DUMMYFUNCTION("""COMPUTED_VALUE"""),"AC4686837")</f>
        <v>AC4686837</v>
      </c>
      <c r="T1177" s="148">
        <f>IFERROR(__xludf.DUMMYFUNCTION("""COMPUTED_VALUE"""),45004.0)</f>
        <v>45004</v>
      </c>
      <c r="U1177" s="148">
        <f>IFERROR(__xludf.DUMMYFUNCTION("""COMPUTED_VALUE"""),48656.0)</f>
        <v>48656</v>
      </c>
      <c r="V1177" s="149">
        <f>IFERROR(__xludf.DUMMYFUNCTION("""COMPUTED_VALUE"""),48475.0)</f>
        <v>48475</v>
      </c>
      <c r="W1177" t="str">
        <f>IFERROR(__xludf.DUMMYFUNCTION("""COMPUTED_VALUE"""),"ปลอดภัย")</f>
        <v>ปลอดภัย</v>
      </c>
      <c r="X1177" t="str">
        <f>IFERROR(__xludf.DUMMYFUNCTION("""COMPUTED_VALUE"""),"Phrae Province")</f>
        <v>Phrae Province</v>
      </c>
      <c r="Y1177" t="str">
        <f>IFERROR(__xludf.DUMMYFUNCTION("""COMPUTED_VALUE"""),"Pathum Thani")</f>
        <v>Pathum Thani</v>
      </c>
      <c r="Z1177" s="145">
        <f>IFERROR(__xludf.DUMMYFUNCTION("""COMPUTED_VALUE"""),8.19218277E8)</f>
        <v>819218277</v>
      </c>
      <c r="AA1177" t="str">
        <f>IFERROR(__xludf.DUMMYFUNCTION("""COMPUTED_VALUE"""),"นายจิระเกียรติ อภิชาตสุภาพขจร Friend")</f>
        <v>นายจิระเกียรติ อภิชาตสุภาพขจร Friend</v>
      </c>
      <c r="AB1177" t="str">
        <f>IFERROR(__xludf.DUMMYFUNCTION("""COMPUTED_VALUE"""),"marisahom@airasia.com")</f>
        <v>marisahom@airasia.com</v>
      </c>
    </row>
    <row r="1178">
      <c r="A1178">
        <f>IFERROR(__xludf.DUMMYFUNCTION("""COMPUTED_VALUE"""),1043860.0)</f>
        <v>1043860</v>
      </c>
      <c r="B1178" t="str">
        <f>IFERROR(__xludf.DUMMYFUNCTION("""COMPUTED_VALUE"""),"Ms.")</f>
        <v>Ms.</v>
      </c>
      <c r="C1178" t="str">
        <f>IFERROR(__xludf.DUMMYFUNCTION("""COMPUTED_VALUE"""),"Sunantarak")</f>
        <v>Sunantarak</v>
      </c>
      <c r="D1178" t="str">
        <f>IFERROR(__xludf.DUMMYFUNCTION("""COMPUTED_VALUE"""),"Borwornnantadej")</f>
        <v>Borwornnantadej</v>
      </c>
      <c r="E1178" t="str">
        <f>IFERROR(__xludf.DUMMYFUNCTION("""COMPUTED_VALUE"""),"Sunantarak Borwornnantadej")</f>
        <v>Sunantarak Borwornnantadej</v>
      </c>
      <c r="F1178" t="str">
        <f>IFERROR(__xludf.DUMMYFUNCTION("""COMPUTED_VALUE"""),"นางสาว")</f>
        <v>นางสาว</v>
      </c>
      <c r="G1178" t="str">
        <f>IFERROR(__xludf.DUMMYFUNCTION("""COMPUTED_VALUE"""),"สุนันทรักษ์")</f>
        <v>สุนันทรักษ์</v>
      </c>
      <c r="H1178" t="str">
        <f>IFERROR(__xludf.DUMMYFUNCTION("""COMPUTED_VALUE"""),"บวรนันทเดช")</f>
        <v>บวรนันทเดช</v>
      </c>
      <c r="I1178" t="str">
        <f>IFERROR(__xludf.DUMMYFUNCTION("""COMPUTED_VALUE"""),"สุนันทรักษ์ บวรนันทเดช")</f>
        <v>สุนันทรักษ์ บวรนันทเดช</v>
      </c>
      <c r="J1178" t="str">
        <f>IFERROR(__xludf.DUMMYFUNCTION("""COMPUTED_VALUE"""),"แนน")</f>
        <v>แนน</v>
      </c>
      <c r="K1178" t="str">
        <f>IFERROR(__xludf.DUMMYFUNCTION("""COMPUTED_VALUE"""),"Cabin Crew")</f>
        <v>Cabin Crew</v>
      </c>
      <c r="L1178" t="str">
        <f>IFERROR(__xludf.DUMMYFUNCTION("""COMPUTED_VALUE"""),"DMK")</f>
        <v>DMK</v>
      </c>
      <c r="M1178" s="145" t="str">
        <f>IFERROR(__xludf.DUMMYFUNCTION("""COMPUTED_VALUE"""),"Por+ Home")</f>
        <v>Por+ Home</v>
      </c>
      <c r="N1178" t="str">
        <f>IFERROR(__xludf.DUMMYFUNCTION("""COMPUTED_VALUE"""),"Active")</f>
        <v>Active</v>
      </c>
      <c r="P1178" s="156">
        <f>IFERROR(__xludf.DUMMYFUNCTION("""COMPUTED_VALUE"""),34986.0)</f>
        <v>34986</v>
      </c>
      <c r="Q1178" s="146">
        <f>IFERROR(__xludf.DUMMYFUNCTION("""COMPUTED_VALUE"""),8.02414778E8)</f>
        <v>802414778</v>
      </c>
      <c r="R1178" s="147">
        <f>IFERROR(__xludf.DUMMYFUNCTION("""COMPUTED_VALUE"""),1.100600317983E12)</f>
        <v>1100600317983</v>
      </c>
      <c r="S1178" t="str">
        <f>IFERROR(__xludf.DUMMYFUNCTION("""COMPUTED_VALUE"""),"AC2940916")</f>
        <v>AC2940916</v>
      </c>
      <c r="T1178" s="148">
        <f>IFERROR(__xludf.DUMMYFUNCTION("""COMPUTED_VALUE"""),44631.0)</f>
        <v>44631</v>
      </c>
      <c r="U1178" s="148">
        <f>IFERROR(__xludf.DUMMYFUNCTION("""COMPUTED_VALUE"""),48283.0)</f>
        <v>48283</v>
      </c>
      <c r="V1178" s="149">
        <f>IFERROR(__xludf.DUMMYFUNCTION("""COMPUTED_VALUE"""),48101.0)</f>
        <v>48101</v>
      </c>
      <c r="W1178" t="str">
        <f>IFERROR(__xludf.DUMMYFUNCTION("""COMPUTED_VALUE"""),"ปลอดภัย")</f>
        <v>ปลอดภัย</v>
      </c>
      <c r="X1178" t="str">
        <f>IFERROR(__xludf.DUMMYFUNCTION("""COMPUTED_VALUE"""),"Bangkok")</f>
        <v>Bangkok</v>
      </c>
      <c r="Y1178" t="str">
        <f>IFERROR(__xludf.DUMMYFUNCTION("""COMPUTED_VALUE"""),"Bangkok")</f>
        <v>Bangkok</v>
      </c>
      <c r="Z1178" s="145" t="str">
        <f>IFERROR(__xludf.DUMMYFUNCTION("""COMPUTED_VALUE"""),"099-437-8431")</f>
        <v>099-437-8431</v>
      </c>
      <c r="AA1178" t="str">
        <f>IFERROR(__xludf.DUMMYFUNCTION("""COMPUTED_VALUE"""),"นางรัศมี บวรนันทเดช Mother")</f>
        <v>นางรัศมี บวรนันทเดช Mother</v>
      </c>
      <c r="AB1178" t="str">
        <f>IFERROR(__xludf.DUMMYFUNCTION("""COMPUTED_VALUE"""),"sunantarakbor@airasia.com")</f>
        <v>sunantarakbor@airasia.com</v>
      </c>
    </row>
    <row r="1179">
      <c r="A1179">
        <f>IFERROR(__xludf.DUMMYFUNCTION("""COMPUTED_VALUE"""),1043861.0)</f>
        <v>1043861</v>
      </c>
      <c r="B1179" t="str">
        <f>IFERROR(__xludf.DUMMYFUNCTION("""COMPUTED_VALUE"""),"Mr.")</f>
        <v>Mr.</v>
      </c>
      <c r="C1179" t="str">
        <f>IFERROR(__xludf.DUMMYFUNCTION("""COMPUTED_VALUE"""),"Chonkaseam")</f>
        <v>Chonkaseam</v>
      </c>
      <c r="D1179" t="str">
        <f>IFERROR(__xludf.DUMMYFUNCTION("""COMPUTED_VALUE"""),"Borisuth")</f>
        <v>Borisuth</v>
      </c>
      <c r="E1179" t="str">
        <f>IFERROR(__xludf.DUMMYFUNCTION("""COMPUTED_VALUE"""),"Chonkaseam Borisuth")</f>
        <v>Chonkaseam Borisuth</v>
      </c>
      <c r="F1179" t="str">
        <f>IFERROR(__xludf.DUMMYFUNCTION("""COMPUTED_VALUE"""),"นาย")</f>
        <v>นาย</v>
      </c>
      <c r="G1179" t="str">
        <f>IFERROR(__xludf.DUMMYFUNCTION("""COMPUTED_VALUE"""),"ชนม์เกษม")</f>
        <v>ชนม์เกษม</v>
      </c>
      <c r="H1179" t="str">
        <f>IFERROR(__xludf.DUMMYFUNCTION("""COMPUTED_VALUE"""),"บริสุทธิ์")</f>
        <v>บริสุทธิ์</v>
      </c>
      <c r="I1179" t="str">
        <f>IFERROR(__xludf.DUMMYFUNCTION("""COMPUTED_VALUE"""),"ชนม์เกษม บริสุทธิ์")</f>
        <v>ชนม์เกษม บริสุทธิ์</v>
      </c>
      <c r="J1179" t="str">
        <f>IFERROR(__xludf.DUMMYFUNCTION("""COMPUTED_VALUE"""),"Milo / ไมโล")</f>
        <v>Milo / ไมโล</v>
      </c>
      <c r="K1179" t="str">
        <f>IFERROR(__xludf.DUMMYFUNCTION("""COMPUTED_VALUE"""),"Cabin Crew")</f>
        <v>Cabin Crew</v>
      </c>
      <c r="L1179" t="str">
        <f>IFERROR(__xludf.DUMMYFUNCTION("""COMPUTED_VALUE"""),"DMK")</f>
        <v>DMK</v>
      </c>
      <c r="M1179" s="145" t="str">
        <f>IFERROR(__xludf.DUMMYFUNCTION("""COMPUTED_VALUE"""),"Namfon Home")</f>
        <v>Namfon Home</v>
      </c>
      <c r="N1179" t="str">
        <f>IFERROR(__xludf.DUMMYFUNCTION("""COMPUTED_VALUE"""),"Active")</f>
        <v>Active</v>
      </c>
      <c r="P1179" s="156">
        <f>IFERROR(__xludf.DUMMYFUNCTION("""COMPUTED_VALUE"""),36063.0)</f>
        <v>36063</v>
      </c>
      <c r="Q1179" s="146" t="str">
        <f>IFERROR(__xludf.DUMMYFUNCTION("""COMPUTED_VALUE"""),"087-894-4463")</f>
        <v>087-894-4463</v>
      </c>
      <c r="R1179" s="147">
        <f>IFERROR(__xludf.DUMMYFUNCTION("""COMPUTED_VALUE"""),1.801300258951E12)</f>
        <v>1801300258951</v>
      </c>
      <c r="S1179" t="str">
        <f>IFERROR(__xludf.DUMMYFUNCTION("""COMPUTED_VALUE"""),"AD1051221")</f>
        <v>AD1051221</v>
      </c>
      <c r="T1179" s="148">
        <f>IFERROR(__xludf.DUMMYFUNCTION("""COMPUTED_VALUE"""),45055.0)</f>
        <v>45055</v>
      </c>
      <c r="U1179" s="148">
        <f>IFERROR(__xludf.DUMMYFUNCTION("""COMPUTED_VALUE"""),48707.0)</f>
        <v>48707</v>
      </c>
      <c r="V1179" s="149">
        <f>IFERROR(__xludf.DUMMYFUNCTION("""COMPUTED_VALUE"""),48526.0)</f>
        <v>48526</v>
      </c>
      <c r="W1179" t="str">
        <f>IFERROR(__xludf.DUMMYFUNCTION("""COMPUTED_VALUE"""),"ปลอดภัย")</f>
        <v>ปลอดภัย</v>
      </c>
      <c r="X1179" t="str">
        <f>IFERROR(__xludf.DUMMYFUNCTION("""COMPUTED_VALUE"""),"Nakhon Si Thammarat Province")</f>
        <v>Nakhon Si Thammarat Province</v>
      </c>
      <c r="Y1179" t="str">
        <f>IFERROR(__xludf.DUMMYFUNCTION("""COMPUTED_VALUE"""),"Pathum Thani")</f>
        <v>Pathum Thani</v>
      </c>
      <c r="Z1179" s="145" t="str">
        <f>IFERROR(__xludf.DUMMYFUNCTION("""COMPUTED_VALUE"""),"065-942-8981")</f>
        <v>065-942-8981</v>
      </c>
      <c r="AA1179" t="str">
        <f>IFERROR(__xludf.DUMMYFUNCTION("""COMPUTED_VALUE"""),"นางสาวณริดา บริสุทธิ์ Mother")</f>
        <v>นางสาวณริดา บริสุทธิ์ Mother</v>
      </c>
      <c r="AB1179" t="str">
        <f>IFERROR(__xludf.DUMMYFUNCTION("""COMPUTED_VALUE"""),"chonkaseambor@airasia.com")</f>
        <v>chonkaseambor@airasia.com</v>
      </c>
    </row>
    <row r="1180">
      <c r="A1180">
        <f>IFERROR(__xludf.DUMMYFUNCTION("""COMPUTED_VALUE"""),1043862.0)</f>
        <v>1043862</v>
      </c>
      <c r="B1180" t="str">
        <f>IFERROR(__xludf.DUMMYFUNCTION("""COMPUTED_VALUE"""),"Ms.")</f>
        <v>Ms.</v>
      </c>
      <c r="C1180" t="str">
        <f>IFERROR(__xludf.DUMMYFUNCTION("""COMPUTED_VALUE"""),"Pansita")</f>
        <v>Pansita</v>
      </c>
      <c r="D1180" t="str">
        <f>IFERROR(__xludf.DUMMYFUNCTION("""COMPUTED_VALUE"""),"Jansavang")</f>
        <v>Jansavang</v>
      </c>
      <c r="E1180" t="str">
        <f>IFERROR(__xludf.DUMMYFUNCTION("""COMPUTED_VALUE"""),"Pansita Jansavang")</f>
        <v>Pansita Jansavang</v>
      </c>
      <c r="F1180" t="str">
        <f>IFERROR(__xludf.DUMMYFUNCTION("""COMPUTED_VALUE"""),"นางสาว")</f>
        <v>นางสาว</v>
      </c>
      <c r="G1180" t="str">
        <f>IFERROR(__xludf.DUMMYFUNCTION("""COMPUTED_VALUE"""),"ภัณศิตา")</f>
        <v>ภัณศิตา</v>
      </c>
      <c r="H1180" t="str">
        <f>IFERROR(__xludf.DUMMYFUNCTION("""COMPUTED_VALUE"""),"จันท์สว่าง")</f>
        <v>จันท์สว่าง</v>
      </c>
      <c r="I1180" t="str">
        <f>IFERROR(__xludf.DUMMYFUNCTION("""COMPUTED_VALUE"""),"ภัณศิตา จันท์สว่าง")</f>
        <v>ภัณศิตา จันท์สว่าง</v>
      </c>
      <c r="J1180" t="str">
        <f>IFERROR(__xludf.DUMMYFUNCTION("""COMPUTED_VALUE"""),"Nan / แนน")</f>
        <v>Nan / แนน</v>
      </c>
      <c r="K1180" t="str">
        <f>IFERROR(__xludf.DUMMYFUNCTION("""COMPUTED_VALUE"""),"Cabin Crew")</f>
        <v>Cabin Crew</v>
      </c>
      <c r="L1180" t="str">
        <f>IFERROR(__xludf.DUMMYFUNCTION("""COMPUTED_VALUE"""),"DMK")</f>
        <v>DMK</v>
      </c>
      <c r="M1180" s="145" t="str">
        <f>IFERROR(__xludf.DUMMYFUNCTION("""COMPUTED_VALUE"""),"Toffy Home")</f>
        <v>Toffy Home</v>
      </c>
      <c r="N1180" t="str">
        <f>IFERROR(__xludf.DUMMYFUNCTION("""COMPUTED_VALUE"""),"Active")</f>
        <v>Active</v>
      </c>
      <c r="O1180" t="str">
        <f>IFERROR(__xludf.DUMMYFUNCTION("""COMPUTED_VALUE"""),"Japanese Speaking")</f>
        <v>Japanese Speaking</v>
      </c>
      <c r="P1180" s="156">
        <f>IFERROR(__xludf.DUMMYFUNCTION("""COMPUTED_VALUE"""),36462.0)</f>
        <v>36462</v>
      </c>
      <c r="Q1180" s="146" t="str">
        <f>IFERROR(__xludf.DUMMYFUNCTION("""COMPUTED_VALUE"""),"085-871-2791")</f>
        <v>085-871-2791</v>
      </c>
      <c r="R1180" s="147">
        <f>IFERROR(__xludf.DUMMYFUNCTION("""COMPUTED_VALUE"""),1.129700189209E12)</f>
        <v>1129700189209</v>
      </c>
      <c r="S1180" t="str">
        <f>IFERROR(__xludf.DUMMYFUNCTION("""COMPUTED_VALUE"""),"AC2789891")</f>
        <v>AC2789891</v>
      </c>
      <c r="T1180" s="148">
        <f>IFERROR(__xludf.DUMMYFUNCTION("""COMPUTED_VALUE"""),44503.0)</f>
        <v>44503</v>
      </c>
      <c r="U1180" s="148">
        <f>IFERROR(__xludf.DUMMYFUNCTION("""COMPUTED_VALUE"""),48154.0)</f>
        <v>48154</v>
      </c>
      <c r="V1180" s="149">
        <f>IFERROR(__xludf.DUMMYFUNCTION("""COMPUTED_VALUE"""),47970.0)</f>
        <v>47970</v>
      </c>
      <c r="W1180" t="str">
        <f>IFERROR(__xludf.DUMMYFUNCTION("""COMPUTED_VALUE"""),"ปลอดภัย")</f>
        <v>ปลอดภัย</v>
      </c>
      <c r="X1180" t="str">
        <f>IFERROR(__xludf.DUMMYFUNCTION("""COMPUTED_VALUE"""),"Nonthaburi Province")</f>
        <v>Nonthaburi Province</v>
      </c>
      <c r="Y1180" t="str">
        <f>IFERROR(__xludf.DUMMYFUNCTION("""COMPUTED_VALUE"""),"Bangkok")</f>
        <v>Bangkok</v>
      </c>
      <c r="Z1180" s="145" t="str">
        <f>IFERROR(__xludf.DUMMYFUNCTION("""COMPUTED_VALUE"""),"095-282-8095")</f>
        <v>095-282-8095</v>
      </c>
      <c r="AA1180" t="str">
        <f>IFERROR(__xludf.DUMMYFUNCTION("""COMPUTED_VALUE"""),"นายจิตติ จันท์สว่าง Father")</f>
        <v>นายจิตติ จันท์สว่าง Father</v>
      </c>
      <c r="AB1180" t="str">
        <f>IFERROR(__xludf.DUMMYFUNCTION("""COMPUTED_VALUE"""),"pansitajan@airasia.com")</f>
        <v>pansitajan@airasia.com</v>
      </c>
    </row>
    <row r="1181">
      <c r="A1181">
        <f>IFERROR(__xludf.DUMMYFUNCTION("""COMPUTED_VALUE"""),1043863.0)</f>
        <v>1043863</v>
      </c>
      <c r="B1181" t="str">
        <f>IFERROR(__xludf.DUMMYFUNCTION("""COMPUTED_VALUE"""),"Ms.")</f>
        <v>Ms.</v>
      </c>
      <c r="C1181" t="str">
        <f>IFERROR(__xludf.DUMMYFUNCTION("""COMPUTED_VALUE"""),"Paritchamon")</f>
        <v>Paritchamon</v>
      </c>
      <c r="D1181" t="str">
        <f>IFERROR(__xludf.DUMMYFUNCTION("""COMPUTED_VALUE"""),"Seomphong")</f>
        <v>Seomphong</v>
      </c>
      <c r="E1181" t="str">
        <f>IFERROR(__xludf.DUMMYFUNCTION("""COMPUTED_VALUE"""),"Paritchamon Seomphong")</f>
        <v>Paritchamon Seomphong</v>
      </c>
      <c r="F1181" t="str">
        <f>IFERROR(__xludf.DUMMYFUNCTION("""COMPUTED_VALUE"""),"นางสาว")</f>
        <v>นางสาว</v>
      </c>
      <c r="G1181" t="str">
        <f>IFERROR(__xludf.DUMMYFUNCTION("""COMPUTED_VALUE"""),"ปริชมน")</f>
        <v>ปริชมน</v>
      </c>
      <c r="H1181" t="str">
        <f>IFERROR(__xludf.DUMMYFUNCTION("""COMPUTED_VALUE"""),"เสริมพงศ์")</f>
        <v>เสริมพงศ์</v>
      </c>
      <c r="I1181" t="str">
        <f>IFERROR(__xludf.DUMMYFUNCTION("""COMPUTED_VALUE"""),"ปริชมน เสริมพงศ์")</f>
        <v>ปริชมน เสริมพงศ์</v>
      </c>
      <c r="J1181" t="str">
        <f>IFERROR(__xludf.DUMMYFUNCTION("""COMPUTED_VALUE"""),"เล็ก")</f>
        <v>เล็ก</v>
      </c>
      <c r="K1181" t="str">
        <f>IFERROR(__xludf.DUMMYFUNCTION("""COMPUTED_VALUE"""),"Cabin Crew")</f>
        <v>Cabin Crew</v>
      </c>
      <c r="L1181" t="str">
        <f>IFERROR(__xludf.DUMMYFUNCTION("""COMPUTED_VALUE"""),"DMK")</f>
        <v>DMK</v>
      </c>
      <c r="M1181" s="145" t="str">
        <f>IFERROR(__xludf.DUMMYFUNCTION("""COMPUTED_VALUE"""),"Namfon Home")</f>
        <v>Namfon Home</v>
      </c>
      <c r="N1181" t="str">
        <f>IFERROR(__xludf.DUMMYFUNCTION("""COMPUTED_VALUE"""),"Active")</f>
        <v>Active</v>
      </c>
      <c r="O1181" t="str">
        <f>IFERROR(__xludf.DUMMYFUNCTION("""COMPUTED_VALUE"""),"Japanese Speaking")</f>
        <v>Japanese Speaking</v>
      </c>
      <c r="P1181" s="156">
        <f>IFERROR(__xludf.DUMMYFUNCTION("""COMPUTED_VALUE"""),35877.0)</f>
        <v>35877</v>
      </c>
      <c r="Q1181" s="146">
        <f>IFERROR(__xludf.DUMMYFUNCTION("""COMPUTED_VALUE"""),6.23896003E8)</f>
        <v>623896003</v>
      </c>
      <c r="R1181" s="147">
        <f>IFERROR(__xludf.DUMMYFUNCTION("""COMPUTED_VALUE"""),1.409901685553E12)</f>
        <v>1409901685553</v>
      </c>
      <c r="S1181" t="str">
        <f>IFERROR(__xludf.DUMMYFUNCTION("""COMPUTED_VALUE"""),"AD0809035")</f>
        <v>AD0809035</v>
      </c>
      <c r="T1181" s="148">
        <f>IFERROR(__xludf.DUMMYFUNCTION("""COMPUTED_VALUE"""),44970.0)</f>
        <v>44970</v>
      </c>
      <c r="U1181" s="148">
        <f>IFERROR(__xludf.DUMMYFUNCTION("""COMPUTED_VALUE"""),48622.0)</f>
        <v>48622</v>
      </c>
      <c r="V1181" s="149">
        <f>IFERROR(__xludf.DUMMYFUNCTION("""COMPUTED_VALUE"""),48438.0)</f>
        <v>48438</v>
      </c>
      <c r="W1181" t="str">
        <f>IFERROR(__xludf.DUMMYFUNCTION("""COMPUTED_VALUE"""),"ปลอดภัย")</f>
        <v>ปลอดภัย</v>
      </c>
      <c r="X1181" t="str">
        <f>IFERROR(__xludf.DUMMYFUNCTION("""COMPUTED_VALUE"""),"Khon Kaen Province")</f>
        <v>Khon Kaen Province</v>
      </c>
      <c r="Y1181" t="str">
        <f>IFERROR(__xludf.DUMMYFUNCTION("""COMPUTED_VALUE"""),"Samut Prakan")</f>
        <v>Samut Prakan</v>
      </c>
      <c r="Z1181" s="145" t="str">
        <f>IFERROR(__xludf.DUMMYFUNCTION("""COMPUTED_VALUE"""),"0819714479")</f>
        <v>0819714479</v>
      </c>
      <c r="AA1181" t="str">
        <f>IFERROR(__xludf.DUMMYFUNCTION("""COMPUTED_VALUE"""),"นายธนิตนนท์ แก้วสง่า Friend")</f>
        <v>นายธนิตนนท์ แก้วสง่า Friend</v>
      </c>
      <c r="AB1181" t="str">
        <f>IFERROR(__xludf.DUMMYFUNCTION("""COMPUTED_VALUE"""),"paritchamonseo@airasia.com")</f>
        <v>paritchamonseo@airasia.com</v>
      </c>
    </row>
    <row r="1182">
      <c r="A1182">
        <f>IFERROR(__xludf.DUMMYFUNCTION("""COMPUTED_VALUE"""),1043864.0)</f>
        <v>1043864</v>
      </c>
      <c r="B1182" t="str">
        <f>IFERROR(__xludf.DUMMYFUNCTION("""COMPUTED_VALUE"""),"Ms.")</f>
        <v>Ms.</v>
      </c>
      <c r="C1182" t="str">
        <f>IFERROR(__xludf.DUMMYFUNCTION("""COMPUTED_VALUE"""),"Natnaree")</f>
        <v>Natnaree</v>
      </c>
      <c r="D1182" t="str">
        <f>IFERROR(__xludf.DUMMYFUNCTION("""COMPUTED_VALUE"""),"Phithakphakorn")</f>
        <v>Phithakphakorn</v>
      </c>
      <c r="E1182" t="str">
        <f>IFERROR(__xludf.DUMMYFUNCTION("""COMPUTED_VALUE"""),"Natnaree Phithakphakorn")</f>
        <v>Natnaree Phithakphakorn</v>
      </c>
      <c r="F1182" t="str">
        <f>IFERROR(__xludf.DUMMYFUNCTION("""COMPUTED_VALUE"""),"นางสาว")</f>
        <v>นางสาว</v>
      </c>
      <c r="G1182" t="str">
        <f>IFERROR(__xludf.DUMMYFUNCTION("""COMPUTED_VALUE"""),"ณัฐนรี")</f>
        <v>ณัฐนรี</v>
      </c>
      <c r="H1182" t="str">
        <f>IFERROR(__xludf.DUMMYFUNCTION("""COMPUTED_VALUE"""),"พิทักษ์ภากร")</f>
        <v>พิทักษ์ภากร</v>
      </c>
      <c r="I1182" t="str">
        <f>IFERROR(__xludf.DUMMYFUNCTION("""COMPUTED_VALUE"""),"ณัฐนรี พิทักษ์ภากร")</f>
        <v>ณัฐนรี พิทักษ์ภากร</v>
      </c>
      <c r="J1182" t="str">
        <f>IFERROR(__xludf.DUMMYFUNCTION("""COMPUTED_VALUE"""),"Nokyung / นกยูง")</f>
        <v>Nokyung / นกยูง</v>
      </c>
      <c r="K1182" t="str">
        <f>IFERROR(__xludf.DUMMYFUNCTION("""COMPUTED_VALUE"""),"Cabin Crew")</f>
        <v>Cabin Crew</v>
      </c>
      <c r="L1182" t="str">
        <f>IFERROR(__xludf.DUMMYFUNCTION("""COMPUTED_VALUE"""),"DMK")</f>
        <v>DMK</v>
      </c>
      <c r="M1182" s="145" t="str">
        <f>IFERROR(__xludf.DUMMYFUNCTION("""COMPUTED_VALUE"""),"Por+ Home")</f>
        <v>Por+ Home</v>
      </c>
      <c r="N1182" t="str">
        <f>IFERROR(__xludf.DUMMYFUNCTION("""COMPUTED_VALUE"""),"Active")</f>
        <v>Active</v>
      </c>
      <c r="P1182" s="156">
        <f>IFERROR(__xludf.DUMMYFUNCTION("""COMPUTED_VALUE"""),36033.0)</f>
        <v>36033</v>
      </c>
      <c r="Q1182" s="146" t="str">
        <f>IFERROR(__xludf.DUMMYFUNCTION("""COMPUTED_VALUE"""),"090-991-4561")</f>
        <v>090-991-4561</v>
      </c>
      <c r="R1182" s="147">
        <f>IFERROR(__xludf.DUMMYFUNCTION("""COMPUTED_VALUE"""),1.709901224791E12)</f>
        <v>1709901224791</v>
      </c>
      <c r="S1182" t="str">
        <f>IFERROR(__xludf.DUMMYFUNCTION("""COMPUTED_VALUE"""),"AC2962282")</f>
        <v>AC2962282</v>
      </c>
      <c r="T1182" s="148">
        <f>IFERROR(__xludf.DUMMYFUNCTION("""COMPUTED_VALUE"""),44642.0)</f>
        <v>44642</v>
      </c>
      <c r="U1182" s="148">
        <f>IFERROR(__xludf.DUMMYFUNCTION("""COMPUTED_VALUE"""),48294.0)</f>
        <v>48294</v>
      </c>
      <c r="V1182" s="149">
        <f>IFERROR(__xludf.DUMMYFUNCTION("""COMPUTED_VALUE"""),48112.0)</f>
        <v>48112</v>
      </c>
      <c r="W1182" t="str">
        <f>IFERROR(__xludf.DUMMYFUNCTION("""COMPUTED_VALUE"""),"ปลอดภัย")</f>
        <v>ปลอดภัย</v>
      </c>
      <c r="X1182" t="str">
        <f>IFERROR(__xludf.DUMMYFUNCTION("""COMPUTED_VALUE"""),"Ratchaburi Province")</f>
        <v>Ratchaburi Province</v>
      </c>
      <c r="Y1182" t="str">
        <f>IFERROR(__xludf.DUMMYFUNCTION("""COMPUTED_VALUE"""),"Bangkok")</f>
        <v>Bangkok</v>
      </c>
      <c r="Z1182" s="145" t="str">
        <f>IFERROR(__xludf.DUMMYFUNCTION("""COMPUTED_VALUE"""),"0984919789")</f>
        <v>0984919789</v>
      </c>
      <c r="AA1182" t="str">
        <f>IFERROR(__xludf.DUMMYFUNCTION("""COMPUTED_VALUE"""),"นางบุศรา พิทักษ์ภากร Mother")</f>
        <v>นางบุศรา พิทักษ์ภากร Mother</v>
      </c>
      <c r="AB1182" t="str">
        <f>IFERROR(__xludf.DUMMYFUNCTION("""COMPUTED_VALUE"""),"natnareephi@airasia.com")</f>
        <v>natnareephi@airasia.com</v>
      </c>
    </row>
    <row r="1183">
      <c r="A1183">
        <f>IFERROR(__xludf.DUMMYFUNCTION("""COMPUTED_VALUE"""),1043865.0)</f>
        <v>1043865</v>
      </c>
      <c r="B1183" t="str">
        <f>IFERROR(__xludf.DUMMYFUNCTION("""COMPUTED_VALUE"""),"Ms.")</f>
        <v>Ms.</v>
      </c>
      <c r="C1183" t="str">
        <f>IFERROR(__xludf.DUMMYFUNCTION("""COMPUTED_VALUE"""),"Wiphada")</f>
        <v>Wiphada</v>
      </c>
      <c r="D1183" t="str">
        <f>IFERROR(__xludf.DUMMYFUNCTION("""COMPUTED_VALUE"""),"Kumraksa")</f>
        <v>Kumraksa</v>
      </c>
      <c r="E1183" t="str">
        <f>IFERROR(__xludf.DUMMYFUNCTION("""COMPUTED_VALUE"""),"Wiphada Kumraksa")</f>
        <v>Wiphada Kumraksa</v>
      </c>
      <c r="F1183" t="str">
        <f>IFERROR(__xludf.DUMMYFUNCTION("""COMPUTED_VALUE"""),"นางสาว")</f>
        <v>นางสาว</v>
      </c>
      <c r="G1183" t="str">
        <f>IFERROR(__xludf.DUMMYFUNCTION("""COMPUTED_VALUE"""),"วิภาดา ")</f>
        <v>วิภาดา </v>
      </c>
      <c r="H1183" t="str">
        <f>IFERROR(__xludf.DUMMYFUNCTION("""COMPUTED_VALUE"""),"คุ้มรักษา")</f>
        <v>คุ้มรักษา</v>
      </c>
      <c r="I1183" t="str">
        <f>IFERROR(__xludf.DUMMYFUNCTION("""COMPUTED_VALUE"""),"วิภาดา คุ้มรักษา")</f>
        <v>วิภาดา คุ้มรักษา</v>
      </c>
      <c r="J1183" t="str">
        <f>IFERROR(__xludf.DUMMYFUNCTION("""COMPUTED_VALUE"""),"Aom/อ้อม")</f>
        <v>Aom/อ้อม</v>
      </c>
      <c r="K1183" t="str">
        <f>IFERROR(__xludf.DUMMYFUNCTION("""COMPUTED_VALUE"""),"Cabin Crew")</f>
        <v>Cabin Crew</v>
      </c>
      <c r="L1183" t="str">
        <f>IFERROR(__xludf.DUMMYFUNCTION("""COMPUTED_VALUE"""),"DMK")</f>
        <v>DMK</v>
      </c>
      <c r="M1183" s="145" t="str">
        <f>IFERROR(__xludf.DUMMYFUNCTION("""COMPUTED_VALUE"""),"Por+ Home")</f>
        <v>Por+ Home</v>
      </c>
      <c r="N1183" t="str">
        <f>IFERROR(__xludf.DUMMYFUNCTION("""COMPUTED_VALUE"""),"Active")</f>
        <v>Active</v>
      </c>
      <c r="P1183" s="156">
        <f>IFERROR(__xludf.DUMMYFUNCTION("""COMPUTED_VALUE"""),33807.0)</f>
        <v>33807</v>
      </c>
      <c r="Q1183" s="146" t="str">
        <f>IFERROR(__xludf.DUMMYFUNCTION("""COMPUTED_VALUE"""),"095-595-6924")</f>
        <v>095-595-6924</v>
      </c>
      <c r="R1183" s="147">
        <f>IFERROR(__xludf.DUMMYFUNCTION("""COMPUTED_VALUE"""),1.102001762876E12)</f>
        <v>1102001762876</v>
      </c>
      <c r="S1183" t="str">
        <f>IFERROR(__xludf.DUMMYFUNCTION("""COMPUTED_VALUE"""),"AC4813823")</f>
        <v>AC4813823</v>
      </c>
      <c r="T1183" s="148">
        <f>IFERROR(__xludf.DUMMYFUNCTION("""COMPUTED_VALUE"""),45015.0)</f>
        <v>45015</v>
      </c>
      <c r="U1183" s="148">
        <f>IFERROR(__xludf.DUMMYFUNCTION("""COMPUTED_VALUE"""),48667.0)</f>
        <v>48667</v>
      </c>
      <c r="V1183" s="149">
        <f>IFERROR(__xludf.DUMMYFUNCTION("""COMPUTED_VALUE"""),48486.0)</f>
        <v>48486</v>
      </c>
      <c r="W1183" t="str">
        <f>IFERROR(__xludf.DUMMYFUNCTION("""COMPUTED_VALUE"""),"ปลอดภัย")</f>
        <v>ปลอดภัย</v>
      </c>
      <c r="X1183" t="str">
        <f>IFERROR(__xludf.DUMMYFUNCTION("""COMPUTED_VALUE"""),"Bangkok")</f>
        <v>Bangkok</v>
      </c>
      <c r="Y1183" t="str">
        <f>IFERROR(__xludf.DUMMYFUNCTION("""COMPUTED_VALUE"""),"Nonthaburi")</f>
        <v>Nonthaburi</v>
      </c>
      <c r="Z1183" s="145" t="str">
        <f>IFERROR(__xludf.DUMMYFUNCTION("""COMPUTED_VALUE"""),"095-969-9459")</f>
        <v>095-969-9459</v>
      </c>
      <c r="AA1183" t="str">
        <f>IFERROR(__xludf.DUMMYFUNCTION("""COMPUTED_VALUE"""),"ลภัสรดา คุ้มรักษา Mother")</f>
        <v>ลภัสรดา คุ้มรักษา Mother</v>
      </c>
      <c r="AB1183" t="str">
        <f>IFERROR(__xludf.DUMMYFUNCTION("""COMPUTED_VALUE"""),"wiphadakum@airasia.com")</f>
        <v>wiphadakum@airasia.com</v>
      </c>
    </row>
    <row r="1184">
      <c r="A1184">
        <f>IFERROR(__xludf.DUMMYFUNCTION("""COMPUTED_VALUE"""),1043866.0)</f>
        <v>1043866</v>
      </c>
      <c r="B1184" t="str">
        <f>IFERROR(__xludf.DUMMYFUNCTION("""COMPUTED_VALUE"""),"Ms.")</f>
        <v>Ms.</v>
      </c>
      <c r="C1184" t="str">
        <f>IFERROR(__xludf.DUMMYFUNCTION("""COMPUTED_VALUE"""),"Jiranan")</f>
        <v>Jiranan</v>
      </c>
      <c r="D1184" t="str">
        <f>IFERROR(__xludf.DUMMYFUNCTION("""COMPUTED_VALUE"""),"Lanjakornhielan")</f>
        <v>Lanjakornhielan</v>
      </c>
      <c r="E1184" t="str">
        <f>IFERROR(__xludf.DUMMYFUNCTION("""COMPUTED_VALUE"""),"Jiranan Lanjakornhielan")</f>
        <v>Jiranan Lanjakornhielan</v>
      </c>
      <c r="F1184" t="str">
        <f>IFERROR(__xludf.DUMMYFUNCTION("""COMPUTED_VALUE"""),"นางสาว")</f>
        <v>นางสาว</v>
      </c>
      <c r="G1184" t="str">
        <f>IFERROR(__xludf.DUMMYFUNCTION("""COMPUTED_VALUE"""),"จิรนันท์")</f>
        <v>จิรนันท์</v>
      </c>
      <c r="H1184" t="str">
        <f>IFERROR(__xludf.DUMMYFUNCTION("""COMPUTED_VALUE"""),"ลัญจกรหิรัญ")</f>
        <v>ลัญจกรหิรัญ</v>
      </c>
      <c r="I1184" t="str">
        <f>IFERROR(__xludf.DUMMYFUNCTION("""COMPUTED_VALUE"""),"จิรนันท์ ลัญจกรหิรัญ")</f>
        <v>จิรนันท์ ลัญจกรหิรัญ</v>
      </c>
      <c r="J1184" t="str">
        <f>IFERROR(__xludf.DUMMYFUNCTION("""COMPUTED_VALUE"""),"Py / พี")</f>
        <v>Py / พี</v>
      </c>
      <c r="K1184" t="str">
        <f>IFERROR(__xludf.DUMMYFUNCTION("""COMPUTED_VALUE"""),"Cabin Crew")</f>
        <v>Cabin Crew</v>
      </c>
      <c r="L1184" t="str">
        <f>IFERROR(__xludf.DUMMYFUNCTION("""COMPUTED_VALUE"""),"DMK")</f>
        <v>DMK</v>
      </c>
      <c r="M1184" s="145" t="str">
        <f>IFERROR(__xludf.DUMMYFUNCTION("""COMPUTED_VALUE"""),"Um Home")</f>
        <v>Um Home</v>
      </c>
      <c r="N1184" t="str">
        <f>IFERROR(__xludf.DUMMYFUNCTION("""COMPUTED_VALUE"""),"Active")</f>
        <v>Active</v>
      </c>
      <c r="O1184" t="str">
        <f>IFERROR(__xludf.DUMMYFUNCTION("""COMPUTED_VALUE"""),"Japanese Speaking")</f>
        <v>Japanese Speaking</v>
      </c>
      <c r="P1184" s="156">
        <f>IFERROR(__xludf.DUMMYFUNCTION("""COMPUTED_VALUE"""),33672.0)</f>
        <v>33672</v>
      </c>
      <c r="Q1184" s="146">
        <f>IFERROR(__xludf.DUMMYFUNCTION("""COMPUTED_VALUE"""),9.69358107E8)</f>
        <v>969358107</v>
      </c>
      <c r="R1184" s="147">
        <f>IFERROR(__xludf.DUMMYFUNCTION("""COMPUTED_VALUE"""),1.102001691812E12)</f>
        <v>1102001691812</v>
      </c>
      <c r="S1184" t="str">
        <f>IFERROR(__xludf.DUMMYFUNCTION("""COMPUTED_VALUE"""),"AC3929197")</f>
        <v>AC3929197</v>
      </c>
      <c r="T1184" s="148">
        <f>IFERROR(__xludf.DUMMYFUNCTION("""COMPUTED_VALUE"""),44802.0)</f>
        <v>44802</v>
      </c>
      <c r="U1184" s="148">
        <f>IFERROR(__xludf.DUMMYFUNCTION("""COMPUTED_VALUE"""),48454.0)</f>
        <v>48454</v>
      </c>
      <c r="V1184" s="149">
        <f>IFERROR(__xludf.DUMMYFUNCTION("""COMPUTED_VALUE"""),48272.0)</f>
        <v>48272</v>
      </c>
      <c r="W1184" t="str">
        <f>IFERROR(__xludf.DUMMYFUNCTION("""COMPUTED_VALUE"""),"ปลอดภัย")</f>
        <v>ปลอดภัย</v>
      </c>
      <c r="X1184" t="str">
        <f>IFERROR(__xludf.DUMMYFUNCTION("""COMPUTED_VALUE"""),"Bangkok")</f>
        <v>Bangkok</v>
      </c>
      <c r="Y1184" t="str">
        <f>IFERROR(__xludf.DUMMYFUNCTION("""COMPUTED_VALUE"""),"Bangkok")</f>
        <v>Bangkok</v>
      </c>
      <c r="Z1184" s="145" t="str">
        <f>IFERROR(__xludf.DUMMYFUNCTION("""COMPUTED_VALUE"""),"0855452951")</f>
        <v>0855452951</v>
      </c>
      <c r="AA1184" t="str">
        <f>IFERROR(__xludf.DUMMYFUNCTION("""COMPUTED_VALUE"""),"นายดำรงฤทธิ์ ลัญจกรหิรัญ Brother")</f>
        <v>นายดำรงฤทธิ์ ลัญจกรหิรัญ Brother</v>
      </c>
      <c r="AB1184" t="str">
        <f>IFERROR(__xludf.DUMMYFUNCTION("""COMPUTED_VALUE"""),"jirananlan@airasia.com")</f>
        <v>jirananlan@airasia.com</v>
      </c>
    </row>
    <row r="1185">
      <c r="A1185">
        <f>IFERROR(__xludf.DUMMYFUNCTION("""COMPUTED_VALUE"""),1043867.0)</f>
        <v>1043867</v>
      </c>
      <c r="B1185" t="str">
        <f>IFERROR(__xludf.DUMMYFUNCTION("""COMPUTED_VALUE"""),"Ms.")</f>
        <v>Ms.</v>
      </c>
      <c r="C1185" t="str">
        <f>IFERROR(__xludf.DUMMYFUNCTION("""COMPUTED_VALUE"""),"Petcharat")</f>
        <v>Petcharat</v>
      </c>
      <c r="D1185" t="str">
        <f>IFERROR(__xludf.DUMMYFUNCTION("""COMPUTED_VALUE"""),"Jitnarong")</f>
        <v>Jitnarong</v>
      </c>
      <c r="E1185" t="str">
        <f>IFERROR(__xludf.DUMMYFUNCTION("""COMPUTED_VALUE"""),"Petcharat Jitnarong")</f>
        <v>Petcharat Jitnarong</v>
      </c>
      <c r="F1185" t="str">
        <f>IFERROR(__xludf.DUMMYFUNCTION("""COMPUTED_VALUE"""),"นางสาว")</f>
        <v>นางสาว</v>
      </c>
      <c r="G1185" t="str">
        <f>IFERROR(__xludf.DUMMYFUNCTION("""COMPUTED_VALUE"""),"เพชรรัตน์")</f>
        <v>เพชรรัตน์</v>
      </c>
      <c r="H1185" t="str">
        <f>IFERROR(__xludf.DUMMYFUNCTION("""COMPUTED_VALUE"""),"จิตณรงค์")</f>
        <v>จิตณรงค์</v>
      </c>
      <c r="I1185" t="str">
        <f>IFERROR(__xludf.DUMMYFUNCTION("""COMPUTED_VALUE"""),"เพชรรัตน์ จิตณรงค์")</f>
        <v>เพชรรัตน์ จิตณรงค์</v>
      </c>
      <c r="J1185" t="str">
        <f>IFERROR(__xludf.DUMMYFUNCTION("""COMPUTED_VALUE"""),"Sugar / น้ำตาล")</f>
        <v>Sugar / น้ำตาล</v>
      </c>
      <c r="K1185" t="str">
        <f>IFERROR(__xludf.DUMMYFUNCTION("""COMPUTED_VALUE"""),"Cabin Crew")</f>
        <v>Cabin Crew</v>
      </c>
      <c r="L1185" t="str">
        <f>IFERROR(__xludf.DUMMYFUNCTION("""COMPUTED_VALUE"""),"DMK")</f>
        <v>DMK</v>
      </c>
      <c r="M1185" s="145" t="str">
        <f>IFERROR(__xludf.DUMMYFUNCTION("""COMPUTED_VALUE"""),"Um Home")</f>
        <v>Um Home</v>
      </c>
      <c r="N1185" t="str">
        <f>IFERROR(__xludf.DUMMYFUNCTION("""COMPUTED_VALUE"""),"Active")</f>
        <v>Active</v>
      </c>
      <c r="O1185" t="str">
        <f>IFERROR(__xludf.DUMMYFUNCTION("""COMPUTED_VALUE"""),"Japanese Speaking")</f>
        <v>Japanese Speaking</v>
      </c>
      <c r="P1185" s="156">
        <f>IFERROR(__xludf.DUMMYFUNCTION("""COMPUTED_VALUE"""),35626.0)</f>
        <v>35626</v>
      </c>
      <c r="Q1185" s="146" t="str">
        <f>IFERROR(__xludf.DUMMYFUNCTION("""COMPUTED_VALUE"""),"080-081-4428")</f>
        <v>080-081-4428</v>
      </c>
      <c r="R1185" s="147">
        <f>IFERROR(__xludf.DUMMYFUNCTION("""COMPUTED_VALUE"""),1.949900304161E12)</f>
        <v>1949900304161</v>
      </c>
      <c r="S1185" t="str">
        <f>IFERROR(__xludf.DUMMYFUNCTION("""COMPUTED_VALUE"""),"AC3705967")</f>
        <v>AC3705967</v>
      </c>
      <c r="T1185" s="148">
        <f>IFERROR(__xludf.DUMMYFUNCTION("""COMPUTED_VALUE"""),44775.0)</f>
        <v>44775</v>
      </c>
      <c r="U1185" s="148">
        <f>IFERROR(__xludf.DUMMYFUNCTION("""COMPUTED_VALUE"""),48427.0)</f>
        <v>48427</v>
      </c>
      <c r="V1185" s="149">
        <f>IFERROR(__xludf.DUMMYFUNCTION("""COMPUTED_VALUE"""),48245.0)</f>
        <v>48245</v>
      </c>
      <c r="W1185" t="str">
        <f>IFERROR(__xludf.DUMMYFUNCTION("""COMPUTED_VALUE"""),"ปลอดภัย")</f>
        <v>ปลอดภัย</v>
      </c>
      <c r="X1185" t="str">
        <f>IFERROR(__xludf.DUMMYFUNCTION("""COMPUTED_VALUE"""),"Pattani Province")</f>
        <v>Pattani Province</v>
      </c>
      <c r="Y1185" t="str">
        <f>IFERROR(__xludf.DUMMYFUNCTION("""COMPUTED_VALUE"""),"Bangkok")</f>
        <v>Bangkok</v>
      </c>
      <c r="Z1185" s="145" t="str">
        <f>IFERROR(__xludf.DUMMYFUNCTION("""COMPUTED_VALUE"""),"085-057-3725")</f>
        <v>085-057-3725</v>
      </c>
      <c r="AA1185" t="str">
        <f>IFERROR(__xludf.DUMMYFUNCTION("""COMPUTED_VALUE"""),"นางสาวภาวิตา สิทธิเวช Friend")</f>
        <v>นางสาวภาวิตา สิทธิเวช Friend</v>
      </c>
      <c r="AB1185" t="str">
        <f>IFERROR(__xludf.DUMMYFUNCTION("""COMPUTED_VALUE"""),"petcharatjit@airasia.com")</f>
        <v>petcharatjit@airasia.com</v>
      </c>
    </row>
    <row r="1186">
      <c r="A1186">
        <f>IFERROR(__xludf.DUMMYFUNCTION("""COMPUTED_VALUE"""),1043868.0)</f>
        <v>1043868</v>
      </c>
      <c r="B1186" t="str">
        <f>IFERROR(__xludf.DUMMYFUNCTION("""COMPUTED_VALUE"""),"Ms.")</f>
        <v>Ms.</v>
      </c>
      <c r="C1186" t="str">
        <f>IFERROR(__xludf.DUMMYFUNCTION("""COMPUTED_VALUE"""),"Sutida")</f>
        <v>Sutida</v>
      </c>
      <c r="D1186" t="str">
        <f>IFERROR(__xludf.DUMMYFUNCTION("""COMPUTED_VALUE"""),"Srisuwantada")</f>
        <v>Srisuwantada</v>
      </c>
      <c r="E1186" t="str">
        <f>IFERROR(__xludf.DUMMYFUNCTION("""COMPUTED_VALUE"""),"Sutida Srisuwantada")</f>
        <v>Sutida Srisuwantada</v>
      </c>
      <c r="F1186" t="str">
        <f>IFERROR(__xludf.DUMMYFUNCTION("""COMPUTED_VALUE"""),"นางสาว")</f>
        <v>นางสาว</v>
      </c>
      <c r="G1186" t="str">
        <f>IFERROR(__xludf.DUMMYFUNCTION("""COMPUTED_VALUE"""),"สุธิดา")</f>
        <v>สุธิดา</v>
      </c>
      <c r="H1186" t="str">
        <f>IFERROR(__xludf.DUMMYFUNCTION("""COMPUTED_VALUE"""),"ศรีสุวรรณธาดา")</f>
        <v>ศรีสุวรรณธาดา</v>
      </c>
      <c r="I1186" t="str">
        <f>IFERROR(__xludf.DUMMYFUNCTION("""COMPUTED_VALUE"""),"สุธิดา ศรีสุวรรณธาดา")</f>
        <v>สุธิดา ศรีสุวรรณธาดา</v>
      </c>
      <c r="J1186" t="str">
        <f>IFERROR(__xludf.DUMMYFUNCTION("""COMPUTED_VALUE"""),"พลอย")</f>
        <v>พลอย</v>
      </c>
      <c r="K1186" t="str">
        <f>IFERROR(__xludf.DUMMYFUNCTION("""COMPUTED_VALUE"""),"Cabin Crew")</f>
        <v>Cabin Crew</v>
      </c>
      <c r="L1186" t="str">
        <f>IFERROR(__xludf.DUMMYFUNCTION("""COMPUTED_VALUE"""),"DMK")</f>
        <v>DMK</v>
      </c>
      <c r="M1186" s="145" t="str">
        <f>IFERROR(__xludf.DUMMYFUNCTION("""COMPUTED_VALUE"""),"Um Home")</f>
        <v>Um Home</v>
      </c>
      <c r="N1186" t="str">
        <f>IFERROR(__xludf.DUMMYFUNCTION("""COMPUTED_VALUE"""),"Active")</f>
        <v>Active</v>
      </c>
      <c r="P1186" s="156">
        <f>IFERROR(__xludf.DUMMYFUNCTION("""COMPUTED_VALUE"""),36534.0)</f>
        <v>36534</v>
      </c>
      <c r="Q1186" s="146" t="str">
        <f>IFERROR(__xludf.DUMMYFUNCTION("""COMPUTED_VALUE"""),"084-192-2795")</f>
        <v>084-192-2795</v>
      </c>
      <c r="R1186" s="147">
        <f>IFERROR(__xludf.DUMMYFUNCTION("""COMPUTED_VALUE"""),1.103702947687E12)</f>
        <v>1103702947687</v>
      </c>
      <c r="S1186" t="str">
        <f>IFERROR(__xludf.DUMMYFUNCTION("""COMPUTED_VALUE"""),"AC4666134")</f>
        <v>AC4666134</v>
      </c>
      <c r="T1186" s="148">
        <f>IFERROR(__xludf.DUMMYFUNCTION("""COMPUTED_VALUE"""),44995.0)</f>
        <v>44995</v>
      </c>
      <c r="U1186" s="148">
        <f>IFERROR(__xludf.DUMMYFUNCTION("""COMPUTED_VALUE"""),46821.0)</f>
        <v>46821</v>
      </c>
      <c r="V1186" s="149">
        <f>IFERROR(__xludf.DUMMYFUNCTION("""COMPUTED_VALUE"""),46639.0)</f>
        <v>46639</v>
      </c>
      <c r="W1186" t="str">
        <f>IFERROR(__xludf.DUMMYFUNCTION("""COMPUTED_VALUE"""),"ปลอดภัย")</f>
        <v>ปลอดภัย</v>
      </c>
      <c r="X1186" t="str">
        <f>IFERROR(__xludf.DUMMYFUNCTION("""COMPUTED_VALUE"""),"Bangkok")</f>
        <v>Bangkok</v>
      </c>
      <c r="Y1186" t="str">
        <f>IFERROR(__xludf.DUMMYFUNCTION("""COMPUTED_VALUE"""),"Bangkok")</f>
        <v>Bangkok</v>
      </c>
      <c r="Z1186" s="145" t="str">
        <f>IFERROR(__xludf.DUMMYFUNCTION("""COMPUTED_VALUE"""),"063-862-6099")</f>
        <v>063-862-6099</v>
      </c>
      <c r="AA1186" t="str">
        <f>IFERROR(__xludf.DUMMYFUNCTION("""COMPUTED_VALUE"""),"นายจิรชัย ไหลเกียรติคุณ Brother")</f>
        <v>นายจิรชัย ไหลเกียรติคุณ Brother</v>
      </c>
      <c r="AB1186" t="str">
        <f>IFERROR(__xludf.DUMMYFUNCTION("""COMPUTED_VALUE"""),"sutidasri@airasia.com")</f>
        <v>sutidasri@airasia.com</v>
      </c>
    </row>
    <row r="1187">
      <c r="A1187">
        <f>IFERROR(__xludf.DUMMYFUNCTION("""COMPUTED_VALUE"""),1043869.0)</f>
        <v>1043869</v>
      </c>
      <c r="B1187" t="str">
        <f>IFERROR(__xludf.DUMMYFUNCTION("""COMPUTED_VALUE"""),"Mr.")</f>
        <v>Mr.</v>
      </c>
      <c r="C1187" t="str">
        <f>IFERROR(__xludf.DUMMYFUNCTION("""COMPUTED_VALUE"""),"Jaturong")</f>
        <v>Jaturong</v>
      </c>
      <c r="D1187" t="str">
        <f>IFERROR(__xludf.DUMMYFUNCTION("""COMPUTED_VALUE"""),"Phomhom")</f>
        <v>Phomhom</v>
      </c>
      <c r="E1187" t="str">
        <f>IFERROR(__xludf.DUMMYFUNCTION("""COMPUTED_VALUE"""),"Jaturong Phomhom")</f>
        <v>Jaturong Phomhom</v>
      </c>
      <c r="F1187" t="str">
        <f>IFERROR(__xludf.DUMMYFUNCTION("""COMPUTED_VALUE"""),"นาย")</f>
        <v>นาย</v>
      </c>
      <c r="G1187" t="str">
        <f>IFERROR(__xludf.DUMMYFUNCTION("""COMPUTED_VALUE"""),"จตุรงค์")</f>
        <v>จตุรงค์</v>
      </c>
      <c r="H1187" t="str">
        <f>IFERROR(__xludf.DUMMYFUNCTION("""COMPUTED_VALUE"""),"ผมหอม")</f>
        <v>ผมหอม</v>
      </c>
      <c r="I1187" t="str">
        <f>IFERROR(__xludf.DUMMYFUNCTION("""COMPUTED_VALUE"""),"จตุรงค์ ผมหอม")</f>
        <v>จตุรงค์ ผมหอม</v>
      </c>
      <c r="J1187" t="str">
        <f>IFERROR(__xludf.DUMMYFUNCTION("""COMPUTED_VALUE"""),"Jess / เจส")</f>
        <v>Jess / เจส</v>
      </c>
      <c r="K1187" t="str">
        <f>IFERROR(__xludf.DUMMYFUNCTION("""COMPUTED_VALUE"""),"Cabin Crew")</f>
        <v>Cabin Crew</v>
      </c>
      <c r="L1187" t="str">
        <f>IFERROR(__xludf.DUMMYFUNCTION("""COMPUTED_VALUE"""),"DMK")</f>
        <v>DMK</v>
      </c>
      <c r="M1187" s="145" t="str">
        <f>IFERROR(__xludf.DUMMYFUNCTION("""COMPUTED_VALUE"""),"Por+ Home")</f>
        <v>Por+ Home</v>
      </c>
      <c r="N1187" t="str">
        <f>IFERROR(__xludf.DUMMYFUNCTION("""COMPUTED_VALUE"""),"Active")</f>
        <v>Active</v>
      </c>
      <c r="O1187" t="str">
        <f>IFERROR(__xludf.DUMMYFUNCTION("""COMPUTED_VALUE"""),"Japanese Speaking / Korean Speaking")</f>
        <v>Japanese Speaking / Korean Speaking</v>
      </c>
      <c r="P1187" s="156">
        <f>IFERROR(__xludf.DUMMYFUNCTION("""COMPUTED_VALUE"""),34075.0)</f>
        <v>34075</v>
      </c>
      <c r="Q1187" s="146" t="str">
        <f>IFERROR(__xludf.DUMMYFUNCTION("""COMPUTED_VALUE"""),"089-735-3087")</f>
        <v>089-735-3087</v>
      </c>
      <c r="R1187" s="147">
        <f>IFERROR(__xludf.DUMMYFUNCTION("""COMPUTED_VALUE"""),1.100701695151E12)</f>
        <v>1100701695151</v>
      </c>
      <c r="S1187" t="str">
        <f>IFERROR(__xludf.DUMMYFUNCTION("""COMPUTED_VALUE"""),"AC3842594")</f>
        <v>AC3842594</v>
      </c>
      <c r="T1187" s="148">
        <f>IFERROR(__xludf.DUMMYFUNCTION("""COMPUTED_VALUE"""),44789.0)</f>
        <v>44789</v>
      </c>
      <c r="U1187" s="148">
        <f>IFERROR(__xludf.DUMMYFUNCTION("""COMPUTED_VALUE"""),48441.0)</f>
        <v>48441</v>
      </c>
      <c r="V1187" s="149">
        <f>IFERROR(__xludf.DUMMYFUNCTION("""COMPUTED_VALUE"""),48259.0)</f>
        <v>48259</v>
      </c>
      <c r="W1187" t="str">
        <f>IFERROR(__xludf.DUMMYFUNCTION("""COMPUTED_VALUE"""),"ปลอดภัย")</f>
        <v>ปลอดภัย</v>
      </c>
      <c r="X1187" t="str">
        <f>IFERROR(__xludf.DUMMYFUNCTION("""COMPUTED_VALUE"""),"Bangkok")</f>
        <v>Bangkok</v>
      </c>
      <c r="Y1187" t="str">
        <f>IFERROR(__xludf.DUMMYFUNCTION("""COMPUTED_VALUE"""),"Samut Prakan")</f>
        <v>Samut Prakan</v>
      </c>
      <c r="Z1187" s="145" t="str">
        <f>IFERROR(__xludf.DUMMYFUNCTION("""COMPUTED_VALUE"""),"081-187-7260")</f>
        <v>081-187-7260</v>
      </c>
      <c r="AA1187" t="str">
        <f>IFERROR(__xludf.DUMMYFUNCTION("""COMPUTED_VALUE"""),"นางธมลวรรณ จีนไทย Friend")</f>
        <v>นางธมลวรรณ จีนไทย Friend</v>
      </c>
      <c r="AB1187" t="str">
        <f>IFERROR(__xludf.DUMMYFUNCTION("""COMPUTED_VALUE"""),"jaturongpho@airasia.com")</f>
        <v>jaturongpho@airasia.com</v>
      </c>
    </row>
    <row r="1188">
      <c r="A1188">
        <f>IFERROR(__xludf.DUMMYFUNCTION("""COMPUTED_VALUE"""),1043870.0)</f>
        <v>1043870</v>
      </c>
      <c r="B1188" t="str">
        <f>IFERROR(__xludf.DUMMYFUNCTION("""COMPUTED_VALUE"""),"Ms.")</f>
        <v>Ms.</v>
      </c>
      <c r="C1188" t="str">
        <f>IFERROR(__xludf.DUMMYFUNCTION("""COMPUTED_VALUE"""),"Daranphon")</f>
        <v>Daranphon</v>
      </c>
      <c r="D1188" t="str">
        <f>IFERROR(__xludf.DUMMYFUNCTION("""COMPUTED_VALUE"""),"Chaikiatchanyaphon")</f>
        <v>Chaikiatchanyaphon</v>
      </c>
      <c r="E1188" t="str">
        <f>IFERROR(__xludf.DUMMYFUNCTION("""COMPUTED_VALUE"""),"Daranphon Chaikiatchanyaphon")</f>
        <v>Daranphon Chaikiatchanyaphon</v>
      </c>
      <c r="F1188" t="str">
        <f>IFERROR(__xludf.DUMMYFUNCTION("""COMPUTED_VALUE"""),"นางสาว")</f>
        <v>นางสาว</v>
      </c>
      <c r="G1188" t="str">
        <f>IFERROR(__xludf.DUMMYFUNCTION("""COMPUTED_VALUE"""),"ดรัลพร")</f>
        <v>ดรัลพร</v>
      </c>
      <c r="H1188" t="str">
        <f>IFERROR(__xludf.DUMMYFUNCTION("""COMPUTED_VALUE"""),"ชัยเกียรติชัญพร")</f>
        <v>ชัยเกียรติชัญพร</v>
      </c>
      <c r="I1188" t="str">
        <f>IFERROR(__xludf.DUMMYFUNCTION("""COMPUTED_VALUE"""),"ดรัลพร ชัยเกียรติชัญพร")</f>
        <v>ดรัลพร ชัยเกียรติชัญพร</v>
      </c>
      <c r="J1188" t="str">
        <f>IFERROR(__xludf.DUMMYFUNCTION("""COMPUTED_VALUE"""),"ไตเติ้ล")</f>
        <v>ไตเติ้ล</v>
      </c>
      <c r="K1188" t="str">
        <f>IFERROR(__xludf.DUMMYFUNCTION("""COMPUTED_VALUE"""),"Cabin Crew")</f>
        <v>Cabin Crew</v>
      </c>
      <c r="L1188" t="str">
        <f>IFERROR(__xludf.DUMMYFUNCTION("""COMPUTED_VALUE"""),"DMK")</f>
        <v>DMK</v>
      </c>
      <c r="M1188" s="145" t="str">
        <f>IFERROR(__xludf.DUMMYFUNCTION("""COMPUTED_VALUE"""),"Toffy Home")</f>
        <v>Toffy Home</v>
      </c>
      <c r="N1188" t="str">
        <f>IFERROR(__xludf.DUMMYFUNCTION("""COMPUTED_VALUE"""),"Active")</f>
        <v>Active</v>
      </c>
      <c r="O1188" t="str">
        <f>IFERROR(__xludf.DUMMYFUNCTION("""COMPUTED_VALUE"""),"Japanese Speaking")</f>
        <v>Japanese Speaking</v>
      </c>
      <c r="P1188" s="156">
        <f>IFERROR(__xludf.DUMMYFUNCTION("""COMPUTED_VALUE"""),34617.0)</f>
        <v>34617</v>
      </c>
      <c r="Q1188" s="146" t="str">
        <f>IFERROR(__xludf.DUMMYFUNCTION("""COMPUTED_VALUE"""),"094-362-2765")</f>
        <v>094-362-2765</v>
      </c>
      <c r="R1188" s="147">
        <f>IFERROR(__xludf.DUMMYFUNCTION("""COMPUTED_VALUE"""),1.309901084143E12)</f>
        <v>1309901084143</v>
      </c>
      <c r="S1188" t="str">
        <f>IFERROR(__xludf.DUMMYFUNCTION("""COMPUTED_VALUE"""),"AD1073919")</f>
        <v>AD1073919</v>
      </c>
      <c r="T1188" s="148">
        <f>IFERROR(__xludf.DUMMYFUNCTION("""COMPUTED_VALUE"""),45058.0)</f>
        <v>45058</v>
      </c>
      <c r="U1188" s="148">
        <f>IFERROR(__xludf.DUMMYFUNCTION("""COMPUTED_VALUE"""),48710.0)</f>
        <v>48710</v>
      </c>
      <c r="V1188" s="149">
        <f>IFERROR(__xludf.DUMMYFUNCTION("""COMPUTED_VALUE"""),48529.0)</f>
        <v>48529</v>
      </c>
      <c r="W1188" t="str">
        <f>IFERROR(__xludf.DUMMYFUNCTION("""COMPUTED_VALUE"""),"ปลอดภัย")</f>
        <v>ปลอดภัย</v>
      </c>
      <c r="X1188" t="str">
        <f>IFERROR(__xludf.DUMMYFUNCTION("""COMPUTED_VALUE"""),"Nakhon Ratchasima Province")</f>
        <v>Nakhon Ratchasima Province</v>
      </c>
      <c r="Y1188" t="str">
        <f>IFERROR(__xludf.DUMMYFUNCTION("""COMPUTED_VALUE"""),"Bangkok")</f>
        <v>Bangkok</v>
      </c>
      <c r="Z1188" s="145" t="str">
        <f>IFERROR(__xludf.DUMMYFUNCTION("""COMPUTED_VALUE"""),"081-266-5553")</f>
        <v>081-266-5553</v>
      </c>
      <c r="AA1188" t="str">
        <f>IFERROR(__xludf.DUMMYFUNCTION("""COMPUTED_VALUE"""),"นายจิรัฎฐ์ ธัญญ์จิโรจน์ Father")</f>
        <v>นายจิรัฎฐ์ ธัญญ์จิโรจน์ Father</v>
      </c>
      <c r="AB1188" t="str">
        <f>IFERROR(__xludf.DUMMYFUNCTION("""COMPUTED_VALUE"""),"daranphoncha@airasia.com")</f>
        <v>daranphoncha@airasia.com</v>
      </c>
    </row>
    <row r="1189">
      <c r="A1189">
        <f>IFERROR(__xludf.DUMMYFUNCTION("""COMPUTED_VALUE"""),1043871.0)</f>
        <v>1043871</v>
      </c>
      <c r="B1189" t="str">
        <f>IFERROR(__xludf.DUMMYFUNCTION("""COMPUTED_VALUE"""),"Ms.")</f>
        <v>Ms.</v>
      </c>
      <c r="C1189" t="str">
        <f>IFERROR(__xludf.DUMMYFUNCTION("""COMPUTED_VALUE"""),"Waleerat")</f>
        <v>Waleerat</v>
      </c>
      <c r="D1189" t="str">
        <f>IFERROR(__xludf.DUMMYFUNCTION("""COMPUTED_VALUE"""),"Thaworn")</f>
        <v>Thaworn</v>
      </c>
      <c r="E1189" t="str">
        <f>IFERROR(__xludf.DUMMYFUNCTION("""COMPUTED_VALUE"""),"Waleerat Thaworn")</f>
        <v>Waleerat Thaworn</v>
      </c>
      <c r="F1189" t="str">
        <f>IFERROR(__xludf.DUMMYFUNCTION("""COMPUTED_VALUE"""),"นางสาว")</f>
        <v>นางสาว</v>
      </c>
      <c r="G1189" t="str">
        <f>IFERROR(__xludf.DUMMYFUNCTION("""COMPUTED_VALUE"""),"วลีรัตน์")</f>
        <v>วลีรัตน์</v>
      </c>
      <c r="H1189" t="str">
        <f>IFERROR(__xludf.DUMMYFUNCTION("""COMPUTED_VALUE"""),"ถาวร")</f>
        <v>ถาวร</v>
      </c>
      <c r="I1189" t="str">
        <f>IFERROR(__xludf.DUMMYFUNCTION("""COMPUTED_VALUE"""),"วลีรัตน์ ถาวร")</f>
        <v>วลีรัตน์ ถาวร</v>
      </c>
      <c r="J1189" t="str">
        <f>IFERROR(__xludf.DUMMYFUNCTION("""COMPUTED_VALUE"""),"อาย")</f>
        <v>อาย</v>
      </c>
      <c r="K1189" t="str">
        <f>IFERROR(__xludf.DUMMYFUNCTION("""COMPUTED_VALUE"""),"Cabin Crew")</f>
        <v>Cabin Crew</v>
      </c>
      <c r="L1189" t="str">
        <f>IFERROR(__xludf.DUMMYFUNCTION("""COMPUTED_VALUE"""),"DMK")</f>
        <v>DMK</v>
      </c>
      <c r="M1189" s="145" t="str">
        <f>IFERROR(__xludf.DUMMYFUNCTION("""COMPUTED_VALUE"""),"Namfon Home")</f>
        <v>Namfon Home</v>
      </c>
      <c r="N1189" t="str">
        <f>IFERROR(__xludf.DUMMYFUNCTION("""COMPUTED_VALUE"""),"Active")</f>
        <v>Active</v>
      </c>
      <c r="O1189" t="str">
        <f>IFERROR(__xludf.DUMMYFUNCTION("""COMPUTED_VALUE"""),"Japanese Speaking")</f>
        <v>Japanese Speaking</v>
      </c>
      <c r="P1189" s="156">
        <f>IFERROR(__xludf.DUMMYFUNCTION("""COMPUTED_VALUE"""),33418.0)</f>
        <v>33418</v>
      </c>
      <c r="Q1189" s="146">
        <f>IFERROR(__xludf.DUMMYFUNCTION("""COMPUTED_VALUE"""),6.50059088E8)</f>
        <v>650059088</v>
      </c>
      <c r="R1189" s="147">
        <f>IFERROR(__xludf.DUMMYFUNCTION("""COMPUTED_VALUE"""),1.249900234258E12)</f>
        <v>1249900234258</v>
      </c>
      <c r="S1189" t="str">
        <f>IFERROR(__xludf.DUMMYFUNCTION("""COMPUTED_VALUE"""),"AD0383990")</f>
        <v>AD0383990</v>
      </c>
      <c r="T1189" s="148">
        <f>IFERROR(__xludf.DUMMYFUNCTION("""COMPUTED_VALUE"""),44877.0)</f>
        <v>44877</v>
      </c>
      <c r="U1189" s="148">
        <f>IFERROR(__xludf.DUMMYFUNCTION("""COMPUTED_VALUE"""),48529.0)</f>
        <v>48529</v>
      </c>
      <c r="V1189" s="149">
        <f>IFERROR(__xludf.DUMMYFUNCTION("""COMPUTED_VALUE"""),48345.0)</f>
        <v>48345</v>
      </c>
      <c r="W1189" t="str">
        <f>IFERROR(__xludf.DUMMYFUNCTION("""COMPUTED_VALUE"""),"ปลอดภัย")</f>
        <v>ปลอดภัย</v>
      </c>
      <c r="X1189" t="str">
        <f>IFERROR(__xludf.DUMMYFUNCTION("""COMPUTED_VALUE"""),"Chachoengsao Province")</f>
        <v>Chachoengsao Province</v>
      </c>
      <c r="Y1189" t="str">
        <f>IFERROR(__xludf.DUMMYFUNCTION("""COMPUTED_VALUE"""),"Bangkok")</f>
        <v>Bangkok</v>
      </c>
      <c r="Z1189" s="145" t="str">
        <f>IFERROR(__xludf.DUMMYFUNCTION("""COMPUTED_VALUE"""),"0869986668")</f>
        <v>0869986668</v>
      </c>
      <c r="AA1189" t="str">
        <f>IFERROR(__xludf.DUMMYFUNCTION("""COMPUTED_VALUE"""),"นายธัญญพล จาตกานนท์ Friend")</f>
        <v>นายธัญญพล จาตกานนท์ Friend</v>
      </c>
      <c r="AB1189" t="str">
        <f>IFERROR(__xludf.DUMMYFUNCTION("""COMPUTED_VALUE"""),"waleerattha@airasia.com")</f>
        <v>waleerattha@airasia.com</v>
      </c>
    </row>
    <row r="1190">
      <c r="A1190">
        <f>IFERROR(__xludf.DUMMYFUNCTION("""COMPUTED_VALUE"""),1043872.0)</f>
        <v>1043872</v>
      </c>
      <c r="B1190" t="str">
        <f>IFERROR(__xludf.DUMMYFUNCTION("""COMPUTED_VALUE"""),"Ms.")</f>
        <v>Ms.</v>
      </c>
      <c r="C1190" t="str">
        <f>IFERROR(__xludf.DUMMYFUNCTION("""COMPUTED_VALUE"""),"Phatreeya")</f>
        <v>Phatreeya</v>
      </c>
      <c r="D1190" t="str">
        <f>IFERROR(__xludf.DUMMYFUNCTION("""COMPUTED_VALUE"""),"Chanurai")</f>
        <v>Chanurai</v>
      </c>
      <c r="E1190" t="str">
        <f>IFERROR(__xludf.DUMMYFUNCTION("""COMPUTED_VALUE"""),"Phatreeya Chanurai")</f>
        <v>Phatreeya Chanurai</v>
      </c>
      <c r="F1190" t="str">
        <f>IFERROR(__xludf.DUMMYFUNCTION("""COMPUTED_VALUE"""),"นางสาว")</f>
        <v>นางสาว</v>
      </c>
      <c r="G1190" t="str">
        <f>IFERROR(__xludf.DUMMYFUNCTION("""COMPUTED_VALUE"""),"ภัทรียา")</f>
        <v>ภัทรียา</v>
      </c>
      <c r="H1190" t="str">
        <f>IFERROR(__xludf.DUMMYFUNCTION("""COMPUTED_VALUE"""),"จันทร์อุไร")</f>
        <v>จันทร์อุไร</v>
      </c>
      <c r="I1190" t="str">
        <f>IFERROR(__xludf.DUMMYFUNCTION("""COMPUTED_VALUE"""),"ภัทรียา จันทร์อุไร")</f>
        <v>ภัทรียา จันทร์อุไร</v>
      </c>
      <c r="J1190" t="str">
        <f>IFERROR(__xludf.DUMMYFUNCTION("""COMPUTED_VALUE"""),"Dream / ดรีม")</f>
        <v>Dream / ดรีม</v>
      </c>
      <c r="K1190" t="str">
        <f>IFERROR(__xludf.DUMMYFUNCTION("""COMPUTED_VALUE"""),"Cabin Crew")</f>
        <v>Cabin Crew</v>
      </c>
      <c r="L1190" t="str">
        <f>IFERROR(__xludf.DUMMYFUNCTION("""COMPUTED_VALUE"""),"DMK")</f>
        <v>DMK</v>
      </c>
      <c r="M1190" s="145" t="str">
        <f>IFERROR(__xludf.DUMMYFUNCTION("""COMPUTED_VALUE"""),"Kor Home")</f>
        <v>Kor Home</v>
      </c>
      <c r="N1190" t="str">
        <f>IFERROR(__xludf.DUMMYFUNCTION("""COMPUTED_VALUE"""),"Active")</f>
        <v>Active</v>
      </c>
      <c r="O1190" t="str">
        <f>IFERROR(__xludf.DUMMYFUNCTION("""COMPUTED_VALUE"""),"Korean Speaking")</f>
        <v>Korean Speaking</v>
      </c>
      <c r="P1190" s="156">
        <f>IFERROR(__xludf.DUMMYFUNCTION("""COMPUTED_VALUE"""),37094.0)</f>
        <v>37094</v>
      </c>
      <c r="Q1190" s="146" t="str">
        <f>IFERROR(__xludf.DUMMYFUNCTION("""COMPUTED_VALUE"""),"083-704-4419")</f>
        <v>083-704-4419</v>
      </c>
      <c r="R1190" s="147">
        <f>IFERROR(__xludf.DUMMYFUNCTION("""COMPUTED_VALUE"""),1.101402234608E12)</f>
        <v>1101402234608</v>
      </c>
      <c r="S1190" t="str">
        <f>IFERROR(__xludf.DUMMYFUNCTION("""COMPUTED_VALUE"""),"AC2938658")</f>
        <v>AC2938658</v>
      </c>
      <c r="T1190" s="148">
        <f>IFERROR(__xludf.DUMMYFUNCTION("""COMPUTED_VALUE"""),44630.0)</f>
        <v>44630</v>
      </c>
      <c r="U1190" s="148">
        <f>IFERROR(__xludf.DUMMYFUNCTION("""COMPUTED_VALUE"""),48282.0)</f>
        <v>48282</v>
      </c>
      <c r="V1190" s="149">
        <f>IFERROR(__xludf.DUMMYFUNCTION("""COMPUTED_VALUE"""),48100.0)</f>
        <v>48100</v>
      </c>
      <c r="W1190" t="str">
        <f>IFERROR(__xludf.DUMMYFUNCTION("""COMPUTED_VALUE"""),"ปลอดภัย")</f>
        <v>ปลอดภัย</v>
      </c>
      <c r="X1190" t="str">
        <f>IFERROR(__xludf.DUMMYFUNCTION("""COMPUTED_VALUE"""),"Bangkok")</f>
        <v>Bangkok</v>
      </c>
      <c r="Y1190" t="str">
        <f>IFERROR(__xludf.DUMMYFUNCTION("""COMPUTED_VALUE"""),"Bangkok")</f>
        <v>Bangkok</v>
      </c>
      <c r="Z1190" s="145" t="str">
        <f>IFERROR(__xludf.DUMMYFUNCTION("""COMPUTED_VALUE"""),"083-714-4999")</f>
        <v>083-714-4999</v>
      </c>
      <c r="AA1190" t="str">
        <f>IFERROR(__xludf.DUMMYFUNCTION("""COMPUTED_VALUE"""),"นายอภิรัฐ จันทร์อุไร Father")</f>
        <v>นายอภิรัฐ จันทร์อุไร Father</v>
      </c>
      <c r="AB1190" t="str">
        <f>IFERROR(__xludf.DUMMYFUNCTION("""COMPUTED_VALUE"""),"phatreeyacha@airasia.com")</f>
        <v>phatreeyacha@airasia.com</v>
      </c>
    </row>
    <row r="1191">
      <c r="A1191">
        <f>IFERROR(__xludf.DUMMYFUNCTION("""COMPUTED_VALUE"""),1043873.0)</f>
        <v>1043873</v>
      </c>
      <c r="B1191" t="str">
        <f>IFERROR(__xludf.DUMMYFUNCTION("""COMPUTED_VALUE"""),"Ms.")</f>
        <v>Ms.</v>
      </c>
      <c r="C1191" t="str">
        <f>IFERROR(__xludf.DUMMYFUNCTION("""COMPUTED_VALUE"""),"Thansinee")</f>
        <v>Thansinee</v>
      </c>
      <c r="D1191" t="str">
        <f>IFERROR(__xludf.DUMMYFUNCTION("""COMPUTED_VALUE"""),"Pankaew")</f>
        <v>Pankaew</v>
      </c>
      <c r="E1191" t="str">
        <f>IFERROR(__xludf.DUMMYFUNCTION("""COMPUTED_VALUE"""),"Thansinee Pankaew")</f>
        <v>Thansinee Pankaew</v>
      </c>
      <c r="F1191" t="str">
        <f>IFERROR(__xludf.DUMMYFUNCTION("""COMPUTED_VALUE"""),"นางสาว")</f>
        <v>นางสาว</v>
      </c>
      <c r="G1191" t="str">
        <f>IFERROR(__xludf.DUMMYFUNCTION("""COMPUTED_VALUE"""),"ธัญสินี")</f>
        <v>ธัญสินี</v>
      </c>
      <c r="H1191" t="str">
        <f>IFERROR(__xludf.DUMMYFUNCTION("""COMPUTED_VALUE"""),"ปานแก้ว")</f>
        <v>ปานแก้ว</v>
      </c>
      <c r="I1191" t="str">
        <f>IFERROR(__xludf.DUMMYFUNCTION("""COMPUTED_VALUE"""),"ธัญสินี ปานแก้ว")</f>
        <v>ธัญสินี ปานแก้ว</v>
      </c>
      <c r="J1191" t="str">
        <f>IFERROR(__xludf.DUMMYFUNCTION("""COMPUTED_VALUE"""),"ชิงๆ")</f>
        <v>ชิงๆ</v>
      </c>
      <c r="K1191" t="str">
        <f>IFERROR(__xludf.DUMMYFUNCTION("""COMPUTED_VALUE"""),"Cabin Crew")</f>
        <v>Cabin Crew</v>
      </c>
      <c r="L1191" t="str">
        <f>IFERROR(__xludf.DUMMYFUNCTION("""COMPUTED_VALUE"""),"DMK")</f>
        <v>DMK</v>
      </c>
      <c r="M1191" s="145" t="str">
        <f>IFERROR(__xludf.DUMMYFUNCTION("""COMPUTED_VALUE"""),"Namfon Home")</f>
        <v>Namfon Home</v>
      </c>
      <c r="N1191" t="str">
        <f>IFERROR(__xludf.DUMMYFUNCTION("""COMPUTED_VALUE"""),"Active")</f>
        <v>Active</v>
      </c>
      <c r="O1191" t="str">
        <f>IFERROR(__xludf.DUMMYFUNCTION("""COMPUTED_VALUE"""),"Japanese Speaking")</f>
        <v>Japanese Speaking</v>
      </c>
      <c r="P1191" s="156">
        <f>IFERROR(__xludf.DUMMYFUNCTION("""COMPUTED_VALUE"""),36240.0)</f>
        <v>36240</v>
      </c>
      <c r="Q1191" s="146">
        <f>IFERROR(__xludf.DUMMYFUNCTION("""COMPUTED_VALUE"""),8.49493303E8)</f>
        <v>849493303</v>
      </c>
      <c r="R1191" s="147">
        <f>IFERROR(__xludf.DUMMYFUNCTION("""COMPUTED_VALUE"""),8.571576076971E12)</f>
        <v>8571576076971</v>
      </c>
      <c r="S1191" t="str">
        <f>IFERROR(__xludf.DUMMYFUNCTION("""COMPUTED_VALUE"""),"AC5625836")</f>
        <v>AC5625836</v>
      </c>
      <c r="T1191" s="148">
        <f>IFERROR(__xludf.DUMMYFUNCTION("""COMPUTED_VALUE"""),45170.0)</f>
        <v>45170</v>
      </c>
      <c r="U1191" s="148">
        <f>IFERROR(__xludf.DUMMYFUNCTION("""COMPUTED_VALUE"""),48822.0)</f>
        <v>48822</v>
      </c>
      <c r="V1191" s="149">
        <f>IFERROR(__xludf.DUMMYFUNCTION("""COMPUTED_VALUE"""),48638.0)</f>
        <v>48638</v>
      </c>
      <c r="W1191" t="str">
        <f>IFERROR(__xludf.DUMMYFUNCTION("""COMPUTED_VALUE"""),"ปลอดภัย")</f>
        <v>ปลอดภัย</v>
      </c>
      <c r="X1191" t="str">
        <f>IFERROR(__xludf.DUMMYFUNCTION("""COMPUTED_VALUE"""),"Chiang Rai Province")</f>
        <v>Chiang Rai Province</v>
      </c>
      <c r="Y1191" t="str">
        <f>IFERROR(__xludf.DUMMYFUNCTION("""COMPUTED_VALUE"""),"Bangkok")</f>
        <v>Bangkok</v>
      </c>
      <c r="Z1191" s="145" t="str">
        <f>IFERROR(__xludf.DUMMYFUNCTION("""COMPUTED_VALUE"""),"0968746570")</f>
        <v>0968746570</v>
      </c>
      <c r="AA1191" t="str">
        <f>IFERROR(__xludf.DUMMYFUNCTION("""COMPUTED_VALUE"""),"นายภูบดี ภู่เจริญ Friend")</f>
        <v>นายภูบดี ภู่เจริญ Friend</v>
      </c>
      <c r="AB1191" t="str">
        <f>IFERROR(__xludf.DUMMYFUNCTION("""COMPUTED_VALUE"""),"thansineepan@airasia.com")</f>
        <v>thansineepan@airasia.com</v>
      </c>
    </row>
    <row r="1192">
      <c r="A1192">
        <f>IFERROR(__xludf.DUMMYFUNCTION("""COMPUTED_VALUE"""),1043874.0)</f>
        <v>1043874</v>
      </c>
      <c r="B1192" t="str">
        <f>IFERROR(__xludf.DUMMYFUNCTION("""COMPUTED_VALUE"""),"Ms.")</f>
        <v>Ms.</v>
      </c>
      <c r="C1192" t="str">
        <f>IFERROR(__xludf.DUMMYFUNCTION("""COMPUTED_VALUE"""),"Weerada")</f>
        <v>Weerada</v>
      </c>
      <c r="D1192" t="str">
        <f>IFERROR(__xludf.DUMMYFUNCTION("""COMPUTED_VALUE"""),"Tossaporn")</f>
        <v>Tossaporn</v>
      </c>
      <c r="E1192" t="str">
        <f>IFERROR(__xludf.DUMMYFUNCTION("""COMPUTED_VALUE"""),"Weerada Tossaporn")</f>
        <v>Weerada Tossaporn</v>
      </c>
      <c r="F1192" t="str">
        <f>IFERROR(__xludf.DUMMYFUNCTION("""COMPUTED_VALUE"""),"นางสาว")</f>
        <v>นางสาว</v>
      </c>
      <c r="G1192" t="str">
        <f>IFERROR(__xludf.DUMMYFUNCTION("""COMPUTED_VALUE"""),"วีรดา")</f>
        <v>วีรดา</v>
      </c>
      <c r="H1192" t="str">
        <f>IFERROR(__xludf.DUMMYFUNCTION("""COMPUTED_VALUE"""),"ทศพร")</f>
        <v>ทศพร</v>
      </c>
      <c r="I1192" t="str">
        <f>IFERROR(__xludf.DUMMYFUNCTION("""COMPUTED_VALUE"""),"วีรดา ทศพร")</f>
        <v>วีรดา ทศพร</v>
      </c>
      <c r="J1192" t="str">
        <f>IFERROR(__xludf.DUMMYFUNCTION("""COMPUTED_VALUE"""),"Winnie / วินนี่")</f>
        <v>Winnie / วินนี่</v>
      </c>
      <c r="K1192" t="str">
        <f>IFERROR(__xludf.DUMMYFUNCTION("""COMPUTED_VALUE"""),"Cabin Crew")</f>
        <v>Cabin Crew</v>
      </c>
      <c r="L1192" t="str">
        <f>IFERROR(__xludf.DUMMYFUNCTION("""COMPUTED_VALUE"""),"DMK")</f>
        <v>DMK</v>
      </c>
      <c r="M1192" s="145" t="str">
        <f>IFERROR(__xludf.DUMMYFUNCTION("""COMPUTED_VALUE"""),"Namfon Home")</f>
        <v>Namfon Home</v>
      </c>
      <c r="N1192" t="str">
        <f>IFERROR(__xludf.DUMMYFUNCTION("""COMPUTED_VALUE"""),"Active")</f>
        <v>Active</v>
      </c>
      <c r="P1192" s="156">
        <f>IFERROR(__xludf.DUMMYFUNCTION("""COMPUTED_VALUE"""),36362.0)</f>
        <v>36362</v>
      </c>
      <c r="Q1192" s="146" t="str">
        <f>IFERROR(__xludf.DUMMYFUNCTION("""COMPUTED_VALUE"""),"081-665-4008")</f>
        <v>081-665-4008</v>
      </c>
      <c r="R1192" s="147">
        <f>IFERROR(__xludf.DUMMYFUNCTION("""COMPUTED_VALUE"""),1.102003059536E12)</f>
        <v>1102003059536</v>
      </c>
      <c r="S1192" t="str">
        <f>IFERROR(__xludf.DUMMYFUNCTION("""COMPUTED_VALUE"""),"AC5418475")</f>
        <v>AC5418475</v>
      </c>
      <c r="T1192" s="148">
        <f>IFERROR(__xludf.DUMMYFUNCTION("""COMPUTED_VALUE"""),45145.0)</f>
        <v>45145</v>
      </c>
      <c r="U1192" s="148">
        <f>IFERROR(__xludf.DUMMYFUNCTION("""COMPUTED_VALUE"""),48797.0)</f>
        <v>48797</v>
      </c>
      <c r="V1192" s="149">
        <f>IFERROR(__xludf.DUMMYFUNCTION("""COMPUTED_VALUE"""),48616.0)</f>
        <v>48616</v>
      </c>
      <c r="W1192" t="str">
        <f>IFERROR(__xludf.DUMMYFUNCTION("""COMPUTED_VALUE"""),"ปลอดภัย")</f>
        <v>ปลอดภัย</v>
      </c>
      <c r="X1192" t="str">
        <f>IFERROR(__xludf.DUMMYFUNCTION("""COMPUTED_VALUE"""),"Bangkok")</f>
        <v>Bangkok</v>
      </c>
      <c r="Y1192" t="str">
        <f>IFERROR(__xludf.DUMMYFUNCTION("""COMPUTED_VALUE"""),"Nonthaburi")</f>
        <v>Nonthaburi</v>
      </c>
      <c r="Z1192" s="145" t="str">
        <f>IFERROR(__xludf.DUMMYFUNCTION("""COMPUTED_VALUE"""),"086-897-4599")</f>
        <v>086-897-4599</v>
      </c>
      <c r="AA1192" t="str">
        <f>IFERROR(__xludf.DUMMYFUNCTION("""COMPUTED_VALUE"""),"นางวรรลี ทศพร Mother")</f>
        <v>นางวรรลี ทศพร Mother</v>
      </c>
      <c r="AB1192" t="str">
        <f>IFERROR(__xludf.DUMMYFUNCTION("""COMPUTED_VALUE"""),"weeradatos@airasia.com")</f>
        <v>weeradatos@airasia.com</v>
      </c>
    </row>
    <row r="1193">
      <c r="A1193">
        <f>IFERROR(__xludf.DUMMYFUNCTION("""COMPUTED_VALUE"""),1043875.0)</f>
        <v>1043875</v>
      </c>
      <c r="B1193" t="str">
        <f>IFERROR(__xludf.DUMMYFUNCTION("""COMPUTED_VALUE"""),"Ms.")</f>
        <v>Ms.</v>
      </c>
      <c r="C1193" t="str">
        <f>IFERROR(__xludf.DUMMYFUNCTION("""COMPUTED_VALUE"""),"Lalita")</f>
        <v>Lalita</v>
      </c>
      <c r="D1193" t="str">
        <f>IFERROR(__xludf.DUMMYFUNCTION("""COMPUTED_VALUE"""),"Inmongkol")</f>
        <v>Inmongkol</v>
      </c>
      <c r="E1193" t="str">
        <f>IFERROR(__xludf.DUMMYFUNCTION("""COMPUTED_VALUE"""),"Lalita Inmongkol")</f>
        <v>Lalita Inmongkol</v>
      </c>
      <c r="F1193" t="str">
        <f>IFERROR(__xludf.DUMMYFUNCTION("""COMPUTED_VALUE"""),"นางสาว")</f>
        <v>นางสาว</v>
      </c>
      <c r="G1193" t="str">
        <f>IFERROR(__xludf.DUMMYFUNCTION("""COMPUTED_VALUE"""),"ลลิตา")</f>
        <v>ลลิตา</v>
      </c>
      <c r="H1193" t="str">
        <f>IFERROR(__xludf.DUMMYFUNCTION("""COMPUTED_VALUE"""),"อินมงคล")</f>
        <v>อินมงคล</v>
      </c>
      <c r="I1193" t="str">
        <f>IFERROR(__xludf.DUMMYFUNCTION("""COMPUTED_VALUE"""),"ลลิตา อินมงคล")</f>
        <v>ลลิตา อินมงคล</v>
      </c>
      <c r="J1193" t="str">
        <f>IFERROR(__xludf.DUMMYFUNCTION("""COMPUTED_VALUE"""),"Nook / นุ๊ก")</f>
        <v>Nook / นุ๊ก</v>
      </c>
      <c r="K1193" t="str">
        <f>IFERROR(__xludf.DUMMYFUNCTION("""COMPUTED_VALUE"""),"Cabin Crew")</f>
        <v>Cabin Crew</v>
      </c>
      <c r="L1193" t="str">
        <f>IFERROR(__xludf.DUMMYFUNCTION("""COMPUTED_VALUE"""),"DMK")</f>
        <v>DMK</v>
      </c>
      <c r="M1193" s="145" t="str">
        <f>IFERROR(__xludf.DUMMYFUNCTION("""COMPUTED_VALUE"""),"Nhui Home")</f>
        <v>Nhui Home</v>
      </c>
      <c r="N1193" t="str">
        <f>IFERROR(__xludf.DUMMYFUNCTION("""COMPUTED_VALUE"""),"Active")</f>
        <v>Active</v>
      </c>
      <c r="P1193" s="156">
        <f>IFERROR(__xludf.DUMMYFUNCTION("""COMPUTED_VALUE"""),35067.0)</f>
        <v>35067</v>
      </c>
      <c r="Q1193" s="146" t="str">
        <f>IFERROR(__xludf.DUMMYFUNCTION("""COMPUTED_VALUE"""),"087-4149449")</f>
        <v>087-4149449</v>
      </c>
      <c r="R1193" s="147">
        <f>IFERROR(__xludf.DUMMYFUNCTION("""COMPUTED_VALUE"""),1.102200143432E12)</f>
        <v>1102200143432</v>
      </c>
      <c r="S1193" t="str">
        <f>IFERROR(__xludf.DUMMYFUNCTION("""COMPUTED_VALUE"""),"AC8184910")</f>
        <v>AC8184910</v>
      </c>
      <c r="T1193" s="148">
        <f>IFERROR(__xludf.DUMMYFUNCTION("""COMPUTED_VALUE"""),46042.0)</f>
        <v>46042</v>
      </c>
      <c r="U1193" s="148">
        <f>IFERROR(__xludf.DUMMYFUNCTION("""COMPUTED_VALUE"""),49693.0)</f>
        <v>49693</v>
      </c>
      <c r="V1193" s="149">
        <f>IFERROR(__xludf.DUMMYFUNCTION("""COMPUTED_VALUE"""),49509.0)</f>
        <v>49509</v>
      </c>
      <c r="W1193" t="str">
        <f>IFERROR(__xludf.DUMMYFUNCTION("""COMPUTED_VALUE"""),"ปลอดภัย")</f>
        <v>ปลอดภัย</v>
      </c>
      <c r="X1193" t="str">
        <f>IFERROR(__xludf.DUMMYFUNCTION("""COMPUTED_VALUE"""),"Bangkok")</f>
        <v>Bangkok</v>
      </c>
      <c r="Y1193" t="str">
        <f>IFERROR(__xludf.DUMMYFUNCTION("""COMPUTED_VALUE"""),"Nakhon Pathom")</f>
        <v>Nakhon Pathom</v>
      </c>
      <c r="Z1193" s="145" t="str">
        <f>IFERROR(__xludf.DUMMYFUNCTION("""COMPUTED_VALUE"""),"093-4465519")</f>
        <v>093-4465519</v>
      </c>
      <c r="AA1193" t="str">
        <f>IFERROR(__xludf.DUMMYFUNCTION("""COMPUTED_VALUE"""),"นางพนาวรรณ แย้มประยูร Mother")</f>
        <v>นางพนาวรรณ แย้มประยูร Mother</v>
      </c>
      <c r="AB1193" t="str">
        <f>IFERROR(__xludf.DUMMYFUNCTION("""COMPUTED_VALUE"""),"lalitainm@airasia.com")</f>
        <v>lalitainm@airasia.com</v>
      </c>
    </row>
    <row r="1194">
      <c r="A1194">
        <f>IFERROR(__xludf.DUMMYFUNCTION("""COMPUTED_VALUE"""),1043876.0)</f>
        <v>1043876</v>
      </c>
      <c r="B1194" t="str">
        <f>IFERROR(__xludf.DUMMYFUNCTION("""COMPUTED_VALUE"""),"Ms.")</f>
        <v>Ms.</v>
      </c>
      <c r="C1194" t="str">
        <f>IFERROR(__xludf.DUMMYFUNCTION("""COMPUTED_VALUE"""),"phan")</f>
        <v>phan</v>
      </c>
      <c r="D1194" t="str">
        <f>IFERROR(__xludf.DUMMYFUNCTION("""COMPUTED_VALUE"""),"Kawashima")</f>
        <v>Kawashima</v>
      </c>
      <c r="E1194" t="str">
        <f>IFERROR(__xludf.DUMMYFUNCTION("""COMPUTED_VALUE"""),"phan Kawashima")</f>
        <v>phan Kawashima</v>
      </c>
      <c r="F1194" t="str">
        <f>IFERROR(__xludf.DUMMYFUNCTION("""COMPUTED_VALUE"""),"นางสาว")</f>
        <v>นางสาว</v>
      </c>
      <c r="G1194" t="str">
        <f>IFERROR(__xludf.DUMMYFUNCTION("""COMPUTED_VALUE"""),"นลินพรรณ")</f>
        <v>นลินพรรณ</v>
      </c>
      <c r="H1194" t="str">
        <f>IFERROR(__xludf.DUMMYFUNCTION("""COMPUTED_VALUE"""),"คาวาชิม่า")</f>
        <v>คาวาชิม่า</v>
      </c>
      <c r="I1194" t="str">
        <f>IFERROR(__xludf.DUMMYFUNCTION("""COMPUTED_VALUE"""),"นลินพรรณ คาวาชิม่า")</f>
        <v>นลินพรรณ คาวาชิม่า</v>
      </c>
      <c r="J1194" t="str">
        <f>IFERROR(__xludf.DUMMYFUNCTION("""COMPUTED_VALUE"""),"Aya/อายะ")</f>
        <v>Aya/อายะ</v>
      </c>
      <c r="K1194" t="str">
        <f>IFERROR(__xludf.DUMMYFUNCTION("""COMPUTED_VALUE"""),"Cabin Crew")</f>
        <v>Cabin Crew</v>
      </c>
      <c r="L1194" t="str">
        <f>IFERROR(__xludf.DUMMYFUNCTION("""COMPUTED_VALUE"""),"DMK")</f>
        <v>DMK</v>
      </c>
      <c r="M1194" s="145" t="str">
        <f>IFERROR(__xludf.DUMMYFUNCTION("""COMPUTED_VALUE"""),"Um Home")</f>
        <v>Um Home</v>
      </c>
      <c r="N1194" t="str">
        <f>IFERROR(__xludf.DUMMYFUNCTION("""COMPUTED_VALUE"""),"Active")</f>
        <v>Active</v>
      </c>
      <c r="O1194" t="str">
        <f>IFERROR(__xludf.DUMMYFUNCTION("""COMPUTED_VALUE"""),"Japanese Speaking")</f>
        <v>Japanese Speaking</v>
      </c>
      <c r="P1194" s="156">
        <f>IFERROR(__xludf.DUMMYFUNCTION("""COMPUTED_VALUE"""),36091.0)</f>
        <v>36091</v>
      </c>
      <c r="Q1194" s="146">
        <f>IFERROR(__xludf.DUMMYFUNCTION("""COMPUTED_VALUE"""),9.54959902E8)</f>
        <v>954959902</v>
      </c>
      <c r="R1194" s="147">
        <f>IFERROR(__xludf.DUMMYFUNCTION("""COMPUTED_VALUE"""),1.10470000638E12)</f>
        <v>1104700006380</v>
      </c>
      <c r="S1194" t="str">
        <f>IFERROR(__xludf.DUMMYFUNCTION("""COMPUTED_VALUE"""),"AD1642814")</f>
        <v>AD1642814</v>
      </c>
      <c r="T1194" s="148">
        <f>IFERROR(__xludf.DUMMYFUNCTION("""COMPUTED_VALUE"""),45319.0)</f>
        <v>45319</v>
      </c>
      <c r="U1194" s="148">
        <f>IFERROR(__xludf.DUMMYFUNCTION("""COMPUTED_VALUE"""),48971.0)</f>
        <v>48971</v>
      </c>
      <c r="V1194" s="149">
        <f>IFERROR(__xludf.DUMMYFUNCTION("""COMPUTED_VALUE"""),48787.0)</f>
        <v>48787</v>
      </c>
      <c r="W1194" t="str">
        <f>IFERROR(__xludf.DUMMYFUNCTION("""COMPUTED_VALUE"""),"ปลอดภัย")</f>
        <v>ปลอดภัย</v>
      </c>
      <c r="X1194" t="str">
        <f>IFERROR(__xludf.DUMMYFUNCTION("""COMPUTED_VALUE"""),"Bangkok")</f>
        <v>Bangkok</v>
      </c>
      <c r="Y1194" t="str">
        <f>IFERROR(__xludf.DUMMYFUNCTION("""COMPUTED_VALUE"""),"Bangkok")</f>
        <v>Bangkok</v>
      </c>
      <c r="Z1194" s="145" t="str">
        <f>IFERROR(__xludf.DUMMYFUNCTION("""COMPUTED_VALUE"""),"0952536158")</f>
        <v>0952536158</v>
      </c>
      <c r="AA1194" t="str">
        <f>IFERROR(__xludf.DUMMYFUNCTION("""COMPUTED_VALUE"""),"รินทร์ มัสสึดะ Friend")</f>
        <v>รินทร์ มัสสึดะ Friend</v>
      </c>
      <c r="AB1194" t="str">
        <f>IFERROR(__xludf.DUMMYFUNCTION("""COMPUTED_VALUE"""),"phankaw@airasia.com")</f>
        <v>phankaw@airasia.com</v>
      </c>
    </row>
    <row r="1195">
      <c r="A1195">
        <f>IFERROR(__xludf.DUMMYFUNCTION("""COMPUTED_VALUE"""),1043877.0)</f>
        <v>1043877</v>
      </c>
      <c r="B1195" t="str">
        <f>IFERROR(__xludf.DUMMYFUNCTION("""COMPUTED_VALUE"""),"Mr.")</f>
        <v>Mr.</v>
      </c>
      <c r="C1195" t="str">
        <f>IFERROR(__xludf.DUMMYFUNCTION("""COMPUTED_VALUE"""),"Gwyn")</f>
        <v>Gwyn</v>
      </c>
      <c r="D1195" t="str">
        <f>IFERROR(__xludf.DUMMYFUNCTION("""COMPUTED_VALUE"""),"Pahonpipat")</f>
        <v>Pahonpipat</v>
      </c>
      <c r="E1195" t="str">
        <f>IFERROR(__xludf.DUMMYFUNCTION("""COMPUTED_VALUE"""),"Gwyn Pahonpipat")</f>
        <v>Gwyn Pahonpipat</v>
      </c>
      <c r="F1195" t="str">
        <f>IFERROR(__xludf.DUMMYFUNCTION("""COMPUTED_VALUE"""),"นาย")</f>
        <v>นาย</v>
      </c>
      <c r="G1195" t="str">
        <f>IFERROR(__xludf.DUMMYFUNCTION("""COMPUTED_VALUE"""),"กวินท์")</f>
        <v>กวินท์</v>
      </c>
      <c r="H1195" t="str">
        <f>IFERROR(__xludf.DUMMYFUNCTION("""COMPUTED_VALUE"""),"พหลพิพัฒน์")</f>
        <v>พหลพิพัฒน์</v>
      </c>
      <c r="I1195" t="str">
        <f>IFERROR(__xludf.DUMMYFUNCTION("""COMPUTED_VALUE"""),"กวินท์ พหลพิพัฒน์")</f>
        <v>กวินท์ พหลพิพัฒน์</v>
      </c>
      <c r="J1195" t="str">
        <f>IFERROR(__xludf.DUMMYFUNCTION("""COMPUTED_VALUE"""),"Wyn วิน")</f>
        <v>Wyn วิน</v>
      </c>
      <c r="K1195" t="str">
        <f>IFERROR(__xludf.DUMMYFUNCTION("""COMPUTED_VALUE"""),"Cabin Crew")</f>
        <v>Cabin Crew</v>
      </c>
      <c r="L1195" t="str">
        <f>IFERROR(__xludf.DUMMYFUNCTION("""COMPUTED_VALUE"""),"DMK")</f>
        <v>DMK</v>
      </c>
      <c r="M1195" s="145" t="str">
        <f>IFERROR(__xludf.DUMMYFUNCTION("""COMPUTED_VALUE"""),"Um Home")</f>
        <v>Um Home</v>
      </c>
      <c r="N1195" t="str">
        <f>IFERROR(__xludf.DUMMYFUNCTION("""COMPUTED_VALUE"""),"Active")</f>
        <v>Active</v>
      </c>
      <c r="O1195" t="str">
        <f>IFERROR(__xludf.DUMMYFUNCTION("""COMPUTED_VALUE"""),"Japanese Speaking")</f>
        <v>Japanese Speaking</v>
      </c>
      <c r="P1195" s="156">
        <f>IFERROR(__xludf.DUMMYFUNCTION("""COMPUTED_VALUE"""),36887.0)</f>
        <v>36887</v>
      </c>
      <c r="Q1195" s="146">
        <f>IFERROR(__xludf.DUMMYFUNCTION("""COMPUTED_VALUE"""),9.54466922E8)</f>
        <v>954466922</v>
      </c>
      <c r="R1195" s="147">
        <f>IFERROR(__xludf.DUMMYFUNCTION("""COMPUTED_VALUE"""),1.102003239852E12)</f>
        <v>1102003239852</v>
      </c>
      <c r="S1195" t="str">
        <f>IFERROR(__xludf.DUMMYFUNCTION("""COMPUTED_VALUE"""),"AC2830612")</f>
        <v>AC2830612</v>
      </c>
      <c r="T1195" s="148">
        <f>IFERROR(__xludf.DUMMYFUNCTION("""COMPUTED_VALUE"""),44519.0)</f>
        <v>44519</v>
      </c>
      <c r="U1195" s="148">
        <f>IFERROR(__xludf.DUMMYFUNCTION("""COMPUTED_VALUE"""),48170.0)</f>
        <v>48170</v>
      </c>
      <c r="V1195" s="149">
        <f>IFERROR(__xludf.DUMMYFUNCTION("""COMPUTED_VALUE"""),47986.0)</f>
        <v>47986</v>
      </c>
      <c r="W1195" t="str">
        <f>IFERROR(__xludf.DUMMYFUNCTION("""COMPUTED_VALUE"""),"ปลอดภัย")</f>
        <v>ปลอดภัย</v>
      </c>
      <c r="X1195" t="str">
        <f>IFERROR(__xludf.DUMMYFUNCTION("""COMPUTED_VALUE"""),"Bangkok")</f>
        <v>Bangkok</v>
      </c>
      <c r="Y1195" t="str">
        <f>IFERROR(__xludf.DUMMYFUNCTION("""COMPUTED_VALUE"""),"Nonthaburi")</f>
        <v>Nonthaburi</v>
      </c>
      <c r="Z1195" s="145">
        <f>IFERROR(__xludf.DUMMYFUNCTION("""COMPUTED_VALUE"""),9.02635424E8)</f>
        <v>902635424</v>
      </c>
      <c r="AA1195" t="str">
        <f>IFERROR(__xludf.DUMMYFUNCTION("""COMPUTED_VALUE"""),"มนธนิกันต์ พหลพิพัฒน์ Mother")</f>
        <v>มนธนิกันต์ พหลพิพัฒน์ Mother</v>
      </c>
      <c r="AB1195" t="str">
        <f>IFERROR(__xludf.DUMMYFUNCTION("""COMPUTED_VALUE"""),"gwynpah@airasia.com")</f>
        <v>gwynpah@airasia.com</v>
      </c>
    </row>
    <row r="1196">
      <c r="A1196">
        <f>IFERROR(__xludf.DUMMYFUNCTION("""COMPUTED_VALUE"""),1043878.0)</f>
        <v>1043878</v>
      </c>
      <c r="B1196" t="str">
        <f>IFERROR(__xludf.DUMMYFUNCTION("""COMPUTED_VALUE"""),"Mr.")</f>
        <v>Mr.</v>
      </c>
      <c r="C1196" t="str">
        <f>IFERROR(__xludf.DUMMYFUNCTION("""COMPUTED_VALUE"""),"Nakarin")</f>
        <v>Nakarin</v>
      </c>
      <c r="D1196" t="str">
        <f>IFERROR(__xludf.DUMMYFUNCTION("""COMPUTED_VALUE"""),"Chang")</f>
        <v>Chang</v>
      </c>
      <c r="E1196" t="str">
        <f>IFERROR(__xludf.DUMMYFUNCTION("""COMPUTED_VALUE"""),"Nakarin Chang")</f>
        <v>Nakarin Chang</v>
      </c>
      <c r="F1196" t="str">
        <f>IFERROR(__xludf.DUMMYFUNCTION("""COMPUTED_VALUE"""),"นาย")</f>
        <v>นาย</v>
      </c>
      <c r="G1196" t="str">
        <f>IFERROR(__xludf.DUMMYFUNCTION("""COMPUTED_VALUE"""),"นครินทร์")</f>
        <v>นครินทร์</v>
      </c>
      <c r="H1196" t="str">
        <f>IFERROR(__xludf.DUMMYFUNCTION("""COMPUTED_VALUE"""),"จาง")</f>
        <v>จาง</v>
      </c>
      <c r="I1196" t="str">
        <f>IFERROR(__xludf.DUMMYFUNCTION("""COMPUTED_VALUE"""),"นครินทร์ จาง")</f>
        <v>นครินทร์ จาง</v>
      </c>
      <c r="J1196" t="str">
        <f>IFERROR(__xludf.DUMMYFUNCTION("""COMPUTED_VALUE"""),"ข้าวโอ๊ต")</f>
        <v>ข้าวโอ๊ต</v>
      </c>
      <c r="K1196" t="str">
        <f>IFERROR(__xludf.DUMMYFUNCTION("""COMPUTED_VALUE"""),"Cabin Crew")</f>
        <v>Cabin Crew</v>
      </c>
      <c r="L1196" t="str">
        <f>IFERROR(__xludf.DUMMYFUNCTION("""COMPUTED_VALUE"""),"DMK")</f>
        <v>DMK</v>
      </c>
      <c r="M1196" s="145" t="str">
        <f>IFERROR(__xludf.DUMMYFUNCTION("""COMPUTED_VALUE"""),"Namfon Home")</f>
        <v>Namfon Home</v>
      </c>
      <c r="N1196" t="str">
        <f>IFERROR(__xludf.DUMMYFUNCTION("""COMPUTED_VALUE"""),"Active")</f>
        <v>Active</v>
      </c>
      <c r="O1196" t="str">
        <f>IFERROR(__xludf.DUMMYFUNCTION("""COMPUTED_VALUE"""),"Japanese Speaking")</f>
        <v>Japanese Speaking</v>
      </c>
      <c r="P1196" s="156">
        <f>IFERROR(__xludf.DUMMYFUNCTION("""COMPUTED_VALUE"""),36481.0)</f>
        <v>36481</v>
      </c>
      <c r="Q1196" s="146">
        <f>IFERROR(__xludf.DUMMYFUNCTION("""COMPUTED_VALUE"""),9.32018449E8)</f>
        <v>932018449</v>
      </c>
      <c r="R1196" s="147">
        <f>IFERROR(__xludf.DUMMYFUNCTION("""COMPUTED_VALUE"""),1.509963053479E12)</f>
        <v>1509963053479</v>
      </c>
      <c r="S1196" t="str">
        <f>IFERROR(__xludf.DUMMYFUNCTION("""COMPUTED_VALUE"""),"AC6444673")</f>
        <v>AC6444673</v>
      </c>
      <c r="T1196" s="148">
        <f>IFERROR(__xludf.DUMMYFUNCTION("""COMPUTED_VALUE"""),45373.0)</f>
        <v>45373</v>
      </c>
      <c r="U1196" s="148">
        <f>IFERROR(__xludf.DUMMYFUNCTION("""COMPUTED_VALUE"""),49024.0)</f>
        <v>49024</v>
      </c>
      <c r="V1196" s="149">
        <f>IFERROR(__xludf.DUMMYFUNCTION("""COMPUTED_VALUE"""),48843.0)</f>
        <v>48843</v>
      </c>
      <c r="W1196" t="str">
        <f>IFERROR(__xludf.DUMMYFUNCTION("""COMPUTED_VALUE"""),"ปลอดภัย")</f>
        <v>ปลอดภัย</v>
      </c>
      <c r="X1196" t="str">
        <f>IFERROR(__xludf.DUMMYFUNCTION("""COMPUTED_VALUE"""),"Chiang Mai Province")</f>
        <v>Chiang Mai Province</v>
      </c>
      <c r="Y1196" t="str">
        <f>IFERROR(__xludf.DUMMYFUNCTION("""COMPUTED_VALUE"""),"Bangkok")</f>
        <v>Bangkok</v>
      </c>
      <c r="Z1196" s="145" t="str">
        <f>IFERROR(__xludf.DUMMYFUNCTION("""COMPUTED_VALUE"""),"0818817860")</f>
        <v>0818817860</v>
      </c>
      <c r="AA1196" t="str">
        <f>IFERROR(__xludf.DUMMYFUNCTION("""COMPUTED_VALUE"""),"นิศารัตน์ พงศ์วิมลศิริ Mother")</f>
        <v>นิศารัตน์ พงศ์วิมลศิริ Mother</v>
      </c>
      <c r="AB1196" t="str">
        <f>IFERROR(__xludf.DUMMYFUNCTION("""COMPUTED_VALUE"""),"nakarincha@airasia.com")</f>
        <v>nakarincha@airasia.com</v>
      </c>
    </row>
    <row r="1197">
      <c r="A1197">
        <f>IFERROR(__xludf.DUMMYFUNCTION("""COMPUTED_VALUE"""),1043879.0)</f>
        <v>1043879</v>
      </c>
      <c r="B1197" t="str">
        <f>IFERROR(__xludf.DUMMYFUNCTION("""COMPUTED_VALUE"""),"Ms.")</f>
        <v>Ms.</v>
      </c>
      <c r="C1197" t="str">
        <f>IFERROR(__xludf.DUMMYFUNCTION("""COMPUTED_VALUE"""),"Thanyaphon")</f>
        <v>Thanyaphon</v>
      </c>
      <c r="D1197" t="str">
        <f>IFERROR(__xludf.DUMMYFUNCTION("""COMPUTED_VALUE"""),"Chiraphatphokin")</f>
        <v>Chiraphatphokin</v>
      </c>
      <c r="E1197" t="str">
        <f>IFERROR(__xludf.DUMMYFUNCTION("""COMPUTED_VALUE"""),"Thanyaphon Chiraphatphokin")</f>
        <v>Thanyaphon Chiraphatphokin</v>
      </c>
      <c r="F1197" t="str">
        <f>IFERROR(__xludf.DUMMYFUNCTION("""COMPUTED_VALUE"""),"นางสาว")</f>
        <v>นางสาว</v>
      </c>
      <c r="G1197" t="str">
        <f>IFERROR(__xludf.DUMMYFUNCTION("""COMPUTED_VALUE"""),"ธัญพร")</f>
        <v>ธัญพร</v>
      </c>
      <c r="H1197" t="str">
        <f>IFERROR(__xludf.DUMMYFUNCTION("""COMPUTED_VALUE"""),"จิรภาสโภคิน")</f>
        <v>จิรภาสโภคิน</v>
      </c>
      <c r="I1197" t="str">
        <f>IFERROR(__xludf.DUMMYFUNCTION("""COMPUTED_VALUE"""),"ธัญพร จิรภาสโภคิน")</f>
        <v>ธัญพร จิรภาสโภคิน</v>
      </c>
      <c r="J1197" t="str">
        <f>IFERROR(__xludf.DUMMYFUNCTION("""COMPUTED_VALUE"""),"แอน")</f>
        <v>แอน</v>
      </c>
      <c r="K1197" t="str">
        <f>IFERROR(__xludf.DUMMYFUNCTION("""COMPUTED_VALUE"""),"Cabin Crew")</f>
        <v>Cabin Crew</v>
      </c>
      <c r="L1197" t="str">
        <f>IFERROR(__xludf.DUMMYFUNCTION("""COMPUTED_VALUE"""),"DMK")</f>
        <v>DMK</v>
      </c>
      <c r="M1197" s="145" t="str">
        <f>IFERROR(__xludf.DUMMYFUNCTION("""COMPUTED_VALUE"""),"Toffy Home")</f>
        <v>Toffy Home</v>
      </c>
      <c r="N1197" t="str">
        <f>IFERROR(__xludf.DUMMYFUNCTION("""COMPUTED_VALUE"""),"Active")</f>
        <v>Active</v>
      </c>
      <c r="O1197" t="str">
        <f>IFERROR(__xludf.DUMMYFUNCTION("""COMPUTED_VALUE"""),"Japanese Speaking / Korean Speaking")</f>
        <v>Japanese Speaking / Korean Speaking</v>
      </c>
      <c r="P1197" s="156">
        <f>IFERROR(__xludf.DUMMYFUNCTION("""COMPUTED_VALUE"""),36269.0)</f>
        <v>36269</v>
      </c>
      <c r="Q1197" s="146">
        <f>IFERROR(__xludf.DUMMYFUNCTION("""COMPUTED_VALUE"""),6.38953822E8)</f>
        <v>638953822</v>
      </c>
      <c r="R1197" s="147">
        <f>IFERROR(__xludf.DUMMYFUNCTION("""COMPUTED_VALUE"""),1.104300159332E12)</f>
        <v>1104300159332</v>
      </c>
      <c r="S1197" t="str">
        <f>IFERROR(__xludf.DUMMYFUNCTION("""COMPUTED_VALUE"""),"AC7332072")</f>
        <v>AC7332072</v>
      </c>
      <c r="T1197" s="148">
        <f>IFERROR(__xludf.DUMMYFUNCTION("""COMPUTED_VALUE"""),45555.0)</f>
        <v>45555</v>
      </c>
      <c r="U1197" s="148">
        <f>IFERROR(__xludf.DUMMYFUNCTION("""COMPUTED_VALUE"""),47380.0)</f>
        <v>47380</v>
      </c>
      <c r="V1197" s="149">
        <f>IFERROR(__xludf.DUMMYFUNCTION("""COMPUTED_VALUE"""),47196.0)</f>
        <v>47196</v>
      </c>
      <c r="W1197" t="str">
        <f>IFERROR(__xludf.DUMMYFUNCTION("""COMPUTED_VALUE"""),"ปลอดภัย")</f>
        <v>ปลอดภัย</v>
      </c>
      <c r="X1197" t="str">
        <f>IFERROR(__xludf.DUMMYFUNCTION("""COMPUTED_VALUE"""),"Bangkok")</f>
        <v>Bangkok</v>
      </c>
      <c r="Y1197" t="str">
        <f>IFERROR(__xludf.DUMMYFUNCTION("""COMPUTED_VALUE"""),"Bangkok")</f>
        <v>Bangkok</v>
      </c>
      <c r="Z1197" s="145" t="str">
        <f>IFERROR(__xludf.DUMMYFUNCTION("""COMPUTED_VALUE"""),"06-4143-1919")</f>
        <v>06-4143-1919</v>
      </c>
      <c r="AA1197" t="str">
        <f>IFERROR(__xludf.DUMMYFUNCTION("""COMPUTED_VALUE"""),"ธัญนันท์ มานิตย์วงษ์ Mother")</f>
        <v>ธัญนันท์ มานิตย์วงษ์ Mother</v>
      </c>
      <c r="AB1197" t="str">
        <f>IFERROR(__xludf.DUMMYFUNCTION("""COMPUTED_VALUE"""),"thanyaphonchi@airasia.com")</f>
        <v>thanyaphonchi@airasia.com</v>
      </c>
    </row>
    <row r="1198">
      <c r="A1198">
        <f>IFERROR(__xludf.DUMMYFUNCTION("""COMPUTED_VALUE"""),1043880.0)</f>
        <v>1043880</v>
      </c>
      <c r="B1198" t="str">
        <f>IFERROR(__xludf.DUMMYFUNCTION("""COMPUTED_VALUE"""),"Mr.")</f>
        <v>Mr.</v>
      </c>
      <c r="C1198" t="str">
        <f>IFERROR(__xludf.DUMMYFUNCTION("""COMPUTED_VALUE"""),"Teeranantpat")</f>
        <v>Teeranantpat</v>
      </c>
      <c r="D1198" t="str">
        <f>IFERROR(__xludf.DUMMYFUNCTION("""COMPUTED_VALUE"""),"Joengklinjantana")</f>
        <v>Joengklinjantana</v>
      </c>
      <c r="E1198" t="str">
        <f>IFERROR(__xludf.DUMMYFUNCTION("""COMPUTED_VALUE"""),"Teeranantpat Joengklinjantana")</f>
        <v>Teeranantpat Joengklinjantana</v>
      </c>
      <c r="F1198" t="str">
        <f>IFERROR(__xludf.DUMMYFUNCTION("""COMPUTED_VALUE"""),"นาย")</f>
        <v>นาย</v>
      </c>
      <c r="G1198" t="str">
        <f>IFERROR(__xludf.DUMMYFUNCTION("""COMPUTED_VALUE"""),"ธีรนันทน์ภัทร์")</f>
        <v>ธีรนันทน์ภัทร์</v>
      </c>
      <c r="H1198" t="str">
        <f>IFERROR(__xludf.DUMMYFUNCTION("""COMPUTED_VALUE"""),"เจิงกลิ่นจันทน์")</f>
        <v>เจิงกลิ่นจันทน์</v>
      </c>
      <c r="I1198" t="str">
        <f>IFERROR(__xludf.DUMMYFUNCTION("""COMPUTED_VALUE"""),"ธีรนันทน์ภัทร์ เจิงกลิ่นจันทน์")</f>
        <v>ธีรนันทน์ภัทร์ เจิงกลิ่นจันทน์</v>
      </c>
      <c r="J1198" t="str">
        <f>IFERROR(__xludf.DUMMYFUNCTION("""COMPUTED_VALUE"""),"คิน")</f>
        <v>คิน</v>
      </c>
      <c r="K1198" t="str">
        <f>IFERROR(__xludf.DUMMYFUNCTION("""COMPUTED_VALUE"""),"Cabin Crew")</f>
        <v>Cabin Crew</v>
      </c>
      <c r="L1198" t="str">
        <f>IFERROR(__xludf.DUMMYFUNCTION("""COMPUTED_VALUE"""),"DMK")</f>
        <v>DMK</v>
      </c>
      <c r="M1198" s="145" t="str">
        <f>IFERROR(__xludf.DUMMYFUNCTION("""COMPUTED_VALUE"""),"Nhui Home")</f>
        <v>Nhui Home</v>
      </c>
      <c r="N1198" t="str">
        <f>IFERROR(__xludf.DUMMYFUNCTION("""COMPUTED_VALUE"""),"Active")</f>
        <v>Active</v>
      </c>
      <c r="O1198" t="str">
        <f>IFERROR(__xludf.DUMMYFUNCTION("""COMPUTED_VALUE"""),"Japanese Speaking")</f>
        <v>Japanese Speaking</v>
      </c>
      <c r="P1198" s="156">
        <f>IFERROR(__xludf.DUMMYFUNCTION("""COMPUTED_VALUE"""),35301.0)</f>
        <v>35301</v>
      </c>
      <c r="Q1198" s="146">
        <f>IFERROR(__xludf.DUMMYFUNCTION("""COMPUTED_VALUE"""),9.22621065E8)</f>
        <v>922621065</v>
      </c>
      <c r="R1198" s="147">
        <f>IFERROR(__xludf.DUMMYFUNCTION("""COMPUTED_VALUE"""),1.101402119451E12)</f>
        <v>1101402119451</v>
      </c>
      <c r="S1198" t="str">
        <f>IFERROR(__xludf.DUMMYFUNCTION("""COMPUTED_VALUE"""),"AD1043471")</f>
        <v>AD1043471</v>
      </c>
      <c r="T1198" s="148">
        <f>IFERROR(__xludf.DUMMYFUNCTION("""COMPUTED_VALUE"""),45054.0)</f>
        <v>45054</v>
      </c>
      <c r="U1198" s="148">
        <f>IFERROR(__xludf.DUMMYFUNCTION("""COMPUTED_VALUE"""),46880.0)</f>
        <v>46880</v>
      </c>
      <c r="V1198" s="149">
        <f>IFERROR(__xludf.DUMMYFUNCTION("""COMPUTED_VALUE"""),46698.0)</f>
        <v>46698</v>
      </c>
      <c r="W1198" t="str">
        <f>IFERROR(__xludf.DUMMYFUNCTION("""COMPUTED_VALUE"""),"ปลอดภัย")</f>
        <v>ปลอดภัย</v>
      </c>
      <c r="X1198" t="str">
        <f>IFERROR(__xludf.DUMMYFUNCTION("""COMPUTED_VALUE"""),"Bangkok")</f>
        <v>Bangkok</v>
      </c>
      <c r="Y1198" t="str">
        <f>IFERROR(__xludf.DUMMYFUNCTION("""COMPUTED_VALUE"""),"Nonthaburi")</f>
        <v>Nonthaburi</v>
      </c>
      <c r="Z1198" s="145" t="str">
        <f>IFERROR(__xludf.DUMMYFUNCTION("""COMPUTED_VALUE"""),"0914089065")</f>
        <v>0914089065</v>
      </c>
      <c r="AA1198" t="str">
        <f>IFERROR(__xludf.DUMMYFUNCTION("""COMPUTED_VALUE"""),"มนัสวีนันทน์ เจิงกลิ่นจันทน์ Sister")</f>
        <v>มนัสวีนันทน์ เจิงกลิ่นจันทน์ Sister</v>
      </c>
      <c r="AB1198" t="str">
        <f>IFERROR(__xludf.DUMMYFUNCTION("""COMPUTED_VALUE"""),"teeranantpatjoe@airasia.com")</f>
        <v>teeranantpatjoe@airasia.com</v>
      </c>
    </row>
    <row r="1199">
      <c r="A1199">
        <f>IFERROR(__xludf.DUMMYFUNCTION("""COMPUTED_VALUE"""),1043881.0)</f>
        <v>1043881</v>
      </c>
      <c r="B1199" t="str">
        <f>IFERROR(__xludf.DUMMYFUNCTION("""COMPUTED_VALUE"""),"Ms.")</f>
        <v>Ms.</v>
      </c>
      <c r="C1199" t="str">
        <f>IFERROR(__xludf.DUMMYFUNCTION("""COMPUTED_VALUE"""),"Fuko")</f>
        <v>Fuko</v>
      </c>
      <c r="D1199" t="str">
        <f>IFERROR(__xludf.DUMMYFUNCTION("""COMPUTED_VALUE"""),"Sugawara")</f>
        <v>Sugawara</v>
      </c>
      <c r="E1199" t="str">
        <f>IFERROR(__xludf.DUMMYFUNCTION("""COMPUTED_VALUE"""),"Fuko Sugawara")</f>
        <v>Fuko Sugawara</v>
      </c>
      <c r="F1199" t="str">
        <f>IFERROR(__xludf.DUMMYFUNCTION("""COMPUTED_VALUE"""),"นางสาว")</f>
        <v>นางสาว</v>
      </c>
      <c r="G1199" t="str">
        <f>IFERROR(__xludf.DUMMYFUNCTION("""COMPUTED_VALUE"""),"ฟูโกะ")</f>
        <v>ฟูโกะ</v>
      </c>
      <c r="H1199" t="str">
        <f>IFERROR(__xludf.DUMMYFUNCTION("""COMPUTED_VALUE"""),"ซึกาวาร่า")</f>
        <v>ซึกาวาร่า</v>
      </c>
      <c r="I1199" t="str">
        <f>IFERROR(__xludf.DUMMYFUNCTION("""COMPUTED_VALUE"""),"ฟูโกะ ซึกาวาร่า")</f>
        <v>ฟูโกะ ซึกาวาร่า</v>
      </c>
      <c r="J1199" t="str">
        <f>IFERROR(__xludf.DUMMYFUNCTION("""COMPUTED_VALUE"""),"Fuko/ฟูโกะ")</f>
        <v>Fuko/ฟูโกะ</v>
      </c>
      <c r="K1199" t="str">
        <f>IFERROR(__xludf.DUMMYFUNCTION("""COMPUTED_VALUE"""),"Cabin Crew")</f>
        <v>Cabin Crew</v>
      </c>
      <c r="L1199" t="str">
        <f>IFERROR(__xludf.DUMMYFUNCTION("""COMPUTED_VALUE"""),"DMK")</f>
        <v>DMK</v>
      </c>
      <c r="M1199" s="145" t="str">
        <f>IFERROR(__xludf.DUMMYFUNCTION("""COMPUTED_VALUE"""),"Namfon Home")</f>
        <v>Namfon Home</v>
      </c>
      <c r="N1199" t="str">
        <f>IFERROR(__xludf.DUMMYFUNCTION("""COMPUTED_VALUE"""),"Active")</f>
        <v>Active</v>
      </c>
      <c r="O1199" t="str">
        <f>IFERROR(__xludf.DUMMYFUNCTION("""COMPUTED_VALUE"""),"Japanese Speaking")</f>
        <v>Japanese Speaking</v>
      </c>
      <c r="P1199" s="156">
        <f>IFERROR(__xludf.DUMMYFUNCTION("""COMPUTED_VALUE"""),37254.0)</f>
        <v>37254</v>
      </c>
      <c r="Q1199" s="146" t="str">
        <f>IFERROR(__xludf.DUMMYFUNCTION("""COMPUTED_VALUE"""),"099-610-2225")</f>
        <v>099-610-2225</v>
      </c>
      <c r="R1199" s="147">
        <f>IFERROR(__xludf.DUMMYFUNCTION("""COMPUTED_VALUE"""),1.104700042921E12)</f>
        <v>1104700042921</v>
      </c>
      <c r="S1199" t="str">
        <f>IFERROR(__xludf.DUMMYFUNCTION("""COMPUTED_VALUE"""),"AC2859138")</f>
        <v>AC2859138</v>
      </c>
      <c r="T1199" s="148">
        <f>IFERROR(__xludf.DUMMYFUNCTION("""COMPUTED_VALUE"""),44595.0)</f>
        <v>44595</v>
      </c>
      <c r="U1199" s="148">
        <f>IFERROR(__xludf.DUMMYFUNCTION("""COMPUTED_VALUE"""),48246.0)</f>
        <v>48246</v>
      </c>
      <c r="V1199" s="149">
        <f>IFERROR(__xludf.DUMMYFUNCTION("""COMPUTED_VALUE"""),48062.0)</f>
        <v>48062</v>
      </c>
      <c r="W1199" t="str">
        <f>IFERROR(__xludf.DUMMYFUNCTION("""COMPUTED_VALUE"""),"ปลอดภัย")</f>
        <v>ปลอดภัย</v>
      </c>
      <c r="X1199" t="str">
        <f>IFERROR(__xludf.DUMMYFUNCTION("""COMPUTED_VALUE"""),"Bangkok")</f>
        <v>Bangkok</v>
      </c>
      <c r="Y1199" t="str">
        <f>IFERROR(__xludf.DUMMYFUNCTION("""COMPUTED_VALUE"""),"Bangkok")</f>
        <v>Bangkok</v>
      </c>
      <c r="Z1199" s="145" t="str">
        <f>IFERROR(__xludf.DUMMYFUNCTION("""COMPUTED_VALUE"""),"081-827-8937")</f>
        <v>081-827-8937</v>
      </c>
      <c r="AA1199" t="str">
        <f>IFERROR(__xludf.DUMMYFUNCTION("""COMPUTED_VALUE"""),"นางฉวีวรรณ ซึกาวาร่า Mother")</f>
        <v>นางฉวีวรรณ ซึกาวาร่า Mother</v>
      </c>
      <c r="AB1199" t="str">
        <f>IFERROR(__xludf.DUMMYFUNCTION("""COMPUTED_VALUE"""),"fukosug@airasia.com")</f>
        <v>fukosug@airasia.com</v>
      </c>
    </row>
    <row r="1200">
      <c r="A1200">
        <f>IFERROR(__xludf.DUMMYFUNCTION("""COMPUTED_VALUE"""),1043882.0)</f>
        <v>1043882</v>
      </c>
      <c r="B1200" t="str">
        <f>IFERROR(__xludf.DUMMYFUNCTION("""COMPUTED_VALUE"""),"Ms.")</f>
        <v>Ms.</v>
      </c>
      <c r="C1200" t="str">
        <f>IFERROR(__xludf.DUMMYFUNCTION("""COMPUTED_VALUE"""),"Nannat")</f>
        <v>Nannat</v>
      </c>
      <c r="D1200" t="str">
        <f>IFERROR(__xludf.DUMMYFUNCTION("""COMPUTED_VALUE"""),"Wongset")</f>
        <v>Wongset</v>
      </c>
      <c r="E1200" t="str">
        <f>IFERROR(__xludf.DUMMYFUNCTION("""COMPUTED_VALUE"""),"Nannat Wongset")</f>
        <v>Nannat Wongset</v>
      </c>
      <c r="F1200" t="str">
        <f>IFERROR(__xludf.DUMMYFUNCTION("""COMPUTED_VALUE"""),"นางสาว")</f>
        <v>นางสาว</v>
      </c>
      <c r="G1200" t="str">
        <f>IFERROR(__xludf.DUMMYFUNCTION("""COMPUTED_VALUE"""),"นันท์ณัฏฐ")</f>
        <v>นันท์ณัฏฐ</v>
      </c>
      <c r="H1200" t="str">
        <f>IFERROR(__xludf.DUMMYFUNCTION("""COMPUTED_VALUE"""),"วงษ์เศษ")</f>
        <v>วงษ์เศษ</v>
      </c>
      <c r="I1200" t="str">
        <f>IFERROR(__xludf.DUMMYFUNCTION("""COMPUTED_VALUE"""),"นันท์ณัฏฐ วงษ์เศษ")</f>
        <v>นันท์ณัฏฐ วงษ์เศษ</v>
      </c>
      <c r="J1200" t="str">
        <f>IFERROR(__xludf.DUMMYFUNCTION("""COMPUTED_VALUE"""),"Guide\ไกด์")</f>
        <v>Guide\ไกด์</v>
      </c>
      <c r="K1200" t="str">
        <f>IFERROR(__xludf.DUMMYFUNCTION("""COMPUTED_VALUE"""),"Cabin Crew")</f>
        <v>Cabin Crew</v>
      </c>
      <c r="L1200" t="str">
        <f>IFERROR(__xludf.DUMMYFUNCTION("""COMPUTED_VALUE"""),"DMK")</f>
        <v>DMK</v>
      </c>
      <c r="M1200" s="145" t="str">
        <f>IFERROR(__xludf.DUMMYFUNCTION("""COMPUTED_VALUE"""),"Um Home")</f>
        <v>Um Home</v>
      </c>
      <c r="N1200" t="str">
        <f>IFERROR(__xludf.DUMMYFUNCTION("""COMPUTED_VALUE"""),"Active")</f>
        <v>Active</v>
      </c>
      <c r="O1200" t="str">
        <f>IFERROR(__xludf.DUMMYFUNCTION("""COMPUTED_VALUE"""),"Japanese Speaking")</f>
        <v>Japanese Speaking</v>
      </c>
      <c r="P1200" s="156">
        <f>IFERROR(__xludf.DUMMYFUNCTION("""COMPUTED_VALUE"""),35794.0)</f>
        <v>35794</v>
      </c>
      <c r="Q1200" s="146">
        <f>IFERROR(__xludf.DUMMYFUNCTION("""COMPUTED_VALUE"""),9.22088138E8)</f>
        <v>922088138</v>
      </c>
      <c r="R1200" s="147">
        <f>IFERROR(__xludf.DUMMYFUNCTION("""COMPUTED_VALUE"""),1.160400224515E12)</f>
        <v>1160400224515</v>
      </c>
      <c r="S1200" t="str">
        <f>IFERROR(__xludf.DUMMYFUNCTION("""COMPUTED_VALUE"""),"Ac2234096")</f>
        <v>Ac2234096</v>
      </c>
      <c r="T1200" s="148">
        <f>IFERROR(__xludf.DUMMYFUNCTION("""COMPUTED_VALUE"""),44284.0)</f>
        <v>44284</v>
      </c>
      <c r="U1200" s="148">
        <f>IFERROR(__xludf.DUMMYFUNCTION("""COMPUTED_VALUE"""),47935.0)</f>
        <v>47935</v>
      </c>
      <c r="V1200" s="149">
        <f>IFERROR(__xludf.DUMMYFUNCTION("""COMPUTED_VALUE"""),47754.0)</f>
        <v>47754</v>
      </c>
      <c r="W1200" t="str">
        <f>IFERROR(__xludf.DUMMYFUNCTION("""COMPUTED_VALUE"""),"ปลอดภัย")</f>
        <v>ปลอดภัย</v>
      </c>
      <c r="X1200" t="str">
        <f>IFERROR(__xludf.DUMMYFUNCTION("""COMPUTED_VALUE"""),"Lopburi Province")</f>
        <v>Lopburi Province</v>
      </c>
      <c r="Y1200" t="str">
        <f>IFERROR(__xludf.DUMMYFUNCTION("""COMPUTED_VALUE"""),"Bangkok")</f>
        <v>Bangkok</v>
      </c>
      <c r="Z1200" s="145" t="str">
        <f>IFERROR(__xludf.DUMMYFUNCTION("""COMPUTED_VALUE"""),"0961230121")</f>
        <v>0961230121</v>
      </c>
      <c r="AA1200" t="str">
        <f>IFERROR(__xludf.DUMMYFUNCTION("""COMPUTED_VALUE"""),"นันทริยา วงษ์เศษ Sister")</f>
        <v>นันทริยา วงษ์เศษ Sister</v>
      </c>
      <c r="AB1200" t="str">
        <f>IFERROR(__xludf.DUMMYFUNCTION("""COMPUTED_VALUE"""),"nannatwon@airasia.com")</f>
        <v>nannatwon@airasia.com</v>
      </c>
    </row>
    <row r="1201">
      <c r="A1201">
        <f>IFERROR(__xludf.DUMMYFUNCTION("""COMPUTED_VALUE"""),1043891.0)</f>
        <v>1043891</v>
      </c>
      <c r="B1201" t="str">
        <f>IFERROR(__xludf.DUMMYFUNCTION("""COMPUTED_VALUE"""),"Ms.")</f>
        <v>Ms.</v>
      </c>
      <c r="C1201" t="str">
        <f>IFERROR(__xludf.DUMMYFUNCTION("""COMPUTED_VALUE"""),"Vannaporn")</f>
        <v>Vannaporn</v>
      </c>
      <c r="D1201" t="str">
        <f>IFERROR(__xludf.DUMMYFUNCTION("""COMPUTED_VALUE"""),"Chaiwatsittikul")</f>
        <v>Chaiwatsittikul</v>
      </c>
      <c r="E1201" t="str">
        <f>IFERROR(__xludf.DUMMYFUNCTION("""COMPUTED_VALUE"""),"Vannaporn Chaiwatsittikul")</f>
        <v>Vannaporn Chaiwatsittikul</v>
      </c>
      <c r="F1201" t="str">
        <f>IFERROR(__xludf.DUMMYFUNCTION("""COMPUTED_VALUE"""),"นางสาว")</f>
        <v>นางสาว</v>
      </c>
      <c r="G1201" t="str">
        <f>IFERROR(__xludf.DUMMYFUNCTION("""COMPUTED_VALUE"""),"วรรณพร")</f>
        <v>วรรณพร</v>
      </c>
      <c r="H1201" t="str">
        <f>IFERROR(__xludf.DUMMYFUNCTION("""COMPUTED_VALUE"""),"ชัยวัฒน์สิทธิกุล")</f>
        <v>ชัยวัฒน์สิทธิกุล</v>
      </c>
      <c r="I1201" t="str">
        <f>IFERROR(__xludf.DUMMYFUNCTION("""COMPUTED_VALUE"""),"วรรณพร ชัยวัฒน์สิทธิกุล")</f>
        <v>วรรณพร ชัยวัฒน์สิทธิกุล</v>
      </c>
      <c r="J1201" t="str">
        <f>IFERROR(__xludf.DUMMYFUNCTION("""COMPUTED_VALUE"""),"Rodjeep/รถจี๊ฟ")</f>
        <v>Rodjeep/รถจี๊ฟ</v>
      </c>
      <c r="K1201" t="str">
        <f>IFERROR(__xludf.DUMMYFUNCTION("""COMPUTED_VALUE"""),"Cabin Crew")</f>
        <v>Cabin Crew</v>
      </c>
      <c r="L1201" t="str">
        <f>IFERROR(__xludf.DUMMYFUNCTION("""COMPUTED_VALUE"""),"DMK")</f>
        <v>DMK</v>
      </c>
      <c r="M1201" s="145" t="str">
        <f>IFERROR(__xludf.DUMMYFUNCTION("""COMPUTED_VALUE"""),"Nhui Home")</f>
        <v>Nhui Home</v>
      </c>
      <c r="N1201" t="str">
        <f>IFERROR(__xludf.DUMMYFUNCTION("""COMPUTED_VALUE"""),"Active")</f>
        <v>Active</v>
      </c>
      <c r="O1201" t="str">
        <f>IFERROR(__xludf.DUMMYFUNCTION("""COMPUTED_VALUE"""),"Japanese Speaking")</f>
        <v>Japanese Speaking</v>
      </c>
      <c r="P1201" s="156">
        <f>IFERROR(__xludf.DUMMYFUNCTION("""COMPUTED_VALUE"""),31796.0)</f>
        <v>31796</v>
      </c>
      <c r="Q1201" s="146" t="str">
        <f>IFERROR(__xludf.DUMMYFUNCTION("""COMPUTED_VALUE"""),"062-224-5242")</f>
        <v>062-224-5242</v>
      </c>
      <c r="R1201" s="147">
        <f>IFERROR(__xludf.DUMMYFUNCTION("""COMPUTED_VALUE"""),1.100200291952E12)</f>
        <v>1100200291952</v>
      </c>
      <c r="S1201" t="str">
        <f>IFERROR(__xludf.DUMMYFUNCTION("""COMPUTED_VALUE"""),"AC2697622")</f>
        <v>AC2697622</v>
      </c>
      <c r="T1201" s="148">
        <f>IFERROR(__xludf.DUMMYFUNCTION("""COMPUTED_VALUE"""),44587.0)</f>
        <v>44587</v>
      </c>
      <c r="U1201" s="148">
        <f>IFERROR(__xludf.DUMMYFUNCTION("""COMPUTED_VALUE"""),48238.0)</f>
        <v>48238</v>
      </c>
      <c r="V1201" s="149">
        <f>IFERROR(__xludf.DUMMYFUNCTION("""COMPUTED_VALUE"""),48054.0)</f>
        <v>48054</v>
      </c>
      <c r="W1201" t="str">
        <f>IFERROR(__xludf.DUMMYFUNCTION("""COMPUTED_VALUE"""),"ปลอดภัย")</f>
        <v>ปลอดภัย</v>
      </c>
      <c r="X1201" t="str">
        <f>IFERROR(__xludf.DUMMYFUNCTION("""COMPUTED_VALUE"""),"Bangkok")</f>
        <v>Bangkok</v>
      </c>
      <c r="Y1201" t="str">
        <f>IFERROR(__xludf.DUMMYFUNCTION("""COMPUTED_VALUE"""),"Bangkok")</f>
        <v>Bangkok</v>
      </c>
      <c r="Z1201" s="145" t="str">
        <f>IFERROR(__xludf.DUMMYFUNCTION("""COMPUTED_VALUE"""),"062-224-5242")</f>
        <v>062-224-5242</v>
      </c>
      <c r="AA1201" t="str">
        <f>IFERROR(__xludf.DUMMYFUNCTION("""COMPUTED_VALUE"""),"นายวินัย ชัยวัฒน์สิทธิกุล Father")</f>
        <v>นายวินัย ชัยวัฒน์สิทธิกุล Father</v>
      </c>
      <c r="AB1201" t="str">
        <f>IFERROR(__xludf.DUMMYFUNCTION("""COMPUTED_VALUE"""),"vannaporncha@airasia.com")</f>
        <v>vannaporncha@airasia.com</v>
      </c>
    </row>
    <row r="1202">
      <c r="A1202">
        <f>IFERROR(__xludf.DUMMYFUNCTION("""COMPUTED_VALUE"""),1043894.0)</f>
        <v>1043894</v>
      </c>
      <c r="B1202" t="str">
        <f>IFERROR(__xludf.DUMMYFUNCTION("""COMPUTED_VALUE"""),"Ms.")</f>
        <v>Ms.</v>
      </c>
      <c r="C1202" t="str">
        <f>IFERROR(__xludf.DUMMYFUNCTION("""COMPUTED_VALUE"""),"Thantheera")</f>
        <v>Thantheera</v>
      </c>
      <c r="D1202" t="str">
        <f>IFERROR(__xludf.DUMMYFUNCTION("""COMPUTED_VALUE"""),"Prueksasilp")</f>
        <v>Prueksasilp</v>
      </c>
      <c r="E1202" t="str">
        <f>IFERROR(__xludf.DUMMYFUNCTION("""COMPUTED_VALUE"""),"Thantheera Prueksasilp")</f>
        <v>Thantheera Prueksasilp</v>
      </c>
      <c r="F1202" t="str">
        <f>IFERROR(__xludf.DUMMYFUNCTION("""COMPUTED_VALUE"""),"นางสาว")</f>
        <v>นางสาว</v>
      </c>
      <c r="G1202" t="str">
        <f>IFERROR(__xludf.DUMMYFUNCTION("""COMPUTED_VALUE"""),"ธัญธีรา")</f>
        <v>ธัญธีรา</v>
      </c>
      <c r="H1202" t="str">
        <f>IFERROR(__xludf.DUMMYFUNCTION("""COMPUTED_VALUE"""),"พฤกษาศิลป์")</f>
        <v>พฤกษาศิลป์</v>
      </c>
      <c r="I1202" t="str">
        <f>IFERROR(__xludf.DUMMYFUNCTION("""COMPUTED_VALUE"""),"ธัญธีรา พฤกษาศิลป์")</f>
        <v>ธัญธีรา พฤกษาศิลป์</v>
      </c>
      <c r="J1202" t="str">
        <f>IFERROR(__xludf.DUMMYFUNCTION("""COMPUTED_VALUE"""),"Am / แอ๋ม")</f>
        <v>Am / แอ๋ม</v>
      </c>
      <c r="K1202" t="str">
        <f>IFERROR(__xludf.DUMMYFUNCTION("""COMPUTED_VALUE"""),"Cabin Crew")</f>
        <v>Cabin Crew</v>
      </c>
      <c r="L1202" t="str">
        <f>IFERROR(__xludf.DUMMYFUNCTION("""COMPUTED_VALUE"""),"DMK")</f>
        <v>DMK</v>
      </c>
      <c r="M1202" s="145" t="str">
        <f>IFERROR(__xludf.DUMMYFUNCTION("""COMPUTED_VALUE"""),"Namfon Home")</f>
        <v>Namfon Home</v>
      </c>
      <c r="N1202" t="str">
        <f>IFERROR(__xludf.DUMMYFUNCTION("""COMPUTED_VALUE"""),"Active")</f>
        <v>Active</v>
      </c>
      <c r="P1202" s="156">
        <f>IFERROR(__xludf.DUMMYFUNCTION("""COMPUTED_VALUE"""),35739.0)</f>
        <v>35739</v>
      </c>
      <c r="Q1202" s="146">
        <f>IFERROR(__xludf.DUMMYFUNCTION("""COMPUTED_VALUE"""),8.16255048E8)</f>
        <v>816255048</v>
      </c>
      <c r="R1202" s="147">
        <f>IFERROR(__xludf.DUMMYFUNCTION("""COMPUTED_VALUE"""),1.100501462764E12)</f>
        <v>1100501462764</v>
      </c>
      <c r="S1202" t="str">
        <f>IFERROR(__xludf.DUMMYFUNCTION("""COMPUTED_VALUE"""),"AC5539073")</f>
        <v>AC5539073</v>
      </c>
      <c r="T1202" s="148">
        <f>IFERROR(__xludf.DUMMYFUNCTION("""COMPUTED_VALUE"""),45161.0)</f>
        <v>45161</v>
      </c>
      <c r="U1202" s="148">
        <f>IFERROR(__xludf.DUMMYFUNCTION("""COMPUTED_VALUE"""),46987.0)</f>
        <v>46987</v>
      </c>
      <c r="V1202" s="149">
        <f>IFERROR(__xludf.DUMMYFUNCTION("""COMPUTED_VALUE"""),46805.0)</f>
        <v>46805</v>
      </c>
      <c r="W1202" t="str">
        <f>IFERROR(__xludf.DUMMYFUNCTION("""COMPUTED_VALUE"""),"ปลอดภัย")</f>
        <v>ปลอดภัย</v>
      </c>
      <c r="X1202" t="str">
        <f>IFERROR(__xludf.DUMMYFUNCTION("""COMPUTED_VALUE"""),"Bangkok")</f>
        <v>Bangkok</v>
      </c>
      <c r="Y1202" t="str">
        <f>IFERROR(__xludf.DUMMYFUNCTION("""COMPUTED_VALUE"""),"Pathum Thani")</f>
        <v>Pathum Thani</v>
      </c>
      <c r="Z1202" s="145" t="str">
        <f>IFERROR(__xludf.DUMMYFUNCTION("""COMPUTED_VALUE"""),"0614080689")</f>
        <v>0614080689</v>
      </c>
      <c r="AA1202" t="str">
        <f>IFERROR(__xludf.DUMMYFUNCTION("""COMPUTED_VALUE"""),"นางสาวธัญธร พฤกษาศิลป์ Sister")</f>
        <v>นางสาวธัญธร พฤกษาศิลป์ Sister</v>
      </c>
      <c r="AB1202" t="str">
        <f>IFERROR(__xludf.DUMMYFUNCTION("""COMPUTED_VALUE"""),"thantheerapru@airasia.com")</f>
        <v>thantheerapru@airasia.com</v>
      </c>
    </row>
    <row r="1203">
      <c r="A1203">
        <f>IFERROR(__xludf.DUMMYFUNCTION("""COMPUTED_VALUE"""),1043895.0)</f>
        <v>1043895</v>
      </c>
      <c r="B1203" t="str">
        <f>IFERROR(__xludf.DUMMYFUNCTION("""COMPUTED_VALUE"""),"Ms.")</f>
        <v>Ms.</v>
      </c>
      <c r="C1203" t="str">
        <f>IFERROR(__xludf.DUMMYFUNCTION("""COMPUTED_VALUE"""),"Sawaros")</f>
        <v>Sawaros</v>
      </c>
      <c r="D1203" t="str">
        <f>IFERROR(__xludf.DUMMYFUNCTION("""COMPUTED_VALUE"""),"Phanichvibul")</f>
        <v>Phanichvibul</v>
      </c>
      <c r="E1203" t="str">
        <f>IFERROR(__xludf.DUMMYFUNCTION("""COMPUTED_VALUE"""),"Sawaros Phanichvibul")</f>
        <v>Sawaros Phanichvibul</v>
      </c>
      <c r="F1203" t="str">
        <f>IFERROR(__xludf.DUMMYFUNCTION("""COMPUTED_VALUE"""),"นางสาว")</f>
        <v>นางสาว</v>
      </c>
      <c r="G1203" t="str">
        <f>IFERROR(__xludf.DUMMYFUNCTION("""COMPUTED_VALUE"""),"สวรส")</f>
        <v>สวรส</v>
      </c>
      <c r="H1203" t="str">
        <f>IFERROR(__xludf.DUMMYFUNCTION("""COMPUTED_VALUE"""),"พาณิชยวิบูลย์")</f>
        <v>พาณิชยวิบูลย์</v>
      </c>
      <c r="I1203" t="str">
        <f>IFERROR(__xludf.DUMMYFUNCTION("""COMPUTED_VALUE"""),"สวรส พาณิชยวิบูลย์")</f>
        <v>สวรส พาณิชยวิบูลย์</v>
      </c>
      <c r="J1203" t="str">
        <f>IFERROR(__xludf.DUMMYFUNCTION("""COMPUTED_VALUE"""),"Bam แบม")</f>
        <v>Bam แบม</v>
      </c>
      <c r="K1203" t="str">
        <f>IFERROR(__xludf.DUMMYFUNCTION("""COMPUTED_VALUE"""),"Cabin Crew")</f>
        <v>Cabin Crew</v>
      </c>
      <c r="L1203" t="str">
        <f>IFERROR(__xludf.DUMMYFUNCTION("""COMPUTED_VALUE"""),"DMK")</f>
        <v>DMK</v>
      </c>
      <c r="M1203" s="145" t="str">
        <f>IFERROR(__xludf.DUMMYFUNCTION("""COMPUTED_VALUE"""),"Namfon Home")</f>
        <v>Namfon Home</v>
      </c>
      <c r="N1203" t="str">
        <f>IFERROR(__xludf.DUMMYFUNCTION("""COMPUTED_VALUE"""),"Active")</f>
        <v>Active</v>
      </c>
      <c r="O1203" t="str">
        <f>IFERROR(__xludf.DUMMYFUNCTION("""COMPUTED_VALUE"""),"Japanese Speaking")</f>
        <v>Japanese Speaking</v>
      </c>
      <c r="P1203" s="156">
        <f>IFERROR(__xludf.DUMMYFUNCTION("""COMPUTED_VALUE"""),35046.0)</f>
        <v>35046</v>
      </c>
      <c r="Q1203" s="146">
        <f>IFERROR(__xludf.DUMMYFUNCTION("""COMPUTED_VALUE"""),8.63646451E8)</f>
        <v>863646451</v>
      </c>
      <c r="R1203" s="147">
        <f>IFERROR(__xludf.DUMMYFUNCTION("""COMPUTED_VALUE"""),1.100702204568E12)</f>
        <v>1100702204568</v>
      </c>
      <c r="S1203" t="str">
        <f>IFERROR(__xludf.DUMMYFUNCTION("""COMPUTED_VALUE"""),"AC7593306")</f>
        <v>AC7593306</v>
      </c>
      <c r="T1203" s="148">
        <f>IFERROR(__xludf.DUMMYFUNCTION("""COMPUTED_VALUE"""),45580.0)</f>
        <v>45580</v>
      </c>
      <c r="U1203" s="148">
        <f>IFERROR(__xludf.DUMMYFUNCTION("""COMPUTED_VALUE"""),47405.0)</f>
        <v>47405</v>
      </c>
      <c r="V1203" s="149">
        <f>IFERROR(__xludf.DUMMYFUNCTION("""COMPUTED_VALUE"""),47222.0)</f>
        <v>47222</v>
      </c>
      <c r="W1203" t="str">
        <f>IFERROR(__xludf.DUMMYFUNCTION("""COMPUTED_VALUE"""),"ปลอดภัย")</f>
        <v>ปลอดภัย</v>
      </c>
      <c r="X1203" t="str">
        <f>IFERROR(__xludf.DUMMYFUNCTION("""COMPUTED_VALUE"""),"Bangkok")</f>
        <v>Bangkok</v>
      </c>
      <c r="Y1203" t="str">
        <f>IFERROR(__xludf.DUMMYFUNCTION("""COMPUTED_VALUE"""),"Bangkok")</f>
        <v>Bangkok</v>
      </c>
      <c r="Z1203" s="145" t="str">
        <f>IFERROR(__xludf.DUMMYFUNCTION("""COMPUTED_VALUE"""),"0624500066")</f>
        <v>0624500066</v>
      </c>
      <c r="AA1203" t="str">
        <f>IFERROR(__xludf.DUMMYFUNCTION("""COMPUTED_VALUE"""),"นายชาลี อารีมิตร Friend")</f>
        <v>นายชาลี อารีมิตร Friend</v>
      </c>
      <c r="AB1203" t="str">
        <f>IFERROR(__xludf.DUMMYFUNCTION("""COMPUTED_VALUE"""),"sawarospha@airasia.com")</f>
        <v>sawarospha@airasia.com</v>
      </c>
    </row>
    <row r="1204">
      <c r="AB1204" t="str">
        <f>IFERROR(__xludf.DUMMYFUNCTION("""COMPUTED_VALUE"""),"")</f>
        <v/>
      </c>
    </row>
    <row r="1205">
      <c r="A1205">
        <f>IFERROR(__xludf.DUMMYFUNCTION("""COMPUTED_VALUE"""),1044217.0)</f>
        <v>1044217</v>
      </c>
      <c r="B1205" t="str">
        <f>IFERROR(__xludf.DUMMYFUNCTION("""COMPUTED_VALUE"""),"Ms.")</f>
        <v>Ms.</v>
      </c>
      <c r="C1205" t="str">
        <f>IFERROR(__xludf.DUMMYFUNCTION("""COMPUTED_VALUE"""),"Tanayaporn")</f>
        <v>Tanayaporn</v>
      </c>
      <c r="D1205" t="str">
        <f>IFERROR(__xludf.DUMMYFUNCTION("""COMPUTED_VALUE"""),"Sombatboriboon")</f>
        <v>Sombatboriboon</v>
      </c>
      <c r="E1205" t="str">
        <f>IFERROR(__xludf.DUMMYFUNCTION("""COMPUTED_VALUE"""),"Tanayaporn Sombatboriboon")</f>
        <v>Tanayaporn Sombatboriboon</v>
      </c>
      <c r="F1205" t="str">
        <f>IFERROR(__xludf.DUMMYFUNCTION("""COMPUTED_VALUE"""),"นางสาว")</f>
        <v>นางสาว</v>
      </c>
      <c r="G1205" t="str">
        <f>IFERROR(__xludf.DUMMYFUNCTION("""COMPUTED_VALUE"""),"ธนยพร")</f>
        <v>ธนยพร</v>
      </c>
      <c r="H1205" t="str">
        <f>IFERROR(__xludf.DUMMYFUNCTION("""COMPUTED_VALUE"""),"สมบัติบริบูรณ์")</f>
        <v>สมบัติบริบูรณ์</v>
      </c>
      <c r="I1205" t="str">
        <f>IFERROR(__xludf.DUMMYFUNCTION("""COMPUTED_VALUE"""),"ธนยพร สมบัติบริบูรณ์")</f>
        <v>ธนยพร สมบัติบริบูรณ์</v>
      </c>
      <c r="J1205" t="str">
        <f>IFERROR(__xludf.DUMMYFUNCTION("""COMPUTED_VALUE"""),"Itim / ไอติม")</f>
        <v>Itim / ไอติม</v>
      </c>
      <c r="K1205" t="str">
        <f>IFERROR(__xludf.DUMMYFUNCTION("""COMPUTED_VALUE"""),"Cabin Crew")</f>
        <v>Cabin Crew</v>
      </c>
      <c r="L1205" t="str">
        <f>IFERROR(__xludf.DUMMYFUNCTION("""COMPUTED_VALUE"""),"DMK")</f>
        <v>DMK</v>
      </c>
      <c r="M1205" s="145" t="str">
        <f>IFERROR(__xludf.DUMMYFUNCTION("""COMPUTED_VALUE"""),"Namfon Home")</f>
        <v>Namfon Home</v>
      </c>
      <c r="N1205" t="str">
        <f>IFERROR(__xludf.DUMMYFUNCTION("""COMPUTED_VALUE"""),"Active")</f>
        <v>Active</v>
      </c>
      <c r="P1205" s="156">
        <f>IFERROR(__xludf.DUMMYFUNCTION("""COMPUTED_VALUE"""),35121.0)</f>
        <v>35121</v>
      </c>
      <c r="Q1205" s="146">
        <f>IFERROR(__xludf.DUMMYFUNCTION("""COMPUTED_VALUE"""),8.39356899E8)</f>
        <v>839356899</v>
      </c>
      <c r="R1205" s="147">
        <f>IFERROR(__xludf.DUMMYFUNCTION("""COMPUTED_VALUE"""),1.10080112208E12)</f>
        <v>1100801122080</v>
      </c>
      <c r="S1205" t="str">
        <f>IFERROR(__xludf.DUMMYFUNCTION("""COMPUTED_VALUE"""),"AD1099651")</f>
        <v>AD1099651</v>
      </c>
      <c r="T1205" s="148">
        <f>IFERROR(__xludf.DUMMYFUNCTION("""COMPUTED_VALUE"""),45067.0)</f>
        <v>45067</v>
      </c>
      <c r="U1205" s="148">
        <f>IFERROR(__xludf.DUMMYFUNCTION("""COMPUTED_VALUE"""),46893.0)</f>
        <v>46893</v>
      </c>
      <c r="V1205" s="149">
        <f>IFERROR(__xludf.DUMMYFUNCTION("""COMPUTED_VALUE"""),46711.0)</f>
        <v>46711</v>
      </c>
      <c r="W1205" t="str">
        <f>IFERROR(__xludf.DUMMYFUNCTION("""COMPUTED_VALUE"""),"ปลอดภัย")</f>
        <v>ปลอดภัย</v>
      </c>
      <c r="X1205" t="str">
        <f>IFERROR(__xludf.DUMMYFUNCTION("""COMPUTED_VALUE"""),"Bangkok")</f>
        <v>Bangkok</v>
      </c>
      <c r="Y1205" t="str">
        <f>IFERROR(__xludf.DUMMYFUNCTION("""COMPUTED_VALUE"""),"Bangkok")</f>
        <v>Bangkok</v>
      </c>
      <c r="Z1205" s="145" t="str">
        <f>IFERROR(__xludf.DUMMYFUNCTION("""COMPUTED_VALUE"""),"081-824-5682")</f>
        <v>081-824-5682</v>
      </c>
      <c r="AA1205" t="str">
        <f>IFERROR(__xludf.DUMMYFUNCTION("""COMPUTED_VALUE"""),"นายพงศธัช สมบัติบริบูรณ์ Father")</f>
        <v>นายพงศธัช สมบัติบริบูรณ์ Father</v>
      </c>
      <c r="AB1205" t="str">
        <f>IFERROR(__xludf.DUMMYFUNCTION("""COMPUTED_VALUE"""),"tanayapornsom@airasia.com")</f>
        <v>tanayapornsom@airasia.com</v>
      </c>
    </row>
    <row r="1206">
      <c r="A1206">
        <f>IFERROR(__xludf.DUMMYFUNCTION("""COMPUTED_VALUE"""),1044218.0)</f>
        <v>1044218</v>
      </c>
      <c r="B1206" t="str">
        <f>IFERROR(__xludf.DUMMYFUNCTION("""COMPUTED_VALUE"""),"Mr.")</f>
        <v>Mr.</v>
      </c>
      <c r="C1206" t="str">
        <f>IFERROR(__xludf.DUMMYFUNCTION("""COMPUTED_VALUE"""),"Nopanon")</f>
        <v>Nopanon</v>
      </c>
      <c r="D1206" t="str">
        <f>IFERROR(__xludf.DUMMYFUNCTION("""COMPUTED_VALUE"""),"Amonchinviwat")</f>
        <v>Amonchinviwat</v>
      </c>
      <c r="E1206" t="str">
        <f>IFERROR(__xludf.DUMMYFUNCTION("""COMPUTED_VALUE"""),"Nopanon Amonchinviwat")</f>
        <v>Nopanon Amonchinviwat</v>
      </c>
      <c r="F1206" t="str">
        <f>IFERROR(__xludf.DUMMYFUNCTION("""COMPUTED_VALUE"""),"นาย")</f>
        <v>นาย</v>
      </c>
      <c r="G1206" t="str">
        <f>IFERROR(__xludf.DUMMYFUNCTION("""COMPUTED_VALUE"""),"นพอนนต์")</f>
        <v>นพอนนต์</v>
      </c>
      <c r="H1206" t="str">
        <f>IFERROR(__xludf.DUMMYFUNCTION("""COMPUTED_VALUE"""),"อมรชินวิวัฒน์")</f>
        <v>อมรชินวิวัฒน์</v>
      </c>
      <c r="I1206" t="str">
        <f>IFERROR(__xludf.DUMMYFUNCTION("""COMPUTED_VALUE"""),"นพอนนต์ อมรชินวิวัฒน์")</f>
        <v>นพอนนต์ อมรชินวิวัฒน์</v>
      </c>
      <c r="J1206" t="str">
        <f>IFERROR(__xludf.DUMMYFUNCTION("""COMPUTED_VALUE"""),"Kong / ก้อง")</f>
        <v>Kong / ก้อง</v>
      </c>
      <c r="K1206" t="str">
        <f>IFERROR(__xludf.DUMMYFUNCTION("""COMPUTED_VALUE"""),"Cabin Crew")</f>
        <v>Cabin Crew</v>
      </c>
      <c r="L1206" t="str">
        <f>IFERROR(__xludf.DUMMYFUNCTION("""COMPUTED_VALUE"""),"DMK")</f>
        <v>DMK</v>
      </c>
      <c r="M1206" s="145" t="str">
        <f>IFERROR(__xludf.DUMMYFUNCTION("""COMPUTED_VALUE"""),"Up Home")</f>
        <v>Up Home</v>
      </c>
      <c r="N1206" t="str">
        <f>IFERROR(__xludf.DUMMYFUNCTION("""COMPUTED_VALUE"""),"Active")</f>
        <v>Active</v>
      </c>
      <c r="P1206" s="156">
        <f>IFERROR(__xludf.DUMMYFUNCTION("""COMPUTED_VALUE"""),33385.0)</f>
        <v>33385</v>
      </c>
      <c r="Q1206" s="146">
        <f>IFERROR(__xludf.DUMMYFUNCTION("""COMPUTED_VALUE"""),8.27012931E8)</f>
        <v>827012931</v>
      </c>
      <c r="R1206" s="147">
        <f>IFERROR(__xludf.DUMMYFUNCTION("""COMPUTED_VALUE"""),1.103300039425E12)</f>
        <v>1103300039425</v>
      </c>
      <c r="S1206" t="str">
        <f>IFERROR(__xludf.DUMMYFUNCTION("""COMPUTED_VALUE"""),"AC3090467")</f>
        <v>AC3090467</v>
      </c>
      <c r="T1206" s="148">
        <f>IFERROR(__xludf.DUMMYFUNCTION("""COMPUTED_VALUE"""),44687.0)</f>
        <v>44687</v>
      </c>
      <c r="U1206" s="148">
        <f>IFERROR(__xludf.DUMMYFUNCTION("""COMPUTED_VALUE"""),48339.0)</f>
        <v>48339</v>
      </c>
      <c r="V1206" s="149">
        <f>IFERROR(__xludf.DUMMYFUNCTION("""COMPUTED_VALUE"""),48157.0)</f>
        <v>48157</v>
      </c>
      <c r="W1206" t="str">
        <f>IFERROR(__xludf.DUMMYFUNCTION("""COMPUTED_VALUE"""),"ปลอดภัย")</f>
        <v>ปลอดภัย</v>
      </c>
      <c r="X1206" t="str">
        <f>IFERROR(__xludf.DUMMYFUNCTION("""COMPUTED_VALUE"""),"Bangkok")</f>
        <v>Bangkok</v>
      </c>
      <c r="Y1206" t="str">
        <f>IFERROR(__xludf.DUMMYFUNCTION("""COMPUTED_VALUE"""),"Bangkok")</f>
        <v>Bangkok</v>
      </c>
      <c r="Z1206" s="145" t="str">
        <f>IFERROR(__xludf.DUMMYFUNCTION("""COMPUTED_VALUE"""),"087-094-4963")</f>
        <v>087-094-4963</v>
      </c>
      <c r="AA1206" t="str">
        <f>IFERROR(__xludf.DUMMYFUNCTION("""COMPUTED_VALUE"""),"นางสุวรีย์ อมรชินวิวัฒน์ Mother")</f>
        <v>นางสุวรีย์ อมรชินวิวัฒน์ Mother</v>
      </c>
      <c r="AB1206" t="str">
        <f>IFERROR(__xludf.DUMMYFUNCTION("""COMPUTED_VALUE"""),"nopanonamo@airasia.com")</f>
        <v>nopanonamo@airasia.com</v>
      </c>
    </row>
    <row r="1207">
      <c r="A1207">
        <f>IFERROR(__xludf.DUMMYFUNCTION("""COMPUTED_VALUE"""),1044219.0)</f>
        <v>1044219</v>
      </c>
      <c r="B1207" t="str">
        <f>IFERROR(__xludf.DUMMYFUNCTION("""COMPUTED_VALUE"""),"Mr.")</f>
        <v>Mr.</v>
      </c>
      <c r="C1207" t="str">
        <f>IFERROR(__xludf.DUMMYFUNCTION("""COMPUTED_VALUE"""),"Woranan")</f>
        <v>Woranan</v>
      </c>
      <c r="D1207" t="str">
        <f>IFERROR(__xludf.DUMMYFUNCTION("""COMPUTED_VALUE"""),"Duangngarm")</f>
        <v>Duangngarm</v>
      </c>
      <c r="E1207" t="str">
        <f>IFERROR(__xludf.DUMMYFUNCTION("""COMPUTED_VALUE"""),"Woranan Duangngarm")</f>
        <v>Woranan Duangngarm</v>
      </c>
      <c r="F1207" t="str">
        <f>IFERROR(__xludf.DUMMYFUNCTION("""COMPUTED_VALUE"""),"นาย")</f>
        <v>นาย</v>
      </c>
      <c r="G1207" t="str">
        <f>IFERROR(__xludf.DUMMYFUNCTION("""COMPUTED_VALUE"""),"วรนันท์")</f>
        <v>วรนันท์</v>
      </c>
      <c r="H1207" t="str">
        <f>IFERROR(__xludf.DUMMYFUNCTION("""COMPUTED_VALUE"""),"ดวงงาม")</f>
        <v>ดวงงาม</v>
      </c>
      <c r="I1207" t="str">
        <f>IFERROR(__xludf.DUMMYFUNCTION("""COMPUTED_VALUE"""),"วรนันท์ ดวงงาม")</f>
        <v>วรนันท์ ดวงงาม</v>
      </c>
      <c r="J1207" t="str">
        <f>IFERROR(__xludf.DUMMYFUNCTION("""COMPUTED_VALUE"""),"Data / ดาต้า")</f>
        <v>Data / ดาต้า</v>
      </c>
      <c r="K1207" t="str">
        <f>IFERROR(__xludf.DUMMYFUNCTION("""COMPUTED_VALUE"""),"Cabin Crew")</f>
        <v>Cabin Crew</v>
      </c>
      <c r="L1207" t="str">
        <f>IFERROR(__xludf.DUMMYFUNCTION("""COMPUTED_VALUE"""),"DMK")</f>
        <v>DMK</v>
      </c>
      <c r="M1207" s="145" t="str">
        <f>IFERROR(__xludf.DUMMYFUNCTION("""COMPUTED_VALUE"""),"Por+ Home")</f>
        <v>Por+ Home</v>
      </c>
      <c r="N1207" t="str">
        <f>IFERROR(__xludf.DUMMYFUNCTION("""COMPUTED_VALUE"""),"Active")</f>
        <v>Active</v>
      </c>
      <c r="P1207" s="156">
        <f>IFERROR(__xludf.DUMMYFUNCTION("""COMPUTED_VALUE"""),36844.0)</f>
        <v>36844</v>
      </c>
      <c r="Q1207" s="146">
        <f>IFERROR(__xludf.DUMMYFUNCTION("""COMPUTED_VALUE"""),9.03213954E8)</f>
        <v>903213954</v>
      </c>
      <c r="R1207" s="147">
        <f>IFERROR(__xludf.DUMMYFUNCTION("""COMPUTED_VALUE"""),1.509966096381E12)</f>
        <v>1509966096381</v>
      </c>
      <c r="S1207" t="str">
        <f>IFERROR(__xludf.DUMMYFUNCTION("""COMPUTED_VALUE"""),"AC8176293")</f>
        <v>AC8176293</v>
      </c>
      <c r="T1207" s="148">
        <f>IFERROR(__xludf.DUMMYFUNCTION("""COMPUTED_VALUE"""),46000.0)</f>
        <v>46000</v>
      </c>
      <c r="U1207" s="148">
        <f>IFERROR(__xludf.DUMMYFUNCTION("""COMPUTED_VALUE"""),49651.0)</f>
        <v>49651</v>
      </c>
      <c r="V1207" s="149">
        <f>IFERROR(__xludf.DUMMYFUNCTION("""COMPUTED_VALUE"""),49468.0)</f>
        <v>49468</v>
      </c>
      <c r="W1207" t="str">
        <f>IFERROR(__xludf.DUMMYFUNCTION("""COMPUTED_VALUE"""),"ปลอดภัย")</f>
        <v>ปลอดภัย</v>
      </c>
      <c r="X1207" t="str">
        <f>IFERROR(__xludf.DUMMYFUNCTION("""COMPUTED_VALUE"""),"Chiang Mai Province")</f>
        <v>Chiang Mai Province</v>
      </c>
      <c r="Y1207" t="str">
        <f>IFERROR(__xludf.DUMMYFUNCTION("""COMPUTED_VALUE"""),"Chiang mai")</f>
        <v>Chiang mai</v>
      </c>
      <c r="Z1207" s="145" t="str">
        <f>IFERROR(__xludf.DUMMYFUNCTION("""COMPUTED_VALUE"""),"083-863-4115")</f>
        <v>083-863-4115</v>
      </c>
      <c r="AA1207" t="str">
        <f>IFERROR(__xludf.DUMMYFUNCTION("""COMPUTED_VALUE"""),"นางพิกุลทอง ดวงงาม Mother")</f>
        <v>นางพิกุลทอง ดวงงาม Mother</v>
      </c>
      <c r="AB1207" t="str">
        <f>IFERROR(__xludf.DUMMYFUNCTION("""COMPUTED_VALUE"""),"woranandua@airasia.com")</f>
        <v>woranandua@airasia.com</v>
      </c>
    </row>
    <row r="1208">
      <c r="A1208">
        <f>IFERROR(__xludf.DUMMYFUNCTION("""COMPUTED_VALUE"""),1044220.0)</f>
        <v>1044220</v>
      </c>
      <c r="B1208" t="str">
        <f>IFERROR(__xludf.DUMMYFUNCTION("""COMPUTED_VALUE"""),"Ms.")</f>
        <v>Ms.</v>
      </c>
      <c r="C1208" t="str">
        <f>IFERROR(__xludf.DUMMYFUNCTION("""COMPUTED_VALUE"""),"Warissara")</f>
        <v>Warissara</v>
      </c>
      <c r="D1208" t="str">
        <f>IFERROR(__xludf.DUMMYFUNCTION("""COMPUTED_VALUE"""),"Klanbuds")</f>
        <v>Klanbuds</v>
      </c>
      <c r="E1208" t="str">
        <f>IFERROR(__xludf.DUMMYFUNCTION("""COMPUTED_VALUE"""),"Warissara Klanbuds")</f>
        <v>Warissara Klanbuds</v>
      </c>
      <c r="F1208" t="str">
        <f>IFERROR(__xludf.DUMMYFUNCTION("""COMPUTED_VALUE"""),"นางสาว")</f>
        <v>นางสาว</v>
      </c>
      <c r="G1208" t="str">
        <f>IFERROR(__xludf.DUMMYFUNCTION("""COMPUTED_VALUE"""),"วริษสรา")</f>
        <v>วริษสรา</v>
      </c>
      <c r="H1208" t="str">
        <f>IFERROR(__xludf.DUMMYFUNCTION("""COMPUTED_VALUE"""),"กลั่นบุศย์")</f>
        <v>กลั่นบุศย์</v>
      </c>
      <c r="I1208" t="str">
        <f>IFERROR(__xludf.DUMMYFUNCTION("""COMPUTED_VALUE"""),"วริษสรา กลั่นบุศย์")</f>
        <v>วริษสรา กลั่นบุศย์</v>
      </c>
      <c r="J1208" t="str">
        <f>IFERROR(__xludf.DUMMYFUNCTION("""COMPUTED_VALUE"""),"ปุยฝ้าย")</f>
        <v>ปุยฝ้าย</v>
      </c>
      <c r="K1208" t="str">
        <f>IFERROR(__xludf.DUMMYFUNCTION("""COMPUTED_VALUE"""),"Cabin Crew")</f>
        <v>Cabin Crew</v>
      </c>
      <c r="L1208" t="str">
        <f>IFERROR(__xludf.DUMMYFUNCTION("""COMPUTED_VALUE"""),"DMK")</f>
        <v>DMK</v>
      </c>
      <c r="M1208" s="145" t="str">
        <f>IFERROR(__xludf.DUMMYFUNCTION("""COMPUTED_VALUE"""),"Namfon Home")</f>
        <v>Namfon Home</v>
      </c>
      <c r="N1208" t="str">
        <f>IFERROR(__xludf.DUMMYFUNCTION("""COMPUTED_VALUE"""),"Active")</f>
        <v>Active</v>
      </c>
      <c r="O1208" t="str">
        <f>IFERROR(__xludf.DUMMYFUNCTION("""COMPUTED_VALUE"""),"Japanese Speaking")</f>
        <v>Japanese Speaking</v>
      </c>
      <c r="P1208" s="156">
        <f>IFERROR(__xludf.DUMMYFUNCTION("""COMPUTED_VALUE"""),33569.0)</f>
        <v>33569</v>
      </c>
      <c r="Q1208" s="146">
        <f>IFERROR(__xludf.DUMMYFUNCTION("""COMPUTED_VALUE"""),8.18697078E8)</f>
        <v>818697078</v>
      </c>
      <c r="R1208" s="147">
        <f>IFERROR(__xludf.DUMMYFUNCTION("""COMPUTED_VALUE"""),1.10370064802E12)</f>
        <v>1103700648020</v>
      </c>
      <c r="S1208" t="str">
        <f>IFERROR(__xludf.DUMMYFUNCTION("""COMPUTED_VALUE"""),"AC2814753")</f>
        <v>AC2814753</v>
      </c>
      <c r="T1208" s="148">
        <f>IFERROR(__xludf.DUMMYFUNCTION("""COMPUTED_VALUE"""),44512.0)</f>
        <v>44512</v>
      </c>
      <c r="U1208" s="148">
        <f>IFERROR(__xludf.DUMMYFUNCTION("""COMPUTED_VALUE"""),48163.0)</f>
        <v>48163</v>
      </c>
      <c r="V1208" s="149">
        <f>IFERROR(__xludf.DUMMYFUNCTION("""COMPUTED_VALUE"""),47979.0)</f>
        <v>47979</v>
      </c>
      <c r="W1208" t="str">
        <f>IFERROR(__xludf.DUMMYFUNCTION("""COMPUTED_VALUE"""),"ปลอดภัย")</f>
        <v>ปลอดภัย</v>
      </c>
      <c r="X1208" t="str">
        <f>IFERROR(__xludf.DUMMYFUNCTION("""COMPUTED_VALUE"""),"Bangkok")</f>
        <v>Bangkok</v>
      </c>
      <c r="Y1208" t="str">
        <f>IFERROR(__xludf.DUMMYFUNCTION("""COMPUTED_VALUE"""),"Pathum Thani Province")</f>
        <v>Pathum Thani Province</v>
      </c>
      <c r="Z1208" s="145" t="str">
        <f>IFERROR(__xludf.DUMMYFUNCTION("""COMPUTED_VALUE"""),"0868931629")</f>
        <v>0868931629</v>
      </c>
      <c r="AA1208" t="str">
        <f>IFERROR(__xludf.DUMMYFUNCTION("""COMPUTED_VALUE"""),"นางอุทุมพร กลั่นบุศย์ Mother")</f>
        <v>นางอุทุมพร กลั่นบุศย์ Mother</v>
      </c>
      <c r="AB1208" t="str">
        <f>IFERROR(__xludf.DUMMYFUNCTION("""COMPUTED_VALUE"""),"warissarakla@airasia.com")</f>
        <v>warissarakla@airasia.com</v>
      </c>
    </row>
    <row r="1209">
      <c r="A1209">
        <f>IFERROR(__xludf.DUMMYFUNCTION("""COMPUTED_VALUE"""),1044221.0)</f>
        <v>1044221</v>
      </c>
      <c r="B1209" t="str">
        <f>IFERROR(__xludf.DUMMYFUNCTION("""COMPUTED_VALUE"""),"Ms.")</f>
        <v>Ms.</v>
      </c>
      <c r="C1209" t="str">
        <f>IFERROR(__xludf.DUMMYFUNCTION("""COMPUTED_VALUE"""),"Natthapond")</f>
        <v>Natthapond</v>
      </c>
      <c r="D1209" t="str">
        <f>IFERROR(__xludf.DUMMYFUNCTION("""COMPUTED_VALUE"""),"Pangpongma")</f>
        <v>Pangpongma</v>
      </c>
      <c r="E1209" t="str">
        <f>IFERROR(__xludf.DUMMYFUNCTION("""COMPUTED_VALUE"""),"Natthapond Pangpongma")</f>
        <v>Natthapond Pangpongma</v>
      </c>
      <c r="F1209" t="str">
        <f>IFERROR(__xludf.DUMMYFUNCTION("""COMPUTED_VALUE"""),"นางสาว")</f>
        <v>นางสาว</v>
      </c>
      <c r="G1209" t="str">
        <f>IFERROR(__xludf.DUMMYFUNCTION("""COMPUTED_VALUE"""),"ณัฐพร")</f>
        <v>ณัฐพร</v>
      </c>
      <c r="H1209" t="str">
        <f>IFERROR(__xludf.DUMMYFUNCTION("""COMPUTED_VALUE"""),"แพงพงษ์มา")</f>
        <v>แพงพงษ์มา</v>
      </c>
      <c r="I1209" t="str">
        <f>IFERROR(__xludf.DUMMYFUNCTION("""COMPUTED_VALUE"""),"ณัฐพร แพงพงษ์มา")</f>
        <v>ณัฐพร แพงพงษ์มา</v>
      </c>
      <c r="J1209" t="str">
        <f>IFERROR(__xludf.DUMMYFUNCTION("""COMPUTED_VALUE"""),"หลี")</f>
        <v>หลี</v>
      </c>
      <c r="K1209" t="str">
        <f>IFERROR(__xludf.DUMMYFUNCTION("""COMPUTED_VALUE"""),"Cabin Crew")</f>
        <v>Cabin Crew</v>
      </c>
      <c r="L1209" t="str">
        <f>IFERROR(__xludf.DUMMYFUNCTION("""COMPUTED_VALUE"""),"DMK")</f>
        <v>DMK</v>
      </c>
      <c r="M1209" s="145" t="str">
        <f>IFERROR(__xludf.DUMMYFUNCTION("""COMPUTED_VALUE"""),"Por+ Home")</f>
        <v>Por+ Home</v>
      </c>
      <c r="N1209" t="str">
        <f>IFERROR(__xludf.DUMMYFUNCTION("""COMPUTED_VALUE"""),"Active")</f>
        <v>Active</v>
      </c>
      <c r="O1209" t="str">
        <f>IFERROR(__xludf.DUMMYFUNCTION("""COMPUTED_VALUE"""),"Japanese Speaking")</f>
        <v>Japanese Speaking</v>
      </c>
      <c r="P1209" s="156">
        <f>IFERROR(__xludf.DUMMYFUNCTION("""COMPUTED_VALUE"""),33872.0)</f>
        <v>33872</v>
      </c>
      <c r="Q1209" s="146">
        <f>IFERROR(__xludf.DUMMYFUNCTION("""COMPUTED_VALUE"""),8.96753026E8)</f>
        <v>896753026</v>
      </c>
      <c r="R1209" s="147">
        <f>IFERROR(__xludf.DUMMYFUNCTION("""COMPUTED_VALUE"""),1.103100146775E12)</f>
        <v>1103100146775</v>
      </c>
      <c r="S1209" t="str">
        <f>IFERROR(__xludf.DUMMYFUNCTION("""COMPUTED_VALUE"""),"AC2399933")</f>
        <v>AC2399933</v>
      </c>
      <c r="T1209" s="148">
        <f>IFERROR(__xludf.DUMMYFUNCTION("""COMPUTED_VALUE"""),45156.0)</f>
        <v>45156</v>
      </c>
      <c r="U1209" s="148">
        <f>IFERROR(__xludf.DUMMYFUNCTION("""COMPUTED_VALUE"""),48808.0)</f>
        <v>48808</v>
      </c>
      <c r="V1209" s="149">
        <f>IFERROR(__xludf.DUMMYFUNCTION("""COMPUTED_VALUE"""),48627.0)</f>
        <v>48627</v>
      </c>
      <c r="W1209" t="str">
        <f>IFERROR(__xludf.DUMMYFUNCTION("""COMPUTED_VALUE"""),"ปลอดภัย")</f>
        <v>ปลอดภัย</v>
      </c>
      <c r="X1209" t="str">
        <f>IFERROR(__xludf.DUMMYFUNCTION("""COMPUTED_VALUE"""),"Bangkok")</f>
        <v>Bangkok</v>
      </c>
      <c r="Y1209" t="str">
        <f>IFERROR(__xludf.DUMMYFUNCTION("""COMPUTED_VALUE"""),"Bangkok")</f>
        <v>Bangkok</v>
      </c>
      <c r="Z1209" s="145" t="str">
        <f>IFERROR(__xludf.DUMMYFUNCTION("""COMPUTED_VALUE"""),"0838284675")</f>
        <v>0838284675</v>
      </c>
      <c r="AA1209" t="str">
        <f>IFERROR(__xludf.DUMMYFUNCTION("""COMPUTED_VALUE"""),"นายธีระยุทธ ทองสุทธิ์ Husband")</f>
        <v>นายธีระยุทธ ทองสุทธิ์ Husband</v>
      </c>
      <c r="AB1209" t="str">
        <f>IFERROR(__xludf.DUMMYFUNCTION("""COMPUTED_VALUE"""),"natthapondpan@airasia.com")</f>
        <v>natthapondpan@airasia.com</v>
      </c>
    </row>
    <row r="1210">
      <c r="A1210">
        <f>IFERROR(__xludf.DUMMYFUNCTION("""COMPUTED_VALUE"""),1044222.0)</f>
        <v>1044222</v>
      </c>
      <c r="B1210" t="str">
        <f>IFERROR(__xludf.DUMMYFUNCTION("""COMPUTED_VALUE"""),"Mr.")</f>
        <v>Mr.</v>
      </c>
      <c r="C1210" t="str">
        <f>IFERROR(__xludf.DUMMYFUNCTION("""COMPUTED_VALUE"""),"Pichit")</f>
        <v>Pichit</v>
      </c>
      <c r="D1210" t="str">
        <f>IFERROR(__xludf.DUMMYFUNCTION("""COMPUTED_VALUE"""),"Jinakaew")</f>
        <v>Jinakaew</v>
      </c>
      <c r="E1210" t="str">
        <f>IFERROR(__xludf.DUMMYFUNCTION("""COMPUTED_VALUE"""),"Pichit Jinakaew")</f>
        <v>Pichit Jinakaew</v>
      </c>
      <c r="F1210" t="str">
        <f>IFERROR(__xludf.DUMMYFUNCTION("""COMPUTED_VALUE"""),"นาย")</f>
        <v>นาย</v>
      </c>
      <c r="G1210" t="str">
        <f>IFERROR(__xludf.DUMMYFUNCTION("""COMPUTED_VALUE"""),"พิชิต")</f>
        <v>พิชิต</v>
      </c>
      <c r="H1210" t="str">
        <f>IFERROR(__xludf.DUMMYFUNCTION("""COMPUTED_VALUE"""),"จินาแก้ว")</f>
        <v>จินาแก้ว</v>
      </c>
      <c r="I1210" t="str">
        <f>IFERROR(__xludf.DUMMYFUNCTION("""COMPUTED_VALUE"""),"พิชิต จินาแก้ว")</f>
        <v>พิชิต จินาแก้ว</v>
      </c>
      <c r="J1210" t="str">
        <f>IFERROR(__xludf.DUMMYFUNCTION("""COMPUTED_VALUE"""),"เอ็ม / M")</f>
        <v>เอ็ม / M</v>
      </c>
      <c r="K1210" t="str">
        <f>IFERROR(__xludf.DUMMYFUNCTION("""COMPUTED_VALUE"""),"Cabin Crew")</f>
        <v>Cabin Crew</v>
      </c>
      <c r="L1210" t="str">
        <f>IFERROR(__xludf.DUMMYFUNCTION("""COMPUTED_VALUE"""),"DMK")</f>
        <v>DMK</v>
      </c>
      <c r="M1210" s="145" t="str">
        <f>IFERROR(__xludf.DUMMYFUNCTION("""COMPUTED_VALUE"""),"Por+ Home")</f>
        <v>Por+ Home</v>
      </c>
      <c r="N1210" t="str">
        <f>IFERROR(__xludf.DUMMYFUNCTION("""COMPUTED_VALUE"""),"Active")</f>
        <v>Active</v>
      </c>
      <c r="O1210" t="str">
        <f>IFERROR(__xludf.DUMMYFUNCTION("""COMPUTED_VALUE"""),"Japanese Speaking")</f>
        <v>Japanese Speaking</v>
      </c>
      <c r="P1210" s="156">
        <f>IFERROR(__xludf.DUMMYFUNCTION("""COMPUTED_VALUE"""),32747.0)</f>
        <v>32747</v>
      </c>
      <c r="Q1210" s="146">
        <f>IFERROR(__xludf.DUMMYFUNCTION("""COMPUTED_VALUE"""),9.11438089E8)</f>
        <v>911438089</v>
      </c>
      <c r="R1210" s="147">
        <f>IFERROR(__xludf.DUMMYFUNCTION("""COMPUTED_VALUE"""),1.500900111872E12)</f>
        <v>1500900111872</v>
      </c>
      <c r="S1210" t="str">
        <f>IFERROR(__xludf.DUMMYFUNCTION("""COMPUTED_VALUE"""),"AC2904509")</f>
        <v>AC2904509</v>
      </c>
      <c r="T1210" s="148">
        <f>IFERROR(__xludf.DUMMYFUNCTION("""COMPUTED_VALUE"""),44616.0)</f>
        <v>44616</v>
      </c>
      <c r="U1210" s="148">
        <f>IFERROR(__xludf.DUMMYFUNCTION("""COMPUTED_VALUE"""),48267.0)</f>
        <v>48267</v>
      </c>
      <c r="V1210" s="149">
        <f>IFERROR(__xludf.DUMMYFUNCTION("""COMPUTED_VALUE"""),48083.0)</f>
        <v>48083</v>
      </c>
      <c r="W1210" t="str">
        <f>IFERROR(__xludf.DUMMYFUNCTION("""COMPUTED_VALUE"""),"ปลอดภัย")</f>
        <v>ปลอดภัย</v>
      </c>
      <c r="X1210" t="str">
        <f>IFERROR(__xludf.DUMMYFUNCTION("""COMPUTED_VALUE"""),"Chiang Mai Province")</f>
        <v>Chiang Mai Province</v>
      </c>
      <c r="Y1210" t="str">
        <f>IFERROR(__xludf.DUMMYFUNCTION("""COMPUTED_VALUE"""),"Chiang mai")</f>
        <v>Chiang mai</v>
      </c>
      <c r="Z1210" s="145" t="str">
        <f>IFERROR(__xludf.DUMMYFUNCTION("""COMPUTED_VALUE"""),"061-719-3694")</f>
        <v>061-719-3694</v>
      </c>
      <c r="AA1210" t="str">
        <f>IFERROR(__xludf.DUMMYFUNCTION("""COMPUTED_VALUE"""),"นางสาววิจิตตรา จินาแก้ว Sister")</f>
        <v>นางสาววิจิตตรา จินาแก้ว Sister</v>
      </c>
      <c r="AB1210" t="str">
        <f>IFERROR(__xludf.DUMMYFUNCTION("""COMPUTED_VALUE"""),"pichitjin@airasia.com")</f>
        <v>pichitjin@airasia.com</v>
      </c>
    </row>
    <row r="1211">
      <c r="A1211">
        <f>IFERROR(__xludf.DUMMYFUNCTION("""COMPUTED_VALUE"""),1044223.0)</f>
        <v>1044223</v>
      </c>
      <c r="B1211" t="str">
        <f>IFERROR(__xludf.DUMMYFUNCTION("""COMPUTED_VALUE"""),"Ms.")</f>
        <v>Ms.</v>
      </c>
      <c r="C1211" t="str">
        <f>IFERROR(__xludf.DUMMYFUNCTION("""COMPUTED_VALUE"""),"Sujipa")</f>
        <v>Sujipa</v>
      </c>
      <c r="D1211" t="str">
        <f>IFERROR(__xludf.DUMMYFUNCTION("""COMPUTED_VALUE"""),"Prasitchairit")</f>
        <v>Prasitchairit</v>
      </c>
      <c r="E1211" t="str">
        <f>IFERROR(__xludf.DUMMYFUNCTION("""COMPUTED_VALUE"""),"Sujipa Prasitchairit")</f>
        <v>Sujipa Prasitchairit</v>
      </c>
      <c r="F1211" t="str">
        <f>IFERROR(__xludf.DUMMYFUNCTION("""COMPUTED_VALUE"""),"นางสาว")</f>
        <v>นางสาว</v>
      </c>
      <c r="G1211" t="str">
        <f>IFERROR(__xludf.DUMMYFUNCTION("""COMPUTED_VALUE"""),"ศุจิภา")</f>
        <v>ศุจิภา</v>
      </c>
      <c r="H1211" t="str">
        <f>IFERROR(__xludf.DUMMYFUNCTION("""COMPUTED_VALUE"""),"ประสิทธิ์ชัยฤทธิ์")</f>
        <v>ประสิทธิ์ชัยฤทธิ์</v>
      </c>
      <c r="I1211" t="str">
        <f>IFERROR(__xludf.DUMMYFUNCTION("""COMPUTED_VALUE"""),"ศุจิภา ประสิทธิ์ชัยฤทธิ์")</f>
        <v>ศุจิภา ประสิทธิ์ชัยฤทธิ์</v>
      </c>
      <c r="J1211" t="str">
        <f>IFERROR(__xludf.DUMMYFUNCTION("""COMPUTED_VALUE"""),"บริ๊ง")</f>
        <v>บริ๊ง</v>
      </c>
      <c r="K1211" t="str">
        <f>IFERROR(__xludf.DUMMYFUNCTION("""COMPUTED_VALUE"""),"Cabin Crew")</f>
        <v>Cabin Crew</v>
      </c>
      <c r="L1211" t="str">
        <f>IFERROR(__xludf.DUMMYFUNCTION("""COMPUTED_VALUE"""),"DMK")</f>
        <v>DMK</v>
      </c>
      <c r="M1211" s="145" t="str">
        <f>IFERROR(__xludf.DUMMYFUNCTION("""COMPUTED_VALUE"""),"Um Home")</f>
        <v>Um Home</v>
      </c>
      <c r="N1211" t="str">
        <f>IFERROR(__xludf.DUMMYFUNCTION("""COMPUTED_VALUE"""),"Active")</f>
        <v>Active</v>
      </c>
      <c r="O1211" t="str">
        <f>IFERROR(__xludf.DUMMYFUNCTION("""COMPUTED_VALUE"""),"Japanese Speaking")</f>
        <v>Japanese Speaking</v>
      </c>
      <c r="P1211" s="156">
        <f>IFERROR(__xludf.DUMMYFUNCTION("""COMPUTED_VALUE"""),33704.0)</f>
        <v>33704</v>
      </c>
      <c r="Q1211" s="146">
        <f>IFERROR(__xludf.DUMMYFUNCTION("""COMPUTED_VALUE"""),9.51654127E8)</f>
        <v>951654127</v>
      </c>
      <c r="R1211" s="147">
        <f>IFERROR(__xludf.DUMMYFUNCTION("""COMPUTED_VALUE"""),1.102001710167E12)</f>
        <v>1102001710167</v>
      </c>
      <c r="S1211" t="str">
        <f>IFERROR(__xludf.DUMMYFUNCTION("""COMPUTED_VALUE"""),"AD0340802")</f>
        <v>AD0340802</v>
      </c>
      <c r="T1211" s="148">
        <f>IFERROR(__xludf.DUMMYFUNCTION("""COMPUTED_VALUE"""),44869.0)</f>
        <v>44869</v>
      </c>
      <c r="U1211" s="148">
        <f>IFERROR(__xludf.DUMMYFUNCTION("""COMPUTED_VALUE"""),48521.0)</f>
        <v>48521</v>
      </c>
      <c r="V1211" s="149">
        <f>IFERROR(__xludf.DUMMYFUNCTION("""COMPUTED_VALUE"""),48337.0)</f>
        <v>48337</v>
      </c>
      <c r="W1211" t="str">
        <f>IFERROR(__xludf.DUMMYFUNCTION("""COMPUTED_VALUE"""),"ปลอดภัย")</f>
        <v>ปลอดภัย</v>
      </c>
      <c r="X1211" t="str">
        <f>IFERROR(__xludf.DUMMYFUNCTION("""COMPUTED_VALUE"""),"Bangkok")</f>
        <v>Bangkok</v>
      </c>
      <c r="Y1211" t="str">
        <f>IFERROR(__xludf.DUMMYFUNCTION("""COMPUTED_VALUE"""),"ayutthaya")</f>
        <v>ayutthaya</v>
      </c>
      <c r="Z1211" s="145" t="str">
        <f>IFERROR(__xludf.DUMMYFUNCTION("""COMPUTED_VALUE"""),"081-4002415")</f>
        <v>081-4002415</v>
      </c>
      <c r="AA1211" t="str">
        <f>IFERROR(__xludf.DUMMYFUNCTION("""COMPUTED_VALUE"""),"นางศิริพรรณ ประสิทธิ์ชัยฤทธิ์ Mother")</f>
        <v>นางศิริพรรณ ประสิทธิ์ชัยฤทธิ์ Mother</v>
      </c>
      <c r="AB1211" t="str">
        <f>IFERROR(__xludf.DUMMYFUNCTION("""COMPUTED_VALUE"""),"sujipapra@airasia.com")</f>
        <v>sujipapra@airasia.com</v>
      </c>
    </row>
    <row r="1212">
      <c r="A1212">
        <f>IFERROR(__xludf.DUMMYFUNCTION("""COMPUTED_VALUE"""),1044224.0)</f>
        <v>1044224</v>
      </c>
      <c r="B1212" t="str">
        <f>IFERROR(__xludf.DUMMYFUNCTION("""COMPUTED_VALUE"""),"Ms.")</f>
        <v>Ms.</v>
      </c>
      <c r="C1212" t="str">
        <f>IFERROR(__xludf.DUMMYFUNCTION("""COMPUTED_VALUE"""),"Praew")</f>
        <v>Praew</v>
      </c>
      <c r="D1212" t="str">
        <f>IFERROR(__xludf.DUMMYFUNCTION("""COMPUTED_VALUE"""),"Tubtimtong")</f>
        <v>Tubtimtong</v>
      </c>
      <c r="E1212" t="str">
        <f>IFERROR(__xludf.DUMMYFUNCTION("""COMPUTED_VALUE"""),"Praew Tubtimtong")</f>
        <v>Praew Tubtimtong</v>
      </c>
      <c r="F1212" t="str">
        <f>IFERROR(__xludf.DUMMYFUNCTION("""COMPUTED_VALUE"""),"นางสาว")</f>
        <v>นางสาว</v>
      </c>
      <c r="G1212" t="str">
        <f>IFERROR(__xludf.DUMMYFUNCTION("""COMPUTED_VALUE"""),"แพรว")</f>
        <v>แพรว</v>
      </c>
      <c r="H1212" t="str">
        <f>IFERROR(__xludf.DUMMYFUNCTION("""COMPUTED_VALUE"""),"ทับทิมทอง")</f>
        <v>ทับทิมทอง</v>
      </c>
      <c r="I1212" t="str">
        <f>IFERROR(__xludf.DUMMYFUNCTION("""COMPUTED_VALUE"""),"แพรว ทับทิมทอง")</f>
        <v>แพรว ทับทิมทอง</v>
      </c>
      <c r="J1212" t="str">
        <f>IFERROR(__xludf.DUMMYFUNCTION("""COMPUTED_VALUE"""),"Praew / แพรว")</f>
        <v>Praew / แพรว</v>
      </c>
      <c r="K1212" t="str">
        <f>IFERROR(__xludf.DUMMYFUNCTION("""COMPUTED_VALUE"""),"Cabin Crew")</f>
        <v>Cabin Crew</v>
      </c>
      <c r="L1212" t="str">
        <f>IFERROR(__xludf.DUMMYFUNCTION("""COMPUTED_VALUE"""),"DMK")</f>
        <v>DMK</v>
      </c>
      <c r="M1212" s="145" t="str">
        <f>IFERROR(__xludf.DUMMYFUNCTION("""COMPUTED_VALUE"""),"Kor Home")</f>
        <v>Kor Home</v>
      </c>
      <c r="N1212" t="str">
        <f>IFERROR(__xludf.DUMMYFUNCTION("""COMPUTED_VALUE"""),"Active")</f>
        <v>Active</v>
      </c>
      <c r="O1212" t="str">
        <f>IFERROR(__xludf.DUMMYFUNCTION("""COMPUTED_VALUE"""),"Japanese Speaking")</f>
        <v>Japanese Speaking</v>
      </c>
      <c r="P1212" s="156">
        <f>IFERROR(__xludf.DUMMYFUNCTION("""COMPUTED_VALUE"""),36079.0)</f>
        <v>36079</v>
      </c>
      <c r="Q1212" s="146">
        <f>IFERROR(__xludf.DUMMYFUNCTION("""COMPUTED_VALUE"""),9.17606711E8)</f>
        <v>917606711</v>
      </c>
      <c r="R1212" s="147">
        <f>IFERROR(__xludf.DUMMYFUNCTION("""COMPUTED_VALUE"""),1.769900521473E12)</f>
        <v>1769900521473</v>
      </c>
      <c r="S1212" t="str">
        <f>IFERROR(__xludf.DUMMYFUNCTION("""COMPUTED_VALUE"""),"AC5510320")</f>
        <v>AC5510320</v>
      </c>
      <c r="T1212" s="148">
        <f>IFERROR(__xludf.DUMMYFUNCTION("""COMPUTED_VALUE"""),45156.0)</f>
        <v>45156</v>
      </c>
      <c r="U1212" s="148">
        <f>IFERROR(__xludf.DUMMYFUNCTION("""COMPUTED_VALUE"""),48808.0)</f>
        <v>48808</v>
      </c>
      <c r="V1212" s="149">
        <f>IFERROR(__xludf.DUMMYFUNCTION("""COMPUTED_VALUE"""),48627.0)</f>
        <v>48627</v>
      </c>
      <c r="W1212" t="str">
        <f>IFERROR(__xludf.DUMMYFUNCTION("""COMPUTED_VALUE"""),"ปลอดภัย")</f>
        <v>ปลอดภัย</v>
      </c>
      <c r="X1212" t="str">
        <f>IFERROR(__xludf.DUMMYFUNCTION("""COMPUTED_VALUE"""),"Phetchaburi Province")</f>
        <v>Phetchaburi Province</v>
      </c>
      <c r="Y1212" t="str">
        <f>IFERROR(__xludf.DUMMYFUNCTION("""COMPUTED_VALUE"""),"Phetchaburi")</f>
        <v>Phetchaburi</v>
      </c>
      <c r="Z1212" s="145" t="str">
        <f>IFERROR(__xludf.DUMMYFUNCTION("""COMPUTED_VALUE"""),"080-901-4858")</f>
        <v>080-901-4858</v>
      </c>
      <c r="AA1212" t="str">
        <f>IFERROR(__xludf.DUMMYFUNCTION("""COMPUTED_VALUE"""),"นางรัศมี ทับทิมทอง Mother")</f>
        <v>นางรัศมี ทับทิมทอง Mother</v>
      </c>
      <c r="AB1212" t="str">
        <f>IFERROR(__xludf.DUMMYFUNCTION("""COMPUTED_VALUE"""),"praewtub@airasia.com")</f>
        <v>praewtub@airasia.com</v>
      </c>
    </row>
    <row r="1213">
      <c r="A1213">
        <f>IFERROR(__xludf.DUMMYFUNCTION("""COMPUTED_VALUE"""),1044226.0)</f>
        <v>1044226</v>
      </c>
      <c r="B1213" t="str">
        <f>IFERROR(__xludf.DUMMYFUNCTION("""COMPUTED_VALUE"""),"Ms.")</f>
        <v>Ms.</v>
      </c>
      <c r="C1213" t="str">
        <f>IFERROR(__xludf.DUMMYFUNCTION("""COMPUTED_VALUE"""),"Nongnapasorn")</f>
        <v>Nongnapasorn</v>
      </c>
      <c r="D1213" t="str">
        <f>IFERROR(__xludf.DUMMYFUNCTION("""COMPUTED_VALUE"""),"O-chawat")</f>
        <v>O-chawat</v>
      </c>
      <c r="E1213" t="str">
        <f>IFERROR(__xludf.DUMMYFUNCTION("""COMPUTED_VALUE"""),"Nongnapasorn O-chawat")</f>
        <v>Nongnapasorn O-chawat</v>
      </c>
      <c r="F1213" t="str">
        <f>IFERROR(__xludf.DUMMYFUNCTION("""COMPUTED_VALUE"""),"นางสาว")</f>
        <v>นางสาว</v>
      </c>
      <c r="G1213" t="str">
        <f>IFERROR(__xludf.DUMMYFUNCTION("""COMPUTED_VALUE"""),"นงนภสร")</f>
        <v>นงนภสร</v>
      </c>
      <c r="H1213" t="str">
        <f>IFERROR(__xludf.DUMMYFUNCTION("""COMPUTED_VALUE"""),"โอชาวัฒน์")</f>
        <v>โอชาวัฒน์</v>
      </c>
      <c r="I1213" t="str">
        <f>IFERROR(__xludf.DUMMYFUNCTION("""COMPUTED_VALUE"""),"นงนภสร โอชาวัฒน์")</f>
        <v>นงนภสร โอชาวัฒน์</v>
      </c>
      <c r="J1213" t="str">
        <f>IFERROR(__xludf.DUMMYFUNCTION("""COMPUTED_VALUE"""),"น้าม")</f>
        <v>น้าม</v>
      </c>
      <c r="K1213" t="str">
        <f>IFERROR(__xludf.DUMMYFUNCTION("""COMPUTED_VALUE"""),"Cabin Crew")</f>
        <v>Cabin Crew</v>
      </c>
      <c r="L1213" t="str">
        <f>IFERROR(__xludf.DUMMYFUNCTION("""COMPUTED_VALUE"""),"DMK")</f>
        <v>DMK</v>
      </c>
      <c r="M1213" s="145" t="str">
        <f>IFERROR(__xludf.DUMMYFUNCTION("""COMPUTED_VALUE"""),"Toffy Home")</f>
        <v>Toffy Home</v>
      </c>
      <c r="N1213" t="str">
        <f>IFERROR(__xludf.DUMMYFUNCTION("""COMPUTED_VALUE"""),"Active")</f>
        <v>Active</v>
      </c>
      <c r="O1213" t="str">
        <f>IFERROR(__xludf.DUMMYFUNCTION("""COMPUTED_VALUE"""),"Japanese Speaking")</f>
        <v>Japanese Speaking</v>
      </c>
      <c r="P1213" s="156">
        <f>IFERROR(__xludf.DUMMYFUNCTION("""COMPUTED_VALUE"""),34736.0)</f>
        <v>34736</v>
      </c>
      <c r="Q1213" s="146">
        <f>IFERROR(__xludf.DUMMYFUNCTION("""COMPUTED_VALUE"""),9.54568877E8)</f>
        <v>954568877</v>
      </c>
      <c r="R1213" s="147">
        <f>IFERROR(__xludf.DUMMYFUNCTION("""COMPUTED_VALUE"""),1.101800717137E12)</f>
        <v>1101800717137</v>
      </c>
      <c r="S1213" t="str">
        <f>IFERROR(__xludf.DUMMYFUNCTION("""COMPUTED_VALUE"""),"AD0425671")</f>
        <v>AD0425671</v>
      </c>
      <c r="T1213" s="148">
        <f>IFERROR(__xludf.DUMMYFUNCTION("""COMPUTED_VALUE"""),44897.0)</f>
        <v>44897</v>
      </c>
      <c r="U1213" s="148">
        <f>IFERROR(__xludf.DUMMYFUNCTION("""COMPUTED_VALUE"""),48549.0)</f>
        <v>48549</v>
      </c>
      <c r="V1213" s="149">
        <f>IFERROR(__xludf.DUMMYFUNCTION("""COMPUTED_VALUE"""),48366.0)</f>
        <v>48366</v>
      </c>
      <c r="W1213" t="str">
        <f>IFERROR(__xludf.DUMMYFUNCTION("""COMPUTED_VALUE"""),"ปลอดภัย")</f>
        <v>ปลอดภัย</v>
      </c>
      <c r="X1213" t="str">
        <f>IFERROR(__xludf.DUMMYFUNCTION("""COMPUTED_VALUE"""),"Bangkok")</f>
        <v>Bangkok</v>
      </c>
      <c r="Y1213" t="str">
        <f>IFERROR(__xludf.DUMMYFUNCTION("""COMPUTED_VALUE"""),"Chiang mai")</f>
        <v>Chiang mai</v>
      </c>
      <c r="Z1213" s="145" t="str">
        <f>IFERROR(__xludf.DUMMYFUNCTION("""COMPUTED_VALUE"""),"0639578444")</f>
        <v>0639578444</v>
      </c>
      <c r="AA1213" t="str">
        <f>IFERROR(__xludf.DUMMYFUNCTION("""COMPUTED_VALUE"""),"กนกวรรณ โอชาวัฒน์ Mother")</f>
        <v>กนกวรรณ โอชาวัฒน์ Mother</v>
      </c>
      <c r="AB1213" t="str">
        <f>IFERROR(__xludf.DUMMYFUNCTION("""COMPUTED_VALUE"""),"nongnapasornoch@airasia.com")</f>
        <v>nongnapasornoch@airasia.com</v>
      </c>
    </row>
    <row r="1214">
      <c r="A1214">
        <f>IFERROR(__xludf.DUMMYFUNCTION("""COMPUTED_VALUE"""),1044227.0)</f>
        <v>1044227</v>
      </c>
      <c r="B1214" t="str">
        <f>IFERROR(__xludf.DUMMYFUNCTION("""COMPUTED_VALUE"""),"Ms.")</f>
        <v>Ms.</v>
      </c>
      <c r="C1214" t="str">
        <f>IFERROR(__xludf.DUMMYFUNCTION("""COMPUTED_VALUE"""),"Kasama")</f>
        <v>Kasama</v>
      </c>
      <c r="D1214" t="str">
        <f>IFERROR(__xludf.DUMMYFUNCTION("""COMPUTED_VALUE"""),"Guaynil")</f>
        <v>Guaynil</v>
      </c>
      <c r="E1214" t="str">
        <f>IFERROR(__xludf.DUMMYFUNCTION("""COMPUTED_VALUE"""),"Kasama Guaynil")</f>
        <v>Kasama Guaynil</v>
      </c>
      <c r="F1214" t="str">
        <f>IFERROR(__xludf.DUMMYFUNCTION("""COMPUTED_VALUE"""),"นางสาว")</f>
        <v>นางสาว</v>
      </c>
      <c r="G1214" t="str">
        <f>IFERROR(__xludf.DUMMYFUNCTION("""COMPUTED_VALUE"""),"กษมา")</f>
        <v>กษมา</v>
      </c>
      <c r="H1214" t="str">
        <f>IFERROR(__xludf.DUMMYFUNCTION("""COMPUTED_VALUE"""),"กวยนิล")</f>
        <v>กวยนิล</v>
      </c>
      <c r="I1214" t="str">
        <f>IFERROR(__xludf.DUMMYFUNCTION("""COMPUTED_VALUE"""),"กษมา กวยนิล")</f>
        <v>กษมา กวยนิล</v>
      </c>
      <c r="J1214" t="str">
        <f>IFERROR(__xludf.DUMMYFUNCTION("""COMPUTED_VALUE"""),"Bam / แบม")</f>
        <v>Bam / แบม</v>
      </c>
      <c r="K1214" t="str">
        <f>IFERROR(__xludf.DUMMYFUNCTION("""COMPUTED_VALUE"""),"Cabin Crew")</f>
        <v>Cabin Crew</v>
      </c>
      <c r="L1214" t="str">
        <f>IFERROR(__xludf.DUMMYFUNCTION("""COMPUTED_VALUE"""),"DMK")</f>
        <v>DMK</v>
      </c>
      <c r="M1214" s="145" t="str">
        <f>IFERROR(__xludf.DUMMYFUNCTION("""COMPUTED_VALUE"""),"Up Home")</f>
        <v>Up Home</v>
      </c>
      <c r="N1214" t="str">
        <f>IFERROR(__xludf.DUMMYFUNCTION("""COMPUTED_VALUE"""),"Active")</f>
        <v>Active</v>
      </c>
      <c r="O1214" t="str">
        <f>IFERROR(__xludf.DUMMYFUNCTION("""COMPUTED_VALUE"""),"Japanese Speaking")</f>
        <v>Japanese Speaking</v>
      </c>
      <c r="P1214" s="156">
        <f>IFERROR(__xludf.DUMMYFUNCTION("""COMPUTED_VALUE"""),35663.0)</f>
        <v>35663</v>
      </c>
      <c r="Q1214" s="146">
        <f>IFERROR(__xludf.DUMMYFUNCTION("""COMPUTED_VALUE"""),8.3445554E8)</f>
        <v>834455540</v>
      </c>
      <c r="R1214" s="147">
        <f>IFERROR(__xludf.DUMMYFUNCTION("""COMPUTED_VALUE"""),1.139600023244E12)</f>
        <v>1139600023244</v>
      </c>
      <c r="S1214" t="str">
        <f>IFERROR(__xludf.DUMMYFUNCTION("""COMPUTED_VALUE"""),"AC4468894")</f>
        <v>AC4468894</v>
      </c>
      <c r="T1214" s="148">
        <f>IFERROR(__xludf.DUMMYFUNCTION("""COMPUTED_VALUE"""),44965.0)</f>
        <v>44965</v>
      </c>
      <c r="U1214" s="148">
        <f>IFERROR(__xludf.DUMMYFUNCTION("""COMPUTED_VALUE"""),48617.0)</f>
        <v>48617</v>
      </c>
      <c r="V1214" s="149">
        <f>IFERROR(__xludf.DUMMYFUNCTION("""COMPUTED_VALUE"""),48433.0)</f>
        <v>48433</v>
      </c>
      <c r="W1214" t="str">
        <f>IFERROR(__xludf.DUMMYFUNCTION("""COMPUTED_VALUE"""),"ปลอดภัย")</f>
        <v>ปลอดภัย</v>
      </c>
      <c r="X1214" t="str">
        <f>IFERROR(__xludf.DUMMYFUNCTION("""COMPUTED_VALUE"""),"Pathum Thani Province")</f>
        <v>Pathum Thani Province</v>
      </c>
      <c r="Y1214" t="str">
        <f>IFERROR(__xludf.DUMMYFUNCTION("""COMPUTED_VALUE"""),"Pathum Thani Province")</f>
        <v>Pathum Thani Province</v>
      </c>
      <c r="Z1214" s="145" t="str">
        <f>IFERROR(__xludf.DUMMYFUNCTION("""COMPUTED_VALUE"""),"090-975-5035")</f>
        <v>090-975-5035</v>
      </c>
      <c r="AA1214" t="str">
        <f>IFERROR(__xludf.DUMMYFUNCTION("""COMPUTED_VALUE"""),"นายณัชพล กวยนิล Brother")</f>
        <v>นายณัชพล กวยนิล Brother</v>
      </c>
      <c r="AB1214" t="str">
        <f>IFERROR(__xludf.DUMMYFUNCTION("""COMPUTED_VALUE"""),"kasamagua@airasia.com")</f>
        <v>kasamagua@airasia.com</v>
      </c>
    </row>
    <row r="1215">
      <c r="A1215">
        <f>IFERROR(__xludf.DUMMYFUNCTION("""COMPUTED_VALUE"""),1044229.0)</f>
        <v>1044229</v>
      </c>
      <c r="B1215" t="str">
        <f>IFERROR(__xludf.DUMMYFUNCTION("""COMPUTED_VALUE"""),"Ms.")</f>
        <v>Ms.</v>
      </c>
      <c r="C1215" t="str">
        <f>IFERROR(__xludf.DUMMYFUNCTION("""COMPUTED_VALUE"""),"Napaporn")</f>
        <v>Napaporn</v>
      </c>
      <c r="D1215" t="str">
        <f>IFERROR(__xludf.DUMMYFUNCTION("""COMPUTED_VALUE"""),"Pansamdaeng")</f>
        <v>Pansamdaeng</v>
      </c>
      <c r="E1215" t="str">
        <f>IFERROR(__xludf.DUMMYFUNCTION("""COMPUTED_VALUE"""),"Napaporn Pansamdaeng")</f>
        <v>Napaporn Pansamdaeng</v>
      </c>
      <c r="F1215" t="str">
        <f>IFERROR(__xludf.DUMMYFUNCTION("""COMPUTED_VALUE"""),"นางสาว")</f>
        <v>นางสาว</v>
      </c>
      <c r="G1215" t="str">
        <f>IFERROR(__xludf.DUMMYFUNCTION("""COMPUTED_VALUE"""),"นภาพร")</f>
        <v>นภาพร</v>
      </c>
      <c r="H1215" t="str">
        <f>IFERROR(__xludf.DUMMYFUNCTION("""COMPUTED_VALUE"""),"ผ่านสำแดง")</f>
        <v>ผ่านสำแดง</v>
      </c>
      <c r="I1215" t="str">
        <f>IFERROR(__xludf.DUMMYFUNCTION("""COMPUTED_VALUE"""),"นภาพร ผ่านสำแดง")</f>
        <v>นภาพร ผ่านสำแดง</v>
      </c>
      <c r="J1215" t="str">
        <f>IFERROR(__xludf.DUMMYFUNCTION("""COMPUTED_VALUE"""),"Um / อุ๋ม")</f>
        <v>Um / อุ๋ม</v>
      </c>
      <c r="K1215" t="str">
        <f>IFERROR(__xludf.DUMMYFUNCTION("""COMPUTED_VALUE"""),"Cabin Crew")</f>
        <v>Cabin Crew</v>
      </c>
      <c r="L1215" t="str">
        <f>IFERROR(__xludf.DUMMYFUNCTION("""COMPUTED_VALUE"""),"DMK")</f>
        <v>DMK</v>
      </c>
      <c r="M1215" s="145" t="str">
        <f>IFERROR(__xludf.DUMMYFUNCTION("""COMPUTED_VALUE"""),"Um Home")</f>
        <v>Um Home</v>
      </c>
      <c r="N1215" t="str">
        <f>IFERROR(__xludf.DUMMYFUNCTION("""COMPUTED_VALUE"""),"Active")</f>
        <v>Active</v>
      </c>
      <c r="O1215" t="str">
        <f>IFERROR(__xludf.DUMMYFUNCTION("""COMPUTED_VALUE"""),"Japanese Speaking")</f>
        <v>Japanese Speaking</v>
      </c>
      <c r="P1215" s="156">
        <f>IFERROR(__xludf.DUMMYFUNCTION("""COMPUTED_VALUE"""),33650.0)</f>
        <v>33650</v>
      </c>
      <c r="Q1215" s="146">
        <f>IFERROR(__xludf.DUMMYFUNCTION("""COMPUTED_VALUE"""),8.06135019E8)</f>
        <v>806135019</v>
      </c>
      <c r="R1215" s="147">
        <f>IFERROR(__xludf.DUMMYFUNCTION("""COMPUTED_VALUE"""),1.469900193037E12)</f>
        <v>1469900193037</v>
      </c>
      <c r="S1215" t="str">
        <f>IFERROR(__xludf.DUMMYFUNCTION("""COMPUTED_VALUE"""),"AC7070112")</f>
        <v>AC7070112</v>
      </c>
      <c r="T1215" s="148">
        <f>IFERROR(__xludf.DUMMYFUNCTION("""COMPUTED_VALUE"""),44687.0)</f>
        <v>44687</v>
      </c>
      <c r="U1215" s="148">
        <f>IFERROR(__xludf.DUMMYFUNCTION("""COMPUTED_VALUE"""),48339.0)</f>
        <v>48339</v>
      </c>
      <c r="V1215" s="149">
        <f>IFERROR(__xludf.DUMMYFUNCTION("""COMPUTED_VALUE"""),48157.0)</f>
        <v>48157</v>
      </c>
      <c r="W1215" t="str">
        <f>IFERROR(__xludf.DUMMYFUNCTION("""COMPUTED_VALUE"""),"ปลอดภัย")</f>
        <v>ปลอดภัย</v>
      </c>
      <c r="X1215" t="str">
        <f>IFERROR(__xludf.DUMMYFUNCTION("""COMPUTED_VALUE"""),"Kalasin Province")</f>
        <v>Kalasin Province</v>
      </c>
      <c r="Y1215" t="str">
        <f>IFERROR(__xludf.DUMMYFUNCTION("""COMPUTED_VALUE"""),"Bangkok")</f>
        <v>Bangkok</v>
      </c>
      <c r="Z1215" s="145" t="str">
        <f>IFERROR(__xludf.DUMMYFUNCTION("""COMPUTED_VALUE"""),"091-753-1188")</f>
        <v>091-753-1188</v>
      </c>
      <c r="AA1215" t="str">
        <f>IFERROR(__xludf.DUMMYFUNCTION("""COMPUTED_VALUE"""),"นางสาคร ผ่านสำแดง Mother")</f>
        <v>นางสาคร ผ่านสำแดง Mother</v>
      </c>
      <c r="AB1215" t="str">
        <f>IFERROR(__xludf.DUMMYFUNCTION("""COMPUTED_VALUE"""),"napapornpan@airasia.com")</f>
        <v>napapornpan@airasia.com</v>
      </c>
    </row>
    <row r="1216">
      <c r="A1216">
        <f>IFERROR(__xludf.DUMMYFUNCTION("""COMPUTED_VALUE"""),1044230.0)</f>
        <v>1044230</v>
      </c>
      <c r="B1216" t="str">
        <f>IFERROR(__xludf.DUMMYFUNCTION("""COMPUTED_VALUE"""),"Ms.")</f>
        <v>Ms.</v>
      </c>
      <c r="C1216" t="str">
        <f>IFERROR(__xludf.DUMMYFUNCTION("""COMPUTED_VALUE"""),"Sujinut")</f>
        <v>Sujinut</v>
      </c>
      <c r="D1216" t="str">
        <f>IFERROR(__xludf.DUMMYFUNCTION("""COMPUTED_VALUE"""),"Ruangmalai")</f>
        <v>Ruangmalai</v>
      </c>
      <c r="E1216" t="str">
        <f>IFERROR(__xludf.DUMMYFUNCTION("""COMPUTED_VALUE"""),"Sujinut Ruangmalai")</f>
        <v>Sujinut Ruangmalai</v>
      </c>
      <c r="F1216" t="str">
        <f>IFERROR(__xludf.DUMMYFUNCTION("""COMPUTED_VALUE"""),"นางสาว")</f>
        <v>นางสาว</v>
      </c>
      <c r="G1216" t="str">
        <f>IFERROR(__xludf.DUMMYFUNCTION("""COMPUTED_VALUE"""),"ศุจิณัฐ")</f>
        <v>ศุจิณัฐ</v>
      </c>
      <c r="H1216" t="str">
        <f>IFERROR(__xludf.DUMMYFUNCTION("""COMPUTED_VALUE"""),"เรืองมาลัย")</f>
        <v>เรืองมาลัย</v>
      </c>
      <c r="I1216" t="str">
        <f>IFERROR(__xludf.DUMMYFUNCTION("""COMPUTED_VALUE"""),"ศุจิณัฐ เรืองมาลัย")</f>
        <v>ศุจิณัฐ เรืองมาลัย</v>
      </c>
      <c r="J1216" t="str">
        <f>IFERROR(__xludf.DUMMYFUNCTION("""COMPUTED_VALUE"""),"opal/โอปอล์")</f>
        <v>opal/โอปอล์</v>
      </c>
      <c r="K1216" t="str">
        <f>IFERROR(__xludf.DUMMYFUNCTION("""COMPUTED_VALUE"""),"Cabin Crew")</f>
        <v>Cabin Crew</v>
      </c>
      <c r="L1216" t="str">
        <f>IFERROR(__xludf.DUMMYFUNCTION("""COMPUTED_VALUE"""),"DMK")</f>
        <v>DMK</v>
      </c>
      <c r="M1216" s="145" t="str">
        <f>IFERROR(__xludf.DUMMYFUNCTION("""COMPUTED_VALUE"""),"Toffy Home")</f>
        <v>Toffy Home</v>
      </c>
      <c r="N1216" t="str">
        <f>IFERROR(__xludf.DUMMYFUNCTION("""COMPUTED_VALUE"""),"Active")</f>
        <v>Active</v>
      </c>
      <c r="O1216" t="str">
        <f>IFERROR(__xludf.DUMMYFUNCTION("""COMPUTED_VALUE"""),"Japanese Speaking")</f>
        <v>Japanese Speaking</v>
      </c>
      <c r="P1216" s="156">
        <f>IFERROR(__xludf.DUMMYFUNCTION("""COMPUTED_VALUE"""),34261.0)</f>
        <v>34261</v>
      </c>
      <c r="Q1216" s="146">
        <f>IFERROR(__xludf.DUMMYFUNCTION("""COMPUTED_VALUE"""),6.31922578E8)</f>
        <v>631922578</v>
      </c>
      <c r="R1216" s="147">
        <f>IFERROR(__xludf.DUMMYFUNCTION("""COMPUTED_VALUE"""),1.101402001221E12)</f>
        <v>1101402001221</v>
      </c>
      <c r="S1216" t="str">
        <f>IFERROR(__xludf.DUMMYFUNCTION("""COMPUTED_VALUE"""),"AD0407023")</f>
        <v>AD0407023</v>
      </c>
      <c r="T1216" s="148">
        <f>IFERROR(__xludf.DUMMYFUNCTION("""COMPUTED_VALUE"""),44893.0)</f>
        <v>44893</v>
      </c>
      <c r="U1216" s="148">
        <f>IFERROR(__xludf.DUMMYFUNCTION("""COMPUTED_VALUE"""),48545.0)</f>
        <v>48545</v>
      </c>
      <c r="V1216" s="149">
        <f>IFERROR(__xludf.DUMMYFUNCTION("""COMPUTED_VALUE"""),48361.0)</f>
        <v>48361</v>
      </c>
      <c r="W1216" t="str">
        <f>IFERROR(__xludf.DUMMYFUNCTION("""COMPUTED_VALUE"""),"ปลอดภัย")</f>
        <v>ปลอดภัย</v>
      </c>
      <c r="X1216" t="str">
        <f>IFERROR(__xludf.DUMMYFUNCTION("""COMPUTED_VALUE"""),"Bangkok")</f>
        <v>Bangkok</v>
      </c>
      <c r="Y1216" t="str">
        <f>IFERROR(__xludf.DUMMYFUNCTION("""COMPUTED_VALUE"""),"Bangkok")</f>
        <v>Bangkok</v>
      </c>
      <c r="Z1216" s="145" t="str">
        <f>IFERROR(__xludf.DUMMYFUNCTION("""COMPUTED_VALUE"""),"0865711557")</f>
        <v>0865711557</v>
      </c>
      <c r="AA1216" t="str">
        <f>IFERROR(__xludf.DUMMYFUNCTION("""COMPUTED_VALUE"""),"นาง รุจี เรืองมาลัย Mother")</f>
        <v>นาง รุจี เรืองมาลัย Mother</v>
      </c>
      <c r="AB1216" t="str">
        <f>IFERROR(__xludf.DUMMYFUNCTION("""COMPUTED_VALUE"""),"sujinutrua@airasia.com")</f>
        <v>sujinutrua@airasia.com</v>
      </c>
    </row>
    <row r="1217">
      <c r="A1217">
        <f>IFERROR(__xludf.DUMMYFUNCTION("""COMPUTED_VALUE"""),1044231.0)</f>
        <v>1044231</v>
      </c>
      <c r="B1217" t="str">
        <f>IFERROR(__xludf.DUMMYFUNCTION("""COMPUTED_VALUE"""),"Ms.")</f>
        <v>Ms.</v>
      </c>
      <c r="C1217" t="str">
        <f>IFERROR(__xludf.DUMMYFUNCTION("""COMPUTED_VALUE"""),"Panitnant")</f>
        <v>Panitnant</v>
      </c>
      <c r="D1217" t="str">
        <f>IFERROR(__xludf.DUMMYFUNCTION("""COMPUTED_VALUE"""),"Suparadon")</f>
        <v>Suparadon</v>
      </c>
      <c r="E1217" t="str">
        <f>IFERROR(__xludf.DUMMYFUNCTION("""COMPUTED_VALUE"""),"Panitnant Suparadon")</f>
        <v>Panitnant Suparadon</v>
      </c>
      <c r="F1217" t="str">
        <f>IFERROR(__xludf.DUMMYFUNCTION("""COMPUTED_VALUE"""),"นางสาว")</f>
        <v>นางสาว</v>
      </c>
      <c r="G1217" t="str">
        <f>IFERROR(__xludf.DUMMYFUNCTION("""COMPUTED_VALUE"""),"พนิตนันท์")</f>
        <v>พนิตนันท์</v>
      </c>
      <c r="H1217" t="str">
        <f>IFERROR(__xludf.DUMMYFUNCTION("""COMPUTED_VALUE"""),"ศุภรดร")</f>
        <v>ศุภรดร</v>
      </c>
      <c r="I1217" t="str">
        <f>IFERROR(__xludf.DUMMYFUNCTION("""COMPUTED_VALUE"""),"พนิตนันท์ ศุภรดร")</f>
        <v>พนิตนันท์ ศุภรดร</v>
      </c>
      <c r="J1217" t="str">
        <f>IFERROR(__xludf.DUMMYFUNCTION("""COMPUTED_VALUE"""),"ก้ามปู")</f>
        <v>ก้ามปู</v>
      </c>
      <c r="K1217" t="str">
        <f>IFERROR(__xludf.DUMMYFUNCTION("""COMPUTED_VALUE"""),"Cabin Crew")</f>
        <v>Cabin Crew</v>
      </c>
      <c r="L1217" t="str">
        <f>IFERROR(__xludf.DUMMYFUNCTION("""COMPUTED_VALUE"""),"DMK")</f>
        <v>DMK</v>
      </c>
      <c r="M1217" s="145" t="str">
        <f>IFERROR(__xludf.DUMMYFUNCTION("""COMPUTED_VALUE"""),"Um Home")</f>
        <v>Um Home</v>
      </c>
      <c r="N1217" t="str">
        <f>IFERROR(__xludf.DUMMYFUNCTION("""COMPUTED_VALUE"""),"Active")</f>
        <v>Active</v>
      </c>
      <c r="O1217" t="str">
        <f>IFERROR(__xludf.DUMMYFUNCTION("""COMPUTED_VALUE"""),"Japanese Speaking")</f>
        <v>Japanese Speaking</v>
      </c>
      <c r="P1217" s="156">
        <f>IFERROR(__xludf.DUMMYFUNCTION("""COMPUTED_VALUE"""),34381.0)</f>
        <v>34381</v>
      </c>
      <c r="Q1217" s="146">
        <f>IFERROR(__xludf.DUMMYFUNCTION("""COMPUTED_VALUE"""),9.35426696E8)</f>
        <v>935426696</v>
      </c>
      <c r="R1217" s="147">
        <f>IFERROR(__xludf.DUMMYFUNCTION("""COMPUTED_VALUE"""),1.100800933084E12)</f>
        <v>1100800933084</v>
      </c>
      <c r="S1217" t="str">
        <f>IFERROR(__xludf.DUMMYFUNCTION("""COMPUTED_VALUE"""),"AC7329818")</f>
        <v>AC7329818</v>
      </c>
      <c r="T1217" s="148">
        <f>IFERROR(__xludf.DUMMYFUNCTION("""COMPUTED_VALUE"""),45554.0)</f>
        <v>45554</v>
      </c>
      <c r="U1217" s="148">
        <f>IFERROR(__xludf.DUMMYFUNCTION("""COMPUTED_VALUE"""),49205.0)</f>
        <v>49205</v>
      </c>
      <c r="V1217" s="149">
        <f>IFERROR(__xludf.DUMMYFUNCTION("""COMPUTED_VALUE"""),49021.0)</f>
        <v>49021</v>
      </c>
      <c r="W1217" t="str">
        <f>IFERROR(__xludf.DUMMYFUNCTION("""COMPUTED_VALUE"""),"ปลอดภัย")</f>
        <v>ปลอดภัย</v>
      </c>
      <c r="X1217" t="str">
        <f>IFERROR(__xludf.DUMMYFUNCTION("""COMPUTED_VALUE"""),"Bangkok")</f>
        <v>Bangkok</v>
      </c>
      <c r="Y1217" t="str">
        <f>IFERROR(__xludf.DUMMYFUNCTION("""COMPUTED_VALUE"""),"Nakorn ratchasrima")</f>
        <v>Nakorn ratchasrima</v>
      </c>
      <c r="Z1217" s="145" t="str">
        <f>IFERROR(__xludf.DUMMYFUNCTION("""COMPUTED_VALUE"""),"0988311095")</f>
        <v>0988311095</v>
      </c>
      <c r="AA1217" t="str">
        <f>IFERROR(__xludf.DUMMYFUNCTION("""COMPUTED_VALUE"""),"พลภัทร สิมะดำรงค์ Friend")</f>
        <v>พลภัทร สิมะดำรงค์ Friend</v>
      </c>
      <c r="AB1217" t="str">
        <f>IFERROR(__xludf.DUMMYFUNCTION("""COMPUTED_VALUE"""),"panitnantsup@airasia.com")</f>
        <v>panitnantsup@airasia.com</v>
      </c>
    </row>
    <row r="1218">
      <c r="A1218">
        <f>IFERROR(__xludf.DUMMYFUNCTION("""COMPUTED_VALUE"""),1044232.0)</f>
        <v>1044232</v>
      </c>
      <c r="B1218" t="str">
        <f>IFERROR(__xludf.DUMMYFUNCTION("""COMPUTED_VALUE"""),"Ms.")</f>
        <v>Ms.</v>
      </c>
      <c r="C1218" t="str">
        <f>IFERROR(__xludf.DUMMYFUNCTION("""COMPUTED_VALUE"""),"Nisa")</f>
        <v>Nisa</v>
      </c>
      <c r="D1218" t="str">
        <f>IFERROR(__xludf.DUMMYFUNCTION("""COMPUTED_VALUE"""),"Tangkamolsuk")</f>
        <v>Tangkamolsuk</v>
      </c>
      <c r="E1218" t="str">
        <f>IFERROR(__xludf.DUMMYFUNCTION("""COMPUTED_VALUE"""),"Nisa Tangkamolsuk")</f>
        <v>Nisa Tangkamolsuk</v>
      </c>
      <c r="F1218" t="str">
        <f>IFERROR(__xludf.DUMMYFUNCTION("""COMPUTED_VALUE"""),"นางสาว")</f>
        <v>นางสาว</v>
      </c>
      <c r="G1218" t="str">
        <f>IFERROR(__xludf.DUMMYFUNCTION("""COMPUTED_VALUE"""),"นิศา")</f>
        <v>นิศา</v>
      </c>
      <c r="H1218" t="str">
        <f>IFERROR(__xludf.DUMMYFUNCTION("""COMPUTED_VALUE"""),"ตั้งกมลสุข")</f>
        <v>ตั้งกมลสุข</v>
      </c>
      <c r="I1218" t="str">
        <f>IFERROR(__xludf.DUMMYFUNCTION("""COMPUTED_VALUE"""),"นิศา ตั้งกมลสุข")</f>
        <v>นิศา ตั้งกมลสุข</v>
      </c>
      <c r="J1218" t="str">
        <f>IFERROR(__xludf.DUMMYFUNCTION("""COMPUTED_VALUE"""),"นิศา")</f>
        <v>นิศา</v>
      </c>
      <c r="K1218" t="str">
        <f>IFERROR(__xludf.DUMMYFUNCTION("""COMPUTED_VALUE"""),"Cabin Crew")</f>
        <v>Cabin Crew</v>
      </c>
      <c r="L1218" t="str">
        <f>IFERROR(__xludf.DUMMYFUNCTION("""COMPUTED_VALUE"""),"DMK")</f>
        <v>DMK</v>
      </c>
      <c r="M1218" s="145" t="str">
        <f>IFERROR(__xludf.DUMMYFUNCTION("""COMPUTED_VALUE"""),"Toffy Home")</f>
        <v>Toffy Home</v>
      </c>
      <c r="N1218" t="str">
        <f>IFERROR(__xludf.DUMMYFUNCTION("""COMPUTED_VALUE"""),"Active")</f>
        <v>Active</v>
      </c>
      <c r="P1218" s="156">
        <f>IFERROR(__xludf.DUMMYFUNCTION("""COMPUTED_VALUE"""),33529.0)</f>
        <v>33529</v>
      </c>
      <c r="Q1218" s="146">
        <f>IFERROR(__xludf.DUMMYFUNCTION("""COMPUTED_VALUE"""),9.94239464E8)</f>
        <v>994239464</v>
      </c>
      <c r="R1218" s="147">
        <f>IFERROR(__xludf.DUMMYFUNCTION("""COMPUTED_VALUE"""),5.103300007747E12)</f>
        <v>5103300007747</v>
      </c>
      <c r="S1218" t="str">
        <f>IFERROR(__xludf.DUMMYFUNCTION("""COMPUTED_VALUE"""),"AC4841285")</f>
        <v>AC4841285</v>
      </c>
      <c r="T1218" s="148">
        <f>IFERROR(__xludf.DUMMYFUNCTION("""COMPUTED_VALUE"""),45021.0)</f>
        <v>45021</v>
      </c>
      <c r="U1218" s="148">
        <f>IFERROR(__xludf.DUMMYFUNCTION("""COMPUTED_VALUE"""),48673.0)</f>
        <v>48673</v>
      </c>
      <c r="V1218" s="149">
        <f>IFERROR(__xludf.DUMMYFUNCTION("""COMPUTED_VALUE"""),48491.0)</f>
        <v>48491</v>
      </c>
      <c r="W1218" t="str">
        <f>IFERROR(__xludf.DUMMYFUNCTION("""COMPUTED_VALUE"""),"ปลอดภัย")</f>
        <v>ปลอดภัย</v>
      </c>
      <c r="X1218" t="str">
        <f>IFERROR(__xludf.DUMMYFUNCTION("""COMPUTED_VALUE"""),"Japan")</f>
        <v>Japan</v>
      </c>
      <c r="Y1218" t="str">
        <f>IFERROR(__xludf.DUMMYFUNCTION("""COMPUTED_VALUE"""),"Bangkok")</f>
        <v>Bangkok</v>
      </c>
      <c r="Z1218" s="145" t="str">
        <f>IFERROR(__xludf.DUMMYFUNCTION("""COMPUTED_VALUE"""),"093-936-5326")</f>
        <v>093-936-5326</v>
      </c>
      <c r="AA1218" t="str">
        <f>IFERROR(__xludf.DUMMYFUNCTION("""COMPUTED_VALUE"""),"นางสาววิชกา ม่วงประเสริฐ Friend")</f>
        <v>นางสาววิชกา ม่วงประเสริฐ Friend</v>
      </c>
      <c r="AB1218" t="str">
        <f>IFERROR(__xludf.DUMMYFUNCTION("""COMPUTED_VALUE"""),"nisatan@airasia.com")</f>
        <v>nisatan@airasia.com</v>
      </c>
    </row>
    <row r="1219">
      <c r="A1219">
        <f>IFERROR(__xludf.DUMMYFUNCTION("""COMPUTED_VALUE"""),1044233.0)</f>
        <v>1044233</v>
      </c>
      <c r="B1219" t="str">
        <f>IFERROR(__xludf.DUMMYFUNCTION("""COMPUTED_VALUE"""),"Ms.")</f>
        <v>Ms.</v>
      </c>
      <c r="C1219" t="str">
        <f>IFERROR(__xludf.DUMMYFUNCTION("""COMPUTED_VALUE"""),"Lalana")</f>
        <v>Lalana</v>
      </c>
      <c r="D1219" t="str">
        <f>IFERROR(__xludf.DUMMYFUNCTION("""COMPUTED_VALUE"""),"Lertussawachai")</f>
        <v>Lertussawachai</v>
      </c>
      <c r="E1219" t="str">
        <f>IFERROR(__xludf.DUMMYFUNCTION("""COMPUTED_VALUE"""),"Lalana Lertussawachai")</f>
        <v>Lalana Lertussawachai</v>
      </c>
      <c r="F1219" t="str">
        <f>IFERROR(__xludf.DUMMYFUNCTION("""COMPUTED_VALUE"""),"นางสาว")</f>
        <v>นางสาว</v>
      </c>
      <c r="G1219" t="str">
        <f>IFERROR(__xludf.DUMMYFUNCTION("""COMPUTED_VALUE"""),"ลลนา")</f>
        <v>ลลนา</v>
      </c>
      <c r="H1219" t="str">
        <f>IFERROR(__xludf.DUMMYFUNCTION("""COMPUTED_VALUE"""),"เลิศอัศวไชย")</f>
        <v>เลิศอัศวไชย</v>
      </c>
      <c r="I1219" t="str">
        <f>IFERROR(__xludf.DUMMYFUNCTION("""COMPUTED_VALUE"""),"ลลนา เลิศอัศวไชย")</f>
        <v>ลลนา เลิศอัศวไชย</v>
      </c>
      <c r="J1219" t="str">
        <f>IFERROR(__xludf.DUMMYFUNCTION("""COMPUTED_VALUE"""),"Best / เบส")</f>
        <v>Best / เบส</v>
      </c>
      <c r="K1219" t="str">
        <f>IFERROR(__xludf.DUMMYFUNCTION("""COMPUTED_VALUE"""),"Cabin Crew")</f>
        <v>Cabin Crew</v>
      </c>
      <c r="L1219" t="str">
        <f>IFERROR(__xludf.DUMMYFUNCTION("""COMPUTED_VALUE"""),"DMK")</f>
        <v>DMK</v>
      </c>
      <c r="M1219" s="145" t="str">
        <f>IFERROR(__xludf.DUMMYFUNCTION("""COMPUTED_VALUE"""),"Nhui Home")</f>
        <v>Nhui Home</v>
      </c>
      <c r="N1219" t="str">
        <f>IFERROR(__xludf.DUMMYFUNCTION("""COMPUTED_VALUE"""),"Active")</f>
        <v>Active</v>
      </c>
      <c r="P1219" s="156">
        <f>IFERROR(__xludf.DUMMYFUNCTION("""COMPUTED_VALUE"""),35332.0)</f>
        <v>35332</v>
      </c>
      <c r="Q1219" s="146">
        <f>IFERROR(__xludf.DUMMYFUNCTION("""COMPUTED_VALUE"""),8.4670651E8)</f>
        <v>846706510</v>
      </c>
      <c r="R1219" s="147">
        <f>IFERROR(__xludf.DUMMYFUNCTION("""COMPUTED_VALUE"""),1.100801161875E12)</f>
        <v>1100801161875</v>
      </c>
      <c r="S1219" t="str">
        <f>IFERROR(__xludf.DUMMYFUNCTION("""COMPUTED_VALUE"""),"AC4962403")</f>
        <v>AC4962403</v>
      </c>
      <c r="T1219" s="148">
        <f>IFERROR(__xludf.DUMMYFUNCTION("""COMPUTED_VALUE"""),45071.0)</f>
        <v>45071</v>
      </c>
      <c r="U1219" s="148">
        <f>IFERROR(__xludf.DUMMYFUNCTION("""COMPUTED_VALUE"""),48723.0)</f>
        <v>48723</v>
      </c>
      <c r="V1219" s="149">
        <f>IFERROR(__xludf.DUMMYFUNCTION("""COMPUTED_VALUE"""),48542.0)</f>
        <v>48542</v>
      </c>
      <c r="W1219" t="str">
        <f>IFERROR(__xludf.DUMMYFUNCTION("""COMPUTED_VALUE"""),"ปลอดภัย")</f>
        <v>ปลอดภัย</v>
      </c>
      <c r="X1219" t="str">
        <f>IFERROR(__xludf.DUMMYFUNCTION("""COMPUTED_VALUE"""),"Bangkok")</f>
        <v>Bangkok</v>
      </c>
      <c r="Y1219" t="str">
        <f>IFERROR(__xludf.DUMMYFUNCTION("""COMPUTED_VALUE"""),"Bangkok")</f>
        <v>Bangkok</v>
      </c>
      <c r="Z1219" s="145" t="str">
        <f>IFERROR(__xludf.DUMMYFUNCTION("""COMPUTED_VALUE"""),"085-862-4511")</f>
        <v>085-862-4511</v>
      </c>
      <c r="AA1219" t="str">
        <f>IFERROR(__xludf.DUMMYFUNCTION("""COMPUTED_VALUE"""),"นางนภา เลิศอัศวไชย Mother")</f>
        <v>นางนภา เลิศอัศวไชย Mother</v>
      </c>
      <c r="AB1219" t="str">
        <f>IFERROR(__xludf.DUMMYFUNCTION("""COMPUTED_VALUE"""),"lalanaler@airasia.com")</f>
        <v>lalanaler@airasia.com</v>
      </c>
    </row>
    <row r="1220">
      <c r="A1220">
        <f>IFERROR(__xludf.DUMMYFUNCTION("""COMPUTED_VALUE"""),1044234.0)</f>
        <v>1044234</v>
      </c>
      <c r="B1220" t="str">
        <f>IFERROR(__xludf.DUMMYFUNCTION("""COMPUTED_VALUE"""),"Ms.")</f>
        <v>Ms.</v>
      </c>
      <c r="C1220" t="str">
        <f>IFERROR(__xludf.DUMMYFUNCTION("""COMPUTED_VALUE"""),"Adipa")</f>
        <v>Adipa</v>
      </c>
      <c r="D1220" t="str">
        <f>IFERROR(__xludf.DUMMYFUNCTION("""COMPUTED_VALUE"""),"Charoenthongtrakul")</f>
        <v>Charoenthongtrakul</v>
      </c>
      <c r="E1220" t="str">
        <f>IFERROR(__xludf.DUMMYFUNCTION("""COMPUTED_VALUE"""),"Adipa Charoenthongtrakul")</f>
        <v>Adipa Charoenthongtrakul</v>
      </c>
      <c r="F1220" t="str">
        <f>IFERROR(__xludf.DUMMYFUNCTION("""COMPUTED_VALUE"""),"นางสาว")</f>
        <v>นางสาว</v>
      </c>
      <c r="G1220" t="str">
        <f>IFERROR(__xludf.DUMMYFUNCTION("""COMPUTED_VALUE"""),"อดิภา")</f>
        <v>อดิภา</v>
      </c>
      <c r="H1220" t="str">
        <f>IFERROR(__xludf.DUMMYFUNCTION("""COMPUTED_VALUE"""),"เจริญทองตระกูล")</f>
        <v>เจริญทองตระกูล</v>
      </c>
      <c r="I1220" t="str">
        <f>IFERROR(__xludf.DUMMYFUNCTION("""COMPUTED_VALUE"""),"อดิภา เจริญทองตระกูล")</f>
        <v>อดิภา เจริญทองตระกูล</v>
      </c>
      <c r="J1220" t="str">
        <f>IFERROR(__xludf.DUMMYFUNCTION("""COMPUTED_VALUE"""),"Dow / ดาว")</f>
        <v>Dow / ดาว</v>
      </c>
      <c r="K1220" t="str">
        <f>IFERROR(__xludf.DUMMYFUNCTION("""COMPUTED_VALUE"""),"Cabin Crew")</f>
        <v>Cabin Crew</v>
      </c>
      <c r="L1220" t="str">
        <f>IFERROR(__xludf.DUMMYFUNCTION("""COMPUTED_VALUE"""),"DMK")</f>
        <v>DMK</v>
      </c>
      <c r="M1220" s="145" t="str">
        <f>IFERROR(__xludf.DUMMYFUNCTION("""COMPUTED_VALUE"""),"Nhui Home")</f>
        <v>Nhui Home</v>
      </c>
      <c r="N1220" t="str">
        <f>IFERROR(__xludf.DUMMYFUNCTION("""COMPUTED_VALUE"""),"Active")</f>
        <v>Active</v>
      </c>
      <c r="P1220" s="156">
        <f>IFERROR(__xludf.DUMMYFUNCTION("""COMPUTED_VALUE"""),33453.0)</f>
        <v>33453</v>
      </c>
      <c r="Q1220" s="146">
        <f>IFERROR(__xludf.DUMMYFUNCTION("""COMPUTED_VALUE"""),6.47956555E8)</f>
        <v>647956555</v>
      </c>
      <c r="R1220" s="147">
        <f>IFERROR(__xludf.DUMMYFUNCTION("""COMPUTED_VALUE"""),1.100800726135E12)</f>
        <v>1100800726135</v>
      </c>
      <c r="S1220" t="str">
        <f>IFERROR(__xludf.DUMMYFUNCTION("""COMPUTED_VALUE"""),"AD0406188")</f>
        <v>AD0406188</v>
      </c>
      <c r="T1220" s="148">
        <f>IFERROR(__xludf.DUMMYFUNCTION("""COMPUTED_VALUE"""),44893.0)</f>
        <v>44893</v>
      </c>
      <c r="U1220" s="148">
        <f>IFERROR(__xludf.DUMMYFUNCTION("""COMPUTED_VALUE"""),48546.0)</f>
        <v>48546</v>
      </c>
      <c r="V1220" s="149">
        <f>IFERROR(__xludf.DUMMYFUNCTION("""COMPUTED_VALUE"""),48362.0)</f>
        <v>48362</v>
      </c>
      <c r="W1220" t="str">
        <f>IFERROR(__xludf.DUMMYFUNCTION("""COMPUTED_VALUE"""),"ปลอดภัย")</f>
        <v>ปลอดภัย</v>
      </c>
      <c r="X1220" t="str">
        <f>IFERROR(__xludf.DUMMYFUNCTION("""COMPUTED_VALUE"""),"Bangkok")</f>
        <v>Bangkok</v>
      </c>
      <c r="Y1220" t="str">
        <f>IFERROR(__xludf.DUMMYFUNCTION("""COMPUTED_VALUE"""),"Bangkok")</f>
        <v>Bangkok</v>
      </c>
      <c r="Z1220" s="145" t="str">
        <f>IFERROR(__xludf.DUMMYFUNCTION("""COMPUTED_VALUE"""),"081-173-6937")</f>
        <v>081-173-6937</v>
      </c>
      <c r="AA1220" t="str">
        <f>IFERROR(__xludf.DUMMYFUNCTION("""COMPUTED_VALUE"""),"นายชวัสวิชญ์ วรพจน์ Friend")</f>
        <v>นายชวัสวิชญ์ วรพจน์ Friend</v>
      </c>
      <c r="AB1220" t="str">
        <f>IFERROR(__xludf.DUMMYFUNCTION("""COMPUTED_VALUE"""),"adipacha@airasia.com")</f>
        <v>adipacha@airasia.com</v>
      </c>
    </row>
    <row r="1221">
      <c r="A1221">
        <f>IFERROR(__xludf.DUMMYFUNCTION("""COMPUTED_VALUE"""),1044235.0)</f>
        <v>1044235</v>
      </c>
      <c r="B1221" t="str">
        <f>IFERROR(__xludf.DUMMYFUNCTION("""COMPUTED_VALUE"""),"Ms.")</f>
        <v>Ms.</v>
      </c>
      <c r="C1221" t="str">
        <f>IFERROR(__xludf.DUMMYFUNCTION("""COMPUTED_VALUE"""),"Monthakarn")</f>
        <v>Monthakarn</v>
      </c>
      <c r="D1221" t="str">
        <f>IFERROR(__xludf.DUMMYFUNCTION("""COMPUTED_VALUE"""),"Panyaboot")</f>
        <v>Panyaboot</v>
      </c>
      <c r="E1221" t="str">
        <f>IFERROR(__xludf.DUMMYFUNCTION("""COMPUTED_VALUE"""),"Monthakarn Panyaboot")</f>
        <v>Monthakarn Panyaboot</v>
      </c>
      <c r="F1221" t="str">
        <f>IFERROR(__xludf.DUMMYFUNCTION("""COMPUTED_VALUE"""),"นางสาว")</f>
        <v>นางสาว</v>
      </c>
      <c r="G1221" t="str">
        <f>IFERROR(__xludf.DUMMYFUNCTION("""COMPUTED_VALUE"""),"มนธกานต์")</f>
        <v>มนธกานต์</v>
      </c>
      <c r="H1221" t="str">
        <f>IFERROR(__xludf.DUMMYFUNCTION("""COMPUTED_VALUE"""),"ปัญญาบุตร")</f>
        <v>ปัญญาบุตร</v>
      </c>
      <c r="I1221" t="str">
        <f>IFERROR(__xludf.DUMMYFUNCTION("""COMPUTED_VALUE"""),"มนธกานต์ ปัญญาบุตร")</f>
        <v>มนธกานต์ ปัญญาบุตร</v>
      </c>
      <c r="J1221" t="str">
        <f>IFERROR(__xludf.DUMMYFUNCTION("""COMPUTED_VALUE"""),"Aon/อ้อน")</f>
        <v>Aon/อ้อน</v>
      </c>
      <c r="K1221" t="str">
        <f>IFERROR(__xludf.DUMMYFUNCTION("""COMPUTED_VALUE"""),"Cabin Crew")</f>
        <v>Cabin Crew</v>
      </c>
      <c r="L1221" t="str">
        <f>IFERROR(__xludf.DUMMYFUNCTION("""COMPUTED_VALUE"""),"DMK")</f>
        <v>DMK</v>
      </c>
      <c r="M1221" s="145" t="str">
        <f>IFERROR(__xludf.DUMMYFUNCTION("""COMPUTED_VALUE"""),"Nhui Home")</f>
        <v>Nhui Home</v>
      </c>
      <c r="N1221" t="str">
        <f>IFERROR(__xludf.DUMMYFUNCTION("""COMPUTED_VALUE"""),"Active")</f>
        <v>Active</v>
      </c>
      <c r="O1221" t="str">
        <f>IFERROR(__xludf.DUMMYFUNCTION("""COMPUTED_VALUE"""),"Japanese Speaking")</f>
        <v>Japanese Speaking</v>
      </c>
      <c r="P1221" s="156">
        <f>IFERROR(__xludf.DUMMYFUNCTION("""COMPUTED_VALUE"""),35190.0)</f>
        <v>35190</v>
      </c>
      <c r="Q1221" s="146" t="str">
        <f>IFERROR(__xludf.DUMMYFUNCTION("""COMPUTED_VALUE"""),"0934787656 , 09347876560")</f>
        <v>0934787656 , 09347876560</v>
      </c>
      <c r="R1221" s="147">
        <f>IFERROR(__xludf.DUMMYFUNCTION("""COMPUTED_VALUE"""),1.12990035923E12)</f>
        <v>1129900359230</v>
      </c>
      <c r="S1221" t="str">
        <f>IFERROR(__xludf.DUMMYFUNCTION("""COMPUTED_VALUE"""),"AC2779110")</f>
        <v>AC2779110</v>
      </c>
      <c r="T1221" s="148">
        <f>IFERROR(__xludf.DUMMYFUNCTION("""COMPUTED_VALUE"""),44498.0)</f>
        <v>44498</v>
      </c>
      <c r="U1221" s="148">
        <f>IFERROR(__xludf.DUMMYFUNCTION("""COMPUTED_VALUE"""),48149.0)</f>
        <v>48149</v>
      </c>
      <c r="V1221" s="149">
        <f>IFERROR(__xludf.DUMMYFUNCTION("""COMPUTED_VALUE"""),47966.0)</f>
        <v>47966</v>
      </c>
      <c r="W1221" t="str">
        <f>IFERROR(__xludf.DUMMYFUNCTION("""COMPUTED_VALUE"""),"ปลอดภัย")</f>
        <v>ปลอดภัย</v>
      </c>
      <c r="X1221" t="str">
        <f>IFERROR(__xludf.DUMMYFUNCTION("""COMPUTED_VALUE"""),"Nonthaburi Province")</f>
        <v>Nonthaburi Province</v>
      </c>
      <c r="Y1221" t="str">
        <f>IFERROR(__xludf.DUMMYFUNCTION("""COMPUTED_VALUE"""),"Mookdaharn")</f>
        <v>Mookdaharn</v>
      </c>
      <c r="Z1221" s="145" t="str">
        <f>IFERROR(__xludf.DUMMYFUNCTION("""COMPUTED_VALUE"""),"086-0572116")</f>
        <v>086-0572116</v>
      </c>
      <c r="AA1221" t="str">
        <f>IFERROR(__xludf.DUMMYFUNCTION("""COMPUTED_VALUE"""),"นายวีรยุทธ ปัญญาบุตร Father")</f>
        <v>นายวีรยุทธ ปัญญาบุตร Father</v>
      </c>
      <c r="AB1221" t="str">
        <f>IFERROR(__xludf.DUMMYFUNCTION("""COMPUTED_VALUE"""),"monthakarnpan@airasia.com")</f>
        <v>monthakarnpan@airasia.com</v>
      </c>
    </row>
    <row r="1222">
      <c r="A1222">
        <f>IFERROR(__xludf.DUMMYFUNCTION("""COMPUTED_VALUE"""),1044236.0)</f>
        <v>1044236</v>
      </c>
      <c r="B1222" t="str">
        <f>IFERROR(__xludf.DUMMYFUNCTION("""COMPUTED_VALUE"""),"Ms.")</f>
        <v>Ms.</v>
      </c>
      <c r="C1222" t="str">
        <f>IFERROR(__xludf.DUMMYFUNCTION("""COMPUTED_VALUE"""),"Manthita")</f>
        <v>Manthita</v>
      </c>
      <c r="D1222" t="str">
        <f>IFERROR(__xludf.DUMMYFUNCTION("""COMPUTED_VALUE"""),"Banthoeng")</f>
        <v>Banthoeng</v>
      </c>
      <c r="E1222" t="str">
        <f>IFERROR(__xludf.DUMMYFUNCTION("""COMPUTED_VALUE"""),"Manthita Banthoeng")</f>
        <v>Manthita Banthoeng</v>
      </c>
      <c r="F1222" t="str">
        <f>IFERROR(__xludf.DUMMYFUNCTION("""COMPUTED_VALUE"""),"นางสาว")</f>
        <v>นางสาว</v>
      </c>
      <c r="G1222" t="str">
        <f>IFERROR(__xludf.DUMMYFUNCTION("""COMPUTED_VALUE"""),"มัณฑิตา")</f>
        <v>มัณฑิตา</v>
      </c>
      <c r="H1222" t="str">
        <f>IFERROR(__xludf.DUMMYFUNCTION("""COMPUTED_VALUE"""),"บรรเทิง")</f>
        <v>บรรเทิง</v>
      </c>
      <c r="I1222" t="str">
        <f>IFERROR(__xludf.DUMMYFUNCTION("""COMPUTED_VALUE"""),"มัณฑิตา บรรเทิง")</f>
        <v>มัณฑิตา บรรเทิง</v>
      </c>
      <c r="J1222" t="str">
        <f>IFERROR(__xludf.DUMMYFUNCTION("""COMPUTED_VALUE"""),"May/เม")</f>
        <v>May/เม</v>
      </c>
      <c r="K1222" t="str">
        <f>IFERROR(__xludf.DUMMYFUNCTION("""COMPUTED_VALUE"""),"Cabin Crew")</f>
        <v>Cabin Crew</v>
      </c>
      <c r="L1222" t="str">
        <f>IFERROR(__xludf.DUMMYFUNCTION("""COMPUTED_VALUE"""),"DMK")</f>
        <v>DMK</v>
      </c>
      <c r="M1222" s="145" t="str">
        <f>IFERROR(__xludf.DUMMYFUNCTION("""COMPUTED_VALUE"""),"Namfon Home")</f>
        <v>Namfon Home</v>
      </c>
      <c r="N1222" t="str">
        <f>IFERROR(__xludf.DUMMYFUNCTION("""COMPUTED_VALUE"""),"Active")</f>
        <v>Active</v>
      </c>
      <c r="P1222" s="156">
        <f>IFERROR(__xludf.DUMMYFUNCTION("""COMPUTED_VALUE"""),36277.0)</f>
        <v>36277</v>
      </c>
      <c r="Q1222" s="146">
        <f>IFERROR(__xludf.DUMMYFUNCTION("""COMPUTED_VALUE"""),8.12655154E8)</f>
        <v>812655154</v>
      </c>
      <c r="R1222" s="147">
        <f>IFERROR(__xludf.DUMMYFUNCTION("""COMPUTED_VALUE"""),1.34990097952E12)</f>
        <v>1349900979520</v>
      </c>
      <c r="S1222" t="str">
        <f>IFERROR(__xludf.DUMMYFUNCTION("""COMPUTED_VALUE"""),"AC6712023")</f>
        <v>AC6712023</v>
      </c>
      <c r="T1222" s="148">
        <f>IFERROR(__xludf.DUMMYFUNCTION("""COMPUTED_VALUE"""),45410.0)</f>
        <v>45410</v>
      </c>
      <c r="U1222" s="148">
        <f>IFERROR(__xludf.DUMMYFUNCTION("""COMPUTED_VALUE"""),49061.0)</f>
        <v>49061</v>
      </c>
      <c r="V1222" s="149">
        <f>IFERROR(__xludf.DUMMYFUNCTION("""COMPUTED_VALUE"""),48879.0)</f>
        <v>48879</v>
      </c>
      <c r="W1222" t="str">
        <f>IFERROR(__xludf.DUMMYFUNCTION("""COMPUTED_VALUE"""),"ปลอดภัย")</f>
        <v>ปลอดภัย</v>
      </c>
      <c r="X1222" t="str">
        <f>IFERROR(__xludf.DUMMYFUNCTION("""COMPUTED_VALUE"""),"Ubon Ratchathani Province")</f>
        <v>Ubon Ratchathani Province</v>
      </c>
      <c r="Y1222" t="str">
        <f>IFERROR(__xludf.DUMMYFUNCTION("""COMPUTED_VALUE"""),"Ubontani")</f>
        <v>Ubontani</v>
      </c>
      <c r="Z1222" s="145" t="str">
        <f>IFERROR(__xludf.DUMMYFUNCTION("""COMPUTED_VALUE"""),"098-104-0065")</f>
        <v>098-104-0065</v>
      </c>
      <c r="AA1222" t="str">
        <f>IFERROR(__xludf.DUMMYFUNCTION("""COMPUTED_VALUE"""),"นายพินิจ บรรเทิง Father")</f>
        <v>นายพินิจ บรรเทิง Father</v>
      </c>
      <c r="AB1222" t="str">
        <f>IFERROR(__xludf.DUMMYFUNCTION("""COMPUTED_VALUE"""),"manthitaban@airasia.com")</f>
        <v>manthitaban@airasia.com</v>
      </c>
    </row>
    <row r="1223">
      <c r="A1223">
        <f>IFERROR(__xludf.DUMMYFUNCTION("""COMPUTED_VALUE"""),1044237.0)</f>
        <v>1044237</v>
      </c>
      <c r="B1223" t="str">
        <f>IFERROR(__xludf.DUMMYFUNCTION("""COMPUTED_VALUE"""),"Ms.")</f>
        <v>Ms.</v>
      </c>
      <c r="C1223" t="str">
        <f>IFERROR(__xludf.DUMMYFUNCTION("""COMPUTED_VALUE"""),"Suyomi")</f>
        <v>Suyomi</v>
      </c>
      <c r="D1223" t="str">
        <f>IFERROR(__xludf.DUMMYFUNCTION("""COMPUTED_VALUE"""),"Setthamungkorn")</f>
        <v>Setthamungkorn</v>
      </c>
      <c r="E1223" t="str">
        <f>IFERROR(__xludf.DUMMYFUNCTION("""COMPUTED_VALUE"""),"Suyomi Setthamungkorn")</f>
        <v>Suyomi Setthamungkorn</v>
      </c>
      <c r="F1223" t="str">
        <f>IFERROR(__xludf.DUMMYFUNCTION("""COMPUTED_VALUE"""),"นางสาว")</f>
        <v>นางสาว</v>
      </c>
      <c r="G1223" t="str">
        <f>IFERROR(__xludf.DUMMYFUNCTION("""COMPUTED_VALUE"""),"สุโยมิ")</f>
        <v>สุโยมิ</v>
      </c>
      <c r="H1223" t="str">
        <f>IFERROR(__xludf.DUMMYFUNCTION("""COMPUTED_VALUE"""),"เศรษฐมังกร")</f>
        <v>เศรษฐมังกร</v>
      </c>
      <c r="I1223" t="str">
        <f>IFERROR(__xludf.DUMMYFUNCTION("""COMPUTED_VALUE"""),"สุโยมิ เศรษฐมังกร")</f>
        <v>สุโยมิ เศรษฐมังกร</v>
      </c>
      <c r="J1223" t="str">
        <f>IFERROR(__xludf.DUMMYFUNCTION("""COMPUTED_VALUE"""),"Yomi / โยมิ")</f>
        <v>Yomi / โยมิ</v>
      </c>
      <c r="K1223" t="str">
        <f>IFERROR(__xludf.DUMMYFUNCTION("""COMPUTED_VALUE"""),"Cabin Crew")</f>
        <v>Cabin Crew</v>
      </c>
      <c r="L1223" t="str">
        <f>IFERROR(__xludf.DUMMYFUNCTION("""COMPUTED_VALUE"""),"DMK")</f>
        <v>DMK</v>
      </c>
      <c r="M1223" s="145" t="str">
        <f>IFERROR(__xludf.DUMMYFUNCTION("""COMPUTED_VALUE"""),"Toffy Home")</f>
        <v>Toffy Home</v>
      </c>
      <c r="N1223" t="str">
        <f>IFERROR(__xludf.DUMMYFUNCTION("""COMPUTED_VALUE"""),"Active")</f>
        <v>Active</v>
      </c>
      <c r="O1223" t="str">
        <f>IFERROR(__xludf.DUMMYFUNCTION("""COMPUTED_VALUE"""),"Japanese Speaking")</f>
        <v>Japanese Speaking</v>
      </c>
      <c r="P1223" s="156">
        <f>IFERROR(__xludf.DUMMYFUNCTION("""COMPUTED_VALUE"""),37060.0)</f>
        <v>37060</v>
      </c>
      <c r="Q1223" s="146">
        <f>IFERROR(__xludf.DUMMYFUNCTION("""COMPUTED_VALUE"""),6.3123982E8)</f>
        <v>631239820</v>
      </c>
      <c r="R1223" s="147">
        <f>IFERROR(__xludf.DUMMYFUNCTION("""COMPUTED_VALUE"""),1.509966140291E12)</f>
        <v>1509966140291</v>
      </c>
      <c r="S1223" t="str">
        <f>IFERROR(__xludf.DUMMYFUNCTION("""COMPUTED_VALUE"""),"AC5705246")</f>
        <v>AC5705246</v>
      </c>
      <c r="T1223" s="148">
        <f>IFERROR(__xludf.DUMMYFUNCTION("""COMPUTED_VALUE"""),45184.0)</f>
        <v>45184</v>
      </c>
      <c r="U1223" s="148">
        <f>IFERROR(__xludf.DUMMYFUNCTION("""COMPUTED_VALUE"""),48836.0)</f>
        <v>48836</v>
      </c>
      <c r="V1223" s="149">
        <f>IFERROR(__xludf.DUMMYFUNCTION("""COMPUTED_VALUE"""),48652.0)</f>
        <v>48652</v>
      </c>
      <c r="W1223" t="str">
        <f>IFERROR(__xludf.DUMMYFUNCTION("""COMPUTED_VALUE"""),"ปลอดภัย")</f>
        <v>ปลอดภัย</v>
      </c>
      <c r="X1223" t="str">
        <f>IFERROR(__xludf.DUMMYFUNCTION("""COMPUTED_VALUE"""),"Chiang Mai Province")</f>
        <v>Chiang Mai Province</v>
      </c>
      <c r="Y1223" t="str">
        <f>IFERROR(__xludf.DUMMYFUNCTION("""COMPUTED_VALUE"""),"Chiang mai")</f>
        <v>Chiang mai</v>
      </c>
      <c r="Z1223" s="145" t="str">
        <f>IFERROR(__xludf.DUMMYFUNCTION("""COMPUTED_VALUE"""),"084-295-4244")</f>
        <v>084-295-4244</v>
      </c>
      <c r="AA1223" t="str">
        <f>IFERROR(__xludf.DUMMYFUNCTION("""COMPUTED_VALUE"""),"นายสุธร เศรษฐมังกร Brother")</f>
        <v>นายสุธร เศรษฐมังกร Brother</v>
      </c>
      <c r="AB1223" t="str">
        <f>IFERROR(__xludf.DUMMYFUNCTION("""COMPUTED_VALUE"""),"suyomiset@airasia.com")</f>
        <v>suyomiset@airasia.com</v>
      </c>
    </row>
    <row r="1224">
      <c r="A1224">
        <f>IFERROR(__xludf.DUMMYFUNCTION("""COMPUTED_VALUE"""),1044238.0)</f>
        <v>1044238</v>
      </c>
      <c r="B1224" t="str">
        <f>IFERROR(__xludf.DUMMYFUNCTION("""COMPUTED_VALUE"""),"Ms.")</f>
        <v>Ms.</v>
      </c>
      <c r="C1224" t="str">
        <f>IFERROR(__xludf.DUMMYFUNCTION("""COMPUTED_VALUE"""),"Chayanin")</f>
        <v>Chayanin</v>
      </c>
      <c r="D1224" t="str">
        <f>IFERROR(__xludf.DUMMYFUNCTION("""COMPUTED_VALUE"""),"Prachayaporn")</f>
        <v>Prachayaporn</v>
      </c>
      <c r="E1224" t="str">
        <f>IFERROR(__xludf.DUMMYFUNCTION("""COMPUTED_VALUE"""),"Chayanin Prachayaporn")</f>
        <v>Chayanin Prachayaporn</v>
      </c>
      <c r="F1224" t="str">
        <f>IFERROR(__xludf.DUMMYFUNCTION("""COMPUTED_VALUE"""),"นางสาว")</f>
        <v>นางสาว</v>
      </c>
      <c r="G1224" t="str">
        <f>IFERROR(__xludf.DUMMYFUNCTION("""COMPUTED_VALUE"""),"ชญานิน")</f>
        <v>ชญานิน</v>
      </c>
      <c r="H1224" t="str">
        <f>IFERROR(__xludf.DUMMYFUNCTION("""COMPUTED_VALUE"""),"ปราชญาพร")</f>
        <v>ปราชญาพร</v>
      </c>
      <c r="I1224" t="str">
        <f>IFERROR(__xludf.DUMMYFUNCTION("""COMPUTED_VALUE"""),"ชญานิน ปราชญาพร")</f>
        <v>ชญานิน ปราชญาพร</v>
      </c>
      <c r="J1224" t="str">
        <f>IFERROR(__xludf.DUMMYFUNCTION("""COMPUTED_VALUE"""),"Pob / พ็อบ")</f>
        <v>Pob / พ็อบ</v>
      </c>
      <c r="K1224" t="str">
        <f>IFERROR(__xludf.DUMMYFUNCTION("""COMPUTED_VALUE"""),"Cabin Crew")</f>
        <v>Cabin Crew</v>
      </c>
      <c r="L1224" t="str">
        <f>IFERROR(__xludf.DUMMYFUNCTION("""COMPUTED_VALUE"""),"DMK")</f>
        <v>DMK</v>
      </c>
      <c r="M1224" s="145" t="str">
        <f>IFERROR(__xludf.DUMMYFUNCTION("""COMPUTED_VALUE"""),"Namfon Home")</f>
        <v>Namfon Home</v>
      </c>
      <c r="N1224" t="str">
        <f>IFERROR(__xludf.DUMMYFUNCTION("""COMPUTED_VALUE"""),"Active")</f>
        <v>Active</v>
      </c>
      <c r="O1224" t="str">
        <f>IFERROR(__xludf.DUMMYFUNCTION("""COMPUTED_VALUE"""),"Japanese Speaking")</f>
        <v>Japanese Speaking</v>
      </c>
      <c r="P1224" s="156">
        <f>IFERROR(__xludf.DUMMYFUNCTION("""COMPUTED_VALUE"""),35038.0)</f>
        <v>35038</v>
      </c>
      <c r="Q1224" s="146">
        <f>IFERROR(__xludf.DUMMYFUNCTION("""COMPUTED_VALUE"""),6.56646165E8)</f>
        <v>656646165</v>
      </c>
      <c r="R1224" s="147">
        <f>IFERROR(__xludf.DUMMYFUNCTION("""COMPUTED_VALUE"""),1.10280005841E12)</f>
        <v>1102800058410</v>
      </c>
      <c r="S1224" t="str">
        <f>IFERROR(__xludf.DUMMYFUNCTION("""COMPUTED_VALUE"""),"AD3100928")</f>
        <v>AD3100928</v>
      </c>
      <c r="T1224" s="148">
        <f>IFERROR(__xludf.DUMMYFUNCTION("""COMPUTED_VALUE"""),46078.0)</f>
        <v>46078</v>
      </c>
      <c r="U1224" s="148">
        <f>IFERROR(__xludf.DUMMYFUNCTION("""COMPUTED_VALUE"""),47903.0)</f>
        <v>47903</v>
      </c>
      <c r="V1224" s="149">
        <f>IFERROR(__xludf.DUMMYFUNCTION("""COMPUTED_VALUE"""),47719.0)</f>
        <v>47719</v>
      </c>
      <c r="W1224" t="str">
        <f>IFERROR(__xludf.DUMMYFUNCTION("""COMPUTED_VALUE"""),"ปลอดภัย")</f>
        <v>ปลอดภัย</v>
      </c>
      <c r="X1224" t="str">
        <f>IFERROR(__xludf.DUMMYFUNCTION("""COMPUTED_VALUE"""),"Bangkok")</f>
        <v>Bangkok</v>
      </c>
      <c r="Y1224" t="str">
        <f>IFERROR(__xludf.DUMMYFUNCTION("""COMPUTED_VALUE"""),"Bangkok")</f>
        <v>Bangkok</v>
      </c>
      <c r="Z1224" s="145" t="str">
        <f>IFERROR(__xludf.DUMMYFUNCTION("""COMPUTED_VALUE"""),"098-128-8688")</f>
        <v>098-128-8688</v>
      </c>
      <c r="AA1224" t="str">
        <f>IFERROR(__xludf.DUMMYFUNCTION("""COMPUTED_VALUE"""),"นายจิตริน ปราชญาพร Brother")</f>
        <v>นายจิตริน ปราชญาพร Brother</v>
      </c>
      <c r="AB1224" t="str">
        <f>IFERROR(__xludf.DUMMYFUNCTION("""COMPUTED_VALUE"""),"chayaninpra@airasia.com")</f>
        <v>chayaninpra@airasia.com</v>
      </c>
    </row>
    <row r="1225">
      <c r="AB1225" t="str">
        <f>IFERROR(__xludf.DUMMYFUNCTION("""COMPUTED_VALUE"""),"")</f>
        <v/>
      </c>
    </row>
    <row r="1226">
      <c r="A1226">
        <f>IFERROR(__xludf.DUMMYFUNCTION("""COMPUTED_VALUE"""),1008750.0)</f>
        <v>1008750</v>
      </c>
      <c r="B1226" t="str">
        <f>IFERROR(__xludf.DUMMYFUNCTION("""COMPUTED_VALUE"""),"Ms.")</f>
        <v>Ms.</v>
      </c>
      <c r="C1226" t="str">
        <f>IFERROR(__xludf.DUMMYFUNCTION("""COMPUTED_VALUE"""),"Nannaphat")</f>
        <v>Nannaphat</v>
      </c>
      <c r="D1226" t="str">
        <f>IFERROR(__xludf.DUMMYFUNCTION("""COMPUTED_VALUE"""),"Jitrungruangsuk")</f>
        <v>Jitrungruangsuk</v>
      </c>
      <c r="E1226" t="str">
        <f>IFERROR(__xludf.DUMMYFUNCTION("""COMPUTED_VALUE"""),"Nannaphat Jitrungruangsuk")</f>
        <v>Nannaphat Jitrungruangsuk</v>
      </c>
      <c r="F1226" t="str">
        <f>IFERROR(__xludf.DUMMYFUNCTION("""COMPUTED_VALUE"""),"นางสาว")</f>
        <v>นางสาว</v>
      </c>
      <c r="G1226" t="str">
        <f>IFERROR(__xludf.DUMMYFUNCTION("""COMPUTED_VALUE"""),"นันท์นภัส")</f>
        <v>นันท์นภัส</v>
      </c>
      <c r="H1226" t="str">
        <f>IFERROR(__xludf.DUMMYFUNCTION("""COMPUTED_VALUE"""),"จิตต์รุ่งเรืองสุข")</f>
        <v>จิตต์รุ่งเรืองสุข</v>
      </c>
      <c r="I1226" t="str">
        <f>IFERROR(__xludf.DUMMYFUNCTION("""COMPUTED_VALUE"""),"นันท์นภัส จิตต์รุ่งเรืองสุข")</f>
        <v>นันท์นภัส จิตต์รุ่งเรืองสุข</v>
      </c>
      <c r="J1226" t="str">
        <f>IFERROR(__xludf.DUMMYFUNCTION("""COMPUTED_VALUE"""),"พิ้งค์")</f>
        <v>พิ้งค์</v>
      </c>
      <c r="K1226" t="str">
        <f>IFERROR(__xludf.DUMMYFUNCTION("""COMPUTED_VALUE"""),"Cabin Crew")</f>
        <v>Cabin Crew</v>
      </c>
      <c r="L1226" t="str">
        <f>IFERROR(__xludf.DUMMYFUNCTION("""COMPUTED_VALUE"""),"DMK")</f>
        <v>DMK</v>
      </c>
      <c r="M1226" s="145" t="str">
        <f>IFERROR(__xludf.DUMMYFUNCTION("""COMPUTED_VALUE"""),"Namfon Home")</f>
        <v>Namfon Home</v>
      </c>
      <c r="N1226" t="str">
        <f>IFERROR(__xludf.DUMMYFUNCTION("""COMPUTED_VALUE"""),"Active")</f>
        <v>Active</v>
      </c>
      <c r="P1226" s="143">
        <f>IFERROR(__xludf.DUMMYFUNCTION("""COMPUTED_VALUE"""),32489.0)</f>
        <v>32489</v>
      </c>
      <c r="Q1226" s="146">
        <f>IFERROR(__xludf.DUMMYFUNCTION("""COMPUTED_VALUE"""),8.16928795E8)</f>
        <v>816928795</v>
      </c>
      <c r="R1226" s="147">
        <f>IFERROR(__xludf.DUMMYFUNCTION("""COMPUTED_VALUE"""),1.319800023581E12)</f>
        <v>1319800023581</v>
      </c>
      <c r="S1226" t="str">
        <f>IFERROR(__xludf.DUMMYFUNCTION("""COMPUTED_VALUE"""),"AC3823772")</f>
        <v>AC3823772</v>
      </c>
      <c r="T1226" s="148">
        <f>IFERROR(__xludf.DUMMYFUNCTION("""COMPUTED_VALUE"""),44839.0)</f>
        <v>44839</v>
      </c>
      <c r="U1226" s="148">
        <f>IFERROR(__xludf.DUMMYFUNCTION("""COMPUTED_VALUE"""),48491.0)</f>
        <v>48491</v>
      </c>
      <c r="V1226" s="149">
        <f>IFERROR(__xludf.DUMMYFUNCTION("""COMPUTED_VALUE"""),48308.0)</f>
        <v>48308</v>
      </c>
      <c r="W1226" t="str">
        <f>IFERROR(__xludf.DUMMYFUNCTION("""COMPUTED_VALUE"""),"ปลอดภัย")</f>
        <v>ปลอดภัย</v>
      </c>
      <c r="X1226" t="str">
        <f>IFERROR(__xludf.DUMMYFUNCTION("""COMPUTED_VALUE"""),"Buriram Province")</f>
        <v>Buriram Province</v>
      </c>
      <c r="Y1226" t="str">
        <f>IFERROR(__xludf.DUMMYFUNCTION("""COMPUTED_VALUE"""),"Bangkok")</f>
        <v>Bangkok</v>
      </c>
      <c r="Z1226" s="145" t="str">
        <f>IFERROR(__xludf.DUMMYFUNCTION("""COMPUTED_VALUE"""),"096-920-3219")</f>
        <v>096-920-3219</v>
      </c>
      <c r="AA1226" t="str">
        <f>IFERROR(__xludf.DUMMYFUNCTION("""COMPUTED_VALUE"""),"นายศุภชัย จิตต์รุ่งเรืองสุข Father")</f>
        <v>นายศุภชัย จิตต์รุ่งเรืองสุข Father</v>
      </c>
      <c r="AB1226" t="str">
        <f>IFERROR(__xludf.DUMMYFUNCTION("""COMPUTED_VALUE"""),"nannaphatj@airasia.com")</f>
        <v>nannaphatj@airasia.com</v>
      </c>
    </row>
    <row r="1227">
      <c r="A1227">
        <f>IFERROR(__xludf.DUMMYFUNCTION("""COMPUTED_VALUE"""),1038177.0)</f>
        <v>1038177</v>
      </c>
      <c r="B1227" t="str">
        <f>IFERROR(__xludf.DUMMYFUNCTION("""COMPUTED_VALUE"""),"Ms.")</f>
        <v>Ms.</v>
      </c>
      <c r="C1227" t="str">
        <f>IFERROR(__xludf.DUMMYFUNCTION("""COMPUTED_VALUE"""),"Sujinun")</f>
        <v>Sujinun</v>
      </c>
      <c r="D1227" t="str">
        <f>IFERROR(__xludf.DUMMYFUNCTION("""COMPUTED_VALUE"""),"Singkarach")</f>
        <v>Singkarach</v>
      </c>
      <c r="E1227" t="str">
        <f>IFERROR(__xludf.DUMMYFUNCTION("""COMPUTED_VALUE"""),"Sujinun Singkarach")</f>
        <v>Sujinun Singkarach</v>
      </c>
      <c r="F1227" t="str">
        <f>IFERROR(__xludf.DUMMYFUNCTION("""COMPUTED_VALUE"""),"นางสาว")</f>
        <v>นางสาว</v>
      </c>
      <c r="G1227" t="str">
        <f>IFERROR(__xludf.DUMMYFUNCTION("""COMPUTED_VALUE"""),"สุจินันท์")</f>
        <v>สุจินันท์</v>
      </c>
      <c r="H1227" t="str">
        <f>IFERROR(__xludf.DUMMYFUNCTION("""COMPUTED_VALUE"""),"สิงฆราช")</f>
        <v>สิงฆราช</v>
      </c>
      <c r="I1227" t="str">
        <f>IFERROR(__xludf.DUMMYFUNCTION("""COMPUTED_VALUE"""),"สุจินันท์ สิงฆราช")</f>
        <v>สุจินันท์ สิงฆราช</v>
      </c>
      <c r="J1227" t="str">
        <f>IFERROR(__xludf.DUMMYFUNCTION("""COMPUTED_VALUE"""),"Anne/แอน")</f>
        <v>Anne/แอน</v>
      </c>
      <c r="K1227" t="str">
        <f>IFERROR(__xludf.DUMMYFUNCTION("""COMPUTED_VALUE"""),"Cabin Crew - BKK")</f>
        <v>Cabin Crew - BKK</v>
      </c>
      <c r="L1227" t="str">
        <f>IFERROR(__xludf.DUMMYFUNCTION("""COMPUTED_VALUE"""),"BKK")</f>
        <v>BKK</v>
      </c>
      <c r="M1227" s="145" t="str">
        <f>IFERROR(__xludf.DUMMYFUNCTION("""COMPUTED_VALUE"""),"Nhui Home")</f>
        <v>Nhui Home</v>
      </c>
      <c r="N1227" t="str">
        <f>IFERROR(__xludf.DUMMYFUNCTION("""COMPUTED_VALUE"""),"Active")</f>
        <v>Active</v>
      </c>
      <c r="P1227" s="163">
        <f>IFERROR(__xludf.DUMMYFUNCTION("""COMPUTED_VALUE"""),34384.0)</f>
        <v>34384</v>
      </c>
      <c r="Q1227" s="146">
        <f>IFERROR(__xludf.DUMMYFUNCTION("""COMPUTED_VALUE"""),9.2581939E8)</f>
        <v>925819390</v>
      </c>
      <c r="R1227" s="147">
        <f>IFERROR(__xludf.DUMMYFUNCTION("""COMPUTED_VALUE"""),1.100501073245E12)</f>
        <v>1100501073245</v>
      </c>
      <c r="S1227" t="str">
        <f>IFERROR(__xludf.DUMMYFUNCTION("""COMPUTED_VALUE"""),"AC4668413")</f>
        <v>AC4668413</v>
      </c>
      <c r="T1227" s="148">
        <f>IFERROR(__xludf.DUMMYFUNCTION("""COMPUTED_VALUE"""),44998.0)</f>
        <v>44998</v>
      </c>
      <c r="U1227" s="148">
        <f>IFERROR(__xludf.DUMMYFUNCTION("""COMPUTED_VALUE"""),46824.0)</f>
        <v>46824</v>
      </c>
      <c r="V1227" s="149">
        <f>IFERROR(__xludf.DUMMYFUNCTION("""COMPUTED_VALUE"""),46642.0)</f>
        <v>46642</v>
      </c>
      <c r="W1227" t="str">
        <f>IFERROR(__xludf.DUMMYFUNCTION("""COMPUTED_VALUE"""),"ปลอดภัย")</f>
        <v>ปลอดภัย</v>
      </c>
      <c r="X1227" t="str">
        <f>IFERROR(__xludf.DUMMYFUNCTION("""COMPUTED_VALUE"""),"Bangkok")</f>
        <v>Bangkok</v>
      </c>
      <c r="Y1227" t="str">
        <f>IFERROR(__xludf.DUMMYFUNCTION("""COMPUTED_VALUE"""),"Samutprakarn")</f>
        <v>Samutprakarn</v>
      </c>
      <c r="Z1227" s="145" t="str">
        <f>IFERROR(__xludf.DUMMYFUNCTION("""COMPUTED_VALUE"""),"0827600597")</f>
        <v>0827600597</v>
      </c>
      <c r="AA1227" t="str">
        <f>IFERROR(__xludf.DUMMYFUNCTION("""COMPUTED_VALUE"""),"นางพีรพร สิงฆราช Mother")</f>
        <v>นางพีรพร สิงฆราช Mother</v>
      </c>
      <c r="AB1227" t="str">
        <f>IFERROR(__xludf.DUMMYFUNCTION("""COMPUTED_VALUE"""),"sujinuns@airasia.com")</f>
        <v>sujinuns@airasia.com</v>
      </c>
    </row>
    <row r="1228">
      <c r="A1228">
        <f>IFERROR(__xludf.DUMMYFUNCTION("""COMPUTED_VALUE"""),1002800.0)</f>
        <v>1002800</v>
      </c>
      <c r="B1228" t="str">
        <f>IFERROR(__xludf.DUMMYFUNCTION("""COMPUTED_VALUE"""),"Mr.")</f>
        <v>Mr.</v>
      </c>
      <c r="C1228" t="str">
        <f>IFERROR(__xludf.DUMMYFUNCTION("""COMPUTED_VALUE"""),"San")</f>
        <v>San</v>
      </c>
      <c r="D1228" t="str">
        <f>IFERROR(__xludf.DUMMYFUNCTION("""COMPUTED_VALUE"""),"Pratanyos")</f>
        <v>Pratanyos</v>
      </c>
      <c r="E1228" t="str">
        <f>IFERROR(__xludf.DUMMYFUNCTION("""COMPUTED_VALUE"""),"San Pratanyos")</f>
        <v>San Pratanyos</v>
      </c>
      <c r="F1228" t="str">
        <f>IFERROR(__xludf.DUMMYFUNCTION("""COMPUTED_VALUE"""),"นาย")</f>
        <v>นาย</v>
      </c>
      <c r="G1228" t="str">
        <f>IFERROR(__xludf.DUMMYFUNCTION("""COMPUTED_VALUE"""),"สันต์")</f>
        <v>สันต์</v>
      </c>
      <c r="H1228" t="str">
        <f>IFERROR(__xludf.DUMMYFUNCTION("""COMPUTED_VALUE"""),"ประธานยศ")</f>
        <v>ประธานยศ</v>
      </c>
      <c r="I1228" t="str">
        <f>IFERROR(__xludf.DUMMYFUNCTION("""COMPUTED_VALUE"""),"สันต์ ประธานยศ")</f>
        <v>สันต์ ประธานยศ</v>
      </c>
      <c r="J1228" t="str">
        <f>IFERROR(__xludf.DUMMYFUNCTION("""COMPUTED_VALUE"""),"Ty / ตี้")</f>
        <v>Ty / ตี้</v>
      </c>
      <c r="K1228" t="str">
        <f>IFERROR(__xludf.DUMMYFUNCTION("""COMPUTED_VALUE"""),"Cabin Crew - BKK")</f>
        <v>Cabin Crew - BKK</v>
      </c>
      <c r="L1228" t="str">
        <f>IFERROR(__xludf.DUMMYFUNCTION("""COMPUTED_VALUE"""),"BKK")</f>
        <v>BKK</v>
      </c>
      <c r="M1228" s="145" t="str">
        <f>IFERROR(__xludf.DUMMYFUNCTION("""COMPUTED_VALUE"""),"Nhui Home")</f>
        <v>Nhui Home</v>
      </c>
      <c r="N1228" t="str">
        <f>IFERROR(__xludf.DUMMYFUNCTION("""COMPUTED_VALUE"""),"Active")</f>
        <v>Active</v>
      </c>
      <c r="P1228" s="163">
        <f>IFERROR(__xludf.DUMMYFUNCTION("""COMPUTED_VALUE"""),31617.0)</f>
        <v>31617</v>
      </c>
      <c r="Q1228" s="146">
        <f>IFERROR(__xludf.DUMMYFUNCTION("""COMPUTED_VALUE"""),8.55293641E8)</f>
        <v>855293641</v>
      </c>
      <c r="R1228" s="147">
        <f>IFERROR(__xludf.DUMMYFUNCTION("""COMPUTED_VALUE"""),1.719900109815E12)</f>
        <v>1719900109815</v>
      </c>
      <c r="S1228" t="str">
        <f>IFERROR(__xludf.DUMMYFUNCTION("""COMPUTED_VALUE"""),"AD0897999")</f>
        <v>AD0897999</v>
      </c>
      <c r="T1228" s="148">
        <f>IFERROR(__xludf.DUMMYFUNCTION("""COMPUTED_VALUE"""),44988.0)</f>
        <v>44988</v>
      </c>
      <c r="U1228" s="148">
        <f>IFERROR(__xludf.DUMMYFUNCTION("""COMPUTED_VALUE"""),46814.0)</f>
        <v>46814</v>
      </c>
      <c r="V1228" s="149">
        <f>IFERROR(__xludf.DUMMYFUNCTION("""COMPUTED_VALUE"""),46632.0)</f>
        <v>46632</v>
      </c>
      <c r="W1228" t="str">
        <f>IFERROR(__xludf.DUMMYFUNCTION("""COMPUTED_VALUE"""),"ปลอดภัย")</f>
        <v>ปลอดภัย</v>
      </c>
      <c r="X1228" t="str">
        <f>IFERROR(__xludf.DUMMYFUNCTION("""COMPUTED_VALUE"""),"Phetchaburi Province")</f>
        <v>Phetchaburi Province</v>
      </c>
      <c r="Y1228" t="str">
        <f>IFERROR(__xludf.DUMMYFUNCTION("""COMPUTED_VALUE"""),"Bangkok")</f>
        <v>Bangkok</v>
      </c>
      <c r="Z1228" s="145" t="str">
        <f>IFERROR(__xludf.DUMMYFUNCTION("""COMPUTED_VALUE"""),"0636353162")</f>
        <v>0636353162</v>
      </c>
      <c r="AA1228" t="str">
        <f>IFERROR(__xludf.DUMMYFUNCTION("""COMPUTED_VALUE"""),"นางสาวมลฤดี นภาเวชกุล Friend")</f>
        <v>นางสาวมลฤดี นภาเวชกุล Friend</v>
      </c>
      <c r="AB1228" t="str">
        <f>IFERROR(__xludf.DUMMYFUNCTION("""COMPUTED_VALUE"""),"sanpra@airasia.com")</f>
        <v>sanpra@airasia.com</v>
      </c>
    </row>
    <row r="1229">
      <c r="A1229">
        <f>IFERROR(__xludf.DUMMYFUNCTION("""COMPUTED_VALUE"""),1005766.0)</f>
        <v>1005766</v>
      </c>
      <c r="B1229" t="str">
        <f>IFERROR(__xludf.DUMMYFUNCTION("""COMPUTED_VALUE"""),"Ms.")</f>
        <v>Ms.</v>
      </c>
      <c r="C1229" t="str">
        <f>IFERROR(__xludf.DUMMYFUNCTION("""COMPUTED_VALUE"""),"Saleera")</f>
        <v>Saleera</v>
      </c>
      <c r="D1229" t="str">
        <f>IFERROR(__xludf.DUMMYFUNCTION("""COMPUTED_VALUE"""),"Wangphoka")</f>
        <v>Wangphoka</v>
      </c>
      <c r="E1229" t="str">
        <f>IFERROR(__xludf.DUMMYFUNCTION("""COMPUTED_VALUE"""),"Saleera Wangphoka")</f>
        <v>Saleera Wangphoka</v>
      </c>
      <c r="F1229" t="str">
        <f>IFERROR(__xludf.DUMMYFUNCTION("""COMPUTED_VALUE"""),"นางสาว")</f>
        <v>นางสาว</v>
      </c>
      <c r="G1229" t="str">
        <f>IFERROR(__xludf.DUMMYFUNCTION("""COMPUTED_VALUE"""),"ศลีรา")</f>
        <v>ศลีรา</v>
      </c>
      <c r="H1229" t="str">
        <f>IFERROR(__xludf.DUMMYFUNCTION("""COMPUTED_VALUE"""),"หวังโภคา")</f>
        <v>หวังโภคา</v>
      </c>
      <c r="I1229" t="str">
        <f>IFERROR(__xludf.DUMMYFUNCTION("""COMPUTED_VALUE"""),"ศลีรา หวังโภคา")</f>
        <v>ศลีรา หวังโภคา</v>
      </c>
      <c r="J1229" t="str">
        <f>IFERROR(__xludf.DUMMYFUNCTION("""COMPUTED_VALUE"""),"แอร์")</f>
        <v>แอร์</v>
      </c>
      <c r="K1229" t="str">
        <f>IFERROR(__xludf.DUMMYFUNCTION("""COMPUTED_VALUE"""),"Cabin Crew - BKK")</f>
        <v>Cabin Crew - BKK</v>
      </c>
      <c r="L1229" t="str">
        <f>IFERROR(__xludf.DUMMYFUNCTION("""COMPUTED_VALUE"""),"BKK")</f>
        <v>BKK</v>
      </c>
      <c r="M1229" s="145" t="str">
        <f>IFERROR(__xludf.DUMMYFUNCTION("""COMPUTED_VALUE"""),"Nhui Home")</f>
        <v>Nhui Home</v>
      </c>
      <c r="N1229" t="str">
        <f>IFERROR(__xludf.DUMMYFUNCTION("""COMPUTED_VALUE"""),"Active/V/DMK")</f>
        <v>Active/V/DMK</v>
      </c>
      <c r="P1229" s="163">
        <f>IFERROR(__xludf.DUMMYFUNCTION("""COMPUTED_VALUE"""),32407.0)</f>
        <v>32407</v>
      </c>
      <c r="Q1229" s="146">
        <f>IFERROR(__xludf.DUMMYFUNCTION("""COMPUTED_VALUE"""),8.16622946E8)</f>
        <v>816622946</v>
      </c>
      <c r="R1229" s="147">
        <f>IFERROR(__xludf.DUMMYFUNCTION("""COMPUTED_VALUE"""),1.100600166128E12)</f>
        <v>1100600166128</v>
      </c>
      <c r="S1229" t="str">
        <f>IFERROR(__xludf.DUMMYFUNCTION("""COMPUTED_VALUE"""),"AC7082259")</f>
        <v>AC7082259</v>
      </c>
      <c r="T1229" s="148">
        <f>IFERROR(__xludf.DUMMYFUNCTION("""COMPUTED_VALUE"""),45600.0)</f>
        <v>45600</v>
      </c>
      <c r="U1229" s="148">
        <f>IFERROR(__xludf.DUMMYFUNCTION("""COMPUTED_VALUE"""),49251.0)</f>
        <v>49251</v>
      </c>
      <c r="V1229" s="149">
        <f>IFERROR(__xludf.DUMMYFUNCTION("""COMPUTED_VALUE"""),49067.0)</f>
        <v>49067</v>
      </c>
      <c r="W1229" t="str">
        <f>IFERROR(__xludf.DUMMYFUNCTION("""COMPUTED_VALUE"""),"ปลอดภัย")</f>
        <v>ปลอดภัย</v>
      </c>
      <c r="X1229" t="str">
        <f>IFERROR(__xludf.DUMMYFUNCTION("""COMPUTED_VALUE"""),"Bangkok")</f>
        <v>Bangkok</v>
      </c>
      <c r="Y1229" t="str">
        <f>IFERROR(__xludf.DUMMYFUNCTION("""COMPUTED_VALUE"""),"Bangkok")</f>
        <v>Bangkok</v>
      </c>
      <c r="Z1229" t="str">
        <f>IFERROR(__xludf.DUMMYFUNCTION("""COMPUTED_VALUE"""),"0816251889")</f>
        <v>0816251889</v>
      </c>
      <c r="AA1229" t="str">
        <f>IFERROR(__xludf.DUMMYFUNCTION("""COMPUTED_VALUE"""),"นางธนัญญา เอี่ยมธนาภรณ์ Mother")</f>
        <v>นางธนัญญา เอี่ยมธนาภรณ์ Mother</v>
      </c>
      <c r="AB1229" t="str">
        <f>IFERROR(__xludf.DUMMYFUNCTION("""COMPUTED_VALUE"""),"saleerawan@airasia.com")</f>
        <v>saleerawan@airasia.com</v>
      </c>
    </row>
    <row r="1230">
      <c r="A1230">
        <f>IFERROR(__xludf.DUMMYFUNCTION("""COMPUTED_VALUE"""),1004443.0)</f>
        <v>1004443</v>
      </c>
      <c r="B1230" t="str">
        <f>IFERROR(__xludf.DUMMYFUNCTION("""COMPUTED_VALUE"""),"Mr.")</f>
        <v>Mr.</v>
      </c>
      <c r="C1230" t="str">
        <f>IFERROR(__xludf.DUMMYFUNCTION("""COMPUTED_VALUE"""),"Anantaporn")</f>
        <v>Anantaporn</v>
      </c>
      <c r="D1230" t="str">
        <f>IFERROR(__xludf.DUMMYFUNCTION("""COMPUTED_VALUE"""),"Intravisit")</f>
        <v>Intravisit</v>
      </c>
      <c r="E1230" t="str">
        <f>IFERROR(__xludf.DUMMYFUNCTION("""COMPUTED_VALUE"""),"Anantaporn Intravisit")</f>
        <v>Anantaporn Intravisit</v>
      </c>
      <c r="F1230" t="str">
        <f>IFERROR(__xludf.DUMMYFUNCTION("""COMPUTED_VALUE"""),"นาย")</f>
        <v>นาย</v>
      </c>
      <c r="G1230" t="str">
        <f>IFERROR(__xludf.DUMMYFUNCTION("""COMPUTED_VALUE"""),"อนันตพร")</f>
        <v>อนันตพร</v>
      </c>
      <c r="H1230" t="str">
        <f>IFERROR(__xludf.DUMMYFUNCTION("""COMPUTED_VALUE"""),"อินทรวิศิษฏ์")</f>
        <v>อินทรวิศิษฏ์</v>
      </c>
      <c r="I1230" t="str">
        <f>IFERROR(__xludf.DUMMYFUNCTION("""COMPUTED_VALUE"""),"อนันตพร อินทรวิศิษฏ์")</f>
        <v>อนันตพร อินทรวิศิษฏ์</v>
      </c>
      <c r="J1230" t="str">
        <f>IFERROR(__xludf.DUMMYFUNCTION("""COMPUTED_VALUE"""),"Ice / ไอซ์")</f>
        <v>Ice / ไอซ์</v>
      </c>
      <c r="K1230" t="str">
        <f>IFERROR(__xludf.DUMMYFUNCTION("""COMPUTED_VALUE"""),"Cabin Crew - BKK")</f>
        <v>Cabin Crew - BKK</v>
      </c>
      <c r="L1230" t="str">
        <f>IFERROR(__xludf.DUMMYFUNCTION("""COMPUTED_VALUE"""),"BKK")</f>
        <v>BKK</v>
      </c>
      <c r="M1230" s="145" t="str">
        <f>IFERROR(__xludf.DUMMYFUNCTION("""COMPUTED_VALUE"""),"Nhui Home")</f>
        <v>Nhui Home</v>
      </c>
      <c r="N1230" t="str">
        <f>IFERROR(__xludf.DUMMYFUNCTION("""COMPUTED_VALUE"""),"Active")</f>
        <v>Active</v>
      </c>
      <c r="P1230" s="163">
        <f>IFERROR(__xludf.DUMMYFUNCTION("""COMPUTED_VALUE"""),32020.0)</f>
        <v>32020</v>
      </c>
      <c r="Q1230" s="146">
        <f>IFERROR(__xludf.DUMMYFUNCTION("""COMPUTED_VALUE"""),8.96661115E8)</f>
        <v>896661115</v>
      </c>
      <c r="R1230" s="147">
        <f>IFERROR(__xludf.DUMMYFUNCTION("""COMPUTED_VALUE"""),1.100900390619E12)</f>
        <v>1100900390619</v>
      </c>
      <c r="S1230" t="str">
        <f>IFERROR(__xludf.DUMMYFUNCTION("""COMPUTED_VALUE"""),"AC5080747")</f>
        <v>AC5080747</v>
      </c>
      <c r="T1230" s="148">
        <f>IFERROR(__xludf.DUMMYFUNCTION("""COMPUTED_VALUE"""),45083.0)</f>
        <v>45083</v>
      </c>
      <c r="U1230" s="148">
        <f>IFERROR(__xludf.DUMMYFUNCTION("""COMPUTED_VALUE"""),48735.0)</f>
        <v>48735</v>
      </c>
      <c r="V1230" s="149">
        <f>IFERROR(__xludf.DUMMYFUNCTION("""COMPUTED_VALUE"""),48553.0)</f>
        <v>48553</v>
      </c>
      <c r="W1230" t="str">
        <f>IFERROR(__xludf.DUMMYFUNCTION("""COMPUTED_VALUE"""),"ปลอดภัย")</f>
        <v>ปลอดภัย</v>
      </c>
      <c r="X1230" t="str">
        <f>IFERROR(__xludf.DUMMYFUNCTION("""COMPUTED_VALUE"""),"Bangkok")</f>
        <v>Bangkok</v>
      </c>
      <c r="Y1230" t="str">
        <f>IFERROR(__xludf.DUMMYFUNCTION("""COMPUTED_VALUE"""),"Bangkok")</f>
        <v>Bangkok</v>
      </c>
      <c r="Z1230" t="str">
        <f>IFERROR(__xludf.DUMMYFUNCTION("""COMPUTED_VALUE"""),"0899922216")</f>
        <v>0899922216</v>
      </c>
      <c r="AA1230" t="str">
        <f>IFERROR(__xludf.DUMMYFUNCTION("""COMPUTED_VALUE"""),"นาย อนันตเดช อินทรวิศิษฏ์ Brother")</f>
        <v>นาย อนันตเดช อินทรวิศิษฏ์ Brother</v>
      </c>
      <c r="AB1230" t="str">
        <f>IFERROR(__xludf.DUMMYFUNCTION("""COMPUTED_VALUE"""),"anantapornint@airasia.com")</f>
        <v>anantapornint@airasia.com</v>
      </c>
    </row>
    <row r="1231">
      <c r="A1231">
        <f>IFERROR(__xludf.DUMMYFUNCTION("""COMPUTED_VALUE"""),1044858.0)</f>
        <v>1044858</v>
      </c>
      <c r="B1231" t="str">
        <f>IFERROR(__xludf.DUMMYFUNCTION("""COMPUTED_VALUE"""),"Ms.")</f>
        <v>Ms.</v>
      </c>
      <c r="C1231" t="str">
        <f>IFERROR(__xludf.DUMMYFUNCTION("""COMPUTED_VALUE"""),"Arunutcha")</f>
        <v>Arunutcha</v>
      </c>
      <c r="D1231" t="str">
        <f>IFERROR(__xludf.DUMMYFUNCTION("""COMPUTED_VALUE"""),"Bangviwat (Charachit)")</f>
        <v>Bangviwat (Charachit)</v>
      </c>
      <c r="E1231" t="str">
        <f>IFERROR(__xludf.DUMMYFUNCTION("""COMPUTED_VALUE"""),"Arunutcha Bangviwat")</f>
        <v>Arunutcha Bangviwat</v>
      </c>
      <c r="F1231" t="str">
        <f>IFERROR(__xludf.DUMMYFUNCTION("""COMPUTED_VALUE"""),"นางสาว")</f>
        <v>นางสาว</v>
      </c>
      <c r="G1231" t="str">
        <f>IFERROR(__xludf.DUMMYFUNCTION("""COMPUTED_VALUE"""),"อรุณัชชา")</f>
        <v>อรุณัชชา</v>
      </c>
      <c r="H1231" t="str">
        <f>IFERROR(__xludf.DUMMYFUNCTION("""COMPUTED_VALUE"""),"บางวิวัฒน์ (ชราชิต)")</f>
        <v>บางวิวัฒน์ (ชราชิต)</v>
      </c>
      <c r="I1231" t="str">
        <f>IFERROR(__xludf.DUMMYFUNCTION("""COMPUTED_VALUE"""),"อรุณัชชา บางวิวัฒน์")</f>
        <v>อรุณัชชา บางวิวัฒน์</v>
      </c>
      <c r="J1231" t="str">
        <f>IFERROR(__xludf.DUMMYFUNCTION("""COMPUTED_VALUE"""),"Piano / เปียโน")</f>
        <v>Piano / เปียโน</v>
      </c>
      <c r="K1231" t="str">
        <f>IFERROR(__xludf.DUMMYFUNCTION("""COMPUTED_VALUE"""),"Cabin Crew")</f>
        <v>Cabin Crew</v>
      </c>
      <c r="L1231" t="str">
        <f>IFERROR(__xludf.DUMMYFUNCTION("""COMPUTED_VALUE"""),"DMK")</f>
        <v>DMK</v>
      </c>
      <c r="M1231" s="145" t="str">
        <f>IFERROR(__xludf.DUMMYFUNCTION("""COMPUTED_VALUE"""),"Namfon Home")</f>
        <v>Namfon Home</v>
      </c>
      <c r="N1231" t="str">
        <f>IFERROR(__xludf.DUMMYFUNCTION("""COMPUTED_VALUE"""),"Active")</f>
        <v>Active</v>
      </c>
      <c r="P1231" s="163">
        <f>IFERROR(__xludf.DUMMYFUNCTION("""COMPUTED_VALUE"""),34242.0)</f>
        <v>34242</v>
      </c>
      <c r="Q1231" s="146">
        <f>IFERROR(__xludf.DUMMYFUNCTION("""COMPUTED_VALUE"""),8.06043032E8)</f>
        <v>806043032</v>
      </c>
      <c r="R1231" s="147">
        <f>IFERROR(__xludf.DUMMYFUNCTION("""COMPUTED_VALUE"""),1.559900246334E12)</f>
        <v>1559900246334</v>
      </c>
      <c r="S1231" t="str">
        <f>IFERROR(__xludf.DUMMYFUNCTION("""COMPUTED_VALUE"""),"AD2641825")</f>
        <v>AD2641825</v>
      </c>
      <c r="T1231" s="148">
        <f>IFERROR(__xludf.DUMMYFUNCTION("""COMPUTED_VALUE"""),45974.0)</f>
        <v>45974</v>
      </c>
      <c r="U1231" s="148">
        <f>IFERROR(__xludf.DUMMYFUNCTION("""COMPUTED_VALUE"""),49625.0)</f>
        <v>49625</v>
      </c>
      <c r="V1231" s="149">
        <f>IFERROR(__xludf.DUMMYFUNCTION("""COMPUTED_VALUE"""),49441.0)</f>
        <v>49441</v>
      </c>
      <c r="W1231" t="str">
        <f>IFERROR(__xludf.DUMMYFUNCTION("""COMPUTED_VALUE"""),"ปลอดภัย")</f>
        <v>ปลอดภัย</v>
      </c>
      <c r="X1231" t="str">
        <f>IFERROR(__xludf.DUMMYFUNCTION("""COMPUTED_VALUE"""),"Nan Province")</f>
        <v>Nan Province</v>
      </c>
      <c r="Y1231" t="str">
        <f>IFERROR(__xludf.DUMMYFUNCTION("""COMPUTED_VALUE"""),"Bangkok")</f>
        <v>Bangkok</v>
      </c>
      <c r="Z1231" t="str">
        <f>IFERROR(__xludf.DUMMYFUNCTION("""COMPUTED_VALUE"""),"0832595905")</f>
        <v>0832595905</v>
      </c>
      <c r="AA1231" t="str">
        <f>IFERROR(__xludf.DUMMYFUNCTION("""COMPUTED_VALUE"""),"นาย สุพศิน บางวิวัฒน์ Friend")</f>
        <v>นาย สุพศิน บางวิวัฒน์ Friend</v>
      </c>
      <c r="AB1231" t="str">
        <f>IFERROR(__xludf.DUMMYFUNCTION("""COMPUTED_VALUE"""),"arunutchabang@airasia.com")</f>
        <v>arunutchabang@airasia.com</v>
      </c>
    </row>
    <row r="1232">
      <c r="A1232">
        <f>IFERROR(__xludf.DUMMYFUNCTION("""COMPUTED_VALUE"""),1044859.0)</f>
        <v>1044859</v>
      </c>
      <c r="B1232" t="str">
        <f>IFERROR(__xludf.DUMMYFUNCTION("""COMPUTED_VALUE"""),"Ms.")</f>
        <v>Ms.</v>
      </c>
      <c r="C1232" t="str">
        <f>IFERROR(__xludf.DUMMYFUNCTION("""COMPUTED_VALUE"""),"Pitcha")</f>
        <v>Pitcha</v>
      </c>
      <c r="D1232" t="str">
        <f>IFERROR(__xludf.DUMMYFUNCTION("""COMPUTED_VALUE"""),"Klinporn")</f>
        <v>Klinporn</v>
      </c>
      <c r="E1232" t="str">
        <f>IFERROR(__xludf.DUMMYFUNCTION("""COMPUTED_VALUE"""),"Pitcha Klinporn")</f>
        <v>Pitcha Klinporn</v>
      </c>
      <c r="F1232" t="str">
        <f>IFERROR(__xludf.DUMMYFUNCTION("""COMPUTED_VALUE"""),"นางสาว")</f>
        <v>นางสาว</v>
      </c>
      <c r="G1232" t="str">
        <f>IFERROR(__xludf.DUMMYFUNCTION("""COMPUTED_VALUE"""),"พิชชา")</f>
        <v>พิชชา</v>
      </c>
      <c r="H1232" t="str">
        <f>IFERROR(__xludf.DUMMYFUNCTION("""COMPUTED_VALUE"""),"กลิ่นพร")</f>
        <v>กลิ่นพร</v>
      </c>
      <c r="I1232" t="str">
        <f>IFERROR(__xludf.DUMMYFUNCTION("""COMPUTED_VALUE"""),"พิชชา กลิ่นพร")</f>
        <v>พิชชา กลิ่นพร</v>
      </c>
      <c r="J1232" t="str">
        <f>IFERROR(__xludf.DUMMYFUNCTION("""COMPUTED_VALUE"""),"พิชชา")</f>
        <v>พิชชา</v>
      </c>
      <c r="K1232" t="str">
        <f>IFERROR(__xludf.DUMMYFUNCTION("""COMPUTED_VALUE"""),"Cabin Crew - BKK")</f>
        <v>Cabin Crew - BKK</v>
      </c>
      <c r="L1232" t="str">
        <f>IFERROR(__xludf.DUMMYFUNCTION("""COMPUTED_VALUE"""),"BKK")</f>
        <v>BKK</v>
      </c>
      <c r="M1232" s="145" t="str">
        <f>IFERROR(__xludf.DUMMYFUNCTION("""COMPUTED_VALUE"""),"Nhui Home")</f>
        <v>Nhui Home</v>
      </c>
      <c r="N1232" t="str">
        <f>IFERROR(__xludf.DUMMYFUNCTION("""COMPUTED_VALUE"""),"Active/V/DMK")</f>
        <v>Active/V/DMK</v>
      </c>
      <c r="P1232" s="163">
        <f>IFERROR(__xludf.DUMMYFUNCTION("""COMPUTED_VALUE"""),34919.0)</f>
        <v>34919</v>
      </c>
      <c r="Q1232" s="146">
        <f>IFERROR(__xludf.DUMMYFUNCTION("""COMPUTED_VALUE"""),8.5256789E8)</f>
        <v>852567890</v>
      </c>
      <c r="R1232" s="147">
        <f>IFERROR(__xludf.DUMMYFUNCTION("""COMPUTED_VALUE"""),1.609900332612E12)</f>
        <v>1609900332612</v>
      </c>
      <c r="S1232" t="str">
        <f>IFERROR(__xludf.DUMMYFUNCTION("""COMPUTED_VALUE"""),"AC5373824")</f>
        <v>AC5373824</v>
      </c>
      <c r="T1232" s="148">
        <f>IFERROR(__xludf.DUMMYFUNCTION("""COMPUTED_VALUE"""),45134.0)</f>
        <v>45134</v>
      </c>
      <c r="U1232" s="148">
        <f>IFERROR(__xludf.DUMMYFUNCTION("""COMPUTED_VALUE"""),48786.0)</f>
        <v>48786</v>
      </c>
      <c r="V1232" s="149">
        <f>IFERROR(__xludf.DUMMYFUNCTION("""COMPUTED_VALUE"""),48605.0)</f>
        <v>48605</v>
      </c>
      <c r="W1232" t="str">
        <f>IFERROR(__xludf.DUMMYFUNCTION("""COMPUTED_VALUE"""),"ปลอดภัย")</f>
        <v>ปลอดภัย</v>
      </c>
      <c r="X1232" t="str">
        <f>IFERROR(__xludf.DUMMYFUNCTION("""COMPUTED_VALUE"""),"Nakhon Sawan Province")</f>
        <v>Nakhon Sawan Province</v>
      </c>
      <c r="Y1232" t="str">
        <f>IFERROR(__xludf.DUMMYFUNCTION("""COMPUTED_VALUE"""),"Bangkok")</f>
        <v>Bangkok</v>
      </c>
      <c r="Z1232" s="145" t="str">
        <f>IFERROR(__xludf.DUMMYFUNCTION("""COMPUTED_VALUE"""),"085-485-1805")</f>
        <v>085-485-1805</v>
      </c>
      <c r="AA1232" t="str">
        <f>IFERROR(__xludf.DUMMYFUNCTION("""COMPUTED_VALUE"""),"นายวิสุทธิ์ กลิ่นพร Father")</f>
        <v>นายวิสุทธิ์ กลิ่นพร Father</v>
      </c>
      <c r="AB1232" t="str">
        <f>IFERROR(__xludf.DUMMYFUNCTION("""COMPUTED_VALUE"""),"pitchakli@airasia.com")</f>
        <v>pitchakli@airasia.com</v>
      </c>
    </row>
    <row r="1233">
      <c r="A1233">
        <f>IFERROR(__xludf.DUMMYFUNCTION("""COMPUTED_VALUE"""),1044860.0)</f>
        <v>1044860</v>
      </c>
      <c r="B1233" t="str">
        <f>IFERROR(__xludf.DUMMYFUNCTION("""COMPUTED_VALUE"""),"Ms.")</f>
        <v>Ms.</v>
      </c>
      <c r="C1233" t="str">
        <f>IFERROR(__xludf.DUMMYFUNCTION("""COMPUTED_VALUE"""),"Panidsara")</f>
        <v>Panidsara</v>
      </c>
      <c r="D1233" t="str">
        <f>IFERROR(__xludf.DUMMYFUNCTION("""COMPUTED_VALUE"""),"Tseng")</f>
        <v>Tseng</v>
      </c>
      <c r="E1233" t="str">
        <f>IFERROR(__xludf.DUMMYFUNCTION("""COMPUTED_VALUE"""),"Panidsara Tseng")</f>
        <v>Panidsara Tseng</v>
      </c>
      <c r="F1233" t="str">
        <f>IFERROR(__xludf.DUMMYFUNCTION("""COMPUTED_VALUE"""),"นางสาว")</f>
        <v>นางสาว</v>
      </c>
      <c r="G1233" t="str">
        <f>IFERROR(__xludf.DUMMYFUNCTION("""COMPUTED_VALUE"""),"ปาณิสรา")</f>
        <v>ปาณิสรา</v>
      </c>
      <c r="H1233" t="str">
        <f>IFERROR(__xludf.DUMMYFUNCTION("""COMPUTED_VALUE"""),"เจิน")</f>
        <v>เจิน</v>
      </c>
      <c r="I1233" t="str">
        <f>IFERROR(__xludf.DUMMYFUNCTION("""COMPUTED_VALUE"""),"ปาณิสรา เจิน")</f>
        <v>ปาณิสรา เจิน</v>
      </c>
      <c r="J1233" t="str">
        <f>IFERROR(__xludf.DUMMYFUNCTION("""COMPUTED_VALUE"""),"กิ๋ว")</f>
        <v>กิ๋ว</v>
      </c>
      <c r="K1233" t="str">
        <f>IFERROR(__xludf.DUMMYFUNCTION("""COMPUTED_VALUE"""),"Cabin Crew")</f>
        <v>Cabin Crew</v>
      </c>
      <c r="L1233" t="str">
        <f>IFERROR(__xludf.DUMMYFUNCTION("""COMPUTED_VALUE"""),"DMK")</f>
        <v>DMK</v>
      </c>
      <c r="M1233" s="145" t="str">
        <f>IFERROR(__xludf.DUMMYFUNCTION("""COMPUTED_VALUE"""),"Toffy Home")</f>
        <v>Toffy Home</v>
      </c>
      <c r="N1233" t="str">
        <f>IFERROR(__xludf.DUMMYFUNCTION("""COMPUTED_VALUE"""),"Active")</f>
        <v>Active</v>
      </c>
      <c r="O1233" t="str">
        <f>IFERROR(__xludf.DUMMYFUNCTION("""COMPUTED_VALUE"""),"Japanese Speaking")</f>
        <v>Japanese Speaking</v>
      </c>
      <c r="P1233" s="163">
        <f>IFERROR(__xludf.DUMMYFUNCTION("""COMPUTED_VALUE"""),36804.0)</f>
        <v>36804</v>
      </c>
      <c r="Q1233" s="146">
        <f>IFERROR(__xludf.DUMMYFUNCTION("""COMPUTED_VALUE"""),6.36965664E8)</f>
        <v>636965664</v>
      </c>
      <c r="R1233" s="147">
        <f>IFERROR(__xludf.DUMMYFUNCTION("""COMPUTED_VALUE"""),1.10430032385E12)</f>
        <v>1104300323850</v>
      </c>
      <c r="S1233" t="str">
        <f>IFERROR(__xludf.DUMMYFUNCTION("""COMPUTED_VALUE"""),"AC7466103")</f>
        <v>AC7466103</v>
      </c>
      <c r="T1233" s="148">
        <f>IFERROR(__xludf.DUMMYFUNCTION("""COMPUTED_VALUE"""),45594.0)</f>
        <v>45594</v>
      </c>
      <c r="U1233" s="148">
        <f>IFERROR(__xludf.DUMMYFUNCTION("""COMPUTED_VALUE"""),49245.0)</f>
        <v>49245</v>
      </c>
      <c r="V1233" s="149">
        <f>IFERROR(__xludf.DUMMYFUNCTION("""COMPUTED_VALUE"""),49062.0)</f>
        <v>49062</v>
      </c>
      <c r="W1233" t="str">
        <f>IFERROR(__xludf.DUMMYFUNCTION("""COMPUTED_VALUE"""),"ปลอดภัย")</f>
        <v>ปลอดภัย</v>
      </c>
      <c r="X1233" t="str">
        <f>IFERROR(__xludf.DUMMYFUNCTION("""COMPUTED_VALUE"""),"Bangkok")</f>
        <v>Bangkok</v>
      </c>
      <c r="Y1233" t="str">
        <f>IFERROR(__xludf.DUMMYFUNCTION("""COMPUTED_VALUE"""),"Bangkok")</f>
        <v>Bangkok</v>
      </c>
      <c r="Z1233" s="145" t="str">
        <f>IFERROR(__xludf.DUMMYFUNCTION("""COMPUTED_VALUE"""),"081-122-5883")</f>
        <v>081-122-5883</v>
      </c>
      <c r="AA1233" t="str">
        <f>IFERROR(__xludf.DUMMYFUNCTION("""COMPUTED_VALUE"""),"นางสาวธนวรรณ มิตรภักดี Sister")</f>
        <v>นางสาวธนวรรณ มิตรภักดี Sister</v>
      </c>
      <c r="AB1233" t="str">
        <f>IFERROR(__xludf.DUMMYFUNCTION("""COMPUTED_VALUE"""),"panidsaratse@airasia.com")</f>
        <v>panidsaratse@airasia.com</v>
      </c>
    </row>
    <row r="1234">
      <c r="A1234">
        <f>IFERROR(__xludf.DUMMYFUNCTION("""COMPUTED_VALUE"""),1044861.0)</f>
        <v>1044861</v>
      </c>
      <c r="B1234" t="str">
        <f>IFERROR(__xludf.DUMMYFUNCTION("""COMPUTED_VALUE"""),"Ms.")</f>
        <v>Ms.</v>
      </c>
      <c r="C1234" t="str">
        <f>IFERROR(__xludf.DUMMYFUNCTION("""COMPUTED_VALUE"""),"Lisa")</f>
        <v>Lisa</v>
      </c>
      <c r="D1234" t="str">
        <f>IFERROR(__xludf.DUMMYFUNCTION("""COMPUTED_VALUE"""),"Chinnalai")</f>
        <v>Chinnalai</v>
      </c>
      <c r="E1234" t="str">
        <f>IFERROR(__xludf.DUMMYFUNCTION("""COMPUTED_VALUE"""),"Lisa Chinnalai")</f>
        <v>Lisa Chinnalai</v>
      </c>
      <c r="F1234" t="str">
        <f>IFERROR(__xludf.DUMMYFUNCTION("""COMPUTED_VALUE"""),"นางสาว")</f>
        <v>นางสาว</v>
      </c>
      <c r="G1234" t="str">
        <f>IFERROR(__xludf.DUMMYFUNCTION("""COMPUTED_VALUE"""),"ลิษา")</f>
        <v>ลิษา</v>
      </c>
      <c r="H1234" t="str">
        <f>IFERROR(__xludf.DUMMYFUNCTION("""COMPUTED_VALUE"""),"ชินทร์นลัย")</f>
        <v>ชินทร์นลัย</v>
      </c>
      <c r="I1234" t="str">
        <f>IFERROR(__xludf.DUMMYFUNCTION("""COMPUTED_VALUE"""),"ลิษา ชินทร์นลัย")</f>
        <v>ลิษา ชินทร์นลัย</v>
      </c>
      <c r="J1234" t="str">
        <f>IFERROR(__xludf.DUMMYFUNCTION("""COMPUTED_VALUE"""),"เค้ก")</f>
        <v>เค้ก</v>
      </c>
      <c r="K1234" t="str">
        <f>IFERROR(__xludf.DUMMYFUNCTION("""COMPUTED_VALUE"""),"Cabin Crew - BKK")</f>
        <v>Cabin Crew - BKK</v>
      </c>
      <c r="L1234" t="str">
        <f>IFERROR(__xludf.DUMMYFUNCTION("""COMPUTED_VALUE"""),"BKK")</f>
        <v>BKK</v>
      </c>
      <c r="M1234" s="145" t="str">
        <f>IFERROR(__xludf.DUMMYFUNCTION("""COMPUTED_VALUE"""),"Nhui Home")</f>
        <v>Nhui Home</v>
      </c>
      <c r="N1234" t="str">
        <f>IFERROR(__xludf.DUMMYFUNCTION("""COMPUTED_VALUE"""),"Active")</f>
        <v>Active</v>
      </c>
      <c r="P1234" s="163">
        <f>IFERROR(__xludf.DUMMYFUNCTION("""COMPUTED_VALUE"""),36445.0)</f>
        <v>36445</v>
      </c>
      <c r="Q1234" s="146">
        <f>IFERROR(__xludf.DUMMYFUNCTION("""COMPUTED_VALUE"""),6.18841949E8)</f>
        <v>618841949</v>
      </c>
      <c r="R1234" s="147">
        <f>IFERROR(__xludf.DUMMYFUNCTION("""COMPUTED_VALUE"""),1.100201491769E12)</f>
        <v>1100201491769</v>
      </c>
      <c r="S1234" t="str">
        <f>IFERROR(__xludf.DUMMYFUNCTION("""COMPUTED_VALUE"""),"AC2819704")</f>
        <v>AC2819704</v>
      </c>
      <c r="T1234" s="148">
        <f>IFERROR(__xludf.DUMMYFUNCTION("""COMPUTED_VALUE"""),44516.0)</f>
        <v>44516</v>
      </c>
      <c r="U1234" s="148">
        <f>IFERROR(__xludf.DUMMYFUNCTION("""COMPUTED_VALUE"""),48167.0)</f>
        <v>48167</v>
      </c>
      <c r="V1234" s="149">
        <f>IFERROR(__xludf.DUMMYFUNCTION("""COMPUTED_VALUE"""),47983.0)</f>
        <v>47983</v>
      </c>
      <c r="W1234" t="str">
        <f>IFERROR(__xludf.DUMMYFUNCTION("""COMPUTED_VALUE"""),"ปลอดภัย")</f>
        <v>ปลอดภัย</v>
      </c>
      <c r="X1234" t="str">
        <f>IFERROR(__xludf.DUMMYFUNCTION("""COMPUTED_VALUE"""),"Bangkok")</f>
        <v>Bangkok</v>
      </c>
      <c r="Y1234" t="str">
        <f>IFERROR(__xludf.DUMMYFUNCTION("""COMPUTED_VALUE"""),"Nontaburi")</f>
        <v>Nontaburi</v>
      </c>
      <c r="Z1234" t="str">
        <f>IFERROR(__xludf.DUMMYFUNCTION("""COMPUTED_VALUE"""),"0850835869")</f>
        <v>0850835869</v>
      </c>
      <c r="AA1234" t="str">
        <f>IFERROR(__xludf.DUMMYFUNCTION("""COMPUTED_VALUE"""),"นายภวินท์ ชินทร์นลัย Brother")</f>
        <v>นายภวินท์ ชินทร์นลัย Brother</v>
      </c>
      <c r="AB1234" t="str">
        <f>IFERROR(__xludf.DUMMYFUNCTION("""COMPUTED_VALUE"""),"lisachi@airasia.com")</f>
        <v>lisachi@airasia.com</v>
      </c>
    </row>
    <row r="1235">
      <c r="A1235">
        <f>IFERROR(__xludf.DUMMYFUNCTION("""COMPUTED_VALUE"""),1044862.0)</f>
        <v>1044862</v>
      </c>
      <c r="B1235" t="str">
        <f>IFERROR(__xludf.DUMMYFUNCTION("""COMPUTED_VALUE"""),"Ms.")</f>
        <v>Ms.</v>
      </c>
      <c r="C1235" t="str">
        <f>IFERROR(__xludf.DUMMYFUNCTION("""COMPUTED_VALUE"""),"Suriwassa")</f>
        <v>Suriwassa</v>
      </c>
      <c r="D1235" t="str">
        <f>IFERROR(__xludf.DUMMYFUNCTION("""COMPUTED_VALUE"""),"Sukphon")</f>
        <v>Sukphon</v>
      </c>
      <c r="E1235" t="str">
        <f>IFERROR(__xludf.DUMMYFUNCTION("""COMPUTED_VALUE"""),"Suriwassa Sukphon")</f>
        <v>Suriwassa Sukphon</v>
      </c>
      <c r="F1235" t="str">
        <f>IFERROR(__xludf.DUMMYFUNCTION("""COMPUTED_VALUE"""),"นางสาว")</f>
        <v>นางสาว</v>
      </c>
      <c r="G1235" t="str">
        <f>IFERROR(__xludf.DUMMYFUNCTION("""COMPUTED_VALUE"""),"สุริวัสสา")</f>
        <v>สุริวัสสา</v>
      </c>
      <c r="H1235" t="str">
        <f>IFERROR(__xludf.DUMMYFUNCTION("""COMPUTED_VALUE"""),"สุขผล")</f>
        <v>สุขผล</v>
      </c>
      <c r="I1235" t="str">
        <f>IFERROR(__xludf.DUMMYFUNCTION("""COMPUTED_VALUE"""),"สุริวัสสา สุขผล")</f>
        <v>สุริวัสสา สุขผล</v>
      </c>
      <c r="J1235" t="str">
        <f>IFERROR(__xludf.DUMMYFUNCTION("""COMPUTED_VALUE"""),"Nem/เนม")</f>
        <v>Nem/เนม</v>
      </c>
      <c r="K1235" t="str">
        <f>IFERROR(__xludf.DUMMYFUNCTION("""COMPUTED_VALUE"""),"Cabin Crew")</f>
        <v>Cabin Crew</v>
      </c>
      <c r="L1235" t="str">
        <f>IFERROR(__xludf.DUMMYFUNCTION("""COMPUTED_VALUE"""),"DMK")</f>
        <v>DMK</v>
      </c>
      <c r="M1235" s="145" t="str">
        <f>IFERROR(__xludf.DUMMYFUNCTION("""COMPUTED_VALUE"""),"Namfon Home")</f>
        <v>Namfon Home</v>
      </c>
      <c r="N1235" t="str">
        <f>IFERROR(__xludf.DUMMYFUNCTION("""COMPUTED_VALUE"""),"Active")</f>
        <v>Active</v>
      </c>
      <c r="P1235" s="163">
        <f>IFERROR(__xludf.DUMMYFUNCTION("""COMPUTED_VALUE"""),33626.0)</f>
        <v>33626</v>
      </c>
      <c r="Q1235" s="146">
        <f>IFERROR(__xludf.DUMMYFUNCTION("""COMPUTED_VALUE"""),8.39461932E8)</f>
        <v>839461932</v>
      </c>
      <c r="R1235" s="147">
        <f>IFERROR(__xludf.DUMMYFUNCTION("""COMPUTED_VALUE"""),1.101401928321E12)</f>
        <v>1101401928321</v>
      </c>
      <c r="S1235" t="str">
        <f>IFERROR(__xludf.DUMMYFUNCTION("""COMPUTED_VALUE"""),"AC6469324")</f>
        <v>AC6469324</v>
      </c>
      <c r="T1235" s="148">
        <f>IFERROR(__xludf.DUMMYFUNCTION("""COMPUTED_VALUE"""),45383.0)</f>
        <v>45383</v>
      </c>
      <c r="U1235" s="148">
        <f>IFERROR(__xludf.DUMMYFUNCTION("""COMPUTED_VALUE"""),49034.0)</f>
        <v>49034</v>
      </c>
      <c r="V1235" s="149">
        <f>IFERROR(__xludf.DUMMYFUNCTION("""COMPUTED_VALUE"""),48852.0)</f>
        <v>48852</v>
      </c>
      <c r="W1235" t="str">
        <f>IFERROR(__xludf.DUMMYFUNCTION("""COMPUTED_VALUE"""),"ปลอดภัย")</f>
        <v>ปลอดภัย</v>
      </c>
      <c r="X1235" t="str">
        <f>IFERROR(__xludf.DUMMYFUNCTION("""COMPUTED_VALUE"""),"Bangkok")</f>
        <v>Bangkok</v>
      </c>
      <c r="Y1235" t="str">
        <f>IFERROR(__xludf.DUMMYFUNCTION("""COMPUTED_VALUE"""),"Bangkok")</f>
        <v>Bangkok</v>
      </c>
      <c r="Z1235" s="145" t="str">
        <f>IFERROR(__xludf.DUMMYFUNCTION("""COMPUTED_VALUE"""),"063-965-6523")</f>
        <v>063-965-6523</v>
      </c>
      <c r="AA1235" t="str">
        <f>IFERROR(__xludf.DUMMYFUNCTION("""COMPUTED_VALUE"""),"นายณฤดล อัครอนุสรณ์ Friend")</f>
        <v>นายณฤดล อัครอนุสรณ์ Friend</v>
      </c>
      <c r="AB1235" t="str">
        <f>IFERROR(__xludf.DUMMYFUNCTION("""COMPUTED_VALUE"""),"suriwassasuk@airasia.com")</f>
        <v>suriwassasuk@airasia.com</v>
      </c>
    </row>
    <row r="1236">
      <c r="A1236">
        <f>IFERROR(__xludf.DUMMYFUNCTION("""COMPUTED_VALUE"""),1044863.0)</f>
        <v>1044863</v>
      </c>
      <c r="B1236" t="str">
        <f>IFERROR(__xludf.DUMMYFUNCTION("""COMPUTED_VALUE"""),"Ms.")</f>
        <v>Ms.</v>
      </c>
      <c r="C1236" t="str">
        <f>IFERROR(__xludf.DUMMYFUNCTION("""COMPUTED_VALUE"""),"Athicha")</f>
        <v>Athicha</v>
      </c>
      <c r="D1236" t="str">
        <f>IFERROR(__xludf.DUMMYFUNCTION("""COMPUTED_VALUE"""),"Mekjaroenwiwathana")</f>
        <v>Mekjaroenwiwathana</v>
      </c>
      <c r="E1236" t="str">
        <f>IFERROR(__xludf.DUMMYFUNCTION("""COMPUTED_VALUE"""),"Athicha Mekjaroenwiwathana")</f>
        <v>Athicha Mekjaroenwiwathana</v>
      </c>
      <c r="F1236" t="str">
        <f>IFERROR(__xludf.DUMMYFUNCTION("""COMPUTED_VALUE"""),"นางสาว")</f>
        <v>นางสาว</v>
      </c>
      <c r="G1236" t="str">
        <f>IFERROR(__xludf.DUMMYFUNCTION("""COMPUTED_VALUE"""),"อธิชา")</f>
        <v>อธิชา</v>
      </c>
      <c r="H1236" t="str">
        <f>IFERROR(__xludf.DUMMYFUNCTION("""COMPUTED_VALUE"""),"เมฆเจริญวิวัฒนา")</f>
        <v>เมฆเจริญวิวัฒนา</v>
      </c>
      <c r="I1236" t="str">
        <f>IFERROR(__xludf.DUMMYFUNCTION("""COMPUTED_VALUE"""),"อธิชา เมฆเจริญวิวัฒนา")</f>
        <v>อธิชา เมฆเจริญวิวัฒนา</v>
      </c>
      <c r="J1236" t="str">
        <f>IFERROR(__xludf.DUMMYFUNCTION("""COMPUTED_VALUE"""),"Tangkwa/ แตงกวา")</f>
        <v>Tangkwa/ แตงกวา</v>
      </c>
      <c r="K1236" t="str">
        <f>IFERROR(__xludf.DUMMYFUNCTION("""COMPUTED_VALUE"""),"Cabin Crew - HKT")</f>
        <v>Cabin Crew - HKT</v>
      </c>
      <c r="L1236" t="str">
        <f>IFERROR(__xludf.DUMMYFUNCTION("""COMPUTED_VALUE"""),"HKT")</f>
        <v>HKT</v>
      </c>
      <c r="M1236" s="145" t="str">
        <f>IFERROR(__xludf.DUMMYFUNCTION("""COMPUTED_VALUE"""),"Kor Home")</f>
        <v>Kor Home</v>
      </c>
      <c r="N1236" t="str">
        <f>IFERROR(__xludf.DUMMYFUNCTION("""COMPUTED_VALUE"""),"Active")</f>
        <v>Active</v>
      </c>
      <c r="P1236" s="163">
        <f>IFERROR(__xludf.DUMMYFUNCTION("""COMPUTED_VALUE"""),36700.0)</f>
        <v>36700</v>
      </c>
      <c r="Q1236" s="146">
        <f>IFERROR(__xludf.DUMMYFUNCTION("""COMPUTED_VALUE"""),8.24249769E8)</f>
        <v>824249769</v>
      </c>
      <c r="R1236" s="147">
        <f>IFERROR(__xludf.DUMMYFUNCTION("""COMPUTED_VALUE"""),1.839900605323E12)</f>
        <v>1839900605323</v>
      </c>
      <c r="S1236" t="str">
        <f>IFERROR(__xludf.DUMMYFUNCTION("""COMPUTED_VALUE"""),"AC7587695")</f>
        <v>AC7587695</v>
      </c>
      <c r="T1236" s="148">
        <f>IFERROR(__xludf.DUMMYFUNCTION("""COMPUTED_VALUE"""),45561.0)</f>
        <v>45561</v>
      </c>
      <c r="U1236" s="148">
        <f>IFERROR(__xludf.DUMMYFUNCTION("""COMPUTED_VALUE"""),49212.0)</f>
        <v>49212</v>
      </c>
      <c r="V1236" s="149">
        <f>IFERROR(__xludf.DUMMYFUNCTION("""COMPUTED_VALUE"""),49028.0)</f>
        <v>49028</v>
      </c>
      <c r="W1236" t="str">
        <f>IFERROR(__xludf.DUMMYFUNCTION("""COMPUTED_VALUE"""),"ปลอดภัย")</f>
        <v>ปลอดภัย</v>
      </c>
      <c r="X1236" t="str">
        <f>IFERROR(__xludf.DUMMYFUNCTION("""COMPUTED_VALUE"""),"Phuket Province")</f>
        <v>Phuket Province</v>
      </c>
      <c r="Y1236" t="str">
        <f>IFERROR(__xludf.DUMMYFUNCTION("""COMPUTED_VALUE"""),"Phuket")</f>
        <v>Phuket</v>
      </c>
      <c r="Z1236" t="str">
        <f>IFERROR(__xludf.DUMMYFUNCTION("""COMPUTED_VALUE"""),"0816775386")</f>
        <v>0816775386</v>
      </c>
      <c r="AA1236" t="str">
        <f>IFERROR(__xludf.DUMMYFUNCTION("""COMPUTED_VALUE"""),"นายเสรี เมฆเจริญวิวัฒนา Father")</f>
        <v>นายเสรี เมฆเจริญวิวัฒนา Father</v>
      </c>
      <c r="AB1236" t="str">
        <f>IFERROR(__xludf.DUMMYFUNCTION("""COMPUTED_VALUE"""),"athichamek@airasia.com")</f>
        <v>athichamek@airasia.com</v>
      </c>
    </row>
    <row r="1237">
      <c r="A1237">
        <f>IFERROR(__xludf.DUMMYFUNCTION("""COMPUTED_VALUE"""),1044864.0)</f>
        <v>1044864</v>
      </c>
      <c r="B1237" t="str">
        <f>IFERROR(__xludf.DUMMYFUNCTION("""COMPUTED_VALUE"""),"Ms.")</f>
        <v>Ms.</v>
      </c>
      <c r="C1237" t="str">
        <f>IFERROR(__xludf.DUMMYFUNCTION("""COMPUTED_VALUE"""),"Pitchapa")</f>
        <v>Pitchapa</v>
      </c>
      <c r="D1237" t="str">
        <f>IFERROR(__xludf.DUMMYFUNCTION("""COMPUTED_VALUE"""),"Didpan")</f>
        <v>Didpan</v>
      </c>
      <c r="E1237" t="str">
        <f>IFERROR(__xludf.DUMMYFUNCTION("""COMPUTED_VALUE"""),"Pitchapa Didpan")</f>
        <v>Pitchapa Didpan</v>
      </c>
      <c r="F1237" t="str">
        <f>IFERROR(__xludf.DUMMYFUNCTION("""COMPUTED_VALUE"""),"นางสาว")</f>
        <v>นางสาว</v>
      </c>
      <c r="G1237" t="str">
        <f>IFERROR(__xludf.DUMMYFUNCTION("""COMPUTED_VALUE"""),"พิชชาภา")</f>
        <v>พิชชาภา</v>
      </c>
      <c r="H1237" t="str">
        <f>IFERROR(__xludf.DUMMYFUNCTION("""COMPUTED_VALUE"""),"ดิษฐป้าน")</f>
        <v>ดิษฐป้าน</v>
      </c>
      <c r="I1237" t="str">
        <f>IFERROR(__xludf.DUMMYFUNCTION("""COMPUTED_VALUE"""),"พิชชาภา ดิษฐป้าน")</f>
        <v>พิชชาภา ดิษฐป้าน</v>
      </c>
      <c r="J1237" t="str">
        <f>IFERROR(__xludf.DUMMYFUNCTION("""COMPUTED_VALUE"""),"Beam / บีม")</f>
        <v>Beam / บีม</v>
      </c>
      <c r="K1237" t="str">
        <f>IFERROR(__xludf.DUMMYFUNCTION("""COMPUTED_VALUE"""),"Cabin Crew - BKK")</f>
        <v>Cabin Crew - BKK</v>
      </c>
      <c r="L1237" t="str">
        <f>IFERROR(__xludf.DUMMYFUNCTION("""COMPUTED_VALUE"""),"BKK")</f>
        <v>BKK</v>
      </c>
      <c r="M1237" s="145" t="str">
        <f>IFERROR(__xludf.DUMMYFUNCTION("""COMPUTED_VALUE"""),"Nhui Home")</f>
        <v>Nhui Home</v>
      </c>
      <c r="N1237" t="str">
        <f>IFERROR(__xludf.DUMMYFUNCTION("""COMPUTED_VALUE"""),"Active")</f>
        <v>Active</v>
      </c>
      <c r="P1237" s="163">
        <f>IFERROR(__xludf.DUMMYFUNCTION("""COMPUTED_VALUE"""),37052.0)</f>
        <v>37052</v>
      </c>
      <c r="Q1237" s="146">
        <f>IFERROR(__xludf.DUMMYFUNCTION("""COMPUTED_VALUE"""),9.24695129E8)</f>
        <v>924695129</v>
      </c>
      <c r="R1237" s="147">
        <f>IFERROR(__xludf.DUMMYFUNCTION("""COMPUTED_VALUE"""),1.10290003993E12)</f>
        <v>1102900039930</v>
      </c>
      <c r="S1237" t="str">
        <f>IFERROR(__xludf.DUMMYFUNCTION("""COMPUTED_VALUE"""),"AD1717690")</f>
        <v>AD1717690</v>
      </c>
      <c r="T1237" s="148">
        <f>IFERROR(__xludf.DUMMYFUNCTION("""COMPUTED_VALUE"""),45448.0)</f>
        <v>45448</v>
      </c>
      <c r="U1237" s="148">
        <f>IFERROR(__xludf.DUMMYFUNCTION("""COMPUTED_VALUE"""),47273.0)</f>
        <v>47273</v>
      </c>
      <c r="V1237" s="149">
        <f>IFERROR(__xludf.DUMMYFUNCTION("""COMPUTED_VALUE"""),47091.0)</f>
        <v>47091</v>
      </c>
      <c r="W1237" t="str">
        <f>IFERROR(__xludf.DUMMYFUNCTION("""COMPUTED_VALUE"""),"ปลอดภัย")</f>
        <v>ปลอดภัย</v>
      </c>
      <c r="X1237" t="str">
        <f>IFERROR(__xludf.DUMMYFUNCTION("""COMPUTED_VALUE"""),"Bangkok")</f>
        <v>Bangkok</v>
      </c>
      <c r="Y1237" t="str">
        <f>IFERROR(__xludf.DUMMYFUNCTION("""COMPUTED_VALUE"""),"Pathumtani")</f>
        <v>Pathumtani</v>
      </c>
      <c r="Z1237" t="str">
        <f>IFERROR(__xludf.DUMMYFUNCTION("""COMPUTED_VALUE"""),"0892221202")</f>
        <v>0892221202</v>
      </c>
      <c r="AA1237" t="str">
        <f>IFERROR(__xludf.DUMMYFUNCTION("""COMPUTED_VALUE"""),"นางสาว พิศมัย ประทุมชาติ Mother")</f>
        <v>นางสาว พิศมัย ประทุมชาติ Mother</v>
      </c>
      <c r="AB1237" t="str">
        <f>IFERROR(__xludf.DUMMYFUNCTION("""COMPUTED_VALUE"""),"pitchapadid@airasia.com")</f>
        <v>pitchapadid@airasia.com</v>
      </c>
    </row>
    <row r="1238">
      <c r="A1238">
        <f>IFERROR(__xludf.DUMMYFUNCTION("""COMPUTED_VALUE"""),1044881.0)</f>
        <v>1044881</v>
      </c>
      <c r="B1238" t="str">
        <f>IFERROR(__xludf.DUMMYFUNCTION("""COMPUTED_VALUE"""),"Ms.")</f>
        <v>Ms.</v>
      </c>
      <c r="C1238" t="str">
        <f>IFERROR(__xludf.DUMMYFUNCTION("""COMPUTED_VALUE"""),"Jalumon")</f>
        <v>Jalumon</v>
      </c>
      <c r="D1238" t="str">
        <f>IFERROR(__xludf.DUMMYFUNCTION("""COMPUTED_VALUE"""),"Suk-udom")</f>
        <v>Suk-udom</v>
      </c>
      <c r="E1238" t="str">
        <f>IFERROR(__xludf.DUMMYFUNCTION("""COMPUTED_VALUE"""),"Jalumon Suk-udom")</f>
        <v>Jalumon Suk-udom</v>
      </c>
      <c r="F1238" t="str">
        <f>IFERROR(__xludf.DUMMYFUNCTION("""COMPUTED_VALUE"""),"นางสาว")</f>
        <v>นางสาว</v>
      </c>
      <c r="G1238" t="str">
        <f>IFERROR(__xludf.DUMMYFUNCTION("""COMPUTED_VALUE"""),"จาฬุมณฑน์")</f>
        <v>จาฬุมณฑน์</v>
      </c>
      <c r="H1238" t="str">
        <f>IFERROR(__xludf.DUMMYFUNCTION("""COMPUTED_VALUE"""),"สุขอุดม")</f>
        <v>สุขอุดม</v>
      </c>
      <c r="I1238" t="str">
        <f>IFERROR(__xludf.DUMMYFUNCTION("""COMPUTED_VALUE"""),"จาฬุมณฑน์ สุขอุดม")</f>
        <v>จาฬุมณฑน์ สุขอุดม</v>
      </c>
      <c r="J1238" t="str">
        <f>IFERROR(__xludf.DUMMYFUNCTION("""COMPUTED_VALUE"""),"จ๋า")</f>
        <v>จ๋า</v>
      </c>
      <c r="K1238" t="str">
        <f>IFERROR(__xludf.DUMMYFUNCTION("""COMPUTED_VALUE"""),"Cabin Crew")</f>
        <v>Cabin Crew</v>
      </c>
      <c r="L1238" t="str">
        <f>IFERROR(__xludf.DUMMYFUNCTION("""COMPUTED_VALUE"""),"DMK")</f>
        <v>DMK</v>
      </c>
      <c r="M1238" s="145" t="str">
        <f>IFERROR(__xludf.DUMMYFUNCTION("""COMPUTED_VALUE"""),"Por+ Home")</f>
        <v>Por+ Home</v>
      </c>
      <c r="N1238" t="str">
        <f>IFERROR(__xludf.DUMMYFUNCTION("""COMPUTED_VALUE"""),"Active")</f>
        <v>Active</v>
      </c>
      <c r="P1238" s="143">
        <f>IFERROR(__xludf.DUMMYFUNCTION("""COMPUTED_VALUE"""),34026.0)</f>
        <v>34026</v>
      </c>
      <c r="Q1238" s="146">
        <f>IFERROR(__xludf.DUMMYFUNCTION("""COMPUTED_VALUE"""),9.26836363E8)</f>
        <v>926836363</v>
      </c>
      <c r="R1238" s="147">
        <f>IFERROR(__xludf.DUMMYFUNCTION("""COMPUTED_VALUE"""),2.200100049529E12)</f>
        <v>2200100049529</v>
      </c>
      <c r="S1238" t="str">
        <f>IFERROR(__xludf.DUMMYFUNCTION("""COMPUTED_VALUE"""),"AD0648910")</f>
        <v>AD0648910</v>
      </c>
      <c r="T1238" s="148">
        <f>IFERROR(__xludf.DUMMYFUNCTION("""COMPUTED_VALUE"""),44945.0)</f>
        <v>44945</v>
      </c>
      <c r="U1238" s="148">
        <f>IFERROR(__xludf.DUMMYFUNCTION("""COMPUTED_VALUE"""),48597.0)</f>
        <v>48597</v>
      </c>
      <c r="V1238" s="149">
        <f>IFERROR(__xludf.DUMMYFUNCTION("""COMPUTED_VALUE"""),48413.0)</f>
        <v>48413</v>
      </c>
      <c r="W1238" t="str">
        <f>IFERROR(__xludf.DUMMYFUNCTION("""COMPUTED_VALUE"""),"ปลอดภัย")</f>
        <v>ปลอดภัย</v>
      </c>
      <c r="X1238" t="str">
        <f>IFERROR(__xludf.DUMMYFUNCTION("""COMPUTED_VALUE"""),"Chonburi Province")</f>
        <v>Chonburi Province</v>
      </c>
      <c r="Y1238" t="str">
        <f>IFERROR(__xludf.DUMMYFUNCTION("""COMPUTED_VALUE"""),"Bangkok")</f>
        <v>Bangkok</v>
      </c>
      <c r="Z1238" s="145" t="str">
        <f>IFERROR(__xludf.DUMMYFUNCTION("""COMPUTED_VALUE"""),"080-339-3998")</f>
        <v>080-339-3998</v>
      </c>
      <c r="AA1238" t="str">
        <f>IFERROR(__xludf.DUMMYFUNCTION("""COMPUTED_VALUE"""),"นายวรกานต์ อินทร์อร Friend")</f>
        <v>นายวรกานต์ อินทร์อร Friend</v>
      </c>
      <c r="AB1238" t="str">
        <f>IFERROR(__xludf.DUMMYFUNCTION("""COMPUTED_VALUE"""),"jalumonsuk@airasia.com")</f>
        <v>jalumonsuk@airasia.com</v>
      </c>
    </row>
    <row r="1239">
      <c r="A1239">
        <f>IFERROR(__xludf.DUMMYFUNCTION("""COMPUTED_VALUE"""),1044865.0)</f>
        <v>1044865</v>
      </c>
      <c r="B1239" t="str">
        <f>IFERROR(__xludf.DUMMYFUNCTION("""COMPUTED_VALUE"""),"Ms.")</f>
        <v>Ms.</v>
      </c>
      <c r="C1239" t="str">
        <f>IFERROR(__xludf.DUMMYFUNCTION("""COMPUTED_VALUE"""),"Anantaya")</f>
        <v>Anantaya</v>
      </c>
      <c r="D1239" t="str">
        <f>IFERROR(__xludf.DUMMYFUNCTION("""COMPUTED_VALUE"""),"Makkhong")</f>
        <v>Makkhong</v>
      </c>
      <c r="E1239" t="str">
        <f>IFERROR(__xludf.DUMMYFUNCTION("""COMPUTED_VALUE"""),"Anantaya Makkhong")</f>
        <v>Anantaya Makkhong</v>
      </c>
      <c r="F1239" t="str">
        <f>IFERROR(__xludf.DUMMYFUNCTION("""COMPUTED_VALUE"""),"นางสาว")</f>
        <v>นางสาว</v>
      </c>
      <c r="G1239" t="str">
        <f>IFERROR(__xludf.DUMMYFUNCTION("""COMPUTED_VALUE"""),"อนันตญา")</f>
        <v>อนันตญา</v>
      </c>
      <c r="H1239" t="str">
        <f>IFERROR(__xludf.DUMMYFUNCTION("""COMPUTED_VALUE"""),"มากคง")</f>
        <v>มากคง</v>
      </c>
      <c r="I1239" t="str">
        <f>IFERROR(__xludf.DUMMYFUNCTION("""COMPUTED_VALUE"""),"อนันตญา มากคง")</f>
        <v>อนันตญา มากคง</v>
      </c>
      <c r="J1239" t="str">
        <f>IFERROR(__xludf.DUMMYFUNCTION("""COMPUTED_VALUE"""),"An / อัญ")</f>
        <v>An / อัญ</v>
      </c>
      <c r="K1239" t="str">
        <f>IFERROR(__xludf.DUMMYFUNCTION("""COMPUTED_VALUE"""),"Cabin Crew")</f>
        <v>Cabin Crew</v>
      </c>
      <c r="L1239" t="str">
        <f>IFERROR(__xludf.DUMMYFUNCTION("""COMPUTED_VALUE"""),"DMK")</f>
        <v>DMK</v>
      </c>
      <c r="M1239" s="145" t="str">
        <f>IFERROR(__xludf.DUMMYFUNCTION("""COMPUTED_VALUE"""),"Um Home")</f>
        <v>Um Home</v>
      </c>
      <c r="N1239" t="str">
        <f>IFERROR(__xludf.DUMMYFUNCTION("""COMPUTED_VALUE"""),"Active")</f>
        <v>Active</v>
      </c>
      <c r="P1239" s="156">
        <f>IFERROR(__xludf.DUMMYFUNCTION("""COMPUTED_VALUE"""),34956.0)</f>
        <v>34956</v>
      </c>
      <c r="Q1239" s="146">
        <f>IFERROR(__xludf.DUMMYFUNCTION("""COMPUTED_VALUE"""),9.72214656E8)</f>
        <v>972214656</v>
      </c>
      <c r="R1239" s="147">
        <f>IFERROR(__xludf.DUMMYFUNCTION("""COMPUTED_VALUE"""),1.102002414685E12)</f>
        <v>1102002414685</v>
      </c>
      <c r="S1239" t="str">
        <f>IFERROR(__xludf.DUMMYFUNCTION("""COMPUTED_VALUE"""),"AC6584002")</f>
        <v>AC6584002</v>
      </c>
      <c r="T1239" s="148">
        <f>IFERROR(__xludf.DUMMYFUNCTION("""COMPUTED_VALUE"""),45386.0)</f>
        <v>45386</v>
      </c>
      <c r="U1239" s="148">
        <f>IFERROR(__xludf.DUMMYFUNCTION("""COMPUTED_VALUE"""),49037.0)</f>
        <v>49037</v>
      </c>
      <c r="V1239" s="149">
        <f>IFERROR(__xludf.DUMMYFUNCTION("""COMPUTED_VALUE"""),48855.0)</f>
        <v>48855</v>
      </c>
      <c r="W1239" t="str">
        <f>IFERROR(__xludf.DUMMYFUNCTION("""COMPUTED_VALUE"""),"ปลอดภัย")</f>
        <v>ปลอดภัย</v>
      </c>
      <c r="X1239" t="str">
        <f>IFERROR(__xludf.DUMMYFUNCTION("""COMPUTED_VALUE"""),"Bangkok")</f>
        <v>Bangkok</v>
      </c>
      <c r="Y1239" t="str">
        <f>IFERROR(__xludf.DUMMYFUNCTION("""COMPUTED_VALUE"""),"Bangkok")</f>
        <v>Bangkok</v>
      </c>
      <c r="Z1239" t="str">
        <f>IFERROR(__xludf.DUMMYFUNCTION("""COMPUTED_VALUE"""),"0861709364")</f>
        <v>0861709364</v>
      </c>
      <c r="AA1239" t="str">
        <f>IFERROR(__xludf.DUMMYFUNCTION("""COMPUTED_VALUE"""),"นางพิมพ์ใจ มากคง Mother")</f>
        <v>นางพิมพ์ใจ มากคง Mother</v>
      </c>
      <c r="AB1239" t="str">
        <f>IFERROR(__xludf.DUMMYFUNCTION("""COMPUTED_VALUE"""),"anantayamak@airasia.com")</f>
        <v>anantayamak@airasia.com</v>
      </c>
    </row>
    <row r="1240">
      <c r="A1240">
        <f>IFERROR(__xludf.DUMMYFUNCTION("""COMPUTED_VALUE"""),1044866.0)</f>
        <v>1044866</v>
      </c>
      <c r="B1240" t="str">
        <f>IFERROR(__xludf.DUMMYFUNCTION("""COMPUTED_VALUE"""),"Ms.")</f>
        <v>Ms.</v>
      </c>
      <c r="C1240" t="str">
        <f>IFERROR(__xludf.DUMMYFUNCTION("""COMPUTED_VALUE"""),"Natrada")</f>
        <v>Natrada</v>
      </c>
      <c r="D1240" t="str">
        <f>IFERROR(__xludf.DUMMYFUNCTION("""COMPUTED_VALUE"""),"Phromsri")</f>
        <v>Phromsri</v>
      </c>
      <c r="E1240" t="str">
        <f>IFERROR(__xludf.DUMMYFUNCTION("""COMPUTED_VALUE"""),"Natrada Phromsri")</f>
        <v>Natrada Phromsri</v>
      </c>
      <c r="F1240" t="str">
        <f>IFERROR(__xludf.DUMMYFUNCTION("""COMPUTED_VALUE"""),"นางสาว")</f>
        <v>นางสาว</v>
      </c>
      <c r="G1240" t="str">
        <f>IFERROR(__xludf.DUMMYFUNCTION("""COMPUTED_VALUE"""),"ณัฐรดา")</f>
        <v>ณัฐรดา</v>
      </c>
      <c r="H1240" t="str">
        <f>IFERROR(__xludf.DUMMYFUNCTION("""COMPUTED_VALUE"""),"พรหมศรี")</f>
        <v>พรหมศรี</v>
      </c>
      <c r="I1240" t="str">
        <f>IFERROR(__xludf.DUMMYFUNCTION("""COMPUTED_VALUE"""),"ณัฐรดา พรหมศรี")</f>
        <v>ณัฐรดา พรหมศรี</v>
      </c>
      <c r="J1240" t="str">
        <f>IFERROR(__xludf.DUMMYFUNCTION("""COMPUTED_VALUE"""),"Joy / จอย")</f>
        <v>Joy / จอย</v>
      </c>
      <c r="K1240" t="str">
        <f>IFERROR(__xludf.DUMMYFUNCTION("""COMPUTED_VALUE"""),"Cabin Crew - BKK")</f>
        <v>Cabin Crew - BKK</v>
      </c>
      <c r="L1240" t="str">
        <f>IFERROR(__xludf.DUMMYFUNCTION("""COMPUTED_VALUE"""),"BKK")</f>
        <v>BKK</v>
      </c>
      <c r="M1240" s="145" t="str">
        <f>IFERROR(__xludf.DUMMYFUNCTION("""COMPUTED_VALUE"""),"Nhui Home")</f>
        <v>Nhui Home</v>
      </c>
      <c r="N1240" t="str">
        <f>IFERROR(__xludf.DUMMYFUNCTION("""COMPUTED_VALUE"""),"Active")</f>
        <v>Active</v>
      </c>
      <c r="P1240" s="163">
        <f>IFERROR(__xludf.DUMMYFUNCTION("""COMPUTED_VALUE"""),35827.0)</f>
        <v>35827</v>
      </c>
      <c r="Q1240" s="146">
        <f>IFERROR(__xludf.DUMMYFUNCTION("""COMPUTED_VALUE"""),8.35365563E8)</f>
        <v>835365563</v>
      </c>
      <c r="R1240" s="147">
        <f>IFERROR(__xludf.DUMMYFUNCTION("""COMPUTED_VALUE"""),1.101402166068E12)</f>
        <v>1101402166068</v>
      </c>
      <c r="S1240" t="str">
        <f>IFERROR(__xludf.DUMMYFUNCTION("""COMPUTED_VALUE"""),"AC3839567")</f>
        <v>AC3839567</v>
      </c>
      <c r="T1240" s="148">
        <f>IFERROR(__xludf.DUMMYFUNCTION("""COMPUTED_VALUE"""),44788.0)</f>
        <v>44788</v>
      </c>
      <c r="U1240" s="148">
        <f>IFERROR(__xludf.DUMMYFUNCTION("""COMPUTED_VALUE"""),46613.0)</f>
        <v>46613</v>
      </c>
      <c r="V1240" s="149">
        <f>IFERROR(__xludf.DUMMYFUNCTION("""COMPUTED_VALUE"""),46432.0)</f>
        <v>46432</v>
      </c>
      <c r="W1240" t="str">
        <f>IFERROR(__xludf.DUMMYFUNCTION("""COMPUTED_VALUE"""),"ปลอดภัย")</f>
        <v>ปลอดภัย</v>
      </c>
      <c r="X1240" t="str">
        <f>IFERROR(__xludf.DUMMYFUNCTION("""COMPUTED_VALUE"""),"Bangkok")</f>
        <v>Bangkok</v>
      </c>
      <c r="Y1240" t="str">
        <f>IFERROR(__xludf.DUMMYFUNCTION("""COMPUTED_VALUE"""),"Bangkok")</f>
        <v>Bangkok</v>
      </c>
      <c r="Z1240" s="145" t="str">
        <f>IFERROR(__xludf.DUMMYFUNCTION("""COMPUTED_VALUE"""),"081-949-3542")</f>
        <v>081-949-3542</v>
      </c>
      <c r="AA1240" t="str">
        <f>IFERROR(__xludf.DUMMYFUNCTION("""COMPUTED_VALUE"""),"นายธนภัทร พรหมศรี Brother")</f>
        <v>นายธนภัทร พรหมศรี Brother</v>
      </c>
      <c r="AB1240" t="str">
        <f>IFERROR(__xludf.DUMMYFUNCTION("""COMPUTED_VALUE"""),"natradaphr@airasia.com")</f>
        <v>natradaphr@airasia.com</v>
      </c>
    </row>
    <row r="1241">
      <c r="A1241">
        <f>IFERROR(__xludf.DUMMYFUNCTION("""COMPUTED_VALUE"""),1044882.0)</f>
        <v>1044882</v>
      </c>
      <c r="B1241" t="str">
        <f>IFERROR(__xludf.DUMMYFUNCTION("""COMPUTED_VALUE"""),"Mr.")</f>
        <v>Mr.</v>
      </c>
      <c r="C1241" t="str">
        <f>IFERROR(__xludf.DUMMYFUNCTION("""COMPUTED_VALUE"""),"Nattapong")</f>
        <v>Nattapong</v>
      </c>
      <c r="D1241" t="str">
        <f>IFERROR(__xludf.DUMMYFUNCTION("""COMPUTED_VALUE"""),"Noimor")</f>
        <v>Noimor</v>
      </c>
      <c r="E1241" t="str">
        <f>IFERROR(__xludf.DUMMYFUNCTION("""COMPUTED_VALUE"""),"Nattapong Noimor")</f>
        <v>Nattapong Noimor</v>
      </c>
      <c r="F1241" t="str">
        <f>IFERROR(__xludf.DUMMYFUNCTION("""COMPUTED_VALUE"""),"นาย")</f>
        <v>นาย</v>
      </c>
      <c r="G1241" t="str">
        <f>IFERROR(__xludf.DUMMYFUNCTION("""COMPUTED_VALUE"""),"ณัฐพงษ์")</f>
        <v>ณัฐพงษ์</v>
      </c>
      <c r="H1241" t="str">
        <f>IFERROR(__xludf.DUMMYFUNCTION("""COMPUTED_VALUE"""),"น้อยหมอ")</f>
        <v>น้อยหมอ</v>
      </c>
      <c r="I1241" t="str">
        <f>IFERROR(__xludf.DUMMYFUNCTION("""COMPUTED_VALUE"""),"ณัฐพงษ์ น้อยหมอ")</f>
        <v>ณัฐพงษ์ น้อยหมอ</v>
      </c>
      <c r="J1241" t="str">
        <f>IFERROR(__xludf.DUMMYFUNCTION("""COMPUTED_VALUE"""),"Aunzer/อั๋นเซอร์")</f>
        <v>Aunzer/อั๋นเซอร์</v>
      </c>
      <c r="K1241" t="str">
        <f>IFERROR(__xludf.DUMMYFUNCTION("""COMPUTED_VALUE"""),"Cabin Crew - HKT")</f>
        <v>Cabin Crew - HKT</v>
      </c>
      <c r="L1241" t="str">
        <f>IFERROR(__xludf.DUMMYFUNCTION("""COMPUTED_VALUE"""),"HKT")</f>
        <v>HKT</v>
      </c>
      <c r="M1241" s="145" t="str">
        <f>IFERROR(__xludf.DUMMYFUNCTION("""COMPUTED_VALUE"""),"Kor Home")</f>
        <v>Kor Home</v>
      </c>
      <c r="N1241" t="str">
        <f>IFERROR(__xludf.DUMMYFUNCTION("""COMPUTED_VALUE"""),"Active")</f>
        <v>Active</v>
      </c>
      <c r="P1241" s="163">
        <f>IFERROR(__xludf.DUMMYFUNCTION("""COMPUTED_VALUE"""),34049.0)</f>
        <v>34049</v>
      </c>
      <c r="Q1241" s="146">
        <f>IFERROR(__xludf.DUMMYFUNCTION("""COMPUTED_VALUE"""),9.28242478E8)</f>
        <v>928242478</v>
      </c>
      <c r="R1241" s="147">
        <f>IFERROR(__xludf.DUMMYFUNCTION("""COMPUTED_VALUE"""),1.560500066071E12)</f>
        <v>1560500066071</v>
      </c>
      <c r="S1241" t="str">
        <f>IFERROR(__xludf.DUMMYFUNCTION("""COMPUTED_VALUE"""),"AC7977248")</f>
        <v>AC7977248</v>
      </c>
      <c r="T1241" s="148">
        <f>IFERROR(__xludf.DUMMYFUNCTION("""COMPUTED_VALUE"""),45684.0)</f>
        <v>45684</v>
      </c>
      <c r="U1241" s="148">
        <f>IFERROR(__xludf.DUMMYFUNCTION("""COMPUTED_VALUE"""),49335.0)</f>
        <v>49335</v>
      </c>
      <c r="V1241" s="149">
        <f>IFERROR(__xludf.DUMMYFUNCTION("""COMPUTED_VALUE"""),49151.0)</f>
        <v>49151</v>
      </c>
      <c r="W1241" t="str">
        <f>IFERROR(__xludf.DUMMYFUNCTION("""COMPUTED_VALUE"""),"ปลอดภัย")</f>
        <v>ปลอดภัย</v>
      </c>
      <c r="X1241" t="str">
        <f>IFERROR(__xludf.DUMMYFUNCTION("""COMPUTED_VALUE"""),"Phayao Province")</f>
        <v>Phayao Province</v>
      </c>
      <c r="Y1241" t="str">
        <f>IFERROR(__xludf.DUMMYFUNCTION("""COMPUTED_VALUE"""),"Phuket")</f>
        <v>Phuket</v>
      </c>
      <c r="Z1241" t="str">
        <f>IFERROR(__xludf.DUMMYFUNCTION("""COMPUTED_VALUE"""),"0861986364")</f>
        <v>0861986364</v>
      </c>
      <c r="AA1241" t="str">
        <f>IFERROR(__xludf.DUMMYFUNCTION("""COMPUTED_VALUE"""),"นายวิชาญ น้อยหมอ Father")</f>
        <v>นายวิชาญ น้อยหมอ Father</v>
      </c>
      <c r="AB1241" t="str">
        <f>IFERROR(__xludf.DUMMYFUNCTION("""COMPUTED_VALUE"""),"nattapongnoi@airasia.com")</f>
        <v>nattapongnoi@airasia.com</v>
      </c>
    </row>
    <row r="1242">
      <c r="A1242">
        <f>IFERROR(__xludf.DUMMYFUNCTION("""COMPUTED_VALUE"""),1044867.0)</f>
        <v>1044867</v>
      </c>
      <c r="B1242" t="str">
        <f>IFERROR(__xludf.DUMMYFUNCTION("""COMPUTED_VALUE"""),"Ms.")</f>
        <v>Ms.</v>
      </c>
      <c r="C1242" t="str">
        <f>IFERROR(__xludf.DUMMYFUNCTION("""COMPUTED_VALUE"""),"Vachiraporn")</f>
        <v>Vachiraporn</v>
      </c>
      <c r="D1242" t="str">
        <f>IFERROR(__xludf.DUMMYFUNCTION("""COMPUTED_VALUE"""),"Tongtawan")</f>
        <v>Tongtawan</v>
      </c>
      <c r="E1242" t="str">
        <f>IFERROR(__xludf.DUMMYFUNCTION("""COMPUTED_VALUE"""),"Vachiraporn Tongtawan")</f>
        <v>Vachiraporn Tongtawan</v>
      </c>
      <c r="F1242" t="str">
        <f>IFERROR(__xludf.DUMMYFUNCTION("""COMPUTED_VALUE"""),"นางสาว")</f>
        <v>นางสาว</v>
      </c>
      <c r="G1242" t="str">
        <f>IFERROR(__xludf.DUMMYFUNCTION("""COMPUTED_VALUE"""),"วชิราภรณ์")</f>
        <v>วชิราภรณ์</v>
      </c>
      <c r="H1242" t="str">
        <f>IFERROR(__xludf.DUMMYFUNCTION("""COMPUTED_VALUE"""),"ต้องตะวัน")</f>
        <v>ต้องตะวัน</v>
      </c>
      <c r="I1242" t="str">
        <f>IFERROR(__xludf.DUMMYFUNCTION("""COMPUTED_VALUE"""),"วชิราภรณ์ ต้องตะวัน")</f>
        <v>วชิราภรณ์ ต้องตะวัน</v>
      </c>
      <c r="J1242" t="str">
        <f>IFERROR(__xludf.DUMMYFUNCTION("""COMPUTED_VALUE"""),"Good / กู๊ด")</f>
        <v>Good / กู๊ด</v>
      </c>
      <c r="K1242" t="str">
        <f>IFERROR(__xludf.DUMMYFUNCTION("""COMPUTED_VALUE"""),"Cabin Crew - BKK")</f>
        <v>Cabin Crew - BKK</v>
      </c>
      <c r="L1242" t="str">
        <f>IFERROR(__xludf.DUMMYFUNCTION("""COMPUTED_VALUE"""),"BKK")</f>
        <v>BKK</v>
      </c>
      <c r="M1242" s="145" t="str">
        <f>IFERROR(__xludf.DUMMYFUNCTION("""COMPUTED_VALUE"""),"Nhui Home")</f>
        <v>Nhui Home</v>
      </c>
      <c r="N1242" t="str">
        <f>IFERROR(__xludf.DUMMYFUNCTION("""COMPUTED_VALUE"""),"Active")</f>
        <v>Active</v>
      </c>
      <c r="P1242" s="156">
        <f>IFERROR(__xludf.DUMMYFUNCTION("""COMPUTED_VALUE"""),37476.0)</f>
        <v>37476</v>
      </c>
      <c r="Q1242" s="146">
        <f>IFERROR(__xludf.DUMMYFUNCTION("""COMPUTED_VALUE"""),9.22714882E8)</f>
        <v>922714882</v>
      </c>
      <c r="R1242" s="147">
        <f>IFERROR(__xludf.DUMMYFUNCTION("""COMPUTED_VALUE"""),1.100401138205E12)</f>
        <v>1100401138205</v>
      </c>
      <c r="S1242" t="str">
        <f>IFERROR(__xludf.DUMMYFUNCTION("""COMPUTED_VALUE"""),"AD1532359")</f>
        <v>AD1532359</v>
      </c>
      <c r="T1242" s="148">
        <f>IFERROR(__xludf.DUMMYFUNCTION("""COMPUTED_VALUE"""),45300.0)</f>
        <v>45300</v>
      </c>
      <c r="U1242" s="148">
        <f>IFERROR(__xludf.DUMMYFUNCTION("""COMPUTED_VALUE"""),48952.0)</f>
        <v>48952</v>
      </c>
      <c r="V1242" s="149">
        <f>IFERROR(__xludf.DUMMYFUNCTION("""COMPUTED_VALUE"""),48768.0)</f>
        <v>48768</v>
      </c>
      <c r="W1242" t="str">
        <f>IFERROR(__xludf.DUMMYFUNCTION("""COMPUTED_VALUE"""),"ปลอดภัย")</f>
        <v>ปลอดภัย</v>
      </c>
      <c r="X1242" t="str">
        <f>IFERROR(__xludf.DUMMYFUNCTION("""COMPUTED_VALUE"""),"Bangkok")</f>
        <v>Bangkok</v>
      </c>
      <c r="Y1242" t="str">
        <f>IFERROR(__xludf.DUMMYFUNCTION("""COMPUTED_VALUE"""),"Bangkok")</f>
        <v>Bangkok</v>
      </c>
      <c r="Z1242" s="145" t="str">
        <f>IFERROR(__xludf.DUMMYFUNCTION("""COMPUTED_VALUE"""),"086-764-4555")</f>
        <v>086-764-4555</v>
      </c>
      <c r="AA1242" t="str">
        <f>IFERROR(__xludf.DUMMYFUNCTION("""COMPUTED_VALUE"""),"นายชนะชนม์ ต้องตะวัน Father")</f>
        <v>นายชนะชนม์ ต้องตะวัน Father</v>
      </c>
      <c r="AB1242" t="str">
        <f>IFERROR(__xludf.DUMMYFUNCTION("""COMPUTED_VALUE"""),"vachirapornton@airasia.com")</f>
        <v>vachirapornton@airasia.com</v>
      </c>
    </row>
    <row r="1243">
      <c r="A1243">
        <f>IFERROR(__xludf.DUMMYFUNCTION("""COMPUTED_VALUE"""),1044868.0)</f>
        <v>1044868</v>
      </c>
      <c r="B1243" t="str">
        <f>IFERROR(__xludf.DUMMYFUNCTION("""COMPUTED_VALUE"""),"Ms.")</f>
        <v>Ms.</v>
      </c>
      <c r="C1243" t="str">
        <f>IFERROR(__xludf.DUMMYFUNCTION("""COMPUTED_VALUE"""),"Tussamon")</f>
        <v>Tussamon</v>
      </c>
      <c r="D1243" t="str">
        <f>IFERROR(__xludf.DUMMYFUNCTION("""COMPUTED_VALUE"""),"Autthakovit")</f>
        <v>Autthakovit</v>
      </c>
      <c r="E1243" t="str">
        <f>IFERROR(__xludf.DUMMYFUNCTION("""COMPUTED_VALUE"""),"Tussamon Autthakovit")</f>
        <v>Tussamon Autthakovit</v>
      </c>
      <c r="F1243" t="str">
        <f>IFERROR(__xludf.DUMMYFUNCTION("""COMPUTED_VALUE"""),"นางสาว")</f>
        <v>นางสาว</v>
      </c>
      <c r="G1243" t="str">
        <f>IFERROR(__xludf.DUMMYFUNCTION("""COMPUTED_VALUE"""),"ธรรษมล")</f>
        <v>ธรรษมล</v>
      </c>
      <c r="H1243" t="str">
        <f>IFERROR(__xludf.DUMMYFUNCTION("""COMPUTED_VALUE"""),"อรรถโกวิท")</f>
        <v>อรรถโกวิท</v>
      </c>
      <c r="I1243" t="str">
        <f>IFERROR(__xludf.DUMMYFUNCTION("""COMPUTED_VALUE"""),"ธรรษมล อรรถโกวิท")</f>
        <v>ธรรษมล อรรถโกวิท</v>
      </c>
      <c r="J1243" t="str">
        <f>IFERROR(__xludf.DUMMYFUNCTION("""COMPUTED_VALUE"""),"Numwarn / น้ำหวาน")</f>
        <v>Numwarn / น้ำหวาน</v>
      </c>
      <c r="K1243" t="str">
        <f>IFERROR(__xludf.DUMMYFUNCTION("""COMPUTED_VALUE"""),"Cabin Crew - BKK")</f>
        <v>Cabin Crew - BKK</v>
      </c>
      <c r="L1243" t="str">
        <f>IFERROR(__xludf.DUMMYFUNCTION("""COMPUTED_VALUE"""),"BKK")</f>
        <v>BKK</v>
      </c>
      <c r="M1243" s="145" t="str">
        <f>IFERROR(__xludf.DUMMYFUNCTION("""COMPUTED_VALUE"""),"Nhui Home")</f>
        <v>Nhui Home</v>
      </c>
      <c r="N1243" t="str">
        <f>IFERROR(__xludf.DUMMYFUNCTION("""COMPUTED_VALUE"""),"Active")</f>
        <v>Active</v>
      </c>
      <c r="P1243" s="156">
        <f>IFERROR(__xludf.DUMMYFUNCTION("""COMPUTED_VALUE"""),37207.0)</f>
        <v>37207</v>
      </c>
      <c r="Q1243" s="146">
        <f>IFERROR(__xludf.DUMMYFUNCTION("""COMPUTED_VALUE"""),6.23266181E8)</f>
        <v>623266181</v>
      </c>
      <c r="R1243" s="147">
        <f>IFERROR(__xludf.DUMMYFUNCTION("""COMPUTED_VALUE"""),1.73020137774E12)</f>
        <v>1730201377740</v>
      </c>
      <c r="S1243" t="str">
        <f>IFERROR(__xludf.DUMMYFUNCTION("""COMPUTED_VALUE"""),"AC6593452")</f>
        <v>AC6593452</v>
      </c>
      <c r="T1243" s="148">
        <f>IFERROR(__xludf.DUMMYFUNCTION("""COMPUTED_VALUE"""),45391.0)</f>
        <v>45391</v>
      </c>
      <c r="U1243" s="148">
        <f>IFERROR(__xludf.DUMMYFUNCTION("""COMPUTED_VALUE"""),49042.0)</f>
        <v>49042</v>
      </c>
      <c r="V1243" s="149">
        <f>IFERROR(__xludf.DUMMYFUNCTION("""COMPUTED_VALUE"""),48860.0)</f>
        <v>48860</v>
      </c>
      <c r="W1243" t="str">
        <f>IFERROR(__xludf.DUMMYFUNCTION("""COMPUTED_VALUE"""),"ปลอดภัย")</f>
        <v>ปลอดภัย</v>
      </c>
      <c r="X1243" t="str">
        <f>IFERROR(__xludf.DUMMYFUNCTION("""COMPUTED_VALUE"""),"Nakhon Pathom Province")</f>
        <v>Nakhon Pathom Province</v>
      </c>
      <c r="Y1243" t="str">
        <f>IFERROR(__xludf.DUMMYFUNCTION("""COMPUTED_VALUE"""),"Suphanburi")</f>
        <v>Suphanburi</v>
      </c>
      <c r="Z1243" s="145" t="str">
        <f>IFERROR(__xludf.DUMMYFUNCTION("""COMPUTED_VALUE"""),"081-840-7883")</f>
        <v>081-840-7883</v>
      </c>
      <c r="AA1243" t="str">
        <f>IFERROR(__xludf.DUMMYFUNCTION("""COMPUTED_VALUE"""),"นางธนวรรณ อรรถโกวิท Mother")</f>
        <v>นางธนวรรณ อรรถโกวิท Mother</v>
      </c>
      <c r="AB1243" t="str">
        <f>IFERROR(__xludf.DUMMYFUNCTION("""COMPUTED_VALUE"""),"tussamonaut@airasia.com")</f>
        <v>tussamonaut@airasia.com</v>
      </c>
    </row>
    <row r="1244">
      <c r="A1244">
        <f>IFERROR(__xludf.DUMMYFUNCTION("""COMPUTED_VALUE"""),1044869.0)</f>
        <v>1044869</v>
      </c>
      <c r="B1244" t="str">
        <f>IFERROR(__xludf.DUMMYFUNCTION("""COMPUTED_VALUE"""),"Ms.")</f>
        <v>Ms.</v>
      </c>
      <c r="C1244" t="str">
        <f>IFERROR(__xludf.DUMMYFUNCTION("""COMPUTED_VALUE"""),"Pear")</f>
        <v>Pear</v>
      </c>
      <c r="D1244" t="str">
        <f>IFERROR(__xludf.DUMMYFUNCTION("""COMPUTED_VALUE"""),"Inthrarak")</f>
        <v>Inthrarak</v>
      </c>
      <c r="E1244" t="str">
        <f>IFERROR(__xludf.DUMMYFUNCTION("""COMPUTED_VALUE"""),"Pear Inthrarak")</f>
        <v>Pear Inthrarak</v>
      </c>
      <c r="F1244" t="str">
        <f>IFERROR(__xludf.DUMMYFUNCTION("""COMPUTED_VALUE"""),"นางสาว")</f>
        <v>นางสาว</v>
      </c>
      <c r="G1244" t="str">
        <f>IFERROR(__xludf.DUMMYFUNCTION("""COMPUTED_VALUE"""),"แพร")</f>
        <v>แพร</v>
      </c>
      <c r="H1244" t="str">
        <f>IFERROR(__xludf.DUMMYFUNCTION("""COMPUTED_VALUE"""),"อินทรารักษ์")</f>
        <v>อินทรารักษ์</v>
      </c>
      <c r="I1244" t="str">
        <f>IFERROR(__xludf.DUMMYFUNCTION("""COMPUTED_VALUE"""),"แพร อินทรารักษ์")</f>
        <v>แพร อินทรารักษ์</v>
      </c>
      <c r="J1244" t="str">
        <f>IFERROR(__xludf.DUMMYFUNCTION("""COMPUTED_VALUE"""),"Pear / แพร")</f>
        <v>Pear / แพร</v>
      </c>
      <c r="K1244" t="str">
        <f>IFERROR(__xludf.DUMMYFUNCTION("""COMPUTED_VALUE"""),"Cabin Crew")</f>
        <v>Cabin Crew</v>
      </c>
      <c r="L1244" t="str">
        <f>IFERROR(__xludf.DUMMYFUNCTION("""COMPUTED_VALUE"""),"DMK")</f>
        <v>DMK</v>
      </c>
      <c r="M1244" s="145" t="str">
        <f>IFERROR(__xludf.DUMMYFUNCTION("""COMPUTED_VALUE"""),"Kor Home")</f>
        <v>Kor Home</v>
      </c>
      <c r="N1244" t="str">
        <f>IFERROR(__xludf.DUMMYFUNCTION("""COMPUTED_VALUE"""),"Active")</f>
        <v>Active</v>
      </c>
      <c r="P1244" s="156">
        <f>IFERROR(__xludf.DUMMYFUNCTION("""COMPUTED_VALUE"""),35964.0)</f>
        <v>35964</v>
      </c>
      <c r="Q1244" s="146">
        <f>IFERROR(__xludf.DUMMYFUNCTION("""COMPUTED_VALUE"""),8.74412247E8)</f>
        <v>874412247</v>
      </c>
      <c r="R1244" s="147">
        <f>IFERROR(__xludf.DUMMYFUNCTION("""COMPUTED_VALUE"""),1.103702615196E12)</f>
        <v>1103702615196</v>
      </c>
      <c r="S1244" t="str">
        <f>IFERROR(__xludf.DUMMYFUNCTION("""COMPUTED_VALUE"""),"AD1038311")</f>
        <v>AD1038311</v>
      </c>
      <c r="T1244" s="148">
        <f>IFERROR(__xludf.DUMMYFUNCTION("""COMPUTED_VALUE"""),45054.0)</f>
        <v>45054</v>
      </c>
      <c r="U1244" s="148">
        <f>IFERROR(__xludf.DUMMYFUNCTION("""COMPUTED_VALUE"""),46880.0)</f>
        <v>46880</v>
      </c>
      <c r="V1244" s="149">
        <f>IFERROR(__xludf.DUMMYFUNCTION("""COMPUTED_VALUE"""),46698.0)</f>
        <v>46698</v>
      </c>
      <c r="W1244" t="str">
        <f>IFERROR(__xludf.DUMMYFUNCTION("""COMPUTED_VALUE"""),"ปลอดภัย")</f>
        <v>ปลอดภัย</v>
      </c>
      <c r="X1244" t="str">
        <f>IFERROR(__xludf.DUMMYFUNCTION("""COMPUTED_VALUE"""),"Bangkok")</f>
        <v>Bangkok</v>
      </c>
      <c r="Y1244" t="str">
        <f>IFERROR(__xludf.DUMMYFUNCTION("""COMPUTED_VALUE"""),"Ubon")</f>
        <v>Ubon</v>
      </c>
      <c r="Z1244" s="145" t="str">
        <f>IFERROR(__xludf.DUMMYFUNCTION("""COMPUTED_VALUE"""),"081-295-2180")</f>
        <v>081-295-2180</v>
      </c>
      <c r="AA1244" t="str">
        <f>IFERROR(__xludf.DUMMYFUNCTION("""COMPUTED_VALUE"""),"นายกฤตนันท์ วรรณดิลก Friend")</f>
        <v>นายกฤตนันท์ วรรณดิลก Friend</v>
      </c>
      <c r="AB1244" t="str">
        <f>IFERROR(__xludf.DUMMYFUNCTION("""COMPUTED_VALUE"""),"pearint@airasia.com")</f>
        <v>pearint@airasia.com</v>
      </c>
    </row>
    <row r="1245">
      <c r="A1245">
        <f>IFERROR(__xludf.DUMMYFUNCTION("""COMPUTED_VALUE"""),1044870.0)</f>
        <v>1044870</v>
      </c>
      <c r="B1245" t="str">
        <f>IFERROR(__xludf.DUMMYFUNCTION("""COMPUTED_VALUE"""),"Mr.")</f>
        <v>Mr.</v>
      </c>
      <c r="C1245" t="str">
        <f>IFERROR(__xludf.DUMMYFUNCTION("""COMPUTED_VALUE"""),"Nitit")</f>
        <v>Nitit</v>
      </c>
      <c r="D1245" t="str">
        <f>IFERROR(__xludf.DUMMYFUNCTION("""COMPUTED_VALUE"""),"Kawinkul")</f>
        <v>Kawinkul</v>
      </c>
      <c r="E1245" t="str">
        <f>IFERROR(__xludf.DUMMYFUNCTION("""COMPUTED_VALUE"""),"Nitit Kawinkul")</f>
        <v>Nitit Kawinkul</v>
      </c>
      <c r="F1245" t="str">
        <f>IFERROR(__xludf.DUMMYFUNCTION("""COMPUTED_VALUE"""),"นาย")</f>
        <v>นาย</v>
      </c>
      <c r="G1245" t="str">
        <f>IFERROR(__xludf.DUMMYFUNCTION("""COMPUTED_VALUE"""),"นิธิศ")</f>
        <v>นิธิศ</v>
      </c>
      <c r="H1245" t="str">
        <f>IFERROR(__xludf.DUMMYFUNCTION("""COMPUTED_VALUE"""),"กวินกุล")</f>
        <v>กวินกุล</v>
      </c>
      <c r="I1245" t="str">
        <f>IFERROR(__xludf.DUMMYFUNCTION("""COMPUTED_VALUE"""),"นิธิศ กวินกุล")</f>
        <v>นิธิศ กวินกุล</v>
      </c>
      <c r="J1245" t="str">
        <f>IFERROR(__xludf.DUMMYFUNCTION("""COMPUTED_VALUE"""),"Hark / ฮาร์ก")</f>
        <v>Hark / ฮาร์ก</v>
      </c>
      <c r="K1245" t="str">
        <f>IFERROR(__xludf.DUMMYFUNCTION("""COMPUTED_VALUE"""),"Cabin Crew - HKT")</f>
        <v>Cabin Crew - HKT</v>
      </c>
      <c r="L1245" t="str">
        <f>IFERROR(__xludf.DUMMYFUNCTION("""COMPUTED_VALUE"""),"HKT")</f>
        <v>HKT</v>
      </c>
      <c r="M1245" s="145" t="str">
        <f>IFERROR(__xludf.DUMMYFUNCTION("""COMPUTED_VALUE"""),"Kor Home")</f>
        <v>Kor Home</v>
      </c>
      <c r="N1245" t="str">
        <f>IFERROR(__xludf.DUMMYFUNCTION("""COMPUTED_VALUE"""),"Active")</f>
        <v>Active</v>
      </c>
      <c r="P1245" s="156">
        <f>IFERROR(__xludf.DUMMYFUNCTION("""COMPUTED_VALUE"""),35012.0)</f>
        <v>35012</v>
      </c>
      <c r="Q1245" s="146">
        <f>IFERROR(__xludf.DUMMYFUNCTION("""COMPUTED_VALUE"""),8.7789336E8)</f>
        <v>877893360</v>
      </c>
      <c r="R1245" s="147">
        <f>IFERROR(__xludf.DUMMYFUNCTION("""COMPUTED_VALUE"""),1.509901645496E12)</f>
        <v>1509901645496</v>
      </c>
      <c r="S1245" t="str">
        <f>IFERROR(__xludf.DUMMYFUNCTION("""COMPUTED_VALUE"""),"AC3476844")</f>
        <v>AC3476844</v>
      </c>
      <c r="T1245" s="148">
        <f>IFERROR(__xludf.DUMMYFUNCTION("""COMPUTED_VALUE"""),44734.0)</f>
        <v>44734</v>
      </c>
      <c r="U1245" s="148">
        <f>IFERROR(__xludf.DUMMYFUNCTION("""COMPUTED_VALUE"""),46559.0)</f>
        <v>46559</v>
      </c>
      <c r="V1245" s="149">
        <f>IFERROR(__xludf.DUMMYFUNCTION("""COMPUTED_VALUE"""),46377.0)</f>
        <v>46377</v>
      </c>
      <c r="W1245" t="str">
        <f>IFERROR(__xludf.DUMMYFUNCTION("""COMPUTED_VALUE"""),"ปลอดภัย")</f>
        <v>ปลอดภัย</v>
      </c>
      <c r="X1245" t="str">
        <f>IFERROR(__xludf.DUMMYFUNCTION("""COMPUTED_VALUE"""),"Chiang Mai Province")</f>
        <v>Chiang Mai Province</v>
      </c>
      <c r="Y1245" t="str">
        <f>IFERROR(__xludf.DUMMYFUNCTION("""COMPUTED_VALUE"""),"Chiang mai")</f>
        <v>Chiang mai</v>
      </c>
      <c r="Z1245" s="145" t="str">
        <f>IFERROR(__xludf.DUMMYFUNCTION("""COMPUTED_VALUE"""),"087-6208363")</f>
        <v>087-6208363</v>
      </c>
      <c r="AA1245" t="str">
        <f>IFERROR(__xludf.DUMMYFUNCTION("""COMPUTED_VALUE"""),"นางศศิธร กวินกุล Wife")</f>
        <v>นางศศิธร กวินกุล Wife</v>
      </c>
      <c r="AB1245" t="str">
        <f>IFERROR(__xludf.DUMMYFUNCTION("""COMPUTED_VALUE"""),"nititkaw@airasia.com")</f>
        <v>nititkaw@airasia.com</v>
      </c>
    </row>
    <row r="1246">
      <c r="A1246">
        <f>IFERROR(__xludf.DUMMYFUNCTION("""COMPUTED_VALUE"""),1044871.0)</f>
        <v>1044871</v>
      </c>
      <c r="B1246" t="str">
        <f>IFERROR(__xludf.DUMMYFUNCTION("""COMPUTED_VALUE"""),"Mr.")</f>
        <v>Mr.</v>
      </c>
      <c r="C1246" t="str">
        <f>IFERROR(__xludf.DUMMYFUNCTION("""COMPUTED_VALUE"""),"Songporn")</f>
        <v>Songporn</v>
      </c>
      <c r="D1246" t="str">
        <f>IFERROR(__xludf.DUMMYFUNCTION("""COMPUTED_VALUE"""),"Surarit")</f>
        <v>Surarit</v>
      </c>
      <c r="E1246" t="str">
        <f>IFERROR(__xludf.DUMMYFUNCTION("""COMPUTED_VALUE"""),"Songporn Surarit")</f>
        <v>Songporn Surarit</v>
      </c>
      <c r="F1246" t="str">
        <f>IFERROR(__xludf.DUMMYFUNCTION("""COMPUTED_VALUE"""),"นาย")</f>
        <v>นาย</v>
      </c>
      <c r="G1246" t="str">
        <f>IFERROR(__xludf.DUMMYFUNCTION("""COMPUTED_VALUE"""),"ทรงพร")</f>
        <v>ทรงพร</v>
      </c>
      <c r="H1246" t="str">
        <f>IFERROR(__xludf.DUMMYFUNCTION("""COMPUTED_VALUE"""),"สุราฤทธิ์")</f>
        <v>สุราฤทธิ์</v>
      </c>
      <c r="I1246" t="str">
        <f>IFERROR(__xludf.DUMMYFUNCTION("""COMPUTED_VALUE"""),"ทรงพร สุราฤทธิ์")</f>
        <v>ทรงพร สุราฤทธิ์</v>
      </c>
      <c r="J1246" t="str">
        <f>IFERROR(__xludf.DUMMYFUNCTION("""COMPUTED_VALUE"""),"Mos / มอส")</f>
        <v>Mos / มอส</v>
      </c>
      <c r="K1246" t="str">
        <f>IFERROR(__xludf.DUMMYFUNCTION("""COMPUTED_VALUE"""),"Cabin Crew")</f>
        <v>Cabin Crew</v>
      </c>
      <c r="L1246" t="str">
        <f>IFERROR(__xludf.DUMMYFUNCTION("""COMPUTED_VALUE"""),"DMK")</f>
        <v>DMK</v>
      </c>
      <c r="M1246" s="145" t="str">
        <f>IFERROR(__xludf.DUMMYFUNCTION("""COMPUTED_VALUE"""),"Kor Home")</f>
        <v>Kor Home</v>
      </c>
      <c r="N1246" t="str">
        <f>IFERROR(__xludf.DUMMYFUNCTION("""COMPUTED_VALUE"""),"Active")</f>
        <v>Active</v>
      </c>
      <c r="P1246" s="156">
        <f>IFERROR(__xludf.DUMMYFUNCTION("""COMPUTED_VALUE"""),34925.0)</f>
        <v>34925</v>
      </c>
      <c r="Q1246" s="146">
        <f>IFERROR(__xludf.DUMMYFUNCTION("""COMPUTED_VALUE"""),8.94822689E8)</f>
        <v>894822689</v>
      </c>
      <c r="R1246" s="147">
        <f>IFERROR(__xludf.DUMMYFUNCTION("""COMPUTED_VALUE"""),1.81990018414E12)</f>
        <v>1819900184140</v>
      </c>
      <c r="S1246" t="str">
        <f>IFERROR(__xludf.DUMMYFUNCTION("""COMPUTED_VALUE"""),"AD1513598")</f>
        <v>AD1513598</v>
      </c>
      <c r="T1246" s="148">
        <f>IFERROR(__xludf.DUMMYFUNCTION("""COMPUTED_VALUE"""),45295.0)</f>
        <v>45295</v>
      </c>
      <c r="U1246" s="148">
        <f>IFERROR(__xludf.DUMMYFUNCTION("""COMPUTED_VALUE"""),47121.0)</f>
        <v>47121</v>
      </c>
      <c r="V1246" s="149">
        <f>IFERROR(__xludf.DUMMYFUNCTION("""COMPUTED_VALUE"""),46937.0)</f>
        <v>46937</v>
      </c>
      <c r="W1246" t="str">
        <f>IFERROR(__xludf.DUMMYFUNCTION("""COMPUTED_VALUE"""),"ปลอดภัย")</f>
        <v>ปลอดภัย</v>
      </c>
      <c r="X1246" t="str">
        <f>IFERROR(__xludf.DUMMYFUNCTION("""COMPUTED_VALUE"""),"Krabi Province")</f>
        <v>Krabi Province</v>
      </c>
      <c r="Y1246" t="str">
        <f>IFERROR(__xludf.DUMMYFUNCTION("""COMPUTED_VALUE"""),"Bangkok")</f>
        <v>Bangkok</v>
      </c>
      <c r="Z1246" t="str">
        <f>IFERROR(__xludf.DUMMYFUNCTION("""COMPUTED_VALUE"""),"0896523379")</f>
        <v>0896523379</v>
      </c>
      <c r="AA1246" t="str">
        <f>IFERROR(__xludf.DUMMYFUNCTION("""COMPUTED_VALUE"""),"นางจุรี สุราฤทธิ์ Mother")</f>
        <v>นางจุรี สุราฤทธิ์ Mother</v>
      </c>
      <c r="AB1246" t="str">
        <f>IFERROR(__xludf.DUMMYFUNCTION("""COMPUTED_VALUE"""),"songpornsur@airasia.com")</f>
        <v>songpornsur@airasia.com</v>
      </c>
    </row>
    <row r="1247">
      <c r="A1247">
        <f>IFERROR(__xludf.DUMMYFUNCTION("""COMPUTED_VALUE"""),1044872.0)</f>
        <v>1044872</v>
      </c>
      <c r="B1247" t="str">
        <f>IFERROR(__xludf.DUMMYFUNCTION("""COMPUTED_VALUE"""),"Ms.")</f>
        <v>Ms.</v>
      </c>
      <c r="C1247" t="str">
        <f>IFERROR(__xludf.DUMMYFUNCTION("""COMPUTED_VALUE"""),"Patitta")</f>
        <v>Patitta</v>
      </c>
      <c r="D1247" t="str">
        <f>IFERROR(__xludf.DUMMYFUNCTION("""COMPUTED_VALUE"""),"Saejang")</f>
        <v>Saejang</v>
      </c>
      <c r="E1247" t="str">
        <f>IFERROR(__xludf.DUMMYFUNCTION("""COMPUTED_VALUE"""),"Patitta Saejang")</f>
        <v>Patitta Saejang</v>
      </c>
      <c r="F1247" t="str">
        <f>IFERROR(__xludf.DUMMYFUNCTION("""COMPUTED_VALUE"""),"นางสาว")</f>
        <v>นางสาว</v>
      </c>
      <c r="G1247" t="str">
        <f>IFERROR(__xludf.DUMMYFUNCTION("""COMPUTED_VALUE"""),"ปทิตตา")</f>
        <v>ปทิตตา</v>
      </c>
      <c r="H1247" t="str">
        <f>IFERROR(__xludf.DUMMYFUNCTION("""COMPUTED_VALUE"""),"แซ่จาง")</f>
        <v>แซ่จาง</v>
      </c>
      <c r="I1247" t="str">
        <f>IFERROR(__xludf.DUMMYFUNCTION("""COMPUTED_VALUE"""),"ปทิตตา แซ่จาง")</f>
        <v>ปทิตตา แซ่จาง</v>
      </c>
      <c r="J1247" t="str">
        <f>IFERROR(__xludf.DUMMYFUNCTION("""COMPUTED_VALUE"""),"Pmai / ปีใหม่")</f>
        <v>Pmai / ปีใหม่</v>
      </c>
      <c r="K1247" t="str">
        <f>IFERROR(__xludf.DUMMYFUNCTION("""COMPUTED_VALUE"""),"Cabin Crew - BKK")</f>
        <v>Cabin Crew - BKK</v>
      </c>
      <c r="L1247" t="str">
        <f>IFERROR(__xludf.DUMMYFUNCTION("""COMPUTED_VALUE"""),"BKK")</f>
        <v>BKK</v>
      </c>
      <c r="M1247" s="145" t="str">
        <f>IFERROR(__xludf.DUMMYFUNCTION("""COMPUTED_VALUE"""),"Nhui Home")</f>
        <v>Nhui Home</v>
      </c>
      <c r="N1247" t="str">
        <f>IFERROR(__xludf.DUMMYFUNCTION("""COMPUTED_VALUE"""),"Active/V/DMK")</f>
        <v>Active/V/DMK</v>
      </c>
      <c r="P1247" s="156">
        <f>IFERROR(__xludf.DUMMYFUNCTION("""COMPUTED_VALUE"""),37257.0)</f>
        <v>37257</v>
      </c>
      <c r="Q1247" s="146">
        <f>IFERROR(__xludf.DUMMYFUNCTION("""COMPUTED_VALUE"""),8.22508785E8)</f>
        <v>822508785</v>
      </c>
      <c r="R1247" s="147">
        <f>IFERROR(__xludf.DUMMYFUNCTION("""COMPUTED_VALUE"""),1.101700310507E12)</f>
        <v>1101700310507</v>
      </c>
      <c r="S1247" t="str">
        <f>IFERROR(__xludf.DUMMYFUNCTION("""COMPUTED_VALUE"""),"AC5829662")</f>
        <v>AC5829662</v>
      </c>
      <c r="T1247" s="148">
        <f>IFERROR(__xludf.DUMMYFUNCTION("""COMPUTED_VALUE"""),45194.0)</f>
        <v>45194</v>
      </c>
      <c r="U1247" s="148">
        <f>IFERROR(__xludf.DUMMYFUNCTION("""COMPUTED_VALUE"""),47020.0)</f>
        <v>47020</v>
      </c>
      <c r="V1247" s="149">
        <f>IFERROR(__xludf.DUMMYFUNCTION("""COMPUTED_VALUE"""),46836.0)</f>
        <v>46836</v>
      </c>
      <c r="W1247" t="str">
        <f>IFERROR(__xludf.DUMMYFUNCTION("""COMPUTED_VALUE"""),"ปลอดภัย")</f>
        <v>ปลอดภัย</v>
      </c>
      <c r="X1247" t="str">
        <f>IFERROR(__xludf.DUMMYFUNCTION("""COMPUTED_VALUE"""),"Bangkok")</f>
        <v>Bangkok</v>
      </c>
      <c r="Y1247" t="str">
        <f>IFERROR(__xludf.DUMMYFUNCTION("""COMPUTED_VALUE"""),"Bangkok")</f>
        <v>Bangkok</v>
      </c>
      <c r="Z1247">
        <f>IFERROR(__xludf.DUMMYFUNCTION("""COMPUTED_VALUE"""),8.96621535E8)</f>
        <v>896621535</v>
      </c>
      <c r="AA1247" t="str">
        <f>IFERROR(__xludf.DUMMYFUNCTION("""COMPUTED_VALUE"""),"นางสาวซุ่นจิง แซ่หยาง Mother")</f>
        <v>นางสาวซุ่นจิง แซ่หยาง Mother</v>
      </c>
      <c r="AB1247" t="str">
        <f>IFERROR(__xludf.DUMMYFUNCTION("""COMPUTED_VALUE"""),"patittasae@airasia.com")</f>
        <v>patittasae@airasia.com</v>
      </c>
    </row>
    <row r="1248">
      <c r="AB1248" t="str">
        <f>IFERROR(__xludf.DUMMYFUNCTION("""COMPUTED_VALUE"""),"")</f>
        <v/>
      </c>
    </row>
    <row r="1249">
      <c r="A1249">
        <f>IFERROR(__xludf.DUMMYFUNCTION("""COMPUTED_VALUE"""),1011518.0)</f>
        <v>1011518</v>
      </c>
      <c r="B1249" t="str">
        <f>IFERROR(__xludf.DUMMYFUNCTION("""COMPUTED_VALUE"""),"Mr.")</f>
        <v>Mr.</v>
      </c>
      <c r="C1249" t="str">
        <f>IFERROR(__xludf.DUMMYFUNCTION("""COMPUTED_VALUE"""),"Wongsakorn")</f>
        <v>Wongsakorn</v>
      </c>
      <c r="D1249" t="str">
        <f>IFERROR(__xludf.DUMMYFUNCTION("""COMPUTED_VALUE"""),"Naokaew")</f>
        <v>Naokaew</v>
      </c>
      <c r="E1249" t="str">
        <f>IFERROR(__xludf.DUMMYFUNCTION("""COMPUTED_VALUE"""),"Wongsakorn Naokaew")</f>
        <v>Wongsakorn Naokaew</v>
      </c>
      <c r="F1249" t="str">
        <f>IFERROR(__xludf.DUMMYFUNCTION("""COMPUTED_VALUE"""),"นาย")</f>
        <v>นาย</v>
      </c>
      <c r="G1249" t="str">
        <f>IFERROR(__xludf.DUMMYFUNCTION("""COMPUTED_VALUE"""),"วงศกร")</f>
        <v>วงศกร</v>
      </c>
      <c r="H1249" t="str">
        <f>IFERROR(__xludf.DUMMYFUNCTION("""COMPUTED_VALUE"""),"เนาว์แก้ว")</f>
        <v>เนาว์แก้ว</v>
      </c>
      <c r="I1249" t="str">
        <f>IFERROR(__xludf.DUMMYFUNCTION("""COMPUTED_VALUE"""),"วงศกร เนาว์แก้ว")</f>
        <v>วงศกร เนาว์แก้ว</v>
      </c>
      <c r="J1249" t="str">
        <f>IFERROR(__xludf.DUMMYFUNCTION("""COMPUTED_VALUE"""),"Peace / พีท")</f>
        <v>Peace / พีท</v>
      </c>
      <c r="K1249" t="str">
        <f>IFERROR(__xludf.DUMMYFUNCTION("""COMPUTED_VALUE"""),"Cabin Crew")</f>
        <v>Cabin Crew</v>
      </c>
      <c r="L1249" t="str">
        <f>IFERROR(__xludf.DUMMYFUNCTION("""COMPUTED_VALUE"""),"DMK")</f>
        <v>DMK</v>
      </c>
      <c r="M1249" s="145" t="str">
        <f>IFERROR(__xludf.DUMMYFUNCTION("""COMPUTED_VALUE"""),"Um Home")</f>
        <v>Um Home</v>
      </c>
      <c r="N1249" t="str">
        <f>IFERROR(__xludf.DUMMYFUNCTION("""COMPUTED_VALUE"""),"V/LWP")</f>
        <v>V/LWP</v>
      </c>
      <c r="P1249" s="156">
        <f>IFERROR(__xludf.DUMMYFUNCTION("""COMPUTED_VALUE"""),33327.0)</f>
        <v>33327</v>
      </c>
      <c r="Q1249" s="146">
        <f>IFERROR(__xludf.DUMMYFUNCTION("""COMPUTED_VALUE"""),9.63951999E8)</f>
        <v>963951999</v>
      </c>
      <c r="R1249" s="147">
        <f>IFERROR(__xludf.DUMMYFUNCTION("""COMPUTED_VALUE"""),1.449900205744E12)</f>
        <v>1449900205744</v>
      </c>
      <c r="S1249" t="str">
        <f>IFERROR(__xludf.DUMMYFUNCTION("""COMPUTED_VALUE"""),"AD1556674")</f>
        <v>AD1556674</v>
      </c>
      <c r="T1249" s="148">
        <f>IFERROR(__xludf.DUMMYFUNCTION("""COMPUTED_VALUE"""),45308.0)</f>
        <v>45308</v>
      </c>
      <c r="U1249" s="148">
        <f>IFERROR(__xludf.DUMMYFUNCTION("""COMPUTED_VALUE"""),48960.0)</f>
        <v>48960</v>
      </c>
      <c r="V1249" s="149">
        <f>IFERROR(__xludf.DUMMYFUNCTION("""COMPUTED_VALUE"""),48776.0)</f>
        <v>48776</v>
      </c>
      <c r="W1249" t="str">
        <f>IFERROR(__xludf.DUMMYFUNCTION("""COMPUTED_VALUE"""),"ปลอดภัย")</f>
        <v>ปลอดภัย</v>
      </c>
      <c r="X1249" t="str">
        <f>IFERROR(__xludf.DUMMYFUNCTION("""COMPUTED_VALUE"""),"Maha Sarakham Province")</f>
        <v>Maha Sarakham Province</v>
      </c>
      <c r="Y1249" t="str">
        <f>IFERROR(__xludf.DUMMYFUNCTION("""COMPUTED_VALUE"""),"Bangkok")</f>
        <v>Bangkok</v>
      </c>
      <c r="Z1249" s="145" t="str">
        <f>IFERROR(__xludf.DUMMYFUNCTION("""COMPUTED_VALUE"""),"096-395-1999")</f>
        <v>096-395-1999</v>
      </c>
      <c r="AA1249" t="str">
        <f>IFERROR(__xludf.DUMMYFUNCTION("""COMPUTED_VALUE"""),"นางสาวนิรมล เนาว์แก้ว Sister")</f>
        <v>นางสาวนิรมล เนาว์แก้ว Sister</v>
      </c>
      <c r="AB1249" t="str">
        <f>IFERROR(__xludf.DUMMYFUNCTION("""COMPUTED_VALUE"""),"wongsakornnao@airasia.com")</f>
        <v>wongsakornnao@airasia.com</v>
      </c>
    </row>
    <row r="1250">
      <c r="A1250">
        <f>IFERROR(__xludf.DUMMYFUNCTION("""COMPUTED_VALUE"""),1023565.0)</f>
        <v>1023565</v>
      </c>
      <c r="B1250" t="str">
        <f>IFERROR(__xludf.DUMMYFUNCTION("""COMPUTED_VALUE"""),"Mr.")</f>
        <v>Mr.</v>
      </c>
      <c r="C1250" t="str">
        <f>IFERROR(__xludf.DUMMYFUNCTION("""COMPUTED_VALUE"""),"Somchoke")</f>
        <v>Somchoke</v>
      </c>
      <c r="D1250" t="str">
        <f>IFERROR(__xludf.DUMMYFUNCTION("""COMPUTED_VALUE"""),"Direksathaphorn")</f>
        <v>Direksathaphorn</v>
      </c>
      <c r="E1250" t="str">
        <f>IFERROR(__xludf.DUMMYFUNCTION("""COMPUTED_VALUE"""),"Somchoke Direksathaphorn")</f>
        <v>Somchoke Direksathaphorn</v>
      </c>
      <c r="F1250" t="str">
        <f>IFERROR(__xludf.DUMMYFUNCTION("""COMPUTED_VALUE"""),"นาย")</f>
        <v>นาย</v>
      </c>
      <c r="G1250" t="str">
        <f>IFERROR(__xludf.DUMMYFUNCTION("""COMPUTED_VALUE"""),"สมโชค")</f>
        <v>สมโชค</v>
      </c>
      <c r="H1250" t="str">
        <f>IFERROR(__xludf.DUMMYFUNCTION("""COMPUTED_VALUE"""),"ดิเรกสถาพร")</f>
        <v>ดิเรกสถาพร</v>
      </c>
      <c r="I1250" t="str">
        <f>IFERROR(__xludf.DUMMYFUNCTION("""COMPUTED_VALUE"""),"สมโชค ดิเรกสถาพร")</f>
        <v>สมโชค ดิเรกสถาพร</v>
      </c>
      <c r="J1250" t="str">
        <f>IFERROR(__xludf.DUMMYFUNCTION("""COMPUTED_VALUE"""),"Jeng / เจ็ง")</f>
        <v>Jeng / เจ็ง</v>
      </c>
      <c r="K1250" t="str">
        <f>IFERROR(__xludf.DUMMYFUNCTION("""COMPUTED_VALUE"""),"Cabin Crew")</f>
        <v>Cabin Crew</v>
      </c>
      <c r="L1250" t="str">
        <f>IFERROR(__xludf.DUMMYFUNCTION("""COMPUTED_VALUE"""),"DMK")</f>
        <v>DMK</v>
      </c>
      <c r="M1250" s="145" t="str">
        <f>IFERROR(__xludf.DUMMYFUNCTION("""COMPUTED_VALUE"""),"Namfon Home")</f>
        <v>Namfon Home</v>
      </c>
      <c r="N1250" t="str">
        <f>IFERROR(__xludf.DUMMYFUNCTION("""COMPUTED_VALUE"""),"Active")</f>
        <v>Active</v>
      </c>
      <c r="P1250" s="156">
        <f>IFERROR(__xludf.DUMMYFUNCTION("""COMPUTED_VALUE"""),33529.0)</f>
        <v>33529</v>
      </c>
      <c r="Q1250" s="146">
        <f>IFERROR(__xludf.DUMMYFUNCTION("""COMPUTED_VALUE"""),9.09167111E8)</f>
        <v>909167111</v>
      </c>
      <c r="R1250" s="147">
        <f>IFERROR(__xludf.DUMMYFUNCTION("""COMPUTED_VALUE"""),1.100701438751E12)</f>
        <v>1100701438751</v>
      </c>
      <c r="S1250" t="str">
        <f>IFERROR(__xludf.DUMMYFUNCTION("""COMPUTED_VALUE"""),"AC2266408")</f>
        <v>AC2266408</v>
      </c>
      <c r="T1250" s="148">
        <f>IFERROR(__xludf.DUMMYFUNCTION("""COMPUTED_VALUE"""),44322.0)</f>
        <v>44322</v>
      </c>
      <c r="U1250" s="148">
        <f>IFERROR(__xludf.DUMMYFUNCTION("""COMPUTED_VALUE"""),47973.0)</f>
        <v>47973</v>
      </c>
      <c r="V1250" s="149">
        <f>IFERROR(__xludf.DUMMYFUNCTION("""COMPUTED_VALUE"""),47792.0)</f>
        <v>47792</v>
      </c>
      <c r="W1250" t="str">
        <f>IFERROR(__xludf.DUMMYFUNCTION("""COMPUTED_VALUE"""),"ปลอดภัย")</f>
        <v>ปลอดภัย</v>
      </c>
      <c r="X1250" t="str">
        <f>IFERROR(__xludf.DUMMYFUNCTION("""COMPUTED_VALUE"""),"Bangkok")</f>
        <v>Bangkok</v>
      </c>
      <c r="Y1250" t="str">
        <f>IFERROR(__xludf.DUMMYFUNCTION("""COMPUTED_VALUE"""),"Bangkok")</f>
        <v>Bangkok</v>
      </c>
      <c r="Z1250" s="145" t="str">
        <f>IFERROR(__xludf.DUMMYFUNCTION("""COMPUTED_VALUE"""),"090-916-7111")</f>
        <v>090-916-7111</v>
      </c>
      <c r="AA1250" t="str">
        <f>IFERROR(__xludf.DUMMYFUNCTION("""COMPUTED_VALUE"""),"นางเสาวนี ดิเรกสถาพร Mother")</f>
        <v>นางเสาวนี ดิเรกสถาพร Mother</v>
      </c>
      <c r="AB1250" t="str">
        <f>IFERROR(__xludf.DUMMYFUNCTION("""COMPUTED_VALUE"""),"somchokedir@airasia.com")</f>
        <v>somchokedir@airasia.com</v>
      </c>
    </row>
    <row r="1251">
      <c r="A1251">
        <f>IFERROR(__xludf.DUMMYFUNCTION("""COMPUTED_VALUE"""),1046087.0)</f>
        <v>1046087</v>
      </c>
      <c r="B1251" t="str">
        <f>IFERROR(__xludf.DUMMYFUNCTION("""COMPUTED_VALUE"""),"Mr.")</f>
        <v>Mr.</v>
      </c>
      <c r="C1251" t="str">
        <f>IFERROR(__xludf.DUMMYFUNCTION("""COMPUTED_VALUE"""),"Attawut")</f>
        <v>Attawut</v>
      </c>
      <c r="D1251" t="str">
        <f>IFERROR(__xludf.DUMMYFUNCTION("""COMPUTED_VALUE"""),"Assavanadda")</f>
        <v>Assavanadda</v>
      </c>
      <c r="E1251" t="str">
        <f>IFERROR(__xludf.DUMMYFUNCTION("""COMPUTED_VALUE"""),"Attawut Assavanadda")</f>
        <v>Attawut Assavanadda</v>
      </c>
      <c r="F1251" t="str">
        <f>IFERROR(__xludf.DUMMYFUNCTION("""COMPUTED_VALUE"""),"นาย")</f>
        <v>นาย</v>
      </c>
      <c r="G1251" t="str">
        <f>IFERROR(__xludf.DUMMYFUNCTION("""COMPUTED_VALUE"""),"อรรถวุฒิ")</f>
        <v>อรรถวุฒิ</v>
      </c>
      <c r="H1251" t="str">
        <f>IFERROR(__xludf.DUMMYFUNCTION("""COMPUTED_VALUE"""),"อัศวนัดดา")</f>
        <v>อัศวนัดดา</v>
      </c>
      <c r="I1251" t="str">
        <f>IFERROR(__xludf.DUMMYFUNCTION("""COMPUTED_VALUE"""),"อรรถวุฒิ อัศวนัดดา")</f>
        <v>อรรถวุฒิ อัศวนัดดา</v>
      </c>
      <c r="J1251" t="str">
        <f>IFERROR(__xludf.DUMMYFUNCTION("""COMPUTED_VALUE"""),"Sun / ซัน")</f>
        <v>Sun / ซัน</v>
      </c>
      <c r="K1251" t="str">
        <f>IFERROR(__xludf.DUMMYFUNCTION("""COMPUTED_VALUE"""),"Cabin Crew - BKK")</f>
        <v>Cabin Crew - BKK</v>
      </c>
      <c r="L1251" t="str">
        <f>IFERROR(__xludf.DUMMYFUNCTION("""COMPUTED_VALUE"""),"BKK")</f>
        <v>BKK</v>
      </c>
      <c r="M1251" s="145" t="str">
        <f>IFERROR(__xludf.DUMMYFUNCTION("""COMPUTED_VALUE"""),"Por+ Home")</f>
        <v>Por+ Home</v>
      </c>
      <c r="N1251" t="str">
        <f>IFERROR(__xludf.DUMMYFUNCTION("""COMPUTED_VALUE"""),"Active")</f>
        <v>Active</v>
      </c>
      <c r="P1251" s="156">
        <f>IFERROR(__xludf.DUMMYFUNCTION("""COMPUTED_VALUE"""),37285.0)</f>
        <v>37285</v>
      </c>
      <c r="Q1251" s="146">
        <f>IFERROR(__xludf.DUMMYFUNCTION("""COMPUTED_VALUE"""),9.09542345E8)</f>
        <v>909542345</v>
      </c>
      <c r="R1251" s="147">
        <f>IFERROR(__xludf.DUMMYFUNCTION("""COMPUTED_VALUE"""),1.100801419619E12)</f>
        <v>1100801419619</v>
      </c>
      <c r="S1251" t="str">
        <f>IFERROR(__xludf.DUMMYFUNCTION("""COMPUTED_VALUE"""),"AC2727065")</f>
        <v>AC2727065</v>
      </c>
      <c r="T1251" s="148">
        <f>IFERROR(__xludf.DUMMYFUNCTION("""COMPUTED_VALUE"""),44477.0)</f>
        <v>44477</v>
      </c>
      <c r="U1251" s="148">
        <f>IFERROR(__xludf.DUMMYFUNCTION("""COMPUTED_VALUE"""),46302.0)</f>
        <v>46302</v>
      </c>
      <c r="V1251" s="149">
        <f>IFERROR(__xludf.DUMMYFUNCTION("""COMPUTED_VALUE"""),46119.0)</f>
        <v>46119</v>
      </c>
      <c r="W1251" t="str">
        <f>IFERROR(__xludf.DUMMYFUNCTION("""COMPUTED_VALUE"""),"เกินระยะเวลา")</f>
        <v>เกินระยะเวลา</v>
      </c>
      <c r="X1251" t="str">
        <f>IFERROR(__xludf.DUMMYFUNCTION("""COMPUTED_VALUE"""),"Bangkok")</f>
        <v>Bangkok</v>
      </c>
      <c r="Y1251" t="str">
        <f>IFERROR(__xludf.DUMMYFUNCTION("""COMPUTED_VALUE"""),"Bangkok")</f>
        <v>Bangkok</v>
      </c>
      <c r="Z1251" s="145" t="str">
        <f>IFERROR(__xludf.DUMMYFUNCTION("""COMPUTED_VALUE"""),"090-954-2345")</f>
        <v>090-954-2345</v>
      </c>
      <c r="AA1251" t="str">
        <f>IFERROR(__xludf.DUMMYFUNCTION("""COMPUTED_VALUE"""),"นางสาว อัจฉรา คำรังษี Mother")</f>
        <v>นางสาว อัจฉรา คำรังษี Mother</v>
      </c>
      <c r="AB1251" t="str">
        <f>IFERROR(__xludf.DUMMYFUNCTION("""COMPUTED_VALUE"""),"attawutass@airasia.com")</f>
        <v>attawutass@airasia.com</v>
      </c>
    </row>
    <row r="1252">
      <c r="A1252">
        <f>IFERROR(__xludf.DUMMYFUNCTION("""COMPUTED_VALUE"""),1046088.0)</f>
        <v>1046088</v>
      </c>
      <c r="B1252" t="str">
        <f>IFERROR(__xludf.DUMMYFUNCTION("""COMPUTED_VALUE"""),"Ms.")</f>
        <v>Ms.</v>
      </c>
      <c r="C1252" t="str">
        <f>IFERROR(__xludf.DUMMYFUNCTION("""COMPUTED_VALUE"""),"Chatthipha")</f>
        <v>Chatthipha</v>
      </c>
      <c r="D1252" t="str">
        <f>IFERROR(__xludf.DUMMYFUNCTION("""COMPUTED_VALUE"""),"Tosuwan")</f>
        <v>Tosuwan</v>
      </c>
      <c r="E1252" t="str">
        <f>IFERROR(__xludf.DUMMYFUNCTION("""COMPUTED_VALUE"""),"Chatthipha Tosuwan")</f>
        <v>Chatthipha Tosuwan</v>
      </c>
      <c r="F1252" t="str">
        <f>IFERROR(__xludf.DUMMYFUNCTION("""COMPUTED_VALUE"""),"นางสาว")</f>
        <v>นางสาว</v>
      </c>
      <c r="G1252" t="str">
        <f>IFERROR(__xludf.DUMMYFUNCTION("""COMPUTED_VALUE"""),"ฉัฐทิพา")</f>
        <v>ฉัฐทิพา</v>
      </c>
      <c r="H1252" t="str">
        <f>IFERROR(__xludf.DUMMYFUNCTION("""COMPUTED_VALUE"""),"โตสุวรรณ์")</f>
        <v>โตสุวรรณ์</v>
      </c>
      <c r="I1252" t="str">
        <f>IFERROR(__xludf.DUMMYFUNCTION("""COMPUTED_VALUE"""),"ฉัฐทิพา โตสุวรรณ์")</f>
        <v>ฉัฐทิพา โตสุวรรณ์</v>
      </c>
      <c r="J1252" t="str">
        <f>IFERROR(__xludf.DUMMYFUNCTION("""COMPUTED_VALUE"""),"Chat / ฉัฐ")</f>
        <v>Chat / ฉัฐ</v>
      </c>
      <c r="K1252" t="str">
        <f>IFERROR(__xludf.DUMMYFUNCTION("""COMPUTED_VALUE"""),"Cabin Crew - BKK")</f>
        <v>Cabin Crew - BKK</v>
      </c>
      <c r="L1252" t="str">
        <f>IFERROR(__xludf.DUMMYFUNCTION("""COMPUTED_VALUE"""),"BKK")</f>
        <v>BKK</v>
      </c>
      <c r="M1252" s="145" t="str">
        <f>IFERROR(__xludf.DUMMYFUNCTION("""COMPUTED_VALUE"""),"Por+ Home")</f>
        <v>Por+ Home</v>
      </c>
      <c r="N1252" t="str">
        <f>IFERROR(__xludf.DUMMYFUNCTION("""COMPUTED_VALUE"""),"Active")</f>
        <v>Active</v>
      </c>
      <c r="P1252" s="156">
        <f>IFERROR(__xludf.DUMMYFUNCTION("""COMPUTED_VALUE"""),36798.0)</f>
        <v>36798</v>
      </c>
      <c r="Q1252" s="146">
        <f>IFERROR(__xludf.DUMMYFUNCTION("""COMPUTED_VALUE"""),6.40408078E8)</f>
        <v>640408078</v>
      </c>
      <c r="R1252" s="147">
        <f>IFERROR(__xludf.DUMMYFUNCTION("""COMPUTED_VALUE"""),1.189900311849E12)</f>
        <v>1189900311849</v>
      </c>
      <c r="S1252" t="str">
        <f>IFERROR(__xludf.DUMMYFUNCTION("""COMPUTED_VALUE"""),"AC7362936")</f>
        <v>AC7362936</v>
      </c>
      <c r="T1252" s="148">
        <f>IFERROR(__xludf.DUMMYFUNCTION("""COMPUTED_VALUE"""),45929.0)</f>
        <v>45929</v>
      </c>
      <c r="U1252" s="148">
        <f>IFERROR(__xludf.DUMMYFUNCTION("""COMPUTED_VALUE"""),47389.0)</f>
        <v>47389</v>
      </c>
      <c r="V1252" s="149">
        <f>IFERROR(__xludf.DUMMYFUNCTION("""COMPUTED_VALUE"""),47205.0)</f>
        <v>47205</v>
      </c>
      <c r="W1252" t="str">
        <f>IFERROR(__xludf.DUMMYFUNCTION("""COMPUTED_VALUE"""),"ปลอดภัย")</f>
        <v>ปลอดภัย</v>
      </c>
      <c r="X1252" t="str">
        <f>IFERROR(__xludf.DUMMYFUNCTION("""COMPUTED_VALUE"""),"Chainat Province")</f>
        <v>Chainat Province</v>
      </c>
      <c r="Y1252" t="str">
        <f>IFERROR(__xludf.DUMMYFUNCTION("""COMPUTED_VALUE"""),"Chainat")</f>
        <v>Chainat</v>
      </c>
      <c r="Z1252" s="145" t="str">
        <f>IFERROR(__xludf.DUMMYFUNCTION("""COMPUTED_VALUE"""),"064-040-8078")</f>
        <v>064-040-8078</v>
      </c>
      <c r="AA1252" t="str">
        <f>IFERROR(__xludf.DUMMYFUNCTION("""COMPUTED_VALUE"""),"นางสาวฑิตฐิตา โตสุวรรณ์ Sister")</f>
        <v>นางสาวฑิตฐิตา โตสุวรรณ์ Sister</v>
      </c>
      <c r="AB1252" t="str">
        <f>IFERROR(__xludf.DUMMYFUNCTION("""COMPUTED_VALUE"""),"chatthiphatos@airasia.com")</f>
        <v>chatthiphatos@airasia.com</v>
      </c>
    </row>
    <row r="1253">
      <c r="A1253">
        <f>IFERROR(__xludf.DUMMYFUNCTION("""COMPUTED_VALUE"""),1046089.0)</f>
        <v>1046089</v>
      </c>
      <c r="B1253" t="str">
        <f>IFERROR(__xludf.DUMMYFUNCTION("""COMPUTED_VALUE"""),"Ms.")</f>
        <v>Ms.</v>
      </c>
      <c r="C1253" t="str">
        <f>IFERROR(__xludf.DUMMYFUNCTION("""COMPUTED_VALUE"""),"Jiratthitikarn")</f>
        <v>Jiratthitikarn</v>
      </c>
      <c r="D1253" t="str">
        <f>IFERROR(__xludf.DUMMYFUNCTION("""COMPUTED_VALUE"""),"Supantana")</f>
        <v>Supantana</v>
      </c>
      <c r="E1253" t="str">
        <f>IFERROR(__xludf.DUMMYFUNCTION("""COMPUTED_VALUE"""),"Jiratthitikarn Supantana")</f>
        <v>Jiratthitikarn Supantana</v>
      </c>
      <c r="F1253" t="str">
        <f>IFERROR(__xludf.DUMMYFUNCTION("""COMPUTED_VALUE"""),"นางสาว")</f>
        <v>นางสาว</v>
      </c>
      <c r="G1253" t="str">
        <f>IFERROR(__xludf.DUMMYFUNCTION("""COMPUTED_VALUE"""),"จิรัฐิติกาล")</f>
        <v>จิรัฐิติกาล</v>
      </c>
      <c r="H1253" t="str">
        <f>IFERROR(__xludf.DUMMYFUNCTION("""COMPUTED_VALUE"""),"สุพันธนา")</f>
        <v>สุพันธนา</v>
      </c>
      <c r="I1253" t="str">
        <f>IFERROR(__xludf.DUMMYFUNCTION("""COMPUTED_VALUE"""),"จิรัฐิติกาล สุพันธนา")</f>
        <v>จิรัฐิติกาล สุพันธนา</v>
      </c>
      <c r="J1253" t="str">
        <f>IFERROR(__xludf.DUMMYFUNCTION("""COMPUTED_VALUE"""),"Minnie / มินนี่")</f>
        <v>Minnie / มินนี่</v>
      </c>
      <c r="K1253" t="str">
        <f>IFERROR(__xludf.DUMMYFUNCTION("""COMPUTED_VALUE"""),"Cabin Crew")</f>
        <v>Cabin Crew</v>
      </c>
      <c r="L1253" t="str">
        <f>IFERROR(__xludf.DUMMYFUNCTION("""COMPUTED_VALUE"""),"DMK")</f>
        <v>DMK</v>
      </c>
      <c r="M1253" s="145" t="str">
        <f>IFERROR(__xludf.DUMMYFUNCTION("""COMPUTED_VALUE"""),"Toffy Home")</f>
        <v>Toffy Home</v>
      </c>
      <c r="N1253" t="str">
        <f>IFERROR(__xludf.DUMMYFUNCTION("""COMPUTED_VALUE"""),"Active")</f>
        <v>Active</v>
      </c>
      <c r="P1253" s="156">
        <f>IFERROR(__xludf.DUMMYFUNCTION("""COMPUTED_VALUE"""),35426.0)</f>
        <v>35426</v>
      </c>
      <c r="Q1253" s="146">
        <f>IFERROR(__xludf.DUMMYFUNCTION("""COMPUTED_VALUE"""),8.27720054E8)</f>
        <v>827720054</v>
      </c>
      <c r="R1253" s="147">
        <f>IFERROR(__xludf.DUMMYFUNCTION("""COMPUTED_VALUE"""),1.65990080476E12)</f>
        <v>1659900804760</v>
      </c>
      <c r="S1253" t="str">
        <f>IFERROR(__xludf.DUMMYFUNCTION("""COMPUTED_VALUE"""),"AC5588247")</f>
        <v>AC5588247</v>
      </c>
      <c r="T1253" s="148">
        <f>IFERROR(__xludf.DUMMYFUNCTION("""COMPUTED_VALUE"""),45170.0)</f>
        <v>45170</v>
      </c>
      <c r="U1253" s="148">
        <f>IFERROR(__xludf.DUMMYFUNCTION("""COMPUTED_VALUE"""),46996.0)</f>
        <v>46996</v>
      </c>
      <c r="V1253" s="149">
        <f>IFERROR(__xludf.DUMMYFUNCTION("""COMPUTED_VALUE"""),46812.0)</f>
        <v>46812</v>
      </c>
      <c r="W1253" t="str">
        <f>IFERROR(__xludf.DUMMYFUNCTION("""COMPUTED_VALUE"""),"ปลอดภัย")</f>
        <v>ปลอดภัย</v>
      </c>
      <c r="X1253" t="str">
        <f>IFERROR(__xludf.DUMMYFUNCTION("""COMPUTED_VALUE"""),"Phitsanulok Province")</f>
        <v>Phitsanulok Province</v>
      </c>
      <c r="Y1253" t="str">
        <f>IFERROR(__xludf.DUMMYFUNCTION("""COMPUTED_VALUE"""),"phitsanulok")</f>
        <v>phitsanulok</v>
      </c>
      <c r="Z1253" s="145" t="str">
        <f>IFERROR(__xludf.DUMMYFUNCTION("""COMPUTED_VALUE"""),"082-772-0054")</f>
        <v>082-772-0054</v>
      </c>
      <c r="AA1253" t="str">
        <f>IFERROR(__xludf.DUMMYFUNCTION("""COMPUTED_VALUE"""),"นางกรกนก แพนคร Mother")</f>
        <v>นางกรกนก แพนคร Mother</v>
      </c>
      <c r="AB1253" t="str">
        <f>IFERROR(__xludf.DUMMYFUNCTION("""COMPUTED_VALUE"""),"jiratthitikarnsup@airasia.com")</f>
        <v>jiratthitikarnsup@airasia.com</v>
      </c>
    </row>
    <row r="1254">
      <c r="A1254">
        <f>IFERROR(__xludf.DUMMYFUNCTION("""COMPUTED_VALUE"""),1046090.0)</f>
        <v>1046090</v>
      </c>
      <c r="B1254" t="str">
        <f>IFERROR(__xludf.DUMMYFUNCTION("""COMPUTED_VALUE"""),"Ms.")</f>
        <v>Ms.</v>
      </c>
      <c r="C1254" t="str">
        <f>IFERROR(__xludf.DUMMYFUNCTION("""COMPUTED_VALUE"""),"Junjura")</f>
        <v>Junjura</v>
      </c>
      <c r="D1254" t="str">
        <f>IFERROR(__xludf.DUMMYFUNCTION("""COMPUTED_VALUE"""),"Kantharet")</f>
        <v>Kantharet</v>
      </c>
      <c r="E1254" t="str">
        <f>IFERROR(__xludf.DUMMYFUNCTION("""COMPUTED_VALUE"""),"Junjura Kantharet")</f>
        <v>Junjura Kantharet</v>
      </c>
      <c r="F1254" t="str">
        <f>IFERROR(__xludf.DUMMYFUNCTION("""COMPUTED_VALUE"""),"นางสาว")</f>
        <v>นางสาว</v>
      </c>
      <c r="G1254" t="str">
        <f>IFERROR(__xludf.DUMMYFUNCTION("""COMPUTED_VALUE"""),"จัญจุรา")</f>
        <v>จัญจุรา</v>
      </c>
      <c r="H1254" t="str">
        <f>IFERROR(__xludf.DUMMYFUNCTION("""COMPUTED_VALUE"""),"กันทะเรศ")</f>
        <v>กันทะเรศ</v>
      </c>
      <c r="I1254" t="str">
        <f>IFERROR(__xludf.DUMMYFUNCTION("""COMPUTED_VALUE"""),"จัญจุรา กันทะเรศ")</f>
        <v>จัญจุรา กันทะเรศ</v>
      </c>
      <c r="J1254" t="str">
        <f>IFERROR(__xludf.DUMMYFUNCTION("""COMPUTED_VALUE"""),"แจน")</f>
        <v>แจน</v>
      </c>
      <c r="K1254" t="str">
        <f>IFERROR(__xludf.DUMMYFUNCTION("""COMPUTED_VALUE"""),"Cabin Crew")</f>
        <v>Cabin Crew</v>
      </c>
      <c r="L1254" t="str">
        <f>IFERROR(__xludf.DUMMYFUNCTION("""COMPUTED_VALUE"""),"DMK")</f>
        <v>DMK</v>
      </c>
      <c r="M1254" s="145" t="str">
        <f>IFERROR(__xludf.DUMMYFUNCTION("""COMPUTED_VALUE"""),"Namfon Home")</f>
        <v>Namfon Home</v>
      </c>
      <c r="N1254" t="str">
        <f>IFERROR(__xludf.DUMMYFUNCTION("""COMPUTED_VALUE"""),"Active")</f>
        <v>Active</v>
      </c>
      <c r="P1254" s="156">
        <f>IFERROR(__xludf.DUMMYFUNCTION("""COMPUTED_VALUE"""),36057.0)</f>
        <v>36057</v>
      </c>
      <c r="Q1254" s="146">
        <f>IFERROR(__xludf.DUMMYFUNCTION("""COMPUTED_VALUE"""),9.55922756E8)</f>
        <v>955922756</v>
      </c>
      <c r="R1254" s="147">
        <f>IFERROR(__xludf.DUMMYFUNCTION("""COMPUTED_VALUE"""),1.560300309914E12)</f>
        <v>1560300309914</v>
      </c>
      <c r="S1254" t="str">
        <f>IFERROR(__xludf.DUMMYFUNCTION("""COMPUTED_VALUE"""),"AD1177559")</f>
        <v>AD1177559</v>
      </c>
      <c r="T1254" s="148">
        <f>IFERROR(__xludf.DUMMYFUNCTION("""COMPUTED_VALUE"""),45205.0)</f>
        <v>45205</v>
      </c>
      <c r="U1254" s="148">
        <f>IFERROR(__xludf.DUMMYFUNCTION("""COMPUTED_VALUE"""),48857.0)</f>
        <v>48857</v>
      </c>
      <c r="V1254" s="149">
        <f>IFERROR(__xludf.DUMMYFUNCTION("""COMPUTED_VALUE"""),48674.0)</f>
        <v>48674</v>
      </c>
      <c r="W1254" t="str">
        <f>IFERROR(__xludf.DUMMYFUNCTION("""COMPUTED_VALUE"""),"ปลอดภัย")</f>
        <v>ปลอดภัย</v>
      </c>
      <c r="X1254" t="str">
        <f>IFERROR(__xludf.DUMMYFUNCTION("""COMPUTED_VALUE"""),"Phayao Province")</f>
        <v>Phayao Province</v>
      </c>
      <c r="Y1254" t="str">
        <f>IFERROR(__xludf.DUMMYFUNCTION("""COMPUTED_VALUE"""),"Bangkok")</f>
        <v>Bangkok</v>
      </c>
      <c r="Z1254" s="145" t="str">
        <f>IFERROR(__xludf.DUMMYFUNCTION("""COMPUTED_VALUE"""),"095-592-2756")</f>
        <v>095-592-2756</v>
      </c>
      <c r="AA1254" t="str">
        <f>IFERROR(__xludf.DUMMYFUNCTION("""COMPUTED_VALUE"""),"นายจิรทีปต์ อักขราสา Friend")</f>
        <v>นายจิรทีปต์ อักขราสา Friend</v>
      </c>
      <c r="AB1254" t="str">
        <f>IFERROR(__xludf.DUMMYFUNCTION("""COMPUTED_VALUE"""),"junjurakan@airasia.com")</f>
        <v>junjurakan@airasia.com</v>
      </c>
    </row>
    <row r="1255">
      <c r="A1255">
        <f>IFERROR(__xludf.DUMMYFUNCTION("""COMPUTED_VALUE"""),1046091.0)</f>
        <v>1046091</v>
      </c>
      <c r="B1255" t="str">
        <f>IFERROR(__xludf.DUMMYFUNCTION("""COMPUTED_VALUE"""),"Ms.")</f>
        <v>Ms.</v>
      </c>
      <c r="C1255" t="str">
        <f>IFERROR(__xludf.DUMMYFUNCTION("""COMPUTED_VALUE"""),"Montisa")</f>
        <v>Montisa</v>
      </c>
      <c r="D1255" t="str">
        <f>IFERROR(__xludf.DUMMYFUNCTION("""COMPUTED_VALUE"""),"Rattanatrai")</f>
        <v>Rattanatrai</v>
      </c>
      <c r="E1255" t="str">
        <f>IFERROR(__xludf.DUMMYFUNCTION("""COMPUTED_VALUE"""),"Montisa Rattanatrai")</f>
        <v>Montisa Rattanatrai</v>
      </c>
      <c r="F1255" t="str">
        <f>IFERROR(__xludf.DUMMYFUNCTION("""COMPUTED_VALUE"""),"นางสาว")</f>
        <v>นางสาว</v>
      </c>
      <c r="G1255" t="str">
        <f>IFERROR(__xludf.DUMMYFUNCTION("""COMPUTED_VALUE"""),"มณฑิสา")</f>
        <v>มณฑิสา</v>
      </c>
      <c r="H1255" t="str">
        <f>IFERROR(__xludf.DUMMYFUNCTION("""COMPUTED_VALUE"""),"รัตนไตร")</f>
        <v>รัตนไตร</v>
      </c>
      <c r="I1255" t="str">
        <f>IFERROR(__xludf.DUMMYFUNCTION("""COMPUTED_VALUE"""),"มณฑิสา รัตนไตร")</f>
        <v>มณฑิสา รัตนไตร</v>
      </c>
      <c r="J1255" t="str">
        <f>IFERROR(__xludf.DUMMYFUNCTION("""COMPUTED_VALUE"""),"Ice / ไอซ์")</f>
        <v>Ice / ไอซ์</v>
      </c>
      <c r="K1255" t="str">
        <f>IFERROR(__xludf.DUMMYFUNCTION("""COMPUTED_VALUE"""),"Cabin Crew - BKK")</f>
        <v>Cabin Crew - BKK</v>
      </c>
      <c r="L1255" t="str">
        <f>IFERROR(__xludf.DUMMYFUNCTION("""COMPUTED_VALUE"""),"BKK")</f>
        <v>BKK</v>
      </c>
      <c r="M1255" s="145" t="str">
        <f>IFERROR(__xludf.DUMMYFUNCTION("""COMPUTED_VALUE"""),"Por+ Home")</f>
        <v>Por+ Home</v>
      </c>
      <c r="N1255" t="str">
        <f>IFERROR(__xludf.DUMMYFUNCTION("""COMPUTED_VALUE"""),"Active")</f>
        <v>Active</v>
      </c>
      <c r="P1255" s="156">
        <f>IFERROR(__xludf.DUMMYFUNCTION("""COMPUTED_VALUE"""),35507.0)</f>
        <v>35507</v>
      </c>
      <c r="Q1255" s="146">
        <f>IFERROR(__xludf.DUMMYFUNCTION("""COMPUTED_VALUE"""),6.36919361E8)</f>
        <v>636919361</v>
      </c>
      <c r="R1255" s="147">
        <f>IFERROR(__xludf.DUMMYFUNCTION("""COMPUTED_VALUE"""),1.103702283487E12)</f>
        <v>1103702283487</v>
      </c>
      <c r="S1255" t="str">
        <f>IFERROR(__xludf.DUMMYFUNCTION("""COMPUTED_VALUE"""),"AD0927901")</f>
        <v>AD0927901</v>
      </c>
      <c r="T1255" s="148">
        <f>IFERROR(__xludf.DUMMYFUNCTION("""COMPUTED_VALUE"""),45025.0)</f>
        <v>45025</v>
      </c>
      <c r="U1255" s="148">
        <f>IFERROR(__xludf.DUMMYFUNCTION("""COMPUTED_VALUE"""),48677.0)</f>
        <v>48677</v>
      </c>
      <c r="V1255" s="149">
        <f>IFERROR(__xludf.DUMMYFUNCTION("""COMPUTED_VALUE"""),48495.0)</f>
        <v>48495</v>
      </c>
      <c r="W1255" t="str">
        <f>IFERROR(__xludf.DUMMYFUNCTION("""COMPUTED_VALUE"""),"ปลอดภัย")</f>
        <v>ปลอดภัย</v>
      </c>
      <c r="X1255" t="str">
        <f>IFERROR(__xludf.DUMMYFUNCTION("""COMPUTED_VALUE"""),"Bangkok")</f>
        <v>Bangkok</v>
      </c>
      <c r="Y1255" t="str">
        <f>IFERROR(__xludf.DUMMYFUNCTION("""COMPUTED_VALUE"""),"Bangkok")</f>
        <v>Bangkok</v>
      </c>
      <c r="Z1255" s="145" t="str">
        <f>IFERROR(__xludf.DUMMYFUNCTION("""COMPUTED_VALUE"""),"063-691-9361")</f>
        <v>063-691-9361</v>
      </c>
      <c r="AA1255" t="str">
        <f>IFERROR(__xludf.DUMMYFUNCTION("""COMPUTED_VALUE"""),"นายสมชาต รัตนไตร Father")</f>
        <v>นายสมชาต รัตนไตร Father</v>
      </c>
      <c r="AB1255" t="str">
        <f>IFERROR(__xludf.DUMMYFUNCTION("""COMPUTED_VALUE"""),"montisarat@airasia.com")</f>
        <v>montisarat@airasia.com</v>
      </c>
    </row>
    <row r="1256">
      <c r="A1256">
        <f>IFERROR(__xludf.DUMMYFUNCTION("""COMPUTED_VALUE"""),1046092.0)</f>
        <v>1046092</v>
      </c>
      <c r="B1256" t="str">
        <f>IFERROR(__xludf.DUMMYFUNCTION("""COMPUTED_VALUE"""),"Ms.")</f>
        <v>Ms.</v>
      </c>
      <c r="C1256" t="str">
        <f>IFERROR(__xludf.DUMMYFUNCTION("""COMPUTED_VALUE"""),"Naphatcha")</f>
        <v>Naphatcha</v>
      </c>
      <c r="D1256" t="str">
        <f>IFERROR(__xludf.DUMMYFUNCTION("""COMPUTED_VALUE"""),"Wongpanich")</f>
        <v>Wongpanich</v>
      </c>
      <c r="E1256" t="str">
        <f>IFERROR(__xludf.DUMMYFUNCTION("""COMPUTED_VALUE"""),"Naphatcha Wongpanich")</f>
        <v>Naphatcha Wongpanich</v>
      </c>
      <c r="F1256" t="str">
        <f>IFERROR(__xludf.DUMMYFUNCTION("""COMPUTED_VALUE"""),"นางสาว")</f>
        <v>นางสาว</v>
      </c>
      <c r="G1256" t="str">
        <f>IFERROR(__xludf.DUMMYFUNCTION("""COMPUTED_VALUE"""),"นภัชชา")</f>
        <v>นภัชชา</v>
      </c>
      <c r="H1256" t="str">
        <f>IFERROR(__xludf.DUMMYFUNCTION("""COMPUTED_VALUE"""),"วงศ์พานิช")</f>
        <v>วงศ์พานิช</v>
      </c>
      <c r="I1256" t="str">
        <f>IFERROR(__xludf.DUMMYFUNCTION("""COMPUTED_VALUE"""),"นภัชชา วงศ์พานิช")</f>
        <v>นภัชชา วงศ์พานิช</v>
      </c>
      <c r="J1256" t="str">
        <f>IFERROR(__xludf.DUMMYFUNCTION("""COMPUTED_VALUE"""),"แตงไทย")</f>
        <v>แตงไทย</v>
      </c>
      <c r="K1256" t="str">
        <f>IFERROR(__xludf.DUMMYFUNCTION("""COMPUTED_VALUE"""),"Cabin Crew")</f>
        <v>Cabin Crew</v>
      </c>
      <c r="L1256" t="str">
        <f>IFERROR(__xludf.DUMMYFUNCTION("""COMPUTED_VALUE"""),"DMK")</f>
        <v>DMK</v>
      </c>
      <c r="M1256" s="145" t="str">
        <f>IFERROR(__xludf.DUMMYFUNCTION("""COMPUTED_VALUE"""),"Toffy Home")</f>
        <v>Toffy Home</v>
      </c>
      <c r="N1256" t="str">
        <f>IFERROR(__xludf.DUMMYFUNCTION("""COMPUTED_VALUE"""),"Active")</f>
        <v>Active</v>
      </c>
      <c r="P1256" s="165">
        <f>IFERROR(__xludf.DUMMYFUNCTION("""COMPUTED_VALUE"""),34108.0)</f>
        <v>34108</v>
      </c>
      <c r="Q1256" s="146">
        <f>IFERROR(__xludf.DUMMYFUNCTION("""COMPUTED_VALUE"""),9.61929896E8)</f>
        <v>961929896</v>
      </c>
      <c r="R1256" s="147">
        <f>IFERROR(__xludf.DUMMYFUNCTION("""COMPUTED_VALUE"""),1.103701091461E12)</f>
        <v>1103701091461</v>
      </c>
      <c r="S1256" t="str">
        <f>IFERROR(__xludf.DUMMYFUNCTION("""COMPUTED_VALUE"""),"AC3486713")</f>
        <v>AC3486713</v>
      </c>
      <c r="T1256" s="148">
        <f>IFERROR(__xludf.DUMMYFUNCTION("""COMPUTED_VALUE"""),44741.0)</f>
        <v>44741</v>
      </c>
      <c r="U1256" s="148">
        <f>IFERROR(__xludf.DUMMYFUNCTION("""COMPUTED_VALUE"""),48393.0)</f>
        <v>48393</v>
      </c>
      <c r="V1256" s="149">
        <f>IFERROR(__xludf.DUMMYFUNCTION("""COMPUTED_VALUE"""),48210.0)</f>
        <v>48210</v>
      </c>
      <c r="W1256" t="str">
        <f>IFERROR(__xludf.DUMMYFUNCTION("""COMPUTED_VALUE"""),"ปลอดภัย")</f>
        <v>ปลอดภัย</v>
      </c>
      <c r="X1256" t="str">
        <f>IFERROR(__xludf.DUMMYFUNCTION("""COMPUTED_VALUE"""),"Bangkok")</f>
        <v>Bangkok</v>
      </c>
      <c r="Y1256" t="str">
        <f>IFERROR(__xludf.DUMMYFUNCTION("""COMPUTED_VALUE"""),"Bangkok")</f>
        <v>Bangkok</v>
      </c>
      <c r="Z1256" s="145" t="str">
        <f>IFERROR(__xludf.DUMMYFUNCTION("""COMPUTED_VALUE"""),"0961929896")</f>
        <v>0961929896</v>
      </c>
      <c r="AA1256" t="str">
        <f>IFERROR(__xludf.DUMMYFUNCTION("""COMPUTED_VALUE"""),"นางธนภร อนุตรานุสรณ์ Mother")</f>
        <v>นางธนภร อนุตรานุสรณ์ Mother</v>
      </c>
      <c r="AB1256" t="str">
        <f>IFERROR(__xludf.DUMMYFUNCTION("""COMPUTED_VALUE"""),"naphatchawon@airasia.com")</f>
        <v>naphatchawon@airasia.com</v>
      </c>
    </row>
    <row r="1257">
      <c r="A1257">
        <f>IFERROR(__xludf.DUMMYFUNCTION("""COMPUTED_VALUE"""),1046093.0)</f>
        <v>1046093</v>
      </c>
      <c r="B1257" t="str">
        <f>IFERROR(__xludf.DUMMYFUNCTION("""COMPUTED_VALUE"""),"Ms.")</f>
        <v>Ms.</v>
      </c>
      <c r="C1257" t="str">
        <f>IFERROR(__xludf.DUMMYFUNCTION("""COMPUTED_VALUE"""),"Natchaya")</f>
        <v>Natchaya</v>
      </c>
      <c r="D1257" t="str">
        <f>IFERROR(__xludf.DUMMYFUNCTION("""COMPUTED_VALUE"""),"Thamboontop")</f>
        <v>Thamboontop</v>
      </c>
      <c r="E1257" t="str">
        <f>IFERROR(__xludf.DUMMYFUNCTION("""COMPUTED_VALUE"""),"Natchaya Thamboontop")</f>
        <v>Natchaya Thamboontop</v>
      </c>
      <c r="F1257" t="str">
        <f>IFERROR(__xludf.DUMMYFUNCTION("""COMPUTED_VALUE"""),"นางสาว")</f>
        <v>นางสาว</v>
      </c>
      <c r="G1257" t="str">
        <f>IFERROR(__xludf.DUMMYFUNCTION("""COMPUTED_VALUE"""),"ณัฐชยา")</f>
        <v>ณัฐชยา</v>
      </c>
      <c r="H1257" t="str">
        <f>IFERROR(__xludf.DUMMYFUNCTION("""COMPUTED_VALUE"""),"ทำบุญตอบ")</f>
        <v>ทำบุญตอบ</v>
      </c>
      <c r="I1257" t="str">
        <f>IFERROR(__xludf.DUMMYFUNCTION("""COMPUTED_VALUE"""),"ณัฐชยา ทำบุญตอบ")</f>
        <v>ณัฐชยา ทำบุญตอบ</v>
      </c>
      <c r="J1257" t="str">
        <f>IFERROR(__xludf.DUMMYFUNCTION("""COMPUTED_VALUE"""),"Fai ฝ้าย")</f>
        <v>Fai ฝ้าย</v>
      </c>
      <c r="K1257" t="str">
        <f>IFERROR(__xludf.DUMMYFUNCTION("""COMPUTED_VALUE"""),"Cabin Crew - BKK")</f>
        <v>Cabin Crew - BKK</v>
      </c>
      <c r="L1257" t="str">
        <f>IFERROR(__xludf.DUMMYFUNCTION("""COMPUTED_VALUE"""),"BKK")</f>
        <v>BKK</v>
      </c>
      <c r="M1257" s="145" t="str">
        <f>IFERROR(__xludf.DUMMYFUNCTION("""COMPUTED_VALUE"""),"Um Home")</f>
        <v>Um Home</v>
      </c>
      <c r="N1257" t="str">
        <f>IFERROR(__xludf.DUMMYFUNCTION("""COMPUTED_VALUE"""),"Active")</f>
        <v>Active</v>
      </c>
      <c r="P1257" s="156">
        <f>IFERROR(__xludf.DUMMYFUNCTION("""COMPUTED_VALUE"""),36545.0)</f>
        <v>36545</v>
      </c>
      <c r="Q1257" s="146">
        <f>IFERROR(__xludf.DUMMYFUNCTION("""COMPUTED_VALUE"""),8.23878215E8)</f>
        <v>823878215</v>
      </c>
      <c r="R1257" s="147">
        <f>IFERROR(__xludf.DUMMYFUNCTION("""COMPUTED_VALUE"""),1.509963060475E12)</f>
        <v>1509963060475</v>
      </c>
      <c r="S1257" t="str">
        <f>IFERROR(__xludf.DUMMYFUNCTION("""COMPUTED_VALUE"""),"AC6113593")</f>
        <v>AC6113593</v>
      </c>
      <c r="T1257" s="148">
        <f>IFERROR(__xludf.DUMMYFUNCTION("""COMPUTED_VALUE"""),45273.0)</f>
        <v>45273</v>
      </c>
      <c r="U1257" s="148">
        <f>IFERROR(__xludf.DUMMYFUNCTION("""COMPUTED_VALUE"""),48925.0)</f>
        <v>48925</v>
      </c>
      <c r="V1257" s="149">
        <f>IFERROR(__xludf.DUMMYFUNCTION("""COMPUTED_VALUE"""),48742.0)</f>
        <v>48742</v>
      </c>
      <c r="W1257" t="str">
        <f>IFERROR(__xludf.DUMMYFUNCTION("""COMPUTED_VALUE"""),"ปลอดภัย")</f>
        <v>ปลอดภัย</v>
      </c>
      <c r="X1257" t="str">
        <f>IFERROR(__xludf.DUMMYFUNCTION("""COMPUTED_VALUE"""),"Chiang Mai Province")</f>
        <v>Chiang Mai Province</v>
      </c>
      <c r="Y1257" t="str">
        <f>IFERROR(__xludf.DUMMYFUNCTION("""COMPUTED_VALUE"""),"Bangkok")</f>
        <v>Bangkok</v>
      </c>
      <c r="Z1257" s="145" t="str">
        <f>IFERROR(__xludf.DUMMYFUNCTION("""COMPUTED_VALUE"""),"0823878215")</f>
        <v>0823878215</v>
      </c>
      <c r="AA1257" t="str">
        <f>IFERROR(__xludf.DUMMYFUNCTION("""COMPUTED_VALUE"""),"นางจันทร์เพ็ญ ทำบุญตอบ Mother")</f>
        <v>นางจันทร์เพ็ญ ทำบุญตอบ Mother</v>
      </c>
      <c r="AB1257" t="str">
        <f>IFERROR(__xludf.DUMMYFUNCTION("""COMPUTED_VALUE"""),"natchayatha@airasia.com")</f>
        <v>natchayatha@airasia.com</v>
      </c>
    </row>
    <row r="1258">
      <c r="A1258">
        <f>IFERROR(__xludf.DUMMYFUNCTION("""COMPUTED_VALUE"""),1046094.0)</f>
        <v>1046094</v>
      </c>
      <c r="B1258" t="str">
        <f>IFERROR(__xludf.DUMMYFUNCTION("""COMPUTED_VALUE"""),"Ms.")</f>
        <v>Ms.</v>
      </c>
      <c r="C1258" t="str">
        <f>IFERROR(__xludf.DUMMYFUNCTION("""COMPUTED_VALUE"""),"Natphatsorn")</f>
        <v>Natphatsorn</v>
      </c>
      <c r="D1258" t="str">
        <f>IFERROR(__xludf.DUMMYFUNCTION("""COMPUTED_VALUE"""),"Namsap")</f>
        <v>Namsap</v>
      </c>
      <c r="E1258" t="str">
        <f>IFERROR(__xludf.DUMMYFUNCTION("""COMPUTED_VALUE"""),"Natphatsorn Namsap")</f>
        <v>Natphatsorn Namsap</v>
      </c>
      <c r="F1258" t="str">
        <f>IFERROR(__xludf.DUMMYFUNCTION("""COMPUTED_VALUE"""),"นางสาว")</f>
        <v>นางสาว</v>
      </c>
      <c r="G1258" t="str">
        <f>IFERROR(__xludf.DUMMYFUNCTION("""COMPUTED_VALUE"""),"ณัฐภัสสร")</f>
        <v>ณัฐภัสสร</v>
      </c>
      <c r="H1258" t="str">
        <f>IFERROR(__xludf.DUMMYFUNCTION("""COMPUTED_VALUE"""),"น้ำทรัพย์")</f>
        <v>น้ำทรัพย์</v>
      </c>
      <c r="I1258" t="str">
        <f>IFERROR(__xludf.DUMMYFUNCTION("""COMPUTED_VALUE"""),"ณัฐภัสสร น้ำทรัพย์")</f>
        <v>ณัฐภัสสร น้ำทรัพย์</v>
      </c>
      <c r="J1258" t="str">
        <f>IFERROR(__xludf.DUMMYFUNCTION("""COMPUTED_VALUE"""),"ลูกศร")</f>
        <v>ลูกศร</v>
      </c>
      <c r="K1258" t="str">
        <f>IFERROR(__xludf.DUMMYFUNCTION("""COMPUTED_VALUE"""),"Cabin Crew")</f>
        <v>Cabin Crew</v>
      </c>
      <c r="L1258" t="str">
        <f>IFERROR(__xludf.DUMMYFUNCTION("""COMPUTED_VALUE"""),"DMK")</f>
        <v>DMK</v>
      </c>
      <c r="M1258" s="145" t="str">
        <f>IFERROR(__xludf.DUMMYFUNCTION("""COMPUTED_VALUE"""),"Por+ Home")</f>
        <v>Por+ Home</v>
      </c>
      <c r="N1258" t="str">
        <f>IFERROR(__xludf.DUMMYFUNCTION("""COMPUTED_VALUE"""),"Active")</f>
        <v>Active</v>
      </c>
      <c r="P1258" s="156">
        <f>IFERROR(__xludf.DUMMYFUNCTION("""COMPUTED_VALUE"""),37642.0)</f>
        <v>37642</v>
      </c>
      <c r="Q1258" s="146">
        <f>IFERROR(__xludf.DUMMYFUNCTION("""COMPUTED_VALUE"""),9.3759555E8)</f>
        <v>937595550</v>
      </c>
      <c r="R1258" s="147">
        <f>IFERROR(__xludf.DUMMYFUNCTION("""COMPUTED_VALUE"""),1.102900049919E12)</f>
        <v>1102900049919</v>
      </c>
      <c r="S1258" t="str">
        <f>IFERROR(__xludf.DUMMYFUNCTION("""COMPUTED_VALUE"""),"AC4047272")</f>
        <v>AC4047272</v>
      </c>
      <c r="T1258" s="148">
        <f>IFERROR(__xludf.DUMMYFUNCTION("""COMPUTED_VALUE"""),44820.0)</f>
        <v>44820</v>
      </c>
      <c r="U1258" s="148">
        <f>IFERROR(__xludf.DUMMYFUNCTION("""COMPUTED_VALUE"""),46645.0)</f>
        <v>46645</v>
      </c>
      <c r="V1258" s="149">
        <f>IFERROR(__xludf.DUMMYFUNCTION("""COMPUTED_VALUE"""),46461.0)</f>
        <v>46461</v>
      </c>
      <c r="W1258" t="str">
        <f>IFERROR(__xludf.DUMMYFUNCTION("""COMPUTED_VALUE"""),"ปลอดภัย")</f>
        <v>ปลอดภัย</v>
      </c>
      <c r="X1258" t="str">
        <f>IFERROR(__xludf.DUMMYFUNCTION("""COMPUTED_VALUE"""),"Bangkok")</f>
        <v>Bangkok</v>
      </c>
      <c r="Y1258" t="str">
        <f>IFERROR(__xludf.DUMMYFUNCTION("""COMPUTED_VALUE"""),"Nontaburi")</f>
        <v>Nontaburi</v>
      </c>
      <c r="Z1258" s="145" t="str">
        <f>IFERROR(__xludf.DUMMYFUNCTION("""COMPUTED_VALUE"""),"0937595550")</f>
        <v>0937595550</v>
      </c>
      <c r="AA1258" t="str">
        <f>IFERROR(__xludf.DUMMYFUNCTION("""COMPUTED_VALUE"""),"นางวรรณดี กาญจนภิญพงศ์ Mother")</f>
        <v>นางวรรณดี กาญจนภิญพงศ์ Mother</v>
      </c>
      <c r="AB1258" t="str">
        <f>IFERROR(__xludf.DUMMYFUNCTION("""COMPUTED_VALUE"""),"natphatsornnam@airasia.com")</f>
        <v>natphatsornnam@airasia.com</v>
      </c>
    </row>
    <row r="1259">
      <c r="A1259">
        <f>IFERROR(__xludf.DUMMYFUNCTION("""COMPUTED_VALUE"""),1046095.0)</f>
        <v>1046095</v>
      </c>
      <c r="B1259" t="str">
        <f>IFERROR(__xludf.DUMMYFUNCTION("""COMPUTED_VALUE"""),"Ms.")</f>
        <v>Ms.</v>
      </c>
      <c r="C1259" t="str">
        <f>IFERROR(__xludf.DUMMYFUNCTION("""COMPUTED_VALUE"""),"Natthanisha")</f>
        <v>Natthanisha</v>
      </c>
      <c r="D1259" t="str">
        <f>IFERROR(__xludf.DUMMYFUNCTION("""COMPUTED_VALUE"""),"Sukmak")</f>
        <v>Sukmak</v>
      </c>
      <c r="E1259" t="str">
        <f>IFERROR(__xludf.DUMMYFUNCTION("""COMPUTED_VALUE"""),"Natthanisha Sukmak")</f>
        <v>Natthanisha Sukmak</v>
      </c>
      <c r="F1259" t="str">
        <f>IFERROR(__xludf.DUMMYFUNCTION("""COMPUTED_VALUE"""),"นางสาว")</f>
        <v>นางสาว</v>
      </c>
      <c r="G1259" t="str">
        <f>IFERROR(__xludf.DUMMYFUNCTION("""COMPUTED_VALUE"""),"ณัฏฐณิชา")</f>
        <v>ณัฏฐณิชา</v>
      </c>
      <c r="H1259" t="str">
        <f>IFERROR(__xludf.DUMMYFUNCTION("""COMPUTED_VALUE"""),"สุขมาก")</f>
        <v>สุขมาก</v>
      </c>
      <c r="I1259" t="str">
        <f>IFERROR(__xludf.DUMMYFUNCTION("""COMPUTED_VALUE"""),"ณัฏฐณิชา สุขมาก")</f>
        <v>ณัฏฐณิชา สุขมาก</v>
      </c>
      <c r="J1259" t="str">
        <f>IFERROR(__xludf.DUMMYFUNCTION("""COMPUTED_VALUE"""),"Claire / แคลร์")</f>
        <v>Claire / แคลร์</v>
      </c>
      <c r="K1259" t="str">
        <f>IFERROR(__xludf.DUMMYFUNCTION("""COMPUTED_VALUE"""),"Cabin Crew")</f>
        <v>Cabin Crew</v>
      </c>
      <c r="L1259" t="str">
        <f>IFERROR(__xludf.DUMMYFUNCTION("""COMPUTED_VALUE"""),"DMK")</f>
        <v>DMK</v>
      </c>
      <c r="M1259" s="145" t="str">
        <f>IFERROR(__xludf.DUMMYFUNCTION("""COMPUTED_VALUE"""),"Um Home")</f>
        <v>Um Home</v>
      </c>
      <c r="N1259" t="str">
        <f>IFERROR(__xludf.DUMMYFUNCTION("""COMPUTED_VALUE"""),"Active")</f>
        <v>Active</v>
      </c>
      <c r="P1259" s="156">
        <f>IFERROR(__xludf.DUMMYFUNCTION("""COMPUTED_VALUE"""),35692.0)</f>
        <v>35692</v>
      </c>
      <c r="Q1259" s="146">
        <f>IFERROR(__xludf.DUMMYFUNCTION("""COMPUTED_VALUE"""),9.03295659E8)</f>
        <v>903295659</v>
      </c>
      <c r="R1259" s="147">
        <f>IFERROR(__xludf.DUMMYFUNCTION("""COMPUTED_VALUE"""),1.129900439314E12)</f>
        <v>1129900439314</v>
      </c>
      <c r="S1259" t="str">
        <f>IFERROR(__xludf.DUMMYFUNCTION("""COMPUTED_VALUE"""),"AC3586643")</f>
        <v>AC3586643</v>
      </c>
      <c r="T1259" s="148">
        <f>IFERROR(__xludf.DUMMYFUNCTION("""COMPUTED_VALUE"""),44753.0)</f>
        <v>44753</v>
      </c>
      <c r="U1259" s="148">
        <f>IFERROR(__xludf.DUMMYFUNCTION("""COMPUTED_VALUE"""),48405.0)</f>
        <v>48405</v>
      </c>
      <c r="V1259" s="149">
        <f>IFERROR(__xludf.DUMMYFUNCTION("""COMPUTED_VALUE"""),48223.0)</f>
        <v>48223</v>
      </c>
      <c r="W1259" t="str">
        <f>IFERROR(__xludf.DUMMYFUNCTION("""COMPUTED_VALUE"""),"ปลอดภัย")</f>
        <v>ปลอดภัย</v>
      </c>
      <c r="X1259" t="str">
        <f>IFERROR(__xludf.DUMMYFUNCTION("""COMPUTED_VALUE"""),"Nonthaburi Province")</f>
        <v>Nonthaburi Province</v>
      </c>
      <c r="Y1259" t="str">
        <f>IFERROR(__xludf.DUMMYFUNCTION("""COMPUTED_VALUE"""),"Bangkok")</f>
        <v>Bangkok</v>
      </c>
      <c r="Z1259" s="145" t="str">
        <f>IFERROR(__xludf.DUMMYFUNCTION("""COMPUTED_VALUE"""),"0903295659")</f>
        <v>0903295659</v>
      </c>
      <c r="AA1259" t="str">
        <f>IFERROR(__xludf.DUMMYFUNCTION("""COMPUTED_VALUE"""),"ศรัญญา เภสัชชา Mother")</f>
        <v>ศรัญญา เภสัชชา Mother</v>
      </c>
      <c r="AB1259" t="str">
        <f>IFERROR(__xludf.DUMMYFUNCTION("""COMPUTED_VALUE"""),"natthanishasuk@airasia.com")</f>
        <v>natthanishasuk@airasia.com</v>
      </c>
    </row>
    <row r="1260">
      <c r="A1260">
        <f>IFERROR(__xludf.DUMMYFUNCTION("""COMPUTED_VALUE"""),1046096.0)</f>
        <v>1046096</v>
      </c>
      <c r="B1260" t="str">
        <f>IFERROR(__xludf.DUMMYFUNCTION("""COMPUTED_VALUE"""),"Ms.")</f>
        <v>Ms.</v>
      </c>
      <c r="C1260" t="str">
        <f>IFERROR(__xludf.DUMMYFUNCTION("""COMPUTED_VALUE"""),"Natthapat")</f>
        <v>Natthapat</v>
      </c>
      <c r="D1260" t="str">
        <f>IFERROR(__xludf.DUMMYFUNCTION("""COMPUTED_VALUE"""),"Ratiphromphong")</f>
        <v>Ratiphromphong</v>
      </c>
      <c r="E1260" t="str">
        <f>IFERROR(__xludf.DUMMYFUNCTION("""COMPUTED_VALUE"""),"Natthapat Ratiphromphong")</f>
        <v>Natthapat Ratiphromphong</v>
      </c>
      <c r="F1260" t="str">
        <f>IFERROR(__xludf.DUMMYFUNCTION("""COMPUTED_VALUE"""),"นางสาว")</f>
        <v>นางสาว</v>
      </c>
      <c r="G1260" t="str">
        <f>IFERROR(__xludf.DUMMYFUNCTION("""COMPUTED_VALUE"""),"ณัฐพัชร์")</f>
        <v>ณัฐพัชร์</v>
      </c>
      <c r="H1260" t="str">
        <f>IFERROR(__xludf.DUMMYFUNCTION("""COMPUTED_VALUE"""),"รติพร้อมพงษ์")</f>
        <v>รติพร้อมพงษ์</v>
      </c>
      <c r="I1260" t="str">
        <f>IFERROR(__xludf.DUMMYFUNCTION("""COMPUTED_VALUE"""),"ณัฐพัชร์ รติพร้อมพงษ์")</f>
        <v>ณัฐพัชร์ รติพร้อมพงษ์</v>
      </c>
      <c r="J1260" t="str">
        <f>IFERROR(__xludf.DUMMYFUNCTION("""COMPUTED_VALUE"""),"Natty / นัทตี้")</f>
        <v>Natty / นัทตี้</v>
      </c>
      <c r="K1260" t="str">
        <f>IFERROR(__xludf.DUMMYFUNCTION("""COMPUTED_VALUE"""),"Cabin Crew")</f>
        <v>Cabin Crew</v>
      </c>
      <c r="L1260" t="str">
        <f>IFERROR(__xludf.DUMMYFUNCTION("""COMPUTED_VALUE"""),"DMK")</f>
        <v>DMK</v>
      </c>
      <c r="M1260" s="145" t="str">
        <f>IFERROR(__xludf.DUMMYFUNCTION("""COMPUTED_VALUE"""),"Toffy Home")</f>
        <v>Toffy Home</v>
      </c>
      <c r="N1260" t="str">
        <f>IFERROR(__xludf.DUMMYFUNCTION("""COMPUTED_VALUE"""),"Active")</f>
        <v>Active</v>
      </c>
      <c r="P1260" s="156">
        <f>IFERROR(__xludf.DUMMYFUNCTION("""COMPUTED_VALUE"""),36825.0)</f>
        <v>36825</v>
      </c>
      <c r="Q1260" s="146">
        <f>IFERROR(__xludf.DUMMYFUNCTION("""COMPUTED_VALUE"""),9.11989756E8)</f>
        <v>911989756</v>
      </c>
      <c r="R1260" s="147">
        <f>IFERROR(__xludf.DUMMYFUNCTION("""COMPUTED_VALUE"""),1.103900069414E12)</f>
        <v>1103900069414</v>
      </c>
      <c r="S1260" t="str">
        <f>IFERROR(__xludf.DUMMYFUNCTION("""COMPUTED_VALUE"""),"AD1844735")</f>
        <v>AD1844735</v>
      </c>
      <c r="T1260" s="148">
        <f>IFERROR(__xludf.DUMMYFUNCTION("""COMPUTED_VALUE"""),45472.0)</f>
        <v>45472</v>
      </c>
      <c r="U1260" s="148">
        <f>IFERROR(__xludf.DUMMYFUNCTION("""COMPUTED_VALUE"""),49123.0)</f>
        <v>49123</v>
      </c>
      <c r="V1260" s="149">
        <f>IFERROR(__xludf.DUMMYFUNCTION("""COMPUTED_VALUE"""),48941.0)</f>
        <v>48941</v>
      </c>
      <c r="W1260" t="str">
        <f>IFERROR(__xludf.DUMMYFUNCTION("""COMPUTED_VALUE"""),"ปลอดภัย")</f>
        <v>ปลอดภัย</v>
      </c>
      <c r="X1260" t="str">
        <f>IFERROR(__xludf.DUMMYFUNCTION("""COMPUTED_VALUE"""),"Bangkok")</f>
        <v>Bangkok</v>
      </c>
      <c r="Y1260" t="str">
        <f>IFERROR(__xludf.DUMMYFUNCTION("""COMPUTED_VALUE"""),"Bangkok")</f>
        <v>Bangkok</v>
      </c>
      <c r="Z1260" s="145" t="str">
        <f>IFERROR(__xludf.DUMMYFUNCTION("""COMPUTED_VALUE"""),"0911989756")</f>
        <v>0911989756</v>
      </c>
      <c r="AA1260" t="str">
        <f>IFERROR(__xludf.DUMMYFUNCTION("""COMPUTED_VALUE"""),"นางธันยนันท์ รติพร้อมพงษ์ Mother")</f>
        <v>นางธันยนันท์ รติพร้อมพงษ์ Mother</v>
      </c>
      <c r="AB1260" t="str">
        <f>IFERROR(__xludf.DUMMYFUNCTION("""COMPUTED_VALUE"""),"natthapatrat@airasia.com")</f>
        <v>natthapatrat@airasia.com</v>
      </c>
    </row>
    <row r="1261">
      <c r="A1261">
        <f>IFERROR(__xludf.DUMMYFUNCTION("""COMPUTED_VALUE"""),1046097.0)</f>
        <v>1046097</v>
      </c>
      <c r="B1261" t="str">
        <f>IFERROR(__xludf.DUMMYFUNCTION("""COMPUTED_VALUE"""),"Ms.")</f>
        <v>Ms.</v>
      </c>
      <c r="C1261" t="str">
        <f>IFERROR(__xludf.DUMMYFUNCTION("""COMPUTED_VALUE"""),"Paweenut")</f>
        <v>Paweenut</v>
      </c>
      <c r="D1261" t="str">
        <f>IFERROR(__xludf.DUMMYFUNCTION("""COMPUTED_VALUE"""),"Rotjanaratthakorn")</f>
        <v>Rotjanaratthakorn</v>
      </c>
      <c r="E1261" t="str">
        <f>IFERROR(__xludf.DUMMYFUNCTION("""COMPUTED_VALUE"""),"Paweenut Rotjanaratthakorn")</f>
        <v>Paweenut Rotjanaratthakorn</v>
      </c>
      <c r="F1261" t="str">
        <f>IFERROR(__xludf.DUMMYFUNCTION("""COMPUTED_VALUE"""),"นางสาว")</f>
        <v>นางสาว</v>
      </c>
      <c r="G1261" t="str">
        <f>IFERROR(__xludf.DUMMYFUNCTION("""COMPUTED_VALUE"""),"ปวีณ์นุช")</f>
        <v>ปวีณ์นุช</v>
      </c>
      <c r="H1261" t="str">
        <f>IFERROR(__xludf.DUMMYFUNCTION("""COMPUTED_VALUE"""),"โรจนรัตฐากร")</f>
        <v>โรจนรัตฐากร</v>
      </c>
      <c r="I1261" t="str">
        <f>IFERROR(__xludf.DUMMYFUNCTION("""COMPUTED_VALUE"""),"ปวีณ์นุช โรจนรัตฐากร")</f>
        <v>ปวีณ์นุช โรจนรัตฐากร</v>
      </c>
      <c r="J1261" t="str">
        <f>IFERROR(__xludf.DUMMYFUNCTION("""COMPUTED_VALUE"""),"Mew / มิว")</f>
        <v>Mew / มิว</v>
      </c>
      <c r="K1261" t="str">
        <f>IFERROR(__xludf.DUMMYFUNCTION("""COMPUTED_VALUE"""),"Cabin Crew - BKK")</f>
        <v>Cabin Crew - BKK</v>
      </c>
      <c r="L1261" t="str">
        <f>IFERROR(__xludf.DUMMYFUNCTION("""COMPUTED_VALUE"""),"BKK")</f>
        <v>BKK</v>
      </c>
      <c r="M1261" s="145" t="str">
        <f>IFERROR(__xludf.DUMMYFUNCTION("""COMPUTED_VALUE"""),"Namfon Home")</f>
        <v>Namfon Home</v>
      </c>
      <c r="N1261" t="str">
        <f>IFERROR(__xludf.DUMMYFUNCTION("""COMPUTED_VALUE"""),"Active")</f>
        <v>Active</v>
      </c>
      <c r="P1261" s="156">
        <f>IFERROR(__xludf.DUMMYFUNCTION("""COMPUTED_VALUE"""),37411.0)</f>
        <v>37411</v>
      </c>
      <c r="Q1261" s="146">
        <f>IFERROR(__xludf.DUMMYFUNCTION("""COMPUTED_VALUE"""),9.88323494E8)</f>
        <v>988323494</v>
      </c>
      <c r="R1261" s="147">
        <f>IFERROR(__xludf.DUMMYFUNCTION("""COMPUTED_VALUE"""),1.859900265697E12)</f>
        <v>1859900265697</v>
      </c>
      <c r="S1261" t="str">
        <f>IFERROR(__xludf.DUMMYFUNCTION("""COMPUTED_VALUE"""),"AC5684259")</f>
        <v>AC5684259</v>
      </c>
      <c r="T1261" s="148">
        <f>IFERROR(__xludf.DUMMYFUNCTION("""COMPUTED_VALUE"""),45179.0)</f>
        <v>45179</v>
      </c>
      <c r="U1261" s="148">
        <f>IFERROR(__xludf.DUMMYFUNCTION("""COMPUTED_VALUE"""),47005.0)</f>
        <v>47005</v>
      </c>
      <c r="V1261" s="149">
        <f>IFERROR(__xludf.DUMMYFUNCTION("""COMPUTED_VALUE"""),46821.0)</f>
        <v>46821</v>
      </c>
      <c r="W1261" t="str">
        <f>IFERROR(__xludf.DUMMYFUNCTION("""COMPUTED_VALUE"""),"ปลอดภัย")</f>
        <v>ปลอดภัย</v>
      </c>
      <c r="X1261" t="str">
        <f>IFERROR(__xludf.DUMMYFUNCTION("""COMPUTED_VALUE"""),"Ranong Province")</f>
        <v>Ranong Province</v>
      </c>
      <c r="Y1261" t="str">
        <f>IFERROR(__xludf.DUMMYFUNCTION("""COMPUTED_VALUE"""),"Bangkok")</f>
        <v>Bangkok</v>
      </c>
      <c r="Z1261" s="145" t="str">
        <f>IFERROR(__xludf.DUMMYFUNCTION("""COMPUTED_VALUE"""),"0988323494")</f>
        <v>0988323494</v>
      </c>
      <c r="AA1261" t="str">
        <f>IFERROR(__xludf.DUMMYFUNCTION("""COMPUTED_VALUE"""),"นายพิสุทธิ์ โภคารักษ์ Friend")</f>
        <v>นายพิสุทธิ์ โภคารักษ์ Friend</v>
      </c>
      <c r="AB1261" t="str">
        <f>IFERROR(__xludf.DUMMYFUNCTION("""COMPUTED_VALUE"""),"paweenutrot@airasia.com")</f>
        <v>paweenutrot@airasia.com</v>
      </c>
    </row>
    <row r="1262">
      <c r="A1262">
        <f>IFERROR(__xludf.DUMMYFUNCTION("""COMPUTED_VALUE"""),1046098.0)</f>
        <v>1046098</v>
      </c>
      <c r="B1262" t="str">
        <f>IFERROR(__xludf.DUMMYFUNCTION("""COMPUTED_VALUE"""),"Ms.")</f>
        <v>Ms.</v>
      </c>
      <c r="C1262" t="str">
        <f>IFERROR(__xludf.DUMMYFUNCTION("""COMPUTED_VALUE"""),"Pemika")</f>
        <v>Pemika</v>
      </c>
      <c r="D1262" t="str">
        <f>IFERROR(__xludf.DUMMYFUNCTION("""COMPUTED_VALUE"""),"Krunprathum")</f>
        <v>Krunprathum</v>
      </c>
      <c r="E1262" t="str">
        <f>IFERROR(__xludf.DUMMYFUNCTION("""COMPUTED_VALUE"""),"Pemika Krunprathum")</f>
        <v>Pemika Krunprathum</v>
      </c>
      <c r="F1262" t="str">
        <f>IFERROR(__xludf.DUMMYFUNCTION("""COMPUTED_VALUE"""),"นางสาว")</f>
        <v>นางสาว</v>
      </c>
      <c r="G1262" t="str">
        <f>IFERROR(__xludf.DUMMYFUNCTION("""COMPUTED_VALUE"""),"เปมิกา")</f>
        <v>เปมิกา</v>
      </c>
      <c r="H1262" t="str">
        <f>IFERROR(__xludf.DUMMYFUNCTION("""COMPUTED_VALUE"""),"กลั่นประทุม")</f>
        <v>กลั่นประทุม</v>
      </c>
      <c r="I1262" t="str">
        <f>IFERROR(__xludf.DUMMYFUNCTION("""COMPUTED_VALUE"""),"เปมิกา กลั่นประทุม")</f>
        <v>เปมิกา กลั่นประทุม</v>
      </c>
      <c r="J1262" t="str">
        <f>IFERROR(__xludf.DUMMYFUNCTION("""COMPUTED_VALUE"""),"Champagne/แชมเปญ")</f>
        <v>Champagne/แชมเปญ</v>
      </c>
      <c r="K1262" t="str">
        <f>IFERROR(__xludf.DUMMYFUNCTION("""COMPUTED_VALUE"""),"Cabin Crew - HKT")</f>
        <v>Cabin Crew - HKT</v>
      </c>
      <c r="L1262" t="str">
        <f>IFERROR(__xludf.DUMMYFUNCTION("""COMPUTED_VALUE"""),"HKT")</f>
        <v>HKT</v>
      </c>
      <c r="M1262" s="145" t="str">
        <f>IFERROR(__xludf.DUMMYFUNCTION("""COMPUTED_VALUE"""),"Kor Home")</f>
        <v>Kor Home</v>
      </c>
      <c r="N1262" t="str">
        <f>IFERROR(__xludf.DUMMYFUNCTION("""COMPUTED_VALUE"""),"Active/V/DMK")</f>
        <v>Active/V/DMK</v>
      </c>
      <c r="P1262" s="156">
        <f>IFERROR(__xludf.DUMMYFUNCTION("""COMPUTED_VALUE"""),35346.0)</f>
        <v>35346</v>
      </c>
      <c r="Q1262" s="146">
        <f>IFERROR(__xludf.DUMMYFUNCTION("""COMPUTED_VALUE"""),6.24013646E8)</f>
        <v>624013646</v>
      </c>
      <c r="R1262" s="147">
        <f>IFERROR(__xludf.DUMMYFUNCTION("""COMPUTED_VALUE"""),1.104000000745E12)</f>
        <v>1104000000745</v>
      </c>
      <c r="S1262" t="str">
        <f>IFERROR(__xludf.DUMMYFUNCTION("""COMPUTED_VALUE"""),"AC8185526")</f>
        <v>AC8185526</v>
      </c>
      <c r="T1262" s="148">
        <f>IFERROR(__xludf.DUMMYFUNCTION("""COMPUTED_VALUE"""),46035.0)</f>
        <v>46035</v>
      </c>
      <c r="U1262" s="148">
        <f>IFERROR(__xludf.DUMMYFUNCTION("""COMPUTED_VALUE"""),47860.0)</f>
        <v>47860</v>
      </c>
      <c r="V1262" s="149">
        <f>IFERROR(__xludf.DUMMYFUNCTION("""COMPUTED_VALUE"""),47676.0)</f>
        <v>47676</v>
      </c>
      <c r="W1262" t="str">
        <f>IFERROR(__xludf.DUMMYFUNCTION("""COMPUTED_VALUE"""),"ปลอดภัย")</f>
        <v>ปลอดภัย</v>
      </c>
      <c r="X1262" t="str">
        <f>IFERROR(__xludf.DUMMYFUNCTION("""COMPUTED_VALUE"""),"Bangkok")</f>
        <v>Bangkok</v>
      </c>
      <c r="Y1262" t="str">
        <f>IFERROR(__xludf.DUMMYFUNCTION("""COMPUTED_VALUE"""),"Bangkok")</f>
        <v>Bangkok</v>
      </c>
      <c r="Z1262" s="145" t="str">
        <f>IFERROR(__xludf.DUMMYFUNCTION("""COMPUTED_VALUE"""),"0624013646")</f>
        <v>0624013646</v>
      </c>
      <c r="AA1262" t="str">
        <f>IFERROR(__xludf.DUMMYFUNCTION("""COMPUTED_VALUE"""),"นางสาวณาริศรา สุดสวาท Mother")</f>
        <v>นางสาวณาริศรา สุดสวาท Mother</v>
      </c>
      <c r="AB1262" t="str">
        <f>IFERROR(__xludf.DUMMYFUNCTION("""COMPUTED_VALUE"""),"pemikakru@airasia.com")</f>
        <v>pemikakru@airasia.com</v>
      </c>
    </row>
    <row r="1263">
      <c r="A1263">
        <f>IFERROR(__xludf.DUMMYFUNCTION("""COMPUTED_VALUE"""),1046099.0)</f>
        <v>1046099</v>
      </c>
      <c r="B1263" t="str">
        <f>IFERROR(__xludf.DUMMYFUNCTION("""COMPUTED_VALUE"""),"Ms.")</f>
        <v>Ms.</v>
      </c>
      <c r="C1263" t="str">
        <f>IFERROR(__xludf.DUMMYFUNCTION("""COMPUTED_VALUE"""),"Phanita")</f>
        <v>Phanita</v>
      </c>
      <c r="D1263" t="str">
        <f>IFERROR(__xludf.DUMMYFUNCTION("""COMPUTED_VALUE"""),"Thawitpakin")</f>
        <v>Thawitpakin</v>
      </c>
      <c r="E1263" t="str">
        <f>IFERROR(__xludf.DUMMYFUNCTION("""COMPUTED_VALUE"""),"Phanita Thawitpakin")</f>
        <v>Phanita Thawitpakin</v>
      </c>
      <c r="F1263" t="str">
        <f>IFERROR(__xludf.DUMMYFUNCTION("""COMPUTED_VALUE"""),"นางสาว")</f>
        <v>นางสาว</v>
      </c>
      <c r="G1263" t="str">
        <f>IFERROR(__xludf.DUMMYFUNCTION("""COMPUTED_VALUE"""),"ภานิตา")</f>
        <v>ภานิตา</v>
      </c>
      <c r="H1263" t="str">
        <f>IFERROR(__xludf.DUMMYFUNCTION("""COMPUTED_VALUE"""),"ฐวิชภาคิน")</f>
        <v>ฐวิชภาคิน</v>
      </c>
      <c r="I1263" t="str">
        <f>IFERROR(__xludf.DUMMYFUNCTION("""COMPUTED_VALUE"""),"ภานิตา ฐวิชภาคิน")</f>
        <v>ภานิตา ฐวิชภาคิน</v>
      </c>
      <c r="J1263" t="str">
        <f>IFERROR(__xludf.DUMMYFUNCTION("""COMPUTED_VALUE"""),"Bew / บิว")</f>
        <v>Bew / บิว</v>
      </c>
      <c r="K1263" t="str">
        <f>IFERROR(__xludf.DUMMYFUNCTION("""COMPUTED_VALUE"""),"Cabin Crew")</f>
        <v>Cabin Crew</v>
      </c>
      <c r="L1263" t="str">
        <f>IFERROR(__xludf.DUMMYFUNCTION("""COMPUTED_VALUE"""),"DMK")</f>
        <v>DMK</v>
      </c>
      <c r="M1263" s="145" t="str">
        <f>IFERROR(__xludf.DUMMYFUNCTION("""COMPUTED_VALUE"""),"Toffy Home")</f>
        <v>Toffy Home</v>
      </c>
      <c r="N1263" t="str">
        <f>IFERROR(__xludf.DUMMYFUNCTION("""COMPUTED_VALUE"""),"Active")</f>
        <v>Active</v>
      </c>
      <c r="P1263" s="156">
        <f>IFERROR(__xludf.DUMMYFUNCTION("""COMPUTED_VALUE"""),35718.0)</f>
        <v>35718</v>
      </c>
      <c r="Q1263" s="146">
        <f>IFERROR(__xludf.DUMMYFUNCTION("""COMPUTED_VALUE"""),9.02462449E8)</f>
        <v>902462449</v>
      </c>
      <c r="R1263" s="147">
        <f>IFERROR(__xludf.DUMMYFUNCTION("""COMPUTED_VALUE"""),1.160400220731E12)</f>
        <v>1160400220731</v>
      </c>
      <c r="S1263" t="str">
        <f>IFERROR(__xludf.DUMMYFUNCTION("""COMPUTED_VALUE"""),"AC4253996")</f>
        <v>AC4253996</v>
      </c>
      <c r="T1263" s="148">
        <f>IFERROR(__xludf.DUMMYFUNCTION("""COMPUTED_VALUE"""),44896.0)</f>
        <v>44896</v>
      </c>
      <c r="U1263" s="148">
        <f>IFERROR(__xludf.DUMMYFUNCTION("""COMPUTED_VALUE"""),46721.0)</f>
        <v>46721</v>
      </c>
      <c r="V1263" s="149">
        <f>IFERROR(__xludf.DUMMYFUNCTION("""COMPUTED_VALUE"""),46537.0)</f>
        <v>46537</v>
      </c>
      <c r="W1263" t="str">
        <f>IFERROR(__xludf.DUMMYFUNCTION("""COMPUTED_VALUE"""),"ปลอดภัย")</f>
        <v>ปลอดภัย</v>
      </c>
      <c r="X1263" t="str">
        <f>IFERROR(__xludf.DUMMYFUNCTION("""COMPUTED_VALUE"""),"Lopburi Province")</f>
        <v>Lopburi Province</v>
      </c>
      <c r="Y1263" t="str">
        <f>IFERROR(__xludf.DUMMYFUNCTION("""COMPUTED_VALUE"""),"Bangkok")</f>
        <v>Bangkok</v>
      </c>
      <c r="Z1263" s="145" t="str">
        <f>IFERROR(__xludf.DUMMYFUNCTION("""COMPUTED_VALUE"""),"0902462449")</f>
        <v>0902462449</v>
      </c>
      <c r="AA1263" t="str">
        <f>IFERROR(__xludf.DUMMYFUNCTION("""COMPUTED_VALUE"""),"นายตติญะ หมู่คุ้ย Friend")</f>
        <v>นายตติญะ หมู่คุ้ย Friend</v>
      </c>
      <c r="AB1263" t="str">
        <f>IFERROR(__xludf.DUMMYFUNCTION("""COMPUTED_VALUE"""),"phanitatha@airasia.com")</f>
        <v>phanitatha@airasia.com</v>
      </c>
    </row>
    <row r="1264">
      <c r="A1264">
        <f>IFERROR(__xludf.DUMMYFUNCTION("""COMPUTED_VALUE"""),1046101.0)</f>
        <v>1046101</v>
      </c>
      <c r="B1264" t="str">
        <f>IFERROR(__xludf.DUMMYFUNCTION("""COMPUTED_VALUE"""),"Ms.")</f>
        <v>Ms.</v>
      </c>
      <c r="C1264" t="str">
        <f>IFERROR(__xludf.DUMMYFUNCTION("""COMPUTED_VALUE"""),"Saowalak")</f>
        <v>Saowalak</v>
      </c>
      <c r="D1264" t="str">
        <f>IFERROR(__xludf.DUMMYFUNCTION("""COMPUTED_VALUE"""),"Phaesongphat")</f>
        <v>Phaesongphat</v>
      </c>
      <c r="E1264" t="str">
        <f>IFERROR(__xludf.DUMMYFUNCTION("""COMPUTED_VALUE"""),"Saowalak Phaesongphat")</f>
        <v>Saowalak Phaesongphat</v>
      </c>
      <c r="F1264" t="str">
        <f>IFERROR(__xludf.DUMMYFUNCTION("""COMPUTED_VALUE"""),"นางสาว")</f>
        <v>นางสาว</v>
      </c>
      <c r="G1264" t="str">
        <f>IFERROR(__xludf.DUMMYFUNCTION("""COMPUTED_VALUE"""),"เสาวลักษณ์")</f>
        <v>เสาวลักษณ์</v>
      </c>
      <c r="H1264" t="str">
        <f>IFERROR(__xludf.DUMMYFUNCTION("""COMPUTED_VALUE"""),"แพทรงพัฒน์")</f>
        <v>แพทรงพัฒน์</v>
      </c>
      <c r="I1264" t="str">
        <f>IFERROR(__xludf.DUMMYFUNCTION("""COMPUTED_VALUE"""),"เสาวลักษณ์ แพทรงพัฒน์")</f>
        <v>เสาวลักษณ์ แพทรงพัฒน์</v>
      </c>
      <c r="J1264" t="str">
        <f>IFERROR(__xludf.DUMMYFUNCTION("""COMPUTED_VALUE"""),"Muna / มุนา")</f>
        <v>Muna / มุนา</v>
      </c>
      <c r="K1264" t="str">
        <f>IFERROR(__xludf.DUMMYFUNCTION("""COMPUTED_VALUE"""),"Cabin Crew - BKK")</f>
        <v>Cabin Crew - BKK</v>
      </c>
      <c r="L1264" t="str">
        <f>IFERROR(__xludf.DUMMYFUNCTION("""COMPUTED_VALUE"""),"BKK")</f>
        <v>BKK</v>
      </c>
      <c r="M1264" s="145" t="str">
        <f>IFERROR(__xludf.DUMMYFUNCTION("""COMPUTED_VALUE"""),"Um Home")</f>
        <v>Um Home</v>
      </c>
      <c r="N1264" t="str">
        <f>IFERROR(__xludf.DUMMYFUNCTION("""COMPUTED_VALUE"""),"Active")</f>
        <v>Active</v>
      </c>
      <c r="P1264" s="156">
        <f>IFERROR(__xludf.DUMMYFUNCTION("""COMPUTED_VALUE"""),37056.0)</f>
        <v>37056</v>
      </c>
      <c r="Q1264" s="146">
        <f>IFERROR(__xludf.DUMMYFUNCTION("""COMPUTED_VALUE"""),8.04465549E8)</f>
        <v>804465549</v>
      </c>
      <c r="R1264" s="147">
        <f>IFERROR(__xludf.DUMMYFUNCTION("""COMPUTED_VALUE"""),1.104300406097E12)</f>
        <v>1104300406097</v>
      </c>
      <c r="S1264" t="str">
        <f>IFERROR(__xludf.DUMMYFUNCTION("""COMPUTED_VALUE"""),"AD0034826")</f>
        <v>AD0034826</v>
      </c>
      <c r="T1264" s="148">
        <f>IFERROR(__xludf.DUMMYFUNCTION("""COMPUTED_VALUE"""),44825.0)</f>
        <v>44825</v>
      </c>
      <c r="U1264" s="148">
        <f>IFERROR(__xludf.DUMMYFUNCTION("""COMPUTED_VALUE"""),48477.0)</f>
        <v>48477</v>
      </c>
      <c r="V1264" s="149">
        <f>IFERROR(__xludf.DUMMYFUNCTION("""COMPUTED_VALUE"""),48293.0)</f>
        <v>48293</v>
      </c>
      <c r="W1264" t="str">
        <f>IFERROR(__xludf.DUMMYFUNCTION("""COMPUTED_VALUE"""),"ปลอดภัย")</f>
        <v>ปลอดภัย</v>
      </c>
      <c r="X1264" t="str">
        <f>IFERROR(__xludf.DUMMYFUNCTION("""COMPUTED_VALUE"""),"Bangkok")</f>
        <v>Bangkok</v>
      </c>
      <c r="Y1264" t="str">
        <f>IFERROR(__xludf.DUMMYFUNCTION("""COMPUTED_VALUE"""),"Pathum Thani Province")</f>
        <v>Pathum Thani Province</v>
      </c>
      <c r="Z1264" s="145" t="str">
        <f>IFERROR(__xludf.DUMMYFUNCTION("""COMPUTED_VALUE"""),"080-446-5549")</f>
        <v>080-446-5549</v>
      </c>
      <c r="AA1264" t="str">
        <f>IFERROR(__xludf.DUMMYFUNCTION("""COMPUTED_VALUE"""),"นางวิไล แซ่โง้ว Mother")</f>
        <v>นางวิไล แซ่โง้ว Mother</v>
      </c>
      <c r="AB1264" t="str">
        <f>IFERROR(__xludf.DUMMYFUNCTION("""COMPUTED_VALUE"""),"saowalakpha@airasia.com")</f>
        <v>saowalakpha@airasia.com</v>
      </c>
    </row>
    <row r="1265">
      <c r="A1265">
        <f>IFERROR(__xludf.DUMMYFUNCTION("""COMPUTED_VALUE"""),1046102.0)</f>
        <v>1046102</v>
      </c>
      <c r="B1265" t="str">
        <f>IFERROR(__xludf.DUMMYFUNCTION("""COMPUTED_VALUE"""),"Ms.")</f>
        <v>Ms.</v>
      </c>
      <c r="C1265" t="str">
        <f>IFERROR(__xludf.DUMMYFUNCTION("""COMPUTED_VALUE"""),"Shawisa")</f>
        <v>Shawisa</v>
      </c>
      <c r="D1265" t="str">
        <f>IFERROR(__xludf.DUMMYFUNCTION("""COMPUTED_VALUE"""),"Nillers")</f>
        <v>Nillers</v>
      </c>
      <c r="E1265" t="str">
        <f>IFERROR(__xludf.DUMMYFUNCTION("""COMPUTED_VALUE"""),"Shawisa Nillers")</f>
        <v>Shawisa Nillers</v>
      </c>
      <c r="F1265" t="str">
        <f>IFERROR(__xludf.DUMMYFUNCTION("""COMPUTED_VALUE"""),"นางสาว")</f>
        <v>นางสาว</v>
      </c>
      <c r="G1265" t="str">
        <f>IFERROR(__xludf.DUMMYFUNCTION("""COMPUTED_VALUE"""),"ชวิศา")</f>
        <v>ชวิศา</v>
      </c>
      <c r="H1265" t="str">
        <f>IFERROR(__xludf.DUMMYFUNCTION("""COMPUTED_VALUE"""),"นิลเลิศ")</f>
        <v>นิลเลิศ</v>
      </c>
      <c r="I1265" t="str">
        <f>IFERROR(__xludf.DUMMYFUNCTION("""COMPUTED_VALUE"""),"ชวิศา นิลเลิศ")</f>
        <v>ชวิศา นิลเลิศ</v>
      </c>
      <c r="J1265" t="str">
        <f>IFERROR(__xludf.DUMMYFUNCTION("""COMPUTED_VALUE"""),"Pangnum / แป้งนุ่ม")</f>
        <v>Pangnum / แป้งนุ่ม</v>
      </c>
      <c r="K1265" t="str">
        <f>IFERROR(__xludf.DUMMYFUNCTION("""COMPUTED_VALUE"""),"Cabin Crew - BKK")</f>
        <v>Cabin Crew - BKK</v>
      </c>
      <c r="L1265" t="str">
        <f>IFERROR(__xludf.DUMMYFUNCTION("""COMPUTED_VALUE"""),"BKK")</f>
        <v>BKK</v>
      </c>
      <c r="M1265" s="145" t="str">
        <f>IFERROR(__xludf.DUMMYFUNCTION("""COMPUTED_VALUE"""),"Up Home")</f>
        <v>Up Home</v>
      </c>
      <c r="N1265" t="str">
        <f>IFERROR(__xludf.DUMMYFUNCTION("""COMPUTED_VALUE"""),"Active")</f>
        <v>Active</v>
      </c>
      <c r="P1265" s="165">
        <f>IFERROR(__xludf.DUMMYFUNCTION("""COMPUTED_VALUE"""),36662.0)</f>
        <v>36662</v>
      </c>
      <c r="Q1265" s="146">
        <f>IFERROR(__xludf.DUMMYFUNCTION("""COMPUTED_VALUE"""),6.15639646E8)</f>
        <v>615639646</v>
      </c>
      <c r="R1265" s="147">
        <f>IFERROR(__xludf.DUMMYFUNCTION("""COMPUTED_VALUE"""),1.229900898717E12)</f>
        <v>1229900898717</v>
      </c>
      <c r="S1265" t="str">
        <f>IFERROR(__xludf.DUMMYFUNCTION("""COMPUTED_VALUE"""),"AC5072462")</f>
        <v>AC5072462</v>
      </c>
      <c r="T1265" s="148">
        <f>IFERROR(__xludf.DUMMYFUNCTION("""COMPUTED_VALUE"""),45078.0)</f>
        <v>45078</v>
      </c>
      <c r="U1265" s="148">
        <f>IFERROR(__xludf.DUMMYFUNCTION("""COMPUTED_VALUE"""),48730.0)</f>
        <v>48730</v>
      </c>
      <c r="V1265" s="149">
        <f>IFERROR(__xludf.DUMMYFUNCTION("""COMPUTED_VALUE"""),48548.0)</f>
        <v>48548</v>
      </c>
      <c r="W1265" t="str">
        <f>IFERROR(__xludf.DUMMYFUNCTION("""COMPUTED_VALUE"""),"ปลอดภัย")</f>
        <v>ปลอดภัย</v>
      </c>
      <c r="X1265" t="str">
        <f>IFERROR(__xludf.DUMMYFUNCTION("""COMPUTED_VALUE"""),"Chanthaburi Province")</f>
        <v>Chanthaburi Province</v>
      </c>
      <c r="Y1265" t="str">
        <f>IFERROR(__xludf.DUMMYFUNCTION("""COMPUTED_VALUE"""),"Pathum Thani Province")</f>
        <v>Pathum Thani Province</v>
      </c>
      <c r="Z1265" s="145" t="str">
        <f>IFERROR(__xludf.DUMMYFUNCTION("""COMPUTED_VALUE"""),"061-5639646")</f>
        <v>061-5639646</v>
      </c>
      <c r="AA1265" t="str">
        <f>IFERROR(__xludf.DUMMYFUNCTION("""COMPUTED_VALUE"""),"นายพศวีร์ บุญคุ้ม Brother")</f>
        <v>นายพศวีร์ บุญคุ้ม Brother</v>
      </c>
      <c r="AB1265" t="str">
        <f>IFERROR(__xludf.DUMMYFUNCTION("""COMPUTED_VALUE"""),"shawisanil@airasia.com")</f>
        <v>shawisanil@airasia.com</v>
      </c>
    </row>
    <row r="1266">
      <c r="A1266">
        <f>IFERROR(__xludf.DUMMYFUNCTION("""COMPUTED_VALUE"""),1046103.0)</f>
        <v>1046103</v>
      </c>
      <c r="B1266" t="str">
        <f>IFERROR(__xludf.DUMMYFUNCTION("""COMPUTED_VALUE"""),"Mr.")</f>
        <v>Mr.</v>
      </c>
      <c r="C1266" t="str">
        <f>IFERROR(__xludf.DUMMYFUNCTION("""COMPUTED_VALUE"""),"Songpol")</f>
        <v>Songpol</v>
      </c>
      <c r="D1266" t="str">
        <f>IFERROR(__xludf.DUMMYFUNCTION("""COMPUTED_VALUE"""),"Puttabua")</f>
        <v>Puttabua</v>
      </c>
      <c r="E1266" t="str">
        <f>IFERROR(__xludf.DUMMYFUNCTION("""COMPUTED_VALUE"""),"Songpol Puttabua")</f>
        <v>Songpol Puttabua</v>
      </c>
      <c r="F1266" t="str">
        <f>IFERROR(__xludf.DUMMYFUNCTION("""COMPUTED_VALUE"""),"นาย")</f>
        <v>นาย</v>
      </c>
      <c r="G1266" t="str">
        <f>IFERROR(__xludf.DUMMYFUNCTION("""COMPUTED_VALUE"""),"ทรงพล")</f>
        <v>ทรงพล</v>
      </c>
      <c r="H1266" t="str">
        <f>IFERROR(__xludf.DUMMYFUNCTION("""COMPUTED_VALUE"""),"พุทธบัว")</f>
        <v>พุทธบัว</v>
      </c>
      <c r="I1266" t="str">
        <f>IFERROR(__xludf.DUMMYFUNCTION("""COMPUTED_VALUE"""),"ทรงพล พุทธบัว")</f>
        <v>ทรงพล พุทธบัว</v>
      </c>
      <c r="J1266" t="str">
        <f>IFERROR(__xludf.DUMMYFUNCTION("""COMPUTED_VALUE"""),"Peach / พีช")</f>
        <v>Peach / พีช</v>
      </c>
      <c r="K1266" t="str">
        <f>IFERROR(__xludf.DUMMYFUNCTION("""COMPUTED_VALUE"""),"Cabin Crew - BKK")</f>
        <v>Cabin Crew - BKK</v>
      </c>
      <c r="L1266" t="str">
        <f>IFERROR(__xludf.DUMMYFUNCTION("""COMPUTED_VALUE"""),"BKK")</f>
        <v>BKK</v>
      </c>
      <c r="M1266" s="145" t="str">
        <f>IFERROR(__xludf.DUMMYFUNCTION("""COMPUTED_VALUE"""),"Toffy Home")</f>
        <v>Toffy Home</v>
      </c>
      <c r="N1266" t="str">
        <f>IFERROR(__xludf.DUMMYFUNCTION("""COMPUTED_VALUE"""),"Active")</f>
        <v>Active</v>
      </c>
      <c r="P1266" s="156">
        <f>IFERROR(__xludf.DUMMYFUNCTION("""COMPUTED_VALUE"""),36128.0)</f>
        <v>36128</v>
      </c>
      <c r="Q1266" s="146">
        <f>IFERROR(__xludf.DUMMYFUNCTION("""COMPUTED_VALUE"""),6.20504787E8)</f>
        <v>620504787</v>
      </c>
      <c r="R1266" s="147">
        <f>IFERROR(__xludf.DUMMYFUNCTION("""COMPUTED_VALUE"""),1.839900535554E12)</f>
        <v>1839900535554</v>
      </c>
      <c r="S1266" t="str">
        <f>IFERROR(__xludf.DUMMYFUNCTION("""COMPUTED_VALUE"""),"AC4867400")</f>
        <v>AC4867400</v>
      </c>
      <c r="T1266" s="148">
        <f>IFERROR(__xludf.DUMMYFUNCTION("""COMPUTED_VALUE"""),45034.0)</f>
        <v>45034</v>
      </c>
      <c r="U1266" s="150">
        <f>IFERROR(__xludf.DUMMYFUNCTION("""COMPUTED_VALUE"""),48686.0)</f>
        <v>48686</v>
      </c>
      <c r="V1266" s="149">
        <f>IFERROR(__xludf.DUMMYFUNCTION("""COMPUTED_VALUE"""),48504.0)</f>
        <v>48504</v>
      </c>
      <c r="W1266" t="str">
        <f>IFERROR(__xludf.DUMMYFUNCTION("""COMPUTED_VALUE"""),"ปลอดภัย")</f>
        <v>ปลอดภัย</v>
      </c>
      <c r="X1266" t="str">
        <f>IFERROR(__xludf.DUMMYFUNCTION("""COMPUTED_VALUE"""),"Phuket Province")</f>
        <v>Phuket Province</v>
      </c>
      <c r="Y1266" t="str">
        <f>IFERROR(__xludf.DUMMYFUNCTION("""COMPUTED_VALUE"""),"Phuket")</f>
        <v>Phuket</v>
      </c>
      <c r="Z1266" s="145" t="str">
        <f>IFERROR(__xludf.DUMMYFUNCTION("""COMPUTED_VALUE"""),"062-050-4787")</f>
        <v>062-050-4787</v>
      </c>
      <c r="AA1266" t="str">
        <f>IFERROR(__xludf.DUMMYFUNCTION("""COMPUTED_VALUE"""),"นางรจนา พุทธบัว Mother")</f>
        <v>นางรจนา พุทธบัว Mother</v>
      </c>
      <c r="AB1266" t="str">
        <f>IFERROR(__xludf.DUMMYFUNCTION("""COMPUTED_VALUE"""),"songpolput@airasia.com")</f>
        <v>songpolput@airasia.com</v>
      </c>
    </row>
    <row r="1267">
      <c r="A1267">
        <f>IFERROR(__xludf.DUMMYFUNCTION("""COMPUTED_VALUE"""),1046104.0)</f>
        <v>1046104</v>
      </c>
      <c r="B1267" t="str">
        <f>IFERROR(__xludf.DUMMYFUNCTION("""COMPUTED_VALUE"""),"Ms.")</f>
        <v>Ms.</v>
      </c>
      <c r="C1267" t="str">
        <f>IFERROR(__xludf.DUMMYFUNCTION("""COMPUTED_VALUE"""),"Swiththame")</f>
        <v>Swiththame</v>
      </c>
      <c r="D1267" t="str">
        <f>IFERROR(__xludf.DUMMYFUNCTION("""COMPUTED_VALUE"""),"Wongwacharanon")</f>
        <v>Wongwacharanon</v>
      </c>
      <c r="E1267" t="str">
        <f>IFERROR(__xludf.DUMMYFUNCTION("""COMPUTED_VALUE"""),"Swiththame Wongwacharanon")</f>
        <v>Swiththame Wongwacharanon</v>
      </c>
      <c r="F1267" t="str">
        <f>IFERROR(__xludf.DUMMYFUNCTION("""COMPUTED_VALUE"""),"นางสาว")</f>
        <v>นางสาว</v>
      </c>
      <c r="G1267" t="str">
        <f>IFERROR(__xludf.DUMMYFUNCTION("""COMPUTED_VALUE"""),"สวิตต์ธาม")</f>
        <v>สวิตต์ธาม</v>
      </c>
      <c r="H1267" t="str">
        <f>IFERROR(__xludf.DUMMYFUNCTION("""COMPUTED_VALUE"""),"วงศ์วัชรนนท์")</f>
        <v>วงศ์วัชรนนท์</v>
      </c>
      <c r="I1267" t="str">
        <f>IFERROR(__xludf.DUMMYFUNCTION("""COMPUTED_VALUE"""),"สวิตต์ธาม วงศ์วัชรนนท์")</f>
        <v>สวิตต์ธาม วงศ์วัชรนนท์</v>
      </c>
      <c r="J1267" t="str">
        <f>IFERROR(__xludf.DUMMYFUNCTION("""COMPUTED_VALUE"""),"มาย")</f>
        <v>มาย</v>
      </c>
      <c r="K1267" t="str">
        <f>IFERROR(__xludf.DUMMYFUNCTION("""COMPUTED_VALUE"""),"Cabin Crew")</f>
        <v>Cabin Crew</v>
      </c>
      <c r="L1267" t="str">
        <f>IFERROR(__xludf.DUMMYFUNCTION("""COMPUTED_VALUE"""),"DMK")</f>
        <v>DMK</v>
      </c>
      <c r="M1267" s="145" t="str">
        <f>IFERROR(__xludf.DUMMYFUNCTION("""COMPUTED_VALUE"""),"Toffy Home")</f>
        <v>Toffy Home</v>
      </c>
      <c r="N1267" t="str">
        <f>IFERROR(__xludf.DUMMYFUNCTION("""COMPUTED_VALUE"""),"Active")</f>
        <v>Active</v>
      </c>
      <c r="P1267" s="156">
        <f>IFERROR(__xludf.DUMMYFUNCTION("""COMPUTED_VALUE"""),33450.0)</f>
        <v>33450</v>
      </c>
      <c r="Q1267" s="146">
        <f>IFERROR(__xludf.DUMMYFUNCTION("""COMPUTED_VALUE"""),9.71628894E8)</f>
        <v>971628894</v>
      </c>
      <c r="R1267" s="147">
        <f>IFERROR(__xludf.DUMMYFUNCTION("""COMPUTED_VALUE"""),1.103000020133E12)</f>
        <v>1103000020133</v>
      </c>
      <c r="S1267" t="str">
        <f>IFERROR(__xludf.DUMMYFUNCTION("""COMPUTED_VALUE"""),"AC5286591")</f>
        <v>AC5286591</v>
      </c>
      <c r="T1267" s="148">
        <f>IFERROR(__xludf.DUMMYFUNCTION("""COMPUTED_VALUE"""),45118.0)</f>
        <v>45118</v>
      </c>
      <c r="U1267" s="148">
        <f>IFERROR(__xludf.DUMMYFUNCTION("""COMPUTED_VALUE"""),48770.0)</f>
        <v>48770</v>
      </c>
      <c r="V1267" s="149">
        <f>IFERROR(__xludf.DUMMYFUNCTION("""COMPUTED_VALUE"""),48589.0)</f>
        <v>48589</v>
      </c>
      <c r="W1267" t="str">
        <f>IFERROR(__xludf.DUMMYFUNCTION("""COMPUTED_VALUE"""),"ปลอดภัย")</f>
        <v>ปลอดภัย</v>
      </c>
      <c r="X1267" t="str">
        <f>IFERROR(__xludf.DUMMYFUNCTION("""COMPUTED_VALUE"""),"Bangkok")</f>
        <v>Bangkok</v>
      </c>
      <c r="Y1267" t="str">
        <f>IFERROR(__xludf.DUMMYFUNCTION("""COMPUTED_VALUE"""),"Pathum Thani Province")</f>
        <v>Pathum Thani Province</v>
      </c>
      <c r="Z1267" s="145" t="str">
        <f>IFERROR(__xludf.DUMMYFUNCTION("""COMPUTED_VALUE"""),"0982542454")</f>
        <v>0982542454</v>
      </c>
      <c r="AA1267" t="str">
        <f>IFERROR(__xludf.DUMMYFUNCTION("""COMPUTED_VALUE"""),"จิโรจ วงศ์วัชรนนท์ Father")</f>
        <v>จิโรจ วงศ์วัชรนนท์ Father</v>
      </c>
      <c r="AB1267" t="str">
        <f>IFERROR(__xludf.DUMMYFUNCTION("""COMPUTED_VALUE"""),"swiththamewon@airasia.com")</f>
        <v>swiththamewon@airasia.com</v>
      </c>
    </row>
    <row r="1268">
      <c r="A1268">
        <f>IFERROR(__xludf.DUMMYFUNCTION("""COMPUTED_VALUE"""),1046105.0)</f>
        <v>1046105</v>
      </c>
      <c r="B1268" t="str">
        <f>IFERROR(__xludf.DUMMYFUNCTION("""COMPUTED_VALUE"""),"Ms.")</f>
        <v>Ms.</v>
      </c>
      <c r="C1268" t="str">
        <f>IFERROR(__xludf.DUMMYFUNCTION("""COMPUTED_VALUE"""),"Thanrada")</f>
        <v>Thanrada</v>
      </c>
      <c r="D1268" t="str">
        <f>IFERROR(__xludf.DUMMYFUNCTION("""COMPUTED_VALUE"""),"Onin")</f>
        <v>Onin</v>
      </c>
      <c r="E1268" t="str">
        <f>IFERROR(__xludf.DUMMYFUNCTION("""COMPUTED_VALUE"""),"Thanrada Onin")</f>
        <v>Thanrada Onin</v>
      </c>
      <c r="F1268" t="str">
        <f>IFERROR(__xludf.DUMMYFUNCTION("""COMPUTED_VALUE"""),"นางสาว")</f>
        <v>นางสาว</v>
      </c>
      <c r="G1268" t="str">
        <f>IFERROR(__xludf.DUMMYFUNCTION("""COMPUTED_VALUE"""),"ธัญรดา")</f>
        <v>ธัญรดา</v>
      </c>
      <c r="H1268" t="str">
        <f>IFERROR(__xludf.DUMMYFUNCTION("""COMPUTED_VALUE"""),"อ้นอิน")</f>
        <v>อ้นอิน</v>
      </c>
      <c r="I1268" t="str">
        <f>IFERROR(__xludf.DUMMYFUNCTION("""COMPUTED_VALUE"""),"ธัญรดา อ้นอิน")</f>
        <v>ธัญรดา อ้นอิน</v>
      </c>
      <c r="J1268" t="str">
        <f>IFERROR(__xludf.DUMMYFUNCTION("""COMPUTED_VALUE"""),"Dream / ดรีม")</f>
        <v>Dream / ดรีม</v>
      </c>
      <c r="K1268" t="str">
        <f>IFERROR(__xludf.DUMMYFUNCTION("""COMPUTED_VALUE"""),"Cabin Crew - BKK")</f>
        <v>Cabin Crew - BKK</v>
      </c>
      <c r="L1268" t="str">
        <f>IFERROR(__xludf.DUMMYFUNCTION("""COMPUTED_VALUE"""),"BKK")</f>
        <v>BKK</v>
      </c>
      <c r="M1268" s="145" t="str">
        <f>IFERROR(__xludf.DUMMYFUNCTION("""COMPUTED_VALUE"""),"Por+ Home")</f>
        <v>Por+ Home</v>
      </c>
      <c r="N1268" t="str">
        <f>IFERROR(__xludf.DUMMYFUNCTION("""COMPUTED_VALUE"""),"Active")</f>
        <v>Active</v>
      </c>
      <c r="P1268" s="156">
        <f>IFERROR(__xludf.DUMMYFUNCTION("""COMPUTED_VALUE"""),33957.0)</f>
        <v>33957</v>
      </c>
      <c r="Q1268" s="146">
        <f>IFERROR(__xludf.DUMMYFUNCTION("""COMPUTED_VALUE"""),8.06833186E8)</f>
        <v>806833186</v>
      </c>
      <c r="R1268" s="147">
        <f>IFERROR(__xludf.DUMMYFUNCTION("""COMPUTED_VALUE"""),1.659900547619E12)</f>
        <v>1659900547619</v>
      </c>
      <c r="S1268" t="str">
        <f>IFERROR(__xludf.DUMMYFUNCTION("""COMPUTED_VALUE"""),"AC4048332")</f>
        <v>AC4048332</v>
      </c>
      <c r="T1268" s="148">
        <f>IFERROR(__xludf.DUMMYFUNCTION("""COMPUTED_VALUE"""),44820.0)</f>
        <v>44820</v>
      </c>
      <c r="U1268" s="148">
        <f>IFERROR(__xludf.DUMMYFUNCTION("""COMPUTED_VALUE"""),48472.0)</f>
        <v>48472</v>
      </c>
      <c r="V1268" s="149">
        <f>IFERROR(__xludf.DUMMYFUNCTION("""COMPUTED_VALUE"""),48288.0)</f>
        <v>48288</v>
      </c>
      <c r="W1268" t="str">
        <f>IFERROR(__xludf.DUMMYFUNCTION("""COMPUTED_VALUE"""),"ปลอดภัย")</f>
        <v>ปลอดภัย</v>
      </c>
      <c r="X1268" t="str">
        <f>IFERROR(__xludf.DUMMYFUNCTION("""COMPUTED_VALUE"""),"Phitsanulok Province")</f>
        <v>Phitsanulok Province</v>
      </c>
      <c r="Y1268" t="str">
        <f>IFERROR(__xludf.DUMMYFUNCTION("""COMPUTED_VALUE"""),"Bangkok")</f>
        <v>Bangkok</v>
      </c>
      <c r="Z1268" s="145" t="str">
        <f>IFERROR(__xludf.DUMMYFUNCTION("""COMPUTED_VALUE"""),"080-683-3186")</f>
        <v>080-683-3186</v>
      </c>
      <c r="AA1268" t="str">
        <f>IFERROR(__xludf.DUMMYFUNCTION("""COMPUTED_VALUE"""),"นางสุปัญญา อ้นอิน Mother")</f>
        <v>นางสุปัญญา อ้นอิน Mother</v>
      </c>
      <c r="AB1268" t="str">
        <f>IFERROR(__xludf.DUMMYFUNCTION("""COMPUTED_VALUE"""),"thanradaoni@airasia.com")</f>
        <v>thanradaoni@airasia.com</v>
      </c>
    </row>
    <row r="1269">
      <c r="A1269">
        <f>IFERROR(__xludf.DUMMYFUNCTION("""COMPUTED_VALUE"""),1046106.0)</f>
        <v>1046106</v>
      </c>
      <c r="B1269" t="str">
        <f>IFERROR(__xludf.DUMMYFUNCTION("""COMPUTED_VALUE"""),"Ms.")</f>
        <v>Ms.</v>
      </c>
      <c r="C1269" t="str">
        <f>IFERROR(__xludf.DUMMYFUNCTION("""COMPUTED_VALUE"""),"Thanta")</f>
        <v>Thanta</v>
      </c>
      <c r="D1269" t="str">
        <f>IFERROR(__xludf.DUMMYFUNCTION("""COMPUTED_VALUE"""),"Sakulsathaporn")</f>
        <v>Sakulsathaporn</v>
      </c>
      <c r="E1269" t="str">
        <f>IFERROR(__xludf.DUMMYFUNCTION("""COMPUTED_VALUE"""),"Thanta Sakulsathaporn")</f>
        <v>Thanta Sakulsathaporn</v>
      </c>
      <c r="F1269" t="str">
        <f>IFERROR(__xludf.DUMMYFUNCTION("""COMPUTED_VALUE"""),"นางสาว")</f>
        <v>นางสาว</v>
      </c>
      <c r="G1269" t="str">
        <f>IFERROR(__xludf.DUMMYFUNCTION("""COMPUTED_VALUE"""),"ทันตา")</f>
        <v>ทันตา</v>
      </c>
      <c r="H1269" t="str">
        <f>IFERROR(__xludf.DUMMYFUNCTION("""COMPUTED_VALUE"""),"สกุลสถาพร")</f>
        <v>สกุลสถาพร</v>
      </c>
      <c r="I1269" t="str">
        <f>IFERROR(__xludf.DUMMYFUNCTION("""COMPUTED_VALUE"""),"ทันตา สกุลสถาพร")</f>
        <v>ทันตา สกุลสถาพร</v>
      </c>
      <c r="J1269" t="str">
        <f>IFERROR(__xludf.DUMMYFUNCTION("""COMPUTED_VALUE"""),"แคท")</f>
        <v>แคท</v>
      </c>
      <c r="K1269" t="str">
        <f>IFERROR(__xludf.DUMMYFUNCTION("""COMPUTED_VALUE"""),"Cabin Crew - BKK")</f>
        <v>Cabin Crew - BKK</v>
      </c>
      <c r="L1269" t="str">
        <f>IFERROR(__xludf.DUMMYFUNCTION("""COMPUTED_VALUE"""),"BKK")</f>
        <v>BKK</v>
      </c>
      <c r="M1269" s="145" t="str">
        <f>IFERROR(__xludf.DUMMYFUNCTION("""COMPUTED_VALUE"""),"Namfon Home")</f>
        <v>Namfon Home</v>
      </c>
      <c r="N1269" t="str">
        <f>IFERROR(__xludf.DUMMYFUNCTION("""COMPUTED_VALUE"""),"Active")</f>
        <v>Active</v>
      </c>
      <c r="P1269" s="156">
        <f>IFERROR(__xludf.DUMMYFUNCTION("""COMPUTED_VALUE"""),36592.0)</f>
        <v>36592</v>
      </c>
      <c r="Q1269" s="146">
        <f>IFERROR(__xludf.DUMMYFUNCTION("""COMPUTED_VALUE"""),9.29916592E8)</f>
        <v>929916592</v>
      </c>
      <c r="R1269" s="147">
        <f>IFERROR(__xludf.DUMMYFUNCTION("""COMPUTED_VALUE"""),1.100401027047E12)</f>
        <v>1100401027047</v>
      </c>
      <c r="S1269" t="str">
        <f>IFERROR(__xludf.DUMMYFUNCTION("""COMPUTED_VALUE"""),"AD0050976")</f>
        <v>AD0050976</v>
      </c>
      <c r="T1269" s="148">
        <f>IFERROR(__xludf.DUMMYFUNCTION("""COMPUTED_VALUE"""),44828.0)</f>
        <v>44828</v>
      </c>
      <c r="U1269" s="148">
        <f>IFERROR(__xludf.DUMMYFUNCTION("""COMPUTED_VALUE"""),46653.0)</f>
        <v>46653</v>
      </c>
      <c r="V1269" s="149">
        <f>IFERROR(__xludf.DUMMYFUNCTION("""COMPUTED_VALUE"""),46469.0)</f>
        <v>46469</v>
      </c>
      <c r="W1269" t="str">
        <f>IFERROR(__xludf.DUMMYFUNCTION("""COMPUTED_VALUE"""),"ปลอดภัย")</f>
        <v>ปลอดภัย</v>
      </c>
      <c r="X1269" t="str">
        <f>IFERROR(__xludf.DUMMYFUNCTION("""COMPUTED_VALUE"""),"Bangkok")</f>
        <v>Bangkok</v>
      </c>
      <c r="Y1269" t="str">
        <f>IFERROR(__xludf.DUMMYFUNCTION("""COMPUTED_VALUE"""),"Nontaburi")</f>
        <v>Nontaburi</v>
      </c>
      <c r="Z1269" s="145" t="str">
        <f>IFERROR(__xludf.DUMMYFUNCTION("""COMPUTED_VALUE"""),"0929916592")</f>
        <v>0929916592</v>
      </c>
      <c r="AA1269" t="str">
        <f>IFERROR(__xludf.DUMMYFUNCTION("""COMPUTED_VALUE"""),"นายจิรภัทร กองบุญศรี Friend")</f>
        <v>นายจิรภัทร กองบุญศรี Friend</v>
      </c>
      <c r="AB1269" t="str">
        <f>IFERROR(__xludf.DUMMYFUNCTION("""COMPUTED_VALUE"""),"thantasak@airasia.com")</f>
        <v>thantasak@airasia.com</v>
      </c>
    </row>
    <row r="1270">
      <c r="A1270">
        <f>IFERROR(__xludf.DUMMYFUNCTION("""COMPUTED_VALUE"""),1046107.0)</f>
        <v>1046107</v>
      </c>
      <c r="B1270" t="str">
        <f>IFERROR(__xludf.DUMMYFUNCTION("""COMPUTED_VALUE"""),"Ms.")</f>
        <v>Ms.</v>
      </c>
      <c r="C1270" t="str">
        <f>IFERROR(__xludf.DUMMYFUNCTION("""COMPUTED_VALUE"""),"Warantorn")</f>
        <v>Warantorn</v>
      </c>
      <c r="D1270" t="str">
        <f>IFERROR(__xludf.DUMMYFUNCTION("""COMPUTED_VALUE"""),"Sitthiyos")</f>
        <v>Sitthiyos</v>
      </c>
      <c r="E1270" t="str">
        <f>IFERROR(__xludf.DUMMYFUNCTION("""COMPUTED_VALUE"""),"Warantorn Sitthiyos")</f>
        <v>Warantorn Sitthiyos</v>
      </c>
      <c r="F1270" t="str">
        <f>IFERROR(__xludf.DUMMYFUNCTION("""COMPUTED_VALUE"""),"นางสาว")</f>
        <v>นางสาว</v>
      </c>
      <c r="G1270" t="str">
        <f>IFERROR(__xludf.DUMMYFUNCTION("""COMPUTED_VALUE"""),"วรันธร")</f>
        <v>วรันธร</v>
      </c>
      <c r="H1270" t="str">
        <f>IFERROR(__xludf.DUMMYFUNCTION("""COMPUTED_VALUE"""),"สิทธิยศ")</f>
        <v>สิทธิยศ</v>
      </c>
      <c r="I1270" t="str">
        <f>IFERROR(__xludf.DUMMYFUNCTION("""COMPUTED_VALUE"""),"วรันธร สิทธิยศ")</f>
        <v>วรันธร สิทธิยศ</v>
      </c>
      <c r="J1270" t="str">
        <f>IFERROR(__xludf.DUMMYFUNCTION("""COMPUTED_VALUE"""),"ภัค")</f>
        <v>ภัค</v>
      </c>
      <c r="K1270" t="str">
        <f>IFERROR(__xludf.DUMMYFUNCTION("""COMPUTED_VALUE"""),"Cabin Crew")</f>
        <v>Cabin Crew</v>
      </c>
      <c r="L1270" t="str">
        <f>IFERROR(__xludf.DUMMYFUNCTION("""COMPUTED_VALUE"""),"DMK")</f>
        <v>DMK</v>
      </c>
      <c r="M1270" s="145" t="str">
        <f>IFERROR(__xludf.DUMMYFUNCTION("""COMPUTED_VALUE"""),"Toffy Home")</f>
        <v>Toffy Home</v>
      </c>
      <c r="N1270" t="str">
        <f>IFERROR(__xludf.DUMMYFUNCTION("""COMPUTED_VALUE"""),"Active")</f>
        <v>Active</v>
      </c>
      <c r="P1270" s="156">
        <f>IFERROR(__xludf.DUMMYFUNCTION("""COMPUTED_VALUE"""),33147.0)</f>
        <v>33147</v>
      </c>
      <c r="Q1270" s="146">
        <f>IFERROR(__xludf.DUMMYFUNCTION("""COMPUTED_VALUE"""),6.36426454E8)</f>
        <v>636426454</v>
      </c>
      <c r="R1270" s="147">
        <f>IFERROR(__xludf.DUMMYFUNCTION("""COMPUTED_VALUE"""),1.100200581799E12)</f>
        <v>1100200581799</v>
      </c>
      <c r="S1270" t="str">
        <f>IFERROR(__xludf.DUMMYFUNCTION("""COMPUTED_VALUE"""),"Ac4442161")</f>
        <v>Ac4442161</v>
      </c>
      <c r="T1270" s="148">
        <f>IFERROR(__xludf.DUMMYFUNCTION("""COMPUTED_VALUE"""),44960.0)</f>
        <v>44960</v>
      </c>
      <c r="U1270" s="148">
        <f>IFERROR(__xludf.DUMMYFUNCTION("""COMPUTED_VALUE"""),48612.0)</f>
        <v>48612</v>
      </c>
      <c r="V1270" s="149">
        <f>IFERROR(__xludf.DUMMYFUNCTION("""COMPUTED_VALUE"""),48428.0)</f>
        <v>48428</v>
      </c>
      <c r="W1270" t="str">
        <f>IFERROR(__xludf.DUMMYFUNCTION("""COMPUTED_VALUE"""),"ปลอดภัย")</f>
        <v>ปลอดภัย</v>
      </c>
      <c r="X1270" t="str">
        <f>IFERROR(__xludf.DUMMYFUNCTION("""COMPUTED_VALUE"""),"Bangkok")</f>
        <v>Bangkok</v>
      </c>
      <c r="Y1270" t="str">
        <f>IFERROR(__xludf.DUMMYFUNCTION("""COMPUTED_VALUE"""),"Bangkok")</f>
        <v>Bangkok</v>
      </c>
      <c r="Z1270" s="145" t="str">
        <f>IFERROR(__xludf.DUMMYFUNCTION("""COMPUTED_VALUE"""),"0636426454")</f>
        <v>0636426454</v>
      </c>
      <c r="AA1270" t="str">
        <f>IFERROR(__xludf.DUMMYFUNCTION("""COMPUTED_VALUE"""),"นางกันยารัตน์ สิทธิยศ Mother")</f>
        <v>นางกันยารัตน์ สิทธิยศ Mother</v>
      </c>
      <c r="AB1270" t="str">
        <f>IFERROR(__xludf.DUMMYFUNCTION("""COMPUTED_VALUE"""),"warantornsit@airasia.com")</f>
        <v>warantornsit@airasia.com</v>
      </c>
    </row>
    <row r="1271">
      <c r="A1271">
        <f>IFERROR(__xludf.DUMMYFUNCTION("""COMPUTED_VALUE"""),1046108.0)</f>
        <v>1046108</v>
      </c>
      <c r="B1271" t="str">
        <f>IFERROR(__xludf.DUMMYFUNCTION("""COMPUTED_VALUE"""),"Mr.")</f>
        <v>Mr.</v>
      </c>
      <c r="C1271" t="str">
        <f>IFERROR(__xludf.DUMMYFUNCTION("""COMPUTED_VALUE"""),"Warrunwats")</f>
        <v>Warrunwats</v>
      </c>
      <c r="D1271" t="str">
        <f>IFERROR(__xludf.DUMMYFUNCTION("""COMPUTED_VALUE"""),"Jirachartworrakun")</f>
        <v>Jirachartworrakun</v>
      </c>
      <c r="E1271" t="str">
        <f>IFERROR(__xludf.DUMMYFUNCTION("""COMPUTED_VALUE"""),"Warrunwats Jirachartworrakun")</f>
        <v>Warrunwats Jirachartworrakun</v>
      </c>
      <c r="F1271" t="str">
        <f>IFERROR(__xludf.DUMMYFUNCTION("""COMPUTED_VALUE"""),"นาย")</f>
        <v>นาย</v>
      </c>
      <c r="G1271" t="str">
        <f>IFERROR(__xludf.DUMMYFUNCTION("""COMPUTED_VALUE"""),"วรันวรรธน์")</f>
        <v>วรันวรรธน์</v>
      </c>
      <c r="H1271" t="str">
        <f>IFERROR(__xludf.DUMMYFUNCTION("""COMPUTED_VALUE"""),"จิระชาติวรกุล")</f>
        <v>จิระชาติวรกุล</v>
      </c>
      <c r="I1271" t="str">
        <f>IFERROR(__xludf.DUMMYFUNCTION("""COMPUTED_VALUE"""),"วรันวรรธน์ จิระชาติวรกุล")</f>
        <v>วรันวรรธน์ จิระชาติวรกุล</v>
      </c>
      <c r="J1271" t="str">
        <f>IFERROR(__xludf.DUMMYFUNCTION("""COMPUTED_VALUE"""),"Man U / แมนยู")</f>
        <v>Man U / แมนยู</v>
      </c>
      <c r="K1271" t="str">
        <f>IFERROR(__xludf.DUMMYFUNCTION("""COMPUTED_VALUE"""),"Cabin Crew - BKK")</f>
        <v>Cabin Crew - BKK</v>
      </c>
      <c r="L1271" t="str">
        <f>IFERROR(__xludf.DUMMYFUNCTION("""COMPUTED_VALUE"""),"BKK")</f>
        <v>BKK</v>
      </c>
      <c r="M1271" s="145" t="str">
        <f>IFERROR(__xludf.DUMMYFUNCTION("""COMPUTED_VALUE"""),"Kor Home")</f>
        <v>Kor Home</v>
      </c>
      <c r="N1271" t="str">
        <f>IFERROR(__xludf.DUMMYFUNCTION("""COMPUTED_VALUE"""),"Active")</f>
        <v>Active</v>
      </c>
      <c r="P1271" s="156">
        <f>IFERROR(__xludf.DUMMYFUNCTION("""COMPUTED_VALUE"""),35879.0)</f>
        <v>35879</v>
      </c>
      <c r="Q1271" s="146">
        <f>IFERROR(__xludf.DUMMYFUNCTION("""COMPUTED_VALUE"""),8.22492879E8)</f>
        <v>822492879</v>
      </c>
      <c r="R1271" s="147">
        <f>IFERROR(__xludf.DUMMYFUNCTION("""COMPUTED_VALUE"""),1.100801254288E12)</f>
        <v>1100801254288</v>
      </c>
      <c r="S1271" t="str">
        <f>IFERROR(__xludf.DUMMYFUNCTION("""COMPUTED_VALUE"""),"AD1967392")</f>
        <v>AD1967392</v>
      </c>
      <c r="T1271" s="148">
        <f>IFERROR(__xludf.DUMMYFUNCTION("""COMPUTED_VALUE"""),45513.0)</f>
        <v>45513</v>
      </c>
      <c r="U1271" s="148">
        <f>IFERROR(__xludf.DUMMYFUNCTION("""COMPUTED_VALUE"""),49164.0)</f>
        <v>49164</v>
      </c>
      <c r="V1271" s="149">
        <f>IFERROR(__xludf.DUMMYFUNCTION("""COMPUTED_VALUE"""),48983.0)</f>
        <v>48983</v>
      </c>
      <c r="W1271" t="str">
        <f>IFERROR(__xludf.DUMMYFUNCTION("""COMPUTED_VALUE"""),"ปลอดภัย")</f>
        <v>ปลอดภัย</v>
      </c>
      <c r="X1271" t="str">
        <f>IFERROR(__xludf.DUMMYFUNCTION("""COMPUTED_VALUE"""),"Bangkok")</f>
        <v>Bangkok</v>
      </c>
      <c r="Y1271" t="str">
        <f>IFERROR(__xludf.DUMMYFUNCTION("""COMPUTED_VALUE"""),"Bangkok")</f>
        <v>Bangkok</v>
      </c>
      <c r="Z1271" s="145" t="str">
        <f>IFERROR(__xludf.DUMMYFUNCTION("""COMPUTED_VALUE"""),"0822492878")</f>
        <v>0822492878</v>
      </c>
      <c r="AA1271" t="str">
        <f>IFERROR(__xludf.DUMMYFUNCTION("""COMPUTED_VALUE"""),"วรรณภา เอกพงศ์ไพศาล Mother")</f>
        <v>วรรณภา เอกพงศ์ไพศาล Mother</v>
      </c>
      <c r="AB1271" t="str">
        <f>IFERROR(__xludf.DUMMYFUNCTION("""COMPUTED_VALUE"""),"warrunwatsjir@airasia.com")</f>
        <v>warrunwatsjir@airasia.com</v>
      </c>
    </row>
    <row r="1272">
      <c r="A1272">
        <f>IFERROR(__xludf.DUMMYFUNCTION("""COMPUTED_VALUE"""),1046109.0)</f>
        <v>1046109</v>
      </c>
      <c r="B1272" t="str">
        <f>IFERROR(__xludf.DUMMYFUNCTION("""COMPUTED_VALUE"""),"Ms.")</f>
        <v>Ms.</v>
      </c>
      <c r="C1272" t="str">
        <f>IFERROR(__xludf.DUMMYFUNCTION("""COMPUTED_VALUE"""),"Wirasuda")</f>
        <v>Wirasuda</v>
      </c>
      <c r="D1272" t="str">
        <f>IFERROR(__xludf.DUMMYFUNCTION("""COMPUTED_VALUE"""),"Chayutthanabun")</f>
        <v>Chayutthanabun</v>
      </c>
      <c r="E1272" t="str">
        <f>IFERROR(__xludf.DUMMYFUNCTION("""COMPUTED_VALUE"""),"Wirasuda Chayutthanabun")</f>
        <v>Wirasuda Chayutthanabun</v>
      </c>
      <c r="F1272" t="str">
        <f>IFERROR(__xludf.DUMMYFUNCTION("""COMPUTED_VALUE"""),"นางสาว")</f>
        <v>นางสาว</v>
      </c>
      <c r="G1272" t="str">
        <f>IFERROR(__xludf.DUMMYFUNCTION("""COMPUTED_VALUE"""),"วิรสุดา")</f>
        <v>วิรสุดา</v>
      </c>
      <c r="H1272" t="str">
        <f>IFERROR(__xludf.DUMMYFUNCTION("""COMPUTED_VALUE"""),"ชยุตธนบูลย์")</f>
        <v>ชยุตธนบูลย์</v>
      </c>
      <c r="I1272" t="str">
        <f>IFERROR(__xludf.DUMMYFUNCTION("""COMPUTED_VALUE"""),"วิรสุดา ชยุตธนบูลย์")</f>
        <v>วิรสุดา ชยุตธนบูลย์</v>
      </c>
      <c r="J1272" t="str">
        <f>IFERROR(__xludf.DUMMYFUNCTION("""COMPUTED_VALUE"""),"สตาร์")</f>
        <v>สตาร์</v>
      </c>
      <c r="K1272" t="str">
        <f>IFERROR(__xludf.DUMMYFUNCTION("""COMPUTED_VALUE"""),"Cabin Crew - BKK")</f>
        <v>Cabin Crew - BKK</v>
      </c>
      <c r="L1272" t="str">
        <f>IFERROR(__xludf.DUMMYFUNCTION("""COMPUTED_VALUE"""),"BKK")</f>
        <v>BKK</v>
      </c>
      <c r="M1272" s="145" t="str">
        <f>IFERROR(__xludf.DUMMYFUNCTION("""COMPUTED_VALUE"""),"Um Home")</f>
        <v>Um Home</v>
      </c>
      <c r="N1272" t="str">
        <f>IFERROR(__xludf.DUMMYFUNCTION("""COMPUTED_VALUE"""),"Active")</f>
        <v>Active</v>
      </c>
      <c r="P1272" s="156">
        <f>IFERROR(__xludf.DUMMYFUNCTION("""COMPUTED_VALUE"""),35742.0)</f>
        <v>35742</v>
      </c>
      <c r="Q1272" s="146">
        <f>IFERROR(__xludf.DUMMYFUNCTION("""COMPUTED_VALUE"""),6.36246291E8)</f>
        <v>636246291</v>
      </c>
      <c r="R1272" s="147">
        <f>IFERROR(__xludf.DUMMYFUNCTION("""COMPUTED_VALUE"""),1.100900504223E12)</f>
        <v>1100900504223</v>
      </c>
      <c r="S1272" t="str">
        <f>IFERROR(__xludf.DUMMYFUNCTION("""COMPUTED_VALUE"""),"AC7447085")</f>
        <v>AC7447085</v>
      </c>
      <c r="T1272" s="148">
        <f>IFERROR(__xludf.DUMMYFUNCTION("""COMPUTED_VALUE"""),45586.0)</f>
        <v>45586</v>
      </c>
      <c r="U1272" s="148">
        <f>IFERROR(__xludf.DUMMYFUNCTION("""COMPUTED_VALUE"""),49237.0)</f>
        <v>49237</v>
      </c>
      <c r="V1272" s="149">
        <f>IFERROR(__xludf.DUMMYFUNCTION("""COMPUTED_VALUE"""),49054.0)</f>
        <v>49054</v>
      </c>
      <c r="W1272" t="str">
        <f>IFERROR(__xludf.DUMMYFUNCTION("""COMPUTED_VALUE"""),"ปลอดภัย")</f>
        <v>ปลอดภัย</v>
      </c>
      <c r="X1272" t="str">
        <f>IFERROR(__xludf.DUMMYFUNCTION("""COMPUTED_VALUE"""),"Bangkok")</f>
        <v>Bangkok</v>
      </c>
      <c r="Y1272" t="str">
        <f>IFERROR(__xludf.DUMMYFUNCTION("""COMPUTED_VALUE"""),"Bangkok")</f>
        <v>Bangkok</v>
      </c>
      <c r="Z1272" s="145" t="str">
        <f>IFERROR(__xludf.DUMMYFUNCTION("""COMPUTED_VALUE"""),"063-624-6291")</f>
        <v>063-624-6291</v>
      </c>
      <c r="AA1272" t="str">
        <f>IFERROR(__xludf.DUMMYFUNCTION("""COMPUTED_VALUE"""),"นาง ธรากร จงจอหอ Mother")</f>
        <v>นาง ธรากร จงจอหอ Mother</v>
      </c>
      <c r="AB1272" t="str">
        <f>IFERROR(__xludf.DUMMYFUNCTION("""COMPUTED_VALUE"""),"wirasudacha@airasia.com")</f>
        <v>wirasudacha@airasia.com</v>
      </c>
    </row>
    <row r="1273">
      <c r="A1273">
        <f>IFERROR(__xludf.DUMMYFUNCTION("""COMPUTED_VALUE"""),1046110.0)</f>
        <v>1046110</v>
      </c>
      <c r="B1273" t="str">
        <f>IFERROR(__xludf.DUMMYFUNCTION("""COMPUTED_VALUE"""),"Ms.")</f>
        <v>Ms.</v>
      </c>
      <c r="C1273" t="str">
        <f>IFERROR(__xludf.DUMMYFUNCTION("""COMPUTED_VALUE"""),"Wirintorn")</f>
        <v>Wirintorn</v>
      </c>
      <c r="D1273" t="str">
        <f>IFERROR(__xludf.DUMMYFUNCTION("""COMPUTED_VALUE"""),"Saekhow")</f>
        <v>Saekhow</v>
      </c>
      <c r="E1273" t="str">
        <f>IFERROR(__xludf.DUMMYFUNCTION("""COMPUTED_VALUE"""),"Wirintorn Saekhow")</f>
        <v>Wirintorn Saekhow</v>
      </c>
      <c r="F1273" t="str">
        <f>IFERROR(__xludf.DUMMYFUNCTION("""COMPUTED_VALUE"""),"นางสาว")</f>
        <v>นางสาว</v>
      </c>
      <c r="G1273" t="str">
        <f>IFERROR(__xludf.DUMMYFUNCTION("""COMPUTED_VALUE"""),"วิริญธรณ์")</f>
        <v>วิริญธรณ์</v>
      </c>
      <c r="H1273" t="str">
        <f>IFERROR(__xludf.DUMMYFUNCTION("""COMPUTED_VALUE"""),"แซ่โค้ว")</f>
        <v>แซ่โค้ว</v>
      </c>
      <c r="I1273" t="str">
        <f>IFERROR(__xludf.DUMMYFUNCTION("""COMPUTED_VALUE"""),"วิริญธรณ์ แซ่โค้ว")</f>
        <v>วิริญธรณ์ แซ่โค้ว</v>
      </c>
      <c r="J1273" t="str">
        <f>IFERROR(__xludf.DUMMYFUNCTION("""COMPUTED_VALUE"""),"Palm / ปาม")</f>
        <v>Palm / ปาม</v>
      </c>
      <c r="K1273" t="str">
        <f>IFERROR(__xludf.DUMMYFUNCTION("""COMPUTED_VALUE"""),"Cabin Crew - BKK")</f>
        <v>Cabin Crew - BKK</v>
      </c>
      <c r="L1273" t="str">
        <f>IFERROR(__xludf.DUMMYFUNCTION("""COMPUTED_VALUE"""),"BKK")</f>
        <v>BKK</v>
      </c>
      <c r="M1273" s="145" t="str">
        <f>IFERROR(__xludf.DUMMYFUNCTION("""COMPUTED_VALUE"""),"Por+ Home")</f>
        <v>Por+ Home</v>
      </c>
      <c r="N1273" t="str">
        <f>IFERROR(__xludf.DUMMYFUNCTION("""COMPUTED_VALUE"""),"Active")</f>
        <v>Active</v>
      </c>
      <c r="P1273" s="156">
        <f>IFERROR(__xludf.DUMMYFUNCTION("""COMPUTED_VALUE"""),33125.0)</f>
        <v>33125</v>
      </c>
      <c r="Q1273" s="146">
        <f>IFERROR(__xludf.DUMMYFUNCTION("""COMPUTED_VALUE"""),8.44669941E8)</f>
        <v>844669941</v>
      </c>
      <c r="R1273" s="147">
        <f>IFERROR(__xludf.DUMMYFUNCTION("""COMPUTED_VALUE"""),1.100400474121E12)</f>
        <v>1100400474121</v>
      </c>
      <c r="S1273" t="str">
        <f>IFERROR(__xludf.DUMMYFUNCTION("""COMPUTED_VALUE"""),"AC2410403")</f>
        <v>AC2410403</v>
      </c>
      <c r="T1273" s="148">
        <f>IFERROR(__xludf.DUMMYFUNCTION("""COMPUTED_VALUE"""),44435.0)</f>
        <v>44435</v>
      </c>
      <c r="U1273" s="148">
        <f>IFERROR(__xludf.DUMMYFUNCTION("""COMPUTED_VALUE"""),48086.0)</f>
        <v>48086</v>
      </c>
      <c r="V1273" s="149">
        <f>IFERROR(__xludf.DUMMYFUNCTION("""COMPUTED_VALUE"""),47905.0)</f>
        <v>47905</v>
      </c>
      <c r="W1273" t="str">
        <f>IFERROR(__xludf.DUMMYFUNCTION("""COMPUTED_VALUE"""),"ปลอดภัย")</f>
        <v>ปลอดภัย</v>
      </c>
      <c r="X1273" t="str">
        <f>IFERROR(__xludf.DUMMYFUNCTION("""COMPUTED_VALUE"""),"Bangkok")</f>
        <v>Bangkok</v>
      </c>
      <c r="Y1273" t="str">
        <f>IFERROR(__xludf.DUMMYFUNCTION("""COMPUTED_VALUE"""),"Bangkok")</f>
        <v>Bangkok</v>
      </c>
      <c r="Z1273" s="145" t="str">
        <f>IFERROR(__xludf.DUMMYFUNCTION("""COMPUTED_VALUE"""),"844669941")</f>
        <v>844669941</v>
      </c>
      <c r="AA1273" t="str">
        <f>IFERROR(__xludf.DUMMYFUNCTION("""COMPUTED_VALUE"""),"นางกานดา เลิศศิลา Mother")</f>
        <v>นางกานดา เลิศศิลา Mother</v>
      </c>
      <c r="AB1273" t="str">
        <f>IFERROR(__xludf.DUMMYFUNCTION("""COMPUTED_VALUE"""),"wirintornsae@airasia.com")</f>
        <v>wirintornsae@airasia.com</v>
      </c>
    </row>
    <row r="1274">
      <c r="A1274">
        <f>IFERROR(__xludf.DUMMYFUNCTION("""COMPUTED_VALUE"""),1046111.0)</f>
        <v>1046111</v>
      </c>
      <c r="B1274" t="str">
        <f>IFERROR(__xludf.DUMMYFUNCTION("""COMPUTED_VALUE"""),"Ms.")</f>
        <v>Ms.</v>
      </c>
      <c r="C1274" t="str">
        <f>IFERROR(__xludf.DUMMYFUNCTION("""COMPUTED_VALUE"""),"Chayanin")</f>
        <v>Chayanin</v>
      </c>
      <c r="D1274" t="str">
        <f>IFERROR(__xludf.DUMMYFUNCTION("""COMPUTED_VALUE"""),"Ratchusanti")</f>
        <v>Ratchusanti</v>
      </c>
      <c r="E1274" t="str">
        <f>IFERROR(__xludf.DUMMYFUNCTION("""COMPUTED_VALUE"""),"Chayanin Ratchusanti")</f>
        <v>Chayanin Ratchusanti</v>
      </c>
      <c r="F1274" t="str">
        <f>IFERROR(__xludf.DUMMYFUNCTION("""COMPUTED_VALUE"""),"นางสาว")</f>
        <v>นางสาว</v>
      </c>
      <c r="G1274" t="str">
        <f>IFERROR(__xludf.DUMMYFUNCTION("""COMPUTED_VALUE"""),"ชญานิน")</f>
        <v>ชญานิน</v>
      </c>
      <c r="H1274" t="str">
        <f>IFERROR(__xludf.DUMMYFUNCTION("""COMPUTED_VALUE"""),"รัชชุศานติ")</f>
        <v>รัชชุศานติ</v>
      </c>
      <c r="I1274" t="str">
        <f>IFERROR(__xludf.DUMMYFUNCTION("""COMPUTED_VALUE"""),"ชญานิน รัชชุศานติ")</f>
        <v>ชญานิน รัชชุศานติ</v>
      </c>
      <c r="J1274" t="str">
        <f>IFERROR(__xludf.DUMMYFUNCTION("""COMPUTED_VALUE"""),"Jinny / จินนี่")</f>
        <v>Jinny / จินนี่</v>
      </c>
      <c r="K1274" t="str">
        <f>IFERROR(__xludf.DUMMYFUNCTION("""COMPUTED_VALUE"""),"Cabin Crew")</f>
        <v>Cabin Crew</v>
      </c>
      <c r="L1274" t="str">
        <f>IFERROR(__xludf.DUMMYFUNCTION("""COMPUTED_VALUE"""),"DMK")</f>
        <v>DMK</v>
      </c>
      <c r="M1274" s="145" t="str">
        <f>IFERROR(__xludf.DUMMYFUNCTION("""COMPUTED_VALUE"""),"Namfon Home")</f>
        <v>Namfon Home</v>
      </c>
      <c r="N1274" t="str">
        <f>IFERROR(__xludf.DUMMYFUNCTION("""COMPUTED_VALUE"""),"Active")</f>
        <v>Active</v>
      </c>
      <c r="P1274" s="156">
        <f>IFERROR(__xludf.DUMMYFUNCTION("""COMPUTED_VALUE"""),33932.0)</f>
        <v>33932</v>
      </c>
      <c r="Q1274" s="146" t="str">
        <f>IFERROR(__xludf.DUMMYFUNCTION("""COMPUTED_VALUE"""),"093-2946514")</f>
        <v>093-2946514</v>
      </c>
      <c r="R1274" s="147">
        <f>IFERROR(__xludf.DUMMYFUNCTION("""COMPUTED_VALUE"""),1.101401965609E12)</f>
        <v>1101401965609</v>
      </c>
      <c r="S1274" t="str">
        <f>IFERROR(__xludf.DUMMYFUNCTION("""COMPUTED_VALUE"""),"AC4287221")</f>
        <v>AC4287221</v>
      </c>
      <c r="T1274" s="148">
        <f>IFERROR(__xludf.DUMMYFUNCTION("""COMPUTED_VALUE"""),44911.0)</f>
        <v>44911</v>
      </c>
      <c r="U1274" s="148">
        <f>IFERROR(__xludf.DUMMYFUNCTION("""COMPUTED_VALUE"""),48563.0)</f>
        <v>48563</v>
      </c>
      <c r="V1274" s="149">
        <f>IFERROR(__xludf.DUMMYFUNCTION("""COMPUTED_VALUE"""),48380.0)</f>
        <v>48380</v>
      </c>
      <c r="W1274" t="str">
        <f>IFERROR(__xludf.DUMMYFUNCTION("""COMPUTED_VALUE"""),"ปลอดภัย")</f>
        <v>ปลอดภัย</v>
      </c>
      <c r="X1274" t="str">
        <f>IFERROR(__xludf.DUMMYFUNCTION("""COMPUTED_VALUE"""),"Chaing mai")</f>
        <v>Chaing mai</v>
      </c>
      <c r="Y1274" t="str">
        <f>IFERROR(__xludf.DUMMYFUNCTION("""COMPUTED_VALUE"""),"Bangkok")</f>
        <v>Bangkok</v>
      </c>
      <c r="Z1274" s="145" t="str">
        <f>IFERROR(__xludf.DUMMYFUNCTION("""COMPUTED_VALUE"""),"064-195-9647")</f>
        <v>064-195-9647</v>
      </c>
      <c r="AA1274" t="str">
        <f>IFERROR(__xludf.DUMMYFUNCTION("""COMPUTED_VALUE"""),"นายสิริเกียรติ รัชชุศานติ Father")</f>
        <v>นายสิริเกียรติ รัชชุศานติ Father</v>
      </c>
      <c r="AB1274" t="str">
        <f>IFERROR(__xludf.DUMMYFUNCTION("""COMPUTED_VALUE"""),"chayaninrat@airasia.com")</f>
        <v>chayaninrat@airasia.com</v>
      </c>
    </row>
    <row r="1275">
      <c r="A1275">
        <f>IFERROR(__xludf.DUMMYFUNCTION("""COMPUTED_VALUE"""),1046112.0)</f>
        <v>1046112</v>
      </c>
      <c r="B1275" t="str">
        <f>IFERROR(__xludf.DUMMYFUNCTION("""COMPUTED_VALUE"""),"Mr.")</f>
        <v>Mr.</v>
      </c>
      <c r="C1275" t="str">
        <f>IFERROR(__xludf.DUMMYFUNCTION("""COMPUTED_VALUE"""),"Norachai")</f>
        <v>Norachai</v>
      </c>
      <c r="D1275" t="str">
        <f>IFERROR(__xludf.DUMMYFUNCTION("""COMPUTED_VALUE"""),"Sangketkit")</f>
        <v>Sangketkit</v>
      </c>
      <c r="E1275" t="str">
        <f>IFERROR(__xludf.DUMMYFUNCTION("""COMPUTED_VALUE"""),"Norachai Sangketkit")</f>
        <v>Norachai Sangketkit</v>
      </c>
      <c r="F1275" t="str">
        <f>IFERROR(__xludf.DUMMYFUNCTION("""COMPUTED_VALUE"""),"นาย")</f>
        <v>นาย</v>
      </c>
      <c r="G1275" t="str">
        <f>IFERROR(__xludf.DUMMYFUNCTION("""COMPUTED_VALUE"""),"นรชัย")</f>
        <v>นรชัย</v>
      </c>
      <c r="H1275" t="str">
        <f>IFERROR(__xludf.DUMMYFUNCTION("""COMPUTED_VALUE"""),"สังเกตกิจ")</f>
        <v>สังเกตกิจ</v>
      </c>
      <c r="I1275" t="str">
        <f>IFERROR(__xludf.DUMMYFUNCTION("""COMPUTED_VALUE"""),"นรชัย สังเกตกิจ")</f>
        <v>นรชัย สังเกตกิจ</v>
      </c>
      <c r="J1275" t="str">
        <f>IFERROR(__xludf.DUMMYFUNCTION("""COMPUTED_VALUE"""),"Net / เน็ท")</f>
        <v>Net / เน็ท</v>
      </c>
      <c r="K1275" t="str">
        <f>IFERROR(__xludf.DUMMYFUNCTION("""COMPUTED_VALUE"""),"Cabin Crew")</f>
        <v>Cabin Crew</v>
      </c>
      <c r="L1275" t="str">
        <f>IFERROR(__xludf.DUMMYFUNCTION("""COMPUTED_VALUE"""),"DMK")</f>
        <v>DMK</v>
      </c>
      <c r="M1275" s="145" t="str">
        <f>IFERROR(__xludf.DUMMYFUNCTION("""COMPUTED_VALUE"""),"Namfon Home")</f>
        <v>Namfon Home</v>
      </c>
      <c r="N1275" t="str">
        <f>IFERROR(__xludf.DUMMYFUNCTION("""COMPUTED_VALUE"""),"Active")</f>
        <v>Active</v>
      </c>
      <c r="P1275" s="156">
        <f>IFERROR(__xludf.DUMMYFUNCTION("""COMPUTED_VALUE"""),34121.0)</f>
        <v>34121</v>
      </c>
      <c r="Q1275" s="146">
        <f>IFERROR(__xludf.DUMMYFUNCTION("""COMPUTED_VALUE"""),9.44897249E8)</f>
        <v>944897249</v>
      </c>
      <c r="R1275" s="147">
        <f>IFERROR(__xludf.DUMMYFUNCTION("""COMPUTED_VALUE"""),1.103701107227E12)</f>
        <v>1103701107227</v>
      </c>
      <c r="S1275" t="str">
        <f>IFERROR(__xludf.DUMMYFUNCTION("""COMPUTED_VALUE"""),"AD1543180")</f>
        <v>AD1543180</v>
      </c>
      <c r="T1275" s="148">
        <f>IFERROR(__xludf.DUMMYFUNCTION("""COMPUTED_VALUE"""),45301.0)</f>
        <v>45301</v>
      </c>
      <c r="U1275" s="148">
        <f>IFERROR(__xludf.DUMMYFUNCTION("""COMPUTED_VALUE"""),48953.0)</f>
        <v>48953</v>
      </c>
      <c r="V1275" s="149">
        <f>IFERROR(__xludf.DUMMYFUNCTION("""COMPUTED_VALUE"""),48769.0)</f>
        <v>48769</v>
      </c>
      <c r="W1275" t="str">
        <f>IFERROR(__xludf.DUMMYFUNCTION("""COMPUTED_VALUE"""),"ปลอดภัย")</f>
        <v>ปลอดภัย</v>
      </c>
      <c r="X1275" t="str">
        <f>IFERROR(__xludf.DUMMYFUNCTION("""COMPUTED_VALUE"""),"Bangkok")</f>
        <v>Bangkok</v>
      </c>
      <c r="Y1275" t="str">
        <f>IFERROR(__xludf.DUMMYFUNCTION("""COMPUTED_VALUE"""),"Pathum Thani Province")</f>
        <v>Pathum Thani Province</v>
      </c>
      <c r="Z1275" s="145" t="str">
        <f>IFERROR(__xludf.DUMMYFUNCTION("""COMPUTED_VALUE"""),"0944897249")</f>
        <v>0944897249</v>
      </c>
      <c r="AA1275" t="str">
        <f>IFERROR(__xludf.DUMMYFUNCTION("""COMPUTED_VALUE"""),"นางสาวอารีย์ อิ่มจิต Mother")</f>
        <v>นางสาวอารีย์ อิ่มจิต Mother</v>
      </c>
      <c r="AB1275" t="str">
        <f>IFERROR(__xludf.DUMMYFUNCTION("""COMPUTED_VALUE"""),"norachaisan@airasia.com")</f>
        <v>norachaisan@airasia.com</v>
      </c>
    </row>
    <row r="1277">
      <c r="A1277">
        <f>IFERROR(__xludf.DUMMYFUNCTION("""COMPUTED_VALUE"""),1046325.0)</f>
        <v>1046325</v>
      </c>
      <c r="B1277" t="str">
        <f>IFERROR(__xludf.DUMMYFUNCTION("""COMPUTED_VALUE"""),"Ms.")</f>
        <v>Ms.</v>
      </c>
      <c r="C1277" t="str">
        <f>IFERROR(__xludf.DUMMYFUNCTION("""COMPUTED_VALUE"""),"Aemnicha")</f>
        <v>Aemnicha</v>
      </c>
      <c r="D1277" t="str">
        <f>IFERROR(__xludf.DUMMYFUNCTION("""COMPUTED_VALUE"""),"Netharn")</f>
        <v>Netharn</v>
      </c>
      <c r="E1277" t="str">
        <f>IFERROR(__xludf.DUMMYFUNCTION("""COMPUTED_VALUE"""),"Aemnicha Netharn")</f>
        <v>Aemnicha Netharn</v>
      </c>
      <c r="F1277" t="str">
        <f>IFERROR(__xludf.DUMMYFUNCTION("""COMPUTED_VALUE"""),"นางสาว")</f>
        <v>นางสาว</v>
      </c>
      <c r="G1277" t="str">
        <f>IFERROR(__xludf.DUMMYFUNCTION("""COMPUTED_VALUE"""),"เอมฬ์นิชชา")</f>
        <v>เอมฬ์นิชชา</v>
      </c>
      <c r="H1277" t="str">
        <f>IFERROR(__xludf.DUMMYFUNCTION("""COMPUTED_VALUE"""),"เนตรหาญ")</f>
        <v>เนตรหาญ</v>
      </c>
      <c r="I1277" t="str">
        <f>IFERROR(__xludf.DUMMYFUNCTION("""COMPUTED_VALUE"""),"เอมฬ์นิชชา เนตรหาญ")</f>
        <v>เอมฬ์นิชชา เนตรหาญ</v>
      </c>
      <c r="J1277" t="str">
        <f>IFERROR(__xludf.DUMMYFUNCTION("""COMPUTED_VALUE"""),"Mell / เมล")</f>
        <v>Mell / เมล</v>
      </c>
      <c r="K1277" t="str">
        <f>IFERROR(__xludf.DUMMYFUNCTION("""COMPUTED_VALUE"""),"Cabin Crew Trainee")</f>
        <v>Cabin Crew Trainee</v>
      </c>
      <c r="L1277" t="str">
        <f>IFERROR(__xludf.DUMMYFUNCTION("""COMPUTED_VALUE"""),"DMK")</f>
        <v>DMK</v>
      </c>
      <c r="M1277" s="145" t="str">
        <f>IFERROR(__xludf.DUMMYFUNCTION("""COMPUTED_VALUE"""),"Toffy Home")</f>
        <v>Toffy Home</v>
      </c>
      <c r="N1277" t="str">
        <f>IFERROR(__xludf.DUMMYFUNCTION("""COMPUTED_VALUE"""),"Active")</f>
        <v>Active</v>
      </c>
      <c r="P1277" s="156">
        <f>IFERROR(__xludf.DUMMYFUNCTION("""COMPUTED_VALUE"""),36841.0)</f>
        <v>36841</v>
      </c>
      <c r="Q1277" s="146">
        <f>IFERROR(__xludf.DUMMYFUNCTION("""COMPUTED_VALUE"""),9.52464954E8)</f>
        <v>952464954</v>
      </c>
      <c r="R1277" s="147">
        <f>IFERROR(__xludf.DUMMYFUNCTION("""COMPUTED_VALUE"""),1.199900779875E12)</f>
        <v>1199900779875</v>
      </c>
      <c r="S1277" t="str">
        <f>IFERROR(__xludf.DUMMYFUNCTION("""COMPUTED_VALUE"""),"AD0114346")</f>
        <v>AD0114346</v>
      </c>
      <c r="T1277" s="148">
        <f>IFERROR(__xludf.DUMMYFUNCTION("""COMPUTED_VALUE"""),44835.0)</f>
        <v>44835</v>
      </c>
      <c r="U1277" s="148">
        <f>IFERROR(__xludf.DUMMYFUNCTION("""COMPUTED_VALUE"""),48487.0)</f>
        <v>48487</v>
      </c>
      <c r="V1277" s="149">
        <f>IFERROR(__xludf.DUMMYFUNCTION("""COMPUTED_VALUE"""),48303.0)</f>
        <v>48303</v>
      </c>
      <c r="W1277" t="str">
        <f>IFERROR(__xludf.DUMMYFUNCTION("""COMPUTED_VALUE"""),"ปลอดภัย")</f>
        <v>ปลอดภัย</v>
      </c>
      <c r="X1277" t="str">
        <f>IFERROR(__xludf.DUMMYFUNCTION("""COMPUTED_VALUE"""),"Saraburi Province")</f>
        <v>Saraburi Province</v>
      </c>
      <c r="Y1277" t="str">
        <f>IFERROR(__xludf.DUMMYFUNCTION("""COMPUTED_VALUE"""),"Bangkok")</f>
        <v>Bangkok</v>
      </c>
      <c r="Z1277" s="145" t="str">
        <f>IFERROR(__xludf.DUMMYFUNCTION("""COMPUTED_VALUE"""),"081-948-4415")</f>
        <v>081-948-4415</v>
      </c>
      <c r="AA1277" t="str">
        <f>IFERROR(__xludf.DUMMYFUNCTION("""COMPUTED_VALUE"""),"นางสาวพรพักตร์ เนตรหาญ Mother")</f>
        <v>นางสาวพรพักตร์ เนตรหาญ Mother</v>
      </c>
      <c r="AB1277" t="str">
        <f>IFERROR(__xludf.DUMMYFUNCTION("""COMPUTED_VALUE"""),"aemnichanet@airasia.com")</f>
        <v>aemnichanet@airasia.com</v>
      </c>
    </row>
    <row r="1278">
      <c r="A1278">
        <f>IFERROR(__xludf.DUMMYFUNCTION("""COMPUTED_VALUE"""),1046326.0)</f>
        <v>1046326</v>
      </c>
      <c r="B1278" t="str">
        <f>IFERROR(__xludf.DUMMYFUNCTION("""COMPUTED_VALUE"""),"Ms.")</f>
        <v>Ms.</v>
      </c>
      <c r="C1278" t="str">
        <f>IFERROR(__xludf.DUMMYFUNCTION("""COMPUTED_VALUE"""),"Chalanthon")</f>
        <v>Chalanthon</v>
      </c>
      <c r="D1278" t="str">
        <f>IFERROR(__xludf.DUMMYFUNCTION("""COMPUTED_VALUE"""),"Kidlaied")</f>
        <v>Kidlaied</v>
      </c>
      <c r="E1278" t="str">
        <f>IFERROR(__xludf.DUMMYFUNCTION("""COMPUTED_VALUE"""),"Chalanthon Kidlaied")</f>
        <v>Chalanthon Kidlaied</v>
      </c>
      <c r="F1278" t="str">
        <f>IFERROR(__xludf.DUMMYFUNCTION("""COMPUTED_VALUE"""),"นางสาว")</f>
        <v>นางสาว</v>
      </c>
      <c r="G1278" t="str">
        <f>IFERROR(__xludf.DUMMYFUNCTION("""COMPUTED_VALUE"""),"ชลันธร")</f>
        <v>ชลันธร</v>
      </c>
      <c r="H1278" t="str">
        <f>IFERROR(__xludf.DUMMYFUNCTION("""COMPUTED_VALUE"""),"คิดละเอียด")</f>
        <v>คิดละเอียด</v>
      </c>
      <c r="I1278" t="str">
        <f>IFERROR(__xludf.DUMMYFUNCTION("""COMPUTED_VALUE"""),"ชลันธร คิดละเอียด")</f>
        <v>ชลันธร คิดละเอียด</v>
      </c>
      <c r="J1278" t="str">
        <f>IFERROR(__xludf.DUMMYFUNCTION("""COMPUTED_VALUE"""),"Fonn / ฝน")</f>
        <v>Fonn / ฝน</v>
      </c>
      <c r="K1278" t="str">
        <f>IFERROR(__xludf.DUMMYFUNCTION("""COMPUTED_VALUE"""),"Cabin Crew Trainee")</f>
        <v>Cabin Crew Trainee</v>
      </c>
      <c r="L1278" t="str">
        <f>IFERROR(__xludf.DUMMYFUNCTION("""COMPUTED_VALUE"""),"DMK")</f>
        <v>DMK</v>
      </c>
      <c r="M1278" s="145" t="str">
        <f>IFERROR(__xludf.DUMMYFUNCTION("""COMPUTED_VALUE"""),"Up Home")</f>
        <v>Up Home</v>
      </c>
      <c r="N1278" t="str">
        <f>IFERROR(__xludf.DUMMYFUNCTION("""COMPUTED_VALUE"""),"Active/V/BKK")</f>
        <v>Active/V/BKK</v>
      </c>
      <c r="P1278" s="156">
        <f>IFERROR(__xludf.DUMMYFUNCTION("""COMPUTED_VALUE"""),34862.0)</f>
        <v>34862</v>
      </c>
      <c r="Q1278" s="146">
        <f>IFERROR(__xludf.DUMMYFUNCTION("""COMPUTED_VALUE"""),8.63755499E8)</f>
        <v>863755499</v>
      </c>
      <c r="R1278" s="147">
        <f>IFERROR(__xludf.DUMMYFUNCTION("""COMPUTED_VALUE"""),1.101500800012E12)</f>
        <v>1101500800012</v>
      </c>
      <c r="S1278" t="str">
        <f>IFERROR(__xludf.DUMMYFUNCTION("""COMPUTED_VALUE"""),"Ac3782687")</f>
        <v>Ac3782687</v>
      </c>
      <c r="T1278" s="148">
        <f>IFERROR(__xludf.DUMMYFUNCTION("""COMPUTED_VALUE"""),44783.0)</f>
        <v>44783</v>
      </c>
      <c r="U1278" s="148">
        <f>IFERROR(__xludf.DUMMYFUNCTION("""COMPUTED_VALUE"""),48435.0)</f>
        <v>48435</v>
      </c>
      <c r="V1278" s="149">
        <f>IFERROR(__xludf.DUMMYFUNCTION("""COMPUTED_VALUE"""),48253.0)</f>
        <v>48253</v>
      </c>
      <c r="W1278" t="str">
        <f>IFERROR(__xludf.DUMMYFUNCTION("""COMPUTED_VALUE"""),"ปลอดภัย")</f>
        <v>ปลอดภัย</v>
      </c>
      <c r="X1278" t="str">
        <f>IFERROR(__xludf.DUMMYFUNCTION("""COMPUTED_VALUE"""),"Bangkok")</f>
        <v>Bangkok</v>
      </c>
      <c r="Y1278" t="str">
        <f>IFERROR(__xludf.DUMMYFUNCTION("""COMPUTED_VALUE"""),"Nakhon Pathom")</f>
        <v>Nakhon Pathom</v>
      </c>
      <c r="Z1278" s="145" t="str">
        <f>IFERROR(__xludf.DUMMYFUNCTION("""COMPUTED_VALUE"""),"0859986712")</f>
        <v>0859986712</v>
      </c>
      <c r="AA1278" t="str">
        <f>IFERROR(__xludf.DUMMYFUNCTION("""COMPUTED_VALUE"""),"นายพีระพัฒน์ คิดละเอียด Brother")</f>
        <v>นายพีระพัฒน์ คิดละเอียด Brother</v>
      </c>
      <c r="AB1278" t="str">
        <f>IFERROR(__xludf.DUMMYFUNCTION("""COMPUTED_VALUE"""),"chalanthonkid@airasia.com")</f>
        <v>chalanthonkid@airasia.com</v>
      </c>
    </row>
    <row r="1279">
      <c r="A1279">
        <f>IFERROR(__xludf.DUMMYFUNCTION("""COMPUTED_VALUE"""),1046327.0)</f>
        <v>1046327</v>
      </c>
      <c r="B1279" t="str">
        <f>IFERROR(__xludf.DUMMYFUNCTION("""COMPUTED_VALUE"""),"Ms.")</f>
        <v>Ms.</v>
      </c>
      <c r="C1279" t="str">
        <f>IFERROR(__xludf.DUMMYFUNCTION("""COMPUTED_VALUE"""),"Chayapohn")</f>
        <v>Chayapohn</v>
      </c>
      <c r="D1279" t="str">
        <f>IFERROR(__xludf.DUMMYFUNCTION("""COMPUTED_VALUE"""),"Singsuwan")</f>
        <v>Singsuwan</v>
      </c>
      <c r="E1279" t="str">
        <f>IFERROR(__xludf.DUMMYFUNCTION("""COMPUTED_VALUE"""),"Chayapohn Singsuwan")</f>
        <v>Chayapohn Singsuwan</v>
      </c>
      <c r="F1279" t="str">
        <f>IFERROR(__xludf.DUMMYFUNCTION("""COMPUTED_VALUE"""),"นางสาว")</f>
        <v>นางสาว</v>
      </c>
      <c r="G1279" t="str">
        <f>IFERROR(__xludf.DUMMYFUNCTION("""COMPUTED_VALUE"""),"ชญาภรณ์")</f>
        <v>ชญาภรณ์</v>
      </c>
      <c r="H1279" t="str">
        <f>IFERROR(__xludf.DUMMYFUNCTION("""COMPUTED_VALUE"""),"สิงห์สุวรรณ")</f>
        <v>สิงห์สุวรรณ</v>
      </c>
      <c r="I1279" t="str">
        <f>IFERROR(__xludf.DUMMYFUNCTION("""COMPUTED_VALUE"""),"ชญาภรณ์ สิงห์สุวรรณ")</f>
        <v>ชญาภรณ์ สิงห์สุวรรณ</v>
      </c>
      <c r="J1279" t="str">
        <f>IFERROR(__xludf.DUMMYFUNCTION("""COMPUTED_VALUE"""),"พลอย")</f>
        <v>พลอย</v>
      </c>
      <c r="K1279" t="str">
        <f>IFERROR(__xludf.DUMMYFUNCTION("""COMPUTED_VALUE"""),"Cabin Crew Trainee")</f>
        <v>Cabin Crew Trainee</v>
      </c>
      <c r="L1279" t="str">
        <f>IFERROR(__xludf.DUMMYFUNCTION("""COMPUTED_VALUE"""),"DMK")</f>
        <v>DMK</v>
      </c>
      <c r="M1279" s="145" t="str">
        <f>IFERROR(__xludf.DUMMYFUNCTION("""COMPUTED_VALUE"""),"Por+ Home")</f>
        <v>Por+ Home</v>
      </c>
      <c r="N1279" t="str">
        <f>IFERROR(__xludf.DUMMYFUNCTION("""COMPUTED_VALUE"""),"Active")</f>
        <v>Active</v>
      </c>
      <c r="P1279" s="156">
        <f>IFERROR(__xludf.DUMMYFUNCTION("""COMPUTED_VALUE"""),35738.0)</f>
        <v>35738</v>
      </c>
      <c r="Q1279" s="146">
        <f>IFERROR(__xludf.DUMMYFUNCTION("""COMPUTED_VALUE"""),8.13112374E8)</f>
        <v>813112374</v>
      </c>
      <c r="R1279" s="147">
        <f>IFERROR(__xludf.DUMMYFUNCTION("""COMPUTED_VALUE"""),1.102002839821E12)</f>
        <v>1102002839821</v>
      </c>
      <c r="S1279" t="str">
        <f>IFERROR(__xludf.DUMMYFUNCTION("""COMPUTED_VALUE"""),"AC5656003")</f>
        <v>AC5656003</v>
      </c>
      <c r="T1279" s="148">
        <f>IFERROR(__xludf.DUMMYFUNCTION("""COMPUTED_VALUE"""),45176.0)</f>
        <v>45176</v>
      </c>
      <c r="U1279" s="148">
        <f>IFERROR(__xludf.DUMMYFUNCTION("""COMPUTED_VALUE"""),48828.0)</f>
        <v>48828</v>
      </c>
      <c r="V1279" s="149">
        <f>IFERROR(__xludf.DUMMYFUNCTION("""COMPUTED_VALUE"""),48644.0)</f>
        <v>48644</v>
      </c>
      <c r="W1279" t="str">
        <f>IFERROR(__xludf.DUMMYFUNCTION("""COMPUTED_VALUE"""),"ปลอดภัย")</f>
        <v>ปลอดภัย</v>
      </c>
      <c r="X1279" t="str">
        <f>IFERROR(__xludf.DUMMYFUNCTION("""COMPUTED_VALUE"""),"Bangkok")</f>
        <v>Bangkok</v>
      </c>
      <c r="Y1279" t="str">
        <f>IFERROR(__xludf.DUMMYFUNCTION("""COMPUTED_VALUE"""),"Nonthaburi")</f>
        <v>Nonthaburi</v>
      </c>
      <c r="Z1279" s="145" t="str">
        <f>IFERROR(__xludf.DUMMYFUNCTION("""COMPUTED_VALUE"""),"0924516697")</f>
        <v>0924516697</v>
      </c>
      <c r="AA1279" t="str">
        <f>IFERROR(__xludf.DUMMYFUNCTION("""COMPUTED_VALUE"""),"นางสาวจตุพร ทอมสัน Friend")</f>
        <v>นางสาวจตุพร ทอมสัน Friend</v>
      </c>
      <c r="AB1279" t="str">
        <f>IFERROR(__xludf.DUMMYFUNCTION("""COMPUTED_VALUE"""),"chayapohnsin@airasia.com")</f>
        <v>chayapohnsin@airasia.com</v>
      </c>
    </row>
    <row r="1280">
      <c r="A1280">
        <f>IFERROR(__xludf.DUMMYFUNCTION("""COMPUTED_VALUE"""),1046328.0)</f>
        <v>1046328</v>
      </c>
      <c r="B1280" t="str">
        <f>IFERROR(__xludf.DUMMYFUNCTION("""COMPUTED_VALUE"""),"Mr.")</f>
        <v>Mr.</v>
      </c>
      <c r="C1280" t="str">
        <f>IFERROR(__xludf.DUMMYFUNCTION("""COMPUTED_VALUE"""),"Jirawat")</f>
        <v>Jirawat</v>
      </c>
      <c r="D1280" t="str">
        <f>IFERROR(__xludf.DUMMYFUNCTION("""COMPUTED_VALUE"""),"Bunyaratthaphan")</f>
        <v>Bunyaratthaphan</v>
      </c>
      <c r="E1280" t="str">
        <f>IFERROR(__xludf.DUMMYFUNCTION("""COMPUTED_VALUE"""),"Jirawat Bunyaratthaphan")</f>
        <v>Jirawat Bunyaratthaphan</v>
      </c>
      <c r="F1280" t="str">
        <f>IFERROR(__xludf.DUMMYFUNCTION("""COMPUTED_VALUE"""),"นาย")</f>
        <v>นาย</v>
      </c>
      <c r="G1280" t="str">
        <f>IFERROR(__xludf.DUMMYFUNCTION("""COMPUTED_VALUE"""),"จิรวัฒน์")</f>
        <v>จิรวัฒน์</v>
      </c>
      <c r="H1280" t="str">
        <f>IFERROR(__xludf.DUMMYFUNCTION("""COMPUTED_VALUE"""),"บุณยรัตพันธุ์")</f>
        <v>บุณยรัตพันธุ์</v>
      </c>
      <c r="I1280" t="str">
        <f>IFERROR(__xludf.DUMMYFUNCTION("""COMPUTED_VALUE"""),"จิรวัฒน์ บุณยรัตพันธุ์")</f>
        <v>จิรวัฒน์ บุณยรัตพันธุ์</v>
      </c>
      <c r="J1280" t="str">
        <f>IFERROR(__xludf.DUMMYFUNCTION("""COMPUTED_VALUE"""),"Putter / พัตเตอร์")</f>
        <v>Putter / พัตเตอร์</v>
      </c>
      <c r="K1280" t="str">
        <f>IFERROR(__xludf.DUMMYFUNCTION("""COMPUTED_VALUE"""),"Cabin Crew Trainee")</f>
        <v>Cabin Crew Trainee</v>
      </c>
      <c r="L1280" t="str">
        <f>IFERROR(__xludf.DUMMYFUNCTION("""COMPUTED_VALUE"""),"DMK")</f>
        <v>DMK</v>
      </c>
      <c r="M1280" s="145" t="str">
        <f>IFERROR(__xludf.DUMMYFUNCTION("""COMPUTED_VALUE"""),"Por+ Home")</f>
        <v>Por+ Home</v>
      </c>
      <c r="N1280" t="str">
        <f>IFERROR(__xludf.DUMMYFUNCTION("""COMPUTED_VALUE"""),"Active/V/BKK")</f>
        <v>Active/V/BKK</v>
      </c>
      <c r="P1280" s="156">
        <f>IFERROR(__xludf.DUMMYFUNCTION("""COMPUTED_VALUE"""),36849.0)</f>
        <v>36849</v>
      </c>
      <c r="Q1280" s="146">
        <f>IFERROR(__xludf.DUMMYFUNCTION("""COMPUTED_VALUE"""),8.30454101E8)</f>
        <v>830454101</v>
      </c>
      <c r="R1280" s="147">
        <f>IFERROR(__xludf.DUMMYFUNCTION("""COMPUTED_VALUE"""),1.100703121178E12)</f>
        <v>1100703121178</v>
      </c>
      <c r="S1280" t="str">
        <f>IFERROR(__xludf.DUMMYFUNCTION("""COMPUTED_VALUE"""),"AC5830231")</f>
        <v>AC5830231</v>
      </c>
      <c r="T1280" s="148">
        <f>IFERROR(__xludf.DUMMYFUNCTION("""COMPUTED_VALUE"""),45194.0)</f>
        <v>45194</v>
      </c>
      <c r="U1280" s="148">
        <f>IFERROR(__xludf.DUMMYFUNCTION("""COMPUTED_VALUE"""),48846.0)</f>
        <v>48846</v>
      </c>
      <c r="V1280" s="149">
        <f>IFERROR(__xludf.DUMMYFUNCTION("""COMPUTED_VALUE"""),48662.0)</f>
        <v>48662</v>
      </c>
      <c r="W1280" t="str">
        <f>IFERROR(__xludf.DUMMYFUNCTION("""COMPUTED_VALUE"""),"ปลอดภัย")</f>
        <v>ปลอดภัย</v>
      </c>
      <c r="X1280" t="str">
        <f>IFERROR(__xludf.DUMMYFUNCTION("""COMPUTED_VALUE"""),"Bangkok")</f>
        <v>Bangkok</v>
      </c>
      <c r="Y1280" t="str">
        <f>IFERROR(__xludf.DUMMYFUNCTION("""COMPUTED_VALUE"""),"Nonthaburi")</f>
        <v>Nonthaburi</v>
      </c>
      <c r="Z1280" s="145" t="str">
        <f>IFERROR(__xludf.DUMMYFUNCTION("""COMPUTED_VALUE"""),"087-077-7770")</f>
        <v>087-077-7770</v>
      </c>
      <c r="AA1280" t="str">
        <f>IFERROR(__xludf.DUMMYFUNCTION("""COMPUTED_VALUE"""),"นายณภัทร บุณยรัตพันธุ์ Father")</f>
        <v>นายณภัทร บุณยรัตพันธุ์ Father</v>
      </c>
      <c r="AB1280" t="str">
        <f>IFERROR(__xludf.DUMMYFUNCTION("""COMPUTED_VALUE"""),"jirawatbun@airasia.com")</f>
        <v>jirawatbun@airasia.com</v>
      </c>
    </row>
    <row r="1281">
      <c r="A1281">
        <f>IFERROR(__xludf.DUMMYFUNCTION("""COMPUTED_VALUE"""),1046329.0)</f>
        <v>1046329</v>
      </c>
      <c r="B1281" t="str">
        <f>IFERROR(__xludf.DUMMYFUNCTION("""COMPUTED_VALUE"""),"Mr.")</f>
        <v>Mr.</v>
      </c>
      <c r="C1281" t="str">
        <f>IFERROR(__xludf.DUMMYFUNCTION("""COMPUTED_VALUE"""),"Kollawat")</f>
        <v>Kollawat</v>
      </c>
      <c r="D1281" t="str">
        <f>IFERROR(__xludf.DUMMYFUNCTION("""COMPUTED_VALUE"""),"Khoosuwan")</f>
        <v>Khoosuwan</v>
      </c>
      <c r="E1281" t="str">
        <f>IFERROR(__xludf.DUMMYFUNCTION("""COMPUTED_VALUE"""),"Kollawat Khoosuwan")</f>
        <v>Kollawat Khoosuwan</v>
      </c>
      <c r="F1281" t="str">
        <f>IFERROR(__xludf.DUMMYFUNCTION("""COMPUTED_VALUE"""),"นาย")</f>
        <v>นาย</v>
      </c>
      <c r="G1281" t="str">
        <f>IFERROR(__xludf.DUMMYFUNCTION("""COMPUTED_VALUE"""),"กลวัชร")</f>
        <v>กลวัชร</v>
      </c>
      <c r="H1281" t="str">
        <f>IFERROR(__xludf.DUMMYFUNCTION("""COMPUTED_VALUE"""),"คูสุวรรณ")</f>
        <v>คูสุวรรณ</v>
      </c>
      <c r="I1281" t="str">
        <f>IFERROR(__xludf.DUMMYFUNCTION("""COMPUTED_VALUE"""),"กลวัชร คูสุวรรณ")</f>
        <v>กลวัชร คูสุวรรณ</v>
      </c>
      <c r="J1281" t="str">
        <f>IFERROR(__xludf.DUMMYFUNCTION("""COMPUTED_VALUE"""),"เค")</f>
        <v>เค</v>
      </c>
      <c r="K1281" t="str">
        <f>IFERROR(__xludf.DUMMYFUNCTION("""COMPUTED_VALUE"""),"Cabin Crew Trainee")</f>
        <v>Cabin Crew Trainee</v>
      </c>
      <c r="L1281" t="str">
        <f>IFERROR(__xludf.DUMMYFUNCTION("""COMPUTED_VALUE"""),"DMK")</f>
        <v>DMK</v>
      </c>
      <c r="M1281" s="145" t="str">
        <f>IFERROR(__xludf.DUMMYFUNCTION("""COMPUTED_VALUE"""),"Um Home")</f>
        <v>Um Home</v>
      </c>
      <c r="N1281" t="str">
        <f>IFERROR(__xludf.DUMMYFUNCTION("""COMPUTED_VALUE"""),"Active/V/BKK")</f>
        <v>Active/V/BKK</v>
      </c>
      <c r="P1281" s="156">
        <f>IFERROR(__xludf.DUMMYFUNCTION("""COMPUTED_VALUE"""),34386.0)</f>
        <v>34386</v>
      </c>
      <c r="Q1281" s="146">
        <f>IFERROR(__xludf.DUMMYFUNCTION("""COMPUTED_VALUE"""),8.54951991E8)</f>
        <v>854951991</v>
      </c>
      <c r="R1281" s="147">
        <f>IFERROR(__xludf.DUMMYFUNCTION("""COMPUTED_VALUE"""),1.1004006806E12)</f>
        <v>1100400680600</v>
      </c>
      <c r="S1281" t="str">
        <f>IFERROR(__xludf.DUMMYFUNCTION("""COMPUTED_VALUE"""),"AC7454607")</f>
        <v>AC7454607</v>
      </c>
      <c r="T1281" s="148">
        <f>IFERROR(__xludf.DUMMYFUNCTION("""COMPUTED_VALUE"""),45590.0)</f>
        <v>45590</v>
      </c>
      <c r="U1281" s="148">
        <f>IFERROR(__xludf.DUMMYFUNCTION("""COMPUTED_VALUE"""),49241.0)</f>
        <v>49241</v>
      </c>
      <c r="V1281" s="149">
        <f>IFERROR(__xludf.DUMMYFUNCTION("""COMPUTED_VALUE"""),49058.0)</f>
        <v>49058</v>
      </c>
      <c r="W1281" t="str">
        <f>IFERROR(__xludf.DUMMYFUNCTION("""COMPUTED_VALUE"""),"ปลอดภัย")</f>
        <v>ปลอดภัย</v>
      </c>
      <c r="X1281" t="str">
        <f>IFERROR(__xludf.DUMMYFUNCTION("""COMPUTED_VALUE"""),"Bangkok")</f>
        <v>Bangkok</v>
      </c>
      <c r="Y1281" t="str">
        <f>IFERROR(__xludf.DUMMYFUNCTION("""COMPUTED_VALUE"""),"Bangkok")</f>
        <v>Bangkok</v>
      </c>
      <c r="Z1281" s="145" t="str">
        <f>IFERROR(__xludf.DUMMYFUNCTION("""COMPUTED_VALUE"""),"0889199659")</f>
        <v>0889199659</v>
      </c>
      <c r="AA1281" t="str">
        <f>IFERROR(__xludf.DUMMYFUNCTION("""COMPUTED_VALUE"""),"นาง ทัศนีย์ คูสุวรรณ Mother")</f>
        <v>นาง ทัศนีย์ คูสุวรรณ Mother</v>
      </c>
      <c r="AB1281" t="str">
        <f>IFERROR(__xludf.DUMMYFUNCTION("""COMPUTED_VALUE"""),"kollawatkho@airasia.com")</f>
        <v>kollawatkho@airasia.com</v>
      </c>
    </row>
    <row r="1282">
      <c r="A1282">
        <f>IFERROR(__xludf.DUMMYFUNCTION("""COMPUTED_VALUE"""),1046330.0)</f>
        <v>1046330</v>
      </c>
      <c r="B1282" t="str">
        <f>IFERROR(__xludf.DUMMYFUNCTION("""COMPUTED_VALUE"""),"Ms.")</f>
        <v>Ms.</v>
      </c>
      <c r="C1282" t="str">
        <f>IFERROR(__xludf.DUMMYFUNCTION("""COMPUTED_VALUE"""),"Krittiyaporn")</f>
        <v>Krittiyaporn</v>
      </c>
      <c r="D1282" t="str">
        <f>IFERROR(__xludf.DUMMYFUNCTION("""COMPUTED_VALUE"""),"Khanngoen")</f>
        <v>Khanngoen</v>
      </c>
      <c r="E1282" t="str">
        <f>IFERROR(__xludf.DUMMYFUNCTION("""COMPUTED_VALUE"""),"Krittiyaporn Khanngoen")</f>
        <v>Krittiyaporn Khanngoen</v>
      </c>
      <c r="F1282" t="str">
        <f>IFERROR(__xludf.DUMMYFUNCTION("""COMPUTED_VALUE"""),"นางสาว")</f>
        <v>นางสาว</v>
      </c>
      <c r="G1282" t="str">
        <f>IFERROR(__xludf.DUMMYFUNCTION("""COMPUTED_VALUE"""),"กฤติยาภรณ์")</f>
        <v>กฤติยาภรณ์</v>
      </c>
      <c r="H1282" t="str">
        <f>IFERROR(__xludf.DUMMYFUNCTION("""COMPUTED_VALUE"""),"ขันเงิน")</f>
        <v>ขันเงิน</v>
      </c>
      <c r="I1282" t="str">
        <f>IFERROR(__xludf.DUMMYFUNCTION("""COMPUTED_VALUE"""),"กฤติยาภรณ์ ขันเงิน")</f>
        <v>กฤติยาภรณ์ ขันเงิน</v>
      </c>
      <c r="J1282" t="str">
        <f>IFERROR(__xludf.DUMMYFUNCTION("""COMPUTED_VALUE"""),"Fern / เฟิร์น")</f>
        <v>Fern / เฟิร์น</v>
      </c>
      <c r="K1282" t="str">
        <f>IFERROR(__xludf.DUMMYFUNCTION("""COMPUTED_VALUE"""),"Cabin Crew Trainee")</f>
        <v>Cabin Crew Trainee</v>
      </c>
      <c r="L1282" t="str">
        <f>IFERROR(__xludf.DUMMYFUNCTION("""COMPUTED_VALUE"""),"DMK")</f>
        <v>DMK</v>
      </c>
      <c r="M1282" s="145" t="str">
        <f>IFERROR(__xludf.DUMMYFUNCTION("""COMPUTED_VALUE"""),"Namfon Home")</f>
        <v>Namfon Home</v>
      </c>
      <c r="N1282" t="str">
        <f>IFERROR(__xludf.DUMMYFUNCTION("""COMPUTED_VALUE"""),"Active")</f>
        <v>Active</v>
      </c>
      <c r="P1282" s="156">
        <f>IFERROR(__xludf.DUMMYFUNCTION("""COMPUTED_VALUE"""),36031.0)</f>
        <v>36031</v>
      </c>
      <c r="Q1282" s="146">
        <f>IFERROR(__xludf.DUMMYFUNCTION("""COMPUTED_VALUE"""),9.31390538E8)</f>
        <v>931390538</v>
      </c>
      <c r="R1282" s="147">
        <f>IFERROR(__xludf.DUMMYFUNCTION("""COMPUTED_VALUE"""),1.509963002581E12)</f>
        <v>1509963002581</v>
      </c>
      <c r="S1282" t="str">
        <f>IFERROR(__xludf.DUMMYFUNCTION("""COMPUTED_VALUE"""),"AD1692216")</f>
        <v>AD1692216</v>
      </c>
      <c r="T1282" s="148">
        <f>IFERROR(__xludf.DUMMYFUNCTION("""COMPUTED_VALUE"""),45327.0)</f>
        <v>45327</v>
      </c>
      <c r="U1282" s="148">
        <f>IFERROR(__xludf.DUMMYFUNCTION("""COMPUTED_VALUE"""),48979.0)</f>
        <v>48979</v>
      </c>
      <c r="V1282" s="149">
        <f>IFERROR(__xludf.DUMMYFUNCTION("""COMPUTED_VALUE"""),48795.0)</f>
        <v>48795</v>
      </c>
      <c r="W1282" t="str">
        <f>IFERROR(__xludf.DUMMYFUNCTION("""COMPUTED_VALUE"""),"ปลอดภัย")</f>
        <v>ปลอดภัย</v>
      </c>
      <c r="X1282" t="str">
        <f>IFERROR(__xludf.DUMMYFUNCTION("""COMPUTED_VALUE"""),"Chiang Mai Province")</f>
        <v>Chiang Mai Province</v>
      </c>
      <c r="Y1282" t="str">
        <f>IFERROR(__xludf.DUMMYFUNCTION("""COMPUTED_VALUE"""),"Bangkok")</f>
        <v>Bangkok</v>
      </c>
      <c r="Z1282" s="145" t="str">
        <f>IFERROR(__xludf.DUMMYFUNCTION("""COMPUTED_VALUE"""),"089-554-0779")</f>
        <v>089-554-0779</v>
      </c>
      <c r="AA1282" t="str">
        <f>IFERROR(__xludf.DUMMYFUNCTION("""COMPUTED_VALUE"""),"นายวรรณฤทธิ์ ขันเงิน Father")</f>
        <v>นายวรรณฤทธิ์ ขันเงิน Father</v>
      </c>
      <c r="AB1282" t="str">
        <f>IFERROR(__xludf.DUMMYFUNCTION("""COMPUTED_VALUE"""),"krittiyapornkha@airasia.com")</f>
        <v>krittiyapornkha@airasia.com</v>
      </c>
    </row>
    <row r="1283">
      <c r="A1283">
        <f>IFERROR(__xludf.DUMMYFUNCTION("""COMPUTED_VALUE"""),1046331.0)</f>
        <v>1046331</v>
      </c>
      <c r="B1283" t="str">
        <f>IFERROR(__xludf.DUMMYFUNCTION("""COMPUTED_VALUE"""),"Mr.")</f>
        <v>Mr.</v>
      </c>
      <c r="C1283" t="str">
        <f>IFERROR(__xludf.DUMMYFUNCTION("""COMPUTED_VALUE"""),"Nopparuj")</f>
        <v>Nopparuj</v>
      </c>
      <c r="D1283" t="str">
        <f>IFERROR(__xludf.DUMMYFUNCTION("""COMPUTED_VALUE"""),"Numphong")</f>
        <v>Numphong</v>
      </c>
      <c r="E1283" t="str">
        <f>IFERROR(__xludf.DUMMYFUNCTION("""COMPUTED_VALUE"""),"Nopparuj Numphong")</f>
        <v>Nopparuj Numphong</v>
      </c>
      <c r="F1283" t="str">
        <f>IFERROR(__xludf.DUMMYFUNCTION("""COMPUTED_VALUE"""),"นาย")</f>
        <v>นาย</v>
      </c>
      <c r="G1283" t="str">
        <f>IFERROR(__xludf.DUMMYFUNCTION("""COMPUTED_VALUE"""),"นพรุจ")</f>
        <v>นพรุจ</v>
      </c>
      <c r="H1283" t="str">
        <f>IFERROR(__xludf.DUMMYFUNCTION("""COMPUTED_VALUE"""),"นุ่มผ่อง")</f>
        <v>นุ่มผ่อง</v>
      </c>
      <c r="I1283" t="str">
        <f>IFERROR(__xludf.DUMMYFUNCTION("""COMPUTED_VALUE"""),"นพรุจ นุ่มผ่อง")</f>
        <v>นพรุจ นุ่มผ่อง</v>
      </c>
      <c r="J1283" t="str">
        <f>IFERROR(__xludf.DUMMYFUNCTION("""COMPUTED_VALUE"""),"ภูมิ")</f>
        <v>ภูมิ</v>
      </c>
      <c r="K1283" t="str">
        <f>IFERROR(__xludf.DUMMYFUNCTION("""COMPUTED_VALUE"""),"Cabin Crew Trainee")</f>
        <v>Cabin Crew Trainee</v>
      </c>
      <c r="L1283" t="str">
        <f>IFERROR(__xludf.DUMMYFUNCTION("""COMPUTED_VALUE"""),"DMK")</f>
        <v>DMK</v>
      </c>
      <c r="M1283" s="145" t="str">
        <f>IFERROR(__xludf.DUMMYFUNCTION("""COMPUTED_VALUE"""),"Namfon Home")</f>
        <v>Namfon Home</v>
      </c>
      <c r="N1283" t="str">
        <f>IFERROR(__xludf.DUMMYFUNCTION("""COMPUTED_VALUE"""),"Active/V/BKK")</f>
        <v>Active/V/BKK</v>
      </c>
      <c r="P1283" s="156">
        <f>IFERROR(__xludf.DUMMYFUNCTION("""COMPUTED_VALUE"""),34618.0)</f>
        <v>34618</v>
      </c>
      <c r="Q1283" s="146">
        <f>IFERROR(__xludf.DUMMYFUNCTION("""COMPUTED_VALUE"""),6.14982835E8)</f>
        <v>614982835</v>
      </c>
      <c r="R1283" s="147">
        <f>IFERROR(__xludf.DUMMYFUNCTION("""COMPUTED_VALUE"""),1.909800864911E12)</f>
        <v>1909800864911</v>
      </c>
      <c r="S1283" t="str">
        <f>IFERROR(__xludf.DUMMYFUNCTION("""COMPUTED_VALUE"""),"AD0173830")</f>
        <v>AD0173830</v>
      </c>
      <c r="T1283" s="148">
        <f>IFERROR(__xludf.DUMMYFUNCTION("""COMPUTED_VALUE"""),44861.0)</f>
        <v>44861</v>
      </c>
      <c r="U1283" s="148">
        <f>IFERROR(__xludf.DUMMYFUNCTION("""COMPUTED_VALUE"""),48513.0)</f>
        <v>48513</v>
      </c>
      <c r="V1283" s="149">
        <f>IFERROR(__xludf.DUMMYFUNCTION("""COMPUTED_VALUE"""),48330.0)</f>
        <v>48330</v>
      </c>
      <c r="W1283" t="str">
        <f>IFERROR(__xludf.DUMMYFUNCTION("""COMPUTED_VALUE"""),"ปลอดภัย")</f>
        <v>ปลอดภัย</v>
      </c>
      <c r="X1283" t="str">
        <f>IFERROR(__xludf.DUMMYFUNCTION("""COMPUTED_VALUE"""),"Songkhla Province")</f>
        <v>Songkhla Province</v>
      </c>
      <c r="Y1283" t="str">
        <f>IFERROR(__xludf.DUMMYFUNCTION("""COMPUTED_VALUE"""),"Bangkok")</f>
        <v>Bangkok</v>
      </c>
      <c r="Z1283" s="145" t="str">
        <f>IFERROR(__xludf.DUMMYFUNCTION("""COMPUTED_VALUE"""),"0815982894")</f>
        <v>0815982894</v>
      </c>
      <c r="AA1283" t="str">
        <f>IFERROR(__xludf.DUMMYFUNCTION("""COMPUTED_VALUE"""),"นางไพลิน ไชยลำยา Mother")</f>
        <v>นางไพลิน ไชยลำยา Mother</v>
      </c>
      <c r="AB1283" t="str">
        <f>IFERROR(__xludf.DUMMYFUNCTION("""COMPUTED_VALUE"""),"nopparujnum@airasia.com")</f>
        <v>nopparujnum@airasia.com</v>
      </c>
    </row>
    <row r="1284">
      <c r="A1284">
        <f>IFERROR(__xludf.DUMMYFUNCTION("""COMPUTED_VALUE"""),1046332.0)</f>
        <v>1046332</v>
      </c>
      <c r="B1284" t="str">
        <f>IFERROR(__xludf.DUMMYFUNCTION("""COMPUTED_VALUE"""),"Ms.")</f>
        <v>Ms.</v>
      </c>
      <c r="C1284" t="str">
        <f>IFERROR(__xludf.DUMMYFUNCTION("""COMPUTED_VALUE"""),"Phirada")</f>
        <v>Phirada</v>
      </c>
      <c r="D1284" t="str">
        <f>IFERROR(__xludf.DUMMYFUNCTION("""COMPUTED_VALUE"""),"Pratt")</f>
        <v>Pratt</v>
      </c>
      <c r="E1284" t="str">
        <f>IFERROR(__xludf.DUMMYFUNCTION("""COMPUTED_VALUE"""),"Phirada Pratt")</f>
        <v>Phirada Pratt</v>
      </c>
      <c r="F1284" t="str">
        <f>IFERROR(__xludf.DUMMYFUNCTION("""COMPUTED_VALUE"""),"นางสาว")</f>
        <v>นางสาว</v>
      </c>
      <c r="G1284" t="str">
        <f>IFERROR(__xludf.DUMMYFUNCTION("""COMPUTED_VALUE"""),"ภิรฎา")</f>
        <v>ภิรฎา</v>
      </c>
      <c r="H1284" t="str">
        <f>IFERROR(__xludf.DUMMYFUNCTION("""COMPUTED_VALUE"""),"แพรทท์")</f>
        <v>แพรทท์</v>
      </c>
      <c r="I1284" t="str">
        <f>IFERROR(__xludf.DUMMYFUNCTION("""COMPUTED_VALUE"""),"ภิรฎา แพรทท์")</f>
        <v>ภิรฎา แพรทท์</v>
      </c>
      <c r="J1284" t="str">
        <f>IFERROR(__xludf.DUMMYFUNCTION("""COMPUTED_VALUE"""),"รฎา")</f>
        <v>รฎา</v>
      </c>
      <c r="K1284" t="str">
        <f>IFERROR(__xludf.DUMMYFUNCTION("""COMPUTED_VALUE"""),"Cabin Crew Trainee - HKT")</f>
        <v>Cabin Crew Trainee - HKT</v>
      </c>
      <c r="L1284" t="str">
        <f>IFERROR(__xludf.DUMMYFUNCTION("""COMPUTED_VALUE"""),"HKT")</f>
        <v>HKT</v>
      </c>
      <c r="M1284" s="145" t="str">
        <f>IFERROR(__xludf.DUMMYFUNCTION("""COMPUTED_VALUE"""),"Kor Home")</f>
        <v>Kor Home</v>
      </c>
      <c r="N1284" t="str">
        <f>IFERROR(__xludf.DUMMYFUNCTION("""COMPUTED_VALUE"""),"Active")</f>
        <v>Active</v>
      </c>
      <c r="P1284" s="156">
        <f>IFERROR(__xludf.DUMMYFUNCTION("""COMPUTED_VALUE"""),37126.0)</f>
        <v>37126</v>
      </c>
      <c r="Q1284" s="146">
        <f>IFERROR(__xludf.DUMMYFUNCTION("""COMPUTED_VALUE"""),8.32619565E8)</f>
        <v>832619565</v>
      </c>
      <c r="R1284" s="147">
        <f>IFERROR(__xludf.DUMMYFUNCTION("""COMPUTED_VALUE"""),1.509966153318E12)</f>
        <v>1509966153318</v>
      </c>
      <c r="S1284" t="str">
        <f>IFERROR(__xludf.DUMMYFUNCTION("""COMPUTED_VALUE"""),"AC7001116")</f>
        <v>AC7001116</v>
      </c>
      <c r="T1284" s="148">
        <f>IFERROR(__xludf.DUMMYFUNCTION("""COMPUTED_VALUE"""),45614.0)</f>
        <v>45614</v>
      </c>
      <c r="U1284" s="148">
        <f>IFERROR(__xludf.DUMMYFUNCTION("""COMPUTED_VALUE"""),49265.0)</f>
        <v>49265</v>
      </c>
      <c r="V1284" s="149">
        <f>IFERROR(__xludf.DUMMYFUNCTION("""COMPUTED_VALUE"""),49081.0)</f>
        <v>49081</v>
      </c>
      <c r="W1284" t="str">
        <f>IFERROR(__xludf.DUMMYFUNCTION("""COMPUTED_VALUE"""),"ปลอดภัย")</f>
        <v>ปลอดภัย</v>
      </c>
      <c r="X1284" t="str">
        <f>IFERROR(__xludf.DUMMYFUNCTION("""COMPUTED_VALUE"""),"Chiang Mai Province")</f>
        <v>Chiang Mai Province</v>
      </c>
      <c r="Y1284" t="str">
        <f>IFERROR(__xludf.DUMMYFUNCTION("""COMPUTED_VALUE"""),"Chiang Mai Province")</f>
        <v>Chiang Mai Province</v>
      </c>
      <c r="Z1284" s="145" t="str">
        <f>IFERROR(__xludf.DUMMYFUNCTION("""COMPUTED_VALUE"""),"0621878182")</f>
        <v>0621878182</v>
      </c>
      <c r="AA1284" t="str">
        <f>IFERROR(__xludf.DUMMYFUNCTION("""COMPUTED_VALUE"""),"นาย พชร กาหลง Friend")</f>
        <v>นาย พชร กาหลง Friend</v>
      </c>
      <c r="AB1284" t="str">
        <f>IFERROR(__xludf.DUMMYFUNCTION("""COMPUTED_VALUE"""),"phiradapra@airasia.com")</f>
        <v>phiradapra@airasia.com</v>
      </c>
    </row>
    <row r="1285">
      <c r="A1285">
        <f>IFERROR(__xludf.DUMMYFUNCTION("""COMPUTED_VALUE"""),1046333.0)</f>
        <v>1046333</v>
      </c>
      <c r="B1285" t="str">
        <f>IFERROR(__xludf.DUMMYFUNCTION("""COMPUTED_VALUE"""),"Ms.")</f>
        <v>Ms.</v>
      </c>
      <c r="C1285" t="str">
        <f>IFERROR(__xludf.DUMMYFUNCTION("""COMPUTED_VALUE"""),"Pimpitcha")</f>
        <v>Pimpitcha</v>
      </c>
      <c r="D1285" t="str">
        <f>IFERROR(__xludf.DUMMYFUNCTION("""COMPUTED_VALUE"""),"Thaiyuenwong")</f>
        <v>Thaiyuenwong</v>
      </c>
      <c r="E1285" t="str">
        <f>IFERROR(__xludf.DUMMYFUNCTION("""COMPUTED_VALUE"""),"Pimpitcha Thaiyuenwong")</f>
        <v>Pimpitcha Thaiyuenwong</v>
      </c>
      <c r="F1285" t="str">
        <f>IFERROR(__xludf.DUMMYFUNCTION("""COMPUTED_VALUE"""),"นางสาว")</f>
        <v>นางสาว</v>
      </c>
      <c r="G1285" t="str">
        <f>IFERROR(__xludf.DUMMYFUNCTION("""COMPUTED_VALUE"""),"พิมพิชชา")</f>
        <v>พิมพิชชา</v>
      </c>
      <c r="H1285" t="str">
        <f>IFERROR(__xludf.DUMMYFUNCTION("""COMPUTED_VALUE"""),"ไทยยืนวงษ์")</f>
        <v>ไทยยืนวงษ์</v>
      </c>
      <c r="I1285" t="str">
        <f>IFERROR(__xludf.DUMMYFUNCTION("""COMPUTED_VALUE"""),"พิมพิชชา	ไทยยืนวงษ์")</f>
        <v>พิมพิชชา	ไทยยืนวงษ์</v>
      </c>
      <c r="J1285" t="str">
        <f>IFERROR(__xludf.DUMMYFUNCTION("""COMPUTED_VALUE"""),"Noongnoong / หนุ่งนุ้ง")</f>
        <v>Noongnoong / หนุ่งนุ้ง</v>
      </c>
      <c r="K1285" t="str">
        <f>IFERROR(__xludf.DUMMYFUNCTION("""COMPUTED_VALUE"""),"Cabin Crew Trainee")</f>
        <v>Cabin Crew Trainee</v>
      </c>
      <c r="L1285" t="str">
        <f>IFERROR(__xludf.DUMMYFUNCTION("""COMPUTED_VALUE"""),"DMK")</f>
        <v>DMK</v>
      </c>
      <c r="M1285" s="145" t="str">
        <f>IFERROR(__xludf.DUMMYFUNCTION("""COMPUTED_VALUE"""),"Namfon Home")</f>
        <v>Namfon Home</v>
      </c>
      <c r="N1285" t="str">
        <f>IFERROR(__xludf.DUMMYFUNCTION("""COMPUTED_VALUE"""),"Active/V/BKK")</f>
        <v>Active/V/BKK</v>
      </c>
      <c r="P1285" s="156">
        <f>IFERROR(__xludf.DUMMYFUNCTION("""COMPUTED_VALUE"""),34589.0)</f>
        <v>34589</v>
      </c>
      <c r="Q1285" s="146">
        <f>IFERROR(__xludf.DUMMYFUNCTION("""COMPUTED_VALUE"""),9.1887785E8)</f>
        <v>918877850</v>
      </c>
      <c r="R1285" s="147">
        <f>IFERROR(__xludf.DUMMYFUNCTION("""COMPUTED_VALUE"""),1.11010015404E12)</f>
        <v>1110100154040</v>
      </c>
      <c r="S1285" t="str">
        <f>IFERROR(__xludf.DUMMYFUNCTION("""COMPUTED_VALUE"""),"AD0110386")</f>
        <v>AD0110386</v>
      </c>
      <c r="T1285" s="148">
        <f>IFERROR(__xludf.DUMMYFUNCTION("""COMPUTED_VALUE"""),44834.0)</f>
        <v>44834</v>
      </c>
      <c r="U1285" s="148">
        <f>IFERROR(__xludf.DUMMYFUNCTION("""COMPUTED_VALUE"""),48486.0)</f>
        <v>48486</v>
      </c>
      <c r="V1285" s="149">
        <f>IFERROR(__xludf.DUMMYFUNCTION("""COMPUTED_VALUE"""),48302.0)</f>
        <v>48302</v>
      </c>
      <c r="W1285" t="str">
        <f>IFERROR(__xludf.DUMMYFUNCTION("""COMPUTED_VALUE"""),"ปลอดภัย")</f>
        <v>ปลอดภัย</v>
      </c>
      <c r="X1285" t="str">
        <f>IFERROR(__xludf.DUMMYFUNCTION("""COMPUTED_VALUE"""),"Samut Prakan Province")</f>
        <v>Samut Prakan Province</v>
      </c>
      <c r="Y1285" t="str">
        <f>IFERROR(__xludf.DUMMYFUNCTION("""COMPUTED_VALUE"""),"Bangkok")</f>
        <v>Bangkok</v>
      </c>
      <c r="Z1285" s="145" t="str">
        <f>IFERROR(__xludf.DUMMYFUNCTION("""COMPUTED_VALUE"""),"086-570-4750")</f>
        <v>086-570-4750</v>
      </c>
      <c r="AA1285" t="str">
        <f>IFERROR(__xludf.DUMMYFUNCTION("""COMPUTED_VALUE"""),"นายวินัย ไทยยืนวงษ์ Father")</f>
        <v>นายวินัย ไทยยืนวงษ์ Father</v>
      </c>
      <c r="AB1285" t="str">
        <f>IFERROR(__xludf.DUMMYFUNCTION("""COMPUTED_VALUE"""),"pimpitchatha@airasia.com")</f>
        <v>pimpitchatha@airasia.com</v>
      </c>
    </row>
    <row r="1286">
      <c r="A1286">
        <f>IFERROR(__xludf.DUMMYFUNCTION("""COMPUTED_VALUE"""),1046335.0)</f>
        <v>1046335</v>
      </c>
      <c r="B1286" t="str">
        <f>IFERROR(__xludf.DUMMYFUNCTION("""COMPUTED_VALUE"""),"Ms.")</f>
        <v>Ms.</v>
      </c>
      <c r="C1286" t="str">
        <f>IFERROR(__xludf.DUMMYFUNCTION("""COMPUTED_VALUE"""),"Preeyapat")</f>
        <v>Preeyapat</v>
      </c>
      <c r="D1286" t="str">
        <f>IFERROR(__xludf.DUMMYFUNCTION("""COMPUTED_VALUE"""),"Rattanabuppa")</f>
        <v>Rattanabuppa</v>
      </c>
      <c r="E1286" t="str">
        <f>IFERROR(__xludf.DUMMYFUNCTION("""COMPUTED_VALUE"""),"Preeyapat Rattanabuppa")</f>
        <v>Preeyapat Rattanabuppa</v>
      </c>
      <c r="F1286" t="str">
        <f>IFERROR(__xludf.DUMMYFUNCTION("""COMPUTED_VALUE"""),"นางสาว")</f>
        <v>นางสาว</v>
      </c>
      <c r="G1286" t="str">
        <f>IFERROR(__xludf.DUMMYFUNCTION("""COMPUTED_VALUE"""),"ปรียาภัทร")</f>
        <v>ปรียาภัทร</v>
      </c>
      <c r="H1286" t="str">
        <f>IFERROR(__xludf.DUMMYFUNCTION("""COMPUTED_VALUE"""),"รัตนบุปผา")</f>
        <v>รัตนบุปผา</v>
      </c>
      <c r="I1286" t="str">
        <f>IFERROR(__xludf.DUMMYFUNCTION("""COMPUTED_VALUE"""),"ปรียาภัทร รัตนบุปผา")</f>
        <v>ปรียาภัทร รัตนบุปผา</v>
      </c>
      <c r="J1286" t="str">
        <f>IFERROR(__xludf.DUMMYFUNCTION("""COMPUTED_VALUE"""),"ซายน์")</f>
        <v>ซายน์</v>
      </c>
      <c r="K1286" t="str">
        <f>IFERROR(__xludf.DUMMYFUNCTION("""COMPUTED_VALUE"""),"Cabin Crew Trainee")</f>
        <v>Cabin Crew Trainee</v>
      </c>
      <c r="L1286" t="str">
        <f>IFERROR(__xludf.DUMMYFUNCTION("""COMPUTED_VALUE"""),"DMK")</f>
        <v>DMK</v>
      </c>
      <c r="M1286" s="145" t="str">
        <f>IFERROR(__xludf.DUMMYFUNCTION("""COMPUTED_VALUE"""),"Up Home")</f>
        <v>Up Home</v>
      </c>
      <c r="N1286" t="str">
        <f>IFERROR(__xludf.DUMMYFUNCTION("""COMPUTED_VALUE"""),"Active/V/BKK")</f>
        <v>Active/V/BKK</v>
      </c>
      <c r="P1286" s="165">
        <f>IFERROR(__xludf.DUMMYFUNCTION("""COMPUTED_VALUE"""),34105.0)</f>
        <v>34105</v>
      </c>
      <c r="Q1286" s="146">
        <f>IFERROR(__xludf.DUMMYFUNCTION("""COMPUTED_VALUE"""),6.49899099E8)</f>
        <v>649899099</v>
      </c>
      <c r="R1286" s="147">
        <f>IFERROR(__xludf.DUMMYFUNCTION("""COMPUTED_VALUE"""),1.54990033084E12)</f>
        <v>1549900330840</v>
      </c>
      <c r="S1286" t="str">
        <f>IFERROR(__xludf.DUMMYFUNCTION("""COMPUTED_VALUE"""),"AC2770702")</f>
        <v>AC2770702</v>
      </c>
      <c r="T1286" s="148">
        <f>IFERROR(__xludf.DUMMYFUNCTION("""COMPUTED_VALUE"""),44496.0)</f>
        <v>44496</v>
      </c>
      <c r="U1286" s="148">
        <f>IFERROR(__xludf.DUMMYFUNCTION("""COMPUTED_VALUE"""),48147.0)</f>
        <v>48147</v>
      </c>
      <c r="V1286" s="149">
        <f>IFERROR(__xludf.DUMMYFUNCTION("""COMPUTED_VALUE"""),47964.0)</f>
        <v>47964</v>
      </c>
      <c r="W1286" t="str">
        <f>IFERROR(__xludf.DUMMYFUNCTION("""COMPUTED_VALUE"""),"ปลอดภัย")</f>
        <v>ปลอดภัย</v>
      </c>
      <c r="X1286" t="str">
        <f>IFERROR(__xludf.DUMMYFUNCTION("""COMPUTED_VALUE"""),"Phrae Province")</f>
        <v>Phrae Province</v>
      </c>
      <c r="Y1286" t="str">
        <f>IFERROR(__xludf.DUMMYFUNCTION("""COMPUTED_VALUE"""),"Bangkok")</f>
        <v>Bangkok</v>
      </c>
      <c r="Z1286" s="145" t="str">
        <f>IFERROR(__xludf.DUMMYFUNCTION("""COMPUTED_VALUE"""),"064-989-9099")</f>
        <v>064-989-9099</v>
      </c>
      <c r="AA1286" t="str">
        <f>IFERROR(__xludf.DUMMYFUNCTION("""COMPUTED_VALUE"""),"อุษา รัตนบุปผา Mother")</f>
        <v>อุษา รัตนบุปผา Mother</v>
      </c>
      <c r="AB1286" t="str">
        <f>IFERROR(__xludf.DUMMYFUNCTION("""COMPUTED_VALUE"""),"preeyapatrat@airasia.com")</f>
        <v>preeyapatrat@airasia.com</v>
      </c>
    </row>
    <row r="1287">
      <c r="A1287">
        <f>IFERROR(__xludf.DUMMYFUNCTION("""COMPUTED_VALUE"""),1046336.0)</f>
        <v>1046336</v>
      </c>
      <c r="B1287" t="str">
        <f>IFERROR(__xludf.DUMMYFUNCTION("""COMPUTED_VALUE"""),"Ms.")</f>
        <v>Ms.</v>
      </c>
      <c r="C1287" t="str">
        <f>IFERROR(__xludf.DUMMYFUNCTION("""COMPUTED_VALUE"""),"Rinlapat")</f>
        <v>Rinlapat</v>
      </c>
      <c r="D1287" t="str">
        <f>IFERROR(__xludf.DUMMYFUNCTION("""COMPUTED_VALUE"""),"Pathomkittirot")</f>
        <v>Pathomkittirot</v>
      </c>
      <c r="E1287" t="str">
        <f>IFERROR(__xludf.DUMMYFUNCTION("""COMPUTED_VALUE"""),"Rinlapat Pathomkittirot")</f>
        <v>Rinlapat Pathomkittirot</v>
      </c>
      <c r="F1287" t="str">
        <f>IFERROR(__xludf.DUMMYFUNCTION("""COMPUTED_VALUE"""),"นางสาว")</f>
        <v>นางสาว</v>
      </c>
      <c r="G1287" t="str">
        <f>IFERROR(__xludf.DUMMYFUNCTION("""COMPUTED_VALUE"""),"รินทร์ลภัส")</f>
        <v>รินทร์ลภัส</v>
      </c>
      <c r="H1287" t="str">
        <f>IFERROR(__xludf.DUMMYFUNCTION("""COMPUTED_VALUE"""),"ปฐมกิตติโรจน์")</f>
        <v>ปฐมกิตติโรจน์</v>
      </c>
      <c r="I1287" t="str">
        <f>IFERROR(__xludf.DUMMYFUNCTION("""COMPUTED_VALUE"""),"รินทร์ลภัส ปฐมกิตติโรจน์")</f>
        <v>รินทร์ลภัส ปฐมกิตติโรจน์</v>
      </c>
      <c r="J1287" t="str">
        <f>IFERROR(__xludf.DUMMYFUNCTION("""COMPUTED_VALUE"""),"Breeze / บรีซ")</f>
        <v>Breeze / บรีซ</v>
      </c>
      <c r="K1287" t="str">
        <f>IFERROR(__xludf.DUMMYFUNCTION("""COMPUTED_VALUE"""),"Cabin Crew Trainee")</f>
        <v>Cabin Crew Trainee</v>
      </c>
      <c r="L1287" t="str">
        <f>IFERROR(__xludf.DUMMYFUNCTION("""COMPUTED_VALUE"""),"DMK")</f>
        <v>DMK</v>
      </c>
      <c r="M1287" s="145" t="str">
        <f>IFERROR(__xludf.DUMMYFUNCTION("""COMPUTED_VALUE"""),"Up Home")</f>
        <v>Up Home</v>
      </c>
      <c r="N1287" t="str">
        <f>IFERROR(__xludf.DUMMYFUNCTION("""COMPUTED_VALUE"""),"Active")</f>
        <v>Active</v>
      </c>
      <c r="P1287" s="156">
        <f>IFERROR(__xludf.DUMMYFUNCTION("""COMPUTED_VALUE"""),35107.0)</f>
        <v>35107</v>
      </c>
      <c r="Q1287" s="146">
        <f>IFERROR(__xludf.DUMMYFUNCTION("""COMPUTED_VALUE"""),6.23932695E8)</f>
        <v>623932695</v>
      </c>
      <c r="R1287" s="147">
        <f>IFERROR(__xludf.DUMMYFUNCTION("""COMPUTED_VALUE"""),1.809700257348E12)</f>
        <v>1809700257348</v>
      </c>
      <c r="S1287" t="str">
        <f>IFERROR(__xludf.DUMMYFUNCTION("""COMPUTED_VALUE"""),"AD0008927")</f>
        <v>AD0008927</v>
      </c>
      <c r="T1287" s="148">
        <f>IFERROR(__xludf.DUMMYFUNCTION("""COMPUTED_VALUE"""),44845.0)</f>
        <v>44845</v>
      </c>
      <c r="U1287" s="148">
        <f>IFERROR(__xludf.DUMMYFUNCTION("""COMPUTED_VALUE"""),48497.0)</f>
        <v>48497</v>
      </c>
      <c r="V1287" s="149">
        <f>IFERROR(__xludf.DUMMYFUNCTION("""COMPUTED_VALUE"""),48314.0)</f>
        <v>48314</v>
      </c>
      <c r="W1287" t="str">
        <f>IFERROR(__xludf.DUMMYFUNCTION("""COMPUTED_VALUE"""),"ปลอดภัย")</f>
        <v>ปลอดภัย</v>
      </c>
      <c r="X1287" t="str">
        <f>IFERROR(__xludf.DUMMYFUNCTION("""COMPUTED_VALUE"""),"Nakhon Si Thammarat Province")</f>
        <v>Nakhon Si Thammarat Province</v>
      </c>
      <c r="Y1287" t="str">
        <f>IFERROR(__xludf.DUMMYFUNCTION("""COMPUTED_VALUE"""),"Nonthaburi")</f>
        <v>Nonthaburi</v>
      </c>
      <c r="Z1287" s="145" t="str">
        <f>IFERROR(__xludf.DUMMYFUNCTION("""COMPUTED_VALUE"""),"0899278952")</f>
        <v>0899278952</v>
      </c>
      <c r="AA1287" t="str">
        <f>IFERROR(__xludf.DUMMYFUNCTION("""COMPUTED_VALUE"""),"นาย สันติภาพ ชงเชื้อ Friend")</f>
        <v>นาย สันติภาพ ชงเชื้อ Friend</v>
      </c>
      <c r="AB1287" t="str">
        <f>IFERROR(__xludf.DUMMYFUNCTION("""COMPUTED_VALUE"""),"rinlapatpat@airasia.com")</f>
        <v>rinlapatpat@airasia.com</v>
      </c>
    </row>
    <row r="1288">
      <c r="A1288">
        <f>IFERROR(__xludf.DUMMYFUNCTION("""COMPUTED_VALUE"""),1046337.0)</f>
        <v>1046337</v>
      </c>
      <c r="B1288" t="str">
        <f>IFERROR(__xludf.DUMMYFUNCTION("""COMPUTED_VALUE"""),"Ms.")</f>
        <v>Ms.</v>
      </c>
      <c r="C1288" t="str">
        <f>IFERROR(__xludf.DUMMYFUNCTION("""COMPUTED_VALUE"""),"Suchanun")</f>
        <v>Suchanun</v>
      </c>
      <c r="D1288" t="str">
        <f>IFERROR(__xludf.DUMMYFUNCTION("""COMPUTED_VALUE"""),"Khunboonchan")</f>
        <v>Khunboonchan</v>
      </c>
      <c r="E1288" t="str">
        <f>IFERROR(__xludf.DUMMYFUNCTION("""COMPUTED_VALUE"""),"Suchanun Khunboonchan")</f>
        <v>Suchanun Khunboonchan</v>
      </c>
      <c r="F1288" t="str">
        <f>IFERROR(__xludf.DUMMYFUNCTION("""COMPUTED_VALUE"""),"นางสาว")</f>
        <v>นางสาว</v>
      </c>
      <c r="G1288" t="str">
        <f>IFERROR(__xludf.DUMMYFUNCTION("""COMPUTED_VALUE"""),"สุชานันท์")</f>
        <v>สุชานันท์</v>
      </c>
      <c r="H1288" t="str">
        <f>IFERROR(__xludf.DUMMYFUNCTION("""COMPUTED_VALUE"""),"ขุนบุญจันทร์")</f>
        <v>ขุนบุญจันทร์</v>
      </c>
      <c r="I1288" t="str">
        <f>IFERROR(__xludf.DUMMYFUNCTION("""COMPUTED_VALUE"""),"สุชานันท์	ขุนบุญจันทร์")</f>
        <v>สุชานันท์	ขุนบุญจันทร์</v>
      </c>
      <c r="J1288" t="str">
        <f>IFERROR(__xludf.DUMMYFUNCTION("""COMPUTED_VALUE"""),"Bee / บี")</f>
        <v>Bee / บี</v>
      </c>
      <c r="K1288" t="str">
        <f>IFERROR(__xludf.DUMMYFUNCTION("""COMPUTED_VALUE"""),"Cabin Crew Trainee")</f>
        <v>Cabin Crew Trainee</v>
      </c>
      <c r="L1288" t="str">
        <f>IFERROR(__xludf.DUMMYFUNCTION("""COMPUTED_VALUE"""),"DMK")</f>
        <v>DMK</v>
      </c>
      <c r="M1288" s="145" t="str">
        <f>IFERROR(__xludf.DUMMYFUNCTION("""COMPUTED_VALUE"""),"Um Home")</f>
        <v>Um Home</v>
      </c>
      <c r="N1288" t="str">
        <f>IFERROR(__xludf.DUMMYFUNCTION("""COMPUTED_VALUE"""),"Active/V/BKK")</f>
        <v>Active/V/BKK</v>
      </c>
      <c r="P1288" s="156">
        <f>IFERROR(__xludf.DUMMYFUNCTION("""COMPUTED_VALUE"""),35629.0)</f>
        <v>35629</v>
      </c>
      <c r="Q1288" s="146">
        <f>IFERROR(__xludf.DUMMYFUNCTION("""COMPUTED_VALUE"""),8.89094321E8)</f>
        <v>889094321</v>
      </c>
      <c r="R1288" s="147">
        <f>IFERROR(__xludf.DUMMYFUNCTION("""COMPUTED_VALUE"""),1.10300012446E12)</f>
        <v>1103000124460</v>
      </c>
      <c r="S1288" t="str">
        <f>IFERROR(__xludf.DUMMYFUNCTION("""COMPUTED_VALUE"""),"AC5103000")</f>
        <v>AC5103000</v>
      </c>
      <c r="T1288" s="148">
        <f>IFERROR(__xludf.DUMMYFUNCTION("""COMPUTED_VALUE"""),45084.0)</f>
        <v>45084</v>
      </c>
      <c r="U1288" s="148">
        <f>IFERROR(__xludf.DUMMYFUNCTION("""COMPUTED_VALUE"""),46912.0)</f>
        <v>46912</v>
      </c>
      <c r="V1288" s="149">
        <f>IFERROR(__xludf.DUMMYFUNCTION("""COMPUTED_VALUE"""),46729.0)</f>
        <v>46729</v>
      </c>
      <c r="W1288" t="str">
        <f>IFERROR(__xludf.DUMMYFUNCTION("""COMPUTED_VALUE"""),"ปลอดภัย")</f>
        <v>ปลอดภัย</v>
      </c>
      <c r="X1288" t="str">
        <f>IFERROR(__xludf.DUMMYFUNCTION("""COMPUTED_VALUE"""),"Bangkok")</f>
        <v>Bangkok</v>
      </c>
      <c r="Y1288" t="str">
        <f>IFERROR(__xludf.DUMMYFUNCTION("""COMPUTED_VALUE"""),"Pathum Thani")</f>
        <v>Pathum Thani</v>
      </c>
      <c r="Z1288" s="145" t="str">
        <f>IFERROR(__xludf.DUMMYFUNCTION("""COMPUTED_VALUE"""),"0919334115")</f>
        <v>0919334115</v>
      </c>
      <c r="AA1288" t="str">
        <f>IFERROR(__xludf.DUMMYFUNCTION("""COMPUTED_VALUE"""),"สมบูรณ์ ขุนบุญจันทร์ Father")</f>
        <v>สมบูรณ์ ขุนบุญจันทร์ Father</v>
      </c>
      <c r="AB1288" t="str">
        <f>IFERROR(__xludf.DUMMYFUNCTION("""COMPUTED_VALUE"""),"suchanunkhu@airasia.com")</f>
        <v>suchanunkhu@airasia.com</v>
      </c>
    </row>
    <row r="1289">
      <c r="A1289">
        <f>IFERROR(__xludf.DUMMYFUNCTION("""COMPUTED_VALUE"""),1046338.0)</f>
        <v>1046338</v>
      </c>
      <c r="B1289" t="str">
        <f>IFERROR(__xludf.DUMMYFUNCTION("""COMPUTED_VALUE"""),"Ms.")</f>
        <v>Ms.</v>
      </c>
      <c r="C1289" t="str">
        <f>IFERROR(__xludf.DUMMYFUNCTION("""COMPUTED_VALUE"""),"Suchanya")</f>
        <v>Suchanya</v>
      </c>
      <c r="D1289" t="str">
        <f>IFERROR(__xludf.DUMMYFUNCTION("""COMPUTED_VALUE"""),"Jantanarath")</f>
        <v>Jantanarath</v>
      </c>
      <c r="E1289" t="str">
        <f>IFERROR(__xludf.DUMMYFUNCTION("""COMPUTED_VALUE"""),"Suchanya Jantanarath")</f>
        <v>Suchanya Jantanarath</v>
      </c>
      <c r="F1289" t="str">
        <f>IFERROR(__xludf.DUMMYFUNCTION("""COMPUTED_VALUE"""),"นางสาว")</f>
        <v>นางสาว</v>
      </c>
      <c r="G1289" t="str">
        <f>IFERROR(__xludf.DUMMYFUNCTION("""COMPUTED_VALUE"""),"สุชัญญา")</f>
        <v>สุชัญญา</v>
      </c>
      <c r="H1289" t="str">
        <f>IFERROR(__xludf.DUMMYFUNCTION("""COMPUTED_VALUE"""),"จันทนราช")</f>
        <v>จันทนราช</v>
      </c>
      <c r="I1289" t="str">
        <f>IFERROR(__xludf.DUMMYFUNCTION("""COMPUTED_VALUE"""),"สุชัญญา	จันทนราช")</f>
        <v>สุชัญญา	จันทนราช</v>
      </c>
      <c r="J1289" t="str">
        <f>IFERROR(__xludf.DUMMYFUNCTION("""COMPUTED_VALUE"""),"Opal / โอปอล")</f>
        <v>Opal / โอปอล</v>
      </c>
      <c r="K1289" t="str">
        <f>IFERROR(__xludf.DUMMYFUNCTION("""COMPUTED_VALUE"""),"Cabin Crew Trainee")</f>
        <v>Cabin Crew Trainee</v>
      </c>
      <c r="L1289" t="str">
        <f>IFERROR(__xludf.DUMMYFUNCTION("""COMPUTED_VALUE"""),"DMK")</f>
        <v>DMK</v>
      </c>
      <c r="M1289" s="145" t="str">
        <f>IFERROR(__xludf.DUMMYFUNCTION("""COMPUTED_VALUE"""),"Um Home")</f>
        <v>Um Home</v>
      </c>
      <c r="N1289" t="str">
        <f>IFERROR(__xludf.DUMMYFUNCTION("""COMPUTED_VALUE"""),"Active/V/BKK")</f>
        <v>Active/V/BKK</v>
      </c>
      <c r="P1289" s="156">
        <f>IFERROR(__xludf.DUMMYFUNCTION("""COMPUTED_VALUE"""),34256.0)</f>
        <v>34256</v>
      </c>
      <c r="Q1289" s="146">
        <f>IFERROR(__xludf.DUMMYFUNCTION("""COMPUTED_VALUE"""),9.96152455E8)</f>
        <v>996152455</v>
      </c>
      <c r="R1289" s="147">
        <f>IFERROR(__xludf.DUMMYFUNCTION("""COMPUTED_VALUE"""),1.103701225246E12)</f>
        <v>1103701225246</v>
      </c>
      <c r="S1289" t="str">
        <f>IFERROR(__xludf.DUMMYFUNCTION("""COMPUTED_VALUE"""),"AC2842665")</f>
        <v>AC2842665</v>
      </c>
      <c r="T1289" s="148">
        <f>IFERROR(__xludf.DUMMYFUNCTION("""COMPUTED_VALUE"""),44526.0)</f>
        <v>44526</v>
      </c>
      <c r="U1289" s="148">
        <f>IFERROR(__xludf.DUMMYFUNCTION("""COMPUTED_VALUE"""),48177.0)</f>
        <v>48177</v>
      </c>
      <c r="V1289" s="149">
        <f>IFERROR(__xludf.DUMMYFUNCTION("""COMPUTED_VALUE"""),47993.0)</f>
        <v>47993</v>
      </c>
      <c r="W1289" t="str">
        <f>IFERROR(__xludf.DUMMYFUNCTION("""COMPUTED_VALUE"""),"ปลอดภัย")</f>
        <v>ปลอดภัย</v>
      </c>
      <c r="X1289" t="str">
        <f>IFERROR(__xludf.DUMMYFUNCTION("""COMPUTED_VALUE"""),"Bangkok")</f>
        <v>Bangkok</v>
      </c>
      <c r="Y1289" t="str">
        <f>IFERROR(__xludf.DUMMYFUNCTION("""COMPUTED_VALUE"""),"Bangkok")</f>
        <v>Bangkok</v>
      </c>
      <c r="Z1289" s="145" t="str">
        <f>IFERROR(__xludf.DUMMYFUNCTION("""COMPUTED_VALUE"""),"085-569-1416")</f>
        <v>085-569-1416</v>
      </c>
      <c r="AA1289" t="str">
        <f>IFERROR(__xludf.DUMMYFUNCTION("""COMPUTED_VALUE"""),"นายบวรนาถ สุวิวัฒน์ Friend")</f>
        <v>นายบวรนาถ สุวิวัฒน์ Friend</v>
      </c>
      <c r="AB1289" t="str">
        <f>IFERROR(__xludf.DUMMYFUNCTION("""COMPUTED_VALUE"""),"suchanyajan@airasia.com")</f>
        <v>suchanyajan@airasia.com</v>
      </c>
    </row>
    <row r="1290">
      <c r="A1290">
        <f>IFERROR(__xludf.DUMMYFUNCTION("""COMPUTED_VALUE"""),1046340.0)</f>
        <v>1046340</v>
      </c>
      <c r="B1290" t="str">
        <f>IFERROR(__xludf.DUMMYFUNCTION("""COMPUTED_VALUE"""),"Ms.")</f>
        <v>Ms.</v>
      </c>
      <c r="C1290" t="str">
        <f>IFERROR(__xludf.DUMMYFUNCTION("""COMPUTED_VALUE"""),"Wachira")</f>
        <v>Wachira</v>
      </c>
      <c r="D1290" t="str">
        <f>IFERROR(__xludf.DUMMYFUNCTION("""COMPUTED_VALUE"""),"Thanasombut")</f>
        <v>Thanasombut</v>
      </c>
      <c r="E1290" t="str">
        <f>IFERROR(__xludf.DUMMYFUNCTION("""COMPUTED_VALUE"""),"Wachira Thanasombut")</f>
        <v>Wachira Thanasombut</v>
      </c>
      <c r="F1290" t="str">
        <f>IFERROR(__xludf.DUMMYFUNCTION("""COMPUTED_VALUE"""),"นางสาว")</f>
        <v>นางสาว</v>
      </c>
      <c r="G1290" t="str">
        <f>IFERROR(__xludf.DUMMYFUNCTION("""COMPUTED_VALUE"""),"วชิรา")</f>
        <v>วชิรา</v>
      </c>
      <c r="H1290" t="str">
        <f>IFERROR(__xludf.DUMMYFUNCTION("""COMPUTED_VALUE"""),"ธนะสมบัติ")</f>
        <v>ธนะสมบัติ</v>
      </c>
      <c r="I1290" t="str">
        <f>IFERROR(__xludf.DUMMYFUNCTION("""COMPUTED_VALUE"""),"วชิรา ธนะสมบัติ")</f>
        <v>วชิรา ธนะสมบัติ</v>
      </c>
      <c r="J1290" t="str">
        <f>IFERROR(__xludf.DUMMYFUNCTION("""COMPUTED_VALUE"""),"Pim/พิม")</f>
        <v>Pim/พิม</v>
      </c>
      <c r="K1290" t="str">
        <f>IFERROR(__xludf.DUMMYFUNCTION("""COMPUTED_VALUE"""),"Cabin Crew Trainee")</f>
        <v>Cabin Crew Trainee</v>
      </c>
      <c r="L1290" t="str">
        <f>IFERROR(__xludf.DUMMYFUNCTION("""COMPUTED_VALUE"""),"DMK")</f>
        <v>DMK</v>
      </c>
      <c r="M1290" s="145" t="str">
        <f>IFERROR(__xludf.DUMMYFUNCTION("""COMPUTED_VALUE"""),"Namfon Home")</f>
        <v>Namfon Home</v>
      </c>
      <c r="N1290" t="str">
        <f>IFERROR(__xludf.DUMMYFUNCTION("""COMPUTED_VALUE"""),"Active/V/BKK")</f>
        <v>Active/V/BKK</v>
      </c>
      <c r="P1290" s="165">
        <f>IFERROR(__xludf.DUMMYFUNCTION("""COMPUTED_VALUE"""),33752.0)</f>
        <v>33752</v>
      </c>
      <c r="Q1290" s="146">
        <f>IFERROR(__xludf.DUMMYFUNCTION("""COMPUTED_VALUE"""),8.22586776E8)</f>
        <v>822586776</v>
      </c>
      <c r="R1290" s="147">
        <f>IFERROR(__xludf.DUMMYFUNCTION("""COMPUTED_VALUE"""),1.209700415674E12)</f>
        <v>1209700415674</v>
      </c>
      <c r="S1290" t="str">
        <f>IFERROR(__xludf.DUMMYFUNCTION("""COMPUTED_VALUE"""),"AC5647010")</f>
        <v>AC5647010</v>
      </c>
      <c r="T1290" s="148">
        <f>IFERROR(__xludf.DUMMYFUNCTION("""COMPUTED_VALUE"""),45174.0)</f>
        <v>45174</v>
      </c>
      <c r="U1290" s="148">
        <f>IFERROR(__xludf.DUMMYFUNCTION("""COMPUTED_VALUE"""),48826.0)</f>
        <v>48826</v>
      </c>
      <c r="V1290" s="149">
        <f>IFERROR(__xludf.DUMMYFUNCTION("""COMPUTED_VALUE"""),48642.0)</f>
        <v>48642</v>
      </c>
      <c r="W1290" t="str">
        <f>IFERROR(__xludf.DUMMYFUNCTION("""COMPUTED_VALUE"""),"ปลอดภัย")</f>
        <v>ปลอดภัย</v>
      </c>
      <c r="X1290" t="str">
        <f>IFERROR(__xludf.DUMMYFUNCTION("""COMPUTED_VALUE"""),"Chonburi Province")</f>
        <v>Chonburi Province</v>
      </c>
      <c r="Y1290" t="str">
        <f>IFERROR(__xludf.DUMMYFUNCTION("""COMPUTED_VALUE"""),"Bangkok")</f>
        <v>Bangkok</v>
      </c>
      <c r="Z1290" s="145" t="str">
        <f>IFERROR(__xludf.DUMMYFUNCTION("""COMPUTED_VALUE"""),"0851666220")</f>
        <v>0851666220</v>
      </c>
      <c r="AA1290" t="str">
        <f>IFERROR(__xludf.DUMMYFUNCTION("""COMPUTED_VALUE"""),"นายสุธนัช สุขุมาลพันธ์ Husband")</f>
        <v>นายสุธนัช สุขุมาลพันธ์ Husband</v>
      </c>
      <c r="AB1290" t="str">
        <f>IFERROR(__xludf.DUMMYFUNCTION("""COMPUTED_VALUE"""),"wachiratha@airasia.com")</f>
        <v>wachiratha@airasia.com</v>
      </c>
    </row>
    <row r="1291">
      <c r="A1291">
        <f>IFERROR(__xludf.DUMMYFUNCTION("""COMPUTED_VALUE"""),1046341.0)</f>
        <v>1046341</v>
      </c>
      <c r="B1291" t="str">
        <f>IFERROR(__xludf.DUMMYFUNCTION("""COMPUTED_VALUE"""),"Ms.")</f>
        <v>Ms.</v>
      </c>
      <c r="C1291" t="str">
        <f>IFERROR(__xludf.DUMMYFUNCTION("""COMPUTED_VALUE"""),"Wanatchaphon")</f>
        <v>Wanatchaphon</v>
      </c>
      <c r="D1291" t="str">
        <f>IFERROR(__xludf.DUMMYFUNCTION("""COMPUTED_VALUE"""),"Srisuwan")</f>
        <v>Srisuwan</v>
      </c>
      <c r="E1291" t="str">
        <f>IFERROR(__xludf.DUMMYFUNCTION("""COMPUTED_VALUE"""),"Wanatchaphon Srisuwan")</f>
        <v>Wanatchaphon Srisuwan</v>
      </c>
      <c r="F1291" t="str">
        <f>IFERROR(__xludf.DUMMYFUNCTION("""COMPUTED_VALUE"""),"นางสาว")</f>
        <v>นางสาว</v>
      </c>
      <c r="G1291" t="str">
        <f>IFERROR(__xludf.DUMMYFUNCTION("""COMPUTED_VALUE"""),"วนัชพร")</f>
        <v>วนัชพร</v>
      </c>
      <c r="H1291" t="str">
        <f>IFERROR(__xludf.DUMMYFUNCTION("""COMPUTED_VALUE"""),"ศรีสุวรรณ")</f>
        <v>ศรีสุวรรณ</v>
      </c>
      <c r="I1291" t="str">
        <f>IFERROR(__xludf.DUMMYFUNCTION("""COMPUTED_VALUE"""),"วนัชพร ศรีสุวรรณ")</f>
        <v>วนัชพร ศรีสุวรรณ</v>
      </c>
      <c r="J1291" t="str">
        <f>IFERROR(__xludf.DUMMYFUNCTION("""COMPUTED_VALUE"""),"บีม")</f>
        <v>บีม</v>
      </c>
      <c r="K1291" t="str">
        <f>IFERROR(__xludf.DUMMYFUNCTION("""COMPUTED_VALUE"""),"Cabin Crew Trainee - HKT")</f>
        <v>Cabin Crew Trainee - HKT</v>
      </c>
      <c r="L1291" t="str">
        <f>IFERROR(__xludf.DUMMYFUNCTION("""COMPUTED_VALUE"""),"HKT")</f>
        <v>HKT</v>
      </c>
      <c r="M1291" s="145" t="str">
        <f>IFERROR(__xludf.DUMMYFUNCTION("""COMPUTED_VALUE"""),"Kor Home")</f>
        <v>Kor Home</v>
      </c>
      <c r="N1291" t="str">
        <f>IFERROR(__xludf.DUMMYFUNCTION("""COMPUTED_VALUE"""),"Active")</f>
        <v>Active</v>
      </c>
      <c r="P1291" s="156">
        <f>IFERROR(__xludf.DUMMYFUNCTION("""COMPUTED_VALUE"""),37375.0)</f>
        <v>37375</v>
      </c>
      <c r="Q1291" s="146">
        <f>IFERROR(__xludf.DUMMYFUNCTION("""COMPUTED_VALUE"""),9.02326908E8)</f>
        <v>902326908</v>
      </c>
      <c r="R1291" s="147">
        <f>IFERROR(__xludf.DUMMYFUNCTION("""COMPUTED_VALUE"""),1.969900379438E12)</f>
        <v>1969900379438</v>
      </c>
      <c r="S1291" t="str">
        <f>IFERROR(__xludf.DUMMYFUNCTION("""COMPUTED_VALUE"""),"AC4282748")</f>
        <v>AC4282748</v>
      </c>
      <c r="T1291" s="148">
        <f>IFERROR(__xludf.DUMMYFUNCTION("""COMPUTED_VALUE"""),44910.0)</f>
        <v>44910</v>
      </c>
      <c r="U1291" s="148">
        <f>IFERROR(__xludf.DUMMYFUNCTION("""COMPUTED_VALUE"""),48562.0)</f>
        <v>48562</v>
      </c>
      <c r="V1291" s="149">
        <f>IFERROR(__xludf.DUMMYFUNCTION("""COMPUTED_VALUE"""),48379.0)</f>
        <v>48379</v>
      </c>
      <c r="W1291" t="str">
        <f>IFERROR(__xludf.DUMMYFUNCTION("""COMPUTED_VALUE"""),"ปลอดภัย")</f>
        <v>ปลอดภัย</v>
      </c>
      <c r="X1291" t="str">
        <f>IFERROR(__xludf.DUMMYFUNCTION("""COMPUTED_VALUE"""),"Narathiwat Province")</f>
        <v>Narathiwat Province</v>
      </c>
      <c r="Y1291" t="str">
        <f>IFERROR(__xludf.DUMMYFUNCTION("""COMPUTED_VALUE"""),"Bangkok")</f>
        <v>Bangkok</v>
      </c>
      <c r="Z1291" s="145" t="str">
        <f>IFERROR(__xludf.DUMMYFUNCTION("""COMPUTED_VALUE"""),"0872948220")</f>
        <v>0872948220</v>
      </c>
      <c r="AA1291" t="str">
        <f>IFERROR(__xludf.DUMMYFUNCTION("""COMPUTED_VALUE"""),"นางราตรี ศรีสุวรรณ Mother")</f>
        <v>นางราตรี ศรีสุวรรณ Mother</v>
      </c>
      <c r="AB1291" t="str">
        <f>IFERROR(__xludf.DUMMYFUNCTION("""COMPUTED_VALUE"""),"wanatchaphonsri@airasia.com")</f>
        <v>wanatchaphonsri@airasia.com</v>
      </c>
    </row>
    <row r="1292">
      <c r="A1292">
        <f>IFERROR(__xludf.DUMMYFUNCTION("""COMPUTED_VALUE"""),1046365.0)</f>
        <v>1046365</v>
      </c>
      <c r="B1292" t="str">
        <f>IFERROR(__xludf.DUMMYFUNCTION("""COMPUTED_VALUE"""),"Ms.")</f>
        <v>Ms.</v>
      </c>
      <c r="C1292" t="str">
        <f>IFERROR(__xludf.DUMMYFUNCTION("""COMPUTED_VALUE"""),"Airada")</f>
        <v>Airada</v>
      </c>
      <c r="D1292" t="str">
        <f>IFERROR(__xludf.DUMMYFUNCTION("""COMPUTED_VALUE"""),"Anurak")</f>
        <v>Anurak</v>
      </c>
      <c r="E1292" t="str">
        <f>IFERROR(__xludf.DUMMYFUNCTION("""COMPUTED_VALUE"""),"Airada Anurak")</f>
        <v>Airada Anurak</v>
      </c>
      <c r="F1292" t="str">
        <f>IFERROR(__xludf.DUMMYFUNCTION("""COMPUTED_VALUE"""),"นางสาว")</f>
        <v>นางสาว</v>
      </c>
      <c r="G1292" t="str">
        <f>IFERROR(__xludf.DUMMYFUNCTION("""COMPUTED_VALUE"""),"อัยรดา")</f>
        <v>อัยรดา</v>
      </c>
      <c r="H1292" t="str">
        <f>IFERROR(__xludf.DUMMYFUNCTION("""COMPUTED_VALUE"""),"อนุรักษ์")</f>
        <v>อนุรักษ์</v>
      </c>
      <c r="I1292" t="str">
        <f>IFERROR(__xludf.DUMMYFUNCTION("""COMPUTED_VALUE"""),"อัยรดา อนุรักษ์")</f>
        <v>อัยรดา อนุรักษ์</v>
      </c>
      <c r="J1292" t="str">
        <f>IFERROR(__xludf.DUMMYFUNCTION("""COMPUTED_VALUE"""),"อาร์ช่า")</f>
        <v>อาร์ช่า</v>
      </c>
      <c r="K1292" t="str">
        <f>IFERROR(__xludf.DUMMYFUNCTION("""COMPUTED_VALUE"""),"Cabin Crew Trainee")</f>
        <v>Cabin Crew Trainee</v>
      </c>
      <c r="L1292" t="str">
        <f>IFERROR(__xludf.DUMMYFUNCTION("""COMPUTED_VALUE"""),"DMK")</f>
        <v>DMK</v>
      </c>
      <c r="M1292" s="145" t="str">
        <f>IFERROR(__xludf.DUMMYFUNCTION("""COMPUTED_VALUE"""),"Up Home")</f>
        <v>Up Home</v>
      </c>
      <c r="N1292" t="str">
        <f>IFERROR(__xludf.DUMMYFUNCTION("""COMPUTED_VALUE"""),"Active")</f>
        <v>Active</v>
      </c>
      <c r="P1292" s="156">
        <f>IFERROR(__xludf.DUMMYFUNCTION("""COMPUTED_VALUE"""),34819.0)</f>
        <v>34819</v>
      </c>
      <c r="Q1292" s="146">
        <f>IFERROR(__xludf.DUMMYFUNCTION("""COMPUTED_VALUE"""),9.91979664E8)</f>
        <v>991979664</v>
      </c>
      <c r="R1292" s="147">
        <f>IFERROR(__xludf.DUMMYFUNCTION("""COMPUTED_VALUE"""),1.579900598354E12)</f>
        <v>1579900598354</v>
      </c>
      <c r="S1292" t="str">
        <f>IFERROR(__xludf.DUMMYFUNCTION("""COMPUTED_VALUE"""),"AC2937595")</f>
        <v>AC2937595</v>
      </c>
      <c r="T1292" s="148">
        <f>IFERROR(__xludf.DUMMYFUNCTION("""COMPUTED_VALUE"""),44634.0)</f>
        <v>44634</v>
      </c>
      <c r="U1292" s="148">
        <f>IFERROR(__xludf.DUMMYFUNCTION("""COMPUTED_VALUE"""),46459.0)</f>
        <v>46459</v>
      </c>
      <c r="V1292" s="149">
        <f>IFERROR(__xludf.DUMMYFUNCTION("""COMPUTED_VALUE"""),46278.0)</f>
        <v>46278</v>
      </c>
      <c r="W1292" t="str">
        <f>IFERROR(__xludf.DUMMYFUNCTION("""COMPUTED_VALUE"""),"ปลอดภัย")</f>
        <v>ปลอดภัย</v>
      </c>
      <c r="X1292" t="str">
        <f>IFERROR(__xludf.DUMMYFUNCTION("""COMPUTED_VALUE"""),"Chiang Rai Province")</f>
        <v>Chiang Rai Province</v>
      </c>
      <c r="Y1292" t="str">
        <f>IFERROR(__xludf.DUMMYFUNCTION("""COMPUTED_VALUE"""),"Bangkok")</f>
        <v>Bangkok</v>
      </c>
      <c r="Z1292" s="145" t="str">
        <f>IFERROR(__xludf.DUMMYFUNCTION("""COMPUTED_VALUE"""),"085-1954593")</f>
        <v>085-1954593</v>
      </c>
      <c r="AA1292" t="str">
        <f>IFERROR(__xludf.DUMMYFUNCTION("""COMPUTED_VALUE"""),"นางสาว นฐิณี ตันมาละ Sister")</f>
        <v>นางสาว นฐิณี ตันมาละ Sister</v>
      </c>
      <c r="AB1292" t="str">
        <f>IFERROR(__xludf.DUMMYFUNCTION("""COMPUTED_VALUE"""),"airadaanu@airasia.com")</f>
        <v>airadaanu@airasia.com</v>
      </c>
    </row>
    <row r="1293">
      <c r="A1293">
        <f>IFERROR(__xludf.DUMMYFUNCTION("""COMPUTED_VALUE"""),1046367.0)</f>
        <v>1046367</v>
      </c>
      <c r="B1293" t="str">
        <f>IFERROR(__xludf.DUMMYFUNCTION("""COMPUTED_VALUE"""),"Ms.")</f>
        <v>Ms.</v>
      </c>
      <c r="C1293" t="str">
        <f>IFERROR(__xludf.DUMMYFUNCTION("""COMPUTED_VALUE"""),"Laphatwarin")</f>
        <v>Laphatwarin</v>
      </c>
      <c r="D1293" t="str">
        <f>IFERROR(__xludf.DUMMYFUNCTION("""COMPUTED_VALUE"""),"Phaesongphat")</f>
        <v>Phaesongphat</v>
      </c>
      <c r="E1293" t="str">
        <f>IFERROR(__xludf.DUMMYFUNCTION("""COMPUTED_VALUE"""),"Laphatwarin Phaesongphat")</f>
        <v>Laphatwarin Phaesongphat</v>
      </c>
      <c r="F1293" t="str">
        <f>IFERROR(__xludf.DUMMYFUNCTION("""COMPUTED_VALUE"""),"นางสาว")</f>
        <v>นางสาว</v>
      </c>
      <c r="G1293" t="str">
        <f>IFERROR(__xludf.DUMMYFUNCTION("""COMPUTED_VALUE"""),"ลภัสวรินย์")</f>
        <v>ลภัสวรินย์</v>
      </c>
      <c r="H1293" t="str">
        <f>IFERROR(__xludf.DUMMYFUNCTION("""COMPUTED_VALUE"""),"แพทรงพัฒน์")</f>
        <v>แพทรงพัฒน์</v>
      </c>
      <c r="I1293" t="str">
        <f>IFERROR(__xludf.DUMMYFUNCTION("""COMPUTED_VALUE"""),"ลภัสวรินย์ แพทรงพัฒน์")</f>
        <v>ลภัสวรินย์ แพทรงพัฒน์</v>
      </c>
      <c r="J1293" t="str">
        <f>IFERROR(__xludf.DUMMYFUNCTION("""COMPUTED_VALUE"""),"Sah / ซะห์")</f>
        <v>Sah / ซะห์</v>
      </c>
      <c r="K1293" t="str">
        <f>IFERROR(__xludf.DUMMYFUNCTION("""COMPUTED_VALUE"""),"Cabin Crew Trainee")</f>
        <v>Cabin Crew Trainee</v>
      </c>
      <c r="L1293" t="str">
        <f>IFERROR(__xludf.DUMMYFUNCTION("""COMPUTED_VALUE"""),"DMK")</f>
        <v>DMK</v>
      </c>
      <c r="M1293" s="145" t="str">
        <f>IFERROR(__xludf.DUMMYFUNCTION("""COMPUTED_VALUE"""),"Toffy Home")</f>
        <v>Toffy Home</v>
      </c>
      <c r="N1293" t="str">
        <f>IFERROR(__xludf.DUMMYFUNCTION("""COMPUTED_VALUE"""),"Active/V/BKK")</f>
        <v>Active/V/BKK</v>
      </c>
      <c r="P1293" s="156">
        <f>IFERROR(__xludf.DUMMYFUNCTION("""COMPUTED_VALUE"""),34373.0)</f>
        <v>34373</v>
      </c>
      <c r="Q1293" s="146">
        <f>IFERROR(__xludf.DUMMYFUNCTION("""COMPUTED_VALUE"""),8.54146566E8)</f>
        <v>854146566</v>
      </c>
      <c r="R1293" s="147">
        <f>IFERROR(__xludf.DUMMYFUNCTION("""COMPUTED_VALUE"""),1.100800945198E12)</f>
        <v>1100800945198</v>
      </c>
      <c r="S1293" t="str">
        <f>IFERROR(__xludf.DUMMYFUNCTION("""COMPUTED_VALUE"""),"AD0034756")</f>
        <v>AD0034756</v>
      </c>
      <c r="T1293" s="148">
        <f>IFERROR(__xludf.DUMMYFUNCTION("""COMPUTED_VALUE"""),44825.0)</f>
        <v>44825</v>
      </c>
      <c r="U1293" s="148">
        <f>IFERROR(__xludf.DUMMYFUNCTION("""COMPUTED_VALUE"""),48477.0)</f>
        <v>48477</v>
      </c>
      <c r="V1293" s="149">
        <f>IFERROR(__xludf.DUMMYFUNCTION("""COMPUTED_VALUE"""),48293.0)</f>
        <v>48293</v>
      </c>
      <c r="W1293" t="str">
        <f>IFERROR(__xludf.DUMMYFUNCTION("""COMPUTED_VALUE"""),"ปลอดภัย")</f>
        <v>ปลอดภัย</v>
      </c>
      <c r="X1293" t="str">
        <f>IFERROR(__xludf.DUMMYFUNCTION("""COMPUTED_VALUE"""),"Bangkok")</f>
        <v>Bangkok</v>
      </c>
      <c r="Y1293" t="str">
        <f>IFERROR(__xludf.DUMMYFUNCTION("""COMPUTED_VALUE"""),"Pathum Thani")</f>
        <v>Pathum Thani</v>
      </c>
      <c r="Z1293" s="145" t="str">
        <f>IFERROR(__xludf.DUMMYFUNCTION("""COMPUTED_VALUE"""),"0966593978")</f>
        <v>0966593978</v>
      </c>
      <c r="AA1293" t="str">
        <f>IFERROR(__xludf.DUMMYFUNCTION("""COMPUTED_VALUE"""),"นางวิไล แซ่โง้ว Mother")</f>
        <v>นางวิไล แซ่โง้ว Mother</v>
      </c>
      <c r="AB1293" t="str">
        <f>IFERROR(__xludf.DUMMYFUNCTION("""COMPUTED_VALUE"""),"laphatwarinpha@airasia.com")</f>
        <v>laphatwarinpha@airasia.com</v>
      </c>
    </row>
    <row r="1294">
      <c r="A1294">
        <f>IFERROR(__xludf.DUMMYFUNCTION("""COMPUTED_VALUE"""),1046368.0)</f>
        <v>1046368</v>
      </c>
      <c r="B1294" t="str">
        <f>IFERROR(__xludf.DUMMYFUNCTION("""COMPUTED_VALUE"""),"Ms.")</f>
        <v>Ms.</v>
      </c>
      <c r="C1294" t="str">
        <f>IFERROR(__xludf.DUMMYFUNCTION("""COMPUTED_VALUE"""),"Natrueja")</f>
        <v>Natrueja</v>
      </c>
      <c r="D1294" t="str">
        <f>IFERROR(__xludf.DUMMYFUNCTION("""COMPUTED_VALUE"""),"Pornpitaktepakit")</f>
        <v>Pornpitaktepakit</v>
      </c>
      <c r="E1294" t="str">
        <f>IFERROR(__xludf.DUMMYFUNCTION("""COMPUTED_VALUE"""),"Natrueja Pornpitaktepakit")</f>
        <v>Natrueja Pornpitaktepakit</v>
      </c>
      <c r="F1294" t="str">
        <f>IFERROR(__xludf.DUMMYFUNCTION("""COMPUTED_VALUE"""),"นางสาว")</f>
        <v>นางสาว</v>
      </c>
      <c r="G1294" t="str">
        <f>IFERROR(__xludf.DUMMYFUNCTION("""COMPUTED_VALUE"""),"ณัฐรุจา")</f>
        <v>ณัฐรุจา</v>
      </c>
      <c r="H1294" t="str">
        <f>IFERROR(__xludf.DUMMYFUNCTION("""COMPUTED_VALUE"""),"พรพิทักษ์เทพกิจ")</f>
        <v>พรพิทักษ์เทพกิจ</v>
      </c>
      <c r="I1294" t="str">
        <f>IFERROR(__xludf.DUMMYFUNCTION("""COMPUTED_VALUE"""),"ณัฐรุจา พรพิทักษ์เทพกิจ")</f>
        <v>ณัฐรุจา พรพิทักษ์เทพกิจ</v>
      </c>
      <c r="J1294" t="str">
        <f>IFERROR(__xludf.DUMMYFUNCTION("""COMPUTED_VALUE"""),"Bow / โบว์")</f>
        <v>Bow / โบว์</v>
      </c>
      <c r="K1294" t="str">
        <f>IFERROR(__xludf.DUMMYFUNCTION("""COMPUTED_VALUE"""),"Cabin Crew Trainee")</f>
        <v>Cabin Crew Trainee</v>
      </c>
      <c r="L1294" t="str">
        <f>IFERROR(__xludf.DUMMYFUNCTION("""COMPUTED_VALUE"""),"DMK")</f>
        <v>DMK</v>
      </c>
      <c r="M1294" s="145" t="str">
        <f>IFERROR(__xludf.DUMMYFUNCTION("""COMPUTED_VALUE"""),"Toffy Home")</f>
        <v>Toffy Home</v>
      </c>
      <c r="N1294" t="str">
        <f>IFERROR(__xludf.DUMMYFUNCTION("""COMPUTED_VALUE"""),"Active/V/BKK")</f>
        <v>Active/V/BKK</v>
      </c>
      <c r="P1294" s="156">
        <f>IFERROR(__xludf.DUMMYFUNCTION("""COMPUTED_VALUE"""),32145.0)</f>
        <v>32145</v>
      </c>
      <c r="Q1294" s="146">
        <f>IFERROR(__xludf.DUMMYFUNCTION("""COMPUTED_VALUE"""),8.65720719E8)</f>
        <v>865720719</v>
      </c>
      <c r="R1294" s="147">
        <f>IFERROR(__xludf.DUMMYFUNCTION("""COMPUTED_VALUE"""),1.100800389414E12)</f>
        <v>1100800389414</v>
      </c>
      <c r="S1294" t="str">
        <f>IFERROR(__xludf.DUMMYFUNCTION("""COMPUTED_VALUE"""),"AC6761211")</f>
        <v>AC6761211</v>
      </c>
      <c r="T1294" s="148">
        <f>IFERROR(__xludf.DUMMYFUNCTION("""COMPUTED_VALUE"""),45425.0)</f>
        <v>45425</v>
      </c>
      <c r="U1294" s="148">
        <f>IFERROR(__xludf.DUMMYFUNCTION("""COMPUTED_VALUE"""),49076.0)</f>
        <v>49076</v>
      </c>
      <c r="V1294" s="149">
        <f>IFERROR(__xludf.DUMMYFUNCTION("""COMPUTED_VALUE"""),48895.0)</f>
        <v>48895</v>
      </c>
      <c r="W1294" t="str">
        <f>IFERROR(__xludf.DUMMYFUNCTION("""COMPUTED_VALUE"""),"ปลอดภัย")</f>
        <v>ปลอดภัย</v>
      </c>
      <c r="X1294" t="str">
        <f>IFERROR(__xludf.DUMMYFUNCTION("""COMPUTED_VALUE"""),"Bangkok")</f>
        <v>Bangkok</v>
      </c>
      <c r="Y1294" t="str">
        <f>IFERROR(__xludf.DUMMYFUNCTION("""COMPUTED_VALUE"""),"Bangkok")</f>
        <v>Bangkok</v>
      </c>
      <c r="Z1294" s="145" t="str">
        <f>IFERROR(__xludf.DUMMYFUNCTION("""COMPUTED_VALUE"""),"816265831")</f>
        <v>816265831</v>
      </c>
      <c r="AA1294" t="str">
        <f>IFERROR(__xludf.DUMMYFUNCTION("""COMPUTED_VALUE"""),"นาย ไพโรจน์ พรพิทักษ์เทพกิจ Father")</f>
        <v>นาย ไพโรจน์ พรพิทักษ์เทพกิจ Father</v>
      </c>
      <c r="AB1294" t="str">
        <f>IFERROR(__xludf.DUMMYFUNCTION("""COMPUTED_VALUE"""),"natruejapor@airasia.com")</f>
        <v>natruejapor@airasia.com</v>
      </c>
    </row>
    <row r="1295">
      <c r="A1295">
        <f>IFERROR(__xludf.DUMMYFUNCTION("""COMPUTED_VALUE"""),1046369.0)</f>
        <v>1046369</v>
      </c>
      <c r="B1295" t="str">
        <f>IFERROR(__xludf.DUMMYFUNCTION("""COMPUTED_VALUE"""),"Mr.")</f>
        <v>Mr.</v>
      </c>
      <c r="C1295" t="str">
        <f>IFERROR(__xludf.DUMMYFUNCTION("""COMPUTED_VALUE"""),"Nattapong")</f>
        <v>Nattapong</v>
      </c>
      <c r="D1295" t="str">
        <f>IFERROR(__xludf.DUMMYFUNCTION("""COMPUTED_VALUE"""),"Seeyuyang")</f>
        <v>Seeyuyang</v>
      </c>
      <c r="E1295" t="str">
        <f>IFERROR(__xludf.DUMMYFUNCTION("""COMPUTED_VALUE"""),"Nattapong  Seeyuyang")</f>
        <v>Nattapong  Seeyuyang</v>
      </c>
      <c r="F1295" t="str">
        <f>IFERROR(__xludf.DUMMYFUNCTION("""COMPUTED_VALUE"""),"นาย")</f>
        <v>นาย</v>
      </c>
      <c r="G1295" t="str">
        <f>IFERROR(__xludf.DUMMYFUNCTION("""COMPUTED_VALUE"""),"ณัฐพงษ์")</f>
        <v>ณัฐพงษ์</v>
      </c>
      <c r="H1295" t="str">
        <f>IFERROR(__xludf.DUMMYFUNCTION("""COMPUTED_VALUE"""),"สียุยาง")</f>
        <v>สียุยาง</v>
      </c>
      <c r="I1295" t="str">
        <f>IFERROR(__xludf.DUMMYFUNCTION("""COMPUTED_VALUE"""),"ณัฐพงษ์  	สียุยาง")</f>
        <v>ณัฐพงษ์  	สียุยาง</v>
      </c>
      <c r="J1295" t="str">
        <f>IFERROR(__xludf.DUMMYFUNCTION("""COMPUTED_VALUE"""),"Poppy/ป๊อปปี้")</f>
        <v>Poppy/ป๊อปปี้</v>
      </c>
      <c r="K1295" t="str">
        <f>IFERROR(__xludf.DUMMYFUNCTION("""COMPUTED_VALUE"""),"Cabin Crew Trainee")</f>
        <v>Cabin Crew Trainee</v>
      </c>
      <c r="L1295" t="str">
        <f>IFERROR(__xludf.DUMMYFUNCTION("""COMPUTED_VALUE"""),"DMK")</f>
        <v>DMK</v>
      </c>
      <c r="M1295" s="145" t="str">
        <f>IFERROR(__xludf.DUMMYFUNCTION("""COMPUTED_VALUE"""),"Por+ Home")</f>
        <v>Por+ Home</v>
      </c>
      <c r="N1295" t="str">
        <f>IFERROR(__xludf.DUMMYFUNCTION("""COMPUTED_VALUE"""),"Active/V/BKK")</f>
        <v>Active/V/BKK</v>
      </c>
      <c r="P1295" s="156">
        <f>IFERROR(__xludf.DUMMYFUNCTION("""COMPUTED_VALUE"""),32560.0)</f>
        <v>32560</v>
      </c>
      <c r="Q1295" s="146">
        <f>IFERROR(__xludf.DUMMYFUNCTION("""COMPUTED_VALUE"""),6.24581454E8)</f>
        <v>624581454</v>
      </c>
      <c r="R1295" s="147">
        <f>IFERROR(__xludf.DUMMYFUNCTION("""COMPUTED_VALUE"""),1.401600131888E12)</f>
        <v>1401600131888</v>
      </c>
      <c r="S1295" t="str">
        <f>IFERROR(__xludf.DUMMYFUNCTION("""COMPUTED_VALUE"""),"AD0764512")</f>
        <v>AD0764512</v>
      </c>
      <c r="T1295" s="148">
        <f>IFERROR(__xludf.DUMMYFUNCTION("""COMPUTED_VALUE"""),44964.0)</f>
        <v>44964</v>
      </c>
      <c r="U1295" s="148">
        <f>IFERROR(__xludf.DUMMYFUNCTION("""COMPUTED_VALUE"""),48616.0)</f>
        <v>48616</v>
      </c>
      <c r="V1295" s="149">
        <f>IFERROR(__xludf.DUMMYFUNCTION("""COMPUTED_VALUE"""),48432.0)</f>
        <v>48432</v>
      </c>
      <c r="W1295" t="str">
        <f>IFERROR(__xludf.DUMMYFUNCTION("""COMPUTED_VALUE"""),"ปลอดภัย")</f>
        <v>ปลอดภัย</v>
      </c>
      <c r="X1295" t="str">
        <f>IFERROR(__xludf.DUMMYFUNCTION("""COMPUTED_VALUE"""),"Khon Kaen Province")</f>
        <v>Khon Kaen Province</v>
      </c>
      <c r="Y1295" t="str">
        <f>IFERROR(__xludf.DUMMYFUNCTION("""COMPUTED_VALUE"""),"Pathum Thani")</f>
        <v>Pathum Thani</v>
      </c>
      <c r="Z1295" s="145" t="str">
        <f>IFERROR(__xludf.DUMMYFUNCTION("""COMPUTED_VALUE"""),"0992742529")</f>
        <v>0992742529</v>
      </c>
      <c r="AA1295" t="str">
        <f>IFERROR(__xludf.DUMMYFUNCTION("""COMPUTED_VALUE"""),"นางพิมพิสาข์  สียุยาง Mother")</f>
        <v>นางพิมพิสาข์  สียุยาง Mother</v>
      </c>
      <c r="AB1295" t="str">
        <f>IFERROR(__xludf.DUMMYFUNCTION("""COMPUTED_VALUE"""),"nattapongsee@airasia.com")</f>
        <v>nattapongsee@airasia.com</v>
      </c>
    </row>
    <row r="1297">
      <c r="A1297">
        <f>IFERROR(__xludf.DUMMYFUNCTION("""COMPUTED_VALUE"""),1046100.0)</f>
        <v>1046100</v>
      </c>
      <c r="B1297" t="str">
        <f>IFERROR(__xludf.DUMMYFUNCTION("""COMPUTED_VALUE"""),"Ms.")</f>
        <v>Ms.</v>
      </c>
      <c r="C1297" t="str">
        <f>IFERROR(__xludf.DUMMYFUNCTION("""COMPUTED_VALUE"""),"Punnalak")</f>
        <v>Punnalak</v>
      </c>
      <c r="D1297" t="str">
        <f>IFERROR(__xludf.DUMMYFUNCTION("""COMPUTED_VALUE"""),"Pansakulwat")</f>
        <v>Pansakulwat</v>
      </c>
      <c r="E1297" t="str">
        <f>IFERROR(__xludf.DUMMYFUNCTION("""COMPUTED_VALUE"""),"Punnalak Pansakulwat")</f>
        <v>Punnalak Pansakulwat</v>
      </c>
      <c r="F1297" t="str">
        <f>IFERROR(__xludf.DUMMYFUNCTION("""COMPUTED_VALUE"""),"นางสาว")</f>
        <v>นางสาว</v>
      </c>
      <c r="G1297" t="str">
        <f>IFERROR(__xludf.DUMMYFUNCTION("""COMPUTED_VALUE"""),"ปุณณลักษณ์")</f>
        <v>ปุณณลักษณ์</v>
      </c>
      <c r="H1297" t="str">
        <f>IFERROR(__xludf.DUMMYFUNCTION("""COMPUTED_VALUE"""),"พรรณสกุลวัฒน์")</f>
        <v>พรรณสกุลวัฒน์</v>
      </c>
      <c r="I1297" s="145" t="str">
        <f>IFERROR(__xludf.DUMMYFUNCTION("""COMPUTED_VALUE"""),"ปุณณลักษณ์ พรรณสกุลวัฒน์")</f>
        <v>ปุณณลักษณ์ พรรณสกุลวัฒน์</v>
      </c>
      <c r="J1297" t="str">
        <f>IFERROR(__xludf.DUMMYFUNCTION("""COMPUTED_VALUE"""),"Bam/ แบม")</f>
        <v>Bam/ แบม</v>
      </c>
      <c r="K1297" t="str">
        <f>IFERROR(__xludf.DUMMYFUNCTION("""COMPUTED_VALUE"""),"Cabin Crew Trainee")</f>
        <v>Cabin Crew Trainee</v>
      </c>
      <c r="L1297" t="str">
        <f>IFERROR(__xludf.DUMMYFUNCTION("""COMPUTED_VALUE"""),"DMK")</f>
        <v>DMK</v>
      </c>
      <c r="M1297" s="145" t="str">
        <f>IFERROR(__xludf.DUMMYFUNCTION("""COMPUTED_VALUE"""),"Kor Home")</f>
        <v>Kor Home</v>
      </c>
      <c r="N1297" t="str">
        <f>IFERROR(__xludf.DUMMYFUNCTION("""COMPUTED_VALUE"""),"Trainee")</f>
        <v>Trainee</v>
      </c>
      <c r="P1297" s="156">
        <f>IFERROR(__xludf.DUMMYFUNCTION("""COMPUTED_VALUE"""),35978.0)</f>
        <v>35978</v>
      </c>
      <c r="Q1297" s="146">
        <f>IFERROR(__xludf.DUMMYFUNCTION("""COMPUTED_VALUE"""),9.59905951E8)</f>
        <v>959905951</v>
      </c>
      <c r="R1297" s="147">
        <f>IFERROR(__xludf.DUMMYFUNCTION("""COMPUTED_VALUE"""),1.104700003186E12)</f>
        <v>1104700003186</v>
      </c>
      <c r="S1297" t="str">
        <f>IFERROR(__xludf.DUMMYFUNCTION("""COMPUTED_VALUE"""),"AC4358517")</f>
        <v>AC4358517</v>
      </c>
      <c r="T1297" s="148">
        <f>IFERROR(__xludf.DUMMYFUNCTION("""COMPUTED_VALUE"""),44937.0)</f>
        <v>44937</v>
      </c>
      <c r="U1297" s="148">
        <f>IFERROR(__xludf.DUMMYFUNCTION("""COMPUTED_VALUE"""),48589.0)</f>
        <v>48589</v>
      </c>
      <c r="V1297" s="149">
        <f>IFERROR(__xludf.DUMMYFUNCTION("""COMPUTED_VALUE"""),48405.0)</f>
        <v>48405</v>
      </c>
      <c r="W1297" t="str">
        <f>IFERROR(__xludf.DUMMYFUNCTION("""COMPUTED_VALUE"""),"ปลอดภัย")</f>
        <v>ปลอดภัย</v>
      </c>
      <c r="X1297" t="str">
        <f>IFERROR(__xludf.DUMMYFUNCTION("""COMPUTED_VALUE"""),"Bangkok")</f>
        <v>Bangkok</v>
      </c>
      <c r="Y1297" t="str">
        <f>IFERROR(__xludf.DUMMYFUNCTION("""COMPUTED_VALUE"""),"Nontaburi")</f>
        <v>Nontaburi</v>
      </c>
      <c r="Z1297" s="145" t="str">
        <f>IFERROR(__xludf.DUMMYFUNCTION("""COMPUTED_VALUE"""),"0959905951")</f>
        <v>0959905951</v>
      </c>
      <c r="AA1297" t="str">
        <f>IFERROR(__xludf.DUMMYFUNCTION("""COMPUTED_VALUE"""),"นาย นันทวัฒน์ พรรณสกุลวัฒน์ Father")</f>
        <v>นาย นันทวัฒน์ พรรณสกุลวัฒน์ Father</v>
      </c>
      <c r="AB1297" t="str">
        <f>IFERROR(__xludf.DUMMYFUNCTION("""COMPUTED_VALUE"""),"punnalakpan@airasia.com")</f>
        <v>punnalakpan@airasia.com</v>
      </c>
    </row>
    <row r="1298">
      <c r="A1298">
        <f>IFERROR(__xludf.DUMMYFUNCTION("""COMPUTED_VALUE"""),1046342.0)</f>
        <v>1046342</v>
      </c>
      <c r="B1298" t="str">
        <f>IFERROR(__xludf.DUMMYFUNCTION("""COMPUTED_VALUE"""),"Ms.")</f>
        <v>Ms.</v>
      </c>
      <c r="C1298" t="str">
        <f>IFERROR(__xludf.DUMMYFUNCTION("""COMPUTED_VALUE"""),"Achiraya")</f>
        <v>Achiraya</v>
      </c>
      <c r="D1298" t="str">
        <f>IFERROR(__xludf.DUMMYFUNCTION("""COMPUTED_VALUE"""),"Thipsombut")</f>
        <v>Thipsombut</v>
      </c>
      <c r="E1298" t="str">
        <f>IFERROR(__xludf.DUMMYFUNCTION("""COMPUTED_VALUE"""),"Achiraya Thipsombut")</f>
        <v>Achiraya Thipsombut</v>
      </c>
      <c r="F1298" t="str">
        <f>IFERROR(__xludf.DUMMYFUNCTION("""COMPUTED_VALUE"""),"นางสาว")</f>
        <v>นางสาว</v>
      </c>
      <c r="G1298" t="str">
        <f>IFERROR(__xludf.DUMMYFUNCTION("""COMPUTED_VALUE"""),"อชิรญาณ์")</f>
        <v>อชิรญาณ์</v>
      </c>
      <c r="H1298" t="str">
        <f>IFERROR(__xludf.DUMMYFUNCTION("""COMPUTED_VALUE"""),"ทิพย์สมบัติ")</f>
        <v>ทิพย์สมบัติ</v>
      </c>
      <c r="I1298" s="145" t="str">
        <f>IFERROR(__xludf.DUMMYFUNCTION("""COMPUTED_VALUE"""),"อชิรญาณ์ ทิพย์สมบัติ")</f>
        <v>อชิรญาณ์ ทิพย์สมบัติ</v>
      </c>
      <c r="J1298" t="str">
        <f>IFERROR(__xludf.DUMMYFUNCTION("""COMPUTED_VALUE"""),"Noei / เนย")</f>
        <v>Noei / เนย</v>
      </c>
      <c r="K1298" t="str">
        <f>IFERROR(__xludf.DUMMYFUNCTION("""COMPUTED_VALUE"""),"Cabin Crew Trainee - BKK")</f>
        <v>Cabin Crew Trainee - BKK</v>
      </c>
      <c r="L1298" t="str">
        <f>IFERROR(__xludf.DUMMYFUNCTION("""COMPUTED_VALUE"""),"BKK")</f>
        <v>BKK</v>
      </c>
      <c r="M1298" s="145" t="str">
        <f>IFERROR(__xludf.DUMMYFUNCTION("""COMPUTED_VALUE"""),"Toffy Home")</f>
        <v>Toffy Home</v>
      </c>
      <c r="N1298" t="str">
        <f>IFERROR(__xludf.DUMMYFUNCTION("""COMPUTED_VALUE"""),"Trainee")</f>
        <v>Trainee</v>
      </c>
      <c r="P1298" s="156">
        <f>IFERROR(__xludf.DUMMYFUNCTION("""COMPUTED_VALUE"""),35854.0)</f>
        <v>35854</v>
      </c>
      <c r="Q1298" s="146">
        <f>IFERROR(__xludf.DUMMYFUNCTION("""COMPUTED_VALUE"""),9.62519154E8)</f>
        <v>962519154</v>
      </c>
      <c r="R1298" s="147">
        <f>IFERROR(__xludf.DUMMYFUNCTION("""COMPUTED_VALUE"""),1.430200228441E12)</f>
        <v>1430200228441</v>
      </c>
      <c r="S1298" t="str">
        <f>IFERROR(__xludf.DUMMYFUNCTION("""COMPUTED_VALUE"""),"AC2705167")</f>
        <v>AC2705167</v>
      </c>
      <c r="T1298" s="148">
        <f>IFERROR(__xludf.DUMMYFUNCTION("""COMPUTED_VALUE"""),46050.0)</f>
        <v>46050</v>
      </c>
      <c r="U1298" s="148">
        <f>IFERROR(__xludf.DUMMYFUNCTION("""COMPUTED_VALUE"""),48240.0)</f>
        <v>48240</v>
      </c>
      <c r="V1298" s="149">
        <f>IFERROR(__xludf.DUMMYFUNCTION("""COMPUTED_VALUE"""),48056.0)</f>
        <v>48056</v>
      </c>
      <c r="W1298" t="str">
        <f>IFERROR(__xludf.DUMMYFUNCTION("""COMPUTED_VALUE"""),"ปลอดภัย")</f>
        <v>ปลอดภัย</v>
      </c>
      <c r="X1298" t="str">
        <f>IFERROR(__xludf.DUMMYFUNCTION("""COMPUTED_VALUE"""),"Nong Khai Province")</f>
        <v>Nong Khai Province</v>
      </c>
      <c r="Y1298" t="str">
        <f>IFERROR(__xludf.DUMMYFUNCTION("""COMPUTED_VALUE"""),"Bangkok")</f>
        <v>Bangkok</v>
      </c>
      <c r="Z1298" s="145" t="str">
        <f>IFERROR(__xludf.DUMMYFUNCTION("""COMPUTED_VALUE"""),"0913533419")</f>
        <v>0913533419</v>
      </c>
      <c r="AA1298" t="str">
        <f>IFERROR(__xludf.DUMMYFUNCTION("""COMPUTED_VALUE"""),"นายชิงชัย ทิพย์สมบัติ Father")</f>
        <v>นายชิงชัย ทิพย์สมบัติ Father</v>
      </c>
      <c r="AB1298" t="str">
        <f>IFERROR(__xludf.DUMMYFUNCTION("""COMPUTED_VALUE"""),"achirayathi@airasia.com")</f>
        <v>achirayathi@airasia.com</v>
      </c>
    </row>
    <row r="1299">
      <c r="A1299">
        <f>IFERROR(__xludf.DUMMYFUNCTION("""COMPUTED_VALUE"""),1046343.0)</f>
        <v>1046343</v>
      </c>
      <c r="B1299" t="str">
        <f>IFERROR(__xludf.DUMMYFUNCTION("""COMPUTED_VALUE"""),"Mr.")</f>
        <v>Mr.</v>
      </c>
      <c r="C1299" t="str">
        <f>IFERROR(__xludf.DUMMYFUNCTION("""COMPUTED_VALUE"""),"Anon")</f>
        <v>Anon</v>
      </c>
      <c r="D1299" t="str">
        <f>IFERROR(__xludf.DUMMYFUNCTION("""COMPUTED_VALUE"""),"Sumethanontasak")</f>
        <v>Sumethanontasak</v>
      </c>
      <c r="E1299" t="str">
        <f>IFERROR(__xludf.DUMMYFUNCTION("""COMPUTED_VALUE"""),"Anon Sumethanontasak")</f>
        <v>Anon Sumethanontasak</v>
      </c>
      <c r="F1299" t="str">
        <f>IFERROR(__xludf.DUMMYFUNCTION("""COMPUTED_VALUE"""),"นาย")</f>
        <v>นาย</v>
      </c>
      <c r="G1299" t="str">
        <f>IFERROR(__xludf.DUMMYFUNCTION("""COMPUTED_VALUE"""),"อานนท์")</f>
        <v>อานนท์</v>
      </c>
      <c r="H1299" t="str">
        <f>IFERROR(__xludf.DUMMYFUNCTION("""COMPUTED_VALUE"""),"สุเมธานนทศักดิ์")</f>
        <v>สุเมธานนทศักดิ์</v>
      </c>
      <c r="I1299" s="145" t="str">
        <f>IFERROR(__xludf.DUMMYFUNCTION("""COMPUTED_VALUE"""),"อานนท์ สุเมธานนทศักดิ์")</f>
        <v>อานนท์ สุเมธานนทศักดิ์</v>
      </c>
      <c r="J1299" t="str">
        <f>IFERROR(__xludf.DUMMYFUNCTION("""COMPUTED_VALUE"""),"ตู้")</f>
        <v>ตู้</v>
      </c>
      <c r="K1299" t="str">
        <f>IFERROR(__xludf.DUMMYFUNCTION("""COMPUTED_VALUE"""),"Cabin Crew Trainee")</f>
        <v>Cabin Crew Trainee</v>
      </c>
      <c r="L1299" t="str">
        <f>IFERROR(__xludf.DUMMYFUNCTION("""COMPUTED_VALUE"""),"DMK")</f>
        <v>DMK</v>
      </c>
      <c r="M1299" s="145" t="str">
        <f>IFERROR(__xludf.DUMMYFUNCTION("""COMPUTED_VALUE"""),"Toffy Home")</f>
        <v>Toffy Home</v>
      </c>
      <c r="N1299" t="str">
        <f>IFERROR(__xludf.DUMMYFUNCTION("""COMPUTED_VALUE"""),"Trainee")</f>
        <v>Trainee</v>
      </c>
      <c r="P1299" s="156">
        <f>IFERROR(__xludf.DUMMYFUNCTION("""COMPUTED_VALUE"""),32696.0)</f>
        <v>32696</v>
      </c>
      <c r="Q1299" s="146">
        <f>IFERROR(__xludf.DUMMYFUNCTION("""COMPUTED_VALUE"""),8.94626249E8)</f>
        <v>894626249</v>
      </c>
      <c r="R1299" s="147">
        <f>IFERROR(__xludf.DUMMYFUNCTION("""COMPUTED_VALUE"""),1.102001166246E12)</f>
        <v>1102001166246</v>
      </c>
      <c r="S1299" t="str">
        <f>IFERROR(__xludf.DUMMYFUNCTION("""COMPUTED_VALUE"""),"AD0735071")</f>
        <v>AD0735071</v>
      </c>
      <c r="T1299" s="148">
        <f>IFERROR(__xludf.DUMMYFUNCTION("""COMPUTED_VALUE"""),44967.0)</f>
        <v>44967</v>
      </c>
      <c r="U1299" s="148">
        <f>IFERROR(__xludf.DUMMYFUNCTION("""COMPUTED_VALUE"""),48619.0)</f>
        <v>48619</v>
      </c>
      <c r="V1299" s="149">
        <f>IFERROR(__xludf.DUMMYFUNCTION("""COMPUTED_VALUE"""),48435.0)</f>
        <v>48435</v>
      </c>
      <c r="W1299" t="str">
        <f>IFERROR(__xludf.DUMMYFUNCTION("""COMPUTED_VALUE"""),"ปลอดภัย")</f>
        <v>ปลอดภัย</v>
      </c>
      <c r="X1299" t="str">
        <f>IFERROR(__xludf.DUMMYFUNCTION("""COMPUTED_VALUE"""),"Bangkok")</f>
        <v>Bangkok</v>
      </c>
      <c r="Y1299" t="str">
        <f>IFERROR(__xludf.DUMMYFUNCTION("""COMPUTED_VALUE"""),"Bangkok")</f>
        <v>Bangkok</v>
      </c>
      <c r="Z1299" s="145" t="str">
        <f>IFERROR(__xludf.DUMMYFUNCTION("""COMPUTED_VALUE"""),"081-945-6449")</f>
        <v>081-945-6449</v>
      </c>
      <c r="AA1299" t="str">
        <f>IFERROR(__xludf.DUMMYFUNCTION("""COMPUTED_VALUE"""),"นายธนพิสิฐ ภิวัฒน์ชัยกุล Friend")</f>
        <v>นายธนพิสิฐ ภิวัฒน์ชัยกุล Friend</v>
      </c>
      <c r="AB1299" t="str">
        <f>IFERROR(__xludf.DUMMYFUNCTION("""COMPUTED_VALUE"""),"anonsum@airasia.com")</f>
        <v>anonsum@airasia.com</v>
      </c>
    </row>
    <row r="1300">
      <c r="A1300">
        <f>IFERROR(__xludf.DUMMYFUNCTION("""COMPUTED_VALUE"""),1046344.0)</f>
        <v>1046344</v>
      </c>
      <c r="B1300" t="str">
        <f>IFERROR(__xludf.DUMMYFUNCTION("""COMPUTED_VALUE"""),"Mr.")</f>
        <v>Mr.</v>
      </c>
      <c r="C1300" t="str">
        <f>IFERROR(__xludf.DUMMYFUNCTION("""COMPUTED_VALUE"""),"Apicha")</f>
        <v>Apicha</v>
      </c>
      <c r="D1300" t="str">
        <f>IFERROR(__xludf.DUMMYFUNCTION("""COMPUTED_VALUE"""),"Soontornchai")</f>
        <v>Soontornchai</v>
      </c>
      <c r="E1300" t="str">
        <f>IFERROR(__xludf.DUMMYFUNCTION("""COMPUTED_VALUE"""),"Apicha Soontornchai")</f>
        <v>Apicha Soontornchai</v>
      </c>
      <c r="F1300" t="str">
        <f>IFERROR(__xludf.DUMMYFUNCTION("""COMPUTED_VALUE"""),"นาย")</f>
        <v>นาย</v>
      </c>
      <c r="G1300" t="str">
        <f>IFERROR(__xludf.DUMMYFUNCTION("""COMPUTED_VALUE"""),"อภิชา")</f>
        <v>อภิชา</v>
      </c>
      <c r="H1300" t="str">
        <f>IFERROR(__xludf.DUMMYFUNCTION("""COMPUTED_VALUE"""),"สุนทรชัย")</f>
        <v>สุนทรชัย</v>
      </c>
      <c r="I1300" s="145" t="str">
        <f>IFERROR(__xludf.DUMMYFUNCTION("""COMPUTED_VALUE"""),"อภิชา สุนทรชัย")</f>
        <v>อภิชา สุนทรชัย</v>
      </c>
      <c r="J1300" t="str">
        <f>IFERROR(__xludf.DUMMYFUNCTION("""COMPUTED_VALUE"""),"ไทน์")</f>
        <v>ไทน์</v>
      </c>
      <c r="K1300" t="str">
        <f>IFERROR(__xludf.DUMMYFUNCTION("""COMPUTED_VALUE"""),"Cabin Crew Trainee")</f>
        <v>Cabin Crew Trainee</v>
      </c>
      <c r="L1300" t="str">
        <f>IFERROR(__xludf.DUMMYFUNCTION("""COMPUTED_VALUE"""),"DMK")</f>
        <v>DMK</v>
      </c>
      <c r="M1300" s="145" t="str">
        <f>IFERROR(__xludf.DUMMYFUNCTION("""COMPUTED_VALUE"""),"Up Home")</f>
        <v>Up Home</v>
      </c>
      <c r="N1300" t="str">
        <f>IFERROR(__xludf.DUMMYFUNCTION("""COMPUTED_VALUE"""),"Trainee")</f>
        <v>Trainee</v>
      </c>
      <c r="P1300" s="156">
        <f>IFERROR(__xludf.DUMMYFUNCTION("""COMPUTED_VALUE"""),34014.0)</f>
        <v>34014</v>
      </c>
      <c r="Q1300" s="146">
        <f>IFERROR(__xludf.DUMMYFUNCTION("""COMPUTED_VALUE"""),9.43644198E8)</f>
        <v>943644198</v>
      </c>
      <c r="R1300" s="147">
        <f>IFERROR(__xludf.DUMMYFUNCTION("""COMPUTED_VALUE"""),1.1030000438E12)</f>
        <v>1103000043800</v>
      </c>
      <c r="S1300" t="str">
        <f>IFERROR(__xludf.DUMMYFUNCTION("""COMPUTED_VALUE"""),"AC6630501")</f>
        <v>AC6630501</v>
      </c>
      <c r="T1300" s="148">
        <f>IFERROR(__xludf.DUMMYFUNCTION("""COMPUTED_VALUE"""),45415.0)</f>
        <v>45415</v>
      </c>
      <c r="U1300" s="148">
        <f>IFERROR(__xludf.DUMMYFUNCTION("""COMPUTED_VALUE"""),49066.0)</f>
        <v>49066</v>
      </c>
      <c r="V1300" s="149">
        <f>IFERROR(__xludf.DUMMYFUNCTION("""COMPUTED_VALUE"""),48885.0)</f>
        <v>48885</v>
      </c>
      <c r="W1300" t="str">
        <f>IFERROR(__xludf.DUMMYFUNCTION("""COMPUTED_VALUE"""),"ปลอดภัย")</f>
        <v>ปลอดภัย</v>
      </c>
      <c r="X1300" t="str">
        <f>IFERROR(__xludf.DUMMYFUNCTION("""COMPUTED_VALUE"""),"Bangkok")</f>
        <v>Bangkok</v>
      </c>
      <c r="Y1300" t="str">
        <f>IFERROR(__xludf.DUMMYFUNCTION("""COMPUTED_VALUE"""),"Bangkok")</f>
        <v>Bangkok</v>
      </c>
      <c r="Z1300" s="145" t="str">
        <f>IFERROR(__xludf.DUMMYFUNCTION("""COMPUTED_VALUE"""),"094-364-4198")</f>
        <v>094-364-4198</v>
      </c>
      <c r="AA1300" t="str">
        <f>IFERROR(__xludf.DUMMYFUNCTION("""COMPUTED_VALUE"""),"นางจันทศิริ สุนทรชัย Mother")</f>
        <v>นางจันทศิริ สุนทรชัย Mother</v>
      </c>
      <c r="AB1300" t="str">
        <f>IFERROR(__xludf.DUMMYFUNCTION("""COMPUTED_VALUE"""),"apichasoo@airasia.com")</f>
        <v>apichasoo@airasia.com</v>
      </c>
    </row>
    <row r="1301">
      <c r="A1301">
        <f>IFERROR(__xludf.DUMMYFUNCTION("""COMPUTED_VALUE"""),1046345.0)</f>
        <v>1046345</v>
      </c>
      <c r="B1301" t="str">
        <f>IFERROR(__xludf.DUMMYFUNCTION("""COMPUTED_VALUE"""),"Ms.")</f>
        <v>Ms.</v>
      </c>
      <c r="C1301" t="str">
        <f>IFERROR(__xludf.DUMMYFUNCTION("""COMPUTED_VALUE"""),"Benyaporn")</f>
        <v>Benyaporn</v>
      </c>
      <c r="D1301" t="str">
        <f>IFERROR(__xludf.DUMMYFUNCTION("""COMPUTED_VALUE"""),"Kotcharerk")</f>
        <v>Kotcharerk</v>
      </c>
      <c r="E1301" t="str">
        <f>IFERROR(__xludf.DUMMYFUNCTION("""COMPUTED_VALUE"""),"Benyaporn Kotcharerk")</f>
        <v>Benyaporn Kotcharerk</v>
      </c>
      <c r="F1301" t="str">
        <f>IFERROR(__xludf.DUMMYFUNCTION("""COMPUTED_VALUE"""),"นางสาว")</f>
        <v>นางสาว</v>
      </c>
      <c r="G1301" t="str">
        <f>IFERROR(__xludf.DUMMYFUNCTION("""COMPUTED_VALUE"""),"เบญญาภรณ์")</f>
        <v>เบญญาภรณ์</v>
      </c>
      <c r="H1301" t="str">
        <f>IFERROR(__xludf.DUMMYFUNCTION("""COMPUTED_VALUE"""),"คชฤกษ์")</f>
        <v>คชฤกษ์</v>
      </c>
      <c r="I1301" s="145" t="str">
        <f>IFERROR(__xludf.DUMMYFUNCTION("""COMPUTED_VALUE"""),"เบญญาภรณ์ คชฤกษ์")</f>
        <v>เบญญาภรณ์ คชฤกษ์</v>
      </c>
      <c r="J1301" t="str">
        <f>IFERROR(__xludf.DUMMYFUNCTION("""COMPUTED_VALUE"""),"Feung / เฟื่อง")</f>
        <v>Feung / เฟื่อง</v>
      </c>
      <c r="K1301" t="str">
        <f>IFERROR(__xludf.DUMMYFUNCTION("""COMPUTED_VALUE"""),"Cabin Crew Trainee")</f>
        <v>Cabin Crew Trainee</v>
      </c>
      <c r="L1301" t="str">
        <f>IFERROR(__xludf.DUMMYFUNCTION("""COMPUTED_VALUE"""),"DMK")</f>
        <v>DMK</v>
      </c>
      <c r="M1301" s="145" t="str">
        <f>IFERROR(__xludf.DUMMYFUNCTION("""COMPUTED_VALUE"""),"Namfon Home")</f>
        <v>Namfon Home</v>
      </c>
      <c r="N1301" t="str">
        <f>IFERROR(__xludf.DUMMYFUNCTION("""COMPUTED_VALUE"""),"Trainee")</f>
        <v>Trainee</v>
      </c>
      <c r="P1301" s="156">
        <f>IFERROR(__xludf.DUMMYFUNCTION("""COMPUTED_VALUE"""),37357.0)</f>
        <v>37357</v>
      </c>
      <c r="Q1301" s="146">
        <f>IFERROR(__xludf.DUMMYFUNCTION("""COMPUTED_VALUE"""),9.48861424E8)</f>
        <v>948861424</v>
      </c>
      <c r="R1301" s="147">
        <f>IFERROR(__xludf.DUMMYFUNCTION("""COMPUTED_VALUE"""),1.650101123585E12)</f>
        <v>1650101123585</v>
      </c>
      <c r="S1301" t="str">
        <f>IFERROR(__xludf.DUMMYFUNCTION("""COMPUTED_VALUE"""),"AC5888756")</f>
        <v>AC5888756</v>
      </c>
      <c r="T1301" s="148">
        <f>IFERROR(__xludf.DUMMYFUNCTION("""COMPUTED_VALUE"""),45217.0)</f>
        <v>45217</v>
      </c>
      <c r="U1301" s="148">
        <f>IFERROR(__xludf.DUMMYFUNCTION("""COMPUTED_VALUE"""),47043.0)</f>
        <v>47043</v>
      </c>
      <c r="V1301" s="149">
        <f>IFERROR(__xludf.DUMMYFUNCTION("""COMPUTED_VALUE"""),46860.0)</f>
        <v>46860</v>
      </c>
      <c r="W1301" t="str">
        <f>IFERROR(__xludf.DUMMYFUNCTION("""COMPUTED_VALUE"""),"ปลอดภัย")</f>
        <v>ปลอดภัย</v>
      </c>
      <c r="X1301" t="str">
        <f>IFERROR(__xludf.DUMMYFUNCTION("""COMPUTED_VALUE"""),"Phitsanulok Province")</f>
        <v>Phitsanulok Province</v>
      </c>
      <c r="Y1301" t="str">
        <f>IFERROR(__xludf.DUMMYFUNCTION("""COMPUTED_VALUE"""),"Bangkok")</f>
        <v>Bangkok</v>
      </c>
      <c r="Z1301" s="145" t="str">
        <f>IFERROR(__xludf.DUMMYFUNCTION("""COMPUTED_VALUE"""),"087-203-9706")</f>
        <v>087-203-9706</v>
      </c>
      <c r="AA1301" t="str">
        <f>IFERROR(__xludf.DUMMYFUNCTION("""COMPUTED_VALUE"""),"นายเจตน์ คชฤกษ์ Father")</f>
        <v>นายเจตน์ คชฤกษ์ Father</v>
      </c>
      <c r="AB1301" t="str">
        <f>IFERROR(__xludf.DUMMYFUNCTION("""COMPUTED_VALUE"""),"benyapornkot@airasia.com")</f>
        <v>benyapornkot@airasia.com</v>
      </c>
    </row>
    <row r="1302">
      <c r="A1302">
        <f>IFERROR(__xludf.DUMMYFUNCTION("""COMPUTED_VALUE"""),1046346.0)</f>
        <v>1046346</v>
      </c>
      <c r="B1302" t="str">
        <f>IFERROR(__xludf.DUMMYFUNCTION("""COMPUTED_VALUE"""),"Ms.")</f>
        <v>Ms.</v>
      </c>
      <c r="C1302" t="str">
        <f>IFERROR(__xludf.DUMMYFUNCTION("""COMPUTED_VALUE"""),"Haritchaya")</f>
        <v>Haritchaya</v>
      </c>
      <c r="D1302" t="str">
        <f>IFERROR(__xludf.DUMMYFUNCTION("""COMPUTED_VALUE"""),"Phanpruek")</f>
        <v>Phanpruek</v>
      </c>
      <c r="E1302" t="str">
        <f>IFERROR(__xludf.DUMMYFUNCTION("""COMPUTED_VALUE"""),"Haritchaya Phanpruek")</f>
        <v>Haritchaya Phanpruek</v>
      </c>
      <c r="F1302" t="str">
        <f>IFERROR(__xludf.DUMMYFUNCTION("""COMPUTED_VALUE"""),"นางสาว")</f>
        <v>นางสาว</v>
      </c>
      <c r="G1302" t="str">
        <f>IFERROR(__xludf.DUMMYFUNCTION("""COMPUTED_VALUE"""),"หฤทชญา")</f>
        <v>หฤทชญา</v>
      </c>
      <c r="H1302" t="str">
        <f>IFERROR(__xludf.DUMMYFUNCTION("""COMPUTED_VALUE"""),"พันธุ์พฤกษ์")</f>
        <v>พันธุ์พฤกษ์</v>
      </c>
      <c r="I1302" s="145" t="str">
        <f>IFERROR(__xludf.DUMMYFUNCTION("""COMPUTED_VALUE"""),"หฤทชญา พันธุ์พฤกษ์")</f>
        <v>หฤทชญา พันธุ์พฤกษ์</v>
      </c>
      <c r="J1302" t="str">
        <f>IFERROR(__xludf.DUMMYFUNCTION("""COMPUTED_VALUE"""),"แพร")</f>
        <v>แพร</v>
      </c>
      <c r="K1302" t="str">
        <f>IFERROR(__xludf.DUMMYFUNCTION("""COMPUTED_VALUE"""),"Cabin Crew Trainee")</f>
        <v>Cabin Crew Trainee</v>
      </c>
      <c r="L1302" t="str">
        <f>IFERROR(__xludf.DUMMYFUNCTION("""COMPUTED_VALUE"""),"DMK")</f>
        <v>DMK</v>
      </c>
      <c r="M1302" s="145" t="str">
        <f>IFERROR(__xludf.DUMMYFUNCTION("""COMPUTED_VALUE"""),"Um Home")</f>
        <v>Um Home</v>
      </c>
      <c r="N1302" t="str">
        <f>IFERROR(__xludf.DUMMYFUNCTION("""COMPUTED_VALUE"""),"Trainee")</f>
        <v>Trainee</v>
      </c>
      <c r="P1302" s="156">
        <f>IFERROR(__xludf.DUMMYFUNCTION("""COMPUTED_VALUE"""),33327.0)</f>
        <v>33327</v>
      </c>
      <c r="Q1302" s="146">
        <f>IFERROR(__xludf.DUMMYFUNCTION("""COMPUTED_VALUE"""),6.25426551E8)</f>
        <v>625426551</v>
      </c>
      <c r="R1302" s="147">
        <f>IFERROR(__xludf.DUMMYFUNCTION("""COMPUTED_VALUE"""),1.959900269799E12)</f>
        <v>1959900269799</v>
      </c>
      <c r="S1302" t="str">
        <f>IFERROR(__xludf.DUMMYFUNCTION("""COMPUTED_VALUE"""),"AC3994369")</f>
        <v>AC3994369</v>
      </c>
      <c r="T1302" s="148">
        <f>IFERROR(__xludf.DUMMYFUNCTION("""COMPUTED_VALUE"""),44811.0)</f>
        <v>44811</v>
      </c>
      <c r="U1302" s="148">
        <f>IFERROR(__xludf.DUMMYFUNCTION("""COMPUTED_VALUE"""),48463.0)</f>
        <v>48463</v>
      </c>
      <c r="V1302" s="149">
        <f>IFERROR(__xludf.DUMMYFUNCTION("""COMPUTED_VALUE"""),48279.0)</f>
        <v>48279</v>
      </c>
      <c r="W1302" t="str">
        <f>IFERROR(__xludf.DUMMYFUNCTION("""COMPUTED_VALUE"""),"ปลอดภัย")</f>
        <v>ปลอดภัย</v>
      </c>
      <c r="X1302" t="str">
        <f>IFERROR(__xludf.DUMMYFUNCTION("""COMPUTED_VALUE"""),"Yala Province")</f>
        <v>Yala Province</v>
      </c>
      <c r="Y1302" t="str">
        <f>IFERROR(__xludf.DUMMYFUNCTION("""COMPUTED_VALUE"""),"Bangkok")</f>
        <v>Bangkok</v>
      </c>
      <c r="Z1302" s="145" t="str">
        <f>IFERROR(__xludf.DUMMYFUNCTION("""COMPUTED_VALUE"""),"0869637133")</f>
        <v>0869637133</v>
      </c>
      <c r="AA1302" t="str">
        <f>IFERROR(__xludf.DUMMYFUNCTION("""COMPUTED_VALUE"""),"นางสาวนันท์นภัส พันธุ์พฤกษ์ Sister")</f>
        <v>นางสาวนันท์นภัส พันธุ์พฤกษ์ Sister</v>
      </c>
      <c r="AB1302" t="str">
        <f>IFERROR(__xludf.DUMMYFUNCTION("""COMPUTED_VALUE"""),"haritchayapha@airasia.com")</f>
        <v>haritchayapha@airasia.com</v>
      </c>
    </row>
    <row r="1303">
      <c r="A1303">
        <f>IFERROR(__xludf.DUMMYFUNCTION("""COMPUTED_VALUE"""),1046347.0)</f>
        <v>1046347</v>
      </c>
      <c r="B1303" t="str">
        <f>IFERROR(__xludf.DUMMYFUNCTION("""COMPUTED_VALUE"""),"Ms.")</f>
        <v>Ms.</v>
      </c>
      <c r="C1303" t="str">
        <f>IFERROR(__xludf.DUMMYFUNCTION("""COMPUTED_VALUE"""),"Hussawan")</f>
        <v>Hussawan</v>
      </c>
      <c r="D1303" t="str">
        <f>IFERROR(__xludf.DUMMYFUNCTION("""COMPUTED_VALUE"""),"Poomsanguan")</f>
        <v>Poomsanguan</v>
      </c>
      <c r="E1303" t="str">
        <f>IFERROR(__xludf.DUMMYFUNCTION("""COMPUTED_VALUE"""),"Hussawan Poomsanguan")</f>
        <v>Hussawan Poomsanguan</v>
      </c>
      <c r="F1303" t="str">
        <f>IFERROR(__xludf.DUMMYFUNCTION("""COMPUTED_VALUE"""),"นางสาว")</f>
        <v>นางสาว</v>
      </c>
      <c r="G1303" t="str">
        <f>IFERROR(__xludf.DUMMYFUNCTION("""COMPUTED_VALUE"""),"หัสวรรษ์")</f>
        <v>หัสวรรษ์</v>
      </c>
      <c r="H1303" t="str">
        <f>IFERROR(__xludf.DUMMYFUNCTION("""COMPUTED_VALUE"""),"พุ่มสงวน")</f>
        <v>พุ่มสงวน</v>
      </c>
      <c r="I1303" s="145" t="str">
        <f>IFERROR(__xludf.DUMMYFUNCTION("""COMPUTED_VALUE"""),"หัสวรรษ์ พุ่มสงวน")</f>
        <v>หัสวรรษ์ พุ่มสงวน</v>
      </c>
      <c r="J1303" t="str">
        <f>IFERROR(__xludf.DUMMYFUNCTION("""COMPUTED_VALUE"""),"มิ้นท์")</f>
        <v>มิ้นท์</v>
      </c>
      <c r="K1303" t="str">
        <f>IFERROR(__xludf.DUMMYFUNCTION("""COMPUTED_VALUE"""),"Cabin Crew Trainee")</f>
        <v>Cabin Crew Trainee</v>
      </c>
      <c r="L1303" t="str">
        <f>IFERROR(__xludf.DUMMYFUNCTION("""COMPUTED_VALUE"""),"DMK")</f>
        <v>DMK</v>
      </c>
      <c r="M1303" s="145" t="str">
        <f>IFERROR(__xludf.DUMMYFUNCTION("""COMPUTED_VALUE"""),"Um Home")</f>
        <v>Um Home</v>
      </c>
      <c r="N1303" t="str">
        <f>IFERROR(__xludf.DUMMYFUNCTION("""COMPUTED_VALUE"""),"Trainee")</f>
        <v>Trainee</v>
      </c>
      <c r="P1303" s="156">
        <f>IFERROR(__xludf.DUMMYFUNCTION("""COMPUTED_VALUE"""),36511.0)</f>
        <v>36511</v>
      </c>
      <c r="Q1303" s="146">
        <f>IFERROR(__xludf.DUMMYFUNCTION("""COMPUTED_VALUE"""),9.51634306E8)</f>
        <v>951634306</v>
      </c>
      <c r="R1303" s="147">
        <f>IFERROR(__xludf.DUMMYFUNCTION("""COMPUTED_VALUE"""),1.104200131886E12)</f>
        <v>1104200131886</v>
      </c>
      <c r="S1303" t="str">
        <f>IFERROR(__xludf.DUMMYFUNCTION("""COMPUTED_VALUE"""),"AC3785595")</f>
        <v>AC3785595</v>
      </c>
      <c r="T1303" s="148">
        <f>IFERROR(__xludf.DUMMYFUNCTION("""COMPUTED_VALUE"""),44784.0)</f>
        <v>44784</v>
      </c>
      <c r="U1303" s="148">
        <f>IFERROR(__xludf.DUMMYFUNCTION("""COMPUTED_VALUE"""),48436.0)</f>
        <v>48436</v>
      </c>
      <c r="V1303" s="149">
        <f>IFERROR(__xludf.DUMMYFUNCTION("""COMPUTED_VALUE"""),48254.0)</f>
        <v>48254</v>
      </c>
      <c r="W1303" t="str">
        <f>IFERROR(__xludf.DUMMYFUNCTION("""COMPUTED_VALUE"""),"ปลอดภัย")</f>
        <v>ปลอดภัย</v>
      </c>
      <c r="X1303" t="str">
        <f>IFERROR(__xludf.DUMMYFUNCTION("""COMPUTED_VALUE"""),"Bangkok")</f>
        <v>Bangkok</v>
      </c>
      <c r="Y1303" t="str">
        <f>IFERROR(__xludf.DUMMYFUNCTION("""COMPUTED_VALUE"""),"Pathum Thani")</f>
        <v>Pathum Thani</v>
      </c>
      <c r="Z1303" s="145" t="str">
        <f>IFERROR(__xludf.DUMMYFUNCTION("""COMPUTED_VALUE"""),"0910146234")</f>
        <v>0910146234</v>
      </c>
      <c r="AA1303" t="str">
        <f>IFERROR(__xludf.DUMMYFUNCTION("""COMPUTED_VALUE"""),"นางจุฑามาศ พุ่มสงวน Mother")</f>
        <v>นางจุฑามาศ พุ่มสงวน Mother</v>
      </c>
      <c r="AB1303" t="str">
        <f>IFERROR(__xludf.DUMMYFUNCTION("""COMPUTED_VALUE"""),"hussawanpoo@airasia.com")</f>
        <v>hussawanpoo@airasia.com</v>
      </c>
    </row>
    <row r="1304">
      <c r="A1304">
        <f>IFERROR(__xludf.DUMMYFUNCTION("""COMPUTED_VALUE"""),1046348.0)</f>
        <v>1046348</v>
      </c>
      <c r="B1304" t="str">
        <f>IFERROR(__xludf.DUMMYFUNCTION("""COMPUTED_VALUE"""),"Ms.")</f>
        <v>Ms.</v>
      </c>
      <c r="C1304" t="str">
        <f>IFERROR(__xludf.DUMMYFUNCTION("""COMPUTED_VALUE"""),"Idsarawan")</f>
        <v>Idsarawan</v>
      </c>
      <c r="D1304" t="str">
        <f>IFERROR(__xludf.DUMMYFUNCTION("""COMPUTED_VALUE"""),"Charoenchua")</f>
        <v>Charoenchua</v>
      </c>
      <c r="E1304" t="str">
        <f>IFERROR(__xludf.DUMMYFUNCTION("""COMPUTED_VALUE"""),"Idsarawan Charoenchua")</f>
        <v>Idsarawan Charoenchua</v>
      </c>
      <c r="F1304" t="str">
        <f>IFERROR(__xludf.DUMMYFUNCTION("""COMPUTED_VALUE"""),"นางสาว")</f>
        <v>นางสาว</v>
      </c>
      <c r="G1304" t="str">
        <f>IFERROR(__xludf.DUMMYFUNCTION("""COMPUTED_VALUE"""),"อิศราวรรณ")</f>
        <v>อิศราวรรณ</v>
      </c>
      <c r="H1304" t="str">
        <f>IFERROR(__xludf.DUMMYFUNCTION("""COMPUTED_VALUE"""),"เจริญเชื้อ")</f>
        <v>เจริญเชื้อ</v>
      </c>
      <c r="I1304" s="145" t="str">
        <f>IFERROR(__xludf.DUMMYFUNCTION("""COMPUTED_VALUE"""),"อิศราวรรณ เจริญเชื้อ")</f>
        <v>อิศราวรรณ เจริญเชื้อ</v>
      </c>
      <c r="J1304" t="str">
        <f>IFERROR(__xludf.DUMMYFUNCTION("""COMPUTED_VALUE"""),"ฝน")</f>
        <v>ฝน</v>
      </c>
      <c r="K1304" t="str">
        <f>IFERROR(__xludf.DUMMYFUNCTION("""COMPUTED_VALUE"""),"Cabin Crew Trainee - BKK")</f>
        <v>Cabin Crew Trainee - BKK</v>
      </c>
      <c r="L1304" t="str">
        <f>IFERROR(__xludf.DUMMYFUNCTION("""COMPUTED_VALUE"""),"BKK")</f>
        <v>BKK</v>
      </c>
      <c r="M1304" s="145" t="str">
        <f>IFERROR(__xludf.DUMMYFUNCTION("""COMPUTED_VALUE"""),"Um Home")</f>
        <v>Um Home</v>
      </c>
      <c r="N1304" t="str">
        <f>IFERROR(__xludf.DUMMYFUNCTION("""COMPUTED_VALUE"""),"Trainee")</f>
        <v>Trainee</v>
      </c>
      <c r="P1304" s="156">
        <f>IFERROR(__xludf.DUMMYFUNCTION("""COMPUTED_VALUE"""),36440.0)</f>
        <v>36440</v>
      </c>
      <c r="Q1304" s="146">
        <f>IFERROR(__xludf.DUMMYFUNCTION("""COMPUTED_VALUE"""),9.71276777E8)</f>
        <v>971276777</v>
      </c>
      <c r="R1304" s="147">
        <f>IFERROR(__xludf.DUMMYFUNCTION("""COMPUTED_VALUE"""),1.409901852875E12)</f>
        <v>1409901852875</v>
      </c>
      <c r="S1304" t="str">
        <f>IFERROR(__xludf.DUMMYFUNCTION("""COMPUTED_VALUE"""),"AD1647578")</f>
        <v>AD1647578</v>
      </c>
      <c r="T1304" s="148">
        <f>IFERROR(__xludf.DUMMYFUNCTION("""COMPUTED_VALUE"""),45318.0)</f>
        <v>45318</v>
      </c>
      <c r="U1304" s="148">
        <f>IFERROR(__xludf.DUMMYFUNCTION("""COMPUTED_VALUE"""),48972.0)</f>
        <v>48972</v>
      </c>
      <c r="V1304" s="149">
        <f>IFERROR(__xludf.DUMMYFUNCTION("""COMPUTED_VALUE"""),48788.0)</f>
        <v>48788</v>
      </c>
      <c r="W1304" t="str">
        <f>IFERROR(__xludf.DUMMYFUNCTION("""COMPUTED_VALUE"""),"ปลอดภัย")</f>
        <v>ปลอดภัย</v>
      </c>
      <c r="X1304" t="str">
        <f>IFERROR(__xludf.DUMMYFUNCTION("""COMPUTED_VALUE"""),"Khon Kaen Province")</f>
        <v>Khon Kaen Province</v>
      </c>
      <c r="Y1304" t="str">
        <f>IFERROR(__xludf.DUMMYFUNCTION("""COMPUTED_VALUE"""),"Bangkok")</f>
        <v>Bangkok</v>
      </c>
      <c r="Z1304" s="145" t="str">
        <f>IFERROR(__xludf.DUMMYFUNCTION("""COMPUTED_VALUE"""),"097-353-8289")</f>
        <v>097-353-8289</v>
      </c>
      <c r="AA1304" t="str">
        <f>IFERROR(__xludf.DUMMYFUNCTION("""COMPUTED_VALUE"""),"พิญาดา เจริญเชื้อ Sister")</f>
        <v>พิญาดา เจริญเชื้อ Sister</v>
      </c>
      <c r="AB1304" t="str">
        <f>IFERROR(__xludf.DUMMYFUNCTION("""COMPUTED_VALUE"""),"idsarawancha@airasia.com")</f>
        <v>idsarawancha@airasia.com</v>
      </c>
    </row>
    <row r="1305">
      <c r="A1305">
        <f>IFERROR(__xludf.DUMMYFUNCTION("""COMPUTED_VALUE"""),1046349.0)</f>
        <v>1046349</v>
      </c>
      <c r="B1305" t="str">
        <f>IFERROR(__xludf.DUMMYFUNCTION("""COMPUTED_VALUE"""),"Mr.")</f>
        <v>Mr.</v>
      </c>
      <c r="C1305" t="str">
        <f>IFERROR(__xludf.DUMMYFUNCTION("""COMPUTED_VALUE"""),"Jiratthakiat")</f>
        <v>Jiratthakiat</v>
      </c>
      <c r="D1305" t="str">
        <f>IFERROR(__xludf.DUMMYFUNCTION("""COMPUTED_VALUE"""),"Jantaraphat")</f>
        <v>Jantaraphat</v>
      </c>
      <c r="E1305" t="str">
        <f>IFERROR(__xludf.DUMMYFUNCTION("""COMPUTED_VALUE"""),"Jiratthakiat Jantaraphat")</f>
        <v>Jiratthakiat Jantaraphat</v>
      </c>
      <c r="F1305" t="str">
        <f>IFERROR(__xludf.DUMMYFUNCTION("""COMPUTED_VALUE"""),"นาย")</f>
        <v>นาย</v>
      </c>
      <c r="G1305" t="str">
        <f>IFERROR(__xludf.DUMMYFUNCTION("""COMPUTED_VALUE"""),"จิรัฐธเกียรติ์")</f>
        <v>จิรัฐธเกียรติ์</v>
      </c>
      <c r="H1305" t="str">
        <f>IFERROR(__xludf.DUMMYFUNCTION("""COMPUTED_VALUE"""),"จันทรเพท")</f>
        <v>จันทรเพท</v>
      </c>
      <c r="I1305" s="145" t="str">
        <f>IFERROR(__xludf.DUMMYFUNCTION("""COMPUTED_VALUE"""),"จิรัฐธเกียรติ์ จันทรเพท")</f>
        <v>จิรัฐธเกียรติ์ จันทรเพท</v>
      </c>
      <c r="J1305" t="str">
        <f>IFERROR(__xludf.DUMMYFUNCTION("""COMPUTED_VALUE"""),"ท็อป")</f>
        <v>ท็อป</v>
      </c>
      <c r="K1305" t="str">
        <f>IFERROR(__xludf.DUMMYFUNCTION("""COMPUTED_VALUE"""),"Cabin Crew Trainee")</f>
        <v>Cabin Crew Trainee</v>
      </c>
      <c r="L1305" t="str">
        <f>IFERROR(__xludf.DUMMYFUNCTION("""COMPUTED_VALUE"""),"DMK")</f>
        <v>DMK</v>
      </c>
      <c r="M1305" s="145" t="str">
        <f>IFERROR(__xludf.DUMMYFUNCTION("""COMPUTED_VALUE"""),"Um Home")</f>
        <v>Um Home</v>
      </c>
      <c r="N1305" t="str">
        <f>IFERROR(__xludf.DUMMYFUNCTION("""COMPUTED_VALUE"""),"Trainee")</f>
        <v>Trainee</v>
      </c>
      <c r="P1305" s="156">
        <f>IFERROR(__xludf.DUMMYFUNCTION("""COMPUTED_VALUE"""),32551.0)</f>
        <v>32551</v>
      </c>
      <c r="Q1305" s="146">
        <f>IFERROR(__xludf.DUMMYFUNCTION("""COMPUTED_VALUE"""),6.36494992E8)</f>
        <v>636494992</v>
      </c>
      <c r="R1305" s="147">
        <f>IFERROR(__xludf.DUMMYFUNCTION("""COMPUTED_VALUE"""),1.819900076894E12)</f>
        <v>1819900076894</v>
      </c>
      <c r="S1305" t="str">
        <f>IFERROR(__xludf.DUMMYFUNCTION("""COMPUTED_VALUE"""),"AC3105399")</f>
        <v>AC3105399</v>
      </c>
      <c r="T1305" s="148">
        <f>IFERROR(__xludf.DUMMYFUNCTION("""COMPUTED_VALUE"""),44690.0)</f>
        <v>44690</v>
      </c>
      <c r="U1305" s="148">
        <f>IFERROR(__xludf.DUMMYFUNCTION("""COMPUTED_VALUE"""),48342.0)</f>
        <v>48342</v>
      </c>
      <c r="V1305" s="149">
        <f>IFERROR(__xludf.DUMMYFUNCTION("""COMPUTED_VALUE"""),48160.0)</f>
        <v>48160</v>
      </c>
      <c r="W1305" t="str">
        <f>IFERROR(__xludf.DUMMYFUNCTION("""COMPUTED_VALUE"""),"ปลอดภัย")</f>
        <v>ปลอดภัย</v>
      </c>
      <c r="X1305" t="str">
        <f>IFERROR(__xludf.DUMMYFUNCTION("""COMPUTED_VALUE"""),"Krabi Province")</f>
        <v>Krabi Province</v>
      </c>
      <c r="Y1305" t="str">
        <f>IFERROR(__xludf.DUMMYFUNCTION("""COMPUTED_VALUE"""),"Bangkok")</f>
        <v>Bangkok</v>
      </c>
      <c r="Z1305" s="145" t="str">
        <f>IFERROR(__xludf.DUMMYFUNCTION("""COMPUTED_VALUE"""),"092-649-2393")</f>
        <v>092-649-2393</v>
      </c>
      <c r="AA1305" t="str">
        <f>IFERROR(__xludf.DUMMYFUNCTION("""COMPUTED_VALUE"""),"นายสมัชชา กัณฑะวงศ์ Friend")</f>
        <v>นายสมัชชา กัณฑะวงศ์ Friend</v>
      </c>
      <c r="AB1305" t="str">
        <f>IFERROR(__xludf.DUMMYFUNCTION("""COMPUTED_VALUE"""),"jiratthakiatjan@airasia.com")</f>
        <v>jiratthakiatjan@airasia.com</v>
      </c>
    </row>
    <row r="1306">
      <c r="A1306">
        <f>IFERROR(__xludf.DUMMYFUNCTION("""COMPUTED_VALUE"""),1046350.0)</f>
        <v>1046350</v>
      </c>
      <c r="B1306" t="str">
        <f>IFERROR(__xludf.DUMMYFUNCTION("""COMPUTED_VALUE"""),"Ms.")</f>
        <v>Ms.</v>
      </c>
      <c r="C1306" t="str">
        <f>IFERROR(__xludf.DUMMYFUNCTION("""COMPUTED_VALUE"""),"Jomsurang")</f>
        <v>Jomsurang</v>
      </c>
      <c r="D1306" t="str">
        <f>IFERROR(__xludf.DUMMYFUNCTION("""COMPUTED_VALUE"""),"Kaseamtanasathien")</f>
        <v>Kaseamtanasathien</v>
      </c>
      <c r="E1306" t="str">
        <f>IFERROR(__xludf.DUMMYFUNCTION("""COMPUTED_VALUE"""),"Jomsurang Kaseamtanasathien")</f>
        <v>Jomsurang Kaseamtanasathien</v>
      </c>
      <c r="F1306" t="str">
        <f>IFERROR(__xludf.DUMMYFUNCTION("""COMPUTED_VALUE"""),"นางสาว")</f>
        <v>นางสาว</v>
      </c>
      <c r="G1306" t="str">
        <f>IFERROR(__xludf.DUMMYFUNCTION("""COMPUTED_VALUE"""),"จอมสุรางค์")</f>
        <v>จอมสุรางค์</v>
      </c>
      <c r="H1306" t="str">
        <f>IFERROR(__xludf.DUMMYFUNCTION("""COMPUTED_VALUE"""),"เกษมธนเสถียร")</f>
        <v>เกษมธนเสถียร</v>
      </c>
      <c r="I1306" s="145" t="str">
        <f>IFERROR(__xludf.DUMMYFUNCTION("""COMPUTED_VALUE"""),"จอมสุรางค์ เกษมธนเสถียร")</f>
        <v>จอมสุรางค์ เกษมธนเสถียร</v>
      </c>
      <c r="J1306" t="str">
        <f>IFERROR(__xludf.DUMMYFUNCTION("""COMPUTED_VALUE"""),"Magic")</f>
        <v>Magic</v>
      </c>
      <c r="K1306" t="str">
        <f>IFERROR(__xludf.DUMMYFUNCTION("""COMPUTED_VALUE"""),"Cabin Crew Trainee")</f>
        <v>Cabin Crew Trainee</v>
      </c>
      <c r="L1306" t="str">
        <f>IFERROR(__xludf.DUMMYFUNCTION("""COMPUTED_VALUE"""),"DMK")</f>
        <v>DMK</v>
      </c>
      <c r="M1306" s="145" t="str">
        <f>IFERROR(__xludf.DUMMYFUNCTION("""COMPUTED_VALUE"""),"Namfon Home")</f>
        <v>Namfon Home</v>
      </c>
      <c r="N1306" t="str">
        <f>IFERROR(__xludf.DUMMYFUNCTION("""COMPUTED_VALUE"""),"Trainee")</f>
        <v>Trainee</v>
      </c>
      <c r="P1306" s="156">
        <f>IFERROR(__xludf.DUMMYFUNCTION("""COMPUTED_VALUE"""),36412.0)</f>
        <v>36412</v>
      </c>
      <c r="Q1306" s="146">
        <f>IFERROR(__xludf.DUMMYFUNCTION("""COMPUTED_VALUE"""),9.84517859E8)</f>
        <v>984517859</v>
      </c>
      <c r="R1306" s="147">
        <f>IFERROR(__xludf.DUMMYFUNCTION("""COMPUTED_VALUE"""),1.300101201031E12)</f>
        <v>1300101201031</v>
      </c>
      <c r="S1306" t="str">
        <f>IFERROR(__xludf.DUMMYFUNCTION("""COMPUTED_VALUE"""),"AC2284859")</f>
        <v>AC2284859</v>
      </c>
      <c r="T1306" s="148">
        <f>IFERROR(__xludf.DUMMYFUNCTION("""COMPUTED_VALUE"""),44340.0)</f>
        <v>44340</v>
      </c>
      <c r="U1306" s="148">
        <f>IFERROR(__xludf.DUMMYFUNCTION("""COMPUTED_VALUE"""),47991.0)</f>
        <v>47991</v>
      </c>
      <c r="V1306" s="149">
        <f>IFERROR(__xludf.DUMMYFUNCTION("""COMPUTED_VALUE"""),47810.0)</f>
        <v>47810</v>
      </c>
      <c r="W1306" t="str">
        <f>IFERROR(__xludf.DUMMYFUNCTION("""COMPUTED_VALUE"""),"ปลอดภัย")</f>
        <v>ปลอดภัย</v>
      </c>
      <c r="X1306" t="str">
        <f>IFERROR(__xludf.DUMMYFUNCTION("""COMPUTED_VALUE"""),"Nakhon Ratchasima Province")</f>
        <v>Nakhon Ratchasima Province</v>
      </c>
      <c r="Y1306" t="str">
        <f>IFERROR(__xludf.DUMMYFUNCTION("""COMPUTED_VALUE"""),"Pathum Thani")</f>
        <v>Pathum Thani</v>
      </c>
      <c r="Z1306" s="145" t="str">
        <f>IFERROR(__xludf.DUMMYFUNCTION("""COMPUTED_VALUE"""),"0873245524")</f>
        <v>0873245524</v>
      </c>
      <c r="AA1306" t="str">
        <f>IFERROR(__xludf.DUMMYFUNCTION("""COMPUTED_VALUE"""),"นางชไมลักษณ์ เกษมธนเสถียร Mother")</f>
        <v>นางชไมลักษณ์ เกษมธนเสถียร Mother</v>
      </c>
      <c r="AB1306" t="str">
        <f>IFERROR(__xludf.DUMMYFUNCTION("""COMPUTED_VALUE"""),"jomsurangkas@airasia.com")</f>
        <v>jomsurangkas@airasia.com</v>
      </c>
    </row>
    <row r="1307">
      <c r="A1307">
        <f>IFERROR(__xludf.DUMMYFUNCTION("""COMPUTED_VALUE"""),1046351.0)</f>
        <v>1046351</v>
      </c>
      <c r="B1307" t="str">
        <f>IFERROR(__xludf.DUMMYFUNCTION("""COMPUTED_VALUE"""),"Mr.")</f>
        <v>Mr.</v>
      </c>
      <c r="C1307" t="str">
        <f>IFERROR(__xludf.DUMMYFUNCTION("""COMPUTED_VALUE"""),"Kittisak")</f>
        <v>Kittisak</v>
      </c>
      <c r="D1307" t="str">
        <f>IFERROR(__xludf.DUMMYFUNCTION("""COMPUTED_VALUE"""),"Rojsangrat")</f>
        <v>Rojsangrat</v>
      </c>
      <c r="E1307" t="str">
        <f>IFERROR(__xludf.DUMMYFUNCTION("""COMPUTED_VALUE"""),"Kittisak Rojsangrat")</f>
        <v>Kittisak Rojsangrat</v>
      </c>
      <c r="F1307" t="str">
        <f>IFERROR(__xludf.DUMMYFUNCTION("""COMPUTED_VALUE"""),"นาย")</f>
        <v>นาย</v>
      </c>
      <c r="G1307" t="str">
        <f>IFERROR(__xludf.DUMMYFUNCTION("""COMPUTED_VALUE"""),"กิตติศักดิ์")</f>
        <v>กิตติศักดิ์</v>
      </c>
      <c r="H1307" t="str">
        <f>IFERROR(__xludf.DUMMYFUNCTION("""COMPUTED_VALUE"""),"โรจน์แสงรัตน์")</f>
        <v>โรจน์แสงรัตน์</v>
      </c>
      <c r="I1307" s="145" t="str">
        <f>IFERROR(__xludf.DUMMYFUNCTION("""COMPUTED_VALUE"""),"กิตติศักดิ์ โรจน์แสงรัตน์")</f>
        <v>กิตติศักดิ์ โรจน์แสงรัตน์</v>
      </c>
      <c r="J1307" t="str">
        <f>IFERROR(__xludf.DUMMYFUNCTION("""COMPUTED_VALUE"""),"Max / แม็กซ์")</f>
        <v>Max / แม็กซ์</v>
      </c>
      <c r="K1307" t="str">
        <f>IFERROR(__xludf.DUMMYFUNCTION("""COMPUTED_VALUE"""),"Cabin Crew Trainee")</f>
        <v>Cabin Crew Trainee</v>
      </c>
      <c r="L1307" t="str">
        <f>IFERROR(__xludf.DUMMYFUNCTION("""COMPUTED_VALUE"""),"DMK")</f>
        <v>DMK</v>
      </c>
      <c r="M1307" s="145" t="str">
        <f>IFERROR(__xludf.DUMMYFUNCTION("""COMPUTED_VALUE"""),"Namfon Home")</f>
        <v>Namfon Home</v>
      </c>
      <c r="N1307" t="str">
        <f>IFERROR(__xludf.DUMMYFUNCTION("""COMPUTED_VALUE"""),"Trainee")</f>
        <v>Trainee</v>
      </c>
      <c r="P1307" s="156">
        <f>IFERROR(__xludf.DUMMYFUNCTION("""COMPUTED_VALUE"""),33179.0)</f>
        <v>33179</v>
      </c>
      <c r="Q1307" s="146">
        <f>IFERROR(__xludf.DUMMYFUNCTION("""COMPUTED_VALUE"""),9.89246364E8)</f>
        <v>989246364</v>
      </c>
      <c r="R1307" s="147">
        <f>IFERROR(__xludf.DUMMYFUNCTION("""COMPUTED_VALUE"""),1.579900329477E12)</f>
        <v>1579900329477</v>
      </c>
      <c r="S1307" t="str">
        <f>IFERROR(__xludf.DUMMYFUNCTION("""COMPUTED_VALUE"""),"AC5087885")</f>
        <v>AC5087885</v>
      </c>
      <c r="T1307" s="148">
        <f>IFERROR(__xludf.DUMMYFUNCTION("""COMPUTED_VALUE"""),45085.0)</f>
        <v>45085</v>
      </c>
      <c r="U1307" s="148">
        <f>IFERROR(__xludf.DUMMYFUNCTION("""COMPUTED_VALUE"""),48737.0)</f>
        <v>48737</v>
      </c>
      <c r="V1307" s="149">
        <f>IFERROR(__xludf.DUMMYFUNCTION("""COMPUTED_VALUE"""),48555.0)</f>
        <v>48555</v>
      </c>
      <c r="W1307" t="str">
        <f>IFERROR(__xludf.DUMMYFUNCTION("""COMPUTED_VALUE"""),"ปลอดภัย")</f>
        <v>ปลอดภัย</v>
      </c>
      <c r="X1307" t="str">
        <f>IFERROR(__xludf.DUMMYFUNCTION("""COMPUTED_VALUE"""),"Chiang Rai Province")</f>
        <v>Chiang Rai Province</v>
      </c>
      <c r="Y1307" t="str">
        <f>IFERROR(__xludf.DUMMYFUNCTION("""COMPUTED_VALUE"""),"Bangkok")</f>
        <v>Bangkok</v>
      </c>
      <c r="Z1307" s="145" t="str">
        <f>IFERROR(__xludf.DUMMYFUNCTION("""COMPUTED_VALUE"""),"0622956693")</f>
        <v>0622956693</v>
      </c>
      <c r="AA1307" t="str">
        <f>IFERROR(__xludf.DUMMYFUNCTION("""COMPUTED_VALUE"""),"นางสาวธิติรัตน์ โรจน์แสงรัตน์ Sister")</f>
        <v>นางสาวธิติรัตน์ โรจน์แสงรัตน์ Sister</v>
      </c>
      <c r="AB1307" t="str">
        <f>IFERROR(__xludf.DUMMYFUNCTION("""COMPUTED_VALUE"""),"kittisakroj@airasia.com")</f>
        <v>kittisakroj@airasia.com</v>
      </c>
    </row>
    <row r="1308">
      <c r="A1308">
        <f>IFERROR(__xludf.DUMMYFUNCTION("""COMPUTED_VALUE"""),1046352.0)</f>
        <v>1046352</v>
      </c>
      <c r="B1308" t="str">
        <f>IFERROR(__xludf.DUMMYFUNCTION("""COMPUTED_VALUE"""),"Ms.")</f>
        <v>Ms.</v>
      </c>
      <c r="C1308" t="str">
        <f>IFERROR(__xludf.DUMMYFUNCTION("""COMPUTED_VALUE"""),"Natthida")</f>
        <v>Natthida</v>
      </c>
      <c r="D1308" t="str">
        <f>IFERROR(__xludf.DUMMYFUNCTION("""COMPUTED_VALUE"""),"Pitchumaethitanan")</f>
        <v>Pitchumaethitanan</v>
      </c>
      <c r="E1308" t="str">
        <f>IFERROR(__xludf.DUMMYFUNCTION("""COMPUTED_VALUE"""),"Natthida Pitchumaethitanan")</f>
        <v>Natthida Pitchumaethitanan</v>
      </c>
      <c r="F1308" t="str">
        <f>IFERROR(__xludf.DUMMYFUNCTION("""COMPUTED_VALUE"""),"นางสาว")</f>
        <v>นางสาว</v>
      </c>
      <c r="G1308" t="str">
        <f>IFERROR(__xludf.DUMMYFUNCTION("""COMPUTED_VALUE"""),"ณัฐธิดา")</f>
        <v>ณัฐธิดา</v>
      </c>
      <c r="H1308" t="str">
        <f>IFERROR(__xludf.DUMMYFUNCTION("""COMPUTED_VALUE"""),"พิชชุเมธิตานันท์")</f>
        <v>พิชชุเมธิตานันท์</v>
      </c>
      <c r="I1308" s="145" t="str">
        <f>IFERROR(__xludf.DUMMYFUNCTION("""COMPUTED_VALUE"""),"ณัฐธิดา พิชชุเมธิตานันท์")</f>
        <v>ณัฐธิดา พิชชุเมธิตานันท์</v>
      </c>
      <c r="J1308" t="str">
        <f>IFERROR(__xludf.DUMMYFUNCTION("""COMPUTED_VALUE"""),"อีฟ")</f>
        <v>อีฟ</v>
      </c>
      <c r="K1308" t="str">
        <f>IFERROR(__xludf.DUMMYFUNCTION("""COMPUTED_VALUE"""),"Cabin Crew Trainee")</f>
        <v>Cabin Crew Trainee</v>
      </c>
      <c r="L1308" t="str">
        <f>IFERROR(__xludf.DUMMYFUNCTION("""COMPUTED_VALUE"""),"DMK")</f>
        <v>DMK</v>
      </c>
      <c r="M1308" s="145" t="str">
        <f>IFERROR(__xludf.DUMMYFUNCTION("""COMPUTED_VALUE"""),"Um Home")</f>
        <v>Um Home</v>
      </c>
      <c r="N1308" t="str">
        <f>IFERROR(__xludf.DUMMYFUNCTION("""COMPUTED_VALUE"""),"Trainee")</f>
        <v>Trainee</v>
      </c>
      <c r="P1308" s="156">
        <f>IFERROR(__xludf.DUMMYFUNCTION("""COMPUTED_VALUE"""),34642.0)</f>
        <v>34642</v>
      </c>
      <c r="Q1308" s="146">
        <f>IFERROR(__xludf.DUMMYFUNCTION("""COMPUTED_VALUE"""),8.00650222E8)</f>
        <v>800650222</v>
      </c>
      <c r="R1308" s="147">
        <f>IFERROR(__xludf.DUMMYFUNCTION("""COMPUTED_VALUE"""),1.110100158754E12)</f>
        <v>1110100158754</v>
      </c>
      <c r="S1308" t="str">
        <f>IFERROR(__xludf.DUMMYFUNCTION("""COMPUTED_VALUE"""),"AD0255362")</f>
        <v>AD0255362</v>
      </c>
      <c r="T1308" s="148">
        <f>IFERROR(__xludf.DUMMYFUNCTION("""COMPUTED_VALUE"""),44863.0)</f>
        <v>44863</v>
      </c>
      <c r="U1308" s="148">
        <f>IFERROR(__xludf.DUMMYFUNCTION("""COMPUTED_VALUE"""),48515.0)</f>
        <v>48515</v>
      </c>
      <c r="V1308" s="149">
        <f>IFERROR(__xludf.DUMMYFUNCTION("""COMPUTED_VALUE"""),48332.0)</f>
        <v>48332</v>
      </c>
      <c r="W1308" t="str">
        <f>IFERROR(__xludf.DUMMYFUNCTION("""COMPUTED_VALUE"""),"ปลอดภัย")</f>
        <v>ปลอดภัย</v>
      </c>
      <c r="X1308" t="str">
        <f>IFERROR(__xludf.DUMMYFUNCTION("""COMPUTED_VALUE"""),"Samut Prakan Province")</f>
        <v>Samut Prakan Province</v>
      </c>
      <c r="Y1308" t="str">
        <f>IFERROR(__xludf.DUMMYFUNCTION("""COMPUTED_VALUE"""),"Pathum Thani")</f>
        <v>Pathum Thani</v>
      </c>
      <c r="Z1308" s="145" t="str">
        <f>IFERROR(__xludf.DUMMYFUNCTION("""COMPUTED_VALUE"""),"081-956-1759")</f>
        <v>081-956-1759</v>
      </c>
      <c r="AA1308" t="str">
        <f>IFERROR(__xludf.DUMMYFUNCTION("""COMPUTED_VALUE"""),"นายปธานิน สุขุม Friend")</f>
        <v>นายปธานิน สุขุม Friend</v>
      </c>
      <c r="AB1308" t="str">
        <f>IFERROR(__xludf.DUMMYFUNCTION("""COMPUTED_VALUE"""),"natthidapit@airasia.com")</f>
        <v>natthidapit@airasia.com</v>
      </c>
    </row>
    <row r="1309">
      <c r="A1309">
        <f>IFERROR(__xludf.DUMMYFUNCTION("""COMPUTED_VALUE"""),1046353.0)</f>
        <v>1046353</v>
      </c>
      <c r="B1309" t="str">
        <f>IFERROR(__xludf.DUMMYFUNCTION("""COMPUTED_VALUE"""),"Mr.")</f>
        <v>Mr.</v>
      </c>
      <c r="C1309" t="str">
        <f>IFERROR(__xludf.DUMMYFUNCTION("""COMPUTED_VALUE"""),"Nutt")</f>
        <v>Nutt</v>
      </c>
      <c r="D1309" t="str">
        <f>IFERROR(__xludf.DUMMYFUNCTION("""COMPUTED_VALUE"""),"Athiboonsarun")</f>
        <v>Athiboonsarun</v>
      </c>
      <c r="E1309" t="str">
        <f>IFERROR(__xludf.DUMMYFUNCTION("""COMPUTED_VALUE"""),"Nutt Athiboonsarun")</f>
        <v>Nutt Athiboonsarun</v>
      </c>
      <c r="F1309" t="str">
        <f>IFERROR(__xludf.DUMMYFUNCTION("""COMPUTED_VALUE"""),"นาย")</f>
        <v>นาย</v>
      </c>
      <c r="G1309" t="str">
        <f>IFERROR(__xludf.DUMMYFUNCTION("""COMPUTED_VALUE"""),"ณัฏฐ์")</f>
        <v>ณัฏฐ์</v>
      </c>
      <c r="H1309" t="str">
        <f>IFERROR(__xludf.DUMMYFUNCTION("""COMPUTED_VALUE"""),"อธิบุญศรัณย์")</f>
        <v>อธิบุญศรัณย์</v>
      </c>
      <c r="I1309" s="145" t="str">
        <f>IFERROR(__xludf.DUMMYFUNCTION("""COMPUTED_VALUE"""),"ณัฏฐ์ อธิบุญศรัณย์")</f>
        <v>ณัฏฐ์ อธิบุญศรัณย์</v>
      </c>
      <c r="J1309" t="str">
        <f>IFERROR(__xludf.DUMMYFUNCTION("""COMPUTED_VALUE"""),"Toy / ทอย")</f>
        <v>Toy / ทอย</v>
      </c>
      <c r="K1309" t="str">
        <f>IFERROR(__xludf.DUMMYFUNCTION("""COMPUTED_VALUE"""),"Cabin Crew Trainee")</f>
        <v>Cabin Crew Trainee</v>
      </c>
      <c r="L1309" t="str">
        <f>IFERROR(__xludf.DUMMYFUNCTION("""COMPUTED_VALUE"""),"DMK")</f>
        <v>DMK</v>
      </c>
      <c r="M1309" s="145" t="str">
        <f>IFERROR(__xludf.DUMMYFUNCTION("""COMPUTED_VALUE"""),"Namfon Home")</f>
        <v>Namfon Home</v>
      </c>
      <c r="N1309" t="str">
        <f>IFERROR(__xludf.DUMMYFUNCTION("""COMPUTED_VALUE"""),"Trainee")</f>
        <v>Trainee</v>
      </c>
      <c r="P1309" s="156">
        <f>IFERROR(__xludf.DUMMYFUNCTION("""COMPUTED_VALUE"""),36986.0)</f>
        <v>36986</v>
      </c>
      <c r="Q1309" s="146">
        <f>IFERROR(__xludf.DUMMYFUNCTION("""COMPUTED_VALUE"""),6.28638989E8)</f>
        <v>628638989</v>
      </c>
      <c r="R1309" s="147">
        <f>IFERROR(__xludf.DUMMYFUNCTION("""COMPUTED_VALUE"""),1.104200208781E12)</f>
        <v>1104200208781</v>
      </c>
      <c r="S1309" t="str">
        <f>IFERROR(__xludf.DUMMYFUNCTION("""COMPUTED_VALUE"""),"AD5739706")</f>
        <v>AD5739706</v>
      </c>
      <c r="T1309" s="148">
        <f>IFERROR(__xludf.DUMMYFUNCTION("""COMPUTED_VALUE"""),45191.0)</f>
        <v>45191</v>
      </c>
      <c r="U1309" s="148">
        <f>IFERROR(__xludf.DUMMYFUNCTION("""COMPUTED_VALUE"""),48843.0)</f>
        <v>48843</v>
      </c>
      <c r="V1309" s="149">
        <f>IFERROR(__xludf.DUMMYFUNCTION("""COMPUTED_VALUE"""),48659.0)</f>
        <v>48659</v>
      </c>
      <c r="W1309" t="str">
        <f>IFERROR(__xludf.DUMMYFUNCTION("""COMPUTED_VALUE"""),"ปลอดภัย")</f>
        <v>ปลอดภัย</v>
      </c>
      <c r="X1309" t="str">
        <f>IFERROR(__xludf.DUMMYFUNCTION("""COMPUTED_VALUE"""),"Bangkok")</f>
        <v>Bangkok</v>
      </c>
      <c r="Y1309" t="str">
        <f>IFERROR(__xludf.DUMMYFUNCTION("""COMPUTED_VALUE"""),"Pathum Thani")</f>
        <v>Pathum Thani</v>
      </c>
      <c r="Z1309" s="145" t="str">
        <f>IFERROR(__xludf.DUMMYFUNCTION("""COMPUTED_VALUE"""),"088-291-9747")</f>
        <v>088-291-9747</v>
      </c>
      <c r="AA1309" t="str">
        <f>IFERROR(__xludf.DUMMYFUNCTION("""COMPUTED_VALUE"""),"นายธนา อธิบุญศรัณย์ Brother")</f>
        <v>นายธนา อธิบุญศรัณย์ Brother</v>
      </c>
      <c r="AB1309" t="str">
        <f>IFERROR(__xludf.DUMMYFUNCTION("""COMPUTED_VALUE"""),"nuttath@airasia.com")</f>
        <v>nuttath@airasia.com</v>
      </c>
    </row>
    <row r="1310">
      <c r="A1310">
        <f>IFERROR(__xludf.DUMMYFUNCTION("""COMPUTED_VALUE"""),1046356.0)</f>
        <v>1046356</v>
      </c>
      <c r="B1310" t="str">
        <f>IFERROR(__xludf.DUMMYFUNCTION("""COMPUTED_VALUE"""),"Ms.")</f>
        <v>Ms.</v>
      </c>
      <c r="C1310" t="str">
        <f>IFERROR(__xludf.DUMMYFUNCTION("""COMPUTED_VALUE"""),"Pannakorn")</f>
        <v>Pannakorn</v>
      </c>
      <c r="D1310" t="str">
        <f>IFERROR(__xludf.DUMMYFUNCTION("""COMPUTED_VALUE"""),"Tanawan")</f>
        <v>Tanawan</v>
      </c>
      <c r="E1310" t="str">
        <f>IFERROR(__xludf.DUMMYFUNCTION("""COMPUTED_VALUE"""),"Pannakorn Tanawan")</f>
        <v>Pannakorn Tanawan</v>
      </c>
      <c r="F1310" t="str">
        <f>IFERROR(__xludf.DUMMYFUNCTION("""COMPUTED_VALUE"""),"นางสาว")</f>
        <v>นางสาว</v>
      </c>
      <c r="G1310" t="str">
        <f>IFERROR(__xludf.DUMMYFUNCTION("""COMPUTED_VALUE"""),"พัณณกร")</f>
        <v>พัณณกร</v>
      </c>
      <c r="H1310" t="str">
        <f>IFERROR(__xludf.DUMMYFUNCTION("""COMPUTED_VALUE"""),"ธนวรรณ")</f>
        <v>ธนวรรณ</v>
      </c>
      <c r="I1310" s="145" t="str">
        <f>IFERROR(__xludf.DUMMYFUNCTION("""COMPUTED_VALUE"""),"พัณณกร ธนวรรณ")</f>
        <v>พัณณกร ธนวรรณ</v>
      </c>
      <c r="J1310" t="str">
        <f>IFERROR(__xludf.DUMMYFUNCTION("""COMPUTED_VALUE"""),"Earn / เอิร์น")</f>
        <v>Earn / เอิร์น</v>
      </c>
      <c r="K1310" t="str">
        <f>IFERROR(__xludf.DUMMYFUNCTION("""COMPUTED_VALUE"""),"Cabin Crew Trainee")</f>
        <v>Cabin Crew Trainee</v>
      </c>
      <c r="L1310" t="str">
        <f>IFERROR(__xludf.DUMMYFUNCTION("""COMPUTED_VALUE"""),"DMK")</f>
        <v>DMK</v>
      </c>
      <c r="M1310" s="145" t="str">
        <f>IFERROR(__xludf.DUMMYFUNCTION("""COMPUTED_VALUE"""),"Toffy Home")</f>
        <v>Toffy Home</v>
      </c>
      <c r="N1310" t="str">
        <f>IFERROR(__xludf.DUMMYFUNCTION("""COMPUTED_VALUE"""),"Trainee")</f>
        <v>Trainee</v>
      </c>
      <c r="P1310" s="156">
        <f>IFERROR(__xludf.DUMMYFUNCTION("""COMPUTED_VALUE"""),35992.0)</f>
        <v>35992</v>
      </c>
      <c r="Q1310" s="146">
        <f>IFERROR(__xludf.DUMMYFUNCTION("""COMPUTED_VALUE"""),6.15545905E8)</f>
        <v>615545905</v>
      </c>
      <c r="R1310" s="147">
        <f>IFERROR(__xludf.DUMMYFUNCTION("""COMPUTED_VALUE"""),1.859900208782E12)</f>
        <v>1859900208782</v>
      </c>
      <c r="S1310" t="str">
        <f>IFERROR(__xludf.DUMMYFUNCTION("""COMPUTED_VALUE"""),"AD1881138")</f>
        <v>AD1881138</v>
      </c>
      <c r="T1310" s="148">
        <f>IFERROR(__xludf.DUMMYFUNCTION("""COMPUTED_VALUE"""),45457.0)</f>
        <v>45457</v>
      </c>
      <c r="U1310" s="148">
        <f>IFERROR(__xludf.DUMMYFUNCTION("""COMPUTED_VALUE"""),49108.0)</f>
        <v>49108</v>
      </c>
      <c r="V1310" s="149">
        <f>IFERROR(__xludf.DUMMYFUNCTION("""COMPUTED_VALUE"""),48926.0)</f>
        <v>48926</v>
      </c>
      <c r="W1310" t="str">
        <f>IFERROR(__xludf.DUMMYFUNCTION("""COMPUTED_VALUE"""),"ปลอดภัย")</f>
        <v>ปลอดภัย</v>
      </c>
      <c r="X1310" t="str">
        <f>IFERROR(__xludf.DUMMYFUNCTION("""COMPUTED_VALUE"""),"Ranong Province")</f>
        <v>Ranong Province</v>
      </c>
      <c r="Y1310" t="str">
        <f>IFERROR(__xludf.DUMMYFUNCTION("""COMPUTED_VALUE"""),"Bangkok")</f>
        <v>Bangkok</v>
      </c>
      <c r="Z1310" s="145" t="str">
        <f>IFERROR(__xludf.DUMMYFUNCTION("""COMPUTED_VALUE"""),"099-394-9354")</f>
        <v>099-394-9354</v>
      </c>
      <c r="AA1310" t="str">
        <f>IFERROR(__xludf.DUMMYFUNCTION("""COMPUTED_VALUE"""),"นายเกื้อตระกูล จ่างทอง Friend")</f>
        <v>นายเกื้อตระกูล จ่างทอง Friend</v>
      </c>
      <c r="AB1310" t="str">
        <f>IFERROR(__xludf.DUMMYFUNCTION("""COMPUTED_VALUE"""),"pannakorntan@airasia.com")</f>
        <v>pannakorntan@airasia.com</v>
      </c>
    </row>
    <row r="1311">
      <c r="A1311">
        <f>IFERROR(__xludf.DUMMYFUNCTION("""COMPUTED_VALUE"""),1046357.0)</f>
        <v>1046357</v>
      </c>
      <c r="B1311" t="str">
        <f>IFERROR(__xludf.DUMMYFUNCTION("""COMPUTED_VALUE"""),"Mr.")</f>
        <v>Mr.</v>
      </c>
      <c r="C1311" t="str">
        <f>IFERROR(__xludf.DUMMYFUNCTION("""COMPUTED_VALUE"""),"Paramate")</f>
        <v>Paramate</v>
      </c>
      <c r="D1311" t="str">
        <f>IFERROR(__xludf.DUMMYFUNCTION("""COMPUTED_VALUE"""),"Puyati")</f>
        <v>Puyati</v>
      </c>
      <c r="E1311" t="str">
        <f>IFERROR(__xludf.DUMMYFUNCTION("""COMPUTED_VALUE"""),"Paramate Puyati")</f>
        <v>Paramate Puyati</v>
      </c>
      <c r="F1311" t="str">
        <f>IFERROR(__xludf.DUMMYFUNCTION("""COMPUTED_VALUE"""),"นาย")</f>
        <v>นาย</v>
      </c>
      <c r="G1311" t="str">
        <f>IFERROR(__xludf.DUMMYFUNCTION("""COMPUTED_VALUE"""),"ปรเมษฐ์")</f>
        <v>ปรเมษฐ์</v>
      </c>
      <c r="H1311" t="str">
        <f>IFERROR(__xludf.DUMMYFUNCTION("""COMPUTED_VALUE"""),"ปุยะติ")</f>
        <v>ปุยะติ</v>
      </c>
      <c r="I1311" s="145" t="str">
        <f>IFERROR(__xludf.DUMMYFUNCTION("""COMPUTED_VALUE"""),"ปรเมษฐ์ ปุยะติ")</f>
        <v>ปรเมษฐ์ ปุยะติ</v>
      </c>
      <c r="J1311" t="str">
        <f>IFERROR(__xludf.DUMMYFUNCTION("""COMPUTED_VALUE"""),"Peun / ปืน")</f>
        <v>Peun / ปืน</v>
      </c>
      <c r="K1311" t="str">
        <f>IFERROR(__xludf.DUMMYFUNCTION("""COMPUTED_VALUE"""),"Cabin Crew Trainee")</f>
        <v>Cabin Crew Trainee</v>
      </c>
      <c r="L1311" t="str">
        <f>IFERROR(__xludf.DUMMYFUNCTION("""COMPUTED_VALUE"""),"DMK")</f>
        <v>DMK</v>
      </c>
      <c r="M1311" s="145" t="str">
        <f>IFERROR(__xludf.DUMMYFUNCTION("""COMPUTED_VALUE"""),"Up Home")</f>
        <v>Up Home</v>
      </c>
      <c r="N1311" t="str">
        <f>IFERROR(__xludf.DUMMYFUNCTION("""COMPUTED_VALUE"""),"Trainee")</f>
        <v>Trainee</v>
      </c>
      <c r="P1311" s="156">
        <f>IFERROR(__xludf.DUMMYFUNCTION("""COMPUTED_VALUE"""),32538.0)</f>
        <v>32538</v>
      </c>
      <c r="Q1311" s="146">
        <f>IFERROR(__xludf.DUMMYFUNCTION("""COMPUTED_VALUE"""),8.18099848E8)</f>
        <v>818099848</v>
      </c>
      <c r="R1311" s="147">
        <f>IFERROR(__xludf.DUMMYFUNCTION("""COMPUTED_VALUE"""),1.319900167045E12)</f>
        <v>1319900167045</v>
      </c>
      <c r="S1311" t="str">
        <f>IFERROR(__xludf.DUMMYFUNCTION("""COMPUTED_VALUE"""),"AC6440932")</f>
        <v>AC6440932</v>
      </c>
      <c r="T1311" s="148">
        <f>IFERROR(__xludf.DUMMYFUNCTION("""COMPUTED_VALUE"""),45350.0)</f>
        <v>45350</v>
      </c>
      <c r="U1311" s="148">
        <f>IFERROR(__xludf.DUMMYFUNCTION("""COMPUTED_VALUE"""),49002.0)</f>
        <v>49002</v>
      </c>
      <c r="V1311" s="149">
        <f>IFERROR(__xludf.DUMMYFUNCTION("""COMPUTED_VALUE"""),48818.0)</f>
        <v>48818</v>
      </c>
      <c r="W1311" t="str">
        <f>IFERROR(__xludf.DUMMYFUNCTION("""COMPUTED_VALUE"""),"ปลอดภัย")</f>
        <v>ปลอดภัย</v>
      </c>
      <c r="X1311" t="str">
        <f>IFERROR(__xludf.DUMMYFUNCTION("""COMPUTED_VALUE"""),"Buriram Province")</f>
        <v>Buriram Province</v>
      </c>
      <c r="Y1311" t="str">
        <f>IFERROR(__xludf.DUMMYFUNCTION("""COMPUTED_VALUE"""),"Pathum Thani")</f>
        <v>Pathum Thani</v>
      </c>
      <c r="Z1311" s="145" t="str">
        <f>IFERROR(__xludf.DUMMYFUNCTION("""COMPUTED_VALUE"""),"081-936-7687")</f>
        <v>081-936-7687</v>
      </c>
      <c r="AA1311" t="str">
        <f>IFERROR(__xludf.DUMMYFUNCTION("""COMPUTED_VALUE"""),"นางสาวปรมินทร์ตา ปุยะติ Sister")</f>
        <v>นางสาวปรมินทร์ตา ปุยะติ Sister</v>
      </c>
      <c r="AB1311" t="str">
        <f>IFERROR(__xludf.DUMMYFUNCTION("""COMPUTED_VALUE"""),"paramatepuy@airasia.com")</f>
        <v>paramatepuy@airasia.com</v>
      </c>
    </row>
    <row r="1312">
      <c r="A1312">
        <f>IFERROR(__xludf.DUMMYFUNCTION("""COMPUTED_VALUE"""),1046359.0)</f>
        <v>1046359</v>
      </c>
      <c r="B1312" t="str">
        <f>IFERROR(__xludf.DUMMYFUNCTION("""COMPUTED_VALUE"""),"Ms.")</f>
        <v>Ms.</v>
      </c>
      <c r="C1312" t="str">
        <f>IFERROR(__xludf.DUMMYFUNCTION("""COMPUTED_VALUE"""),"Rawikan")</f>
        <v>Rawikan</v>
      </c>
      <c r="D1312" t="str">
        <f>IFERROR(__xludf.DUMMYFUNCTION("""COMPUTED_VALUE"""),"Nilabut")</f>
        <v>Nilabut</v>
      </c>
      <c r="E1312" t="str">
        <f>IFERROR(__xludf.DUMMYFUNCTION("""COMPUTED_VALUE"""),"Rawikan Nilabut")</f>
        <v>Rawikan Nilabut</v>
      </c>
      <c r="F1312" t="str">
        <f>IFERROR(__xludf.DUMMYFUNCTION("""COMPUTED_VALUE"""),"นางสาว")</f>
        <v>นางสาว</v>
      </c>
      <c r="G1312" t="str">
        <f>IFERROR(__xludf.DUMMYFUNCTION("""COMPUTED_VALUE"""),"รวิกานต์")</f>
        <v>รวิกานต์</v>
      </c>
      <c r="H1312" t="str">
        <f>IFERROR(__xludf.DUMMYFUNCTION("""COMPUTED_VALUE"""),"นิลาบุตร")</f>
        <v>นิลาบุตร</v>
      </c>
      <c r="I1312" s="145" t="str">
        <f>IFERROR(__xludf.DUMMYFUNCTION("""COMPUTED_VALUE"""),"รวิกานต์ นิลาบุตร")</f>
        <v>รวิกานต์ นิลาบุตร</v>
      </c>
      <c r="J1312" t="str">
        <f>IFERROR(__xludf.DUMMYFUNCTION("""COMPUTED_VALUE"""),"Fai / ฝ้าย")</f>
        <v>Fai / ฝ้าย</v>
      </c>
      <c r="K1312" t="str">
        <f>IFERROR(__xludf.DUMMYFUNCTION("""COMPUTED_VALUE"""),"Cabin Crew Trainee")</f>
        <v>Cabin Crew Trainee</v>
      </c>
      <c r="L1312" t="str">
        <f>IFERROR(__xludf.DUMMYFUNCTION("""COMPUTED_VALUE"""),"DMK")</f>
        <v>DMK</v>
      </c>
      <c r="M1312" s="145" t="str">
        <f>IFERROR(__xludf.DUMMYFUNCTION("""COMPUTED_VALUE"""),"Por+ Home")</f>
        <v>Por+ Home</v>
      </c>
      <c r="N1312" t="str">
        <f>IFERROR(__xludf.DUMMYFUNCTION("""COMPUTED_VALUE"""),"Trainee")</f>
        <v>Trainee</v>
      </c>
      <c r="P1312" s="156">
        <f>IFERROR(__xludf.DUMMYFUNCTION("""COMPUTED_VALUE"""),36635.0)</f>
        <v>36635</v>
      </c>
      <c r="Q1312" s="146">
        <f>IFERROR(__xludf.DUMMYFUNCTION("""COMPUTED_VALUE"""),9.71984973E8)</f>
        <v>971984973</v>
      </c>
      <c r="R1312" s="147">
        <f>IFERROR(__xludf.DUMMYFUNCTION("""COMPUTED_VALUE"""),1.1005015384E12)</f>
        <v>1100501538400</v>
      </c>
      <c r="S1312" t="str">
        <f>IFERROR(__xludf.DUMMYFUNCTION("""COMPUTED_VALUE"""),"AD0794287")</f>
        <v>AD0794287</v>
      </c>
      <c r="T1312" s="148">
        <f>IFERROR(__xludf.DUMMYFUNCTION("""COMPUTED_VALUE"""),44954.0)</f>
        <v>44954</v>
      </c>
      <c r="U1312" s="148">
        <f>IFERROR(__xludf.DUMMYFUNCTION("""COMPUTED_VALUE"""),46779.0)</f>
        <v>46779</v>
      </c>
      <c r="V1312" s="149">
        <f>IFERROR(__xludf.DUMMYFUNCTION("""COMPUTED_VALUE"""),46595.0)</f>
        <v>46595</v>
      </c>
      <c r="W1312" t="str">
        <f>IFERROR(__xludf.DUMMYFUNCTION("""COMPUTED_VALUE"""),"ปลอดภัย")</f>
        <v>ปลอดภัย</v>
      </c>
      <c r="X1312" t="str">
        <f>IFERROR(__xludf.DUMMYFUNCTION("""COMPUTED_VALUE"""),"Bangkok")</f>
        <v>Bangkok</v>
      </c>
      <c r="Y1312" t="str">
        <f>IFERROR(__xludf.DUMMYFUNCTION("""COMPUTED_VALUE"""),"Bangkok")</f>
        <v>Bangkok</v>
      </c>
      <c r="Z1312" s="145" t="str">
        <f>IFERROR(__xludf.DUMMYFUNCTION("""COMPUTED_VALUE"""),"0894549003")</f>
        <v>0894549003</v>
      </c>
      <c r="AA1312" t="str">
        <f>IFERROR(__xludf.DUMMYFUNCTION("""COMPUTED_VALUE"""),"นางชุรีพร นิลาบุตร Mother")</f>
        <v>นางชุรีพร นิลาบุตร Mother</v>
      </c>
      <c r="AB1312" t="str">
        <f>IFERROR(__xludf.DUMMYFUNCTION("""COMPUTED_VALUE"""),"rawikannil@airasia.com")</f>
        <v>rawikannil@airasia.com</v>
      </c>
    </row>
    <row r="1313">
      <c r="A1313">
        <f>IFERROR(__xludf.DUMMYFUNCTION("""COMPUTED_VALUE"""),1046360.0)</f>
        <v>1046360</v>
      </c>
      <c r="B1313" t="str">
        <f>IFERROR(__xludf.DUMMYFUNCTION("""COMPUTED_VALUE"""),"Ms.")</f>
        <v>Ms.</v>
      </c>
      <c r="C1313" t="str">
        <f>IFERROR(__xludf.DUMMYFUNCTION("""COMPUTED_VALUE"""),"Suthinee")</f>
        <v>Suthinee</v>
      </c>
      <c r="D1313" t="str">
        <f>IFERROR(__xludf.DUMMYFUNCTION("""COMPUTED_VALUE"""),"Umawongsakul")</f>
        <v>Umawongsakul</v>
      </c>
      <c r="E1313" t="str">
        <f>IFERROR(__xludf.DUMMYFUNCTION("""COMPUTED_VALUE"""),"Suthinee Umawongsakul")</f>
        <v>Suthinee Umawongsakul</v>
      </c>
      <c r="F1313" t="str">
        <f>IFERROR(__xludf.DUMMYFUNCTION("""COMPUTED_VALUE"""),"นางสาว")</f>
        <v>นางสาว</v>
      </c>
      <c r="G1313" t="str">
        <f>IFERROR(__xludf.DUMMYFUNCTION("""COMPUTED_VALUE"""),"สุธินี")</f>
        <v>สุธินี</v>
      </c>
      <c r="H1313" t="str">
        <f>IFERROR(__xludf.DUMMYFUNCTION("""COMPUTED_VALUE"""),"อุมาวงสกุล")</f>
        <v>อุมาวงสกุล</v>
      </c>
      <c r="I1313" s="145" t="str">
        <f>IFERROR(__xludf.DUMMYFUNCTION("""COMPUTED_VALUE"""),"สุธินี อุมาวงสกุล")</f>
        <v>สุธินี อุมาวงสกุล</v>
      </c>
      <c r="J1313" t="str">
        <f>IFERROR(__xludf.DUMMYFUNCTION("""COMPUTED_VALUE"""),"Thinie / ธีนี่")</f>
        <v>Thinie / ธีนี่</v>
      </c>
      <c r="K1313" t="str">
        <f>IFERROR(__xludf.DUMMYFUNCTION("""COMPUTED_VALUE"""),"Cabin Crew Trainee")</f>
        <v>Cabin Crew Trainee</v>
      </c>
      <c r="L1313" t="str">
        <f>IFERROR(__xludf.DUMMYFUNCTION("""COMPUTED_VALUE"""),"DMK")</f>
        <v>DMK</v>
      </c>
      <c r="M1313" s="145" t="str">
        <f>IFERROR(__xludf.DUMMYFUNCTION("""COMPUTED_VALUE"""),"Por+ Home")</f>
        <v>Por+ Home</v>
      </c>
      <c r="N1313" t="str">
        <f>IFERROR(__xludf.DUMMYFUNCTION("""COMPUTED_VALUE"""),"Trainee")</f>
        <v>Trainee</v>
      </c>
      <c r="P1313" s="165">
        <f>IFERROR(__xludf.DUMMYFUNCTION("""COMPUTED_VALUE"""),37379.0)</f>
        <v>37379</v>
      </c>
      <c r="Q1313" s="146">
        <f>IFERROR(__xludf.DUMMYFUNCTION("""COMPUTED_VALUE"""),9.86149716E8)</f>
        <v>986149716</v>
      </c>
      <c r="R1313" s="147">
        <f>IFERROR(__xludf.DUMMYFUNCTION("""COMPUTED_VALUE"""),1.100703336417E12)</f>
        <v>1100703336417</v>
      </c>
      <c r="S1313" t="str">
        <f>IFERROR(__xludf.DUMMYFUNCTION("""COMPUTED_VALUE"""),"AC5063815")</f>
        <v>AC5063815</v>
      </c>
      <c r="T1313" s="148">
        <f>IFERROR(__xludf.DUMMYFUNCTION("""COMPUTED_VALUE"""),45075.0)</f>
        <v>45075</v>
      </c>
      <c r="U1313" s="148">
        <f>IFERROR(__xludf.DUMMYFUNCTION("""COMPUTED_VALUE"""),46901.0)</f>
        <v>46901</v>
      </c>
      <c r="V1313" s="149">
        <f>IFERROR(__xludf.DUMMYFUNCTION("""COMPUTED_VALUE"""),46719.0)</f>
        <v>46719</v>
      </c>
      <c r="W1313" t="str">
        <f>IFERROR(__xludf.DUMMYFUNCTION("""COMPUTED_VALUE"""),"ปลอดภัย")</f>
        <v>ปลอดภัย</v>
      </c>
      <c r="X1313" t="str">
        <f>IFERROR(__xludf.DUMMYFUNCTION("""COMPUTED_VALUE"""),"Bangkok")</f>
        <v>Bangkok</v>
      </c>
      <c r="Y1313" t="str">
        <f>IFERROR(__xludf.DUMMYFUNCTION("""COMPUTED_VALUE"""),"Pathum Thani")</f>
        <v>Pathum Thani</v>
      </c>
      <c r="Z1313" s="145" t="str">
        <f>IFERROR(__xludf.DUMMYFUNCTION("""COMPUTED_VALUE"""),"099-391-5494")</f>
        <v>099-391-5494</v>
      </c>
      <c r="AA1313" t="str">
        <f>IFERROR(__xludf.DUMMYFUNCTION("""COMPUTED_VALUE"""),"นายปรีชา อุมาวงสกุล Father")</f>
        <v>นายปรีชา อุมาวงสกุล Father</v>
      </c>
      <c r="AB1313" t="str">
        <f>IFERROR(__xludf.DUMMYFUNCTION("""COMPUTED_VALUE"""),"suthineeuma@airasia.com")</f>
        <v>suthineeuma@airasia.com</v>
      </c>
    </row>
    <row r="1314">
      <c r="A1314">
        <f>IFERROR(__xludf.DUMMYFUNCTION("""COMPUTED_VALUE"""),1046361.0)</f>
        <v>1046361</v>
      </c>
      <c r="B1314" t="str">
        <f>IFERROR(__xludf.DUMMYFUNCTION("""COMPUTED_VALUE"""),"Ms.")</f>
        <v>Ms.</v>
      </c>
      <c r="C1314" t="str">
        <f>IFERROR(__xludf.DUMMYFUNCTION("""COMPUTED_VALUE"""),"Taechinee")</f>
        <v>Taechinee</v>
      </c>
      <c r="D1314" t="str">
        <f>IFERROR(__xludf.DUMMYFUNCTION("""COMPUTED_VALUE"""),"Thanawutthikosit")</f>
        <v>Thanawutthikosit</v>
      </c>
      <c r="E1314" t="str">
        <f>IFERROR(__xludf.DUMMYFUNCTION("""COMPUTED_VALUE"""),"Taechinee Thanawutthikosit")</f>
        <v>Taechinee Thanawutthikosit</v>
      </c>
      <c r="F1314" t="str">
        <f>IFERROR(__xludf.DUMMYFUNCTION("""COMPUTED_VALUE"""),"นางสาว")</f>
        <v>นางสาว</v>
      </c>
      <c r="G1314" t="str">
        <f>IFERROR(__xludf.DUMMYFUNCTION("""COMPUTED_VALUE"""),"เตชินี")</f>
        <v>เตชินี</v>
      </c>
      <c r="H1314" t="str">
        <f>IFERROR(__xludf.DUMMYFUNCTION("""COMPUTED_VALUE"""),"ธนวุฒิโฆสิต")</f>
        <v>ธนวุฒิโฆสิต</v>
      </c>
      <c r="I1314" s="145" t="str">
        <f>IFERROR(__xludf.DUMMYFUNCTION("""COMPUTED_VALUE"""),"เตชินี ธนวุฒิโฆสิต")</f>
        <v>เตชินี ธนวุฒิโฆสิต</v>
      </c>
      <c r="J1314" t="str">
        <f>IFERROR(__xludf.DUMMYFUNCTION("""COMPUTED_VALUE"""),"แนตตี้")</f>
        <v>แนตตี้</v>
      </c>
      <c r="K1314" t="str">
        <f>IFERROR(__xludf.DUMMYFUNCTION("""COMPUTED_VALUE"""),"Cabin Crew Trainee")</f>
        <v>Cabin Crew Trainee</v>
      </c>
      <c r="L1314" t="str">
        <f>IFERROR(__xludf.DUMMYFUNCTION("""COMPUTED_VALUE"""),"DMK")</f>
        <v>DMK</v>
      </c>
      <c r="M1314" s="145" t="str">
        <f>IFERROR(__xludf.DUMMYFUNCTION("""COMPUTED_VALUE"""),"Por+ Home")</f>
        <v>Por+ Home</v>
      </c>
      <c r="N1314" t="str">
        <f>IFERROR(__xludf.DUMMYFUNCTION("""COMPUTED_VALUE"""),"Trainee")</f>
        <v>Trainee</v>
      </c>
      <c r="P1314" s="156">
        <f>IFERROR(__xludf.DUMMYFUNCTION("""COMPUTED_VALUE"""),36427.0)</f>
        <v>36427</v>
      </c>
      <c r="Q1314" s="146">
        <f>IFERROR(__xludf.DUMMYFUNCTION("""COMPUTED_VALUE"""),8.19196695E8)</f>
        <v>819196695</v>
      </c>
      <c r="R1314" s="147">
        <f>IFERROR(__xludf.DUMMYFUNCTION("""COMPUTED_VALUE"""),1.102003086584E12)</f>
        <v>1102003086584</v>
      </c>
      <c r="S1314" t="str">
        <f>IFERROR(__xludf.DUMMYFUNCTION("""COMPUTED_VALUE"""),"AC6284986")</f>
        <v>AC6284986</v>
      </c>
      <c r="T1314" s="148">
        <f>IFERROR(__xludf.DUMMYFUNCTION("""COMPUTED_VALUE"""),45281.0)</f>
        <v>45281</v>
      </c>
      <c r="U1314" s="148">
        <f>IFERROR(__xludf.DUMMYFUNCTION("""COMPUTED_VALUE"""),47107.0)</f>
        <v>47107</v>
      </c>
      <c r="V1314" s="149">
        <f>IFERROR(__xludf.DUMMYFUNCTION("""COMPUTED_VALUE"""),46924.0)</f>
        <v>46924</v>
      </c>
      <c r="W1314" t="str">
        <f>IFERROR(__xludf.DUMMYFUNCTION("""COMPUTED_VALUE"""),"ปลอดภัย")</f>
        <v>ปลอดภัย</v>
      </c>
      <c r="X1314" t="str">
        <f>IFERROR(__xludf.DUMMYFUNCTION("""COMPUTED_VALUE"""),"Bangkok")</f>
        <v>Bangkok</v>
      </c>
      <c r="Y1314" t="str">
        <f>IFERROR(__xludf.DUMMYFUNCTION("""COMPUTED_VALUE"""),"Bangkok")</f>
        <v>Bangkok</v>
      </c>
      <c r="Z1314" s="145" t="str">
        <f>IFERROR(__xludf.DUMMYFUNCTION("""COMPUTED_VALUE"""),"0987462721")</f>
        <v>0987462721</v>
      </c>
      <c r="AA1314" t="str">
        <f>IFERROR(__xludf.DUMMYFUNCTION("""COMPUTED_VALUE"""),"นาง นิธิพร ธนวุฒิโฆสิต Mother")</f>
        <v>นาง นิธิพร ธนวุฒิโฆสิต Mother</v>
      </c>
      <c r="AB1314" t="str">
        <f>IFERROR(__xludf.DUMMYFUNCTION("""COMPUTED_VALUE"""),"taechineetha@airasia.com")</f>
        <v>taechineetha@airasia.com</v>
      </c>
    </row>
    <row r="1315">
      <c r="A1315">
        <f>IFERROR(__xludf.DUMMYFUNCTION("""COMPUTED_VALUE"""),1046362.0)</f>
        <v>1046362</v>
      </c>
      <c r="B1315" t="str">
        <f>IFERROR(__xludf.DUMMYFUNCTION("""COMPUTED_VALUE"""),"Ms.")</f>
        <v>Ms.</v>
      </c>
      <c r="C1315" t="str">
        <f>IFERROR(__xludf.DUMMYFUNCTION("""COMPUTED_VALUE"""),"Tanaporn")</f>
        <v>Tanaporn</v>
      </c>
      <c r="D1315" t="str">
        <f>IFERROR(__xludf.DUMMYFUNCTION("""COMPUTED_VALUE"""),"Teeranavanich")</f>
        <v>Teeranavanich</v>
      </c>
      <c r="E1315" t="str">
        <f>IFERROR(__xludf.DUMMYFUNCTION("""COMPUTED_VALUE"""),"Tanaporn Teeranavanich")</f>
        <v>Tanaporn Teeranavanich</v>
      </c>
      <c r="F1315" t="str">
        <f>IFERROR(__xludf.DUMMYFUNCTION("""COMPUTED_VALUE"""),"นางสาว")</f>
        <v>นางสาว</v>
      </c>
      <c r="G1315" t="str">
        <f>IFERROR(__xludf.DUMMYFUNCTION("""COMPUTED_VALUE"""),"ธนพร")</f>
        <v>ธนพร</v>
      </c>
      <c r="H1315" t="str">
        <f>IFERROR(__xludf.DUMMYFUNCTION("""COMPUTED_VALUE"""),"ตีรณะวาณิช")</f>
        <v>ตีรณะวาณิช</v>
      </c>
      <c r="I1315" s="145" t="str">
        <f>IFERROR(__xludf.DUMMYFUNCTION("""COMPUTED_VALUE"""),"ธนพร ตีรณะวาณิช")</f>
        <v>ธนพร ตีรณะวาณิช</v>
      </c>
      <c r="J1315" t="str">
        <f>IFERROR(__xludf.DUMMYFUNCTION("""COMPUTED_VALUE"""),"แก้มยุ้ย")</f>
        <v>แก้มยุ้ย</v>
      </c>
      <c r="K1315" t="str">
        <f>IFERROR(__xludf.DUMMYFUNCTION("""COMPUTED_VALUE"""),"Cabin Crew Trainee")</f>
        <v>Cabin Crew Trainee</v>
      </c>
      <c r="L1315" t="str">
        <f>IFERROR(__xludf.DUMMYFUNCTION("""COMPUTED_VALUE"""),"DMK")</f>
        <v>DMK</v>
      </c>
      <c r="M1315" s="145" t="str">
        <f>IFERROR(__xludf.DUMMYFUNCTION("""COMPUTED_VALUE"""),"Por+ Home")</f>
        <v>Por+ Home</v>
      </c>
      <c r="N1315" t="str">
        <f>IFERROR(__xludf.DUMMYFUNCTION("""COMPUTED_VALUE"""),"Trainee")</f>
        <v>Trainee</v>
      </c>
      <c r="P1315" s="156">
        <f>IFERROR(__xludf.DUMMYFUNCTION("""COMPUTED_VALUE"""),33903.0)</f>
        <v>33903</v>
      </c>
      <c r="Q1315" s="146">
        <f>IFERROR(__xludf.DUMMYFUNCTION("""COMPUTED_VALUE"""),9.14147811E8)</f>
        <v>914147811</v>
      </c>
      <c r="R1315" s="147">
        <f>IFERROR(__xludf.DUMMYFUNCTION("""COMPUTED_VALUE"""),1.769900291389E12)</f>
        <v>1769900291389</v>
      </c>
      <c r="S1315" t="str">
        <f>IFERROR(__xludf.DUMMYFUNCTION("""COMPUTED_VALUE"""),"AC2002001")</f>
        <v>AC2002001</v>
      </c>
      <c r="T1315" s="148">
        <f>IFERROR(__xludf.DUMMYFUNCTION("""COMPUTED_VALUE"""),44676.0)</f>
        <v>44676</v>
      </c>
      <c r="U1315" s="148">
        <f>IFERROR(__xludf.DUMMYFUNCTION("""COMPUTED_VALUE"""),48328.0)</f>
        <v>48328</v>
      </c>
      <c r="V1315" s="149">
        <f>IFERROR(__xludf.DUMMYFUNCTION("""COMPUTED_VALUE"""),48145.0)</f>
        <v>48145</v>
      </c>
      <c r="W1315" t="str">
        <f>IFERROR(__xludf.DUMMYFUNCTION("""COMPUTED_VALUE"""),"ปลอดภัย")</f>
        <v>ปลอดภัย</v>
      </c>
      <c r="X1315" t="str">
        <f>IFERROR(__xludf.DUMMYFUNCTION("""COMPUTED_VALUE"""),"Phetchaburi Province")</f>
        <v>Phetchaburi Province</v>
      </c>
      <c r="Y1315" t="str">
        <f>IFERROR(__xludf.DUMMYFUNCTION("""COMPUTED_VALUE"""),"Bangkok")</f>
        <v>Bangkok</v>
      </c>
      <c r="Z1315" s="145" t="str">
        <f>IFERROR(__xludf.DUMMYFUNCTION("""COMPUTED_VALUE"""),"0898368060")</f>
        <v>0898368060</v>
      </c>
      <c r="AA1315" t="str">
        <f>IFERROR(__xludf.DUMMYFUNCTION("""COMPUTED_VALUE"""),"นายอนุพนธ์ ตีรณะวาณิช Father")</f>
        <v>นายอนุพนธ์ ตีรณะวาณิช Father</v>
      </c>
      <c r="AB1315" t="str">
        <f>IFERROR(__xludf.DUMMYFUNCTION("""COMPUTED_VALUE"""),"tanaporntee@airasia.com")</f>
        <v>tanaporntee@airasia.com</v>
      </c>
    </row>
    <row r="1316">
      <c r="A1316">
        <f>IFERROR(__xludf.DUMMYFUNCTION("""COMPUTED_VALUE"""),1046364.0)</f>
        <v>1046364</v>
      </c>
      <c r="B1316" t="str">
        <f>IFERROR(__xludf.DUMMYFUNCTION("""COMPUTED_VALUE"""),"Ms.")</f>
        <v>Ms.</v>
      </c>
      <c r="C1316" t="str">
        <f>IFERROR(__xludf.DUMMYFUNCTION("""COMPUTED_VALUE"""),"Thanchanok")</f>
        <v>Thanchanok</v>
      </c>
      <c r="D1316" t="str">
        <f>IFERROR(__xludf.DUMMYFUNCTION("""COMPUTED_VALUE"""),"Saleephon")</f>
        <v>Saleephon</v>
      </c>
      <c r="E1316" t="str">
        <f>IFERROR(__xludf.DUMMYFUNCTION("""COMPUTED_VALUE"""),"Thanchanok Saleephon")</f>
        <v>Thanchanok Saleephon</v>
      </c>
      <c r="F1316" t="str">
        <f>IFERROR(__xludf.DUMMYFUNCTION("""COMPUTED_VALUE"""),"นางสาว")</f>
        <v>นางสาว</v>
      </c>
      <c r="G1316" t="str">
        <f>IFERROR(__xludf.DUMMYFUNCTION("""COMPUTED_VALUE"""),"ธัญชนก")</f>
        <v>ธัญชนก</v>
      </c>
      <c r="H1316" t="str">
        <f>IFERROR(__xludf.DUMMYFUNCTION("""COMPUTED_VALUE"""),"สาลีผล")</f>
        <v>สาลีผล</v>
      </c>
      <c r="I1316" s="145" t="str">
        <f>IFERROR(__xludf.DUMMYFUNCTION("""COMPUTED_VALUE"""),"ธัญชนก สาลีผล")</f>
        <v>ธัญชนก สาลีผล</v>
      </c>
      <c r="J1316" t="str">
        <f>IFERROR(__xludf.DUMMYFUNCTION("""COMPUTED_VALUE"""),"ทันนี่")</f>
        <v>ทันนี่</v>
      </c>
      <c r="K1316" t="str">
        <f>IFERROR(__xludf.DUMMYFUNCTION("""COMPUTED_VALUE"""),"Cabin Crew Trainee")</f>
        <v>Cabin Crew Trainee</v>
      </c>
      <c r="L1316" t="str">
        <f>IFERROR(__xludf.DUMMYFUNCTION("""COMPUTED_VALUE"""),"DMK")</f>
        <v>DMK</v>
      </c>
      <c r="M1316" s="145" t="str">
        <f>IFERROR(__xludf.DUMMYFUNCTION("""COMPUTED_VALUE"""),"Up Home")</f>
        <v>Up Home</v>
      </c>
      <c r="N1316" t="str">
        <f>IFERROR(__xludf.DUMMYFUNCTION("""COMPUTED_VALUE"""),"Trainee")</f>
        <v>Trainee</v>
      </c>
      <c r="P1316" s="156">
        <f>IFERROR(__xludf.DUMMYFUNCTION("""COMPUTED_VALUE"""),36199.0)</f>
        <v>36199</v>
      </c>
      <c r="Q1316" s="146">
        <f>IFERROR(__xludf.DUMMYFUNCTION("""COMPUTED_VALUE"""),8.04493269E8)</f>
        <v>804493269</v>
      </c>
      <c r="R1316" s="147">
        <f>IFERROR(__xludf.DUMMYFUNCTION("""COMPUTED_VALUE"""),1.101501003281E12)</f>
        <v>1101501003281</v>
      </c>
      <c r="S1316" t="str">
        <f>IFERROR(__xludf.DUMMYFUNCTION("""COMPUTED_VALUE"""),"AC5723038")</f>
        <v>AC5723038</v>
      </c>
      <c r="T1316" s="148">
        <f>IFERROR(__xludf.DUMMYFUNCTION("""COMPUTED_VALUE"""),45183.0)</f>
        <v>45183</v>
      </c>
      <c r="U1316" s="148">
        <f>IFERROR(__xludf.DUMMYFUNCTION("""COMPUTED_VALUE"""),48835.0)</f>
        <v>48835</v>
      </c>
      <c r="V1316" s="149">
        <f>IFERROR(__xludf.DUMMYFUNCTION("""COMPUTED_VALUE"""),48651.0)</f>
        <v>48651</v>
      </c>
      <c r="W1316" t="str">
        <f>IFERROR(__xludf.DUMMYFUNCTION("""COMPUTED_VALUE"""),"ปลอดภัย")</f>
        <v>ปลอดภัย</v>
      </c>
      <c r="X1316" t="str">
        <f>IFERROR(__xludf.DUMMYFUNCTION("""COMPUTED_VALUE"""),"Bangkok")</f>
        <v>Bangkok</v>
      </c>
      <c r="Y1316" t="str">
        <f>IFERROR(__xludf.DUMMYFUNCTION("""COMPUTED_VALUE"""),"Samut Prakan")</f>
        <v>Samut Prakan</v>
      </c>
      <c r="Z1316" s="145" t="str">
        <f>IFERROR(__xludf.DUMMYFUNCTION("""COMPUTED_VALUE"""),"0813594178")</f>
        <v>0813594178</v>
      </c>
      <c r="AA1316" t="str">
        <f>IFERROR(__xludf.DUMMYFUNCTION("""COMPUTED_VALUE"""),"สุวิทย์ สาลีผล Father")</f>
        <v>สุวิทย์ สาลีผล Father</v>
      </c>
      <c r="AB1316" t="str">
        <f>IFERROR(__xludf.DUMMYFUNCTION("""COMPUTED_VALUE"""),"thanchanoksal@airasia.com")</f>
        <v>thanchanoksal@airasia.com</v>
      </c>
    </row>
    <row r="1317">
      <c r="A1317">
        <f>IFERROR(__xludf.DUMMYFUNCTION("""COMPUTED_VALUE"""),1046371.0)</f>
        <v>1046371</v>
      </c>
      <c r="B1317" t="str">
        <f>IFERROR(__xludf.DUMMYFUNCTION("""COMPUTED_VALUE"""),"Ms.")</f>
        <v>Ms.</v>
      </c>
      <c r="C1317" t="str">
        <f>IFERROR(__xludf.DUMMYFUNCTION("""COMPUTED_VALUE"""),"Natcha")</f>
        <v>Natcha</v>
      </c>
      <c r="D1317" t="str">
        <f>IFERROR(__xludf.DUMMYFUNCTION("""COMPUTED_VALUE"""),"Sanongkhun")</f>
        <v>Sanongkhun</v>
      </c>
      <c r="E1317" t="str">
        <f>IFERROR(__xludf.DUMMYFUNCTION("""COMPUTED_VALUE"""),"Natcha Sanongkhun")</f>
        <v>Natcha Sanongkhun</v>
      </c>
      <c r="F1317" t="str">
        <f>IFERROR(__xludf.DUMMYFUNCTION("""COMPUTED_VALUE"""),"นางสาว")</f>
        <v>นางสาว</v>
      </c>
      <c r="G1317" t="str">
        <f>IFERROR(__xludf.DUMMYFUNCTION("""COMPUTED_VALUE"""),"ณัฐชา")</f>
        <v>ณัฐชา</v>
      </c>
      <c r="H1317" t="str">
        <f>IFERROR(__xludf.DUMMYFUNCTION("""COMPUTED_VALUE"""),"สนองคุณ")</f>
        <v>สนองคุณ</v>
      </c>
      <c r="I1317" s="145" t="str">
        <f>IFERROR(__xludf.DUMMYFUNCTION("""COMPUTED_VALUE"""),"ณัฐชา สนองคุณ")</f>
        <v>ณัฐชา สนองคุณ</v>
      </c>
      <c r="J1317" t="str">
        <f>IFERROR(__xludf.DUMMYFUNCTION("""COMPUTED_VALUE"""),"แตม")</f>
        <v>แตม</v>
      </c>
      <c r="K1317" t="str">
        <f>IFERROR(__xludf.DUMMYFUNCTION("""COMPUTED_VALUE"""),"Cabin Crew Trainee")</f>
        <v>Cabin Crew Trainee</v>
      </c>
      <c r="L1317" t="str">
        <f>IFERROR(__xludf.DUMMYFUNCTION("""COMPUTED_VALUE"""),"DMK")</f>
        <v>DMK</v>
      </c>
      <c r="M1317" s="145" t="str">
        <f>IFERROR(__xludf.DUMMYFUNCTION("""COMPUTED_VALUE"""),"Namfon Home")</f>
        <v>Namfon Home</v>
      </c>
      <c r="N1317" t="str">
        <f>IFERROR(__xludf.DUMMYFUNCTION("""COMPUTED_VALUE"""),"Trainee")</f>
        <v>Trainee</v>
      </c>
      <c r="P1317" s="156">
        <f>IFERROR(__xludf.DUMMYFUNCTION("""COMPUTED_VALUE"""),33524.0)</f>
        <v>33524</v>
      </c>
      <c r="Q1317" s="146">
        <f>IFERROR(__xludf.DUMMYFUNCTION("""COMPUTED_VALUE"""),8.86545423E8)</f>
        <v>886545423</v>
      </c>
      <c r="R1317" s="147">
        <f>IFERROR(__xludf.DUMMYFUNCTION("""COMPUTED_VALUE"""),1.659900474531E12)</f>
        <v>1659900474531</v>
      </c>
      <c r="S1317" t="str">
        <f>IFERROR(__xludf.DUMMYFUNCTION("""COMPUTED_VALUE"""),"AD1728167")</f>
        <v>AD1728167</v>
      </c>
      <c r="T1317" s="148">
        <f>IFERROR(__xludf.DUMMYFUNCTION("""COMPUTED_VALUE"""),45433.0)</f>
        <v>45433</v>
      </c>
      <c r="U1317" s="148">
        <f>IFERROR(__xludf.DUMMYFUNCTION("""COMPUTED_VALUE"""),49084.0)</f>
        <v>49084</v>
      </c>
      <c r="V1317" s="149">
        <f>IFERROR(__xludf.DUMMYFUNCTION("""COMPUTED_VALUE"""),48903.0)</f>
        <v>48903</v>
      </c>
      <c r="W1317" t="str">
        <f>IFERROR(__xludf.DUMMYFUNCTION("""COMPUTED_VALUE"""),"ปลอดภัย")</f>
        <v>ปลอดภัย</v>
      </c>
      <c r="X1317" t="str">
        <f>IFERROR(__xludf.DUMMYFUNCTION("""COMPUTED_VALUE"""),"Phitsanulok Province")</f>
        <v>Phitsanulok Province</v>
      </c>
      <c r="Y1317" t="str">
        <f>IFERROR(__xludf.DUMMYFUNCTION("""COMPUTED_VALUE"""),"Bangkok")</f>
        <v>Bangkok</v>
      </c>
      <c r="Z1317" s="145" t="str">
        <f>IFERROR(__xludf.DUMMYFUNCTION("""COMPUTED_VALUE"""),"082-554-4246")</f>
        <v>082-554-4246</v>
      </c>
      <c r="AA1317" t="str">
        <f>IFERROR(__xludf.DUMMYFUNCTION("""COMPUTED_VALUE"""),"นรนิติ สนองคุณ Brother")</f>
        <v>นรนิติ สนองคุณ Brother</v>
      </c>
      <c r="AB1317" t="str">
        <f>IFERROR(__xludf.DUMMYFUNCTION("""COMPUTED_VALUE"""),"natchasan@airasia.com")</f>
        <v>natchasan@airasia.com</v>
      </c>
    </row>
    <row r="1318">
      <c r="A1318">
        <f>IFERROR(__xludf.DUMMYFUNCTION("""COMPUTED_VALUE"""),1046372.0)</f>
        <v>1046372</v>
      </c>
      <c r="B1318" t="str">
        <f>IFERROR(__xludf.DUMMYFUNCTION("""COMPUTED_VALUE"""),"Ms.")</f>
        <v>Ms.</v>
      </c>
      <c r="C1318" t="str">
        <f>IFERROR(__xludf.DUMMYFUNCTION("""COMPUTED_VALUE"""),"Sirinan")</f>
        <v>Sirinan</v>
      </c>
      <c r="D1318" t="str">
        <f>IFERROR(__xludf.DUMMYFUNCTION("""COMPUTED_VALUE"""),"Jabju")</f>
        <v>Jabju</v>
      </c>
      <c r="E1318" t="str">
        <f>IFERROR(__xludf.DUMMYFUNCTION("""COMPUTED_VALUE"""),"Sirinan Jabju")</f>
        <v>Sirinan Jabju</v>
      </c>
      <c r="F1318" t="str">
        <f>IFERROR(__xludf.DUMMYFUNCTION("""COMPUTED_VALUE"""),"นางสาว")</f>
        <v>นางสาว</v>
      </c>
      <c r="G1318" t="str">
        <f>IFERROR(__xludf.DUMMYFUNCTION("""COMPUTED_VALUE"""),"สิรินันท์")</f>
        <v>สิรินันท์</v>
      </c>
      <c r="H1318" t="str">
        <f>IFERROR(__xludf.DUMMYFUNCTION("""COMPUTED_VALUE"""),"จับจุ")</f>
        <v>จับจุ</v>
      </c>
      <c r="I1318" s="145" t="str">
        <f>IFERROR(__xludf.DUMMYFUNCTION("""COMPUTED_VALUE"""),"สิรินันท์ จับจุ")</f>
        <v>สิรินันท์ จับจุ</v>
      </c>
      <c r="J1318" t="str">
        <f>IFERROR(__xludf.DUMMYFUNCTION("""COMPUTED_VALUE"""),"กระต่าย")</f>
        <v>กระต่าย</v>
      </c>
      <c r="K1318" t="str">
        <f>IFERROR(__xludf.DUMMYFUNCTION("""COMPUTED_VALUE"""),"Cabin Crew Trainee")</f>
        <v>Cabin Crew Trainee</v>
      </c>
      <c r="L1318" t="str">
        <f>IFERROR(__xludf.DUMMYFUNCTION("""COMPUTED_VALUE"""),"DMK")</f>
        <v>DMK</v>
      </c>
      <c r="M1318" s="145" t="str">
        <f>IFERROR(__xludf.DUMMYFUNCTION("""COMPUTED_VALUE"""),"Um Home")</f>
        <v>Um Home</v>
      </c>
      <c r="N1318" t="str">
        <f>IFERROR(__xludf.DUMMYFUNCTION("""COMPUTED_VALUE"""),"Trainee")</f>
        <v>Trainee</v>
      </c>
      <c r="P1318" s="156">
        <f>IFERROR(__xludf.DUMMYFUNCTION("""COMPUTED_VALUE"""),33828.0)</f>
        <v>33828</v>
      </c>
      <c r="Q1318" s="146">
        <f>IFERROR(__xludf.DUMMYFUNCTION("""COMPUTED_VALUE"""),8.53295351E8)</f>
        <v>853295351</v>
      </c>
      <c r="R1318" s="147">
        <f>IFERROR(__xludf.DUMMYFUNCTION("""COMPUTED_VALUE"""),1.100200759571E12)</f>
        <v>1100200759571</v>
      </c>
      <c r="S1318" t="str">
        <f>IFERROR(__xludf.DUMMYFUNCTION("""COMPUTED_VALUE"""),"AC4360875")</f>
        <v>AC4360875</v>
      </c>
      <c r="T1318" s="148">
        <f>IFERROR(__xludf.DUMMYFUNCTION("""COMPUTED_VALUE"""),44938.0)</f>
        <v>44938</v>
      </c>
      <c r="U1318" s="148">
        <f>IFERROR(__xludf.DUMMYFUNCTION("""COMPUTED_VALUE"""),48590.0)</f>
        <v>48590</v>
      </c>
      <c r="V1318" s="149">
        <f>IFERROR(__xludf.DUMMYFUNCTION("""COMPUTED_VALUE"""),48406.0)</f>
        <v>48406</v>
      </c>
      <c r="W1318" t="str">
        <f>IFERROR(__xludf.DUMMYFUNCTION("""COMPUTED_VALUE"""),"ปลอดภัย")</f>
        <v>ปลอดภัย</v>
      </c>
      <c r="X1318" t="str">
        <f>IFERROR(__xludf.DUMMYFUNCTION("""COMPUTED_VALUE"""),"Bangkok")</f>
        <v>Bangkok</v>
      </c>
      <c r="Y1318" t="str">
        <f>IFERROR(__xludf.DUMMYFUNCTION("""COMPUTED_VALUE"""),"Nonthaburi")</f>
        <v>Nonthaburi</v>
      </c>
      <c r="Z1318" s="145" t="str">
        <f>IFERROR(__xludf.DUMMYFUNCTION("""COMPUTED_VALUE"""),"090-560-5661")</f>
        <v>090-560-5661</v>
      </c>
      <c r="AA1318" t="str">
        <f>IFERROR(__xludf.DUMMYFUNCTION("""COMPUTED_VALUE"""),"นายภูนที ทาคำ Husband")</f>
        <v>นายภูนที ทาคำ Husband</v>
      </c>
      <c r="AB1318" t="str">
        <f>IFERROR(__xludf.DUMMYFUNCTION("""COMPUTED_VALUE"""),"sirinanjab@airasia.com")</f>
        <v>sirinanjab@airasia.com</v>
      </c>
    </row>
    <row r="1319">
      <c r="A1319">
        <f>IFERROR(__xludf.DUMMYFUNCTION("""COMPUTED_VALUE"""),1047751.0)</f>
        <v>1047751</v>
      </c>
      <c r="B1319" t="str">
        <f>IFERROR(__xludf.DUMMYFUNCTION("""COMPUTED_VALUE"""),"Ms.")</f>
        <v>Ms.</v>
      </c>
      <c r="C1319" t="str">
        <f>IFERROR(__xludf.DUMMYFUNCTION("""COMPUTED_VALUE"""),"Tanyarat")</f>
        <v>Tanyarat</v>
      </c>
      <c r="D1319" t="str">
        <f>IFERROR(__xludf.DUMMYFUNCTION("""COMPUTED_VALUE"""),"Rairiang")</f>
        <v>Rairiang</v>
      </c>
      <c r="E1319" t="str">
        <f>IFERROR(__xludf.DUMMYFUNCTION("""COMPUTED_VALUE"""),"Tanyarat Rairiang")</f>
        <v>Tanyarat Rairiang</v>
      </c>
      <c r="F1319" t="str">
        <f>IFERROR(__xludf.DUMMYFUNCTION("""COMPUTED_VALUE"""),"นางสาว")</f>
        <v>นางสาว</v>
      </c>
      <c r="G1319" t="str">
        <f>IFERROR(__xludf.DUMMYFUNCTION("""COMPUTED_VALUE"""),"ธัญญารัตน์")</f>
        <v>ธัญญารัตน์</v>
      </c>
      <c r="H1319" t="str">
        <f>IFERROR(__xludf.DUMMYFUNCTION("""COMPUTED_VALUE"""),"ไร่เรียง")</f>
        <v>ไร่เรียง</v>
      </c>
      <c r="I1319" s="145" t="str">
        <f>IFERROR(__xludf.DUMMYFUNCTION("""COMPUTED_VALUE"""),"ธัญญารัตน์ ไร่เรียง")</f>
        <v>ธัญญารัตน์ ไร่เรียง</v>
      </c>
      <c r="J1319" t="str">
        <f>IFERROR(__xludf.DUMMYFUNCTION("""COMPUTED_VALUE"""),"Kiki / กีกี้")</f>
        <v>Kiki / กีกี้</v>
      </c>
      <c r="K1319" t="str">
        <f>IFERROR(__xludf.DUMMYFUNCTION("""COMPUTED_VALUE"""),"Cabin Crew Trainee")</f>
        <v>Cabin Crew Trainee</v>
      </c>
      <c r="L1319" t="str">
        <f>IFERROR(__xludf.DUMMYFUNCTION("""COMPUTED_VALUE"""),"DMK")</f>
        <v>DMK</v>
      </c>
      <c r="M1319" s="145" t="str">
        <f>IFERROR(__xludf.DUMMYFUNCTION("""COMPUTED_VALUE"""),"Toffy Home")</f>
        <v>Toffy Home</v>
      </c>
      <c r="N1319" t="str">
        <f>IFERROR(__xludf.DUMMYFUNCTION("""COMPUTED_VALUE"""),"Trainee")</f>
        <v>Trainee</v>
      </c>
      <c r="P1319" s="156">
        <f>IFERROR(__xludf.DUMMYFUNCTION("""COMPUTED_VALUE"""),35322.0)</f>
        <v>35322</v>
      </c>
      <c r="Q1319" s="146">
        <f>IFERROR(__xludf.DUMMYFUNCTION("""COMPUTED_VALUE"""),8.92562669E8)</f>
        <v>892562669</v>
      </c>
      <c r="R1319" s="147">
        <f>IFERROR(__xludf.DUMMYFUNCTION("""COMPUTED_VALUE"""),1.709901079049E12)</f>
        <v>1709901079049</v>
      </c>
      <c r="S1319" t="str">
        <f>IFERROR(__xludf.DUMMYFUNCTION("""COMPUTED_VALUE"""),"AC5440984")</f>
        <v>AC5440984</v>
      </c>
      <c r="T1319" s="148">
        <f>IFERROR(__xludf.DUMMYFUNCTION("""COMPUTED_VALUE"""),45132.0)</f>
        <v>45132</v>
      </c>
      <c r="U1319" s="148">
        <f>IFERROR(__xludf.DUMMYFUNCTION("""COMPUTED_VALUE"""),48784.0)</f>
        <v>48784</v>
      </c>
      <c r="V1319" s="149">
        <f>IFERROR(__xludf.DUMMYFUNCTION("""COMPUTED_VALUE"""),48603.0)</f>
        <v>48603</v>
      </c>
      <c r="W1319" t="str">
        <f>IFERROR(__xludf.DUMMYFUNCTION("""COMPUTED_VALUE"""),"ปลอดภัย")</f>
        <v>ปลอดภัย</v>
      </c>
      <c r="X1319" t="str">
        <f>IFERROR(__xludf.DUMMYFUNCTION("""COMPUTED_VALUE"""),"Ratchaburi Province")</f>
        <v>Ratchaburi Province</v>
      </c>
      <c r="Y1319" t="str">
        <f>IFERROR(__xludf.DUMMYFUNCTION("""COMPUTED_VALUE"""),"Bangkok")</f>
        <v>Bangkok</v>
      </c>
      <c r="Z1319" s="145" t="str">
        <f>IFERROR(__xludf.DUMMYFUNCTION("""COMPUTED_VALUE"""),"093-068-0639")</f>
        <v>093-068-0639</v>
      </c>
      <c r="AA1319" t="str">
        <f>IFERROR(__xludf.DUMMYFUNCTION("""COMPUTED_VALUE"""),"น.ส. สุชานุช ไร่เรียง Sister")</f>
        <v>น.ส. สุชานุช ไร่เรียง Sister</v>
      </c>
      <c r="AB1319" t="str">
        <f>IFERROR(__xludf.DUMMYFUNCTION("""COMPUTED_VALUE"""),"tanyaratrai@airasia.com")</f>
        <v>tanyaratrai@airasia.com</v>
      </c>
    </row>
    <row r="1320">
      <c r="A1320">
        <f>IFERROR(__xludf.DUMMYFUNCTION("""COMPUTED_VALUE"""),1047799.0)</f>
        <v>1047799</v>
      </c>
      <c r="B1320" t="str">
        <f>IFERROR(__xludf.DUMMYFUNCTION("""COMPUTED_VALUE"""),"Mr.")</f>
        <v>Mr.</v>
      </c>
      <c r="C1320" t="str">
        <f>IFERROR(__xludf.DUMMYFUNCTION("""COMPUTED_VALUE"""),"Erawat")</f>
        <v>Erawat</v>
      </c>
      <c r="D1320" t="str">
        <f>IFERROR(__xludf.DUMMYFUNCTION("""COMPUTED_VALUE"""),"Lorrattanachon")</f>
        <v>Lorrattanachon</v>
      </c>
      <c r="E1320" t="str">
        <f>IFERROR(__xludf.DUMMYFUNCTION("""COMPUTED_VALUE"""),"Erawat Lorrattanachon")</f>
        <v>Erawat Lorrattanachon</v>
      </c>
      <c r="F1320" t="str">
        <f>IFERROR(__xludf.DUMMYFUNCTION("""COMPUTED_VALUE"""),"นาย")</f>
        <v>นาย</v>
      </c>
      <c r="G1320" t="str">
        <f>IFERROR(__xludf.DUMMYFUNCTION("""COMPUTED_VALUE"""),"เอราวัต")</f>
        <v>เอราวัต</v>
      </c>
      <c r="H1320" t="str">
        <f>IFERROR(__xludf.DUMMYFUNCTION("""COMPUTED_VALUE"""),"ล้อรัตนชน")</f>
        <v>ล้อรัตนชน</v>
      </c>
      <c r="I1320" s="145" t="str">
        <f>IFERROR(__xludf.DUMMYFUNCTION("""COMPUTED_VALUE"""),"เอราวัต ล้อรัตนชน")</f>
        <v>เอราวัต ล้อรัตนชน</v>
      </c>
      <c r="J1320" t="str">
        <f>IFERROR(__xludf.DUMMYFUNCTION("""COMPUTED_VALUE"""),"แฮม")</f>
        <v>แฮม</v>
      </c>
      <c r="K1320" t="str">
        <f>IFERROR(__xludf.DUMMYFUNCTION("""COMPUTED_VALUE"""),"Cabin Crew Trainee")</f>
        <v>Cabin Crew Trainee</v>
      </c>
      <c r="L1320" t="str">
        <f>IFERROR(__xludf.DUMMYFUNCTION("""COMPUTED_VALUE"""),"DMK")</f>
        <v>DMK</v>
      </c>
      <c r="M1320" s="145" t="str">
        <f>IFERROR(__xludf.DUMMYFUNCTION("""COMPUTED_VALUE"""),"Por+ Home")</f>
        <v>Por+ Home</v>
      </c>
      <c r="N1320" t="str">
        <f>IFERROR(__xludf.DUMMYFUNCTION("""COMPUTED_VALUE"""),"Trainee")</f>
        <v>Trainee</v>
      </c>
      <c r="P1320" s="156">
        <f>IFERROR(__xludf.DUMMYFUNCTION("""COMPUTED_VALUE"""),33496.0)</f>
        <v>33496</v>
      </c>
      <c r="Q1320" s="146">
        <f>IFERROR(__xludf.DUMMYFUNCTION("""COMPUTED_VALUE"""),8.1818544E8)</f>
        <v>818185440</v>
      </c>
      <c r="R1320" s="147">
        <f>IFERROR(__xludf.DUMMYFUNCTION("""COMPUTED_VALUE"""),1.249900241815E12)</f>
        <v>1249900241815</v>
      </c>
      <c r="S1320" t="str">
        <f>IFERROR(__xludf.DUMMYFUNCTION("""COMPUTED_VALUE"""),"AC6390509")</f>
        <v>AC6390509</v>
      </c>
      <c r="T1320" s="148">
        <f>IFERROR(__xludf.DUMMYFUNCTION("""COMPUTED_VALUE"""),45359.0)</f>
        <v>45359</v>
      </c>
      <c r="U1320" s="148">
        <f>IFERROR(__xludf.DUMMYFUNCTION("""COMPUTED_VALUE"""),49010.0)</f>
        <v>49010</v>
      </c>
      <c r="V1320" s="149">
        <f>IFERROR(__xludf.DUMMYFUNCTION("""COMPUTED_VALUE"""),48829.0)</f>
        <v>48829</v>
      </c>
      <c r="W1320" t="str">
        <f>IFERROR(__xludf.DUMMYFUNCTION("""COMPUTED_VALUE"""),"ปลอดภัย")</f>
        <v>ปลอดภัย</v>
      </c>
      <c r="X1320" t="str">
        <f>IFERROR(__xludf.DUMMYFUNCTION("""COMPUTED_VALUE"""),"Chachoengsao Province")</f>
        <v>Chachoengsao Province</v>
      </c>
      <c r="Y1320" t="str">
        <f>IFERROR(__xludf.DUMMYFUNCTION("""COMPUTED_VALUE"""),"Bangkok")</f>
        <v>Bangkok</v>
      </c>
      <c r="Z1320" s="145" t="str">
        <f>IFERROR(__xludf.DUMMYFUNCTION("""COMPUTED_VALUE"""),"0818641873")</f>
        <v>0818641873</v>
      </c>
      <c r="AA1320" t="str">
        <f>IFERROR(__xludf.DUMMYFUNCTION("""COMPUTED_VALUE"""),"นิรันดร์ ล้อรัตนชน Father")</f>
        <v>นิรันดร์ ล้อรัตนชน Father</v>
      </c>
      <c r="AB1320" t="str">
        <f>IFERROR(__xludf.DUMMYFUNCTION("""COMPUTED_VALUE"""),"erawatlorr@airasia.com")</f>
        <v>erawatlorr@airasia.com</v>
      </c>
    </row>
    <row r="1321">
      <c r="A1321">
        <f>IFERROR(__xludf.DUMMYFUNCTION("""COMPUTED_VALUE"""),1047800.0)</f>
        <v>1047800</v>
      </c>
      <c r="B1321" t="str">
        <f>IFERROR(__xludf.DUMMYFUNCTION("""COMPUTED_VALUE"""),"Ms.")</f>
        <v>Ms.</v>
      </c>
      <c r="C1321" t="str">
        <f>IFERROR(__xludf.DUMMYFUNCTION("""COMPUTED_VALUE"""),"Thamonwan")</f>
        <v>Thamonwan</v>
      </c>
      <c r="D1321" t="str">
        <f>IFERROR(__xludf.DUMMYFUNCTION("""COMPUTED_VALUE"""),"Cheevakate")</f>
        <v>Cheevakate</v>
      </c>
      <c r="E1321" t="str">
        <f>IFERROR(__xludf.DUMMYFUNCTION("""COMPUTED_VALUE"""),"Thamonwan Cheevakate")</f>
        <v>Thamonwan Cheevakate</v>
      </c>
      <c r="F1321" t="str">
        <f>IFERROR(__xludf.DUMMYFUNCTION("""COMPUTED_VALUE"""),"นางสาว")</f>
        <v>นางสาว</v>
      </c>
      <c r="G1321" t="str">
        <f>IFERROR(__xludf.DUMMYFUNCTION("""COMPUTED_VALUE"""),"ธมนวรรณ")</f>
        <v>ธมนวรรณ</v>
      </c>
      <c r="H1321" t="str">
        <f>IFERROR(__xludf.DUMMYFUNCTION("""COMPUTED_VALUE"""),"ชีวะเกตุ")</f>
        <v>ชีวะเกตุ</v>
      </c>
      <c r="I1321" s="145" t="str">
        <f>IFERROR(__xludf.DUMMYFUNCTION("""COMPUTED_VALUE"""),"ธมนวรรณ ชีวะเกตุ")</f>
        <v>ธมนวรรณ ชีวะเกตุ</v>
      </c>
      <c r="J1321" t="str">
        <f>IFERROR(__xludf.DUMMYFUNCTION("""COMPUTED_VALUE"""),"Ning / หนิง")</f>
        <v>Ning / หนิง</v>
      </c>
      <c r="K1321" t="str">
        <f>IFERROR(__xludf.DUMMYFUNCTION("""COMPUTED_VALUE"""),"Cabin Crew Trainee")</f>
        <v>Cabin Crew Trainee</v>
      </c>
      <c r="L1321" t="str">
        <f>IFERROR(__xludf.DUMMYFUNCTION("""COMPUTED_VALUE"""),"DMK")</f>
        <v>DMK</v>
      </c>
      <c r="M1321" s="145" t="str">
        <f>IFERROR(__xludf.DUMMYFUNCTION("""COMPUTED_VALUE"""),"UM Home")</f>
        <v>UM Home</v>
      </c>
      <c r="N1321" t="str">
        <f>IFERROR(__xludf.DUMMYFUNCTION("""COMPUTED_VALUE"""),"Trainee")</f>
        <v>Trainee</v>
      </c>
      <c r="P1321" s="156">
        <f>IFERROR(__xludf.DUMMYFUNCTION("""COMPUTED_VALUE"""),33294.0)</f>
        <v>33294</v>
      </c>
      <c r="Q1321" s="146">
        <f>IFERROR(__xludf.DUMMYFUNCTION("""COMPUTED_VALUE"""),9.17588032E8)</f>
        <v>917588032</v>
      </c>
      <c r="R1321" s="147">
        <f>IFERROR(__xludf.DUMMYFUNCTION("""COMPUTED_VALUE"""),1.579900348749E12)</f>
        <v>1579900348749</v>
      </c>
      <c r="S1321" t="str">
        <f>IFERROR(__xludf.DUMMYFUNCTION("""COMPUTED_VALUE"""),"AC4915774")</f>
        <v>AC4915774</v>
      </c>
      <c r="T1321" s="148">
        <f>IFERROR(__xludf.DUMMYFUNCTION("""COMPUTED_VALUE"""),45054.0)</f>
        <v>45054</v>
      </c>
      <c r="U1321" s="148">
        <f>IFERROR(__xludf.DUMMYFUNCTION("""COMPUTED_VALUE"""),48706.0)</f>
        <v>48706</v>
      </c>
      <c r="V1321" s="149">
        <f>IFERROR(__xludf.DUMMYFUNCTION("""COMPUTED_VALUE"""),48525.0)</f>
        <v>48525</v>
      </c>
      <c r="W1321" t="str">
        <f>IFERROR(__xludf.DUMMYFUNCTION("""COMPUTED_VALUE"""),"ปลอดภัย")</f>
        <v>ปลอดภัย</v>
      </c>
      <c r="X1321" t="str">
        <f>IFERROR(__xludf.DUMMYFUNCTION("""COMPUTED_VALUE"""),"Chiang Rai Province")</f>
        <v>Chiang Rai Province</v>
      </c>
      <c r="Y1321" t="str">
        <f>IFERROR(__xludf.DUMMYFUNCTION("""COMPUTED_VALUE"""),"Bangkok")</f>
        <v>Bangkok</v>
      </c>
      <c r="Z1321" s="145" t="str">
        <f>IFERROR(__xludf.DUMMYFUNCTION("""COMPUTED_VALUE"""),"0917130646")</f>
        <v>0917130646</v>
      </c>
      <c r="AA1321" t="str">
        <f>IFERROR(__xludf.DUMMYFUNCTION("""COMPUTED_VALUE"""),"นายนิธิ กุลสิริสวัสดิ์ Friend")</f>
        <v>นายนิธิ กุลสิริสวัสดิ์ Friend</v>
      </c>
      <c r="AB1321" t="str">
        <f>IFERROR(__xludf.DUMMYFUNCTION("""COMPUTED_VALUE"""),"thamonwanchee@airasia.com")</f>
        <v>thamonwanchee@airasia.com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.88"/>
    <col customWidth="1" min="2" max="2" width="9.63"/>
    <col customWidth="1" min="3" max="3" width="24.75"/>
    <col customWidth="1" min="4" max="4" width="30.63"/>
    <col customWidth="1" min="5" max="5" width="7.63"/>
    <col customWidth="1" min="7" max="7" width="3.5"/>
    <col customWidth="1" min="8" max="8" width="18.63"/>
    <col customWidth="1" min="9" max="9" width="21.63"/>
  </cols>
  <sheetData>
    <row r="1">
      <c r="A1" s="105" t="s">
        <v>448</v>
      </c>
      <c r="G1" s="111"/>
      <c r="I1" s="112" t="s">
        <v>449</v>
      </c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106" t="s">
        <v>1</v>
      </c>
      <c r="B2" s="137" t="s">
        <v>11</v>
      </c>
      <c r="C2" s="106" t="s">
        <v>12</v>
      </c>
      <c r="D2" s="114" t="s">
        <v>13</v>
      </c>
      <c r="E2" s="115" t="s">
        <v>14</v>
      </c>
      <c r="G2" s="116"/>
      <c r="H2" s="111"/>
      <c r="I2" s="11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106"/>
      <c r="B3" s="137"/>
      <c r="C3" s="106"/>
      <c r="D3" s="114"/>
      <c r="E3" s="115" t="s">
        <v>15</v>
      </c>
      <c r="F3" s="117" t="s">
        <v>5</v>
      </c>
      <c r="G3" s="116"/>
      <c r="H3" s="118" t="s">
        <v>6</v>
      </c>
      <c r="I3" s="119" t="s">
        <v>7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>
      <c r="A4" s="107">
        <v>1.0</v>
      </c>
      <c r="B4" s="138">
        <v>1025306.0</v>
      </c>
      <c r="C4" s="120" t="str">
        <f>vlookup(B4,'Crew Data'!C:G,5,0)</f>
        <v>Soravis Kissanaviparkporn</v>
      </c>
      <c r="D4" s="121" t="s">
        <v>450</v>
      </c>
      <c r="E4" s="107">
        <v>28.0</v>
      </c>
      <c r="F4" s="122">
        <f t="shared" ref="F4:F79" si="1">E4*400</f>
        <v>11200</v>
      </c>
      <c r="G4" s="22">
        <f t="shared" ref="G4:G56" si="2">COUNTIF(B:B,B4)</f>
        <v>1</v>
      </c>
      <c r="H4" s="123" t="s">
        <v>20</v>
      </c>
      <c r="I4" s="124" t="s">
        <v>451</v>
      </c>
      <c r="J4" s="127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A5" s="107">
        <v>2.0</v>
      </c>
      <c r="B5" s="138">
        <v>1044226.0</v>
      </c>
      <c r="C5" s="120" t="str">
        <f>vlookup(B5,'Crew Data'!C:G,5,0)</f>
        <v>Nongnapasorn O-chawat</v>
      </c>
      <c r="D5" s="121" t="s">
        <v>452</v>
      </c>
      <c r="E5" s="107">
        <v>9.0</v>
      </c>
      <c r="F5" s="122">
        <f t="shared" si="1"/>
        <v>3600</v>
      </c>
      <c r="G5" s="22">
        <f t="shared" si="2"/>
        <v>1</v>
      </c>
      <c r="H5" s="123" t="s">
        <v>20</v>
      </c>
      <c r="I5" s="124"/>
      <c r="J5" s="127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>
      <c r="A6" s="107">
        <v>3.0</v>
      </c>
      <c r="B6" s="102">
        <v>1018974.0</v>
      </c>
      <c r="C6" s="120" t="str">
        <f>vlookup(B6,'Crew Data'!C:G,5,0)</f>
        <v>Nakharin Preediyanon</v>
      </c>
      <c r="D6" s="121" t="s">
        <v>453</v>
      </c>
      <c r="E6" s="107">
        <v>2.0</v>
      </c>
      <c r="F6" s="122">
        <f t="shared" si="1"/>
        <v>800</v>
      </c>
      <c r="G6" s="22">
        <f t="shared" si="2"/>
        <v>1</v>
      </c>
      <c r="H6" s="123" t="s">
        <v>20</v>
      </c>
      <c r="I6" s="124" t="s">
        <v>451</v>
      </c>
      <c r="J6" s="127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>
      <c r="A7" s="107">
        <v>4.0</v>
      </c>
      <c r="B7" s="138">
        <v>1044227.0</v>
      </c>
      <c r="C7" s="120" t="str">
        <f>vlookup(B7,'Crew Data'!C:G,5,0)</f>
        <v>Kasama Guaynil</v>
      </c>
      <c r="D7" s="121" t="s">
        <v>454</v>
      </c>
      <c r="E7" s="107">
        <v>7.0</v>
      </c>
      <c r="F7" s="122">
        <f t="shared" si="1"/>
        <v>2800</v>
      </c>
      <c r="G7" s="22">
        <f t="shared" si="2"/>
        <v>1</v>
      </c>
      <c r="H7" s="123" t="s">
        <v>20</v>
      </c>
      <c r="I7" s="124" t="s">
        <v>451</v>
      </c>
      <c r="J7" s="127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>
      <c r="A8" s="107">
        <v>5.0</v>
      </c>
      <c r="B8" s="138">
        <v>1044222.0</v>
      </c>
      <c r="C8" s="120" t="str">
        <f>vlookup(B8,'Crew Data'!C:G,5,0)</f>
        <v>Pichit Jinakaew</v>
      </c>
      <c r="D8" s="121" t="s">
        <v>455</v>
      </c>
      <c r="E8" s="107">
        <v>8.0</v>
      </c>
      <c r="F8" s="122">
        <f t="shared" si="1"/>
        <v>3200</v>
      </c>
      <c r="G8" s="22">
        <f t="shared" si="2"/>
        <v>1</v>
      </c>
      <c r="H8" s="123" t="s">
        <v>20</v>
      </c>
      <c r="I8" s="124" t="s">
        <v>451</v>
      </c>
      <c r="J8" s="127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>
      <c r="A9" s="107">
        <v>6.0</v>
      </c>
      <c r="B9" s="138">
        <v>1044220.0</v>
      </c>
      <c r="C9" s="120" t="str">
        <f>vlookup(B9,'Crew Data'!C:G,5,0)</f>
        <v>Warissara Klanbuds</v>
      </c>
      <c r="D9" s="121" t="s">
        <v>456</v>
      </c>
      <c r="E9" s="107">
        <v>11.0</v>
      </c>
      <c r="F9" s="122">
        <f t="shared" si="1"/>
        <v>4400</v>
      </c>
      <c r="G9" s="22">
        <f t="shared" si="2"/>
        <v>1</v>
      </c>
      <c r="H9" s="123" t="s">
        <v>20</v>
      </c>
      <c r="I9" s="124" t="s">
        <v>451</v>
      </c>
      <c r="J9" s="127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>
      <c r="A10" s="107">
        <v>7.0</v>
      </c>
      <c r="B10" s="138">
        <v>1044237.0</v>
      </c>
      <c r="C10" s="120" t="str">
        <f>vlookup(B10,'Crew Data'!C:G,5,0)</f>
        <v>Suyomi Setthamungkorn</v>
      </c>
      <c r="D10" s="121" t="s">
        <v>457</v>
      </c>
      <c r="E10" s="107">
        <v>7.0</v>
      </c>
      <c r="F10" s="122">
        <f t="shared" si="1"/>
        <v>2800</v>
      </c>
      <c r="G10" s="22">
        <f t="shared" si="2"/>
        <v>1</v>
      </c>
      <c r="H10" s="123" t="s">
        <v>20</v>
      </c>
      <c r="I10" s="124" t="s">
        <v>451</v>
      </c>
      <c r="J10" s="127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>
      <c r="A11" s="107">
        <v>8.0</v>
      </c>
      <c r="B11" s="138">
        <v>1004381.0</v>
      </c>
      <c r="C11" s="120" t="str">
        <f>vlookup(B11,'Crew Data'!C:G,5,0)</f>
        <v>Nawaporn Ratianan</v>
      </c>
      <c r="D11" s="121" t="s">
        <v>458</v>
      </c>
      <c r="E11" s="107">
        <v>2.0</v>
      </c>
      <c r="F11" s="122">
        <f t="shared" si="1"/>
        <v>800</v>
      </c>
      <c r="G11" s="22">
        <f t="shared" si="2"/>
        <v>1</v>
      </c>
      <c r="H11" s="123" t="s">
        <v>20</v>
      </c>
      <c r="I11" s="124"/>
      <c r="J11" s="127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>
      <c r="A12" s="107">
        <v>9.0</v>
      </c>
      <c r="B12" s="138">
        <v>1000675.0</v>
      </c>
      <c r="C12" s="120" t="str">
        <f>vlookup(B12,'Crew Data'!C:G,5,0)</f>
        <v>Sivaporn Limkanokrat</v>
      </c>
      <c r="D12" s="121" t="s">
        <v>459</v>
      </c>
      <c r="E12" s="107">
        <v>2.0</v>
      </c>
      <c r="F12" s="122">
        <f t="shared" si="1"/>
        <v>800</v>
      </c>
      <c r="G12" s="22">
        <f t="shared" si="2"/>
        <v>1</v>
      </c>
      <c r="H12" s="123" t="s">
        <v>20</v>
      </c>
      <c r="I12" s="124"/>
      <c r="J12" s="127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>
      <c r="A13" s="107">
        <v>10.0</v>
      </c>
      <c r="B13" s="138">
        <v>1023589.0</v>
      </c>
      <c r="C13" s="120" t="str">
        <f>vlookup(B13,'Crew Data'!C:G,5,0)</f>
        <v>Pattanee Nopparat</v>
      </c>
      <c r="D13" s="121" t="s">
        <v>460</v>
      </c>
      <c r="E13" s="107">
        <v>2.0</v>
      </c>
      <c r="F13" s="122">
        <f t="shared" si="1"/>
        <v>800</v>
      </c>
      <c r="G13" s="22">
        <f t="shared" si="2"/>
        <v>1</v>
      </c>
      <c r="H13" s="123" t="s">
        <v>20</v>
      </c>
      <c r="I13" s="124"/>
      <c r="J13" s="127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>
      <c r="A14" s="107">
        <v>11.0</v>
      </c>
      <c r="B14" s="138">
        <v>1023595.0</v>
      </c>
      <c r="C14" s="120" t="str">
        <f>vlookup(B14,'Crew Data'!C:G,5,0)</f>
        <v>Kanokpan Tongnu</v>
      </c>
      <c r="D14" s="121" t="s">
        <v>460</v>
      </c>
      <c r="E14" s="107">
        <v>2.0</v>
      </c>
      <c r="F14" s="122">
        <f t="shared" si="1"/>
        <v>800</v>
      </c>
      <c r="G14" s="22">
        <f t="shared" si="2"/>
        <v>1</v>
      </c>
      <c r="H14" s="123" t="s">
        <v>20</v>
      </c>
      <c r="I14" s="124"/>
      <c r="J14" s="127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>
      <c r="A15" s="107">
        <v>12.0</v>
      </c>
      <c r="B15" s="138">
        <v>1001233.0</v>
      </c>
      <c r="C15" s="120" t="str">
        <f>vlookup(B15,'Crew Data'!C:G,5,0)</f>
        <v>Sasithorn Wonglee</v>
      </c>
      <c r="D15" s="121" t="s">
        <v>460</v>
      </c>
      <c r="E15" s="107">
        <v>2.0</v>
      </c>
      <c r="F15" s="122">
        <f t="shared" si="1"/>
        <v>800</v>
      </c>
      <c r="G15" s="22">
        <f t="shared" si="2"/>
        <v>1</v>
      </c>
      <c r="H15" s="123" t="s">
        <v>20</v>
      </c>
      <c r="I15" s="124"/>
      <c r="J15" s="127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>
      <c r="A16" s="107">
        <v>13.0</v>
      </c>
      <c r="B16" s="138">
        <v>1010916.0</v>
      </c>
      <c r="C16" s="120" t="str">
        <f>vlookup(B16,'Crew Data'!C:G,5,0)</f>
        <v>Sivakorn Sangsukiam</v>
      </c>
      <c r="D16" s="121" t="s">
        <v>461</v>
      </c>
      <c r="E16" s="107">
        <v>2.0</v>
      </c>
      <c r="F16" s="122">
        <f t="shared" si="1"/>
        <v>800</v>
      </c>
      <c r="G16" s="22">
        <f t="shared" si="2"/>
        <v>1</v>
      </c>
      <c r="H16" s="123" t="s">
        <v>20</v>
      </c>
      <c r="I16" s="124"/>
      <c r="J16" s="127"/>
      <c r="K16" s="31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107">
        <v>14.0</v>
      </c>
      <c r="B17" s="138">
        <v>1040507.0</v>
      </c>
      <c r="C17" s="120" t="str">
        <f>vlookup(B17,'Crew Data'!C:G,5,0)</f>
        <v>Jenine Satiranon</v>
      </c>
      <c r="D17" s="121" t="s">
        <v>461</v>
      </c>
      <c r="E17" s="107">
        <v>2.0</v>
      </c>
      <c r="F17" s="122">
        <f t="shared" si="1"/>
        <v>800</v>
      </c>
      <c r="G17" s="22">
        <f t="shared" si="2"/>
        <v>1</v>
      </c>
      <c r="H17" s="123" t="s">
        <v>20</v>
      </c>
      <c r="I17" s="124"/>
      <c r="J17" s="127"/>
      <c r="K17" s="31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107">
        <v>15.0</v>
      </c>
      <c r="B18" s="138">
        <v>1043891.0</v>
      </c>
      <c r="C18" s="120" t="str">
        <f>vlookup(B18,'Crew Data'!C:G,5,0)</f>
        <v>Vannaporn Chaiwatsittikul</v>
      </c>
      <c r="D18" s="121" t="s">
        <v>459</v>
      </c>
      <c r="E18" s="107">
        <v>2.0</v>
      </c>
      <c r="F18" s="122">
        <f t="shared" si="1"/>
        <v>800</v>
      </c>
      <c r="G18" s="22">
        <f t="shared" si="2"/>
        <v>1</v>
      </c>
      <c r="H18" s="123" t="s">
        <v>20</v>
      </c>
      <c r="I18" s="124"/>
      <c r="J18" s="127"/>
      <c r="K18" s="31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107">
        <v>16.0</v>
      </c>
      <c r="B19" s="138">
        <v>1006085.0</v>
      </c>
      <c r="C19" s="120" t="str">
        <f>vlookup(B19,'Crew Data'!C:G,5,0)</f>
        <v>Sunan Homcharoenpanith</v>
      </c>
      <c r="D19" s="121" t="s">
        <v>462</v>
      </c>
      <c r="E19" s="107">
        <v>2.0</v>
      </c>
      <c r="F19" s="122">
        <f t="shared" si="1"/>
        <v>800</v>
      </c>
      <c r="G19" s="22">
        <f t="shared" si="2"/>
        <v>1</v>
      </c>
      <c r="H19" s="123" t="s">
        <v>20</v>
      </c>
      <c r="I19" s="124"/>
      <c r="J19" s="127"/>
      <c r="K19" s="31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107">
        <v>17.0</v>
      </c>
      <c r="B20" s="138">
        <v>1006844.0</v>
      </c>
      <c r="C20" s="120" t="str">
        <f>vlookup(B20,'Crew Data'!C:G,5,0)</f>
        <v>Rada Nilyam</v>
      </c>
      <c r="D20" s="121" t="s">
        <v>463</v>
      </c>
      <c r="E20" s="107">
        <v>2.0</v>
      </c>
      <c r="F20" s="122">
        <f t="shared" si="1"/>
        <v>800</v>
      </c>
      <c r="G20" s="22">
        <f t="shared" si="2"/>
        <v>1</v>
      </c>
      <c r="H20" s="123" t="s">
        <v>20</v>
      </c>
      <c r="I20" s="124"/>
      <c r="J20" s="127"/>
      <c r="K20" s="31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107">
        <v>18.0</v>
      </c>
      <c r="B21" s="138">
        <v>1040513.0</v>
      </c>
      <c r="C21" s="120" t="str">
        <f>vlookup(B21,'Crew Data'!C:G,5,0)</f>
        <v>#N/A</v>
      </c>
      <c r="D21" s="121" t="s">
        <v>461</v>
      </c>
      <c r="E21" s="107">
        <v>2.0</v>
      </c>
      <c r="F21" s="122">
        <f t="shared" si="1"/>
        <v>800</v>
      </c>
      <c r="G21" s="22">
        <f t="shared" si="2"/>
        <v>1</v>
      </c>
      <c r="H21" s="123" t="s">
        <v>20</v>
      </c>
      <c r="I21" s="124"/>
      <c r="J21" s="127"/>
      <c r="K21" s="31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>
      <c r="A22" s="107">
        <v>19.0</v>
      </c>
      <c r="B22" s="139">
        <v>1006086.0</v>
      </c>
      <c r="C22" s="120" t="str">
        <f>vlookup(B22,'Crew Data'!C:G,5,0)</f>
        <v>Tanaporn Wongviboonkul</v>
      </c>
      <c r="D22" s="121" t="s">
        <v>464</v>
      </c>
      <c r="E22" s="107">
        <v>4.0</v>
      </c>
      <c r="F22" s="122">
        <f t="shared" si="1"/>
        <v>1600</v>
      </c>
      <c r="G22" s="22">
        <f t="shared" si="2"/>
        <v>1</v>
      </c>
      <c r="H22" s="123" t="s">
        <v>20</v>
      </c>
      <c r="I22" s="124"/>
      <c r="J22" s="127"/>
      <c r="K22" s="31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>
      <c r="A23" s="107">
        <v>20.0</v>
      </c>
      <c r="B23" s="139">
        <v>1002207.0</v>
      </c>
      <c r="C23" s="120" t="str">
        <f>vlookup(B23,'Crew Data'!C:G,5,0)</f>
        <v>Phakaon Chaiwong</v>
      </c>
      <c r="D23" s="121" t="s">
        <v>459</v>
      </c>
      <c r="E23" s="107">
        <v>2.0</v>
      </c>
      <c r="F23" s="122">
        <f t="shared" si="1"/>
        <v>800</v>
      </c>
      <c r="G23" s="22">
        <f t="shared" si="2"/>
        <v>1</v>
      </c>
      <c r="H23" s="123" t="s">
        <v>20</v>
      </c>
      <c r="I23" s="124"/>
      <c r="J23" s="127"/>
      <c r="K23" s="31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>
      <c r="A24" s="107">
        <v>21.0</v>
      </c>
      <c r="B24" s="139">
        <v>1019518.0</v>
      </c>
      <c r="C24" s="120" t="str">
        <f>vlookup(B24,'Crew Data'!C:G,5,0)</f>
        <v>Naratip Dumrongthai</v>
      </c>
      <c r="D24" s="121" t="s">
        <v>465</v>
      </c>
      <c r="E24" s="107">
        <v>3.0</v>
      </c>
      <c r="F24" s="122">
        <f t="shared" si="1"/>
        <v>1200</v>
      </c>
      <c r="G24" s="22">
        <f t="shared" si="2"/>
        <v>1</v>
      </c>
      <c r="H24" s="123" t="s">
        <v>20</v>
      </c>
      <c r="I24" s="124"/>
      <c r="J24" s="127"/>
      <c r="K24" s="31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>
      <c r="A25" s="107">
        <v>22.0</v>
      </c>
      <c r="B25" s="139">
        <v>1010731.0</v>
      </c>
      <c r="C25" s="120" t="str">
        <f>vlookup(B25,'Crew Data'!C:G,5,0)</f>
        <v>Samatikan Boonket</v>
      </c>
      <c r="D25" s="121" t="s">
        <v>462</v>
      </c>
      <c r="E25" s="107">
        <v>2.0</v>
      </c>
      <c r="F25" s="122">
        <f t="shared" si="1"/>
        <v>800</v>
      </c>
      <c r="G25" s="22">
        <f t="shared" si="2"/>
        <v>1</v>
      </c>
      <c r="H25" s="123" t="s">
        <v>20</v>
      </c>
      <c r="I25" s="124"/>
      <c r="J25" s="127"/>
      <c r="K25" s="31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>
      <c r="A26" s="107">
        <v>23.0</v>
      </c>
      <c r="B26" s="139">
        <v>1011741.0</v>
      </c>
      <c r="C26" s="120" t="str">
        <f>vlookup(B26,'Crew Data'!C:G,5,0)</f>
        <v>Naphak Aussanon</v>
      </c>
      <c r="D26" s="121" t="s">
        <v>466</v>
      </c>
      <c r="E26" s="107">
        <v>2.0</v>
      </c>
      <c r="F26" s="122">
        <f t="shared" si="1"/>
        <v>800</v>
      </c>
      <c r="G26" s="22">
        <f t="shared" si="2"/>
        <v>1</v>
      </c>
      <c r="H26" s="123" t="s">
        <v>20</v>
      </c>
      <c r="I26" s="124"/>
      <c r="J26" s="127"/>
      <c r="K26" s="31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>
      <c r="A27" s="107">
        <v>24.0</v>
      </c>
      <c r="B27" s="139">
        <v>1025204.0</v>
      </c>
      <c r="C27" s="120" t="str">
        <f>vlookup(B27,'Crew Data'!C:G,5,0)</f>
        <v>Pavich Saprungroj</v>
      </c>
      <c r="D27" s="121" t="s">
        <v>467</v>
      </c>
      <c r="E27" s="107">
        <v>4.0</v>
      </c>
      <c r="F27" s="122">
        <f t="shared" si="1"/>
        <v>1600</v>
      </c>
      <c r="G27" s="22">
        <f t="shared" si="2"/>
        <v>1</v>
      </c>
      <c r="H27" s="123" t="s">
        <v>20</v>
      </c>
      <c r="I27" s="124"/>
      <c r="J27" s="127"/>
      <c r="K27" s="31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>
      <c r="A28" s="107">
        <v>25.0</v>
      </c>
      <c r="B28" s="138">
        <v>1005297.0</v>
      </c>
      <c r="C28" s="120" t="str">
        <f>vlookup(B28,'Crew Data'!C:G,5,0)</f>
        <v>Kunapond Wutayatornsakul</v>
      </c>
      <c r="D28" s="121" t="s">
        <v>468</v>
      </c>
      <c r="E28" s="107">
        <v>2.0</v>
      </c>
      <c r="F28" s="122">
        <f t="shared" si="1"/>
        <v>800</v>
      </c>
      <c r="G28" s="22">
        <f t="shared" si="2"/>
        <v>1</v>
      </c>
      <c r="H28" s="123" t="s">
        <v>20</v>
      </c>
      <c r="I28" s="126"/>
      <c r="J28" s="127"/>
      <c r="K28" s="31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>
      <c r="A29" s="107">
        <v>26.0</v>
      </c>
      <c r="B29" s="138">
        <v>1004579.0</v>
      </c>
      <c r="C29" s="120" t="str">
        <f>vlookup(B29,'Crew Data'!C:G,5,0)</f>
        <v>Sanisara Wongwejsawat</v>
      </c>
      <c r="D29" s="121" t="s">
        <v>469</v>
      </c>
      <c r="E29" s="107">
        <v>2.0</v>
      </c>
      <c r="F29" s="122">
        <f t="shared" si="1"/>
        <v>800</v>
      </c>
      <c r="G29" s="22">
        <f t="shared" si="2"/>
        <v>1</v>
      </c>
      <c r="H29" s="123" t="s">
        <v>20</v>
      </c>
      <c r="I29" s="126"/>
      <c r="J29" s="127"/>
      <c r="K29" s="31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>
      <c r="A30" s="107">
        <v>27.0</v>
      </c>
      <c r="B30" s="138">
        <v>1001230.0</v>
      </c>
      <c r="C30" s="120" t="str">
        <f>vlookup(B30,'Crew Data'!C:G,5,0)</f>
        <v>Panithi Singlertsakul</v>
      </c>
      <c r="D30" s="121" t="s">
        <v>470</v>
      </c>
      <c r="E30" s="107">
        <v>2.0</v>
      </c>
      <c r="F30" s="122">
        <f t="shared" si="1"/>
        <v>800</v>
      </c>
      <c r="G30" s="22">
        <f t="shared" si="2"/>
        <v>1</v>
      </c>
      <c r="H30" s="123" t="s">
        <v>20</v>
      </c>
      <c r="I30" s="126"/>
      <c r="J30" s="127"/>
      <c r="K30" s="31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>
      <c r="A31" s="107">
        <v>28.0</v>
      </c>
      <c r="B31" s="138">
        <v>1019407.0</v>
      </c>
      <c r="C31" s="120" t="str">
        <f>vlookup(B31,'Crew Data'!C:G,5,0)</f>
        <v>Saowapak Siri-athikhom</v>
      </c>
      <c r="D31" s="121" t="s">
        <v>466</v>
      </c>
      <c r="E31" s="107">
        <v>2.0</v>
      </c>
      <c r="F31" s="122">
        <f t="shared" si="1"/>
        <v>800</v>
      </c>
      <c r="G31" s="22">
        <f t="shared" si="2"/>
        <v>1</v>
      </c>
      <c r="H31" s="123" t="s">
        <v>20</v>
      </c>
      <c r="I31" s="126"/>
      <c r="J31" s="127"/>
      <c r="K31" s="31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>
      <c r="A32" s="107">
        <v>29.0</v>
      </c>
      <c r="B32" s="139">
        <v>1007006.0</v>
      </c>
      <c r="C32" s="120" t="str">
        <f>vlookup(B32,'Crew Data'!C:G,5,0)</f>
        <v>Wipaporn Prasertsom</v>
      </c>
      <c r="D32" s="121" t="s">
        <v>471</v>
      </c>
      <c r="E32" s="107">
        <v>2.0</v>
      </c>
      <c r="F32" s="122">
        <f t="shared" si="1"/>
        <v>800</v>
      </c>
      <c r="G32" s="22">
        <f t="shared" si="2"/>
        <v>1</v>
      </c>
      <c r="H32" s="123" t="s">
        <v>20</v>
      </c>
      <c r="I32" s="126"/>
      <c r="J32" s="127"/>
      <c r="K32" s="31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>
      <c r="A33" s="107">
        <v>30.0</v>
      </c>
      <c r="B33" s="139">
        <v>1007207.0</v>
      </c>
      <c r="C33" s="120" t="str">
        <f>vlookup(B33,'Crew Data'!C:G,5,0)</f>
        <v>Sasiwan Nakate</v>
      </c>
      <c r="D33" s="121" t="s">
        <v>472</v>
      </c>
      <c r="E33" s="107">
        <v>2.0</v>
      </c>
      <c r="F33" s="122">
        <f t="shared" si="1"/>
        <v>800</v>
      </c>
      <c r="G33" s="22">
        <f t="shared" si="2"/>
        <v>1</v>
      </c>
      <c r="H33" s="123" t="s">
        <v>20</v>
      </c>
      <c r="I33" s="126"/>
      <c r="J33" s="127"/>
      <c r="K33" s="31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>
      <c r="A34" s="107">
        <v>31.0</v>
      </c>
      <c r="B34" s="138">
        <v>1010879.0</v>
      </c>
      <c r="C34" s="120" t="str">
        <f>vlookup(B34,'Crew Data'!C:G,5,0)</f>
        <v>Bhasana Chindalat</v>
      </c>
      <c r="D34" s="121" t="s">
        <v>473</v>
      </c>
      <c r="E34" s="107">
        <v>2.0</v>
      </c>
      <c r="F34" s="122">
        <f t="shared" si="1"/>
        <v>800</v>
      </c>
      <c r="G34" s="22">
        <f t="shared" si="2"/>
        <v>1</v>
      </c>
      <c r="H34" s="123" t="s">
        <v>20</v>
      </c>
      <c r="I34" s="126"/>
      <c r="J34" s="127"/>
      <c r="K34" s="31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>
      <c r="A35" s="107">
        <v>32.0</v>
      </c>
      <c r="B35" s="138">
        <v>1014662.0</v>
      </c>
      <c r="C35" s="120" t="str">
        <f>vlookup(B35,'Crew Data'!C:G,5,0)</f>
        <v>Duangkamon Wongjareanyong</v>
      </c>
      <c r="D35" s="121" t="s">
        <v>473</v>
      </c>
      <c r="E35" s="107">
        <v>2.0</v>
      </c>
      <c r="F35" s="122">
        <f t="shared" si="1"/>
        <v>800</v>
      </c>
      <c r="G35" s="22">
        <f t="shared" si="2"/>
        <v>1</v>
      </c>
      <c r="H35" s="123" t="s">
        <v>20</v>
      </c>
      <c r="I35" s="126"/>
      <c r="J35" s="127"/>
      <c r="K35" s="31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>
      <c r="A36" s="107">
        <v>33.0</v>
      </c>
      <c r="B36" s="138">
        <v>1002370.0</v>
      </c>
      <c r="C36" s="120" t="str">
        <f>vlookup(B36,'Crew Data'!C:G,5,0)</f>
        <v>Napaphat Yuktanan</v>
      </c>
      <c r="D36" s="121" t="s">
        <v>473</v>
      </c>
      <c r="E36" s="107">
        <v>2.0</v>
      </c>
      <c r="F36" s="122">
        <f t="shared" si="1"/>
        <v>800</v>
      </c>
      <c r="G36" s="22">
        <f t="shared" si="2"/>
        <v>1</v>
      </c>
      <c r="H36" s="123" t="s">
        <v>20</v>
      </c>
      <c r="I36" s="126"/>
      <c r="J36" s="127"/>
      <c r="K36" s="31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>
      <c r="A37" s="107">
        <v>34.0</v>
      </c>
      <c r="B37" s="138">
        <v>1014683.0</v>
      </c>
      <c r="C37" s="120" t="str">
        <f>vlookup(B37,'Crew Data'!C:G,5,0)</f>
        <v>Trin Supredanuwat</v>
      </c>
      <c r="D37" s="121" t="s">
        <v>473</v>
      </c>
      <c r="E37" s="107">
        <v>2.0</v>
      </c>
      <c r="F37" s="122">
        <f t="shared" si="1"/>
        <v>800</v>
      </c>
      <c r="G37" s="22">
        <f t="shared" si="2"/>
        <v>1</v>
      </c>
      <c r="H37" s="123" t="s">
        <v>20</v>
      </c>
      <c r="I37" s="126"/>
      <c r="J37" s="127"/>
      <c r="K37" s="31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>
      <c r="A38" s="107">
        <v>35.0</v>
      </c>
      <c r="B38" s="138">
        <v>1004213.0</v>
      </c>
      <c r="C38" s="120" t="str">
        <f>vlookup(B38,'Crew Data'!C:G,5,0)</f>
        <v>Worapada Suetrongmunkong</v>
      </c>
      <c r="D38" s="121" t="s">
        <v>468</v>
      </c>
      <c r="E38" s="107">
        <v>2.0</v>
      </c>
      <c r="F38" s="122">
        <f t="shared" si="1"/>
        <v>800</v>
      </c>
      <c r="G38" s="22">
        <f t="shared" si="2"/>
        <v>1</v>
      </c>
      <c r="H38" s="123" t="s">
        <v>20</v>
      </c>
      <c r="I38" s="126"/>
      <c r="J38" s="127"/>
      <c r="K38" s="31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>
      <c r="A39" s="107">
        <v>36.0</v>
      </c>
      <c r="B39" s="138">
        <v>1004541.0</v>
      </c>
      <c r="C39" s="120" t="str">
        <f>vlookup(B39,'Crew Data'!C:G,5,0)</f>
        <v>Varaporn Rattanamahasalchai</v>
      </c>
      <c r="D39" s="121" t="s">
        <v>471</v>
      </c>
      <c r="E39" s="107">
        <v>2.0</v>
      </c>
      <c r="F39" s="122">
        <f t="shared" si="1"/>
        <v>800</v>
      </c>
      <c r="G39" s="22">
        <f t="shared" si="2"/>
        <v>1</v>
      </c>
      <c r="H39" s="123" t="s">
        <v>20</v>
      </c>
      <c r="I39" s="126"/>
      <c r="J39" s="127"/>
      <c r="K39" s="31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>
      <c r="A40" s="107">
        <v>37.0</v>
      </c>
      <c r="B40" s="138">
        <v>1022666.0</v>
      </c>
      <c r="C40" s="120" t="str">
        <f>vlookup(B40,'Crew Data'!C:G,5,0)</f>
        <v>Suchanart Thongsongsom</v>
      </c>
      <c r="D40" s="121" t="s">
        <v>474</v>
      </c>
      <c r="E40" s="107">
        <v>2.0</v>
      </c>
      <c r="F40" s="122">
        <f t="shared" si="1"/>
        <v>800</v>
      </c>
      <c r="G40" s="22">
        <f t="shared" si="2"/>
        <v>1</v>
      </c>
      <c r="H40" s="123" t="s">
        <v>20</v>
      </c>
      <c r="I40" s="126"/>
      <c r="J40" s="127"/>
      <c r="K40" s="31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>
      <c r="A41" s="107">
        <v>38.0</v>
      </c>
      <c r="B41" s="138">
        <v>1007273.0</v>
      </c>
      <c r="C41" s="120" t="str">
        <f>vlookup(B41,'Crew Data'!C:G,5,0)</f>
        <v>Sarinya Phontong</v>
      </c>
      <c r="D41" s="121" t="s">
        <v>475</v>
      </c>
      <c r="E41" s="107">
        <v>4.0</v>
      </c>
      <c r="F41" s="122">
        <f t="shared" si="1"/>
        <v>1600</v>
      </c>
      <c r="G41" s="22">
        <f t="shared" si="2"/>
        <v>1</v>
      </c>
      <c r="H41" s="123" t="s">
        <v>20</v>
      </c>
      <c r="I41" s="126"/>
      <c r="J41" s="127"/>
      <c r="K41" s="31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>
      <c r="A42" s="107">
        <v>39.0</v>
      </c>
      <c r="B42" s="138">
        <v>1001286.0</v>
      </c>
      <c r="C42" s="120" t="str">
        <f>vlookup(B42,'Crew Data'!C:G,5,0)</f>
        <v>Sirinart Auypornbusyakom</v>
      </c>
      <c r="D42" s="121" t="s">
        <v>460</v>
      </c>
      <c r="E42" s="107">
        <v>2.0</v>
      </c>
      <c r="F42" s="122">
        <f t="shared" si="1"/>
        <v>800</v>
      </c>
      <c r="G42" s="22">
        <f t="shared" si="2"/>
        <v>1</v>
      </c>
      <c r="H42" s="123" t="s">
        <v>20</v>
      </c>
      <c r="I42" s="126"/>
      <c r="J42" s="127"/>
      <c r="K42" s="31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>
      <c r="A43" s="107">
        <v>40.0</v>
      </c>
      <c r="B43" s="138">
        <v>1002910.0</v>
      </c>
      <c r="C43" s="120" t="str">
        <f>vlookup(B43,'Crew Data'!C:G,5,0)</f>
        <v>Patsita Patchararujirathchot</v>
      </c>
      <c r="D43" s="121" t="s">
        <v>476</v>
      </c>
      <c r="E43" s="107">
        <v>12.0</v>
      </c>
      <c r="F43" s="122">
        <f t="shared" si="1"/>
        <v>4800</v>
      </c>
      <c r="G43" s="22">
        <f t="shared" si="2"/>
        <v>1</v>
      </c>
      <c r="H43" s="123" t="s">
        <v>20</v>
      </c>
      <c r="I43" s="126"/>
      <c r="J43" s="127"/>
      <c r="K43" s="31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>
      <c r="A44" s="107">
        <v>41.0</v>
      </c>
      <c r="B44" s="138">
        <v>1011318.0</v>
      </c>
      <c r="C44" s="120" t="str">
        <f>vlookup(B44,'Crew Data'!C:G,5,0)</f>
        <v>Rudeemas Thiangthat</v>
      </c>
      <c r="D44" s="121" t="s">
        <v>477</v>
      </c>
      <c r="E44" s="107">
        <v>4.0</v>
      </c>
      <c r="F44" s="122">
        <f t="shared" si="1"/>
        <v>1600</v>
      </c>
      <c r="G44" s="22">
        <f t="shared" si="2"/>
        <v>1</v>
      </c>
      <c r="H44" s="123" t="s">
        <v>20</v>
      </c>
      <c r="I44" s="126"/>
      <c r="J44" s="127"/>
      <c r="K44" s="31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>
      <c r="A45" s="107">
        <v>42.0</v>
      </c>
      <c r="B45" s="138">
        <v>1008987.0</v>
      </c>
      <c r="C45" s="120" t="str">
        <f>vlookup(B45,'Crew Data'!C:G,5,0)</f>
        <v>Punnasisth Rangshirinanthakorn</v>
      </c>
      <c r="D45" s="121" t="s">
        <v>478</v>
      </c>
      <c r="E45" s="107">
        <v>2.0</v>
      </c>
      <c r="F45" s="122">
        <f t="shared" si="1"/>
        <v>800</v>
      </c>
      <c r="G45" s="22">
        <f t="shared" si="2"/>
        <v>1</v>
      </c>
      <c r="H45" s="123" t="s">
        <v>20</v>
      </c>
      <c r="I45" s="126"/>
      <c r="J45" s="127"/>
      <c r="K45" s="31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>
      <c r="A46" s="107">
        <v>43.0</v>
      </c>
      <c r="B46" s="138">
        <v>1008991.0</v>
      </c>
      <c r="C46" s="120" t="str">
        <f>vlookup(B46,'Crew Data'!C:G,5,0)</f>
        <v>Premkamon Changsuwan</v>
      </c>
      <c r="D46" s="121" t="s">
        <v>479</v>
      </c>
      <c r="E46" s="107">
        <v>2.0</v>
      </c>
      <c r="F46" s="122">
        <f t="shared" si="1"/>
        <v>800</v>
      </c>
      <c r="G46" s="22">
        <f t="shared" si="2"/>
        <v>1</v>
      </c>
      <c r="H46" s="123" t="s">
        <v>20</v>
      </c>
      <c r="I46" s="126"/>
      <c r="J46" s="127"/>
      <c r="K46" s="31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>
      <c r="A47" s="107">
        <v>44.0</v>
      </c>
      <c r="B47" s="140">
        <v>1010905.0</v>
      </c>
      <c r="C47" s="120" t="str">
        <f>vlookup(B47,'Crew Data'!C:G,5,0)</f>
        <v>Phiraya Panthongkum</v>
      </c>
      <c r="D47" s="121" t="s">
        <v>471</v>
      </c>
      <c r="E47" s="107">
        <v>2.0</v>
      </c>
      <c r="F47" s="122">
        <f t="shared" si="1"/>
        <v>800</v>
      </c>
      <c r="G47" s="22">
        <f t="shared" si="2"/>
        <v>1</v>
      </c>
      <c r="H47" s="123" t="s">
        <v>20</v>
      </c>
      <c r="I47" s="126"/>
      <c r="J47" s="127"/>
      <c r="K47" s="31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>
      <c r="A48" s="107">
        <v>45.0</v>
      </c>
      <c r="B48" s="138">
        <v>1040506.0</v>
      </c>
      <c r="C48" s="120" t="str">
        <f>vlookup(B48,'Crew Data'!C:G,5,0)</f>
        <v>Chomphunut Detdutsadee</v>
      </c>
      <c r="D48" s="121" t="s">
        <v>480</v>
      </c>
      <c r="E48" s="107">
        <v>2.0</v>
      </c>
      <c r="F48" s="122">
        <f t="shared" si="1"/>
        <v>800</v>
      </c>
      <c r="G48" s="22">
        <f t="shared" si="2"/>
        <v>1</v>
      </c>
      <c r="H48" s="123" t="s">
        <v>20</v>
      </c>
      <c r="I48" s="126"/>
      <c r="J48" s="127"/>
      <c r="K48" s="31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>
      <c r="A49" s="107">
        <v>46.0</v>
      </c>
      <c r="B49" s="141">
        <v>1044230.0</v>
      </c>
      <c r="C49" s="120" t="str">
        <f>vlookup(B49,'Crew Data'!C:G,5,0)</f>
        <v>Sujinut Ruangmalai</v>
      </c>
      <c r="D49" s="121" t="s">
        <v>481</v>
      </c>
      <c r="E49" s="107">
        <v>4.0</v>
      </c>
      <c r="F49" s="122">
        <f t="shared" si="1"/>
        <v>1600</v>
      </c>
      <c r="G49" s="22">
        <f t="shared" si="2"/>
        <v>1</v>
      </c>
      <c r="H49" s="123" t="s">
        <v>20</v>
      </c>
      <c r="I49" s="126"/>
      <c r="J49" s="127"/>
      <c r="K49" s="31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>
      <c r="A50" s="107">
        <v>47.0</v>
      </c>
      <c r="B50" s="141">
        <v>1007342.0</v>
      </c>
      <c r="C50" s="120" t="str">
        <f>vlookup(B50,'Crew Data'!C:G,5,0)</f>
        <v>Supitchaya Hongkajorn</v>
      </c>
      <c r="D50" s="121" t="s">
        <v>482</v>
      </c>
      <c r="E50" s="107">
        <v>2.0</v>
      </c>
      <c r="F50" s="122">
        <f t="shared" si="1"/>
        <v>800</v>
      </c>
      <c r="G50" s="22">
        <f t="shared" si="2"/>
        <v>1</v>
      </c>
      <c r="H50" s="123" t="s">
        <v>20</v>
      </c>
      <c r="I50" s="126"/>
      <c r="J50" s="127"/>
      <c r="K50" s="31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>
      <c r="A51" s="107">
        <v>48.0</v>
      </c>
      <c r="B51" s="138">
        <v>1043869.0</v>
      </c>
      <c r="C51" s="120" t="str">
        <f>vlookup(B51,'Crew Data'!C:G,5,0)</f>
        <v>Jaturong Phomhom</v>
      </c>
      <c r="D51" s="121" t="s">
        <v>483</v>
      </c>
      <c r="E51" s="107">
        <v>4.0</v>
      </c>
      <c r="F51" s="122">
        <f t="shared" si="1"/>
        <v>1600</v>
      </c>
      <c r="G51" s="22">
        <f t="shared" si="2"/>
        <v>1</v>
      </c>
      <c r="H51" s="123" t="s">
        <v>20</v>
      </c>
      <c r="I51" s="126"/>
      <c r="J51" s="127"/>
      <c r="K51" s="31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>
      <c r="A52" s="107">
        <v>49.0</v>
      </c>
      <c r="B52" s="138">
        <v>1043870.0</v>
      </c>
      <c r="C52" s="120" t="str">
        <f>vlookup(B52,'Crew Data'!C:G,5,0)</f>
        <v>Daranphon Chaikiatchanyaphon</v>
      </c>
      <c r="D52" s="121" t="s">
        <v>484</v>
      </c>
      <c r="E52" s="107">
        <v>4.0</v>
      </c>
      <c r="F52" s="122">
        <f t="shared" si="1"/>
        <v>1600</v>
      </c>
      <c r="G52" s="22">
        <f t="shared" si="2"/>
        <v>1</v>
      </c>
      <c r="H52" s="123" t="s">
        <v>20</v>
      </c>
      <c r="I52" s="126"/>
      <c r="J52" s="127"/>
      <c r="K52" s="31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>
      <c r="A53" s="107">
        <v>50.0</v>
      </c>
      <c r="B53" s="138">
        <v>1025318.0</v>
      </c>
      <c r="C53" s="120" t="str">
        <f>vlookup(B53,'Crew Data'!C:G,5,0)</f>
        <v>Jetsada Sutthiniam</v>
      </c>
      <c r="D53" s="121" t="s">
        <v>485</v>
      </c>
      <c r="E53" s="107">
        <v>2.0</v>
      </c>
      <c r="F53" s="122">
        <f t="shared" si="1"/>
        <v>800</v>
      </c>
      <c r="G53" s="22">
        <f t="shared" si="2"/>
        <v>1</v>
      </c>
      <c r="H53" s="123" t="s">
        <v>20</v>
      </c>
      <c r="I53" s="126"/>
      <c r="J53" s="127"/>
      <c r="K53" s="31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>
      <c r="A54" s="107">
        <v>51.0</v>
      </c>
      <c r="B54" s="138">
        <v>1040861.0</v>
      </c>
      <c r="C54" s="120" t="str">
        <f>vlookup(B54,'Crew Data'!C:G,5,0)</f>
        <v>Chanikan Naktongkaew</v>
      </c>
      <c r="D54" s="121" t="s">
        <v>474</v>
      </c>
      <c r="E54" s="107">
        <v>2.0</v>
      </c>
      <c r="F54" s="122">
        <f t="shared" si="1"/>
        <v>800</v>
      </c>
      <c r="G54" s="22">
        <f t="shared" si="2"/>
        <v>1</v>
      </c>
      <c r="H54" s="123" t="s">
        <v>20</v>
      </c>
      <c r="I54" s="126"/>
      <c r="J54" s="127"/>
      <c r="K54" s="31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>
      <c r="A55" s="107">
        <v>52.0</v>
      </c>
      <c r="B55" s="138">
        <v>1014346.0</v>
      </c>
      <c r="C55" s="120" t="str">
        <f>vlookup(B55,'Crew Data'!C:G,5,0)</f>
        <v>Narongchai Mongkolchartthai</v>
      </c>
      <c r="D55" s="121" t="s">
        <v>486</v>
      </c>
      <c r="E55" s="107">
        <v>2.0</v>
      </c>
      <c r="F55" s="122">
        <f t="shared" si="1"/>
        <v>800</v>
      </c>
      <c r="G55" s="22">
        <f t="shared" si="2"/>
        <v>1</v>
      </c>
      <c r="H55" s="123" t="s">
        <v>20</v>
      </c>
      <c r="I55" s="126"/>
      <c r="J55" s="127"/>
      <c r="K55" s="31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>
      <c r="A56" s="107">
        <v>53.0</v>
      </c>
      <c r="B56" s="138">
        <v>1038747.0</v>
      </c>
      <c r="C56" s="120" t="str">
        <f>vlookup(B56,'Crew Data'!C:G,5,0)</f>
        <v>Sunun Susereedumrong</v>
      </c>
      <c r="D56" s="121" t="s">
        <v>487</v>
      </c>
      <c r="E56" s="107">
        <v>2.0</v>
      </c>
      <c r="F56" s="122">
        <f t="shared" si="1"/>
        <v>800</v>
      </c>
      <c r="G56" s="22">
        <f t="shared" si="2"/>
        <v>1</v>
      </c>
      <c r="H56" s="123" t="s">
        <v>20</v>
      </c>
      <c r="I56" s="126"/>
      <c r="J56" s="127"/>
      <c r="K56" s="31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>
      <c r="A57" s="107">
        <v>54.0</v>
      </c>
      <c r="B57" s="102">
        <v>1000387.0</v>
      </c>
      <c r="C57" s="120" t="str">
        <f>vlookup(B57,'Crew Data'!C:G,5,0)</f>
        <v>Phu-rit Punpeng</v>
      </c>
      <c r="D57" s="121" t="s">
        <v>469</v>
      </c>
      <c r="E57" s="107">
        <v>2.0</v>
      </c>
      <c r="F57" s="122">
        <f t="shared" si="1"/>
        <v>800</v>
      </c>
      <c r="G57" s="22">
        <f>COUNTIF(B:B,B56)</f>
        <v>1</v>
      </c>
      <c r="H57" s="123" t="s">
        <v>20</v>
      </c>
      <c r="I57" s="126"/>
      <c r="J57" s="127"/>
      <c r="K57" s="31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>
      <c r="A58" s="107">
        <v>55.0</v>
      </c>
      <c r="B58" s="138">
        <v>1007194.0</v>
      </c>
      <c r="C58" s="120" t="str">
        <f>vlookup(B58,'Crew Data'!C:G,5,0)</f>
        <v>Arparatt Pengya</v>
      </c>
      <c r="D58" s="121" t="s">
        <v>479</v>
      </c>
      <c r="E58" s="107">
        <v>2.0</v>
      </c>
      <c r="F58" s="122">
        <f t="shared" si="1"/>
        <v>800</v>
      </c>
      <c r="G58" s="22">
        <f t="shared" ref="G58:G79" si="3">COUNTIF(B:B,B58)</f>
        <v>1</v>
      </c>
      <c r="H58" s="123" t="s">
        <v>20</v>
      </c>
      <c r="I58" s="126"/>
      <c r="J58" s="127"/>
      <c r="K58" s="31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>
      <c r="A59" s="107">
        <v>56.0</v>
      </c>
      <c r="B59" s="138">
        <v>1025547.0</v>
      </c>
      <c r="C59" s="120" t="str">
        <f>vlookup(B59,'Crew Data'!C:G,5,0)</f>
        <v>Jarumon Iamkanthong</v>
      </c>
      <c r="D59" s="121" t="s">
        <v>488</v>
      </c>
      <c r="E59" s="107">
        <v>4.0</v>
      </c>
      <c r="F59" s="122">
        <f t="shared" si="1"/>
        <v>1600</v>
      </c>
      <c r="G59" s="22">
        <f t="shared" si="3"/>
        <v>1</v>
      </c>
      <c r="H59" s="123" t="s">
        <v>20</v>
      </c>
      <c r="I59" s="126"/>
      <c r="J59" s="127"/>
      <c r="K59" s="31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>
      <c r="A60" s="107">
        <v>57.0</v>
      </c>
      <c r="B60" s="138">
        <v>1012053.0</v>
      </c>
      <c r="C60" s="120" t="str">
        <f>vlookup(B60,'Crew Data'!C:G,5,0)</f>
        <v>Nawapol Songpool</v>
      </c>
      <c r="D60" s="121" t="s">
        <v>470</v>
      </c>
      <c r="E60" s="107">
        <v>2.0</v>
      </c>
      <c r="F60" s="122">
        <f t="shared" si="1"/>
        <v>800</v>
      </c>
      <c r="G60" s="22">
        <f t="shared" si="3"/>
        <v>1</v>
      </c>
      <c r="H60" s="123" t="s">
        <v>20</v>
      </c>
      <c r="I60" s="126"/>
      <c r="J60" s="127"/>
      <c r="K60" s="31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>
      <c r="A61" s="107">
        <v>58.0</v>
      </c>
      <c r="B61" s="138">
        <v>1003393.0</v>
      </c>
      <c r="C61" s="120" t="str">
        <f>vlookup(B61,'Crew Data'!C:G,5,0)</f>
        <v>Rhodavalentine Tipayasoceniza</v>
      </c>
      <c r="D61" s="121" t="s">
        <v>489</v>
      </c>
      <c r="E61" s="107">
        <v>2.0</v>
      </c>
      <c r="F61" s="122">
        <f t="shared" si="1"/>
        <v>800</v>
      </c>
      <c r="G61" s="22">
        <f t="shared" si="3"/>
        <v>1</v>
      </c>
      <c r="H61" s="123" t="s">
        <v>20</v>
      </c>
      <c r="I61" s="126"/>
      <c r="J61" s="127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>
      <c r="A62" s="107">
        <v>59.0</v>
      </c>
      <c r="B62" s="138">
        <v>1019308.0</v>
      </c>
      <c r="C62" s="120" t="str">
        <f>vlookup(B62,'Crew Data'!C:G,5,0)</f>
        <v>Thanyathorn Prueksasilp</v>
      </c>
      <c r="D62" s="121" t="s">
        <v>478</v>
      </c>
      <c r="E62" s="107">
        <v>2.0</v>
      </c>
      <c r="F62" s="122">
        <f t="shared" si="1"/>
        <v>800</v>
      </c>
      <c r="G62" s="22">
        <f t="shared" si="3"/>
        <v>1</v>
      </c>
      <c r="H62" s="123" t="s">
        <v>20</v>
      </c>
      <c r="I62" s="126"/>
      <c r="J62" s="127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>
      <c r="A63" s="107">
        <v>60.0</v>
      </c>
      <c r="B63" s="138">
        <v>1015406.0</v>
      </c>
      <c r="C63" s="120" t="str">
        <f>vlookup(B63,'Crew Data'!C:G,5,0)</f>
        <v>Perati Ardwong</v>
      </c>
      <c r="D63" s="121" t="s">
        <v>490</v>
      </c>
      <c r="E63" s="107">
        <v>2.0</v>
      </c>
      <c r="F63" s="122">
        <f t="shared" si="1"/>
        <v>800</v>
      </c>
      <c r="G63" s="22">
        <f t="shared" si="3"/>
        <v>1</v>
      </c>
      <c r="H63" s="123" t="s">
        <v>20</v>
      </c>
      <c r="I63" s="126"/>
      <c r="J63" s="127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>
      <c r="A64" s="107">
        <v>61.0</v>
      </c>
      <c r="B64" s="138">
        <v>1019394.0</v>
      </c>
      <c r="C64" s="120" t="str">
        <f>vlookup(B64,'Crew Data'!C:G,5,0)</f>
        <v>#N/A</v>
      </c>
      <c r="D64" s="121" t="s">
        <v>491</v>
      </c>
      <c r="E64" s="107">
        <v>4.0</v>
      </c>
      <c r="F64" s="122">
        <f t="shared" si="1"/>
        <v>1600</v>
      </c>
      <c r="G64" s="22">
        <f t="shared" si="3"/>
        <v>1</v>
      </c>
      <c r="H64" s="123" t="s">
        <v>20</v>
      </c>
      <c r="I64" s="126"/>
      <c r="J64" s="127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>
      <c r="A65" s="107">
        <v>62.0</v>
      </c>
      <c r="B65" s="138">
        <v>1011800.0</v>
      </c>
      <c r="C65" s="120" t="str">
        <f>vlookup(B65,'Crew Data'!C:G,5,0)</f>
        <v>Arisa Witthawaskul</v>
      </c>
      <c r="D65" s="121" t="s">
        <v>492</v>
      </c>
      <c r="E65" s="107">
        <v>2.0</v>
      </c>
      <c r="F65" s="122">
        <f t="shared" si="1"/>
        <v>800</v>
      </c>
      <c r="G65" s="22">
        <f t="shared" si="3"/>
        <v>1</v>
      </c>
      <c r="H65" s="123" t="s">
        <v>20</v>
      </c>
      <c r="I65" s="126"/>
      <c r="J65" s="127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>
      <c r="A66" s="107">
        <v>63.0</v>
      </c>
      <c r="B66" s="138">
        <v>1007266.0</v>
      </c>
      <c r="C66" s="120" t="str">
        <f>vlookup(B66,'Crew Data'!C:G,5,0)</f>
        <v>Nattayanee Junnont</v>
      </c>
      <c r="D66" s="121" t="s">
        <v>469</v>
      </c>
      <c r="E66" s="107">
        <v>2.0</v>
      </c>
      <c r="F66" s="122">
        <f t="shared" si="1"/>
        <v>800</v>
      </c>
      <c r="G66" s="22">
        <f t="shared" si="3"/>
        <v>1</v>
      </c>
      <c r="H66" s="123" t="s">
        <v>20</v>
      </c>
      <c r="I66" s="126"/>
      <c r="J66" s="127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>
      <c r="A67" s="107">
        <v>64.0</v>
      </c>
      <c r="B67" s="138">
        <v>1006911.0</v>
      </c>
      <c r="C67" s="120" t="str">
        <f>vlookup(B67,'Crew Data'!C:G,5,0)</f>
        <v>Yuttana Chintanapatumporn</v>
      </c>
      <c r="D67" s="121" t="s">
        <v>493</v>
      </c>
      <c r="E67" s="107">
        <v>2.0</v>
      </c>
      <c r="F67" s="122">
        <f t="shared" si="1"/>
        <v>800</v>
      </c>
      <c r="G67" s="22">
        <f t="shared" si="3"/>
        <v>1</v>
      </c>
      <c r="H67" s="123" t="s">
        <v>20</v>
      </c>
      <c r="I67" s="126"/>
      <c r="J67" s="127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>
      <c r="A68" s="107">
        <v>65.0</v>
      </c>
      <c r="B68" s="138">
        <v>1003385.0</v>
      </c>
      <c r="C68" s="120" t="str">
        <f>vlookup(B68,'Crew Data'!C:G,5,0)</f>
        <v>Jaruma Jantarapap</v>
      </c>
      <c r="D68" s="121" t="s">
        <v>458</v>
      </c>
      <c r="E68" s="107">
        <v>2.0</v>
      </c>
      <c r="F68" s="122">
        <f t="shared" si="1"/>
        <v>800</v>
      </c>
      <c r="G68" s="22">
        <f t="shared" si="3"/>
        <v>1</v>
      </c>
      <c r="H68" s="123" t="s">
        <v>20</v>
      </c>
      <c r="I68" s="126"/>
      <c r="J68" s="127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>
      <c r="A69" s="107">
        <v>66.0</v>
      </c>
      <c r="B69" s="138">
        <v>1004016.0</v>
      </c>
      <c r="C69" s="120" t="str">
        <f>vlookup(B69,'Crew Data'!C:G,5,0)</f>
        <v>Khamkhun Thapnoo</v>
      </c>
      <c r="D69" s="125">
        <v>45839.0</v>
      </c>
      <c r="E69" s="107">
        <v>1.0</v>
      </c>
      <c r="F69" s="122">
        <f t="shared" si="1"/>
        <v>400</v>
      </c>
      <c r="G69" s="22">
        <f t="shared" si="3"/>
        <v>1</v>
      </c>
      <c r="H69" s="123" t="s">
        <v>20</v>
      </c>
      <c r="I69" s="126"/>
      <c r="J69" s="127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>
      <c r="A70" s="107">
        <v>67.0</v>
      </c>
      <c r="B70" s="138">
        <v>1025310.0</v>
      </c>
      <c r="C70" s="120" t="str">
        <f>vlookup(B70,'Crew Data'!C:G,5,0)</f>
        <v>Nitinan Sakunchokjaroen</v>
      </c>
      <c r="D70" s="121" t="s">
        <v>494</v>
      </c>
      <c r="E70" s="107">
        <v>3.0</v>
      </c>
      <c r="F70" s="122">
        <f t="shared" si="1"/>
        <v>1200</v>
      </c>
      <c r="G70" s="22">
        <f t="shared" si="3"/>
        <v>1</v>
      </c>
      <c r="H70" s="123" t="s">
        <v>20</v>
      </c>
      <c r="I70" s="126"/>
      <c r="J70" s="127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>
      <c r="A71" s="107">
        <v>68.0</v>
      </c>
      <c r="B71" s="138">
        <v>1012906.0</v>
      </c>
      <c r="C71" s="120" t="str">
        <f>vlookup(B71,'Crew Data'!C:G,5,0)</f>
        <v>Thanametth Wachiradatsathien</v>
      </c>
      <c r="D71" s="121" t="s">
        <v>492</v>
      </c>
      <c r="E71" s="107">
        <v>2.0</v>
      </c>
      <c r="F71" s="122">
        <f t="shared" si="1"/>
        <v>800</v>
      </c>
      <c r="G71" s="22">
        <f t="shared" si="3"/>
        <v>1</v>
      </c>
      <c r="H71" s="123" t="s">
        <v>20</v>
      </c>
      <c r="I71" s="126"/>
      <c r="J71" s="127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>
      <c r="A72" s="107">
        <v>69.0</v>
      </c>
      <c r="B72" s="138">
        <v>1012360.0</v>
      </c>
      <c r="C72" s="120" t="str">
        <f>vlookup(B72,'Crew Data'!C:G,5,0)</f>
        <v>Mintra Tunta-A-Riya</v>
      </c>
      <c r="D72" s="121" t="s">
        <v>480</v>
      </c>
      <c r="E72" s="107">
        <v>2.0</v>
      </c>
      <c r="F72" s="122">
        <f t="shared" si="1"/>
        <v>800</v>
      </c>
      <c r="G72" s="22">
        <f t="shared" si="3"/>
        <v>1</v>
      </c>
      <c r="H72" s="123" t="s">
        <v>20</v>
      </c>
      <c r="I72" s="126"/>
      <c r="J72" s="127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>
      <c r="A73" s="107">
        <v>70.0</v>
      </c>
      <c r="B73" s="138">
        <v>1014262.0</v>
      </c>
      <c r="C73" s="120" t="str">
        <f>vlookup(B73,'Crew Data'!C:G,5,0)</f>
        <v>Wongsakorn Chumniwatesa</v>
      </c>
      <c r="D73" s="121" t="s">
        <v>489</v>
      </c>
      <c r="E73" s="107">
        <v>2.0</v>
      </c>
      <c r="F73" s="122">
        <f t="shared" si="1"/>
        <v>800</v>
      </c>
      <c r="G73" s="22">
        <f t="shared" si="3"/>
        <v>1</v>
      </c>
      <c r="H73" s="123" t="s">
        <v>20</v>
      </c>
      <c r="I73" s="126"/>
      <c r="J73" s="127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>
      <c r="A74" s="107">
        <v>71.0</v>
      </c>
      <c r="B74" s="138">
        <v>1021945.0</v>
      </c>
      <c r="C74" s="120" t="str">
        <f>vlookup(B74,'Crew Data'!C:G,5,0)</f>
        <v>Pornpimon Sakulpan</v>
      </c>
      <c r="D74" s="121" t="s">
        <v>489</v>
      </c>
      <c r="E74" s="107">
        <v>2.0</v>
      </c>
      <c r="F74" s="122">
        <f t="shared" si="1"/>
        <v>800</v>
      </c>
      <c r="G74" s="22">
        <f t="shared" si="3"/>
        <v>1</v>
      </c>
      <c r="H74" s="123" t="s">
        <v>20</v>
      </c>
      <c r="I74" s="126"/>
      <c r="J74" s="130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>
      <c r="A75" s="107">
        <v>72.0</v>
      </c>
      <c r="B75" s="138">
        <v>1007181.0</v>
      </c>
      <c r="C75" s="120" t="str">
        <f>vlookup(B75,'Crew Data'!C:G,5,0)</f>
        <v>Warisara Sutta</v>
      </c>
      <c r="D75" s="121" t="s">
        <v>463</v>
      </c>
      <c r="E75" s="107">
        <v>2.0</v>
      </c>
      <c r="F75" s="122">
        <f t="shared" si="1"/>
        <v>800</v>
      </c>
      <c r="G75" s="22">
        <f t="shared" si="3"/>
        <v>1</v>
      </c>
      <c r="H75" s="123" t="s">
        <v>20</v>
      </c>
      <c r="I75" s="126"/>
      <c r="J75" s="130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>
      <c r="A76" s="107">
        <v>73.0</v>
      </c>
      <c r="B76" s="138">
        <v>1010904.0</v>
      </c>
      <c r="C76" s="120" t="str">
        <f>vlookup(B76,'Crew Data'!C:G,5,0)</f>
        <v>Phadoongkiat Phanwilai</v>
      </c>
      <c r="D76" s="121" t="s">
        <v>487</v>
      </c>
      <c r="E76" s="107">
        <v>2.0</v>
      </c>
      <c r="F76" s="122">
        <f t="shared" si="1"/>
        <v>800</v>
      </c>
      <c r="G76" s="22">
        <f t="shared" si="3"/>
        <v>1</v>
      </c>
      <c r="H76" s="123" t="s">
        <v>20</v>
      </c>
      <c r="I76" s="126"/>
      <c r="J76" s="130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>
      <c r="A77" s="107">
        <v>74.0</v>
      </c>
      <c r="B77" s="138">
        <v>1038742.0</v>
      </c>
      <c r="C77" s="120" t="str">
        <f>vlookup(B77,'Crew Data'!C:G,5,0)</f>
        <v>Sudarat Saktawin</v>
      </c>
      <c r="D77" s="121" t="s">
        <v>487</v>
      </c>
      <c r="E77" s="107">
        <v>2.0</v>
      </c>
      <c r="F77" s="122">
        <f t="shared" si="1"/>
        <v>800</v>
      </c>
      <c r="G77" s="22">
        <f t="shared" si="3"/>
        <v>1</v>
      </c>
      <c r="H77" s="123" t="s">
        <v>20</v>
      </c>
      <c r="I77" s="126"/>
      <c r="J77" s="130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>
      <c r="A78" s="107">
        <v>75.0</v>
      </c>
      <c r="B78" s="138">
        <v>1044223.0</v>
      </c>
      <c r="C78" s="120" t="str">
        <f>vlookup(B78,'Crew Data'!C:G,5,0)</f>
        <v>Sujipa Prasitchairit</v>
      </c>
      <c r="D78" s="121" t="s">
        <v>495</v>
      </c>
      <c r="E78" s="107">
        <v>4.0</v>
      </c>
      <c r="F78" s="122">
        <f t="shared" si="1"/>
        <v>1600</v>
      </c>
      <c r="G78" s="22">
        <f t="shared" si="3"/>
        <v>1</v>
      </c>
      <c r="H78" s="123" t="s">
        <v>20</v>
      </c>
      <c r="I78" s="126"/>
      <c r="J78" s="130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>
      <c r="A79" s="107">
        <v>76.0</v>
      </c>
      <c r="B79" s="138">
        <v>1006899.0</v>
      </c>
      <c r="C79" s="120" t="str">
        <f>vlookup(B79,'Crew Data'!C:G,5,0)</f>
        <v>Phakchira Charoensuk</v>
      </c>
      <c r="D79" s="121" t="s">
        <v>485</v>
      </c>
      <c r="E79" s="107">
        <v>2.0</v>
      </c>
      <c r="F79" s="122">
        <f t="shared" si="1"/>
        <v>800</v>
      </c>
      <c r="G79" s="22">
        <f t="shared" si="3"/>
        <v>1</v>
      </c>
      <c r="H79" s="123" t="s">
        <v>20</v>
      </c>
      <c r="I79" s="126"/>
      <c r="J79" s="130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>
      <c r="A80" s="107"/>
      <c r="B80" s="138"/>
      <c r="C80" s="120"/>
      <c r="D80" s="121"/>
      <c r="E80" s="107"/>
      <c r="F80" s="122"/>
      <c r="G80" s="22"/>
      <c r="H80" s="123"/>
      <c r="I80" s="126"/>
      <c r="J80" s="130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>
      <c r="A81" s="107"/>
      <c r="B81" s="138"/>
      <c r="C81" s="120"/>
      <c r="D81" s="121"/>
      <c r="E81" s="107"/>
      <c r="F81" s="122"/>
      <c r="G81" s="22"/>
      <c r="H81" s="123"/>
      <c r="I81" s="126"/>
      <c r="J81" s="130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>
      <c r="A82" s="107"/>
      <c r="B82" s="138"/>
      <c r="C82" s="120"/>
      <c r="D82" s="121"/>
      <c r="E82" s="107"/>
      <c r="F82" s="122"/>
      <c r="G82" s="22"/>
      <c r="H82" s="123"/>
      <c r="I82" s="126"/>
      <c r="J82" s="130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>
      <c r="A83" s="107"/>
      <c r="B83" s="138"/>
      <c r="C83" s="120"/>
      <c r="D83" s="121"/>
      <c r="E83" s="107"/>
      <c r="F83" s="122"/>
      <c r="G83" s="22"/>
      <c r="H83" s="123"/>
      <c r="I83" s="126"/>
      <c r="J83" s="130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>
      <c r="A84" s="107"/>
      <c r="B84" s="138"/>
      <c r="C84" s="120"/>
      <c r="D84" s="121"/>
      <c r="E84" s="107"/>
      <c r="F84" s="122"/>
      <c r="G84" s="22"/>
      <c r="H84" s="123"/>
      <c r="I84" s="126"/>
      <c r="J84" s="130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>
      <c r="A85" s="107"/>
      <c r="B85" s="138"/>
      <c r="C85" s="120"/>
      <c r="D85" s="121"/>
      <c r="E85" s="107"/>
      <c r="F85" s="122"/>
      <c r="G85" s="22"/>
      <c r="H85" s="123"/>
      <c r="I85" s="126"/>
      <c r="J85" s="130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>
      <c r="A86" s="107"/>
      <c r="B86" s="138"/>
      <c r="C86" s="120"/>
      <c r="D86" s="121"/>
      <c r="E86" s="107"/>
      <c r="F86" s="122"/>
      <c r="G86" s="22"/>
      <c r="H86" s="123"/>
      <c r="I86" s="126"/>
      <c r="J86" s="130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>
      <c r="A87" s="107"/>
      <c r="B87" s="138"/>
      <c r="C87" s="120"/>
      <c r="D87" s="121"/>
      <c r="E87" s="107"/>
      <c r="F87" s="122"/>
      <c r="G87" s="22"/>
      <c r="H87" s="123"/>
      <c r="I87" s="126"/>
      <c r="J87" s="130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>
      <c r="A88" s="107"/>
      <c r="B88" s="138"/>
      <c r="C88" s="120"/>
      <c r="D88" s="121"/>
      <c r="E88" s="107"/>
      <c r="F88" s="122"/>
      <c r="G88" s="22"/>
      <c r="H88" s="123"/>
      <c r="I88" s="126"/>
      <c r="J88" s="130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>
      <c r="A89" s="107"/>
      <c r="B89" s="138"/>
      <c r="C89" s="120"/>
      <c r="D89" s="121"/>
      <c r="E89" s="107"/>
      <c r="F89" s="122"/>
      <c r="G89" s="22"/>
      <c r="H89" s="123"/>
      <c r="I89" s="126"/>
      <c r="J89" s="130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>
      <c r="A90" s="107"/>
      <c r="B90" s="138"/>
      <c r="C90" s="120"/>
      <c r="D90" s="121"/>
      <c r="E90" s="107"/>
      <c r="F90" s="122"/>
      <c r="G90" s="22"/>
      <c r="H90" s="123"/>
      <c r="I90" s="126"/>
      <c r="J90" s="130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>
      <c r="A91" s="107"/>
      <c r="B91" s="138"/>
      <c r="C91" s="120"/>
      <c r="D91" s="121"/>
      <c r="E91" s="107"/>
      <c r="F91" s="122"/>
      <c r="G91" s="22"/>
      <c r="H91" s="123"/>
      <c r="I91" s="126"/>
      <c r="J91" s="130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>
      <c r="A92" s="107"/>
      <c r="B92" s="138"/>
      <c r="C92" s="120"/>
      <c r="D92" s="121"/>
      <c r="E92" s="107"/>
      <c r="F92" s="122"/>
      <c r="G92" s="22"/>
      <c r="H92" s="123"/>
      <c r="I92" s="126"/>
      <c r="J92" s="130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>
      <c r="A93" s="107"/>
      <c r="B93" s="138"/>
      <c r="C93" s="120"/>
      <c r="D93" s="121"/>
      <c r="E93" s="107"/>
      <c r="F93" s="122"/>
      <c r="G93" s="22"/>
      <c r="H93" s="123"/>
      <c r="I93" s="126"/>
      <c r="J93" s="130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>
      <c r="A94" s="107"/>
      <c r="B94" s="138"/>
      <c r="C94" s="120"/>
      <c r="D94" s="121"/>
      <c r="E94" s="107"/>
      <c r="F94" s="122"/>
      <c r="G94" s="22"/>
      <c r="H94" s="123"/>
      <c r="I94" s="126"/>
      <c r="J94" s="130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>
      <c r="A95" s="107"/>
      <c r="B95" s="138"/>
      <c r="C95" s="120"/>
      <c r="D95" s="121"/>
      <c r="E95" s="107"/>
      <c r="F95" s="122"/>
      <c r="G95" s="22"/>
      <c r="H95" s="123"/>
      <c r="I95" s="126"/>
      <c r="J95" s="130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>
      <c r="A96" s="107"/>
      <c r="B96" s="138"/>
      <c r="C96" s="120"/>
      <c r="D96" s="121"/>
      <c r="E96" s="107"/>
      <c r="F96" s="122"/>
      <c r="G96" s="22"/>
      <c r="H96" s="123"/>
      <c r="I96" s="126"/>
      <c r="J96" s="130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>
      <c r="A97" s="107"/>
      <c r="B97" s="138"/>
      <c r="C97" s="120"/>
      <c r="D97" s="121"/>
      <c r="E97" s="107"/>
      <c r="F97" s="122"/>
      <c r="G97" s="22"/>
      <c r="H97" s="123"/>
      <c r="I97" s="126"/>
      <c r="J97" s="130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>
      <c r="A98" s="107"/>
      <c r="B98" s="138"/>
      <c r="C98" s="120"/>
      <c r="D98" s="121"/>
      <c r="E98" s="107"/>
      <c r="F98" s="122"/>
      <c r="G98" s="22"/>
      <c r="H98" s="123"/>
      <c r="I98" s="126"/>
      <c r="J98" s="130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>
      <c r="A99" s="107"/>
      <c r="B99" s="138"/>
      <c r="C99" s="120"/>
      <c r="D99" s="121"/>
      <c r="E99" s="107"/>
      <c r="F99" s="122"/>
      <c r="G99" s="22"/>
      <c r="H99" s="123"/>
      <c r="I99" s="126"/>
      <c r="J99" s="130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>
      <c r="A100" s="107"/>
      <c r="B100" s="138"/>
      <c r="C100" s="120"/>
      <c r="D100" s="121"/>
      <c r="E100" s="107"/>
      <c r="F100" s="122"/>
      <c r="G100" s="22"/>
      <c r="H100" s="123"/>
      <c r="I100" s="126"/>
      <c r="J100" s="130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>
      <c r="A101" s="107"/>
      <c r="B101" s="138"/>
      <c r="C101" s="120"/>
      <c r="D101" s="121"/>
      <c r="E101" s="107"/>
      <c r="F101" s="122"/>
      <c r="G101" s="22"/>
      <c r="H101" s="123"/>
      <c r="I101" s="126"/>
      <c r="J101" s="130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>
      <c r="A102" s="107"/>
      <c r="B102" s="138"/>
      <c r="C102" s="120"/>
      <c r="D102" s="121"/>
      <c r="E102" s="107"/>
      <c r="F102" s="122"/>
      <c r="G102" s="22"/>
      <c r="H102" s="123"/>
      <c r="I102" s="126"/>
      <c r="J102" s="130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>
      <c r="A103" s="107"/>
      <c r="B103" s="138"/>
      <c r="C103" s="120"/>
      <c r="D103" s="121"/>
      <c r="E103" s="107"/>
      <c r="F103" s="122"/>
      <c r="G103" s="22"/>
      <c r="H103" s="123"/>
      <c r="I103" s="126"/>
      <c r="J103" s="130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>
      <c r="A104" s="107"/>
      <c r="B104" s="138"/>
      <c r="C104" s="120"/>
      <c r="D104" s="121"/>
      <c r="E104" s="107"/>
      <c r="F104" s="122"/>
      <c r="G104" s="22"/>
      <c r="H104" s="123"/>
      <c r="I104" s="126"/>
      <c r="J104" s="130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>
      <c r="A105" s="107"/>
      <c r="B105" s="138"/>
      <c r="C105" s="120"/>
      <c r="D105" s="121"/>
      <c r="E105" s="107"/>
      <c r="F105" s="122"/>
      <c r="G105" s="22"/>
      <c r="H105" s="123"/>
      <c r="I105" s="126"/>
      <c r="J105" s="130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>
      <c r="A106" s="107"/>
      <c r="B106" s="138"/>
      <c r="C106" s="120"/>
      <c r="D106" s="121"/>
      <c r="E106" s="107"/>
      <c r="F106" s="122"/>
      <c r="G106" s="22"/>
      <c r="H106" s="123"/>
      <c r="I106" s="126"/>
      <c r="J106" s="130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>
      <c r="A107" s="107"/>
      <c r="B107" s="138"/>
      <c r="C107" s="120"/>
      <c r="D107" s="121"/>
      <c r="E107" s="107"/>
      <c r="F107" s="122"/>
      <c r="G107" s="22"/>
      <c r="H107" s="123"/>
      <c r="I107" s="126"/>
      <c r="J107" s="130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>
      <c r="A108" s="107"/>
      <c r="B108" s="138"/>
      <c r="C108" s="120"/>
      <c r="D108" s="121"/>
      <c r="E108" s="107"/>
      <c r="F108" s="122"/>
      <c r="G108" s="22"/>
      <c r="H108" s="123"/>
      <c r="I108" s="126"/>
      <c r="J108" s="130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>
      <c r="A109" s="107"/>
      <c r="B109" s="138"/>
      <c r="C109" s="120"/>
      <c r="D109" s="121"/>
      <c r="E109" s="107"/>
      <c r="F109" s="122"/>
      <c r="G109" s="22"/>
      <c r="H109" s="123"/>
      <c r="I109" s="126"/>
      <c r="J109" s="130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>
      <c r="A110" s="107"/>
      <c r="B110" s="138"/>
      <c r="C110" s="120"/>
      <c r="D110" s="121"/>
      <c r="E110" s="107"/>
      <c r="F110" s="122"/>
      <c r="G110" s="22"/>
      <c r="H110" s="123"/>
      <c r="I110" s="126"/>
      <c r="J110" s="130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>
      <c r="A111" s="107"/>
      <c r="B111" s="138"/>
      <c r="C111" s="120"/>
      <c r="D111" s="121"/>
      <c r="E111" s="107"/>
      <c r="F111" s="122"/>
      <c r="G111" s="22"/>
      <c r="H111" s="123"/>
      <c r="I111" s="126"/>
      <c r="J111" s="130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>
      <c r="A112" s="107"/>
      <c r="B112" s="138"/>
      <c r="C112" s="120"/>
      <c r="D112" s="121"/>
      <c r="E112" s="107"/>
      <c r="F112" s="122"/>
      <c r="G112" s="22"/>
      <c r="H112" s="123"/>
      <c r="I112" s="126"/>
      <c r="J112" s="130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>
      <c r="A113" s="107"/>
      <c r="B113" s="138"/>
      <c r="C113" s="120"/>
      <c r="D113" s="121"/>
      <c r="E113" s="107"/>
      <c r="F113" s="122"/>
      <c r="G113" s="22"/>
      <c r="H113" s="123"/>
      <c r="I113" s="126"/>
      <c r="J113" s="130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>
      <c r="A114" s="107"/>
      <c r="B114" s="138"/>
      <c r="C114" s="120"/>
      <c r="D114" s="121"/>
      <c r="E114" s="107"/>
      <c r="F114" s="122"/>
      <c r="G114" s="22"/>
      <c r="H114" s="123"/>
      <c r="I114" s="126"/>
      <c r="J114" s="130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>
      <c r="A115" s="107"/>
      <c r="B115" s="138"/>
      <c r="C115" s="120"/>
      <c r="D115" s="121"/>
      <c r="E115" s="107"/>
      <c r="F115" s="122"/>
      <c r="G115" s="22"/>
      <c r="H115" s="123"/>
      <c r="I115" s="126"/>
      <c r="J115" s="130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>
      <c r="A116" s="107"/>
      <c r="B116" s="138"/>
      <c r="C116" s="120"/>
      <c r="D116" s="121"/>
      <c r="E116" s="107"/>
      <c r="F116" s="122"/>
      <c r="G116" s="22"/>
      <c r="H116" s="123"/>
      <c r="I116" s="126"/>
      <c r="J116" s="130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>
      <c r="A117" s="107"/>
      <c r="B117" s="138"/>
      <c r="C117" s="120"/>
      <c r="D117" s="121"/>
      <c r="E117" s="107"/>
      <c r="F117" s="122"/>
      <c r="G117" s="22"/>
      <c r="H117" s="123"/>
      <c r="I117" s="126"/>
      <c r="J117" s="130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>
      <c r="A118" s="107"/>
      <c r="B118" s="138"/>
      <c r="C118" s="120"/>
      <c r="D118" s="121"/>
      <c r="E118" s="107"/>
      <c r="F118" s="122"/>
      <c r="G118" s="22"/>
      <c r="H118" s="123"/>
      <c r="I118" s="126"/>
      <c r="J118" s="130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>
      <c r="A119" s="107"/>
      <c r="B119" s="138"/>
      <c r="C119" s="120"/>
      <c r="D119" s="121"/>
      <c r="E119" s="107"/>
      <c r="F119" s="122"/>
      <c r="G119" s="22"/>
      <c r="H119" s="123"/>
      <c r="I119" s="126"/>
      <c r="J119" s="130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>
      <c r="A120" s="107"/>
      <c r="B120" s="138"/>
      <c r="C120" s="120"/>
      <c r="D120" s="121"/>
      <c r="E120" s="107"/>
      <c r="F120" s="122"/>
      <c r="G120" s="22"/>
      <c r="H120" s="123"/>
      <c r="I120" s="126"/>
      <c r="J120" s="130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>
      <c r="A121" s="107"/>
      <c r="B121" s="138"/>
      <c r="C121" s="120"/>
      <c r="D121" s="121"/>
      <c r="E121" s="107"/>
      <c r="F121" s="122"/>
      <c r="G121" s="22"/>
      <c r="H121" s="123"/>
      <c r="I121" s="126"/>
      <c r="J121" s="130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>
      <c r="A122" s="107"/>
      <c r="B122" s="138"/>
      <c r="C122" s="120"/>
      <c r="D122" s="121"/>
      <c r="E122" s="107"/>
      <c r="F122" s="122"/>
      <c r="G122" s="22"/>
      <c r="H122" s="123"/>
      <c r="I122" s="126"/>
      <c r="J122" s="130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>
      <c r="A123" s="107"/>
      <c r="B123" s="138"/>
      <c r="C123" s="120"/>
      <c r="D123" s="121"/>
      <c r="E123" s="107"/>
      <c r="F123" s="122"/>
      <c r="G123" s="22"/>
      <c r="H123" s="123"/>
      <c r="I123" s="126"/>
      <c r="J123" s="130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>
      <c r="A124" s="107"/>
      <c r="B124" s="138"/>
      <c r="C124" s="120"/>
      <c r="D124" s="121"/>
      <c r="E124" s="107"/>
      <c r="F124" s="122"/>
      <c r="G124" s="22"/>
      <c r="H124" s="123"/>
      <c r="I124" s="126"/>
      <c r="J124" s="130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>
      <c r="A125" s="107"/>
      <c r="B125" s="138"/>
      <c r="C125" s="120"/>
      <c r="D125" s="121"/>
      <c r="E125" s="107"/>
      <c r="F125" s="122"/>
      <c r="G125" s="22"/>
      <c r="H125" s="123"/>
      <c r="I125" s="126"/>
      <c r="J125" s="130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>
      <c r="A126" s="107"/>
      <c r="B126" s="138"/>
      <c r="C126" s="120"/>
      <c r="D126" s="121"/>
      <c r="E126" s="107"/>
      <c r="F126" s="122"/>
      <c r="G126" s="22"/>
      <c r="H126" s="123"/>
      <c r="I126" s="126"/>
      <c r="J126" s="130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>
      <c r="A127" s="107"/>
      <c r="B127" s="138"/>
      <c r="C127" s="120"/>
      <c r="D127" s="121"/>
      <c r="E127" s="107"/>
      <c r="F127" s="122"/>
      <c r="G127" s="22"/>
      <c r="H127" s="123"/>
      <c r="I127" s="126"/>
      <c r="J127" s="130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>
      <c r="A128" s="107"/>
      <c r="B128" s="138"/>
      <c r="C128" s="120"/>
      <c r="D128" s="121"/>
      <c r="E128" s="107"/>
      <c r="F128" s="122"/>
      <c r="G128" s="22"/>
      <c r="H128" s="123"/>
      <c r="I128" s="126"/>
      <c r="J128" s="130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>
      <c r="A129" s="107"/>
      <c r="B129" s="138"/>
      <c r="C129" s="120"/>
      <c r="D129" s="121"/>
      <c r="E129" s="107"/>
      <c r="F129" s="122"/>
      <c r="G129" s="22"/>
      <c r="H129" s="123"/>
      <c r="I129" s="126"/>
      <c r="J129" s="130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>
      <c r="A130" s="107"/>
      <c r="B130" s="138"/>
      <c r="C130" s="120"/>
      <c r="D130" s="121"/>
      <c r="E130" s="107"/>
      <c r="F130" s="122"/>
      <c r="G130" s="22"/>
      <c r="H130" s="123"/>
      <c r="I130" s="126"/>
      <c r="J130" s="130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>
      <c r="A131" s="107"/>
      <c r="B131" s="138"/>
      <c r="C131" s="120"/>
      <c r="D131" s="121"/>
      <c r="E131" s="107"/>
      <c r="F131" s="122"/>
      <c r="G131" s="22"/>
      <c r="H131" s="123"/>
      <c r="I131" s="126"/>
      <c r="J131" s="130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>
      <c r="A132" s="107"/>
      <c r="B132" s="138"/>
      <c r="C132" s="120"/>
      <c r="D132" s="121"/>
      <c r="E132" s="107"/>
      <c r="F132" s="122"/>
      <c r="G132" s="22"/>
      <c r="H132" s="123"/>
      <c r="I132" s="126"/>
      <c r="J132" s="130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>
      <c r="A133" s="107"/>
      <c r="B133" s="138"/>
      <c r="C133" s="120"/>
      <c r="D133" s="121"/>
      <c r="E133" s="107"/>
      <c r="F133" s="122"/>
      <c r="G133" s="22"/>
      <c r="H133" s="123"/>
      <c r="I133" s="126"/>
      <c r="J133" s="130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>
      <c r="A134" s="107"/>
      <c r="B134" s="138"/>
      <c r="C134" s="120"/>
      <c r="D134" s="121"/>
      <c r="E134" s="107"/>
      <c r="F134" s="122"/>
      <c r="G134" s="22"/>
      <c r="H134" s="123"/>
      <c r="I134" s="126"/>
      <c r="J134" s="130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>
      <c r="A135" s="107"/>
      <c r="B135" s="138"/>
      <c r="C135" s="120"/>
      <c r="D135" s="121"/>
      <c r="E135" s="107"/>
      <c r="F135" s="122"/>
      <c r="G135" s="22"/>
      <c r="H135" s="123"/>
      <c r="I135" s="126"/>
      <c r="J135" s="130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>
      <c r="A136" s="107"/>
      <c r="B136" s="138"/>
      <c r="C136" s="120"/>
      <c r="D136" s="121"/>
      <c r="E136" s="107"/>
      <c r="F136" s="122"/>
      <c r="G136" s="22"/>
      <c r="H136" s="123"/>
      <c r="I136" s="126"/>
      <c r="J136" s="130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>
      <c r="A137" s="107"/>
      <c r="B137" s="138"/>
      <c r="C137" s="120"/>
      <c r="D137" s="121"/>
      <c r="E137" s="107"/>
      <c r="F137" s="122"/>
      <c r="G137" s="22"/>
      <c r="H137" s="123"/>
      <c r="I137" s="126"/>
      <c r="J137" s="130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>
      <c r="A138" s="107"/>
      <c r="B138" s="138"/>
      <c r="C138" s="120"/>
      <c r="D138" s="121"/>
      <c r="E138" s="107"/>
      <c r="F138" s="122"/>
      <c r="G138" s="22"/>
      <c r="H138" s="123"/>
      <c r="I138" s="126"/>
      <c r="J138" s="130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>
      <c r="A139" s="107"/>
      <c r="B139" s="138"/>
      <c r="C139" s="120"/>
      <c r="D139" s="121"/>
      <c r="E139" s="107"/>
      <c r="F139" s="122"/>
      <c r="G139" s="22"/>
      <c r="H139" s="123"/>
      <c r="I139" s="126"/>
      <c r="J139" s="130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>
      <c r="A140" s="107"/>
      <c r="B140" s="138"/>
      <c r="C140" s="120"/>
      <c r="D140" s="121"/>
      <c r="E140" s="107"/>
      <c r="F140" s="122"/>
      <c r="G140" s="22"/>
      <c r="H140" s="123"/>
      <c r="I140" s="126"/>
      <c r="J140" s="130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>
      <c r="A141" s="107"/>
      <c r="B141" s="138"/>
      <c r="C141" s="120"/>
      <c r="D141" s="121"/>
      <c r="E141" s="107"/>
      <c r="F141" s="122"/>
      <c r="G141" s="22"/>
      <c r="H141" s="123"/>
      <c r="I141" s="126"/>
      <c r="J141" s="130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>
      <c r="A142" s="107"/>
      <c r="B142" s="138"/>
      <c r="C142" s="120"/>
      <c r="D142" s="121"/>
      <c r="E142" s="107"/>
      <c r="F142" s="122"/>
      <c r="G142" s="22"/>
      <c r="H142" s="123"/>
      <c r="I142" s="126"/>
      <c r="J142" s="130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>
      <c r="A143" s="107"/>
      <c r="B143" s="138"/>
      <c r="C143" s="120"/>
      <c r="D143" s="121"/>
      <c r="E143" s="107"/>
      <c r="F143" s="122"/>
      <c r="G143" s="22"/>
      <c r="H143" s="123"/>
      <c r="I143" s="126"/>
      <c r="J143" s="130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>
      <c r="A144" s="107"/>
      <c r="B144" s="138"/>
      <c r="C144" s="120"/>
      <c r="D144" s="121"/>
      <c r="E144" s="107"/>
      <c r="F144" s="122"/>
      <c r="G144" s="22"/>
      <c r="H144" s="123"/>
      <c r="I144" s="126"/>
      <c r="J144" s="130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>
      <c r="A145" s="107"/>
      <c r="B145" s="138"/>
      <c r="C145" s="120"/>
      <c r="D145" s="121"/>
      <c r="E145" s="107"/>
      <c r="F145" s="122"/>
      <c r="G145" s="22"/>
      <c r="H145" s="123"/>
      <c r="I145" s="126"/>
      <c r="J145" s="130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>
      <c r="A146" s="107"/>
      <c r="B146" s="138"/>
      <c r="C146" s="120"/>
      <c r="D146" s="121"/>
      <c r="E146" s="107"/>
      <c r="F146" s="122"/>
      <c r="G146" s="22"/>
      <c r="H146" s="123"/>
      <c r="I146" s="126"/>
      <c r="J146" s="130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>
      <c r="A147" s="107"/>
      <c r="B147" s="138"/>
      <c r="C147" s="120"/>
      <c r="D147" s="121"/>
      <c r="E147" s="107"/>
      <c r="F147" s="122"/>
      <c r="G147" s="22"/>
      <c r="H147" s="123"/>
      <c r="I147" s="126"/>
      <c r="J147" s="130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>
      <c r="A148" s="107"/>
      <c r="B148" s="138"/>
      <c r="C148" s="120"/>
      <c r="D148" s="121"/>
      <c r="E148" s="107"/>
      <c r="F148" s="122"/>
      <c r="G148" s="22"/>
      <c r="H148" s="123"/>
      <c r="I148" s="126"/>
      <c r="J148" s="130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>
      <c r="A149" s="107"/>
      <c r="B149" s="138"/>
      <c r="C149" s="120"/>
      <c r="D149" s="121"/>
      <c r="E149" s="107"/>
      <c r="F149" s="122"/>
      <c r="G149" s="22"/>
      <c r="H149" s="123"/>
      <c r="I149" s="126"/>
      <c r="J149" s="130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>
      <c r="A150" s="107"/>
      <c r="B150" s="138"/>
      <c r="C150" s="120"/>
      <c r="D150" s="121"/>
      <c r="E150" s="107"/>
      <c r="F150" s="122"/>
      <c r="G150" s="22"/>
      <c r="H150" s="123"/>
      <c r="I150" s="126"/>
      <c r="J150" s="130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>
      <c r="A151" s="107"/>
      <c r="B151" s="138"/>
      <c r="C151" s="120"/>
      <c r="D151" s="121"/>
      <c r="E151" s="107"/>
      <c r="F151" s="122"/>
      <c r="G151" s="22"/>
      <c r="H151" s="123"/>
      <c r="I151" s="126"/>
      <c r="J151" s="130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>
      <c r="A152" s="107"/>
      <c r="B152" s="138"/>
      <c r="C152" s="120"/>
      <c r="D152" s="121"/>
      <c r="E152" s="107"/>
      <c r="F152" s="122"/>
      <c r="G152" s="22"/>
      <c r="H152" s="123"/>
      <c r="I152" s="126"/>
      <c r="J152" s="130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>
      <c r="A153" s="107"/>
      <c r="B153" s="138"/>
      <c r="C153" s="120"/>
      <c r="D153" s="121"/>
      <c r="E153" s="107"/>
      <c r="F153" s="122"/>
      <c r="G153" s="22"/>
      <c r="H153" s="123"/>
      <c r="I153" s="126"/>
      <c r="J153" s="130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>
      <c r="A154" s="107"/>
      <c r="B154" s="138"/>
      <c r="C154" s="120"/>
      <c r="D154" s="121"/>
      <c r="E154" s="107"/>
      <c r="F154" s="122"/>
      <c r="G154" s="22"/>
      <c r="H154" s="123"/>
      <c r="I154" s="126"/>
      <c r="J154" s="130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>
      <c r="A155" s="107"/>
      <c r="B155" s="138"/>
      <c r="C155" s="120"/>
      <c r="D155" s="121"/>
      <c r="E155" s="107"/>
      <c r="F155" s="122"/>
      <c r="G155" s="22"/>
      <c r="H155" s="123"/>
      <c r="I155" s="126"/>
      <c r="J155" s="130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>
      <c r="A156" s="107"/>
      <c r="B156" s="138"/>
      <c r="C156" s="120"/>
      <c r="D156" s="121"/>
      <c r="E156" s="107"/>
      <c r="F156" s="122"/>
      <c r="G156" s="22"/>
      <c r="H156" s="123"/>
      <c r="I156" s="126"/>
      <c r="J156" s="130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>
      <c r="A157" s="107"/>
      <c r="B157" s="138"/>
      <c r="C157" s="120"/>
      <c r="D157" s="121"/>
      <c r="E157" s="107"/>
      <c r="F157" s="122"/>
      <c r="G157" s="22"/>
      <c r="H157" s="123"/>
      <c r="I157" s="126"/>
      <c r="J157" s="130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>
      <c r="A158" s="107"/>
      <c r="B158" s="138"/>
      <c r="C158" s="120"/>
      <c r="D158" s="121"/>
      <c r="E158" s="107"/>
      <c r="F158" s="122"/>
      <c r="G158" s="22"/>
      <c r="H158" s="123"/>
      <c r="I158" s="126"/>
      <c r="J158" s="130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>
      <c r="A159" s="107"/>
      <c r="B159" s="138"/>
      <c r="C159" s="120"/>
      <c r="D159" s="121"/>
      <c r="E159" s="107"/>
      <c r="F159" s="122"/>
      <c r="G159" s="22"/>
      <c r="H159" s="123"/>
      <c r="I159" s="126"/>
      <c r="J159" s="130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>
      <c r="A160" s="107"/>
      <c r="B160" s="138"/>
      <c r="C160" s="120"/>
      <c r="D160" s="121"/>
      <c r="E160" s="107"/>
      <c r="F160" s="122"/>
      <c r="G160" s="22"/>
      <c r="H160" s="123"/>
      <c r="I160" s="126"/>
      <c r="J160" s="130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>
      <c r="A161" s="107"/>
      <c r="B161" s="138"/>
      <c r="C161" s="120"/>
      <c r="D161" s="121"/>
      <c r="E161" s="107"/>
      <c r="F161" s="122"/>
      <c r="G161" s="22"/>
      <c r="H161" s="123"/>
      <c r="I161" s="126"/>
      <c r="J161" s="130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>
      <c r="A162" s="107"/>
      <c r="B162" s="138"/>
      <c r="C162" s="120"/>
      <c r="D162" s="121"/>
      <c r="E162" s="107"/>
      <c r="F162" s="122"/>
      <c r="G162" s="22"/>
      <c r="H162" s="123"/>
      <c r="I162" s="126"/>
      <c r="J162" s="130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>
      <c r="A163" s="107"/>
      <c r="B163" s="138"/>
      <c r="C163" s="120"/>
      <c r="D163" s="121"/>
      <c r="E163" s="107"/>
      <c r="F163" s="122"/>
      <c r="G163" s="22"/>
      <c r="H163" s="123"/>
      <c r="I163" s="126"/>
      <c r="J163" s="130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>
      <c r="A164" s="107"/>
      <c r="B164" s="138"/>
      <c r="C164" s="120"/>
      <c r="D164" s="121"/>
      <c r="E164" s="107"/>
      <c r="F164" s="122"/>
      <c r="G164" s="22"/>
      <c r="H164" s="123"/>
      <c r="I164" s="126"/>
      <c r="J164" s="130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>
      <c r="A165" s="107"/>
      <c r="B165" s="138"/>
      <c r="C165" s="120"/>
      <c r="D165" s="121"/>
      <c r="E165" s="107"/>
      <c r="F165" s="122"/>
      <c r="G165" s="22"/>
      <c r="H165" s="123"/>
      <c r="I165" s="126"/>
      <c r="J165" s="130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>
      <c r="A166" s="107"/>
      <c r="B166" s="138"/>
      <c r="C166" s="120"/>
      <c r="D166" s="121"/>
      <c r="E166" s="107"/>
      <c r="F166" s="122"/>
      <c r="G166" s="22"/>
      <c r="H166" s="123"/>
      <c r="I166" s="126"/>
      <c r="J166" s="130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>
      <c r="A167" s="107"/>
      <c r="B167" s="138"/>
      <c r="C167" s="120"/>
      <c r="D167" s="121"/>
      <c r="E167" s="107"/>
      <c r="F167" s="122"/>
      <c r="G167" s="22"/>
      <c r="H167" s="123"/>
      <c r="I167" s="126"/>
      <c r="J167" s="130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>
      <c r="A168" s="107"/>
      <c r="B168" s="138"/>
      <c r="C168" s="120"/>
      <c r="D168" s="121"/>
      <c r="E168" s="107"/>
      <c r="F168" s="122"/>
      <c r="G168" s="22"/>
      <c r="H168" s="123"/>
      <c r="I168" s="126"/>
      <c r="J168" s="130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>
      <c r="A169" s="107"/>
      <c r="B169" s="138"/>
      <c r="C169" s="120"/>
      <c r="D169" s="121"/>
      <c r="E169" s="107"/>
      <c r="F169" s="122"/>
      <c r="G169" s="22"/>
      <c r="H169" s="123"/>
      <c r="I169" s="126"/>
      <c r="J169" s="130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>
      <c r="A170" s="107"/>
      <c r="B170" s="138"/>
      <c r="C170" s="120"/>
      <c r="D170" s="121"/>
      <c r="E170" s="107"/>
      <c r="F170" s="122"/>
      <c r="G170" s="22"/>
      <c r="H170" s="123"/>
      <c r="I170" s="126"/>
      <c r="J170" s="130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>
      <c r="A171" s="107"/>
      <c r="B171" s="138"/>
      <c r="C171" s="120"/>
      <c r="D171" s="121"/>
      <c r="E171" s="107"/>
      <c r="F171" s="122"/>
      <c r="G171" s="22"/>
      <c r="H171" s="123"/>
      <c r="I171" s="126"/>
      <c r="J171" s="130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>
      <c r="A172" s="107"/>
      <c r="B172" s="138"/>
      <c r="C172" s="120"/>
      <c r="D172" s="121"/>
      <c r="E172" s="107"/>
      <c r="F172" s="122"/>
      <c r="G172" s="22"/>
      <c r="H172" s="123"/>
      <c r="I172" s="126"/>
      <c r="J172" s="130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>
      <c r="A173" s="107"/>
      <c r="B173" s="138"/>
      <c r="C173" s="120"/>
      <c r="D173" s="121"/>
      <c r="E173" s="107"/>
      <c r="F173" s="122"/>
      <c r="G173" s="22"/>
      <c r="H173" s="123"/>
      <c r="I173" s="126"/>
      <c r="J173" s="130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>
      <c r="A174" s="107"/>
      <c r="B174" s="138"/>
      <c r="C174" s="120"/>
      <c r="D174" s="121"/>
      <c r="E174" s="107"/>
      <c r="F174" s="122"/>
      <c r="G174" s="22"/>
      <c r="H174" s="123"/>
      <c r="I174" s="126"/>
      <c r="J174" s="130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>
      <c r="A175" s="107"/>
      <c r="B175" s="138"/>
      <c r="C175" s="120"/>
      <c r="D175" s="121"/>
      <c r="E175" s="107"/>
      <c r="F175" s="122"/>
      <c r="G175" s="22"/>
      <c r="H175" s="123"/>
      <c r="I175" s="126"/>
      <c r="J175" s="130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>
      <c r="A176" s="107"/>
      <c r="B176" s="138"/>
      <c r="C176" s="120"/>
      <c r="D176" s="121"/>
      <c r="E176" s="107"/>
      <c r="F176" s="122"/>
      <c r="G176" s="22"/>
      <c r="H176" s="123"/>
      <c r="I176" s="126"/>
      <c r="J176" s="130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>
      <c r="A177" s="107"/>
      <c r="B177" s="138"/>
      <c r="C177" s="120"/>
      <c r="D177" s="121"/>
      <c r="E177" s="107"/>
      <c r="F177" s="122"/>
      <c r="G177" s="22"/>
      <c r="H177" s="123"/>
      <c r="I177" s="126"/>
      <c r="J177" s="130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>
      <c r="A178" s="107"/>
      <c r="B178" s="138"/>
      <c r="C178" s="120"/>
      <c r="D178" s="121"/>
      <c r="E178" s="107"/>
      <c r="F178" s="122"/>
      <c r="G178" s="22"/>
      <c r="H178" s="123"/>
      <c r="I178" s="126"/>
      <c r="J178" s="130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>
      <c r="A179" s="107"/>
      <c r="B179" s="138"/>
      <c r="C179" s="120"/>
      <c r="D179" s="121"/>
      <c r="E179" s="107"/>
      <c r="F179" s="122"/>
      <c r="G179" s="22"/>
      <c r="H179" s="123"/>
      <c r="I179" s="126"/>
      <c r="J179" s="130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>
      <c r="A180" s="107"/>
      <c r="B180" s="138"/>
      <c r="C180" s="120"/>
      <c r="D180" s="121"/>
      <c r="E180" s="107"/>
      <c r="F180" s="122"/>
      <c r="G180" s="22"/>
      <c r="H180" s="123"/>
      <c r="I180" s="126"/>
      <c r="J180" s="130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>
      <c r="A181" s="107"/>
      <c r="B181" s="138"/>
      <c r="C181" s="120"/>
      <c r="D181" s="121"/>
      <c r="E181" s="107"/>
      <c r="F181" s="122"/>
      <c r="G181" s="22"/>
      <c r="H181" s="123"/>
      <c r="I181" s="126"/>
      <c r="J181" s="130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>
      <c r="A182" s="107"/>
      <c r="B182" s="138"/>
      <c r="C182" s="120"/>
      <c r="D182" s="121"/>
      <c r="E182" s="107"/>
      <c r="F182" s="122"/>
      <c r="G182" s="22"/>
      <c r="H182" s="123"/>
      <c r="I182" s="126"/>
      <c r="J182" s="130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>
      <c r="A183" s="107"/>
      <c r="B183" s="138"/>
      <c r="C183" s="120"/>
      <c r="D183" s="121"/>
      <c r="E183" s="107"/>
      <c r="F183" s="122"/>
      <c r="G183" s="22"/>
      <c r="H183" s="123"/>
      <c r="I183" s="126"/>
      <c r="J183" s="130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>
      <c r="A184" s="107"/>
      <c r="B184" s="138"/>
      <c r="C184" s="120"/>
      <c r="D184" s="121"/>
      <c r="E184" s="107"/>
      <c r="F184" s="122"/>
      <c r="G184" s="22"/>
      <c r="H184" s="123"/>
      <c r="I184" s="126"/>
      <c r="J184" s="130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>
      <c r="A185" s="107"/>
      <c r="B185" s="138"/>
      <c r="C185" s="120"/>
      <c r="D185" s="121"/>
      <c r="E185" s="107"/>
      <c r="F185" s="122"/>
      <c r="G185" s="22"/>
      <c r="H185" s="123"/>
      <c r="I185" s="126"/>
      <c r="J185" s="130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>
      <c r="A186" s="107"/>
      <c r="B186" s="138"/>
      <c r="C186" s="120"/>
      <c r="D186" s="121"/>
      <c r="E186" s="107"/>
      <c r="F186" s="122"/>
      <c r="G186" s="22"/>
      <c r="H186" s="123"/>
      <c r="I186" s="126"/>
      <c r="J186" s="130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>
      <c r="A187" s="107"/>
      <c r="B187" s="138"/>
      <c r="C187" s="120"/>
      <c r="D187" s="121"/>
      <c r="E187" s="107"/>
      <c r="F187" s="122"/>
      <c r="G187" s="22"/>
      <c r="H187" s="123"/>
      <c r="I187" s="126"/>
      <c r="J187" s="130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>
      <c r="A188" s="107"/>
      <c r="B188" s="138"/>
      <c r="C188" s="120"/>
      <c r="D188" s="121"/>
      <c r="E188" s="107"/>
      <c r="F188" s="122"/>
      <c r="G188" s="22"/>
      <c r="H188" s="123"/>
      <c r="I188" s="126"/>
      <c r="J188" s="130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>
      <c r="A189" s="107"/>
      <c r="B189" s="138"/>
      <c r="C189" s="120"/>
      <c r="D189" s="121"/>
      <c r="E189" s="107"/>
      <c r="F189" s="122"/>
      <c r="G189" s="22"/>
      <c r="H189" s="123"/>
      <c r="I189" s="126"/>
      <c r="J189" s="130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>
      <c r="A190" s="107"/>
      <c r="B190" s="138"/>
      <c r="C190" s="120"/>
      <c r="D190" s="121"/>
      <c r="E190" s="107"/>
      <c r="F190" s="122"/>
      <c r="G190" s="22"/>
      <c r="H190" s="123"/>
      <c r="I190" s="126"/>
      <c r="J190" s="130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>
      <c r="A191" s="107"/>
      <c r="B191" s="138"/>
      <c r="C191" s="120"/>
      <c r="D191" s="121"/>
      <c r="E191" s="107"/>
      <c r="F191" s="122"/>
      <c r="G191" s="22"/>
      <c r="H191" s="123"/>
      <c r="I191" s="126"/>
      <c r="J191" s="130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>
      <c r="A192" s="107"/>
      <c r="B192" s="138"/>
      <c r="C192" s="120"/>
      <c r="D192" s="121"/>
      <c r="E192" s="107"/>
      <c r="F192" s="122"/>
      <c r="G192" s="22"/>
      <c r="H192" s="123"/>
      <c r="I192" s="126"/>
      <c r="J192" s="130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>
      <c r="A193" s="107"/>
      <c r="B193" s="138"/>
      <c r="C193" s="120"/>
      <c r="D193" s="121"/>
      <c r="E193" s="107"/>
      <c r="F193" s="122"/>
      <c r="G193" s="22"/>
      <c r="H193" s="123"/>
      <c r="I193" s="126"/>
      <c r="J193" s="130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>
      <c r="A194" s="107"/>
      <c r="B194" s="138"/>
      <c r="C194" s="120"/>
      <c r="D194" s="121"/>
      <c r="E194" s="107"/>
      <c r="F194" s="122"/>
      <c r="G194" s="22"/>
      <c r="H194" s="123"/>
      <c r="I194" s="126"/>
      <c r="J194" s="130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>
      <c r="A195" s="107"/>
      <c r="B195" s="138"/>
      <c r="C195" s="120"/>
      <c r="D195" s="121"/>
      <c r="E195" s="107"/>
      <c r="F195" s="122"/>
      <c r="G195" s="22"/>
      <c r="H195" s="123"/>
      <c r="I195" s="126"/>
      <c r="J195" s="130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>
      <c r="A196" s="107"/>
      <c r="B196" s="138"/>
      <c r="C196" s="120"/>
      <c r="D196" s="121"/>
      <c r="E196" s="107"/>
      <c r="F196" s="122"/>
      <c r="G196" s="22"/>
      <c r="H196" s="123"/>
      <c r="I196" s="126"/>
      <c r="J196" s="130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>
      <c r="A197" s="107"/>
      <c r="B197" s="138"/>
      <c r="C197" s="120"/>
      <c r="D197" s="121"/>
      <c r="E197" s="107"/>
      <c r="F197" s="122"/>
      <c r="G197" s="22"/>
      <c r="H197" s="123"/>
      <c r="I197" s="126"/>
      <c r="J197" s="130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>
      <c r="A198" s="107"/>
      <c r="B198" s="138"/>
      <c r="C198" s="120"/>
      <c r="D198" s="121"/>
      <c r="E198" s="107"/>
      <c r="F198" s="122"/>
      <c r="G198" s="22"/>
      <c r="H198" s="123"/>
      <c r="I198" s="126"/>
      <c r="J198" s="130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>
      <c r="A199" s="107"/>
      <c r="B199" s="138"/>
      <c r="C199" s="120"/>
      <c r="D199" s="121"/>
      <c r="E199" s="107"/>
      <c r="F199" s="122"/>
      <c r="G199" s="22"/>
      <c r="H199" s="123"/>
      <c r="I199" s="126"/>
      <c r="J199" s="130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>
      <c r="A200" s="107"/>
      <c r="B200" s="138"/>
      <c r="C200" s="120"/>
      <c r="D200" s="121"/>
      <c r="E200" s="107"/>
      <c r="F200" s="122"/>
      <c r="G200" s="22"/>
      <c r="H200" s="123"/>
      <c r="I200" s="126"/>
      <c r="J200" s="130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>
      <c r="A201" s="107"/>
      <c r="B201" s="138"/>
      <c r="C201" s="120"/>
      <c r="D201" s="121"/>
      <c r="E201" s="107"/>
      <c r="F201" s="122"/>
      <c r="G201" s="22"/>
      <c r="H201" s="123"/>
      <c r="I201" s="126"/>
      <c r="J201" s="130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>
      <c r="A202" s="107"/>
      <c r="B202" s="138"/>
      <c r="C202" s="120"/>
      <c r="D202" s="121"/>
      <c r="E202" s="107"/>
      <c r="F202" s="122"/>
      <c r="G202" s="22"/>
      <c r="H202" s="123"/>
      <c r="I202" s="126"/>
      <c r="J202" s="130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>
      <c r="A203" s="107"/>
      <c r="B203" s="138"/>
      <c r="C203" s="120"/>
      <c r="D203" s="121"/>
      <c r="E203" s="107"/>
      <c r="F203" s="122"/>
      <c r="G203" s="22"/>
      <c r="H203" s="123"/>
      <c r="I203" s="126"/>
      <c r="J203" s="130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>
      <c r="A204" s="107"/>
      <c r="B204" s="138"/>
      <c r="C204" s="120"/>
      <c r="D204" s="121"/>
      <c r="E204" s="107"/>
      <c r="F204" s="122"/>
      <c r="G204" s="22"/>
      <c r="H204" s="123"/>
      <c r="I204" s="126"/>
      <c r="J204" s="130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>
      <c r="A205" s="107"/>
      <c r="B205" s="138"/>
      <c r="C205" s="120"/>
      <c r="D205" s="121"/>
      <c r="E205" s="107"/>
      <c r="F205" s="122"/>
      <c r="G205" s="22"/>
      <c r="H205" s="123"/>
      <c r="I205" s="126"/>
      <c r="J205" s="130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>
      <c r="A206" s="107"/>
      <c r="B206" s="138"/>
      <c r="C206" s="120"/>
      <c r="D206" s="121"/>
      <c r="E206" s="107"/>
      <c r="F206" s="122"/>
      <c r="G206" s="22"/>
      <c r="H206" s="123"/>
      <c r="I206" s="126"/>
      <c r="J206" s="130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>
      <c r="A207" s="107"/>
      <c r="B207" s="138"/>
      <c r="C207" s="120"/>
      <c r="D207" s="121"/>
      <c r="E207" s="107"/>
      <c r="F207" s="122"/>
      <c r="G207" s="22"/>
      <c r="H207" s="123"/>
      <c r="I207" s="126"/>
      <c r="J207" s="130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>
      <c r="A208" s="107"/>
      <c r="B208" s="138"/>
      <c r="C208" s="120"/>
      <c r="D208" s="121"/>
      <c r="E208" s="107"/>
      <c r="F208" s="122"/>
      <c r="G208" s="22"/>
      <c r="H208" s="123"/>
      <c r="I208" s="126"/>
      <c r="J208" s="130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>
      <c r="A209" s="107"/>
      <c r="B209" s="138"/>
      <c r="C209" s="120"/>
      <c r="D209" s="121"/>
      <c r="E209" s="107"/>
      <c r="F209" s="122"/>
      <c r="G209" s="22"/>
      <c r="H209" s="123"/>
      <c r="I209" s="126"/>
      <c r="J209" s="130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>
      <c r="A210" s="107"/>
      <c r="B210" s="138"/>
      <c r="C210" s="120"/>
      <c r="D210" s="121"/>
      <c r="E210" s="107"/>
      <c r="F210" s="122"/>
      <c r="G210" s="22"/>
      <c r="H210" s="123"/>
      <c r="I210" s="126"/>
      <c r="J210" s="130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>
      <c r="A211" s="107"/>
      <c r="B211" s="138"/>
      <c r="C211" s="120"/>
      <c r="D211" s="121"/>
      <c r="E211" s="107"/>
      <c r="F211" s="122"/>
      <c r="G211" s="22"/>
      <c r="H211" s="123"/>
      <c r="I211" s="126"/>
      <c r="J211" s="130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>
      <c r="A212" s="107"/>
      <c r="B212" s="138"/>
      <c r="C212" s="120"/>
      <c r="D212" s="121"/>
      <c r="E212" s="107"/>
      <c r="F212" s="122"/>
      <c r="G212" s="22"/>
      <c r="H212" s="123"/>
      <c r="I212" s="126"/>
      <c r="J212" s="130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>
      <c r="A213" s="107"/>
      <c r="B213" s="138"/>
      <c r="C213" s="120"/>
      <c r="D213" s="121"/>
      <c r="E213" s="107"/>
      <c r="F213" s="122"/>
      <c r="G213" s="22"/>
      <c r="H213" s="123"/>
      <c r="I213" s="126"/>
      <c r="J213" s="130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>
      <c r="A214" s="107"/>
      <c r="B214" s="138"/>
      <c r="C214" s="120"/>
      <c r="D214" s="121"/>
      <c r="E214" s="107"/>
      <c r="F214" s="122"/>
      <c r="G214" s="22"/>
      <c r="H214" s="123"/>
      <c r="I214" s="126"/>
      <c r="J214" s="130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>
      <c r="A215" s="107"/>
      <c r="B215" s="138"/>
      <c r="C215" s="120"/>
      <c r="D215" s="121"/>
      <c r="E215" s="107"/>
      <c r="F215" s="122"/>
      <c r="G215" s="22"/>
      <c r="H215" s="123"/>
      <c r="I215" s="126"/>
      <c r="J215" s="130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>
      <c r="A216" s="107"/>
      <c r="B216" s="138"/>
      <c r="C216" s="120"/>
      <c r="D216" s="121"/>
      <c r="E216" s="107"/>
      <c r="F216" s="122"/>
      <c r="G216" s="22"/>
      <c r="H216" s="123"/>
      <c r="I216" s="126"/>
      <c r="J216" s="130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>
      <c r="A217" s="107"/>
      <c r="B217" s="138"/>
      <c r="C217" s="120"/>
      <c r="D217" s="121"/>
      <c r="E217" s="107"/>
      <c r="F217" s="122"/>
      <c r="G217" s="22"/>
      <c r="H217" s="123"/>
      <c r="I217" s="126"/>
      <c r="J217" s="130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>
      <c r="A218" s="107"/>
      <c r="B218" s="138"/>
      <c r="C218" s="120"/>
      <c r="D218" s="121"/>
      <c r="E218" s="107"/>
      <c r="F218" s="122"/>
      <c r="G218" s="22"/>
      <c r="H218" s="123"/>
      <c r="I218" s="126"/>
      <c r="J218" s="130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>
      <c r="A219" s="107"/>
      <c r="B219" s="138"/>
      <c r="C219" s="120"/>
      <c r="D219" s="121"/>
      <c r="E219" s="107"/>
      <c r="F219" s="122"/>
      <c r="G219" s="22"/>
      <c r="H219" s="123"/>
      <c r="I219" s="126"/>
      <c r="J219" s="130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>
      <c r="A220" s="107"/>
      <c r="B220" s="138"/>
      <c r="C220" s="120"/>
      <c r="D220" s="121"/>
      <c r="E220" s="107"/>
      <c r="F220" s="122"/>
      <c r="G220" s="22"/>
      <c r="H220" s="123"/>
      <c r="I220" s="126"/>
      <c r="J220" s="130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>
      <c r="A221" s="107"/>
      <c r="B221" s="138"/>
      <c r="C221" s="120"/>
      <c r="D221" s="121"/>
      <c r="E221" s="107"/>
      <c r="F221" s="122"/>
      <c r="G221" s="22"/>
      <c r="H221" s="123"/>
      <c r="I221" s="126"/>
      <c r="J221" s="130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>
      <c r="A222" s="107"/>
      <c r="B222" s="138"/>
      <c r="C222" s="120"/>
      <c r="D222" s="121"/>
      <c r="E222" s="107"/>
      <c r="F222" s="122"/>
      <c r="G222" s="22"/>
      <c r="H222" s="123"/>
      <c r="I222" s="126"/>
      <c r="J222" s="130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>
      <c r="A223" s="107"/>
      <c r="B223" s="138"/>
      <c r="C223" s="120"/>
      <c r="D223" s="121"/>
      <c r="E223" s="107"/>
      <c r="F223" s="122"/>
      <c r="G223" s="22"/>
      <c r="H223" s="123"/>
      <c r="I223" s="126"/>
      <c r="J223" s="130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>
      <c r="A224" s="107"/>
      <c r="B224" s="138"/>
      <c r="C224" s="120"/>
      <c r="D224" s="121"/>
      <c r="E224" s="107"/>
      <c r="F224" s="122"/>
      <c r="G224" s="22"/>
      <c r="H224" s="123"/>
      <c r="I224" s="126"/>
      <c r="J224" s="130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>
      <c r="A225" s="107"/>
      <c r="B225" s="138"/>
      <c r="C225" s="120"/>
      <c r="D225" s="121"/>
      <c r="E225" s="107"/>
      <c r="F225" s="122"/>
      <c r="G225" s="22"/>
      <c r="H225" s="123"/>
      <c r="I225" s="126"/>
      <c r="J225" s="130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>
      <c r="A226" s="107"/>
      <c r="B226" s="138"/>
      <c r="C226" s="120"/>
      <c r="D226" s="121"/>
      <c r="E226" s="107"/>
      <c r="F226" s="122"/>
      <c r="G226" s="22"/>
      <c r="H226" s="123"/>
      <c r="I226" s="126"/>
      <c r="J226" s="130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>
      <c r="A227" s="107"/>
      <c r="B227" s="138"/>
      <c r="C227" s="120"/>
      <c r="D227" s="121"/>
      <c r="E227" s="107"/>
      <c r="F227" s="122"/>
      <c r="G227" s="22"/>
      <c r="H227" s="123"/>
      <c r="I227" s="126"/>
      <c r="J227" s="130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>
      <c r="A228" s="107"/>
      <c r="B228" s="138"/>
      <c r="C228" s="120"/>
      <c r="D228" s="121"/>
      <c r="E228" s="107"/>
      <c r="F228" s="122"/>
      <c r="G228" s="22"/>
      <c r="H228" s="123"/>
      <c r="I228" s="126"/>
      <c r="J228" s="130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>
      <c r="A229" s="107"/>
      <c r="B229" s="138"/>
      <c r="C229" s="120"/>
      <c r="D229" s="121"/>
      <c r="E229" s="107"/>
      <c r="F229" s="122"/>
      <c r="G229" s="22"/>
      <c r="H229" s="123"/>
      <c r="I229" s="126"/>
      <c r="J229" s="130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>
      <c r="A230" s="107"/>
      <c r="B230" s="138"/>
      <c r="C230" s="120"/>
      <c r="D230" s="121"/>
      <c r="E230" s="107"/>
      <c r="F230" s="122"/>
      <c r="G230" s="22"/>
      <c r="H230" s="123"/>
      <c r="I230" s="126"/>
      <c r="J230" s="130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>
      <c r="A231" s="107"/>
      <c r="B231" s="138"/>
      <c r="C231" s="120"/>
      <c r="D231" s="121"/>
      <c r="E231" s="107"/>
      <c r="F231" s="122"/>
      <c r="G231" s="22"/>
      <c r="H231" s="123"/>
      <c r="I231" s="126"/>
      <c r="J231" s="130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>
      <c r="A232" s="107"/>
      <c r="B232" s="138"/>
      <c r="C232" s="120"/>
      <c r="D232" s="121"/>
      <c r="E232" s="107"/>
      <c r="F232" s="122"/>
      <c r="G232" s="22"/>
      <c r="H232" s="123"/>
      <c r="I232" s="126"/>
      <c r="J232" s="130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>
      <c r="A233" s="107"/>
      <c r="B233" s="138"/>
      <c r="C233" s="120"/>
      <c r="D233" s="121"/>
      <c r="E233" s="107"/>
      <c r="F233" s="122"/>
      <c r="G233" s="22"/>
      <c r="H233" s="123"/>
      <c r="I233" s="126"/>
      <c r="J233" s="130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>
      <c r="A234" s="107"/>
      <c r="B234" s="138"/>
      <c r="C234" s="120"/>
      <c r="D234" s="121"/>
      <c r="E234" s="107"/>
      <c r="F234" s="122"/>
      <c r="G234" s="22"/>
      <c r="H234" s="123"/>
      <c r="I234" s="126"/>
      <c r="J234" s="130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>
      <c r="A235" s="107"/>
      <c r="B235" s="138"/>
      <c r="C235" s="120"/>
      <c r="D235" s="121"/>
      <c r="E235" s="107"/>
      <c r="F235" s="122"/>
      <c r="G235" s="22"/>
      <c r="H235" s="123"/>
      <c r="I235" s="126"/>
      <c r="J235" s="130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>
      <c r="A236" s="107"/>
      <c r="B236" s="138"/>
      <c r="C236" s="120"/>
      <c r="D236" s="121"/>
      <c r="E236" s="107"/>
      <c r="F236" s="122"/>
      <c r="G236" s="22"/>
      <c r="H236" s="123"/>
      <c r="I236" s="126"/>
      <c r="J236" s="130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>
      <c r="A237" s="107"/>
      <c r="B237" s="138"/>
      <c r="C237" s="120"/>
      <c r="D237" s="121"/>
      <c r="E237" s="107"/>
      <c r="F237" s="122"/>
      <c r="G237" s="22"/>
      <c r="H237" s="123"/>
      <c r="I237" s="126"/>
      <c r="J237" s="130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>
      <c r="A238" s="107"/>
      <c r="B238" s="138"/>
      <c r="C238" s="120"/>
      <c r="D238" s="121"/>
      <c r="E238" s="107"/>
      <c r="F238" s="122"/>
      <c r="G238" s="22"/>
      <c r="H238" s="123"/>
      <c r="I238" s="126"/>
      <c r="J238" s="130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>
      <c r="A239" s="107"/>
      <c r="B239" s="138"/>
      <c r="C239" s="120"/>
      <c r="D239" s="121"/>
      <c r="E239" s="107"/>
      <c r="F239" s="122"/>
      <c r="G239" s="22"/>
      <c r="H239" s="123"/>
      <c r="I239" s="126"/>
      <c r="J239" s="130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>
      <c r="A240" s="107"/>
      <c r="B240" s="138"/>
      <c r="C240" s="120"/>
      <c r="D240" s="121"/>
      <c r="E240" s="107"/>
      <c r="F240" s="122"/>
      <c r="G240" s="22"/>
      <c r="H240" s="123"/>
      <c r="I240" s="126"/>
      <c r="J240" s="130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>
      <c r="A241" s="107"/>
      <c r="B241" s="138"/>
      <c r="C241" s="120"/>
      <c r="D241" s="121"/>
      <c r="E241" s="107"/>
      <c r="F241" s="122"/>
      <c r="G241" s="22"/>
      <c r="H241" s="123"/>
      <c r="I241" s="126"/>
      <c r="J241" s="130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>
      <c r="A242" s="107"/>
      <c r="B242" s="138"/>
      <c r="C242" s="120"/>
      <c r="D242" s="121"/>
      <c r="E242" s="107"/>
      <c r="F242" s="122"/>
      <c r="G242" s="22"/>
      <c r="H242" s="123"/>
      <c r="I242" s="126"/>
      <c r="J242" s="130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>
      <c r="A243" s="107"/>
      <c r="B243" s="138"/>
      <c r="C243" s="120"/>
      <c r="D243" s="121"/>
      <c r="E243" s="107"/>
      <c r="F243" s="122"/>
      <c r="G243" s="22"/>
      <c r="H243" s="123"/>
      <c r="I243" s="126"/>
      <c r="J243" s="130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>
      <c r="A244" s="107"/>
      <c r="B244" s="138"/>
      <c r="C244" s="120"/>
      <c r="D244" s="121"/>
      <c r="E244" s="107"/>
      <c r="F244" s="122"/>
      <c r="G244" s="22"/>
      <c r="H244" s="123"/>
      <c r="I244" s="126"/>
      <c r="J244" s="130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>
      <c r="A245" s="107"/>
      <c r="B245" s="138"/>
      <c r="C245" s="120"/>
      <c r="D245" s="121"/>
      <c r="E245" s="107"/>
      <c r="F245" s="122"/>
      <c r="G245" s="22"/>
      <c r="H245" s="123"/>
      <c r="I245" s="126"/>
      <c r="J245" s="130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>
      <c r="A246" s="107"/>
      <c r="B246" s="138"/>
      <c r="C246" s="120"/>
      <c r="D246" s="121"/>
      <c r="E246" s="107"/>
      <c r="F246" s="122"/>
      <c r="G246" s="22"/>
      <c r="H246" s="123"/>
      <c r="I246" s="126"/>
      <c r="J246" s="130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>
      <c r="A247" s="107"/>
      <c r="B247" s="138"/>
      <c r="C247" s="120"/>
      <c r="D247" s="121"/>
      <c r="E247" s="107"/>
      <c r="F247" s="122"/>
      <c r="G247" s="22"/>
      <c r="H247" s="123"/>
      <c r="I247" s="126"/>
      <c r="J247" s="130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>
      <c r="A248" s="107"/>
      <c r="B248" s="138"/>
      <c r="C248" s="120"/>
      <c r="D248" s="121"/>
      <c r="E248" s="107"/>
      <c r="F248" s="122"/>
      <c r="G248" s="22"/>
      <c r="H248" s="123"/>
      <c r="I248" s="126"/>
      <c r="J248" s="130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>
      <c r="A249" s="107"/>
      <c r="B249" s="138"/>
      <c r="C249" s="120"/>
      <c r="D249" s="121"/>
      <c r="E249" s="107"/>
      <c r="F249" s="122"/>
      <c r="G249" s="22"/>
      <c r="H249" s="123"/>
      <c r="I249" s="126"/>
      <c r="J249" s="130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>
      <c r="A250" s="107"/>
      <c r="B250" s="138"/>
      <c r="C250" s="120"/>
      <c r="D250" s="121"/>
      <c r="E250" s="107"/>
      <c r="F250" s="122"/>
      <c r="G250" s="22"/>
      <c r="H250" s="123"/>
      <c r="I250" s="126"/>
      <c r="J250" s="130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>
      <c r="A251" s="107"/>
      <c r="B251" s="138"/>
      <c r="C251" s="120"/>
      <c r="D251" s="121"/>
      <c r="E251" s="107"/>
      <c r="F251" s="122"/>
      <c r="G251" s="22"/>
      <c r="H251" s="123"/>
      <c r="I251" s="126"/>
      <c r="J251" s="130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>
      <c r="A252" s="107"/>
      <c r="B252" s="138"/>
      <c r="C252" s="120"/>
      <c r="D252" s="121"/>
      <c r="E252" s="107"/>
      <c r="F252" s="122"/>
      <c r="G252" s="22"/>
      <c r="H252" s="123"/>
      <c r="I252" s="126"/>
      <c r="J252" s="130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>
      <c r="A253" s="107"/>
      <c r="B253" s="138"/>
      <c r="C253" s="120"/>
      <c r="D253" s="121"/>
      <c r="E253" s="107"/>
      <c r="F253" s="122"/>
      <c r="G253" s="22"/>
      <c r="H253" s="123"/>
      <c r="I253" s="126"/>
      <c r="J253" s="130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>
      <c r="A254" s="107"/>
      <c r="B254" s="138"/>
      <c r="C254" s="120"/>
      <c r="D254" s="121"/>
      <c r="E254" s="107"/>
      <c r="F254" s="122"/>
      <c r="G254" s="22"/>
      <c r="H254" s="123"/>
      <c r="I254" s="126"/>
      <c r="J254" s="130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>
      <c r="A255" s="107"/>
      <c r="B255" s="138"/>
      <c r="C255" s="120"/>
      <c r="D255" s="121"/>
      <c r="E255" s="107"/>
      <c r="F255" s="122"/>
      <c r="G255" s="22"/>
      <c r="H255" s="123"/>
      <c r="I255" s="126"/>
      <c r="J255" s="130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>
      <c r="A256" s="107"/>
      <c r="B256" s="138"/>
      <c r="C256" s="120"/>
      <c r="D256" s="121"/>
      <c r="E256" s="107"/>
      <c r="F256" s="122"/>
      <c r="G256" s="22"/>
      <c r="H256" s="123"/>
      <c r="I256" s="126"/>
      <c r="J256" s="130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>
      <c r="A257" s="107"/>
      <c r="B257" s="138"/>
      <c r="C257" s="120"/>
      <c r="D257" s="121"/>
      <c r="E257" s="107"/>
      <c r="F257" s="122"/>
      <c r="G257" s="22"/>
      <c r="H257" s="123"/>
      <c r="I257" s="126"/>
      <c r="J257" s="130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>
      <c r="A258" s="107"/>
      <c r="B258" s="138"/>
      <c r="C258" s="120"/>
      <c r="D258" s="121"/>
      <c r="E258" s="107"/>
      <c r="F258" s="122"/>
      <c r="G258" s="22"/>
      <c r="H258" s="123"/>
      <c r="I258" s="126"/>
      <c r="J258" s="130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>
      <c r="A259" s="107"/>
      <c r="B259" s="138"/>
      <c r="C259" s="120"/>
      <c r="D259" s="121"/>
      <c r="E259" s="107"/>
      <c r="F259" s="122"/>
      <c r="G259" s="22"/>
      <c r="H259" s="123"/>
      <c r="I259" s="126"/>
      <c r="J259" s="130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>
      <c r="A260" s="107"/>
      <c r="B260" s="138"/>
      <c r="C260" s="120"/>
      <c r="D260" s="121"/>
      <c r="E260" s="107"/>
      <c r="F260" s="122"/>
      <c r="G260" s="22"/>
      <c r="H260" s="123"/>
      <c r="I260" s="126"/>
      <c r="J260" s="130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>
      <c r="A261" s="107"/>
      <c r="B261" s="138"/>
      <c r="C261" s="120"/>
      <c r="D261" s="121"/>
      <c r="E261" s="107"/>
      <c r="F261" s="122"/>
      <c r="G261" s="22"/>
      <c r="H261" s="123"/>
      <c r="I261" s="126"/>
      <c r="J261" s="130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>
      <c r="A262" s="107"/>
      <c r="B262" s="138"/>
      <c r="C262" s="120"/>
      <c r="D262" s="121"/>
      <c r="E262" s="107"/>
      <c r="F262" s="122"/>
      <c r="G262" s="22"/>
      <c r="H262" s="123"/>
      <c r="I262" s="126"/>
      <c r="J262" s="130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>
      <c r="A263" s="107"/>
      <c r="B263" s="138"/>
      <c r="C263" s="120"/>
      <c r="D263" s="121"/>
      <c r="E263" s="107"/>
      <c r="F263" s="122"/>
      <c r="G263" s="22"/>
      <c r="H263" s="123"/>
      <c r="I263" s="126"/>
      <c r="J263" s="130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>
      <c r="A264" s="107"/>
      <c r="B264" s="138"/>
      <c r="C264" s="120"/>
      <c r="D264" s="121"/>
      <c r="E264" s="107"/>
      <c r="F264" s="122"/>
      <c r="G264" s="22"/>
      <c r="H264" s="123"/>
      <c r="I264" s="126"/>
      <c r="J264" s="130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>
      <c r="A265" s="107"/>
      <c r="B265" s="138"/>
      <c r="C265" s="120"/>
      <c r="D265" s="121"/>
      <c r="E265" s="107"/>
      <c r="F265" s="122"/>
      <c r="G265" s="22"/>
      <c r="H265" s="123"/>
      <c r="I265" s="126"/>
      <c r="J265" s="130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>
      <c r="A266" s="107"/>
      <c r="B266" s="138"/>
      <c r="C266" s="120"/>
      <c r="D266" s="121"/>
      <c r="E266" s="107"/>
      <c r="F266" s="122"/>
      <c r="G266" s="22"/>
      <c r="H266" s="123"/>
      <c r="I266" s="126"/>
      <c r="J266" s="130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>
      <c r="A267" s="107"/>
      <c r="B267" s="138"/>
      <c r="C267" s="120"/>
      <c r="D267" s="121"/>
      <c r="E267" s="107"/>
      <c r="F267" s="122"/>
      <c r="G267" s="22"/>
      <c r="H267" s="123"/>
      <c r="I267" s="126"/>
      <c r="J267" s="130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>
      <c r="A268" s="107"/>
      <c r="B268" s="138"/>
      <c r="C268" s="120"/>
      <c r="D268" s="121"/>
      <c r="E268" s="107"/>
      <c r="F268" s="122"/>
      <c r="G268" s="22"/>
      <c r="H268" s="123"/>
      <c r="I268" s="126"/>
      <c r="J268" s="130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>
      <c r="A269" s="107"/>
      <c r="B269" s="138"/>
      <c r="C269" s="120"/>
      <c r="D269" s="121"/>
      <c r="E269" s="107"/>
      <c r="F269" s="122"/>
      <c r="G269" s="22"/>
      <c r="H269" s="123"/>
      <c r="I269" s="126"/>
      <c r="J269" s="130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>
      <c r="A270" s="107"/>
      <c r="B270" s="138"/>
      <c r="C270" s="120"/>
      <c r="D270" s="121"/>
      <c r="E270" s="107"/>
      <c r="F270" s="122"/>
      <c r="G270" s="22"/>
      <c r="H270" s="123"/>
      <c r="I270" s="126"/>
      <c r="J270" s="130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>
      <c r="A271" s="107"/>
      <c r="B271" s="138"/>
      <c r="C271" s="120"/>
      <c r="D271" s="121"/>
      <c r="E271" s="107"/>
      <c r="F271" s="122"/>
      <c r="G271" s="22"/>
      <c r="H271" s="123"/>
      <c r="I271" s="126"/>
      <c r="J271" s="130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>
      <c r="A272" s="107"/>
      <c r="B272" s="138"/>
      <c r="C272" s="120"/>
      <c r="D272" s="121"/>
      <c r="E272" s="107"/>
      <c r="F272" s="122"/>
      <c r="G272" s="22"/>
      <c r="H272" s="123"/>
      <c r="I272" s="126"/>
      <c r="J272" s="130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>
      <c r="A273" s="107"/>
      <c r="B273" s="138"/>
      <c r="C273" s="120"/>
      <c r="D273" s="121"/>
      <c r="E273" s="107"/>
      <c r="F273" s="122"/>
      <c r="G273" s="22"/>
      <c r="H273" s="123"/>
      <c r="I273" s="126"/>
      <c r="J273" s="130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>
      <c r="A274" s="107"/>
      <c r="B274" s="138"/>
      <c r="C274" s="120"/>
      <c r="D274" s="121"/>
      <c r="E274" s="107"/>
      <c r="F274" s="122"/>
      <c r="G274" s="22"/>
      <c r="H274" s="123"/>
      <c r="I274" s="126"/>
      <c r="J274" s="130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>
      <c r="A275" s="107"/>
      <c r="B275" s="138"/>
      <c r="C275" s="120"/>
      <c r="D275" s="121"/>
      <c r="E275" s="107"/>
      <c r="F275" s="122"/>
      <c r="G275" s="22"/>
      <c r="H275" s="123"/>
      <c r="I275" s="126"/>
      <c r="J275" s="130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>
      <c r="A276" s="107"/>
      <c r="B276" s="138"/>
      <c r="C276" s="120"/>
      <c r="D276" s="121"/>
      <c r="E276" s="107"/>
      <c r="F276" s="122"/>
      <c r="G276" s="22"/>
      <c r="H276" s="123"/>
      <c r="I276" s="126"/>
      <c r="J276" s="130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>
      <c r="A277" s="107"/>
      <c r="B277" s="138"/>
      <c r="C277" s="120"/>
      <c r="D277" s="121"/>
      <c r="E277" s="107"/>
      <c r="F277" s="122"/>
      <c r="G277" s="22"/>
      <c r="H277" s="123"/>
      <c r="I277" s="126"/>
      <c r="J277" s="130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>
      <c r="A278" s="107"/>
      <c r="B278" s="138"/>
      <c r="C278" s="120"/>
      <c r="D278" s="121"/>
      <c r="E278" s="107"/>
      <c r="F278" s="122"/>
      <c r="G278" s="22"/>
      <c r="H278" s="123"/>
      <c r="I278" s="126"/>
      <c r="J278" s="130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>
      <c r="A279" s="107"/>
      <c r="B279" s="138"/>
      <c r="C279" s="120"/>
      <c r="D279" s="121"/>
      <c r="E279" s="107"/>
      <c r="F279" s="122"/>
      <c r="G279" s="22"/>
      <c r="H279" s="123"/>
      <c r="I279" s="126"/>
      <c r="J279" s="130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>
      <c r="A280" s="107"/>
      <c r="B280" s="138"/>
      <c r="C280" s="120"/>
      <c r="D280" s="121"/>
      <c r="E280" s="107"/>
      <c r="F280" s="122"/>
      <c r="G280" s="22"/>
      <c r="H280" s="123"/>
      <c r="I280" s="126"/>
      <c r="J280" s="130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>
      <c r="A281" s="107"/>
      <c r="B281" s="138"/>
      <c r="C281" s="120"/>
      <c r="D281" s="121"/>
      <c r="E281" s="107"/>
      <c r="F281" s="122"/>
      <c r="G281" s="22"/>
      <c r="H281" s="123"/>
      <c r="I281" s="126"/>
      <c r="J281" s="130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>
      <c r="A282" s="107"/>
      <c r="B282" s="138"/>
      <c r="C282" s="120"/>
      <c r="D282" s="121"/>
      <c r="E282" s="107"/>
      <c r="F282" s="122"/>
      <c r="G282" s="22"/>
      <c r="H282" s="123"/>
      <c r="I282" s="126"/>
      <c r="J282" s="130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>
      <c r="A283" s="107"/>
      <c r="B283" s="138"/>
      <c r="C283" s="120"/>
      <c r="D283" s="121"/>
      <c r="E283" s="107"/>
      <c r="F283" s="122"/>
      <c r="G283" s="22"/>
      <c r="H283" s="123"/>
      <c r="I283" s="126"/>
      <c r="J283" s="130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>
      <c r="A284" s="107"/>
      <c r="B284" s="138"/>
      <c r="C284" s="120"/>
      <c r="D284" s="121"/>
      <c r="E284" s="107"/>
      <c r="F284" s="122"/>
      <c r="G284" s="22"/>
      <c r="H284" s="123"/>
      <c r="I284" s="126"/>
      <c r="J284" s="130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>
      <c r="A285" s="107"/>
      <c r="B285" s="138"/>
      <c r="C285" s="120"/>
      <c r="D285" s="121"/>
      <c r="E285" s="107"/>
      <c r="F285" s="122"/>
      <c r="G285" s="22"/>
      <c r="H285" s="123"/>
      <c r="I285" s="126"/>
      <c r="J285" s="130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>
      <c r="A286" s="107"/>
      <c r="B286" s="138"/>
      <c r="C286" s="120"/>
      <c r="D286" s="121"/>
      <c r="E286" s="107"/>
      <c r="F286" s="122"/>
      <c r="G286" s="22"/>
      <c r="H286" s="123"/>
      <c r="I286" s="126"/>
      <c r="J286" s="130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>
      <c r="A287" s="107"/>
      <c r="B287" s="138"/>
      <c r="C287" s="120"/>
      <c r="D287" s="121"/>
      <c r="E287" s="107"/>
      <c r="F287" s="122"/>
      <c r="G287" s="22"/>
      <c r="H287" s="123"/>
      <c r="I287" s="126"/>
      <c r="J287" s="130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>
      <c r="A288" s="107"/>
      <c r="B288" s="138"/>
      <c r="C288" s="120"/>
      <c r="D288" s="121"/>
      <c r="E288" s="107"/>
      <c r="F288" s="122"/>
      <c r="G288" s="22"/>
      <c r="H288" s="123"/>
      <c r="I288" s="126"/>
      <c r="J288" s="130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>
      <c r="A289" s="107"/>
      <c r="B289" s="138"/>
      <c r="C289" s="120"/>
      <c r="D289" s="121"/>
      <c r="E289" s="107"/>
      <c r="F289" s="122"/>
      <c r="G289" s="22"/>
      <c r="H289" s="123"/>
      <c r="I289" s="126"/>
      <c r="J289" s="130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>
      <c r="A290" s="107"/>
      <c r="B290" s="138"/>
      <c r="C290" s="120"/>
      <c r="D290" s="121"/>
      <c r="E290" s="107"/>
      <c r="F290" s="122"/>
      <c r="G290" s="22"/>
      <c r="H290" s="123"/>
      <c r="I290" s="126"/>
      <c r="J290" s="130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>
      <c r="A291" s="107"/>
      <c r="B291" s="138"/>
      <c r="C291" s="120"/>
      <c r="D291" s="121"/>
      <c r="E291" s="107"/>
      <c r="F291" s="122"/>
      <c r="G291" s="22"/>
      <c r="H291" s="123"/>
      <c r="I291" s="126"/>
      <c r="J291" s="130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>
      <c r="A292" s="107"/>
      <c r="B292" s="138"/>
      <c r="C292" s="120"/>
      <c r="D292" s="121"/>
      <c r="E292" s="107"/>
      <c r="F292" s="122"/>
      <c r="G292" s="22"/>
      <c r="H292" s="123"/>
      <c r="I292" s="126"/>
      <c r="J292" s="130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>
      <c r="A293" s="107"/>
      <c r="B293" s="138"/>
      <c r="C293" s="120"/>
      <c r="D293" s="121"/>
      <c r="E293" s="107"/>
      <c r="F293" s="122"/>
      <c r="G293" s="22"/>
      <c r="H293" s="123"/>
      <c r="I293" s="126"/>
      <c r="J293" s="130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>
      <c r="A294" s="107"/>
      <c r="B294" s="138"/>
      <c r="C294" s="120"/>
      <c r="D294" s="121"/>
      <c r="E294" s="107"/>
      <c r="F294" s="122"/>
      <c r="G294" s="22"/>
      <c r="H294" s="123"/>
      <c r="I294" s="126"/>
      <c r="J294" s="130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>
      <c r="A295" s="107"/>
      <c r="B295" s="138"/>
      <c r="C295" s="120"/>
      <c r="D295" s="121"/>
      <c r="E295" s="107"/>
      <c r="F295" s="122"/>
      <c r="G295" s="22"/>
      <c r="H295" s="123"/>
      <c r="I295" s="126"/>
      <c r="J295" s="130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>
      <c r="A296" s="107"/>
      <c r="B296" s="138"/>
      <c r="C296" s="120"/>
      <c r="D296" s="121"/>
      <c r="E296" s="107"/>
      <c r="F296" s="122"/>
      <c r="G296" s="22"/>
      <c r="H296" s="123"/>
      <c r="I296" s="126"/>
      <c r="J296" s="130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>
      <c r="A297" s="107"/>
      <c r="B297" s="138"/>
      <c r="C297" s="120"/>
      <c r="D297" s="121"/>
      <c r="E297" s="107"/>
      <c r="F297" s="122"/>
      <c r="G297" s="22"/>
      <c r="H297" s="123"/>
      <c r="I297" s="126"/>
      <c r="J297" s="130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>
      <c r="A298" s="107"/>
      <c r="B298" s="138"/>
      <c r="C298" s="120"/>
      <c r="D298" s="121"/>
      <c r="E298" s="107"/>
      <c r="F298" s="122"/>
      <c r="G298" s="22"/>
      <c r="H298" s="123"/>
      <c r="I298" s="126"/>
      <c r="J298" s="130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>
      <c r="A299" s="107"/>
      <c r="B299" s="138"/>
      <c r="C299" s="120"/>
      <c r="D299" s="121"/>
      <c r="E299" s="107"/>
      <c r="F299" s="122"/>
      <c r="G299" s="22"/>
      <c r="H299" s="123"/>
      <c r="I299" s="126"/>
      <c r="J299" s="130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>
      <c r="A300" s="107"/>
      <c r="B300" s="138"/>
      <c r="C300" s="120"/>
      <c r="D300" s="121"/>
      <c r="E300" s="107"/>
      <c r="F300" s="122"/>
      <c r="G300" s="22"/>
      <c r="H300" s="123"/>
      <c r="I300" s="126"/>
      <c r="J300" s="130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>
      <c r="A301" s="107"/>
      <c r="B301" s="138"/>
      <c r="C301" s="120"/>
      <c r="D301" s="121"/>
      <c r="E301" s="107"/>
      <c r="F301" s="122"/>
      <c r="G301" s="22"/>
      <c r="H301" s="123"/>
      <c r="I301" s="126"/>
      <c r="J301" s="130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>
      <c r="A302" s="107"/>
      <c r="B302" s="138"/>
      <c r="C302" s="120"/>
      <c r="D302" s="121"/>
      <c r="E302" s="107"/>
      <c r="F302" s="122"/>
      <c r="G302" s="22"/>
      <c r="H302" s="123"/>
      <c r="I302" s="126"/>
      <c r="J302" s="130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>
      <c r="A303" s="107"/>
      <c r="B303" s="138"/>
      <c r="C303" s="120"/>
      <c r="D303" s="121"/>
      <c r="E303" s="107"/>
      <c r="F303" s="122"/>
      <c r="G303" s="22"/>
      <c r="H303" s="123"/>
      <c r="I303" s="126"/>
      <c r="J303" s="130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>
      <c r="A304" s="107"/>
      <c r="B304" s="138"/>
      <c r="C304" s="120"/>
      <c r="D304" s="121"/>
      <c r="E304" s="107"/>
      <c r="F304" s="122"/>
      <c r="G304" s="22"/>
      <c r="H304" s="123"/>
      <c r="I304" s="126"/>
      <c r="J304" s="130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>
      <c r="A305" s="107"/>
      <c r="B305" s="138"/>
      <c r="C305" s="120"/>
      <c r="D305" s="121"/>
      <c r="E305" s="107"/>
      <c r="F305" s="122"/>
      <c r="G305" s="22"/>
      <c r="H305" s="123"/>
      <c r="I305" s="126"/>
      <c r="J305" s="130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>
      <c r="A306" s="107"/>
      <c r="B306" s="138"/>
      <c r="C306" s="120"/>
      <c r="D306" s="121"/>
      <c r="E306" s="107"/>
      <c r="F306" s="122"/>
      <c r="G306" s="22"/>
      <c r="H306" s="123"/>
      <c r="I306" s="126"/>
      <c r="J306" s="130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>
      <c r="A307" s="107"/>
      <c r="B307" s="138"/>
      <c r="C307" s="120"/>
      <c r="D307" s="121"/>
      <c r="E307" s="107"/>
      <c r="F307" s="122"/>
      <c r="G307" s="22"/>
      <c r="H307" s="123"/>
      <c r="I307" s="126"/>
      <c r="J307" s="130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>
      <c r="A308" s="107"/>
      <c r="B308" s="138"/>
      <c r="C308" s="120"/>
      <c r="D308" s="121"/>
      <c r="E308" s="107"/>
      <c r="F308" s="122"/>
      <c r="G308" s="22"/>
      <c r="H308" s="123"/>
      <c r="I308" s="126"/>
      <c r="J308" s="130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>
      <c r="A309" s="107"/>
      <c r="B309" s="138"/>
      <c r="C309" s="120"/>
      <c r="D309" s="121"/>
      <c r="E309" s="107"/>
      <c r="F309" s="122"/>
      <c r="G309" s="22"/>
      <c r="H309" s="123"/>
      <c r="I309" s="126"/>
      <c r="J309" s="130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>
      <c r="A310" s="107"/>
      <c r="B310" s="138"/>
      <c r="C310" s="120"/>
      <c r="D310" s="121"/>
      <c r="E310" s="107"/>
      <c r="F310" s="122"/>
      <c r="G310" s="22"/>
      <c r="H310" s="123"/>
      <c r="I310" s="126"/>
      <c r="J310" s="130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>
      <c r="A311" s="107"/>
      <c r="B311" s="138"/>
      <c r="C311" s="120"/>
      <c r="D311" s="121"/>
      <c r="E311" s="107"/>
      <c r="F311" s="122"/>
      <c r="G311" s="22"/>
      <c r="H311" s="123"/>
      <c r="I311" s="126"/>
      <c r="J311" s="130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>
      <c r="A312" s="107"/>
      <c r="B312" s="138"/>
      <c r="C312" s="120"/>
      <c r="D312" s="121"/>
      <c r="E312" s="107"/>
      <c r="F312" s="122"/>
      <c r="G312" s="22"/>
      <c r="H312" s="123"/>
      <c r="I312" s="126"/>
      <c r="J312" s="130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>
      <c r="A313" s="107"/>
      <c r="B313" s="138"/>
      <c r="C313" s="120"/>
      <c r="D313" s="121"/>
      <c r="E313" s="107"/>
      <c r="F313" s="122"/>
      <c r="G313" s="22"/>
      <c r="H313" s="123"/>
      <c r="I313" s="126"/>
      <c r="J313" s="130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>
      <c r="A314" s="107"/>
      <c r="B314" s="138"/>
      <c r="C314" s="120"/>
      <c r="D314" s="121"/>
      <c r="E314" s="107"/>
      <c r="F314" s="122"/>
      <c r="G314" s="22"/>
      <c r="H314" s="123"/>
      <c r="I314" s="126"/>
      <c r="J314" s="130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>
      <c r="A315" s="107"/>
      <c r="B315" s="138"/>
      <c r="C315" s="120"/>
      <c r="D315" s="121"/>
      <c r="E315" s="107"/>
      <c r="F315" s="122"/>
      <c r="G315" s="22"/>
      <c r="H315" s="123"/>
      <c r="I315" s="126"/>
      <c r="J315" s="130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>
      <c r="A316" s="107"/>
      <c r="B316" s="138"/>
      <c r="C316" s="120"/>
      <c r="D316" s="121"/>
      <c r="E316" s="107"/>
      <c r="F316" s="122"/>
      <c r="G316" s="22"/>
      <c r="H316" s="123"/>
      <c r="I316" s="126"/>
      <c r="J316" s="130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>
      <c r="A317" s="107"/>
      <c r="B317" s="138"/>
      <c r="C317" s="120"/>
      <c r="D317" s="121"/>
      <c r="E317" s="107"/>
      <c r="F317" s="122"/>
      <c r="G317" s="22"/>
      <c r="H317" s="123"/>
      <c r="I317" s="126"/>
      <c r="J317" s="130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>
      <c r="A318" s="107"/>
      <c r="B318" s="138"/>
      <c r="C318" s="120"/>
      <c r="D318" s="121"/>
      <c r="E318" s="107"/>
      <c r="F318" s="122"/>
      <c r="G318" s="22"/>
      <c r="H318" s="123"/>
      <c r="I318" s="126"/>
      <c r="J318" s="130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>
      <c r="A319" s="107"/>
      <c r="B319" s="138"/>
      <c r="C319" s="120"/>
      <c r="D319" s="121"/>
      <c r="E319" s="107"/>
      <c r="F319" s="122"/>
      <c r="G319" s="22"/>
      <c r="H319" s="123"/>
      <c r="I319" s="126"/>
      <c r="J319" s="130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>
      <c r="A320" s="107"/>
      <c r="B320" s="138"/>
      <c r="C320" s="120"/>
      <c r="D320" s="121"/>
      <c r="E320" s="107"/>
      <c r="F320" s="122"/>
      <c r="G320" s="22"/>
      <c r="H320" s="123"/>
      <c r="I320" s="126"/>
      <c r="J320" s="130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>
      <c r="A321" s="107"/>
      <c r="B321" s="138"/>
      <c r="C321" s="120"/>
      <c r="D321" s="121"/>
      <c r="E321" s="107"/>
      <c r="F321" s="122"/>
      <c r="G321" s="22"/>
      <c r="H321" s="123"/>
      <c r="I321" s="126"/>
      <c r="J321" s="130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>
      <c r="A322" s="107"/>
      <c r="B322" s="138"/>
      <c r="C322" s="120"/>
      <c r="D322" s="121"/>
      <c r="E322" s="107"/>
      <c r="F322" s="122"/>
      <c r="G322" s="22"/>
      <c r="H322" s="123"/>
      <c r="I322" s="126"/>
      <c r="J322" s="130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>
      <c r="A323" s="107"/>
      <c r="B323" s="138"/>
      <c r="C323" s="120"/>
      <c r="D323" s="121"/>
      <c r="E323" s="107"/>
      <c r="F323" s="122"/>
      <c r="G323" s="22"/>
      <c r="H323" s="123"/>
      <c r="I323" s="126"/>
      <c r="J323" s="130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>
      <c r="A324" s="107"/>
      <c r="B324" s="138"/>
      <c r="C324" s="120"/>
      <c r="D324" s="121"/>
      <c r="E324" s="107"/>
      <c r="F324" s="122"/>
      <c r="G324" s="22"/>
      <c r="H324" s="123"/>
      <c r="I324" s="126"/>
      <c r="J324" s="130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>
      <c r="A325" s="107"/>
      <c r="B325" s="138"/>
      <c r="C325" s="120"/>
      <c r="D325" s="121"/>
      <c r="E325" s="107"/>
      <c r="F325" s="122"/>
      <c r="G325" s="22"/>
      <c r="H325" s="123"/>
      <c r="I325" s="126"/>
      <c r="J325" s="130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>
      <c r="A326" s="107"/>
      <c r="B326" s="138"/>
      <c r="C326" s="120"/>
      <c r="D326" s="121"/>
      <c r="E326" s="107"/>
      <c r="F326" s="122"/>
      <c r="G326" s="22"/>
      <c r="H326" s="123"/>
      <c r="I326" s="126"/>
      <c r="J326" s="130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>
      <c r="A327" s="107"/>
      <c r="B327" s="138"/>
      <c r="C327" s="120"/>
      <c r="D327" s="121"/>
      <c r="E327" s="107"/>
      <c r="F327" s="122"/>
      <c r="G327" s="22"/>
      <c r="H327" s="123"/>
      <c r="I327" s="126"/>
      <c r="J327" s="130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>
      <c r="A328" s="107"/>
      <c r="B328" s="138"/>
      <c r="C328" s="120"/>
      <c r="D328" s="121"/>
      <c r="E328" s="107"/>
      <c r="F328" s="122"/>
      <c r="G328" s="22"/>
      <c r="H328" s="123"/>
      <c r="I328" s="126"/>
      <c r="J328" s="130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>
      <c r="A329" s="107"/>
      <c r="B329" s="138"/>
      <c r="C329" s="120"/>
      <c r="D329" s="121"/>
      <c r="E329" s="107"/>
      <c r="F329" s="122"/>
      <c r="G329" s="22"/>
      <c r="H329" s="123"/>
      <c r="I329" s="126"/>
      <c r="J329" s="130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>
      <c r="A330" s="107"/>
      <c r="B330" s="138"/>
      <c r="C330" s="120"/>
      <c r="D330" s="121"/>
      <c r="E330" s="107"/>
      <c r="F330" s="122"/>
      <c r="G330" s="22"/>
      <c r="H330" s="123"/>
      <c r="I330" s="126"/>
      <c r="J330" s="130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>
      <c r="A331" s="107"/>
      <c r="B331" s="138"/>
      <c r="C331" s="120"/>
      <c r="D331" s="121"/>
      <c r="E331" s="107"/>
      <c r="F331" s="122"/>
      <c r="G331" s="22"/>
      <c r="H331" s="123"/>
      <c r="I331" s="126"/>
      <c r="J331" s="130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>
      <c r="A332" s="107"/>
      <c r="B332" s="138"/>
      <c r="C332" s="120"/>
      <c r="D332" s="121"/>
      <c r="E332" s="107"/>
      <c r="F332" s="122"/>
      <c r="G332" s="22"/>
      <c r="H332" s="123"/>
      <c r="I332" s="126"/>
      <c r="J332" s="130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>
      <c r="A333" s="107"/>
      <c r="B333" s="138"/>
      <c r="C333" s="120"/>
      <c r="D333" s="121"/>
      <c r="E333" s="107"/>
      <c r="F333" s="122"/>
      <c r="G333" s="22"/>
      <c r="H333" s="123"/>
      <c r="I333" s="126"/>
      <c r="J333" s="130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>
      <c r="A334" s="107"/>
      <c r="B334" s="138"/>
      <c r="C334" s="120"/>
      <c r="D334" s="121"/>
      <c r="E334" s="107"/>
      <c r="F334" s="122"/>
      <c r="G334" s="22"/>
      <c r="H334" s="123"/>
      <c r="I334" s="126"/>
      <c r="J334" s="130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>
      <c r="A335" s="107"/>
      <c r="B335" s="138"/>
      <c r="C335" s="120"/>
      <c r="D335" s="121"/>
      <c r="E335" s="107"/>
      <c r="F335" s="122"/>
      <c r="G335" s="22"/>
      <c r="H335" s="123"/>
      <c r="I335" s="126"/>
      <c r="J335" s="130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>
      <c r="A336" s="107"/>
      <c r="B336" s="138"/>
      <c r="C336" s="120"/>
      <c r="D336" s="121"/>
      <c r="E336" s="107"/>
      <c r="F336" s="122"/>
      <c r="G336" s="22"/>
      <c r="H336" s="123"/>
      <c r="I336" s="126"/>
      <c r="J336" s="130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>
      <c r="A337" s="107"/>
      <c r="B337" s="138"/>
      <c r="C337" s="120"/>
      <c r="D337" s="121"/>
      <c r="E337" s="107"/>
      <c r="F337" s="122"/>
      <c r="G337" s="22"/>
      <c r="H337" s="123"/>
      <c r="I337" s="126"/>
      <c r="J337" s="130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>
      <c r="A338" s="107"/>
      <c r="B338" s="138"/>
      <c r="C338" s="120"/>
      <c r="D338" s="121"/>
      <c r="E338" s="107"/>
      <c r="F338" s="122"/>
      <c r="G338" s="22"/>
      <c r="H338" s="123"/>
      <c r="I338" s="126"/>
      <c r="J338" s="130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>
      <c r="A339" s="107"/>
      <c r="B339" s="138"/>
      <c r="C339" s="120"/>
      <c r="D339" s="121"/>
      <c r="E339" s="107"/>
      <c r="F339" s="122"/>
      <c r="G339" s="22"/>
      <c r="H339" s="123"/>
      <c r="I339" s="126"/>
      <c r="J339" s="130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>
      <c r="A340" s="107"/>
      <c r="B340" s="138"/>
      <c r="C340" s="120"/>
      <c r="D340" s="121"/>
      <c r="E340" s="107"/>
      <c r="F340" s="122"/>
      <c r="G340" s="22"/>
      <c r="H340" s="123"/>
      <c r="I340" s="126"/>
      <c r="J340" s="130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>
      <c r="A341" s="107"/>
      <c r="B341" s="138"/>
      <c r="C341" s="120"/>
      <c r="D341" s="121"/>
      <c r="E341" s="107"/>
      <c r="F341" s="122"/>
      <c r="G341" s="22"/>
      <c r="H341" s="123"/>
      <c r="I341" s="126"/>
      <c r="J341" s="130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>
      <c r="A342" s="107"/>
      <c r="B342" s="138"/>
      <c r="C342" s="120"/>
      <c r="D342" s="121"/>
      <c r="E342" s="107"/>
      <c r="F342" s="122"/>
      <c r="G342" s="22"/>
      <c r="H342" s="123"/>
      <c r="I342" s="126"/>
      <c r="J342" s="130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>
      <c r="A343" s="107"/>
      <c r="B343" s="138"/>
      <c r="C343" s="120"/>
      <c r="D343" s="121"/>
      <c r="E343" s="107"/>
      <c r="F343" s="122"/>
      <c r="G343" s="22"/>
      <c r="H343" s="123"/>
      <c r="I343" s="126"/>
      <c r="J343" s="130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>
      <c r="A344" s="107"/>
      <c r="B344" s="138"/>
      <c r="C344" s="120"/>
      <c r="D344" s="121"/>
      <c r="E344" s="107"/>
      <c r="F344" s="122"/>
      <c r="G344" s="22"/>
      <c r="H344" s="123"/>
      <c r="I344" s="126"/>
      <c r="J344" s="130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>
      <c r="A345" s="107"/>
      <c r="B345" s="138"/>
      <c r="C345" s="120"/>
      <c r="D345" s="121"/>
      <c r="E345" s="107"/>
      <c r="F345" s="122"/>
      <c r="G345" s="22"/>
      <c r="H345" s="123"/>
      <c r="I345" s="126"/>
      <c r="J345" s="130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>
      <c r="A346" s="107"/>
      <c r="B346" s="138"/>
      <c r="C346" s="120"/>
      <c r="D346" s="121"/>
      <c r="E346" s="107"/>
      <c r="F346" s="122"/>
      <c r="G346" s="22"/>
      <c r="H346" s="123"/>
      <c r="I346" s="126"/>
      <c r="J346" s="130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>
      <c r="A347" s="107"/>
      <c r="B347" s="138"/>
      <c r="C347" s="120"/>
      <c r="D347" s="121"/>
      <c r="E347" s="107"/>
      <c r="F347" s="122"/>
      <c r="G347" s="22"/>
      <c r="H347" s="123"/>
      <c r="I347" s="126"/>
      <c r="J347" s="130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>
      <c r="A348" s="107"/>
      <c r="B348" s="138"/>
      <c r="C348" s="120"/>
      <c r="D348" s="121"/>
      <c r="E348" s="107"/>
      <c r="F348" s="122"/>
      <c r="G348" s="22"/>
      <c r="H348" s="123"/>
      <c r="I348" s="126"/>
      <c r="J348" s="130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>
      <c r="A349" s="107"/>
      <c r="B349" s="138"/>
      <c r="C349" s="120"/>
      <c r="D349" s="121"/>
      <c r="E349" s="107"/>
      <c r="F349" s="122"/>
      <c r="G349" s="22"/>
      <c r="H349" s="123"/>
      <c r="I349" s="126"/>
      <c r="J349" s="130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>
      <c r="A350" s="107"/>
      <c r="B350" s="138"/>
      <c r="C350" s="120"/>
      <c r="D350" s="121"/>
      <c r="E350" s="107"/>
      <c r="F350" s="122"/>
      <c r="G350" s="22"/>
      <c r="H350" s="123"/>
      <c r="I350" s="126"/>
      <c r="J350" s="130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>
      <c r="A351" s="107"/>
      <c r="B351" s="138"/>
      <c r="C351" s="120"/>
      <c r="D351" s="121"/>
      <c r="E351" s="107"/>
      <c r="F351" s="122"/>
      <c r="G351" s="22"/>
      <c r="H351" s="123"/>
      <c r="I351" s="126"/>
      <c r="J351" s="130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>
      <c r="A352" s="107"/>
      <c r="B352" s="138"/>
      <c r="C352" s="120"/>
      <c r="D352" s="121"/>
      <c r="E352" s="107"/>
      <c r="F352" s="122"/>
      <c r="G352" s="22"/>
      <c r="H352" s="123"/>
      <c r="I352" s="126"/>
      <c r="J352" s="130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>
      <c r="A353" s="107"/>
      <c r="B353" s="138"/>
      <c r="C353" s="120"/>
      <c r="D353" s="121"/>
      <c r="E353" s="107"/>
      <c r="F353" s="122"/>
      <c r="G353" s="22"/>
      <c r="H353" s="123"/>
      <c r="I353" s="126"/>
      <c r="J353" s="130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>
      <c r="A354" s="107"/>
      <c r="B354" s="138"/>
      <c r="C354" s="120"/>
      <c r="D354" s="121"/>
      <c r="E354" s="107"/>
      <c r="F354" s="122"/>
      <c r="G354" s="22"/>
      <c r="H354" s="123"/>
      <c r="I354" s="126"/>
      <c r="J354" s="130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>
      <c r="A355" s="107"/>
      <c r="B355" s="138"/>
      <c r="C355" s="120"/>
      <c r="D355" s="121"/>
      <c r="E355" s="107"/>
      <c r="F355" s="122"/>
      <c r="G355" s="22"/>
      <c r="H355" s="123"/>
      <c r="I355" s="126"/>
      <c r="J355" s="130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>
      <c r="A356" s="107"/>
      <c r="B356" s="138"/>
      <c r="C356" s="120"/>
      <c r="D356" s="121"/>
      <c r="E356" s="107"/>
      <c r="F356" s="122"/>
      <c r="G356" s="22"/>
      <c r="H356" s="123"/>
      <c r="I356" s="126"/>
      <c r="J356" s="130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>
      <c r="A357" s="107"/>
      <c r="B357" s="138"/>
      <c r="C357" s="120"/>
      <c r="D357" s="121"/>
      <c r="E357" s="107"/>
      <c r="F357" s="122"/>
      <c r="G357" s="22"/>
      <c r="H357" s="123"/>
      <c r="I357" s="126"/>
      <c r="J357" s="130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>
      <c r="A358" s="107"/>
      <c r="B358" s="138"/>
      <c r="C358" s="120"/>
      <c r="D358" s="121"/>
      <c r="E358" s="107"/>
      <c r="F358" s="122"/>
      <c r="G358" s="22"/>
      <c r="H358" s="123"/>
      <c r="I358" s="126"/>
      <c r="J358" s="130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>
      <c r="A359" s="107"/>
      <c r="B359" s="138"/>
      <c r="C359" s="120"/>
      <c r="D359" s="121"/>
      <c r="E359" s="107"/>
      <c r="F359" s="122"/>
      <c r="G359" s="22"/>
      <c r="H359" s="123"/>
      <c r="I359" s="126"/>
      <c r="J359" s="130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>
      <c r="A360" s="107"/>
      <c r="B360" s="138"/>
      <c r="C360" s="120"/>
      <c r="D360" s="121"/>
      <c r="E360" s="107"/>
      <c r="F360" s="122"/>
      <c r="G360" s="22"/>
      <c r="H360" s="123"/>
      <c r="I360" s="126"/>
      <c r="J360" s="130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>
      <c r="A361" s="107"/>
      <c r="B361" s="138"/>
      <c r="C361" s="120"/>
      <c r="D361" s="121"/>
      <c r="E361" s="107"/>
      <c r="F361" s="122"/>
      <c r="G361" s="22"/>
      <c r="H361" s="123"/>
      <c r="I361" s="126"/>
      <c r="J361" s="130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>
      <c r="A362" s="107"/>
      <c r="B362" s="138"/>
      <c r="C362" s="120"/>
      <c r="D362" s="121"/>
      <c r="E362" s="107"/>
      <c r="F362" s="122"/>
      <c r="G362" s="22"/>
      <c r="H362" s="123"/>
      <c r="I362" s="126"/>
      <c r="J362" s="130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>
      <c r="A363" s="107"/>
      <c r="B363" s="138"/>
      <c r="C363" s="120"/>
      <c r="D363" s="121"/>
      <c r="E363" s="107"/>
      <c r="F363" s="122"/>
      <c r="G363" s="22"/>
      <c r="H363" s="123"/>
      <c r="I363" s="126"/>
      <c r="J363" s="130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>
      <c r="A364" s="107"/>
      <c r="B364" s="138"/>
      <c r="C364" s="120"/>
      <c r="D364" s="121"/>
      <c r="E364" s="107"/>
      <c r="F364" s="122"/>
      <c r="G364" s="22"/>
      <c r="H364" s="123"/>
      <c r="I364" s="126"/>
      <c r="J364" s="130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>
      <c r="A365" s="107"/>
      <c r="B365" s="138"/>
      <c r="C365" s="120"/>
      <c r="D365" s="121"/>
      <c r="E365" s="107"/>
      <c r="F365" s="122"/>
      <c r="G365" s="22"/>
      <c r="H365" s="123"/>
      <c r="I365" s="126"/>
      <c r="J365" s="130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>
      <c r="A366" s="107"/>
      <c r="B366" s="138"/>
      <c r="C366" s="120"/>
      <c r="D366" s="121"/>
      <c r="E366" s="107"/>
      <c r="F366" s="122"/>
      <c r="G366" s="22"/>
      <c r="H366" s="123"/>
      <c r="I366" s="126"/>
      <c r="J366" s="130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>
      <c r="A367" s="107"/>
      <c r="B367" s="138"/>
      <c r="C367" s="120"/>
      <c r="D367" s="121"/>
      <c r="E367" s="107"/>
      <c r="F367" s="122"/>
      <c r="G367" s="22"/>
      <c r="H367" s="123"/>
      <c r="I367" s="126"/>
      <c r="J367" s="130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>
      <c r="A368" s="107"/>
      <c r="B368" s="138"/>
      <c r="C368" s="120"/>
      <c r="D368" s="121"/>
      <c r="E368" s="107"/>
      <c r="F368" s="122"/>
      <c r="G368" s="22"/>
      <c r="H368" s="123"/>
      <c r="I368" s="126"/>
      <c r="J368" s="130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>
      <c r="A369" s="107"/>
      <c r="B369" s="138"/>
      <c r="C369" s="120"/>
      <c r="D369" s="121"/>
      <c r="E369" s="107"/>
      <c r="F369" s="122"/>
      <c r="G369" s="22"/>
      <c r="H369" s="123"/>
      <c r="I369" s="126"/>
      <c r="J369" s="130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>
      <c r="A370" s="107"/>
      <c r="B370" s="138"/>
      <c r="C370" s="120"/>
      <c r="D370" s="121"/>
      <c r="E370" s="107"/>
      <c r="F370" s="122"/>
      <c r="G370" s="22"/>
      <c r="H370" s="123"/>
      <c r="I370" s="126"/>
      <c r="J370" s="130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>
      <c r="A371" s="107"/>
      <c r="B371" s="138"/>
      <c r="C371" s="120"/>
      <c r="D371" s="121"/>
      <c r="E371" s="107"/>
      <c r="F371" s="122"/>
      <c r="G371" s="22"/>
      <c r="H371" s="123"/>
      <c r="I371" s="126"/>
      <c r="J371" s="130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>
      <c r="A372" s="107"/>
      <c r="B372" s="138"/>
      <c r="C372" s="120"/>
      <c r="D372" s="121"/>
      <c r="E372" s="107"/>
      <c r="F372" s="122"/>
      <c r="G372" s="22"/>
      <c r="H372" s="123"/>
      <c r="I372" s="126"/>
      <c r="J372" s="130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>
      <c r="A373" s="107"/>
      <c r="B373" s="138"/>
      <c r="C373" s="120"/>
      <c r="D373" s="121"/>
      <c r="E373" s="107"/>
      <c r="F373" s="122"/>
      <c r="G373" s="22"/>
      <c r="H373" s="123"/>
      <c r="I373" s="126"/>
      <c r="J373" s="130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>
      <c r="A374" s="107"/>
      <c r="B374" s="138"/>
      <c r="C374" s="120"/>
      <c r="D374" s="121"/>
      <c r="E374" s="107"/>
      <c r="F374" s="122"/>
      <c r="G374" s="22"/>
      <c r="H374" s="123"/>
      <c r="I374" s="126"/>
      <c r="J374" s="130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>
      <c r="A375" s="107"/>
      <c r="B375" s="138"/>
      <c r="C375" s="120"/>
      <c r="D375" s="121"/>
      <c r="E375" s="107"/>
      <c r="F375" s="122"/>
      <c r="G375" s="22"/>
      <c r="H375" s="123"/>
      <c r="I375" s="126"/>
      <c r="J375" s="130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>
      <c r="A376" s="107"/>
      <c r="B376" s="138"/>
      <c r="C376" s="120"/>
      <c r="D376" s="121"/>
      <c r="E376" s="107"/>
      <c r="F376" s="122"/>
      <c r="G376" s="22"/>
      <c r="H376" s="123"/>
      <c r="I376" s="126"/>
      <c r="J376" s="130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>
      <c r="A377" s="107"/>
      <c r="B377" s="138"/>
      <c r="C377" s="120"/>
      <c r="D377" s="121"/>
      <c r="E377" s="107"/>
      <c r="F377" s="122"/>
      <c r="G377" s="22"/>
      <c r="H377" s="123"/>
      <c r="I377" s="126"/>
      <c r="J377" s="130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>
      <c r="A378" s="107"/>
      <c r="B378" s="138"/>
      <c r="C378" s="120"/>
      <c r="D378" s="121"/>
      <c r="E378" s="107"/>
      <c r="F378" s="122"/>
      <c r="G378" s="22"/>
      <c r="H378" s="123"/>
      <c r="I378" s="126"/>
      <c r="J378" s="130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>
      <c r="A379" s="107"/>
      <c r="B379" s="138"/>
      <c r="C379" s="120"/>
      <c r="D379" s="121"/>
      <c r="E379" s="107"/>
      <c r="F379" s="122"/>
      <c r="G379" s="22"/>
      <c r="H379" s="123"/>
      <c r="I379" s="126"/>
      <c r="J379" s="130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>
      <c r="A380" s="107"/>
      <c r="B380" s="138"/>
      <c r="C380" s="120"/>
      <c r="D380" s="121"/>
      <c r="E380" s="107"/>
      <c r="F380" s="122"/>
      <c r="G380" s="22"/>
      <c r="H380" s="123"/>
      <c r="I380" s="126"/>
      <c r="J380" s="130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>
      <c r="A381" s="107"/>
      <c r="B381" s="138"/>
      <c r="C381" s="120"/>
      <c r="D381" s="121"/>
      <c r="E381" s="107"/>
      <c r="F381" s="122"/>
      <c r="G381" s="22"/>
      <c r="H381" s="123"/>
      <c r="I381" s="126"/>
      <c r="J381" s="130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>
      <c r="A382" s="107"/>
      <c r="B382" s="138"/>
      <c r="C382" s="120"/>
      <c r="D382" s="121"/>
      <c r="E382" s="107"/>
      <c r="F382" s="122"/>
      <c r="G382" s="22"/>
      <c r="H382" s="123"/>
      <c r="I382" s="126"/>
      <c r="J382" s="130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>
      <c r="A383" s="107"/>
      <c r="B383" s="138"/>
      <c r="C383" s="120"/>
      <c r="D383" s="121"/>
      <c r="E383" s="107"/>
      <c r="F383" s="122"/>
      <c r="G383" s="22"/>
      <c r="H383" s="123"/>
      <c r="I383" s="126"/>
      <c r="J383" s="130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>
      <c r="A384" s="107"/>
      <c r="B384" s="138"/>
      <c r="C384" s="120"/>
      <c r="D384" s="121"/>
      <c r="E384" s="107"/>
      <c r="F384" s="122"/>
      <c r="G384" s="22"/>
      <c r="H384" s="123"/>
      <c r="I384" s="126"/>
      <c r="J384" s="130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>
      <c r="A385" s="107"/>
      <c r="B385" s="138"/>
      <c r="C385" s="120"/>
      <c r="D385" s="121"/>
      <c r="E385" s="107"/>
      <c r="F385" s="122"/>
      <c r="G385" s="22"/>
      <c r="H385" s="123"/>
      <c r="I385" s="126"/>
      <c r="J385" s="130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>
      <c r="A386" s="107"/>
      <c r="B386" s="138"/>
      <c r="C386" s="120"/>
      <c r="D386" s="121"/>
      <c r="E386" s="107"/>
      <c r="F386" s="122"/>
      <c r="G386" s="22"/>
      <c r="H386" s="123"/>
      <c r="I386" s="126"/>
      <c r="J386" s="130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>
      <c r="A387" s="107"/>
      <c r="B387" s="138"/>
      <c r="C387" s="120"/>
      <c r="D387" s="121"/>
      <c r="E387" s="107"/>
      <c r="F387" s="122"/>
      <c r="G387" s="22"/>
      <c r="H387" s="123"/>
      <c r="I387" s="126"/>
      <c r="J387" s="130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>
      <c r="A388" s="107"/>
      <c r="B388" s="138"/>
      <c r="C388" s="120"/>
      <c r="D388" s="121"/>
      <c r="E388" s="107"/>
      <c r="F388" s="122"/>
      <c r="G388" s="22"/>
      <c r="H388" s="123"/>
      <c r="I388" s="126"/>
      <c r="J388" s="130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>
      <c r="A389" s="107"/>
      <c r="B389" s="138"/>
      <c r="C389" s="120"/>
      <c r="D389" s="121"/>
      <c r="E389" s="107"/>
      <c r="F389" s="122"/>
      <c r="G389" s="22"/>
      <c r="H389" s="123"/>
      <c r="I389" s="126"/>
      <c r="J389" s="130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>
      <c r="A390" s="107"/>
      <c r="B390" s="138"/>
      <c r="C390" s="120"/>
      <c r="D390" s="121"/>
      <c r="E390" s="107"/>
      <c r="F390" s="122"/>
      <c r="G390" s="22"/>
      <c r="H390" s="123"/>
      <c r="I390" s="126"/>
      <c r="J390" s="130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>
      <c r="A391" s="107"/>
      <c r="B391" s="138"/>
      <c r="C391" s="120"/>
      <c r="D391" s="121"/>
      <c r="E391" s="107"/>
      <c r="F391" s="122"/>
      <c r="G391" s="22"/>
      <c r="H391" s="123"/>
      <c r="I391" s="126"/>
      <c r="J391" s="130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>
      <c r="A392" s="107"/>
      <c r="B392" s="138"/>
      <c r="C392" s="120"/>
      <c r="D392" s="121"/>
      <c r="E392" s="107"/>
      <c r="F392" s="122"/>
      <c r="G392" s="22"/>
      <c r="H392" s="123"/>
      <c r="I392" s="126"/>
      <c r="J392" s="130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>
      <c r="A393" s="107"/>
      <c r="B393" s="138"/>
      <c r="C393" s="120"/>
      <c r="D393" s="121"/>
      <c r="E393" s="107"/>
      <c r="F393" s="122"/>
      <c r="G393" s="22"/>
      <c r="H393" s="123"/>
      <c r="I393" s="126"/>
      <c r="J393" s="130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>
      <c r="A394" s="107"/>
      <c r="B394" s="138"/>
      <c r="C394" s="120"/>
      <c r="D394" s="121"/>
      <c r="E394" s="107"/>
      <c r="F394" s="122"/>
      <c r="G394" s="22"/>
      <c r="H394" s="123"/>
      <c r="I394" s="126"/>
      <c r="J394" s="130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>
      <c r="A395" s="107"/>
      <c r="B395" s="138"/>
      <c r="C395" s="120"/>
      <c r="D395" s="121"/>
      <c r="E395" s="107"/>
      <c r="F395" s="122"/>
      <c r="G395" s="22"/>
      <c r="H395" s="123"/>
      <c r="I395" s="126"/>
      <c r="J395" s="130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>
      <c r="A396" s="107"/>
      <c r="B396" s="138"/>
      <c r="C396" s="120"/>
      <c r="D396" s="121"/>
      <c r="E396" s="107"/>
      <c r="F396" s="122"/>
      <c r="G396" s="22"/>
      <c r="H396" s="123"/>
      <c r="I396" s="126"/>
      <c r="J396" s="130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>
      <c r="A397" s="107"/>
      <c r="B397" s="138"/>
      <c r="C397" s="120"/>
      <c r="D397" s="121"/>
      <c r="E397" s="107"/>
      <c r="F397" s="122"/>
      <c r="G397" s="22"/>
      <c r="H397" s="123"/>
      <c r="I397" s="126"/>
      <c r="J397" s="130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>
      <c r="A398" s="107"/>
      <c r="B398" s="138"/>
      <c r="C398" s="120"/>
      <c r="D398" s="121"/>
      <c r="E398" s="107"/>
      <c r="F398" s="122"/>
      <c r="G398" s="22"/>
      <c r="H398" s="123"/>
      <c r="I398" s="126"/>
      <c r="J398" s="130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>
      <c r="A399" s="107"/>
      <c r="B399" s="138"/>
      <c r="C399" s="120"/>
      <c r="D399" s="121"/>
      <c r="E399" s="107"/>
      <c r="F399" s="122"/>
      <c r="G399" s="22"/>
      <c r="H399" s="123"/>
      <c r="I399" s="126"/>
      <c r="J399" s="130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>
      <c r="A400" s="107"/>
      <c r="B400" s="138"/>
      <c r="C400" s="120"/>
      <c r="D400" s="121"/>
      <c r="E400" s="107"/>
      <c r="F400" s="122"/>
      <c r="G400" s="22"/>
      <c r="H400" s="123"/>
      <c r="I400" s="126"/>
      <c r="J400" s="130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>
      <c r="A401" s="107"/>
      <c r="B401" s="138"/>
      <c r="C401" s="120"/>
      <c r="D401" s="121"/>
      <c r="E401" s="107"/>
      <c r="F401" s="122"/>
      <c r="G401" s="22"/>
      <c r="H401" s="123"/>
      <c r="I401" s="126"/>
      <c r="J401" s="130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>
      <c r="A402" s="107"/>
      <c r="B402" s="138"/>
      <c r="C402" s="120"/>
      <c r="D402" s="121"/>
      <c r="E402" s="107"/>
      <c r="F402" s="122"/>
      <c r="G402" s="22"/>
      <c r="H402" s="123"/>
      <c r="I402" s="126"/>
      <c r="J402" s="130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>
      <c r="A403" s="107"/>
      <c r="B403" s="138"/>
      <c r="C403" s="120"/>
      <c r="D403" s="121"/>
      <c r="E403" s="107"/>
      <c r="F403" s="122"/>
      <c r="G403" s="22"/>
      <c r="H403" s="123"/>
      <c r="I403" s="126"/>
      <c r="J403" s="130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>
      <c r="A404" s="107"/>
      <c r="B404" s="138"/>
      <c r="C404" s="120"/>
      <c r="D404" s="121"/>
      <c r="E404" s="107"/>
      <c r="F404" s="122"/>
      <c r="G404" s="22"/>
      <c r="H404" s="123"/>
      <c r="I404" s="126"/>
      <c r="J404" s="130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>
      <c r="A405" s="107"/>
      <c r="B405" s="138"/>
      <c r="C405" s="120"/>
      <c r="D405" s="121"/>
      <c r="E405" s="107"/>
      <c r="F405" s="122"/>
      <c r="G405" s="22"/>
      <c r="H405" s="123"/>
      <c r="I405" s="126"/>
      <c r="J405" s="130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>
      <c r="A406" s="107"/>
      <c r="B406" s="138"/>
      <c r="C406" s="120"/>
      <c r="D406" s="121"/>
      <c r="E406" s="107"/>
      <c r="F406" s="122"/>
      <c r="G406" s="22"/>
      <c r="H406" s="123"/>
      <c r="I406" s="126"/>
      <c r="J406" s="130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>
      <c r="A407" s="107"/>
      <c r="B407" s="138"/>
      <c r="C407" s="120"/>
      <c r="D407" s="121"/>
      <c r="E407" s="107"/>
      <c r="F407" s="122"/>
      <c r="G407" s="22"/>
      <c r="H407" s="123"/>
      <c r="I407" s="126"/>
      <c r="J407" s="130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>
      <c r="A408" s="107"/>
      <c r="B408" s="138"/>
      <c r="C408" s="120"/>
      <c r="D408" s="121"/>
      <c r="E408" s="107"/>
      <c r="F408" s="122"/>
      <c r="G408" s="22"/>
      <c r="H408" s="123"/>
      <c r="I408" s="126"/>
      <c r="J408" s="130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>
      <c r="A409" s="107"/>
      <c r="B409" s="138"/>
      <c r="C409" s="120"/>
      <c r="D409" s="121"/>
      <c r="E409" s="107"/>
      <c r="F409" s="122"/>
      <c r="G409" s="22"/>
      <c r="H409" s="123"/>
      <c r="I409" s="126"/>
      <c r="J409" s="130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>
      <c r="A410" s="107"/>
      <c r="B410" s="138"/>
      <c r="C410" s="120"/>
      <c r="D410" s="121"/>
      <c r="E410" s="107"/>
      <c r="F410" s="122"/>
      <c r="G410" s="22"/>
      <c r="H410" s="123"/>
      <c r="I410" s="126"/>
      <c r="J410" s="130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>
      <c r="A411" s="107"/>
      <c r="B411" s="138"/>
      <c r="C411" s="120"/>
      <c r="D411" s="121"/>
      <c r="E411" s="107"/>
      <c r="F411" s="122"/>
      <c r="G411" s="22"/>
      <c r="H411" s="123"/>
      <c r="I411" s="126"/>
      <c r="J411" s="130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>
      <c r="A412" s="107"/>
      <c r="B412" s="138"/>
      <c r="C412" s="120"/>
      <c r="D412" s="121"/>
      <c r="E412" s="107"/>
      <c r="F412" s="122"/>
      <c r="G412" s="22"/>
      <c r="H412" s="123"/>
      <c r="I412" s="126"/>
      <c r="J412" s="130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>
      <c r="A413" s="107"/>
      <c r="B413" s="138"/>
      <c r="C413" s="120"/>
      <c r="D413" s="121"/>
      <c r="E413" s="107"/>
      <c r="F413" s="122"/>
      <c r="G413" s="22"/>
      <c r="H413" s="123"/>
      <c r="I413" s="126"/>
      <c r="J413" s="130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>
      <c r="A414" s="107"/>
      <c r="B414" s="138"/>
      <c r="C414" s="120"/>
      <c r="D414" s="121"/>
      <c r="E414" s="107"/>
      <c r="F414" s="122"/>
      <c r="G414" s="22"/>
      <c r="H414" s="123"/>
      <c r="I414" s="126"/>
      <c r="J414" s="130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>
      <c r="A415" s="107"/>
      <c r="B415" s="138"/>
      <c r="C415" s="120"/>
      <c r="D415" s="121"/>
      <c r="E415" s="107"/>
      <c r="F415" s="122"/>
      <c r="G415" s="22"/>
      <c r="H415" s="123"/>
      <c r="I415" s="126"/>
      <c r="J415" s="130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>
      <c r="A416" s="107"/>
      <c r="B416" s="138"/>
      <c r="C416" s="120"/>
      <c r="D416" s="121"/>
      <c r="E416" s="107"/>
      <c r="F416" s="122"/>
      <c r="G416" s="22"/>
      <c r="H416" s="123"/>
      <c r="I416" s="126"/>
      <c r="J416" s="130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>
      <c r="A417" s="107"/>
      <c r="B417" s="138"/>
      <c r="C417" s="120"/>
      <c r="D417" s="121"/>
      <c r="E417" s="107"/>
      <c r="F417" s="122"/>
      <c r="G417" s="22"/>
      <c r="H417" s="123"/>
      <c r="I417" s="126"/>
      <c r="J417" s="130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>
      <c r="A418" s="107"/>
      <c r="B418" s="138"/>
      <c r="C418" s="120"/>
      <c r="D418" s="121"/>
      <c r="E418" s="107"/>
      <c r="F418" s="122"/>
      <c r="G418" s="22"/>
      <c r="H418" s="123"/>
      <c r="I418" s="126"/>
      <c r="J418" s="130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>
      <c r="A419" s="107"/>
      <c r="B419" s="138"/>
      <c r="C419" s="120"/>
      <c r="D419" s="121"/>
      <c r="E419" s="107"/>
      <c r="F419" s="122"/>
      <c r="G419" s="22"/>
      <c r="H419" s="123"/>
      <c r="I419" s="126"/>
      <c r="J419" s="130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>
      <c r="A420" s="107"/>
      <c r="B420" s="138"/>
      <c r="C420" s="120"/>
      <c r="D420" s="121"/>
      <c r="E420" s="107"/>
      <c r="F420" s="122"/>
      <c r="G420" s="22"/>
      <c r="H420" s="123"/>
      <c r="I420" s="126"/>
      <c r="J420" s="130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>
      <c r="A421" s="107"/>
      <c r="B421" s="138"/>
      <c r="C421" s="120"/>
      <c r="D421" s="121"/>
      <c r="E421" s="107"/>
      <c r="F421" s="122"/>
      <c r="G421" s="22"/>
      <c r="H421" s="123"/>
      <c r="I421" s="126"/>
      <c r="J421" s="130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>
      <c r="A422" s="107"/>
      <c r="B422" s="138"/>
      <c r="C422" s="120"/>
      <c r="D422" s="121"/>
      <c r="E422" s="107"/>
      <c r="F422" s="122"/>
      <c r="G422" s="22"/>
      <c r="H422" s="123"/>
      <c r="I422" s="126"/>
      <c r="J422" s="130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>
      <c r="A423" s="107"/>
      <c r="B423" s="138"/>
      <c r="C423" s="120"/>
      <c r="D423" s="121"/>
      <c r="E423" s="107"/>
      <c r="F423" s="122"/>
      <c r="G423" s="22"/>
      <c r="H423" s="123"/>
      <c r="I423" s="126"/>
      <c r="J423" s="130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>
      <c r="A424" s="107"/>
      <c r="B424" s="138"/>
      <c r="C424" s="120"/>
      <c r="D424" s="121"/>
      <c r="E424" s="107"/>
      <c r="F424" s="122"/>
      <c r="G424" s="22"/>
      <c r="H424" s="123"/>
      <c r="I424" s="126"/>
      <c r="J424" s="130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>
      <c r="A425" s="107"/>
      <c r="B425" s="138"/>
      <c r="C425" s="120"/>
      <c r="D425" s="121"/>
      <c r="E425" s="107"/>
      <c r="F425" s="122"/>
      <c r="G425" s="22"/>
      <c r="H425" s="123"/>
      <c r="I425" s="126"/>
      <c r="J425" s="130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>
      <c r="A426" s="107"/>
      <c r="B426" s="138"/>
      <c r="C426" s="120"/>
      <c r="D426" s="121"/>
      <c r="E426" s="107"/>
      <c r="F426" s="122"/>
      <c r="G426" s="22"/>
      <c r="H426" s="123"/>
      <c r="I426" s="126"/>
      <c r="J426" s="130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>
      <c r="A427" s="107"/>
      <c r="B427" s="138"/>
      <c r="C427" s="120"/>
      <c r="D427" s="121"/>
      <c r="E427" s="107"/>
      <c r="F427" s="122"/>
      <c r="G427" s="22"/>
      <c r="H427" s="123"/>
      <c r="I427" s="126"/>
      <c r="J427" s="130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>
      <c r="A428" s="107"/>
      <c r="B428" s="138"/>
      <c r="C428" s="120"/>
      <c r="D428" s="121"/>
      <c r="E428" s="107"/>
      <c r="F428" s="122"/>
      <c r="G428" s="22"/>
      <c r="H428" s="123"/>
      <c r="I428" s="126"/>
      <c r="J428" s="130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>
      <c r="A429" s="107"/>
      <c r="B429" s="138"/>
      <c r="C429" s="120"/>
      <c r="D429" s="121"/>
      <c r="E429" s="107"/>
      <c r="F429" s="122"/>
      <c r="G429" s="22"/>
      <c r="H429" s="123"/>
      <c r="I429" s="126"/>
      <c r="J429" s="130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>
      <c r="A430" s="107"/>
      <c r="B430" s="138"/>
      <c r="C430" s="120"/>
      <c r="D430" s="121"/>
      <c r="E430" s="107"/>
      <c r="F430" s="122"/>
      <c r="G430" s="22"/>
      <c r="H430" s="123"/>
      <c r="I430" s="126"/>
      <c r="J430" s="130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>
      <c r="A431" s="107"/>
      <c r="B431" s="138"/>
      <c r="C431" s="120"/>
      <c r="D431" s="121"/>
      <c r="E431" s="107"/>
      <c r="F431" s="122"/>
      <c r="G431" s="22"/>
      <c r="H431" s="123"/>
      <c r="I431" s="126"/>
      <c r="J431" s="130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>
      <c r="A432" s="107"/>
      <c r="B432" s="138"/>
      <c r="C432" s="120"/>
      <c r="D432" s="121"/>
      <c r="E432" s="107"/>
      <c r="F432" s="122"/>
      <c r="G432" s="22"/>
      <c r="H432" s="123"/>
      <c r="I432" s="126"/>
      <c r="J432" s="130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>
      <c r="A433" s="107"/>
      <c r="B433" s="138"/>
      <c r="C433" s="120"/>
      <c r="D433" s="121"/>
      <c r="E433" s="107"/>
      <c r="F433" s="122"/>
      <c r="G433" s="22"/>
      <c r="H433" s="123"/>
      <c r="I433" s="126"/>
      <c r="J433" s="130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>
      <c r="A434" s="107"/>
      <c r="B434" s="138"/>
      <c r="C434" s="120"/>
      <c r="D434" s="121"/>
      <c r="E434" s="107"/>
      <c r="F434" s="122"/>
      <c r="G434" s="22"/>
      <c r="H434" s="123"/>
      <c r="I434" s="126"/>
      <c r="J434" s="130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>
      <c r="A435" s="107"/>
      <c r="B435" s="138"/>
      <c r="C435" s="120"/>
      <c r="D435" s="121"/>
      <c r="E435" s="107"/>
      <c r="F435" s="122"/>
      <c r="G435" s="22"/>
      <c r="H435" s="123"/>
      <c r="I435" s="126"/>
      <c r="J435" s="130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>
      <c r="A436" s="107"/>
      <c r="B436" s="138"/>
      <c r="C436" s="120"/>
      <c r="D436" s="121"/>
      <c r="E436" s="107"/>
      <c r="F436" s="122"/>
      <c r="G436" s="22"/>
      <c r="H436" s="123"/>
      <c r="I436" s="126"/>
      <c r="J436" s="130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>
      <c r="A437" s="107"/>
      <c r="B437" s="138"/>
      <c r="C437" s="120"/>
      <c r="D437" s="121"/>
      <c r="E437" s="107"/>
      <c r="F437" s="122"/>
      <c r="G437" s="22"/>
      <c r="H437" s="123"/>
      <c r="I437" s="126"/>
      <c r="J437" s="130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>
      <c r="A438" s="107"/>
      <c r="B438" s="138"/>
      <c r="C438" s="120"/>
      <c r="D438" s="121"/>
      <c r="E438" s="107"/>
      <c r="F438" s="122"/>
      <c r="G438" s="22"/>
      <c r="H438" s="123"/>
      <c r="I438" s="126"/>
      <c r="J438" s="130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>
      <c r="A439" s="107"/>
      <c r="B439" s="138"/>
      <c r="C439" s="120"/>
      <c r="D439" s="121"/>
      <c r="E439" s="107"/>
      <c r="F439" s="122"/>
      <c r="G439" s="22"/>
      <c r="H439" s="123"/>
      <c r="I439" s="126"/>
      <c r="J439" s="130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>
      <c r="A440" s="107"/>
      <c r="B440" s="138"/>
      <c r="C440" s="120"/>
      <c r="D440" s="121"/>
      <c r="E440" s="107"/>
      <c r="F440" s="122"/>
      <c r="G440" s="22"/>
      <c r="H440" s="123"/>
      <c r="I440" s="126"/>
      <c r="J440" s="130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>
      <c r="A441" s="107"/>
      <c r="B441" s="138"/>
      <c r="C441" s="120"/>
      <c r="D441" s="121"/>
      <c r="E441" s="107"/>
      <c r="F441" s="122"/>
      <c r="G441" s="22"/>
      <c r="H441" s="123"/>
      <c r="I441" s="126"/>
      <c r="J441" s="130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>
      <c r="A442" s="107"/>
      <c r="B442" s="138"/>
      <c r="C442" s="120"/>
      <c r="D442" s="121"/>
      <c r="E442" s="107"/>
      <c r="F442" s="122"/>
      <c r="G442" s="22"/>
      <c r="H442" s="123"/>
      <c r="I442" s="126"/>
      <c r="J442" s="130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>
      <c r="A443" s="107"/>
      <c r="B443" s="138"/>
      <c r="C443" s="120"/>
      <c r="D443" s="121"/>
      <c r="E443" s="107"/>
      <c r="F443" s="122"/>
      <c r="G443" s="22"/>
      <c r="H443" s="123"/>
      <c r="I443" s="126"/>
      <c r="J443" s="130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>
      <c r="A444" s="107"/>
      <c r="B444" s="138"/>
      <c r="C444" s="120"/>
      <c r="D444" s="121"/>
      <c r="E444" s="107"/>
      <c r="F444" s="122"/>
      <c r="G444" s="22"/>
      <c r="H444" s="123"/>
      <c r="I444" s="126"/>
      <c r="J444" s="130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>
      <c r="A445" s="107"/>
      <c r="B445" s="138"/>
      <c r="C445" s="120"/>
      <c r="D445" s="121"/>
      <c r="E445" s="107"/>
      <c r="F445" s="122"/>
      <c r="G445" s="22"/>
      <c r="H445" s="123"/>
      <c r="I445" s="126"/>
      <c r="J445" s="130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>
      <c r="A446" s="107"/>
      <c r="B446" s="138"/>
      <c r="C446" s="120"/>
      <c r="D446" s="121"/>
      <c r="E446" s="107"/>
      <c r="F446" s="122"/>
      <c r="G446" s="22"/>
      <c r="H446" s="123"/>
      <c r="I446" s="126"/>
      <c r="J446" s="130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>
      <c r="A447" s="107"/>
      <c r="B447" s="138"/>
      <c r="C447" s="120"/>
      <c r="D447" s="121"/>
      <c r="E447" s="107"/>
      <c r="F447" s="122"/>
      <c r="G447" s="22"/>
      <c r="H447" s="123"/>
      <c r="I447" s="126"/>
      <c r="J447" s="130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>
      <c r="A448" s="107"/>
      <c r="B448" s="138"/>
      <c r="C448" s="120"/>
      <c r="D448" s="121"/>
      <c r="E448" s="107"/>
      <c r="F448" s="122"/>
      <c r="G448" s="22"/>
      <c r="H448" s="123"/>
      <c r="I448" s="126"/>
      <c r="J448" s="130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>
      <c r="A449" s="107"/>
      <c r="B449" s="138"/>
      <c r="C449" s="120"/>
      <c r="D449" s="121"/>
      <c r="E449" s="107"/>
      <c r="F449" s="122"/>
      <c r="G449" s="22"/>
      <c r="H449" s="123"/>
      <c r="I449" s="126"/>
      <c r="J449" s="130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>
      <c r="A450" s="107"/>
      <c r="B450" s="138"/>
      <c r="C450" s="120"/>
      <c r="D450" s="121"/>
      <c r="E450" s="107"/>
      <c r="F450" s="122"/>
      <c r="G450" s="22"/>
      <c r="H450" s="123"/>
      <c r="I450" s="126"/>
      <c r="J450" s="130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>
      <c r="A451" s="107"/>
      <c r="B451" s="138"/>
      <c r="C451" s="120"/>
      <c r="D451" s="121"/>
      <c r="E451" s="107"/>
      <c r="F451" s="122"/>
      <c r="G451" s="22"/>
      <c r="H451" s="123"/>
      <c r="I451" s="126"/>
      <c r="J451" s="130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>
      <c r="A452" s="107"/>
      <c r="B452" s="138"/>
      <c r="C452" s="120"/>
      <c r="D452" s="121"/>
      <c r="E452" s="107"/>
      <c r="F452" s="122"/>
      <c r="G452" s="22"/>
      <c r="H452" s="123"/>
      <c r="I452" s="126"/>
      <c r="J452" s="130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>
      <c r="A453" s="107"/>
      <c r="B453" s="138"/>
      <c r="C453" s="120"/>
      <c r="D453" s="121"/>
      <c r="E453" s="107"/>
      <c r="F453" s="122"/>
      <c r="G453" s="22"/>
      <c r="H453" s="123"/>
      <c r="I453" s="126"/>
      <c r="J453" s="130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>
      <c r="A454" s="107"/>
      <c r="B454" s="138"/>
      <c r="C454" s="120"/>
      <c r="D454" s="121"/>
      <c r="E454" s="107"/>
      <c r="F454" s="122"/>
      <c r="G454" s="22"/>
      <c r="H454" s="123"/>
      <c r="I454" s="126"/>
      <c r="J454" s="130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>
      <c r="A455" s="107"/>
      <c r="B455" s="138"/>
      <c r="C455" s="120"/>
      <c r="D455" s="121"/>
      <c r="E455" s="107"/>
      <c r="F455" s="122"/>
      <c r="G455" s="22"/>
      <c r="H455" s="123"/>
      <c r="I455" s="126"/>
      <c r="J455" s="130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>
      <c r="A456" s="107"/>
      <c r="B456" s="138"/>
      <c r="C456" s="120"/>
      <c r="D456" s="121"/>
      <c r="E456" s="107"/>
      <c r="F456" s="122"/>
      <c r="G456" s="22"/>
      <c r="H456" s="123"/>
      <c r="I456" s="126"/>
      <c r="J456" s="130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>
      <c r="A457" s="107"/>
      <c r="B457" s="138"/>
      <c r="C457" s="120"/>
      <c r="D457" s="121"/>
      <c r="E457" s="107"/>
      <c r="F457" s="122"/>
      <c r="G457" s="22"/>
      <c r="H457" s="123"/>
      <c r="I457" s="126"/>
      <c r="J457" s="130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>
      <c r="A458" s="107"/>
      <c r="B458" s="138"/>
      <c r="C458" s="120"/>
      <c r="D458" s="121"/>
      <c r="E458" s="107"/>
      <c r="F458" s="122"/>
      <c r="G458" s="22"/>
      <c r="H458" s="123"/>
      <c r="I458" s="126"/>
      <c r="J458" s="130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>
      <c r="A459" s="107"/>
      <c r="B459" s="138"/>
      <c r="C459" s="120"/>
      <c r="D459" s="121"/>
      <c r="E459" s="107"/>
      <c r="F459" s="122"/>
      <c r="G459" s="22"/>
      <c r="H459" s="123"/>
      <c r="I459" s="126"/>
      <c r="J459" s="130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>
      <c r="A460" s="107"/>
      <c r="B460" s="138"/>
      <c r="C460" s="120"/>
      <c r="D460" s="121"/>
      <c r="E460" s="107"/>
      <c r="F460" s="122"/>
      <c r="G460" s="22"/>
      <c r="H460" s="123"/>
      <c r="I460" s="126"/>
      <c r="J460" s="130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>
      <c r="A461" s="107"/>
      <c r="B461" s="138"/>
      <c r="C461" s="120"/>
      <c r="D461" s="121"/>
      <c r="E461" s="107"/>
      <c r="F461" s="122"/>
      <c r="G461" s="22"/>
      <c r="H461" s="123"/>
      <c r="I461" s="126"/>
      <c r="J461" s="130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>
      <c r="A462" s="107"/>
      <c r="B462" s="138"/>
      <c r="C462" s="120"/>
      <c r="D462" s="121"/>
      <c r="E462" s="107"/>
      <c r="F462" s="122"/>
      <c r="G462" s="22"/>
      <c r="H462" s="123"/>
      <c r="I462" s="126"/>
      <c r="J462" s="130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>
      <c r="A463" s="107"/>
      <c r="B463" s="138"/>
      <c r="C463" s="120"/>
      <c r="D463" s="121"/>
      <c r="E463" s="107"/>
      <c r="F463" s="122"/>
      <c r="G463" s="22"/>
      <c r="H463" s="123"/>
      <c r="I463" s="126"/>
      <c r="J463" s="130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>
      <c r="A464" s="107"/>
      <c r="B464" s="138"/>
      <c r="C464" s="120"/>
      <c r="D464" s="121"/>
      <c r="E464" s="107"/>
      <c r="F464" s="122"/>
      <c r="G464" s="22"/>
      <c r="H464" s="123"/>
      <c r="I464" s="126"/>
      <c r="J464" s="130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>
      <c r="A465" s="107"/>
      <c r="B465" s="138"/>
      <c r="C465" s="120"/>
      <c r="D465" s="121"/>
      <c r="E465" s="107"/>
      <c r="F465" s="122"/>
      <c r="G465" s="22"/>
      <c r="H465" s="123"/>
      <c r="I465" s="126"/>
      <c r="J465" s="130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>
      <c r="A466" s="107"/>
      <c r="B466" s="138"/>
      <c r="C466" s="120"/>
      <c r="D466" s="121"/>
      <c r="E466" s="107"/>
      <c r="F466" s="122"/>
      <c r="G466" s="22"/>
      <c r="H466" s="123"/>
      <c r="I466" s="126"/>
      <c r="J466" s="130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>
      <c r="A467" s="107"/>
      <c r="B467" s="138"/>
      <c r="C467" s="120"/>
      <c r="D467" s="121"/>
      <c r="E467" s="107"/>
      <c r="F467" s="122"/>
      <c r="G467" s="22"/>
      <c r="H467" s="123"/>
      <c r="I467" s="126"/>
      <c r="J467" s="130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>
      <c r="A468" s="107"/>
      <c r="B468" s="138"/>
      <c r="C468" s="120"/>
      <c r="D468" s="121"/>
      <c r="E468" s="107"/>
      <c r="F468" s="122"/>
      <c r="G468" s="22"/>
      <c r="H468" s="123"/>
      <c r="I468" s="126"/>
      <c r="J468" s="130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>
      <c r="A469" s="107"/>
      <c r="B469" s="138"/>
      <c r="C469" s="120"/>
      <c r="D469" s="121"/>
      <c r="E469" s="107"/>
      <c r="F469" s="122"/>
      <c r="G469" s="22"/>
      <c r="H469" s="123"/>
      <c r="I469" s="126"/>
      <c r="J469" s="130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>
      <c r="A470" s="107"/>
      <c r="B470" s="138"/>
      <c r="C470" s="120"/>
      <c r="D470" s="121"/>
      <c r="E470" s="107"/>
      <c r="F470" s="122"/>
      <c r="G470" s="22"/>
      <c r="H470" s="123"/>
      <c r="I470" s="126"/>
      <c r="J470" s="130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>
      <c r="A471" s="107"/>
      <c r="B471" s="138"/>
      <c r="C471" s="120"/>
      <c r="D471" s="121"/>
      <c r="E471" s="107"/>
      <c r="F471" s="122"/>
      <c r="G471" s="22"/>
      <c r="H471" s="123"/>
      <c r="I471" s="126"/>
      <c r="J471" s="130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>
      <c r="A472" s="107"/>
      <c r="B472" s="138"/>
      <c r="C472" s="120"/>
      <c r="D472" s="121"/>
      <c r="E472" s="107"/>
      <c r="F472" s="122"/>
      <c r="G472" s="22"/>
      <c r="H472" s="123"/>
      <c r="I472" s="126"/>
      <c r="J472" s="130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>
      <c r="A473" s="107"/>
      <c r="B473" s="138"/>
      <c r="C473" s="120"/>
      <c r="D473" s="121"/>
      <c r="E473" s="107"/>
      <c r="F473" s="122"/>
      <c r="G473" s="22"/>
      <c r="H473" s="123"/>
      <c r="I473" s="126"/>
      <c r="J473" s="130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>
      <c r="A474" s="107"/>
      <c r="B474" s="138"/>
      <c r="C474" s="120"/>
      <c r="D474" s="121"/>
      <c r="E474" s="107"/>
      <c r="F474" s="122"/>
      <c r="G474" s="22"/>
      <c r="H474" s="123"/>
      <c r="I474" s="126"/>
      <c r="J474" s="130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>
      <c r="A475" s="107"/>
      <c r="B475" s="138"/>
      <c r="C475" s="120"/>
      <c r="D475" s="121"/>
      <c r="E475" s="107"/>
      <c r="F475" s="122"/>
      <c r="G475" s="22"/>
      <c r="H475" s="123"/>
      <c r="I475" s="126"/>
      <c r="J475" s="130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>
      <c r="A476" s="107"/>
      <c r="B476" s="138"/>
      <c r="C476" s="120"/>
      <c r="D476" s="121"/>
      <c r="E476" s="107"/>
      <c r="F476" s="122"/>
      <c r="G476" s="22"/>
      <c r="H476" s="123"/>
      <c r="I476" s="126"/>
      <c r="J476" s="130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>
      <c r="A477" s="107"/>
      <c r="B477" s="138"/>
      <c r="C477" s="120"/>
      <c r="D477" s="121"/>
      <c r="E477" s="107"/>
      <c r="F477" s="122"/>
      <c r="G477" s="22"/>
      <c r="H477" s="123"/>
      <c r="I477" s="126"/>
      <c r="J477" s="130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>
      <c r="A478" s="107"/>
      <c r="B478" s="138"/>
      <c r="C478" s="120"/>
      <c r="D478" s="121"/>
      <c r="E478" s="107"/>
      <c r="F478" s="122"/>
      <c r="G478" s="22"/>
      <c r="H478" s="123"/>
      <c r="I478" s="126"/>
      <c r="J478" s="130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>
      <c r="A479" s="107"/>
      <c r="B479" s="138"/>
      <c r="C479" s="120"/>
      <c r="D479" s="121"/>
      <c r="E479" s="107"/>
      <c r="F479" s="122"/>
      <c r="G479" s="22"/>
      <c r="H479" s="123"/>
      <c r="I479" s="126"/>
      <c r="J479" s="130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>
      <c r="A480" s="107"/>
      <c r="B480" s="138"/>
      <c r="C480" s="120"/>
      <c r="D480" s="121"/>
      <c r="E480" s="107"/>
      <c r="F480" s="122"/>
      <c r="G480" s="22"/>
      <c r="H480" s="123"/>
      <c r="I480" s="126"/>
      <c r="J480" s="130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>
      <c r="A481" s="107"/>
      <c r="B481" s="138"/>
      <c r="C481" s="120"/>
      <c r="D481" s="121"/>
      <c r="E481" s="107"/>
      <c r="F481" s="122"/>
      <c r="G481" s="22"/>
      <c r="H481" s="123"/>
      <c r="I481" s="126"/>
      <c r="J481" s="130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>
      <c r="A482" s="107"/>
      <c r="B482" s="138"/>
      <c r="C482" s="120"/>
      <c r="D482" s="121"/>
      <c r="E482" s="107"/>
      <c r="F482" s="122"/>
      <c r="G482" s="22"/>
      <c r="H482" s="123"/>
      <c r="I482" s="126"/>
      <c r="J482" s="130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>
      <c r="A483" s="107"/>
      <c r="B483" s="138"/>
      <c r="C483" s="120"/>
      <c r="D483" s="121"/>
      <c r="E483" s="107"/>
      <c r="F483" s="122"/>
      <c r="G483" s="22"/>
      <c r="H483" s="123"/>
      <c r="I483" s="126"/>
      <c r="J483" s="130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>
      <c r="A484" s="107"/>
      <c r="B484" s="138"/>
      <c r="C484" s="120"/>
      <c r="D484" s="121"/>
      <c r="E484" s="107"/>
      <c r="F484" s="122"/>
      <c r="G484" s="22"/>
      <c r="H484" s="123"/>
      <c r="I484" s="126"/>
      <c r="J484" s="130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>
      <c r="A485" s="107"/>
      <c r="B485" s="138"/>
      <c r="C485" s="120"/>
      <c r="D485" s="121"/>
      <c r="E485" s="107"/>
      <c r="F485" s="122"/>
      <c r="G485" s="22"/>
      <c r="H485" s="123"/>
      <c r="I485" s="126"/>
      <c r="J485" s="130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>
      <c r="A486" s="107"/>
      <c r="B486" s="138"/>
      <c r="C486" s="120"/>
      <c r="D486" s="121"/>
      <c r="E486" s="107"/>
      <c r="F486" s="122"/>
      <c r="G486" s="22"/>
      <c r="H486" s="123"/>
      <c r="I486" s="126"/>
      <c r="J486" s="130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>
      <c r="A487" s="107"/>
      <c r="B487" s="138"/>
      <c r="C487" s="120"/>
      <c r="D487" s="121"/>
      <c r="E487" s="107"/>
      <c r="F487" s="122"/>
      <c r="G487" s="22"/>
      <c r="H487" s="123"/>
      <c r="I487" s="126"/>
      <c r="J487" s="130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>
      <c r="A488" s="107"/>
      <c r="B488" s="138"/>
      <c r="C488" s="120"/>
      <c r="D488" s="121"/>
      <c r="E488" s="107"/>
      <c r="F488" s="122"/>
      <c r="G488" s="22"/>
      <c r="H488" s="123"/>
      <c r="I488" s="126"/>
      <c r="J488" s="130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>
      <c r="A489" s="107"/>
      <c r="B489" s="138"/>
      <c r="C489" s="120"/>
      <c r="D489" s="121"/>
      <c r="E489" s="107"/>
      <c r="F489" s="122"/>
      <c r="G489" s="22"/>
      <c r="H489" s="123"/>
      <c r="I489" s="126"/>
      <c r="J489" s="130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>
      <c r="A490" s="107"/>
      <c r="B490" s="138"/>
      <c r="C490" s="120"/>
      <c r="D490" s="121"/>
      <c r="E490" s="107"/>
      <c r="F490" s="122"/>
      <c r="G490" s="22"/>
      <c r="H490" s="123"/>
      <c r="I490" s="126"/>
      <c r="J490" s="130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>
      <c r="A491" s="107"/>
      <c r="B491" s="138"/>
      <c r="C491" s="120"/>
      <c r="D491" s="121"/>
      <c r="E491" s="107"/>
      <c r="F491" s="122"/>
      <c r="G491" s="22"/>
      <c r="H491" s="123"/>
      <c r="I491" s="126"/>
      <c r="J491" s="130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>
      <c r="A492" s="107"/>
      <c r="B492" s="138"/>
      <c r="C492" s="120"/>
      <c r="D492" s="121"/>
      <c r="E492" s="107"/>
      <c r="F492" s="122"/>
      <c r="G492" s="22"/>
      <c r="H492" s="123"/>
      <c r="I492" s="126"/>
      <c r="J492" s="130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>
      <c r="A493" s="107"/>
      <c r="B493" s="138"/>
      <c r="C493" s="120"/>
      <c r="D493" s="121"/>
      <c r="E493" s="107"/>
      <c r="F493" s="122"/>
      <c r="G493" s="22"/>
      <c r="H493" s="123"/>
      <c r="I493" s="126"/>
      <c r="J493" s="130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>
      <c r="A494" s="107"/>
      <c r="B494" s="138"/>
      <c r="C494" s="120"/>
      <c r="D494" s="121"/>
      <c r="E494" s="107"/>
      <c r="F494" s="122"/>
      <c r="G494" s="22"/>
      <c r="H494" s="123"/>
      <c r="I494" s="126"/>
      <c r="J494" s="130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>
      <c r="A495" s="107"/>
      <c r="B495" s="138"/>
      <c r="C495" s="120"/>
      <c r="D495" s="121"/>
      <c r="E495" s="107"/>
      <c r="F495" s="122"/>
      <c r="G495" s="22"/>
      <c r="H495" s="123"/>
      <c r="I495" s="126"/>
      <c r="J495" s="130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>
      <c r="A496" s="107"/>
      <c r="B496" s="138"/>
      <c r="C496" s="120"/>
      <c r="D496" s="121"/>
      <c r="E496" s="107"/>
      <c r="F496" s="122"/>
      <c r="G496" s="22"/>
      <c r="H496" s="123"/>
      <c r="I496" s="126"/>
      <c r="J496" s="130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>
      <c r="A497" s="107"/>
      <c r="B497" s="138"/>
      <c r="C497" s="120"/>
      <c r="D497" s="121"/>
      <c r="E497" s="107"/>
      <c r="F497" s="122"/>
      <c r="G497" s="22"/>
      <c r="H497" s="123"/>
      <c r="I497" s="126"/>
      <c r="J497" s="130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>
      <c r="A498" s="107"/>
      <c r="B498" s="138"/>
      <c r="C498" s="120"/>
      <c r="D498" s="121"/>
      <c r="E498" s="107"/>
      <c r="F498" s="122"/>
      <c r="G498" s="22"/>
      <c r="H498" s="123"/>
      <c r="I498" s="126"/>
      <c r="J498" s="130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>
      <c r="A499" s="107"/>
      <c r="B499" s="138"/>
      <c r="C499" s="120"/>
      <c r="D499" s="121"/>
      <c r="E499" s="107"/>
      <c r="F499" s="122"/>
      <c r="G499" s="22"/>
      <c r="H499" s="123"/>
      <c r="I499" s="126"/>
      <c r="J499" s="130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>
      <c r="A500" s="107"/>
      <c r="B500" s="138"/>
      <c r="C500" s="120"/>
      <c r="D500" s="121"/>
      <c r="E500" s="107"/>
      <c r="F500" s="122"/>
      <c r="G500" s="22"/>
      <c r="H500" s="123"/>
      <c r="I500" s="126"/>
      <c r="J500" s="130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>
      <c r="A501" s="107"/>
      <c r="B501" s="138"/>
      <c r="C501" s="120"/>
      <c r="D501" s="121"/>
      <c r="E501" s="107"/>
      <c r="F501" s="122"/>
      <c r="G501" s="22"/>
      <c r="H501" s="123"/>
      <c r="I501" s="126"/>
      <c r="J501" s="130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>
      <c r="A502" s="107"/>
      <c r="B502" s="138"/>
      <c r="C502" s="120"/>
      <c r="D502" s="121"/>
      <c r="E502" s="107"/>
      <c r="F502" s="122"/>
      <c r="G502" s="22"/>
      <c r="H502" s="123"/>
      <c r="I502" s="126"/>
      <c r="J502" s="130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>
      <c r="A503" s="107"/>
      <c r="B503" s="138"/>
      <c r="C503" s="120"/>
      <c r="D503" s="121"/>
      <c r="E503" s="107"/>
      <c r="F503" s="122"/>
      <c r="G503" s="22"/>
      <c r="H503" s="123"/>
      <c r="I503" s="126"/>
      <c r="J503" s="130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>
      <c r="A504" s="107"/>
      <c r="B504" s="138"/>
      <c r="C504" s="120"/>
      <c r="D504" s="121"/>
      <c r="E504" s="107"/>
      <c r="F504" s="122"/>
      <c r="G504" s="22"/>
      <c r="H504" s="123"/>
      <c r="I504" s="126"/>
      <c r="J504" s="130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>
      <c r="A505" s="107"/>
      <c r="B505" s="138"/>
      <c r="C505" s="120"/>
      <c r="D505" s="121"/>
      <c r="E505" s="107"/>
      <c r="F505" s="122"/>
      <c r="G505" s="22"/>
      <c r="H505" s="123"/>
      <c r="I505" s="126"/>
      <c r="J505" s="130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>
      <c r="A506" s="107"/>
      <c r="B506" s="138"/>
      <c r="C506" s="120"/>
      <c r="D506" s="121"/>
      <c r="E506" s="107"/>
      <c r="F506" s="122"/>
      <c r="G506" s="22"/>
      <c r="H506" s="123"/>
      <c r="I506" s="126"/>
      <c r="J506" s="130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>
      <c r="A507" s="107"/>
      <c r="B507" s="138"/>
      <c r="C507" s="120"/>
      <c r="D507" s="121"/>
      <c r="E507" s="107"/>
      <c r="F507" s="122"/>
      <c r="G507" s="22"/>
      <c r="H507" s="123"/>
      <c r="I507" s="126"/>
      <c r="J507" s="130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>
      <c r="A508" s="107"/>
      <c r="B508" s="138"/>
      <c r="C508" s="120"/>
      <c r="D508" s="121"/>
      <c r="E508" s="107"/>
      <c r="F508" s="122"/>
      <c r="G508" s="22"/>
      <c r="H508" s="123"/>
      <c r="I508" s="126"/>
      <c r="J508" s="130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>
      <c r="A509" s="107"/>
      <c r="B509" s="138"/>
      <c r="C509" s="120"/>
      <c r="D509" s="121"/>
      <c r="E509" s="107"/>
      <c r="F509" s="122"/>
      <c r="G509" s="22"/>
      <c r="H509" s="123"/>
      <c r="I509" s="126"/>
      <c r="J509" s="130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>
      <c r="A510" s="107"/>
      <c r="B510" s="138"/>
      <c r="C510" s="120"/>
      <c r="D510" s="121"/>
      <c r="E510" s="107"/>
      <c r="F510" s="122"/>
      <c r="G510" s="22"/>
      <c r="H510" s="123"/>
      <c r="I510" s="126"/>
      <c r="J510" s="130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>
      <c r="A511" s="107"/>
      <c r="B511" s="138"/>
      <c r="C511" s="120"/>
      <c r="D511" s="121"/>
      <c r="E511" s="107"/>
      <c r="F511" s="122"/>
      <c r="G511" s="22"/>
      <c r="H511" s="123"/>
      <c r="I511" s="126"/>
      <c r="J511" s="130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>
      <c r="A512" s="107"/>
      <c r="B512" s="138"/>
      <c r="C512" s="120"/>
      <c r="D512" s="121"/>
      <c r="E512" s="107"/>
      <c r="F512" s="122"/>
      <c r="G512" s="22"/>
      <c r="H512" s="123"/>
      <c r="I512" s="126"/>
      <c r="J512" s="130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>
      <c r="A513" s="107"/>
      <c r="B513" s="138"/>
      <c r="C513" s="120"/>
      <c r="D513" s="121"/>
      <c r="E513" s="107"/>
      <c r="F513" s="122"/>
      <c r="G513" s="22"/>
      <c r="H513" s="123"/>
      <c r="I513" s="126"/>
      <c r="J513" s="130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>
      <c r="A514" s="107"/>
      <c r="B514" s="138"/>
      <c r="C514" s="120"/>
      <c r="D514" s="121"/>
      <c r="E514" s="107"/>
      <c r="F514" s="122"/>
      <c r="G514" s="22"/>
      <c r="H514" s="123"/>
      <c r="I514" s="126"/>
      <c r="J514" s="130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>
      <c r="A515" s="107"/>
      <c r="B515" s="138"/>
      <c r="C515" s="120"/>
      <c r="D515" s="121"/>
      <c r="E515" s="107"/>
      <c r="F515" s="122"/>
      <c r="G515" s="22"/>
      <c r="H515" s="123"/>
      <c r="I515" s="126"/>
      <c r="J515" s="130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>
      <c r="A516" s="107"/>
      <c r="B516" s="138"/>
      <c r="C516" s="120"/>
      <c r="D516" s="121"/>
      <c r="E516" s="107"/>
      <c r="F516" s="122"/>
      <c r="G516" s="22"/>
      <c r="H516" s="123"/>
      <c r="I516" s="126"/>
      <c r="J516" s="130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>
      <c r="A517" s="107"/>
      <c r="B517" s="138"/>
      <c r="C517" s="120"/>
      <c r="D517" s="121"/>
      <c r="E517" s="107"/>
      <c r="F517" s="122"/>
      <c r="G517" s="22"/>
      <c r="H517" s="123"/>
      <c r="I517" s="126"/>
      <c r="J517" s="130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>
      <c r="A518" s="107"/>
      <c r="B518" s="138"/>
      <c r="C518" s="120"/>
      <c r="D518" s="121"/>
      <c r="E518" s="107"/>
      <c r="F518" s="122"/>
      <c r="G518" s="22"/>
      <c r="H518" s="123"/>
      <c r="I518" s="126"/>
      <c r="J518" s="130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>
      <c r="A519" s="107"/>
      <c r="B519" s="138"/>
      <c r="C519" s="120"/>
      <c r="D519" s="121"/>
      <c r="E519" s="107"/>
      <c r="F519" s="122"/>
      <c r="G519" s="22"/>
      <c r="H519" s="123"/>
      <c r="I519" s="126"/>
      <c r="J519" s="130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>
      <c r="A520" s="107"/>
      <c r="B520" s="138"/>
      <c r="C520" s="120"/>
      <c r="D520" s="121"/>
      <c r="E520" s="107"/>
      <c r="F520" s="122"/>
      <c r="G520" s="22"/>
      <c r="H520" s="123"/>
      <c r="I520" s="126"/>
      <c r="J520" s="130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>
      <c r="A521" s="107"/>
      <c r="B521" s="138"/>
      <c r="C521" s="120"/>
      <c r="D521" s="121"/>
      <c r="E521" s="107"/>
      <c r="F521" s="122"/>
      <c r="G521" s="22"/>
      <c r="H521" s="123"/>
      <c r="I521" s="126"/>
      <c r="J521" s="130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>
      <c r="A522" s="107"/>
      <c r="B522" s="138"/>
      <c r="C522" s="120"/>
      <c r="D522" s="121"/>
      <c r="E522" s="107"/>
      <c r="F522" s="122"/>
      <c r="G522" s="22"/>
      <c r="H522" s="123"/>
      <c r="I522" s="126"/>
      <c r="J522" s="130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>
      <c r="A523" s="107"/>
      <c r="B523" s="138"/>
      <c r="C523" s="120"/>
      <c r="D523" s="121"/>
      <c r="E523" s="107"/>
      <c r="F523" s="122"/>
      <c r="G523" s="22"/>
      <c r="H523" s="123"/>
      <c r="I523" s="126"/>
      <c r="J523" s="130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>
      <c r="A524" s="107"/>
      <c r="B524" s="138"/>
      <c r="C524" s="120"/>
      <c r="D524" s="121"/>
      <c r="E524" s="107"/>
      <c r="F524" s="122"/>
      <c r="G524" s="22"/>
      <c r="H524" s="123"/>
      <c r="I524" s="126"/>
      <c r="J524" s="130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>
      <c r="A525" s="107"/>
      <c r="B525" s="138"/>
      <c r="C525" s="120"/>
      <c r="D525" s="121"/>
      <c r="E525" s="107"/>
      <c r="F525" s="122"/>
      <c r="G525" s="22"/>
      <c r="H525" s="123"/>
      <c r="I525" s="126"/>
      <c r="J525" s="130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>
      <c r="A526" s="107"/>
      <c r="B526" s="138"/>
      <c r="C526" s="120"/>
      <c r="D526" s="121"/>
      <c r="E526" s="107"/>
      <c r="F526" s="122"/>
      <c r="G526" s="22"/>
      <c r="H526" s="123"/>
      <c r="I526" s="126"/>
      <c r="J526" s="130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>
      <c r="A527" s="107"/>
      <c r="B527" s="138"/>
      <c r="C527" s="120"/>
      <c r="D527" s="121"/>
      <c r="E527" s="107"/>
      <c r="F527" s="122"/>
      <c r="G527" s="22"/>
      <c r="H527" s="123"/>
      <c r="I527" s="126"/>
      <c r="J527" s="130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>
      <c r="A528" s="107"/>
      <c r="B528" s="138"/>
      <c r="C528" s="120"/>
      <c r="D528" s="121"/>
      <c r="E528" s="107"/>
      <c r="F528" s="122"/>
      <c r="G528" s="22"/>
      <c r="H528" s="123"/>
      <c r="I528" s="126"/>
      <c r="J528" s="130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>
      <c r="A529" s="107"/>
      <c r="B529" s="138"/>
      <c r="C529" s="120"/>
      <c r="D529" s="121"/>
      <c r="E529" s="107"/>
      <c r="F529" s="122"/>
      <c r="G529" s="22"/>
      <c r="H529" s="123"/>
      <c r="I529" s="126"/>
      <c r="J529" s="130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>
      <c r="A530" s="107"/>
      <c r="B530" s="138"/>
      <c r="C530" s="120"/>
      <c r="D530" s="121"/>
      <c r="E530" s="107"/>
      <c r="F530" s="122"/>
      <c r="G530" s="22"/>
      <c r="H530" s="123"/>
      <c r="I530" s="126"/>
      <c r="J530" s="130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>
      <c r="A531" s="107"/>
      <c r="B531" s="138"/>
      <c r="C531" s="120"/>
      <c r="D531" s="121"/>
      <c r="E531" s="107"/>
      <c r="F531" s="122"/>
      <c r="G531" s="22"/>
      <c r="H531" s="123"/>
      <c r="I531" s="126"/>
      <c r="J531" s="130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>
      <c r="A532" s="107"/>
      <c r="B532" s="138"/>
      <c r="C532" s="120"/>
      <c r="D532" s="121"/>
      <c r="E532" s="107"/>
      <c r="F532" s="122"/>
      <c r="G532" s="22"/>
      <c r="H532" s="123"/>
      <c r="I532" s="126"/>
      <c r="J532" s="130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>
      <c r="A533" s="107"/>
      <c r="B533" s="138"/>
      <c r="C533" s="120"/>
      <c r="D533" s="121"/>
      <c r="E533" s="107"/>
      <c r="F533" s="122"/>
      <c r="G533" s="22"/>
      <c r="H533" s="123"/>
      <c r="I533" s="126"/>
      <c r="J533" s="130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>
      <c r="A534" s="107"/>
      <c r="B534" s="138"/>
      <c r="C534" s="120"/>
      <c r="D534" s="121"/>
      <c r="E534" s="107"/>
      <c r="F534" s="122"/>
      <c r="G534" s="22"/>
      <c r="H534" s="123"/>
      <c r="I534" s="126"/>
      <c r="J534" s="130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>
      <c r="A535" s="107"/>
      <c r="B535" s="138"/>
      <c r="C535" s="120"/>
      <c r="D535" s="121"/>
      <c r="E535" s="107"/>
      <c r="F535" s="122"/>
      <c r="G535" s="22"/>
      <c r="H535" s="123"/>
      <c r="I535" s="126"/>
      <c r="J535" s="130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>
      <c r="A536" s="107"/>
      <c r="B536" s="138"/>
      <c r="C536" s="120"/>
      <c r="D536" s="121"/>
      <c r="E536" s="107"/>
      <c r="F536" s="122"/>
      <c r="G536" s="22"/>
      <c r="H536" s="123"/>
      <c r="I536" s="126"/>
      <c r="J536" s="130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>
      <c r="A537" s="107"/>
      <c r="B537" s="138"/>
      <c r="C537" s="120"/>
      <c r="D537" s="121"/>
      <c r="E537" s="107"/>
      <c r="F537" s="122"/>
      <c r="G537" s="22"/>
      <c r="H537" s="123"/>
      <c r="I537" s="126"/>
      <c r="J537" s="130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>
      <c r="A538" s="107"/>
      <c r="B538" s="138"/>
      <c r="C538" s="120"/>
      <c r="D538" s="121"/>
      <c r="E538" s="107"/>
      <c r="F538" s="122"/>
      <c r="G538" s="22"/>
      <c r="H538" s="123"/>
      <c r="I538" s="126"/>
      <c r="J538" s="130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>
      <c r="A539" s="107"/>
      <c r="B539" s="138"/>
      <c r="C539" s="120"/>
      <c r="D539" s="121"/>
      <c r="E539" s="107"/>
      <c r="F539" s="122"/>
      <c r="G539" s="22"/>
      <c r="H539" s="123"/>
      <c r="I539" s="126"/>
      <c r="J539" s="130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>
      <c r="A540" s="107"/>
      <c r="B540" s="138"/>
      <c r="C540" s="120"/>
      <c r="D540" s="121"/>
      <c r="E540" s="107"/>
      <c r="F540" s="122"/>
      <c r="G540" s="22"/>
      <c r="H540" s="123"/>
      <c r="I540" s="126"/>
      <c r="J540" s="130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>
      <c r="A541" s="107"/>
      <c r="B541" s="138"/>
      <c r="C541" s="120"/>
      <c r="D541" s="121"/>
      <c r="E541" s="107"/>
      <c r="F541" s="122"/>
      <c r="G541" s="22"/>
      <c r="H541" s="123"/>
      <c r="I541" s="126"/>
      <c r="J541" s="130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>
      <c r="A542" s="107"/>
      <c r="B542" s="138"/>
      <c r="C542" s="120"/>
      <c r="D542" s="121"/>
      <c r="E542" s="107"/>
      <c r="F542" s="122"/>
      <c r="G542" s="22"/>
      <c r="H542" s="123"/>
      <c r="I542" s="126"/>
      <c r="J542" s="130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>
      <c r="A543" s="107"/>
      <c r="B543" s="138"/>
      <c r="C543" s="120"/>
      <c r="D543" s="121"/>
      <c r="E543" s="107"/>
      <c r="F543" s="122"/>
      <c r="G543" s="22"/>
      <c r="H543" s="123"/>
      <c r="I543" s="126"/>
      <c r="J543" s="130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>
      <c r="A544" s="107"/>
      <c r="B544" s="138"/>
      <c r="C544" s="120"/>
      <c r="D544" s="121"/>
      <c r="E544" s="107"/>
      <c r="F544" s="122"/>
      <c r="G544" s="22"/>
      <c r="H544" s="123"/>
      <c r="I544" s="126"/>
      <c r="J544" s="130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>
      <c r="A545" s="107"/>
      <c r="B545" s="138"/>
      <c r="C545" s="120"/>
      <c r="D545" s="121"/>
      <c r="E545" s="107"/>
      <c r="F545" s="122"/>
      <c r="G545" s="22"/>
      <c r="H545" s="123"/>
      <c r="I545" s="126"/>
      <c r="J545" s="130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>
      <c r="A546" s="107"/>
      <c r="B546" s="138"/>
      <c r="C546" s="120"/>
      <c r="D546" s="121"/>
      <c r="E546" s="107"/>
      <c r="F546" s="122"/>
      <c r="G546" s="22"/>
      <c r="H546" s="123"/>
      <c r="I546" s="126"/>
      <c r="J546" s="130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>
      <c r="A547" s="107"/>
      <c r="B547" s="138"/>
      <c r="C547" s="120"/>
      <c r="D547" s="121"/>
      <c r="E547" s="107"/>
      <c r="F547" s="122"/>
      <c r="G547" s="22"/>
      <c r="H547" s="123"/>
      <c r="I547" s="126"/>
      <c r="J547" s="130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>
      <c r="A548" s="107"/>
      <c r="B548" s="138"/>
      <c r="C548" s="120"/>
      <c r="D548" s="121"/>
      <c r="E548" s="107"/>
      <c r="F548" s="122"/>
      <c r="G548" s="22"/>
      <c r="H548" s="123"/>
      <c r="I548" s="126"/>
      <c r="J548" s="130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>
      <c r="A549" s="107"/>
      <c r="B549" s="138"/>
      <c r="C549" s="120"/>
      <c r="D549" s="121"/>
      <c r="E549" s="107"/>
      <c r="F549" s="122"/>
      <c r="G549" s="22"/>
      <c r="H549" s="123"/>
      <c r="I549" s="126"/>
      <c r="J549" s="130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>
      <c r="A550" s="107"/>
      <c r="B550" s="138"/>
      <c r="C550" s="120"/>
      <c r="D550" s="121"/>
      <c r="E550" s="107"/>
      <c r="F550" s="122"/>
      <c r="G550" s="22"/>
      <c r="H550" s="123"/>
      <c r="I550" s="126"/>
      <c r="J550" s="130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>
      <c r="A551" s="107"/>
      <c r="B551" s="138"/>
      <c r="C551" s="120"/>
      <c r="D551" s="121"/>
      <c r="E551" s="107"/>
      <c r="F551" s="122"/>
      <c r="G551" s="22"/>
      <c r="H551" s="123"/>
      <c r="I551" s="126"/>
      <c r="J551" s="130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>
      <c r="A552" s="107"/>
      <c r="B552" s="138"/>
      <c r="C552" s="120"/>
      <c r="D552" s="121"/>
      <c r="E552" s="107"/>
      <c r="F552" s="122"/>
      <c r="G552" s="22"/>
      <c r="H552" s="123"/>
      <c r="I552" s="126"/>
      <c r="J552" s="130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>
      <c r="A553" s="107"/>
      <c r="B553" s="138"/>
      <c r="C553" s="120"/>
      <c r="D553" s="121"/>
      <c r="E553" s="107"/>
      <c r="F553" s="122"/>
      <c r="G553" s="22"/>
      <c r="H553" s="123"/>
      <c r="I553" s="126"/>
      <c r="J553" s="130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>
      <c r="A554" s="107"/>
      <c r="B554" s="138"/>
      <c r="C554" s="120"/>
      <c r="D554" s="121"/>
      <c r="E554" s="107"/>
      <c r="F554" s="122"/>
      <c r="G554" s="22"/>
      <c r="H554" s="123"/>
      <c r="I554" s="126"/>
      <c r="J554" s="130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>
      <c r="A555" s="107"/>
      <c r="B555" s="138"/>
      <c r="C555" s="120"/>
      <c r="D555" s="121"/>
      <c r="E555" s="107"/>
      <c r="F555" s="122"/>
      <c r="G555" s="22"/>
      <c r="H555" s="123"/>
      <c r="I555" s="126"/>
      <c r="J555" s="130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>
      <c r="A556" s="107"/>
      <c r="B556" s="138"/>
      <c r="C556" s="120"/>
      <c r="D556" s="121"/>
      <c r="E556" s="107"/>
      <c r="F556" s="122"/>
      <c r="G556" s="22"/>
      <c r="H556" s="123"/>
      <c r="I556" s="126"/>
      <c r="J556" s="130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>
      <c r="A557" s="107"/>
      <c r="B557" s="138"/>
      <c r="C557" s="120"/>
      <c r="D557" s="121"/>
      <c r="E557" s="107"/>
      <c r="F557" s="122"/>
      <c r="G557" s="22"/>
      <c r="H557" s="123"/>
      <c r="I557" s="126"/>
      <c r="J557" s="130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>
      <c r="A558" s="107"/>
      <c r="B558" s="138"/>
      <c r="C558" s="120"/>
      <c r="D558" s="121"/>
      <c r="E558" s="107"/>
      <c r="F558" s="122"/>
      <c r="G558" s="22"/>
      <c r="H558" s="123"/>
      <c r="I558" s="126"/>
      <c r="J558" s="130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>
      <c r="A559" s="107"/>
      <c r="B559" s="138"/>
      <c r="C559" s="120"/>
      <c r="D559" s="121"/>
      <c r="E559" s="107"/>
      <c r="F559" s="122"/>
      <c r="G559" s="22"/>
      <c r="H559" s="123"/>
      <c r="I559" s="126"/>
      <c r="J559" s="130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>
      <c r="A560" s="107"/>
      <c r="B560" s="138"/>
      <c r="C560" s="120"/>
      <c r="D560" s="121"/>
      <c r="E560" s="107"/>
      <c r="F560" s="122"/>
      <c r="G560" s="22"/>
      <c r="H560" s="123"/>
      <c r="I560" s="126"/>
      <c r="J560" s="130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>
      <c r="A561" s="107"/>
      <c r="B561" s="138"/>
      <c r="C561" s="120"/>
      <c r="D561" s="121"/>
      <c r="E561" s="107"/>
      <c r="F561" s="122"/>
      <c r="G561" s="22"/>
      <c r="H561" s="123"/>
      <c r="I561" s="126"/>
      <c r="J561" s="130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>
      <c r="A562" s="107"/>
      <c r="B562" s="138"/>
      <c r="C562" s="120"/>
      <c r="D562" s="121"/>
      <c r="E562" s="107"/>
      <c r="F562" s="122"/>
      <c r="G562" s="22"/>
      <c r="H562" s="123"/>
      <c r="I562" s="126"/>
      <c r="J562" s="130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>
      <c r="A563" s="107"/>
      <c r="B563" s="138"/>
      <c r="C563" s="120"/>
      <c r="D563" s="121"/>
      <c r="E563" s="107"/>
      <c r="F563" s="122"/>
      <c r="G563" s="22"/>
      <c r="H563" s="123"/>
      <c r="I563" s="126"/>
      <c r="J563" s="130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>
      <c r="A564" s="107"/>
      <c r="B564" s="138"/>
      <c r="C564" s="120"/>
      <c r="D564" s="121"/>
      <c r="E564" s="107"/>
      <c r="F564" s="122"/>
      <c r="G564" s="22"/>
      <c r="H564" s="123"/>
      <c r="I564" s="126"/>
      <c r="J564" s="130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>
      <c r="A565" s="107"/>
      <c r="B565" s="138"/>
      <c r="C565" s="120"/>
      <c r="D565" s="121"/>
      <c r="E565" s="107"/>
      <c r="F565" s="122"/>
      <c r="G565" s="22"/>
      <c r="H565" s="123"/>
      <c r="I565" s="126"/>
      <c r="J565" s="130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>
      <c r="A566" s="107"/>
      <c r="B566" s="138"/>
      <c r="C566" s="120"/>
      <c r="D566" s="121"/>
      <c r="E566" s="107"/>
      <c r="F566" s="122"/>
      <c r="G566" s="22"/>
      <c r="H566" s="123"/>
      <c r="I566" s="126"/>
      <c r="J566" s="130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>
      <c r="A567" s="107"/>
      <c r="B567" s="138"/>
      <c r="C567" s="120"/>
      <c r="D567" s="121"/>
      <c r="E567" s="107"/>
      <c r="F567" s="122"/>
      <c r="G567" s="22"/>
      <c r="H567" s="123"/>
      <c r="I567" s="126"/>
      <c r="J567" s="130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>
      <c r="A568" s="107"/>
      <c r="B568" s="138"/>
      <c r="C568" s="120"/>
      <c r="D568" s="121"/>
      <c r="E568" s="107"/>
      <c r="F568" s="122"/>
      <c r="G568" s="22"/>
      <c r="H568" s="123"/>
      <c r="I568" s="126"/>
      <c r="J568" s="130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>
      <c r="A569" s="107"/>
      <c r="B569" s="138"/>
      <c r="C569" s="120"/>
      <c r="D569" s="121"/>
      <c r="E569" s="107"/>
      <c r="F569" s="122"/>
      <c r="G569" s="22"/>
      <c r="H569" s="123"/>
      <c r="I569" s="126"/>
      <c r="J569" s="130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>
      <c r="A570" s="107"/>
      <c r="B570" s="138"/>
      <c r="C570" s="120"/>
      <c r="D570" s="121"/>
      <c r="E570" s="107"/>
      <c r="F570" s="122"/>
      <c r="G570" s="22"/>
      <c r="H570" s="123"/>
      <c r="I570" s="126"/>
      <c r="J570" s="130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>
      <c r="A571" s="107"/>
      <c r="B571" s="138"/>
      <c r="C571" s="120"/>
      <c r="D571" s="121"/>
      <c r="E571" s="107"/>
      <c r="F571" s="122"/>
      <c r="G571" s="22"/>
      <c r="H571" s="123"/>
      <c r="I571" s="126"/>
      <c r="J571" s="130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>
      <c r="A572" s="107"/>
      <c r="B572" s="138"/>
      <c r="C572" s="120"/>
      <c r="D572" s="121"/>
      <c r="E572" s="107"/>
      <c r="F572" s="122"/>
      <c r="G572" s="22"/>
      <c r="H572" s="123"/>
      <c r="I572" s="126"/>
      <c r="J572" s="130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>
      <c r="A573" s="107"/>
      <c r="B573" s="138"/>
      <c r="C573" s="120"/>
      <c r="D573" s="121"/>
      <c r="E573" s="107"/>
      <c r="F573" s="122"/>
      <c r="G573" s="22"/>
      <c r="H573" s="123"/>
      <c r="I573" s="126"/>
      <c r="J573" s="130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>
      <c r="A574" s="107"/>
      <c r="B574" s="138"/>
      <c r="C574" s="120"/>
      <c r="D574" s="121"/>
      <c r="E574" s="107"/>
      <c r="F574" s="122"/>
      <c r="G574" s="22"/>
      <c r="H574" s="123"/>
      <c r="I574" s="126"/>
      <c r="J574" s="130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>
      <c r="A575" s="107"/>
      <c r="B575" s="138"/>
      <c r="C575" s="120"/>
      <c r="D575" s="121"/>
      <c r="E575" s="107"/>
      <c r="F575" s="122"/>
      <c r="G575" s="22"/>
      <c r="H575" s="123"/>
      <c r="I575" s="126"/>
      <c r="J575" s="130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>
      <c r="A576" s="107"/>
      <c r="B576" s="138"/>
      <c r="C576" s="120"/>
      <c r="D576" s="121"/>
      <c r="E576" s="107"/>
      <c r="F576" s="122"/>
      <c r="G576" s="22"/>
      <c r="H576" s="123"/>
      <c r="I576" s="126"/>
      <c r="J576" s="130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>
      <c r="A577" s="107"/>
      <c r="B577" s="138"/>
      <c r="C577" s="120"/>
      <c r="D577" s="121"/>
      <c r="E577" s="107"/>
      <c r="F577" s="122"/>
      <c r="G577" s="22"/>
      <c r="H577" s="123"/>
      <c r="I577" s="126"/>
      <c r="J577" s="130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>
      <c r="A578" s="107"/>
      <c r="B578" s="138"/>
      <c r="C578" s="120"/>
      <c r="D578" s="121"/>
      <c r="E578" s="107"/>
      <c r="F578" s="122"/>
      <c r="G578" s="22"/>
      <c r="H578" s="123"/>
      <c r="I578" s="126"/>
      <c r="J578" s="130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>
      <c r="A579" s="107"/>
      <c r="B579" s="138"/>
      <c r="C579" s="120"/>
      <c r="D579" s="121"/>
      <c r="E579" s="107"/>
      <c r="F579" s="122"/>
      <c r="G579" s="22"/>
      <c r="H579" s="123"/>
      <c r="I579" s="126"/>
      <c r="J579" s="130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>
      <c r="A580" s="107"/>
      <c r="B580" s="138"/>
      <c r="C580" s="120"/>
      <c r="D580" s="121"/>
      <c r="E580" s="107"/>
      <c r="F580" s="122"/>
      <c r="G580" s="22"/>
      <c r="H580" s="123"/>
      <c r="I580" s="126"/>
      <c r="J580" s="130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>
      <c r="A581" s="107"/>
      <c r="B581" s="138"/>
      <c r="C581" s="120"/>
      <c r="D581" s="121"/>
      <c r="E581" s="107"/>
      <c r="F581" s="122"/>
      <c r="G581" s="22"/>
      <c r="H581" s="123"/>
      <c r="I581" s="126"/>
      <c r="J581" s="130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>
      <c r="A582" s="107"/>
      <c r="B582" s="138"/>
      <c r="C582" s="120"/>
      <c r="D582" s="121"/>
      <c r="E582" s="107"/>
      <c r="F582" s="122"/>
      <c r="G582" s="22"/>
      <c r="H582" s="123"/>
      <c r="I582" s="126"/>
      <c r="J582" s="130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>
      <c r="A583" s="107"/>
      <c r="B583" s="138"/>
      <c r="C583" s="120"/>
      <c r="D583" s="121"/>
      <c r="E583" s="107"/>
      <c r="F583" s="122"/>
      <c r="G583" s="22"/>
      <c r="H583" s="123"/>
      <c r="I583" s="126"/>
      <c r="J583" s="130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>
      <c r="A584" s="107"/>
      <c r="B584" s="138"/>
      <c r="C584" s="120"/>
      <c r="D584" s="121"/>
      <c r="E584" s="107"/>
      <c r="F584" s="122"/>
      <c r="G584" s="22"/>
      <c r="H584" s="123"/>
      <c r="I584" s="126"/>
      <c r="J584" s="130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>
      <c r="A585" s="107"/>
      <c r="B585" s="138"/>
      <c r="C585" s="120"/>
      <c r="D585" s="121"/>
      <c r="E585" s="107"/>
      <c r="F585" s="122"/>
      <c r="G585" s="22"/>
      <c r="H585" s="123"/>
      <c r="I585" s="126"/>
      <c r="J585" s="130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>
      <c r="A586" s="107"/>
      <c r="B586" s="138"/>
      <c r="C586" s="120"/>
      <c r="D586" s="121"/>
      <c r="E586" s="107"/>
      <c r="F586" s="122"/>
      <c r="G586" s="22"/>
      <c r="H586" s="123"/>
      <c r="I586" s="126"/>
      <c r="J586" s="130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>
      <c r="A587" s="107"/>
      <c r="B587" s="138"/>
      <c r="C587" s="120"/>
      <c r="D587" s="121"/>
      <c r="E587" s="107"/>
      <c r="F587" s="122"/>
      <c r="G587" s="22"/>
      <c r="H587" s="123"/>
      <c r="I587" s="126"/>
      <c r="J587" s="130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>
      <c r="A588" s="107"/>
      <c r="B588" s="138"/>
      <c r="C588" s="120"/>
      <c r="D588" s="121"/>
      <c r="E588" s="107"/>
      <c r="F588" s="122"/>
      <c r="G588" s="22"/>
      <c r="H588" s="123"/>
      <c r="I588" s="126"/>
      <c r="J588" s="130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>
      <c r="A589" s="107"/>
      <c r="B589" s="138"/>
      <c r="C589" s="120"/>
      <c r="D589" s="121"/>
      <c r="E589" s="107"/>
      <c r="F589" s="122"/>
      <c r="G589" s="22"/>
      <c r="H589" s="123"/>
      <c r="I589" s="126"/>
      <c r="J589" s="130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>
      <c r="A590" s="107"/>
      <c r="B590" s="138"/>
      <c r="C590" s="120"/>
      <c r="D590" s="121"/>
      <c r="E590" s="107"/>
      <c r="F590" s="122"/>
      <c r="G590" s="22"/>
      <c r="H590" s="123"/>
      <c r="I590" s="126"/>
      <c r="J590" s="130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>
      <c r="A591" s="107"/>
      <c r="B591" s="138"/>
      <c r="C591" s="120"/>
      <c r="D591" s="121"/>
      <c r="E591" s="107"/>
      <c r="F591" s="122"/>
      <c r="G591" s="22"/>
      <c r="H591" s="123"/>
      <c r="I591" s="126"/>
      <c r="J591" s="130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>
      <c r="A592" s="107"/>
      <c r="B592" s="138"/>
      <c r="C592" s="120"/>
      <c r="D592" s="121"/>
      <c r="E592" s="107"/>
      <c r="F592" s="122"/>
      <c r="G592" s="22"/>
      <c r="H592" s="123"/>
      <c r="I592" s="126"/>
      <c r="J592" s="130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>
      <c r="A593" s="107"/>
      <c r="B593" s="138"/>
      <c r="C593" s="120"/>
      <c r="D593" s="121"/>
      <c r="E593" s="107"/>
      <c r="F593" s="122"/>
      <c r="G593" s="22"/>
      <c r="H593" s="123"/>
      <c r="I593" s="126"/>
      <c r="J593" s="130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>
      <c r="A594" s="107"/>
      <c r="B594" s="138"/>
      <c r="C594" s="120"/>
      <c r="D594" s="121"/>
      <c r="E594" s="107"/>
      <c r="F594" s="122"/>
      <c r="G594" s="22"/>
      <c r="H594" s="123"/>
      <c r="I594" s="126"/>
      <c r="J594" s="130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>
      <c r="A595" s="107"/>
      <c r="B595" s="138"/>
      <c r="C595" s="120"/>
      <c r="D595" s="121"/>
      <c r="E595" s="107"/>
      <c r="F595" s="122"/>
      <c r="G595" s="22"/>
      <c r="H595" s="123"/>
      <c r="I595" s="126"/>
      <c r="J595" s="130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>
      <c r="A596" s="107"/>
      <c r="B596" s="138"/>
      <c r="C596" s="120"/>
      <c r="D596" s="121"/>
      <c r="E596" s="107"/>
      <c r="F596" s="122"/>
      <c r="G596" s="22"/>
      <c r="H596" s="123"/>
      <c r="I596" s="126"/>
      <c r="J596" s="130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>
      <c r="A597" s="107"/>
      <c r="B597" s="138"/>
      <c r="C597" s="120"/>
      <c r="D597" s="121"/>
      <c r="E597" s="107"/>
      <c r="F597" s="122"/>
      <c r="G597" s="22"/>
      <c r="H597" s="123"/>
      <c r="I597" s="126"/>
      <c r="J597" s="130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>
      <c r="A598" s="107"/>
      <c r="B598" s="138"/>
      <c r="C598" s="120"/>
      <c r="D598" s="121"/>
      <c r="E598" s="107"/>
      <c r="F598" s="122"/>
      <c r="G598" s="22"/>
      <c r="H598" s="123"/>
      <c r="I598" s="126"/>
      <c r="J598" s="130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>
      <c r="A599" s="107"/>
      <c r="B599" s="138"/>
      <c r="C599" s="120"/>
      <c r="D599" s="121"/>
      <c r="E599" s="107"/>
      <c r="F599" s="122"/>
      <c r="G599" s="22"/>
      <c r="H599" s="123"/>
      <c r="I599" s="126"/>
      <c r="J599" s="130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>
      <c r="A600" s="107"/>
      <c r="B600" s="138"/>
      <c r="C600" s="120"/>
      <c r="D600" s="121"/>
      <c r="E600" s="107"/>
      <c r="F600" s="122"/>
      <c r="G600" s="22"/>
      <c r="H600" s="123"/>
      <c r="I600" s="126"/>
      <c r="J600" s="130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>
      <c r="A601" s="107"/>
      <c r="B601" s="138"/>
      <c r="C601" s="120"/>
      <c r="D601" s="121"/>
      <c r="E601" s="107"/>
      <c r="F601" s="122"/>
      <c r="G601" s="22"/>
      <c r="H601" s="123"/>
      <c r="I601" s="126"/>
      <c r="J601" s="130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>
      <c r="A602" s="107"/>
      <c r="B602" s="138"/>
      <c r="C602" s="120"/>
      <c r="D602" s="121"/>
      <c r="E602" s="107"/>
      <c r="F602" s="122"/>
      <c r="G602" s="22"/>
      <c r="H602" s="123"/>
      <c r="I602" s="126"/>
      <c r="J602" s="130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>
      <c r="A603" s="107"/>
      <c r="B603" s="138"/>
      <c r="C603" s="120"/>
      <c r="D603" s="121"/>
      <c r="E603" s="107"/>
      <c r="F603" s="122"/>
      <c r="G603" s="22"/>
      <c r="H603" s="123"/>
      <c r="I603" s="126"/>
      <c r="J603" s="130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>
      <c r="A604" s="107"/>
      <c r="B604" s="138"/>
      <c r="C604" s="120"/>
      <c r="D604" s="121"/>
      <c r="E604" s="107"/>
      <c r="F604" s="122"/>
      <c r="G604" s="22"/>
      <c r="H604" s="123"/>
      <c r="I604" s="126"/>
      <c r="J604" s="130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>
      <c r="A605" s="107"/>
      <c r="B605" s="138"/>
      <c r="C605" s="120"/>
      <c r="D605" s="121"/>
      <c r="E605" s="107"/>
      <c r="F605" s="122"/>
      <c r="G605" s="22"/>
      <c r="H605" s="123"/>
      <c r="I605" s="126"/>
      <c r="J605" s="130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>
      <c r="A606" s="107"/>
      <c r="B606" s="138"/>
      <c r="C606" s="120"/>
      <c r="D606" s="121"/>
      <c r="E606" s="107"/>
      <c r="F606" s="122"/>
      <c r="G606" s="22"/>
      <c r="H606" s="123"/>
      <c r="I606" s="126"/>
      <c r="J606" s="130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>
      <c r="A607" s="107"/>
      <c r="B607" s="138"/>
      <c r="C607" s="120"/>
      <c r="D607" s="121"/>
      <c r="E607" s="107"/>
      <c r="F607" s="122"/>
      <c r="G607" s="22"/>
      <c r="H607" s="123"/>
      <c r="I607" s="126"/>
      <c r="J607" s="130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>
      <c r="A608" s="107"/>
      <c r="B608" s="138"/>
      <c r="C608" s="120"/>
      <c r="D608" s="121"/>
      <c r="E608" s="107"/>
      <c r="F608" s="122"/>
      <c r="G608" s="22"/>
      <c r="H608" s="123"/>
      <c r="I608" s="126"/>
      <c r="J608" s="130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>
      <c r="A609" s="107"/>
      <c r="B609" s="138"/>
      <c r="C609" s="120"/>
      <c r="D609" s="121"/>
      <c r="E609" s="107"/>
      <c r="F609" s="122"/>
      <c r="G609" s="22"/>
      <c r="H609" s="123"/>
      <c r="I609" s="126"/>
      <c r="J609" s="130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>
      <c r="A610" s="107"/>
      <c r="B610" s="138"/>
      <c r="C610" s="120"/>
      <c r="D610" s="121"/>
      <c r="E610" s="107"/>
      <c r="F610" s="122"/>
      <c r="G610" s="22"/>
      <c r="H610" s="123"/>
      <c r="I610" s="126"/>
      <c r="J610" s="130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>
      <c r="A611" s="107"/>
      <c r="B611" s="138"/>
      <c r="C611" s="120"/>
      <c r="D611" s="121"/>
      <c r="E611" s="107"/>
      <c r="F611" s="122"/>
      <c r="G611" s="22"/>
      <c r="H611" s="123"/>
      <c r="I611" s="126"/>
      <c r="J611" s="130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>
      <c r="A612" s="107"/>
      <c r="B612" s="138"/>
      <c r="C612" s="120"/>
      <c r="D612" s="121"/>
      <c r="E612" s="107"/>
      <c r="F612" s="122"/>
      <c r="G612" s="22"/>
      <c r="H612" s="123"/>
      <c r="I612" s="126"/>
      <c r="J612" s="130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>
      <c r="A613" s="107"/>
      <c r="B613" s="138"/>
      <c r="C613" s="120"/>
      <c r="D613" s="121"/>
      <c r="E613" s="107"/>
      <c r="F613" s="122"/>
      <c r="G613" s="22"/>
      <c r="H613" s="123"/>
      <c r="I613" s="126"/>
      <c r="J613" s="130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>
      <c r="A614" s="107"/>
      <c r="B614" s="138"/>
      <c r="C614" s="120"/>
      <c r="D614" s="121"/>
      <c r="E614" s="107"/>
      <c r="F614" s="122"/>
      <c r="G614" s="22"/>
      <c r="H614" s="123"/>
      <c r="I614" s="126"/>
      <c r="J614" s="130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>
      <c r="A615" s="107"/>
      <c r="B615" s="138"/>
      <c r="C615" s="120"/>
      <c r="D615" s="121"/>
      <c r="E615" s="107"/>
      <c r="F615" s="122"/>
      <c r="G615" s="22"/>
      <c r="H615" s="123"/>
      <c r="I615" s="126"/>
      <c r="J615" s="130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>
      <c r="A616" s="107"/>
      <c r="B616" s="138"/>
      <c r="C616" s="120"/>
      <c r="D616" s="121"/>
      <c r="E616" s="107"/>
      <c r="F616" s="122"/>
      <c r="G616" s="22"/>
      <c r="H616" s="123"/>
      <c r="I616" s="126"/>
      <c r="J616" s="130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>
      <c r="A617" s="107"/>
      <c r="B617" s="138"/>
      <c r="C617" s="120"/>
      <c r="D617" s="121"/>
      <c r="E617" s="107"/>
      <c r="F617" s="122"/>
      <c r="G617" s="22"/>
      <c r="H617" s="123"/>
      <c r="I617" s="126"/>
      <c r="J617" s="130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>
      <c r="A618" s="107"/>
      <c r="B618" s="138"/>
      <c r="C618" s="120"/>
      <c r="D618" s="121"/>
      <c r="E618" s="107"/>
      <c r="F618" s="122"/>
      <c r="G618" s="22"/>
      <c r="H618" s="123"/>
      <c r="I618" s="126"/>
      <c r="J618" s="130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>
      <c r="A619" s="107"/>
      <c r="B619" s="138"/>
      <c r="C619" s="120"/>
      <c r="D619" s="121"/>
      <c r="E619" s="107"/>
      <c r="F619" s="122"/>
      <c r="G619" s="22"/>
      <c r="H619" s="123"/>
      <c r="I619" s="126"/>
      <c r="J619" s="130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>
      <c r="A620" s="107"/>
      <c r="B620" s="138"/>
      <c r="C620" s="120"/>
      <c r="D620" s="121"/>
      <c r="E620" s="107"/>
      <c r="F620" s="122"/>
      <c r="G620" s="22"/>
      <c r="H620" s="123"/>
      <c r="I620" s="126"/>
      <c r="J620" s="130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>
      <c r="A621" s="107"/>
      <c r="B621" s="138"/>
      <c r="C621" s="120"/>
      <c r="D621" s="121"/>
      <c r="E621" s="107"/>
      <c r="F621" s="122"/>
      <c r="G621" s="22"/>
      <c r="H621" s="123"/>
      <c r="I621" s="126"/>
      <c r="J621" s="130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>
      <c r="A622" s="107"/>
      <c r="B622" s="138"/>
      <c r="C622" s="120"/>
      <c r="D622" s="121"/>
      <c r="E622" s="107"/>
      <c r="F622" s="122"/>
      <c r="G622" s="22"/>
      <c r="H622" s="123"/>
      <c r="I622" s="126"/>
      <c r="J622" s="130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>
      <c r="A623" s="107"/>
      <c r="B623" s="138"/>
      <c r="C623" s="120"/>
      <c r="D623" s="121"/>
      <c r="E623" s="107"/>
      <c r="F623" s="122"/>
      <c r="G623" s="22"/>
      <c r="H623" s="123"/>
      <c r="I623" s="126"/>
      <c r="J623" s="130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>
      <c r="A624" s="107"/>
      <c r="B624" s="138"/>
      <c r="C624" s="120"/>
      <c r="D624" s="121"/>
      <c r="E624" s="107"/>
      <c r="F624" s="122"/>
      <c r="G624" s="22"/>
      <c r="H624" s="123"/>
      <c r="I624" s="126"/>
      <c r="J624" s="130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>
      <c r="A625" s="107"/>
      <c r="B625" s="138"/>
      <c r="C625" s="120"/>
      <c r="D625" s="121"/>
      <c r="E625" s="107"/>
      <c r="F625" s="122"/>
      <c r="G625" s="22"/>
      <c r="H625" s="123"/>
      <c r="I625" s="126"/>
      <c r="J625" s="130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>
      <c r="A626" s="107"/>
      <c r="B626" s="138"/>
      <c r="C626" s="120"/>
      <c r="D626" s="121"/>
      <c r="E626" s="107"/>
      <c r="F626" s="122"/>
      <c r="G626" s="22"/>
      <c r="H626" s="123"/>
      <c r="I626" s="126"/>
      <c r="J626" s="130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>
      <c r="A627" s="107"/>
      <c r="B627" s="138"/>
      <c r="C627" s="120"/>
      <c r="D627" s="121"/>
      <c r="E627" s="107"/>
      <c r="F627" s="122"/>
      <c r="G627" s="22"/>
      <c r="H627" s="123"/>
      <c r="I627" s="126"/>
      <c r="J627" s="130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>
      <c r="A628" s="107"/>
      <c r="B628" s="138"/>
      <c r="C628" s="120"/>
      <c r="D628" s="121"/>
      <c r="E628" s="107"/>
      <c r="F628" s="122"/>
      <c r="G628" s="22"/>
      <c r="H628" s="123"/>
      <c r="I628" s="126"/>
      <c r="J628" s="130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>
      <c r="A629" s="107"/>
      <c r="B629" s="138"/>
      <c r="C629" s="120"/>
      <c r="D629" s="121"/>
      <c r="E629" s="107"/>
      <c r="F629" s="122"/>
      <c r="G629" s="22"/>
      <c r="H629" s="123"/>
      <c r="I629" s="126"/>
      <c r="J629" s="130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>
      <c r="A630" s="107"/>
      <c r="B630" s="138"/>
      <c r="C630" s="120"/>
      <c r="D630" s="121"/>
      <c r="E630" s="107"/>
      <c r="F630" s="122"/>
      <c r="G630" s="22"/>
      <c r="H630" s="123"/>
      <c r="I630" s="126"/>
      <c r="J630" s="130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>
      <c r="A631" s="107"/>
      <c r="B631" s="138"/>
      <c r="C631" s="120"/>
      <c r="D631" s="121"/>
      <c r="E631" s="107"/>
      <c r="F631" s="122"/>
      <c r="G631" s="22"/>
      <c r="H631" s="123"/>
      <c r="I631" s="126"/>
      <c r="J631" s="130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>
      <c r="A632" s="107"/>
      <c r="B632" s="138"/>
      <c r="C632" s="120"/>
      <c r="D632" s="121"/>
      <c r="E632" s="107"/>
      <c r="F632" s="122"/>
      <c r="G632" s="22"/>
      <c r="H632" s="123"/>
      <c r="I632" s="126"/>
      <c r="J632" s="130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>
      <c r="A633" s="107"/>
      <c r="B633" s="138"/>
      <c r="C633" s="120"/>
      <c r="D633" s="121"/>
      <c r="E633" s="107"/>
      <c r="F633" s="122"/>
      <c r="G633" s="22"/>
      <c r="H633" s="123"/>
      <c r="I633" s="126"/>
      <c r="J633" s="130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>
      <c r="A634" s="107"/>
      <c r="B634" s="138"/>
      <c r="C634" s="120"/>
      <c r="D634" s="121"/>
      <c r="E634" s="107"/>
      <c r="F634" s="122"/>
      <c r="G634" s="22"/>
      <c r="H634" s="123"/>
      <c r="I634" s="126"/>
      <c r="J634" s="130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>
      <c r="A635" s="107"/>
      <c r="B635" s="138"/>
      <c r="C635" s="120"/>
      <c r="D635" s="121"/>
      <c r="E635" s="107"/>
      <c r="F635" s="122"/>
      <c r="G635" s="22"/>
      <c r="H635" s="123"/>
      <c r="I635" s="126"/>
      <c r="J635" s="130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>
      <c r="A636" s="107"/>
      <c r="B636" s="138"/>
      <c r="C636" s="120"/>
      <c r="D636" s="121"/>
      <c r="E636" s="107"/>
      <c r="F636" s="122"/>
      <c r="G636" s="22"/>
      <c r="H636" s="123"/>
      <c r="I636" s="126"/>
      <c r="J636" s="130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>
      <c r="A637" s="107"/>
      <c r="B637" s="138"/>
      <c r="C637" s="120"/>
      <c r="D637" s="121"/>
      <c r="E637" s="107"/>
      <c r="F637" s="122"/>
      <c r="G637" s="22"/>
      <c r="H637" s="123"/>
      <c r="I637" s="126"/>
      <c r="J637" s="130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>
      <c r="A638" s="107"/>
      <c r="B638" s="138"/>
      <c r="C638" s="120"/>
      <c r="D638" s="121"/>
      <c r="E638" s="107"/>
      <c r="F638" s="122"/>
      <c r="G638" s="22"/>
      <c r="H638" s="123"/>
      <c r="I638" s="126"/>
      <c r="J638" s="130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>
      <c r="A639" s="107"/>
      <c r="B639" s="138"/>
      <c r="C639" s="120"/>
      <c r="D639" s="121"/>
      <c r="E639" s="107"/>
      <c r="F639" s="122"/>
      <c r="G639" s="22"/>
      <c r="H639" s="123"/>
      <c r="I639" s="126"/>
      <c r="J639" s="130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>
      <c r="A640" s="107"/>
      <c r="B640" s="138"/>
      <c r="C640" s="120"/>
      <c r="D640" s="121"/>
      <c r="E640" s="107"/>
      <c r="F640" s="122"/>
      <c r="G640" s="22"/>
      <c r="H640" s="123"/>
      <c r="I640" s="126"/>
      <c r="J640" s="130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>
      <c r="A641" s="107"/>
      <c r="B641" s="138"/>
      <c r="C641" s="120"/>
      <c r="D641" s="121"/>
      <c r="E641" s="107"/>
      <c r="F641" s="122"/>
      <c r="G641" s="22"/>
      <c r="H641" s="123"/>
      <c r="I641" s="126"/>
      <c r="J641" s="130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>
      <c r="A642" s="107"/>
      <c r="B642" s="138"/>
      <c r="C642" s="120"/>
      <c r="D642" s="121"/>
      <c r="E642" s="107"/>
      <c r="F642" s="122"/>
      <c r="G642" s="22"/>
      <c r="H642" s="123"/>
      <c r="I642" s="126"/>
      <c r="J642" s="130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>
      <c r="A643" s="107"/>
      <c r="B643" s="138"/>
      <c r="C643" s="120"/>
      <c r="D643" s="121"/>
      <c r="E643" s="107"/>
      <c r="F643" s="122"/>
      <c r="G643" s="22"/>
      <c r="H643" s="123"/>
      <c r="I643" s="126"/>
      <c r="J643" s="130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>
      <c r="A644" s="107"/>
      <c r="B644" s="138"/>
      <c r="C644" s="120"/>
      <c r="D644" s="121"/>
      <c r="E644" s="107"/>
      <c r="F644" s="122"/>
      <c r="G644" s="22"/>
      <c r="H644" s="123"/>
      <c r="I644" s="126"/>
      <c r="J644" s="130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>
      <c r="A645" s="107"/>
      <c r="B645" s="138"/>
      <c r="C645" s="120"/>
      <c r="D645" s="121"/>
      <c r="E645" s="107"/>
      <c r="F645" s="122"/>
      <c r="G645" s="22"/>
      <c r="H645" s="123"/>
      <c r="I645" s="126"/>
      <c r="J645" s="130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>
      <c r="A646" s="107"/>
      <c r="B646" s="138"/>
      <c r="C646" s="120"/>
      <c r="D646" s="121"/>
      <c r="E646" s="107"/>
      <c r="F646" s="122"/>
      <c r="G646" s="22"/>
      <c r="H646" s="123"/>
      <c r="I646" s="126"/>
      <c r="J646" s="130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>
      <c r="A647" s="107"/>
      <c r="B647" s="138"/>
      <c r="C647" s="120"/>
      <c r="D647" s="121"/>
      <c r="E647" s="107"/>
      <c r="F647" s="122"/>
      <c r="G647" s="22"/>
      <c r="H647" s="123"/>
      <c r="I647" s="126"/>
      <c r="J647" s="130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>
      <c r="A648" s="107"/>
      <c r="B648" s="138"/>
      <c r="C648" s="120"/>
      <c r="D648" s="121"/>
      <c r="E648" s="107"/>
      <c r="F648" s="122"/>
      <c r="G648" s="22"/>
      <c r="H648" s="123"/>
      <c r="I648" s="126"/>
      <c r="J648" s="130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>
      <c r="A649" s="107"/>
      <c r="B649" s="138"/>
      <c r="C649" s="120"/>
      <c r="D649" s="121"/>
      <c r="E649" s="107"/>
      <c r="F649" s="122"/>
      <c r="G649" s="22"/>
      <c r="H649" s="123"/>
      <c r="I649" s="126"/>
      <c r="J649" s="130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>
      <c r="A650" s="107"/>
      <c r="B650" s="138"/>
      <c r="C650" s="120"/>
      <c r="D650" s="121"/>
      <c r="E650" s="107"/>
      <c r="F650" s="122"/>
      <c r="G650" s="22"/>
      <c r="H650" s="123"/>
      <c r="I650" s="126"/>
      <c r="J650" s="130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>
      <c r="A651" s="107"/>
      <c r="B651" s="138"/>
      <c r="C651" s="120"/>
      <c r="D651" s="121"/>
      <c r="E651" s="107"/>
      <c r="F651" s="122"/>
      <c r="G651" s="22"/>
      <c r="H651" s="123"/>
      <c r="I651" s="126"/>
      <c r="J651" s="130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>
      <c r="A652" s="107"/>
      <c r="B652" s="138"/>
      <c r="C652" s="120"/>
      <c r="D652" s="121"/>
      <c r="E652" s="107"/>
      <c r="F652" s="122"/>
      <c r="G652" s="22"/>
      <c r="H652" s="123"/>
      <c r="I652" s="126"/>
      <c r="J652" s="130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>
      <c r="A653" s="107"/>
      <c r="B653" s="138"/>
      <c r="C653" s="120"/>
      <c r="D653" s="121"/>
      <c r="E653" s="107"/>
      <c r="F653" s="122"/>
      <c r="G653" s="22"/>
      <c r="H653" s="123"/>
      <c r="I653" s="126"/>
      <c r="J653" s="130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>
      <c r="A654" s="107"/>
      <c r="B654" s="138"/>
      <c r="C654" s="120"/>
      <c r="D654" s="121"/>
      <c r="E654" s="107"/>
      <c r="F654" s="122"/>
      <c r="G654" s="22"/>
      <c r="H654" s="123"/>
      <c r="I654" s="126"/>
      <c r="J654" s="130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>
      <c r="A655" s="107"/>
      <c r="B655" s="138"/>
      <c r="C655" s="120"/>
      <c r="D655" s="121"/>
      <c r="E655" s="107"/>
      <c r="F655" s="122"/>
      <c r="G655" s="22"/>
      <c r="H655" s="123"/>
      <c r="I655" s="126"/>
      <c r="J655" s="130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>
      <c r="A656" s="107"/>
      <c r="B656" s="138"/>
      <c r="C656" s="120"/>
      <c r="D656" s="121"/>
      <c r="E656" s="107"/>
      <c r="F656" s="122"/>
      <c r="G656" s="22"/>
      <c r="H656" s="123"/>
      <c r="I656" s="126"/>
      <c r="J656" s="130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>
      <c r="A657" s="107"/>
      <c r="B657" s="138"/>
      <c r="C657" s="120"/>
      <c r="D657" s="121"/>
      <c r="E657" s="107"/>
      <c r="F657" s="122"/>
      <c r="G657" s="22"/>
      <c r="H657" s="123"/>
      <c r="I657" s="126"/>
      <c r="J657" s="130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>
      <c r="A658" s="107"/>
      <c r="B658" s="138"/>
      <c r="C658" s="120"/>
      <c r="D658" s="121"/>
      <c r="E658" s="107"/>
      <c r="F658" s="122"/>
      <c r="G658" s="22"/>
      <c r="H658" s="123"/>
      <c r="I658" s="126"/>
      <c r="J658" s="130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>
      <c r="A659" s="107"/>
      <c r="B659" s="138"/>
      <c r="C659" s="120"/>
      <c r="D659" s="121"/>
      <c r="E659" s="107"/>
      <c r="F659" s="122"/>
      <c r="G659" s="22"/>
      <c r="H659" s="123"/>
      <c r="I659" s="126"/>
      <c r="J659" s="130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>
      <c r="A660" s="107"/>
      <c r="B660" s="138"/>
      <c r="C660" s="120"/>
      <c r="D660" s="121"/>
      <c r="E660" s="107"/>
      <c r="F660" s="122"/>
      <c r="G660" s="22"/>
      <c r="H660" s="123"/>
      <c r="I660" s="126"/>
      <c r="J660" s="130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>
      <c r="A661" s="107"/>
      <c r="B661" s="138"/>
      <c r="C661" s="120"/>
      <c r="D661" s="121"/>
      <c r="E661" s="107"/>
      <c r="F661" s="122"/>
      <c r="G661" s="22"/>
      <c r="H661" s="123"/>
      <c r="I661" s="126"/>
      <c r="J661" s="130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>
      <c r="A662" s="107"/>
      <c r="B662" s="138"/>
      <c r="C662" s="120"/>
      <c r="D662" s="121"/>
      <c r="E662" s="107"/>
      <c r="F662" s="122"/>
      <c r="G662" s="22"/>
      <c r="H662" s="123"/>
      <c r="I662" s="126"/>
      <c r="J662" s="130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>
      <c r="A663" s="107"/>
      <c r="B663" s="138"/>
      <c r="C663" s="120"/>
      <c r="D663" s="121"/>
      <c r="E663" s="107"/>
      <c r="F663" s="122"/>
      <c r="G663" s="22"/>
      <c r="H663" s="123"/>
      <c r="I663" s="126"/>
      <c r="J663" s="130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>
      <c r="A664" s="107"/>
      <c r="B664" s="138"/>
      <c r="C664" s="120"/>
      <c r="D664" s="121"/>
      <c r="E664" s="107"/>
      <c r="F664" s="122"/>
      <c r="G664" s="22"/>
      <c r="H664" s="123"/>
      <c r="I664" s="126"/>
      <c r="J664" s="130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>
      <c r="A665" s="107"/>
      <c r="B665" s="138"/>
      <c r="C665" s="120"/>
      <c r="D665" s="121"/>
      <c r="E665" s="107"/>
      <c r="F665" s="122"/>
      <c r="G665" s="22"/>
      <c r="H665" s="123"/>
      <c r="I665" s="126"/>
      <c r="J665" s="130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>
      <c r="A666" s="107"/>
      <c r="B666" s="138"/>
      <c r="C666" s="120"/>
      <c r="D666" s="121"/>
      <c r="E666" s="107"/>
      <c r="F666" s="122"/>
      <c r="G666" s="22"/>
      <c r="H666" s="123"/>
      <c r="I666" s="126"/>
      <c r="J666" s="130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>
      <c r="A667" s="107"/>
      <c r="B667" s="138"/>
      <c r="C667" s="120"/>
      <c r="D667" s="121"/>
      <c r="E667" s="107"/>
      <c r="F667" s="122"/>
      <c r="G667" s="22"/>
      <c r="H667" s="123"/>
      <c r="I667" s="126"/>
      <c r="J667" s="130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>
      <c r="A668" s="107"/>
      <c r="B668" s="138"/>
      <c r="C668" s="120"/>
      <c r="D668" s="121"/>
      <c r="E668" s="107"/>
      <c r="F668" s="122"/>
      <c r="G668" s="22"/>
      <c r="H668" s="123"/>
      <c r="I668" s="126"/>
      <c r="J668" s="130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>
      <c r="A669" s="107"/>
      <c r="B669" s="138"/>
      <c r="C669" s="120"/>
      <c r="D669" s="121"/>
      <c r="E669" s="107"/>
      <c r="F669" s="122"/>
      <c r="G669" s="22"/>
      <c r="H669" s="123"/>
      <c r="I669" s="126"/>
      <c r="J669" s="130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>
      <c r="A670" s="107"/>
      <c r="B670" s="138"/>
      <c r="C670" s="120"/>
      <c r="D670" s="121"/>
      <c r="E670" s="107"/>
      <c r="F670" s="122"/>
      <c r="G670" s="22"/>
      <c r="H670" s="123"/>
      <c r="I670" s="126"/>
      <c r="J670" s="130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>
      <c r="A671" s="107"/>
      <c r="B671" s="138"/>
      <c r="C671" s="120"/>
      <c r="D671" s="121"/>
      <c r="E671" s="107"/>
      <c r="F671" s="122"/>
      <c r="G671" s="22"/>
      <c r="H671" s="123"/>
      <c r="I671" s="126"/>
      <c r="J671" s="130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>
      <c r="A672" s="107"/>
      <c r="B672" s="138"/>
      <c r="C672" s="120"/>
      <c r="D672" s="121"/>
      <c r="E672" s="107"/>
      <c r="F672" s="122"/>
      <c r="G672" s="22"/>
      <c r="H672" s="123"/>
      <c r="I672" s="126"/>
      <c r="J672" s="130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>
      <c r="A673" s="107"/>
      <c r="B673" s="138"/>
      <c r="C673" s="120"/>
      <c r="D673" s="121"/>
      <c r="E673" s="107"/>
      <c r="F673" s="122"/>
      <c r="G673" s="22"/>
      <c r="H673" s="123"/>
      <c r="I673" s="126"/>
      <c r="J673" s="130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>
      <c r="A674" s="107"/>
      <c r="B674" s="138"/>
      <c r="C674" s="120"/>
      <c r="D674" s="121"/>
      <c r="E674" s="107"/>
      <c r="F674" s="122"/>
      <c r="G674" s="22"/>
      <c r="H674" s="123"/>
      <c r="I674" s="126"/>
      <c r="J674" s="130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>
      <c r="A675" s="107"/>
      <c r="B675" s="138"/>
      <c r="C675" s="120"/>
      <c r="D675" s="121"/>
      <c r="E675" s="107"/>
      <c r="F675" s="122"/>
      <c r="G675" s="22"/>
      <c r="H675" s="123"/>
      <c r="I675" s="126"/>
      <c r="J675" s="130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>
      <c r="A676" s="107"/>
      <c r="B676" s="138"/>
      <c r="C676" s="120"/>
      <c r="D676" s="121"/>
      <c r="E676" s="107"/>
      <c r="F676" s="122"/>
      <c r="G676" s="22"/>
      <c r="H676" s="123"/>
      <c r="I676" s="126"/>
      <c r="J676" s="130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>
      <c r="A677" s="107"/>
      <c r="B677" s="138"/>
      <c r="C677" s="120"/>
      <c r="D677" s="121"/>
      <c r="E677" s="107"/>
      <c r="F677" s="122"/>
      <c r="G677" s="22"/>
      <c r="H677" s="123"/>
      <c r="I677" s="126"/>
      <c r="J677" s="130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>
      <c r="A678" s="107"/>
      <c r="B678" s="138"/>
      <c r="C678" s="120"/>
      <c r="D678" s="121"/>
      <c r="E678" s="107"/>
      <c r="F678" s="122"/>
      <c r="G678" s="22"/>
      <c r="H678" s="123"/>
      <c r="I678" s="126"/>
      <c r="J678" s="130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>
      <c r="A679" s="107"/>
      <c r="B679" s="138"/>
      <c r="C679" s="120"/>
      <c r="D679" s="121"/>
      <c r="E679" s="107"/>
      <c r="F679" s="122"/>
      <c r="G679" s="22"/>
      <c r="H679" s="123"/>
      <c r="I679" s="126"/>
      <c r="J679" s="130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>
      <c r="A680" s="107"/>
      <c r="B680" s="138"/>
      <c r="C680" s="120"/>
      <c r="D680" s="121"/>
      <c r="E680" s="107"/>
      <c r="F680" s="122"/>
      <c r="G680" s="22"/>
      <c r="H680" s="123"/>
      <c r="I680" s="126"/>
      <c r="J680" s="130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>
      <c r="A681" s="107"/>
      <c r="B681" s="138"/>
      <c r="C681" s="120"/>
      <c r="D681" s="121"/>
      <c r="E681" s="107"/>
      <c r="F681" s="122"/>
      <c r="G681" s="22"/>
      <c r="H681" s="123"/>
      <c r="I681" s="126"/>
      <c r="J681" s="130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>
      <c r="A682" s="107"/>
      <c r="B682" s="138"/>
      <c r="C682" s="120"/>
      <c r="D682" s="121"/>
      <c r="E682" s="107"/>
      <c r="F682" s="122"/>
      <c r="G682" s="22"/>
      <c r="H682" s="123"/>
      <c r="I682" s="126"/>
      <c r="J682" s="130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>
      <c r="A683" s="107"/>
      <c r="B683" s="138"/>
      <c r="C683" s="120"/>
      <c r="D683" s="121"/>
      <c r="E683" s="107"/>
      <c r="F683" s="122"/>
      <c r="G683" s="22"/>
      <c r="H683" s="123"/>
      <c r="I683" s="126"/>
      <c r="J683" s="130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>
      <c r="A684" s="107"/>
      <c r="B684" s="138"/>
      <c r="C684" s="120"/>
      <c r="D684" s="121"/>
      <c r="E684" s="107"/>
      <c r="F684" s="122"/>
      <c r="G684" s="22"/>
      <c r="H684" s="123"/>
      <c r="I684" s="126"/>
      <c r="J684" s="130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>
      <c r="A685" s="107"/>
      <c r="B685" s="138"/>
      <c r="C685" s="120"/>
      <c r="D685" s="121"/>
      <c r="E685" s="107"/>
      <c r="F685" s="122"/>
      <c r="G685" s="22"/>
      <c r="H685" s="123"/>
      <c r="I685" s="126"/>
      <c r="J685" s="130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>
      <c r="A686" s="107"/>
      <c r="B686" s="138"/>
      <c r="C686" s="120"/>
      <c r="D686" s="121"/>
      <c r="E686" s="107"/>
      <c r="F686" s="122"/>
      <c r="G686" s="22"/>
      <c r="H686" s="123"/>
      <c r="I686" s="126"/>
      <c r="J686" s="130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>
      <c r="A687" s="107"/>
      <c r="B687" s="138"/>
      <c r="C687" s="120"/>
      <c r="D687" s="121"/>
      <c r="E687" s="107"/>
      <c r="F687" s="122"/>
      <c r="G687" s="22"/>
      <c r="H687" s="123"/>
      <c r="I687" s="126"/>
      <c r="J687" s="130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>
      <c r="A688" s="107"/>
      <c r="B688" s="138"/>
      <c r="C688" s="120"/>
      <c r="D688" s="121"/>
      <c r="E688" s="107"/>
      <c r="F688" s="122"/>
      <c r="G688" s="22"/>
      <c r="H688" s="123"/>
      <c r="I688" s="126"/>
      <c r="J688" s="130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>
      <c r="A689" s="107"/>
      <c r="B689" s="138"/>
      <c r="C689" s="120"/>
      <c r="D689" s="121"/>
      <c r="E689" s="107"/>
      <c r="F689" s="122"/>
      <c r="G689" s="22"/>
      <c r="H689" s="123"/>
      <c r="I689" s="126"/>
      <c r="J689" s="130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>
      <c r="A690" s="107"/>
      <c r="B690" s="138"/>
      <c r="C690" s="120"/>
      <c r="D690" s="121"/>
      <c r="E690" s="107"/>
      <c r="F690" s="122"/>
      <c r="G690" s="22"/>
      <c r="H690" s="123"/>
      <c r="I690" s="126"/>
      <c r="J690" s="130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>
      <c r="A691" s="107"/>
      <c r="B691" s="138"/>
      <c r="C691" s="120"/>
      <c r="D691" s="121"/>
      <c r="E691" s="107"/>
      <c r="F691" s="122"/>
      <c r="G691" s="22"/>
      <c r="H691" s="123"/>
      <c r="I691" s="126"/>
      <c r="J691" s="130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>
      <c r="A692" s="107"/>
      <c r="B692" s="138"/>
      <c r="C692" s="120"/>
      <c r="D692" s="121"/>
      <c r="E692" s="107"/>
      <c r="F692" s="122"/>
      <c r="G692" s="22"/>
      <c r="H692" s="123"/>
      <c r="I692" s="126"/>
      <c r="J692" s="130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>
      <c r="A693" s="107"/>
      <c r="B693" s="138"/>
      <c r="C693" s="120"/>
      <c r="D693" s="121"/>
      <c r="E693" s="107"/>
      <c r="F693" s="122"/>
      <c r="G693" s="22"/>
      <c r="H693" s="123"/>
      <c r="I693" s="126"/>
      <c r="J693" s="130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>
      <c r="A694" s="107"/>
      <c r="B694" s="138"/>
      <c r="C694" s="120"/>
      <c r="D694" s="121"/>
      <c r="E694" s="107"/>
      <c r="F694" s="122"/>
      <c r="G694" s="22"/>
      <c r="H694" s="123"/>
      <c r="I694" s="126"/>
      <c r="J694" s="130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>
      <c r="A695" s="107"/>
      <c r="B695" s="138"/>
      <c r="C695" s="120"/>
      <c r="D695" s="121"/>
      <c r="E695" s="107"/>
      <c r="F695" s="122"/>
      <c r="G695" s="22"/>
      <c r="H695" s="123"/>
      <c r="I695" s="126"/>
      <c r="J695" s="130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>
      <c r="A696" s="107"/>
      <c r="B696" s="138"/>
      <c r="C696" s="120"/>
      <c r="D696" s="121"/>
      <c r="E696" s="107"/>
      <c r="F696" s="122"/>
      <c r="G696" s="22"/>
      <c r="H696" s="123"/>
      <c r="I696" s="126"/>
      <c r="J696" s="130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>
      <c r="A697" s="107"/>
      <c r="B697" s="138"/>
      <c r="C697" s="120"/>
      <c r="D697" s="121"/>
      <c r="E697" s="107"/>
      <c r="F697" s="122"/>
      <c r="G697" s="22"/>
      <c r="H697" s="123"/>
      <c r="I697" s="126"/>
      <c r="J697" s="130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>
      <c r="A698" s="107"/>
      <c r="B698" s="138"/>
      <c r="C698" s="120"/>
      <c r="D698" s="121"/>
      <c r="E698" s="107"/>
      <c r="F698" s="122"/>
      <c r="G698" s="22"/>
      <c r="H698" s="123"/>
      <c r="I698" s="126"/>
      <c r="J698" s="130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>
      <c r="A699" s="107"/>
      <c r="B699" s="138"/>
      <c r="C699" s="120"/>
      <c r="D699" s="121"/>
      <c r="E699" s="107"/>
      <c r="F699" s="122"/>
      <c r="G699" s="22"/>
      <c r="H699" s="123"/>
      <c r="I699" s="126"/>
      <c r="J699" s="130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>
      <c r="A700" s="107"/>
      <c r="B700" s="138"/>
      <c r="C700" s="120"/>
      <c r="D700" s="121"/>
      <c r="E700" s="107"/>
      <c r="F700" s="122"/>
      <c r="G700" s="22"/>
      <c r="H700" s="123"/>
      <c r="I700" s="126"/>
      <c r="J700" s="130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>
      <c r="A701" s="107"/>
      <c r="B701" s="138"/>
      <c r="C701" s="120"/>
      <c r="D701" s="121"/>
      <c r="E701" s="107"/>
      <c r="F701" s="122"/>
      <c r="G701" s="22"/>
      <c r="H701" s="123"/>
      <c r="I701" s="126"/>
      <c r="J701" s="130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>
      <c r="A702" s="107"/>
      <c r="B702" s="138"/>
      <c r="C702" s="120"/>
      <c r="D702" s="121"/>
      <c r="E702" s="107"/>
      <c r="F702" s="122"/>
      <c r="G702" s="22"/>
      <c r="H702" s="123"/>
      <c r="I702" s="126"/>
      <c r="J702" s="130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>
      <c r="A703" s="107"/>
      <c r="B703" s="138"/>
      <c r="C703" s="120"/>
      <c r="D703" s="121"/>
      <c r="E703" s="107"/>
      <c r="F703" s="122"/>
      <c r="G703" s="22"/>
      <c r="H703" s="123"/>
      <c r="I703" s="126"/>
      <c r="J703" s="130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>
      <c r="A704" s="107"/>
      <c r="B704" s="138"/>
      <c r="C704" s="120"/>
      <c r="D704" s="121"/>
      <c r="E704" s="107"/>
      <c r="F704" s="122"/>
      <c r="G704" s="22"/>
      <c r="H704" s="123"/>
      <c r="I704" s="126"/>
      <c r="J704" s="130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>
      <c r="A705" s="107"/>
      <c r="B705" s="138"/>
      <c r="C705" s="120"/>
      <c r="D705" s="121"/>
      <c r="E705" s="107"/>
      <c r="F705" s="122"/>
      <c r="G705" s="22"/>
      <c r="H705" s="123"/>
      <c r="I705" s="126"/>
      <c r="J705" s="130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>
      <c r="A706" s="107"/>
      <c r="B706" s="138"/>
      <c r="C706" s="120"/>
      <c r="D706" s="121"/>
      <c r="E706" s="107"/>
      <c r="F706" s="122"/>
      <c r="G706" s="22"/>
      <c r="H706" s="123"/>
      <c r="I706" s="126"/>
      <c r="J706" s="130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>
      <c r="A707" s="107"/>
      <c r="B707" s="138"/>
      <c r="C707" s="120"/>
      <c r="D707" s="121"/>
      <c r="E707" s="107"/>
      <c r="F707" s="122"/>
      <c r="G707" s="22"/>
      <c r="H707" s="123"/>
      <c r="I707" s="126"/>
      <c r="J707" s="130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>
      <c r="A708" s="107"/>
      <c r="B708" s="138"/>
      <c r="C708" s="120"/>
      <c r="D708" s="121"/>
      <c r="E708" s="107"/>
      <c r="F708" s="122"/>
      <c r="G708" s="22"/>
      <c r="H708" s="123"/>
      <c r="I708" s="126"/>
      <c r="J708" s="130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>
      <c r="A709" s="107"/>
      <c r="B709" s="138"/>
      <c r="C709" s="120"/>
      <c r="D709" s="121"/>
      <c r="E709" s="107"/>
      <c r="F709" s="122"/>
      <c r="G709" s="22"/>
      <c r="H709" s="123"/>
      <c r="I709" s="126"/>
      <c r="J709" s="130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>
      <c r="A710" s="107"/>
      <c r="B710" s="138"/>
      <c r="C710" s="120"/>
      <c r="D710" s="121"/>
      <c r="E710" s="107"/>
      <c r="F710" s="122"/>
      <c r="G710" s="22"/>
      <c r="H710" s="123"/>
      <c r="I710" s="126"/>
      <c r="J710" s="130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>
      <c r="A711" s="107"/>
      <c r="B711" s="138"/>
      <c r="C711" s="120"/>
      <c r="D711" s="121"/>
      <c r="E711" s="107"/>
      <c r="F711" s="122"/>
      <c r="G711" s="22"/>
      <c r="H711" s="123"/>
      <c r="I711" s="126"/>
      <c r="J711" s="130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>
      <c r="A712" s="107"/>
      <c r="B712" s="138"/>
      <c r="C712" s="120"/>
      <c r="D712" s="121"/>
      <c r="E712" s="107"/>
      <c r="F712" s="122"/>
      <c r="G712" s="22"/>
      <c r="H712" s="123"/>
      <c r="I712" s="126"/>
      <c r="J712" s="130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>
      <c r="A713" s="107"/>
      <c r="B713" s="138"/>
      <c r="C713" s="120"/>
      <c r="D713" s="121"/>
      <c r="E713" s="107"/>
      <c r="F713" s="122"/>
      <c r="G713" s="22"/>
      <c r="H713" s="123"/>
      <c r="I713" s="126"/>
      <c r="J713" s="130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>
      <c r="A714" s="107"/>
      <c r="B714" s="138"/>
      <c r="C714" s="120"/>
      <c r="D714" s="121"/>
      <c r="E714" s="107"/>
      <c r="F714" s="122"/>
      <c r="G714" s="22"/>
      <c r="H714" s="123"/>
      <c r="I714" s="126"/>
      <c r="J714" s="130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>
      <c r="A715" s="107"/>
      <c r="B715" s="138"/>
      <c r="C715" s="120"/>
      <c r="D715" s="121"/>
      <c r="E715" s="107"/>
      <c r="F715" s="122"/>
      <c r="G715" s="22"/>
      <c r="H715" s="123"/>
      <c r="I715" s="126"/>
      <c r="J715" s="130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>
      <c r="A716" s="107"/>
      <c r="B716" s="138"/>
      <c r="C716" s="120"/>
      <c r="D716" s="121"/>
      <c r="E716" s="107"/>
      <c r="F716" s="122"/>
      <c r="G716" s="22"/>
      <c r="H716" s="123"/>
      <c r="I716" s="126"/>
      <c r="J716" s="130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>
      <c r="A717" s="107"/>
      <c r="B717" s="138"/>
      <c r="C717" s="120"/>
      <c r="D717" s="121"/>
      <c r="E717" s="107"/>
      <c r="F717" s="122"/>
      <c r="G717" s="22"/>
      <c r="H717" s="123"/>
      <c r="I717" s="126"/>
      <c r="J717" s="130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>
      <c r="A718" s="107"/>
      <c r="B718" s="138"/>
      <c r="C718" s="120"/>
      <c r="D718" s="121"/>
      <c r="E718" s="107"/>
      <c r="F718" s="122"/>
      <c r="G718" s="22"/>
      <c r="H718" s="123"/>
      <c r="I718" s="126"/>
      <c r="J718" s="130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>
      <c r="A719" s="107"/>
      <c r="B719" s="138"/>
      <c r="C719" s="120"/>
      <c r="D719" s="121"/>
      <c r="E719" s="107"/>
      <c r="F719" s="122"/>
      <c r="G719" s="22"/>
      <c r="H719" s="123"/>
      <c r="I719" s="126"/>
      <c r="J719" s="130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>
      <c r="A720" s="107"/>
      <c r="B720" s="138"/>
      <c r="C720" s="120"/>
      <c r="D720" s="121"/>
      <c r="E720" s="107"/>
      <c r="F720" s="122"/>
      <c r="G720" s="22"/>
      <c r="H720" s="123"/>
      <c r="I720" s="126"/>
      <c r="J720" s="130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>
      <c r="A721" s="107"/>
      <c r="B721" s="138"/>
      <c r="C721" s="120"/>
      <c r="D721" s="121"/>
      <c r="E721" s="107"/>
      <c r="F721" s="122"/>
      <c r="G721" s="22"/>
      <c r="H721" s="123"/>
      <c r="I721" s="126"/>
      <c r="J721" s="130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>
      <c r="A722" s="107"/>
      <c r="B722" s="138"/>
      <c r="C722" s="120"/>
      <c r="D722" s="121"/>
      <c r="E722" s="107"/>
      <c r="F722" s="122"/>
      <c r="G722" s="22"/>
      <c r="H722" s="123"/>
      <c r="I722" s="126"/>
      <c r="J722" s="130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>
      <c r="A723" s="107"/>
      <c r="B723" s="138"/>
      <c r="C723" s="120"/>
      <c r="D723" s="121"/>
      <c r="E723" s="107"/>
      <c r="F723" s="122"/>
      <c r="G723" s="22"/>
      <c r="H723" s="123"/>
      <c r="I723" s="126"/>
      <c r="J723" s="130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>
      <c r="A724" s="107"/>
      <c r="B724" s="138"/>
      <c r="C724" s="120"/>
      <c r="D724" s="121"/>
      <c r="E724" s="107"/>
      <c r="F724" s="122"/>
      <c r="G724" s="22"/>
      <c r="H724" s="123"/>
      <c r="I724" s="126"/>
      <c r="J724" s="130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>
      <c r="A725" s="107"/>
      <c r="B725" s="138"/>
      <c r="C725" s="120"/>
      <c r="D725" s="121"/>
      <c r="E725" s="107"/>
      <c r="F725" s="122"/>
      <c r="G725" s="22"/>
      <c r="H725" s="123"/>
      <c r="I725" s="126"/>
      <c r="J725" s="130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>
      <c r="A726" s="107"/>
      <c r="B726" s="138"/>
      <c r="C726" s="120"/>
      <c r="D726" s="121"/>
      <c r="E726" s="107"/>
      <c r="F726" s="122"/>
      <c r="G726" s="22"/>
      <c r="H726" s="123"/>
      <c r="I726" s="126"/>
      <c r="J726" s="130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>
      <c r="A727" s="107"/>
      <c r="B727" s="138"/>
      <c r="C727" s="120"/>
      <c r="D727" s="121"/>
      <c r="E727" s="107"/>
      <c r="F727" s="122"/>
      <c r="G727" s="22"/>
      <c r="H727" s="123"/>
      <c r="I727" s="126"/>
      <c r="J727" s="130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>
      <c r="A728" s="107"/>
      <c r="B728" s="138"/>
      <c r="C728" s="120"/>
      <c r="D728" s="121"/>
      <c r="E728" s="107"/>
      <c r="F728" s="122"/>
      <c r="G728" s="22"/>
      <c r="H728" s="123"/>
      <c r="I728" s="126"/>
      <c r="J728" s="130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>
      <c r="A729" s="107"/>
      <c r="B729" s="138"/>
      <c r="C729" s="120"/>
      <c r="D729" s="121"/>
      <c r="E729" s="107"/>
      <c r="F729" s="122"/>
      <c r="G729" s="22"/>
      <c r="H729" s="123"/>
      <c r="I729" s="126"/>
      <c r="J729" s="130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>
      <c r="A730" s="107"/>
      <c r="B730" s="138"/>
      <c r="C730" s="120"/>
      <c r="D730" s="121"/>
      <c r="E730" s="107"/>
      <c r="F730" s="122"/>
      <c r="G730" s="22"/>
      <c r="H730" s="123"/>
      <c r="I730" s="126"/>
      <c r="J730" s="130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>
      <c r="A731" s="107"/>
      <c r="B731" s="138"/>
      <c r="C731" s="120"/>
      <c r="D731" s="121"/>
      <c r="E731" s="107"/>
      <c r="F731" s="122"/>
      <c r="G731" s="22"/>
      <c r="H731" s="123"/>
      <c r="I731" s="126"/>
      <c r="J731" s="130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>
      <c r="A732" s="107"/>
      <c r="B732" s="138"/>
      <c r="C732" s="120"/>
      <c r="D732" s="121"/>
      <c r="E732" s="107"/>
      <c r="F732" s="122"/>
      <c r="G732" s="22"/>
      <c r="H732" s="123"/>
      <c r="I732" s="126"/>
      <c r="J732" s="130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>
      <c r="A733" s="107"/>
      <c r="B733" s="138"/>
      <c r="C733" s="120"/>
      <c r="D733" s="121"/>
      <c r="E733" s="107"/>
      <c r="F733" s="122"/>
      <c r="G733" s="22"/>
      <c r="H733" s="123"/>
      <c r="I733" s="126"/>
      <c r="J733" s="130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>
      <c r="A734" s="107"/>
      <c r="B734" s="138"/>
      <c r="C734" s="120"/>
      <c r="D734" s="121"/>
      <c r="E734" s="107"/>
      <c r="F734" s="122"/>
      <c r="G734" s="22"/>
      <c r="H734" s="123"/>
      <c r="I734" s="126"/>
      <c r="J734" s="130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>
      <c r="A735" s="107"/>
      <c r="B735" s="138"/>
      <c r="C735" s="120"/>
      <c r="D735" s="121"/>
      <c r="E735" s="107"/>
      <c r="F735" s="122"/>
      <c r="G735" s="22"/>
      <c r="H735" s="123"/>
      <c r="I735" s="126"/>
      <c r="J735" s="130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>
      <c r="A736" s="107"/>
      <c r="B736" s="138"/>
      <c r="C736" s="120"/>
      <c r="D736" s="121"/>
      <c r="E736" s="107"/>
      <c r="F736" s="122"/>
      <c r="G736" s="22"/>
      <c r="H736" s="123"/>
      <c r="I736" s="126"/>
      <c r="J736" s="130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>
      <c r="A737" s="107"/>
      <c r="B737" s="138"/>
      <c r="C737" s="120"/>
      <c r="D737" s="121"/>
      <c r="E737" s="107"/>
      <c r="F737" s="122"/>
      <c r="G737" s="22"/>
      <c r="H737" s="123"/>
      <c r="I737" s="126"/>
      <c r="J737" s="130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>
      <c r="A738" s="107"/>
      <c r="B738" s="138"/>
      <c r="C738" s="120"/>
      <c r="D738" s="121"/>
      <c r="E738" s="107"/>
      <c r="F738" s="122"/>
      <c r="G738" s="22"/>
      <c r="H738" s="123"/>
      <c r="I738" s="126"/>
      <c r="J738" s="130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>
      <c r="A739" s="107"/>
      <c r="B739" s="138"/>
      <c r="C739" s="120"/>
      <c r="D739" s="121"/>
      <c r="E739" s="107"/>
      <c r="F739" s="122"/>
      <c r="G739" s="22"/>
      <c r="H739" s="123"/>
      <c r="I739" s="126"/>
      <c r="J739" s="130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>
      <c r="A740" s="107"/>
      <c r="B740" s="138"/>
      <c r="C740" s="120"/>
      <c r="D740" s="121"/>
      <c r="E740" s="107"/>
      <c r="F740" s="122"/>
      <c r="G740" s="22"/>
      <c r="H740" s="123"/>
      <c r="I740" s="126"/>
      <c r="J740" s="130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>
      <c r="A741" s="107"/>
      <c r="B741" s="138"/>
      <c r="C741" s="120"/>
      <c r="D741" s="121"/>
      <c r="E741" s="107"/>
      <c r="F741" s="122"/>
      <c r="G741" s="22"/>
      <c r="H741" s="123"/>
      <c r="I741" s="126"/>
      <c r="J741" s="130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>
      <c r="A742" s="107"/>
      <c r="B742" s="138"/>
      <c r="C742" s="120"/>
      <c r="D742" s="121"/>
      <c r="E742" s="107"/>
      <c r="F742" s="122"/>
      <c r="G742" s="22"/>
      <c r="H742" s="123"/>
      <c r="I742" s="126"/>
      <c r="J742" s="130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>
      <c r="A743" s="107"/>
      <c r="B743" s="138"/>
      <c r="C743" s="120"/>
      <c r="D743" s="121"/>
      <c r="E743" s="107"/>
      <c r="F743" s="122"/>
      <c r="G743" s="22"/>
      <c r="H743" s="123"/>
      <c r="I743" s="126"/>
      <c r="J743" s="130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>
      <c r="A744" s="107"/>
      <c r="B744" s="138"/>
      <c r="C744" s="120"/>
      <c r="D744" s="121"/>
      <c r="E744" s="107"/>
      <c r="F744" s="122"/>
      <c r="G744" s="22"/>
      <c r="H744" s="123"/>
      <c r="I744" s="126"/>
      <c r="J744" s="130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>
      <c r="A745" s="107"/>
      <c r="B745" s="138"/>
      <c r="C745" s="120"/>
      <c r="D745" s="121"/>
      <c r="E745" s="107"/>
      <c r="F745" s="122"/>
      <c r="G745" s="22"/>
      <c r="H745" s="123"/>
      <c r="I745" s="126"/>
      <c r="J745" s="130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>
      <c r="A746" s="107"/>
      <c r="B746" s="138"/>
      <c r="C746" s="120"/>
      <c r="D746" s="121"/>
      <c r="E746" s="107"/>
      <c r="F746" s="122"/>
      <c r="G746" s="22"/>
      <c r="H746" s="123"/>
      <c r="I746" s="126"/>
      <c r="J746" s="130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>
      <c r="A747" s="107"/>
      <c r="B747" s="138"/>
      <c r="C747" s="120"/>
      <c r="D747" s="121"/>
      <c r="E747" s="107"/>
      <c r="F747" s="122"/>
      <c r="G747" s="22"/>
      <c r="H747" s="123"/>
      <c r="I747" s="126"/>
      <c r="J747" s="130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>
      <c r="A748" s="107"/>
      <c r="B748" s="138"/>
      <c r="C748" s="120"/>
      <c r="D748" s="121"/>
      <c r="E748" s="107"/>
      <c r="F748" s="122"/>
      <c r="G748" s="22"/>
      <c r="H748" s="123"/>
      <c r="I748" s="126"/>
      <c r="J748" s="130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>
      <c r="A749" s="107"/>
      <c r="B749" s="138"/>
      <c r="C749" s="120"/>
      <c r="D749" s="121"/>
      <c r="E749" s="107"/>
      <c r="F749" s="122"/>
      <c r="G749" s="22"/>
      <c r="H749" s="123"/>
      <c r="I749" s="126"/>
      <c r="J749" s="130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>
      <c r="A750" s="107"/>
      <c r="B750" s="138"/>
      <c r="C750" s="120"/>
      <c r="D750" s="121"/>
      <c r="E750" s="107"/>
      <c r="F750" s="122"/>
      <c r="G750" s="22"/>
      <c r="H750" s="123"/>
      <c r="I750" s="126"/>
      <c r="J750" s="130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>
      <c r="A751" s="107"/>
      <c r="B751" s="138"/>
      <c r="C751" s="120"/>
      <c r="D751" s="121"/>
      <c r="E751" s="107"/>
      <c r="F751" s="122"/>
      <c r="G751" s="22"/>
      <c r="H751" s="123"/>
      <c r="I751" s="126"/>
      <c r="J751" s="130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>
      <c r="A752" s="107"/>
      <c r="B752" s="138"/>
      <c r="C752" s="120"/>
      <c r="D752" s="121"/>
      <c r="E752" s="107"/>
      <c r="F752" s="122"/>
      <c r="G752" s="22"/>
      <c r="H752" s="123"/>
      <c r="I752" s="126"/>
      <c r="J752" s="130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>
      <c r="A753" s="107"/>
      <c r="B753" s="138"/>
      <c r="C753" s="120"/>
      <c r="D753" s="121"/>
      <c r="E753" s="107"/>
      <c r="F753" s="122"/>
      <c r="G753" s="22"/>
      <c r="H753" s="123"/>
      <c r="I753" s="126"/>
      <c r="J753" s="130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>
      <c r="A754" s="107"/>
      <c r="B754" s="138"/>
      <c r="C754" s="120"/>
      <c r="D754" s="121"/>
      <c r="E754" s="107"/>
      <c r="F754" s="122"/>
      <c r="G754" s="22"/>
      <c r="H754" s="123"/>
      <c r="I754" s="126"/>
      <c r="J754" s="130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>
      <c r="A755" s="107"/>
      <c r="B755" s="138"/>
      <c r="C755" s="120"/>
      <c r="D755" s="121"/>
      <c r="E755" s="107"/>
      <c r="F755" s="122"/>
      <c r="G755" s="22"/>
      <c r="H755" s="123"/>
      <c r="I755" s="126"/>
      <c r="J755" s="130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>
      <c r="A756" s="107"/>
      <c r="B756" s="138"/>
      <c r="C756" s="120"/>
      <c r="D756" s="121"/>
      <c r="E756" s="107"/>
      <c r="F756" s="122"/>
      <c r="G756" s="22"/>
      <c r="H756" s="123"/>
      <c r="I756" s="126"/>
      <c r="J756" s="130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>
      <c r="A757" s="107"/>
      <c r="B757" s="138"/>
      <c r="C757" s="120"/>
      <c r="D757" s="121"/>
      <c r="E757" s="107"/>
      <c r="F757" s="122"/>
      <c r="G757" s="22"/>
      <c r="H757" s="123"/>
      <c r="I757" s="126"/>
      <c r="J757" s="130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>
      <c r="A758" s="107"/>
      <c r="B758" s="138"/>
      <c r="C758" s="120"/>
      <c r="D758" s="121"/>
      <c r="E758" s="107"/>
      <c r="F758" s="122"/>
      <c r="G758" s="22"/>
      <c r="H758" s="123"/>
      <c r="I758" s="126"/>
      <c r="J758" s="130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>
      <c r="A759" s="107"/>
      <c r="B759" s="138"/>
      <c r="C759" s="120"/>
      <c r="D759" s="121"/>
      <c r="E759" s="107"/>
      <c r="F759" s="122"/>
      <c r="G759" s="22"/>
      <c r="H759" s="123"/>
      <c r="I759" s="126"/>
      <c r="J759" s="130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>
      <c r="A760" s="107"/>
      <c r="B760" s="138"/>
      <c r="C760" s="120"/>
      <c r="D760" s="121"/>
      <c r="E760" s="107"/>
      <c r="F760" s="122"/>
      <c r="G760" s="22"/>
      <c r="H760" s="123"/>
      <c r="I760" s="126"/>
      <c r="J760" s="130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>
      <c r="A761" s="107"/>
      <c r="B761" s="138"/>
      <c r="C761" s="120"/>
      <c r="D761" s="121"/>
      <c r="E761" s="107"/>
      <c r="F761" s="122"/>
      <c r="G761" s="22"/>
      <c r="H761" s="123"/>
      <c r="I761" s="126"/>
      <c r="J761" s="130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>
      <c r="A762" s="107"/>
      <c r="B762" s="138"/>
      <c r="C762" s="120"/>
      <c r="D762" s="121"/>
      <c r="E762" s="107"/>
      <c r="F762" s="122"/>
      <c r="G762" s="22"/>
      <c r="H762" s="123"/>
      <c r="I762" s="126"/>
      <c r="J762" s="130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>
      <c r="A763" s="107"/>
      <c r="B763" s="138"/>
      <c r="C763" s="120"/>
      <c r="D763" s="121"/>
      <c r="E763" s="107"/>
      <c r="F763" s="122"/>
      <c r="G763" s="22"/>
      <c r="H763" s="123"/>
      <c r="I763" s="126"/>
      <c r="J763" s="130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>
      <c r="A764" s="107"/>
      <c r="B764" s="138"/>
      <c r="C764" s="120"/>
      <c r="D764" s="121"/>
      <c r="E764" s="107"/>
      <c r="F764" s="122"/>
      <c r="G764" s="22"/>
      <c r="H764" s="123"/>
      <c r="I764" s="126"/>
      <c r="J764" s="130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>
      <c r="A765" s="107"/>
      <c r="B765" s="138"/>
      <c r="C765" s="120"/>
      <c r="D765" s="121"/>
      <c r="E765" s="107"/>
      <c r="F765" s="122"/>
      <c r="G765" s="22"/>
      <c r="H765" s="123"/>
      <c r="I765" s="126"/>
      <c r="J765" s="130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>
      <c r="A766" s="107"/>
      <c r="B766" s="138"/>
      <c r="C766" s="120"/>
      <c r="D766" s="121"/>
      <c r="E766" s="107"/>
      <c r="F766" s="122"/>
      <c r="G766" s="22"/>
      <c r="H766" s="123"/>
      <c r="I766" s="126"/>
      <c r="J766" s="130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>
      <c r="A767" s="107"/>
      <c r="B767" s="138"/>
      <c r="C767" s="120"/>
      <c r="D767" s="121"/>
      <c r="E767" s="107"/>
      <c r="F767" s="122"/>
      <c r="G767" s="22"/>
      <c r="H767" s="123"/>
      <c r="I767" s="126"/>
      <c r="J767" s="130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>
      <c r="A768" s="107"/>
      <c r="B768" s="138"/>
      <c r="C768" s="120"/>
      <c r="D768" s="121"/>
      <c r="E768" s="107"/>
      <c r="F768" s="122"/>
      <c r="G768" s="22"/>
      <c r="H768" s="123"/>
      <c r="I768" s="126"/>
      <c r="J768" s="130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>
      <c r="A769" s="107"/>
      <c r="B769" s="138"/>
      <c r="C769" s="120"/>
      <c r="D769" s="121"/>
      <c r="E769" s="107"/>
      <c r="F769" s="122"/>
      <c r="G769" s="22"/>
      <c r="H769" s="123"/>
      <c r="I769" s="126"/>
      <c r="J769" s="130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>
      <c r="A770" s="107"/>
      <c r="B770" s="138"/>
      <c r="C770" s="120"/>
      <c r="D770" s="121"/>
      <c r="E770" s="107"/>
      <c r="F770" s="122"/>
      <c r="G770" s="22"/>
      <c r="H770" s="123"/>
      <c r="I770" s="126"/>
      <c r="J770" s="130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>
      <c r="A771" s="107"/>
      <c r="B771" s="138"/>
      <c r="C771" s="120"/>
      <c r="D771" s="121"/>
      <c r="E771" s="107"/>
      <c r="F771" s="122"/>
      <c r="G771" s="22"/>
      <c r="H771" s="123"/>
      <c r="I771" s="126"/>
      <c r="J771" s="130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>
      <c r="A772" s="107"/>
      <c r="B772" s="138"/>
      <c r="C772" s="120"/>
      <c r="D772" s="121"/>
      <c r="E772" s="107"/>
      <c r="F772" s="122"/>
      <c r="G772" s="22"/>
      <c r="H772" s="123"/>
      <c r="I772" s="126"/>
      <c r="J772" s="130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>
      <c r="A773" s="107"/>
      <c r="B773" s="138"/>
      <c r="C773" s="120"/>
      <c r="D773" s="121"/>
      <c r="E773" s="107"/>
      <c r="F773" s="122"/>
      <c r="G773" s="22"/>
      <c r="H773" s="123"/>
      <c r="I773" s="126"/>
      <c r="J773" s="130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>
      <c r="A774" s="107"/>
      <c r="B774" s="138"/>
      <c r="C774" s="120"/>
      <c r="D774" s="121"/>
      <c r="E774" s="107"/>
      <c r="F774" s="122"/>
      <c r="G774" s="22"/>
      <c r="H774" s="123"/>
      <c r="I774" s="126"/>
      <c r="J774" s="130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>
      <c r="A775" s="107"/>
      <c r="B775" s="138"/>
      <c r="C775" s="120"/>
      <c r="D775" s="121"/>
      <c r="E775" s="107"/>
      <c r="F775" s="122"/>
      <c r="G775" s="22"/>
      <c r="H775" s="123"/>
      <c r="I775" s="126"/>
      <c r="J775" s="130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>
      <c r="A776" s="107"/>
      <c r="B776" s="138"/>
      <c r="C776" s="120"/>
      <c r="D776" s="121"/>
      <c r="E776" s="107"/>
      <c r="F776" s="122"/>
      <c r="G776" s="22"/>
      <c r="H776" s="123"/>
      <c r="I776" s="126"/>
      <c r="J776" s="130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>
      <c r="A777" s="107"/>
      <c r="B777" s="138"/>
      <c r="C777" s="120"/>
      <c r="D777" s="121"/>
      <c r="E777" s="107"/>
      <c r="F777" s="122"/>
      <c r="G777" s="22"/>
      <c r="H777" s="123"/>
      <c r="I777" s="126"/>
      <c r="J777" s="130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>
      <c r="A778" s="107"/>
      <c r="B778" s="138"/>
      <c r="C778" s="120"/>
      <c r="D778" s="121"/>
      <c r="E778" s="107"/>
      <c r="F778" s="122"/>
      <c r="G778" s="22"/>
      <c r="H778" s="123"/>
      <c r="I778" s="126"/>
      <c r="J778" s="130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>
      <c r="A779" s="107"/>
      <c r="B779" s="138"/>
      <c r="C779" s="120"/>
      <c r="D779" s="121"/>
      <c r="E779" s="107"/>
      <c r="F779" s="122"/>
      <c r="G779" s="22"/>
      <c r="H779" s="123"/>
      <c r="I779" s="126"/>
      <c r="J779" s="130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>
      <c r="A780" s="107"/>
      <c r="B780" s="138"/>
      <c r="C780" s="120"/>
      <c r="D780" s="121"/>
      <c r="E780" s="107"/>
      <c r="F780" s="122"/>
      <c r="G780" s="22"/>
      <c r="H780" s="123"/>
      <c r="I780" s="126"/>
      <c r="J780" s="130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>
      <c r="A781" s="107"/>
      <c r="B781" s="138"/>
      <c r="C781" s="120"/>
      <c r="D781" s="121"/>
      <c r="E781" s="107"/>
      <c r="F781" s="122"/>
      <c r="G781" s="22"/>
      <c r="H781" s="123"/>
      <c r="I781" s="126"/>
      <c r="J781" s="130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>
      <c r="A782" s="107"/>
      <c r="B782" s="138"/>
      <c r="C782" s="120"/>
      <c r="D782" s="121"/>
      <c r="E782" s="107"/>
      <c r="F782" s="122"/>
      <c r="G782" s="22"/>
      <c r="H782" s="123"/>
      <c r="I782" s="126"/>
      <c r="J782" s="130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>
      <c r="A783" s="107"/>
      <c r="B783" s="138"/>
      <c r="C783" s="120"/>
      <c r="D783" s="121"/>
      <c r="E783" s="107"/>
      <c r="F783" s="122"/>
      <c r="G783" s="22"/>
      <c r="H783" s="123"/>
      <c r="I783" s="126"/>
      <c r="J783" s="130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>
      <c r="A784" s="107"/>
      <c r="B784" s="138"/>
      <c r="C784" s="120"/>
      <c r="D784" s="121"/>
      <c r="E784" s="107"/>
      <c r="F784" s="122"/>
      <c r="G784" s="22"/>
      <c r="H784" s="123"/>
      <c r="I784" s="126"/>
      <c r="J784" s="130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>
      <c r="A785" s="107"/>
      <c r="B785" s="138"/>
      <c r="C785" s="120"/>
      <c r="D785" s="121"/>
      <c r="E785" s="107"/>
      <c r="F785" s="122"/>
      <c r="G785" s="22"/>
      <c r="H785" s="123"/>
      <c r="I785" s="126"/>
      <c r="J785" s="130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>
      <c r="A786" s="107"/>
      <c r="B786" s="138"/>
      <c r="C786" s="120"/>
      <c r="D786" s="121"/>
      <c r="E786" s="107"/>
      <c r="F786" s="122"/>
      <c r="G786" s="22"/>
      <c r="H786" s="123"/>
      <c r="I786" s="126"/>
      <c r="J786" s="130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>
      <c r="A787" s="107"/>
      <c r="B787" s="138"/>
      <c r="C787" s="120"/>
      <c r="D787" s="121"/>
      <c r="E787" s="107"/>
      <c r="F787" s="122"/>
      <c r="G787" s="22"/>
      <c r="H787" s="123"/>
      <c r="I787" s="126"/>
      <c r="J787" s="130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>
      <c r="A788" s="107"/>
      <c r="B788" s="138"/>
      <c r="C788" s="120"/>
      <c r="D788" s="121"/>
      <c r="E788" s="107"/>
      <c r="F788" s="122"/>
      <c r="G788" s="22"/>
      <c r="H788" s="123"/>
      <c r="I788" s="126"/>
      <c r="J788" s="130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>
      <c r="A789" s="107"/>
      <c r="B789" s="138"/>
      <c r="C789" s="120"/>
      <c r="D789" s="121"/>
      <c r="E789" s="107"/>
      <c r="F789" s="122"/>
      <c r="G789" s="22"/>
      <c r="H789" s="123"/>
      <c r="I789" s="126"/>
      <c r="J789" s="130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>
      <c r="A790" s="107"/>
      <c r="B790" s="138"/>
      <c r="C790" s="120"/>
      <c r="D790" s="121"/>
      <c r="E790" s="107"/>
      <c r="F790" s="122"/>
      <c r="G790" s="22"/>
      <c r="H790" s="123"/>
      <c r="I790" s="126"/>
      <c r="J790" s="130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>
      <c r="A791" s="107"/>
      <c r="B791" s="138"/>
      <c r="C791" s="120"/>
      <c r="D791" s="121"/>
      <c r="E791" s="107"/>
      <c r="F791" s="122"/>
      <c r="G791" s="22"/>
      <c r="H791" s="123"/>
      <c r="I791" s="126"/>
      <c r="J791" s="130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>
      <c r="A792" s="107"/>
      <c r="B792" s="138"/>
      <c r="C792" s="120"/>
      <c r="D792" s="121"/>
      <c r="E792" s="107"/>
      <c r="F792" s="122"/>
      <c r="G792" s="22"/>
      <c r="H792" s="123"/>
      <c r="I792" s="126"/>
      <c r="J792" s="130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>
      <c r="A793" s="107"/>
      <c r="B793" s="138"/>
      <c r="C793" s="120"/>
      <c r="D793" s="121"/>
      <c r="E793" s="107"/>
      <c r="F793" s="122"/>
      <c r="G793" s="22"/>
      <c r="H793" s="123"/>
      <c r="I793" s="126"/>
      <c r="J793" s="130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>
      <c r="A794" s="107"/>
      <c r="B794" s="138"/>
      <c r="C794" s="120"/>
      <c r="D794" s="121"/>
      <c r="E794" s="107"/>
      <c r="F794" s="122"/>
      <c r="G794" s="22"/>
      <c r="H794" s="123"/>
      <c r="I794" s="126"/>
      <c r="J794" s="130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>
      <c r="A795" s="107"/>
      <c r="B795" s="138"/>
      <c r="C795" s="120"/>
      <c r="D795" s="121"/>
      <c r="E795" s="107"/>
      <c r="F795" s="122"/>
      <c r="G795" s="22"/>
      <c r="H795" s="123"/>
      <c r="I795" s="126"/>
      <c r="J795" s="130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>
      <c r="A796" s="107"/>
      <c r="B796" s="138"/>
      <c r="C796" s="120"/>
      <c r="D796" s="121"/>
      <c r="E796" s="107"/>
      <c r="F796" s="122"/>
      <c r="G796" s="22"/>
      <c r="H796" s="123"/>
      <c r="I796" s="126"/>
      <c r="J796" s="130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>
      <c r="A797" s="107"/>
      <c r="B797" s="138"/>
      <c r="C797" s="120"/>
      <c r="D797" s="121"/>
      <c r="E797" s="107"/>
      <c r="F797" s="122"/>
      <c r="G797" s="22"/>
      <c r="H797" s="123"/>
      <c r="I797" s="126"/>
      <c r="J797" s="130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>
      <c r="A798" s="107"/>
      <c r="B798" s="138"/>
      <c r="C798" s="120"/>
      <c r="D798" s="121"/>
      <c r="E798" s="107"/>
      <c r="F798" s="122"/>
      <c r="G798" s="22"/>
      <c r="H798" s="123"/>
      <c r="I798" s="126"/>
      <c r="J798" s="130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>
      <c r="A799" s="107"/>
      <c r="B799" s="138"/>
      <c r="C799" s="120"/>
      <c r="D799" s="121"/>
      <c r="E799" s="107"/>
      <c r="F799" s="122"/>
      <c r="G799" s="22"/>
      <c r="H799" s="123"/>
      <c r="I799" s="126"/>
      <c r="J799" s="130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>
      <c r="A800" s="107"/>
      <c r="B800" s="138"/>
      <c r="C800" s="120"/>
      <c r="D800" s="121"/>
      <c r="E800" s="107"/>
      <c r="F800" s="122"/>
      <c r="G800" s="22"/>
      <c r="H800" s="123"/>
      <c r="I800" s="126"/>
      <c r="J800" s="130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>
      <c r="A801" s="107"/>
      <c r="B801" s="138"/>
      <c r="C801" s="120"/>
      <c r="D801" s="121"/>
      <c r="E801" s="107"/>
      <c r="F801" s="122"/>
      <c r="G801" s="22"/>
      <c r="H801" s="123"/>
      <c r="I801" s="126"/>
      <c r="J801" s="130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>
      <c r="A802" s="107"/>
      <c r="B802" s="138"/>
      <c r="C802" s="120"/>
      <c r="D802" s="121"/>
      <c r="E802" s="107"/>
      <c r="F802" s="122"/>
      <c r="G802" s="22"/>
      <c r="H802" s="123"/>
      <c r="I802" s="126"/>
      <c r="J802" s="130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>
      <c r="A803" s="107"/>
      <c r="B803" s="138"/>
      <c r="C803" s="120"/>
      <c r="D803" s="121"/>
      <c r="E803" s="107"/>
      <c r="F803" s="122"/>
      <c r="G803" s="22"/>
      <c r="H803" s="123"/>
      <c r="I803" s="126"/>
      <c r="J803" s="130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>
      <c r="A804" s="107"/>
      <c r="B804" s="138"/>
      <c r="C804" s="120"/>
      <c r="D804" s="121"/>
      <c r="E804" s="107"/>
      <c r="F804" s="122"/>
      <c r="G804" s="22"/>
      <c r="H804" s="123"/>
      <c r="I804" s="126"/>
      <c r="J804" s="130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>
      <c r="A805" s="107"/>
      <c r="B805" s="138"/>
      <c r="C805" s="120"/>
      <c r="D805" s="121"/>
      <c r="E805" s="107"/>
      <c r="F805" s="122"/>
      <c r="G805" s="22"/>
      <c r="H805" s="123"/>
      <c r="I805" s="126"/>
      <c r="J805" s="130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>
      <c r="A806" s="107"/>
      <c r="B806" s="138"/>
      <c r="C806" s="120"/>
      <c r="D806" s="121"/>
      <c r="E806" s="107"/>
      <c r="F806" s="122"/>
      <c r="G806" s="22"/>
      <c r="H806" s="123"/>
      <c r="I806" s="126"/>
      <c r="J806" s="130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>
      <c r="A807" s="107"/>
      <c r="B807" s="138"/>
      <c r="C807" s="120"/>
      <c r="D807" s="121"/>
      <c r="E807" s="107"/>
      <c r="F807" s="122"/>
      <c r="G807" s="22"/>
      <c r="H807" s="123"/>
      <c r="I807" s="126"/>
      <c r="J807" s="130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>
      <c r="A808" s="107"/>
      <c r="B808" s="138"/>
      <c r="C808" s="120"/>
      <c r="D808" s="121"/>
      <c r="E808" s="107"/>
      <c r="F808" s="122"/>
      <c r="G808" s="22"/>
      <c r="H808" s="123"/>
      <c r="I808" s="126"/>
      <c r="J808" s="130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>
      <c r="A809" s="107"/>
      <c r="B809" s="138"/>
      <c r="C809" s="120"/>
      <c r="D809" s="121"/>
      <c r="E809" s="107"/>
      <c r="F809" s="122"/>
      <c r="G809" s="22"/>
      <c r="H809" s="123"/>
      <c r="I809" s="126"/>
      <c r="J809" s="130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>
      <c r="A810" s="107"/>
      <c r="B810" s="138"/>
      <c r="C810" s="120"/>
      <c r="D810" s="121"/>
      <c r="E810" s="107"/>
      <c r="F810" s="122"/>
      <c r="G810" s="22"/>
      <c r="H810" s="123"/>
      <c r="I810" s="126"/>
      <c r="J810" s="130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>
      <c r="A811" s="107"/>
      <c r="B811" s="138"/>
      <c r="C811" s="120"/>
      <c r="D811" s="121"/>
      <c r="E811" s="107"/>
      <c r="F811" s="122"/>
      <c r="G811" s="22"/>
      <c r="H811" s="123"/>
      <c r="I811" s="126"/>
      <c r="J811" s="130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>
      <c r="A812" s="107"/>
      <c r="B812" s="138"/>
      <c r="C812" s="120"/>
      <c r="D812" s="121"/>
      <c r="E812" s="107"/>
      <c r="F812" s="122"/>
      <c r="G812" s="22"/>
      <c r="H812" s="123"/>
      <c r="I812" s="126"/>
      <c r="J812" s="130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>
      <c r="A813" s="107"/>
      <c r="B813" s="138"/>
      <c r="C813" s="120"/>
      <c r="D813" s="121"/>
      <c r="E813" s="107"/>
      <c r="F813" s="122"/>
      <c r="G813" s="22"/>
      <c r="H813" s="123"/>
      <c r="I813" s="126"/>
      <c r="J813" s="130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>
      <c r="A814" s="107"/>
      <c r="B814" s="138"/>
      <c r="C814" s="120"/>
      <c r="D814" s="121"/>
      <c r="E814" s="107"/>
      <c r="F814" s="122"/>
      <c r="G814" s="22"/>
      <c r="H814" s="123"/>
      <c r="I814" s="126"/>
      <c r="J814" s="130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>
      <c r="A815" s="107"/>
      <c r="B815" s="138"/>
      <c r="C815" s="120"/>
      <c r="D815" s="121"/>
      <c r="E815" s="107"/>
      <c r="F815" s="122"/>
      <c r="G815" s="22"/>
      <c r="H815" s="123"/>
      <c r="I815" s="126"/>
      <c r="J815" s="130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>
      <c r="A816" s="107"/>
      <c r="B816" s="138"/>
      <c r="C816" s="120"/>
      <c r="D816" s="121"/>
      <c r="E816" s="107"/>
      <c r="F816" s="122"/>
      <c r="G816" s="22"/>
      <c r="H816" s="123"/>
      <c r="I816" s="126"/>
      <c r="J816" s="130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>
      <c r="A817" s="107"/>
      <c r="B817" s="138"/>
      <c r="C817" s="120"/>
      <c r="D817" s="121"/>
      <c r="E817" s="107"/>
      <c r="F817" s="122"/>
      <c r="G817" s="22"/>
      <c r="H817" s="123"/>
      <c r="I817" s="126"/>
      <c r="J817" s="130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>
      <c r="A818" s="107"/>
      <c r="B818" s="138"/>
      <c r="C818" s="120"/>
      <c r="D818" s="121"/>
      <c r="E818" s="107"/>
      <c r="F818" s="122"/>
      <c r="G818" s="22"/>
      <c r="H818" s="123"/>
      <c r="I818" s="126"/>
      <c r="J818" s="130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>
      <c r="A819" s="107"/>
      <c r="B819" s="138"/>
      <c r="C819" s="120"/>
      <c r="D819" s="121"/>
      <c r="E819" s="107"/>
      <c r="F819" s="122"/>
      <c r="G819" s="22"/>
      <c r="H819" s="123"/>
      <c r="I819" s="126"/>
      <c r="J819" s="130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>
      <c r="A820" s="107"/>
      <c r="B820" s="138"/>
      <c r="C820" s="120"/>
      <c r="D820" s="121"/>
      <c r="E820" s="107"/>
      <c r="F820" s="122"/>
      <c r="G820" s="22"/>
      <c r="H820" s="123"/>
      <c r="I820" s="126"/>
      <c r="J820" s="130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>
      <c r="A821" s="107"/>
      <c r="B821" s="138"/>
      <c r="C821" s="120"/>
      <c r="D821" s="121"/>
      <c r="E821" s="107"/>
      <c r="F821" s="122"/>
      <c r="G821" s="22"/>
      <c r="H821" s="123"/>
      <c r="I821" s="126"/>
      <c r="J821" s="130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>
      <c r="A822" s="107"/>
      <c r="B822" s="138"/>
      <c r="C822" s="120"/>
      <c r="D822" s="121"/>
      <c r="E822" s="107"/>
      <c r="F822" s="122"/>
      <c r="G822" s="22"/>
      <c r="H822" s="123"/>
      <c r="I822" s="126"/>
      <c r="J822" s="130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>
      <c r="A823" s="107"/>
      <c r="B823" s="138"/>
      <c r="C823" s="120"/>
      <c r="D823" s="121"/>
      <c r="E823" s="107"/>
      <c r="F823" s="122"/>
      <c r="G823" s="22"/>
      <c r="H823" s="123"/>
      <c r="I823" s="126"/>
      <c r="J823" s="130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>
      <c r="A824" s="107"/>
      <c r="B824" s="138"/>
      <c r="C824" s="120"/>
      <c r="D824" s="121"/>
      <c r="E824" s="107"/>
      <c r="F824" s="122"/>
      <c r="G824" s="22"/>
      <c r="H824" s="123"/>
      <c r="I824" s="126"/>
      <c r="J824" s="130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>
      <c r="A825" s="107"/>
      <c r="B825" s="138"/>
      <c r="C825" s="120"/>
      <c r="D825" s="121"/>
      <c r="E825" s="107"/>
      <c r="F825" s="122"/>
      <c r="G825" s="22"/>
      <c r="H825" s="123"/>
      <c r="I825" s="126"/>
      <c r="J825" s="130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>
      <c r="A826" s="107"/>
      <c r="B826" s="138"/>
      <c r="C826" s="120"/>
      <c r="D826" s="121"/>
      <c r="E826" s="107"/>
      <c r="F826" s="122"/>
      <c r="G826" s="22"/>
      <c r="H826" s="123"/>
      <c r="I826" s="126"/>
      <c r="J826" s="130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>
      <c r="A827" s="107"/>
      <c r="B827" s="138"/>
      <c r="C827" s="120"/>
      <c r="D827" s="121"/>
      <c r="E827" s="107"/>
      <c r="F827" s="122"/>
      <c r="G827" s="22"/>
      <c r="H827" s="123"/>
      <c r="I827" s="126"/>
      <c r="J827" s="130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>
      <c r="A828" s="107"/>
      <c r="B828" s="138"/>
      <c r="C828" s="120"/>
      <c r="D828" s="121"/>
      <c r="E828" s="107"/>
      <c r="F828" s="122"/>
      <c r="G828" s="22"/>
      <c r="H828" s="123"/>
      <c r="I828" s="126"/>
      <c r="J828" s="130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>
      <c r="A829" s="107"/>
      <c r="B829" s="138"/>
      <c r="C829" s="120"/>
      <c r="D829" s="121"/>
      <c r="E829" s="107"/>
      <c r="F829" s="122"/>
      <c r="G829" s="22"/>
      <c r="H829" s="123"/>
      <c r="I829" s="126"/>
      <c r="J829" s="130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>
      <c r="A830" s="107"/>
      <c r="B830" s="138"/>
      <c r="C830" s="120"/>
      <c r="D830" s="121"/>
      <c r="E830" s="107"/>
      <c r="F830" s="122"/>
      <c r="G830" s="22"/>
      <c r="H830" s="123"/>
      <c r="I830" s="126"/>
      <c r="J830" s="130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>
      <c r="A831" s="107"/>
      <c r="B831" s="138"/>
      <c r="C831" s="120"/>
      <c r="D831" s="121"/>
      <c r="E831" s="107"/>
      <c r="F831" s="122"/>
      <c r="G831" s="22"/>
      <c r="H831" s="123"/>
      <c r="I831" s="126"/>
      <c r="J831" s="130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>
      <c r="A832" s="107"/>
      <c r="B832" s="138"/>
      <c r="C832" s="120"/>
      <c r="D832" s="121"/>
      <c r="E832" s="107"/>
      <c r="F832" s="122"/>
      <c r="G832" s="22"/>
      <c r="H832" s="123"/>
      <c r="I832" s="126"/>
      <c r="J832" s="130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>
      <c r="A833" s="107"/>
      <c r="B833" s="138"/>
      <c r="C833" s="120"/>
      <c r="D833" s="121"/>
      <c r="E833" s="107"/>
      <c r="F833" s="122"/>
      <c r="G833" s="22"/>
      <c r="H833" s="123"/>
      <c r="I833" s="126"/>
      <c r="J833" s="130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>
      <c r="A834" s="107"/>
      <c r="B834" s="138"/>
      <c r="C834" s="120"/>
      <c r="D834" s="121"/>
      <c r="E834" s="107"/>
      <c r="F834" s="122"/>
      <c r="G834" s="22"/>
      <c r="H834" s="123"/>
      <c r="I834" s="126"/>
      <c r="J834" s="130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>
      <c r="A835" s="107"/>
      <c r="B835" s="138"/>
      <c r="C835" s="120"/>
      <c r="D835" s="121"/>
      <c r="E835" s="107"/>
      <c r="F835" s="122"/>
      <c r="G835" s="22"/>
      <c r="H835" s="123"/>
      <c r="I835" s="126"/>
      <c r="J835" s="130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>
      <c r="A836" s="107"/>
      <c r="B836" s="138"/>
      <c r="C836" s="120"/>
      <c r="D836" s="121"/>
      <c r="E836" s="107"/>
      <c r="F836" s="122"/>
      <c r="G836" s="22"/>
      <c r="H836" s="123"/>
      <c r="I836" s="126"/>
      <c r="J836" s="130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>
      <c r="A837" s="107"/>
      <c r="B837" s="138"/>
      <c r="C837" s="120"/>
      <c r="D837" s="121"/>
      <c r="E837" s="107"/>
      <c r="F837" s="122"/>
      <c r="G837" s="22"/>
      <c r="H837" s="123"/>
      <c r="I837" s="126"/>
      <c r="J837" s="130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>
      <c r="A838" s="107"/>
      <c r="B838" s="138"/>
      <c r="C838" s="120"/>
      <c r="D838" s="121"/>
      <c r="E838" s="107"/>
      <c r="F838" s="122"/>
      <c r="G838" s="22"/>
      <c r="H838" s="123"/>
      <c r="I838" s="126"/>
      <c r="J838" s="130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>
      <c r="A839" s="107"/>
      <c r="B839" s="138"/>
      <c r="C839" s="120"/>
      <c r="D839" s="121"/>
      <c r="E839" s="107"/>
      <c r="F839" s="122"/>
      <c r="G839" s="22"/>
      <c r="H839" s="123"/>
      <c r="I839" s="126"/>
      <c r="J839" s="130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>
      <c r="A840" s="107"/>
      <c r="B840" s="138"/>
      <c r="C840" s="120"/>
      <c r="D840" s="121"/>
      <c r="E840" s="107"/>
      <c r="F840" s="122"/>
      <c r="G840" s="22"/>
      <c r="H840" s="123"/>
      <c r="I840" s="126"/>
      <c r="J840" s="130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>
      <c r="A841" s="107"/>
      <c r="B841" s="138"/>
      <c r="C841" s="120"/>
      <c r="D841" s="121"/>
      <c r="E841" s="107"/>
      <c r="F841" s="122"/>
      <c r="G841" s="22"/>
      <c r="H841" s="123"/>
      <c r="I841" s="126"/>
      <c r="J841" s="130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>
      <c r="A842" s="107"/>
      <c r="B842" s="138"/>
      <c r="C842" s="120"/>
      <c r="D842" s="121"/>
      <c r="E842" s="107"/>
      <c r="F842" s="122"/>
      <c r="G842" s="22"/>
      <c r="H842" s="123"/>
      <c r="I842" s="126"/>
      <c r="J842" s="130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>
      <c r="A843" s="107"/>
      <c r="B843" s="138"/>
      <c r="C843" s="120"/>
      <c r="D843" s="121"/>
      <c r="E843" s="107"/>
      <c r="F843" s="122"/>
      <c r="G843" s="22"/>
      <c r="H843" s="123"/>
      <c r="I843" s="126"/>
      <c r="J843" s="130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>
      <c r="A844" s="107"/>
      <c r="B844" s="138"/>
      <c r="C844" s="120"/>
      <c r="D844" s="121"/>
      <c r="E844" s="107"/>
      <c r="F844" s="122"/>
      <c r="G844" s="22"/>
      <c r="H844" s="123"/>
      <c r="I844" s="126"/>
      <c r="J844" s="130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>
      <c r="A845" s="107"/>
      <c r="B845" s="138"/>
      <c r="C845" s="120"/>
      <c r="D845" s="121"/>
      <c r="E845" s="107"/>
      <c r="F845" s="122"/>
      <c r="G845" s="22"/>
      <c r="H845" s="123"/>
      <c r="I845" s="126"/>
      <c r="J845" s="130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>
      <c r="A846" s="107"/>
      <c r="B846" s="138"/>
      <c r="C846" s="120"/>
      <c r="D846" s="121"/>
      <c r="E846" s="107"/>
      <c r="F846" s="122"/>
      <c r="G846" s="22"/>
      <c r="H846" s="123"/>
      <c r="I846" s="126"/>
      <c r="J846" s="130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>
      <c r="A847" s="107"/>
      <c r="B847" s="138"/>
      <c r="C847" s="120"/>
      <c r="D847" s="121"/>
      <c r="E847" s="107"/>
      <c r="F847" s="122"/>
      <c r="G847" s="22"/>
      <c r="H847" s="123"/>
      <c r="I847" s="126"/>
      <c r="J847" s="130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>
      <c r="A848" s="107"/>
      <c r="B848" s="138"/>
      <c r="C848" s="120"/>
      <c r="D848" s="121"/>
      <c r="E848" s="107"/>
      <c r="F848" s="122"/>
      <c r="G848" s="22"/>
      <c r="H848" s="123"/>
      <c r="I848" s="126"/>
      <c r="J848" s="130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>
      <c r="A849" s="107"/>
      <c r="B849" s="138"/>
      <c r="C849" s="120"/>
      <c r="D849" s="121"/>
      <c r="E849" s="107"/>
      <c r="F849" s="122"/>
      <c r="G849" s="22"/>
      <c r="H849" s="123"/>
      <c r="I849" s="126"/>
      <c r="J849" s="130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>
      <c r="A850" s="107"/>
      <c r="B850" s="138"/>
      <c r="C850" s="120"/>
      <c r="D850" s="121"/>
      <c r="E850" s="107"/>
      <c r="F850" s="122"/>
      <c r="G850" s="22"/>
      <c r="H850" s="123"/>
      <c r="I850" s="126"/>
      <c r="J850" s="130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>
      <c r="A851" s="107"/>
      <c r="B851" s="138"/>
      <c r="C851" s="120"/>
      <c r="D851" s="121"/>
      <c r="E851" s="107"/>
      <c r="F851" s="122"/>
      <c r="G851" s="22"/>
      <c r="H851" s="123"/>
      <c r="I851" s="126"/>
      <c r="J851" s="130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>
      <c r="A852" s="107"/>
      <c r="B852" s="138"/>
      <c r="C852" s="120"/>
      <c r="D852" s="121"/>
      <c r="E852" s="107"/>
      <c r="F852" s="122"/>
      <c r="G852" s="22"/>
      <c r="H852" s="123"/>
      <c r="I852" s="126"/>
      <c r="J852" s="130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>
      <c r="A853" s="107"/>
      <c r="B853" s="138"/>
      <c r="C853" s="120"/>
      <c r="D853" s="121"/>
      <c r="E853" s="107"/>
      <c r="F853" s="122"/>
      <c r="G853" s="22"/>
      <c r="H853" s="123"/>
      <c r="I853" s="126"/>
      <c r="J853" s="130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>
      <c r="A854" s="107"/>
      <c r="B854" s="138"/>
      <c r="C854" s="120"/>
      <c r="D854" s="121"/>
      <c r="E854" s="107"/>
      <c r="F854" s="122"/>
      <c r="G854" s="22"/>
      <c r="H854" s="123"/>
      <c r="I854" s="126"/>
      <c r="J854" s="130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>
      <c r="A855" s="107"/>
      <c r="B855" s="138"/>
      <c r="C855" s="120"/>
      <c r="D855" s="121"/>
      <c r="E855" s="107"/>
      <c r="F855" s="122"/>
      <c r="G855" s="22"/>
      <c r="H855" s="123"/>
      <c r="I855" s="126"/>
      <c r="J855" s="130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>
      <c r="A856" s="107"/>
      <c r="B856" s="138"/>
      <c r="C856" s="120"/>
      <c r="D856" s="121"/>
      <c r="E856" s="107"/>
      <c r="F856" s="122"/>
      <c r="G856" s="22"/>
      <c r="H856" s="123"/>
      <c r="I856" s="126"/>
      <c r="J856" s="130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>
      <c r="A857" s="107"/>
      <c r="B857" s="138"/>
      <c r="C857" s="120"/>
      <c r="D857" s="121"/>
      <c r="E857" s="107"/>
      <c r="F857" s="122"/>
      <c r="G857" s="22"/>
      <c r="H857" s="123"/>
      <c r="I857" s="126"/>
      <c r="J857" s="130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>
      <c r="A858" s="107"/>
      <c r="B858" s="138"/>
      <c r="C858" s="120"/>
      <c r="D858" s="121"/>
      <c r="E858" s="107"/>
      <c r="F858" s="122"/>
      <c r="G858" s="22"/>
      <c r="H858" s="123"/>
      <c r="I858" s="126"/>
      <c r="J858" s="130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>
      <c r="A859" s="107"/>
      <c r="B859" s="138"/>
      <c r="C859" s="120"/>
      <c r="D859" s="121"/>
      <c r="E859" s="107"/>
      <c r="F859" s="122"/>
      <c r="G859" s="22"/>
      <c r="H859" s="123"/>
      <c r="I859" s="126"/>
      <c r="J859" s="130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>
      <c r="A860" s="107"/>
      <c r="B860" s="138"/>
      <c r="C860" s="120"/>
      <c r="D860" s="121"/>
      <c r="E860" s="107"/>
      <c r="F860" s="122"/>
      <c r="G860" s="22"/>
      <c r="H860" s="123"/>
      <c r="I860" s="126"/>
      <c r="J860" s="130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>
      <c r="A861" s="107"/>
      <c r="B861" s="138"/>
      <c r="C861" s="120"/>
      <c r="D861" s="121"/>
      <c r="E861" s="107"/>
      <c r="F861" s="122"/>
      <c r="G861" s="22"/>
      <c r="H861" s="123"/>
      <c r="I861" s="126"/>
      <c r="J861" s="130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>
      <c r="A862" s="107"/>
      <c r="B862" s="138"/>
      <c r="C862" s="120"/>
      <c r="D862" s="121"/>
      <c r="E862" s="107"/>
      <c r="F862" s="122"/>
      <c r="G862" s="22"/>
      <c r="H862" s="123"/>
      <c r="I862" s="126"/>
      <c r="J862" s="130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>
      <c r="A863" s="107"/>
      <c r="B863" s="138"/>
      <c r="C863" s="120"/>
      <c r="D863" s="121"/>
      <c r="E863" s="107"/>
      <c r="F863" s="122"/>
      <c r="G863" s="22"/>
      <c r="H863" s="123"/>
      <c r="I863" s="126"/>
      <c r="J863" s="130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>
      <c r="A864" s="107"/>
      <c r="B864" s="138"/>
      <c r="C864" s="120"/>
      <c r="D864" s="121"/>
      <c r="E864" s="107"/>
      <c r="F864" s="122"/>
      <c r="G864" s="22"/>
      <c r="H864" s="123"/>
      <c r="I864" s="126"/>
      <c r="J864" s="130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>
      <c r="A865" s="107"/>
      <c r="B865" s="138"/>
      <c r="C865" s="120"/>
      <c r="D865" s="121"/>
      <c r="E865" s="107"/>
      <c r="F865" s="122"/>
      <c r="G865" s="22"/>
      <c r="H865" s="123"/>
      <c r="I865" s="126"/>
      <c r="J865" s="130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>
      <c r="A866" s="107"/>
      <c r="B866" s="138"/>
      <c r="C866" s="120"/>
      <c r="D866" s="121"/>
      <c r="E866" s="107"/>
      <c r="F866" s="122"/>
      <c r="G866" s="22"/>
      <c r="H866" s="123"/>
      <c r="I866" s="126"/>
      <c r="J866" s="130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>
      <c r="A867" s="107"/>
      <c r="B867" s="138"/>
      <c r="C867" s="120"/>
      <c r="D867" s="121"/>
      <c r="E867" s="107"/>
      <c r="F867" s="122"/>
      <c r="G867" s="22"/>
      <c r="H867" s="123"/>
      <c r="I867" s="126"/>
      <c r="J867" s="130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>
      <c r="A868" s="107"/>
      <c r="B868" s="138"/>
      <c r="C868" s="120"/>
      <c r="D868" s="121"/>
      <c r="E868" s="107"/>
      <c r="F868" s="122"/>
      <c r="G868" s="22"/>
      <c r="H868" s="123"/>
      <c r="I868" s="126"/>
      <c r="J868" s="130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>
      <c r="A869" s="107"/>
      <c r="B869" s="138"/>
      <c r="C869" s="120"/>
      <c r="D869" s="121"/>
      <c r="E869" s="107"/>
      <c r="F869" s="122"/>
      <c r="G869" s="22"/>
      <c r="H869" s="123"/>
      <c r="I869" s="126"/>
      <c r="J869" s="130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>
      <c r="A870" s="107"/>
      <c r="B870" s="138"/>
      <c r="C870" s="120"/>
      <c r="D870" s="121"/>
      <c r="E870" s="107"/>
      <c r="F870" s="122"/>
      <c r="G870" s="22"/>
      <c r="H870" s="123"/>
      <c r="I870" s="126"/>
      <c r="J870" s="130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>
      <c r="A871" s="107"/>
      <c r="B871" s="138"/>
      <c r="C871" s="120"/>
      <c r="D871" s="121"/>
      <c r="E871" s="107"/>
      <c r="F871" s="122"/>
      <c r="G871" s="22"/>
      <c r="H871" s="123"/>
      <c r="I871" s="126"/>
      <c r="J871" s="130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>
      <c r="A872" s="107"/>
      <c r="B872" s="138"/>
      <c r="C872" s="120"/>
      <c r="D872" s="121"/>
      <c r="E872" s="107"/>
      <c r="F872" s="122"/>
      <c r="G872" s="22"/>
      <c r="H872" s="123"/>
      <c r="I872" s="126"/>
      <c r="J872" s="130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>
      <c r="A873" s="107"/>
      <c r="B873" s="138"/>
      <c r="C873" s="120"/>
      <c r="D873" s="121"/>
      <c r="E873" s="107"/>
      <c r="F873" s="122"/>
      <c r="G873" s="22"/>
      <c r="H873" s="123"/>
      <c r="I873" s="126"/>
      <c r="J873" s="130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>
      <c r="A874" s="107"/>
      <c r="B874" s="138"/>
      <c r="C874" s="120"/>
      <c r="D874" s="121"/>
      <c r="E874" s="107"/>
      <c r="F874" s="122"/>
      <c r="G874" s="22"/>
      <c r="H874" s="123"/>
      <c r="I874" s="126"/>
      <c r="J874" s="130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>
      <c r="A875" s="107"/>
      <c r="B875" s="138"/>
      <c r="C875" s="120"/>
      <c r="D875" s="121"/>
      <c r="E875" s="107"/>
      <c r="F875" s="122"/>
      <c r="G875" s="22"/>
      <c r="H875" s="123"/>
      <c r="I875" s="126"/>
      <c r="J875" s="130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>
      <c r="A876" s="107"/>
      <c r="B876" s="138"/>
      <c r="C876" s="120"/>
      <c r="D876" s="121"/>
      <c r="E876" s="107"/>
      <c r="F876" s="122"/>
      <c r="G876" s="22"/>
      <c r="H876" s="123"/>
      <c r="I876" s="126"/>
      <c r="J876" s="130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>
      <c r="A877" s="107"/>
      <c r="B877" s="138"/>
      <c r="C877" s="120"/>
      <c r="D877" s="121"/>
      <c r="E877" s="107"/>
      <c r="F877" s="122"/>
      <c r="G877" s="22"/>
      <c r="H877" s="123"/>
      <c r="I877" s="126"/>
      <c r="J877" s="130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>
      <c r="A878" s="107"/>
      <c r="B878" s="138"/>
      <c r="C878" s="120"/>
      <c r="D878" s="121"/>
      <c r="E878" s="107"/>
      <c r="F878" s="122"/>
      <c r="G878" s="22"/>
      <c r="H878" s="123"/>
      <c r="I878" s="126"/>
      <c r="J878" s="130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>
      <c r="A879" s="107"/>
      <c r="B879" s="138"/>
      <c r="C879" s="120"/>
      <c r="D879" s="121"/>
      <c r="E879" s="107"/>
      <c r="F879" s="122"/>
      <c r="G879" s="22"/>
      <c r="H879" s="123"/>
      <c r="I879" s="126"/>
      <c r="J879" s="130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>
      <c r="A880" s="107"/>
      <c r="B880" s="138"/>
      <c r="C880" s="120"/>
      <c r="D880" s="121"/>
      <c r="E880" s="107"/>
      <c r="F880" s="122"/>
      <c r="G880" s="22"/>
      <c r="H880" s="123"/>
      <c r="I880" s="126"/>
      <c r="J880" s="130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>
      <c r="A881" s="107"/>
      <c r="B881" s="138"/>
      <c r="C881" s="120"/>
      <c r="D881" s="121"/>
      <c r="E881" s="107"/>
      <c r="F881" s="122"/>
      <c r="G881" s="22"/>
      <c r="H881" s="123"/>
      <c r="I881" s="126"/>
      <c r="J881" s="130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>
      <c r="A882" s="107"/>
      <c r="B882" s="138"/>
      <c r="C882" s="120"/>
      <c r="D882" s="121"/>
      <c r="E882" s="107"/>
      <c r="F882" s="122"/>
      <c r="G882" s="22"/>
      <c r="H882" s="123"/>
      <c r="I882" s="126"/>
      <c r="J882" s="130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>
      <c r="A883" s="107"/>
      <c r="B883" s="138"/>
      <c r="C883" s="120"/>
      <c r="D883" s="121"/>
      <c r="E883" s="107"/>
      <c r="F883" s="122"/>
      <c r="G883" s="22"/>
      <c r="H883" s="123"/>
      <c r="I883" s="126"/>
      <c r="J883" s="130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>
      <c r="A884" s="107"/>
      <c r="B884" s="138"/>
      <c r="C884" s="120"/>
      <c r="D884" s="121"/>
      <c r="E884" s="107"/>
      <c r="F884" s="122"/>
      <c r="G884" s="22"/>
      <c r="H884" s="123"/>
      <c r="I884" s="126"/>
      <c r="J884" s="130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>
      <c r="A885" s="107"/>
      <c r="B885" s="138"/>
      <c r="C885" s="120"/>
      <c r="D885" s="121"/>
      <c r="E885" s="107"/>
      <c r="F885" s="122"/>
      <c r="G885" s="22"/>
      <c r="H885" s="123"/>
      <c r="I885" s="126"/>
      <c r="J885" s="130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>
      <c r="A886" s="107"/>
      <c r="B886" s="138"/>
      <c r="C886" s="120"/>
      <c r="D886" s="121"/>
      <c r="E886" s="107"/>
      <c r="F886" s="122"/>
      <c r="G886" s="22"/>
      <c r="H886" s="123"/>
      <c r="I886" s="126"/>
      <c r="J886" s="130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>
      <c r="A887" s="107"/>
      <c r="B887" s="138"/>
      <c r="C887" s="120"/>
      <c r="D887" s="121"/>
      <c r="E887" s="107"/>
      <c r="F887" s="122"/>
      <c r="G887" s="22"/>
      <c r="H887" s="123"/>
      <c r="I887" s="126"/>
      <c r="J887" s="130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>
      <c r="A888" s="107"/>
      <c r="B888" s="138"/>
      <c r="C888" s="120"/>
      <c r="D888" s="121"/>
      <c r="E888" s="107"/>
      <c r="F888" s="122"/>
      <c r="G888" s="22"/>
      <c r="H888" s="123"/>
      <c r="I888" s="126"/>
      <c r="J888" s="130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>
      <c r="A889" s="107"/>
      <c r="B889" s="138"/>
      <c r="C889" s="120"/>
      <c r="D889" s="121"/>
      <c r="E889" s="107"/>
      <c r="F889" s="122"/>
      <c r="G889" s="22"/>
      <c r="H889" s="123"/>
      <c r="I889" s="126"/>
      <c r="J889" s="130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>
      <c r="A890" s="107"/>
      <c r="B890" s="138"/>
      <c r="C890" s="120"/>
      <c r="D890" s="121"/>
      <c r="E890" s="107"/>
      <c r="F890" s="122"/>
      <c r="G890" s="22"/>
      <c r="H890" s="123"/>
      <c r="I890" s="126"/>
      <c r="J890" s="130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>
      <c r="A891" s="107"/>
      <c r="B891" s="138"/>
      <c r="C891" s="120"/>
      <c r="D891" s="121"/>
      <c r="E891" s="107"/>
      <c r="F891" s="122"/>
      <c r="G891" s="22"/>
      <c r="H891" s="123"/>
      <c r="I891" s="126"/>
      <c r="J891" s="130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>
      <c r="A892" s="107"/>
      <c r="B892" s="138"/>
      <c r="C892" s="120"/>
      <c r="D892" s="121"/>
      <c r="E892" s="107"/>
      <c r="F892" s="122"/>
      <c r="G892" s="22"/>
      <c r="H892" s="123"/>
      <c r="I892" s="126"/>
      <c r="J892" s="130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>
      <c r="A893" s="107"/>
      <c r="B893" s="138"/>
      <c r="C893" s="120"/>
      <c r="D893" s="121"/>
      <c r="E893" s="107"/>
      <c r="F893" s="122"/>
      <c r="G893" s="22"/>
      <c r="H893" s="123"/>
      <c r="I893" s="126"/>
      <c r="J893" s="130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>
      <c r="A894" s="107"/>
      <c r="B894" s="138"/>
      <c r="C894" s="120"/>
      <c r="D894" s="121"/>
      <c r="E894" s="107"/>
      <c r="F894" s="122"/>
      <c r="G894" s="22"/>
      <c r="H894" s="123"/>
      <c r="I894" s="126"/>
      <c r="J894" s="130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>
      <c r="A895" s="107"/>
      <c r="B895" s="138"/>
      <c r="C895" s="120"/>
      <c r="D895" s="121"/>
      <c r="E895" s="107"/>
      <c r="F895" s="122"/>
      <c r="G895" s="22"/>
      <c r="H895" s="123"/>
      <c r="I895" s="126"/>
      <c r="J895" s="130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>
      <c r="A896" s="107"/>
      <c r="B896" s="138"/>
      <c r="C896" s="120"/>
      <c r="D896" s="121"/>
      <c r="E896" s="107"/>
      <c r="F896" s="122"/>
      <c r="G896" s="22"/>
      <c r="H896" s="123"/>
      <c r="I896" s="126"/>
      <c r="J896" s="130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>
      <c r="A897" s="107"/>
      <c r="B897" s="138"/>
      <c r="C897" s="120"/>
      <c r="D897" s="121"/>
      <c r="E897" s="107"/>
      <c r="F897" s="122"/>
      <c r="G897" s="22"/>
      <c r="H897" s="123"/>
      <c r="I897" s="126"/>
      <c r="J897" s="130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>
      <c r="A898" s="107"/>
      <c r="B898" s="138"/>
      <c r="C898" s="120"/>
      <c r="D898" s="121"/>
      <c r="E898" s="107"/>
      <c r="F898" s="122"/>
      <c r="G898" s="22"/>
      <c r="H898" s="123"/>
      <c r="I898" s="126"/>
      <c r="J898" s="130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>
      <c r="A899" s="107"/>
      <c r="B899" s="138"/>
      <c r="C899" s="120"/>
      <c r="D899" s="121"/>
      <c r="E899" s="107"/>
      <c r="F899" s="122"/>
      <c r="G899" s="22"/>
      <c r="H899" s="123"/>
      <c r="I899" s="126"/>
      <c r="J899" s="130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>
      <c r="A900" s="107"/>
      <c r="B900" s="138"/>
      <c r="C900" s="120"/>
      <c r="D900" s="121"/>
      <c r="E900" s="107"/>
      <c r="F900" s="122"/>
      <c r="G900" s="22"/>
      <c r="H900" s="123"/>
      <c r="I900" s="126"/>
      <c r="J900" s="130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>
      <c r="A901" s="107"/>
      <c r="B901" s="138"/>
      <c r="C901" s="120"/>
      <c r="D901" s="121"/>
      <c r="E901" s="107"/>
      <c r="F901" s="122"/>
      <c r="G901" s="22"/>
      <c r="H901" s="123"/>
      <c r="I901" s="126"/>
      <c r="J901" s="130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>
      <c r="A902" s="107"/>
      <c r="B902" s="138"/>
      <c r="C902" s="120"/>
      <c r="D902" s="121"/>
      <c r="E902" s="107"/>
      <c r="F902" s="122"/>
      <c r="G902" s="22"/>
      <c r="H902" s="123"/>
      <c r="I902" s="126"/>
      <c r="J902" s="130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>
      <c r="A903" s="107"/>
      <c r="B903" s="138"/>
      <c r="C903" s="120"/>
      <c r="D903" s="121"/>
      <c r="E903" s="107"/>
      <c r="F903" s="122"/>
      <c r="G903" s="22"/>
      <c r="H903" s="123"/>
      <c r="I903" s="126"/>
      <c r="J903" s="130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>
      <c r="A904" s="107"/>
      <c r="B904" s="138"/>
      <c r="C904" s="120"/>
      <c r="D904" s="121"/>
      <c r="E904" s="107"/>
      <c r="F904" s="122"/>
      <c r="G904" s="22"/>
      <c r="H904" s="123"/>
      <c r="I904" s="126"/>
      <c r="J904" s="130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>
      <c r="A905" s="107"/>
      <c r="B905" s="138"/>
      <c r="C905" s="120"/>
      <c r="D905" s="121"/>
      <c r="E905" s="107"/>
      <c r="F905" s="122"/>
      <c r="G905" s="22"/>
      <c r="H905" s="123"/>
      <c r="I905" s="126"/>
      <c r="J905" s="130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>
      <c r="A906" s="107"/>
      <c r="B906" s="138"/>
      <c r="C906" s="120"/>
      <c r="D906" s="121"/>
      <c r="E906" s="107"/>
      <c r="F906" s="122"/>
      <c r="G906" s="22"/>
      <c r="H906" s="123"/>
      <c r="I906" s="126"/>
      <c r="J906" s="130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>
      <c r="A907" s="107"/>
      <c r="B907" s="138"/>
      <c r="C907" s="120"/>
      <c r="D907" s="121"/>
      <c r="E907" s="107"/>
      <c r="F907" s="122"/>
      <c r="G907" s="22"/>
      <c r="H907" s="123"/>
      <c r="I907" s="126"/>
      <c r="J907" s="130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>
      <c r="A908" s="107"/>
      <c r="B908" s="138"/>
      <c r="C908" s="120"/>
      <c r="D908" s="121"/>
      <c r="E908" s="107"/>
      <c r="F908" s="122"/>
      <c r="G908" s="22"/>
      <c r="H908" s="123"/>
      <c r="I908" s="126"/>
      <c r="J908" s="130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>
      <c r="A909" s="107"/>
      <c r="B909" s="138"/>
      <c r="C909" s="120"/>
      <c r="D909" s="121"/>
      <c r="E909" s="107"/>
      <c r="F909" s="122"/>
      <c r="G909" s="22"/>
      <c r="H909" s="123"/>
      <c r="I909" s="126"/>
      <c r="J909" s="130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>
      <c r="A910" s="107"/>
      <c r="B910" s="138"/>
      <c r="C910" s="120"/>
      <c r="D910" s="121"/>
      <c r="E910" s="107"/>
      <c r="F910" s="122"/>
      <c r="G910" s="22"/>
      <c r="H910" s="123"/>
      <c r="I910" s="126"/>
      <c r="J910" s="130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>
      <c r="A911" s="107"/>
      <c r="B911" s="138"/>
      <c r="C911" s="120"/>
      <c r="D911" s="121"/>
      <c r="E911" s="107"/>
      <c r="F911" s="122"/>
      <c r="G911" s="22"/>
      <c r="H911" s="123"/>
      <c r="I911" s="126"/>
      <c r="J911" s="130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>
      <c r="A912" s="107"/>
      <c r="B912" s="138"/>
      <c r="C912" s="120"/>
      <c r="D912" s="121"/>
      <c r="E912" s="107"/>
      <c r="F912" s="122"/>
      <c r="G912" s="22"/>
      <c r="H912" s="123"/>
      <c r="I912" s="126"/>
      <c r="J912" s="130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>
      <c r="A913" s="107"/>
      <c r="B913" s="138"/>
      <c r="C913" s="120"/>
      <c r="D913" s="121"/>
      <c r="E913" s="107"/>
      <c r="F913" s="122"/>
      <c r="G913" s="22"/>
      <c r="H913" s="123"/>
      <c r="I913" s="126"/>
      <c r="J913" s="130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>
      <c r="A914" s="107"/>
      <c r="B914" s="138"/>
      <c r="C914" s="120"/>
      <c r="D914" s="121"/>
      <c r="E914" s="107"/>
      <c r="F914" s="122"/>
      <c r="G914" s="22"/>
      <c r="H914" s="123"/>
      <c r="I914" s="126"/>
      <c r="J914" s="130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>
      <c r="A915" s="107"/>
      <c r="B915" s="138"/>
      <c r="C915" s="120"/>
      <c r="D915" s="121"/>
      <c r="E915" s="107"/>
      <c r="F915" s="122"/>
      <c r="G915" s="22"/>
      <c r="H915" s="123"/>
      <c r="I915" s="126"/>
      <c r="J915" s="130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>
      <c r="A916" s="107"/>
      <c r="B916" s="138"/>
      <c r="C916" s="120"/>
      <c r="D916" s="121"/>
      <c r="E916" s="107"/>
      <c r="F916" s="122"/>
      <c r="G916" s="22"/>
      <c r="H916" s="123"/>
      <c r="I916" s="126"/>
      <c r="J916" s="130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>
      <c r="A917" s="107"/>
      <c r="B917" s="138"/>
      <c r="C917" s="120"/>
      <c r="D917" s="121"/>
      <c r="E917" s="107"/>
      <c r="F917" s="122"/>
      <c r="G917" s="22"/>
      <c r="H917" s="123"/>
      <c r="I917" s="126"/>
      <c r="J917" s="130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>
      <c r="A918" s="107"/>
      <c r="B918" s="138"/>
      <c r="C918" s="120"/>
      <c r="D918" s="121"/>
      <c r="E918" s="107"/>
      <c r="F918" s="122"/>
      <c r="G918" s="22"/>
      <c r="H918" s="123"/>
      <c r="I918" s="126"/>
      <c r="J918" s="130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>
      <c r="A919" s="107"/>
      <c r="B919" s="138"/>
      <c r="C919" s="120"/>
      <c r="D919" s="121"/>
      <c r="E919" s="107"/>
      <c r="F919" s="122"/>
      <c r="G919" s="22"/>
      <c r="H919" s="123"/>
      <c r="I919" s="126"/>
      <c r="J919" s="130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>
      <c r="A920" s="107"/>
      <c r="B920" s="138"/>
      <c r="C920" s="120"/>
      <c r="D920" s="121"/>
      <c r="E920" s="107"/>
      <c r="F920" s="122"/>
      <c r="G920" s="22"/>
      <c r="H920" s="123"/>
      <c r="I920" s="126"/>
      <c r="J920" s="130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>
      <c r="A921" s="107"/>
      <c r="B921" s="138"/>
      <c r="C921" s="120"/>
      <c r="D921" s="121"/>
      <c r="E921" s="107"/>
      <c r="F921" s="122"/>
      <c r="G921" s="22"/>
      <c r="H921" s="123"/>
      <c r="I921" s="126"/>
      <c r="J921" s="130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>
      <c r="A922" s="107"/>
      <c r="B922" s="138"/>
      <c r="C922" s="120"/>
      <c r="D922" s="121"/>
      <c r="E922" s="107"/>
      <c r="F922" s="122"/>
      <c r="G922" s="22"/>
      <c r="H922" s="123"/>
      <c r="I922" s="126"/>
      <c r="J922" s="130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>
      <c r="A923" s="107"/>
      <c r="B923" s="138"/>
      <c r="C923" s="120"/>
      <c r="D923" s="121"/>
      <c r="E923" s="107"/>
      <c r="F923" s="122"/>
      <c r="G923" s="22"/>
      <c r="H923" s="123"/>
      <c r="I923" s="126"/>
      <c r="J923" s="130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>
      <c r="A924" s="107"/>
      <c r="B924" s="138"/>
      <c r="C924" s="120"/>
      <c r="D924" s="121"/>
      <c r="E924" s="107"/>
      <c r="F924" s="122"/>
      <c r="G924" s="22"/>
      <c r="H924" s="123"/>
      <c r="I924" s="126"/>
      <c r="J924" s="130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>
      <c r="A925" s="107"/>
      <c r="B925" s="138"/>
      <c r="C925" s="120"/>
      <c r="D925" s="121"/>
      <c r="E925" s="107"/>
      <c r="F925" s="122"/>
      <c r="G925" s="22"/>
      <c r="H925" s="123"/>
      <c r="I925" s="126"/>
      <c r="J925" s="130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>
      <c r="A926" s="107"/>
      <c r="B926" s="138"/>
      <c r="C926" s="120"/>
      <c r="D926" s="121"/>
      <c r="E926" s="107"/>
      <c r="F926" s="122"/>
      <c r="G926" s="22"/>
      <c r="H926" s="123"/>
      <c r="I926" s="126"/>
      <c r="J926" s="130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>
      <c r="A927" s="107"/>
      <c r="B927" s="138"/>
      <c r="C927" s="120"/>
      <c r="D927" s="121"/>
      <c r="E927" s="107"/>
      <c r="F927" s="122"/>
      <c r="G927" s="22"/>
      <c r="H927" s="123"/>
      <c r="I927" s="126"/>
      <c r="J927" s="130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>
      <c r="A928" s="107"/>
      <c r="B928" s="138"/>
      <c r="C928" s="120"/>
      <c r="D928" s="121"/>
      <c r="E928" s="107"/>
      <c r="F928" s="122"/>
      <c r="G928" s="22"/>
      <c r="H928" s="123"/>
      <c r="I928" s="126"/>
      <c r="J928" s="130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>
      <c r="A929" s="107"/>
      <c r="B929" s="138"/>
      <c r="C929" s="120"/>
      <c r="D929" s="121"/>
      <c r="E929" s="107"/>
      <c r="F929" s="122"/>
      <c r="G929" s="22"/>
      <c r="H929" s="123"/>
      <c r="I929" s="126"/>
      <c r="J929" s="130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>
      <c r="A930" s="107"/>
      <c r="B930" s="138"/>
      <c r="C930" s="120"/>
      <c r="D930" s="121"/>
      <c r="E930" s="107"/>
      <c r="F930" s="122"/>
      <c r="G930" s="22"/>
      <c r="H930" s="123"/>
      <c r="I930" s="126"/>
      <c r="J930" s="130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>
      <c r="A931" s="107"/>
      <c r="B931" s="138"/>
      <c r="C931" s="120"/>
      <c r="D931" s="121"/>
      <c r="E931" s="107"/>
      <c r="F931" s="122"/>
      <c r="G931" s="22"/>
      <c r="H931" s="123"/>
      <c r="I931" s="126"/>
      <c r="J931" s="130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>
      <c r="A932" s="107"/>
      <c r="B932" s="138"/>
      <c r="C932" s="120"/>
      <c r="D932" s="121"/>
      <c r="E932" s="107"/>
      <c r="F932" s="122"/>
      <c r="G932" s="22"/>
      <c r="H932" s="123"/>
      <c r="I932" s="126"/>
      <c r="J932" s="130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>
      <c r="A933" s="107"/>
      <c r="B933" s="138"/>
      <c r="C933" s="120"/>
      <c r="D933" s="121"/>
      <c r="E933" s="107"/>
      <c r="F933" s="122"/>
      <c r="G933" s="22"/>
      <c r="H933" s="123"/>
      <c r="I933" s="126"/>
      <c r="J933" s="130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>
      <c r="A934" s="107"/>
      <c r="B934" s="138"/>
      <c r="C934" s="120"/>
      <c r="D934" s="121"/>
      <c r="E934" s="107"/>
      <c r="F934" s="122"/>
      <c r="G934" s="22"/>
      <c r="H934" s="123"/>
      <c r="I934" s="126"/>
      <c r="J934" s="130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>
      <c r="A935" s="107"/>
      <c r="B935" s="138"/>
      <c r="C935" s="120"/>
      <c r="D935" s="121"/>
      <c r="E935" s="107"/>
      <c r="F935" s="122"/>
      <c r="G935" s="22"/>
      <c r="H935" s="123"/>
      <c r="I935" s="126"/>
      <c r="J935" s="130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>
      <c r="A936" s="107"/>
      <c r="B936" s="138"/>
      <c r="C936" s="120"/>
      <c r="D936" s="121"/>
      <c r="E936" s="107"/>
      <c r="F936" s="122"/>
      <c r="G936" s="22"/>
      <c r="H936" s="123"/>
      <c r="I936" s="126"/>
      <c r="J936" s="130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>
      <c r="A937" s="107"/>
      <c r="B937" s="138"/>
      <c r="C937" s="120"/>
      <c r="D937" s="121"/>
      <c r="E937" s="107"/>
      <c r="F937" s="122"/>
      <c r="G937" s="22"/>
      <c r="H937" s="123"/>
      <c r="I937" s="126"/>
      <c r="J937" s="130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>
      <c r="A938" s="107"/>
      <c r="B938" s="138"/>
      <c r="C938" s="120"/>
      <c r="D938" s="121"/>
      <c r="E938" s="107"/>
      <c r="F938" s="122"/>
      <c r="G938" s="22"/>
      <c r="H938" s="123"/>
      <c r="I938" s="126"/>
      <c r="J938" s="130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>
      <c r="A939" s="107"/>
      <c r="B939" s="138"/>
      <c r="C939" s="120"/>
      <c r="D939" s="121"/>
      <c r="E939" s="107"/>
      <c r="F939" s="122"/>
      <c r="G939" s="22"/>
      <c r="H939" s="123"/>
      <c r="I939" s="126"/>
      <c r="J939" s="130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>
      <c r="A940" s="107"/>
      <c r="B940" s="138"/>
      <c r="C940" s="120"/>
      <c r="D940" s="121"/>
      <c r="E940" s="107"/>
      <c r="F940" s="122"/>
      <c r="G940" s="22"/>
      <c r="H940" s="123"/>
      <c r="I940" s="126"/>
      <c r="J940" s="130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>
      <c r="A941" s="107"/>
      <c r="B941" s="138"/>
      <c r="C941" s="120"/>
      <c r="D941" s="121"/>
      <c r="E941" s="107"/>
      <c r="F941" s="122"/>
      <c r="G941" s="22"/>
      <c r="H941" s="123"/>
      <c r="I941" s="126"/>
      <c r="J941" s="130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>
      <c r="A942" s="107"/>
      <c r="B942" s="138"/>
      <c r="C942" s="120"/>
      <c r="D942" s="121"/>
      <c r="E942" s="107"/>
      <c r="F942" s="122"/>
      <c r="G942" s="22"/>
      <c r="H942" s="123"/>
      <c r="I942" s="126"/>
      <c r="J942" s="130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>
      <c r="A943" s="107"/>
      <c r="B943" s="138"/>
      <c r="C943" s="120"/>
      <c r="D943" s="121"/>
      <c r="E943" s="107"/>
      <c r="F943" s="122"/>
      <c r="G943" s="22"/>
      <c r="H943" s="123"/>
      <c r="I943" s="126"/>
      <c r="J943" s="130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>
      <c r="A944" s="107"/>
      <c r="B944" s="138"/>
      <c r="C944" s="120"/>
      <c r="D944" s="121"/>
      <c r="E944" s="107"/>
      <c r="F944" s="122"/>
      <c r="G944" s="22"/>
      <c r="H944" s="123"/>
      <c r="I944" s="126"/>
      <c r="J944" s="130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>
      <c r="A945" s="107"/>
      <c r="B945" s="138"/>
      <c r="C945" s="120"/>
      <c r="D945" s="121"/>
      <c r="E945" s="107"/>
      <c r="F945" s="122"/>
      <c r="G945" s="22"/>
      <c r="H945" s="123"/>
      <c r="I945" s="126"/>
      <c r="J945" s="130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>
      <c r="A946" s="107"/>
      <c r="B946" s="138"/>
      <c r="C946" s="120"/>
      <c r="D946" s="121"/>
      <c r="E946" s="107"/>
      <c r="F946" s="122"/>
      <c r="G946" s="22"/>
      <c r="H946" s="123"/>
      <c r="I946" s="126"/>
      <c r="J946" s="130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>
      <c r="A947" s="107"/>
      <c r="B947" s="138"/>
      <c r="C947" s="120"/>
      <c r="D947" s="121"/>
      <c r="E947" s="107"/>
      <c r="F947" s="122"/>
      <c r="G947" s="22"/>
      <c r="H947" s="123"/>
      <c r="I947" s="126"/>
      <c r="J947" s="130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>
      <c r="A948" s="107"/>
      <c r="B948" s="138"/>
      <c r="C948" s="120"/>
      <c r="D948" s="121"/>
      <c r="E948" s="107"/>
      <c r="F948" s="122"/>
      <c r="G948" s="22"/>
      <c r="H948" s="123"/>
      <c r="I948" s="126"/>
      <c r="J948" s="130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>
      <c r="A949" s="107"/>
      <c r="B949" s="138"/>
      <c r="C949" s="120"/>
      <c r="D949" s="121"/>
      <c r="E949" s="107"/>
      <c r="F949" s="122"/>
      <c r="G949" s="22"/>
      <c r="H949" s="123"/>
      <c r="I949" s="126"/>
      <c r="J949" s="130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>
      <c r="A950" s="107"/>
      <c r="B950" s="138"/>
      <c r="C950" s="120"/>
      <c r="D950" s="121"/>
      <c r="E950" s="107"/>
      <c r="F950" s="122"/>
      <c r="G950" s="22"/>
      <c r="H950" s="123"/>
      <c r="I950" s="126"/>
      <c r="J950" s="130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>
      <c r="A951" s="107"/>
      <c r="B951" s="138"/>
      <c r="C951" s="120"/>
      <c r="D951" s="121"/>
      <c r="E951" s="107"/>
      <c r="F951" s="122"/>
      <c r="G951" s="22"/>
      <c r="H951" s="123"/>
      <c r="I951" s="126"/>
      <c r="J951" s="130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>
      <c r="A952" s="107"/>
      <c r="B952" s="138"/>
      <c r="C952" s="120"/>
      <c r="D952" s="121"/>
      <c r="E952" s="107"/>
      <c r="F952" s="122"/>
      <c r="G952" s="22"/>
      <c r="H952" s="123"/>
      <c r="I952" s="126"/>
      <c r="J952" s="130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>
      <c r="A953" s="107"/>
      <c r="B953" s="138"/>
      <c r="C953" s="120"/>
      <c r="D953" s="121"/>
      <c r="E953" s="107"/>
      <c r="F953" s="122"/>
      <c r="G953" s="22"/>
      <c r="H953" s="123"/>
      <c r="I953" s="126"/>
      <c r="J953" s="130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>
      <c r="A954" s="107"/>
      <c r="B954" s="138"/>
      <c r="C954" s="120"/>
      <c r="D954" s="121"/>
      <c r="E954" s="107"/>
      <c r="F954" s="122"/>
      <c r="G954" s="22"/>
      <c r="H954" s="123"/>
      <c r="I954" s="126"/>
      <c r="J954" s="130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>
      <c r="A955" s="107"/>
      <c r="B955" s="138"/>
      <c r="C955" s="120"/>
      <c r="D955" s="121"/>
      <c r="E955" s="107"/>
      <c r="F955" s="122"/>
      <c r="G955" s="22"/>
      <c r="H955" s="123"/>
      <c r="I955" s="126"/>
      <c r="J955" s="130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>
      <c r="A956" s="107"/>
      <c r="B956" s="138"/>
      <c r="C956" s="120"/>
      <c r="D956" s="121"/>
      <c r="E956" s="107"/>
      <c r="F956" s="122"/>
      <c r="G956" s="22"/>
      <c r="H956" s="123"/>
      <c r="I956" s="126"/>
      <c r="J956" s="130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>
      <c r="A957" s="107"/>
      <c r="B957" s="138"/>
      <c r="C957" s="120"/>
      <c r="D957" s="121"/>
      <c r="E957" s="107"/>
      <c r="F957" s="122"/>
      <c r="G957" s="22"/>
      <c r="H957" s="123"/>
      <c r="I957" s="126"/>
      <c r="J957" s="130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>
      <c r="A958" s="107"/>
      <c r="B958" s="138"/>
      <c r="C958" s="120"/>
      <c r="D958" s="121"/>
      <c r="E958" s="107"/>
      <c r="F958" s="122"/>
      <c r="G958" s="22"/>
      <c r="H958" s="123"/>
      <c r="I958" s="126"/>
      <c r="J958" s="130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>
      <c r="A959" s="107"/>
      <c r="B959" s="138"/>
      <c r="C959" s="120"/>
      <c r="D959" s="121"/>
      <c r="E959" s="107"/>
      <c r="F959" s="122"/>
      <c r="G959" s="22"/>
      <c r="H959" s="123"/>
      <c r="I959" s="126"/>
      <c r="J959" s="130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>
      <c r="A960" s="107"/>
      <c r="B960" s="138"/>
      <c r="C960" s="120"/>
      <c r="D960" s="121"/>
      <c r="E960" s="107"/>
      <c r="F960" s="122"/>
      <c r="G960" s="22"/>
      <c r="H960" s="123"/>
      <c r="I960" s="126"/>
      <c r="J960" s="130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>
      <c r="A961" s="107"/>
      <c r="B961" s="138"/>
      <c r="C961" s="120"/>
      <c r="D961" s="121"/>
      <c r="E961" s="107"/>
      <c r="F961" s="122"/>
      <c r="G961" s="22"/>
      <c r="H961" s="123"/>
      <c r="I961" s="126"/>
      <c r="J961" s="130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>
      <c r="A962" s="107"/>
      <c r="B962" s="138"/>
      <c r="C962" s="120"/>
      <c r="D962" s="121"/>
      <c r="E962" s="107"/>
      <c r="F962" s="122"/>
      <c r="G962" s="22"/>
      <c r="H962" s="123"/>
      <c r="I962" s="126"/>
      <c r="J962" s="130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>
      <c r="A963" s="107"/>
      <c r="B963" s="138"/>
      <c r="C963" s="120"/>
      <c r="D963" s="121"/>
      <c r="E963" s="107"/>
      <c r="F963" s="122"/>
      <c r="G963" s="22"/>
      <c r="H963" s="123"/>
      <c r="I963" s="126"/>
      <c r="J963" s="130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>
      <c r="A964" s="107"/>
      <c r="B964" s="138"/>
      <c r="C964" s="120"/>
      <c r="D964" s="121"/>
      <c r="E964" s="107"/>
      <c r="F964" s="122"/>
      <c r="G964" s="22"/>
      <c r="H964" s="123"/>
      <c r="I964" s="126"/>
      <c r="J964" s="130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>
      <c r="A965" s="107"/>
      <c r="B965" s="138"/>
      <c r="C965" s="120"/>
      <c r="D965" s="121"/>
      <c r="E965" s="107"/>
      <c r="F965" s="122"/>
      <c r="G965" s="22"/>
      <c r="H965" s="123"/>
      <c r="I965" s="126"/>
      <c r="J965" s="130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>
      <c r="A966" s="107"/>
      <c r="B966" s="138"/>
      <c r="C966" s="120"/>
      <c r="D966" s="121"/>
      <c r="E966" s="107"/>
      <c r="F966" s="122"/>
      <c r="G966" s="22"/>
      <c r="H966" s="123"/>
      <c r="I966" s="126"/>
      <c r="J966" s="130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>
      <c r="A967" s="107"/>
      <c r="B967" s="138"/>
      <c r="C967" s="120"/>
      <c r="D967" s="121"/>
      <c r="E967" s="107"/>
      <c r="F967" s="122"/>
      <c r="G967" s="22"/>
      <c r="H967" s="123"/>
      <c r="I967" s="126"/>
      <c r="J967" s="130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>
      <c r="A968" s="107"/>
      <c r="B968" s="138"/>
      <c r="C968" s="120"/>
      <c r="D968" s="121"/>
      <c r="E968" s="107"/>
      <c r="F968" s="122"/>
      <c r="G968" s="22"/>
      <c r="H968" s="123"/>
      <c r="I968" s="126"/>
      <c r="J968" s="130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>
      <c r="A969" s="107"/>
      <c r="B969" s="138"/>
      <c r="C969" s="120"/>
      <c r="D969" s="121"/>
      <c r="E969" s="107"/>
      <c r="F969" s="122"/>
      <c r="G969" s="22"/>
      <c r="H969" s="123"/>
      <c r="I969" s="126"/>
      <c r="J969" s="130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>
      <c r="A970" s="107"/>
      <c r="B970" s="138"/>
      <c r="C970" s="120"/>
      <c r="D970" s="121"/>
      <c r="E970" s="107"/>
      <c r="F970" s="122"/>
      <c r="G970" s="22"/>
      <c r="H970" s="123"/>
      <c r="I970" s="126"/>
      <c r="J970" s="130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>
      <c r="A971" s="107"/>
      <c r="B971" s="138"/>
      <c r="C971" s="120"/>
      <c r="D971" s="121"/>
      <c r="E971" s="107"/>
      <c r="F971" s="122"/>
      <c r="G971" s="22"/>
      <c r="H971" s="123"/>
      <c r="I971" s="126"/>
      <c r="J971" s="130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>
      <c r="A972" s="107"/>
      <c r="B972" s="138"/>
      <c r="C972" s="120"/>
      <c r="D972" s="121"/>
      <c r="E972" s="107"/>
      <c r="F972" s="122"/>
      <c r="G972" s="22"/>
      <c r="H972" s="123"/>
      <c r="I972" s="126"/>
      <c r="J972" s="130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>
      <c r="A973" s="107"/>
      <c r="B973" s="138"/>
      <c r="C973" s="120"/>
      <c r="D973" s="121"/>
      <c r="E973" s="107"/>
      <c r="F973" s="122"/>
      <c r="G973" s="22"/>
      <c r="H973" s="123"/>
      <c r="I973" s="126"/>
      <c r="J973" s="130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>
      <c r="A974" s="107"/>
      <c r="B974" s="138"/>
      <c r="C974" s="120"/>
      <c r="D974" s="121"/>
      <c r="E974" s="107"/>
      <c r="F974" s="122"/>
      <c r="G974" s="22"/>
      <c r="H974" s="123"/>
      <c r="I974" s="126"/>
      <c r="J974" s="130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>
      <c r="A975" s="107"/>
      <c r="B975" s="138"/>
      <c r="C975" s="120"/>
      <c r="D975" s="121"/>
      <c r="E975" s="107"/>
      <c r="F975" s="122"/>
      <c r="G975" s="22"/>
      <c r="H975" s="123"/>
      <c r="I975" s="126"/>
      <c r="J975" s="130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>
      <c r="A976" s="107"/>
      <c r="B976" s="138"/>
      <c r="C976" s="120"/>
      <c r="D976" s="121"/>
      <c r="E976" s="107"/>
      <c r="F976" s="122"/>
      <c r="G976" s="22"/>
      <c r="H976" s="123"/>
      <c r="I976" s="126"/>
      <c r="J976" s="130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>
      <c r="A977" s="107"/>
      <c r="B977" s="138"/>
      <c r="C977" s="120"/>
      <c r="D977" s="121"/>
      <c r="E977" s="107"/>
      <c r="F977" s="122"/>
      <c r="G977" s="22"/>
      <c r="H977" s="123"/>
      <c r="I977" s="126"/>
      <c r="J977" s="130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>
      <c r="A978" s="107"/>
      <c r="B978" s="138"/>
      <c r="C978" s="120"/>
      <c r="D978" s="121"/>
      <c r="E978" s="107"/>
      <c r="F978" s="122"/>
      <c r="G978" s="22"/>
      <c r="H978" s="123"/>
      <c r="I978" s="126"/>
      <c r="J978" s="130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>
      <c r="A979" s="107"/>
      <c r="B979" s="138"/>
      <c r="C979" s="120"/>
      <c r="D979" s="121"/>
      <c r="E979" s="107"/>
      <c r="F979" s="122"/>
      <c r="G979" s="22"/>
      <c r="H979" s="123"/>
      <c r="I979" s="126"/>
      <c r="J979" s="130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>
      <c r="A980" s="107"/>
      <c r="B980" s="138"/>
      <c r="C980" s="120"/>
      <c r="D980" s="121"/>
      <c r="E980" s="107"/>
      <c r="F980" s="122"/>
      <c r="G980" s="22"/>
      <c r="H980" s="123"/>
      <c r="I980" s="126"/>
      <c r="J980" s="130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>
      <c r="A981" s="107"/>
      <c r="B981" s="138"/>
      <c r="C981" s="120"/>
      <c r="D981" s="121"/>
      <c r="E981" s="107"/>
      <c r="F981" s="122"/>
      <c r="G981" s="22"/>
      <c r="H981" s="123"/>
      <c r="I981" s="126"/>
      <c r="J981" s="130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>
      <c r="A982" s="107"/>
      <c r="B982" s="138"/>
      <c r="C982" s="120"/>
      <c r="D982" s="121"/>
      <c r="E982" s="107"/>
      <c r="F982" s="122"/>
      <c r="G982" s="22"/>
      <c r="H982" s="123"/>
      <c r="I982" s="126"/>
      <c r="J982" s="130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>
      <c r="A983" s="107"/>
      <c r="B983" s="138"/>
      <c r="C983" s="120"/>
      <c r="D983" s="121"/>
      <c r="E983" s="107"/>
      <c r="F983" s="122"/>
      <c r="G983" s="22"/>
      <c r="H983" s="123"/>
      <c r="I983" s="126"/>
      <c r="J983" s="130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>
      <c r="A984" s="107"/>
      <c r="B984" s="138"/>
      <c r="C984" s="120"/>
      <c r="D984" s="121"/>
      <c r="E984" s="107"/>
      <c r="F984" s="122"/>
      <c r="G984" s="22"/>
      <c r="H984" s="123"/>
      <c r="I984" s="126"/>
      <c r="J984" s="130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>
      <c r="A985" s="107"/>
      <c r="B985" s="138"/>
      <c r="C985" s="120"/>
      <c r="D985" s="121"/>
      <c r="E985" s="107"/>
      <c r="F985" s="122"/>
      <c r="G985" s="22"/>
      <c r="H985" s="123"/>
      <c r="I985" s="126"/>
      <c r="J985" s="130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>
      <c r="A986" s="107"/>
      <c r="B986" s="138"/>
      <c r="C986" s="120"/>
      <c r="D986" s="121"/>
      <c r="E986" s="107"/>
      <c r="F986" s="122"/>
      <c r="G986" s="22"/>
      <c r="H986" s="123"/>
      <c r="I986" s="126"/>
      <c r="J986" s="130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>
      <c r="A987" s="107"/>
      <c r="B987" s="138"/>
      <c r="C987" s="120"/>
      <c r="D987" s="121"/>
      <c r="E987" s="107"/>
      <c r="F987" s="122"/>
      <c r="G987" s="22"/>
      <c r="H987" s="123"/>
      <c r="I987" s="126"/>
      <c r="J987" s="130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>
      <c r="A988" s="107"/>
      <c r="B988" s="138"/>
      <c r="C988" s="120"/>
      <c r="D988" s="121"/>
      <c r="E988" s="107"/>
      <c r="F988" s="122"/>
      <c r="G988" s="22"/>
      <c r="H988" s="123"/>
      <c r="I988" s="126"/>
      <c r="J988" s="130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>
      <c r="A989" s="107"/>
      <c r="B989" s="138"/>
      <c r="C989" s="120"/>
      <c r="D989" s="121"/>
      <c r="E989" s="107"/>
      <c r="F989" s="122"/>
      <c r="G989" s="22"/>
      <c r="H989" s="123"/>
      <c r="I989" s="126"/>
      <c r="J989" s="130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>
      <c r="A990" s="107"/>
      <c r="B990" s="138"/>
      <c r="C990" s="120"/>
      <c r="D990" s="121"/>
      <c r="E990" s="107"/>
      <c r="F990" s="122"/>
      <c r="G990" s="22"/>
      <c r="H990" s="123"/>
      <c r="I990" s="126"/>
      <c r="J990" s="130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>
      <c r="A991" s="107"/>
      <c r="B991" s="138"/>
      <c r="C991" s="120"/>
      <c r="D991" s="121"/>
      <c r="E991" s="107"/>
      <c r="F991" s="122"/>
      <c r="G991" s="22"/>
      <c r="H991" s="123"/>
      <c r="I991" s="126"/>
      <c r="J991" s="130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>
      <c r="A992" s="107"/>
      <c r="B992" s="138"/>
      <c r="C992" s="120"/>
      <c r="D992" s="121"/>
      <c r="E992" s="107"/>
      <c r="F992" s="122"/>
      <c r="G992" s="22"/>
      <c r="H992" s="123"/>
      <c r="I992" s="126"/>
      <c r="J992" s="130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>
      <c r="A993" s="107"/>
      <c r="B993" s="138"/>
      <c r="C993" s="120"/>
      <c r="D993" s="121"/>
      <c r="E993" s="107"/>
      <c r="F993" s="122"/>
      <c r="G993" s="22"/>
      <c r="H993" s="123"/>
      <c r="I993" s="126"/>
      <c r="J993" s="130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>
      <c r="A994" s="107"/>
      <c r="B994" s="138"/>
      <c r="C994" s="120"/>
      <c r="D994" s="121"/>
      <c r="E994" s="107"/>
      <c r="F994" s="122"/>
      <c r="G994" s="22"/>
      <c r="H994" s="123"/>
      <c r="I994" s="126"/>
      <c r="J994" s="130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>
      <c r="A995" s="107"/>
      <c r="B995" s="138"/>
      <c r="C995" s="120"/>
      <c r="D995" s="121"/>
      <c r="E995" s="107"/>
      <c r="F995" s="122"/>
      <c r="G995" s="22"/>
      <c r="H995" s="123"/>
      <c r="I995" s="126"/>
      <c r="J995" s="130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>
      <c r="A996" s="107"/>
      <c r="B996" s="138"/>
      <c r="C996" s="120"/>
      <c r="D996" s="121"/>
      <c r="E996" s="107"/>
      <c r="F996" s="122"/>
      <c r="G996" s="22"/>
      <c r="H996" s="123"/>
      <c r="I996" s="126"/>
      <c r="J996" s="130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>
      <c r="A997" s="107"/>
      <c r="B997" s="138"/>
      <c r="C997" s="120"/>
      <c r="D997" s="121"/>
      <c r="E997" s="107"/>
      <c r="F997" s="122"/>
      <c r="G997" s="22"/>
      <c r="H997" s="123"/>
      <c r="I997" s="126"/>
      <c r="J997" s="130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>
      <c r="A998" s="107"/>
      <c r="B998" s="138"/>
      <c r="C998" s="120"/>
      <c r="D998" s="121"/>
      <c r="E998" s="107"/>
      <c r="F998" s="122"/>
      <c r="G998" s="22"/>
      <c r="H998" s="123"/>
      <c r="I998" s="126"/>
      <c r="J998" s="130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>
      <c r="A999" s="107"/>
      <c r="B999" s="138"/>
      <c r="C999" s="120"/>
      <c r="D999" s="121"/>
      <c r="E999" s="107"/>
      <c r="F999" s="122"/>
      <c r="G999" s="22"/>
      <c r="H999" s="123"/>
      <c r="I999" s="126"/>
      <c r="J999" s="130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>
      <c r="A1000" s="107"/>
      <c r="B1000" s="138"/>
      <c r="C1000" s="120"/>
      <c r="D1000" s="121"/>
      <c r="E1000" s="107"/>
      <c r="F1000" s="122"/>
      <c r="G1000" s="22"/>
      <c r="H1000" s="123"/>
      <c r="I1000" s="126"/>
      <c r="J1000" s="130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  <row r="1001">
      <c r="A1001" s="107"/>
      <c r="B1001" s="138"/>
      <c r="C1001" s="120"/>
      <c r="D1001" s="121"/>
      <c r="E1001" s="107"/>
      <c r="F1001" s="122"/>
      <c r="G1001" s="22"/>
      <c r="H1001" s="123"/>
      <c r="I1001" s="126"/>
      <c r="J1001" s="130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</row>
    <row r="1002">
      <c r="A1002" s="107"/>
      <c r="B1002" s="138"/>
      <c r="C1002" s="120"/>
      <c r="D1002" s="121"/>
      <c r="E1002" s="107"/>
      <c r="F1002" s="122"/>
      <c r="G1002" s="22"/>
      <c r="H1002" s="123"/>
      <c r="I1002" s="126"/>
      <c r="J1002" s="130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</row>
    <row r="1003">
      <c r="A1003" s="107"/>
      <c r="B1003" s="138"/>
      <c r="C1003" s="120"/>
      <c r="D1003" s="121"/>
      <c r="E1003" s="107"/>
      <c r="F1003" s="122"/>
      <c r="G1003" s="22"/>
      <c r="H1003" s="123"/>
      <c r="I1003" s="126"/>
      <c r="J1003" s="130"/>
      <c r="K1003" s="28"/>
      <c r="L1003" s="28"/>
      <c r="M1003" s="28"/>
      <c r="N1003" s="28"/>
      <c r="O1003" s="28"/>
      <c r="P1003" s="28"/>
      <c r="Q1003" s="28"/>
      <c r="R1003" s="28"/>
      <c r="S1003" s="28"/>
      <c r="T1003" s="28"/>
      <c r="U1003" s="28"/>
      <c r="V1003" s="28"/>
      <c r="W1003" s="28"/>
      <c r="X1003" s="28"/>
      <c r="Y1003" s="28"/>
      <c r="Z1003" s="28"/>
    </row>
    <row r="1004">
      <c r="A1004" s="107"/>
      <c r="B1004" s="138"/>
      <c r="C1004" s="120"/>
      <c r="D1004" s="121"/>
      <c r="E1004" s="107"/>
      <c r="F1004" s="122"/>
      <c r="G1004" s="22"/>
      <c r="H1004" s="123"/>
      <c r="I1004" s="126"/>
      <c r="J1004" s="130"/>
      <c r="K1004" s="28"/>
      <c r="L1004" s="28"/>
      <c r="M1004" s="28"/>
      <c r="N1004" s="28"/>
      <c r="O1004" s="28"/>
      <c r="P1004" s="28"/>
      <c r="Q1004" s="28"/>
      <c r="R1004" s="28"/>
      <c r="S1004" s="28"/>
      <c r="T1004" s="28"/>
      <c r="U1004" s="28"/>
      <c r="V1004" s="28"/>
      <c r="W1004" s="28"/>
      <c r="X1004" s="28"/>
      <c r="Y1004" s="28"/>
      <c r="Z1004" s="28"/>
    </row>
    <row r="1005">
      <c r="A1005" s="107"/>
      <c r="B1005" s="138"/>
      <c r="C1005" s="120"/>
      <c r="D1005" s="121"/>
      <c r="E1005" s="107"/>
      <c r="F1005" s="122"/>
      <c r="G1005" s="22"/>
      <c r="H1005" s="123"/>
      <c r="I1005" s="126"/>
      <c r="J1005" s="130"/>
      <c r="K1005" s="28"/>
      <c r="L1005" s="28"/>
      <c r="M1005" s="28"/>
      <c r="N1005" s="28"/>
      <c r="O1005" s="28"/>
      <c r="P1005" s="28"/>
      <c r="Q1005" s="28"/>
      <c r="R1005" s="28"/>
      <c r="S1005" s="28"/>
      <c r="T1005" s="28"/>
      <c r="U1005" s="28"/>
      <c r="V1005" s="28"/>
      <c r="W1005" s="28"/>
      <c r="X1005" s="28"/>
      <c r="Y1005" s="28"/>
      <c r="Z1005" s="28"/>
    </row>
    <row r="1006">
      <c r="A1006" s="107"/>
      <c r="B1006" s="138"/>
      <c r="C1006" s="120"/>
      <c r="D1006" s="121"/>
      <c r="E1006" s="107"/>
      <c r="F1006" s="122"/>
      <c r="G1006" s="22"/>
      <c r="H1006" s="123"/>
      <c r="I1006" s="126"/>
      <c r="J1006" s="130"/>
      <c r="K1006" s="28"/>
      <c r="L1006" s="28"/>
      <c r="M1006" s="28"/>
      <c r="N1006" s="28"/>
      <c r="O1006" s="28"/>
      <c r="P1006" s="28"/>
      <c r="Q1006" s="28"/>
      <c r="R1006" s="28"/>
      <c r="S1006" s="28"/>
      <c r="T1006" s="28"/>
      <c r="U1006" s="28"/>
      <c r="V1006" s="28"/>
      <c r="W1006" s="28"/>
      <c r="X1006" s="28"/>
      <c r="Y1006" s="28"/>
      <c r="Z1006" s="28"/>
    </row>
    <row r="1007">
      <c r="A1007" s="107"/>
      <c r="B1007" s="138"/>
      <c r="C1007" s="120"/>
      <c r="D1007" s="121"/>
      <c r="E1007" s="107"/>
      <c r="F1007" s="122"/>
      <c r="G1007" s="22"/>
      <c r="H1007" s="123"/>
      <c r="I1007" s="126"/>
      <c r="J1007" s="130"/>
      <c r="K1007" s="28"/>
      <c r="L1007" s="28"/>
      <c r="M1007" s="28"/>
      <c r="N1007" s="28"/>
      <c r="O1007" s="28"/>
      <c r="P1007" s="28"/>
      <c r="Q1007" s="28"/>
      <c r="R1007" s="28"/>
      <c r="S1007" s="28"/>
      <c r="T1007" s="28"/>
      <c r="U1007" s="28"/>
      <c r="V1007" s="28"/>
      <c r="W1007" s="28"/>
      <c r="X1007" s="28"/>
      <c r="Y1007" s="28"/>
      <c r="Z1007" s="28"/>
    </row>
    <row r="1008">
      <c r="A1008" s="107"/>
      <c r="B1008" s="138"/>
      <c r="C1008" s="120"/>
      <c r="D1008" s="121"/>
      <c r="E1008" s="107"/>
      <c r="F1008" s="122"/>
      <c r="G1008" s="22"/>
      <c r="H1008" s="123"/>
      <c r="I1008" s="126"/>
      <c r="J1008" s="130"/>
      <c r="K1008" s="28"/>
      <c r="L1008" s="28"/>
      <c r="M1008" s="28"/>
      <c r="N1008" s="28"/>
      <c r="O1008" s="28"/>
      <c r="P1008" s="28"/>
      <c r="Q1008" s="28"/>
      <c r="R1008" s="28"/>
      <c r="S1008" s="28"/>
      <c r="T1008" s="28"/>
      <c r="U1008" s="28"/>
      <c r="V1008" s="28"/>
      <c r="W1008" s="28"/>
      <c r="X1008" s="28"/>
      <c r="Y1008" s="28"/>
      <c r="Z1008" s="28"/>
    </row>
    <row r="1009">
      <c r="A1009" s="107"/>
      <c r="B1009" s="138"/>
      <c r="C1009" s="120"/>
      <c r="D1009" s="121"/>
      <c r="E1009" s="107"/>
      <c r="F1009" s="122"/>
      <c r="G1009" s="22"/>
      <c r="H1009" s="123"/>
      <c r="I1009" s="126"/>
      <c r="J1009" s="130"/>
      <c r="K1009" s="28"/>
      <c r="L1009" s="28"/>
      <c r="M1009" s="28"/>
      <c r="N1009" s="28"/>
      <c r="O1009" s="28"/>
      <c r="P1009" s="28"/>
      <c r="Q1009" s="28"/>
      <c r="R1009" s="28"/>
      <c r="S1009" s="28"/>
      <c r="T1009" s="28"/>
      <c r="U1009" s="28"/>
      <c r="V1009" s="28"/>
      <c r="W1009" s="28"/>
      <c r="X1009" s="28"/>
      <c r="Y1009" s="28"/>
      <c r="Z1009" s="28"/>
    </row>
    <row r="1010">
      <c r="A1010" s="107"/>
      <c r="B1010" s="138"/>
      <c r="C1010" s="120"/>
      <c r="D1010" s="121"/>
      <c r="E1010" s="107"/>
      <c r="F1010" s="122"/>
      <c r="G1010" s="22"/>
      <c r="H1010" s="123"/>
      <c r="I1010" s="126"/>
      <c r="J1010" s="130"/>
      <c r="K1010" s="28"/>
      <c r="L1010" s="28"/>
      <c r="M1010" s="28"/>
      <c r="N1010" s="28"/>
      <c r="O1010" s="28"/>
      <c r="P1010" s="28"/>
      <c r="Q1010" s="28"/>
      <c r="R1010" s="28"/>
      <c r="S1010" s="28"/>
      <c r="T1010" s="28"/>
      <c r="U1010" s="28"/>
      <c r="V1010" s="28"/>
      <c r="W1010" s="28"/>
      <c r="X1010" s="28"/>
      <c r="Y1010" s="28"/>
      <c r="Z1010" s="28"/>
    </row>
    <row r="1011">
      <c r="A1011" s="107"/>
      <c r="B1011" s="138"/>
      <c r="C1011" s="120"/>
      <c r="D1011" s="121"/>
      <c r="E1011" s="107"/>
      <c r="F1011" s="122"/>
      <c r="G1011" s="22"/>
      <c r="H1011" s="123"/>
      <c r="I1011" s="126"/>
      <c r="J1011" s="130"/>
      <c r="K1011" s="28"/>
      <c r="L1011" s="28"/>
      <c r="M1011" s="28"/>
      <c r="N1011" s="28"/>
      <c r="O1011" s="28"/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28"/>
    </row>
    <row r="1012">
      <c r="A1012" s="107"/>
      <c r="B1012" s="138"/>
      <c r="C1012" s="120"/>
      <c r="D1012" s="121"/>
      <c r="E1012" s="107"/>
      <c r="F1012" s="122"/>
      <c r="G1012" s="22"/>
      <c r="H1012" s="123"/>
      <c r="I1012" s="126"/>
      <c r="J1012" s="130"/>
      <c r="K1012" s="28"/>
      <c r="L1012" s="28"/>
      <c r="M1012" s="28"/>
      <c r="N1012" s="28"/>
      <c r="O1012" s="28"/>
      <c r="P1012" s="28"/>
      <c r="Q1012" s="28"/>
      <c r="R1012" s="28"/>
      <c r="S1012" s="28"/>
      <c r="T1012" s="28"/>
      <c r="U1012" s="28"/>
      <c r="V1012" s="28"/>
      <c r="W1012" s="28"/>
      <c r="X1012" s="28"/>
      <c r="Y1012" s="28"/>
      <c r="Z1012" s="28"/>
    </row>
    <row r="1013">
      <c r="A1013" s="107"/>
      <c r="B1013" s="138"/>
      <c r="C1013" s="120"/>
      <c r="D1013" s="121"/>
      <c r="E1013" s="107"/>
      <c r="F1013" s="122"/>
      <c r="G1013" s="22"/>
      <c r="H1013" s="123"/>
      <c r="I1013" s="126"/>
      <c r="J1013" s="130"/>
      <c r="K1013" s="28"/>
      <c r="L1013" s="28"/>
      <c r="M1013" s="28"/>
      <c r="N1013" s="28"/>
      <c r="O1013" s="28"/>
      <c r="P1013" s="28"/>
      <c r="Q1013" s="28"/>
      <c r="R1013" s="28"/>
      <c r="S1013" s="28"/>
      <c r="T1013" s="28"/>
      <c r="U1013" s="28"/>
      <c r="V1013" s="28"/>
      <c r="W1013" s="28"/>
      <c r="X1013" s="28"/>
      <c r="Y1013" s="28"/>
      <c r="Z1013" s="28"/>
    </row>
    <row r="1014">
      <c r="A1014" s="107"/>
      <c r="B1014" s="138"/>
      <c r="C1014" s="120"/>
      <c r="D1014" s="121"/>
      <c r="E1014" s="107"/>
      <c r="F1014" s="122"/>
      <c r="G1014" s="22"/>
      <c r="H1014" s="123"/>
      <c r="I1014" s="126"/>
      <c r="J1014" s="130"/>
      <c r="K1014" s="28"/>
      <c r="L1014" s="28"/>
      <c r="M1014" s="28"/>
      <c r="N1014" s="28"/>
      <c r="O1014" s="28"/>
      <c r="P1014" s="28"/>
      <c r="Q1014" s="28"/>
      <c r="R1014" s="28"/>
      <c r="S1014" s="28"/>
      <c r="T1014" s="28"/>
      <c r="U1014" s="28"/>
      <c r="V1014" s="28"/>
      <c r="W1014" s="28"/>
      <c r="X1014" s="28"/>
      <c r="Y1014" s="28"/>
      <c r="Z1014" s="28"/>
    </row>
    <row r="1015">
      <c r="A1015" s="107"/>
      <c r="B1015" s="138"/>
      <c r="C1015" s="120"/>
      <c r="D1015" s="121"/>
      <c r="E1015" s="107"/>
      <c r="F1015" s="122"/>
      <c r="G1015" s="22"/>
      <c r="H1015" s="123"/>
      <c r="I1015" s="126"/>
      <c r="J1015" s="130"/>
      <c r="K1015" s="28"/>
      <c r="L1015" s="28"/>
      <c r="M1015" s="28"/>
      <c r="N1015" s="28"/>
      <c r="O1015" s="28"/>
      <c r="P1015" s="28"/>
      <c r="Q1015" s="28"/>
      <c r="R1015" s="28"/>
      <c r="S1015" s="28"/>
      <c r="T1015" s="28"/>
      <c r="U1015" s="28"/>
      <c r="V1015" s="28"/>
      <c r="W1015" s="28"/>
      <c r="X1015" s="28"/>
      <c r="Y1015" s="28"/>
      <c r="Z1015" s="28"/>
    </row>
    <row r="1016">
      <c r="A1016" s="107"/>
      <c r="B1016" s="138"/>
      <c r="C1016" s="120"/>
      <c r="D1016" s="121"/>
      <c r="E1016" s="107"/>
      <c r="F1016" s="122"/>
      <c r="G1016" s="22"/>
      <c r="H1016" s="123"/>
      <c r="I1016" s="126"/>
      <c r="J1016" s="130"/>
      <c r="K1016" s="28"/>
      <c r="L1016" s="28"/>
      <c r="M1016" s="28"/>
      <c r="N1016" s="28"/>
      <c r="O1016" s="28"/>
      <c r="P1016" s="28"/>
      <c r="Q1016" s="28"/>
      <c r="R1016" s="28"/>
      <c r="S1016" s="28"/>
      <c r="T1016" s="28"/>
      <c r="U1016" s="28"/>
      <c r="V1016" s="28"/>
      <c r="W1016" s="28"/>
      <c r="X1016" s="28"/>
      <c r="Y1016" s="28"/>
      <c r="Z1016" s="28"/>
    </row>
    <row r="1017">
      <c r="A1017" s="107"/>
      <c r="B1017" s="138"/>
      <c r="C1017" s="120"/>
      <c r="D1017" s="121"/>
      <c r="E1017" s="107"/>
      <c r="F1017" s="122"/>
      <c r="G1017" s="22"/>
      <c r="H1017" s="123"/>
      <c r="I1017" s="126"/>
      <c r="J1017" s="130"/>
      <c r="K1017" s="28"/>
      <c r="L1017" s="28"/>
      <c r="M1017" s="28"/>
      <c r="N1017" s="28"/>
      <c r="O1017" s="28"/>
      <c r="P1017" s="28"/>
      <c r="Q1017" s="28"/>
      <c r="R1017" s="28"/>
      <c r="S1017" s="28"/>
      <c r="T1017" s="28"/>
      <c r="U1017" s="28"/>
      <c r="V1017" s="28"/>
      <c r="W1017" s="28"/>
      <c r="X1017" s="28"/>
      <c r="Y1017" s="28"/>
      <c r="Z1017" s="28"/>
    </row>
    <row r="1018">
      <c r="A1018" s="107"/>
      <c r="B1018" s="138"/>
      <c r="C1018" s="120"/>
      <c r="D1018" s="121"/>
      <c r="E1018" s="107"/>
      <c r="F1018" s="122"/>
      <c r="G1018" s="22"/>
      <c r="H1018" s="123"/>
      <c r="I1018" s="126"/>
      <c r="J1018" s="130"/>
      <c r="K1018" s="28"/>
      <c r="L1018" s="28"/>
      <c r="M1018" s="28"/>
      <c r="N1018" s="28"/>
      <c r="O1018" s="28"/>
      <c r="P1018" s="28"/>
      <c r="Q1018" s="28"/>
      <c r="R1018" s="28"/>
      <c r="S1018" s="28"/>
      <c r="T1018" s="28"/>
      <c r="U1018" s="28"/>
      <c r="V1018" s="28"/>
      <c r="W1018" s="28"/>
      <c r="X1018" s="28"/>
      <c r="Y1018" s="28"/>
      <c r="Z1018" s="28"/>
    </row>
    <row r="1019">
      <c r="A1019" s="107"/>
      <c r="B1019" s="138"/>
      <c r="C1019" s="120"/>
      <c r="D1019" s="121"/>
      <c r="E1019" s="107"/>
      <c r="F1019" s="122"/>
      <c r="G1019" s="22"/>
      <c r="H1019" s="123"/>
      <c r="I1019" s="126"/>
      <c r="J1019" s="130"/>
      <c r="K1019" s="28"/>
      <c r="L1019" s="28"/>
      <c r="M1019" s="28"/>
      <c r="N1019" s="28"/>
      <c r="O1019" s="28"/>
      <c r="P1019" s="28"/>
      <c r="Q1019" s="28"/>
      <c r="R1019" s="28"/>
      <c r="S1019" s="28"/>
      <c r="T1019" s="28"/>
      <c r="U1019" s="28"/>
      <c r="V1019" s="28"/>
      <c r="W1019" s="28"/>
      <c r="X1019" s="28"/>
      <c r="Y1019" s="28"/>
      <c r="Z1019" s="28"/>
    </row>
    <row r="1020">
      <c r="A1020" s="107"/>
      <c r="B1020" s="138"/>
      <c r="C1020" s="120"/>
      <c r="D1020" s="121"/>
      <c r="E1020" s="107"/>
      <c r="F1020" s="122"/>
      <c r="G1020" s="22"/>
      <c r="H1020" s="123"/>
      <c r="I1020" s="126"/>
      <c r="J1020" s="130"/>
      <c r="K1020" s="28"/>
      <c r="L1020" s="28"/>
      <c r="M1020" s="28"/>
      <c r="N1020" s="28"/>
      <c r="O1020" s="28"/>
      <c r="P1020" s="28"/>
      <c r="Q1020" s="28"/>
      <c r="R1020" s="28"/>
      <c r="S1020" s="28"/>
      <c r="T1020" s="28"/>
      <c r="U1020" s="28"/>
      <c r="V1020" s="28"/>
      <c r="W1020" s="28"/>
      <c r="X1020" s="28"/>
      <c r="Y1020" s="28"/>
      <c r="Z1020" s="28"/>
    </row>
    <row r="1021">
      <c r="A1021" s="107"/>
      <c r="B1021" s="138"/>
      <c r="C1021" s="120"/>
      <c r="D1021" s="121"/>
      <c r="E1021" s="107"/>
      <c r="F1021" s="122"/>
      <c r="G1021" s="22"/>
      <c r="H1021" s="123"/>
      <c r="I1021" s="126"/>
      <c r="J1021" s="130"/>
      <c r="K1021" s="28"/>
      <c r="L1021" s="28"/>
      <c r="M1021" s="28"/>
      <c r="N1021" s="28"/>
      <c r="O1021" s="28"/>
      <c r="P1021" s="28"/>
      <c r="Q1021" s="28"/>
      <c r="R1021" s="28"/>
      <c r="S1021" s="28"/>
      <c r="T1021" s="28"/>
      <c r="U1021" s="28"/>
      <c r="V1021" s="28"/>
      <c r="W1021" s="28"/>
      <c r="X1021" s="28"/>
      <c r="Y1021" s="28"/>
      <c r="Z1021" s="28"/>
    </row>
    <row r="1022">
      <c r="A1022" s="107"/>
      <c r="B1022" s="138"/>
      <c r="C1022" s="120"/>
      <c r="D1022" s="121"/>
      <c r="E1022" s="107"/>
      <c r="F1022" s="122"/>
      <c r="G1022" s="22"/>
      <c r="H1022" s="123"/>
      <c r="I1022" s="126"/>
      <c r="J1022" s="130"/>
      <c r="K1022" s="28"/>
      <c r="L1022" s="28"/>
      <c r="M1022" s="28"/>
      <c r="N1022" s="28"/>
      <c r="O1022" s="28"/>
      <c r="P1022" s="28"/>
      <c r="Q1022" s="28"/>
      <c r="R1022" s="28"/>
      <c r="S1022" s="28"/>
      <c r="T1022" s="28"/>
      <c r="U1022" s="28"/>
      <c r="V1022" s="28"/>
      <c r="W1022" s="28"/>
      <c r="X1022" s="28"/>
      <c r="Y1022" s="28"/>
      <c r="Z1022" s="28"/>
    </row>
    <row r="1023">
      <c r="A1023" s="107"/>
      <c r="B1023" s="138"/>
      <c r="C1023" s="120"/>
      <c r="D1023" s="121"/>
      <c r="E1023" s="107"/>
      <c r="F1023" s="122"/>
      <c r="G1023" s="22"/>
      <c r="H1023" s="123"/>
      <c r="I1023" s="126"/>
      <c r="J1023" s="130"/>
      <c r="K1023" s="28"/>
      <c r="L1023" s="28"/>
      <c r="M1023" s="28"/>
      <c r="N1023" s="28"/>
      <c r="O1023" s="28"/>
      <c r="P1023" s="28"/>
      <c r="Q1023" s="28"/>
      <c r="R1023" s="28"/>
      <c r="S1023" s="28"/>
      <c r="T1023" s="28"/>
      <c r="U1023" s="28"/>
      <c r="V1023" s="28"/>
      <c r="W1023" s="28"/>
      <c r="X1023" s="28"/>
      <c r="Y1023" s="28"/>
      <c r="Z1023" s="28"/>
    </row>
    <row r="1024">
      <c r="A1024" s="107"/>
      <c r="B1024" s="138"/>
      <c r="C1024" s="120"/>
      <c r="D1024" s="121"/>
      <c r="E1024" s="107"/>
      <c r="F1024" s="122"/>
      <c r="G1024" s="22"/>
      <c r="H1024" s="123"/>
      <c r="I1024" s="126"/>
      <c r="J1024" s="130"/>
      <c r="K1024" s="28"/>
      <c r="L1024" s="28"/>
      <c r="M1024" s="28"/>
      <c r="N1024" s="28"/>
      <c r="O1024" s="28"/>
      <c r="P1024" s="28"/>
      <c r="Q1024" s="28"/>
      <c r="R1024" s="28"/>
      <c r="S1024" s="28"/>
      <c r="T1024" s="28"/>
      <c r="U1024" s="28"/>
      <c r="V1024" s="28"/>
      <c r="W1024" s="28"/>
      <c r="X1024" s="28"/>
      <c r="Y1024" s="28"/>
      <c r="Z1024" s="28"/>
    </row>
    <row r="1025">
      <c r="A1025" s="107"/>
      <c r="B1025" s="138"/>
      <c r="C1025" s="120"/>
      <c r="D1025" s="121"/>
      <c r="E1025" s="107"/>
      <c r="F1025" s="122"/>
      <c r="G1025" s="22"/>
      <c r="H1025" s="123"/>
      <c r="I1025" s="126"/>
      <c r="J1025" s="130"/>
      <c r="K1025" s="28"/>
      <c r="L1025" s="28"/>
      <c r="M1025" s="28"/>
      <c r="N1025" s="28"/>
      <c r="O1025" s="28"/>
      <c r="P1025" s="28"/>
      <c r="Q1025" s="28"/>
      <c r="R1025" s="28"/>
      <c r="S1025" s="28"/>
      <c r="T1025" s="28"/>
      <c r="U1025" s="28"/>
      <c r="V1025" s="28"/>
      <c r="W1025" s="28"/>
      <c r="X1025" s="28"/>
      <c r="Y1025" s="28"/>
      <c r="Z1025" s="28"/>
    </row>
    <row r="1026">
      <c r="A1026" s="107"/>
      <c r="B1026" s="138"/>
      <c r="C1026" s="120"/>
      <c r="D1026" s="121"/>
      <c r="E1026" s="107"/>
      <c r="F1026" s="122"/>
      <c r="G1026" s="22"/>
      <c r="H1026" s="123"/>
      <c r="I1026" s="126"/>
      <c r="J1026" s="130"/>
      <c r="K1026" s="28"/>
      <c r="L1026" s="28"/>
      <c r="M1026" s="28"/>
      <c r="N1026" s="28"/>
      <c r="O1026" s="28"/>
      <c r="P1026" s="28"/>
      <c r="Q1026" s="28"/>
      <c r="R1026" s="28"/>
      <c r="S1026" s="28"/>
      <c r="T1026" s="28"/>
      <c r="U1026" s="28"/>
      <c r="V1026" s="28"/>
      <c r="W1026" s="28"/>
      <c r="X1026" s="28"/>
      <c r="Y1026" s="28"/>
      <c r="Z1026" s="28"/>
    </row>
    <row r="1027">
      <c r="A1027" s="107"/>
      <c r="B1027" s="138"/>
      <c r="C1027" s="120"/>
      <c r="D1027" s="121"/>
      <c r="E1027" s="107"/>
      <c r="F1027" s="122"/>
      <c r="G1027" s="22"/>
      <c r="H1027" s="123"/>
      <c r="I1027" s="126"/>
      <c r="J1027" s="130"/>
      <c r="K1027" s="28"/>
      <c r="L1027" s="28"/>
      <c r="M1027" s="28"/>
      <c r="N1027" s="28"/>
      <c r="O1027" s="28"/>
      <c r="P1027" s="28"/>
      <c r="Q1027" s="28"/>
      <c r="R1027" s="28"/>
      <c r="S1027" s="28"/>
      <c r="T1027" s="28"/>
      <c r="U1027" s="28"/>
      <c r="V1027" s="28"/>
      <c r="W1027" s="28"/>
      <c r="X1027" s="28"/>
      <c r="Y1027" s="28"/>
      <c r="Z1027" s="28"/>
    </row>
    <row r="1028">
      <c r="A1028" s="107"/>
      <c r="B1028" s="138"/>
      <c r="C1028" s="120"/>
      <c r="D1028" s="121"/>
      <c r="E1028" s="107"/>
      <c r="F1028" s="122"/>
      <c r="G1028" s="22"/>
      <c r="H1028" s="123"/>
      <c r="I1028" s="126"/>
      <c r="J1028" s="130"/>
      <c r="K1028" s="28"/>
      <c r="L1028" s="28"/>
      <c r="M1028" s="28"/>
      <c r="N1028" s="28"/>
      <c r="O1028" s="28"/>
      <c r="P1028" s="28"/>
      <c r="Q1028" s="28"/>
      <c r="R1028" s="28"/>
      <c r="S1028" s="28"/>
      <c r="T1028" s="28"/>
      <c r="U1028" s="28"/>
      <c r="V1028" s="28"/>
      <c r="W1028" s="28"/>
      <c r="X1028" s="28"/>
      <c r="Y1028" s="28"/>
      <c r="Z1028" s="28"/>
    </row>
    <row r="1029">
      <c r="A1029" s="107"/>
      <c r="B1029" s="138"/>
      <c r="C1029" s="120"/>
      <c r="D1029" s="121"/>
      <c r="E1029" s="107"/>
      <c r="F1029" s="122"/>
      <c r="G1029" s="22"/>
      <c r="H1029" s="123"/>
      <c r="I1029" s="126"/>
      <c r="J1029" s="130"/>
      <c r="K1029" s="28"/>
      <c r="L1029" s="28"/>
      <c r="M1029" s="28"/>
      <c r="N1029" s="28"/>
      <c r="O1029" s="28"/>
      <c r="P1029" s="28"/>
      <c r="Q1029" s="28"/>
      <c r="R1029" s="28"/>
      <c r="S1029" s="28"/>
      <c r="T1029" s="28"/>
      <c r="U1029" s="28"/>
      <c r="V1029" s="28"/>
      <c r="W1029" s="28"/>
      <c r="X1029" s="28"/>
      <c r="Y1029" s="28"/>
      <c r="Z1029" s="28"/>
    </row>
    <row r="1030">
      <c r="A1030" s="107"/>
      <c r="B1030" s="138"/>
      <c r="C1030" s="120"/>
      <c r="D1030" s="121"/>
      <c r="E1030" s="107"/>
      <c r="F1030" s="122"/>
      <c r="G1030" s="22"/>
      <c r="H1030" s="123"/>
      <c r="I1030" s="126"/>
      <c r="J1030" s="130"/>
      <c r="K1030" s="28"/>
      <c r="L1030" s="28"/>
      <c r="M1030" s="28"/>
      <c r="N1030" s="28"/>
      <c r="O1030" s="28"/>
      <c r="P1030" s="28"/>
      <c r="Q1030" s="28"/>
      <c r="R1030" s="28"/>
      <c r="S1030" s="28"/>
      <c r="T1030" s="28"/>
      <c r="U1030" s="28"/>
      <c r="V1030" s="28"/>
      <c r="W1030" s="28"/>
      <c r="X1030" s="28"/>
      <c r="Y1030" s="28"/>
      <c r="Z1030" s="28"/>
    </row>
    <row r="1031">
      <c r="A1031" s="107"/>
      <c r="B1031" s="138"/>
      <c r="C1031" s="120"/>
      <c r="D1031" s="121"/>
      <c r="E1031" s="107"/>
      <c r="F1031" s="122"/>
      <c r="G1031" s="22"/>
      <c r="H1031" s="123"/>
      <c r="I1031" s="126"/>
      <c r="J1031" s="130"/>
      <c r="K1031" s="28"/>
      <c r="L1031" s="28"/>
      <c r="M1031" s="28"/>
      <c r="N1031" s="28"/>
      <c r="O1031" s="28"/>
      <c r="P1031" s="28"/>
      <c r="Q1031" s="28"/>
      <c r="R1031" s="28"/>
      <c r="S1031" s="28"/>
      <c r="T1031" s="28"/>
      <c r="U1031" s="28"/>
      <c r="V1031" s="28"/>
      <c r="W1031" s="28"/>
      <c r="X1031" s="28"/>
      <c r="Y1031" s="28"/>
      <c r="Z1031" s="28"/>
    </row>
    <row r="1032">
      <c r="A1032" s="107"/>
      <c r="B1032" s="138"/>
      <c r="C1032" s="120"/>
      <c r="D1032" s="121"/>
      <c r="E1032" s="107"/>
      <c r="F1032" s="122"/>
      <c r="G1032" s="22"/>
      <c r="H1032" s="123"/>
      <c r="I1032" s="126"/>
      <c r="J1032" s="130"/>
      <c r="K1032" s="28"/>
      <c r="L1032" s="28"/>
      <c r="M1032" s="28"/>
      <c r="N1032" s="28"/>
      <c r="O1032" s="28"/>
      <c r="P1032" s="28"/>
      <c r="Q1032" s="28"/>
      <c r="R1032" s="28"/>
      <c r="S1032" s="28"/>
      <c r="T1032" s="28"/>
      <c r="U1032" s="28"/>
      <c r="V1032" s="28"/>
      <c r="W1032" s="28"/>
      <c r="X1032" s="28"/>
      <c r="Y1032" s="28"/>
      <c r="Z1032" s="28"/>
    </row>
    <row r="1033">
      <c r="A1033" s="107"/>
      <c r="B1033" s="138"/>
      <c r="C1033" s="120"/>
      <c r="D1033" s="121"/>
      <c r="E1033" s="107"/>
      <c r="F1033" s="122"/>
      <c r="G1033" s="22"/>
      <c r="H1033" s="123"/>
      <c r="I1033" s="126"/>
      <c r="J1033" s="130"/>
      <c r="K1033" s="28"/>
      <c r="L1033" s="28"/>
      <c r="M1033" s="28"/>
      <c r="N1033" s="28"/>
      <c r="O1033" s="28"/>
      <c r="P1033" s="28"/>
      <c r="Q1033" s="28"/>
      <c r="R1033" s="28"/>
      <c r="S1033" s="28"/>
      <c r="T1033" s="28"/>
      <c r="U1033" s="28"/>
      <c r="V1033" s="28"/>
      <c r="W1033" s="28"/>
      <c r="X1033" s="28"/>
      <c r="Y1033" s="28"/>
      <c r="Z1033" s="28"/>
    </row>
    <row r="1034">
      <c r="A1034" s="107"/>
      <c r="B1034" s="138"/>
      <c r="C1034" s="120"/>
      <c r="D1034" s="121"/>
      <c r="E1034" s="107"/>
      <c r="F1034" s="122"/>
      <c r="G1034" s="22"/>
      <c r="H1034" s="123"/>
      <c r="I1034" s="126"/>
      <c r="J1034" s="130"/>
      <c r="K1034" s="28"/>
      <c r="L1034" s="28"/>
      <c r="M1034" s="28"/>
      <c r="N1034" s="28"/>
      <c r="O1034" s="28"/>
      <c r="P1034" s="28"/>
      <c r="Q1034" s="28"/>
      <c r="R1034" s="28"/>
      <c r="S1034" s="28"/>
      <c r="T1034" s="28"/>
      <c r="U1034" s="28"/>
      <c r="V1034" s="28"/>
      <c r="W1034" s="28"/>
      <c r="X1034" s="28"/>
      <c r="Y1034" s="28"/>
      <c r="Z1034" s="28"/>
    </row>
    <row r="1035">
      <c r="A1035" s="107"/>
      <c r="B1035" s="138"/>
      <c r="C1035" s="120"/>
      <c r="D1035" s="121"/>
      <c r="E1035" s="107"/>
      <c r="F1035" s="122"/>
      <c r="G1035" s="22"/>
      <c r="H1035" s="123"/>
      <c r="I1035" s="126"/>
      <c r="J1035" s="130"/>
      <c r="K1035" s="28"/>
      <c r="L1035" s="28"/>
      <c r="M1035" s="28"/>
      <c r="N1035" s="28"/>
      <c r="O1035" s="28"/>
      <c r="P1035" s="28"/>
      <c r="Q1035" s="28"/>
      <c r="R1035" s="28"/>
      <c r="S1035" s="28"/>
      <c r="T1035" s="28"/>
      <c r="U1035" s="28"/>
      <c r="V1035" s="28"/>
      <c r="W1035" s="28"/>
      <c r="X1035" s="28"/>
      <c r="Y1035" s="28"/>
      <c r="Z1035" s="28"/>
    </row>
    <row r="1036">
      <c r="A1036" s="107"/>
      <c r="B1036" s="138"/>
      <c r="C1036" s="120"/>
      <c r="D1036" s="121"/>
      <c r="E1036" s="107"/>
      <c r="F1036" s="122"/>
      <c r="G1036" s="22"/>
      <c r="H1036" s="123"/>
      <c r="I1036" s="126"/>
      <c r="J1036" s="130"/>
      <c r="K1036" s="28"/>
      <c r="L1036" s="28"/>
      <c r="M1036" s="28"/>
      <c r="N1036" s="28"/>
      <c r="O1036" s="28"/>
      <c r="P1036" s="28"/>
      <c r="Q1036" s="28"/>
      <c r="R1036" s="28"/>
      <c r="S1036" s="28"/>
      <c r="T1036" s="28"/>
      <c r="U1036" s="28"/>
      <c r="V1036" s="28"/>
      <c r="W1036" s="28"/>
      <c r="X1036" s="28"/>
      <c r="Y1036" s="28"/>
      <c r="Z1036" s="28"/>
    </row>
    <row r="1037">
      <c r="A1037" s="107"/>
      <c r="B1037" s="138"/>
      <c r="C1037" s="120"/>
      <c r="D1037" s="121"/>
      <c r="E1037" s="107"/>
      <c r="F1037" s="122"/>
      <c r="G1037" s="22"/>
      <c r="H1037" s="123"/>
      <c r="I1037" s="126"/>
      <c r="J1037" s="130"/>
      <c r="K1037" s="28"/>
      <c r="L1037" s="28"/>
      <c r="M1037" s="28"/>
      <c r="N1037" s="28"/>
      <c r="O1037" s="28"/>
      <c r="P1037" s="28"/>
      <c r="Q1037" s="28"/>
      <c r="R1037" s="28"/>
      <c r="S1037" s="28"/>
      <c r="T1037" s="28"/>
      <c r="U1037" s="28"/>
      <c r="V1037" s="28"/>
      <c r="W1037" s="28"/>
      <c r="X1037" s="28"/>
      <c r="Y1037" s="28"/>
      <c r="Z1037" s="28"/>
    </row>
    <row r="1038">
      <c r="A1038" s="107"/>
      <c r="B1038" s="138"/>
      <c r="C1038" s="120"/>
      <c r="D1038" s="121"/>
      <c r="E1038" s="107"/>
      <c r="F1038" s="122"/>
      <c r="G1038" s="22"/>
      <c r="H1038" s="123"/>
      <c r="I1038" s="126"/>
      <c r="J1038" s="130"/>
      <c r="K1038" s="28"/>
      <c r="L1038" s="28"/>
      <c r="M1038" s="28"/>
      <c r="N1038" s="28"/>
      <c r="O1038" s="28"/>
      <c r="P1038" s="28"/>
      <c r="Q1038" s="28"/>
      <c r="R1038" s="28"/>
      <c r="S1038" s="28"/>
      <c r="T1038" s="28"/>
      <c r="U1038" s="28"/>
      <c r="V1038" s="28"/>
      <c r="W1038" s="28"/>
      <c r="X1038" s="28"/>
      <c r="Y1038" s="28"/>
      <c r="Z1038" s="28"/>
    </row>
    <row r="1039">
      <c r="A1039" s="107"/>
      <c r="B1039" s="138"/>
      <c r="C1039" s="120"/>
      <c r="D1039" s="121"/>
      <c r="E1039" s="107"/>
      <c r="F1039" s="122"/>
      <c r="G1039" s="22"/>
      <c r="H1039" s="123"/>
      <c r="I1039" s="126"/>
      <c r="J1039" s="130"/>
      <c r="K1039" s="28"/>
      <c r="L1039" s="28"/>
      <c r="M1039" s="28"/>
      <c r="N1039" s="28"/>
      <c r="O1039" s="28"/>
      <c r="P1039" s="28"/>
      <c r="Q1039" s="28"/>
      <c r="R1039" s="28"/>
      <c r="S1039" s="28"/>
      <c r="T1039" s="28"/>
      <c r="U1039" s="28"/>
      <c r="V1039" s="28"/>
      <c r="W1039" s="28"/>
      <c r="X1039" s="28"/>
      <c r="Y1039" s="28"/>
      <c r="Z1039" s="28"/>
    </row>
    <row r="1040">
      <c r="A1040" s="107"/>
      <c r="B1040" s="138"/>
      <c r="C1040" s="120"/>
      <c r="D1040" s="121"/>
      <c r="E1040" s="107"/>
      <c r="F1040" s="122"/>
      <c r="G1040" s="22"/>
      <c r="H1040" s="123"/>
      <c r="I1040" s="126"/>
      <c r="J1040" s="130"/>
      <c r="K1040" s="28"/>
      <c r="L1040" s="28"/>
      <c r="M1040" s="28"/>
      <c r="N1040" s="28"/>
      <c r="O1040" s="28"/>
      <c r="P1040" s="28"/>
      <c r="Q1040" s="28"/>
      <c r="R1040" s="28"/>
      <c r="S1040" s="28"/>
      <c r="T1040" s="28"/>
      <c r="U1040" s="28"/>
      <c r="V1040" s="28"/>
      <c r="W1040" s="28"/>
      <c r="X1040" s="28"/>
      <c r="Y1040" s="28"/>
      <c r="Z1040" s="28"/>
    </row>
    <row r="1041">
      <c r="A1041" s="107"/>
      <c r="B1041" s="138"/>
      <c r="C1041" s="120"/>
      <c r="D1041" s="121"/>
      <c r="E1041" s="107"/>
      <c r="F1041" s="122"/>
      <c r="G1041" s="22"/>
      <c r="H1041" s="123"/>
      <c r="I1041" s="126"/>
      <c r="J1041" s="130"/>
      <c r="K1041" s="28"/>
      <c r="L1041" s="28"/>
      <c r="M1041" s="28"/>
      <c r="N1041" s="28"/>
      <c r="O1041" s="28"/>
      <c r="P1041" s="28"/>
      <c r="Q1041" s="28"/>
      <c r="R1041" s="28"/>
      <c r="S1041" s="28"/>
      <c r="T1041" s="28"/>
      <c r="U1041" s="28"/>
      <c r="V1041" s="28"/>
      <c r="W1041" s="28"/>
      <c r="X1041" s="28"/>
      <c r="Y1041" s="28"/>
      <c r="Z1041" s="28"/>
    </row>
    <row r="1042">
      <c r="A1042" s="107"/>
      <c r="B1042" s="138"/>
      <c r="C1042" s="120"/>
      <c r="D1042" s="121"/>
      <c r="E1042" s="107"/>
      <c r="F1042" s="122"/>
      <c r="G1042" s="22"/>
      <c r="H1042" s="123"/>
      <c r="I1042" s="126"/>
      <c r="J1042" s="130"/>
      <c r="K1042" s="28"/>
      <c r="L1042" s="28"/>
      <c r="M1042" s="28"/>
      <c r="N1042" s="28"/>
      <c r="O1042" s="28"/>
      <c r="P1042" s="28"/>
      <c r="Q1042" s="28"/>
      <c r="R1042" s="28"/>
      <c r="S1042" s="28"/>
      <c r="T1042" s="28"/>
      <c r="U1042" s="28"/>
      <c r="V1042" s="28"/>
      <c r="W1042" s="28"/>
      <c r="X1042" s="28"/>
      <c r="Y1042" s="28"/>
      <c r="Z1042" s="28"/>
    </row>
    <row r="1043">
      <c r="A1043" s="107"/>
      <c r="B1043" s="138"/>
      <c r="C1043" s="120"/>
      <c r="D1043" s="121"/>
      <c r="E1043" s="107"/>
      <c r="F1043" s="122"/>
      <c r="G1043" s="22"/>
      <c r="H1043" s="123"/>
      <c r="I1043" s="126"/>
      <c r="J1043" s="130"/>
      <c r="K1043" s="28"/>
      <c r="L1043" s="28"/>
      <c r="M1043" s="28"/>
      <c r="N1043" s="28"/>
      <c r="O1043" s="28"/>
      <c r="P1043" s="28"/>
      <c r="Q1043" s="28"/>
      <c r="R1043" s="28"/>
      <c r="S1043" s="28"/>
      <c r="T1043" s="28"/>
      <c r="U1043" s="28"/>
      <c r="V1043" s="28"/>
      <c r="W1043" s="28"/>
      <c r="X1043" s="28"/>
      <c r="Y1043" s="28"/>
      <c r="Z1043" s="28"/>
    </row>
    <row r="1044">
      <c r="A1044" s="107"/>
      <c r="B1044" s="138"/>
      <c r="C1044" s="120"/>
      <c r="D1044" s="121"/>
      <c r="E1044" s="107"/>
      <c r="F1044" s="122"/>
      <c r="G1044" s="22"/>
      <c r="H1044" s="123"/>
      <c r="I1044" s="126"/>
      <c r="J1044" s="130"/>
      <c r="K1044" s="28"/>
      <c r="L1044" s="28"/>
      <c r="M1044" s="28"/>
      <c r="N1044" s="28"/>
      <c r="O1044" s="28"/>
      <c r="P1044" s="28"/>
      <c r="Q1044" s="28"/>
      <c r="R1044" s="28"/>
      <c r="S1044" s="28"/>
      <c r="T1044" s="28"/>
      <c r="U1044" s="28"/>
      <c r="V1044" s="28"/>
      <c r="W1044" s="28"/>
      <c r="X1044" s="28"/>
      <c r="Y1044" s="28"/>
      <c r="Z1044" s="28"/>
    </row>
    <row r="1045">
      <c r="A1045" s="107"/>
      <c r="B1045" s="138"/>
      <c r="C1045" s="120"/>
      <c r="D1045" s="121"/>
      <c r="E1045" s="107"/>
      <c r="F1045" s="122"/>
      <c r="G1045" s="22"/>
      <c r="H1045" s="123"/>
      <c r="I1045" s="126"/>
      <c r="J1045" s="130"/>
      <c r="K1045" s="28"/>
      <c r="L1045" s="28"/>
      <c r="M1045" s="28"/>
      <c r="N1045" s="28"/>
      <c r="O1045" s="28"/>
      <c r="P1045" s="28"/>
      <c r="Q1045" s="28"/>
      <c r="R1045" s="28"/>
      <c r="S1045" s="28"/>
      <c r="T1045" s="28"/>
      <c r="U1045" s="28"/>
      <c r="V1045" s="28"/>
      <c r="W1045" s="28"/>
      <c r="X1045" s="28"/>
      <c r="Y1045" s="28"/>
      <c r="Z1045" s="28"/>
    </row>
    <row r="1046">
      <c r="A1046" s="107"/>
      <c r="B1046" s="138"/>
      <c r="C1046" s="120"/>
      <c r="D1046" s="121"/>
      <c r="E1046" s="107"/>
      <c r="F1046" s="122"/>
      <c r="G1046" s="22"/>
      <c r="H1046" s="123"/>
      <c r="I1046" s="126"/>
      <c r="J1046" s="130"/>
      <c r="K1046" s="28"/>
      <c r="L1046" s="28"/>
      <c r="M1046" s="28"/>
      <c r="N1046" s="28"/>
      <c r="O1046" s="28"/>
      <c r="P1046" s="28"/>
      <c r="Q1046" s="28"/>
      <c r="R1046" s="28"/>
      <c r="S1046" s="28"/>
      <c r="T1046" s="28"/>
      <c r="U1046" s="28"/>
      <c r="V1046" s="28"/>
      <c r="W1046" s="28"/>
      <c r="X1046" s="28"/>
      <c r="Y1046" s="28"/>
      <c r="Z1046" s="28"/>
    </row>
    <row r="1047">
      <c r="A1047" s="107"/>
      <c r="B1047" s="138"/>
      <c r="C1047" s="120"/>
      <c r="D1047" s="121"/>
      <c r="E1047" s="107"/>
      <c r="F1047" s="122"/>
      <c r="G1047" s="22"/>
      <c r="H1047" s="123"/>
      <c r="I1047" s="126"/>
      <c r="J1047" s="130"/>
      <c r="K1047" s="28"/>
      <c r="L1047" s="28"/>
      <c r="M1047" s="28"/>
      <c r="N1047" s="28"/>
      <c r="O1047" s="28"/>
      <c r="P1047" s="28"/>
      <c r="Q1047" s="28"/>
      <c r="R1047" s="28"/>
      <c r="S1047" s="28"/>
      <c r="T1047" s="28"/>
      <c r="U1047" s="28"/>
      <c r="V1047" s="28"/>
      <c r="W1047" s="28"/>
      <c r="X1047" s="28"/>
      <c r="Y1047" s="28"/>
      <c r="Z1047" s="28"/>
    </row>
    <row r="1048">
      <c r="A1048" s="107"/>
      <c r="B1048" s="138"/>
      <c r="C1048" s="120"/>
      <c r="D1048" s="121"/>
      <c r="E1048" s="107"/>
      <c r="F1048" s="122"/>
      <c r="G1048" s="22"/>
      <c r="H1048" s="123"/>
      <c r="I1048" s="126"/>
      <c r="J1048" s="130"/>
      <c r="K1048" s="28"/>
      <c r="L1048" s="28"/>
      <c r="M1048" s="28"/>
      <c r="N1048" s="28"/>
      <c r="O1048" s="28"/>
      <c r="P1048" s="28"/>
      <c r="Q1048" s="28"/>
      <c r="R1048" s="28"/>
      <c r="S1048" s="28"/>
      <c r="T1048" s="28"/>
      <c r="U1048" s="28"/>
      <c r="V1048" s="28"/>
      <c r="W1048" s="28"/>
      <c r="X1048" s="28"/>
      <c r="Y1048" s="28"/>
      <c r="Z1048" s="28"/>
    </row>
    <row r="1049">
      <c r="A1049" s="107"/>
      <c r="B1049" s="138"/>
      <c r="C1049" s="120"/>
      <c r="D1049" s="121"/>
      <c r="E1049" s="107"/>
      <c r="F1049" s="122"/>
      <c r="G1049" s="22"/>
      <c r="H1049" s="123"/>
      <c r="I1049" s="126"/>
      <c r="J1049" s="130"/>
      <c r="K1049" s="28"/>
      <c r="L1049" s="28"/>
      <c r="M1049" s="28"/>
      <c r="N1049" s="28"/>
      <c r="O1049" s="28"/>
      <c r="P1049" s="28"/>
      <c r="Q1049" s="28"/>
      <c r="R1049" s="28"/>
      <c r="S1049" s="28"/>
      <c r="T1049" s="28"/>
      <c r="U1049" s="28"/>
      <c r="V1049" s="28"/>
      <c r="W1049" s="28"/>
      <c r="X1049" s="28"/>
      <c r="Y1049" s="28"/>
      <c r="Z1049" s="28"/>
    </row>
    <row r="1050">
      <c r="A1050" s="107"/>
      <c r="B1050" s="138"/>
      <c r="C1050" s="120"/>
      <c r="D1050" s="121"/>
      <c r="E1050" s="107"/>
      <c r="F1050" s="122"/>
      <c r="G1050" s="22"/>
      <c r="H1050" s="123"/>
      <c r="I1050" s="126"/>
      <c r="J1050" s="130"/>
      <c r="K1050" s="28"/>
      <c r="L1050" s="28"/>
      <c r="M1050" s="28"/>
      <c r="N1050" s="28"/>
      <c r="O1050" s="28"/>
      <c r="P1050" s="28"/>
      <c r="Q1050" s="28"/>
      <c r="R1050" s="28"/>
      <c r="S1050" s="28"/>
      <c r="T1050" s="28"/>
      <c r="U1050" s="28"/>
      <c r="V1050" s="28"/>
      <c r="W1050" s="28"/>
      <c r="X1050" s="28"/>
      <c r="Y1050" s="28"/>
      <c r="Z1050" s="28"/>
    </row>
    <row r="1051">
      <c r="A1051" s="107"/>
      <c r="B1051" s="138"/>
      <c r="C1051" s="120"/>
      <c r="D1051" s="121"/>
      <c r="E1051" s="107"/>
      <c r="F1051" s="122"/>
      <c r="G1051" s="22"/>
      <c r="H1051" s="123"/>
      <c r="I1051" s="126"/>
      <c r="J1051" s="130"/>
      <c r="K1051" s="28"/>
      <c r="L1051" s="28"/>
      <c r="M1051" s="28"/>
      <c r="N1051" s="28"/>
      <c r="O1051" s="28"/>
      <c r="P1051" s="28"/>
      <c r="Q1051" s="28"/>
      <c r="R1051" s="28"/>
      <c r="S1051" s="28"/>
      <c r="T1051" s="28"/>
      <c r="U1051" s="28"/>
      <c r="V1051" s="28"/>
      <c r="W1051" s="28"/>
      <c r="X1051" s="28"/>
      <c r="Y1051" s="28"/>
      <c r="Z1051" s="28"/>
    </row>
    <row r="1052">
      <c r="A1052" s="107"/>
      <c r="B1052" s="138"/>
      <c r="C1052" s="120"/>
      <c r="D1052" s="121"/>
      <c r="E1052" s="107"/>
      <c r="F1052" s="122"/>
      <c r="G1052" s="22"/>
      <c r="H1052" s="123"/>
      <c r="I1052" s="126"/>
      <c r="J1052" s="130"/>
      <c r="K1052" s="28"/>
      <c r="L1052" s="28"/>
      <c r="M1052" s="28"/>
      <c r="N1052" s="28"/>
      <c r="O1052" s="28"/>
      <c r="P1052" s="28"/>
      <c r="Q1052" s="28"/>
      <c r="R1052" s="28"/>
      <c r="S1052" s="28"/>
      <c r="T1052" s="28"/>
      <c r="U1052" s="28"/>
      <c r="V1052" s="28"/>
      <c r="W1052" s="28"/>
      <c r="X1052" s="28"/>
      <c r="Y1052" s="28"/>
      <c r="Z1052" s="28"/>
    </row>
    <row r="1053">
      <c r="A1053" s="107"/>
      <c r="B1053" s="138"/>
      <c r="C1053" s="120"/>
      <c r="D1053" s="121"/>
      <c r="E1053" s="107"/>
      <c r="F1053" s="122"/>
      <c r="G1053" s="22"/>
      <c r="H1053" s="123"/>
      <c r="I1053" s="126"/>
      <c r="J1053" s="130"/>
      <c r="K1053" s="28"/>
      <c r="L1053" s="28"/>
      <c r="M1053" s="28"/>
      <c r="N1053" s="28"/>
      <c r="O1053" s="28"/>
      <c r="P1053" s="28"/>
      <c r="Q1053" s="28"/>
      <c r="R1053" s="28"/>
      <c r="S1053" s="28"/>
      <c r="T1053" s="28"/>
      <c r="U1053" s="28"/>
      <c r="V1053" s="28"/>
      <c r="W1053" s="28"/>
      <c r="X1053" s="28"/>
      <c r="Y1053" s="28"/>
      <c r="Z1053" s="28"/>
    </row>
    <row r="1054">
      <c r="A1054" s="107"/>
      <c r="B1054" s="138"/>
      <c r="C1054" s="120"/>
      <c r="D1054" s="121"/>
      <c r="E1054" s="107"/>
      <c r="F1054" s="122"/>
      <c r="G1054" s="22"/>
      <c r="H1054" s="123"/>
      <c r="I1054" s="126"/>
      <c r="J1054" s="130"/>
      <c r="K1054" s="28"/>
      <c r="L1054" s="28"/>
      <c r="M1054" s="28"/>
      <c r="N1054" s="28"/>
      <c r="O1054" s="28"/>
      <c r="P1054" s="28"/>
      <c r="Q1054" s="28"/>
      <c r="R1054" s="28"/>
      <c r="S1054" s="28"/>
      <c r="T1054" s="28"/>
      <c r="U1054" s="28"/>
      <c r="V1054" s="28"/>
      <c r="W1054" s="28"/>
      <c r="X1054" s="28"/>
      <c r="Y1054" s="28"/>
      <c r="Z1054" s="28"/>
    </row>
    <row r="1055">
      <c r="A1055" s="107"/>
      <c r="B1055" s="138"/>
      <c r="C1055" s="120"/>
      <c r="D1055" s="121"/>
      <c r="E1055" s="107"/>
      <c r="F1055" s="122"/>
      <c r="G1055" s="22"/>
      <c r="H1055" s="123"/>
      <c r="I1055" s="126"/>
      <c r="J1055" s="130"/>
      <c r="K1055" s="28"/>
      <c r="L1055" s="28"/>
      <c r="M1055" s="28"/>
      <c r="N1055" s="28"/>
      <c r="O1055" s="28"/>
      <c r="P1055" s="28"/>
      <c r="Q1055" s="28"/>
      <c r="R1055" s="28"/>
      <c r="S1055" s="28"/>
      <c r="T1055" s="28"/>
      <c r="U1055" s="28"/>
      <c r="V1055" s="28"/>
      <c r="W1055" s="28"/>
      <c r="X1055" s="28"/>
      <c r="Y1055" s="28"/>
      <c r="Z1055" s="28"/>
    </row>
    <row r="1056">
      <c r="A1056" s="107"/>
      <c r="B1056" s="138"/>
      <c r="C1056" s="120"/>
      <c r="D1056" s="121"/>
      <c r="E1056" s="107"/>
      <c r="F1056" s="122"/>
      <c r="G1056" s="22"/>
      <c r="H1056" s="123"/>
      <c r="I1056" s="126"/>
      <c r="J1056" s="130"/>
      <c r="K1056" s="28"/>
      <c r="L1056" s="28"/>
      <c r="M1056" s="28"/>
      <c r="N1056" s="28"/>
      <c r="O1056" s="28"/>
      <c r="P1056" s="28"/>
      <c r="Q1056" s="28"/>
      <c r="R1056" s="28"/>
      <c r="S1056" s="28"/>
      <c r="T1056" s="28"/>
      <c r="U1056" s="28"/>
      <c r="V1056" s="28"/>
      <c r="W1056" s="28"/>
      <c r="X1056" s="28"/>
      <c r="Y1056" s="28"/>
      <c r="Z1056" s="28"/>
    </row>
    <row r="1057">
      <c r="A1057" s="107"/>
      <c r="B1057" s="138"/>
      <c r="C1057" s="120"/>
      <c r="D1057" s="121"/>
      <c r="E1057" s="107"/>
      <c r="F1057" s="122"/>
      <c r="G1057" s="22"/>
      <c r="H1057" s="123"/>
      <c r="I1057" s="126"/>
      <c r="J1057" s="130"/>
      <c r="K1057" s="28"/>
      <c r="L1057" s="28"/>
      <c r="M1057" s="28"/>
      <c r="N1057" s="28"/>
      <c r="O1057" s="28"/>
      <c r="P1057" s="28"/>
      <c r="Q1057" s="28"/>
      <c r="R1057" s="28"/>
      <c r="S1057" s="28"/>
      <c r="T1057" s="28"/>
      <c r="U1057" s="28"/>
      <c r="V1057" s="28"/>
      <c r="W1057" s="28"/>
      <c r="X1057" s="28"/>
      <c r="Y1057" s="28"/>
      <c r="Z1057" s="28"/>
    </row>
    <row r="1058">
      <c r="A1058" s="107"/>
      <c r="B1058" s="138"/>
      <c r="C1058" s="120"/>
      <c r="D1058" s="121"/>
      <c r="E1058" s="107"/>
      <c r="F1058" s="122"/>
      <c r="G1058" s="22"/>
      <c r="H1058" s="123"/>
      <c r="I1058" s="126"/>
      <c r="J1058" s="130"/>
      <c r="K1058" s="28"/>
      <c r="L1058" s="28"/>
      <c r="M1058" s="28"/>
      <c r="N1058" s="28"/>
      <c r="O1058" s="28"/>
      <c r="P1058" s="28"/>
      <c r="Q1058" s="28"/>
      <c r="R1058" s="28"/>
      <c r="S1058" s="28"/>
      <c r="T1058" s="28"/>
      <c r="U1058" s="28"/>
      <c r="V1058" s="28"/>
      <c r="W1058" s="28"/>
      <c r="X1058" s="28"/>
      <c r="Y1058" s="28"/>
      <c r="Z1058" s="28"/>
    </row>
    <row r="1059">
      <c r="A1059" s="107"/>
      <c r="B1059" s="138"/>
      <c r="C1059" s="120"/>
      <c r="D1059" s="121"/>
      <c r="E1059" s="107"/>
      <c r="F1059" s="122"/>
      <c r="G1059" s="22"/>
      <c r="H1059" s="123"/>
      <c r="I1059" s="126"/>
      <c r="J1059" s="130"/>
      <c r="K1059" s="28"/>
      <c r="L1059" s="28"/>
      <c r="M1059" s="28"/>
      <c r="N1059" s="28"/>
      <c r="O1059" s="28"/>
      <c r="P1059" s="28"/>
      <c r="Q1059" s="28"/>
      <c r="R1059" s="28"/>
      <c r="S1059" s="28"/>
      <c r="T1059" s="28"/>
      <c r="U1059" s="28"/>
      <c r="V1059" s="28"/>
      <c r="W1059" s="28"/>
      <c r="X1059" s="28"/>
      <c r="Y1059" s="28"/>
      <c r="Z1059" s="28"/>
    </row>
    <row r="1060">
      <c r="A1060" s="107"/>
      <c r="B1060" s="138"/>
      <c r="C1060" s="120"/>
      <c r="D1060" s="121"/>
      <c r="E1060" s="107"/>
      <c r="F1060" s="122"/>
      <c r="G1060" s="22"/>
      <c r="H1060" s="123"/>
      <c r="I1060" s="126"/>
      <c r="J1060" s="130"/>
      <c r="K1060" s="28"/>
      <c r="L1060" s="28"/>
      <c r="M1060" s="28"/>
      <c r="N1060" s="28"/>
      <c r="O1060" s="28"/>
      <c r="P1060" s="28"/>
      <c r="Q1060" s="28"/>
      <c r="R1060" s="28"/>
      <c r="S1060" s="28"/>
      <c r="T1060" s="28"/>
      <c r="U1060" s="28"/>
      <c r="V1060" s="28"/>
      <c r="W1060" s="28"/>
      <c r="X1060" s="28"/>
      <c r="Y1060" s="28"/>
      <c r="Z1060" s="28"/>
    </row>
  </sheetData>
  <mergeCells count="2">
    <mergeCell ref="A1:F1"/>
    <mergeCell ref="E2:F2"/>
  </mergeCells>
  <dataValidations>
    <dataValidation type="list" allowBlank="1" sqref="H4:H1060">
      <formula1>"CHECKED (OK),CHECKED  (NOT OK)"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.88"/>
    <col customWidth="1" min="2" max="2" width="9.63"/>
    <col customWidth="1" min="3" max="3" width="24.75"/>
    <col customWidth="1" min="4" max="4" width="30.63"/>
    <col customWidth="1" min="5" max="5" width="7.63"/>
    <col customWidth="1" min="7" max="7" width="3.5"/>
    <col customWidth="1" min="8" max="8" width="18.63"/>
    <col customWidth="1" min="9" max="9" width="47.63"/>
  </cols>
  <sheetData>
    <row r="1">
      <c r="A1" s="105" t="s">
        <v>496</v>
      </c>
      <c r="G1" s="111"/>
      <c r="H1" s="166"/>
      <c r="I1" s="112" t="s">
        <v>497</v>
      </c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106" t="s">
        <v>1</v>
      </c>
      <c r="B2" s="137" t="s">
        <v>11</v>
      </c>
      <c r="C2" s="106" t="s">
        <v>12</v>
      </c>
      <c r="D2" s="114" t="s">
        <v>13</v>
      </c>
      <c r="E2" s="115" t="s">
        <v>14</v>
      </c>
      <c r="G2" s="116"/>
      <c r="H2" s="111"/>
      <c r="I2" s="11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106"/>
      <c r="B3" s="137"/>
      <c r="C3" s="167"/>
      <c r="D3" s="114"/>
      <c r="E3" s="115" t="s">
        <v>15</v>
      </c>
      <c r="F3" s="117" t="s">
        <v>5</v>
      </c>
      <c r="G3" s="116"/>
      <c r="H3" s="118" t="s">
        <v>6</v>
      </c>
      <c r="I3" s="119" t="s">
        <v>7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>
      <c r="A4" s="107">
        <v>1.0</v>
      </c>
      <c r="B4" s="138">
        <v>1026841.0</v>
      </c>
      <c r="C4" s="168" t="str">
        <f>vlookup(B4,'Crew Data'!C:G,5,0)</f>
        <v>Natjaree Phanitwaranan</v>
      </c>
      <c r="D4" s="121" t="s">
        <v>434</v>
      </c>
      <c r="E4" s="107">
        <v>2.0</v>
      </c>
      <c r="F4" s="122">
        <f t="shared" ref="F4:F105" si="1">E4*400</f>
        <v>800</v>
      </c>
      <c r="G4" s="22">
        <f t="shared" ref="G4:G66" si="2">COUNTIF(B:B,B4)</f>
        <v>1</v>
      </c>
      <c r="H4" s="123" t="s">
        <v>20</v>
      </c>
      <c r="I4" s="123" t="s">
        <v>498</v>
      </c>
      <c r="J4" s="127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A5" s="107">
        <v>2.0</v>
      </c>
      <c r="B5" s="138">
        <v>1009672.0</v>
      </c>
      <c r="C5" s="168" t="str">
        <f>vlookup(B5,'Crew Data'!C:G,5,0)</f>
        <v>Sujarinee Sukhon</v>
      </c>
      <c r="D5" s="121" t="s">
        <v>499</v>
      </c>
      <c r="E5" s="107">
        <v>2.0</v>
      </c>
      <c r="F5" s="122">
        <f t="shared" si="1"/>
        <v>800</v>
      </c>
      <c r="G5" s="22">
        <f t="shared" si="2"/>
        <v>1</v>
      </c>
      <c r="H5" s="123" t="s">
        <v>20</v>
      </c>
      <c r="I5" s="123" t="s">
        <v>451</v>
      </c>
      <c r="J5" s="127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>
      <c r="A6" s="107">
        <v>3.0</v>
      </c>
      <c r="B6" s="138">
        <v>1007194.0</v>
      </c>
      <c r="C6" s="168" t="str">
        <f>vlookup(B6,'Crew Data'!C:G,5,0)</f>
        <v>Arparatt Pengya</v>
      </c>
      <c r="D6" s="121" t="s">
        <v>500</v>
      </c>
      <c r="E6" s="107">
        <v>4.0</v>
      </c>
      <c r="F6" s="122">
        <f t="shared" si="1"/>
        <v>1600</v>
      </c>
      <c r="G6" s="22">
        <f t="shared" si="2"/>
        <v>1</v>
      </c>
      <c r="H6" s="123" t="s">
        <v>20</v>
      </c>
      <c r="I6" s="123" t="s">
        <v>451</v>
      </c>
      <c r="J6" s="127"/>
      <c r="K6" s="31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A7" s="107">
        <v>4.0</v>
      </c>
      <c r="B7" s="138">
        <v>1012236.0</v>
      </c>
      <c r="C7" s="168" t="str">
        <f>vlookup(B7,'Crew Data'!C:G,5,0)</f>
        <v>Anucha Panyachai</v>
      </c>
      <c r="D7" s="121" t="s">
        <v>463</v>
      </c>
      <c r="E7" s="107">
        <v>2.0</v>
      </c>
      <c r="F7" s="122">
        <f t="shared" si="1"/>
        <v>800</v>
      </c>
      <c r="G7" s="22">
        <f t="shared" si="2"/>
        <v>1</v>
      </c>
      <c r="H7" s="123" t="s">
        <v>20</v>
      </c>
      <c r="I7" s="123" t="s">
        <v>501</v>
      </c>
      <c r="J7" s="127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>
      <c r="A8" s="107">
        <v>5.0</v>
      </c>
      <c r="B8" s="138">
        <v>1038751.0</v>
      </c>
      <c r="C8" s="168" t="str">
        <f>vlookup(B8,'Crew Data'!C:G,5,0)</f>
        <v>Donlaya Promthep</v>
      </c>
      <c r="D8" s="121" t="s">
        <v>487</v>
      </c>
      <c r="E8" s="107">
        <v>2.0</v>
      </c>
      <c r="F8" s="122">
        <f t="shared" si="1"/>
        <v>800</v>
      </c>
      <c r="G8" s="22">
        <f t="shared" si="2"/>
        <v>1</v>
      </c>
      <c r="H8" s="123" t="s">
        <v>20</v>
      </c>
      <c r="I8" s="123" t="s">
        <v>501</v>
      </c>
      <c r="J8" s="127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>
      <c r="A9" s="107">
        <v>6.0</v>
      </c>
      <c r="B9" s="129">
        <v>1043879.0</v>
      </c>
      <c r="C9" s="168" t="str">
        <f>vlookup(B9,'Crew Data'!C:G,5,0)</f>
        <v>Thanyaphon Chiraphatphokin</v>
      </c>
      <c r="D9" s="121" t="s">
        <v>502</v>
      </c>
      <c r="E9" s="107">
        <v>6.0</v>
      </c>
      <c r="F9" s="122">
        <f t="shared" si="1"/>
        <v>2400</v>
      </c>
      <c r="G9" s="22">
        <f t="shared" si="2"/>
        <v>1</v>
      </c>
      <c r="H9" s="123" t="s">
        <v>20</v>
      </c>
      <c r="I9" s="123" t="s">
        <v>501</v>
      </c>
      <c r="J9" s="127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>
      <c r="A10" s="107">
        <v>7.0</v>
      </c>
      <c r="B10" s="138">
        <v>1040341.0</v>
      </c>
      <c r="C10" s="168" t="str">
        <f>vlookup(B10,'Crew Data'!C:G,5,0)</f>
        <v>Adipa Nilachart</v>
      </c>
      <c r="D10" s="121" t="s">
        <v>470</v>
      </c>
      <c r="E10" s="107">
        <v>2.0</v>
      </c>
      <c r="F10" s="122">
        <f t="shared" si="1"/>
        <v>800</v>
      </c>
      <c r="G10" s="22">
        <f t="shared" si="2"/>
        <v>1</v>
      </c>
      <c r="H10" s="123" t="s">
        <v>20</v>
      </c>
      <c r="I10" s="123" t="s">
        <v>501</v>
      </c>
      <c r="J10" s="127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>
      <c r="A11" s="107">
        <v>8.0</v>
      </c>
      <c r="B11" s="138">
        <v>1007262.0</v>
      </c>
      <c r="C11" s="168" t="str">
        <f>vlookup(B11,'Crew Data'!C:G,5,0)</f>
        <v> Kaeokumchai</v>
      </c>
      <c r="D11" s="121" t="s">
        <v>474</v>
      </c>
      <c r="E11" s="107">
        <v>2.0</v>
      </c>
      <c r="F11" s="122">
        <f t="shared" si="1"/>
        <v>800</v>
      </c>
      <c r="G11" s="22">
        <f t="shared" si="2"/>
        <v>1</v>
      </c>
      <c r="H11" s="123" t="s">
        <v>20</v>
      </c>
      <c r="I11" s="123" t="s">
        <v>501</v>
      </c>
      <c r="J11" s="127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>
      <c r="A12" s="107">
        <v>9.0</v>
      </c>
      <c r="B12" s="138">
        <v>1009434.0</v>
      </c>
      <c r="C12" s="168" t="str">
        <f>vlookup(B12,'Crew Data'!C:G,5,0)</f>
        <v>Wanpiya Kaewyok</v>
      </c>
      <c r="D12" s="121" t="s">
        <v>490</v>
      </c>
      <c r="E12" s="107">
        <v>2.0</v>
      </c>
      <c r="F12" s="122">
        <f t="shared" si="1"/>
        <v>800</v>
      </c>
      <c r="G12" s="22">
        <f t="shared" si="2"/>
        <v>1</v>
      </c>
      <c r="H12" s="123" t="s">
        <v>20</v>
      </c>
      <c r="I12" s="123" t="s">
        <v>501</v>
      </c>
      <c r="J12" s="127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>
      <c r="A13" s="107">
        <v>10.0</v>
      </c>
      <c r="B13" s="138">
        <v>1014554.0</v>
      </c>
      <c r="C13" s="168" t="str">
        <f>vlookup(B13,'Crew Data'!C:G,5,0)</f>
        <v>Katthareeya Trachoowanich</v>
      </c>
      <c r="D13" s="121" t="s">
        <v>458</v>
      </c>
      <c r="E13" s="107">
        <v>2.0</v>
      </c>
      <c r="F13" s="122">
        <f t="shared" si="1"/>
        <v>800</v>
      </c>
      <c r="G13" s="22">
        <f t="shared" si="2"/>
        <v>1</v>
      </c>
      <c r="H13" s="123" t="s">
        <v>20</v>
      </c>
      <c r="I13" s="123" t="s">
        <v>501</v>
      </c>
      <c r="J13" s="127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>
      <c r="A14" s="107">
        <v>11.0</v>
      </c>
      <c r="B14" s="138">
        <v>1011501.0</v>
      </c>
      <c r="C14" s="168" t="str">
        <f>vlookup(B14,'Crew Data'!C:G,5,0)</f>
        <v>Jinbulla Pranom</v>
      </c>
      <c r="D14" s="121" t="s">
        <v>503</v>
      </c>
      <c r="E14" s="107">
        <v>3.0</v>
      </c>
      <c r="F14" s="122">
        <f t="shared" si="1"/>
        <v>1200</v>
      </c>
      <c r="G14" s="22">
        <f t="shared" si="2"/>
        <v>1</v>
      </c>
      <c r="H14" s="123" t="s">
        <v>20</v>
      </c>
      <c r="I14" s="123" t="s">
        <v>501</v>
      </c>
      <c r="J14" s="127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>
      <c r="A15" s="107">
        <v>12.0</v>
      </c>
      <c r="B15" s="138">
        <v>1022983.0</v>
      </c>
      <c r="C15" s="168" t="str">
        <f>vlookup(B15,'Crew Data'!C:G,5,0)</f>
        <v>Surapong Thongchinnawat</v>
      </c>
      <c r="D15" s="121" t="s">
        <v>504</v>
      </c>
      <c r="E15" s="107">
        <v>6.0</v>
      </c>
      <c r="F15" s="122">
        <f t="shared" si="1"/>
        <v>2400</v>
      </c>
      <c r="G15" s="22">
        <f t="shared" si="2"/>
        <v>1</v>
      </c>
      <c r="H15" s="123" t="s">
        <v>20</v>
      </c>
      <c r="I15" s="123" t="s">
        <v>501</v>
      </c>
      <c r="J15" s="127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>
      <c r="A16" s="107">
        <v>13.0</v>
      </c>
      <c r="B16" s="138">
        <v>1043867.0</v>
      </c>
      <c r="C16" s="168" t="str">
        <f>vlookup(B16,'Crew Data'!C:G,5,0)</f>
        <v>Petcharat Jitnarong</v>
      </c>
      <c r="D16" s="121" t="s">
        <v>505</v>
      </c>
      <c r="E16" s="107">
        <v>2.0</v>
      </c>
      <c r="F16" s="122">
        <f t="shared" si="1"/>
        <v>800</v>
      </c>
      <c r="G16" s="22">
        <f t="shared" si="2"/>
        <v>1</v>
      </c>
      <c r="H16" s="123" t="s">
        <v>20</v>
      </c>
      <c r="I16" s="123" t="s">
        <v>501</v>
      </c>
      <c r="J16" s="127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>
      <c r="A17" s="107">
        <v>14.0</v>
      </c>
      <c r="B17" s="138">
        <v>1043862.0</v>
      </c>
      <c r="C17" s="168" t="str">
        <f>vlookup(B17,'Crew Data'!C:G,5,0)</f>
        <v>Pansita Jansavang</v>
      </c>
      <c r="D17" s="121" t="s">
        <v>506</v>
      </c>
      <c r="E17" s="107">
        <v>4.0</v>
      </c>
      <c r="F17" s="122">
        <f t="shared" si="1"/>
        <v>1600</v>
      </c>
      <c r="G17" s="22">
        <f t="shared" si="2"/>
        <v>1</v>
      </c>
      <c r="H17" s="123" t="s">
        <v>20</v>
      </c>
      <c r="I17" s="123" t="s">
        <v>501</v>
      </c>
      <c r="J17" s="127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>
      <c r="A18" s="107">
        <v>15.0</v>
      </c>
      <c r="B18" s="138">
        <v>1043895.0</v>
      </c>
      <c r="C18" s="168" t="str">
        <f>vlookup(B18,'Crew Data'!C:G,5,0)</f>
        <v>Sawaros Phanichvibul</v>
      </c>
      <c r="D18" s="121" t="s">
        <v>507</v>
      </c>
      <c r="E18" s="107">
        <v>6.0</v>
      </c>
      <c r="F18" s="122">
        <f t="shared" si="1"/>
        <v>2400</v>
      </c>
      <c r="G18" s="22">
        <f t="shared" si="2"/>
        <v>1</v>
      </c>
      <c r="H18" s="123" t="s">
        <v>20</v>
      </c>
      <c r="I18" s="123" t="s">
        <v>501</v>
      </c>
      <c r="J18" s="127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>
      <c r="A19" s="107">
        <v>16.0</v>
      </c>
      <c r="B19" s="138">
        <v>1043877.0</v>
      </c>
      <c r="C19" s="168" t="str">
        <f>vlookup(B19,'Crew Data'!C:G,5,0)</f>
        <v>Gwyn Pahonpipat</v>
      </c>
      <c r="D19" s="121" t="s">
        <v>508</v>
      </c>
      <c r="E19" s="107">
        <v>2.0</v>
      </c>
      <c r="F19" s="122">
        <f t="shared" si="1"/>
        <v>800</v>
      </c>
      <c r="G19" s="22">
        <f t="shared" si="2"/>
        <v>1</v>
      </c>
      <c r="H19" s="123" t="s">
        <v>20</v>
      </c>
      <c r="I19" s="123" t="s">
        <v>501</v>
      </c>
      <c r="J19" s="127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>
      <c r="A20" s="107">
        <v>17.0</v>
      </c>
      <c r="B20" s="138">
        <v>1044218.0</v>
      </c>
      <c r="C20" s="168" t="str">
        <f>vlookup(B20,'Crew Data'!C:G,5,0)</f>
        <v>Nopanon Amonchinviwat</v>
      </c>
      <c r="D20" s="121" t="s">
        <v>509</v>
      </c>
      <c r="E20" s="107">
        <v>4.0</v>
      </c>
      <c r="F20" s="122">
        <f t="shared" si="1"/>
        <v>1600</v>
      </c>
      <c r="G20" s="22">
        <f t="shared" si="2"/>
        <v>1</v>
      </c>
      <c r="H20" s="123" t="s">
        <v>20</v>
      </c>
      <c r="I20" s="123" t="s">
        <v>501</v>
      </c>
      <c r="J20" s="127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>
      <c r="A21" s="107">
        <v>18.0</v>
      </c>
      <c r="B21" s="138">
        <v>1007034.0</v>
      </c>
      <c r="C21" s="168" t="str">
        <f>vlookup(B21,'Crew Data'!C:G,5,0)</f>
        <v>Raveekankate Sukasemthongdi</v>
      </c>
      <c r="D21" s="121" t="s">
        <v>510</v>
      </c>
      <c r="E21" s="107">
        <v>8.0</v>
      </c>
      <c r="F21" s="122">
        <f t="shared" si="1"/>
        <v>3200</v>
      </c>
      <c r="G21" s="22">
        <f t="shared" si="2"/>
        <v>1</v>
      </c>
      <c r="H21" s="123" t="s">
        <v>20</v>
      </c>
      <c r="I21" s="123" t="s">
        <v>501</v>
      </c>
      <c r="J21" s="127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>
      <c r="A22" s="107">
        <v>19.0</v>
      </c>
      <c r="B22" s="138">
        <v>1027515.0</v>
      </c>
      <c r="C22" s="168" t="str">
        <f>vlookup(B22,'Crew Data'!C:G,5,0)</f>
        <v>Kantaporn Dechchu</v>
      </c>
      <c r="D22" s="121" t="s">
        <v>511</v>
      </c>
      <c r="E22" s="107">
        <v>2.0</v>
      </c>
      <c r="F22" s="122">
        <f t="shared" si="1"/>
        <v>800</v>
      </c>
      <c r="G22" s="22">
        <f t="shared" si="2"/>
        <v>1</v>
      </c>
      <c r="H22" s="123" t="s">
        <v>20</v>
      </c>
      <c r="I22" s="123" t="s">
        <v>501</v>
      </c>
      <c r="J22" s="127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>
      <c r="A23" s="107">
        <v>20.0</v>
      </c>
      <c r="B23" s="138">
        <v>1040518.0</v>
      </c>
      <c r="C23" s="168" t="str">
        <f>vlookup(B23,'Crew Data'!C:G,5,0)</f>
        <v>Thanyarat Kajornchaiyakul</v>
      </c>
      <c r="D23" s="121" t="s">
        <v>493</v>
      </c>
      <c r="E23" s="107">
        <v>2.0</v>
      </c>
      <c r="F23" s="122">
        <f t="shared" si="1"/>
        <v>800</v>
      </c>
      <c r="G23" s="22">
        <f t="shared" si="2"/>
        <v>1</v>
      </c>
      <c r="H23" s="123" t="s">
        <v>20</v>
      </c>
      <c r="I23" s="123" t="s">
        <v>501</v>
      </c>
      <c r="J23" s="127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>
      <c r="A24" s="107">
        <v>21.0</v>
      </c>
      <c r="B24" s="138">
        <v>1003942.0</v>
      </c>
      <c r="C24" s="168" t="str">
        <f>vlookup(B24,'Crew Data'!C:G,5,0)</f>
        <v>Wilawan Auttamaphan</v>
      </c>
      <c r="D24" s="121" t="s">
        <v>512</v>
      </c>
      <c r="E24" s="107">
        <v>4.0</v>
      </c>
      <c r="F24" s="122">
        <f t="shared" si="1"/>
        <v>1600</v>
      </c>
      <c r="G24" s="22">
        <f t="shared" si="2"/>
        <v>1</v>
      </c>
      <c r="H24" s="123" t="s">
        <v>20</v>
      </c>
      <c r="I24" s="123" t="s">
        <v>513</v>
      </c>
      <c r="J24" s="127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>
      <c r="A25" s="107">
        <v>22.0</v>
      </c>
      <c r="B25" s="138">
        <v>1011748.0</v>
      </c>
      <c r="C25" s="168" t="str">
        <f>vlookup(B25,'Crew Data'!C:G,5,0)</f>
        <v>Rattrawee Jirawaree</v>
      </c>
      <c r="D25" s="121" t="s">
        <v>514</v>
      </c>
      <c r="E25" s="107">
        <v>8.0</v>
      </c>
      <c r="F25" s="122">
        <f t="shared" si="1"/>
        <v>3200</v>
      </c>
      <c r="G25" s="22">
        <f t="shared" si="2"/>
        <v>1</v>
      </c>
      <c r="H25" s="123" t="s">
        <v>20</v>
      </c>
      <c r="I25" s="123" t="s">
        <v>501</v>
      </c>
      <c r="J25" s="127"/>
      <c r="K25" s="31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>
      <c r="A26" s="107">
        <v>23.0</v>
      </c>
      <c r="B26" s="138">
        <v>1009768.0</v>
      </c>
      <c r="C26" s="168" t="str">
        <f>vlookup(B26,'Crew Data'!C:G,5,0)</f>
        <v>Thidech Eakmongkollert</v>
      </c>
      <c r="D26" s="121" t="s">
        <v>515</v>
      </c>
      <c r="E26" s="107">
        <v>8.0</v>
      </c>
      <c r="F26" s="122">
        <f t="shared" si="1"/>
        <v>3200</v>
      </c>
      <c r="G26" s="22">
        <f t="shared" si="2"/>
        <v>1</v>
      </c>
      <c r="H26" s="123" t="s">
        <v>20</v>
      </c>
      <c r="I26" s="123" t="s">
        <v>501</v>
      </c>
      <c r="J26" s="127"/>
      <c r="K26" s="31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>
      <c r="A27" s="107">
        <v>24.0</v>
      </c>
      <c r="B27" s="138">
        <v>1004531.0</v>
      </c>
      <c r="C27" s="168" t="str">
        <f>vlookup(B27,'Crew Data'!C:G,5,0)</f>
        <v>Nattakan Kanokpantarakorn </v>
      </c>
      <c r="D27" s="121" t="s">
        <v>516</v>
      </c>
      <c r="E27" s="107">
        <v>2.0</v>
      </c>
      <c r="F27" s="122">
        <f t="shared" si="1"/>
        <v>800</v>
      </c>
      <c r="G27" s="22">
        <f t="shared" si="2"/>
        <v>1</v>
      </c>
      <c r="H27" s="123" t="s">
        <v>20</v>
      </c>
      <c r="I27" s="123"/>
      <c r="J27" s="127"/>
      <c r="K27" s="31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>
      <c r="A28" s="107">
        <v>25.0</v>
      </c>
      <c r="B28" s="138">
        <v>1007003.0</v>
      </c>
      <c r="C28" s="168" t="str">
        <f>vlookup(B28,'Crew Data'!C:G,5,0)</f>
        <v>Ravipa Tumsen</v>
      </c>
      <c r="D28" s="121" t="s">
        <v>516</v>
      </c>
      <c r="E28" s="107">
        <v>2.0</v>
      </c>
      <c r="F28" s="122">
        <f t="shared" si="1"/>
        <v>800</v>
      </c>
      <c r="G28" s="22">
        <f t="shared" si="2"/>
        <v>1</v>
      </c>
      <c r="H28" s="123" t="s">
        <v>20</v>
      </c>
      <c r="I28" s="123"/>
      <c r="J28" s="127"/>
      <c r="K28" s="31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>
      <c r="A29" s="107">
        <v>26.0</v>
      </c>
      <c r="B29" s="129">
        <v>1007416.0</v>
      </c>
      <c r="C29" s="168" t="str">
        <f>vlookup(B29,'Crew Data'!C:G,5,0)</f>
        <v>Metus Leearporn</v>
      </c>
      <c r="D29" s="121" t="s">
        <v>517</v>
      </c>
      <c r="E29" s="107">
        <v>2.0</v>
      </c>
      <c r="F29" s="122">
        <f t="shared" si="1"/>
        <v>800</v>
      </c>
      <c r="G29" s="22">
        <f t="shared" si="2"/>
        <v>1</v>
      </c>
      <c r="H29" s="123" t="s">
        <v>20</v>
      </c>
      <c r="I29" s="123"/>
      <c r="J29" s="127"/>
      <c r="K29" s="31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>
      <c r="A30" s="107">
        <v>27.0</v>
      </c>
      <c r="B30" s="138">
        <v>1022223.0</v>
      </c>
      <c r="C30" s="168" t="str">
        <f>vlookup(B30,'Crew Data'!C:G,5,0)</f>
        <v>Nantapak Benjasiriporn</v>
      </c>
      <c r="D30" s="121" t="s">
        <v>518</v>
      </c>
      <c r="E30" s="107">
        <v>2.0</v>
      </c>
      <c r="F30" s="122">
        <f t="shared" si="1"/>
        <v>800</v>
      </c>
      <c r="G30" s="22">
        <f t="shared" si="2"/>
        <v>1</v>
      </c>
      <c r="H30" s="123" t="s">
        <v>20</v>
      </c>
      <c r="I30" s="123"/>
      <c r="J30" s="127"/>
      <c r="K30" s="31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>
      <c r="A31" s="107">
        <v>28.0</v>
      </c>
      <c r="B31" s="138">
        <v>1040506.0</v>
      </c>
      <c r="C31" s="168" t="str">
        <f>vlookup(B31,'Crew Data'!C:G,5,0)</f>
        <v>Chomphunut Detdutsadee</v>
      </c>
      <c r="D31" s="121" t="s">
        <v>517</v>
      </c>
      <c r="E31" s="107">
        <v>2.0</v>
      </c>
      <c r="F31" s="122">
        <f t="shared" si="1"/>
        <v>800</v>
      </c>
      <c r="G31" s="22">
        <f t="shared" si="2"/>
        <v>1</v>
      </c>
      <c r="H31" s="123" t="s">
        <v>20</v>
      </c>
      <c r="I31" s="123"/>
      <c r="J31" s="127"/>
      <c r="K31" s="31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>
      <c r="A32" s="107">
        <v>29.0</v>
      </c>
      <c r="B32" s="139">
        <v>1044232.0</v>
      </c>
      <c r="C32" s="168" t="str">
        <f>vlookup(B32,'Crew Data'!C:G,5,0)</f>
        <v>Nisa Tangkamolsuk</v>
      </c>
      <c r="D32" s="121" t="s">
        <v>519</v>
      </c>
      <c r="E32" s="107">
        <v>2.0</v>
      </c>
      <c r="F32" s="122">
        <f t="shared" si="1"/>
        <v>800</v>
      </c>
      <c r="G32" s="22">
        <f t="shared" si="2"/>
        <v>1</v>
      </c>
      <c r="H32" s="123" t="s">
        <v>20</v>
      </c>
      <c r="I32" s="123"/>
      <c r="J32" s="127"/>
      <c r="K32" s="31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>
      <c r="A33" s="107">
        <v>30.0</v>
      </c>
      <c r="B33" s="139">
        <v>1044228.0</v>
      </c>
      <c r="C33" s="168" t="str">
        <f>vlookup(B33,'Crew Data'!C:G,5,0)</f>
        <v>#N/A</v>
      </c>
      <c r="D33" s="121" t="s">
        <v>519</v>
      </c>
      <c r="E33" s="107">
        <v>2.0</v>
      </c>
      <c r="F33" s="122">
        <f t="shared" si="1"/>
        <v>800</v>
      </c>
      <c r="G33" s="22">
        <f t="shared" si="2"/>
        <v>1</v>
      </c>
      <c r="H33" s="123" t="s">
        <v>20</v>
      </c>
      <c r="I33" s="123"/>
      <c r="J33" s="127"/>
      <c r="K33" s="31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>
      <c r="A34" s="107">
        <v>31.0</v>
      </c>
      <c r="B34" s="139">
        <v>1038746.0</v>
      </c>
      <c r="C34" s="168" t="str">
        <f>vlookup(B34,'Crew Data'!C:G,5,0)</f>
        <v>Supakorn Ekataksin</v>
      </c>
      <c r="D34" s="121" t="s">
        <v>520</v>
      </c>
      <c r="E34" s="107">
        <v>2.0</v>
      </c>
      <c r="F34" s="122">
        <f t="shared" si="1"/>
        <v>800</v>
      </c>
      <c r="G34" s="22">
        <f t="shared" si="2"/>
        <v>1</v>
      </c>
      <c r="H34" s="123" t="s">
        <v>20</v>
      </c>
      <c r="I34" s="123"/>
      <c r="J34" s="127"/>
      <c r="K34" s="31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>
      <c r="A35" s="107">
        <v>32.0</v>
      </c>
      <c r="B35" s="139">
        <v>1006085.0</v>
      </c>
      <c r="C35" s="168" t="str">
        <f>vlookup(B35,'Crew Data'!C:G,5,0)</f>
        <v>Sunan Homcharoenpanith</v>
      </c>
      <c r="D35" s="121" t="s">
        <v>521</v>
      </c>
      <c r="E35" s="107">
        <v>2.0</v>
      </c>
      <c r="F35" s="122">
        <f t="shared" si="1"/>
        <v>800</v>
      </c>
      <c r="G35" s="22">
        <f t="shared" si="2"/>
        <v>1</v>
      </c>
      <c r="H35" s="123" t="s">
        <v>20</v>
      </c>
      <c r="I35" s="123"/>
      <c r="J35" s="127"/>
      <c r="K35" s="31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>
      <c r="A36" s="107">
        <v>33.0</v>
      </c>
      <c r="B36" s="139">
        <v>1001233.0</v>
      </c>
      <c r="C36" s="168" t="str">
        <f>vlookup(B36,'Crew Data'!C:G,5,0)</f>
        <v>Sasithorn Wonglee</v>
      </c>
      <c r="D36" s="121" t="s">
        <v>518</v>
      </c>
      <c r="E36" s="107">
        <v>2.0</v>
      </c>
      <c r="F36" s="122">
        <f t="shared" si="1"/>
        <v>800</v>
      </c>
      <c r="G36" s="22">
        <f t="shared" si="2"/>
        <v>1</v>
      </c>
      <c r="H36" s="123" t="s">
        <v>20</v>
      </c>
      <c r="I36" s="123"/>
      <c r="J36" s="127"/>
      <c r="K36" s="31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>
      <c r="A37" s="107">
        <v>34.0</v>
      </c>
      <c r="B37" s="139">
        <v>1040354.0</v>
      </c>
      <c r="C37" s="168" t="str">
        <f>vlookup(B37,'Crew Data'!C:G,5,0)</f>
        <v>#N/A</v>
      </c>
      <c r="D37" s="121" t="s">
        <v>522</v>
      </c>
      <c r="E37" s="107">
        <v>2.0</v>
      </c>
      <c r="F37" s="122">
        <f t="shared" si="1"/>
        <v>800</v>
      </c>
      <c r="G37" s="22">
        <f t="shared" si="2"/>
        <v>1</v>
      </c>
      <c r="H37" s="123" t="s">
        <v>20</v>
      </c>
      <c r="I37" s="123"/>
      <c r="J37" s="127"/>
      <c r="K37" s="31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>
      <c r="A38" s="107">
        <v>35.0</v>
      </c>
      <c r="B38" s="138">
        <v>1004318.0</v>
      </c>
      <c r="C38" s="168" t="str">
        <f>vlookup(B38,'Crew Data'!C:G,5,0)</f>
        <v>Nattapong Kao-Ngampanich</v>
      </c>
      <c r="D38" s="121" t="s">
        <v>523</v>
      </c>
      <c r="E38" s="107">
        <v>2.0</v>
      </c>
      <c r="F38" s="122">
        <f t="shared" si="1"/>
        <v>800</v>
      </c>
      <c r="G38" s="22">
        <f t="shared" si="2"/>
        <v>1</v>
      </c>
      <c r="H38" s="123" t="s">
        <v>20</v>
      </c>
      <c r="I38" s="111"/>
      <c r="J38" s="127"/>
      <c r="K38" s="31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>
      <c r="A39" s="107">
        <v>36.0</v>
      </c>
      <c r="B39" s="138">
        <v>1007728.0</v>
      </c>
      <c r="C39" s="168" t="str">
        <f>vlookup(B39,'Crew Data'!C:G,5,0)</f>
        <v>Suthasinee Thaeothaisong</v>
      </c>
      <c r="D39" s="121" t="s">
        <v>521</v>
      </c>
      <c r="E39" s="107">
        <v>2.0</v>
      </c>
      <c r="F39" s="122">
        <f t="shared" si="1"/>
        <v>800</v>
      </c>
      <c r="G39" s="22">
        <f t="shared" si="2"/>
        <v>1</v>
      </c>
      <c r="H39" s="123" t="s">
        <v>20</v>
      </c>
      <c r="I39" s="111"/>
      <c r="J39" s="127"/>
      <c r="K39" s="31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>
      <c r="A40" s="107">
        <v>37.0</v>
      </c>
      <c r="B40" s="138">
        <v>1022666.0</v>
      </c>
      <c r="C40" s="168" t="str">
        <f>vlookup(B40,'Crew Data'!C:G,5,0)</f>
        <v>Suchanart Thongsongsom</v>
      </c>
      <c r="D40" s="121" t="s">
        <v>523</v>
      </c>
      <c r="E40" s="107">
        <v>2.0</v>
      </c>
      <c r="F40" s="122">
        <f t="shared" si="1"/>
        <v>800</v>
      </c>
      <c r="G40" s="22">
        <f t="shared" si="2"/>
        <v>1</v>
      </c>
      <c r="H40" s="123" t="s">
        <v>20</v>
      </c>
      <c r="I40" s="111"/>
      <c r="J40" s="127"/>
      <c r="K40" s="31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>
      <c r="A41" s="107">
        <v>38.0</v>
      </c>
      <c r="B41" s="129">
        <v>1017654.0</v>
      </c>
      <c r="C41" s="168" t="str">
        <f>vlookup(B41,'Crew Data'!C:G,5,0)</f>
        <v>#N/A</v>
      </c>
      <c r="D41" s="121" t="s">
        <v>520</v>
      </c>
      <c r="E41" s="107">
        <v>2.0</v>
      </c>
      <c r="F41" s="122">
        <f t="shared" si="1"/>
        <v>800</v>
      </c>
      <c r="G41" s="22">
        <f t="shared" si="2"/>
        <v>1</v>
      </c>
      <c r="H41" s="123" t="s">
        <v>20</v>
      </c>
      <c r="I41" s="111"/>
      <c r="J41" s="127"/>
      <c r="K41" s="31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>
      <c r="A42" s="107">
        <v>39.0</v>
      </c>
      <c r="B42" s="139">
        <v>1007023.0</v>
      </c>
      <c r="C42" s="168" t="str">
        <f>vlookup(B42,'Crew Data'!C:G,5,0)</f>
        <v>Apinan Sookpinij</v>
      </c>
      <c r="D42" s="121" t="s">
        <v>522</v>
      </c>
      <c r="E42" s="107">
        <v>2.0</v>
      </c>
      <c r="F42" s="122">
        <f t="shared" si="1"/>
        <v>800</v>
      </c>
      <c r="G42" s="22">
        <f t="shared" si="2"/>
        <v>1</v>
      </c>
      <c r="H42" s="123" t="s">
        <v>20</v>
      </c>
      <c r="I42" s="111"/>
      <c r="J42" s="127"/>
      <c r="K42" s="31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>
      <c r="A43" s="107">
        <v>40.0</v>
      </c>
      <c r="B43" s="139">
        <v>1004213.0</v>
      </c>
      <c r="C43" s="168" t="str">
        <f>vlookup(B43,'Crew Data'!C:G,5,0)</f>
        <v>Worapada Suetrongmunkong</v>
      </c>
      <c r="D43" s="121" t="s">
        <v>524</v>
      </c>
      <c r="E43" s="107">
        <v>2.0</v>
      </c>
      <c r="F43" s="122">
        <f t="shared" si="1"/>
        <v>800</v>
      </c>
      <c r="G43" s="22">
        <f t="shared" si="2"/>
        <v>1</v>
      </c>
      <c r="H43" s="123" t="s">
        <v>20</v>
      </c>
      <c r="I43" s="111"/>
      <c r="J43" s="127"/>
      <c r="K43" s="31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>
      <c r="A44" s="107">
        <v>41.0</v>
      </c>
      <c r="B44" s="138">
        <v>1008754.0</v>
      </c>
      <c r="C44" s="168" t="str">
        <f>vlookup(B44,'Crew Data'!C:G,5,0)</f>
        <v>Pimlapas Tanapatpongsapas</v>
      </c>
      <c r="D44" s="121" t="s">
        <v>518</v>
      </c>
      <c r="E44" s="107">
        <v>2.0</v>
      </c>
      <c r="F44" s="122">
        <f t="shared" si="1"/>
        <v>800</v>
      </c>
      <c r="G44" s="22">
        <f t="shared" si="2"/>
        <v>1</v>
      </c>
      <c r="H44" s="123" t="s">
        <v>20</v>
      </c>
      <c r="I44" s="111"/>
      <c r="J44" s="127"/>
      <c r="K44" s="31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>
      <c r="A45" s="107">
        <v>42.0</v>
      </c>
      <c r="B45" s="138">
        <v>1043891.0</v>
      </c>
      <c r="C45" s="168" t="str">
        <f>vlookup(B45,'Crew Data'!C:G,5,0)</f>
        <v>Vannaporn Chaiwatsittikul</v>
      </c>
      <c r="D45" s="121" t="s">
        <v>525</v>
      </c>
      <c r="E45" s="107">
        <v>2.0</v>
      </c>
      <c r="F45" s="122">
        <f t="shared" si="1"/>
        <v>800</v>
      </c>
      <c r="G45" s="22">
        <f t="shared" si="2"/>
        <v>1</v>
      </c>
      <c r="H45" s="123" t="s">
        <v>20</v>
      </c>
      <c r="I45" s="111"/>
      <c r="J45" s="127"/>
      <c r="K45" s="31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>
      <c r="A46" s="107">
        <v>43.0</v>
      </c>
      <c r="B46" s="138">
        <v>1002202.0</v>
      </c>
      <c r="C46" s="168" t="str">
        <f>vlookup(B46,'Crew Data'!C:G,5,0)</f>
        <v>Nithipkan Damrongpongkhajorn</v>
      </c>
      <c r="D46" s="121" t="s">
        <v>525</v>
      </c>
      <c r="E46" s="107">
        <v>2.0</v>
      </c>
      <c r="F46" s="122">
        <f t="shared" si="1"/>
        <v>800</v>
      </c>
      <c r="G46" s="22">
        <f t="shared" si="2"/>
        <v>1</v>
      </c>
      <c r="H46" s="123" t="s">
        <v>20</v>
      </c>
      <c r="I46" s="111"/>
      <c r="J46" s="127"/>
      <c r="K46" s="31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>
      <c r="A47" s="107">
        <v>44.0</v>
      </c>
      <c r="B47" s="138">
        <v>1011318.0</v>
      </c>
      <c r="C47" s="168" t="str">
        <f>vlookup(B47,'Crew Data'!C:G,5,0)</f>
        <v>Rudeemas Thiangthat</v>
      </c>
      <c r="D47" s="121" t="s">
        <v>526</v>
      </c>
      <c r="E47" s="107">
        <v>2.0</v>
      </c>
      <c r="F47" s="122">
        <f t="shared" si="1"/>
        <v>800</v>
      </c>
      <c r="G47" s="22">
        <f t="shared" si="2"/>
        <v>1</v>
      </c>
      <c r="H47" s="123" t="s">
        <v>20</v>
      </c>
      <c r="I47" s="111"/>
      <c r="J47" s="127"/>
      <c r="K47" s="31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>
      <c r="A48" s="107">
        <v>45.0</v>
      </c>
      <c r="B48" s="138">
        <v>1044230.0</v>
      </c>
      <c r="C48" s="168" t="str">
        <f>vlookup(B48,'Crew Data'!C:G,5,0)</f>
        <v>Sujinut Ruangmalai</v>
      </c>
      <c r="D48" s="121" t="s">
        <v>527</v>
      </c>
      <c r="E48" s="107">
        <v>4.0</v>
      </c>
      <c r="F48" s="122">
        <f t="shared" si="1"/>
        <v>1600</v>
      </c>
      <c r="G48" s="22">
        <f t="shared" si="2"/>
        <v>1</v>
      </c>
      <c r="H48" s="123" t="s">
        <v>20</v>
      </c>
      <c r="I48" s="111"/>
      <c r="J48" s="127"/>
      <c r="K48" s="31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>
      <c r="A49" s="107">
        <v>46.0</v>
      </c>
      <c r="B49" s="138">
        <v>1018535.0</v>
      </c>
      <c r="C49" s="168" t="str">
        <f>vlookup(B49,'Crew Data'!C:G,5,0)</f>
        <v>Nawapu Dontaolek</v>
      </c>
      <c r="D49" s="121" t="s">
        <v>528</v>
      </c>
      <c r="E49" s="107">
        <v>4.0</v>
      </c>
      <c r="F49" s="122">
        <f t="shared" si="1"/>
        <v>1600</v>
      </c>
      <c r="G49" s="22">
        <f t="shared" si="2"/>
        <v>1</v>
      </c>
      <c r="H49" s="123" t="s">
        <v>20</v>
      </c>
      <c r="I49" s="111"/>
      <c r="J49" s="127"/>
      <c r="K49" s="31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>
      <c r="A50" s="107">
        <v>47.0</v>
      </c>
      <c r="B50" s="138">
        <v>1019299.0</v>
      </c>
      <c r="C50" s="168" t="str">
        <f>vlookup(B50,'Crew Data'!C:G,5,0)</f>
        <v>Phattaraporn Jindapol</v>
      </c>
      <c r="D50" s="121" t="s">
        <v>529</v>
      </c>
      <c r="E50" s="107">
        <v>6.0</v>
      </c>
      <c r="F50" s="122">
        <f t="shared" si="1"/>
        <v>2400</v>
      </c>
      <c r="G50" s="22">
        <f t="shared" si="2"/>
        <v>1</v>
      </c>
      <c r="H50" s="123" t="s">
        <v>20</v>
      </c>
      <c r="I50" s="111"/>
      <c r="J50" s="127"/>
      <c r="K50" s="31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>
      <c r="A51" s="107">
        <v>48.0</v>
      </c>
      <c r="B51" s="138">
        <v>1039131.0</v>
      </c>
      <c r="C51" s="168" t="str">
        <f>vlookup(B51,'Crew Data'!C:G,5,0)</f>
        <v>Sawarin Charoenpak</v>
      </c>
      <c r="D51" s="121" t="s">
        <v>521</v>
      </c>
      <c r="E51" s="107">
        <v>2.0</v>
      </c>
      <c r="F51" s="122">
        <f t="shared" si="1"/>
        <v>800</v>
      </c>
      <c r="G51" s="22">
        <f t="shared" si="2"/>
        <v>1</v>
      </c>
      <c r="H51" s="123" t="s">
        <v>20</v>
      </c>
      <c r="I51" s="111"/>
      <c r="J51" s="127"/>
      <c r="K51" s="31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>
      <c r="A52" s="107">
        <v>49.0</v>
      </c>
      <c r="B52" s="138">
        <v>1043870.0</v>
      </c>
      <c r="C52" s="168" t="str">
        <f>vlookup(B52,'Crew Data'!C:G,5,0)</f>
        <v>Daranphon Chaikiatchanyaphon</v>
      </c>
      <c r="D52" s="121" t="s">
        <v>530</v>
      </c>
      <c r="E52" s="107">
        <v>4.0</v>
      </c>
      <c r="F52" s="122">
        <f t="shared" si="1"/>
        <v>1600</v>
      </c>
      <c r="G52" s="22">
        <f t="shared" si="2"/>
        <v>1</v>
      </c>
      <c r="H52" s="123" t="s">
        <v>20</v>
      </c>
      <c r="I52" s="111"/>
      <c r="J52" s="127"/>
      <c r="K52" s="31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>
      <c r="A53" s="107">
        <v>50.0</v>
      </c>
      <c r="B53" s="138">
        <v>1043861.0</v>
      </c>
      <c r="C53" s="168" t="str">
        <f>vlookup(B53,'Crew Data'!C:G,5,0)</f>
        <v>Chonkaseam Borisuth</v>
      </c>
      <c r="D53" s="121" t="s">
        <v>531</v>
      </c>
      <c r="E53" s="107">
        <v>2.0</v>
      </c>
      <c r="F53" s="122">
        <f t="shared" si="1"/>
        <v>800</v>
      </c>
      <c r="G53" s="22">
        <f t="shared" si="2"/>
        <v>1</v>
      </c>
      <c r="H53" s="123" t="s">
        <v>20</v>
      </c>
      <c r="I53" s="111"/>
      <c r="J53" s="127"/>
      <c r="K53" s="31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>
      <c r="A54" s="107">
        <v>51.0</v>
      </c>
      <c r="B54" s="138">
        <v>1004536.0</v>
      </c>
      <c r="C54" s="168" t="str">
        <f>vlookup(B54,'Crew Data'!C:G,5,0)</f>
        <v>Rathawit Vachirasittapong</v>
      </c>
      <c r="D54" s="121" t="s">
        <v>531</v>
      </c>
      <c r="E54" s="107">
        <v>2.0</v>
      </c>
      <c r="F54" s="122">
        <f t="shared" si="1"/>
        <v>800</v>
      </c>
      <c r="G54" s="22">
        <f t="shared" si="2"/>
        <v>1</v>
      </c>
      <c r="H54" s="123" t="s">
        <v>20</v>
      </c>
      <c r="I54" s="111"/>
      <c r="J54" s="127"/>
      <c r="K54" s="31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>
      <c r="A55" s="107">
        <v>52.0</v>
      </c>
      <c r="B55" s="138">
        <v>1010939.0</v>
      </c>
      <c r="C55" s="168" t="str">
        <f>vlookup(B55,'Crew Data'!C:G,5,0)</f>
        <v>Yuwarat Meesap</v>
      </c>
      <c r="D55" s="121" t="s">
        <v>532</v>
      </c>
      <c r="E55" s="107">
        <v>2.0</v>
      </c>
      <c r="F55" s="122">
        <f t="shared" si="1"/>
        <v>800</v>
      </c>
      <c r="G55" s="22">
        <f t="shared" si="2"/>
        <v>1</v>
      </c>
      <c r="H55" s="123" t="s">
        <v>20</v>
      </c>
      <c r="I55" s="111"/>
      <c r="J55" s="127"/>
      <c r="K55" s="31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>
      <c r="A56" s="107">
        <v>53.0</v>
      </c>
      <c r="B56" s="138">
        <v>1005302.0</v>
      </c>
      <c r="C56" s="168" t="str">
        <f>vlookup(B56,'Crew Data'!C:G,5,0)</f>
        <v>Pinyada Wachiradetsathain</v>
      </c>
      <c r="D56" s="121" t="s">
        <v>533</v>
      </c>
      <c r="E56" s="107">
        <v>2.0</v>
      </c>
      <c r="F56" s="122">
        <f t="shared" si="1"/>
        <v>800</v>
      </c>
      <c r="G56" s="22">
        <f t="shared" si="2"/>
        <v>1</v>
      </c>
      <c r="H56" s="123" t="s">
        <v>20</v>
      </c>
      <c r="I56" s="111"/>
      <c r="J56" s="127"/>
      <c r="K56" s="31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>
      <c r="A57" s="107">
        <v>54.0</v>
      </c>
      <c r="B57" s="140">
        <v>1003055.0</v>
      </c>
      <c r="C57" s="168" t="str">
        <f>vlookup(B57,'Crew Data'!C:G,5,0)</f>
        <v>Pachara Nonthapak</v>
      </c>
      <c r="D57" s="121" t="s">
        <v>519</v>
      </c>
      <c r="E57" s="107">
        <v>2.0</v>
      </c>
      <c r="F57" s="122">
        <f t="shared" si="1"/>
        <v>800</v>
      </c>
      <c r="G57" s="22">
        <f t="shared" si="2"/>
        <v>1</v>
      </c>
      <c r="H57" s="123" t="s">
        <v>20</v>
      </c>
      <c r="I57" s="111"/>
      <c r="J57" s="127"/>
      <c r="K57" s="31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>
      <c r="A58" s="107">
        <v>55.0</v>
      </c>
      <c r="B58" s="138">
        <v>1040912.0</v>
      </c>
      <c r="C58" s="168" t="str">
        <f>vlookup(B58,'Crew Data'!C:G,5,0)</f>
        <v>Wesudanatcha Hengsuwan</v>
      </c>
      <c r="D58" s="121" t="s">
        <v>532</v>
      </c>
      <c r="E58" s="107">
        <v>2.0</v>
      </c>
      <c r="F58" s="122">
        <f t="shared" si="1"/>
        <v>800</v>
      </c>
      <c r="G58" s="22">
        <f t="shared" si="2"/>
        <v>1</v>
      </c>
      <c r="H58" s="123" t="s">
        <v>20</v>
      </c>
      <c r="I58" s="111"/>
      <c r="J58" s="127"/>
      <c r="K58" s="31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>
      <c r="A59" s="107">
        <v>56.0</v>
      </c>
      <c r="B59" s="141">
        <v>1044229.0</v>
      </c>
      <c r="C59" s="168" t="str">
        <f>vlookup(B59,'Crew Data'!C:G,5,0)</f>
        <v>Napaporn Pansamdaeng</v>
      </c>
      <c r="D59" s="121" t="s">
        <v>534</v>
      </c>
      <c r="E59" s="107">
        <v>2.0</v>
      </c>
      <c r="F59" s="122">
        <f t="shared" si="1"/>
        <v>800</v>
      </c>
      <c r="G59" s="22">
        <f t="shared" si="2"/>
        <v>1</v>
      </c>
      <c r="H59" s="123" t="s">
        <v>20</v>
      </c>
      <c r="I59" s="111"/>
      <c r="J59" s="127"/>
      <c r="K59" s="31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>
      <c r="A60" s="107">
        <v>57.0</v>
      </c>
      <c r="B60" s="141">
        <v>1004294.0</v>
      </c>
      <c r="C60" s="168" t="str">
        <f>vlookup(B60,'Crew Data'!C:G,5,0)</f>
        <v>Kawinwat Pringplert</v>
      </c>
      <c r="D60" s="121" t="s">
        <v>535</v>
      </c>
      <c r="E60" s="107">
        <v>2.0</v>
      </c>
      <c r="F60" s="122">
        <f t="shared" si="1"/>
        <v>800</v>
      </c>
      <c r="G60" s="22">
        <f t="shared" si="2"/>
        <v>1</v>
      </c>
      <c r="H60" s="123" t="s">
        <v>20</v>
      </c>
      <c r="I60" s="111"/>
      <c r="J60" s="127"/>
      <c r="K60" s="31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>
      <c r="A61" s="107">
        <v>58.0</v>
      </c>
      <c r="B61" s="138">
        <v>1019518.0</v>
      </c>
      <c r="C61" s="168" t="str">
        <f>vlookup(B61,'Crew Data'!C:G,5,0)</f>
        <v>Naratip Dumrongthai</v>
      </c>
      <c r="D61" s="121" t="s">
        <v>536</v>
      </c>
      <c r="E61" s="107">
        <v>4.0</v>
      </c>
      <c r="F61" s="122">
        <f t="shared" si="1"/>
        <v>1600</v>
      </c>
      <c r="G61" s="22">
        <f t="shared" si="2"/>
        <v>1</v>
      </c>
      <c r="H61" s="123" t="s">
        <v>20</v>
      </c>
      <c r="I61" s="111"/>
      <c r="J61" s="127"/>
      <c r="K61" s="31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>
      <c r="A62" s="107">
        <v>59.0</v>
      </c>
      <c r="B62" s="138">
        <v>1011310.0</v>
      </c>
      <c r="C62" s="168" t="str">
        <f>vlookup(B62,'Crew Data'!C:G,5,0)</f>
        <v>Nicha Manapradit</v>
      </c>
      <c r="D62" s="121" t="s">
        <v>537</v>
      </c>
      <c r="E62" s="107">
        <v>2.0</v>
      </c>
      <c r="F62" s="122">
        <f t="shared" si="1"/>
        <v>800</v>
      </c>
      <c r="G62" s="22">
        <f t="shared" si="2"/>
        <v>1</v>
      </c>
      <c r="H62" s="123" t="s">
        <v>20</v>
      </c>
      <c r="I62" s="111"/>
      <c r="J62" s="127"/>
      <c r="K62" s="31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>
      <c r="A63" s="107">
        <v>60.0</v>
      </c>
      <c r="B63" s="138">
        <v>1044223.0</v>
      </c>
      <c r="C63" s="168" t="str">
        <f>vlookup(B63,'Crew Data'!C:G,5,0)</f>
        <v>Sujipa Prasitchairit</v>
      </c>
      <c r="D63" s="121" t="s">
        <v>538</v>
      </c>
      <c r="E63" s="107">
        <v>4.0</v>
      </c>
      <c r="F63" s="122">
        <f t="shared" si="1"/>
        <v>1600</v>
      </c>
      <c r="G63" s="22">
        <f t="shared" si="2"/>
        <v>1</v>
      </c>
      <c r="H63" s="123" t="s">
        <v>20</v>
      </c>
      <c r="I63" s="111"/>
      <c r="J63" s="127"/>
      <c r="K63" s="31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>
      <c r="A64" s="107">
        <v>61.0</v>
      </c>
      <c r="B64" s="138">
        <v>1015394.0</v>
      </c>
      <c r="C64" s="168" t="str">
        <f>vlookup(B64,'Crew Data'!C:G,5,0)</f>
        <v>Kawin Panpipat</v>
      </c>
      <c r="D64" s="121" t="s">
        <v>518</v>
      </c>
      <c r="E64" s="107">
        <v>2.0</v>
      </c>
      <c r="F64" s="122">
        <f t="shared" si="1"/>
        <v>800</v>
      </c>
      <c r="G64" s="22">
        <f t="shared" si="2"/>
        <v>1</v>
      </c>
      <c r="H64" s="123" t="s">
        <v>20</v>
      </c>
      <c r="I64" s="111"/>
      <c r="J64" s="127"/>
      <c r="K64" s="31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>
      <c r="A65" s="107">
        <v>62.0</v>
      </c>
      <c r="B65" s="138">
        <v>1002984.0</v>
      </c>
      <c r="C65" s="168" t="str">
        <f>vlookup(B65,'Crew Data'!C:G,5,0)</f>
        <v>Praepailin Luckanatin</v>
      </c>
      <c r="D65" s="121" t="s">
        <v>539</v>
      </c>
      <c r="E65" s="107">
        <v>2.0</v>
      </c>
      <c r="F65" s="122">
        <f t="shared" si="1"/>
        <v>800</v>
      </c>
      <c r="G65" s="22">
        <f t="shared" si="2"/>
        <v>1</v>
      </c>
      <c r="H65" s="123" t="s">
        <v>20</v>
      </c>
      <c r="I65" s="111"/>
      <c r="J65" s="127"/>
      <c r="K65" s="31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>
      <c r="A66" s="107">
        <v>63.0</v>
      </c>
      <c r="B66" s="138">
        <v>1004317.0</v>
      </c>
      <c r="C66" s="168" t="str">
        <f>vlookup(B66,'Crew Data'!C:G,5,0)</f>
        <v>Narit Aimwat</v>
      </c>
      <c r="D66" s="121" t="s">
        <v>535</v>
      </c>
      <c r="E66" s="107">
        <v>2.0</v>
      </c>
      <c r="F66" s="122">
        <f t="shared" si="1"/>
        <v>800</v>
      </c>
      <c r="G66" s="22">
        <f t="shared" si="2"/>
        <v>1</v>
      </c>
      <c r="H66" s="123" t="s">
        <v>20</v>
      </c>
      <c r="I66" s="111"/>
      <c r="J66" s="127"/>
      <c r="K66" s="31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>
      <c r="A67" s="107">
        <v>64.0</v>
      </c>
      <c r="B67" s="129">
        <v>1002207.0</v>
      </c>
      <c r="C67" s="168" t="str">
        <f>vlookup(B67,'Crew Data'!C:G,5,0)</f>
        <v>Phakaon Chaiwong</v>
      </c>
      <c r="D67" s="121" t="s">
        <v>540</v>
      </c>
      <c r="E67" s="107">
        <v>2.0</v>
      </c>
      <c r="F67" s="122">
        <f t="shared" si="1"/>
        <v>800</v>
      </c>
      <c r="G67" s="22">
        <f>COUNTIF(B:B,B66)</f>
        <v>1</v>
      </c>
      <c r="H67" s="123" t="s">
        <v>20</v>
      </c>
      <c r="I67" s="111"/>
      <c r="J67" s="127"/>
      <c r="K67" s="31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>
      <c r="A68" s="107">
        <v>65.0</v>
      </c>
      <c r="B68" s="138">
        <v>1019306.0</v>
      </c>
      <c r="C68" s="168" t="str">
        <f>vlookup(B68,'Crew Data'!C:G,5,0)</f>
        <v>Tanyatorn Leenawong</v>
      </c>
      <c r="D68" s="121" t="s">
        <v>541</v>
      </c>
      <c r="E68" s="107">
        <v>4.0</v>
      </c>
      <c r="F68" s="122">
        <f t="shared" si="1"/>
        <v>1600</v>
      </c>
      <c r="G68" s="22">
        <f t="shared" ref="G68:G78" si="3">COUNTIF(B:B,B68)</f>
        <v>1</v>
      </c>
      <c r="H68" s="123" t="s">
        <v>20</v>
      </c>
      <c r="I68" s="111"/>
      <c r="J68" s="127"/>
      <c r="K68" s="31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>
      <c r="A69" s="107">
        <v>66.0</v>
      </c>
      <c r="B69" s="138">
        <v>1010830.0</v>
      </c>
      <c r="C69" s="168" t="str">
        <f>vlookup(B69,'Crew Data'!C:G,5,0)</f>
        <v>Maylada Srithai</v>
      </c>
      <c r="D69" s="121" t="s">
        <v>535</v>
      </c>
      <c r="E69" s="107">
        <v>4.0</v>
      </c>
      <c r="F69" s="122">
        <f t="shared" si="1"/>
        <v>1600</v>
      </c>
      <c r="G69" s="22">
        <f t="shared" si="3"/>
        <v>1</v>
      </c>
      <c r="H69" s="123" t="s">
        <v>20</v>
      </c>
      <c r="I69" s="111"/>
      <c r="J69" s="127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>
      <c r="A70" s="107">
        <v>67.0</v>
      </c>
      <c r="B70" s="138">
        <v>1007418.0</v>
      </c>
      <c r="C70" s="168" t="str">
        <f>vlookup(B70,'Crew Data'!C:G,5,0)</f>
        <v>Nattaphat Boonprasit</v>
      </c>
      <c r="D70" s="121" t="s">
        <v>534</v>
      </c>
      <c r="E70" s="107">
        <v>2.0</v>
      </c>
      <c r="F70" s="122">
        <f t="shared" si="1"/>
        <v>800</v>
      </c>
      <c r="G70" s="22">
        <f t="shared" si="3"/>
        <v>1</v>
      </c>
      <c r="H70" s="123" t="s">
        <v>20</v>
      </c>
      <c r="I70" s="111"/>
      <c r="J70" s="127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>
      <c r="A71" s="107">
        <v>68.0</v>
      </c>
      <c r="B71" s="138">
        <v>1001755.0</v>
      </c>
      <c r="C71" s="168" t="str">
        <f>vlookup(B71,'Crew Data'!C:G,5,0)</f>
        <v>Chananpat Sirivikornrat</v>
      </c>
      <c r="D71" s="121" t="s">
        <v>542</v>
      </c>
      <c r="E71" s="107">
        <v>4.0</v>
      </c>
      <c r="F71" s="122">
        <f t="shared" si="1"/>
        <v>1600</v>
      </c>
      <c r="G71" s="22">
        <f t="shared" si="3"/>
        <v>1</v>
      </c>
      <c r="H71" s="123" t="s">
        <v>20</v>
      </c>
      <c r="I71" s="111"/>
      <c r="J71" s="127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>
      <c r="A72" s="107">
        <v>69.0</v>
      </c>
      <c r="B72" s="138">
        <v>1044237.0</v>
      </c>
      <c r="C72" s="168" t="str">
        <f>vlookup(B72,'Crew Data'!C:G,5,0)</f>
        <v>Suyomi Setthamungkorn</v>
      </c>
      <c r="D72" s="121" t="s">
        <v>543</v>
      </c>
      <c r="E72" s="107">
        <v>5.0</v>
      </c>
      <c r="F72" s="122">
        <f t="shared" si="1"/>
        <v>2000</v>
      </c>
      <c r="G72" s="22">
        <f t="shared" si="3"/>
        <v>1</v>
      </c>
      <c r="H72" s="123" t="s">
        <v>20</v>
      </c>
      <c r="I72" s="111"/>
      <c r="J72" s="127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>
      <c r="A73" s="107">
        <v>70.0</v>
      </c>
      <c r="B73" s="138">
        <v>1007001.0</v>
      </c>
      <c r="C73" s="168" t="str">
        <f>vlookup(B73,'Crew Data'!C:G,5,0)</f>
        <v>Phakrapee Fuengprang</v>
      </c>
      <c r="D73" s="121" t="s">
        <v>524</v>
      </c>
      <c r="E73" s="107">
        <v>2.0</v>
      </c>
      <c r="F73" s="122">
        <f t="shared" si="1"/>
        <v>800</v>
      </c>
      <c r="G73" s="22">
        <f t="shared" si="3"/>
        <v>1</v>
      </c>
      <c r="H73" s="123" t="s">
        <v>20</v>
      </c>
      <c r="I73" s="111"/>
      <c r="J73" s="127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>
      <c r="A74" s="107">
        <v>71.0</v>
      </c>
      <c r="B74" s="138">
        <v>1004569.0</v>
      </c>
      <c r="C74" s="168" t="str">
        <f>vlookup(B74,'Crew Data'!C:G,5,0)</f>
        <v>Chutikul Khruakham</v>
      </c>
      <c r="D74" s="121" t="s">
        <v>532</v>
      </c>
      <c r="E74" s="107">
        <v>2.0</v>
      </c>
      <c r="F74" s="122">
        <f t="shared" si="1"/>
        <v>800</v>
      </c>
      <c r="G74" s="22">
        <f t="shared" si="3"/>
        <v>1</v>
      </c>
      <c r="H74" s="123" t="s">
        <v>20</v>
      </c>
      <c r="I74" s="111"/>
      <c r="J74" s="127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>
      <c r="A75" s="107">
        <v>72.0</v>
      </c>
      <c r="B75" s="138">
        <v>1040874.0</v>
      </c>
      <c r="C75" s="168" t="str">
        <f>vlookup(B75,'Crew Data'!C:G,5,0)</f>
        <v>Pairwa Suwan</v>
      </c>
      <c r="D75" s="121" t="s">
        <v>537</v>
      </c>
      <c r="E75" s="107">
        <v>2.0</v>
      </c>
      <c r="F75" s="122">
        <f t="shared" si="1"/>
        <v>800</v>
      </c>
      <c r="G75" s="22">
        <f t="shared" si="3"/>
        <v>1</v>
      </c>
      <c r="H75" s="123" t="s">
        <v>20</v>
      </c>
      <c r="I75" s="111"/>
      <c r="J75" s="127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>
      <c r="A76" s="107">
        <v>73.0</v>
      </c>
      <c r="B76" s="138">
        <v>1004579.0</v>
      </c>
      <c r="C76" s="168" t="str">
        <f>vlookup(B76,'Crew Data'!C:G,5,0)</f>
        <v>Sanisara Wongwejsawat</v>
      </c>
      <c r="D76" s="121" t="s">
        <v>544</v>
      </c>
      <c r="E76" s="107">
        <v>2.0</v>
      </c>
      <c r="F76" s="122">
        <f t="shared" si="1"/>
        <v>800</v>
      </c>
      <c r="G76" s="22">
        <f t="shared" si="3"/>
        <v>1</v>
      </c>
      <c r="H76" s="123" t="s">
        <v>20</v>
      </c>
      <c r="I76" s="111"/>
      <c r="J76" s="127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>
      <c r="A77" s="107">
        <v>74.0</v>
      </c>
      <c r="B77" s="138">
        <v>1040869.0</v>
      </c>
      <c r="C77" s="168" t="str">
        <f>vlookup(B77,'Crew Data'!C:G,5,0)</f>
        <v>Natachon Boonpradit</v>
      </c>
      <c r="D77" s="121" t="s">
        <v>537</v>
      </c>
      <c r="E77" s="107">
        <v>2.0</v>
      </c>
      <c r="F77" s="122">
        <f t="shared" si="1"/>
        <v>800</v>
      </c>
      <c r="G77" s="22">
        <f t="shared" si="3"/>
        <v>1</v>
      </c>
      <c r="H77" s="123" t="s">
        <v>20</v>
      </c>
      <c r="I77" s="111"/>
      <c r="J77" s="127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>
      <c r="A78" s="107">
        <v>75.0</v>
      </c>
      <c r="B78" s="138">
        <v>1021945.0</v>
      </c>
      <c r="C78" s="168" t="str">
        <f>vlookup(B78,'Crew Data'!C:G,5,0)</f>
        <v>Pornpimon Sakulpan</v>
      </c>
      <c r="D78" s="121" t="s">
        <v>525</v>
      </c>
      <c r="E78" s="107">
        <v>2.0</v>
      </c>
      <c r="F78" s="122">
        <f t="shared" si="1"/>
        <v>800</v>
      </c>
      <c r="G78" s="22">
        <f t="shared" si="3"/>
        <v>1</v>
      </c>
      <c r="H78" s="123" t="s">
        <v>20</v>
      </c>
      <c r="I78" s="111"/>
      <c r="J78" s="127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>
      <c r="A79" s="107">
        <v>76.0</v>
      </c>
      <c r="B79" s="138">
        <v>1002146.0</v>
      </c>
      <c r="C79" s="168" t="str">
        <f>vlookup(B79,'Crew Data'!C:G,5,0)</f>
        <v>Romrawee Choeikeewong</v>
      </c>
      <c r="D79" s="121" t="s">
        <v>521</v>
      </c>
      <c r="E79" s="107">
        <v>2.0</v>
      </c>
      <c r="F79" s="122">
        <f t="shared" si="1"/>
        <v>800</v>
      </c>
      <c r="G79" s="22">
        <f>COUNTIF(B:B,B78)</f>
        <v>1</v>
      </c>
      <c r="H79" s="123" t="s">
        <v>20</v>
      </c>
      <c r="I79" s="111"/>
      <c r="J79" s="127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>
      <c r="A80" s="107">
        <v>77.0</v>
      </c>
      <c r="B80" s="169">
        <v>1018784.0</v>
      </c>
      <c r="C80" s="170" t="str">
        <f>vlookup(B80,'Crew Data'!C:G,5,0)</f>
        <v>Apirak Thongpiyaphoom</v>
      </c>
      <c r="D80" s="121" t="s">
        <v>523</v>
      </c>
      <c r="E80" s="169">
        <v>2.0</v>
      </c>
      <c r="F80" s="171">
        <f t="shared" si="1"/>
        <v>800</v>
      </c>
      <c r="G80" s="172">
        <f t="shared" ref="G80:G105" si="4">COUNTIF(B:B,B80)</f>
        <v>1</v>
      </c>
      <c r="H80" s="173" t="s">
        <v>20</v>
      </c>
      <c r="I80" s="111"/>
      <c r="J80" s="127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>
      <c r="A81" s="107">
        <v>78.0</v>
      </c>
      <c r="B81" s="138">
        <v>1040336.0</v>
      </c>
      <c r="C81" s="168" t="str">
        <f>vlookup(B81,'Crew Data'!C:G,5,0)</f>
        <v>Patcharapan Suwanmanee</v>
      </c>
      <c r="D81" s="121" t="s">
        <v>545</v>
      </c>
      <c r="E81" s="107">
        <v>2.0</v>
      </c>
      <c r="F81" s="122">
        <f t="shared" si="1"/>
        <v>800</v>
      </c>
      <c r="G81" s="22">
        <f t="shared" si="4"/>
        <v>1</v>
      </c>
      <c r="H81" s="123" t="s">
        <v>20</v>
      </c>
      <c r="I81" s="111"/>
      <c r="J81" s="127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>
      <c r="A82" s="107">
        <v>79.0</v>
      </c>
      <c r="B82" s="102">
        <v>1014687.0</v>
      </c>
      <c r="C82" s="168" t="str">
        <f>vlookup(B82,'Crew Data'!C:G,5,0)</f>
        <v>Witpapon Thaingamsilp</v>
      </c>
      <c r="D82" s="174" t="s">
        <v>546</v>
      </c>
      <c r="E82" s="107">
        <v>2.0</v>
      </c>
      <c r="F82" s="122">
        <f t="shared" si="1"/>
        <v>800</v>
      </c>
      <c r="G82" s="22">
        <f t="shared" si="4"/>
        <v>1</v>
      </c>
      <c r="H82" s="123" t="s">
        <v>20</v>
      </c>
      <c r="I82" s="111"/>
      <c r="J82" s="127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>
      <c r="A83" s="107">
        <v>80.0</v>
      </c>
      <c r="B83" s="138">
        <v>1003302.0</v>
      </c>
      <c r="C83" s="168" t="str">
        <f>vlookup(B83,'Crew Data'!C:G,5,0)</f>
        <v>Panwad Thongkham</v>
      </c>
      <c r="D83" s="121" t="s">
        <v>545</v>
      </c>
      <c r="E83" s="107">
        <v>2.0</v>
      </c>
      <c r="F83" s="122">
        <f t="shared" si="1"/>
        <v>800</v>
      </c>
      <c r="G83" s="22">
        <f t="shared" si="4"/>
        <v>1</v>
      </c>
      <c r="H83" s="123" t="s">
        <v>20</v>
      </c>
      <c r="I83" s="111"/>
      <c r="J83" s="127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>
      <c r="A84" s="107">
        <v>81.0</v>
      </c>
      <c r="B84" s="138">
        <v>1003957.0</v>
      </c>
      <c r="C84" s="168" t="str">
        <f>vlookup(B84,'Crew Data'!C:G,5,0)</f>
        <v>Benjawan Kongrod</v>
      </c>
      <c r="D84" s="121" t="s">
        <v>547</v>
      </c>
      <c r="E84" s="107">
        <v>2.0</v>
      </c>
      <c r="F84" s="122">
        <f t="shared" si="1"/>
        <v>800</v>
      </c>
      <c r="G84" s="22">
        <f t="shared" si="4"/>
        <v>1</v>
      </c>
      <c r="H84" s="123" t="s">
        <v>20</v>
      </c>
      <c r="I84" s="111"/>
      <c r="J84" s="127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>
      <c r="A85" s="107">
        <v>82.0</v>
      </c>
      <c r="B85" s="139">
        <v>1014092.0</v>
      </c>
      <c r="C85" s="168" t="str">
        <f>vlookup(B85,'Crew Data'!C:G,5,0)</f>
        <v>Varatorn Sitisarn</v>
      </c>
      <c r="D85" s="121" t="s">
        <v>547</v>
      </c>
      <c r="E85" s="107">
        <v>2.0</v>
      </c>
      <c r="F85" s="122">
        <f t="shared" si="1"/>
        <v>800</v>
      </c>
      <c r="G85" s="22">
        <f t="shared" si="4"/>
        <v>1</v>
      </c>
      <c r="H85" s="123" t="s">
        <v>20</v>
      </c>
      <c r="I85" s="111"/>
      <c r="J85" s="130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>
      <c r="A86" s="107">
        <v>83.0</v>
      </c>
      <c r="B86" s="138">
        <v>1008987.0</v>
      </c>
      <c r="C86" s="168" t="str">
        <f>vlookup(B86,'Crew Data'!C:G,5,0)</f>
        <v>Punnasisth Rangshirinanthakorn</v>
      </c>
      <c r="D86" s="121" t="s">
        <v>548</v>
      </c>
      <c r="E86" s="107">
        <v>2.0</v>
      </c>
      <c r="F86" s="122">
        <f t="shared" si="1"/>
        <v>800</v>
      </c>
      <c r="G86" s="22">
        <f t="shared" si="4"/>
        <v>1</v>
      </c>
      <c r="H86" s="123" t="s">
        <v>20</v>
      </c>
      <c r="I86" s="111"/>
      <c r="J86" s="130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>
      <c r="A87" s="107">
        <v>84.0</v>
      </c>
      <c r="B87" s="138">
        <v>1004444.0</v>
      </c>
      <c r="C87" s="168" t="str">
        <f>vlookup(B87,'Crew Data'!C:G,5,0)</f>
        <v>Arisara Nenchatee</v>
      </c>
      <c r="D87" s="121" t="s">
        <v>549</v>
      </c>
      <c r="E87" s="107">
        <v>4.0</v>
      </c>
      <c r="F87" s="122">
        <f t="shared" si="1"/>
        <v>1600</v>
      </c>
      <c r="G87" s="22">
        <f t="shared" si="4"/>
        <v>1</v>
      </c>
      <c r="H87" s="123" t="s">
        <v>20</v>
      </c>
      <c r="I87" s="111"/>
      <c r="J87" s="130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>
      <c r="A88" s="107">
        <v>85.0</v>
      </c>
      <c r="B88" s="138">
        <v>1001286.0</v>
      </c>
      <c r="C88" s="168" t="str">
        <f>vlookup(B88,'Crew Data'!C:G,5,0)</f>
        <v>Sirinart Auypornbusyakom</v>
      </c>
      <c r="D88" s="121" t="s">
        <v>550</v>
      </c>
      <c r="E88" s="107">
        <v>6.0</v>
      </c>
      <c r="F88" s="122">
        <f t="shared" si="1"/>
        <v>2400</v>
      </c>
      <c r="G88" s="22">
        <f t="shared" si="4"/>
        <v>1</v>
      </c>
      <c r="H88" s="123" t="s">
        <v>20</v>
      </c>
      <c r="I88" s="111"/>
      <c r="J88" s="130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>
      <c r="A89" s="107">
        <v>86.0</v>
      </c>
      <c r="B89" s="138">
        <v>1011307.0</v>
      </c>
      <c r="C89" s="168" t="str">
        <f>vlookup(B89,'Crew Data'!C:G,5,0)</f>
        <v>Munnanicha Sarakong</v>
      </c>
      <c r="D89" s="121" t="s">
        <v>551</v>
      </c>
      <c r="E89" s="107">
        <v>4.0</v>
      </c>
      <c r="F89" s="122">
        <f t="shared" si="1"/>
        <v>1600</v>
      </c>
      <c r="G89" s="22">
        <f t="shared" si="4"/>
        <v>1</v>
      </c>
      <c r="H89" s="123" t="s">
        <v>20</v>
      </c>
      <c r="I89" s="111"/>
      <c r="J89" s="130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>
      <c r="A90" s="107">
        <v>87.0</v>
      </c>
      <c r="B90" s="139">
        <v>1040342.0</v>
      </c>
      <c r="C90" s="168" t="str">
        <f>vlookup(B90,'Crew Data'!C:G,5,0)</f>
        <v>Areeya Taleb</v>
      </c>
      <c r="D90" s="121" t="s">
        <v>552</v>
      </c>
      <c r="E90" s="107">
        <v>4.0</v>
      </c>
      <c r="F90" s="122">
        <f t="shared" si="1"/>
        <v>1600</v>
      </c>
      <c r="G90" s="22">
        <f t="shared" si="4"/>
        <v>1</v>
      </c>
      <c r="H90" s="123" t="s">
        <v>20</v>
      </c>
      <c r="I90" s="111"/>
      <c r="J90" s="130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>
      <c r="A91" s="107">
        <v>88.0</v>
      </c>
      <c r="B91" s="138">
        <v>1011844.0</v>
      </c>
      <c r="C91" s="168" t="str">
        <f>vlookup(B91,'Crew Data'!C:G,5,0)</f>
        <v>Thanyaporn Vaivattana</v>
      </c>
      <c r="D91" s="121" t="s">
        <v>553</v>
      </c>
      <c r="E91" s="107">
        <v>2.0</v>
      </c>
      <c r="F91" s="122">
        <f t="shared" si="1"/>
        <v>800</v>
      </c>
      <c r="G91" s="22">
        <f t="shared" si="4"/>
        <v>1</v>
      </c>
      <c r="H91" s="123" t="s">
        <v>20</v>
      </c>
      <c r="I91" s="111"/>
      <c r="J91" s="130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>
      <c r="A92" s="107">
        <v>89.0</v>
      </c>
      <c r="B92" s="138">
        <v>1005803.0</v>
      </c>
      <c r="C92" s="168" t="str">
        <f>vlookup(B92,'Crew Data'!C:G,5,0)</f>
        <v>Kornkanok Kollasut</v>
      </c>
      <c r="D92" s="121" t="s">
        <v>553</v>
      </c>
      <c r="E92" s="107">
        <v>2.0</v>
      </c>
      <c r="F92" s="122">
        <f t="shared" si="1"/>
        <v>800</v>
      </c>
      <c r="G92" s="22">
        <f t="shared" si="4"/>
        <v>1</v>
      </c>
      <c r="H92" s="123" t="s">
        <v>20</v>
      </c>
      <c r="I92" s="111"/>
      <c r="J92" s="130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>
      <c r="A93" s="107">
        <v>90.0</v>
      </c>
      <c r="B93" s="138">
        <v>1007340.0</v>
      </c>
      <c r="C93" s="168" t="str">
        <f>vlookup(B93,'Crew Data'!C:G,5,0)</f>
        <v>Patpapada Vadtanawat</v>
      </c>
      <c r="D93" s="121" t="s">
        <v>553</v>
      </c>
      <c r="E93" s="107">
        <v>2.0</v>
      </c>
      <c r="F93" s="122">
        <f t="shared" si="1"/>
        <v>800</v>
      </c>
      <c r="G93" s="22">
        <f t="shared" si="4"/>
        <v>1</v>
      </c>
      <c r="H93" s="123" t="s">
        <v>20</v>
      </c>
      <c r="I93" s="111"/>
      <c r="J93" s="130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>
      <c r="A94" s="107">
        <v>91.0</v>
      </c>
      <c r="B94" s="138">
        <v>1014262.0</v>
      </c>
      <c r="C94" s="168" t="str">
        <f>vlookup(B94,'Crew Data'!C:G,5,0)</f>
        <v>Wongsakorn Chumniwatesa</v>
      </c>
      <c r="D94" s="121" t="s">
        <v>539</v>
      </c>
      <c r="E94" s="107">
        <v>2.0</v>
      </c>
      <c r="F94" s="122">
        <f t="shared" si="1"/>
        <v>800</v>
      </c>
      <c r="G94" s="22">
        <f t="shared" si="4"/>
        <v>1</v>
      </c>
      <c r="H94" s="123" t="s">
        <v>20</v>
      </c>
      <c r="I94" s="111"/>
      <c r="J94" s="130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>
      <c r="A95" s="107">
        <v>92.0</v>
      </c>
      <c r="B95" s="138">
        <v>1013700.0</v>
      </c>
      <c r="C95" s="168" t="str">
        <f>vlookup(B95,'Crew Data'!C:G,5,0)</f>
        <v>Wittawat Indraram</v>
      </c>
      <c r="D95" s="121" t="s">
        <v>547</v>
      </c>
      <c r="E95" s="107">
        <v>2.0</v>
      </c>
      <c r="F95" s="122">
        <f t="shared" si="1"/>
        <v>800</v>
      </c>
      <c r="G95" s="22">
        <f t="shared" si="4"/>
        <v>1</v>
      </c>
      <c r="H95" s="123" t="s">
        <v>20</v>
      </c>
      <c r="I95" s="111"/>
      <c r="J95" s="130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>
      <c r="A96" s="107">
        <v>93.0</v>
      </c>
      <c r="B96" s="138">
        <v>1012554.0</v>
      </c>
      <c r="C96" s="168" t="str">
        <f>vlookup(B96,'Crew Data'!C:G,5,0)</f>
        <v>Bhuriwat Udomphol</v>
      </c>
      <c r="D96" s="121" t="s">
        <v>554</v>
      </c>
      <c r="E96" s="107">
        <v>4.0</v>
      </c>
      <c r="F96" s="122">
        <f t="shared" si="1"/>
        <v>1600</v>
      </c>
      <c r="G96" s="22">
        <f t="shared" si="4"/>
        <v>1</v>
      </c>
      <c r="H96" s="123" t="s">
        <v>20</v>
      </c>
      <c r="I96" s="111"/>
      <c r="J96" s="130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>
      <c r="A97" s="107">
        <v>94.0</v>
      </c>
      <c r="B97" s="138">
        <v>1007272.0</v>
      </c>
      <c r="C97" s="168" t="str">
        <f>vlookup(B97,'Crew Data'!C:G,5,0)</f>
        <v>Sadchakarn Choochomchuen</v>
      </c>
      <c r="D97" s="121" t="s">
        <v>548</v>
      </c>
      <c r="E97" s="107">
        <v>2.0</v>
      </c>
      <c r="F97" s="122">
        <f t="shared" si="1"/>
        <v>800</v>
      </c>
      <c r="G97" s="22">
        <f t="shared" si="4"/>
        <v>1</v>
      </c>
      <c r="H97" s="123" t="s">
        <v>20</v>
      </c>
      <c r="I97" s="111"/>
      <c r="J97" s="130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>
      <c r="A98" s="107">
        <v>95.0</v>
      </c>
      <c r="B98" s="138">
        <v>1040509.0</v>
      </c>
      <c r="C98" s="168" t="str">
        <f>vlookup(B98,'Crew Data'!C:G,5,0)</f>
        <v>Namita Sukanan</v>
      </c>
      <c r="D98" s="121" t="s">
        <v>548</v>
      </c>
      <c r="E98" s="107">
        <v>2.0</v>
      </c>
      <c r="F98" s="122">
        <f t="shared" si="1"/>
        <v>800</v>
      </c>
      <c r="G98" s="22">
        <f t="shared" si="4"/>
        <v>1</v>
      </c>
      <c r="H98" s="123" t="s">
        <v>20</v>
      </c>
      <c r="I98" s="111"/>
      <c r="J98" s="130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>
      <c r="A99" s="107">
        <v>96.0</v>
      </c>
      <c r="B99" s="138">
        <v>1013605.0</v>
      </c>
      <c r="C99" s="168" t="str">
        <f>vlookup(B99,'Crew Data'!C:G,5,0)</f>
        <v>Atiluk Apiwong</v>
      </c>
      <c r="D99" s="121" t="s">
        <v>539</v>
      </c>
      <c r="E99" s="107">
        <v>2.0</v>
      </c>
      <c r="F99" s="122">
        <f t="shared" si="1"/>
        <v>800</v>
      </c>
      <c r="G99" s="22">
        <f t="shared" si="4"/>
        <v>1</v>
      </c>
      <c r="H99" s="123" t="s">
        <v>20</v>
      </c>
      <c r="I99" s="111"/>
      <c r="J99" s="130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16.5" customHeight="1">
      <c r="A100" s="107">
        <v>97.0</v>
      </c>
      <c r="B100" s="138">
        <v>1012256.0</v>
      </c>
      <c r="C100" s="168" t="str">
        <f>vlookup(B100,'Crew Data'!C:G,5,0)</f>
        <v>Sarayut Ungsaichue</v>
      </c>
      <c r="D100" s="121" t="s">
        <v>520</v>
      </c>
      <c r="E100" s="107">
        <v>2.0</v>
      </c>
      <c r="F100" s="122">
        <f t="shared" si="1"/>
        <v>800</v>
      </c>
      <c r="G100" s="22">
        <f t="shared" si="4"/>
        <v>1</v>
      </c>
      <c r="H100" s="123" t="s">
        <v>20</v>
      </c>
      <c r="I100" s="111"/>
      <c r="J100" s="130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>
      <c r="A101" s="107">
        <v>98.0</v>
      </c>
      <c r="B101" s="138">
        <v>1043869.0</v>
      </c>
      <c r="C101" s="168" t="str">
        <f>vlookup(B101,'Crew Data'!C:G,5,0)</f>
        <v>Jaturong Phomhom</v>
      </c>
      <c r="D101" s="121" t="s">
        <v>555</v>
      </c>
      <c r="E101" s="107">
        <v>4.0</v>
      </c>
      <c r="F101" s="122">
        <f t="shared" si="1"/>
        <v>1600</v>
      </c>
      <c r="G101" s="22">
        <f t="shared" si="4"/>
        <v>1</v>
      </c>
      <c r="H101" s="123" t="s">
        <v>20</v>
      </c>
      <c r="I101" s="126"/>
      <c r="J101" s="130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>
      <c r="A102" s="107">
        <v>99.0</v>
      </c>
      <c r="B102" s="138">
        <v>1008991.0</v>
      </c>
      <c r="C102" s="168" t="str">
        <f>vlookup(B102,'Crew Data'!C:G,5,0)</f>
        <v>Premkamon Changsuwan</v>
      </c>
      <c r="D102" s="125">
        <v>45900.0</v>
      </c>
      <c r="E102" s="107">
        <v>1.0</v>
      </c>
      <c r="F102" s="122">
        <f t="shared" si="1"/>
        <v>400</v>
      </c>
      <c r="G102" s="22">
        <f t="shared" si="4"/>
        <v>1</v>
      </c>
      <c r="H102" s="123" t="s">
        <v>20</v>
      </c>
      <c r="I102" s="126"/>
      <c r="J102" s="130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>
      <c r="A103" s="107">
        <v>100.0</v>
      </c>
      <c r="B103" s="138">
        <v>1008211.0</v>
      </c>
      <c r="C103" s="168" t="str">
        <f>vlookup(B103,'Crew Data'!C:G,5,0)</f>
        <v>Jinnanat Buree</v>
      </c>
      <c r="D103" s="121" t="s">
        <v>556</v>
      </c>
      <c r="E103" s="107">
        <v>3.0</v>
      </c>
      <c r="F103" s="122">
        <f t="shared" si="1"/>
        <v>1200</v>
      </c>
      <c r="G103" s="22">
        <f t="shared" si="4"/>
        <v>1</v>
      </c>
      <c r="H103" s="123" t="s">
        <v>20</v>
      </c>
      <c r="I103" s="126"/>
      <c r="J103" s="130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>
      <c r="A104" s="107">
        <v>101.0</v>
      </c>
      <c r="B104" s="138">
        <v>1006344.0</v>
      </c>
      <c r="C104" s="168" t="str">
        <f>vlookup(B104,'Crew Data'!C:G,5,0)</f>
        <v>Rungnapa Sawaruk</v>
      </c>
      <c r="D104" s="125">
        <v>45900.0</v>
      </c>
      <c r="E104" s="107">
        <v>1.0</v>
      </c>
      <c r="F104" s="122">
        <f t="shared" si="1"/>
        <v>400</v>
      </c>
      <c r="G104" s="22">
        <f t="shared" si="4"/>
        <v>1</v>
      </c>
      <c r="H104" s="123" t="s">
        <v>20</v>
      </c>
      <c r="I104" s="126"/>
      <c r="J104" s="130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>
      <c r="A105" s="107">
        <v>102.0</v>
      </c>
      <c r="B105" s="138">
        <v>1013048.0</v>
      </c>
      <c r="C105" s="168" t="str">
        <f>vlookup(B105,'Crew Data'!C:G,5,0)</f>
        <v>Thanchanok Srisawang</v>
      </c>
      <c r="D105" s="121" t="s">
        <v>534</v>
      </c>
      <c r="E105" s="107">
        <v>2.0</v>
      </c>
      <c r="F105" s="122">
        <f t="shared" si="1"/>
        <v>800</v>
      </c>
      <c r="G105" s="22">
        <f t="shared" si="4"/>
        <v>1</v>
      </c>
      <c r="H105" s="123" t="s">
        <v>20</v>
      </c>
      <c r="I105" s="126"/>
      <c r="J105" s="130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</sheetData>
  <mergeCells count="2">
    <mergeCell ref="A1:F1"/>
    <mergeCell ref="E2:F2"/>
  </mergeCells>
  <dataValidations>
    <dataValidation type="list" allowBlank="1" sqref="H4:H105">
      <formula1>"CHECKED (OK),CHECKED  (NOT OK)"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.88"/>
    <col customWidth="1" min="2" max="2" width="9.63"/>
    <col customWidth="1" min="3" max="3" width="24.75"/>
    <col customWidth="1" min="4" max="4" width="30.63"/>
    <col customWidth="1" min="5" max="5" width="7.63"/>
    <col customWidth="1" min="7" max="7" width="3.5"/>
    <col customWidth="1" min="8" max="8" width="18.63"/>
    <col customWidth="1" min="9" max="9" width="21.63"/>
  </cols>
  <sheetData>
    <row r="1">
      <c r="A1" s="105" t="s">
        <v>557</v>
      </c>
      <c r="G1" s="111"/>
      <c r="I1" s="112" t="s">
        <v>558</v>
      </c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106" t="s">
        <v>1</v>
      </c>
      <c r="B2" s="137" t="s">
        <v>11</v>
      </c>
      <c r="C2" s="106" t="s">
        <v>12</v>
      </c>
      <c r="D2" s="114" t="s">
        <v>13</v>
      </c>
      <c r="E2" s="115" t="s">
        <v>14</v>
      </c>
      <c r="G2" s="116"/>
      <c r="H2" s="111"/>
      <c r="I2" s="11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106"/>
      <c r="B3" s="137"/>
      <c r="C3" s="106"/>
      <c r="D3" s="114"/>
      <c r="E3" s="115" t="s">
        <v>15</v>
      </c>
      <c r="F3" s="117" t="s">
        <v>5</v>
      </c>
      <c r="G3" s="116"/>
      <c r="H3" s="118" t="s">
        <v>6</v>
      </c>
      <c r="I3" s="119" t="s">
        <v>7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>
      <c r="A4" s="107">
        <v>1.0</v>
      </c>
      <c r="B4" s="138">
        <v>1002984.0</v>
      </c>
      <c r="C4" s="120" t="str">
        <f>vlookup(B4,'Crew Data'!C:G,5,0)</f>
        <v>Praepailin Luckanatin</v>
      </c>
      <c r="D4" s="121" t="s">
        <v>411</v>
      </c>
      <c r="E4" s="107">
        <v>2.0</v>
      </c>
      <c r="F4" s="122">
        <f t="shared" ref="F4:F84" si="1">E4*400</f>
        <v>800</v>
      </c>
      <c r="G4" s="22">
        <f t="shared" ref="G4:G84" si="2">COUNTIF(B:B,B4)</f>
        <v>1</v>
      </c>
      <c r="H4" s="123" t="s">
        <v>20</v>
      </c>
      <c r="I4" s="124" t="s">
        <v>498</v>
      </c>
      <c r="J4" s="127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A5" s="107">
        <v>2.0</v>
      </c>
      <c r="B5" s="138">
        <v>1008956.0</v>
      </c>
      <c r="C5" s="120" t="str">
        <f>vlookup(B5,'Crew Data'!C:G,5,0)</f>
        <v>Duangkamon Thongfuang</v>
      </c>
      <c r="D5" s="121" t="s">
        <v>436</v>
      </c>
      <c r="E5" s="107">
        <v>2.0</v>
      </c>
      <c r="F5" s="122">
        <f t="shared" si="1"/>
        <v>800</v>
      </c>
      <c r="G5" s="22">
        <f t="shared" si="2"/>
        <v>1</v>
      </c>
      <c r="H5" s="123" t="s">
        <v>20</v>
      </c>
      <c r="I5" s="124" t="s">
        <v>498</v>
      </c>
      <c r="J5" s="127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>
      <c r="A6" s="107">
        <v>3.0</v>
      </c>
      <c r="B6" s="138">
        <v>1011820.0</v>
      </c>
      <c r="C6" s="120" t="str">
        <f>vlookup(B6,'Crew Data'!C:G,5,0)</f>
        <v>Nitithorn Chiangpradit</v>
      </c>
      <c r="D6" s="121" t="s">
        <v>559</v>
      </c>
      <c r="E6" s="107">
        <v>6.0</v>
      </c>
      <c r="F6" s="122">
        <f t="shared" si="1"/>
        <v>2400</v>
      </c>
      <c r="G6" s="22">
        <f t="shared" si="2"/>
        <v>1</v>
      </c>
      <c r="H6" s="123" t="s">
        <v>20</v>
      </c>
      <c r="I6" s="124" t="s">
        <v>498</v>
      </c>
      <c r="J6" s="127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>
      <c r="A7" s="107">
        <v>4.0</v>
      </c>
      <c r="B7" s="138">
        <v>1010884.0</v>
      </c>
      <c r="C7" s="120" t="str">
        <f>vlookup(B7,'Crew Data'!C:G,5,0)</f>
        <v>Gridsapol Kittipakorn</v>
      </c>
      <c r="D7" s="125">
        <v>45808.0</v>
      </c>
      <c r="E7" s="107">
        <v>1.0</v>
      </c>
      <c r="F7" s="122">
        <f t="shared" si="1"/>
        <v>400</v>
      </c>
      <c r="G7" s="22">
        <f t="shared" si="2"/>
        <v>1</v>
      </c>
      <c r="H7" s="123" t="s">
        <v>20</v>
      </c>
      <c r="I7" s="124" t="s">
        <v>498</v>
      </c>
      <c r="J7" s="127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>
      <c r="A8" s="107">
        <v>5.0</v>
      </c>
      <c r="B8" s="138">
        <v>1007147.0</v>
      </c>
      <c r="C8" s="120" t="str">
        <f>vlookup(B8,'Crew Data'!C:G,5,0)</f>
        <v>Nongnaphat Ongetphon</v>
      </c>
      <c r="D8" s="121" t="s">
        <v>560</v>
      </c>
      <c r="E8" s="107">
        <v>4.0</v>
      </c>
      <c r="F8" s="122">
        <f t="shared" si="1"/>
        <v>1600</v>
      </c>
      <c r="G8" s="22">
        <f t="shared" si="2"/>
        <v>1</v>
      </c>
      <c r="H8" s="123" t="s">
        <v>20</v>
      </c>
      <c r="I8" s="124"/>
      <c r="J8" s="127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>
      <c r="A9" s="107">
        <v>6.0</v>
      </c>
      <c r="B9" s="138">
        <v>1007153.0</v>
      </c>
      <c r="C9" s="120" t="str">
        <f>vlookup(B9,'Crew Data'!C:G,5,0)</f>
        <v>Pannathat Chuchuaisuwan</v>
      </c>
      <c r="D9" s="121" t="s">
        <v>561</v>
      </c>
      <c r="E9" s="107">
        <v>2.0</v>
      </c>
      <c r="F9" s="122">
        <f t="shared" si="1"/>
        <v>800</v>
      </c>
      <c r="G9" s="22">
        <f t="shared" si="2"/>
        <v>1</v>
      </c>
      <c r="H9" s="123" t="s">
        <v>20</v>
      </c>
      <c r="I9" s="124"/>
      <c r="J9" s="127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>
      <c r="A10" s="107">
        <v>7.0</v>
      </c>
      <c r="B10" s="138">
        <v>1012155.0</v>
      </c>
      <c r="C10" s="120" t="str">
        <f>vlookup(B10,'Crew Data'!C:G,5,0)</f>
        <v>Duangsuree Krairatanalerk</v>
      </c>
      <c r="D10" s="121" t="s">
        <v>562</v>
      </c>
      <c r="E10" s="107">
        <v>2.0</v>
      </c>
      <c r="F10" s="122">
        <f t="shared" si="1"/>
        <v>800</v>
      </c>
      <c r="G10" s="22">
        <f t="shared" si="2"/>
        <v>1</v>
      </c>
      <c r="H10" s="123" t="s">
        <v>20</v>
      </c>
      <c r="I10" s="124"/>
      <c r="J10" s="127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>
      <c r="A11" s="107">
        <v>8.0</v>
      </c>
      <c r="B11" s="138">
        <v>1001082.0</v>
      </c>
      <c r="C11" s="120" t="str">
        <f>vlookup(B11,'Crew Data'!C:G,5,0)</f>
        <v>Pobsaran Chantaratim</v>
      </c>
      <c r="D11" s="121" t="s">
        <v>499</v>
      </c>
      <c r="E11" s="107">
        <v>2.0</v>
      </c>
      <c r="F11" s="122">
        <f t="shared" si="1"/>
        <v>800</v>
      </c>
      <c r="G11" s="22">
        <f t="shared" si="2"/>
        <v>1</v>
      </c>
      <c r="H11" s="123" t="s">
        <v>20</v>
      </c>
      <c r="I11" s="124"/>
      <c r="J11" s="127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>
      <c r="A12" s="107">
        <v>9.0</v>
      </c>
      <c r="B12" s="138">
        <v>1010731.0</v>
      </c>
      <c r="C12" s="120" t="str">
        <f>vlookup(B12,'Crew Data'!C:G,5,0)</f>
        <v>Samatikan Boonket</v>
      </c>
      <c r="D12" s="121" t="s">
        <v>563</v>
      </c>
      <c r="E12" s="107">
        <v>2.0</v>
      </c>
      <c r="F12" s="122">
        <f t="shared" si="1"/>
        <v>800</v>
      </c>
      <c r="G12" s="22">
        <f t="shared" si="2"/>
        <v>1</v>
      </c>
      <c r="H12" s="123" t="s">
        <v>20</v>
      </c>
      <c r="I12" s="124"/>
      <c r="J12" s="127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>
      <c r="A13" s="107">
        <v>10.0</v>
      </c>
      <c r="B13" s="138">
        <v>1003392.0</v>
      </c>
      <c r="C13" s="120" t="str">
        <f>vlookup(B13,'Crew Data'!C:G,5,0)</f>
        <v>Punnaphas Tawornpanmanee</v>
      </c>
      <c r="D13" s="121" t="s">
        <v>564</v>
      </c>
      <c r="E13" s="107">
        <v>2.0</v>
      </c>
      <c r="F13" s="122">
        <f t="shared" si="1"/>
        <v>800</v>
      </c>
      <c r="G13" s="22">
        <f t="shared" si="2"/>
        <v>1</v>
      </c>
      <c r="H13" s="123" t="s">
        <v>20</v>
      </c>
      <c r="I13" s="124"/>
      <c r="J13" s="127"/>
      <c r="K13" s="31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>
      <c r="A14" s="107">
        <v>11.0</v>
      </c>
      <c r="B14" s="138">
        <v>1018535.0</v>
      </c>
      <c r="C14" s="120" t="str">
        <f>vlookup(B14,'Crew Data'!C:G,5,0)</f>
        <v>Nawapu Dontaolek</v>
      </c>
      <c r="D14" s="121" t="s">
        <v>565</v>
      </c>
      <c r="E14" s="107">
        <v>2.0</v>
      </c>
      <c r="F14" s="122">
        <f t="shared" si="1"/>
        <v>800</v>
      </c>
      <c r="G14" s="22">
        <f t="shared" si="2"/>
        <v>1</v>
      </c>
      <c r="H14" s="123" t="s">
        <v>20</v>
      </c>
      <c r="I14" s="124"/>
      <c r="J14" s="127"/>
      <c r="K14" s="31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107">
        <v>12.0</v>
      </c>
      <c r="B15" s="138">
        <v>1000735.0</v>
      </c>
      <c r="C15" s="120" t="str">
        <f>vlookup(B15,'Crew Data'!C:G,5,0)</f>
        <v>Darunee Duangdara</v>
      </c>
      <c r="D15" s="121" t="s">
        <v>566</v>
      </c>
      <c r="E15" s="107">
        <v>2.0</v>
      </c>
      <c r="F15" s="122">
        <f t="shared" si="1"/>
        <v>800</v>
      </c>
      <c r="G15" s="22">
        <f t="shared" si="2"/>
        <v>1</v>
      </c>
      <c r="H15" s="123" t="s">
        <v>20</v>
      </c>
      <c r="I15" s="124"/>
      <c r="J15" s="127"/>
      <c r="K15" s="31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107">
        <v>13.0</v>
      </c>
      <c r="B16" s="138">
        <v>1040354.0</v>
      </c>
      <c r="C16" s="120" t="str">
        <f>vlookup(B16,'Crew Data'!C:G,5,0)</f>
        <v>#N/A</v>
      </c>
      <c r="D16" s="121" t="s">
        <v>567</v>
      </c>
      <c r="E16" s="107">
        <v>2.0</v>
      </c>
      <c r="F16" s="122">
        <f t="shared" si="1"/>
        <v>800</v>
      </c>
      <c r="G16" s="22">
        <f t="shared" si="2"/>
        <v>1</v>
      </c>
      <c r="H16" s="123" t="s">
        <v>20</v>
      </c>
      <c r="I16" s="124"/>
      <c r="J16" s="127"/>
      <c r="K16" s="31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107">
        <v>14.0</v>
      </c>
      <c r="B17" s="138">
        <v>1001738.0</v>
      </c>
      <c r="C17" s="120" t="str">
        <f>vlookup(B17,'Crew Data'!C:G,5,0)</f>
        <v>Nannaphat Poolklai</v>
      </c>
      <c r="D17" s="121" t="s">
        <v>567</v>
      </c>
      <c r="E17" s="107">
        <v>2.0</v>
      </c>
      <c r="F17" s="122">
        <f t="shared" si="1"/>
        <v>800</v>
      </c>
      <c r="G17" s="22">
        <f t="shared" si="2"/>
        <v>1</v>
      </c>
      <c r="H17" s="123" t="s">
        <v>20</v>
      </c>
      <c r="I17" s="124"/>
      <c r="J17" s="127"/>
      <c r="K17" s="31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107">
        <v>15.0</v>
      </c>
      <c r="B18" s="138">
        <v>1010879.0</v>
      </c>
      <c r="C18" s="120" t="str">
        <f>vlookup(B18,'Crew Data'!C:G,5,0)</f>
        <v>Bhasana Chindalat</v>
      </c>
      <c r="D18" s="121" t="s">
        <v>568</v>
      </c>
      <c r="E18" s="107">
        <v>2.0</v>
      </c>
      <c r="F18" s="122">
        <f t="shared" si="1"/>
        <v>800</v>
      </c>
      <c r="G18" s="22">
        <f t="shared" si="2"/>
        <v>1</v>
      </c>
      <c r="H18" s="123" t="s">
        <v>20</v>
      </c>
      <c r="I18" s="124"/>
      <c r="J18" s="127"/>
      <c r="K18" s="31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107">
        <v>16.0</v>
      </c>
      <c r="B19" s="139">
        <v>1003390.0</v>
      </c>
      <c r="C19" s="120" t="str">
        <f>vlookup(B19,'Crew Data'!C:G,5,0)</f>
        <v>Pattaranit Trejareonwiwat</v>
      </c>
      <c r="D19" s="121" t="s">
        <v>569</v>
      </c>
      <c r="E19" s="107">
        <v>2.0</v>
      </c>
      <c r="F19" s="122">
        <f t="shared" si="1"/>
        <v>800</v>
      </c>
      <c r="G19" s="22">
        <f t="shared" si="2"/>
        <v>1</v>
      </c>
      <c r="H19" s="123" t="s">
        <v>20</v>
      </c>
      <c r="I19" s="124"/>
      <c r="J19" s="127"/>
      <c r="K19" s="31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107">
        <v>17.0</v>
      </c>
      <c r="B20" s="139">
        <v>1007340.0</v>
      </c>
      <c r="C20" s="120" t="str">
        <f>vlookup(B20,'Crew Data'!C:G,5,0)</f>
        <v>Patpapada Vadtanawat</v>
      </c>
      <c r="D20" s="121" t="s">
        <v>568</v>
      </c>
      <c r="E20" s="107">
        <v>2.0</v>
      </c>
      <c r="F20" s="122">
        <f t="shared" si="1"/>
        <v>800</v>
      </c>
      <c r="G20" s="22">
        <f t="shared" si="2"/>
        <v>1</v>
      </c>
      <c r="H20" s="123" t="s">
        <v>20</v>
      </c>
      <c r="I20" s="124"/>
      <c r="J20" s="127"/>
      <c r="K20" s="31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107">
        <v>18.0</v>
      </c>
      <c r="B21" s="139">
        <v>1007009.0</v>
      </c>
      <c r="C21" s="120" t="str">
        <f>vlookup(B21,'Crew Data'!C:G,5,0)</f>
        <v>Busayarat Pongratanakul</v>
      </c>
      <c r="D21" s="121" t="s">
        <v>566</v>
      </c>
      <c r="E21" s="107">
        <v>2.0</v>
      </c>
      <c r="F21" s="122">
        <f t="shared" si="1"/>
        <v>800</v>
      </c>
      <c r="G21" s="22">
        <f t="shared" si="2"/>
        <v>1</v>
      </c>
      <c r="H21" s="123" t="s">
        <v>20</v>
      </c>
      <c r="I21" s="124"/>
      <c r="J21" s="127"/>
      <c r="K21" s="31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>
      <c r="A22" s="107">
        <v>19.0</v>
      </c>
      <c r="B22" s="139">
        <v>1040336.0</v>
      </c>
      <c r="C22" s="120" t="str">
        <f>vlookup(B22,'Crew Data'!C:G,5,0)</f>
        <v>Patcharapan Suwanmanee</v>
      </c>
      <c r="D22" s="121" t="s">
        <v>567</v>
      </c>
      <c r="E22" s="107">
        <v>2.0</v>
      </c>
      <c r="F22" s="122">
        <f t="shared" si="1"/>
        <v>800</v>
      </c>
      <c r="G22" s="22">
        <f t="shared" si="2"/>
        <v>1</v>
      </c>
      <c r="H22" s="123" t="s">
        <v>20</v>
      </c>
      <c r="I22" s="124"/>
      <c r="J22" s="127"/>
      <c r="K22" s="31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>
      <c r="A23" s="107">
        <v>20.0</v>
      </c>
      <c r="B23" s="139">
        <v>1026026.0</v>
      </c>
      <c r="C23" s="120" t="str">
        <f>vlookup(B23,'Crew Data'!C:G,5,0)</f>
        <v>Punyisa Wongsawan</v>
      </c>
      <c r="D23" s="121" t="s">
        <v>570</v>
      </c>
      <c r="E23" s="107">
        <v>2.0</v>
      </c>
      <c r="F23" s="122">
        <f t="shared" si="1"/>
        <v>800</v>
      </c>
      <c r="G23" s="22">
        <f t="shared" si="2"/>
        <v>1</v>
      </c>
      <c r="H23" s="123" t="s">
        <v>20</v>
      </c>
      <c r="I23" s="124"/>
      <c r="J23" s="127"/>
      <c r="K23" s="31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>
      <c r="A24" s="107">
        <v>21.0</v>
      </c>
      <c r="B24" s="139">
        <v>1040911.0</v>
      </c>
      <c r="C24" s="120" t="str">
        <f>vlookup(B24,'Crew Data'!C:G,5,0)</f>
        <v>Supanun Suwanbongkot</v>
      </c>
      <c r="D24" s="121" t="s">
        <v>571</v>
      </c>
      <c r="E24" s="107">
        <v>2.0</v>
      </c>
      <c r="F24" s="122">
        <f t="shared" si="1"/>
        <v>800</v>
      </c>
      <c r="G24" s="22">
        <f t="shared" si="2"/>
        <v>1</v>
      </c>
      <c r="H24" s="123" t="s">
        <v>20</v>
      </c>
      <c r="I24" s="124"/>
      <c r="J24" s="127"/>
      <c r="K24" s="31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>
      <c r="A25" s="107">
        <v>22.0</v>
      </c>
      <c r="B25" s="138">
        <v>1009011.0</v>
      </c>
      <c r="C25" s="120" t="str">
        <f>vlookup(B25,'Crew Data'!C:G,5,0)</f>
        <v>Weerayos Rungudomsinsakul</v>
      </c>
      <c r="D25" s="121" t="s">
        <v>572</v>
      </c>
      <c r="E25" s="107">
        <v>2.0</v>
      </c>
      <c r="F25" s="122">
        <f t="shared" si="1"/>
        <v>800</v>
      </c>
      <c r="G25" s="22">
        <f t="shared" si="2"/>
        <v>1</v>
      </c>
      <c r="H25" s="123" t="s">
        <v>20</v>
      </c>
      <c r="I25" s="126"/>
      <c r="J25" s="127"/>
      <c r="K25" s="31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>
      <c r="A26" s="107">
        <v>23.0</v>
      </c>
      <c r="B26" s="138">
        <v>1005302.0</v>
      </c>
      <c r="C26" s="120" t="str">
        <f>vlookup(B26,'Crew Data'!C:G,5,0)</f>
        <v>Pinyada Wachiradetsathain</v>
      </c>
      <c r="D26" s="121" t="s">
        <v>572</v>
      </c>
      <c r="E26" s="107">
        <v>2.0</v>
      </c>
      <c r="F26" s="122">
        <f t="shared" si="1"/>
        <v>800</v>
      </c>
      <c r="G26" s="22">
        <f t="shared" si="2"/>
        <v>1</v>
      </c>
      <c r="H26" s="123" t="s">
        <v>20</v>
      </c>
      <c r="I26" s="126"/>
      <c r="J26" s="127"/>
      <c r="K26" s="31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>
      <c r="A27" s="107">
        <v>24.0</v>
      </c>
      <c r="B27" s="138">
        <v>1012906.0</v>
      </c>
      <c r="C27" s="120" t="str">
        <f>vlookup(B27,'Crew Data'!C:G,5,0)</f>
        <v>Thanametth Wachiradatsathien</v>
      </c>
      <c r="D27" s="121" t="s">
        <v>572</v>
      </c>
      <c r="E27" s="107">
        <v>2.0</v>
      </c>
      <c r="F27" s="122">
        <f t="shared" si="1"/>
        <v>800</v>
      </c>
      <c r="G27" s="22">
        <f t="shared" si="2"/>
        <v>1</v>
      </c>
      <c r="H27" s="123" t="s">
        <v>20</v>
      </c>
      <c r="I27" s="126"/>
      <c r="J27" s="127"/>
      <c r="K27" s="31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>
      <c r="A28" s="107">
        <v>25.0</v>
      </c>
      <c r="B28" s="138">
        <v>1004204.0</v>
      </c>
      <c r="C28" s="120" t="str">
        <f>vlookup(B28,'Crew Data'!C:G,5,0)</f>
        <v>Phasita Khomdech</v>
      </c>
      <c r="D28" s="121" t="s">
        <v>573</v>
      </c>
      <c r="E28" s="107">
        <v>2.0</v>
      </c>
      <c r="F28" s="122">
        <f t="shared" si="1"/>
        <v>800</v>
      </c>
      <c r="G28" s="22">
        <f t="shared" si="2"/>
        <v>1</v>
      </c>
      <c r="H28" s="123" t="s">
        <v>20</v>
      </c>
      <c r="I28" s="126"/>
      <c r="J28" s="127"/>
      <c r="K28" s="31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>
      <c r="A29" s="107">
        <v>26.0</v>
      </c>
      <c r="B29" s="139">
        <v>1038751.0</v>
      </c>
      <c r="C29" s="120" t="str">
        <f>vlookup(B29,'Crew Data'!C:G,5,0)</f>
        <v>Donlaya Promthep</v>
      </c>
      <c r="D29" s="121" t="s">
        <v>573</v>
      </c>
      <c r="E29" s="107">
        <v>2.0</v>
      </c>
      <c r="F29" s="122">
        <f t="shared" si="1"/>
        <v>800</v>
      </c>
      <c r="G29" s="22">
        <f t="shared" si="2"/>
        <v>1</v>
      </c>
      <c r="H29" s="123" t="s">
        <v>20</v>
      </c>
      <c r="I29" s="126"/>
      <c r="J29" s="127"/>
      <c r="K29" s="31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>
      <c r="A30" s="107">
        <v>27.0</v>
      </c>
      <c r="B30" s="139">
        <v>1011515.0</v>
      </c>
      <c r="C30" s="120" t="str">
        <f>vlookup(B30,'Crew Data'!C:G,5,0)</f>
        <v>Sopark Phosiri</v>
      </c>
      <c r="D30" s="121" t="s">
        <v>571</v>
      </c>
      <c r="E30" s="107">
        <v>2.0</v>
      </c>
      <c r="F30" s="122">
        <f t="shared" si="1"/>
        <v>800</v>
      </c>
      <c r="G30" s="22">
        <f t="shared" si="2"/>
        <v>1</v>
      </c>
      <c r="H30" s="123" t="s">
        <v>20</v>
      </c>
      <c r="I30" s="126"/>
      <c r="J30" s="127"/>
      <c r="K30" s="31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>
      <c r="A31" s="107">
        <v>28.0</v>
      </c>
      <c r="B31" s="138">
        <v>1005303.0</v>
      </c>
      <c r="C31" s="120" t="str">
        <f>vlookup(B31,'Crew Data'!C:G,5,0)</f>
        <v>Piyathida Jaikla</v>
      </c>
      <c r="D31" s="121" t="s">
        <v>574</v>
      </c>
      <c r="E31" s="107">
        <v>2.0</v>
      </c>
      <c r="F31" s="122">
        <f t="shared" si="1"/>
        <v>800</v>
      </c>
      <c r="G31" s="22">
        <f t="shared" si="2"/>
        <v>1</v>
      </c>
      <c r="H31" s="123" t="s">
        <v>20</v>
      </c>
      <c r="I31" s="126"/>
      <c r="J31" s="127"/>
      <c r="K31" s="31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>
      <c r="A32" s="107">
        <v>29.0</v>
      </c>
      <c r="B32" s="138">
        <v>1025547.0</v>
      </c>
      <c r="C32" s="120" t="str">
        <f>vlookup(B32,'Crew Data'!C:G,5,0)</f>
        <v>Jarumon Iamkanthong</v>
      </c>
      <c r="D32" s="121" t="s">
        <v>573</v>
      </c>
      <c r="E32" s="107">
        <v>2.0</v>
      </c>
      <c r="F32" s="122">
        <f t="shared" si="1"/>
        <v>800</v>
      </c>
      <c r="G32" s="22">
        <f t="shared" si="2"/>
        <v>1</v>
      </c>
      <c r="H32" s="123" t="s">
        <v>20</v>
      </c>
      <c r="I32" s="126"/>
      <c r="J32" s="127"/>
      <c r="K32" s="31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>
      <c r="A33" s="107">
        <v>30.0</v>
      </c>
      <c r="B33" s="138">
        <v>1007157.0</v>
      </c>
      <c r="C33" s="120" t="str">
        <f>vlookup(B33,'Crew Data'!C:G,5,0)</f>
        <v>Pichanun Seneetantikul</v>
      </c>
      <c r="D33" s="121" t="s">
        <v>564</v>
      </c>
      <c r="E33" s="107">
        <v>2.0</v>
      </c>
      <c r="F33" s="122">
        <f t="shared" si="1"/>
        <v>800</v>
      </c>
      <c r="G33" s="22">
        <f t="shared" si="2"/>
        <v>1</v>
      </c>
      <c r="H33" s="123" t="s">
        <v>20</v>
      </c>
      <c r="I33" s="126"/>
      <c r="J33" s="127"/>
      <c r="K33" s="31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>
      <c r="A34" s="107">
        <v>31.0</v>
      </c>
      <c r="B34" s="138">
        <v>1005964.0</v>
      </c>
      <c r="C34" s="120" t="str">
        <f>vlookup(B34,'Crew Data'!C:G,5,0)</f>
        <v>Sawitri Siribunrueangwong</v>
      </c>
      <c r="D34" s="121" t="s">
        <v>561</v>
      </c>
      <c r="E34" s="107">
        <v>2.0</v>
      </c>
      <c r="F34" s="122">
        <f t="shared" si="1"/>
        <v>800</v>
      </c>
      <c r="G34" s="22">
        <f t="shared" si="2"/>
        <v>1</v>
      </c>
      <c r="H34" s="123" t="s">
        <v>20</v>
      </c>
      <c r="I34" s="126"/>
      <c r="J34" s="127"/>
      <c r="K34" s="31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>
      <c r="A35" s="107">
        <v>32.0</v>
      </c>
      <c r="B35" s="138">
        <v>1004213.0</v>
      </c>
      <c r="C35" s="120" t="str">
        <f>vlookup(B35,'Crew Data'!C:G,5,0)</f>
        <v>Worapada Suetrongmunkong</v>
      </c>
      <c r="D35" s="121" t="s">
        <v>575</v>
      </c>
      <c r="E35" s="107">
        <v>4.0</v>
      </c>
      <c r="F35" s="122">
        <f t="shared" si="1"/>
        <v>1600</v>
      </c>
      <c r="G35" s="22">
        <f t="shared" si="2"/>
        <v>1</v>
      </c>
      <c r="H35" s="123" t="s">
        <v>20</v>
      </c>
      <c r="I35" s="126"/>
      <c r="J35" s="127"/>
      <c r="K35" s="31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>
      <c r="A36" s="107">
        <v>33.0</v>
      </c>
      <c r="B36" s="138">
        <v>1004298.0</v>
      </c>
      <c r="C36" s="120" t="str">
        <f>vlookup(B36,'Crew Data'!C:G,5,0)</f>
        <v>Teerapat Kasemphongsakorn</v>
      </c>
      <c r="D36" s="121" t="s">
        <v>568</v>
      </c>
      <c r="E36" s="107">
        <v>2.0</v>
      </c>
      <c r="F36" s="122">
        <f t="shared" si="1"/>
        <v>800</v>
      </c>
      <c r="G36" s="22">
        <f t="shared" si="2"/>
        <v>1</v>
      </c>
      <c r="H36" s="123" t="s">
        <v>20</v>
      </c>
      <c r="I36" s="126"/>
      <c r="J36" s="127"/>
      <c r="K36" s="31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>
      <c r="A37" s="107">
        <v>34.0</v>
      </c>
      <c r="B37" s="138">
        <v>1019542.0</v>
      </c>
      <c r="C37" s="120" t="str">
        <f>vlookup(B37,'Crew Data'!C:G,5,0)</f>
        <v>Siravich Prathompatama</v>
      </c>
      <c r="D37" s="121" t="s">
        <v>576</v>
      </c>
      <c r="E37" s="107">
        <v>7.0</v>
      </c>
      <c r="F37" s="122">
        <f t="shared" si="1"/>
        <v>2800</v>
      </c>
      <c r="G37" s="22">
        <f t="shared" si="2"/>
        <v>1</v>
      </c>
      <c r="H37" s="123" t="s">
        <v>20</v>
      </c>
      <c r="I37" s="126"/>
      <c r="J37" s="127"/>
      <c r="K37" s="31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>
      <c r="A38" s="107">
        <v>35.0</v>
      </c>
      <c r="B38" s="138">
        <v>1001286.0</v>
      </c>
      <c r="C38" s="120" t="str">
        <f>vlookup(B38,'Crew Data'!C:G,5,0)</f>
        <v>Sirinart Auypornbusyakom</v>
      </c>
      <c r="D38" s="121" t="s">
        <v>577</v>
      </c>
      <c r="E38" s="107">
        <v>8.0</v>
      </c>
      <c r="F38" s="122">
        <f t="shared" si="1"/>
        <v>3200</v>
      </c>
      <c r="G38" s="22">
        <f t="shared" si="2"/>
        <v>1</v>
      </c>
      <c r="H38" s="123" t="s">
        <v>20</v>
      </c>
      <c r="I38" s="126"/>
      <c r="J38" s="127"/>
      <c r="K38" s="31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>
      <c r="A39" s="107">
        <v>36.0</v>
      </c>
      <c r="B39" s="138">
        <v>1011513.0</v>
      </c>
      <c r="C39" s="120" t="str">
        <f>vlookup(B39,'Crew Data'!C:G,5,0)</f>
        <v>Rawitnat Marayat</v>
      </c>
      <c r="D39" s="121" t="s">
        <v>578</v>
      </c>
      <c r="E39" s="107">
        <v>2.0</v>
      </c>
      <c r="F39" s="122">
        <f t="shared" si="1"/>
        <v>800</v>
      </c>
      <c r="G39" s="22">
        <f t="shared" si="2"/>
        <v>1</v>
      </c>
      <c r="H39" s="123" t="s">
        <v>20</v>
      </c>
      <c r="I39" s="126"/>
      <c r="J39" s="127"/>
      <c r="K39" s="31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>
      <c r="A40" s="107">
        <v>37.0</v>
      </c>
      <c r="B40" s="138">
        <v>1017639.0</v>
      </c>
      <c r="C40" s="120" t="str">
        <f>vlookup(B40,'Crew Data'!C:G,5,0)</f>
        <v>Dhanupol Sagulsukhmongkol</v>
      </c>
      <c r="D40" s="121" t="s">
        <v>579</v>
      </c>
      <c r="E40" s="107">
        <v>4.0</v>
      </c>
      <c r="F40" s="122">
        <f t="shared" si="1"/>
        <v>1600</v>
      </c>
      <c r="G40" s="22">
        <f t="shared" si="2"/>
        <v>1</v>
      </c>
      <c r="H40" s="123" t="s">
        <v>20</v>
      </c>
      <c r="I40" s="126"/>
      <c r="J40" s="127"/>
      <c r="K40" s="31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>
      <c r="A41" s="107">
        <v>38.0</v>
      </c>
      <c r="B41" s="138">
        <v>1007138.0</v>
      </c>
      <c r="C41" s="120" t="str">
        <f>vlookup(B41,'Crew Data'!C:G,5,0)</f>
        <v>Muanprae Fukiatisuthi</v>
      </c>
      <c r="D41" s="121" t="s">
        <v>574</v>
      </c>
      <c r="E41" s="107">
        <v>2.0</v>
      </c>
      <c r="F41" s="122">
        <f t="shared" si="1"/>
        <v>800</v>
      </c>
      <c r="G41" s="22">
        <f t="shared" si="2"/>
        <v>1</v>
      </c>
      <c r="H41" s="123" t="s">
        <v>20</v>
      </c>
      <c r="I41" s="126"/>
      <c r="J41" s="127"/>
      <c r="K41" s="31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>
      <c r="A42" s="107">
        <v>39.0</v>
      </c>
      <c r="B42" s="138">
        <v>1043870.0</v>
      </c>
      <c r="C42" s="120" t="str">
        <f>vlookup(B42,'Crew Data'!C:G,5,0)</f>
        <v>Daranphon Chaikiatchanyaphon</v>
      </c>
      <c r="D42" s="121" t="s">
        <v>580</v>
      </c>
      <c r="E42" s="107">
        <v>2.0</v>
      </c>
      <c r="F42" s="122">
        <f t="shared" si="1"/>
        <v>800</v>
      </c>
      <c r="G42" s="22">
        <f t="shared" si="2"/>
        <v>1</v>
      </c>
      <c r="H42" s="123" t="s">
        <v>20</v>
      </c>
      <c r="I42" s="126"/>
      <c r="J42" s="127"/>
      <c r="K42" s="31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>
      <c r="A43" s="107">
        <v>40.0</v>
      </c>
      <c r="B43" s="138">
        <v>1043863.0</v>
      </c>
      <c r="C43" s="120" t="str">
        <f>vlookup(B43,'Crew Data'!C:G,5,0)</f>
        <v>Paritchamon Seomphong</v>
      </c>
      <c r="D43" s="121" t="s">
        <v>581</v>
      </c>
      <c r="E43" s="107">
        <v>2.0</v>
      </c>
      <c r="F43" s="122">
        <f t="shared" si="1"/>
        <v>800</v>
      </c>
      <c r="G43" s="22">
        <f t="shared" si="2"/>
        <v>1</v>
      </c>
      <c r="H43" s="123" t="s">
        <v>20</v>
      </c>
      <c r="I43" s="126"/>
      <c r="J43" s="127"/>
      <c r="K43" s="31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>
      <c r="A44" s="107">
        <v>41.0</v>
      </c>
      <c r="B44" s="140">
        <v>1044862.0</v>
      </c>
      <c r="C44" s="120" t="str">
        <f>vlookup(B44,'Crew Data'!C:G,5,0)</f>
        <v>Suriwassa Sukphon</v>
      </c>
      <c r="D44" s="121" t="s">
        <v>569</v>
      </c>
      <c r="E44" s="107">
        <v>2.0</v>
      </c>
      <c r="F44" s="122">
        <f t="shared" si="1"/>
        <v>800</v>
      </c>
      <c r="G44" s="22">
        <f t="shared" si="2"/>
        <v>1</v>
      </c>
      <c r="H44" s="123" t="s">
        <v>20</v>
      </c>
      <c r="I44" s="126"/>
      <c r="J44" s="127"/>
      <c r="K44" s="31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>
      <c r="A45" s="107">
        <v>42.0</v>
      </c>
      <c r="B45" s="138">
        <v>1000732.0</v>
      </c>
      <c r="C45" s="120" t="str">
        <f>vlookup(B45,'Crew Data'!C:G,5,0)</f>
        <v>Inthra Mathiang</v>
      </c>
      <c r="D45" s="121" t="s">
        <v>561</v>
      </c>
      <c r="E45" s="107">
        <v>2.0</v>
      </c>
      <c r="F45" s="122">
        <f t="shared" si="1"/>
        <v>800</v>
      </c>
      <c r="G45" s="22">
        <f t="shared" si="2"/>
        <v>1</v>
      </c>
      <c r="H45" s="123" t="s">
        <v>20</v>
      </c>
      <c r="I45" s="126"/>
      <c r="J45" s="127"/>
      <c r="K45" s="31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>
      <c r="A46" s="107">
        <v>43.0</v>
      </c>
      <c r="B46" s="141">
        <v>1004531.0</v>
      </c>
      <c r="C46" s="120" t="str">
        <f>vlookup(B46,'Crew Data'!C:G,5,0)</f>
        <v>Nattakan Kanokpantarakorn </v>
      </c>
      <c r="D46" s="121" t="s">
        <v>566</v>
      </c>
      <c r="E46" s="107">
        <v>2.0</v>
      </c>
      <c r="F46" s="122">
        <f t="shared" si="1"/>
        <v>800</v>
      </c>
      <c r="G46" s="22">
        <f t="shared" si="2"/>
        <v>1</v>
      </c>
      <c r="H46" s="123" t="s">
        <v>20</v>
      </c>
      <c r="I46" s="126"/>
      <c r="J46" s="127"/>
      <c r="K46" s="31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>
      <c r="A47" s="107">
        <v>44.0</v>
      </c>
      <c r="B47" s="141">
        <v>1018806.0</v>
      </c>
      <c r="C47" s="120" t="str">
        <f>vlookup(B47,'Crew Data'!C:G,5,0)</f>
        <v>Penrat Srinawakul</v>
      </c>
      <c r="D47" s="121" t="s">
        <v>582</v>
      </c>
      <c r="E47" s="107">
        <v>10.0</v>
      </c>
      <c r="F47" s="122">
        <f t="shared" si="1"/>
        <v>4000</v>
      </c>
      <c r="G47" s="22">
        <f t="shared" si="2"/>
        <v>1</v>
      </c>
      <c r="H47" s="123" t="s">
        <v>20</v>
      </c>
      <c r="I47" s="126"/>
      <c r="J47" s="127"/>
      <c r="K47" s="31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>
      <c r="A48" s="107">
        <v>45.0</v>
      </c>
      <c r="B48" s="138">
        <v>1022666.0</v>
      </c>
      <c r="C48" s="120" t="str">
        <f>vlookup(B48,'Crew Data'!C:G,5,0)</f>
        <v>Suchanart Thongsongsom</v>
      </c>
      <c r="D48" s="121" t="s">
        <v>583</v>
      </c>
      <c r="E48" s="107">
        <v>2.0</v>
      </c>
      <c r="F48" s="122">
        <f t="shared" si="1"/>
        <v>800</v>
      </c>
      <c r="G48" s="22">
        <f t="shared" si="2"/>
        <v>1</v>
      </c>
      <c r="H48" s="123" t="s">
        <v>20</v>
      </c>
      <c r="I48" s="126"/>
      <c r="J48" s="127"/>
      <c r="K48" s="31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>
      <c r="A49" s="107">
        <v>46.0</v>
      </c>
      <c r="B49" s="138">
        <v>1011510.0</v>
      </c>
      <c r="C49" s="120" t="str">
        <f>vlookup(B49,'Crew Data'!C:G,5,0)</f>
        <v>Nitinai Chalongtrakul</v>
      </c>
      <c r="D49" s="121" t="s">
        <v>584</v>
      </c>
      <c r="E49" s="107">
        <v>2.0</v>
      </c>
      <c r="F49" s="122">
        <f t="shared" si="1"/>
        <v>800</v>
      </c>
      <c r="G49" s="22">
        <f t="shared" si="2"/>
        <v>1</v>
      </c>
      <c r="H49" s="123" t="s">
        <v>20</v>
      </c>
      <c r="I49" s="126"/>
      <c r="J49" s="127"/>
      <c r="K49" s="31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>
      <c r="A50" s="107">
        <v>47.0</v>
      </c>
      <c r="B50" s="138">
        <v>1004579.0</v>
      </c>
      <c r="C50" s="120" t="str">
        <f>vlookup(B50,'Crew Data'!C:G,5,0)</f>
        <v>Sanisara Wongwejsawat</v>
      </c>
      <c r="D50" s="121" t="s">
        <v>574</v>
      </c>
      <c r="E50" s="107">
        <v>2.0</v>
      </c>
      <c r="F50" s="122">
        <f t="shared" si="1"/>
        <v>800</v>
      </c>
      <c r="G50" s="22">
        <f t="shared" si="2"/>
        <v>1</v>
      </c>
      <c r="H50" s="123" t="s">
        <v>20</v>
      </c>
      <c r="I50" s="126"/>
      <c r="J50" s="127"/>
      <c r="K50" s="31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>
      <c r="A51" s="107">
        <v>48.0</v>
      </c>
      <c r="B51" s="138">
        <v>1018532.0</v>
      </c>
      <c r="C51" s="120" t="str">
        <f>vlookup(B51,'Crew Data'!C:G,5,0)</f>
        <v>Kantachet Boonserm</v>
      </c>
      <c r="D51" s="121" t="s">
        <v>585</v>
      </c>
      <c r="E51" s="107">
        <v>28.0</v>
      </c>
      <c r="F51" s="122">
        <f t="shared" si="1"/>
        <v>11200</v>
      </c>
      <c r="G51" s="22">
        <f t="shared" si="2"/>
        <v>1</v>
      </c>
      <c r="H51" s="123" t="s">
        <v>20</v>
      </c>
      <c r="I51" s="126"/>
      <c r="J51" s="127"/>
      <c r="K51" s="31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>
      <c r="A52" s="107">
        <v>49.0</v>
      </c>
      <c r="B52" s="138">
        <v>1008211.0</v>
      </c>
      <c r="C52" s="120" t="str">
        <f>vlookup(B52,'Crew Data'!C:G,5,0)</f>
        <v>Jinnanat Buree</v>
      </c>
      <c r="D52" s="121" t="s">
        <v>566</v>
      </c>
      <c r="E52" s="107">
        <v>2.0</v>
      </c>
      <c r="F52" s="122">
        <f t="shared" si="1"/>
        <v>800</v>
      </c>
      <c r="G52" s="22">
        <f t="shared" si="2"/>
        <v>1</v>
      </c>
      <c r="H52" s="123" t="s">
        <v>20</v>
      </c>
      <c r="I52" s="126"/>
      <c r="J52" s="127"/>
      <c r="K52" s="31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>
      <c r="A53" s="107">
        <v>50.0</v>
      </c>
      <c r="B53" s="138">
        <v>1011065.0</v>
      </c>
      <c r="C53" s="120" t="str">
        <f>vlookup(B53,'Crew Data'!C:G,5,0)</f>
        <v>Krittapak Chuchuaisuwan</v>
      </c>
      <c r="D53" s="121" t="s">
        <v>586</v>
      </c>
      <c r="E53" s="107">
        <v>4.0</v>
      </c>
      <c r="F53" s="122">
        <f t="shared" si="1"/>
        <v>1600</v>
      </c>
      <c r="G53" s="22">
        <f t="shared" si="2"/>
        <v>1</v>
      </c>
      <c r="H53" s="123" t="s">
        <v>20</v>
      </c>
      <c r="I53" s="126"/>
      <c r="J53" s="127"/>
      <c r="K53" s="31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>
      <c r="A54" s="107">
        <v>51.0</v>
      </c>
      <c r="B54" s="138">
        <v>1000486.0</v>
      </c>
      <c r="C54" s="120" t="str">
        <f>vlookup(B54,'Crew Data'!C:G,5,0)</f>
        <v>Ratthinan Wasupornwiboon</v>
      </c>
      <c r="D54" s="121" t="s">
        <v>571</v>
      </c>
      <c r="E54" s="107">
        <v>2.0</v>
      </c>
      <c r="F54" s="122">
        <f t="shared" si="1"/>
        <v>800</v>
      </c>
      <c r="G54" s="22">
        <f t="shared" si="2"/>
        <v>1</v>
      </c>
      <c r="H54" s="123" t="s">
        <v>20</v>
      </c>
      <c r="I54" s="126"/>
      <c r="J54" s="127"/>
      <c r="K54" s="31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>
      <c r="A55" s="107">
        <v>52.0</v>
      </c>
      <c r="B55" s="138">
        <v>1007012.0</v>
      </c>
      <c r="C55" s="120" t="str">
        <f>vlookup(B55,'Crew Data'!C:G,5,0)</f>
        <v>Nualpran Waitayachaiwat</v>
      </c>
      <c r="D55" s="125">
        <v>45809.0</v>
      </c>
      <c r="E55" s="107">
        <v>1.0</v>
      </c>
      <c r="F55" s="122">
        <f t="shared" si="1"/>
        <v>400</v>
      </c>
      <c r="G55" s="22">
        <f t="shared" si="2"/>
        <v>1</v>
      </c>
      <c r="H55" s="123" t="s">
        <v>20</v>
      </c>
      <c r="I55" s="126"/>
      <c r="J55" s="127"/>
      <c r="K55" s="31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>
      <c r="A56" s="107">
        <v>53.0</v>
      </c>
      <c r="B56" s="138">
        <v>1002910.0</v>
      </c>
      <c r="C56" s="120" t="str">
        <f>vlookup(B56,'Crew Data'!C:G,5,0)</f>
        <v>Patsita Patchararujirathchot</v>
      </c>
      <c r="D56" s="121" t="s">
        <v>587</v>
      </c>
      <c r="E56" s="107">
        <v>30.0</v>
      </c>
      <c r="F56" s="122">
        <f t="shared" si="1"/>
        <v>12000</v>
      </c>
      <c r="G56" s="22">
        <f t="shared" si="2"/>
        <v>1</v>
      </c>
      <c r="H56" s="123" t="s">
        <v>20</v>
      </c>
      <c r="I56" s="126"/>
      <c r="J56" s="127"/>
      <c r="K56" s="31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>
      <c r="A57" s="107">
        <v>54.0</v>
      </c>
      <c r="B57" s="138">
        <v>1008987.0</v>
      </c>
      <c r="C57" s="120" t="str">
        <f>vlookup(B57,'Crew Data'!C:G,5,0)</f>
        <v>Punnasisth Rangshirinanthakorn</v>
      </c>
      <c r="D57" s="121" t="s">
        <v>588</v>
      </c>
      <c r="E57" s="107">
        <v>2.0</v>
      </c>
      <c r="F57" s="122">
        <f t="shared" si="1"/>
        <v>800</v>
      </c>
      <c r="G57" s="22">
        <f t="shared" si="2"/>
        <v>1</v>
      </c>
      <c r="H57" s="123" t="s">
        <v>20</v>
      </c>
      <c r="I57" s="126"/>
      <c r="J57" s="127"/>
      <c r="K57" s="31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>
      <c r="A58" s="107">
        <v>55.0</v>
      </c>
      <c r="B58" s="138">
        <v>1001837.0</v>
      </c>
      <c r="C58" s="120" t="str">
        <f>vlookup(B58,'Crew Data'!C:G,5,0)</f>
        <v>Taralan Jareemuk</v>
      </c>
      <c r="D58" s="121" t="s">
        <v>589</v>
      </c>
      <c r="E58" s="107">
        <v>28.0</v>
      </c>
      <c r="F58" s="122">
        <f t="shared" si="1"/>
        <v>11200</v>
      </c>
      <c r="G58" s="22">
        <f t="shared" si="2"/>
        <v>1</v>
      </c>
      <c r="H58" s="123" t="s">
        <v>20</v>
      </c>
      <c r="I58" s="126"/>
      <c r="J58" s="127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>
      <c r="A59" s="107">
        <v>56.0</v>
      </c>
      <c r="B59" s="138">
        <v>1011308.0</v>
      </c>
      <c r="C59" s="120" t="str">
        <f>vlookup(B59,'Crew Data'!C:G,5,0)</f>
        <v>Narisa Jotikasathira</v>
      </c>
      <c r="D59" s="121" t="s">
        <v>587</v>
      </c>
      <c r="E59" s="107">
        <v>30.0</v>
      </c>
      <c r="F59" s="122">
        <f t="shared" si="1"/>
        <v>12000</v>
      </c>
      <c r="G59" s="22">
        <f t="shared" si="2"/>
        <v>1</v>
      </c>
      <c r="H59" s="123" t="s">
        <v>20</v>
      </c>
      <c r="I59" s="126"/>
      <c r="J59" s="127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>
      <c r="A60" s="107">
        <v>57.0</v>
      </c>
      <c r="B60" s="138">
        <v>1014086.0</v>
      </c>
      <c r="C60" s="120" t="str">
        <f>vlookup(B60,'Crew Data'!C:G,5,0)</f>
        <v>Shutimon Srisanguansakul</v>
      </c>
      <c r="D60" s="121" t="s">
        <v>590</v>
      </c>
      <c r="E60" s="107">
        <v>2.0</v>
      </c>
      <c r="F60" s="122">
        <f t="shared" si="1"/>
        <v>800</v>
      </c>
      <c r="G60" s="22">
        <f t="shared" si="2"/>
        <v>1</v>
      </c>
      <c r="H60" s="123" t="s">
        <v>20</v>
      </c>
      <c r="I60" s="126"/>
      <c r="J60" s="127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>
      <c r="A61" s="107">
        <v>58.0</v>
      </c>
      <c r="B61" s="138">
        <v>1012902.0</v>
      </c>
      <c r="C61" s="120" t="str">
        <f>vlookup(B61,'Crew Data'!C:G,5,0)</f>
        <v>Saowarat Sowa</v>
      </c>
      <c r="D61" s="121" t="s">
        <v>569</v>
      </c>
      <c r="E61" s="107">
        <v>2.0</v>
      </c>
      <c r="F61" s="122">
        <f t="shared" si="1"/>
        <v>800</v>
      </c>
      <c r="G61" s="22">
        <f t="shared" si="2"/>
        <v>1</v>
      </c>
      <c r="H61" s="123" t="s">
        <v>20</v>
      </c>
      <c r="I61" s="126"/>
      <c r="J61" s="127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>
      <c r="A62" s="107">
        <v>59.0</v>
      </c>
      <c r="B62" s="138">
        <v>1006830.0</v>
      </c>
      <c r="C62" s="120" t="str">
        <f>vlookup(B62,'Crew Data'!C:G,5,0)</f>
        <v>#N/A</v>
      </c>
      <c r="D62" s="121" t="s">
        <v>591</v>
      </c>
      <c r="E62" s="107">
        <v>4.0</v>
      </c>
      <c r="F62" s="122">
        <f t="shared" si="1"/>
        <v>1600</v>
      </c>
      <c r="G62" s="22">
        <f t="shared" si="2"/>
        <v>1</v>
      </c>
      <c r="H62" s="123" t="s">
        <v>20</v>
      </c>
      <c r="I62" s="126"/>
      <c r="J62" s="127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>
      <c r="A63" s="107">
        <v>60.0</v>
      </c>
      <c r="B63" s="138">
        <v>1039129.0</v>
      </c>
      <c r="C63" s="120" t="str">
        <f>vlookup(B63,'Crew Data'!C:G,5,0)</f>
        <v>Thitikan Bubphachuen</v>
      </c>
      <c r="D63" s="121" t="s">
        <v>578</v>
      </c>
      <c r="E63" s="107">
        <v>2.0</v>
      </c>
      <c r="F63" s="122">
        <f t="shared" si="1"/>
        <v>800</v>
      </c>
      <c r="G63" s="22">
        <f t="shared" si="2"/>
        <v>1</v>
      </c>
      <c r="H63" s="123" t="s">
        <v>20</v>
      </c>
      <c r="I63" s="126"/>
      <c r="J63" s="127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>
      <c r="A64" s="107">
        <v>61.0</v>
      </c>
      <c r="B64" s="138">
        <v>1043865.0</v>
      </c>
      <c r="C64" s="120" t="str">
        <f>vlookup(B64,'Crew Data'!C:G,5,0)</f>
        <v>Wiphada Kumraksa</v>
      </c>
      <c r="D64" s="121" t="s">
        <v>569</v>
      </c>
      <c r="E64" s="107">
        <v>2.0</v>
      </c>
      <c r="F64" s="122">
        <f t="shared" si="1"/>
        <v>800</v>
      </c>
      <c r="G64" s="22">
        <f t="shared" si="2"/>
        <v>1</v>
      </c>
      <c r="H64" s="123" t="s">
        <v>20</v>
      </c>
      <c r="I64" s="126"/>
      <c r="J64" s="127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>
      <c r="A65" s="107">
        <v>62.0</v>
      </c>
      <c r="B65" s="138">
        <v>1014262.0</v>
      </c>
      <c r="C65" s="120" t="str">
        <f>vlookup(B65,'Crew Data'!C:G,5,0)</f>
        <v>Wongsakorn Chumniwatesa</v>
      </c>
      <c r="D65" s="121" t="s">
        <v>592</v>
      </c>
      <c r="E65" s="107">
        <v>4.0</v>
      </c>
      <c r="F65" s="122">
        <f t="shared" si="1"/>
        <v>1600</v>
      </c>
      <c r="G65" s="22">
        <f t="shared" si="2"/>
        <v>1</v>
      </c>
      <c r="H65" s="123" t="s">
        <v>20</v>
      </c>
      <c r="I65" s="126"/>
      <c r="J65" s="127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>
      <c r="A66" s="107">
        <v>63.0</v>
      </c>
      <c r="B66" s="138">
        <v>1004016.0</v>
      </c>
      <c r="C66" s="120" t="str">
        <f>vlookup(B66,'Crew Data'!C:G,5,0)</f>
        <v>Khamkhun Thapnoo</v>
      </c>
      <c r="D66" s="121" t="s">
        <v>587</v>
      </c>
      <c r="E66" s="107">
        <v>30.0</v>
      </c>
      <c r="F66" s="122">
        <f t="shared" si="1"/>
        <v>12000</v>
      </c>
      <c r="G66" s="22">
        <f t="shared" si="2"/>
        <v>1</v>
      </c>
      <c r="H66" s="123" t="s">
        <v>20</v>
      </c>
      <c r="I66" s="126"/>
      <c r="J66" s="127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>
      <c r="A67" s="107">
        <v>64.0</v>
      </c>
      <c r="B67" s="138">
        <v>1025574.0</v>
      </c>
      <c r="C67" s="120" t="str">
        <f>vlookup(B67,'Crew Data'!C:G,5,0)</f>
        <v>Ravinnipa Hamid</v>
      </c>
      <c r="D67" s="121" t="s">
        <v>570</v>
      </c>
      <c r="E67" s="107">
        <v>2.0</v>
      </c>
      <c r="F67" s="122">
        <f t="shared" si="1"/>
        <v>800</v>
      </c>
      <c r="G67" s="22">
        <f t="shared" si="2"/>
        <v>1</v>
      </c>
      <c r="H67" s="123" t="s">
        <v>20</v>
      </c>
      <c r="I67" s="126"/>
      <c r="J67" s="127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>
      <c r="A68" s="107">
        <v>65.0</v>
      </c>
      <c r="B68" s="138">
        <v>1019518.0</v>
      </c>
      <c r="C68" s="120" t="str">
        <f>vlookup(B68,'Crew Data'!C:G,5,0)</f>
        <v>Naratip Dumrongthai</v>
      </c>
      <c r="D68" s="121" t="s">
        <v>593</v>
      </c>
      <c r="E68" s="107">
        <v>27.0</v>
      </c>
      <c r="F68" s="122">
        <f t="shared" si="1"/>
        <v>10800</v>
      </c>
      <c r="G68" s="22">
        <f t="shared" si="2"/>
        <v>1</v>
      </c>
      <c r="H68" s="123" t="s">
        <v>20</v>
      </c>
      <c r="I68" s="126"/>
      <c r="J68" s="127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>
      <c r="A69" s="107">
        <v>66.0</v>
      </c>
      <c r="B69" s="138">
        <v>1005308.0</v>
      </c>
      <c r="C69" s="120" t="str">
        <f>vlookup(B69,'Crew Data'!C:G,5,0)</f>
        <v>Yamonpat Kerk</v>
      </c>
      <c r="D69" s="121" t="s">
        <v>578</v>
      </c>
      <c r="E69" s="107">
        <v>2.0</v>
      </c>
      <c r="F69" s="122">
        <f t="shared" si="1"/>
        <v>800</v>
      </c>
      <c r="G69" s="22">
        <f t="shared" si="2"/>
        <v>1</v>
      </c>
      <c r="H69" s="123" t="s">
        <v>20</v>
      </c>
      <c r="I69" s="126"/>
      <c r="J69" s="127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>
      <c r="A70" s="107">
        <v>67.0</v>
      </c>
      <c r="B70" s="138">
        <v>1005803.0</v>
      </c>
      <c r="C70" s="120" t="str">
        <f>vlookup(B70,'Crew Data'!C:G,5,0)</f>
        <v>Kornkanok Kollasut</v>
      </c>
      <c r="D70" s="121" t="s">
        <v>594</v>
      </c>
      <c r="E70" s="107">
        <v>2.0</v>
      </c>
      <c r="F70" s="122">
        <f t="shared" si="1"/>
        <v>800</v>
      </c>
      <c r="G70" s="22">
        <f t="shared" si="2"/>
        <v>1</v>
      </c>
      <c r="H70" s="123" t="s">
        <v>20</v>
      </c>
      <c r="I70" s="126"/>
      <c r="J70" s="127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>
      <c r="A71" s="107">
        <v>68.0</v>
      </c>
      <c r="B71" s="138">
        <v>1012359.0</v>
      </c>
      <c r="C71" s="120" t="str">
        <f>vlookup(B71,'Crew Data'!C:G,5,0)</f>
        <v>Kotchakon Kanchanamethakul</v>
      </c>
      <c r="D71" s="121" t="s">
        <v>595</v>
      </c>
      <c r="E71" s="107">
        <v>24.0</v>
      </c>
      <c r="F71" s="122">
        <f t="shared" si="1"/>
        <v>9600</v>
      </c>
      <c r="G71" s="22">
        <f t="shared" si="2"/>
        <v>1</v>
      </c>
      <c r="H71" s="123" t="s">
        <v>20</v>
      </c>
      <c r="I71" s="126"/>
      <c r="J71" s="127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>
      <c r="A72" s="107">
        <v>69.0</v>
      </c>
      <c r="B72" s="138">
        <v>1022983.0</v>
      </c>
      <c r="C72" s="120" t="str">
        <f>vlookup(B72,'Crew Data'!C:G,5,0)</f>
        <v>Surapong Thongchinnawat</v>
      </c>
      <c r="D72" s="121" t="s">
        <v>596</v>
      </c>
      <c r="E72" s="107">
        <v>10.0</v>
      </c>
      <c r="F72" s="122">
        <f t="shared" si="1"/>
        <v>4000</v>
      </c>
      <c r="G72" s="22">
        <f t="shared" si="2"/>
        <v>1</v>
      </c>
      <c r="H72" s="123" t="s">
        <v>20</v>
      </c>
      <c r="I72" s="126"/>
      <c r="J72" s="127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>
      <c r="A73" s="107">
        <v>70.0</v>
      </c>
      <c r="B73" s="138">
        <v>1013033.0</v>
      </c>
      <c r="C73" s="120" t="str">
        <f>vlookup(B73,'Crew Data'!C:G,5,0)</f>
        <v>Sirirat Thampipat</v>
      </c>
      <c r="D73" s="121" t="s">
        <v>563</v>
      </c>
      <c r="E73" s="107">
        <v>2.0</v>
      </c>
      <c r="F73" s="122">
        <f t="shared" si="1"/>
        <v>800</v>
      </c>
      <c r="G73" s="22">
        <f t="shared" si="2"/>
        <v>1</v>
      </c>
      <c r="H73" s="123" t="s">
        <v>20</v>
      </c>
      <c r="I73" s="126"/>
      <c r="J73" s="127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>
      <c r="A74" s="107">
        <v>71.0</v>
      </c>
      <c r="B74" s="138">
        <v>1011762.0</v>
      </c>
      <c r="C74" s="120" t="str">
        <f>vlookup(B74,'Crew Data'!C:G,5,0)</f>
        <v>Tritotsaporn Ketudat</v>
      </c>
      <c r="D74" s="121" t="s">
        <v>561</v>
      </c>
      <c r="E74" s="107">
        <v>2.0</v>
      </c>
      <c r="F74" s="122">
        <f t="shared" si="1"/>
        <v>800</v>
      </c>
      <c r="G74" s="22">
        <f t="shared" si="2"/>
        <v>1</v>
      </c>
      <c r="H74" s="123" t="s">
        <v>20</v>
      </c>
      <c r="I74" s="126"/>
      <c r="J74" s="127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>
      <c r="A75" s="107">
        <v>72.0</v>
      </c>
      <c r="B75" s="139">
        <v>1025144.0</v>
      </c>
      <c r="C75" s="120" t="str">
        <f>vlookup(B75,'Crew Data'!C:G,5,0)</f>
        <v>Maythawee Krabuansri</v>
      </c>
      <c r="D75" s="125">
        <v>45809.0</v>
      </c>
      <c r="E75" s="107">
        <v>1.0</v>
      </c>
      <c r="F75" s="122">
        <f t="shared" si="1"/>
        <v>400</v>
      </c>
      <c r="G75" s="22">
        <f t="shared" si="2"/>
        <v>1</v>
      </c>
      <c r="H75" s="123" t="s">
        <v>20</v>
      </c>
      <c r="I75" s="126"/>
      <c r="J75" s="130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>
      <c r="A76" s="107">
        <v>73.0</v>
      </c>
      <c r="B76" s="138">
        <v>1025579.0</v>
      </c>
      <c r="C76" s="120" t="str">
        <f>vlookup(B76,'Crew Data'!C:G,5,0)</f>
        <v>Wasinee Eiampongpaitoun</v>
      </c>
      <c r="D76" s="121" t="s">
        <v>570</v>
      </c>
      <c r="E76" s="107">
        <v>2.0</v>
      </c>
      <c r="F76" s="122">
        <f t="shared" si="1"/>
        <v>800</v>
      </c>
      <c r="G76" s="22">
        <f t="shared" si="2"/>
        <v>1</v>
      </c>
      <c r="H76" s="123" t="s">
        <v>20</v>
      </c>
      <c r="I76" s="126"/>
      <c r="J76" s="130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>
      <c r="A77" s="107">
        <v>74.0</v>
      </c>
      <c r="B77" s="138">
        <v>1012182.0</v>
      </c>
      <c r="C77" s="120" t="str">
        <f>vlookup(B77,'Crew Data'!C:G,5,0)</f>
        <v>Soikamol Phonakhon</v>
      </c>
      <c r="D77" s="121" t="s">
        <v>562</v>
      </c>
      <c r="E77" s="107">
        <v>2.0</v>
      </c>
      <c r="F77" s="122">
        <f t="shared" si="1"/>
        <v>800</v>
      </c>
      <c r="G77" s="22">
        <f t="shared" si="2"/>
        <v>1</v>
      </c>
      <c r="H77" s="123" t="s">
        <v>20</v>
      </c>
      <c r="I77" s="126"/>
      <c r="J77" s="130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>
      <c r="A78" s="107">
        <v>75.0</v>
      </c>
      <c r="B78" s="138">
        <v>1013190.0</v>
      </c>
      <c r="C78" s="120" t="str">
        <f>vlookup(B78,'Crew Data'!C:G,5,0)</f>
        <v>Thamonwan Chokumpornpan</v>
      </c>
      <c r="D78" s="121" t="s">
        <v>597</v>
      </c>
      <c r="E78" s="107">
        <v>4.0</v>
      </c>
      <c r="F78" s="122">
        <f t="shared" si="1"/>
        <v>1600</v>
      </c>
      <c r="G78" s="22">
        <f t="shared" si="2"/>
        <v>1</v>
      </c>
      <c r="H78" s="123" t="s">
        <v>20</v>
      </c>
      <c r="I78" s="126"/>
      <c r="J78" s="130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>
      <c r="A79" s="107">
        <v>76.0</v>
      </c>
      <c r="B79" s="138">
        <v>1014067.0</v>
      </c>
      <c r="C79" s="120" t="str">
        <f>vlookup(B79,'Crew Data'!C:G,5,0)</f>
        <v>Kedvarang Pikoonted</v>
      </c>
      <c r="D79" s="121" t="s">
        <v>584</v>
      </c>
      <c r="E79" s="107">
        <v>2.0</v>
      </c>
      <c r="F79" s="122">
        <f t="shared" si="1"/>
        <v>800</v>
      </c>
      <c r="G79" s="22">
        <f t="shared" si="2"/>
        <v>1</v>
      </c>
      <c r="H79" s="123" t="s">
        <v>20</v>
      </c>
      <c r="I79" s="126"/>
      <c r="J79" s="130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>
      <c r="A80" s="107">
        <v>77.0</v>
      </c>
      <c r="B80" s="139">
        <v>1019307.0</v>
      </c>
      <c r="C80" s="120" t="str">
        <f>vlookup(B80,'Crew Data'!C:G,5,0)</f>
        <v>Thanyathorn Krisanayanyong</v>
      </c>
      <c r="D80" s="121" t="s">
        <v>573</v>
      </c>
      <c r="E80" s="107">
        <v>2.0</v>
      </c>
      <c r="F80" s="122">
        <f t="shared" si="1"/>
        <v>800</v>
      </c>
      <c r="G80" s="22">
        <f t="shared" si="2"/>
        <v>1</v>
      </c>
      <c r="H80" s="123" t="s">
        <v>20</v>
      </c>
      <c r="I80" s="126"/>
      <c r="J80" s="130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>
      <c r="A81" s="107">
        <v>78.0</v>
      </c>
      <c r="B81" s="138">
        <v>1003383.0</v>
      </c>
      <c r="C81" s="120" t="str">
        <f>vlookup(B81,'Crew Data'!C:G,5,0)</f>
        <v>Amphika Sirawanadorn</v>
      </c>
      <c r="D81" s="121" t="s">
        <v>598</v>
      </c>
      <c r="E81" s="107">
        <v>2.0</v>
      </c>
      <c r="F81" s="122">
        <f t="shared" si="1"/>
        <v>800</v>
      </c>
      <c r="G81" s="22">
        <f t="shared" si="2"/>
        <v>1</v>
      </c>
      <c r="H81" s="123" t="s">
        <v>20</v>
      </c>
      <c r="I81" s="126"/>
      <c r="J81" s="130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>
      <c r="A82" s="107">
        <v>79.0</v>
      </c>
      <c r="B82" s="138">
        <v>1018977.0</v>
      </c>
      <c r="C82" s="120" t="str">
        <f>vlookup(B82,'Crew Data'!C:G,5,0)</f>
        <v>Ploypailin Chuntawong</v>
      </c>
      <c r="D82" s="121" t="s">
        <v>598</v>
      </c>
      <c r="E82" s="107">
        <v>2.0</v>
      </c>
      <c r="F82" s="122">
        <f t="shared" si="1"/>
        <v>800</v>
      </c>
      <c r="G82" s="22">
        <f t="shared" si="2"/>
        <v>1</v>
      </c>
      <c r="H82" s="123" t="s">
        <v>20</v>
      </c>
      <c r="I82" s="126"/>
      <c r="J82" s="130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>
      <c r="A83" s="107">
        <v>80.0</v>
      </c>
      <c r="B83" s="138">
        <v>1022986.0</v>
      </c>
      <c r="C83" s="120" t="str">
        <f>vlookup(B83,'Crew Data'!C:G,5,0)</f>
        <v>Minthita Kanchanapinpong</v>
      </c>
      <c r="D83" s="121" t="s">
        <v>599</v>
      </c>
      <c r="E83" s="107">
        <v>26.0</v>
      </c>
      <c r="F83" s="122">
        <f t="shared" si="1"/>
        <v>10400</v>
      </c>
      <c r="G83" s="22">
        <f t="shared" si="2"/>
        <v>1</v>
      </c>
      <c r="H83" s="123" t="s">
        <v>20</v>
      </c>
      <c r="I83" s="126"/>
      <c r="J83" s="130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>
      <c r="A84" s="107">
        <v>81.0</v>
      </c>
      <c r="B84" s="138">
        <v>1009768.0</v>
      </c>
      <c r="C84" s="120" t="str">
        <f>vlookup(B84,'Crew Data'!C:G,5,0)</f>
        <v>Thidech Eakmongkollert</v>
      </c>
      <c r="D84" s="121" t="s">
        <v>453</v>
      </c>
      <c r="E84" s="107">
        <v>2.0</v>
      </c>
      <c r="F84" s="122">
        <f t="shared" si="1"/>
        <v>800</v>
      </c>
      <c r="G84" s="22">
        <f t="shared" si="2"/>
        <v>1</v>
      </c>
      <c r="H84" s="123" t="s">
        <v>20</v>
      </c>
      <c r="I84" s="126"/>
      <c r="J84" s="130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</sheetData>
  <mergeCells count="2">
    <mergeCell ref="A1:F1"/>
    <mergeCell ref="E2:F2"/>
  </mergeCells>
  <dataValidations>
    <dataValidation type="list" allowBlank="1" sqref="H4:H84">
      <formula1>"CHECKED (OK),CHECKED  (NOT OK)"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88"/>
    <col customWidth="1" min="2" max="2" width="9.63"/>
    <col customWidth="1" min="3" max="4" width="24.75"/>
    <col customWidth="1" min="5" max="5" width="33.0"/>
    <col customWidth="1" min="6" max="6" width="7.63"/>
    <col customWidth="1" min="8" max="8" width="3.5"/>
    <col customWidth="1" min="9" max="9" width="18.63"/>
    <col customWidth="1" min="10" max="10" width="47.63"/>
  </cols>
  <sheetData>
    <row r="1">
      <c r="A1" s="105" t="s">
        <v>600</v>
      </c>
      <c r="H1" s="111"/>
      <c r="I1" s="166"/>
      <c r="J1" s="112" t="s">
        <v>601</v>
      </c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>
      <c r="A2" s="106" t="s">
        <v>1</v>
      </c>
      <c r="B2" s="137" t="s">
        <v>11</v>
      </c>
      <c r="C2" s="106" t="s">
        <v>12</v>
      </c>
      <c r="D2" s="114" t="s">
        <v>13</v>
      </c>
      <c r="E2" s="115" t="s">
        <v>15</v>
      </c>
      <c r="F2" s="106" t="s">
        <v>5</v>
      </c>
      <c r="G2" s="175" t="s">
        <v>602</v>
      </c>
      <c r="H2" s="116"/>
      <c r="I2" s="118" t="s">
        <v>6</v>
      </c>
      <c r="J2" s="119" t="s">
        <v>7</v>
      </c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>
      <c r="A3" s="107">
        <v>1.0</v>
      </c>
      <c r="B3" s="138">
        <v>1044222.0</v>
      </c>
      <c r="C3" s="168" t="str">
        <f>vlookup(B3,'Crew Data'!C:G,5,0)</f>
        <v>Pichit Jinakaew</v>
      </c>
      <c r="D3" s="121" t="s">
        <v>603</v>
      </c>
      <c r="E3" s="107">
        <v>8.0</v>
      </c>
      <c r="F3" s="122">
        <f t="shared" ref="F3:F96" si="1">E3*400</f>
        <v>3200</v>
      </c>
      <c r="G3" t="str">
        <f t="array" ref="G3">XLOOKUP(B3,Sheet68!A:A,Sheet68!AB:AB,0)</f>
        <v>pichitjin@airasia.com</v>
      </c>
      <c r="H3" s="22">
        <f t="shared" ref="H3:H65" si="2">COUNTIF(B:B,B3)</f>
        <v>1</v>
      </c>
      <c r="I3" s="123" t="s">
        <v>20</v>
      </c>
      <c r="J3" s="123" t="s">
        <v>604</v>
      </c>
      <c r="K3" s="127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>
      <c r="A4" s="107">
        <v>2.0</v>
      </c>
      <c r="B4" s="138">
        <v>1038949.0</v>
      </c>
      <c r="C4" s="168" t="str">
        <f>vlookup(B4,'Crew Data'!C:G,5,0)</f>
        <v>Kanyapon Klinprean</v>
      </c>
      <c r="D4" s="121" t="s">
        <v>517</v>
      </c>
      <c r="E4" s="107">
        <v>2.0</v>
      </c>
      <c r="F4" s="122">
        <f t="shared" si="1"/>
        <v>800</v>
      </c>
      <c r="G4" t="str">
        <f t="array" ref="G4">XLOOKUP(B4,Sheet68!A:A,Sheet68!AB:AB,0)</f>
        <v>kanyaponklinprean@airasia.com</v>
      </c>
      <c r="H4" s="22">
        <f t="shared" si="2"/>
        <v>1</v>
      </c>
      <c r="I4" s="123" t="s">
        <v>20</v>
      </c>
      <c r="J4" s="123" t="s">
        <v>604</v>
      </c>
      <c r="K4" s="127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</row>
    <row r="5">
      <c r="A5" s="107">
        <v>3.0</v>
      </c>
      <c r="B5" s="138">
        <v>1019306.0</v>
      </c>
      <c r="C5" s="168" t="str">
        <f>vlookup(B5,'Crew Data'!C:G,5,0)</f>
        <v>Tanyatorn Leenawong</v>
      </c>
      <c r="D5" s="121" t="s">
        <v>605</v>
      </c>
      <c r="E5" s="107">
        <v>2.0</v>
      </c>
      <c r="F5" s="122">
        <f t="shared" si="1"/>
        <v>800</v>
      </c>
      <c r="G5" t="str">
        <f t="array" ref="G5">XLOOKUP(B5,Sheet68!A:A,Sheet68!AB:AB,0)</f>
        <v>tanyatornl@airasia.com</v>
      </c>
      <c r="H5" s="22">
        <f t="shared" si="2"/>
        <v>1</v>
      </c>
      <c r="I5" s="123" t="s">
        <v>20</v>
      </c>
      <c r="J5" s="123" t="s">
        <v>451</v>
      </c>
      <c r="K5" s="127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>
      <c r="A6" s="107">
        <v>4.0</v>
      </c>
      <c r="B6" s="138">
        <v>1014678.0</v>
      </c>
      <c r="C6" s="168" t="str">
        <f>vlookup(B6,'Crew Data'!C:G,5,0)</f>
        <v>Supapong Kwanon</v>
      </c>
      <c r="D6" s="121" t="s">
        <v>522</v>
      </c>
      <c r="E6" s="107">
        <v>2.0</v>
      </c>
      <c r="F6" s="122">
        <f t="shared" si="1"/>
        <v>800</v>
      </c>
      <c r="G6" t="str">
        <f t="array" ref="G6">XLOOKUP(B6,Sheet68!A:A,Sheet68!AB:AB,0)</f>
        <v>supapongk@airasia.com</v>
      </c>
      <c r="H6" s="22">
        <f t="shared" si="2"/>
        <v>1</v>
      </c>
      <c r="I6" s="123" t="s">
        <v>20</v>
      </c>
      <c r="J6" s="123" t="s">
        <v>604</v>
      </c>
      <c r="K6" s="127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>
      <c r="A7" s="107">
        <v>5.0</v>
      </c>
      <c r="B7" s="129">
        <v>1044220.0</v>
      </c>
      <c r="C7" s="168" t="str">
        <f>vlookup(B7,'Crew Data'!C:G,5,0)</f>
        <v>Warissara Klanbuds</v>
      </c>
      <c r="D7" s="125">
        <v>45897.0</v>
      </c>
      <c r="E7" s="107">
        <v>1.0</v>
      </c>
      <c r="F7" s="122">
        <f t="shared" si="1"/>
        <v>400</v>
      </c>
      <c r="G7" t="str">
        <f t="array" ref="G7">XLOOKUP(B7,Sheet68!A:A,Sheet68!AB:AB,0)</f>
        <v>warissarakla@airasia.com</v>
      </c>
      <c r="H7" s="22">
        <f t="shared" si="2"/>
        <v>2</v>
      </c>
      <c r="I7" s="123" t="s">
        <v>20</v>
      </c>
      <c r="J7" s="123" t="s">
        <v>604</v>
      </c>
      <c r="K7" s="127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>
      <c r="A8" s="107">
        <v>6.0</v>
      </c>
      <c r="B8" s="138">
        <v>1025323.0</v>
      </c>
      <c r="C8" s="168" t="str">
        <f>vlookup(B8,'Crew Data'!C:G,5,0)</f>
        <v>Jariya Tangmahamek</v>
      </c>
      <c r="D8" s="121" t="s">
        <v>494</v>
      </c>
      <c r="E8" s="107">
        <v>2.0</v>
      </c>
      <c r="F8" s="122">
        <f t="shared" si="1"/>
        <v>800</v>
      </c>
      <c r="G8" t="str">
        <f t="array" ref="G8">XLOOKUP(B8,Sheet68!A:A,Sheet68!AB:AB,0)</f>
        <v>jariyatangmahamek@airasia.com</v>
      </c>
      <c r="H8" s="22">
        <f t="shared" si="2"/>
        <v>1</v>
      </c>
      <c r="I8" s="123" t="s">
        <v>20</v>
      </c>
      <c r="J8" s="123" t="s">
        <v>501</v>
      </c>
      <c r="K8" s="127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>
      <c r="A9" s="107">
        <v>7.0</v>
      </c>
      <c r="B9" s="138">
        <v>1043879.0</v>
      </c>
      <c r="C9" s="168" t="str">
        <f>vlookup(B9,'Crew Data'!C:G,5,0)</f>
        <v>Thanyaphon Chiraphatphokin</v>
      </c>
      <c r="D9" s="121" t="s">
        <v>606</v>
      </c>
      <c r="E9" s="107">
        <v>3.0</v>
      </c>
      <c r="F9" s="122">
        <f t="shared" si="1"/>
        <v>1200</v>
      </c>
      <c r="G9" t="str">
        <f t="array" ref="G9">XLOOKUP(B9,Sheet68!A:A,Sheet68!AB:AB,0)</f>
        <v>thanyaphonchi@airasia.com</v>
      </c>
      <c r="H9" s="22">
        <f t="shared" si="2"/>
        <v>1</v>
      </c>
      <c r="I9" s="123" t="s">
        <v>20</v>
      </c>
      <c r="J9" s="123" t="s">
        <v>604</v>
      </c>
      <c r="K9" s="127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>
      <c r="A10" s="107">
        <v>8.0</v>
      </c>
      <c r="B10" s="138">
        <v>1043862.0</v>
      </c>
      <c r="C10" s="168" t="str">
        <f>vlookup(B10,'Crew Data'!C:G,5,0)</f>
        <v>Pansita Jansavang</v>
      </c>
      <c r="D10" s="121" t="s">
        <v>607</v>
      </c>
      <c r="E10" s="107">
        <v>4.0</v>
      </c>
      <c r="F10" s="122">
        <f t="shared" si="1"/>
        <v>1600</v>
      </c>
      <c r="G10" t="str">
        <f t="array" ref="G10">XLOOKUP(B10,Sheet68!A:A,Sheet68!AB:AB,0)</f>
        <v>pansitajan@airasia.com</v>
      </c>
      <c r="H10" s="22">
        <f t="shared" si="2"/>
        <v>1</v>
      </c>
      <c r="I10" s="123" t="s">
        <v>20</v>
      </c>
      <c r="J10" s="123" t="s">
        <v>604</v>
      </c>
      <c r="K10" s="127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>
      <c r="A11" s="107">
        <v>9.0</v>
      </c>
      <c r="B11" s="138">
        <v>1040352.0</v>
      </c>
      <c r="C11" s="168" t="str">
        <f>vlookup(B11,'Crew Data'!C:G,5,0)</f>
        <v>Jaksananapa Yingprayoon</v>
      </c>
      <c r="D11" s="121" t="s">
        <v>545</v>
      </c>
      <c r="E11" s="107">
        <v>2.0</v>
      </c>
      <c r="F11" s="122">
        <f t="shared" si="1"/>
        <v>800</v>
      </c>
      <c r="G11" t="str">
        <f t="array" ref="G11">XLOOKUP(B11,Sheet68!A:A,Sheet68!AB:AB,0)</f>
        <v>jaksananapayingpray@airasia.com</v>
      </c>
      <c r="H11" s="22">
        <f t="shared" si="2"/>
        <v>1</v>
      </c>
      <c r="I11" s="123" t="s">
        <v>20</v>
      </c>
      <c r="J11" s="123" t="s">
        <v>604</v>
      </c>
      <c r="K11" s="127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>
      <c r="A12" s="107">
        <v>10.0</v>
      </c>
      <c r="B12" s="138">
        <v>1025302.0</v>
      </c>
      <c r="C12" s="168" t="str">
        <f>vlookup(B12,'Crew Data'!C:G,5,0)</f>
        <v>Krisana Sae-yang</v>
      </c>
      <c r="D12" s="121" t="s">
        <v>608</v>
      </c>
      <c r="E12" s="107">
        <v>2.0</v>
      </c>
      <c r="F12" s="122">
        <f t="shared" si="1"/>
        <v>800</v>
      </c>
      <c r="G12" t="str">
        <f t="array" ref="G12">XLOOKUP(B12,Sheet68!A:A,Sheet68!AB:AB,0)</f>
        <v>krisanasaeyang@airasia.com</v>
      </c>
      <c r="H12" s="22">
        <f t="shared" si="2"/>
        <v>1</v>
      </c>
      <c r="I12" s="123" t="s">
        <v>20</v>
      </c>
      <c r="J12" s="123" t="s">
        <v>609</v>
      </c>
      <c r="K12" s="127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>
      <c r="A13" s="107">
        <v>11.0</v>
      </c>
      <c r="B13" s="138">
        <v>1008991.0</v>
      </c>
      <c r="C13" s="168" t="str">
        <f>vlookup(B13,'Crew Data'!C:G,5,0)</f>
        <v>Premkamon Changsuwan</v>
      </c>
      <c r="D13" s="176">
        <v>45901.0</v>
      </c>
      <c r="E13" s="107">
        <v>1.0</v>
      </c>
      <c r="F13" s="122">
        <f t="shared" si="1"/>
        <v>400</v>
      </c>
      <c r="G13" t="str">
        <f t="array" ref="G13">XLOOKUP(B13,Sheet68!A:A,Sheet68!AB:AB,0)</f>
        <v>premkamonc@airasia.com</v>
      </c>
      <c r="H13" s="22">
        <f t="shared" si="2"/>
        <v>1</v>
      </c>
      <c r="I13" s="123" t="s">
        <v>20</v>
      </c>
      <c r="J13" s="123"/>
      <c r="K13" s="127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>
      <c r="A14" s="107">
        <v>12.0</v>
      </c>
      <c r="B14" s="138">
        <v>1009006.0</v>
      </c>
      <c r="C14" s="168" t="str">
        <f>vlookup(B14,'Crew Data'!C:G,5,0)</f>
        <v>Tuchteerasit Saichittham</v>
      </c>
      <c r="D14" s="121" t="s">
        <v>610</v>
      </c>
      <c r="E14" s="107">
        <v>2.0</v>
      </c>
      <c r="F14" s="122">
        <f t="shared" si="1"/>
        <v>800</v>
      </c>
      <c r="G14" t="str">
        <f t="array" ref="G14">XLOOKUP(B14,Sheet68!A:A,Sheet68!AB:AB,0)</f>
        <v>tuchteerasits@airasia.com</v>
      </c>
      <c r="H14" s="22">
        <f t="shared" si="2"/>
        <v>1</v>
      </c>
      <c r="I14" s="123" t="s">
        <v>20</v>
      </c>
      <c r="J14" s="123"/>
      <c r="K14" s="127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>
      <c r="A15" s="107">
        <v>13.0</v>
      </c>
      <c r="B15" s="138">
        <v>1012193.0</v>
      </c>
      <c r="C15" s="168" t="str">
        <f>vlookup(B15,'Crew Data'!C:G,5,0)</f>
        <v>Phoemsakun Phongpradist</v>
      </c>
      <c r="D15" s="121" t="s">
        <v>611</v>
      </c>
      <c r="E15" s="107">
        <v>2.0</v>
      </c>
      <c r="F15" s="122">
        <f t="shared" si="1"/>
        <v>800</v>
      </c>
      <c r="G15" t="str">
        <f t="array" ref="G15">XLOOKUP(B15,Sheet68!A:A,Sheet68!AB:AB,0)</f>
        <v>phoemsakunp@airasia.com</v>
      </c>
      <c r="H15" s="22">
        <f t="shared" si="2"/>
        <v>1</v>
      </c>
      <c r="I15" s="123" t="s">
        <v>20</v>
      </c>
      <c r="J15" s="123"/>
      <c r="K15" s="127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>
      <c r="A16" s="107">
        <v>14.0</v>
      </c>
      <c r="B16" s="138">
        <v>1010850.0</v>
      </c>
      <c r="C16" s="168" t="str">
        <f>vlookup(B16,'Crew Data'!C:G,5,0)</f>
        <v>Tanaporn Musikapun</v>
      </c>
      <c r="D16" s="121" t="s">
        <v>612</v>
      </c>
      <c r="E16" s="107">
        <v>2.0</v>
      </c>
      <c r="F16" s="122">
        <f t="shared" si="1"/>
        <v>800</v>
      </c>
      <c r="G16" t="str">
        <f t="array" ref="G16">XLOOKUP(B16,Sheet68!A:A,Sheet68!AB:AB,0)</f>
        <v>tanapornm@airasia.com</v>
      </c>
      <c r="H16" s="22">
        <f t="shared" si="2"/>
        <v>1</v>
      </c>
      <c r="I16" s="123" t="s">
        <v>20</v>
      </c>
      <c r="J16" s="123"/>
      <c r="K16" s="127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</row>
    <row r="17">
      <c r="A17" s="107">
        <v>15.0</v>
      </c>
      <c r="B17" s="138">
        <v>1003957.0</v>
      </c>
      <c r="C17" s="168" t="str">
        <f>vlookup(B17,'Crew Data'!C:G,5,0)</f>
        <v>Benjawan Kongrod</v>
      </c>
      <c r="D17" s="121" t="s">
        <v>610</v>
      </c>
      <c r="E17" s="107">
        <v>2.0</v>
      </c>
      <c r="F17" s="122">
        <f t="shared" si="1"/>
        <v>800</v>
      </c>
      <c r="G17" t="str">
        <f t="array" ref="G17">XLOOKUP(B17,Sheet68!A:A,Sheet68!AB:AB,0)</f>
        <v>benjawank@airasia.com</v>
      </c>
      <c r="H17" s="22">
        <f t="shared" si="2"/>
        <v>1</v>
      </c>
      <c r="I17" s="123" t="s">
        <v>20</v>
      </c>
      <c r="J17" s="123"/>
      <c r="K17" s="127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</row>
    <row r="18">
      <c r="A18" s="107">
        <v>16.0</v>
      </c>
      <c r="B18" s="138">
        <v>1007260.0</v>
      </c>
      <c r="C18" s="168" t="str">
        <f>vlookup(B18,'Crew Data'!C:G,5,0)</f>
        <v>Lunchakorn Saengsiri</v>
      </c>
      <c r="D18" s="121" t="s">
        <v>610</v>
      </c>
      <c r="E18" s="107">
        <v>2.0</v>
      </c>
      <c r="F18" s="122">
        <f t="shared" si="1"/>
        <v>800</v>
      </c>
      <c r="G18" t="str">
        <f t="array" ref="G18">XLOOKUP(B18,Sheet68!A:A,Sheet68!AB:AB,0)</f>
        <v>lunchakorns@airasia.com</v>
      </c>
      <c r="H18" s="22">
        <f t="shared" si="2"/>
        <v>1</v>
      </c>
      <c r="I18" s="123" t="s">
        <v>20</v>
      </c>
      <c r="J18" s="123"/>
      <c r="K18" s="127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</row>
    <row r="19">
      <c r="A19" s="107">
        <v>17.0</v>
      </c>
      <c r="B19" s="138">
        <v>1010939.0</v>
      </c>
      <c r="C19" s="168" t="str">
        <f>vlookup(B19,'Crew Data'!C:G,5,0)</f>
        <v>Yuwarat Meesap</v>
      </c>
      <c r="D19" s="121" t="s">
        <v>611</v>
      </c>
      <c r="E19" s="107">
        <v>2.0</v>
      </c>
      <c r="F19" s="122">
        <f t="shared" si="1"/>
        <v>800</v>
      </c>
      <c r="G19" t="str">
        <f t="array" ref="G19">XLOOKUP(B19,Sheet68!A:A,Sheet68!AB:AB,0)</f>
        <v>yuwaratm@airasia.com</v>
      </c>
      <c r="H19" s="22">
        <f t="shared" si="2"/>
        <v>1</v>
      </c>
      <c r="I19" s="123" t="s">
        <v>20</v>
      </c>
      <c r="J19" s="123"/>
      <c r="K19" s="127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</row>
    <row r="20">
      <c r="A20" s="107">
        <v>18.0</v>
      </c>
      <c r="B20" s="138">
        <v>1015406.0</v>
      </c>
      <c r="C20" s="168" t="str">
        <f>vlookup(B20,'Crew Data'!C:G,5,0)</f>
        <v>Perati Ardwong</v>
      </c>
      <c r="D20" s="121" t="s">
        <v>613</v>
      </c>
      <c r="E20" s="107">
        <v>2.0</v>
      </c>
      <c r="F20" s="122">
        <f t="shared" si="1"/>
        <v>800</v>
      </c>
      <c r="G20" t="str">
        <f t="array" ref="G20">XLOOKUP(B20,Sheet68!A:A,Sheet68!AB:AB,0)</f>
        <v>peratia@airasia.com</v>
      </c>
      <c r="H20" s="22">
        <f t="shared" si="2"/>
        <v>1</v>
      </c>
      <c r="I20" s="123" t="s">
        <v>20</v>
      </c>
      <c r="J20" s="123"/>
      <c r="K20" s="127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</row>
    <row r="21">
      <c r="A21" s="107">
        <v>19.0</v>
      </c>
      <c r="B21" s="138">
        <v>1007272.0</v>
      </c>
      <c r="C21" s="168" t="str">
        <f>vlookup(B21,'Crew Data'!C:G,5,0)</f>
        <v>Sadchakarn Choochomchuen</v>
      </c>
      <c r="D21" s="121" t="s">
        <v>614</v>
      </c>
      <c r="E21" s="107">
        <v>2.0</v>
      </c>
      <c r="F21" s="122">
        <f t="shared" si="1"/>
        <v>800</v>
      </c>
      <c r="G21" t="str">
        <f t="array" ref="G21">XLOOKUP(B21,Sheet68!A:A,Sheet68!AB:AB,0)</f>
        <v>sadchakarnc@airasia.com</v>
      </c>
      <c r="H21" s="22">
        <f t="shared" si="2"/>
        <v>1</v>
      </c>
      <c r="I21" s="123" t="s">
        <v>20</v>
      </c>
      <c r="J21" s="123"/>
      <c r="K21" s="127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</row>
    <row r="22">
      <c r="A22" s="107">
        <v>20.0</v>
      </c>
      <c r="B22" s="138">
        <v>1007008.0</v>
      </c>
      <c r="C22" s="168" t="str">
        <f>vlookup(B22,'Crew Data'!C:G,5,0)</f>
        <v>Aroonrat Limpawattanasuk</v>
      </c>
      <c r="D22" s="121" t="s">
        <v>611</v>
      </c>
      <c r="E22" s="107">
        <v>2.0</v>
      </c>
      <c r="F22" s="122">
        <f t="shared" si="1"/>
        <v>800</v>
      </c>
      <c r="G22" t="str">
        <f t="array" ref="G22">XLOOKUP(B22,Sheet68!A:A,Sheet68!AB:AB,0)</f>
        <v>aroonratl@airasia.com</v>
      </c>
      <c r="H22" s="22">
        <f t="shared" si="2"/>
        <v>1</v>
      </c>
      <c r="I22" s="123" t="s">
        <v>20</v>
      </c>
      <c r="J22" s="123"/>
      <c r="K22" s="127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>
      <c r="A23" s="107">
        <v>21.0</v>
      </c>
      <c r="B23" s="138">
        <v>1004213.0</v>
      </c>
      <c r="C23" s="168" t="str">
        <f>vlookup(B23,'Crew Data'!C:G,5,0)</f>
        <v>Worapada Suetrongmunkong</v>
      </c>
      <c r="D23" s="121" t="s">
        <v>615</v>
      </c>
      <c r="E23" s="107">
        <v>2.0</v>
      </c>
      <c r="F23" s="122">
        <f t="shared" si="1"/>
        <v>800</v>
      </c>
      <c r="G23" t="str">
        <f t="array" ref="G23">XLOOKUP(B23,Sheet68!A:A,Sheet68!AB:AB,0)</f>
        <v>worapadas@airasia.com</v>
      </c>
      <c r="H23" s="22">
        <f t="shared" si="2"/>
        <v>1</v>
      </c>
      <c r="I23" s="123" t="s">
        <v>20</v>
      </c>
      <c r="J23" s="123"/>
      <c r="K23" s="127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>
      <c r="A24" s="107">
        <v>22.0</v>
      </c>
      <c r="B24" s="138">
        <v>1011306.0</v>
      </c>
      <c r="C24" s="168" t="str">
        <f>vlookup(B24,'Crew Data'!C:G,5,0)</f>
        <v>Kanthanuch Boonlor</v>
      </c>
      <c r="D24" s="121" t="s">
        <v>615</v>
      </c>
      <c r="E24" s="107">
        <v>2.0</v>
      </c>
      <c r="F24" s="122">
        <f t="shared" si="1"/>
        <v>800</v>
      </c>
      <c r="G24" t="str">
        <f t="array" ref="G24">XLOOKUP(B24,Sheet68!A:A,Sheet68!AB:AB,0)</f>
        <v>kanthanuchb@airasia.com</v>
      </c>
      <c r="H24" s="22">
        <f t="shared" si="2"/>
        <v>1</v>
      </c>
      <c r="I24" s="123" t="s">
        <v>20</v>
      </c>
      <c r="J24" s="123"/>
      <c r="K24" s="127"/>
      <c r="L24" s="31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</row>
    <row r="25">
      <c r="A25" s="107">
        <v>23.0</v>
      </c>
      <c r="B25" s="138">
        <v>1006052.0</v>
      </c>
      <c r="C25" s="168" t="str">
        <f>vlookup(B25,'Crew Data'!C:G,5,0)</f>
        <v>Ananya Sindhusen</v>
      </c>
      <c r="D25" s="121" t="s">
        <v>616</v>
      </c>
      <c r="E25" s="107">
        <v>2.0</v>
      </c>
      <c r="F25" s="122">
        <f t="shared" si="1"/>
        <v>800</v>
      </c>
      <c r="G25" t="str">
        <f t="array" ref="G25">XLOOKUP(B25,Sheet68!A:A,Sheet68!AB:AB,0)</f>
        <v>ananyas@airasia.com</v>
      </c>
      <c r="H25" s="22">
        <f t="shared" si="2"/>
        <v>1</v>
      </c>
      <c r="I25" s="123" t="s">
        <v>20</v>
      </c>
      <c r="J25" s="123"/>
      <c r="K25" s="127"/>
      <c r="L25" s="31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>
      <c r="A26" s="107">
        <v>24.0</v>
      </c>
      <c r="B26" s="129">
        <v>1006085.0</v>
      </c>
      <c r="C26" s="168" t="str">
        <f>vlookup(B26,'Crew Data'!C:G,5,0)</f>
        <v>Sunan Homcharoenpanith</v>
      </c>
      <c r="D26" s="121" t="s">
        <v>617</v>
      </c>
      <c r="E26" s="107">
        <v>2.0</v>
      </c>
      <c r="F26" s="122">
        <f t="shared" si="1"/>
        <v>800</v>
      </c>
      <c r="G26" t="str">
        <f t="array" ref="G26">XLOOKUP(B26,Sheet68!A:A,Sheet68!AB:AB,0)</f>
        <v>sunanh@airasia.com</v>
      </c>
      <c r="H26" s="22">
        <f t="shared" si="2"/>
        <v>1</v>
      </c>
      <c r="I26" s="123" t="s">
        <v>20</v>
      </c>
      <c r="J26" s="123"/>
      <c r="K26" s="127"/>
      <c r="L26" s="31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>
      <c r="A27" s="107">
        <v>25.0</v>
      </c>
      <c r="B27" s="138">
        <v>1044234.0</v>
      </c>
      <c r="C27" s="168" t="str">
        <f>vlookup(B27,'Crew Data'!C:G,5,0)</f>
        <v>Adipa Charoenthongtrakul</v>
      </c>
      <c r="D27" s="121" t="s">
        <v>616</v>
      </c>
      <c r="E27" s="107">
        <v>2.0</v>
      </c>
      <c r="F27" s="122">
        <f t="shared" si="1"/>
        <v>800</v>
      </c>
      <c r="G27" t="str">
        <f t="array" ref="G27">XLOOKUP(B27,Sheet68!A:A,Sheet68!AB:AB,0)</f>
        <v>adipacha@airasia.com</v>
      </c>
      <c r="H27" s="22">
        <f t="shared" si="2"/>
        <v>1</v>
      </c>
      <c r="I27" s="123" t="s">
        <v>20</v>
      </c>
      <c r="J27" s="123"/>
      <c r="K27" s="127"/>
      <c r="L27" s="31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>
      <c r="A28" s="107">
        <v>26.0</v>
      </c>
      <c r="B28" s="138">
        <v>1038741.0</v>
      </c>
      <c r="C28" s="168" t="str">
        <f>vlookup(B28,'Crew Data'!C:G,5,0)</f>
        <v>Sureerat Supsomran</v>
      </c>
      <c r="D28" s="121" t="s">
        <v>617</v>
      </c>
      <c r="E28" s="107">
        <v>2.0</v>
      </c>
      <c r="F28" s="122">
        <f t="shared" si="1"/>
        <v>800</v>
      </c>
      <c r="G28" t="str">
        <f t="array" ref="G28">XLOOKUP(B28,Sheet68!A:A,Sheet68!AB:AB,0)</f>
        <v>sureeratsupsomran@airasia.com</v>
      </c>
      <c r="H28" s="22">
        <f t="shared" si="2"/>
        <v>1</v>
      </c>
      <c r="I28" s="123" t="s">
        <v>20</v>
      </c>
      <c r="J28" s="123"/>
      <c r="K28" s="127"/>
      <c r="L28" s="31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>
      <c r="A29" s="107">
        <v>27.0</v>
      </c>
      <c r="B29" s="138">
        <v>1006747.0</v>
      </c>
      <c r="C29" s="168" t="str">
        <f>vlookup(B29,'Crew Data'!C:G,5,0)</f>
        <v>Phichayanat Duangprasanchai</v>
      </c>
      <c r="D29" s="121" t="s">
        <v>616</v>
      </c>
      <c r="E29" s="107">
        <v>2.0</v>
      </c>
      <c r="F29" s="122">
        <f t="shared" si="1"/>
        <v>800</v>
      </c>
      <c r="G29" t="str">
        <f t="array" ref="G29">XLOOKUP(B29,Sheet68!A:A,Sheet68!AB:AB,0)</f>
        <v>phichayanatd@airasia.com</v>
      </c>
      <c r="H29" s="22">
        <f t="shared" si="2"/>
        <v>1</v>
      </c>
      <c r="I29" s="123" t="s">
        <v>20</v>
      </c>
      <c r="J29" s="123"/>
      <c r="K29" s="127"/>
      <c r="L29" s="31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>
      <c r="A30" s="107">
        <v>28.0</v>
      </c>
      <c r="B30" s="139">
        <v>1004729.0</v>
      </c>
      <c r="C30" s="168" t="str">
        <f>vlookup(B30,'Crew Data'!C:G,5,0)</f>
        <v>Sasimon Chamnansarn</v>
      </c>
      <c r="D30" s="121" t="s">
        <v>618</v>
      </c>
      <c r="E30" s="107">
        <v>2.0</v>
      </c>
      <c r="F30" s="122">
        <f t="shared" si="1"/>
        <v>800</v>
      </c>
      <c r="G30" t="str">
        <f t="array" ref="G30">XLOOKUP(B30,Sheet68!A:A,Sheet68!AB:AB,0)</f>
        <v>sasimonc@airasia.com</v>
      </c>
      <c r="H30" s="22">
        <f t="shared" si="2"/>
        <v>1</v>
      </c>
      <c r="I30" s="123" t="s">
        <v>20</v>
      </c>
      <c r="J30" s="123"/>
      <c r="K30" s="127"/>
      <c r="L30" s="31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</row>
    <row r="31">
      <c r="A31" s="107">
        <v>29.0</v>
      </c>
      <c r="B31" s="139">
        <v>1014662.0</v>
      </c>
      <c r="C31" s="168" t="str">
        <f>vlookup(B31,'Crew Data'!C:G,5,0)</f>
        <v>Duangkamon Wongjareanyong</v>
      </c>
      <c r="D31" s="121" t="s">
        <v>617</v>
      </c>
      <c r="E31" s="107">
        <v>2.0</v>
      </c>
      <c r="F31" s="122">
        <f t="shared" si="1"/>
        <v>800</v>
      </c>
      <c r="G31" t="str">
        <f t="array" ref="G31">XLOOKUP(B31,Sheet68!A:A,Sheet68!AB:AB,0)</f>
        <v>duangkamonw@airasia.com</v>
      </c>
      <c r="H31" s="22">
        <f t="shared" si="2"/>
        <v>1</v>
      </c>
      <c r="I31" s="123" t="s">
        <v>20</v>
      </c>
      <c r="J31" s="123"/>
      <c r="K31" s="127"/>
      <c r="L31" s="31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>
      <c r="A32" s="107">
        <v>30.0</v>
      </c>
      <c r="B32" s="139">
        <v>1019299.0</v>
      </c>
      <c r="C32" s="168" t="str">
        <f>vlookup(B32,'Crew Data'!C:G,5,0)</f>
        <v>Phattaraporn Jindapol</v>
      </c>
      <c r="D32" s="121" t="s">
        <v>613</v>
      </c>
      <c r="E32" s="107">
        <v>2.0</v>
      </c>
      <c r="F32" s="122">
        <f t="shared" si="1"/>
        <v>800</v>
      </c>
      <c r="G32" t="str">
        <f t="array" ref="G32">XLOOKUP(B32,Sheet68!A:A,Sheet68!AB:AB,0)</f>
        <v>phattarapornj@airasia.com</v>
      </c>
      <c r="H32" s="22">
        <f t="shared" si="2"/>
        <v>1</v>
      </c>
      <c r="I32" s="123" t="s">
        <v>20</v>
      </c>
      <c r="J32" s="123"/>
      <c r="K32" s="127"/>
      <c r="L32" s="31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>
      <c r="A33" s="107">
        <v>31.0</v>
      </c>
      <c r="B33" s="139">
        <v>1025547.0</v>
      </c>
      <c r="C33" s="168" t="str">
        <f>vlookup(B33,'Crew Data'!C:G,5,0)</f>
        <v>Jarumon Iamkanthong</v>
      </c>
      <c r="D33" s="121" t="s">
        <v>617</v>
      </c>
      <c r="E33" s="107">
        <v>2.0</v>
      </c>
      <c r="F33" s="122">
        <f t="shared" si="1"/>
        <v>800</v>
      </c>
      <c r="G33" t="str">
        <f t="array" ref="G33">XLOOKUP(B33,Sheet68!A:A,Sheet68!AB:AB,0)</f>
        <v>jarumoniamkanthong@airasia.com</v>
      </c>
      <c r="H33" s="22">
        <f t="shared" si="2"/>
        <v>1</v>
      </c>
      <c r="I33" s="123" t="s">
        <v>20</v>
      </c>
      <c r="J33" s="123"/>
      <c r="K33" s="127"/>
      <c r="L33" s="31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</row>
    <row r="34">
      <c r="A34" s="107">
        <v>32.0</v>
      </c>
      <c r="B34" s="139">
        <v>1011513.0</v>
      </c>
      <c r="C34" s="168" t="str">
        <f>vlookup(B34,'Crew Data'!C:G,5,0)</f>
        <v>Rawitnat Marayat</v>
      </c>
      <c r="D34" s="121" t="s">
        <v>619</v>
      </c>
      <c r="E34" s="107">
        <v>2.0</v>
      </c>
      <c r="F34" s="122">
        <f t="shared" si="1"/>
        <v>800</v>
      </c>
      <c r="G34" t="str">
        <f t="array" ref="G34">XLOOKUP(B34,Sheet68!A:A,Sheet68!AB:AB,0)</f>
        <v>rawitnatm@airasia.com</v>
      </c>
      <c r="H34" s="22">
        <f t="shared" si="2"/>
        <v>1</v>
      </c>
      <c r="I34" s="123" t="s">
        <v>20</v>
      </c>
      <c r="J34" s="123"/>
      <c r="K34" s="127"/>
      <c r="L34" s="31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</row>
    <row r="35">
      <c r="A35" s="107">
        <v>33.0</v>
      </c>
      <c r="B35" s="139">
        <v>1022223.0</v>
      </c>
      <c r="C35" s="168" t="str">
        <f>vlookup(B35,'Crew Data'!C:G,5,0)</f>
        <v>Nantapak Benjasiriporn</v>
      </c>
      <c r="D35" s="121" t="s">
        <v>619</v>
      </c>
      <c r="E35" s="107">
        <v>2.0</v>
      </c>
      <c r="F35" s="122">
        <f t="shared" si="1"/>
        <v>800</v>
      </c>
      <c r="G35" t="str">
        <f t="array" ref="G35">XLOOKUP(B35,Sheet68!A:A,Sheet68!AB:AB,0)</f>
        <v>nantapakbenjasiripo@airasia.com</v>
      </c>
      <c r="H35" s="22">
        <f t="shared" si="2"/>
        <v>1</v>
      </c>
      <c r="I35" s="123" t="s">
        <v>20</v>
      </c>
      <c r="J35" s="123"/>
      <c r="K35" s="127"/>
      <c r="L35" s="31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</row>
    <row r="36">
      <c r="A36" s="107">
        <v>34.0</v>
      </c>
      <c r="B36" s="138">
        <v>1039104.0</v>
      </c>
      <c r="C36" s="168" t="str">
        <f>vlookup(B36,'Crew Data'!C:G,5,0)</f>
        <v>Dusitta Porananon</v>
      </c>
      <c r="D36" s="121" t="s">
        <v>619</v>
      </c>
      <c r="E36" s="107">
        <v>2.0</v>
      </c>
      <c r="F36" s="122">
        <f t="shared" si="1"/>
        <v>800</v>
      </c>
      <c r="G36" t="str">
        <f t="array" ref="G36">XLOOKUP(B36,Sheet68!A:A,Sheet68!AB:AB,0)</f>
        <v>dusittaporananon@airasia.com</v>
      </c>
      <c r="H36" s="22">
        <f t="shared" si="2"/>
        <v>1</v>
      </c>
      <c r="I36" s="123" t="s">
        <v>20</v>
      </c>
      <c r="J36" s="111"/>
      <c r="K36" s="127"/>
      <c r="L36" s="31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</row>
    <row r="37">
      <c r="A37" s="107">
        <v>35.0</v>
      </c>
      <c r="B37" s="138">
        <v>1013190.0</v>
      </c>
      <c r="C37" s="168" t="str">
        <f>vlookup(B37,'Crew Data'!C:G,5,0)</f>
        <v>Thamonwan Chokumpornpan</v>
      </c>
      <c r="D37" s="121" t="s">
        <v>610</v>
      </c>
      <c r="E37" s="107">
        <v>2.0</v>
      </c>
      <c r="F37" s="122">
        <f t="shared" si="1"/>
        <v>800</v>
      </c>
      <c r="G37" t="str">
        <f t="array" ref="G37">XLOOKUP(B37,Sheet68!A:A,Sheet68!AB:AB,0)</f>
        <v>thamonwanh@airasia.com</v>
      </c>
      <c r="H37" s="22">
        <f t="shared" si="2"/>
        <v>1</v>
      </c>
      <c r="I37" s="123" t="s">
        <v>20</v>
      </c>
      <c r="J37" s="111"/>
      <c r="K37" s="127"/>
      <c r="L37" s="31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>
      <c r="A38" s="107">
        <v>36.0</v>
      </c>
      <c r="B38" s="138">
        <v>1019528.0</v>
      </c>
      <c r="C38" s="168" t="str">
        <f>vlookup(B38,'Crew Data'!C:G,5,0)</f>
        <v>Panida Wannaying</v>
      </c>
      <c r="D38" s="121" t="s">
        <v>611</v>
      </c>
      <c r="E38" s="107">
        <v>2.0</v>
      </c>
      <c r="F38" s="122">
        <f t="shared" si="1"/>
        <v>800</v>
      </c>
      <c r="G38" t="str">
        <f t="array" ref="G38">XLOOKUP(B38,Sheet68!A:A,Sheet68!AB:AB,0)</f>
        <v>panidaw@airasia.com</v>
      </c>
      <c r="H38" s="22">
        <f t="shared" si="2"/>
        <v>1</v>
      </c>
      <c r="I38" s="123" t="s">
        <v>20</v>
      </c>
      <c r="J38" s="111"/>
      <c r="K38" s="127"/>
      <c r="L38" s="31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>
      <c r="A39" s="107">
        <v>37.0</v>
      </c>
      <c r="B39" s="129">
        <v>1000737.0</v>
      </c>
      <c r="C39" s="168" t="str">
        <f>vlookup(B39,'Crew Data'!C:G,5,0)</f>
        <v>Pathomporn Sukanthong</v>
      </c>
      <c r="D39" s="121" t="s">
        <v>620</v>
      </c>
      <c r="E39" s="107">
        <v>2.0</v>
      </c>
      <c r="F39" s="122">
        <f t="shared" si="1"/>
        <v>800</v>
      </c>
      <c r="G39" t="str">
        <f t="array" ref="G39">XLOOKUP(B39,Sheet68!A:A,Sheet68!AB:AB,0)</f>
        <v>pathomporns@airasia.com</v>
      </c>
      <c r="H39" s="22">
        <f t="shared" si="2"/>
        <v>1</v>
      </c>
      <c r="I39" s="123" t="s">
        <v>20</v>
      </c>
      <c r="J39" s="111"/>
      <c r="K39" s="127"/>
      <c r="L39" s="31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</row>
    <row r="40">
      <c r="A40" s="107">
        <v>38.0</v>
      </c>
      <c r="B40" s="139">
        <v>1014079.0</v>
      </c>
      <c r="C40" s="168" t="str">
        <f>vlookup(B40,'Crew Data'!C:G,5,0)</f>
        <v>Patcharin Yenkaew</v>
      </c>
      <c r="D40" s="121" t="s">
        <v>621</v>
      </c>
      <c r="E40" s="107">
        <v>2.0</v>
      </c>
      <c r="F40" s="122">
        <f t="shared" si="1"/>
        <v>800</v>
      </c>
      <c r="G40" t="str">
        <f t="array" ref="G40">XLOOKUP(B40,Sheet68!A:A,Sheet68!AB:AB,0)</f>
        <v>patchariny@airasia.com</v>
      </c>
      <c r="H40" s="22">
        <f t="shared" si="2"/>
        <v>1</v>
      </c>
      <c r="I40" s="123" t="s">
        <v>20</v>
      </c>
      <c r="J40" s="111"/>
      <c r="K40" s="127"/>
      <c r="L40" s="31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>
      <c r="A41" s="107">
        <v>39.0</v>
      </c>
      <c r="B41" s="139">
        <v>1019395.0</v>
      </c>
      <c r="C41" s="168" t="str">
        <f>vlookup(B41,'Crew Data'!C:G,5,0)</f>
        <v>Dalika Sayanprasert</v>
      </c>
      <c r="D41" s="121" t="s">
        <v>620</v>
      </c>
      <c r="E41" s="107">
        <v>2.0</v>
      </c>
      <c r="F41" s="122">
        <f t="shared" si="1"/>
        <v>800</v>
      </c>
      <c r="G41" t="str">
        <f t="array" ref="G41">XLOOKUP(B41,Sheet68!A:A,Sheet68!AB:AB,0)</f>
        <v>dalikas@airasia.com</v>
      </c>
      <c r="H41" s="22">
        <f t="shared" si="2"/>
        <v>1</v>
      </c>
      <c r="I41" s="123" t="s">
        <v>20</v>
      </c>
      <c r="J41" s="111"/>
      <c r="K41" s="127"/>
      <c r="L41" s="31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</row>
    <row r="42">
      <c r="A42" s="107">
        <v>40.0</v>
      </c>
      <c r="B42" s="138">
        <v>1012187.0</v>
      </c>
      <c r="C42" s="168" t="str">
        <f>vlookup(B42,'Crew Data'!C:G,5,0)</f>
        <v>Warangkana Mattaweewong</v>
      </c>
      <c r="D42" s="121" t="s">
        <v>622</v>
      </c>
      <c r="E42" s="107">
        <v>2.0</v>
      </c>
      <c r="F42" s="122">
        <f t="shared" si="1"/>
        <v>800</v>
      </c>
      <c r="G42" t="str">
        <f t="array" ref="G42">XLOOKUP(B42,Sheet68!A:A,Sheet68!AB:AB,0)</f>
        <v>warangkanam@airasia.com</v>
      </c>
      <c r="H42" s="22">
        <f t="shared" si="2"/>
        <v>1</v>
      </c>
      <c r="I42" s="123" t="s">
        <v>20</v>
      </c>
      <c r="J42" s="111"/>
      <c r="K42" s="127"/>
      <c r="L42" s="31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</row>
    <row r="43">
      <c r="A43" s="107">
        <v>41.0</v>
      </c>
      <c r="B43" s="138">
        <v>1018529.0</v>
      </c>
      <c r="C43" s="168" t="str">
        <f>vlookup(B43,'Crew Data'!C:G,5,0)</f>
        <v>Apichaya Bureesri</v>
      </c>
      <c r="D43" s="121" t="s">
        <v>622</v>
      </c>
      <c r="E43" s="107">
        <v>2.0</v>
      </c>
      <c r="F43" s="122">
        <f t="shared" si="1"/>
        <v>800</v>
      </c>
      <c r="G43" t="str">
        <f t="array" ref="G43">XLOOKUP(B43,Sheet68!A:A,Sheet68!AB:AB,0)</f>
        <v>apichayab@airasia.com</v>
      </c>
      <c r="H43" s="22">
        <f t="shared" si="2"/>
        <v>1</v>
      </c>
      <c r="I43" s="123" t="s">
        <v>20</v>
      </c>
      <c r="J43" s="111"/>
      <c r="K43" s="127"/>
      <c r="L43" s="31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</row>
    <row r="44">
      <c r="A44" s="107">
        <v>42.0</v>
      </c>
      <c r="B44" s="138">
        <v>1007342.0</v>
      </c>
      <c r="C44" s="168" t="str">
        <f>vlookup(B44,'Crew Data'!C:G,5,0)</f>
        <v>Supitchaya Hongkajorn</v>
      </c>
      <c r="D44" s="121" t="s">
        <v>623</v>
      </c>
      <c r="E44" s="107">
        <v>2.0</v>
      </c>
      <c r="F44" s="122">
        <f t="shared" si="1"/>
        <v>800</v>
      </c>
      <c r="G44" t="str">
        <f t="array" ref="G44">XLOOKUP(B44,Sheet68!A:A,Sheet68!AB:AB,0)</f>
        <v>supitchayah@airasia.com</v>
      </c>
      <c r="H44" s="22">
        <f t="shared" si="2"/>
        <v>1</v>
      </c>
      <c r="I44" s="123" t="s">
        <v>20</v>
      </c>
      <c r="J44" s="111"/>
      <c r="K44" s="127"/>
      <c r="L44" s="31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</row>
    <row r="45">
      <c r="A45" s="107">
        <v>43.0</v>
      </c>
      <c r="B45" s="138">
        <v>1011843.0</v>
      </c>
      <c r="C45" s="168" t="str">
        <f>vlookup(B45,'Crew Data'!C:G,5,0)</f>
        <v>Teetawat Vanaphuti</v>
      </c>
      <c r="D45" s="121" t="s">
        <v>618</v>
      </c>
      <c r="E45" s="107">
        <v>2.0</v>
      </c>
      <c r="F45" s="122">
        <f t="shared" si="1"/>
        <v>800</v>
      </c>
      <c r="G45" t="str">
        <f t="array" ref="G45">XLOOKUP(B45,Sheet68!A:A,Sheet68!AB:AB,0)</f>
        <v>teetawatv@airasia.com</v>
      </c>
      <c r="H45" s="22">
        <f t="shared" si="2"/>
        <v>1</v>
      </c>
      <c r="I45" s="123" t="s">
        <v>20</v>
      </c>
      <c r="J45" s="111"/>
      <c r="K45" s="127"/>
      <c r="L45" s="31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</row>
    <row r="46">
      <c r="A46" s="107">
        <v>44.0</v>
      </c>
      <c r="B46" s="138">
        <v>1005964.0</v>
      </c>
      <c r="C46" s="168" t="str">
        <f>vlookup(B46,'Crew Data'!C:G,5,0)</f>
        <v>Sawitri Siribunrueangwong</v>
      </c>
      <c r="D46" s="121" t="s">
        <v>624</v>
      </c>
      <c r="E46" s="107">
        <v>2.0</v>
      </c>
      <c r="F46" s="122">
        <f t="shared" si="1"/>
        <v>800</v>
      </c>
      <c r="G46" t="str">
        <f t="array" ref="G46">XLOOKUP(B46,Sheet68!A:A,Sheet68!AB:AB,0)</f>
        <v>sawitris@airasia.com</v>
      </c>
      <c r="H46" s="22">
        <f t="shared" si="2"/>
        <v>1</v>
      </c>
      <c r="I46" s="123" t="s">
        <v>20</v>
      </c>
      <c r="J46" s="111"/>
      <c r="K46" s="127"/>
      <c r="L46" s="31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</row>
    <row r="47">
      <c r="A47" s="107">
        <v>45.0</v>
      </c>
      <c r="B47" s="138">
        <v>1012256.0</v>
      </c>
      <c r="C47" s="168" t="str">
        <f>vlookup(B47,'Crew Data'!C:G,5,0)</f>
        <v>Sarayut Ungsaichue</v>
      </c>
      <c r="D47" s="121" t="s">
        <v>621</v>
      </c>
      <c r="E47" s="107">
        <v>2.0</v>
      </c>
      <c r="F47" s="122">
        <f t="shared" si="1"/>
        <v>800</v>
      </c>
      <c r="G47" t="str">
        <f t="array" ref="G47">XLOOKUP(B47,Sheet68!A:A,Sheet68!AB:AB,0)</f>
        <v>sarayutu@airasia.com</v>
      </c>
      <c r="H47" s="22">
        <f t="shared" si="2"/>
        <v>1</v>
      </c>
      <c r="I47" s="123" t="s">
        <v>20</v>
      </c>
      <c r="J47" s="111"/>
      <c r="K47" s="127"/>
      <c r="L47" s="31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</row>
    <row r="48">
      <c r="A48" s="107">
        <v>46.0</v>
      </c>
      <c r="B48" s="138">
        <v>1017639.0</v>
      </c>
      <c r="C48" s="168" t="str">
        <f>vlookup(B48,'Crew Data'!C:G,5,0)</f>
        <v>Dhanupol Sagulsukhmongkol</v>
      </c>
      <c r="D48" s="121" t="s">
        <v>614</v>
      </c>
      <c r="E48" s="107">
        <v>2.0</v>
      </c>
      <c r="F48" s="122">
        <f t="shared" si="1"/>
        <v>800</v>
      </c>
      <c r="G48" t="str">
        <f t="array" ref="G48">XLOOKUP(B48,Sheet68!A:A,Sheet68!AB:AB,0)</f>
        <v>dhanupols@airasia.com</v>
      </c>
      <c r="H48" s="22">
        <f t="shared" si="2"/>
        <v>1</v>
      </c>
      <c r="I48" s="123" t="s">
        <v>20</v>
      </c>
      <c r="J48" s="111"/>
      <c r="K48" s="127"/>
      <c r="L48" s="31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</row>
    <row r="49">
      <c r="A49" s="107">
        <v>47.0</v>
      </c>
      <c r="B49" s="138">
        <v>1002299.0</v>
      </c>
      <c r="C49" s="168" t="str">
        <f>vlookup(B49,'Crew Data'!C:G,5,0)</f>
        <v>Arisara Wongsatitsathein</v>
      </c>
      <c r="D49" s="121" t="s">
        <v>625</v>
      </c>
      <c r="E49" s="107">
        <v>2.0</v>
      </c>
      <c r="F49" s="122">
        <f t="shared" si="1"/>
        <v>800</v>
      </c>
      <c r="G49" t="str">
        <f t="array" ref="G49">XLOOKUP(B49,Sheet68!A:A,Sheet68!AB:AB,0)</f>
        <v>arisaraw@airasia.com</v>
      </c>
      <c r="H49" s="22">
        <f t="shared" si="2"/>
        <v>1</v>
      </c>
      <c r="I49" s="123" t="s">
        <v>20</v>
      </c>
      <c r="J49" s="111"/>
      <c r="K49" s="127"/>
      <c r="L49" s="31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</row>
    <row r="50">
      <c r="A50" s="107">
        <v>48.0</v>
      </c>
      <c r="B50" s="138">
        <v>1012680.0</v>
      </c>
      <c r="C50" s="168" t="str">
        <f>vlookup(B50,'Crew Data'!C:G,5,0)</f>
        <v>Wiracha Chamsoongnern</v>
      </c>
      <c r="D50" s="121" t="s">
        <v>626</v>
      </c>
      <c r="E50" s="107">
        <v>2.0</v>
      </c>
      <c r="F50" s="122">
        <f t="shared" si="1"/>
        <v>800</v>
      </c>
      <c r="G50" t="str">
        <f t="array" ref="G50">XLOOKUP(B50,Sheet68!A:A,Sheet68!AB:AB,0)</f>
        <v>wirachac@airasia.com</v>
      </c>
      <c r="H50" s="22">
        <f t="shared" si="2"/>
        <v>1</v>
      </c>
      <c r="I50" s="123" t="s">
        <v>20</v>
      </c>
      <c r="J50" s="111"/>
      <c r="K50" s="127"/>
      <c r="L50" s="31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</row>
    <row r="51">
      <c r="A51" s="107">
        <v>49.0</v>
      </c>
      <c r="B51" s="138">
        <v>1007138.0</v>
      </c>
      <c r="C51" s="168" t="str">
        <f>vlookup(B51,'Crew Data'!C:G,5,0)</f>
        <v>Muanprae Fukiatisuthi</v>
      </c>
      <c r="D51" s="121" t="s">
        <v>612</v>
      </c>
      <c r="E51" s="107">
        <v>2.0</v>
      </c>
      <c r="F51" s="122">
        <f t="shared" si="1"/>
        <v>800</v>
      </c>
      <c r="G51" t="str">
        <f t="array" ref="G51">XLOOKUP(B51,Sheet68!A:A,Sheet68!AB:AB,0)</f>
        <v>muanpraef@airasia.com</v>
      </c>
      <c r="H51" s="22">
        <f t="shared" si="2"/>
        <v>1</v>
      </c>
      <c r="I51" s="123" t="s">
        <v>20</v>
      </c>
      <c r="J51" s="111"/>
      <c r="K51" s="127"/>
      <c r="L51" s="31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</row>
    <row r="52">
      <c r="A52" s="107">
        <v>50.0</v>
      </c>
      <c r="B52" s="138">
        <v>1017654.0</v>
      </c>
      <c r="C52" s="168" t="str">
        <f>vlookup(B52,'Crew Data'!C:G,5,0)</f>
        <v>#N/A</v>
      </c>
      <c r="D52" s="121" t="s">
        <v>614</v>
      </c>
      <c r="E52" s="107">
        <v>2.0</v>
      </c>
      <c r="F52" s="122">
        <f t="shared" si="1"/>
        <v>800</v>
      </c>
      <c r="G52">
        <f t="array" ref="G52">XLOOKUP(B52,Sheet68!A:A,Sheet68!AB:AB,0)</f>
        <v>0</v>
      </c>
      <c r="H52" s="22">
        <f t="shared" si="2"/>
        <v>1</v>
      </c>
      <c r="I52" s="123" t="s">
        <v>20</v>
      </c>
      <c r="J52" s="111"/>
      <c r="K52" s="127"/>
      <c r="L52" s="31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</row>
    <row r="53">
      <c r="A53" s="107">
        <v>51.0</v>
      </c>
      <c r="B53" s="138">
        <v>1013048.0</v>
      </c>
      <c r="C53" s="168" t="str">
        <f>vlookup(B53,'Crew Data'!C:G,5,0)</f>
        <v>Thanchanok Srisawang</v>
      </c>
      <c r="D53" s="121" t="s">
        <v>626</v>
      </c>
      <c r="E53" s="107">
        <v>2.0</v>
      </c>
      <c r="F53" s="122">
        <f t="shared" si="1"/>
        <v>800</v>
      </c>
      <c r="G53" t="str">
        <f t="array" ref="G53">XLOOKUP(B53,Sheet68!A:A,Sheet68!AB:AB,0)</f>
        <v>thanchanoks@airasia.com</v>
      </c>
      <c r="H53" s="22">
        <f t="shared" si="2"/>
        <v>1</v>
      </c>
      <c r="I53" s="123" t="s">
        <v>20</v>
      </c>
      <c r="J53" s="111"/>
      <c r="K53" s="127"/>
      <c r="L53" s="31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</row>
    <row r="54">
      <c r="A54" s="107">
        <v>52.0</v>
      </c>
      <c r="B54" s="138">
        <v>1006344.0</v>
      </c>
      <c r="C54" s="168" t="str">
        <f>vlookup(B54,'Crew Data'!C:G,5,0)</f>
        <v>Rungnapa Sawaruk</v>
      </c>
      <c r="D54" s="176">
        <v>45901.0</v>
      </c>
      <c r="E54" s="107">
        <v>2.0</v>
      </c>
      <c r="F54" s="122">
        <f t="shared" si="1"/>
        <v>800</v>
      </c>
      <c r="G54" t="str">
        <f t="array" ref="G54">XLOOKUP(B54,Sheet68!A:A,Sheet68!AB:AB,0)</f>
        <v>rungnapas@airasia.com</v>
      </c>
      <c r="H54" s="22">
        <f t="shared" si="2"/>
        <v>1</v>
      </c>
      <c r="I54" s="123" t="s">
        <v>20</v>
      </c>
      <c r="J54" s="111"/>
      <c r="K54" s="127"/>
      <c r="L54" s="31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</row>
    <row r="55">
      <c r="A55" s="107">
        <v>53.0</v>
      </c>
      <c r="B55" s="140">
        <v>1040342.0</v>
      </c>
      <c r="C55" s="168" t="str">
        <f>vlookup(B55,'Crew Data'!C:G,5,0)</f>
        <v>Areeya Taleb</v>
      </c>
      <c r="D55" s="121" t="s">
        <v>623</v>
      </c>
      <c r="E55" s="107">
        <v>2.0</v>
      </c>
      <c r="F55" s="122">
        <f t="shared" si="1"/>
        <v>800</v>
      </c>
      <c r="G55" t="str">
        <f t="array" ref="G55">XLOOKUP(B55,Sheet68!A:A,Sheet68!AB:AB,0)</f>
        <v>areeyataleb@airasia.com</v>
      </c>
      <c r="H55" s="22">
        <f t="shared" si="2"/>
        <v>1</v>
      </c>
      <c r="I55" s="123" t="s">
        <v>20</v>
      </c>
      <c r="J55" s="111"/>
      <c r="K55" s="127"/>
      <c r="L55" s="31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</row>
    <row r="56">
      <c r="A56" s="107">
        <v>54.0</v>
      </c>
      <c r="B56" s="140">
        <v>1043870.0</v>
      </c>
      <c r="C56" s="168" t="str">
        <f>vlookup(B56,'Crew Data'!C:G,5,0)</f>
        <v>Daranphon Chaikiatchanyaphon</v>
      </c>
      <c r="D56" s="121" t="s">
        <v>627</v>
      </c>
      <c r="E56" s="107">
        <v>3.0</v>
      </c>
      <c r="F56" s="122">
        <f t="shared" si="1"/>
        <v>1200</v>
      </c>
      <c r="G56" t="str">
        <f t="array" ref="G56">XLOOKUP(B56,Sheet68!A:A,Sheet68!AB:AB,0)</f>
        <v>daranphoncha@airasia.com</v>
      </c>
      <c r="H56" s="22">
        <f t="shared" si="2"/>
        <v>1</v>
      </c>
      <c r="I56" s="123" t="s">
        <v>20</v>
      </c>
      <c r="J56" s="111"/>
      <c r="K56" s="127"/>
      <c r="L56" s="31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</row>
    <row r="57">
      <c r="A57" s="107">
        <v>55.0</v>
      </c>
      <c r="B57" s="138">
        <v>1004317.0</v>
      </c>
      <c r="C57" s="168" t="str">
        <f>vlookup(B57,'Crew Data'!C:G,5,0)</f>
        <v>Narit Aimwat</v>
      </c>
      <c r="D57" s="121" t="s">
        <v>625</v>
      </c>
      <c r="E57" s="107">
        <v>2.0</v>
      </c>
      <c r="F57" s="122">
        <f t="shared" si="1"/>
        <v>800</v>
      </c>
      <c r="G57" t="str">
        <f t="array" ref="G57">XLOOKUP(B57,Sheet68!A:A,Sheet68!AB:AB,0)</f>
        <v>narita@airasia.com</v>
      </c>
      <c r="H57" s="22">
        <f t="shared" si="2"/>
        <v>1</v>
      </c>
      <c r="I57" s="123" t="s">
        <v>20</v>
      </c>
      <c r="J57" s="111"/>
      <c r="K57" s="127"/>
      <c r="L57" s="31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</row>
    <row r="58">
      <c r="A58" s="107">
        <v>56.0</v>
      </c>
      <c r="B58" s="141">
        <v>1011516.0</v>
      </c>
      <c r="C58" s="168" t="str">
        <f>vlookup(B58,'Crew Data'!C:G,5,0)</f>
        <v>Thitipol Soontorn-Anantakul</v>
      </c>
      <c r="D58" s="121" t="s">
        <v>626</v>
      </c>
      <c r="E58" s="107">
        <v>2.0</v>
      </c>
      <c r="F58" s="122">
        <f t="shared" si="1"/>
        <v>800</v>
      </c>
      <c r="G58" t="str">
        <f t="array" ref="G58">XLOOKUP(B58,Sheet68!A:A,Sheet68!AB:AB,0)</f>
        <v>thitipols@airasia.com</v>
      </c>
      <c r="H58" s="22">
        <f t="shared" si="2"/>
        <v>1</v>
      </c>
      <c r="I58" s="123" t="s">
        <v>20</v>
      </c>
      <c r="J58" s="111"/>
      <c r="K58" s="127"/>
      <c r="L58" s="31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</row>
    <row r="59">
      <c r="A59" s="107">
        <v>57.0</v>
      </c>
      <c r="B59" s="141">
        <v>1015094.0</v>
      </c>
      <c r="C59" s="168" t="str">
        <f>vlookup(B59,'Crew Data'!C:G,5,0)</f>
        <v>Pheephat Janjamras</v>
      </c>
      <c r="D59" s="121" t="s">
        <v>618</v>
      </c>
      <c r="E59" s="107">
        <v>2.0</v>
      </c>
      <c r="F59" s="122">
        <f t="shared" si="1"/>
        <v>800</v>
      </c>
      <c r="G59" t="str">
        <f t="array" ref="G59">XLOOKUP(B59,Sheet68!A:A,Sheet68!AB:AB,0)</f>
        <v>pheephatj@airasia.com</v>
      </c>
      <c r="H59" s="22">
        <f t="shared" si="2"/>
        <v>1</v>
      </c>
      <c r="I59" s="123" t="s">
        <v>20</v>
      </c>
      <c r="J59" s="111"/>
      <c r="K59" s="127"/>
      <c r="L59" s="31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</row>
    <row r="60">
      <c r="A60" s="107">
        <v>58.0</v>
      </c>
      <c r="B60" s="138">
        <v>1006995.0</v>
      </c>
      <c r="C60" s="168" t="str">
        <f>vlookup(B60,'Crew Data'!C:G,5,0)</f>
        <v>Kornrumpha Wongsing</v>
      </c>
      <c r="D60" s="121" t="s">
        <v>628</v>
      </c>
      <c r="E60" s="107">
        <v>2.0</v>
      </c>
      <c r="F60" s="122">
        <f t="shared" si="1"/>
        <v>800</v>
      </c>
      <c r="G60" t="str">
        <f t="array" ref="G60">XLOOKUP(B60,Sheet68!A:A,Sheet68!AB:AB,0)</f>
        <v>kornrumphaw@airasia.com</v>
      </c>
      <c r="H60" s="22">
        <f t="shared" si="2"/>
        <v>1</v>
      </c>
      <c r="I60" s="123" t="s">
        <v>20</v>
      </c>
      <c r="J60" s="111"/>
      <c r="K60" s="127"/>
      <c r="L60" s="31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</row>
    <row r="61">
      <c r="A61" s="107">
        <v>59.0</v>
      </c>
      <c r="B61" s="138">
        <v>1007023.0</v>
      </c>
      <c r="C61" s="168" t="str">
        <f>vlookup(B61,'Crew Data'!C:G,5,0)</f>
        <v>Apinan Sookpinij</v>
      </c>
      <c r="D61" s="121" t="s">
        <v>629</v>
      </c>
      <c r="E61" s="107">
        <v>2.0</v>
      </c>
      <c r="F61" s="122">
        <f t="shared" si="1"/>
        <v>800</v>
      </c>
      <c r="G61" t="str">
        <f t="array" ref="G61">XLOOKUP(B61,Sheet68!A:A,Sheet68!AB:AB,0)</f>
        <v>apinans@airasia.com</v>
      </c>
      <c r="H61" s="22">
        <f t="shared" si="2"/>
        <v>1</v>
      </c>
      <c r="I61" s="123" t="s">
        <v>20</v>
      </c>
      <c r="J61" s="111"/>
      <c r="K61" s="127"/>
      <c r="L61" s="31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</row>
    <row r="62">
      <c r="A62" s="107">
        <v>60.0</v>
      </c>
      <c r="B62" s="138">
        <v>1019518.0</v>
      </c>
      <c r="C62" s="168" t="str">
        <f>vlookup(B62,'Crew Data'!C:G,5,0)</f>
        <v>Naratip Dumrongthai</v>
      </c>
      <c r="D62" s="121" t="s">
        <v>630</v>
      </c>
      <c r="E62" s="107">
        <v>2.0</v>
      </c>
      <c r="F62" s="122">
        <f t="shared" si="1"/>
        <v>800</v>
      </c>
      <c r="G62" t="str">
        <f t="array" ref="G62">XLOOKUP(B62,Sheet68!A:A,Sheet68!AB:AB,0)</f>
        <v>naratipd@airasia.com</v>
      </c>
      <c r="H62" s="22">
        <f t="shared" si="2"/>
        <v>1</v>
      </c>
      <c r="I62" s="123" t="s">
        <v>20</v>
      </c>
      <c r="J62" s="111"/>
      <c r="K62" s="127"/>
      <c r="L62" s="31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</row>
    <row r="63">
      <c r="A63" s="107">
        <v>61.0</v>
      </c>
      <c r="B63" s="138">
        <v>1003392.0</v>
      </c>
      <c r="C63" s="168" t="str">
        <f>vlookup(B63,'Crew Data'!C:G,5,0)</f>
        <v>Punnaphas Tawornpanmanee</v>
      </c>
      <c r="D63" s="121" t="s">
        <v>621</v>
      </c>
      <c r="E63" s="107">
        <v>2.0</v>
      </c>
      <c r="F63" s="122">
        <f t="shared" si="1"/>
        <v>800</v>
      </c>
      <c r="G63" t="str">
        <f t="array" ref="G63">XLOOKUP(B63,Sheet68!A:A,Sheet68!AB:AB,0)</f>
        <v>punnaphast@airasia.com</v>
      </c>
      <c r="H63" s="22">
        <f t="shared" si="2"/>
        <v>1</v>
      </c>
      <c r="I63" s="123" t="s">
        <v>20</v>
      </c>
      <c r="J63" s="111"/>
      <c r="K63" s="127"/>
      <c r="L63" s="31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</row>
    <row r="64">
      <c r="A64" s="107">
        <v>62.0</v>
      </c>
      <c r="B64" s="138">
        <v>1010916.0</v>
      </c>
      <c r="C64" s="168" t="str">
        <f>vlookup(B64,'Crew Data'!C:G,5,0)</f>
        <v>Sivakorn Sangsukiam</v>
      </c>
      <c r="D64" s="121" t="s">
        <v>631</v>
      </c>
      <c r="E64" s="107">
        <v>2.0</v>
      </c>
      <c r="F64" s="122">
        <f t="shared" si="1"/>
        <v>800</v>
      </c>
      <c r="G64" t="str">
        <f t="array" ref="G64">XLOOKUP(B64,Sheet68!A:A,Sheet68!AB:AB,0)</f>
        <v>sivakorns@airasia.com</v>
      </c>
      <c r="H64" s="22">
        <f t="shared" si="2"/>
        <v>1</v>
      </c>
      <c r="I64" s="123" t="s">
        <v>20</v>
      </c>
      <c r="J64" s="111"/>
      <c r="K64" s="127"/>
      <c r="L64" s="31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</row>
    <row r="65">
      <c r="A65" s="107">
        <v>63.0</v>
      </c>
      <c r="B65" s="138">
        <v>1002207.0</v>
      </c>
      <c r="C65" s="168" t="str">
        <f>vlookup(B65,'Crew Data'!C:G,5,0)</f>
        <v>Phakaon Chaiwong</v>
      </c>
      <c r="D65" s="121" t="s">
        <v>620</v>
      </c>
      <c r="E65" s="107">
        <v>2.0</v>
      </c>
      <c r="F65" s="122">
        <f t="shared" si="1"/>
        <v>800</v>
      </c>
      <c r="G65" t="str">
        <f t="array" ref="G65">XLOOKUP(B65,Sheet68!A:A,Sheet68!AB:AB,0)</f>
        <v>phakaonc@airasia.com</v>
      </c>
      <c r="H65" s="22">
        <f t="shared" si="2"/>
        <v>1</v>
      </c>
      <c r="I65" s="123" t="s">
        <v>20</v>
      </c>
      <c r="J65" s="111"/>
      <c r="K65" s="127"/>
      <c r="L65" s="31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</row>
    <row r="66">
      <c r="A66" s="107">
        <v>64.0</v>
      </c>
      <c r="B66" s="131">
        <v>1044220.0</v>
      </c>
      <c r="C66" s="168" t="str">
        <f>vlookup(B66,'Crew Data'!C:G,5,0)</f>
        <v>Warissara Klanbuds</v>
      </c>
      <c r="D66" s="121" t="s">
        <v>632</v>
      </c>
      <c r="E66" s="107">
        <v>4.0</v>
      </c>
      <c r="F66" s="122">
        <f t="shared" si="1"/>
        <v>1600</v>
      </c>
      <c r="G66" t="str">
        <f t="array" ref="G66">XLOOKUP(B66,Sheet68!A:A,Sheet68!AB:AB,0)</f>
        <v>warissarakla@airasia.com</v>
      </c>
      <c r="H66" s="22">
        <f>COUNTIF(B:B,B65)</f>
        <v>1</v>
      </c>
      <c r="I66" s="123" t="s">
        <v>20</v>
      </c>
      <c r="J66" s="111"/>
      <c r="K66" s="127"/>
      <c r="L66" s="31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</row>
    <row r="67">
      <c r="A67" s="107">
        <v>65.0</v>
      </c>
      <c r="B67" s="138">
        <v>1006844.0</v>
      </c>
      <c r="C67" s="168" t="str">
        <f>vlookup(B67,'Crew Data'!C:G,5,0)</f>
        <v>Rada Nilyam</v>
      </c>
      <c r="D67" s="121" t="s">
        <v>622</v>
      </c>
      <c r="E67" s="107">
        <v>2.0</v>
      </c>
      <c r="F67" s="122">
        <f t="shared" si="1"/>
        <v>800</v>
      </c>
      <c r="G67" t="str">
        <f t="array" ref="G67">XLOOKUP(B67,Sheet68!A:A,Sheet68!AB:AB,0)</f>
        <v>radan@airasia.com</v>
      </c>
      <c r="H67" s="22">
        <f t="shared" ref="H67:H79" si="3">COUNTIF(B:B,B67)</f>
        <v>1</v>
      </c>
      <c r="I67" s="123" t="s">
        <v>20</v>
      </c>
      <c r="J67" s="111"/>
      <c r="K67" s="127"/>
      <c r="L67" s="31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</row>
    <row r="68">
      <c r="A68" s="107">
        <v>66.0</v>
      </c>
      <c r="B68" s="138">
        <v>1040522.0</v>
      </c>
      <c r="C68" s="168" t="str">
        <f>vlookup(B68,'Crew Data'!C:G,5,0)</f>
        <v>Titapa Tiyasoponjit</v>
      </c>
      <c r="D68" s="121" t="s">
        <v>633</v>
      </c>
      <c r="E68" s="107">
        <v>2.0</v>
      </c>
      <c r="F68" s="122">
        <f t="shared" si="1"/>
        <v>800</v>
      </c>
      <c r="G68" t="str">
        <f t="array" ref="G68">XLOOKUP(B68,Sheet68!A:A,Sheet68!AB:AB,0)</f>
        <v>titapatiyasoponjit@airasia.com</v>
      </c>
      <c r="H68" s="22">
        <f t="shared" si="3"/>
        <v>1</v>
      </c>
      <c r="I68" s="123" t="s">
        <v>20</v>
      </c>
      <c r="J68" s="111"/>
      <c r="K68" s="127"/>
      <c r="L68" s="31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</row>
    <row r="69">
      <c r="A69" s="107">
        <v>67.0</v>
      </c>
      <c r="B69" s="138">
        <v>1015091.0</v>
      </c>
      <c r="C69" s="168" t="str">
        <f>vlookup(B69,'Crew Data'!C:G,5,0)</f>
        <v>Nutpattra Kokanutaporn </v>
      </c>
      <c r="D69" s="121" t="s">
        <v>633</v>
      </c>
      <c r="E69" s="107">
        <v>2.0</v>
      </c>
      <c r="F69" s="122">
        <f t="shared" si="1"/>
        <v>800</v>
      </c>
      <c r="G69" t="str">
        <f t="array" ref="G69">XLOOKUP(B69,Sheet68!A:A,Sheet68!AB:AB,0)</f>
        <v>nutpattrak@airasia.com</v>
      </c>
      <c r="H69" s="22">
        <f t="shared" si="3"/>
        <v>1</v>
      </c>
      <c r="I69" s="123" t="s">
        <v>20</v>
      </c>
      <c r="J69" s="111"/>
      <c r="K69" s="127"/>
      <c r="L69" s="31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</row>
    <row r="70">
      <c r="A70" s="107">
        <v>68.0</v>
      </c>
      <c r="B70" s="138">
        <v>1011748.0</v>
      </c>
      <c r="C70" s="168" t="str">
        <f>vlookup(B70,'Crew Data'!C:G,5,0)</f>
        <v>Rattrawee Jirawaree</v>
      </c>
      <c r="D70" s="121" t="s">
        <v>634</v>
      </c>
      <c r="E70" s="107">
        <v>4.0</v>
      </c>
      <c r="F70" s="122">
        <f t="shared" si="1"/>
        <v>1600</v>
      </c>
      <c r="G70" t="str">
        <f t="array" ref="G70">XLOOKUP(B70,Sheet68!A:A,Sheet68!AB:AB,0)</f>
        <v>rattraweej@airasia.com</v>
      </c>
      <c r="H70" s="22">
        <f t="shared" si="3"/>
        <v>1</v>
      </c>
      <c r="I70" s="123" t="s">
        <v>20</v>
      </c>
      <c r="J70" s="111"/>
      <c r="K70" s="127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</row>
    <row r="71">
      <c r="A71" s="107">
        <v>69.0</v>
      </c>
      <c r="B71" s="138">
        <v>1012975.0</v>
      </c>
      <c r="C71" s="168" t="str">
        <f>vlookup(B71,'Crew Data'!C:G,5,0)</f>
        <v>Chalintara Chinaratana</v>
      </c>
      <c r="D71" s="121" t="s">
        <v>635</v>
      </c>
      <c r="E71" s="107">
        <v>2.0</v>
      </c>
      <c r="F71" s="122">
        <f t="shared" si="1"/>
        <v>800</v>
      </c>
      <c r="G71" t="str">
        <f t="array" ref="G71">XLOOKUP(B71,Sheet68!A:A,Sheet68!AB:AB,0)</f>
        <v>chalintarac@airasia.com</v>
      </c>
      <c r="H71" s="22">
        <f t="shared" si="3"/>
        <v>1</v>
      </c>
      <c r="I71" s="123" t="s">
        <v>20</v>
      </c>
      <c r="J71" s="111"/>
      <c r="K71" s="127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</row>
    <row r="72">
      <c r="A72" s="107">
        <v>70.0</v>
      </c>
      <c r="B72" s="138">
        <v>1002146.0</v>
      </c>
      <c r="C72" s="168" t="str">
        <f>vlookup(B72,'Crew Data'!C:G,5,0)</f>
        <v>Romrawee Choeikeewong</v>
      </c>
      <c r="D72" s="121" t="s">
        <v>615</v>
      </c>
      <c r="E72" s="107">
        <v>2.0</v>
      </c>
      <c r="F72" s="122">
        <f t="shared" si="1"/>
        <v>800</v>
      </c>
      <c r="G72" t="str">
        <f t="array" ref="G72">XLOOKUP(B72,Sheet68!A:A,Sheet68!AB:AB,0)</f>
        <v>romraweec@airasia.com</v>
      </c>
      <c r="H72" s="22">
        <f t="shared" si="3"/>
        <v>1</v>
      </c>
      <c r="I72" s="123" t="s">
        <v>20</v>
      </c>
      <c r="J72" s="111"/>
      <c r="K72" s="127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</row>
    <row r="73">
      <c r="A73" s="107">
        <v>71.0</v>
      </c>
      <c r="B73" s="138">
        <v>1001286.0</v>
      </c>
      <c r="C73" s="168" t="str">
        <f>vlookup(B73,'Crew Data'!C:G,5,0)</f>
        <v>Sirinart Auypornbusyakom</v>
      </c>
      <c r="D73" s="121" t="s">
        <v>616</v>
      </c>
      <c r="E73" s="107">
        <v>2.0</v>
      </c>
      <c r="F73" s="122">
        <f t="shared" si="1"/>
        <v>800</v>
      </c>
      <c r="G73" t="str">
        <f t="array" ref="G73">XLOOKUP(B73,Sheet68!A:A,Sheet68!AB:AB,0)</f>
        <v>sirinarta@airasia.com</v>
      </c>
      <c r="H73" s="22">
        <f t="shared" si="3"/>
        <v>1</v>
      </c>
      <c r="I73" s="123" t="s">
        <v>20</v>
      </c>
      <c r="J73" s="111"/>
      <c r="K73" s="127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</row>
    <row r="74">
      <c r="A74" s="107">
        <v>72.0</v>
      </c>
      <c r="B74" s="138">
        <v>1003055.0</v>
      </c>
      <c r="C74" s="168" t="str">
        <f>vlookup(B74,'Crew Data'!C:G,5,0)</f>
        <v>Pachara Nonthapak</v>
      </c>
      <c r="D74" s="121" t="s">
        <v>630</v>
      </c>
      <c r="E74" s="107">
        <v>2.0</v>
      </c>
      <c r="F74" s="122">
        <f t="shared" si="1"/>
        <v>800</v>
      </c>
      <c r="G74" t="str">
        <f t="array" ref="G74">XLOOKUP(B74,Sheet68!A:A,Sheet68!AB:AB,0)</f>
        <v>pacharan@airasia.com</v>
      </c>
      <c r="H74" s="22">
        <f t="shared" si="3"/>
        <v>1</v>
      </c>
      <c r="I74" s="123" t="s">
        <v>20</v>
      </c>
      <c r="J74" s="111"/>
      <c r="K74" s="127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</row>
    <row r="75">
      <c r="A75" s="107">
        <v>73.0</v>
      </c>
      <c r="B75" s="138">
        <v>1001273.0</v>
      </c>
      <c r="C75" s="168" t="str">
        <f>vlookup(B75,'Crew Data'!C:G,5,0)</f>
        <v>Chidchanok Seesorn</v>
      </c>
      <c r="D75" s="121" t="s">
        <v>625</v>
      </c>
      <c r="E75" s="107">
        <v>2.0</v>
      </c>
      <c r="F75" s="122">
        <f t="shared" si="1"/>
        <v>800</v>
      </c>
      <c r="G75" t="str">
        <f t="array" ref="G75">XLOOKUP(B75,Sheet68!A:A,Sheet68!AB:AB,0)</f>
        <v>chidchanoks@airasia.com</v>
      </c>
      <c r="H75" s="22">
        <f t="shared" si="3"/>
        <v>1</v>
      </c>
      <c r="I75" s="123" t="s">
        <v>20</v>
      </c>
      <c r="J75" s="111"/>
      <c r="K75" s="127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</row>
    <row r="76">
      <c r="A76" s="107">
        <v>74.0</v>
      </c>
      <c r="B76" s="138">
        <v>1011719.0</v>
      </c>
      <c r="C76" s="168" t="str">
        <f>vlookup(B76,'Crew Data'!C:G,5,0)</f>
        <v>Chiraporn Suriwan</v>
      </c>
      <c r="D76" s="121" t="s">
        <v>635</v>
      </c>
      <c r="E76" s="107">
        <v>2.0</v>
      </c>
      <c r="F76" s="122">
        <f t="shared" si="1"/>
        <v>800</v>
      </c>
      <c r="G76" t="str">
        <f t="array" ref="G76">XLOOKUP(B76,Sheet68!A:A,Sheet68!AB:AB,0)</f>
        <v>chiraporns@airasia.com</v>
      </c>
      <c r="H76" s="22">
        <f t="shared" si="3"/>
        <v>1</v>
      </c>
      <c r="I76" s="123" t="s">
        <v>20</v>
      </c>
      <c r="J76" s="111"/>
      <c r="K76" s="127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</row>
    <row r="77">
      <c r="A77" s="107">
        <v>75.0</v>
      </c>
      <c r="B77" s="138">
        <v>1007022.0</v>
      </c>
      <c r="C77" s="168" t="str">
        <f>vlookup(B77,'Crew Data'!C:G,5,0)</f>
        <v>Waroot Chanpueak</v>
      </c>
      <c r="D77" s="121" t="s">
        <v>633</v>
      </c>
      <c r="E77" s="107">
        <v>2.0</v>
      </c>
      <c r="F77" s="122">
        <f t="shared" si="1"/>
        <v>800</v>
      </c>
      <c r="G77" t="str">
        <f t="array" ref="G77">XLOOKUP(B77,Sheet68!A:A,Sheet68!AB:AB,0)</f>
        <v>warootc@airasia.com</v>
      </c>
      <c r="H77" s="22">
        <f t="shared" si="3"/>
        <v>1</v>
      </c>
      <c r="I77" s="123" t="s">
        <v>20</v>
      </c>
      <c r="J77" s="111"/>
      <c r="K77" s="127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</row>
    <row r="78">
      <c r="A78" s="107">
        <v>76.0</v>
      </c>
      <c r="B78" s="138">
        <v>1008372.0</v>
      </c>
      <c r="C78" s="168" t="str">
        <f>vlookup(B78,'Crew Data'!C:G,5,0)</f>
        <v>Sirinya Maydan</v>
      </c>
      <c r="D78" s="121" t="s">
        <v>613</v>
      </c>
      <c r="E78" s="107">
        <v>2.0</v>
      </c>
      <c r="F78" s="122">
        <f t="shared" si="1"/>
        <v>800</v>
      </c>
      <c r="G78" t="str">
        <f t="array" ref="G78">XLOOKUP(B78,Sheet68!A:A,Sheet68!AB:AB,0)</f>
        <v>sirinyam@airasia.com</v>
      </c>
      <c r="H78" s="22">
        <f t="shared" si="3"/>
        <v>1</v>
      </c>
      <c r="I78" s="123" t="s">
        <v>20</v>
      </c>
      <c r="J78" s="111"/>
      <c r="K78" s="127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</row>
    <row r="79">
      <c r="A79" s="107">
        <v>77.0</v>
      </c>
      <c r="B79" s="138">
        <v>1009131.0</v>
      </c>
      <c r="C79" s="168" t="str">
        <f>vlookup(B79,'Crew Data'!C:G,5,0)</f>
        <v>Burin Wongdithai</v>
      </c>
      <c r="D79" s="121" t="s">
        <v>633</v>
      </c>
      <c r="E79" s="107">
        <v>2.0</v>
      </c>
      <c r="F79" s="122">
        <f t="shared" si="1"/>
        <v>800</v>
      </c>
      <c r="G79" t="str">
        <f t="array" ref="G79">XLOOKUP(B79,Sheet68!A:A,Sheet68!AB:AB,0)</f>
        <v>burinw@airasia.com</v>
      </c>
      <c r="H79" s="22">
        <f t="shared" si="3"/>
        <v>1</v>
      </c>
      <c r="I79" s="123" t="s">
        <v>20</v>
      </c>
      <c r="J79" s="111"/>
      <c r="K79" s="127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</row>
    <row r="80">
      <c r="A80" s="107">
        <v>78.0</v>
      </c>
      <c r="B80" s="138">
        <v>1044225.0</v>
      </c>
      <c r="C80" s="168" t="str">
        <f>vlookup(B80,'Crew Data'!C:G,5,0)</f>
        <v>#N/A</v>
      </c>
      <c r="D80" s="121" t="s">
        <v>631</v>
      </c>
      <c r="E80" s="107">
        <v>2.0</v>
      </c>
      <c r="F80" s="122">
        <f t="shared" si="1"/>
        <v>800</v>
      </c>
      <c r="G80">
        <f t="array" ref="G80">XLOOKUP(B80,Sheet68!A:A,Sheet68!AB:AB,0)</f>
        <v>0</v>
      </c>
      <c r="H80" s="22">
        <f>COUNTIF(B:B,B79)</f>
        <v>1</v>
      </c>
      <c r="I80" s="123" t="s">
        <v>20</v>
      </c>
      <c r="J80" s="111"/>
      <c r="K80" s="127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</row>
    <row r="81">
      <c r="A81" s="107">
        <v>79.0</v>
      </c>
      <c r="B81" s="177">
        <v>1043877.0</v>
      </c>
      <c r="C81" s="168" t="str">
        <f>vlookup(B81,'Crew Data'!C:G,5,0)</f>
        <v>Gwyn Pahonpipat</v>
      </c>
      <c r="D81" s="121" t="s">
        <v>636</v>
      </c>
      <c r="E81" s="177">
        <v>5.0</v>
      </c>
      <c r="F81" s="171">
        <f t="shared" si="1"/>
        <v>2000</v>
      </c>
      <c r="G81" t="str">
        <f t="array" ref="G81">XLOOKUP(B81,Sheet68!A:A,Sheet68!AB:AB,0)</f>
        <v>gwynpah@airasia.com</v>
      </c>
      <c r="H81" s="172">
        <f t="shared" ref="H81:H96" si="4">COUNTIF(B:B,B81)</f>
        <v>1</v>
      </c>
      <c r="I81" s="123" t="s">
        <v>20</v>
      </c>
      <c r="J81" s="111"/>
      <c r="K81" s="127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</row>
    <row r="82">
      <c r="A82" s="107">
        <v>80.0</v>
      </c>
      <c r="B82" s="138">
        <v>1016214.0</v>
      </c>
      <c r="C82" s="168" t="str">
        <f>vlookup(B82,'Crew Data'!C:G,5,0)</f>
        <v>Passakorn Porncharoon</v>
      </c>
      <c r="D82" s="121" t="s">
        <v>637</v>
      </c>
      <c r="E82" s="107">
        <v>2.0</v>
      </c>
      <c r="F82" s="122">
        <f t="shared" si="1"/>
        <v>800</v>
      </c>
      <c r="G82" t="str">
        <f t="array" ref="G82">XLOOKUP(B82,Sheet68!A:A,Sheet68!AB:AB,0)</f>
        <v>passakornp@airasia.com</v>
      </c>
      <c r="H82" s="22">
        <f t="shared" si="4"/>
        <v>1</v>
      </c>
      <c r="I82" s="123" t="s">
        <v>20</v>
      </c>
      <c r="J82" s="111"/>
      <c r="K82" s="127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</row>
    <row r="83">
      <c r="A83" s="107">
        <v>81.0</v>
      </c>
      <c r="B83" s="102">
        <v>1001787.0</v>
      </c>
      <c r="C83" s="168" t="str">
        <f>vlookup(B83,'Crew Data'!C:G,5,0)</f>
        <v>Porntippa Markpoon</v>
      </c>
      <c r="D83" s="121" t="s">
        <v>635</v>
      </c>
      <c r="E83" s="107">
        <v>2.0</v>
      </c>
      <c r="F83" s="122">
        <f t="shared" si="1"/>
        <v>800</v>
      </c>
      <c r="G83" t="str">
        <f t="array" ref="G83">XLOOKUP(B83,Sheet68!A:A,Sheet68!AB:AB,0)</f>
        <v>porntippam@airasia.com</v>
      </c>
      <c r="H83" s="22">
        <f t="shared" si="4"/>
        <v>1</v>
      </c>
      <c r="I83" s="123" t="s">
        <v>20</v>
      </c>
      <c r="J83" s="111"/>
      <c r="K83" s="127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</row>
    <row r="84">
      <c r="A84" s="107">
        <v>82.0</v>
      </c>
      <c r="B84" s="138">
        <v>1007202.0</v>
      </c>
      <c r="C84" s="168" t="str">
        <f>vlookup(B84,'Crew Data'!C:G,5,0)</f>
        <v>Kritsada Prachanuchit</v>
      </c>
      <c r="D84" s="121" t="s">
        <v>637</v>
      </c>
      <c r="E84" s="107">
        <v>2.0</v>
      </c>
      <c r="F84" s="122">
        <f t="shared" si="1"/>
        <v>800</v>
      </c>
      <c r="G84" t="str">
        <f t="array" ref="G84">XLOOKUP(B84,Sheet68!A:A,Sheet68!AB:AB,0)</f>
        <v>kritsadaa@airasia.com</v>
      </c>
      <c r="H84" s="22">
        <f t="shared" si="4"/>
        <v>1</v>
      </c>
      <c r="I84" s="123" t="s">
        <v>20</v>
      </c>
      <c r="J84" s="111"/>
      <c r="K84" s="127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</row>
    <row r="85">
      <c r="A85" s="107">
        <v>83.0</v>
      </c>
      <c r="B85" s="138">
        <v>1022983.0</v>
      </c>
      <c r="C85" s="168" t="str">
        <f>vlookup(B85,'Crew Data'!C:G,5,0)</f>
        <v>Surapong Thongchinnawat</v>
      </c>
      <c r="D85" s="121" t="s">
        <v>638</v>
      </c>
      <c r="E85" s="107">
        <v>3.0</v>
      </c>
      <c r="F85" s="122">
        <f t="shared" si="1"/>
        <v>1200</v>
      </c>
      <c r="G85" t="str">
        <f t="array" ref="G85">XLOOKUP(B85,Sheet68!A:A,Sheet68!AB:AB,0)</f>
        <v>surapongthongchinna@airasia.com</v>
      </c>
      <c r="H85" s="22">
        <f t="shared" si="4"/>
        <v>1</v>
      </c>
      <c r="I85" s="123" t="s">
        <v>20</v>
      </c>
      <c r="J85" s="111"/>
      <c r="K85" s="127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</row>
    <row r="86">
      <c r="A86" s="107">
        <v>84.0</v>
      </c>
      <c r="B86" s="139">
        <v>1044226.0</v>
      </c>
      <c r="C86" s="168" t="str">
        <f>vlookup(B86,'Crew Data'!C:G,5,0)</f>
        <v>Nongnapasorn O-chawat</v>
      </c>
      <c r="D86" s="121" t="s">
        <v>639</v>
      </c>
      <c r="E86" s="107">
        <v>3.0</v>
      </c>
      <c r="F86" s="122">
        <f t="shared" si="1"/>
        <v>1200</v>
      </c>
      <c r="G86" t="str">
        <f t="array" ref="G86">XLOOKUP(B86,Sheet68!A:A,Sheet68!AB:AB,0)</f>
        <v>nongnapasornoch@airasia.com</v>
      </c>
      <c r="H86" s="22">
        <f t="shared" si="4"/>
        <v>1</v>
      </c>
      <c r="I86" s="123" t="s">
        <v>20</v>
      </c>
      <c r="J86" s="111"/>
      <c r="K86" s="130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</row>
    <row r="87">
      <c r="A87" s="107">
        <v>85.0</v>
      </c>
      <c r="B87" s="138">
        <v>1014262.0</v>
      </c>
      <c r="C87" s="168" t="str">
        <f>vlookup(B87,'Crew Data'!C:G,5,0)</f>
        <v>Wongsakorn Chumniwatesa</v>
      </c>
      <c r="D87" s="121" t="s">
        <v>629</v>
      </c>
      <c r="E87" s="107">
        <v>2.0</v>
      </c>
      <c r="F87" s="122">
        <f t="shared" si="1"/>
        <v>800</v>
      </c>
      <c r="G87" t="str">
        <f t="array" ref="G87">XLOOKUP(B87,Sheet68!A:A,Sheet68!AB:AB,0)</f>
        <v>wongsakornchumniwat@airasia.com</v>
      </c>
      <c r="H87" s="22">
        <f t="shared" si="4"/>
        <v>1</v>
      </c>
      <c r="I87" s="123" t="s">
        <v>20</v>
      </c>
      <c r="J87" s="111"/>
      <c r="K87" s="130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</row>
    <row r="88">
      <c r="A88" s="107">
        <v>86.0</v>
      </c>
      <c r="B88" s="138">
        <v>1001209.0</v>
      </c>
      <c r="C88" s="168" t="str">
        <f>vlookup(B88,'Crew Data'!C:G,5,0)</f>
        <v>Chadchaya Sinloy</v>
      </c>
      <c r="D88" s="121" t="s">
        <v>635</v>
      </c>
      <c r="E88" s="107">
        <v>2.0</v>
      </c>
      <c r="F88" s="122">
        <f t="shared" si="1"/>
        <v>800</v>
      </c>
      <c r="G88" t="str">
        <f t="array" ref="G88">XLOOKUP(B88,Sheet68!A:A,Sheet68!AB:AB,0)</f>
        <v>chadchayas@airasia.com</v>
      </c>
      <c r="H88" s="22">
        <f t="shared" si="4"/>
        <v>1</v>
      </c>
      <c r="I88" s="123" t="s">
        <v>20</v>
      </c>
      <c r="J88" s="111"/>
      <c r="K88" s="130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</row>
    <row r="89">
      <c r="A89" s="107">
        <v>87.0</v>
      </c>
      <c r="B89" s="138">
        <v>1008211.0</v>
      </c>
      <c r="C89" s="168" t="str">
        <f>vlookup(B89,'Crew Data'!C:G,5,0)</f>
        <v>Jinnanat Buree</v>
      </c>
      <c r="D89" s="176">
        <v>45901.0</v>
      </c>
      <c r="E89" s="107">
        <v>1.0</v>
      </c>
      <c r="F89" s="122">
        <f t="shared" si="1"/>
        <v>400</v>
      </c>
      <c r="G89" t="str">
        <f t="array" ref="G89">XLOOKUP(B89,Sheet68!A:A,Sheet68!AB:AB,0)</f>
        <v>jinnanatb@airasia.com</v>
      </c>
      <c r="H89" s="22">
        <f t="shared" si="4"/>
        <v>1</v>
      </c>
      <c r="I89" s="123" t="s">
        <v>20</v>
      </c>
      <c r="J89" s="111"/>
      <c r="K89" s="130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</row>
    <row r="90">
      <c r="A90" s="107">
        <v>88.0</v>
      </c>
      <c r="B90" s="138">
        <v>1012362.0</v>
      </c>
      <c r="C90" s="168" t="str">
        <f>vlookup(B90,'Crew Data'!C:G,5,0)</f>
        <v>Patcharagorn Chankhong</v>
      </c>
      <c r="D90" s="176">
        <v>45930.0</v>
      </c>
      <c r="E90" s="107">
        <v>1.0</v>
      </c>
      <c r="F90" s="122">
        <f t="shared" si="1"/>
        <v>400</v>
      </c>
      <c r="G90" t="str">
        <f t="array" ref="G90">XLOOKUP(B90,Sheet68!A:A,Sheet68!AB:AB,0)</f>
        <v>patcharagornc@airasia.com</v>
      </c>
      <c r="H90" s="22">
        <f t="shared" si="4"/>
        <v>1</v>
      </c>
      <c r="I90" s="123" t="s">
        <v>20</v>
      </c>
      <c r="J90" s="111"/>
      <c r="K90" s="130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</row>
    <row r="91">
      <c r="A91" s="107">
        <v>89.0</v>
      </c>
      <c r="B91" s="139">
        <v>1040879.0</v>
      </c>
      <c r="C91" s="168" t="str">
        <f>vlookup(B91,'Crew Data'!C:G,5,0)</f>
        <v>Sirikorn Phuakbangna</v>
      </c>
      <c r="D91" s="121" t="s">
        <v>630</v>
      </c>
      <c r="E91" s="107">
        <v>2.0</v>
      </c>
      <c r="F91" s="122">
        <f t="shared" si="1"/>
        <v>800</v>
      </c>
      <c r="G91" t="str">
        <f t="array" ref="G91">XLOOKUP(B91,Sheet68!A:A,Sheet68!AB:AB,0)</f>
        <v>sirikornphuakbangna@airasia.com</v>
      </c>
      <c r="H91" s="22">
        <f t="shared" si="4"/>
        <v>1</v>
      </c>
      <c r="I91" s="123" t="s">
        <v>20</v>
      </c>
      <c r="J91" s="111"/>
      <c r="K91" s="130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</row>
    <row r="92">
      <c r="A92" s="107">
        <v>89.0</v>
      </c>
      <c r="B92" s="138">
        <v>1012361.0</v>
      </c>
      <c r="C92" s="168" t="str">
        <f>vlookup(B92,'Crew Data'!C:G,5,0)</f>
        <v>Natcha Poopong</v>
      </c>
      <c r="D92" s="121" t="s">
        <v>611</v>
      </c>
      <c r="E92" s="107">
        <v>2.0</v>
      </c>
      <c r="F92" s="122">
        <f t="shared" si="1"/>
        <v>800</v>
      </c>
      <c r="G92" t="str">
        <f t="array" ref="G92">XLOOKUP(B92,Sheet68!A:A,Sheet68!AB:AB,0)</f>
        <v>natchag@airasia.com</v>
      </c>
      <c r="H92" s="22">
        <f t="shared" si="4"/>
        <v>1</v>
      </c>
      <c r="I92" s="123" t="s">
        <v>20</v>
      </c>
      <c r="J92" s="111"/>
      <c r="K92" s="130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</row>
    <row r="93">
      <c r="A93" s="107">
        <v>90.0</v>
      </c>
      <c r="B93" s="138">
        <v>1011318.0</v>
      </c>
      <c r="C93" s="168" t="str">
        <f>vlookup(B93,'Crew Data'!C:G,5,0)</f>
        <v>Rudeemas Thiangthat</v>
      </c>
      <c r="D93" s="121" t="s">
        <v>640</v>
      </c>
      <c r="E93" s="107">
        <v>4.0</v>
      </c>
      <c r="F93" s="122">
        <f t="shared" si="1"/>
        <v>1600</v>
      </c>
      <c r="G93" t="str">
        <f t="array" ref="G93">XLOOKUP(B93,Sheet68!A:A,Sheet68!AB:AB,0)</f>
        <v>rudeemash@airasia.com</v>
      </c>
      <c r="H93" s="22">
        <f t="shared" si="4"/>
        <v>1</v>
      </c>
      <c r="I93" s="123" t="s">
        <v>20</v>
      </c>
      <c r="J93" s="111"/>
      <c r="K93" s="130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</row>
    <row r="94">
      <c r="A94" s="107">
        <v>91.0</v>
      </c>
      <c r="B94" s="138">
        <v>1011320.0</v>
      </c>
      <c r="C94" s="168" t="str">
        <f>vlookup(B94,'Crew Data'!C:G,5,0)</f>
        <v>Sudhat Bunnag</v>
      </c>
      <c r="D94" s="121" t="s">
        <v>641</v>
      </c>
      <c r="E94" s="107">
        <v>4.0</v>
      </c>
      <c r="F94" s="122">
        <f t="shared" si="1"/>
        <v>1600</v>
      </c>
      <c r="G94" t="str">
        <f t="array" ref="G94">XLOOKUP(B94,Sheet68!A:A,Sheet68!AB:AB,0)</f>
        <v>sudhatu@airasia.com</v>
      </c>
      <c r="H94" s="22">
        <f t="shared" si="4"/>
        <v>1</v>
      </c>
      <c r="I94" s="123" t="s">
        <v>20</v>
      </c>
      <c r="J94" s="111"/>
      <c r="K94" s="130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</row>
    <row r="95">
      <c r="A95" s="107">
        <v>92.0</v>
      </c>
      <c r="B95" s="138">
        <v>1011501.0</v>
      </c>
      <c r="C95" s="168" t="str">
        <f>vlookup(B95,'Crew Data'!C:G,5,0)</f>
        <v>Jinbulla Pranom</v>
      </c>
      <c r="D95" s="121" t="s">
        <v>642</v>
      </c>
      <c r="E95" s="107">
        <v>2.0</v>
      </c>
      <c r="F95" s="122">
        <f t="shared" si="1"/>
        <v>800</v>
      </c>
      <c r="G95" t="str">
        <f t="array" ref="G95">XLOOKUP(B95,Sheet68!A:A,Sheet68!AB:AB,0)</f>
        <v>jinbullap@airasia.com</v>
      </c>
      <c r="H95" s="22">
        <f t="shared" si="4"/>
        <v>1</v>
      </c>
      <c r="I95" s="123" t="s">
        <v>20</v>
      </c>
      <c r="J95" s="111"/>
      <c r="K95" s="130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</row>
    <row r="96">
      <c r="A96" s="107">
        <v>93.0</v>
      </c>
      <c r="B96" s="138">
        <v>1043869.0</v>
      </c>
      <c r="C96" s="168" t="str">
        <f>vlookup(B96,'Crew Data'!C:G,5,0)</f>
        <v>Jaturong Phomhom</v>
      </c>
      <c r="D96" s="121" t="s">
        <v>643</v>
      </c>
      <c r="E96" s="107">
        <v>4.0</v>
      </c>
      <c r="F96" s="122">
        <f t="shared" si="1"/>
        <v>1600</v>
      </c>
      <c r="G96" t="str">
        <f t="array" ref="G96">XLOOKUP(B96,Sheet68!A:A,Sheet68!AB:AB,0)</f>
        <v>jaturongpho@airasia.com</v>
      </c>
      <c r="H96" s="22">
        <f t="shared" si="4"/>
        <v>1</v>
      </c>
      <c r="I96" s="123" t="s">
        <v>20</v>
      </c>
      <c r="J96" s="111"/>
      <c r="K96" s="130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</row>
  </sheetData>
  <mergeCells count="1">
    <mergeCell ref="A1:G1"/>
  </mergeCells>
  <dataValidations>
    <dataValidation type="list" allowBlank="1" sqref="I3:I96">
      <formula1>"CHECKED (OK),CHECKED  (NOT OK)"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88"/>
    <col customWidth="1" min="2" max="2" width="9.63"/>
    <col customWidth="1" min="3" max="3" width="24.75"/>
    <col customWidth="1" min="4" max="4" width="33.0"/>
    <col customWidth="1" min="5" max="5" width="7.63"/>
    <col customWidth="1" min="6" max="6" width="16.13"/>
    <col customWidth="1" min="7" max="7" width="18.38"/>
    <col customWidth="1" min="8" max="8" width="7.13"/>
    <col customWidth="1" min="9" max="9" width="14.75"/>
    <col customWidth="1" min="10" max="10" width="49.0"/>
  </cols>
  <sheetData>
    <row r="1">
      <c r="A1" s="105" t="s">
        <v>644</v>
      </c>
      <c r="H1" s="111"/>
      <c r="I1" s="31"/>
      <c r="J1" s="112" t="s">
        <v>645</v>
      </c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>
      <c r="A2" s="106" t="s">
        <v>1</v>
      </c>
      <c r="B2" s="137" t="s">
        <v>11</v>
      </c>
      <c r="C2" s="106" t="s">
        <v>12</v>
      </c>
      <c r="D2" s="114" t="s">
        <v>13</v>
      </c>
      <c r="E2" s="115" t="s">
        <v>15</v>
      </c>
      <c r="F2" s="106" t="s">
        <v>5</v>
      </c>
      <c r="G2" s="178" t="s">
        <v>646</v>
      </c>
      <c r="H2" s="116"/>
      <c r="I2" s="118" t="s">
        <v>6</v>
      </c>
      <c r="J2" s="119" t="s">
        <v>7</v>
      </c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>
      <c r="A3" s="107">
        <v>1.0</v>
      </c>
      <c r="B3" s="138">
        <v>1043895.0</v>
      </c>
      <c r="C3" s="168" t="str">
        <f>vlookup(B3,'Crew Data'!C:G,5,0)</f>
        <v>Sawaros Phanichvibul</v>
      </c>
      <c r="D3" s="121" t="s">
        <v>647</v>
      </c>
      <c r="E3" s="107">
        <v>5.0</v>
      </c>
      <c r="F3" s="122">
        <f t="shared" ref="F3:F103" si="1">E3*400</f>
        <v>2000</v>
      </c>
      <c r="G3" s="28" t="str">
        <f t="array" ref="G3">XLOOKUP(B3,Sheet68!A:A,Sheet68!AB:AB,0)</f>
        <v>sawarospha@airasia.com</v>
      </c>
      <c r="H3" s="22">
        <f t="shared" ref="H3:H64" si="2">COUNTIF(B:B,B3)</f>
        <v>1</v>
      </c>
      <c r="I3" s="123" t="s">
        <v>20</v>
      </c>
      <c r="J3" s="123" t="s">
        <v>648</v>
      </c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>
      <c r="A4" s="107">
        <v>2.0</v>
      </c>
      <c r="B4" s="138">
        <v>1006835.0</v>
      </c>
      <c r="C4" s="168" t="str">
        <f>vlookup(B4,'Crew Data'!C:G,5,0)</f>
        <v>Ketsaraporn Borvornmongkolsak</v>
      </c>
      <c r="D4" s="121" t="s">
        <v>626</v>
      </c>
      <c r="E4" s="107">
        <v>2.0</v>
      </c>
      <c r="F4" s="122">
        <f t="shared" si="1"/>
        <v>800</v>
      </c>
      <c r="G4" s="28" t="str">
        <f t="array" ref="G4">XLOOKUP(B4,Sheet68!A:A,Sheet68!AB:AB,0)</f>
        <v>ketsarapornb@airasia.com</v>
      </c>
      <c r="H4" s="22">
        <f t="shared" si="2"/>
        <v>1</v>
      </c>
      <c r="I4" s="123" t="s">
        <v>20</v>
      </c>
      <c r="J4" s="123" t="s">
        <v>648</v>
      </c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</row>
    <row r="5">
      <c r="A5" s="107">
        <v>3.0</v>
      </c>
      <c r="B5" s="138">
        <v>1005944.0</v>
      </c>
      <c r="C5" s="168" t="str">
        <f>vlookup(B5,'Crew Data'!C:G,5,0)</f>
        <v>Kwanchanok Praditsuk</v>
      </c>
      <c r="D5" s="121" t="s">
        <v>629</v>
      </c>
      <c r="E5" s="107">
        <v>2.0</v>
      </c>
      <c r="F5" s="122">
        <f t="shared" si="1"/>
        <v>800</v>
      </c>
      <c r="G5" s="28" t="str">
        <f t="array" ref="G5">XLOOKUP(B5,Sheet68!A:A,Sheet68!AB:AB,0)</f>
        <v>kwanchanokp@airasia.com</v>
      </c>
      <c r="H5" s="22">
        <f t="shared" si="2"/>
        <v>1</v>
      </c>
      <c r="I5" s="123" t="s">
        <v>20</v>
      </c>
      <c r="J5" s="123" t="s">
        <v>648</v>
      </c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>
      <c r="A6" s="107">
        <v>4.0</v>
      </c>
      <c r="B6" s="138">
        <v>1043878.0</v>
      </c>
      <c r="C6" s="168" t="str">
        <f>vlookup(B6,'Crew Data'!C:G,5,0)</f>
        <v>Nakarin Chang</v>
      </c>
      <c r="D6" s="121" t="s">
        <v>649</v>
      </c>
      <c r="E6" s="107">
        <v>7.0</v>
      </c>
      <c r="F6" s="122">
        <f t="shared" si="1"/>
        <v>2800</v>
      </c>
      <c r="G6" s="28" t="str">
        <f t="array" ref="G6">XLOOKUP(B6,Sheet68!A:A,Sheet68!AB:AB,0)</f>
        <v>nakarincha@airasia.com</v>
      </c>
      <c r="H6" s="22">
        <f t="shared" si="2"/>
        <v>1</v>
      </c>
      <c r="I6" s="123" t="s">
        <v>20</v>
      </c>
      <c r="J6" s="123" t="s">
        <v>650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>
      <c r="A7" s="107">
        <v>6.0</v>
      </c>
      <c r="B7" s="138">
        <v>1019204.0</v>
      </c>
      <c r="C7" s="168" t="str">
        <f>vlookup(B7,'Crew Data'!C:G,5,0)</f>
        <v>Pawika Mingmanee</v>
      </c>
      <c r="D7" s="121" t="s">
        <v>624</v>
      </c>
      <c r="E7" s="107">
        <v>2.0</v>
      </c>
      <c r="F7" s="122">
        <f t="shared" si="1"/>
        <v>800</v>
      </c>
      <c r="G7" s="28" t="str">
        <f t="array" ref="G7">XLOOKUP(B7,Sheet68!A:A,Sheet68!AB:AB,0)</f>
        <v>pawikm@airasia.com</v>
      </c>
      <c r="H7" s="22">
        <f t="shared" si="2"/>
        <v>1</v>
      </c>
      <c r="I7" s="123" t="s">
        <v>20</v>
      </c>
      <c r="J7" s="123" t="s">
        <v>648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>
      <c r="A8" s="107">
        <v>7.0</v>
      </c>
      <c r="B8" s="138">
        <v>1043879.0</v>
      </c>
      <c r="C8" s="168" t="str">
        <f>vlookup(B8,'Crew Data'!C:G,5,0)</f>
        <v>Thanyaphon Chiraphatphokin</v>
      </c>
      <c r="D8" s="176">
        <v>45927.0</v>
      </c>
      <c r="E8" s="107">
        <v>1.0</v>
      </c>
      <c r="F8" s="122">
        <f t="shared" si="1"/>
        <v>400</v>
      </c>
      <c r="G8" s="28" t="str">
        <f t="array" ref="G8">XLOOKUP(B8,Sheet68!A:A,Sheet68!AB:AB,0)</f>
        <v>thanyaphonchi@airasia.com</v>
      </c>
      <c r="H8" s="22">
        <f t="shared" si="2"/>
        <v>1</v>
      </c>
      <c r="I8" s="123" t="s">
        <v>20</v>
      </c>
      <c r="J8" s="123" t="s">
        <v>648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>
      <c r="A9" s="107">
        <v>8.0</v>
      </c>
      <c r="B9" s="138">
        <v>1044237.0</v>
      </c>
      <c r="C9" s="168" t="str">
        <f>vlookup(B9,'Crew Data'!C:G,5,0)</f>
        <v>Suyomi Setthamungkorn</v>
      </c>
      <c r="D9" s="121" t="s">
        <v>651</v>
      </c>
      <c r="E9" s="107">
        <v>8.0</v>
      </c>
      <c r="F9" s="122">
        <f t="shared" si="1"/>
        <v>3200</v>
      </c>
      <c r="G9" s="28" t="str">
        <f t="array" ref="G9">XLOOKUP(B9,Sheet68!A:A,Sheet68!AB:AB,0)</f>
        <v>suyomiset@airasia.com</v>
      </c>
      <c r="H9" s="22">
        <f t="shared" si="2"/>
        <v>1</v>
      </c>
      <c r="I9" s="123" t="s">
        <v>20</v>
      </c>
      <c r="J9" s="123" t="s">
        <v>648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>
      <c r="A10" s="107">
        <v>9.0</v>
      </c>
      <c r="B10" s="138">
        <v>1007022.0</v>
      </c>
      <c r="C10" s="168" t="str">
        <f>vlookup(B10,'Crew Data'!C:G,5,0)</f>
        <v>Waroot Chanpueak</v>
      </c>
      <c r="D10" s="121" t="s">
        <v>652</v>
      </c>
      <c r="E10" s="107">
        <v>2.0</v>
      </c>
      <c r="F10" s="122">
        <f t="shared" si="1"/>
        <v>800</v>
      </c>
      <c r="G10" s="28" t="str">
        <f t="array" ref="G10">XLOOKUP(B10,Sheet68!A:A,Sheet68!AB:AB,0)</f>
        <v>warootc@airasia.com</v>
      </c>
      <c r="H10" s="22">
        <f t="shared" si="2"/>
        <v>1</v>
      </c>
      <c r="I10" s="123" t="s">
        <v>20</v>
      </c>
      <c r="J10" s="123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>
      <c r="A11" s="107">
        <v>10.0</v>
      </c>
      <c r="B11" s="138">
        <v>1010916.0</v>
      </c>
      <c r="C11" s="168" t="str">
        <f>vlookup(B11,'Crew Data'!C:G,5,0)</f>
        <v>Sivakorn Sangsukiam</v>
      </c>
      <c r="D11" s="121" t="s">
        <v>653</v>
      </c>
      <c r="E11" s="107">
        <v>2.0</v>
      </c>
      <c r="F11" s="122">
        <f t="shared" si="1"/>
        <v>800</v>
      </c>
      <c r="G11" s="28" t="str">
        <f t="array" ref="G11">XLOOKUP(B11,Sheet68!A:A,Sheet68!AB:AB,0)</f>
        <v>sivakorns@airasia.com</v>
      </c>
      <c r="H11" s="22">
        <f t="shared" si="2"/>
        <v>1</v>
      </c>
      <c r="I11" s="123" t="s">
        <v>20</v>
      </c>
      <c r="J11" s="123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>
      <c r="A12" s="107">
        <v>11.0</v>
      </c>
      <c r="B12" s="138">
        <v>1007277.0</v>
      </c>
      <c r="C12" s="168" t="str">
        <f>vlookup(B12,'Crew Data'!C:G,5,0)</f>
        <v>Theerapat Sudsawas</v>
      </c>
      <c r="D12" s="121" t="s">
        <v>654</v>
      </c>
      <c r="E12" s="107">
        <v>2.0</v>
      </c>
      <c r="F12" s="122">
        <f t="shared" si="1"/>
        <v>800</v>
      </c>
      <c r="G12" s="28" t="str">
        <f t="array" ref="G12">XLOOKUP(B12,Sheet68!A:A,Sheet68!AB:AB,0)</f>
        <v>theerapats@airasia.com</v>
      </c>
      <c r="H12" s="22">
        <f t="shared" si="2"/>
        <v>1</v>
      </c>
      <c r="I12" s="123" t="s">
        <v>20</v>
      </c>
      <c r="J12" s="123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>
      <c r="A13" s="107">
        <v>12.0</v>
      </c>
      <c r="B13" s="138">
        <v>1012362.0</v>
      </c>
      <c r="C13" s="168" t="str">
        <f>vlookup(B13,'Crew Data'!C:G,5,0)</f>
        <v>Patcharagorn Chankhong</v>
      </c>
      <c r="D13" s="176">
        <v>45931.0</v>
      </c>
      <c r="E13" s="107">
        <v>1.0</v>
      </c>
      <c r="F13" s="122">
        <f t="shared" si="1"/>
        <v>400</v>
      </c>
      <c r="G13" s="28" t="str">
        <f t="array" ref="G13">XLOOKUP(B13,Sheet68!A:A,Sheet68!AB:AB,0)</f>
        <v>patcharagornc@airasia.com</v>
      </c>
      <c r="H13" s="22">
        <f t="shared" si="2"/>
        <v>1</v>
      </c>
      <c r="I13" s="123" t="s">
        <v>20</v>
      </c>
      <c r="J13" s="123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>
      <c r="A14" s="107">
        <v>13.0</v>
      </c>
      <c r="B14" s="138">
        <v>1004294.0</v>
      </c>
      <c r="C14" s="168" t="str">
        <f>vlookup(B14,'Crew Data'!C:G,5,0)</f>
        <v>Kawinwat Pringplert</v>
      </c>
      <c r="D14" s="121" t="s">
        <v>655</v>
      </c>
      <c r="E14" s="107">
        <v>2.0</v>
      </c>
      <c r="F14" s="122">
        <f t="shared" si="1"/>
        <v>800</v>
      </c>
      <c r="G14" s="28" t="str">
        <f t="array" ref="G14">XLOOKUP(B14,Sheet68!A:A,Sheet68!AB:AB,0)</f>
        <v>kawinwatp@airasia.com</v>
      </c>
      <c r="H14" s="22">
        <f t="shared" si="2"/>
        <v>1</v>
      </c>
      <c r="I14" s="123" t="s">
        <v>20</v>
      </c>
      <c r="J14" s="123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>
      <c r="A15" s="107">
        <v>14.0</v>
      </c>
      <c r="B15" s="138">
        <v>1004200.0</v>
      </c>
      <c r="C15" s="168" t="str">
        <f>vlookup(B15,'Crew Data'!C:G,5,0)</f>
        <v>Napasorn Narkkaew</v>
      </c>
      <c r="D15" s="121" t="s">
        <v>655</v>
      </c>
      <c r="E15" s="107">
        <v>2.0</v>
      </c>
      <c r="F15" s="122">
        <f t="shared" si="1"/>
        <v>800</v>
      </c>
      <c r="G15" s="28" t="str">
        <f t="array" ref="G15">XLOOKUP(B15,Sheet68!A:A,Sheet68!AB:AB,0)</f>
        <v>napasornn@airasia.com</v>
      </c>
      <c r="H15" s="22">
        <f t="shared" si="2"/>
        <v>1</v>
      </c>
      <c r="I15" s="123" t="s">
        <v>20</v>
      </c>
      <c r="J15" s="123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>
      <c r="A16" s="107">
        <v>15.0</v>
      </c>
      <c r="B16" s="138">
        <v>1025202.0</v>
      </c>
      <c r="C16" s="168" t="str">
        <f>vlookup(B16,'Crew Data'!C:G,5,0)</f>
        <v>Kamonnut Kucharoenphisan</v>
      </c>
      <c r="D16" s="121" t="s">
        <v>652</v>
      </c>
      <c r="E16" s="107">
        <v>2.0</v>
      </c>
      <c r="F16" s="122">
        <f t="shared" si="1"/>
        <v>800</v>
      </c>
      <c r="G16" s="28" t="str">
        <f t="array" ref="G16">XLOOKUP(B16,Sheet68!A:A,Sheet68!AB:AB,0)</f>
        <v>kamonnutkucharoenph@airasia.com</v>
      </c>
      <c r="H16" s="22">
        <f t="shared" si="2"/>
        <v>1</v>
      </c>
      <c r="I16" s="123" t="s">
        <v>20</v>
      </c>
      <c r="J16" s="123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</row>
    <row r="17">
      <c r="A17" s="107">
        <v>16.0</v>
      </c>
      <c r="B17" s="138">
        <v>1005741.0</v>
      </c>
      <c r="C17" s="168" t="str">
        <f>vlookup(B17,'Crew Data'!C:G,5,0)</f>
        <v>Chanyawat Ruchiratheekhakul</v>
      </c>
      <c r="D17" s="121" t="s">
        <v>656</v>
      </c>
      <c r="E17" s="107">
        <v>6.0</v>
      </c>
      <c r="F17" s="122">
        <f t="shared" si="1"/>
        <v>2400</v>
      </c>
      <c r="G17" s="28" t="str">
        <f t="array" ref="G17">XLOOKUP(B17,Sheet68!A:A,Sheet68!AB:AB,0)</f>
        <v>chanyawatr@airasia.com</v>
      </c>
      <c r="H17" s="22">
        <f t="shared" si="2"/>
        <v>1</v>
      </c>
      <c r="I17" s="123" t="s">
        <v>20</v>
      </c>
      <c r="J17" s="123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</row>
    <row r="18">
      <c r="A18" s="107">
        <v>17.0</v>
      </c>
      <c r="B18" s="138">
        <v>1006830.0</v>
      </c>
      <c r="C18" s="168" t="str">
        <f>vlookup(B18,'Crew Data'!C:G,5,0)</f>
        <v>#N/A</v>
      </c>
      <c r="D18" s="121" t="s">
        <v>653</v>
      </c>
      <c r="E18" s="107">
        <v>2.0</v>
      </c>
      <c r="F18" s="122">
        <f t="shared" si="1"/>
        <v>800</v>
      </c>
      <c r="G18" s="28">
        <f t="array" ref="G18">XLOOKUP(B18,Sheet68!A:A,Sheet68!AB:AB,0)</f>
        <v>0</v>
      </c>
      <c r="H18" s="22">
        <f t="shared" si="2"/>
        <v>1</v>
      </c>
      <c r="I18" s="123" t="s">
        <v>20</v>
      </c>
      <c r="J18" s="123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</row>
    <row r="19">
      <c r="A19" s="107">
        <v>18.0</v>
      </c>
      <c r="B19" s="138">
        <v>1007014.0</v>
      </c>
      <c r="C19" s="168" t="str">
        <f>vlookup(B19,'Crew Data'!C:G,5,0)</f>
        <v>Piyanut Nainet</v>
      </c>
      <c r="D19" s="121" t="s">
        <v>657</v>
      </c>
      <c r="E19" s="107">
        <v>2.0</v>
      </c>
      <c r="F19" s="122">
        <f t="shared" si="1"/>
        <v>800</v>
      </c>
      <c r="G19" s="28" t="str">
        <f t="array" ref="G19">XLOOKUP(B19,Sheet68!A:A,Sheet68!AB:AB,0)</f>
        <v>piyanutn@airasia.com</v>
      </c>
      <c r="H19" s="22">
        <f t="shared" si="2"/>
        <v>1</v>
      </c>
      <c r="I19" s="123" t="s">
        <v>20</v>
      </c>
      <c r="J19" s="123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</row>
    <row r="20">
      <c r="A20" s="107">
        <v>19.0</v>
      </c>
      <c r="B20" s="138">
        <v>1004127.0</v>
      </c>
      <c r="C20" s="168" t="str">
        <f>vlookup(B20,'Crew Data'!C:G,5,0)</f>
        <v>Thawinun Arunnuntapanich</v>
      </c>
      <c r="D20" s="121" t="s">
        <v>658</v>
      </c>
      <c r="E20" s="107">
        <v>2.0</v>
      </c>
      <c r="F20" s="122">
        <f t="shared" si="1"/>
        <v>800</v>
      </c>
      <c r="G20" s="28" t="str">
        <f t="array" ref="G20">XLOOKUP(B20,Sheet68!A:A,Sheet68!AB:AB,0)</f>
        <v>thawinuna@airasia.com</v>
      </c>
      <c r="H20" s="22">
        <f t="shared" si="2"/>
        <v>1</v>
      </c>
      <c r="I20" s="123" t="s">
        <v>20</v>
      </c>
      <c r="J20" s="123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</row>
    <row r="21">
      <c r="A21" s="107">
        <v>20.0</v>
      </c>
      <c r="B21" s="138">
        <v>1022705.0</v>
      </c>
      <c r="C21" s="168" t="str">
        <f>vlookup(B21,'Crew Data'!C:G,5,0)</f>
        <v>Pattaranan Thamsuchit</v>
      </c>
      <c r="D21" s="121" t="s">
        <v>659</v>
      </c>
      <c r="E21" s="107">
        <v>2.0</v>
      </c>
      <c r="F21" s="122">
        <f t="shared" si="1"/>
        <v>800</v>
      </c>
      <c r="G21" s="28" t="str">
        <f t="array" ref="G21">XLOOKUP(B21,Sheet68!A:A,Sheet68!AB:AB,0)</f>
        <v>pattarananthamsuchit@airasia.com</v>
      </c>
      <c r="H21" s="22">
        <f t="shared" si="2"/>
        <v>1</v>
      </c>
      <c r="I21" s="123" t="s">
        <v>20</v>
      </c>
      <c r="J21" s="123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</row>
    <row r="22">
      <c r="A22" s="107">
        <v>21.0</v>
      </c>
      <c r="B22" s="138">
        <v>1003957.0</v>
      </c>
      <c r="C22" s="168" t="str">
        <f>vlookup(B22,'Crew Data'!C:G,5,0)</f>
        <v>Benjawan Kongrod</v>
      </c>
      <c r="D22" s="121" t="s">
        <v>660</v>
      </c>
      <c r="E22" s="107">
        <v>2.0</v>
      </c>
      <c r="F22" s="122">
        <f t="shared" si="1"/>
        <v>800</v>
      </c>
      <c r="G22" s="28" t="str">
        <f t="array" ref="G22">XLOOKUP(B22,Sheet68!A:A,Sheet68!AB:AB,0)</f>
        <v>benjawank@airasia.com</v>
      </c>
      <c r="H22" s="22">
        <f t="shared" si="2"/>
        <v>1</v>
      </c>
      <c r="I22" s="123" t="s">
        <v>20</v>
      </c>
      <c r="J22" s="123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>
      <c r="A23" s="107">
        <v>22.0</v>
      </c>
      <c r="B23" s="138">
        <v>1022848.0</v>
      </c>
      <c r="C23" s="168" t="str">
        <f>vlookup(B23,'Crew Data'!C:G,5,0)</f>
        <v>Danita Prakrittipong</v>
      </c>
      <c r="D23" s="121" t="s">
        <v>659</v>
      </c>
      <c r="E23" s="107">
        <v>2.0</v>
      </c>
      <c r="F23" s="122">
        <f t="shared" si="1"/>
        <v>800</v>
      </c>
      <c r="G23" s="28" t="str">
        <f t="array" ref="G23">XLOOKUP(B23,Sheet68!A:A,Sheet68!AB:AB,0)</f>
        <v>danitaprakrittipong@airasia.com</v>
      </c>
      <c r="H23" s="22">
        <f t="shared" si="2"/>
        <v>1</v>
      </c>
      <c r="I23" s="123" t="s">
        <v>20</v>
      </c>
      <c r="J23" s="123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>
      <c r="A24" s="107">
        <v>23.0</v>
      </c>
      <c r="B24" s="138">
        <v>1009659.0</v>
      </c>
      <c r="C24" s="168" t="str">
        <f>vlookup(B24,'Crew Data'!C:G,5,0)</f>
        <v>Kanokkorn Pradit</v>
      </c>
      <c r="D24" s="121" t="s">
        <v>658</v>
      </c>
      <c r="E24" s="107">
        <v>2.0</v>
      </c>
      <c r="F24" s="122">
        <f t="shared" si="1"/>
        <v>800</v>
      </c>
      <c r="G24" s="28" t="str">
        <f t="array" ref="G24">XLOOKUP(B24,Sheet68!A:A,Sheet68!AB:AB,0)</f>
        <v>kanokkornp@airasia.com</v>
      </c>
      <c r="H24" s="22">
        <f t="shared" si="2"/>
        <v>1</v>
      </c>
      <c r="I24" s="123" t="s">
        <v>20</v>
      </c>
      <c r="J24" s="123"/>
      <c r="K24" s="31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</row>
    <row r="25">
      <c r="A25" s="107">
        <v>24.0</v>
      </c>
      <c r="B25" s="138">
        <v>1005759.0</v>
      </c>
      <c r="C25" s="168" t="str">
        <f>vlookup(B25,'Crew Data'!C:G,5,0)</f>
        <v>Nirinya Arunthanakulphat</v>
      </c>
      <c r="D25" s="121" t="s">
        <v>659</v>
      </c>
      <c r="E25" s="107">
        <v>2.0</v>
      </c>
      <c r="F25" s="122">
        <f t="shared" si="1"/>
        <v>800</v>
      </c>
      <c r="G25" s="28" t="str">
        <f t="array" ref="G25">XLOOKUP(B25,Sheet68!A:A,Sheet68!AB:AB,0)</f>
        <v>nirinyaa@airasia.com</v>
      </c>
      <c r="H25" s="22">
        <f t="shared" si="2"/>
        <v>1</v>
      </c>
      <c r="I25" s="123" t="s">
        <v>20</v>
      </c>
      <c r="J25" s="123"/>
      <c r="K25" s="31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>
      <c r="A26" s="107">
        <v>25.0</v>
      </c>
      <c r="B26" s="131">
        <v>1011748.0</v>
      </c>
      <c r="C26" s="168" t="str">
        <f>vlookup(B26,'Crew Data'!C:G,5,0)</f>
        <v>Rattrawee Jirawaree</v>
      </c>
      <c r="D26" s="125">
        <v>45943.0</v>
      </c>
      <c r="E26" s="107">
        <v>1.0</v>
      </c>
      <c r="F26" s="122">
        <f t="shared" si="1"/>
        <v>400</v>
      </c>
      <c r="G26" s="28" t="str">
        <f t="array" ref="G26">XLOOKUP(B26,Sheet68!A:A,Sheet68!AB:AB,0)</f>
        <v>rattraweej@airasia.com</v>
      </c>
      <c r="H26" s="22">
        <f t="shared" si="2"/>
        <v>1</v>
      </c>
      <c r="I26" s="123" t="s">
        <v>20</v>
      </c>
      <c r="J26" s="123"/>
      <c r="K26" s="31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>
      <c r="A27" s="107">
        <v>26.0</v>
      </c>
      <c r="B27" s="138">
        <v>1017639.0</v>
      </c>
      <c r="C27" s="168" t="str">
        <f>vlookup(B27,'Crew Data'!C:G,5,0)</f>
        <v>Dhanupol Sagulsukhmongkol</v>
      </c>
      <c r="D27" s="121" t="s">
        <v>654</v>
      </c>
      <c r="E27" s="107">
        <v>2.0</v>
      </c>
      <c r="F27" s="122">
        <f t="shared" si="1"/>
        <v>800</v>
      </c>
      <c r="G27" s="28" t="str">
        <f t="array" ref="G27">XLOOKUP(B27,Sheet68!A:A,Sheet68!AB:AB,0)</f>
        <v>dhanupols@airasia.com</v>
      </c>
      <c r="H27" s="22">
        <f t="shared" si="2"/>
        <v>1</v>
      </c>
      <c r="I27" s="123" t="s">
        <v>20</v>
      </c>
      <c r="J27" s="123"/>
      <c r="K27" s="31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>
      <c r="A28" s="107">
        <v>27.0</v>
      </c>
      <c r="B28" s="138">
        <v>1029036.0</v>
      </c>
      <c r="C28" s="168" t="str">
        <f>vlookup(B28,'Crew Data'!C:G,5,0)</f>
        <v>Sornsawan Meksung</v>
      </c>
      <c r="D28" s="121" t="s">
        <v>657</v>
      </c>
      <c r="E28" s="107">
        <v>2.0</v>
      </c>
      <c r="F28" s="122">
        <f t="shared" si="1"/>
        <v>800</v>
      </c>
      <c r="G28" s="28" t="str">
        <f t="array" ref="G28">XLOOKUP(B28,Sheet68!A:A,Sheet68!AB:AB,0)</f>
        <v>sornsawanmeksung@airasia.com</v>
      </c>
      <c r="H28" s="22">
        <f t="shared" si="2"/>
        <v>1</v>
      </c>
      <c r="I28" s="123" t="s">
        <v>20</v>
      </c>
      <c r="J28" s="123"/>
      <c r="K28" s="31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>
      <c r="A29" s="107">
        <v>28.0</v>
      </c>
      <c r="B29" s="138">
        <v>1001787.0</v>
      </c>
      <c r="C29" s="168" t="str">
        <f>vlookup(B29,'Crew Data'!C:G,5,0)</f>
        <v>Porntippa Markpoon</v>
      </c>
      <c r="D29" s="121" t="s">
        <v>661</v>
      </c>
      <c r="E29" s="107">
        <v>2.0</v>
      </c>
      <c r="F29" s="122">
        <f t="shared" si="1"/>
        <v>800</v>
      </c>
      <c r="G29" s="28" t="str">
        <f t="array" ref="G29">XLOOKUP(B29,Sheet68!A:A,Sheet68!AB:AB,0)</f>
        <v>porntippam@airasia.com</v>
      </c>
      <c r="H29" s="22">
        <f t="shared" si="2"/>
        <v>1</v>
      </c>
      <c r="I29" s="123" t="s">
        <v>20</v>
      </c>
      <c r="J29" s="123"/>
      <c r="K29" s="31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>
      <c r="A30" s="107">
        <v>29.0</v>
      </c>
      <c r="B30" s="138">
        <v>1044220.0</v>
      </c>
      <c r="C30" s="168" t="str">
        <f>vlookup(B30,'Crew Data'!C:G,5,0)</f>
        <v>Warissara Klanbuds</v>
      </c>
      <c r="D30" s="125">
        <v>45947.0</v>
      </c>
      <c r="E30" s="107">
        <v>1.0</v>
      </c>
      <c r="F30" s="122">
        <f t="shared" si="1"/>
        <v>400</v>
      </c>
      <c r="G30" s="28" t="str">
        <f t="array" ref="G30">XLOOKUP(B30,Sheet68!A:A,Sheet68!AB:AB,0)</f>
        <v>warissarakla@airasia.com</v>
      </c>
      <c r="H30" s="22">
        <f t="shared" si="2"/>
        <v>1</v>
      </c>
      <c r="I30" s="123" t="s">
        <v>20</v>
      </c>
      <c r="J30" s="123"/>
      <c r="K30" s="31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</row>
    <row r="31">
      <c r="A31" s="107">
        <v>30.0</v>
      </c>
      <c r="B31" s="138">
        <v>1011759.0</v>
      </c>
      <c r="C31" s="168" t="str">
        <f>vlookup(B31,'Crew Data'!C:G,5,0)</f>
        <v>Thanawat Suphitukkul</v>
      </c>
      <c r="D31" s="125">
        <v>45949.0</v>
      </c>
      <c r="E31" s="107">
        <v>1.0</v>
      </c>
      <c r="F31" s="122">
        <f t="shared" si="1"/>
        <v>400</v>
      </c>
      <c r="G31" s="28" t="str">
        <f t="array" ref="G31">XLOOKUP(B31,Sheet68!A:A,Sheet68!AB:AB,0)</f>
        <v>thanawatu@airasia.com</v>
      </c>
      <c r="H31" s="22">
        <f t="shared" si="2"/>
        <v>1</v>
      </c>
      <c r="I31" s="123" t="s">
        <v>20</v>
      </c>
      <c r="J31" s="123"/>
      <c r="K31" s="31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>
      <c r="A32" s="107">
        <v>31.0</v>
      </c>
      <c r="B32" s="138">
        <v>1007418.0</v>
      </c>
      <c r="C32" s="168" t="str">
        <f>vlookup(B32,'Crew Data'!C:G,5,0)</f>
        <v>Nattaphat Boonprasit</v>
      </c>
      <c r="D32" s="121" t="s">
        <v>662</v>
      </c>
      <c r="E32" s="107">
        <v>2.0</v>
      </c>
      <c r="F32" s="122">
        <f t="shared" si="1"/>
        <v>800</v>
      </c>
      <c r="G32" s="28" t="str">
        <f t="array" ref="G32">XLOOKUP(B32,Sheet68!A:A,Sheet68!AB:AB,0)</f>
        <v>nattaphatb@airasia.com</v>
      </c>
      <c r="H32" s="22">
        <f t="shared" si="2"/>
        <v>1</v>
      </c>
      <c r="I32" s="123" t="s">
        <v>20</v>
      </c>
      <c r="J32" s="123"/>
      <c r="K32" s="31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>
      <c r="A33" s="107">
        <v>32.0</v>
      </c>
      <c r="B33" s="138">
        <v>1002299.0</v>
      </c>
      <c r="C33" s="168" t="str">
        <f>vlookup(B33,'Crew Data'!C:G,5,0)</f>
        <v>Arisara Wongsatitsathein</v>
      </c>
      <c r="D33" s="121" t="s">
        <v>663</v>
      </c>
      <c r="E33" s="107">
        <v>2.0</v>
      </c>
      <c r="F33" s="122">
        <f t="shared" si="1"/>
        <v>800</v>
      </c>
      <c r="G33" s="28" t="str">
        <f t="array" ref="G33">XLOOKUP(B33,Sheet68!A:A,Sheet68!AB:AB,0)</f>
        <v>arisaraw@airasia.com</v>
      </c>
      <c r="H33" s="22">
        <f t="shared" si="2"/>
        <v>1</v>
      </c>
      <c r="I33" s="123" t="s">
        <v>20</v>
      </c>
      <c r="J33" s="123"/>
      <c r="K33" s="31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</row>
    <row r="34">
      <c r="A34" s="107">
        <v>33.0</v>
      </c>
      <c r="B34" s="138">
        <v>1012193.0</v>
      </c>
      <c r="C34" s="168" t="str">
        <f>vlookup(B34,'Crew Data'!C:G,5,0)</f>
        <v>Phoemsakun Phongpradist</v>
      </c>
      <c r="D34" s="121" t="s">
        <v>657</v>
      </c>
      <c r="E34" s="107">
        <v>2.0</v>
      </c>
      <c r="F34" s="122">
        <f t="shared" si="1"/>
        <v>800</v>
      </c>
      <c r="G34" s="28" t="str">
        <f t="array" ref="G34">XLOOKUP(B34,Sheet68!A:A,Sheet68!AB:AB,0)</f>
        <v>phoemsakunp@airasia.com</v>
      </c>
      <c r="H34" s="22">
        <f t="shared" si="2"/>
        <v>1</v>
      </c>
      <c r="I34" s="123" t="s">
        <v>20</v>
      </c>
      <c r="J34" s="123"/>
      <c r="K34" s="31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</row>
    <row r="35">
      <c r="A35" s="107">
        <v>34.0</v>
      </c>
      <c r="B35" s="138">
        <v>1007008.0</v>
      </c>
      <c r="C35" s="168" t="str">
        <f>vlookup(B35,'Crew Data'!C:G,5,0)</f>
        <v>Aroonrat Limpawattanasuk</v>
      </c>
      <c r="D35" s="121" t="s">
        <v>664</v>
      </c>
      <c r="E35" s="107">
        <v>2.0</v>
      </c>
      <c r="F35" s="122">
        <f t="shared" si="1"/>
        <v>800</v>
      </c>
      <c r="G35" s="28" t="str">
        <f t="array" ref="G35">XLOOKUP(B35,Sheet68!A:A,Sheet68!AB:AB,0)</f>
        <v>aroonratl@airasia.com</v>
      </c>
      <c r="H35" s="22">
        <f t="shared" si="2"/>
        <v>1</v>
      </c>
      <c r="I35" s="123" t="s">
        <v>20</v>
      </c>
      <c r="J35" s="123"/>
      <c r="K35" s="31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</row>
    <row r="36">
      <c r="A36" s="107">
        <v>35.0</v>
      </c>
      <c r="B36" s="138">
        <v>1039130.0</v>
      </c>
      <c r="C36" s="168" t="str">
        <f>vlookup(B36,'Crew Data'!C:G,5,0)</f>
        <v>Narisara Phumsawarng</v>
      </c>
      <c r="D36" s="121" t="s">
        <v>657</v>
      </c>
      <c r="E36" s="107">
        <v>2.0</v>
      </c>
      <c r="F36" s="122">
        <f t="shared" si="1"/>
        <v>800</v>
      </c>
      <c r="G36" s="28" t="str">
        <f t="array" ref="G36">XLOOKUP(B36,Sheet68!A:A,Sheet68!AB:AB,0)</f>
        <v>narisaraphumsawarng@airasia.com</v>
      </c>
      <c r="H36" s="22">
        <f t="shared" si="2"/>
        <v>1</v>
      </c>
      <c r="I36" s="123" t="s">
        <v>20</v>
      </c>
      <c r="J36" s="111"/>
      <c r="K36" s="31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</row>
    <row r="37">
      <c r="A37" s="107">
        <v>36.0</v>
      </c>
      <c r="B37" s="138">
        <v>1011830.0</v>
      </c>
      <c r="C37" s="168" t="str">
        <f>vlookup(B37,'Crew Data'!C:G,5,0)</f>
        <v>Rathaphon Pratheappornsak</v>
      </c>
      <c r="D37" s="121" t="s">
        <v>665</v>
      </c>
      <c r="E37" s="107">
        <v>2.0</v>
      </c>
      <c r="F37" s="122">
        <f t="shared" si="1"/>
        <v>800</v>
      </c>
      <c r="G37" s="28" t="str">
        <f t="array" ref="G37">XLOOKUP(B37,Sheet68!A:A,Sheet68!AB:AB,0)</f>
        <v>rathaphonp@airasia.com</v>
      </c>
      <c r="H37" s="22">
        <f t="shared" si="2"/>
        <v>1</v>
      </c>
      <c r="I37" s="123" t="s">
        <v>20</v>
      </c>
      <c r="J37" s="111"/>
      <c r="K37" s="31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>
      <c r="A38" s="107">
        <v>37.0</v>
      </c>
      <c r="B38" s="138">
        <v>1014254.0</v>
      </c>
      <c r="C38" s="168" t="str">
        <f>vlookup(B38,'Crew Data'!C:G,5,0)</f>
        <v>Sivakron Montriwat</v>
      </c>
      <c r="D38" s="121" t="s">
        <v>663</v>
      </c>
      <c r="E38" s="107">
        <v>2.0</v>
      </c>
      <c r="F38" s="122">
        <f t="shared" si="1"/>
        <v>800</v>
      </c>
      <c r="G38" s="28" t="str">
        <f t="array" ref="G38">XLOOKUP(B38,Sheet68!A:A,Sheet68!AB:AB,0)</f>
        <v>sivakronm@airasia.com</v>
      </c>
      <c r="H38" s="22">
        <f t="shared" si="2"/>
        <v>1</v>
      </c>
      <c r="I38" s="123" t="s">
        <v>20</v>
      </c>
      <c r="J38" s="111"/>
      <c r="K38" s="31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>
      <c r="A39" s="107">
        <v>38.0</v>
      </c>
      <c r="B39" s="131">
        <v>1010879.0</v>
      </c>
      <c r="C39" s="168" t="str">
        <f>vlookup(B39,'Crew Data'!C:G,5,0)</f>
        <v>Bhasana Chindalat</v>
      </c>
      <c r="D39" s="121" t="s">
        <v>665</v>
      </c>
      <c r="E39" s="107">
        <v>2.0</v>
      </c>
      <c r="F39" s="122">
        <f t="shared" si="1"/>
        <v>800</v>
      </c>
      <c r="G39" s="28" t="str">
        <f t="array" ref="G39">XLOOKUP(B39,Sheet68!A:A,Sheet68!AB:AB,0)</f>
        <v>bhasanac@airasia.com</v>
      </c>
      <c r="H39" s="22">
        <f t="shared" si="2"/>
        <v>1</v>
      </c>
      <c r="I39" s="123" t="s">
        <v>20</v>
      </c>
      <c r="J39" s="111"/>
      <c r="K39" s="31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</row>
    <row r="40">
      <c r="A40" s="107">
        <v>39.0</v>
      </c>
      <c r="B40" s="131">
        <v>1012906.0</v>
      </c>
      <c r="C40" s="168" t="str">
        <f>vlookup(B40,'Crew Data'!C:G,5,0)</f>
        <v>Thanametth Wachiradatsathien</v>
      </c>
      <c r="D40" s="121" t="s">
        <v>665</v>
      </c>
      <c r="E40" s="107">
        <v>2.0</v>
      </c>
      <c r="F40" s="122">
        <f t="shared" si="1"/>
        <v>800</v>
      </c>
      <c r="G40" s="28" t="str">
        <f t="array" ref="G40">XLOOKUP(B40,Sheet68!A:A,Sheet68!AB:AB,0)</f>
        <v>thanametthw@airasia.com</v>
      </c>
      <c r="H40" s="22">
        <f t="shared" si="2"/>
        <v>1</v>
      </c>
      <c r="I40" s="123" t="s">
        <v>20</v>
      </c>
      <c r="J40" s="111"/>
      <c r="K40" s="31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>
      <c r="A41" s="107">
        <v>40.0</v>
      </c>
      <c r="B41" s="138">
        <v>1040352.0</v>
      </c>
      <c r="C41" s="168" t="str">
        <f>vlookup(B41,'Crew Data'!C:G,5,0)</f>
        <v>Jaksananapa Yingprayoon</v>
      </c>
      <c r="D41" s="121" t="s">
        <v>666</v>
      </c>
      <c r="E41" s="107">
        <v>4.0</v>
      </c>
      <c r="F41" s="122">
        <f t="shared" si="1"/>
        <v>1600</v>
      </c>
      <c r="G41" s="28" t="str">
        <f t="array" ref="G41">XLOOKUP(B41,Sheet68!A:A,Sheet68!AB:AB,0)</f>
        <v>jaksananapayingpray@airasia.com</v>
      </c>
      <c r="H41" s="22">
        <f t="shared" si="2"/>
        <v>1</v>
      </c>
      <c r="I41" s="123" t="s">
        <v>20</v>
      </c>
      <c r="J41" s="111"/>
      <c r="K41" s="31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</row>
    <row r="42">
      <c r="A42" s="107">
        <v>41.0</v>
      </c>
      <c r="B42" s="138">
        <v>1009326.0</v>
      </c>
      <c r="C42" s="168" t="str">
        <f>vlookup(B42,'Crew Data'!C:G,5,0)</f>
        <v>Thanarat Wintachai</v>
      </c>
      <c r="D42" s="121" t="s">
        <v>658</v>
      </c>
      <c r="E42" s="107">
        <v>2.0</v>
      </c>
      <c r="F42" s="122">
        <f t="shared" si="1"/>
        <v>800</v>
      </c>
      <c r="G42" s="28" t="str">
        <f t="array" ref="G42">XLOOKUP(B42,Sheet68!A:A,Sheet68!AB:AB,0)</f>
        <v>thanaratw@airasia.com</v>
      </c>
      <c r="H42" s="22">
        <f t="shared" si="2"/>
        <v>1</v>
      </c>
      <c r="I42" s="123" t="s">
        <v>20</v>
      </c>
      <c r="J42" s="111"/>
      <c r="K42" s="31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</row>
    <row r="43">
      <c r="A43" s="107">
        <v>42.0</v>
      </c>
      <c r="B43" s="138">
        <v>1006989.0</v>
      </c>
      <c r="C43" s="168" t="str">
        <f>vlookup(B43,'Crew Data'!C:G,5,0)</f>
        <v>Pimlawee Unn-A-Nant</v>
      </c>
      <c r="D43" s="121" t="s">
        <v>664</v>
      </c>
      <c r="E43" s="107">
        <v>2.0</v>
      </c>
      <c r="F43" s="122">
        <f t="shared" si="1"/>
        <v>800</v>
      </c>
      <c r="G43" s="28" t="str">
        <f t="array" ref="G43">XLOOKUP(B43,Sheet68!A:A,Sheet68!AB:AB,0)</f>
        <v>pimlaweeunn@airasia.com</v>
      </c>
      <c r="H43" s="22">
        <f t="shared" si="2"/>
        <v>1</v>
      </c>
      <c r="I43" s="123" t="s">
        <v>20</v>
      </c>
      <c r="J43" s="111"/>
      <c r="K43" s="31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</row>
    <row r="44">
      <c r="A44" s="107">
        <v>43.0</v>
      </c>
      <c r="B44" s="138">
        <v>1004532.0</v>
      </c>
      <c r="C44" s="168" t="str">
        <f>vlookup(B44,'Crew Data'!C:G,5,0)</f>
        <v>Nichakan Preeprem</v>
      </c>
      <c r="D44" s="121" t="s">
        <v>667</v>
      </c>
      <c r="E44" s="107">
        <v>2.0</v>
      </c>
      <c r="F44" s="122">
        <f t="shared" si="1"/>
        <v>800</v>
      </c>
      <c r="G44" s="28" t="str">
        <f t="array" ref="G44">XLOOKUP(B44,Sheet68!A:A,Sheet68!AB:AB,0)</f>
        <v>nichakanp@airasia.com</v>
      </c>
      <c r="H44" s="22">
        <f t="shared" si="2"/>
        <v>1</v>
      </c>
      <c r="I44" s="123" t="s">
        <v>20</v>
      </c>
      <c r="J44" s="111"/>
      <c r="K44" s="31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</row>
    <row r="45">
      <c r="A45" s="107">
        <v>44.0</v>
      </c>
      <c r="B45" s="131">
        <v>1018806.0</v>
      </c>
      <c r="C45" s="168" t="str">
        <f>vlookup(B45,'Crew Data'!C:G,5,0)</f>
        <v>Penrat Srinawakul</v>
      </c>
      <c r="D45" s="125">
        <v>45946.0</v>
      </c>
      <c r="E45" s="107">
        <v>1.0</v>
      </c>
      <c r="F45" s="122">
        <f t="shared" si="1"/>
        <v>400</v>
      </c>
      <c r="G45" s="28" t="str">
        <f t="array" ref="G45">XLOOKUP(B45,Sheet68!A:A,Sheet68!AB:AB,0)</f>
        <v>penrats@airasia.com</v>
      </c>
      <c r="H45" s="22">
        <f t="shared" si="2"/>
        <v>1</v>
      </c>
      <c r="I45" s="123" t="s">
        <v>20</v>
      </c>
      <c r="J45" s="111"/>
      <c r="K45" s="31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</row>
    <row r="46">
      <c r="A46" s="107">
        <v>45.0</v>
      </c>
      <c r="B46" s="138">
        <v>1040171.0</v>
      </c>
      <c r="C46" s="168" t="str">
        <f>vlookup(B46,'Crew Data'!C:G,5,0)</f>
        <v>Chaiyawat Sripornsawan</v>
      </c>
      <c r="D46" s="121" t="s">
        <v>667</v>
      </c>
      <c r="E46" s="107">
        <v>2.0</v>
      </c>
      <c r="F46" s="122">
        <f t="shared" si="1"/>
        <v>800</v>
      </c>
      <c r="G46" s="28" t="str">
        <f t="array" ref="G46">XLOOKUP(B46,Sheet68!A:A,Sheet68!AB:AB,0)</f>
        <v>chaiyawatsripornsaw@airasia.com</v>
      </c>
      <c r="H46" s="22">
        <f t="shared" si="2"/>
        <v>1</v>
      </c>
      <c r="I46" s="123" t="s">
        <v>20</v>
      </c>
      <c r="J46" s="111"/>
      <c r="K46" s="31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</row>
    <row r="47">
      <c r="A47" s="107">
        <v>46.0</v>
      </c>
      <c r="B47" s="138">
        <v>1025319.0</v>
      </c>
      <c r="C47" s="168" t="str">
        <f>vlookup(B47,'Crew Data'!C:G,5,0)</f>
        <v>Phongsakron Saepan</v>
      </c>
      <c r="D47" s="121" t="s">
        <v>668</v>
      </c>
      <c r="E47" s="107">
        <v>7.0</v>
      </c>
      <c r="F47" s="122">
        <f t="shared" si="1"/>
        <v>2800</v>
      </c>
      <c r="G47" s="28" t="str">
        <f t="array" ref="G47">XLOOKUP(B47,Sheet68!A:A,Sheet68!AB:AB,0)</f>
        <v>phongsakronsaepan@airasia.com</v>
      </c>
      <c r="H47" s="22">
        <f t="shared" si="2"/>
        <v>1</v>
      </c>
      <c r="I47" s="123" t="s">
        <v>20</v>
      </c>
      <c r="J47" s="111"/>
      <c r="K47" s="31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</row>
    <row r="48">
      <c r="A48" s="107">
        <v>47.0</v>
      </c>
      <c r="B48" s="138">
        <v>1040514.0</v>
      </c>
      <c r="C48" s="168" t="str">
        <f>vlookup(B48,'Crew Data'!C:G,5,0)</f>
        <v>Ploylada Phanitwaranan</v>
      </c>
      <c r="D48" s="121" t="s">
        <v>669</v>
      </c>
      <c r="E48" s="107">
        <v>2.0</v>
      </c>
      <c r="F48" s="122">
        <f t="shared" si="1"/>
        <v>800</v>
      </c>
      <c r="G48" s="28" t="str">
        <f t="array" ref="G48">XLOOKUP(B48,Sheet68!A:A,Sheet68!AB:AB,0)</f>
        <v>ployladaphanitwaran@airasia.com</v>
      </c>
      <c r="H48" s="22">
        <f t="shared" si="2"/>
        <v>1</v>
      </c>
      <c r="I48" s="123" t="s">
        <v>20</v>
      </c>
      <c r="J48" s="111"/>
      <c r="K48" s="31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</row>
    <row r="49">
      <c r="A49" s="107">
        <v>48.0</v>
      </c>
      <c r="B49" s="138">
        <v>1039131.0</v>
      </c>
      <c r="C49" s="168" t="str">
        <f>vlookup(B49,'Crew Data'!C:G,5,0)</f>
        <v>Sawarin Charoenpak</v>
      </c>
      <c r="D49" s="121" t="s">
        <v>667</v>
      </c>
      <c r="E49" s="107">
        <v>2.0</v>
      </c>
      <c r="F49" s="122">
        <f t="shared" si="1"/>
        <v>800</v>
      </c>
      <c r="G49" s="28" t="str">
        <f t="array" ref="G49">XLOOKUP(B49,Sheet68!A:A,Sheet68!AB:AB,0)</f>
        <v>sawarincharoenpak@airasia.com</v>
      </c>
      <c r="H49" s="22">
        <f t="shared" si="2"/>
        <v>1</v>
      </c>
      <c r="I49" s="123" t="s">
        <v>20</v>
      </c>
      <c r="J49" s="111"/>
      <c r="K49" s="31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</row>
    <row r="50">
      <c r="A50" s="107">
        <v>49.0</v>
      </c>
      <c r="B50" s="138">
        <v>1025547.0</v>
      </c>
      <c r="C50" s="168" t="str">
        <f>vlookup(B50,'Crew Data'!C:G,5,0)</f>
        <v>Jarumon Iamkanthong</v>
      </c>
      <c r="D50" s="121" t="s">
        <v>670</v>
      </c>
      <c r="E50" s="107">
        <v>2.0</v>
      </c>
      <c r="F50" s="122">
        <f t="shared" si="1"/>
        <v>800</v>
      </c>
      <c r="G50" s="28" t="str">
        <f t="array" ref="G50">XLOOKUP(B50,Sheet68!A:A,Sheet68!AB:AB,0)</f>
        <v>jarumoniamkanthong@airasia.com</v>
      </c>
      <c r="H50" s="22">
        <f t="shared" si="2"/>
        <v>1</v>
      </c>
      <c r="I50" s="123" t="s">
        <v>20</v>
      </c>
      <c r="J50" s="111"/>
      <c r="K50" s="31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</row>
    <row r="51">
      <c r="A51" s="107">
        <v>50.0</v>
      </c>
      <c r="B51" s="138">
        <v>1040338.0</v>
      </c>
      <c r="C51" s="168" t="str">
        <f>vlookup(B51,'Crew Data'!C:G,5,0)</f>
        <v>Piyakorn Sripraphan</v>
      </c>
      <c r="D51" s="121" t="s">
        <v>669</v>
      </c>
      <c r="E51" s="107">
        <v>2.0</v>
      </c>
      <c r="F51" s="122">
        <f t="shared" si="1"/>
        <v>800</v>
      </c>
      <c r="G51" s="28" t="str">
        <f t="array" ref="G51">XLOOKUP(B51,Sheet68!A:A,Sheet68!AB:AB,0)</f>
        <v>piyakornsripraphan@airasia.com</v>
      </c>
      <c r="H51" s="22">
        <f t="shared" si="2"/>
        <v>1</v>
      </c>
      <c r="I51" s="123" t="s">
        <v>20</v>
      </c>
      <c r="J51" s="111"/>
      <c r="K51" s="31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</row>
    <row r="52">
      <c r="A52" s="107">
        <v>51.0</v>
      </c>
      <c r="B52" s="138">
        <v>1004029.0</v>
      </c>
      <c r="C52" s="168" t="str">
        <f>vlookup(B52,'Crew Data'!C:G,5,0)</f>
        <v>Ketsara Ketsakul</v>
      </c>
      <c r="D52" s="121" t="s">
        <v>669</v>
      </c>
      <c r="E52" s="107">
        <v>2.0</v>
      </c>
      <c r="F52" s="122">
        <f t="shared" si="1"/>
        <v>800</v>
      </c>
      <c r="G52" s="28" t="str">
        <f t="array" ref="G52">XLOOKUP(B52,Sheet68!A:A,Sheet68!AB:AB,0)</f>
        <v>ketsarak@airasia.com</v>
      </c>
      <c r="H52" s="22">
        <f t="shared" si="2"/>
        <v>1</v>
      </c>
      <c r="I52" s="123" t="s">
        <v>20</v>
      </c>
      <c r="J52" s="111"/>
      <c r="K52" s="31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</row>
    <row r="53">
      <c r="A53" s="107">
        <v>52.0</v>
      </c>
      <c r="B53" s="138">
        <v>1039128.0</v>
      </c>
      <c r="C53" s="168" t="str">
        <f>vlookup(B53,'Crew Data'!C:G,5,0)</f>
        <v>Jiratip Pimpa</v>
      </c>
      <c r="D53" s="121" t="s">
        <v>664</v>
      </c>
      <c r="E53" s="107">
        <v>2.0</v>
      </c>
      <c r="F53" s="122">
        <f t="shared" si="1"/>
        <v>800</v>
      </c>
      <c r="G53" s="28" t="str">
        <f t="array" ref="G53">XLOOKUP(B53,Sheet68!A:A,Sheet68!AB:AB,0)</f>
        <v>jiratippimpa@airasia.com</v>
      </c>
      <c r="H53" s="22">
        <f t="shared" si="2"/>
        <v>1</v>
      </c>
      <c r="I53" s="123" t="s">
        <v>20</v>
      </c>
      <c r="J53" s="111"/>
      <c r="K53" s="31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</row>
    <row r="54">
      <c r="A54" s="107">
        <v>53.0</v>
      </c>
      <c r="B54" s="141">
        <v>1012359.0</v>
      </c>
      <c r="C54" s="168" t="str">
        <f>vlookup(B54,'Crew Data'!C:G,5,0)</f>
        <v>Kotchakon Kanchanamethakul</v>
      </c>
      <c r="D54" s="121" t="s">
        <v>671</v>
      </c>
      <c r="E54" s="107">
        <v>10.0</v>
      </c>
      <c r="F54" s="122">
        <f t="shared" si="1"/>
        <v>4000</v>
      </c>
      <c r="G54" s="28" t="str">
        <f t="array" ref="G54">XLOOKUP(B54,Sheet68!A:A,Sheet68!AB:AB,0)</f>
        <v>kotchakonk@airasia.com</v>
      </c>
      <c r="H54" s="22">
        <f t="shared" si="2"/>
        <v>1</v>
      </c>
      <c r="I54" s="123" t="s">
        <v>20</v>
      </c>
      <c r="J54" s="111"/>
      <c r="K54" s="31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</row>
    <row r="55">
      <c r="A55" s="107">
        <v>54.0</v>
      </c>
      <c r="B55" s="141">
        <v>1044222.0</v>
      </c>
      <c r="C55" s="168" t="str">
        <f>vlookup(B55,'Crew Data'!C:G,5,0)</f>
        <v>Pichit Jinakaew</v>
      </c>
      <c r="D55" s="125">
        <v>45953.0</v>
      </c>
      <c r="E55" s="107">
        <v>1.0</v>
      </c>
      <c r="F55" s="122">
        <f t="shared" si="1"/>
        <v>400</v>
      </c>
      <c r="G55" s="28" t="str">
        <f t="array" ref="G55">XLOOKUP(B55,Sheet68!A:A,Sheet68!AB:AB,0)</f>
        <v>pichitjin@airasia.com</v>
      </c>
      <c r="H55" s="22">
        <f t="shared" si="2"/>
        <v>1</v>
      </c>
      <c r="I55" s="123" t="s">
        <v>20</v>
      </c>
      <c r="J55" s="111"/>
      <c r="K55" s="31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</row>
    <row r="56">
      <c r="A56" s="107">
        <v>55.0</v>
      </c>
      <c r="B56" s="138">
        <v>1007273.0</v>
      </c>
      <c r="C56" s="168" t="str">
        <f>vlookup(B56,'Crew Data'!C:G,5,0)</f>
        <v>Sarinya Phontong</v>
      </c>
      <c r="D56" s="121" t="s">
        <v>672</v>
      </c>
      <c r="E56" s="107">
        <v>2.0</v>
      </c>
      <c r="F56" s="122">
        <f t="shared" si="1"/>
        <v>800</v>
      </c>
      <c r="G56" s="28" t="str">
        <f t="array" ref="G56">XLOOKUP(B56,Sheet68!A:A,Sheet68!AB:AB,0)</f>
        <v>sarinyap@airasia.com</v>
      </c>
      <c r="H56" s="22">
        <f t="shared" si="2"/>
        <v>1</v>
      </c>
      <c r="I56" s="123" t="s">
        <v>20</v>
      </c>
      <c r="J56" s="111"/>
      <c r="K56" s="31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</row>
    <row r="57">
      <c r="A57" s="107">
        <v>56.0</v>
      </c>
      <c r="B57" s="141">
        <v>1006750.0</v>
      </c>
      <c r="C57" s="168" t="str">
        <f>vlookup(B57,'Crew Data'!C:G,5,0)</f>
        <v>Supada Wanichapat</v>
      </c>
      <c r="D57" s="121" t="s">
        <v>663</v>
      </c>
      <c r="E57" s="107">
        <v>2.0</v>
      </c>
      <c r="F57" s="122">
        <f t="shared" si="1"/>
        <v>800</v>
      </c>
      <c r="G57" s="28" t="str">
        <f t="array" ref="G57">XLOOKUP(B57,Sheet68!A:A,Sheet68!AB:AB,0)</f>
        <v>supadaw@airasia.com</v>
      </c>
      <c r="H57" s="22">
        <f t="shared" si="2"/>
        <v>1</v>
      </c>
      <c r="I57" s="123" t="s">
        <v>20</v>
      </c>
      <c r="J57" s="111"/>
      <c r="K57" s="31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</row>
    <row r="58">
      <c r="A58" s="107">
        <v>57.0</v>
      </c>
      <c r="B58" s="141">
        <v>1043894.0</v>
      </c>
      <c r="C58" s="168" t="str">
        <f>vlookup(B58,'Crew Data'!C:G,5,0)</f>
        <v>Thantheera Prueksasilp</v>
      </c>
      <c r="D58" s="121" t="s">
        <v>667</v>
      </c>
      <c r="E58" s="107">
        <v>2.0</v>
      </c>
      <c r="F58" s="122">
        <f t="shared" si="1"/>
        <v>800</v>
      </c>
      <c r="G58" s="28" t="str">
        <f t="array" ref="G58">XLOOKUP(B58,Sheet68!A:A,Sheet68!AB:AB,0)</f>
        <v>thantheerapru@airasia.com</v>
      </c>
      <c r="H58" s="22">
        <f t="shared" si="2"/>
        <v>1</v>
      </c>
      <c r="I58" s="123" t="s">
        <v>20</v>
      </c>
      <c r="J58" s="111"/>
      <c r="K58" s="31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</row>
    <row r="59">
      <c r="A59" s="107">
        <v>58.0</v>
      </c>
      <c r="B59" s="138">
        <v>1019542.0</v>
      </c>
      <c r="C59" s="168" t="str">
        <f>vlookup(B59,'Crew Data'!C:G,5,0)</f>
        <v>Siravich Prathompatama</v>
      </c>
      <c r="D59" s="125">
        <v>45936.0</v>
      </c>
      <c r="E59" s="107">
        <v>1.0</v>
      </c>
      <c r="F59" s="122">
        <f t="shared" si="1"/>
        <v>400</v>
      </c>
      <c r="G59" s="28" t="str">
        <f t="array" ref="G59">XLOOKUP(B59,Sheet68!A:A,Sheet68!AB:AB,0)</f>
        <v>siravichp@airasia.com</v>
      </c>
      <c r="H59" s="22">
        <f t="shared" si="2"/>
        <v>1</v>
      </c>
      <c r="I59" s="123" t="s">
        <v>20</v>
      </c>
      <c r="J59" s="111"/>
      <c r="K59" s="31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</row>
    <row r="60">
      <c r="A60" s="107">
        <v>59.0</v>
      </c>
      <c r="B60" s="138">
        <v>1013018.0</v>
      </c>
      <c r="C60" s="168" t="str">
        <f>vlookup(B60,'Crew Data'!C:G,5,0)</f>
        <v>Panuwat Warunyaporn</v>
      </c>
      <c r="D60" s="121" t="s">
        <v>673</v>
      </c>
      <c r="E60" s="107">
        <v>12.0</v>
      </c>
      <c r="F60" s="122">
        <f t="shared" si="1"/>
        <v>4800</v>
      </c>
      <c r="G60" s="28" t="str">
        <f t="array" ref="G60">XLOOKUP(B60,Sheet68!A:A,Sheet68!AB:AB,0)</f>
        <v>panuwatw@airasia.com</v>
      </c>
      <c r="H60" s="22">
        <f t="shared" si="2"/>
        <v>1</v>
      </c>
      <c r="I60" s="123" t="s">
        <v>20</v>
      </c>
      <c r="J60" s="111"/>
      <c r="K60" s="31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</row>
    <row r="61">
      <c r="A61" s="107">
        <v>60.0</v>
      </c>
      <c r="B61" s="138">
        <v>1012187.0</v>
      </c>
      <c r="C61" s="168" t="str">
        <f>vlookup(B61,'Crew Data'!C:G,5,0)</f>
        <v>Warangkana Mattaweewong</v>
      </c>
      <c r="D61" s="121" t="s">
        <v>674</v>
      </c>
      <c r="E61" s="107">
        <v>4.0</v>
      </c>
      <c r="F61" s="122">
        <f t="shared" si="1"/>
        <v>1600</v>
      </c>
      <c r="G61" s="28" t="str">
        <f t="array" ref="G61">XLOOKUP(B61,Sheet68!A:A,Sheet68!AB:AB,0)</f>
        <v>warangkanam@airasia.com</v>
      </c>
      <c r="H61" s="22">
        <f t="shared" si="2"/>
        <v>1</v>
      </c>
      <c r="I61" s="123" t="s">
        <v>20</v>
      </c>
      <c r="J61" s="111"/>
      <c r="K61" s="31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</row>
    <row r="62">
      <c r="A62" s="107">
        <v>61.0</v>
      </c>
      <c r="B62" s="138">
        <v>1043869.0</v>
      </c>
      <c r="C62" s="168" t="str">
        <f>vlookup(B62,'Crew Data'!C:G,5,0)</f>
        <v>Jaturong Phomhom</v>
      </c>
      <c r="D62" s="125">
        <v>45954.0</v>
      </c>
      <c r="E62" s="107">
        <v>1.0</v>
      </c>
      <c r="F62" s="122">
        <f t="shared" si="1"/>
        <v>400</v>
      </c>
      <c r="G62" s="28" t="str">
        <f t="array" ref="G62">XLOOKUP(B62,Sheet68!A:A,Sheet68!AB:AB,0)</f>
        <v>jaturongpho@airasia.com</v>
      </c>
      <c r="H62" s="22">
        <f t="shared" si="2"/>
        <v>1</v>
      </c>
      <c r="I62" s="123" t="s">
        <v>20</v>
      </c>
      <c r="J62" s="111"/>
      <c r="K62" s="31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</row>
    <row r="63">
      <c r="A63" s="107">
        <v>62.0</v>
      </c>
      <c r="B63" s="138">
        <v>1043870.0</v>
      </c>
      <c r="C63" s="168" t="str">
        <f>vlookup(B63,'Crew Data'!C:G,5,0)</f>
        <v>Daranphon Chaikiatchanyaphon</v>
      </c>
      <c r="D63" s="125">
        <v>45956.0</v>
      </c>
      <c r="E63" s="107">
        <v>1.0</v>
      </c>
      <c r="F63" s="122">
        <f t="shared" si="1"/>
        <v>400</v>
      </c>
      <c r="G63" s="28" t="str">
        <f t="array" ref="G63">XLOOKUP(B63,Sheet68!A:A,Sheet68!AB:AB,0)</f>
        <v>daranphoncha@airasia.com</v>
      </c>
      <c r="H63" s="22">
        <f t="shared" si="2"/>
        <v>1</v>
      </c>
      <c r="I63" s="123" t="s">
        <v>20</v>
      </c>
      <c r="J63" s="111"/>
      <c r="K63" s="31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</row>
    <row r="64">
      <c r="A64" s="107">
        <v>63.0</v>
      </c>
      <c r="B64" s="138">
        <v>1004212.0</v>
      </c>
      <c r="C64" s="168" t="str">
        <f>vlookup(B64,'Crew Data'!C:G,5,0)</f>
        <v>Varisa Nimkasai</v>
      </c>
      <c r="D64" s="121" t="s">
        <v>672</v>
      </c>
      <c r="E64" s="107">
        <v>2.0</v>
      </c>
      <c r="F64" s="122">
        <f t="shared" si="1"/>
        <v>800</v>
      </c>
      <c r="G64" s="28" t="str">
        <f t="array" ref="G64">XLOOKUP(B64,Sheet68!A:A,Sheet68!AB:AB,0)</f>
        <v>varisan@airasia.com</v>
      </c>
      <c r="H64" s="22">
        <f t="shared" si="2"/>
        <v>1</v>
      </c>
      <c r="I64" s="123" t="s">
        <v>20</v>
      </c>
      <c r="J64" s="111"/>
      <c r="K64" s="31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</row>
    <row r="65">
      <c r="A65" s="107">
        <v>64.0</v>
      </c>
      <c r="B65" s="131">
        <v>1004203.0</v>
      </c>
      <c r="C65" s="168" t="str">
        <f>vlookup(B65,'Crew Data'!C:G,5,0)</f>
        <v>Pavaran Maneechai</v>
      </c>
      <c r="D65" s="121" t="s">
        <v>675</v>
      </c>
      <c r="E65" s="107">
        <v>2.0</v>
      </c>
      <c r="F65" s="122">
        <f t="shared" si="1"/>
        <v>800</v>
      </c>
      <c r="G65" s="28" t="str">
        <f t="array" ref="G65">XLOOKUP(B65,Sheet68!A:A,Sheet68!AB:AB,0)</f>
        <v>pavaranm@airasia.com</v>
      </c>
      <c r="H65" s="22">
        <f>COUNTIF(B:B,B64)</f>
        <v>1</v>
      </c>
      <c r="I65" s="123" t="s">
        <v>20</v>
      </c>
      <c r="J65" s="111"/>
      <c r="K65" s="31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</row>
    <row r="66">
      <c r="A66" s="107">
        <v>65.0</v>
      </c>
      <c r="B66" s="138">
        <v>1007023.0</v>
      </c>
      <c r="C66" s="168" t="str">
        <f>vlookup(B66,'Crew Data'!C:G,5,0)</f>
        <v>Apinan Sookpinij</v>
      </c>
      <c r="D66" s="121" t="s">
        <v>670</v>
      </c>
      <c r="E66" s="107">
        <v>2.0</v>
      </c>
      <c r="F66" s="122">
        <f t="shared" si="1"/>
        <v>800</v>
      </c>
      <c r="G66" s="28" t="str">
        <f t="array" ref="G66">XLOOKUP(B66,Sheet68!A:A,Sheet68!AB:AB,0)</f>
        <v>apinans@airasia.com</v>
      </c>
      <c r="H66" s="22">
        <f t="shared" ref="H66:H77" si="3">COUNTIF(B:B,B66)</f>
        <v>1</v>
      </c>
      <c r="I66" s="123" t="s">
        <v>20</v>
      </c>
      <c r="J66" s="111"/>
      <c r="K66" s="31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</row>
    <row r="67">
      <c r="A67" s="107">
        <v>66.0</v>
      </c>
      <c r="B67" s="138">
        <v>1003425.0</v>
      </c>
      <c r="C67" s="168" t="str">
        <f>vlookup(B67,'Crew Data'!C:G,5,0)</f>
        <v>Ake Choetsobhon</v>
      </c>
      <c r="D67" s="121" t="s">
        <v>676</v>
      </c>
      <c r="E67" s="107">
        <v>2.0</v>
      </c>
      <c r="F67" s="122">
        <f t="shared" si="1"/>
        <v>800</v>
      </c>
      <c r="G67" s="28" t="str">
        <f t="array" ref="G67">XLOOKUP(B67,Sheet68!A:A,Sheet68!AB:AB,0)</f>
        <v>akec@airasia.com</v>
      </c>
      <c r="H67" s="22">
        <f t="shared" si="3"/>
        <v>1</v>
      </c>
      <c r="I67" s="123" t="s">
        <v>20</v>
      </c>
      <c r="J67" s="111"/>
      <c r="K67" s="31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</row>
    <row r="68">
      <c r="A68" s="107">
        <v>67.0</v>
      </c>
      <c r="B68" s="138">
        <v>1019402.0</v>
      </c>
      <c r="C68" s="168" t="str">
        <f>vlookup(B68,'Crew Data'!C:G,5,0)</f>
        <v>Methawat Thitinawasup</v>
      </c>
      <c r="D68" s="121" t="s">
        <v>672</v>
      </c>
      <c r="E68" s="107">
        <v>2.0</v>
      </c>
      <c r="F68" s="122">
        <f t="shared" si="1"/>
        <v>800</v>
      </c>
      <c r="G68" s="28" t="str">
        <f t="array" ref="G68">XLOOKUP(B68,Sheet68!A:A,Sheet68!AB:AB,0)</f>
        <v>methawath@airasia.com</v>
      </c>
      <c r="H68" s="22">
        <f t="shared" si="3"/>
        <v>1</v>
      </c>
      <c r="I68" s="123" t="s">
        <v>20</v>
      </c>
      <c r="J68" s="111"/>
      <c r="K68" s="31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</row>
    <row r="69">
      <c r="A69" s="107">
        <v>68.0</v>
      </c>
      <c r="B69" s="138">
        <v>1009306.0</v>
      </c>
      <c r="C69" s="168" t="str">
        <f>vlookup(B69,'Crew Data'!C:G,5,0)</f>
        <v>Noppawan Yoosamran</v>
      </c>
      <c r="D69" s="121" t="s">
        <v>677</v>
      </c>
      <c r="E69" s="107">
        <v>4.0</v>
      </c>
      <c r="F69" s="122">
        <f t="shared" si="1"/>
        <v>1600</v>
      </c>
      <c r="G69" s="28" t="str">
        <f t="array" ref="G69">XLOOKUP(B69,Sheet68!A:A,Sheet68!AB:AB,0)</f>
        <v>noppawany@airasia.com</v>
      </c>
      <c r="H69" s="22">
        <f t="shared" si="3"/>
        <v>1</v>
      </c>
      <c r="I69" s="123" t="s">
        <v>20</v>
      </c>
      <c r="J69" s="111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</row>
    <row r="70">
      <c r="A70" s="107">
        <v>69.0</v>
      </c>
      <c r="B70" s="138">
        <v>1038751.0</v>
      </c>
      <c r="C70" s="168" t="str">
        <f>vlookup(B70,'Crew Data'!C:G,5,0)</f>
        <v>Donlaya Promthep</v>
      </c>
      <c r="D70" s="121" t="s">
        <v>670</v>
      </c>
      <c r="E70" s="107">
        <v>2.0</v>
      </c>
      <c r="F70" s="122">
        <f t="shared" si="1"/>
        <v>800</v>
      </c>
      <c r="G70" s="28" t="str">
        <f t="array" ref="G70">XLOOKUP(B70,Sheet68!A:A,Sheet68!AB:AB,0)</f>
        <v>donlayapromthep@airasia.com</v>
      </c>
      <c r="H70" s="22">
        <f t="shared" si="3"/>
        <v>1</v>
      </c>
      <c r="I70" s="123" t="s">
        <v>20</v>
      </c>
      <c r="J70" s="111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</row>
    <row r="71">
      <c r="A71" s="107">
        <v>70.0</v>
      </c>
      <c r="B71" s="138">
        <v>1007006.0</v>
      </c>
      <c r="C71" s="168" t="str">
        <f>vlookup(B71,'Crew Data'!C:G,5,0)</f>
        <v>Wipaporn Prasertsom</v>
      </c>
      <c r="D71" s="121" t="s">
        <v>675</v>
      </c>
      <c r="E71" s="107">
        <v>2.0</v>
      </c>
      <c r="F71" s="122">
        <f t="shared" si="1"/>
        <v>800</v>
      </c>
      <c r="G71" s="28" t="str">
        <f t="array" ref="G71">XLOOKUP(B71,Sheet68!A:A,Sheet68!AB:AB,0)</f>
        <v>wipapornp@airasia.com</v>
      </c>
      <c r="H71" s="22">
        <f t="shared" si="3"/>
        <v>1</v>
      </c>
      <c r="I71" s="123" t="s">
        <v>20</v>
      </c>
      <c r="J71" s="111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</row>
    <row r="72">
      <c r="A72" s="107">
        <v>71.0</v>
      </c>
      <c r="B72" s="138">
        <v>1012357.0</v>
      </c>
      <c r="C72" s="168" t="str">
        <f>vlookup(B72,'Crew Data'!C:G,5,0)</f>
        <v>Ekkaphon Mengchuai</v>
      </c>
      <c r="D72" s="121" t="s">
        <v>678</v>
      </c>
      <c r="E72" s="107">
        <v>4.0</v>
      </c>
      <c r="F72" s="122">
        <f t="shared" si="1"/>
        <v>1600</v>
      </c>
      <c r="G72" s="28" t="str">
        <f t="array" ref="G72">XLOOKUP(B72,Sheet68!A:A,Sheet68!AB:AB,0)</f>
        <v>ekkaphonm@airasia.com</v>
      </c>
      <c r="H72" s="22">
        <f t="shared" si="3"/>
        <v>1</v>
      </c>
      <c r="I72" s="123" t="s">
        <v>20</v>
      </c>
      <c r="J72" s="111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</row>
    <row r="73">
      <c r="A73" s="107">
        <v>72.0</v>
      </c>
      <c r="B73" s="138">
        <v>1007157.0</v>
      </c>
      <c r="C73" s="168" t="str">
        <f>vlookup(B73,'Crew Data'!C:G,5,0)</f>
        <v>Pichanun Seneetantikul</v>
      </c>
      <c r="D73" s="121" t="s">
        <v>679</v>
      </c>
      <c r="E73" s="107">
        <v>2.0</v>
      </c>
      <c r="F73" s="122">
        <f t="shared" si="1"/>
        <v>800</v>
      </c>
      <c r="G73" s="28" t="str">
        <f t="array" ref="G73">XLOOKUP(B73,Sheet68!A:A,Sheet68!AB:AB,0)</f>
        <v>pichanuns@airasia.com</v>
      </c>
      <c r="H73" s="22">
        <f t="shared" si="3"/>
        <v>1</v>
      </c>
      <c r="I73" s="123" t="s">
        <v>20</v>
      </c>
      <c r="J73" s="111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</row>
    <row r="74">
      <c r="A74" s="107">
        <v>73.0</v>
      </c>
      <c r="B74" s="138">
        <v>1011307.0</v>
      </c>
      <c r="C74" s="168" t="str">
        <f>vlookup(B74,'Crew Data'!C:G,5,0)</f>
        <v>Munnanicha Sarakong</v>
      </c>
      <c r="D74" s="121" t="s">
        <v>660</v>
      </c>
      <c r="E74" s="107">
        <v>2.0</v>
      </c>
      <c r="F74" s="122">
        <f t="shared" si="1"/>
        <v>800</v>
      </c>
      <c r="G74" s="28" t="str">
        <f t="array" ref="G74">XLOOKUP(B74,Sheet68!A:A,Sheet68!AB:AB,0)</f>
        <v>munnanichas@airasia.com</v>
      </c>
      <c r="H74" s="22">
        <f t="shared" si="3"/>
        <v>1</v>
      </c>
      <c r="I74" s="123" t="s">
        <v>20</v>
      </c>
      <c r="J74" s="111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</row>
    <row r="75">
      <c r="A75" s="107">
        <v>74.0</v>
      </c>
      <c r="B75" s="138">
        <v>1006344.0</v>
      </c>
      <c r="C75" s="168" t="str">
        <f>vlookup(B75,'Crew Data'!C:G,5,0)</f>
        <v>Rungnapa Sawaruk</v>
      </c>
      <c r="D75" s="121" t="s">
        <v>680</v>
      </c>
      <c r="E75" s="107">
        <v>2.0</v>
      </c>
      <c r="F75" s="122">
        <f t="shared" si="1"/>
        <v>800</v>
      </c>
      <c r="G75" s="28" t="str">
        <f t="array" ref="G75">XLOOKUP(B75,Sheet68!A:A,Sheet68!AB:AB,0)</f>
        <v>rungnapas@airasia.com</v>
      </c>
      <c r="H75" s="22">
        <f t="shared" si="3"/>
        <v>1</v>
      </c>
      <c r="I75" s="123" t="s">
        <v>20</v>
      </c>
      <c r="J75" s="111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</row>
    <row r="76">
      <c r="A76" s="107">
        <v>75.0</v>
      </c>
      <c r="B76" s="138">
        <v>1013600.0</v>
      </c>
      <c r="C76" s="168" t="str">
        <f>vlookup(B76,'Crew Data'!C:G,5,0)</f>
        <v>Ammarawadee Sornsuphap</v>
      </c>
      <c r="D76" s="121" t="s">
        <v>653</v>
      </c>
      <c r="E76" s="107">
        <v>2.0</v>
      </c>
      <c r="F76" s="122">
        <f t="shared" si="1"/>
        <v>800</v>
      </c>
      <c r="G76" s="28" t="str">
        <f t="array" ref="G76">XLOOKUP(B76,Sheet68!A:A,Sheet68!AB:AB,0)</f>
        <v>ammarawadees@airasia.com</v>
      </c>
      <c r="H76" s="22">
        <f t="shared" si="3"/>
        <v>1</v>
      </c>
      <c r="I76" s="123" t="s">
        <v>20</v>
      </c>
      <c r="J76" s="111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</row>
    <row r="77">
      <c r="A77" s="107">
        <v>76.0</v>
      </c>
      <c r="B77" s="138">
        <v>1026187.0</v>
      </c>
      <c r="C77" s="168" t="str">
        <f>vlookup(B77,'Crew Data'!C:G,5,0)</f>
        <v>Nutnicha Pitsuwan</v>
      </c>
      <c r="D77" s="121" t="s">
        <v>681</v>
      </c>
      <c r="E77" s="107">
        <v>4.0</v>
      </c>
      <c r="F77" s="122">
        <f t="shared" si="1"/>
        <v>1600</v>
      </c>
      <c r="G77" s="179" t="s">
        <v>682</v>
      </c>
      <c r="H77" s="22">
        <f t="shared" si="3"/>
        <v>1</v>
      </c>
      <c r="I77" s="123" t="s">
        <v>20</v>
      </c>
      <c r="J77" s="111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</row>
    <row r="78">
      <c r="A78" s="107">
        <v>77.0</v>
      </c>
      <c r="B78" s="138">
        <v>1001837.0</v>
      </c>
      <c r="C78" s="168" t="str">
        <f>vlookup(B78,'Crew Data'!C:G,5,0)</f>
        <v>Taralan Jareemuk</v>
      </c>
      <c r="D78" s="121" t="s">
        <v>681</v>
      </c>
      <c r="E78" s="107">
        <v>4.0</v>
      </c>
      <c r="F78" s="122">
        <f t="shared" si="1"/>
        <v>1600</v>
      </c>
      <c r="G78" s="28" t="str">
        <f t="array" ref="G78">XLOOKUP(B78,Sheet68!A:A,Sheet68!AB:AB,0)</f>
        <v>taralanj@airasia.com</v>
      </c>
      <c r="H78" s="22">
        <f>COUNTIF(B:B,B77)</f>
        <v>1</v>
      </c>
      <c r="I78" s="123" t="s">
        <v>20</v>
      </c>
      <c r="J78" s="111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</row>
    <row r="79">
      <c r="A79" s="107">
        <v>78.0</v>
      </c>
      <c r="B79" s="177">
        <v>1001738.0</v>
      </c>
      <c r="C79" s="168" t="str">
        <f>vlookup(B79,'Crew Data'!C:G,5,0)</f>
        <v>Nannaphat Poolklai</v>
      </c>
      <c r="D79" s="121" t="s">
        <v>675</v>
      </c>
      <c r="E79" s="177">
        <v>2.0</v>
      </c>
      <c r="F79" s="122">
        <f t="shared" si="1"/>
        <v>800</v>
      </c>
      <c r="G79" s="28" t="str">
        <f t="array" ref="G79">XLOOKUP(B79,Sheet68!A:A,Sheet68!AB:AB,0)</f>
        <v>nannaphatpoolklai@airasia.com</v>
      </c>
      <c r="H79" s="22">
        <f t="shared" ref="H79:H103" si="4">COUNTIF(B:B,B79)</f>
        <v>1</v>
      </c>
      <c r="I79" s="180" t="s">
        <v>20</v>
      </c>
      <c r="J79" s="111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</row>
    <row r="80">
      <c r="A80" s="107">
        <v>79.0</v>
      </c>
      <c r="B80" s="138">
        <v>1001286.0</v>
      </c>
      <c r="C80" s="168" t="str">
        <f>vlookup(B80,'Crew Data'!C:G,5,0)</f>
        <v>Sirinart Auypornbusyakom</v>
      </c>
      <c r="D80" s="121" t="s">
        <v>683</v>
      </c>
      <c r="E80" s="107">
        <v>2.0</v>
      </c>
      <c r="F80" s="122">
        <f t="shared" si="1"/>
        <v>800</v>
      </c>
      <c r="G80" s="28" t="str">
        <f t="array" ref="G80">XLOOKUP(B80,Sheet68!A:A,Sheet68!AB:AB,0)</f>
        <v>sirinarta@airasia.com</v>
      </c>
      <c r="H80" s="22">
        <f t="shared" si="4"/>
        <v>1</v>
      </c>
      <c r="I80" s="123" t="s">
        <v>20</v>
      </c>
      <c r="J80" s="111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</row>
    <row r="81">
      <c r="A81" s="107">
        <v>80.0</v>
      </c>
      <c r="B81" s="108">
        <v>1044223.0</v>
      </c>
      <c r="C81" s="168" t="str">
        <f>vlookup(B81,'Crew Data'!C:G,5,0)</f>
        <v>Sujipa Prasitchairit</v>
      </c>
      <c r="D81" s="125">
        <v>45937.0</v>
      </c>
      <c r="E81" s="107">
        <v>1.0</v>
      </c>
      <c r="F81" s="122">
        <f t="shared" si="1"/>
        <v>400</v>
      </c>
      <c r="G81" s="28" t="str">
        <f t="array" ref="G81">XLOOKUP(B81,Sheet68!A:A,Sheet68!AB:AB,0)</f>
        <v>sujipapra@airasia.com</v>
      </c>
      <c r="H81" s="22">
        <f t="shared" si="4"/>
        <v>1</v>
      </c>
      <c r="I81" s="123" t="s">
        <v>20</v>
      </c>
      <c r="J81" s="111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</row>
    <row r="82">
      <c r="A82" s="107">
        <v>81.0</v>
      </c>
      <c r="B82" s="138">
        <v>1044221.0</v>
      </c>
      <c r="C82" s="168" t="str">
        <f>vlookup(B82,'Crew Data'!C:G,5,0)</f>
        <v>Natthapond Pangpongma</v>
      </c>
      <c r="D82" s="125">
        <v>45939.0</v>
      </c>
      <c r="E82" s="107">
        <v>1.0</v>
      </c>
      <c r="F82" s="122">
        <f t="shared" si="1"/>
        <v>400</v>
      </c>
      <c r="G82" s="28" t="str">
        <f t="array" ref="G82">XLOOKUP(B82,Sheet68!A:A,Sheet68!AB:AB,0)</f>
        <v>natthapondpan@airasia.com</v>
      </c>
      <c r="H82" s="22">
        <f t="shared" si="4"/>
        <v>1</v>
      </c>
      <c r="I82" s="123" t="s">
        <v>20</v>
      </c>
      <c r="J82" s="111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</row>
    <row r="83">
      <c r="A83" s="107">
        <v>82.0</v>
      </c>
      <c r="B83" s="138">
        <v>1007340.0</v>
      </c>
      <c r="C83" s="168" t="str">
        <f>vlookup(B83,'Crew Data'!C:G,5,0)</f>
        <v>Patpapada Vadtanawat</v>
      </c>
      <c r="D83" s="121" t="s">
        <v>679</v>
      </c>
      <c r="E83" s="107">
        <v>2.0</v>
      </c>
      <c r="F83" s="122">
        <f t="shared" si="1"/>
        <v>800</v>
      </c>
      <c r="G83" s="28" t="str">
        <f t="array" ref="G83">XLOOKUP(B83,Sheet68!A:A,Sheet68!AB:AB,0)</f>
        <v>patpapadav@airasia.com</v>
      </c>
      <c r="H83" s="22">
        <f t="shared" si="4"/>
        <v>1</v>
      </c>
      <c r="I83" s="123" t="s">
        <v>20</v>
      </c>
      <c r="J83" s="111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</row>
    <row r="84">
      <c r="A84" s="107">
        <v>83.0</v>
      </c>
      <c r="B84" s="138">
        <v>1007339.0</v>
      </c>
      <c r="C84" s="168" t="str">
        <f>vlookup(B84,'Crew Data'!C:G,5,0)</f>
        <v>Chanicha Songkrit</v>
      </c>
      <c r="D84" s="121" t="s">
        <v>679</v>
      </c>
      <c r="E84" s="107">
        <v>2.0</v>
      </c>
      <c r="F84" s="122">
        <f t="shared" si="1"/>
        <v>800</v>
      </c>
      <c r="G84" s="28" t="str">
        <f t="array" ref="G84">XLOOKUP(B84,Sheet68!A:A,Sheet68!AB:AB,0)</f>
        <v>chanichas@airasia.com</v>
      </c>
      <c r="H84" s="22">
        <f t="shared" si="4"/>
        <v>1</v>
      </c>
      <c r="I84" s="123" t="s">
        <v>20</v>
      </c>
      <c r="J84" s="111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</row>
    <row r="85">
      <c r="A85" s="107">
        <v>84.0</v>
      </c>
      <c r="B85" s="138">
        <v>1004748.0</v>
      </c>
      <c r="C85" s="168" t="str">
        <f>vlookup(B85,'Crew Data'!C:G,5,0)</f>
        <v>Chirapha Khlaikhlueng</v>
      </c>
      <c r="D85" s="121" t="s">
        <v>684</v>
      </c>
      <c r="E85" s="107">
        <v>4.0</v>
      </c>
      <c r="F85" s="122">
        <f t="shared" si="1"/>
        <v>1600</v>
      </c>
      <c r="G85" s="28" t="str">
        <f t="array" ref="G85">XLOOKUP(B85,Sheet68!A:A,Sheet68!AB:AB,0)</f>
        <v>chiraphak@airasia.com</v>
      </c>
      <c r="H85" s="22">
        <f t="shared" si="4"/>
        <v>1</v>
      </c>
      <c r="I85" s="123" t="s">
        <v>20</v>
      </c>
      <c r="J85" s="111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</row>
    <row r="86">
      <c r="A86" s="107">
        <v>85.0</v>
      </c>
      <c r="B86" s="138">
        <v>1044229.0</v>
      </c>
      <c r="C86" s="168" t="str">
        <f>vlookup(B86,'Crew Data'!C:G,5,0)</f>
        <v>Napaporn Pansamdaeng</v>
      </c>
      <c r="D86" s="125">
        <v>45955.0</v>
      </c>
      <c r="E86" s="107">
        <v>1.0</v>
      </c>
      <c r="F86" s="122">
        <f t="shared" si="1"/>
        <v>400</v>
      </c>
      <c r="G86" s="28" t="str">
        <f t="array" ref="G86">XLOOKUP(B86,Sheet68!A:A,Sheet68!AB:AB,0)</f>
        <v>napapornpan@airasia.com</v>
      </c>
      <c r="H86" s="22">
        <f t="shared" si="4"/>
        <v>1</v>
      </c>
      <c r="I86" s="123" t="s">
        <v>20</v>
      </c>
      <c r="J86" s="111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</row>
    <row r="87">
      <c r="A87" s="107">
        <v>86.0</v>
      </c>
      <c r="B87" s="138">
        <v>1022986.0</v>
      </c>
      <c r="C87" s="168" t="str">
        <f>vlookup(B87,'Crew Data'!C:G,5,0)</f>
        <v>Minthita Kanchanapinpong</v>
      </c>
      <c r="D87" s="121" t="s">
        <v>685</v>
      </c>
      <c r="E87" s="107">
        <v>7.0</v>
      </c>
      <c r="F87" s="122">
        <f t="shared" si="1"/>
        <v>2800</v>
      </c>
      <c r="G87" s="28" t="str">
        <f t="array" ref="G87">XLOOKUP(B87,Sheet68!A:A,Sheet68!AB:AB,0)</f>
        <v>minthitaka@airasia.com</v>
      </c>
      <c r="H87" s="22">
        <f t="shared" si="4"/>
        <v>1</v>
      </c>
      <c r="I87" s="123" t="s">
        <v>20</v>
      </c>
      <c r="J87" s="111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</row>
    <row r="88">
      <c r="A88" s="107">
        <v>87.0</v>
      </c>
      <c r="B88" s="138">
        <v>1043880.0</v>
      </c>
      <c r="C88" s="168" t="str">
        <f>vlookup(B88,'Crew Data'!C:G,5,0)</f>
        <v>Teeranantpat Joengklinjantana</v>
      </c>
      <c r="D88" s="125">
        <v>45960.0</v>
      </c>
      <c r="E88" s="107">
        <v>1.0</v>
      </c>
      <c r="F88" s="122">
        <f t="shared" si="1"/>
        <v>400</v>
      </c>
      <c r="G88" s="28" t="str">
        <f t="array" ref="G88">XLOOKUP(B88,Sheet68!A:A,Sheet68!AB:AB,0)</f>
        <v>teeranantpatjoe@airasia.com</v>
      </c>
      <c r="H88" s="22">
        <f t="shared" si="4"/>
        <v>1</v>
      </c>
      <c r="I88" s="123" t="s">
        <v>20</v>
      </c>
      <c r="J88" s="111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</row>
    <row r="89">
      <c r="A89" s="107">
        <v>88.0</v>
      </c>
      <c r="B89" s="138">
        <v>1013181.0</v>
      </c>
      <c r="C89" s="168" t="str">
        <f>vlookup(B89,'Crew Data'!C:G,5,0)</f>
        <v>Pattorn Kitthathamrong</v>
      </c>
      <c r="D89" s="121" t="s">
        <v>686</v>
      </c>
      <c r="E89" s="107">
        <v>6.0</v>
      </c>
      <c r="F89" s="122">
        <f t="shared" si="1"/>
        <v>2400</v>
      </c>
      <c r="G89" s="28" t="str">
        <f t="array" ref="G89">XLOOKUP(B89,Sheet68!A:A,Sheet68!AB:AB,0)</f>
        <v>pattornk@airasia.com</v>
      </c>
      <c r="H89" s="22">
        <f t="shared" si="4"/>
        <v>1</v>
      </c>
      <c r="I89" s="123" t="s">
        <v>20</v>
      </c>
      <c r="J89" s="111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</row>
    <row r="90">
      <c r="A90" s="107">
        <v>89.0</v>
      </c>
      <c r="B90" s="138">
        <v>1005757.0</v>
      </c>
      <c r="C90" s="168" t="str">
        <f>vlookup(B90,'Crew Data'!C:G,5,0)</f>
        <v>Mintra Thamadee</v>
      </c>
      <c r="D90" s="121" t="s">
        <v>687</v>
      </c>
      <c r="E90" s="107">
        <v>2.0</v>
      </c>
      <c r="F90" s="122">
        <f t="shared" si="1"/>
        <v>800</v>
      </c>
      <c r="G90" s="28" t="str">
        <f t="array" ref="G90">XLOOKUP(B90,Sheet68!A:A,Sheet68!AB:AB,0)</f>
        <v>mintrat@airasia.com</v>
      </c>
      <c r="H90" s="22">
        <f t="shared" si="4"/>
        <v>1</v>
      </c>
      <c r="I90" s="123" t="s">
        <v>20</v>
      </c>
      <c r="J90" s="111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</row>
    <row r="91">
      <c r="A91" s="107">
        <v>90.0</v>
      </c>
      <c r="B91" s="138">
        <v>1018532.0</v>
      </c>
      <c r="C91" s="168" t="str">
        <f>vlookup(B91,'Crew Data'!C:G,5,0)</f>
        <v>Kantachet Boonserm</v>
      </c>
      <c r="D91" s="121" t="s">
        <v>688</v>
      </c>
      <c r="E91" s="107">
        <v>5.0</v>
      </c>
      <c r="F91" s="122">
        <f t="shared" si="1"/>
        <v>2000</v>
      </c>
      <c r="G91" s="28" t="str">
        <f t="array" ref="G91">XLOOKUP(B91,Sheet68!A:A,Sheet68!AB:AB,0)</f>
        <v>kantachetb@airasia.com</v>
      </c>
      <c r="H91" s="22">
        <f t="shared" si="4"/>
        <v>1</v>
      </c>
      <c r="I91" s="123" t="s">
        <v>20</v>
      </c>
      <c r="J91" s="111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</row>
    <row r="92">
      <c r="A92" s="107">
        <v>91.0</v>
      </c>
      <c r="B92" s="138">
        <v>1008372.0</v>
      </c>
      <c r="C92" s="168" t="str">
        <f>vlookup(B92,'Crew Data'!C:G,5,0)</f>
        <v>Sirinya Maydan</v>
      </c>
      <c r="D92" s="121" t="s">
        <v>689</v>
      </c>
      <c r="E92" s="107">
        <v>2.0</v>
      </c>
      <c r="F92" s="122">
        <f t="shared" si="1"/>
        <v>800</v>
      </c>
      <c r="G92" s="28" t="str">
        <f t="array" ref="G92">XLOOKUP(B92,Sheet68!A:A,Sheet68!AB:AB,0)</f>
        <v>sirinyam@airasia.com</v>
      </c>
      <c r="H92" s="22">
        <f t="shared" si="4"/>
        <v>1</v>
      </c>
      <c r="I92" s="123" t="s">
        <v>20</v>
      </c>
      <c r="J92" s="111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</row>
    <row r="93">
      <c r="A93" s="107">
        <v>92.0</v>
      </c>
      <c r="B93" s="138">
        <v>1022701.0</v>
      </c>
      <c r="C93" s="168" t="str">
        <f>vlookup(B93,'Crew Data'!C:G,5,0)</f>
        <v>Janyarak Khundilokbovorn</v>
      </c>
      <c r="D93" s="121" t="s">
        <v>690</v>
      </c>
      <c r="E93" s="107">
        <v>2.0</v>
      </c>
      <c r="F93" s="122">
        <f t="shared" si="1"/>
        <v>800</v>
      </c>
      <c r="G93" s="28" t="str">
        <f t="array" ref="G93">XLOOKUP(B93,Sheet68!A:A,Sheet68!AB:AB,0)</f>
        <v>janyarakkhundilokbo@airasia.com</v>
      </c>
      <c r="H93" s="22">
        <f t="shared" si="4"/>
        <v>1</v>
      </c>
      <c r="I93" s="123" t="s">
        <v>20</v>
      </c>
      <c r="J93" s="111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</row>
    <row r="94">
      <c r="A94" s="107">
        <v>93.0</v>
      </c>
      <c r="B94" s="138">
        <v>1011323.0</v>
      </c>
      <c r="C94" s="168" t="str">
        <f>vlookup(B94,'Crew Data'!C:G,5,0)</f>
        <v>Yommana Arunrat</v>
      </c>
      <c r="D94" s="121" t="s">
        <v>661</v>
      </c>
      <c r="E94" s="107">
        <v>2.0</v>
      </c>
      <c r="F94" s="122">
        <f t="shared" si="1"/>
        <v>800</v>
      </c>
      <c r="G94" s="28" t="str">
        <f t="array" ref="G94">XLOOKUP(B94,Sheet68!A:A,Sheet68!AB:AB,0)</f>
        <v>yommanaa@airasia.com</v>
      </c>
      <c r="H94" s="22">
        <f t="shared" si="4"/>
        <v>1</v>
      </c>
      <c r="I94" s="123" t="s">
        <v>20</v>
      </c>
      <c r="J94" s="111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</row>
    <row r="95">
      <c r="A95" s="107">
        <v>94.0</v>
      </c>
      <c r="B95" s="138">
        <v>1015093.0</v>
      </c>
      <c r="C95" s="168" t="str">
        <f>vlookup(B95,'Crew Data'!C:G,5,0)</f>
        <v>Sampan Simpalipan</v>
      </c>
      <c r="D95" s="121" t="s">
        <v>691</v>
      </c>
      <c r="E95" s="107">
        <v>6.0</v>
      </c>
      <c r="F95" s="122">
        <f t="shared" si="1"/>
        <v>2400</v>
      </c>
      <c r="G95" s="28" t="str">
        <f t="array" ref="G95">XLOOKUP(B95,Sheet68!A:A,Sheet68!AB:AB,0)</f>
        <v>sampans@airasia.com</v>
      </c>
      <c r="H95" s="22">
        <f t="shared" si="4"/>
        <v>1</v>
      </c>
      <c r="I95" s="123" t="s">
        <v>20</v>
      </c>
      <c r="J95" s="111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</row>
    <row r="96">
      <c r="A96" s="107">
        <v>95.0</v>
      </c>
      <c r="B96" s="138">
        <v>1004034.0</v>
      </c>
      <c r="C96" s="168" t="str">
        <f>vlookup(B96,'Crew Data'!C:G,5,0)</f>
        <v>Monthon Siribunnakul</v>
      </c>
      <c r="D96" s="121" t="s">
        <v>680</v>
      </c>
      <c r="E96" s="107">
        <v>2.0</v>
      </c>
      <c r="F96" s="122">
        <f t="shared" si="1"/>
        <v>800</v>
      </c>
      <c r="G96" s="28" t="str">
        <f t="array" ref="G96">XLOOKUP(B96,Sheet68!A:A,Sheet68!AB:AB,0)</f>
        <v>monthons@airasia.com</v>
      </c>
      <c r="H96" s="22">
        <f t="shared" si="4"/>
        <v>1</v>
      </c>
      <c r="I96" s="123" t="s">
        <v>20</v>
      </c>
      <c r="J96" s="111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</row>
    <row r="97">
      <c r="A97" s="107">
        <v>96.0</v>
      </c>
      <c r="B97" s="138">
        <v>1001319.0</v>
      </c>
      <c r="C97" s="168" t="str">
        <f>vlookup(B97,'Crew Data'!C:G,5,0)</f>
        <v>Wipat Lurkasemsuk</v>
      </c>
      <c r="D97" s="121" t="s">
        <v>689</v>
      </c>
      <c r="E97" s="107">
        <v>2.0</v>
      </c>
      <c r="F97" s="122">
        <f t="shared" si="1"/>
        <v>800</v>
      </c>
      <c r="G97" s="28" t="str">
        <f t="array" ref="G97">XLOOKUP(B97,Sheet68!A:A,Sheet68!AB:AB,0)</f>
        <v>wipatl@airasia.com</v>
      </c>
      <c r="H97" s="22">
        <f t="shared" si="4"/>
        <v>1</v>
      </c>
      <c r="I97" s="123" t="s">
        <v>20</v>
      </c>
      <c r="J97" s="111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</row>
    <row r="98">
      <c r="A98" s="107">
        <v>97.0</v>
      </c>
      <c r="B98" s="138">
        <v>1004536.0</v>
      </c>
      <c r="C98" s="168" t="str">
        <f>vlookup(B98,'Crew Data'!C:G,5,0)</f>
        <v>Rathawit Vachirasittapong</v>
      </c>
      <c r="D98" s="121" t="s">
        <v>689</v>
      </c>
      <c r="E98" s="107">
        <v>2.0</v>
      </c>
      <c r="F98" s="122">
        <f t="shared" si="1"/>
        <v>800</v>
      </c>
      <c r="G98" s="28" t="str">
        <f t="array" ref="G98">XLOOKUP(B98,Sheet68!A:A,Sheet68!AB:AB,0)</f>
        <v>rathawitv@airasia.com</v>
      </c>
      <c r="H98" s="22">
        <f t="shared" si="4"/>
        <v>1</v>
      </c>
      <c r="I98" s="123" t="s">
        <v>20</v>
      </c>
      <c r="J98" s="111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</row>
    <row r="99" ht="16.5" customHeight="1">
      <c r="A99" s="107">
        <v>98.0</v>
      </c>
      <c r="B99" s="138">
        <v>1012366.0</v>
      </c>
      <c r="C99" s="168" t="str">
        <f>vlookup(B99,'Crew Data'!C:G,5,0)</f>
        <v>Ronnachai Wannarat</v>
      </c>
      <c r="D99" s="181">
        <v>45961.0</v>
      </c>
      <c r="E99" s="107">
        <v>1.0</v>
      </c>
      <c r="F99" s="122">
        <f t="shared" si="1"/>
        <v>400</v>
      </c>
      <c r="G99" s="28" t="str">
        <f t="array" ref="G99">XLOOKUP(B99,Sheet68!A:A,Sheet68!AB:AB,0)</f>
        <v>ronnachaiw@airasia.com</v>
      </c>
      <c r="H99" s="22">
        <f t="shared" si="4"/>
        <v>1</v>
      </c>
      <c r="I99" s="123" t="s">
        <v>20</v>
      </c>
      <c r="J99" s="111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</row>
    <row r="100" ht="16.5" customHeight="1">
      <c r="A100" s="107">
        <v>99.0</v>
      </c>
      <c r="B100" s="138">
        <v>1007412.0</v>
      </c>
      <c r="C100" s="168" t="str">
        <f>vlookup(B100,'Crew Data'!C:G,5,0)</f>
        <v>Jutaporn Jutarattanakul</v>
      </c>
      <c r="D100" s="121" t="s">
        <v>652</v>
      </c>
      <c r="E100" s="107">
        <v>2.0</v>
      </c>
      <c r="F100" s="122">
        <f t="shared" si="1"/>
        <v>800</v>
      </c>
      <c r="G100" s="28" t="str">
        <f t="array" ref="G100">XLOOKUP(B100,Sheet68!A:A,Sheet68!AB:AB,0)</f>
        <v>jutapornj@airasia.com</v>
      </c>
      <c r="H100" s="22">
        <f t="shared" si="4"/>
        <v>1</v>
      </c>
      <c r="I100" s="123" t="s">
        <v>20</v>
      </c>
      <c r="J100" s="111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</row>
    <row r="101" ht="16.5" customHeight="1">
      <c r="A101" s="107">
        <v>100.0</v>
      </c>
      <c r="B101" s="138">
        <v>1018970.0</v>
      </c>
      <c r="C101" s="168" t="str">
        <f>vlookup(B101,'Crew Data'!C:G,5,0)</f>
        <v>Krittachai Jantawong</v>
      </c>
      <c r="D101" s="181">
        <v>45945.0</v>
      </c>
      <c r="E101" s="107">
        <v>1.0</v>
      </c>
      <c r="F101" s="122">
        <f t="shared" si="1"/>
        <v>400</v>
      </c>
      <c r="G101" s="28" t="str">
        <f t="array" ref="G101">XLOOKUP(B101,Sheet68!A:A,Sheet68!AB:AB,0)</f>
        <v>krittachaijan@airasia.com</v>
      </c>
      <c r="H101" s="22">
        <f t="shared" si="4"/>
        <v>1</v>
      </c>
      <c r="I101" s="123" t="s">
        <v>20</v>
      </c>
      <c r="J101" s="111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</row>
    <row r="102" ht="16.5" customHeight="1">
      <c r="A102" s="107">
        <v>101.0</v>
      </c>
      <c r="B102" s="138">
        <v>1011848.0</v>
      </c>
      <c r="C102" s="168" t="str">
        <f>vlookup(B102,'Crew Data'!C:G,5,0)</f>
        <v>Wiput Janvanichstaporn</v>
      </c>
      <c r="D102" s="121" t="s">
        <v>692</v>
      </c>
      <c r="E102" s="107">
        <v>2.0</v>
      </c>
      <c r="F102" s="122">
        <f t="shared" si="1"/>
        <v>800</v>
      </c>
      <c r="G102" s="28" t="str">
        <f t="array" ref="G102">XLOOKUP(B102,Sheet68!A:A,Sheet68!AB:AB,0)</f>
        <v>wiputj@airasia.com</v>
      </c>
      <c r="H102" s="22">
        <f t="shared" si="4"/>
        <v>1</v>
      </c>
      <c r="I102" s="123" t="s">
        <v>20</v>
      </c>
      <c r="J102" s="111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</row>
    <row r="103" ht="16.5" customHeight="1">
      <c r="A103" s="107">
        <v>102.0</v>
      </c>
      <c r="B103" s="138">
        <v>1016229.0</v>
      </c>
      <c r="C103" s="168" t="str">
        <f>vlookup(B103,'Crew Data'!C:G,5,0)</f>
        <v>Sutharat Chimdid</v>
      </c>
      <c r="D103" s="121" t="s">
        <v>692</v>
      </c>
      <c r="E103" s="107">
        <v>2.0</v>
      </c>
      <c r="F103" s="122">
        <f t="shared" si="1"/>
        <v>800</v>
      </c>
      <c r="G103" s="28" t="str">
        <f t="array" ref="G103">XLOOKUP(B103,Sheet68!A:A,Sheet68!AB:AB,0)</f>
        <v>sutharatc@airasia.com</v>
      </c>
      <c r="H103" s="22">
        <f t="shared" si="4"/>
        <v>1</v>
      </c>
      <c r="I103" s="123" t="s">
        <v>20</v>
      </c>
      <c r="J103" s="111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</row>
  </sheetData>
  <mergeCells count="1">
    <mergeCell ref="A1:G1"/>
  </mergeCells>
  <dataValidations>
    <dataValidation type="list" allowBlank="1" sqref="I3:I103">
      <formula1>"CHECKED (OK),CHECKED  (NOT OK)"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88"/>
    <col customWidth="1" min="2" max="2" width="9.63"/>
    <col customWidth="1" min="3" max="3" width="24.75"/>
    <col customWidth="1" min="4" max="4" width="33.0"/>
    <col customWidth="1" min="5" max="5" width="7.63"/>
    <col customWidth="1" min="6" max="6" width="16.13"/>
    <col customWidth="1" min="7" max="7" width="28.63"/>
    <col customWidth="1" min="8" max="8" width="7.13"/>
    <col customWidth="1" min="9" max="9" width="14.75"/>
    <col customWidth="1" min="10" max="10" width="49.0"/>
  </cols>
  <sheetData>
    <row r="1">
      <c r="A1" s="182" t="s">
        <v>693</v>
      </c>
      <c r="H1" s="111"/>
      <c r="I1" s="31"/>
      <c r="J1" s="112" t="s">
        <v>694</v>
      </c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>
      <c r="A2" s="106" t="s">
        <v>1</v>
      </c>
      <c r="B2" s="137" t="s">
        <v>11</v>
      </c>
      <c r="C2" s="106" t="s">
        <v>12</v>
      </c>
      <c r="D2" s="114" t="s">
        <v>13</v>
      </c>
      <c r="E2" s="115" t="s">
        <v>15</v>
      </c>
      <c r="F2" s="183" t="s">
        <v>5</v>
      </c>
      <c r="G2" s="106" t="s">
        <v>646</v>
      </c>
      <c r="H2" s="116"/>
      <c r="I2" s="118" t="s">
        <v>6</v>
      </c>
      <c r="J2" s="119" t="s">
        <v>7</v>
      </c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>
      <c r="A3" s="107">
        <v>1.0</v>
      </c>
      <c r="B3" s="138">
        <v>1016381.0</v>
      </c>
      <c r="C3" s="168" t="str">
        <f>vlookup(B3,'Crew Data'!C:G,5,0)</f>
        <v>Pongsathorn Petcharat</v>
      </c>
      <c r="D3" s="121" t="s">
        <v>695</v>
      </c>
      <c r="E3" s="107">
        <v>6.0</v>
      </c>
      <c r="F3" s="122">
        <f t="shared" ref="F3:F103" si="1">E3*400</f>
        <v>2400</v>
      </c>
      <c r="G3" s="28" t="str">
        <f t="array" ref="G3">XLOOKUP(B3,Sheet68!A:A,Sheet68!AB:AB,0)</f>
        <v>pongsathornb@airasia.com</v>
      </c>
      <c r="H3" s="22">
        <f t="shared" ref="H3:H103" si="2">COUNTIF(B:B,B3)</f>
        <v>1</v>
      </c>
      <c r="I3" s="123" t="s">
        <v>20</v>
      </c>
      <c r="J3" s="123" t="s">
        <v>696</v>
      </c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>
      <c r="A4" s="107">
        <v>2.0</v>
      </c>
      <c r="B4" s="138">
        <v>1043863.0</v>
      </c>
      <c r="C4" s="168" t="str">
        <f>vlookup(B4,'Crew Data'!C:G,5,0)</f>
        <v>Paritchamon Seomphong</v>
      </c>
      <c r="D4" s="121" t="s">
        <v>697</v>
      </c>
      <c r="E4" s="107">
        <v>2.0</v>
      </c>
      <c r="F4" s="122">
        <f t="shared" si="1"/>
        <v>800</v>
      </c>
      <c r="G4" s="28" t="str">
        <f t="array" ref="G4">XLOOKUP(B4,Sheet68!A:A,Sheet68!AB:AB,0)</f>
        <v>paritchamonseo@airasia.com</v>
      </c>
      <c r="H4" s="22">
        <f t="shared" si="2"/>
        <v>1</v>
      </c>
      <c r="I4" s="123" t="s">
        <v>20</v>
      </c>
      <c r="J4" s="123" t="s">
        <v>696</v>
      </c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</row>
    <row r="5">
      <c r="A5" s="107">
        <v>3.0</v>
      </c>
      <c r="B5" s="138">
        <v>1014241.0</v>
      </c>
      <c r="C5" s="168" t="str">
        <f>vlookup(B5,'Crew Data'!C:G,5,0)</f>
        <v>Kittima Khongnukool</v>
      </c>
      <c r="D5" s="121" t="s">
        <v>698</v>
      </c>
      <c r="E5" s="107">
        <v>2.0</v>
      </c>
      <c r="F5" s="122">
        <f t="shared" si="1"/>
        <v>800</v>
      </c>
      <c r="G5" s="28" t="str">
        <f t="array" ref="G5">XLOOKUP(B5,Sheet68!A:A,Sheet68!AB:AB,0)</f>
        <v>kittimah@airasia.com</v>
      </c>
      <c r="H5" s="22">
        <f t="shared" si="2"/>
        <v>1</v>
      </c>
      <c r="I5" s="123" t="s">
        <v>20</v>
      </c>
      <c r="J5" s="123" t="s">
        <v>699</v>
      </c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>
      <c r="A6" s="107">
        <v>4.0</v>
      </c>
      <c r="B6" s="138">
        <v>1008372.0</v>
      </c>
      <c r="C6" s="168" t="str">
        <f>vlookup(B6,'Crew Data'!C:G,5,0)</f>
        <v>Sirinya Maydan</v>
      </c>
      <c r="D6" s="121" t="s">
        <v>700</v>
      </c>
      <c r="E6" s="107">
        <v>10.0</v>
      </c>
      <c r="F6" s="122">
        <f t="shared" si="1"/>
        <v>4000</v>
      </c>
      <c r="G6" s="28" t="str">
        <f t="array" ref="G6">XLOOKUP(B6,Sheet68!A:A,Sheet68!AB:AB,0)</f>
        <v>sirinyam@airasia.com</v>
      </c>
      <c r="H6" s="22">
        <f t="shared" si="2"/>
        <v>1</v>
      </c>
      <c r="I6" s="123" t="s">
        <v>20</v>
      </c>
      <c r="J6" s="123" t="s">
        <v>699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>
      <c r="A7" s="107">
        <v>5.0</v>
      </c>
      <c r="B7" s="138">
        <v>1011501.0</v>
      </c>
      <c r="C7" s="168" t="str">
        <f>vlookup(B7,'Crew Data'!C:G,5,0)</f>
        <v>Jinbulla Pranom</v>
      </c>
      <c r="D7" s="125">
        <v>45963.0</v>
      </c>
      <c r="E7" s="184">
        <v>1.0</v>
      </c>
      <c r="F7" s="122">
        <f t="shared" si="1"/>
        <v>400</v>
      </c>
      <c r="G7" s="28" t="str">
        <f t="array" ref="G7">XLOOKUP(B7,Sheet68!A:A,Sheet68!AB:AB,0)</f>
        <v>jinbullap@airasia.com</v>
      </c>
      <c r="H7" s="22">
        <f t="shared" si="2"/>
        <v>1</v>
      </c>
      <c r="I7" s="123" t="s">
        <v>20</v>
      </c>
      <c r="J7" s="123" t="s">
        <v>699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 ht="43.5" customHeight="1">
      <c r="A8" s="107">
        <v>6.0</v>
      </c>
      <c r="B8" s="138">
        <v>1002273.0</v>
      </c>
      <c r="C8" s="168" t="str">
        <f>vlookup(B8,'Crew Data'!C:G,5,0)</f>
        <v>Sirion Kwanchai</v>
      </c>
      <c r="D8" s="121" t="s">
        <v>701</v>
      </c>
      <c r="E8" s="185">
        <v>8.0</v>
      </c>
      <c r="F8" s="122">
        <f t="shared" si="1"/>
        <v>3200</v>
      </c>
      <c r="G8" s="28" t="str">
        <f t="array" ref="G8">XLOOKUP(B8,Sheet68!A:A,Sheet68!AB:AB,0)</f>
        <v>sirionk@airasia.com</v>
      </c>
      <c r="H8" s="22">
        <f t="shared" si="2"/>
        <v>1</v>
      </c>
      <c r="I8" s="123" t="s">
        <v>20</v>
      </c>
      <c r="J8" s="123" t="s">
        <v>702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>
      <c r="A9" s="107">
        <v>7.0</v>
      </c>
      <c r="B9" s="138">
        <v>1019528.0</v>
      </c>
      <c r="C9" s="168" t="str">
        <f>vlookup(B9,'Crew Data'!C:G,5,0)</f>
        <v>Panida Wannaying</v>
      </c>
      <c r="D9" s="121" t="s">
        <v>703</v>
      </c>
      <c r="E9" s="107">
        <v>2.0</v>
      </c>
      <c r="F9" s="122">
        <f t="shared" si="1"/>
        <v>800</v>
      </c>
      <c r="G9" s="28" t="str">
        <f t="array" ref="G9">XLOOKUP(B9,Sheet68!A:A,Sheet68!AB:AB,0)</f>
        <v>panidaw@airasia.com</v>
      </c>
      <c r="H9" s="22">
        <f t="shared" si="2"/>
        <v>1</v>
      </c>
      <c r="I9" s="123" t="s">
        <v>20</v>
      </c>
      <c r="J9" s="123" t="s">
        <v>699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>
      <c r="A10" s="107">
        <v>8.0</v>
      </c>
      <c r="B10" s="138">
        <v>1014359.0</v>
      </c>
      <c r="C10" s="168" t="str">
        <f>vlookup(B10,'Crew Data'!C:G,5,0)</f>
        <v>Rattiporn Thongarch</v>
      </c>
      <c r="D10" s="121" t="s">
        <v>704</v>
      </c>
      <c r="E10" s="107">
        <v>4.0</v>
      </c>
      <c r="F10" s="122">
        <f t="shared" si="1"/>
        <v>1600</v>
      </c>
      <c r="G10" s="28" t="str">
        <f t="array" ref="G10">XLOOKUP(B10,Sheet68!A:A,Sheet68!AB:AB,0)</f>
        <v>rattipornt@airasia.com</v>
      </c>
      <c r="H10" s="22">
        <f t="shared" si="2"/>
        <v>1</v>
      </c>
      <c r="I10" s="123" t="s">
        <v>20</v>
      </c>
      <c r="J10" s="123" t="s">
        <v>699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>
      <c r="A11" s="107">
        <v>9.0</v>
      </c>
      <c r="B11" s="186">
        <v>1003425.0</v>
      </c>
      <c r="C11" s="168" t="str">
        <f>vlookup(B11,'Crew Data'!C:G,5,0)</f>
        <v>Ake Choetsobhon</v>
      </c>
      <c r="D11" s="121" t="s">
        <v>705</v>
      </c>
      <c r="E11" s="107">
        <v>2.0</v>
      </c>
      <c r="F11" s="122">
        <f t="shared" si="1"/>
        <v>800</v>
      </c>
      <c r="G11" s="28" t="str">
        <f t="array" ref="G11">XLOOKUP(B11,Sheet68!A:A,Sheet68!AB:AB,0)</f>
        <v>akec@airasia.com</v>
      </c>
      <c r="H11" s="22">
        <f t="shared" si="2"/>
        <v>1</v>
      </c>
      <c r="I11" s="123" t="s">
        <v>20</v>
      </c>
      <c r="J11" s="123" t="s">
        <v>699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>
      <c r="A12" s="107">
        <v>10.0</v>
      </c>
      <c r="B12" s="138">
        <v>1001082.0</v>
      </c>
      <c r="C12" s="168" t="str">
        <f>vlookup(B12,'Crew Data'!C:G,5,0)</f>
        <v>Pobsaran Chantaratim</v>
      </c>
      <c r="D12" s="121" t="s">
        <v>706</v>
      </c>
      <c r="E12" s="107">
        <v>2.0</v>
      </c>
      <c r="F12" s="122">
        <f t="shared" si="1"/>
        <v>800</v>
      </c>
      <c r="G12" s="28" t="str">
        <f t="array" ref="G12">XLOOKUP(B12,Sheet68!A:A,Sheet68!AB:AB,0)</f>
        <v>pobsaranc@airasia.com</v>
      </c>
      <c r="H12" s="22">
        <f t="shared" si="2"/>
        <v>1</v>
      </c>
      <c r="I12" s="123" t="s">
        <v>20</v>
      </c>
      <c r="J12" s="123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>
      <c r="A13" s="107">
        <v>11.0</v>
      </c>
      <c r="B13" s="141">
        <v>1004729.0</v>
      </c>
      <c r="C13" s="168" t="str">
        <f>vlookup(B13,'Crew Data'!C:G,5,0)</f>
        <v>Sasimon Chamnansarn</v>
      </c>
      <c r="D13" s="121" t="s">
        <v>707</v>
      </c>
      <c r="E13" s="107">
        <v>2.0</v>
      </c>
      <c r="F13" s="122">
        <f t="shared" si="1"/>
        <v>800</v>
      </c>
      <c r="G13" s="28" t="str">
        <f t="array" ref="G13">XLOOKUP(B13,Sheet68!A:A,Sheet68!AB:AB,0)</f>
        <v>sasimonc@airasia.com</v>
      </c>
      <c r="H13" s="22">
        <f t="shared" si="2"/>
        <v>1</v>
      </c>
      <c r="I13" s="123" t="s">
        <v>20</v>
      </c>
      <c r="J13" s="123"/>
      <c r="K13" s="31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>
      <c r="A14" s="107">
        <v>12.0</v>
      </c>
      <c r="B14" s="138">
        <v>1022666.0</v>
      </c>
      <c r="C14" s="168" t="str">
        <f>vlookup(B14,'Crew Data'!C:G,5,0)</f>
        <v>Suchanart Thongsongsom</v>
      </c>
      <c r="D14" s="121" t="s">
        <v>708</v>
      </c>
      <c r="E14" s="107">
        <v>2.0</v>
      </c>
      <c r="F14" s="122">
        <f t="shared" si="1"/>
        <v>800</v>
      </c>
      <c r="G14" s="28" t="str">
        <f t="array" ref="G14">XLOOKUP(B14,Sheet68!A:A,Sheet68!AB:AB,0)</f>
        <v>suchanartthongsongs@airasia.com</v>
      </c>
      <c r="H14" s="22">
        <f t="shared" si="2"/>
        <v>1</v>
      </c>
      <c r="I14" s="123" t="s">
        <v>20</v>
      </c>
      <c r="J14" s="123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>
      <c r="A15" s="107">
        <v>13.0</v>
      </c>
      <c r="B15" s="138">
        <v>1004047.0</v>
      </c>
      <c r="C15" s="168" t="str">
        <f>vlookup(B15,'Crew Data'!C:G,5,0)</f>
        <v>Sunisa Panhirun</v>
      </c>
      <c r="D15" s="121" t="s">
        <v>708</v>
      </c>
      <c r="E15" s="107">
        <v>2.0</v>
      </c>
      <c r="F15" s="122">
        <f t="shared" si="1"/>
        <v>800</v>
      </c>
      <c r="G15" s="28" t="str">
        <f t="array" ref="G15">XLOOKUP(B15,Sheet68!A:A,Sheet68!AB:AB,0)</f>
        <v>sunisan@airasia.com</v>
      </c>
      <c r="H15" s="22">
        <f t="shared" si="2"/>
        <v>1</v>
      </c>
      <c r="I15" s="123" t="s">
        <v>20</v>
      </c>
      <c r="J15" s="123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>
      <c r="A16" s="107">
        <v>14.0</v>
      </c>
      <c r="B16" s="138">
        <v>1007202.0</v>
      </c>
      <c r="C16" s="168" t="str">
        <f>vlookup(B16,'Crew Data'!C:G,5,0)</f>
        <v>Kritsada Prachanuchit</v>
      </c>
      <c r="D16" s="121" t="s">
        <v>709</v>
      </c>
      <c r="E16" s="107">
        <v>2.0</v>
      </c>
      <c r="F16" s="122">
        <f t="shared" si="1"/>
        <v>800</v>
      </c>
      <c r="G16" s="28" t="str">
        <f t="array" ref="G16">XLOOKUP(B16,Sheet68!A:A,Sheet68!AB:AB,0)</f>
        <v>kritsadaa@airasia.com</v>
      </c>
      <c r="H16" s="22">
        <f t="shared" si="2"/>
        <v>1</v>
      </c>
      <c r="I16" s="123" t="s">
        <v>20</v>
      </c>
      <c r="J16" s="123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</row>
    <row r="17">
      <c r="A17" s="107">
        <v>15.0</v>
      </c>
      <c r="B17" s="138">
        <v>1025575.0</v>
      </c>
      <c r="C17" s="168" t="str">
        <f>vlookup(B17,'Crew Data'!C:G,5,0)</f>
        <v>Krissana Thanumas</v>
      </c>
      <c r="D17" s="121" t="s">
        <v>709</v>
      </c>
      <c r="E17" s="107">
        <v>2.0</v>
      </c>
      <c r="F17" s="122">
        <f t="shared" si="1"/>
        <v>800</v>
      </c>
      <c r="G17" s="28" t="str">
        <f t="array" ref="G17">XLOOKUP(B17,Sheet68!A:A,Sheet68!AB:AB,0)</f>
        <v>krissanathanumas@airasia.com</v>
      </c>
      <c r="H17" s="22">
        <f t="shared" si="2"/>
        <v>1</v>
      </c>
      <c r="I17" s="123" t="s">
        <v>20</v>
      </c>
      <c r="J17" s="123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</row>
    <row r="18">
      <c r="A18" s="107">
        <v>16.0</v>
      </c>
      <c r="B18" s="138">
        <v>1018784.0</v>
      </c>
      <c r="C18" s="168" t="str">
        <f>vlookup(B18,'Crew Data'!C:G,5,0)</f>
        <v>Apirak Thongpiyaphoom</v>
      </c>
      <c r="D18" s="121" t="s">
        <v>709</v>
      </c>
      <c r="E18" s="107">
        <v>2.0</v>
      </c>
      <c r="F18" s="122">
        <f t="shared" si="1"/>
        <v>800</v>
      </c>
      <c r="G18" s="28" t="str">
        <f t="array" ref="G18">XLOOKUP(B18,Sheet68!A:A,Sheet68!AB:AB,0)</f>
        <v>apirakt@airasia.com</v>
      </c>
      <c r="H18" s="22">
        <f t="shared" si="2"/>
        <v>1</v>
      </c>
      <c r="I18" s="123" t="s">
        <v>20</v>
      </c>
      <c r="J18" s="123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</row>
    <row r="19">
      <c r="A19" s="107">
        <v>17.0</v>
      </c>
      <c r="B19" s="138">
        <v>1043878.0</v>
      </c>
      <c r="C19" s="168" t="str">
        <f>vlookup(B19,'Crew Data'!C:G,5,0)</f>
        <v>Nakarin Chang</v>
      </c>
      <c r="D19" s="187">
        <v>45994.0</v>
      </c>
      <c r="E19" s="107">
        <v>1.0</v>
      </c>
      <c r="F19" s="122">
        <f t="shared" si="1"/>
        <v>400</v>
      </c>
      <c r="G19" s="28" t="str">
        <f t="array" ref="G19">XLOOKUP(B19,Sheet68!A:A,Sheet68!AB:AB,0)</f>
        <v>nakarincha@airasia.com</v>
      </c>
      <c r="H19" s="22">
        <f t="shared" si="2"/>
        <v>1</v>
      </c>
      <c r="I19" s="123" t="s">
        <v>20</v>
      </c>
      <c r="J19" s="123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</row>
    <row r="20">
      <c r="A20" s="107">
        <v>18.0</v>
      </c>
      <c r="B20" s="138">
        <v>1007276.0</v>
      </c>
      <c r="C20" s="168" t="str">
        <f>vlookup(B20,'Crew Data'!C:G,5,0)</f>
        <v>Teerayut Worawejwisarn</v>
      </c>
      <c r="D20" s="121" t="s">
        <v>710</v>
      </c>
      <c r="E20" s="107">
        <v>2.0</v>
      </c>
      <c r="F20" s="122">
        <f t="shared" si="1"/>
        <v>800</v>
      </c>
      <c r="G20" s="28" t="str">
        <f t="array" ref="G20">XLOOKUP(B20,Sheet68!A:A,Sheet68!AB:AB,0)</f>
        <v>teerayutw@airasia.com</v>
      </c>
      <c r="H20" s="22">
        <f t="shared" si="2"/>
        <v>1</v>
      </c>
      <c r="I20" s="123" t="s">
        <v>20</v>
      </c>
      <c r="J20" s="123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</row>
    <row r="21">
      <c r="A21" s="107">
        <v>19.0</v>
      </c>
      <c r="B21" s="138">
        <v>1038751.0</v>
      </c>
      <c r="C21" s="168" t="str">
        <f>vlookup(B21,'Crew Data'!C:G,5,0)</f>
        <v>Donlaya Promthep</v>
      </c>
      <c r="D21" s="121" t="s">
        <v>711</v>
      </c>
      <c r="E21" s="107">
        <v>2.0</v>
      </c>
      <c r="F21" s="122">
        <f t="shared" si="1"/>
        <v>800</v>
      </c>
      <c r="G21" s="28" t="str">
        <f t="array" ref="G21">XLOOKUP(B21,Sheet68!A:A,Sheet68!AB:AB,0)</f>
        <v>donlayapromthep@airasia.com</v>
      </c>
      <c r="H21" s="22">
        <f t="shared" si="2"/>
        <v>1</v>
      </c>
      <c r="I21" s="123" t="s">
        <v>20</v>
      </c>
      <c r="J21" s="123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</row>
    <row r="22">
      <c r="A22" s="107">
        <v>20.0</v>
      </c>
      <c r="B22" s="138">
        <v>1038748.0</v>
      </c>
      <c r="C22" s="168" t="str">
        <f>vlookup(B22,'Crew Data'!C:G,5,0)</f>
        <v>Napasakorn Phaspipatkul</v>
      </c>
      <c r="D22" s="121" t="s">
        <v>711</v>
      </c>
      <c r="E22" s="107">
        <v>2.0</v>
      </c>
      <c r="F22" s="122">
        <f t="shared" si="1"/>
        <v>800</v>
      </c>
      <c r="G22" s="28" t="str">
        <f t="array" ref="G22">XLOOKUP(B22,Sheet68!A:A,Sheet68!AB:AB,0)</f>
        <v>napasakornphaspipat@airasia.com</v>
      </c>
      <c r="H22" s="22">
        <f t="shared" si="2"/>
        <v>1</v>
      </c>
      <c r="I22" s="123" t="s">
        <v>20</v>
      </c>
      <c r="J22" s="123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>
      <c r="A23" s="107">
        <v>21.0</v>
      </c>
      <c r="B23" s="138">
        <v>1015405.0</v>
      </c>
      <c r="C23" s="168" t="str">
        <f>vlookup(B23,'Crew Data'!C:G,5,0)</f>
        <v>Nuttapon Pungjun</v>
      </c>
      <c r="D23" s="121" t="s">
        <v>712</v>
      </c>
      <c r="E23" s="107">
        <v>2.0</v>
      </c>
      <c r="F23" s="122">
        <f t="shared" si="1"/>
        <v>800</v>
      </c>
      <c r="G23" s="28" t="str">
        <f t="array" ref="G23">XLOOKUP(B23,Sheet68!A:A,Sheet68!AB:AB,0)</f>
        <v>nuttaponj@airasia.com</v>
      </c>
      <c r="H23" s="22">
        <f t="shared" si="2"/>
        <v>1</v>
      </c>
      <c r="I23" s="123" t="s">
        <v>20</v>
      </c>
      <c r="J23" s="123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>
      <c r="A24" s="107">
        <v>22.0</v>
      </c>
      <c r="B24" s="138">
        <v>1012906.0</v>
      </c>
      <c r="C24" s="168" t="str">
        <f>vlookup(B24,'Crew Data'!C:G,5,0)</f>
        <v>Thanametth Wachiradatsathien</v>
      </c>
      <c r="D24" s="121" t="s">
        <v>713</v>
      </c>
      <c r="E24" s="107">
        <v>2.0</v>
      </c>
      <c r="F24" s="122">
        <f t="shared" si="1"/>
        <v>800</v>
      </c>
      <c r="G24" s="28" t="str">
        <f t="array" ref="G24">XLOOKUP(B24,Sheet68!A:A,Sheet68!AB:AB,0)</f>
        <v>thanametthw@airasia.com</v>
      </c>
      <c r="H24" s="22">
        <f t="shared" si="2"/>
        <v>1</v>
      </c>
      <c r="I24" s="123" t="s">
        <v>20</v>
      </c>
      <c r="J24" s="123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>
      <c r="A25" s="107">
        <v>23.0</v>
      </c>
      <c r="B25" s="138">
        <v>1007027.0</v>
      </c>
      <c r="C25" s="168" t="str">
        <f>vlookup(B25,'Crew Data'!C:G,5,0)</f>
        <v>Naphaphat Narapirapong</v>
      </c>
      <c r="D25" s="121" t="s">
        <v>712</v>
      </c>
      <c r="E25" s="107">
        <v>2.0</v>
      </c>
      <c r="F25" s="122">
        <f t="shared" si="1"/>
        <v>800</v>
      </c>
      <c r="G25" s="28" t="str">
        <f t="array" ref="G25">XLOOKUP(B25,Sheet68!A:A,Sheet68!AB:AB,0)</f>
        <v>naphaphatn@airasia.com</v>
      </c>
      <c r="H25" s="22">
        <f t="shared" si="2"/>
        <v>1</v>
      </c>
      <c r="I25" s="123" t="s">
        <v>20</v>
      </c>
      <c r="J25" s="123"/>
      <c r="K25" s="31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>
      <c r="A26" s="107">
        <v>24.0</v>
      </c>
      <c r="B26" s="138">
        <v>1016385.0</v>
      </c>
      <c r="C26" s="168" t="str">
        <f>vlookup(B26,'Crew Data'!C:G,5,0)</f>
        <v>Raweewan Sritong</v>
      </c>
      <c r="D26" s="121" t="s">
        <v>709</v>
      </c>
      <c r="E26" s="107">
        <v>2.0</v>
      </c>
      <c r="F26" s="122">
        <f t="shared" si="1"/>
        <v>800</v>
      </c>
      <c r="G26" s="28" t="str">
        <f t="array" ref="G26">XLOOKUP(B26,Sheet68!A:A,Sheet68!AB:AB,0)</f>
        <v>raweewans@airasia.com</v>
      </c>
      <c r="H26" s="22">
        <f t="shared" si="2"/>
        <v>1</v>
      </c>
      <c r="I26" s="123" t="s">
        <v>20</v>
      </c>
      <c r="J26" s="123"/>
      <c r="K26" s="31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>
      <c r="A27" s="107">
        <v>25.0</v>
      </c>
      <c r="B27" s="138">
        <v>1006855.0</v>
      </c>
      <c r="C27" s="168" t="str">
        <f>vlookup(B27,'Crew Data'!C:G,5,0)</f>
        <v>Theeraphon Porisutkun</v>
      </c>
      <c r="D27" s="121" t="s">
        <v>714</v>
      </c>
      <c r="E27" s="107">
        <v>2.0</v>
      </c>
      <c r="F27" s="122">
        <f t="shared" si="1"/>
        <v>800</v>
      </c>
      <c r="G27" s="28" t="str">
        <f t="array" ref="G27">XLOOKUP(B27,Sheet68!A:A,Sheet68!AB:AB,0)</f>
        <v>theeraphonp@airasia.com</v>
      </c>
      <c r="H27" s="22">
        <f t="shared" si="2"/>
        <v>1</v>
      </c>
      <c r="I27" s="123" t="s">
        <v>20</v>
      </c>
      <c r="J27" s="123"/>
      <c r="K27" s="31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>
      <c r="A28" s="107">
        <v>26.0</v>
      </c>
      <c r="B28" s="138">
        <v>1010939.0</v>
      </c>
      <c r="C28" s="168" t="str">
        <f>vlookup(B28,'Crew Data'!C:G,5,0)</f>
        <v>Yuwarat Meesap</v>
      </c>
      <c r="D28" s="121" t="s">
        <v>715</v>
      </c>
      <c r="E28" s="107">
        <v>7.0</v>
      </c>
      <c r="F28" s="122">
        <f t="shared" si="1"/>
        <v>2800</v>
      </c>
      <c r="G28" s="28" t="str">
        <f t="array" ref="G28">XLOOKUP(B28,Sheet68!A:A,Sheet68!AB:AB,0)</f>
        <v>yuwaratm@airasia.com</v>
      </c>
      <c r="H28" s="22">
        <f t="shared" si="2"/>
        <v>1</v>
      </c>
      <c r="I28" s="123" t="s">
        <v>20</v>
      </c>
      <c r="J28" s="123"/>
      <c r="K28" s="31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>
      <c r="A29" s="107">
        <v>27.0</v>
      </c>
      <c r="B29" s="138">
        <v>1025319.0</v>
      </c>
      <c r="C29" s="168" t="str">
        <f>vlookup(B29,'Crew Data'!C:G,5,0)</f>
        <v>Phongsakron Saepan</v>
      </c>
      <c r="D29" s="121" t="s">
        <v>716</v>
      </c>
      <c r="E29" s="107">
        <v>7.0</v>
      </c>
      <c r="F29" s="122">
        <f t="shared" si="1"/>
        <v>2800</v>
      </c>
      <c r="G29" s="28" t="str">
        <f t="array" ref="G29">XLOOKUP(B29,Sheet68!A:A,Sheet68!AB:AB,0)</f>
        <v>phongsakronsaepan@airasia.com</v>
      </c>
      <c r="H29" s="22">
        <f t="shared" si="2"/>
        <v>1</v>
      </c>
      <c r="I29" s="123" t="s">
        <v>20</v>
      </c>
      <c r="J29" s="123"/>
      <c r="K29" s="31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>
      <c r="A30" s="107">
        <v>28.0</v>
      </c>
      <c r="B30" s="186">
        <v>1005312.0</v>
      </c>
      <c r="C30" s="168" t="str">
        <f>vlookup(B30,'Crew Data'!C:G,5,0)</f>
        <v>Khemika Thnonchaikul</v>
      </c>
      <c r="D30" s="121" t="s">
        <v>711</v>
      </c>
      <c r="E30" s="107">
        <v>2.0</v>
      </c>
      <c r="F30" s="122">
        <f t="shared" si="1"/>
        <v>800</v>
      </c>
      <c r="G30" s="28" t="str">
        <f t="array" ref="G30">XLOOKUP(B30,Sheet68!A:A,Sheet68!AB:AB,0)</f>
        <v>khemikat@airasia.com</v>
      </c>
      <c r="H30" s="22">
        <f t="shared" si="2"/>
        <v>1</v>
      </c>
      <c r="I30" s="123" t="s">
        <v>20</v>
      </c>
      <c r="J30" s="123"/>
      <c r="K30" s="31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</row>
    <row r="31">
      <c r="A31" s="107">
        <v>29.0</v>
      </c>
      <c r="B31" s="186">
        <v>1011848.0</v>
      </c>
      <c r="C31" s="168" t="str">
        <f>vlookup(B31,'Crew Data'!C:G,5,0)</f>
        <v>Wiput Janvanichstaporn</v>
      </c>
      <c r="D31" s="121" t="s">
        <v>711</v>
      </c>
      <c r="E31" s="107">
        <v>2.0</v>
      </c>
      <c r="F31" s="122">
        <f t="shared" si="1"/>
        <v>800</v>
      </c>
      <c r="G31" s="28" t="str">
        <f t="array" ref="G31">XLOOKUP(B31,Sheet68!A:A,Sheet68!AB:AB,0)</f>
        <v>wiputj@airasia.com</v>
      </c>
      <c r="H31" s="22">
        <f t="shared" si="2"/>
        <v>1</v>
      </c>
      <c r="I31" s="123" t="s">
        <v>20</v>
      </c>
      <c r="J31" s="123"/>
      <c r="K31" s="31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>
      <c r="A32" s="107">
        <v>30.0</v>
      </c>
      <c r="B32" s="186">
        <v>1025547.0</v>
      </c>
      <c r="C32" s="168" t="str">
        <f>vlookup(B32,'Crew Data'!C:G,5,0)</f>
        <v>Jarumon Iamkanthong</v>
      </c>
      <c r="D32" s="121" t="s">
        <v>717</v>
      </c>
      <c r="E32" s="107">
        <v>2.0</v>
      </c>
      <c r="F32" s="122">
        <f t="shared" si="1"/>
        <v>800</v>
      </c>
      <c r="G32" s="28" t="str">
        <f t="array" ref="G32">XLOOKUP(B32,Sheet68!A:A,Sheet68!AB:AB,0)</f>
        <v>jarumoniamkanthong@airasia.com</v>
      </c>
      <c r="H32" s="22">
        <f t="shared" si="2"/>
        <v>1</v>
      </c>
      <c r="I32" s="123" t="s">
        <v>20</v>
      </c>
      <c r="J32" s="123"/>
      <c r="K32" s="31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>
      <c r="A33" s="107">
        <v>31.0</v>
      </c>
      <c r="B33" s="186">
        <v>1004196.0</v>
      </c>
      <c r="C33" s="168" t="str">
        <f>vlookup(B33,'Crew Data'!C:G,5,0)</f>
        <v>Kanyarat Boonthanawat</v>
      </c>
      <c r="D33" s="121" t="s">
        <v>718</v>
      </c>
      <c r="E33" s="107">
        <v>6.0</v>
      </c>
      <c r="F33" s="122">
        <f t="shared" si="1"/>
        <v>2400</v>
      </c>
      <c r="G33" s="28" t="str">
        <f t="array" ref="G33">XLOOKUP(B33,Sheet68!A:A,Sheet68!AB:AB,0)</f>
        <v>kanyaratb@airasia.com</v>
      </c>
      <c r="H33" s="22">
        <f t="shared" si="2"/>
        <v>1</v>
      </c>
      <c r="I33" s="123" t="s">
        <v>20</v>
      </c>
      <c r="J33" s="123"/>
      <c r="K33" s="31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</row>
    <row r="34">
      <c r="A34" s="107">
        <v>32.0</v>
      </c>
      <c r="B34" s="186">
        <v>1025554.0</v>
      </c>
      <c r="C34" s="168" t="str">
        <f>vlookup(B34,'Crew Data'!C:G,5,0)</f>
        <v>Nidchapa Vichaidist</v>
      </c>
      <c r="D34" s="121" t="s">
        <v>719</v>
      </c>
      <c r="E34" s="107">
        <v>2.0</v>
      </c>
      <c r="F34" s="122">
        <f t="shared" si="1"/>
        <v>800</v>
      </c>
      <c r="G34" s="28" t="str">
        <f t="array" ref="G34">XLOOKUP(B34,Sheet68!A:A,Sheet68!AB:AB,0)</f>
        <v>nidchapavichaidist@airasia.com</v>
      </c>
      <c r="H34" s="22">
        <f t="shared" si="2"/>
        <v>1</v>
      </c>
      <c r="I34" s="123" t="s">
        <v>20</v>
      </c>
      <c r="J34" s="123"/>
      <c r="K34" s="31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</row>
    <row r="35">
      <c r="A35" s="107">
        <v>33.0</v>
      </c>
      <c r="B35" s="186">
        <v>1011320.0</v>
      </c>
      <c r="C35" s="168" t="str">
        <f>vlookup(B35,'Crew Data'!C:G,5,0)</f>
        <v>Sudhat Bunnag</v>
      </c>
      <c r="D35" s="121" t="s">
        <v>720</v>
      </c>
      <c r="E35" s="107">
        <v>6.0</v>
      </c>
      <c r="F35" s="122">
        <f t="shared" si="1"/>
        <v>2400</v>
      </c>
      <c r="G35" s="28" t="str">
        <f t="array" ref="G35">XLOOKUP(B35,Sheet68!A:A,Sheet68!AB:AB,0)</f>
        <v>sudhatu@airasia.com</v>
      </c>
      <c r="H35" s="22">
        <f t="shared" si="2"/>
        <v>1</v>
      </c>
      <c r="I35" s="123" t="s">
        <v>20</v>
      </c>
      <c r="J35" s="123"/>
      <c r="K35" s="31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</row>
    <row r="36">
      <c r="A36" s="107">
        <v>34.0</v>
      </c>
      <c r="B36" s="186">
        <v>1023595.0</v>
      </c>
      <c r="C36" s="168" t="str">
        <f>vlookup(B36,'Crew Data'!C:G,5,0)</f>
        <v>Kanokpan Tongnu</v>
      </c>
      <c r="D36" s="121" t="s">
        <v>721</v>
      </c>
      <c r="E36" s="107">
        <v>3.0</v>
      </c>
      <c r="F36" s="122">
        <f t="shared" si="1"/>
        <v>1200</v>
      </c>
      <c r="G36" s="28" t="str">
        <f t="array" ref="G36">XLOOKUP(B36,Sheet68!A:A,Sheet68!AB:AB,0)</f>
        <v>kanokpantongnu@airasia.com</v>
      </c>
      <c r="H36" s="22">
        <f t="shared" si="2"/>
        <v>1</v>
      </c>
      <c r="I36" s="123" t="s">
        <v>20</v>
      </c>
      <c r="J36" s="111"/>
      <c r="K36" s="31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</row>
    <row r="37">
      <c r="A37" s="107">
        <v>35.0</v>
      </c>
      <c r="B37" s="186">
        <v>1011513.0</v>
      </c>
      <c r="C37" s="168" t="str">
        <f>vlookup(B37,'Crew Data'!C:G,5,0)</f>
        <v>Rawitnat Marayat</v>
      </c>
      <c r="D37" s="121" t="s">
        <v>722</v>
      </c>
      <c r="E37" s="107">
        <v>2.0</v>
      </c>
      <c r="F37" s="122">
        <f t="shared" si="1"/>
        <v>800</v>
      </c>
      <c r="G37" s="28" t="str">
        <f t="array" ref="G37">XLOOKUP(B37,Sheet68!A:A,Sheet68!AB:AB,0)</f>
        <v>rawitnatm@airasia.com</v>
      </c>
      <c r="H37" s="22">
        <f t="shared" si="2"/>
        <v>1</v>
      </c>
      <c r="I37" s="123" t="s">
        <v>20</v>
      </c>
      <c r="J37" s="111"/>
      <c r="K37" s="31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>
      <c r="A38" s="107">
        <v>36.0</v>
      </c>
      <c r="B38" s="186">
        <v>1005964.0</v>
      </c>
      <c r="C38" s="168" t="str">
        <f>vlookup(B38,'Crew Data'!C:G,5,0)</f>
        <v>Sawitri Siribunrueangwong</v>
      </c>
      <c r="D38" s="121" t="s">
        <v>713</v>
      </c>
      <c r="E38" s="107">
        <v>2.0</v>
      </c>
      <c r="F38" s="122">
        <f t="shared" si="1"/>
        <v>800</v>
      </c>
      <c r="G38" s="28" t="str">
        <f t="array" ref="G38">XLOOKUP(B38,Sheet68!A:A,Sheet68!AB:AB,0)</f>
        <v>sawitris@airasia.com</v>
      </c>
      <c r="H38" s="22">
        <f t="shared" si="2"/>
        <v>1</v>
      </c>
      <c r="I38" s="123" t="s">
        <v>20</v>
      </c>
      <c r="J38" s="111"/>
      <c r="K38" s="31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>
      <c r="A39" s="107">
        <v>37.0</v>
      </c>
      <c r="B39" s="186">
        <v>1006844.0</v>
      </c>
      <c r="C39" s="168" t="str">
        <f>vlookup(B39,'Crew Data'!C:G,5,0)</f>
        <v>Rada Nilyam</v>
      </c>
      <c r="D39" s="121" t="s">
        <v>722</v>
      </c>
      <c r="E39" s="107">
        <v>2.0</v>
      </c>
      <c r="F39" s="122">
        <f t="shared" si="1"/>
        <v>800</v>
      </c>
      <c r="G39" s="28" t="str">
        <f t="array" ref="G39">XLOOKUP(B39,Sheet68!A:A,Sheet68!AB:AB,0)</f>
        <v>radan@airasia.com</v>
      </c>
      <c r="H39" s="22">
        <f t="shared" si="2"/>
        <v>1</v>
      </c>
      <c r="I39" s="123" t="s">
        <v>20</v>
      </c>
      <c r="J39" s="111"/>
      <c r="K39" s="31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</row>
    <row r="40">
      <c r="A40" s="107">
        <v>38.0</v>
      </c>
      <c r="B40" s="186">
        <v>1004037.0</v>
      </c>
      <c r="C40" s="168" t="str">
        <f>vlookup(B40,'Crew Data'!C:G,5,0)</f>
        <v>Phornchanit Rangsikul</v>
      </c>
      <c r="D40" s="121" t="s">
        <v>723</v>
      </c>
      <c r="E40" s="107">
        <v>2.0</v>
      </c>
      <c r="F40" s="122">
        <f t="shared" si="1"/>
        <v>800</v>
      </c>
      <c r="G40" s="28" t="str">
        <f t="array" ref="G40">XLOOKUP(B40,Sheet68!A:A,Sheet68!AB:AB,0)</f>
        <v>phornchanitr@airasia.com</v>
      </c>
      <c r="H40" s="22">
        <f t="shared" si="2"/>
        <v>1</v>
      </c>
      <c r="I40" s="123" t="s">
        <v>20</v>
      </c>
      <c r="J40" s="111"/>
      <c r="K40" s="31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>
      <c r="A41" s="107">
        <v>39.0</v>
      </c>
      <c r="B41" s="186">
        <v>1040518.0</v>
      </c>
      <c r="C41" s="168" t="str">
        <f>vlookup(B41,'Crew Data'!C:G,5,0)</f>
        <v>Thanyarat Kajornchaiyakul</v>
      </c>
      <c r="D41" s="121" t="s">
        <v>719</v>
      </c>
      <c r="E41" s="107">
        <v>2.0</v>
      </c>
      <c r="F41" s="122">
        <f t="shared" si="1"/>
        <v>800</v>
      </c>
      <c r="G41" s="28" t="str">
        <f t="array" ref="G41">XLOOKUP(B41,Sheet68!A:A,Sheet68!AB:AB,0)</f>
        <v>thanyaratkajornchai@airasia.com</v>
      </c>
      <c r="H41" s="22">
        <f t="shared" si="2"/>
        <v>1</v>
      </c>
      <c r="I41" s="123" t="s">
        <v>20</v>
      </c>
      <c r="J41" s="111"/>
      <c r="K41" s="31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</row>
    <row r="42">
      <c r="A42" s="107">
        <v>40.0</v>
      </c>
      <c r="B42" s="186">
        <v>1012256.0</v>
      </c>
      <c r="C42" s="168" t="str">
        <f>vlookup(B42,'Crew Data'!C:G,5,0)</f>
        <v>Sarayut Ungsaichue</v>
      </c>
      <c r="D42" s="121" t="s">
        <v>724</v>
      </c>
      <c r="E42" s="107">
        <v>8.0</v>
      </c>
      <c r="F42" s="122">
        <f t="shared" si="1"/>
        <v>3200</v>
      </c>
      <c r="G42" s="28" t="str">
        <f t="array" ref="G42">XLOOKUP(B42,Sheet68!A:A,Sheet68!AB:AB,0)</f>
        <v>sarayutu@airasia.com</v>
      </c>
      <c r="H42" s="22">
        <f t="shared" si="2"/>
        <v>1</v>
      </c>
      <c r="I42" s="123" t="s">
        <v>20</v>
      </c>
      <c r="J42" s="111"/>
      <c r="K42" s="31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</row>
    <row r="43">
      <c r="A43" s="107">
        <v>41.0</v>
      </c>
      <c r="B43" s="186">
        <v>1025318.0</v>
      </c>
      <c r="C43" s="168" t="str">
        <f>vlookup(B43,'Crew Data'!C:G,5,0)</f>
        <v>Jetsada Sutthiniam</v>
      </c>
      <c r="D43" s="121" t="s">
        <v>725</v>
      </c>
      <c r="E43" s="107">
        <v>6.0</v>
      </c>
      <c r="F43" s="122">
        <f t="shared" si="1"/>
        <v>2400</v>
      </c>
      <c r="G43" s="28" t="str">
        <f t="array" ref="G43">XLOOKUP(B43,Sheet68!A:A,Sheet68!AB:AB,0)</f>
        <v>jetsadasutthiniam@airasia.com</v>
      </c>
      <c r="H43" s="22">
        <f t="shared" si="2"/>
        <v>1</v>
      </c>
      <c r="I43" s="123" t="s">
        <v>20</v>
      </c>
      <c r="J43" s="111"/>
      <c r="K43" s="31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</row>
    <row r="44">
      <c r="A44" s="107">
        <v>42.0</v>
      </c>
      <c r="B44" s="186">
        <v>1007207.0</v>
      </c>
      <c r="C44" s="168" t="str">
        <f>vlookup(B44,'Crew Data'!C:G,5,0)</f>
        <v>Sasiwan Nakate</v>
      </c>
      <c r="D44" s="125">
        <v>45992.0</v>
      </c>
      <c r="E44" s="107">
        <v>1.0</v>
      </c>
      <c r="F44" s="122">
        <f t="shared" si="1"/>
        <v>400</v>
      </c>
      <c r="G44" s="28" t="str">
        <f t="array" ref="G44">XLOOKUP(B44,Sheet68!A:A,Sheet68!AB:AB,0)</f>
        <v>sasiwann@airasia.com</v>
      </c>
      <c r="H44" s="22">
        <f t="shared" si="2"/>
        <v>1</v>
      </c>
      <c r="I44" s="123" t="s">
        <v>20</v>
      </c>
      <c r="J44" s="111"/>
      <c r="K44" s="31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</row>
    <row r="45">
      <c r="A45" s="107">
        <v>43.0</v>
      </c>
      <c r="B45" s="186">
        <v>1012907.0</v>
      </c>
      <c r="C45" s="168" t="str">
        <f>vlookup(B45,'Crew Data'!C:G,5,0)</f>
        <v>Thiranuch Chantavarin</v>
      </c>
      <c r="D45" s="121" t="s">
        <v>726</v>
      </c>
      <c r="E45" s="107">
        <v>2.0</v>
      </c>
      <c r="F45" s="122">
        <f t="shared" si="1"/>
        <v>800</v>
      </c>
      <c r="G45" s="28" t="str">
        <f t="array" ref="G45">XLOOKUP(B45,Sheet68!A:A,Sheet68!AB:AB,0)</f>
        <v>thiranuchc@airasia.com</v>
      </c>
      <c r="H45" s="22">
        <f t="shared" si="2"/>
        <v>1</v>
      </c>
      <c r="I45" s="123" t="s">
        <v>20</v>
      </c>
      <c r="J45" s="111"/>
      <c r="K45" s="31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</row>
    <row r="46">
      <c r="A46" s="107">
        <v>44.0</v>
      </c>
      <c r="B46" s="138">
        <v>1015406.0</v>
      </c>
      <c r="C46" s="168" t="str">
        <f>vlookup(B46,'Crew Data'!C:G,5,0)</f>
        <v>Perati Ardwong</v>
      </c>
      <c r="D46" s="121" t="s">
        <v>707</v>
      </c>
      <c r="E46" s="107">
        <v>2.0</v>
      </c>
      <c r="F46" s="122">
        <f t="shared" si="1"/>
        <v>800</v>
      </c>
      <c r="G46" s="28" t="str">
        <f t="array" ref="G46">XLOOKUP(B46,Sheet68!A:A,Sheet68!AB:AB,0)</f>
        <v>peratia@airasia.com</v>
      </c>
      <c r="H46" s="22">
        <f t="shared" si="2"/>
        <v>1</v>
      </c>
      <c r="I46" s="123" t="s">
        <v>20</v>
      </c>
      <c r="J46" s="111"/>
      <c r="K46" s="31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</row>
    <row r="47">
      <c r="A47" s="107">
        <v>45.0</v>
      </c>
      <c r="B47" s="186">
        <v>1018791.0</v>
      </c>
      <c r="C47" s="168" t="str">
        <f>vlookup(B47,'Crew Data'!C:G,5,0)</f>
        <v>Kitdanai Tiantanawit</v>
      </c>
      <c r="D47" s="121" t="s">
        <v>727</v>
      </c>
      <c r="E47" s="107">
        <v>2.0</v>
      </c>
      <c r="F47" s="122">
        <f t="shared" si="1"/>
        <v>800</v>
      </c>
      <c r="G47" s="28" t="str">
        <f t="array" ref="G47">XLOOKUP(B47,Sheet68!A:A,Sheet68!AB:AB,0)</f>
        <v>kitdanait@airasia.com</v>
      </c>
      <c r="H47" s="22">
        <f t="shared" si="2"/>
        <v>1</v>
      </c>
      <c r="I47" s="123" t="s">
        <v>20</v>
      </c>
      <c r="J47" s="111"/>
      <c r="K47" s="31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</row>
    <row r="48">
      <c r="A48" s="107">
        <v>46.0</v>
      </c>
      <c r="B48" s="138">
        <v>1005769.0</v>
      </c>
      <c r="C48" s="168" t="str">
        <f>vlookup(B48,'Crew Data'!C:G,5,0)</f>
        <v>Thanicha Noodee</v>
      </c>
      <c r="D48" s="121" t="s">
        <v>728</v>
      </c>
      <c r="E48" s="107">
        <v>2.0</v>
      </c>
      <c r="F48" s="122">
        <f t="shared" si="1"/>
        <v>800</v>
      </c>
      <c r="G48" s="28" t="str">
        <f t="array" ref="G48">XLOOKUP(B48,Sheet68!A:A,Sheet68!AB:AB,0)</f>
        <v>thanichan@airasia.com</v>
      </c>
      <c r="H48" s="22">
        <f t="shared" si="2"/>
        <v>1</v>
      </c>
      <c r="I48" s="123" t="s">
        <v>20</v>
      </c>
      <c r="J48" s="111"/>
      <c r="K48" s="31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</row>
    <row r="49">
      <c r="A49" s="107">
        <v>47.0</v>
      </c>
      <c r="B49" s="186">
        <v>1001393.0</v>
      </c>
      <c r="C49" s="168" t="str">
        <f>vlookup(B49,'Crew Data'!C:G,5,0)</f>
        <v>Natthima Dolchalermkiat</v>
      </c>
      <c r="D49" s="121" t="s">
        <v>729</v>
      </c>
      <c r="E49" s="107">
        <v>2.0</v>
      </c>
      <c r="F49" s="122">
        <f t="shared" si="1"/>
        <v>800</v>
      </c>
      <c r="G49" s="28" t="str">
        <f t="array" ref="G49">XLOOKUP(B49,Sheet68!A:A,Sheet68!AB:AB,0)</f>
        <v>natthimad@airasia.com</v>
      </c>
      <c r="H49" s="22">
        <f t="shared" si="2"/>
        <v>1</v>
      </c>
      <c r="I49" s="123" t="s">
        <v>20</v>
      </c>
      <c r="J49" s="111"/>
      <c r="K49" s="31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</row>
    <row r="50">
      <c r="A50" s="107">
        <v>48.0</v>
      </c>
      <c r="B50" s="186">
        <v>1012975.0</v>
      </c>
      <c r="C50" s="168" t="str">
        <f>vlookup(B50,'Crew Data'!C:G,5,0)</f>
        <v>Chalintara Chinaratana</v>
      </c>
      <c r="D50" s="121" t="s">
        <v>712</v>
      </c>
      <c r="E50" s="107">
        <v>2.0</v>
      </c>
      <c r="F50" s="122">
        <f t="shared" si="1"/>
        <v>800</v>
      </c>
      <c r="G50" s="28" t="str">
        <f t="array" ref="G50">XLOOKUP(B50,Sheet68!A:A,Sheet68!AB:AB,0)</f>
        <v>chalintarac@airasia.com</v>
      </c>
      <c r="H50" s="22">
        <f t="shared" si="2"/>
        <v>1</v>
      </c>
      <c r="I50" s="123" t="s">
        <v>20</v>
      </c>
      <c r="J50" s="111"/>
      <c r="K50" s="31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</row>
    <row r="51">
      <c r="A51" s="107">
        <v>49.0</v>
      </c>
      <c r="B51" s="186">
        <v>1003302.0</v>
      </c>
      <c r="C51" s="168" t="str">
        <f>vlookup(B51,'Crew Data'!C:G,5,0)</f>
        <v>Panwad Thongkham</v>
      </c>
      <c r="D51" s="121" t="s">
        <v>730</v>
      </c>
      <c r="E51" s="107">
        <v>2.0</v>
      </c>
      <c r="F51" s="122">
        <f t="shared" si="1"/>
        <v>800</v>
      </c>
      <c r="G51" s="28" t="str">
        <f t="array" ref="G51">XLOOKUP(B51,Sheet68!A:A,Sheet68!AB:AB,0)</f>
        <v>panwadt@airasia.com</v>
      </c>
      <c r="H51" s="22">
        <f t="shared" si="2"/>
        <v>1</v>
      </c>
      <c r="I51" s="123" t="s">
        <v>20</v>
      </c>
      <c r="J51" s="111"/>
      <c r="K51" s="31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</row>
    <row r="52">
      <c r="A52" s="107">
        <v>50.0</v>
      </c>
      <c r="B52" s="138">
        <v>1027515.0</v>
      </c>
      <c r="C52" s="168" t="str">
        <f>vlookup(B52,'Crew Data'!C:G,5,0)</f>
        <v>Kantaporn Dechchu</v>
      </c>
      <c r="D52" s="121" t="s">
        <v>731</v>
      </c>
      <c r="E52" s="107">
        <v>2.0</v>
      </c>
      <c r="F52" s="122">
        <f t="shared" si="1"/>
        <v>800</v>
      </c>
      <c r="G52" s="28" t="str">
        <f t="array" ref="G52">XLOOKUP(B52,Sheet68!A:A,Sheet68!AB:AB,0)</f>
        <v>kantaporndechchu@airasia.com</v>
      </c>
      <c r="H52" s="22">
        <f t="shared" si="2"/>
        <v>1</v>
      </c>
      <c r="I52" s="123" t="s">
        <v>20</v>
      </c>
      <c r="J52" s="111"/>
      <c r="K52" s="31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</row>
    <row r="53">
      <c r="A53" s="107">
        <v>51.0</v>
      </c>
      <c r="B53" s="186">
        <v>1008991.0</v>
      </c>
      <c r="C53" s="168" t="str">
        <f>vlookup(B53,'Crew Data'!C:G,5,0)</f>
        <v>Premkamon Changsuwan</v>
      </c>
      <c r="D53" s="121" t="s">
        <v>728</v>
      </c>
      <c r="E53" s="107">
        <v>2.0</v>
      </c>
      <c r="F53" s="122">
        <f t="shared" si="1"/>
        <v>800</v>
      </c>
      <c r="G53" s="28" t="str">
        <f t="array" ref="G53">XLOOKUP(B53,Sheet68!A:A,Sheet68!AB:AB,0)</f>
        <v>premkamonc@airasia.com</v>
      </c>
      <c r="H53" s="22">
        <f t="shared" si="2"/>
        <v>1</v>
      </c>
      <c r="I53" s="123" t="s">
        <v>20</v>
      </c>
      <c r="J53" s="111"/>
      <c r="K53" s="31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</row>
    <row r="54">
      <c r="A54" s="107">
        <v>52.0</v>
      </c>
      <c r="B54" s="141">
        <v>1013988.0</v>
      </c>
      <c r="C54" s="168" t="str">
        <f>vlookup(B54,'Crew Data'!C:G,5,0)</f>
        <v>Kritlada Thapanapark</v>
      </c>
      <c r="D54" s="121" t="s">
        <v>732</v>
      </c>
      <c r="E54" s="107">
        <v>2.0</v>
      </c>
      <c r="F54" s="122">
        <f t="shared" si="1"/>
        <v>800</v>
      </c>
      <c r="G54" s="28" t="str">
        <f t="array" ref="G54">XLOOKUP(B54,Sheet68!A:A,Sheet68!AB:AB,0)</f>
        <v>kritladat@airasia.com</v>
      </c>
      <c r="H54" s="22">
        <f t="shared" si="2"/>
        <v>1</v>
      </c>
      <c r="I54" s="123" t="s">
        <v>20</v>
      </c>
      <c r="J54" s="111"/>
      <c r="K54" s="31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</row>
    <row r="55">
      <c r="A55" s="107">
        <v>53.0</v>
      </c>
      <c r="B55" s="141">
        <v>1008754.0</v>
      </c>
      <c r="C55" s="168" t="str">
        <f>vlookup(B55,'Crew Data'!C:G,5,0)</f>
        <v>Pimlapas Tanapatpongsapas</v>
      </c>
      <c r="D55" s="121" t="s">
        <v>706</v>
      </c>
      <c r="E55" s="107">
        <v>2.0</v>
      </c>
      <c r="F55" s="122">
        <f t="shared" si="1"/>
        <v>800</v>
      </c>
      <c r="G55" s="28" t="str">
        <f t="array" ref="G55">XLOOKUP(B55,Sheet68!A:A,Sheet68!AB:AB,0)</f>
        <v>pimlapasa@airasia.com</v>
      </c>
      <c r="H55" s="22">
        <f t="shared" si="2"/>
        <v>1</v>
      </c>
      <c r="I55" s="123" t="s">
        <v>20</v>
      </c>
      <c r="J55" s="111"/>
      <c r="K55" s="31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</row>
    <row r="56">
      <c r="A56" s="107">
        <v>54.0</v>
      </c>
      <c r="B56" s="138">
        <v>1015394.0</v>
      </c>
      <c r="C56" s="168" t="str">
        <f>vlookup(B56,'Crew Data'!C:G,5,0)</f>
        <v>Kawin Panpipat</v>
      </c>
      <c r="D56" s="121" t="s">
        <v>706</v>
      </c>
      <c r="E56" s="107">
        <v>2.0</v>
      </c>
      <c r="F56" s="122">
        <f t="shared" si="1"/>
        <v>800</v>
      </c>
      <c r="G56" s="28" t="str">
        <f t="array" ref="G56">XLOOKUP(B56,Sheet68!A:A,Sheet68!AB:AB,0)</f>
        <v>kawinp@airasia.com</v>
      </c>
      <c r="H56" s="22">
        <f t="shared" si="2"/>
        <v>1</v>
      </c>
      <c r="I56" s="123" t="s">
        <v>20</v>
      </c>
      <c r="J56" s="111"/>
      <c r="K56" s="31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</row>
    <row r="57">
      <c r="A57" s="107">
        <v>55.0</v>
      </c>
      <c r="B57" s="186">
        <v>1014346.0</v>
      </c>
      <c r="C57" s="168" t="str">
        <f>vlookup(B57,'Crew Data'!C:G,5,0)</f>
        <v>Narongchai Mongkolchartthai</v>
      </c>
      <c r="D57" s="125">
        <v>45992.0</v>
      </c>
      <c r="E57" s="107">
        <v>1.0</v>
      </c>
      <c r="F57" s="122">
        <f t="shared" si="1"/>
        <v>400</v>
      </c>
      <c r="G57" s="28" t="str">
        <f t="array" ref="G57">XLOOKUP(B57,Sheet68!A:A,Sheet68!AB:AB,0)</f>
        <v>narongchaim@airasia.com</v>
      </c>
      <c r="H57" s="22">
        <f t="shared" si="2"/>
        <v>1</v>
      </c>
      <c r="I57" s="123" t="s">
        <v>20</v>
      </c>
      <c r="J57" s="111"/>
      <c r="K57" s="31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</row>
    <row r="58">
      <c r="A58" s="107">
        <v>56.0</v>
      </c>
      <c r="B58" s="186">
        <v>1015093.0</v>
      </c>
      <c r="C58" s="168" t="str">
        <f>vlookup(B58,'Crew Data'!C:G,5,0)</f>
        <v>Sampan Simpalipan</v>
      </c>
      <c r="D58" s="121" t="s">
        <v>725</v>
      </c>
      <c r="E58" s="107">
        <v>6.0</v>
      </c>
      <c r="F58" s="122">
        <f t="shared" si="1"/>
        <v>2400</v>
      </c>
      <c r="G58" s="28" t="str">
        <f t="array" ref="G58">XLOOKUP(B58,Sheet68!A:A,Sheet68!AB:AB,0)</f>
        <v>sampans@airasia.com</v>
      </c>
      <c r="H58" s="22">
        <f t="shared" si="2"/>
        <v>1</v>
      </c>
      <c r="I58" s="123" t="s">
        <v>20</v>
      </c>
      <c r="J58" s="111"/>
      <c r="K58" s="31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</row>
    <row r="59">
      <c r="A59" s="107">
        <v>57.0</v>
      </c>
      <c r="B59" s="138">
        <v>1040879.0</v>
      </c>
      <c r="C59" s="168" t="str">
        <f>vlookup(B59,'Crew Data'!C:G,5,0)</f>
        <v>Sirikorn Phuakbangna</v>
      </c>
      <c r="D59" s="121" t="s">
        <v>723</v>
      </c>
      <c r="E59" s="107">
        <v>2.0</v>
      </c>
      <c r="F59" s="122">
        <f t="shared" si="1"/>
        <v>800</v>
      </c>
      <c r="G59" s="28" t="str">
        <f t="array" ref="G59">XLOOKUP(B59,Sheet68!A:A,Sheet68!AB:AB,0)</f>
        <v>sirikornphuakbangna@airasia.com</v>
      </c>
      <c r="H59" s="22">
        <f t="shared" si="2"/>
        <v>1</v>
      </c>
      <c r="I59" s="123" t="s">
        <v>20</v>
      </c>
      <c r="J59" s="111"/>
      <c r="K59" s="31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</row>
    <row r="60">
      <c r="A60" s="107">
        <v>58.0</v>
      </c>
      <c r="B60" s="186">
        <v>1044219.0</v>
      </c>
      <c r="C60" s="168" t="str">
        <f>vlookup(B60,'Crew Data'!C:G,5,0)</f>
        <v>Woranan Duangngarm</v>
      </c>
      <c r="D60" s="121" t="s">
        <v>728</v>
      </c>
      <c r="E60" s="107">
        <v>2.0</v>
      </c>
      <c r="F60" s="122">
        <f t="shared" si="1"/>
        <v>800</v>
      </c>
      <c r="G60" s="28" t="str">
        <f t="array" ref="G60">XLOOKUP(B60,Sheet68!A:A,Sheet68!AB:AB,0)</f>
        <v>woranandua@airasia.com</v>
      </c>
      <c r="H60" s="22">
        <f t="shared" si="2"/>
        <v>1</v>
      </c>
      <c r="I60" s="123" t="s">
        <v>20</v>
      </c>
      <c r="J60" s="111"/>
      <c r="K60" s="31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</row>
    <row r="61">
      <c r="A61" s="107">
        <v>59.0</v>
      </c>
      <c r="B61" s="186">
        <v>1004294.0</v>
      </c>
      <c r="C61" s="168" t="str">
        <f>vlookup(B61,'Crew Data'!C:G,5,0)</f>
        <v>Kawinwat Pringplert</v>
      </c>
      <c r="D61" s="121" t="s">
        <v>733</v>
      </c>
      <c r="E61" s="107">
        <v>4.0</v>
      </c>
      <c r="F61" s="122">
        <f t="shared" si="1"/>
        <v>1600</v>
      </c>
      <c r="G61" s="28" t="str">
        <f t="array" ref="G61">XLOOKUP(B61,Sheet68!A:A,Sheet68!AB:AB,0)</f>
        <v>kawinwatp@airasia.com</v>
      </c>
      <c r="H61" s="22">
        <f t="shared" si="2"/>
        <v>1</v>
      </c>
      <c r="I61" s="123" t="s">
        <v>20</v>
      </c>
      <c r="J61" s="111"/>
      <c r="K61" s="31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</row>
    <row r="62">
      <c r="A62" s="107">
        <v>60.0</v>
      </c>
      <c r="B62" s="186">
        <v>1014687.0</v>
      </c>
      <c r="C62" s="168" t="str">
        <f>vlookup(B62,'Crew Data'!C:G,5,0)</f>
        <v>Witpapon Thaingamsilp</v>
      </c>
      <c r="D62" s="121" t="s">
        <v>732</v>
      </c>
      <c r="E62" s="107">
        <v>2.0</v>
      </c>
      <c r="F62" s="122">
        <f t="shared" si="1"/>
        <v>800</v>
      </c>
      <c r="G62" s="28" t="str">
        <f t="array" ref="G62">XLOOKUP(B62,Sheet68!A:A,Sheet68!AB:AB,0)</f>
        <v>witpapont@airasia.com</v>
      </c>
      <c r="H62" s="22">
        <f t="shared" si="2"/>
        <v>1</v>
      </c>
      <c r="I62" s="123" t="s">
        <v>20</v>
      </c>
      <c r="J62" s="111"/>
      <c r="K62" s="31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</row>
    <row r="63">
      <c r="A63" s="107">
        <v>61.0</v>
      </c>
      <c r="B63" s="138">
        <v>1007146.0</v>
      </c>
      <c r="C63" s="168" t="str">
        <f>vlookup(B63,'Crew Data'!C:G,5,0)</f>
        <v>Nolnapat Nitmanee</v>
      </c>
      <c r="D63" s="121" t="s">
        <v>731</v>
      </c>
      <c r="E63" s="107">
        <v>2.0</v>
      </c>
      <c r="F63" s="122">
        <f t="shared" si="1"/>
        <v>800</v>
      </c>
      <c r="G63" s="28" t="str">
        <f t="array" ref="G63">XLOOKUP(B63,Sheet68!A:A,Sheet68!AB:AB,0)</f>
        <v>nolnapatn@airasia.com</v>
      </c>
      <c r="H63" s="22">
        <f t="shared" si="2"/>
        <v>1</v>
      </c>
      <c r="I63" s="123" t="s">
        <v>20</v>
      </c>
      <c r="J63" s="111"/>
      <c r="K63" s="31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</row>
    <row r="64">
      <c r="A64" s="107">
        <v>62.0</v>
      </c>
      <c r="B64" s="138">
        <v>1025307.0</v>
      </c>
      <c r="C64" s="168" t="str">
        <f>vlookup(B64,'Crew Data'!C:G,5,0)</f>
        <v>Krisada Kerdsuwan</v>
      </c>
      <c r="D64" s="121" t="s">
        <v>734</v>
      </c>
      <c r="E64" s="107">
        <v>6.0</v>
      </c>
      <c r="F64" s="122">
        <f t="shared" si="1"/>
        <v>2400</v>
      </c>
      <c r="G64" s="28" t="str">
        <f t="array" ref="G64">XLOOKUP(B64,Sheet68!A:A,Sheet68!AB:AB,0)</f>
        <v>krisadakerdsuwan@airasia.com</v>
      </c>
      <c r="H64" s="22">
        <f t="shared" si="2"/>
        <v>1</v>
      </c>
      <c r="I64" s="123" t="s">
        <v>20</v>
      </c>
      <c r="J64" s="111"/>
      <c r="K64" s="31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</row>
    <row r="65">
      <c r="A65" s="107">
        <v>63.0</v>
      </c>
      <c r="B65" s="186">
        <v>1039105.0</v>
      </c>
      <c r="C65" s="168" t="str">
        <f>vlookup(B65,'Crew Data'!C:G,5,0)</f>
        <v>Nutarika Muangpho</v>
      </c>
      <c r="D65" s="121" t="s">
        <v>723</v>
      </c>
      <c r="E65" s="107">
        <v>2.0</v>
      </c>
      <c r="F65" s="122">
        <f t="shared" si="1"/>
        <v>800</v>
      </c>
      <c r="G65" s="28" t="str">
        <f t="array" ref="G65">XLOOKUP(B65,Sheet68!A:A,Sheet68!AB:AB,0)</f>
        <v>nutarikamuangpho@airasia.com</v>
      </c>
      <c r="H65" s="22">
        <f t="shared" si="2"/>
        <v>1</v>
      </c>
      <c r="I65" s="123" t="s">
        <v>20</v>
      </c>
      <c r="J65" s="111"/>
      <c r="K65" s="31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</row>
    <row r="66">
      <c r="A66" s="107">
        <v>64.0</v>
      </c>
      <c r="B66" s="138">
        <v>1009434.0</v>
      </c>
      <c r="C66" s="168" t="str">
        <f>vlookup(B66,'Crew Data'!C:G,5,0)</f>
        <v>Wanpiya Kaewyok</v>
      </c>
      <c r="D66" s="121" t="s">
        <v>735</v>
      </c>
      <c r="E66" s="107">
        <v>4.0</v>
      </c>
      <c r="F66" s="122">
        <f t="shared" si="1"/>
        <v>1600</v>
      </c>
      <c r="G66" s="28" t="str">
        <f t="array" ref="G66">XLOOKUP(B66,Sheet68!A:A,Sheet68!AB:AB,0)</f>
        <v>wanpiyak@airasia.com</v>
      </c>
      <c r="H66" s="22">
        <f t="shared" si="2"/>
        <v>1</v>
      </c>
      <c r="I66" s="123" t="s">
        <v>20</v>
      </c>
      <c r="J66" s="111"/>
      <c r="K66" s="31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</row>
    <row r="67">
      <c r="A67" s="107">
        <v>65.0</v>
      </c>
      <c r="B67" s="138">
        <v>1005762.0</v>
      </c>
      <c r="C67" s="168" t="str">
        <f>vlookup(B67,'Crew Data'!C:G,5,0)</f>
        <v>Photchara Srisuk</v>
      </c>
      <c r="D67" s="121" t="s">
        <v>736</v>
      </c>
      <c r="E67" s="107">
        <v>6.0</v>
      </c>
      <c r="F67" s="122">
        <f t="shared" si="1"/>
        <v>2400</v>
      </c>
      <c r="G67" s="28" t="str">
        <f t="array" ref="G67">XLOOKUP(B67,Sheet68!A:A,Sheet68!AB:AB,0)</f>
        <v>photcharas@airasia.com</v>
      </c>
      <c r="H67" s="22">
        <f t="shared" si="2"/>
        <v>1</v>
      </c>
      <c r="I67" s="123" t="s">
        <v>20</v>
      </c>
      <c r="J67" s="111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</row>
    <row r="68">
      <c r="A68" s="107">
        <v>66.0</v>
      </c>
      <c r="B68" s="138">
        <v>1014054.0</v>
      </c>
      <c r="C68" s="168" t="str">
        <f>vlookup(B68,'Crew Data'!C:G,5,0)</f>
        <v>Arnon Pattanaanunsuk</v>
      </c>
      <c r="D68" s="121" t="s">
        <v>707</v>
      </c>
      <c r="E68" s="107">
        <v>2.0</v>
      </c>
      <c r="F68" s="122">
        <f t="shared" si="1"/>
        <v>800</v>
      </c>
      <c r="G68" s="28" t="str">
        <f t="array" ref="G68">XLOOKUP(B68,Sheet68!A:A,Sheet68!AB:AB,0)</f>
        <v>arnonpattanaanunsuk@airasia.com</v>
      </c>
      <c r="H68" s="22">
        <f t="shared" si="2"/>
        <v>1</v>
      </c>
      <c r="I68" s="123" t="s">
        <v>20</v>
      </c>
      <c r="J68" s="111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</row>
    <row r="69">
      <c r="A69" s="107">
        <v>67.0</v>
      </c>
      <c r="B69" s="138">
        <v>1040348.0</v>
      </c>
      <c r="C69" s="168" t="str">
        <f>vlookup(B69,'Crew Data'!C:G,5,0)</f>
        <v>Chitsanucha Sanvanitpattana</v>
      </c>
      <c r="D69" s="121" t="s">
        <v>737</v>
      </c>
      <c r="E69" s="107">
        <v>2.0</v>
      </c>
      <c r="F69" s="122">
        <f t="shared" si="1"/>
        <v>800</v>
      </c>
      <c r="G69" s="28" t="str">
        <f t="array" ref="G69">XLOOKUP(B69,Sheet68!A:A,Sheet68!AB:AB,0)</f>
        <v>chitsanuchasanvanit@airasia.com</v>
      </c>
      <c r="H69" s="22">
        <f t="shared" si="2"/>
        <v>1</v>
      </c>
      <c r="I69" s="123" t="s">
        <v>20</v>
      </c>
      <c r="J69" s="111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</row>
    <row r="70">
      <c r="A70" s="107">
        <v>68.0</v>
      </c>
      <c r="B70" s="138">
        <v>1040342.0</v>
      </c>
      <c r="C70" s="168" t="str">
        <f>vlookup(B70,'Crew Data'!C:G,5,0)</f>
        <v>Areeya Taleb</v>
      </c>
      <c r="D70" s="121" t="s">
        <v>738</v>
      </c>
      <c r="E70" s="107">
        <v>2.0</v>
      </c>
      <c r="F70" s="122">
        <f t="shared" si="1"/>
        <v>800</v>
      </c>
      <c r="G70" s="28" t="str">
        <f t="array" ref="G70">XLOOKUP(B70,Sheet68!A:A,Sheet68!AB:AB,0)</f>
        <v>areeyataleb@airasia.com</v>
      </c>
      <c r="H70" s="22">
        <f t="shared" si="2"/>
        <v>1</v>
      </c>
      <c r="I70" s="123" t="s">
        <v>20</v>
      </c>
      <c r="J70" s="111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</row>
    <row r="71">
      <c r="A71" s="107">
        <v>69.0</v>
      </c>
      <c r="B71" s="138">
        <v>1011319.0</v>
      </c>
      <c r="C71" s="168" t="str">
        <f>vlookup(B71,'Crew Data'!C:G,5,0)</f>
        <v>Sakaow Homtrakul</v>
      </c>
      <c r="D71" s="121" t="s">
        <v>739</v>
      </c>
      <c r="E71" s="107">
        <v>4.0</v>
      </c>
      <c r="F71" s="122">
        <f t="shared" si="1"/>
        <v>1600</v>
      </c>
      <c r="G71" s="28" t="str">
        <f t="array" ref="G71">XLOOKUP(B71,Sheet68!A:A,Sheet68!AB:AB,0)</f>
        <v>sakaowh@airasia.com</v>
      </c>
      <c r="H71" s="22">
        <f t="shared" si="2"/>
        <v>1</v>
      </c>
      <c r="I71" s="123" t="s">
        <v>20</v>
      </c>
      <c r="J71" s="111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</row>
    <row r="72">
      <c r="A72" s="107">
        <v>70.0</v>
      </c>
      <c r="B72" s="138">
        <v>1006858.0</v>
      </c>
      <c r="C72" s="168" t="str">
        <f>vlookup(B72,'Crew Data'!C:G,5,0)</f>
        <v>Wachiraphong Wangphisit</v>
      </c>
      <c r="D72" s="121" t="s">
        <v>740</v>
      </c>
      <c r="E72" s="107">
        <v>2.0</v>
      </c>
      <c r="F72" s="122">
        <f t="shared" si="1"/>
        <v>800</v>
      </c>
      <c r="G72" s="28" t="str">
        <f t="array" ref="G72">XLOOKUP(B72,Sheet68!A:A,Sheet68!AB:AB,0)</f>
        <v>wachiraphongwangphi@airasia.com</v>
      </c>
      <c r="H72" s="22">
        <f t="shared" si="2"/>
        <v>1</v>
      </c>
      <c r="I72" s="123" t="s">
        <v>20</v>
      </c>
      <c r="J72" s="111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</row>
    <row r="73">
      <c r="A73" s="107">
        <v>71.0</v>
      </c>
      <c r="B73" s="138">
        <v>1001582.0</v>
      </c>
      <c r="C73" s="168" t="str">
        <f>vlookup(B73,'Crew Data'!C:G,5,0)</f>
        <v>Waleerat khumsap</v>
      </c>
      <c r="D73" s="121" t="s">
        <v>741</v>
      </c>
      <c r="E73" s="107">
        <v>2.0</v>
      </c>
      <c r="F73" s="122">
        <f t="shared" si="1"/>
        <v>800</v>
      </c>
      <c r="G73" s="28" t="str">
        <f t="array" ref="G73">XLOOKUP(B73,Sheet68!A:A,Sheet68!AB:AB,0)</f>
        <v>waleeratk@airasia.com</v>
      </c>
      <c r="H73" s="22">
        <f t="shared" si="2"/>
        <v>1</v>
      </c>
      <c r="I73" s="123" t="s">
        <v>20</v>
      </c>
      <c r="J73" s="111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</row>
    <row r="74">
      <c r="A74" s="107">
        <v>72.0</v>
      </c>
      <c r="B74" s="186">
        <v>1010805.0</v>
      </c>
      <c r="C74" s="168" t="str">
        <f>vlookup(B74,'Crew Data'!C:G,5,0)</f>
        <v>Tipparada Chiewsamran</v>
      </c>
      <c r="D74" s="121" t="s">
        <v>742</v>
      </c>
      <c r="E74" s="107">
        <v>6.0</v>
      </c>
      <c r="F74" s="122">
        <f t="shared" si="1"/>
        <v>2400</v>
      </c>
      <c r="G74" s="28" t="str">
        <f t="array" ref="G74">XLOOKUP(B74,Sheet68!A:A,Sheet68!AB:AB,0)</f>
        <v>tipparadac@airasia.com</v>
      </c>
      <c r="H74" s="22">
        <f t="shared" si="2"/>
        <v>1</v>
      </c>
      <c r="I74" s="123" t="s">
        <v>20</v>
      </c>
      <c r="J74" s="111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</row>
    <row r="75">
      <c r="A75" s="107">
        <v>73.0</v>
      </c>
      <c r="B75" s="186">
        <v>1013018.0</v>
      </c>
      <c r="C75" s="168" t="str">
        <f>vlookup(B75,'Crew Data'!C:G,5,0)</f>
        <v>Panuwat Warunyaporn</v>
      </c>
      <c r="D75" s="121" t="s">
        <v>717</v>
      </c>
      <c r="E75" s="107">
        <v>2.0</v>
      </c>
      <c r="F75" s="122">
        <f t="shared" si="1"/>
        <v>800</v>
      </c>
      <c r="G75" s="28" t="str">
        <f t="array" ref="G75">XLOOKUP(B75,Sheet68!A:A,Sheet68!AB:AB,0)</f>
        <v>panuwatw@airasia.com</v>
      </c>
      <c r="H75" s="22">
        <f t="shared" si="2"/>
        <v>1</v>
      </c>
      <c r="I75" s="123" t="s">
        <v>20</v>
      </c>
      <c r="J75" s="111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</row>
    <row r="76">
      <c r="A76" s="107">
        <v>74.0</v>
      </c>
      <c r="B76" s="186">
        <v>1022663.0</v>
      </c>
      <c r="C76" s="168" t="str">
        <f>vlookup(B76,'Crew Data'!C:G,5,0)</f>
        <v>Parunya Poonsuk</v>
      </c>
      <c r="D76" s="121" t="s">
        <v>741</v>
      </c>
      <c r="E76" s="107">
        <v>2.0</v>
      </c>
      <c r="F76" s="122">
        <f t="shared" si="1"/>
        <v>800</v>
      </c>
      <c r="G76" s="28" t="str">
        <f t="array" ref="G76">XLOOKUP(B76,Sheet68!A:A,Sheet68!AB:AB,0)</f>
        <v>parunyapoonsuk@airasia.com</v>
      </c>
      <c r="H76" s="22">
        <f t="shared" si="2"/>
        <v>1</v>
      </c>
      <c r="I76" s="180" t="s">
        <v>20</v>
      </c>
      <c r="J76" s="111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</row>
    <row r="77">
      <c r="A77" s="107">
        <v>75.0</v>
      </c>
      <c r="B77" s="188">
        <v>1005440.0</v>
      </c>
      <c r="C77" s="168" t="str">
        <f>vlookup(B77,'Crew Data'!C:G,5,0)</f>
        <v>Parinda Vidhecharoengul</v>
      </c>
      <c r="D77" s="121" t="s">
        <v>743</v>
      </c>
      <c r="E77" s="107">
        <v>2.0</v>
      </c>
      <c r="F77" s="122">
        <f t="shared" si="1"/>
        <v>800</v>
      </c>
      <c r="G77" s="28" t="str">
        <f t="array" ref="G77">XLOOKUP(B77,Sheet68!A:A,Sheet68!AB:AB,0)</f>
        <v>parindav@airasia.com</v>
      </c>
      <c r="H77" s="22">
        <f t="shared" si="2"/>
        <v>1</v>
      </c>
      <c r="I77" s="123" t="s">
        <v>20</v>
      </c>
      <c r="J77" s="111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</row>
    <row r="78">
      <c r="A78" s="107">
        <v>76.0</v>
      </c>
      <c r="B78" s="189">
        <v>1017648.0</v>
      </c>
      <c r="C78" s="168" t="str">
        <f>vlookup(B78,'Crew Data'!C:G,5,0)</f>
        <v>Sangkas Phetchai</v>
      </c>
      <c r="D78" s="121" t="s">
        <v>743</v>
      </c>
      <c r="E78" s="107">
        <v>2.0</v>
      </c>
      <c r="F78" s="122">
        <f t="shared" si="1"/>
        <v>800</v>
      </c>
      <c r="G78" s="28" t="str">
        <f t="array" ref="G78">XLOOKUP(B78,Sheet68!A:A,Sheet68!AB:AB,0)</f>
        <v>sangkasp@airasia.com</v>
      </c>
      <c r="H78" s="22">
        <f t="shared" si="2"/>
        <v>1</v>
      </c>
      <c r="I78" s="123" t="s">
        <v>20</v>
      </c>
      <c r="J78" s="111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</row>
    <row r="79">
      <c r="A79" s="107">
        <v>77.0</v>
      </c>
      <c r="B79" s="188">
        <v>1009510.0</v>
      </c>
      <c r="C79" s="168" t="str">
        <f>vlookup(B79,'Crew Data'!C:G,5,0)</f>
        <v>Kitti Mangkalad</v>
      </c>
      <c r="D79" s="121" t="s">
        <v>743</v>
      </c>
      <c r="E79" s="107">
        <v>2.0</v>
      </c>
      <c r="F79" s="122">
        <f t="shared" si="1"/>
        <v>800</v>
      </c>
      <c r="G79" s="28" t="str">
        <f t="array" ref="G79">XLOOKUP(B79,Sheet68!A:A,Sheet68!AB:AB,0)</f>
        <v>kittin@airasia.com</v>
      </c>
      <c r="H79" s="22">
        <f t="shared" si="2"/>
        <v>1</v>
      </c>
      <c r="I79" s="123" t="s">
        <v>20</v>
      </c>
      <c r="J79" s="111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</row>
    <row r="80">
      <c r="A80" s="107">
        <v>78.0</v>
      </c>
      <c r="B80" s="190">
        <v>1012155.0</v>
      </c>
      <c r="C80" s="168" t="str">
        <f>vlookup(B80,'Crew Data'!C:G,5,0)</f>
        <v>Duangsuree Krairatanalerk</v>
      </c>
      <c r="D80" s="121" t="s">
        <v>708</v>
      </c>
      <c r="E80" s="107">
        <v>2.0</v>
      </c>
      <c r="F80" s="122">
        <f t="shared" si="1"/>
        <v>800</v>
      </c>
      <c r="G80" s="28" t="str">
        <f t="array" ref="G80">XLOOKUP(B80,Sheet68!A:A,Sheet68!AB:AB,0)</f>
        <v>duangsureek@airasia.com</v>
      </c>
      <c r="H80" s="22">
        <f t="shared" si="2"/>
        <v>1</v>
      </c>
      <c r="I80" s="123" t="s">
        <v>20</v>
      </c>
      <c r="J80" s="111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</row>
    <row r="81">
      <c r="A81" s="107">
        <v>79.0</v>
      </c>
      <c r="B81" s="191">
        <v>1010879.0</v>
      </c>
      <c r="C81" s="168" t="str">
        <f>vlookup(B81,'Crew Data'!C:G,5,0)</f>
        <v>Bhasana Chindalat</v>
      </c>
      <c r="D81" s="121" t="s">
        <v>741</v>
      </c>
      <c r="E81" s="107">
        <v>2.0</v>
      </c>
      <c r="F81" s="122">
        <f t="shared" si="1"/>
        <v>800</v>
      </c>
      <c r="G81" s="28" t="str">
        <f t="array" ref="G81">XLOOKUP(B81,Sheet68!A:A,Sheet68!AB:AB,0)</f>
        <v>bhasanac@airasia.com</v>
      </c>
      <c r="H81" s="22">
        <f t="shared" si="2"/>
        <v>1</v>
      </c>
      <c r="I81" s="123" t="s">
        <v>20</v>
      </c>
      <c r="J81" s="111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</row>
    <row r="82">
      <c r="A82" s="107">
        <v>80.0</v>
      </c>
      <c r="B82" s="192">
        <v>1003393.0</v>
      </c>
      <c r="C82" s="168" t="str">
        <f>vlookup(B82,'Crew Data'!C:G,5,0)</f>
        <v>Rhodavalentine Tipayasoceniza</v>
      </c>
      <c r="D82" s="121" t="s">
        <v>719</v>
      </c>
      <c r="E82" s="107">
        <v>2.0</v>
      </c>
      <c r="F82" s="122">
        <f t="shared" si="1"/>
        <v>800</v>
      </c>
      <c r="G82" s="28" t="str">
        <f t="array" ref="G82">XLOOKUP(B82,Sheet68!A:A,Sheet68!AB:AB,0)</f>
        <v>rhodavalentinet@airasia.com</v>
      </c>
      <c r="H82" s="22">
        <f t="shared" si="2"/>
        <v>1</v>
      </c>
      <c r="I82" s="123" t="s">
        <v>20</v>
      </c>
      <c r="J82" s="111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</row>
    <row r="83">
      <c r="A83" s="107">
        <v>81.0</v>
      </c>
      <c r="B83" s="141">
        <v>1011307.0</v>
      </c>
      <c r="C83" s="168" t="str">
        <f>vlookup(B83,'Crew Data'!C:G,5,0)</f>
        <v>Munnanicha Sarakong</v>
      </c>
      <c r="D83" s="121" t="s">
        <v>714</v>
      </c>
      <c r="E83" s="107">
        <v>2.0</v>
      </c>
      <c r="F83" s="122">
        <f t="shared" si="1"/>
        <v>800</v>
      </c>
      <c r="G83" s="28" t="str">
        <f t="array" ref="G83">XLOOKUP(B83,Sheet68!A:A,Sheet68!AB:AB,0)</f>
        <v>munnanichas@airasia.com</v>
      </c>
      <c r="H83" s="22">
        <f t="shared" si="2"/>
        <v>1</v>
      </c>
      <c r="I83" s="123" t="s">
        <v>20</v>
      </c>
      <c r="J83" s="111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</row>
    <row r="84">
      <c r="A84" s="107">
        <v>82.0</v>
      </c>
      <c r="B84" s="193">
        <v>1003384.0</v>
      </c>
      <c r="C84" s="168" t="str">
        <f>vlookup(B84,'Crew Data'!C:G,5,0)</f>
        <v>Chatchaya Bhoocharyarth</v>
      </c>
      <c r="D84" s="121" t="s">
        <v>737</v>
      </c>
      <c r="E84" s="107">
        <v>2.0</v>
      </c>
      <c r="F84" s="122">
        <f t="shared" si="1"/>
        <v>800</v>
      </c>
      <c r="G84" s="28" t="str">
        <f t="array" ref="G84">XLOOKUP(B84,Sheet68!A:A,Sheet68!AB:AB,0)</f>
        <v>chatchayab@airasia.com</v>
      </c>
      <c r="H84" s="22">
        <f t="shared" si="2"/>
        <v>1</v>
      </c>
      <c r="I84" s="123" t="s">
        <v>20</v>
      </c>
      <c r="J84" s="111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</row>
    <row r="85">
      <c r="A85" s="107">
        <v>83.0</v>
      </c>
      <c r="B85" s="141">
        <v>1017653.0</v>
      </c>
      <c r="C85" s="168" t="str">
        <f>vlookup(B85,'Crew Data'!C:G,5,0)</f>
        <v>Wachiraphon Lakbun</v>
      </c>
      <c r="D85" s="121" t="s">
        <v>744</v>
      </c>
      <c r="E85" s="107">
        <v>9.0</v>
      </c>
      <c r="F85" s="122">
        <f t="shared" si="1"/>
        <v>3600</v>
      </c>
      <c r="G85" s="28" t="str">
        <f t="array" ref="G85">XLOOKUP(B85,Sheet68!A:A,Sheet68!AB:AB,0)</f>
        <v>wachiraphonl@airasia.com</v>
      </c>
      <c r="H85" s="22">
        <f t="shared" si="2"/>
        <v>1</v>
      </c>
      <c r="I85" s="123" t="s">
        <v>20</v>
      </c>
      <c r="J85" s="111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</row>
    <row r="86">
      <c r="A86" s="107">
        <v>84.0</v>
      </c>
      <c r="B86" s="189">
        <v>1006753.0</v>
      </c>
      <c r="C86" s="168" t="str">
        <f>vlookup(B86,'Crew Data'!C:G,5,0)</f>
        <v>Thiptida Keereemasthong</v>
      </c>
      <c r="D86" s="121" t="s">
        <v>745</v>
      </c>
      <c r="E86" s="107">
        <v>2.0</v>
      </c>
      <c r="F86" s="122">
        <f t="shared" si="1"/>
        <v>800</v>
      </c>
      <c r="G86" s="28" t="str">
        <f t="array" ref="G86">XLOOKUP(B86,Sheet68!A:A,Sheet68!AB:AB,0)</f>
        <v>thiptidak@airasia.com</v>
      </c>
      <c r="H86" s="22">
        <f t="shared" si="2"/>
        <v>1</v>
      </c>
      <c r="I86" s="123" t="s">
        <v>20</v>
      </c>
      <c r="J86" s="111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</row>
    <row r="87">
      <c r="A87" s="107">
        <v>85.0</v>
      </c>
      <c r="B87" s="188">
        <v>1011820.0</v>
      </c>
      <c r="C87" s="168" t="str">
        <f>vlookup(B87,'Crew Data'!C:G,5,0)</f>
        <v>Nitithorn Chiangpradit</v>
      </c>
      <c r="D87" s="121" t="s">
        <v>745</v>
      </c>
      <c r="E87" s="107">
        <v>2.0</v>
      </c>
      <c r="F87" s="122">
        <f t="shared" si="1"/>
        <v>800</v>
      </c>
      <c r="G87" s="28" t="str">
        <f t="array" ref="G87">XLOOKUP(B87,Sheet68!A:A,Sheet68!AB:AB,0)</f>
        <v>nitithornc@airasia.com</v>
      </c>
      <c r="H87" s="22">
        <f t="shared" si="2"/>
        <v>1</v>
      </c>
      <c r="I87" s="123" t="s">
        <v>20</v>
      </c>
      <c r="J87" s="111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</row>
    <row r="88">
      <c r="A88" s="107">
        <v>86.0</v>
      </c>
      <c r="B88" s="189">
        <v>1003418.0</v>
      </c>
      <c r="C88" s="168" t="str">
        <f>vlookup(B88,'Crew Data'!C:G,5,0)</f>
        <v>Chiravitch Kittiphongsathaporn</v>
      </c>
      <c r="D88" s="121" t="s">
        <v>745</v>
      </c>
      <c r="E88" s="107">
        <v>2.0</v>
      </c>
      <c r="F88" s="122">
        <f t="shared" si="1"/>
        <v>800</v>
      </c>
      <c r="G88" s="28" t="str">
        <f t="array" ref="G88">XLOOKUP(B88,Sheet68!A:A,Sheet68!AB:AB,0)</f>
        <v>chiravitchk@airasia.com</v>
      </c>
      <c r="H88" s="22">
        <f t="shared" si="2"/>
        <v>1</v>
      </c>
      <c r="I88" s="123" t="s">
        <v>20</v>
      </c>
      <c r="J88" s="111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</row>
    <row r="89">
      <c r="A89" s="107">
        <v>87.0</v>
      </c>
      <c r="B89" s="191">
        <v>1026187.0</v>
      </c>
      <c r="C89" s="168" t="str">
        <f>vlookup(B89,'Crew Data'!C:G,5,0)</f>
        <v>Nutnicha Pitsuwan</v>
      </c>
      <c r="D89" s="121" t="s">
        <v>746</v>
      </c>
      <c r="E89" s="107">
        <v>6.0</v>
      </c>
      <c r="F89" s="122">
        <f t="shared" si="1"/>
        <v>2400</v>
      </c>
      <c r="G89" s="28" t="str">
        <f t="array" ref="G89">XLOOKUP(B89,Sheet68!A:A,Sheet68!AB:AB,0)</f>
        <v>nutnichapitsuwan@airasia.com</v>
      </c>
      <c r="H89" s="22">
        <f t="shared" si="2"/>
        <v>1</v>
      </c>
      <c r="I89" s="123" t="s">
        <v>20</v>
      </c>
      <c r="J89" s="111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</row>
    <row r="90">
      <c r="A90" s="107">
        <v>88.0</v>
      </c>
      <c r="B90" s="189">
        <v>1007009.0</v>
      </c>
      <c r="C90" s="168" t="str">
        <f>vlookup(B90,'Crew Data'!C:G,5,0)</f>
        <v>Busayarat Pongratanakul</v>
      </c>
      <c r="D90" s="121" t="s">
        <v>745</v>
      </c>
      <c r="E90" s="107">
        <v>2.0</v>
      </c>
      <c r="F90" s="122">
        <f t="shared" si="1"/>
        <v>800</v>
      </c>
      <c r="G90" s="28" t="str">
        <f t="array" ref="G90">XLOOKUP(B90,Sheet68!A:A,Sheet68!AB:AB,0)</f>
        <v>busayaratp@airasia.com</v>
      </c>
      <c r="H90" s="22">
        <f t="shared" si="2"/>
        <v>1</v>
      </c>
      <c r="I90" s="123" t="s">
        <v>20</v>
      </c>
      <c r="J90" s="111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</row>
    <row r="91">
      <c r="A91" s="107">
        <v>89.0</v>
      </c>
      <c r="B91" s="188">
        <v>1043868.0</v>
      </c>
      <c r="C91" s="168" t="str">
        <f>vlookup(B91,'Crew Data'!C:G,5,0)</f>
        <v>Sutida Srisuwantada</v>
      </c>
      <c r="D91" s="121" t="s">
        <v>738</v>
      </c>
      <c r="E91" s="107">
        <v>2.0</v>
      </c>
      <c r="F91" s="122">
        <f t="shared" si="1"/>
        <v>800</v>
      </c>
      <c r="G91" s="28" t="str">
        <f t="array" ref="G91">XLOOKUP(B91,Sheet68!A:A,Sheet68!AB:AB,0)</f>
        <v>sutidasri@airasia.com</v>
      </c>
      <c r="H91" s="22">
        <f t="shared" si="2"/>
        <v>1</v>
      </c>
      <c r="I91" s="123" t="s">
        <v>20</v>
      </c>
      <c r="J91" s="111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</row>
    <row r="92">
      <c r="A92" s="107">
        <v>90.0</v>
      </c>
      <c r="B92" s="190">
        <v>1005051.0</v>
      </c>
      <c r="C92" s="168" t="str">
        <f>vlookup(B92,'Crew Data'!C:G,5,0)</f>
        <v>Upatcha Chaikaew</v>
      </c>
      <c r="D92" s="121" t="s">
        <v>729</v>
      </c>
      <c r="E92" s="107">
        <v>2.0</v>
      </c>
      <c r="F92" s="122">
        <f t="shared" si="1"/>
        <v>800</v>
      </c>
      <c r="G92" s="28" t="str">
        <f t="array" ref="G92">XLOOKUP(B92,Sheet68!A:A,Sheet68!AB:AB,0)</f>
        <v>upatchac@airasia.com</v>
      </c>
      <c r="H92" s="22">
        <f t="shared" si="2"/>
        <v>1</v>
      </c>
      <c r="I92" s="123" t="s">
        <v>20</v>
      </c>
      <c r="J92" s="111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</row>
    <row r="93">
      <c r="A93" s="107">
        <v>91.0</v>
      </c>
      <c r="B93" s="188">
        <v>1040874.0</v>
      </c>
      <c r="C93" s="168" t="str">
        <f>vlookup(B93,'Crew Data'!C:G,5,0)</f>
        <v>Pairwa Suwan</v>
      </c>
      <c r="D93" s="121" t="s">
        <v>740</v>
      </c>
      <c r="E93" s="107">
        <v>2.0</v>
      </c>
      <c r="F93" s="122">
        <f t="shared" si="1"/>
        <v>800</v>
      </c>
      <c r="G93" s="28" t="str">
        <f t="array" ref="G93">XLOOKUP(B93,Sheet68!A:A,Sheet68!AB:AB,0)</f>
        <v>pairwasuwan@airasia.com</v>
      </c>
      <c r="H93" s="22">
        <f t="shared" si="2"/>
        <v>1</v>
      </c>
      <c r="I93" s="123" t="s">
        <v>20</v>
      </c>
      <c r="J93" s="111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</row>
    <row r="94">
      <c r="A94" s="107">
        <v>92.0</v>
      </c>
      <c r="B94" s="189">
        <v>1025574.0</v>
      </c>
      <c r="C94" s="168" t="str">
        <f>vlookup(B94,'Crew Data'!C:G,5,0)</f>
        <v>Ravinnipa Hamid</v>
      </c>
      <c r="D94" s="121" t="s">
        <v>728</v>
      </c>
      <c r="E94" s="107">
        <v>2.0</v>
      </c>
      <c r="F94" s="122">
        <f t="shared" si="1"/>
        <v>800</v>
      </c>
      <c r="G94" s="28" t="str">
        <f t="array" ref="G94">XLOOKUP(B94,Sheet68!A:A,Sheet68!AB:AB,0)</f>
        <v>ravinnipahamid@airasia.com</v>
      </c>
      <c r="H94" s="22">
        <f t="shared" si="2"/>
        <v>1</v>
      </c>
      <c r="I94" s="123" t="s">
        <v>20</v>
      </c>
      <c r="J94" s="111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</row>
    <row r="95" ht="16.5" customHeight="1">
      <c r="A95" s="107">
        <v>93.0</v>
      </c>
      <c r="B95" s="191">
        <v>1004298.0</v>
      </c>
      <c r="C95" s="168" t="str">
        <f>vlookup(B95,'Crew Data'!C:G,5,0)</f>
        <v>Teerapat Kasemphongsakorn</v>
      </c>
      <c r="D95" s="121" t="s">
        <v>740</v>
      </c>
      <c r="E95" s="107">
        <v>2.0</v>
      </c>
      <c r="F95" s="122">
        <f t="shared" si="1"/>
        <v>800</v>
      </c>
      <c r="G95" s="28" t="str">
        <f t="array" ref="G95">XLOOKUP(B95,Sheet68!A:A,Sheet68!AB:AB,0)</f>
        <v>teerapatk@airasia.com</v>
      </c>
      <c r="H95" s="22">
        <f t="shared" si="2"/>
        <v>1</v>
      </c>
      <c r="I95" s="123" t="s">
        <v>20</v>
      </c>
      <c r="J95" s="111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</row>
    <row r="96" ht="17.25" customHeight="1">
      <c r="A96" s="107">
        <v>94.0</v>
      </c>
      <c r="B96" s="189">
        <v>1012166.0</v>
      </c>
      <c r="C96" s="168" t="str">
        <f>vlookup(B96,'Crew Data'!C:G,5,0)</f>
        <v>Monthira Modesanga</v>
      </c>
      <c r="D96" s="121" t="s">
        <v>708</v>
      </c>
      <c r="E96" s="107">
        <v>2.0</v>
      </c>
      <c r="F96" s="122">
        <f t="shared" si="1"/>
        <v>800</v>
      </c>
      <c r="G96" s="28" t="str">
        <f t="array" ref="G96">XLOOKUP(B96,Sheet68!A:A,Sheet68!AB:AB,0)</f>
        <v>monthiram@airasia.com</v>
      </c>
      <c r="H96" s="22">
        <f t="shared" si="2"/>
        <v>1</v>
      </c>
      <c r="I96" s="123" t="s">
        <v>20</v>
      </c>
      <c r="J96" s="111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</row>
    <row r="97" ht="16.5" customHeight="1">
      <c r="A97" s="107">
        <v>95.0</v>
      </c>
      <c r="B97" s="188">
        <v>1026213.0</v>
      </c>
      <c r="C97" s="168" t="str">
        <f>vlookup(B97,'Crew Data'!C:G,5,0)</f>
        <v>Yossapon Pankham</v>
      </c>
      <c r="D97" s="121" t="s">
        <v>747</v>
      </c>
      <c r="E97" s="107">
        <v>2.0</v>
      </c>
      <c r="F97" s="122">
        <f t="shared" si="1"/>
        <v>800</v>
      </c>
      <c r="G97" s="28" t="str">
        <f t="array" ref="G97">XLOOKUP(B97,Sheet68!A:A,Sheet68!AB:AB,0)</f>
        <v>yossaponpankham@airasia.com</v>
      </c>
      <c r="H97" s="22">
        <f t="shared" si="2"/>
        <v>1</v>
      </c>
      <c r="I97" s="123" t="s">
        <v>20</v>
      </c>
      <c r="J97" s="111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</row>
    <row r="98" ht="16.5" customHeight="1">
      <c r="A98" s="107">
        <v>96.0</v>
      </c>
      <c r="B98" s="192">
        <v>1018532.0</v>
      </c>
      <c r="C98" s="168" t="str">
        <f>vlookup(B98,'Crew Data'!C:G,5,0)</f>
        <v>Kantachet Boonserm</v>
      </c>
      <c r="D98" s="121" t="s">
        <v>748</v>
      </c>
      <c r="E98" s="107">
        <v>7.0</v>
      </c>
      <c r="F98" s="122">
        <f t="shared" si="1"/>
        <v>2800</v>
      </c>
      <c r="G98" s="28" t="str">
        <f t="array" ref="G98">XLOOKUP(B98,Sheet68!A:A,Sheet68!AB:AB,0)</f>
        <v>kantachetb@airasia.com</v>
      </c>
      <c r="H98" s="22">
        <f t="shared" si="2"/>
        <v>1</v>
      </c>
      <c r="I98" s="123" t="s">
        <v>20</v>
      </c>
      <c r="J98" s="111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</row>
    <row r="99" ht="16.5" customHeight="1">
      <c r="A99" s="107">
        <v>97.0</v>
      </c>
      <c r="B99" s="141">
        <v>1008227.0</v>
      </c>
      <c r="C99" s="168" t="str">
        <f>vlookup(B99,'Crew Data'!C:G,5,0)</f>
        <v>Preeyakorn Rojanadumrong</v>
      </c>
      <c r="D99" s="121" t="s">
        <v>729</v>
      </c>
      <c r="E99" s="107">
        <v>2.0</v>
      </c>
      <c r="F99" s="122">
        <f t="shared" si="1"/>
        <v>800</v>
      </c>
      <c r="G99" s="28" t="str">
        <f t="array" ref="G99">XLOOKUP(B99,Sheet68!A:A,Sheet68!AB:AB,0)</f>
        <v>preeyakornr@airasia.com</v>
      </c>
      <c r="H99" s="22">
        <f t="shared" si="2"/>
        <v>1</v>
      </c>
      <c r="I99" s="123" t="s">
        <v>20</v>
      </c>
      <c r="J99" s="111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</row>
    <row r="100" ht="16.5" customHeight="1">
      <c r="A100" s="107">
        <v>98.0</v>
      </c>
      <c r="B100" s="193">
        <v>1040520.0</v>
      </c>
      <c r="C100" s="168" t="str">
        <f>vlookup(B100,'Crew Data'!C:G,5,0)</f>
        <v>Thitapron Rattanavichien</v>
      </c>
      <c r="D100" s="121" t="s">
        <v>741</v>
      </c>
      <c r="E100" s="107">
        <v>2.0</v>
      </c>
      <c r="F100" s="122">
        <f t="shared" si="1"/>
        <v>800</v>
      </c>
      <c r="G100" s="28" t="str">
        <f t="array" ref="G100">XLOOKUP(B100,Sheet68!A:A,Sheet68!AB:AB,0)</f>
        <v>thitapronrattanavic@airasia.com</v>
      </c>
      <c r="H100" s="22">
        <f t="shared" si="2"/>
        <v>1</v>
      </c>
      <c r="I100" s="123" t="s">
        <v>20</v>
      </c>
      <c r="J100" s="111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</row>
    <row r="101" ht="16.5" customHeight="1">
      <c r="A101" s="107">
        <v>99.0</v>
      </c>
      <c r="B101" s="141">
        <v>1011314.0</v>
      </c>
      <c r="C101" s="168" t="str">
        <f>vlookup(B101,'Crew Data'!C:G,5,0)</f>
        <v>Pichayapich Nimphya</v>
      </c>
      <c r="D101" s="121" t="s">
        <v>747</v>
      </c>
      <c r="E101" s="107">
        <v>2.0</v>
      </c>
      <c r="F101" s="122">
        <f t="shared" si="1"/>
        <v>800</v>
      </c>
      <c r="G101" s="179" t="s">
        <v>749</v>
      </c>
      <c r="H101" s="22">
        <f t="shared" si="2"/>
        <v>1</v>
      </c>
      <c r="I101" s="123" t="s">
        <v>20</v>
      </c>
      <c r="J101" s="111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</row>
    <row r="102" ht="16.5" customHeight="1">
      <c r="A102" s="107">
        <v>100.0</v>
      </c>
      <c r="B102" s="193">
        <v>1043872.0</v>
      </c>
      <c r="C102" s="168" t="str">
        <f>vlookup(B102,'Crew Data'!C:G,5,0)</f>
        <v>Phatreeya Chanurai</v>
      </c>
      <c r="D102" s="121" t="s">
        <v>750</v>
      </c>
      <c r="E102" s="107">
        <v>2.0</v>
      </c>
      <c r="F102" s="122">
        <f t="shared" si="1"/>
        <v>800</v>
      </c>
      <c r="G102" s="28" t="str">
        <f t="array" ref="G102">XLOOKUP(B102,Sheet68!A:A,Sheet68!AB:AB,0)</f>
        <v>phatreeyacha@airasia.com</v>
      </c>
      <c r="H102" s="22">
        <f t="shared" si="2"/>
        <v>1</v>
      </c>
      <c r="I102" s="123" t="s">
        <v>20</v>
      </c>
      <c r="J102" s="111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</row>
    <row r="103" ht="16.5" customHeight="1">
      <c r="A103" s="107">
        <v>101.0</v>
      </c>
      <c r="B103" s="141">
        <v>1007281.0</v>
      </c>
      <c r="C103" s="168" t="str">
        <f>vlookup(B103,'Crew Data'!C:G,5,0)</f>
        <v>Warodom Wongswasdi</v>
      </c>
      <c r="D103" s="121" t="s">
        <v>710</v>
      </c>
      <c r="E103" s="107">
        <v>2.0</v>
      </c>
      <c r="F103" s="122">
        <f t="shared" si="1"/>
        <v>800</v>
      </c>
      <c r="G103" s="28" t="str">
        <f t="array" ref="G103">XLOOKUP(B103,Sheet68!A:A,Sheet68!AB:AB,0)</f>
        <v>warodomw@airasia.com</v>
      </c>
      <c r="H103" s="22">
        <f t="shared" si="2"/>
        <v>1</v>
      </c>
      <c r="I103" s="123" t="s">
        <v>20</v>
      </c>
      <c r="J103" s="111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</row>
  </sheetData>
  <autoFilter ref="$A$2:$AA$103"/>
  <mergeCells count="1">
    <mergeCell ref="A1:G1"/>
  </mergeCells>
  <dataValidations>
    <dataValidation type="list" allowBlank="1" sqref="I3:I103">
      <formula1>"CHECKED (OK),CHECKED  (NOT OK)"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88"/>
    <col customWidth="1" min="2" max="2" width="9.63"/>
    <col customWidth="1" min="3" max="3" width="24.75"/>
    <col customWidth="1" min="4" max="4" width="33.0"/>
    <col customWidth="1" min="5" max="5" width="7.63"/>
    <col customWidth="1" min="6" max="6" width="16.13"/>
    <col customWidth="1" min="7" max="7" width="28.63"/>
    <col customWidth="1" min="8" max="8" width="7.13"/>
    <col customWidth="1" min="9" max="9" width="14.75"/>
    <col customWidth="1" min="10" max="10" width="49.0"/>
  </cols>
  <sheetData>
    <row r="1">
      <c r="A1" s="182" t="s">
        <v>751</v>
      </c>
      <c r="H1" s="111"/>
      <c r="I1" s="166"/>
      <c r="J1" s="112" t="s">
        <v>752</v>
      </c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>
      <c r="A2" s="106" t="s">
        <v>1</v>
      </c>
      <c r="B2" s="137" t="s">
        <v>11</v>
      </c>
      <c r="C2" s="106" t="s">
        <v>12</v>
      </c>
      <c r="D2" s="114" t="s">
        <v>13</v>
      </c>
      <c r="E2" s="115" t="s">
        <v>15</v>
      </c>
      <c r="F2" s="183" t="s">
        <v>5</v>
      </c>
      <c r="G2" s="106" t="s">
        <v>646</v>
      </c>
      <c r="H2" s="116"/>
      <c r="I2" s="118" t="s">
        <v>6</v>
      </c>
      <c r="J2" s="119" t="s">
        <v>7</v>
      </c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>
      <c r="A3" s="107">
        <v>1.0</v>
      </c>
      <c r="B3" s="138">
        <v>1018974.0</v>
      </c>
      <c r="C3" s="168" t="str">
        <f>vlookup(B3,'Crew Data'!C:G,5,0)</f>
        <v>Nakharin Preediyanon</v>
      </c>
      <c r="D3" s="121" t="s">
        <v>664</v>
      </c>
      <c r="E3" s="107">
        <v>2.0</v>
      </c>
      <c r="F3" s="122">
        <f t="shared" ref="F3:F96" si="1">E3*400</f>
        <v>800</v>
      </c>
      <c r="G3" t="str">
        <f t="array" ref="G3">XLOOKUP(B3,Sheet68!A:A,Sheet68!AB:AB,0)</f>
        <v>nakharinp@airasia.com</v>
      </c>
      <c r="H3" s="22">
        <f t="shared" ref="H3:H96" si="2">COUNTIF(B:B,B3)</f>
        <v>1</v>
      </c>
      <c r="I3" s="123" t="s">
        <v>20</v>
      </c>
      <c r="J3" s="123" t="s">
        <v>753</v>
      </c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>
      <c r="A4" s="107">
        <v>2.0</v>
      </c>
      <c r="B4" s="138">
        <v>1007147.0</v>
      </c>
      <c r="C4" s="168" t="str">
        <f>vlookup(B4,'Crew Data'!C:G,5,0)</f>
        <v>Nongnaphat Ongetphon</v>
      </c>
      <c r="D4" s="121" t="s">
        <v>754</v>
      </c>
      <c r="E4" s="107">
        <v>2.0</v>
      </c>
      <c r="F4" s="122">
        <f t="shared" si="1"/>
        <v>800</v>
      </c>
      <c r="G4" t="str">
        <f t="array" ref="G4">XLOOKUP(B4,Sheet68!A:A,Sheet68!AB:AB,0)</f>
        <v>nongnaphato@airasia.com</v>
      </c>
      <c r="H4" s="22">
        <f t="shared" si="2"/>
        <v>1</v>
      </c>
      <c r="I4" s="123" t="s">
        <v>20</v>
      </c>
      <c r="J4" s="123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</row>
    <row r="5">
      <c r="A5" s="107">
        <v>3.0</v>
      </c>
      <c r="B5" s="138">
        <v>1025307.0</v>
      </c>
      <c r="C5" s="168" t="str">
        <f>vlookup(B5,'Crew Data'!C:G,5,0)</f>
        <v>Krisada Kerdsuwan</v>
      </c>
      <c r="D5" s="121" t="s">
        <v>755</v>
      </c>
      <c r="E5" s="107">
        <v>7.0</v>
      </c>
      <c r="F5" s="122">
        <f t="shared" si="1"/>
        <v>2800</v>
      </c>
      <c r="G5" t="str">
        <f t="array" ref="G5">XLOOKUP(B5,Sheet68!A:A,Sheet68!AB:AB,0)</f>
        <v>krisadakerdsuwan@airasia.com</v>
      </c>
      <c r="H5" s="22">
        <f t="shared" si="2"/>
        <v>1</v>
      </c>
      <c r="I5" s="123" t="s">
        <v>20</v>
      </c>
      <c r="J5" s="123" t="s">
        <v>753</v>
      </c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>
      <c r="A6" s="107">
        <v>4.0</v>
      </c>
      <c r="B6" s="138">
        <v>1007181.0</v>
      </c>
      <c r="C6" s="168" t="str">
        <f>vlookup(B6,'Crew Data'!C:G,5,0)</f>
        <v>Warisara Sutta</v>
      </c>
      <c r="D6" s="121" t="s">
        <v>756</v>
      </c>
      <c r="E6" s="107">
        <v>7.0</v>
      </c>
      <c r="F6" s="122">
        <f t="shared" si="1"/>
        <v>2800</v>
      </c>
      <c r="G6" t="str">
        <f t="array" ref="G6">XLOOKUP(B6,Sheet68!A:A,Sheet68!AB:AB,0)</f>
        <v>warisaras@airasia.com</v>
      </c>
      <c r="H6" s="22">
        <f t="shared" si="2"/>
        <v>1</v>
      </c>
      <c r="I6" s="123" t="s">
        <v>20</v>
      </c>
      <c r="J6" s="123" t="s">
        <v>753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>
      <c r="A7" s="107">
        <v>5.0</v>
      </c>
      <c r="B7" s="138">
        <v>1002984.0</v>
      </c>
      <c r="C7" s="168" t="str">
        <f>vlookup(B7,'Crew Data'!C:G,5,0)</f>
        <v>Praepailin Luckanatin</v>
      </c>
      <c r="D7" s="121" t="s">
        <v>662</v>
      </c>
      <c r="E7" s="107">
        <v>2.0</v>
      </c>
      <c r="F7" s="122">
        <f t="shared" si="1"/>
        <v>800</v>
      </c>
      <c r="G7" t="str">
        <f t="array" ref="G7">XLOOKUP(B7,Sheet68!A:A,Sheet68!AB:AB,0)</f>
        <v>praepailinl@airasia.com</v>
      </c>
      <c r="H7" s="22">
        <f t="shared" si="2"/>
        <v>1</v>
      </c>
      <c r="I7" s="123" t="s">
        <v>20</v>
      </c>
      <c r="J7" s="123" t="s">
        <v>753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>
      <c r="A8" s="107">
        <v>6.0</v>
      </c>
      <c r="B8" s="138">
        <v>1007034.0</v>
      </c>
      <c r="C8" s="168" t="str">
        <f>vlookup(B8,'Crew Data'!C:G,5,0)</f>
        <v>Raveekankate Sukasemthongdi</v>
      </c>
      <c r="D8" s="121" t="s">
        <v>757</v>
      </c>
      <c r="E8" s="107">
        <v>2.0</v>
      </c>
      <c r="F8" s="122">
        <f t="shared" si="1"/>
        <v>800</v>
      </c>
      <c r="G8" t="str">
        <f t="array" ref="G8">XLOOKUP(B8,Sheet68!A:A,Sheet68!AB:AB,0)</f>
        <v>raveekankates@airasia.com</v>
      </c>
      <c r="H8" s="22">
        <f t="shared" si="2"/>
        <v>1</v>
      </c>
      <c r="I8" s="123" t="s">
        <v>20</v>
      </c>
      <c r="J8" s="123" t="s">
        <v>753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>
      <c r="A9" s="107">
        <v>7.0</v>
      </c>
      <c r="B9" s="138">
        <v>1044224.0</v>
      </c>
      <c r="C9" s="168" t="str">
        <f>vlookup(B9,'Crew Data'!C:G,5,0)</f>
        <v>Praew Tubtimtong</v>
      </c>
      <c r="D9" s="176">
        <v>45938.0</v>
      </c>
      <c r="E9" s="107">
        <v>1.0</v>
      </c>
      <c r="F9" s="122">
        <f t="shared" si="1"/>
        <v>400</v>
      </c>
      <c r="G9" t="str">
        <f t="array" ref="G9">XLOOKUP(B9,Sheet68!A:A,Sheet68!AB:AB,0)</f>
        <v>praewtub@airasia.com</v>
      </c>
      <c r="H9" s="22">
        <f t="shared" si="2"/>
        <v>1</v>
      </c>
      <c r="I9" s="123" t="s">
        <v>20</v>
      </c>
      <c r="J9" s="123" t="s">
        <v>753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>
      <c r="A10" s="107">
        <v>8.0</v>
      </c>
      <c r="B10" s="138">
        <v>1007410.0</v>
      </c>
      <c r="C10" s="168" t="str">
        <f>vlookup(B10,'Crew Data'!C:G,5,0)</f>
        <v>Hathairat Turongtanakul</v>
      </c>
      <c r="D10" s="121" t="s">
        <v>758</v>
      </c>
      <c r="E10" s="107">
        <v>2.0</v>
      </c>
      <c r="F10" s="122">
        <f t="shared" si="1"/>
        <v>800</v>
      </c>
      <c r="G10" t="str">
        <f t="array" ref="G10">XLOOKUP(B10,Sheet68!A:A,Sheet68!AB:AB,0)</f>
        <v>hathairatt@airasia.com</v>
      </c>
      <c r="H10" s="22">
        <f t="shared" si="2"/>
        <v>1</v>
      </c>
      <c r="I10" s="123" t="s">
        <v>20</v>
      </c>
      <c r="J10" s="123" t="s">
        <v>753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>
      <c r="A11" s="107">
        <v>9.0</v>
      </c>
      <c r="B11" s="138">
        <v>1018531.0</v>
      </c>
      <c r="C11" s="168" t="str">
        <f>vlookup(B11,'Crew Data'!C:G,5,0)</f>
        <v>Chawit Donsawee</v>
      </c>
      <c r="D11" s="121" t="s">
        <v>683</v>
      </c>
      <c r="E11" s="107">
        <v>2.0</v>
      </c>
      <c r="F11" s="122">
        <f t="shared" si="1"/>
        <v>800</v>
      </c>
      <c r="G11" t="str">
        <f t="array" ref="G11">XLOOKUP(B11,Sheet68!A:A,Sheet68!AB:AB,0)</f>
        <v>chawitdonsawee@airasia.com</v>
      </c>
      <c r="H11" s="22">
        <f t="shared" si="2"/>
        <v>1</v>
      </c>
      <c r="I11" s="123" t="s">
        <v>20</v>
      </c>
      <c r="J11" s="123" t="s">
        <v>753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>
      <c r="A12" s="107">
        <v>10.0</v>
      </c>
      <c r="B12" s="138">
        <v>1025204.0</v>
      </c>
      <c r="C12" s="168" t="str">
        <f>vlookup(B12,'Crew Data'!C:G,5,0)</f>
        <v>Pavich Saprungroj</v>
      </c>
      <c r="D12" s="121" t="s">
        <v>759</v>
      </c>
      <c r="E12" s="107">
        <v>6.0</v>
      </c>
      <c r="F12" s="122">
        <f t="shared" si="1"/>
        <v>2400</v>
      </c>
      <c r="G12" t="str">
        <f t="array" ref="G12">XLOOKUP(B12,Sheet68!A:A,Sheet68!AB:AB,0)</f>
        <v>pavichsaprungroj@airasia.com</v>
      </c>
      <c r="H12" s="22">
        <f t="shared" si="2"/>
        <v>1</v>
      </c>
      <c r="I12" s="123" t="s">
        <v>20</v>
      </c>
      <c r="J12" s="123" t="s">
        <v>753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>
      <c r="A13" s="107">
        <v>11.0</v>
      </c>
      <c r="B13" s="141">
        <v>1014666.0</v>
      </c>
      <c r="C13" s="168" t="str">
        <f>vlookup(B13,'Crew Data'!C:G,5,0)</f>
        <v>Kanatsanan Wichitthararak</v>
      </c>
      <c r="D13" s="121" t="s">
        <v>680</v>
      </c>
      <c r="E13" s="107">
        <v>2.0</v>
      </c>
      <c r="F13" s="122">
        <f t="shared" si="1"/>
        <v>800</v>
      </c>
      <c r="G13" t="str">
        <f t="array" ref="G13">XLOOKUP(B13,Sheet68!A:A,Sheet68!AB:AB,0)</f>
        <v>kanatsananw@airasia.com</v>
      </c>
      <c r="H13" s="22">
        <f t="shared" si="2"/>
        <v>1</v>
      </c>
      <c r="I13" s="123" t="s">
        <v>20</v>
      </c>
      <c r="J13" s="123" t="s">
        <v>753</v>
      </c>
      <c r="K13" s="31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>
      <c r="A14" s="107">
        <v>12.0</v>
      </c>
      <c r="B14" s="138">
        <v>1010850.0</v>
      </c>
      <c r="C14" s="168" t="str">
        <f>vlookup(B14,'Crew Data'!C:G,5,0)</f>
        <v>Tanaporn Musikapun</v>
      </c>
      <c r="D14" s="121" t="s">
        <v>760</v>
      </c>
      <c r="E14" s="107">
        <v>2.0</v>
      </c>
      <c r="F14" s="122">
        <f t="shared" si="1"/>
        <v>800</v>
      </c>
      <c r="G14" t="str">
        <f t="array" ref="G14">XLOOKUP(B14,Sheet68!A:A,Sheet68!AB:AB,0)</f>
        <v>tanapornm@airasia.com</v>
      </c>
      <c r="H14" s="22">
        <f t="shared" si="2"/>
        <v>1</v>
      </c>
      <c r="I14" s="123" t="s">
        <v>20</v>
      </c>
      <c r="J14" s="123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>
      <c r="A15" s="107">
        <v>13.0</v>
      </c>
      <c r="B15" s="138">
        <v>1026187.0</v>
      </c>
      <c r="C15" s="168" t="str">
        <f>vlookup(B15,'Crew Data'!C:G,5,0)</f>
        <v>Nutnicha Pitsuwan</v>
      </c>
      <c r="D15" s="121" t="s">
        <v>761</v>
      </c>
      <c r="E15" s="107">
        <v>3.0</v>
      </c>
      <c r="F15" s="122">
        <f t="shared" si="1"/>
        <v>1200</v>
      </c>
      <c r="G15" t="str">
        <f t="array" ref="G15">XLOOKUP(B15,Sheet68!A:A,Sheet68!AB:AB,0)</f>
        <v>nutnichapitsuwan@airasia.com</v>
      </c>
      <c r="H15" s="22">
        <f t="shared" si="2"/>
        <v>1</v>
      </c>
      <c r="I15" s="123" t="s">
        <v>20</v>
      </c>
      <c r="J15" s="123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>
      <c r="A16" s="107">
        <v>14.0</v>
      </c>
      <c r="B16" s="138">
        <v>1038751.0</v>
      </c>
      <c r="C16" s="168" t="str">
        <f>vlookup(B16,'Crew Data'!C:G,5,0)</f>
        <v>Donlaya Promthep</v>
      </c>
      <c r="D16" s="121" t="s">
        <v>762</v>
      </c>
      <c r="E16" s="107">
        <v>2.0</v>
      </c>
      <c r="F16" s="122">
        <f t="shared" si="1"/>
        <v>800</v>
      </c>
      <c r="G16" t="str">
        <f t="array" ref="G16">XLOOKUP(B16,Sheet68!A:A,Sheet68!AB:AB,0)</f>
        <v>donlayapromthep@airasia.com</v>
      </c>
      <c r="H16" s="22">
        <f t="shared" si="2"/>
        <v>1</v>
      </c>
      <c r="I16" s="123" t="s">
        <v>20</v>
      </c>
      <c r="J16" s="123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</row>
    <row r="17">
      <c r="A17" s="107">
        <v>15.0</v>
      </c>
      <c r="B17" s="138">
        <v>1012680.0</v>
      </c>
      <c r="C17" s="168" t="str">
        <f>vlookup(B17,'Crew Data'!C:G,5,0)</f>
        <v>Wiracha Chamsoongnern</v>
      </c>
      <c r="D17" s="121" t="s">
        <v>763</v>
      </c>
      <c r="E17" s="107">
        <v>2.0</v>
      </c>
      <c r="F17" s="122">
        <f t="shared" si="1"/>
        <v>800</v>
      </c>
      <c r="G17" t="str">
        <f t="array" ref="G17">XLOOKUP(B17,Sheet68!A:A,Sheet68!AB:AB,0)</f>
        <v>wirachac@airasia.com</v>
      </c>
      <c r="H17" s="22">
        <f t="shared" si="2"/>
        <v>1</v>
      </c>
      <c r="I17" s="123" t="s">
        <v>20</v>
      </c>
      <c r="J17" s="123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</row>
    <row r="18">
      <c r="A18" s="107">
        <v>16.0</v>
      </c>
      <c r="B18" s="138">
        <v>1040340.0</v>
      </c>
      <c r="C18" s="168" t="str">
        <f>vlookup(B18,'Crew Data'!C:G,5,0)</f>
        <v>#N/A</v>
      </c>
      <c r="D18" s="121" t="s">
        <v>764</v>
      </c>
      <c r="E18" s="107">
        <v>2.0</v>
      </c>
      <c r="F18" s="122">
        <f t="shared" si="1"/>
        <v>800</v>
      </c>
      <c r="G18">
        <f t="array" ref="G18">XLOOKUP(B18,Sheet68!A:A,Sheet68!AB:AB,0)</f>
        <v>0</v>
      </c>
      <c r="H18" s="22">
        <f t="shared" si="2"/>
        <v>1</v>
      </c>
      <c r="I18" s="123" t="s">
        <v>20</v>
      </c>
      <c r="J18" s="123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</row>
    <row r="19">
      <c r="A19" s="107">
        <v>17.0</v>
      </c>
      <c r="B19" s="138">
        <v>1005757.0</v>
      </c>
      <c r="C19" s="168" t="str">
        <f>vlookup(B19,'Crew Data'!C:G,5,0)</f>
        <v>Mintra Thamadee</v>
      </c>
      <c r="D19" s="194" t="s">
        <v>765</v>
      </c>
      <c r="E19" s="107">
        <v>2.0</v>
      </c>
      <c r="F19" s="122">
        <f t="shared" si="1"/>
        <v>800</v>
      </c>
      <c r="G19" t="str">
        <f t="array" ref="G19">XLOOKUP(B19,Sheet68!A:A,Sheet68!AB:AB,0)</f>
        <v>mintrat@airasia.com</v>
      </c>
      <c r="H19" s="22">
        <f t="shared" si="2"/>
        <v>1</v>
      </c>
      <c r="I19" s="123" t="s">
        <v>20</v>
      </c>
      <c r="J19" s="123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</row>
    <row r="20">
      <c r="A20" s="107">
        <v>18.0</v>
      </c>
      <c r="B20" s="138">
        <v>1004213.0</v>
      </c>
      <c r="C20" s="168" t="str">
        <f>vlookup(B20,'Crew Data'!C:G,5,0)</f>
        <v>Worapada Suetrongmunkong</v>
      </c>
      <c r="D20" s="121" t="s">
        <v>766</v>
      </c>
      <c r="E20" s="107">
        <v>4.0</v>
      </c>
      <c r="F20" s="122">
        <f t="shared" si="1"/>
        <v>1600</v>
      </c>
      <c r="G20" s="28" t="str">
        <f t="array" ref="G20">XLOOKUP(B20,Sheet68!A:A,Sheet68!AB:AB,0)</f>
        <v>worapadas@airasia.com</v>
      </c>
      <c r="H20" s="22">
        <f t="shared" si="2"/>
        <v>1</v>
      </c>
      <c r="I20" s="123" t="s">
        <v>20</v>
      </c>
      <c r="J20" s="123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</row>
    <row r="21">
      <c r="A21" s="107">
        <v>19.0</v>
      </c>
      <c r="B21" s="138">
        <v>1011318.0</v>
      </c>
      <c r="C21" s="168" t="str">
        <f>vlookup(B21,'Crew Data'!C:G,5,0)</f>
        <v>Rudeemas Thiangthat</v>
      </c>
      <c r="D21" s="121" t="s">
        <v>767</v>
      </c>
      <c r="E21" s="107">
        <v>2.0</v>
      </c>
      <c r="F21" s="122">
        <f t="shared" si="1"/>
        <v>800</v>
      </c>
      <c r="G21" t="str">
        <f t="array" ref="G21">XLOOKUP(B21,Sheet68!A:A,Sheet68!AB:AB,0)</f>
        <v>rudeemash@airasia.com</v>
      </c>
      <c r="H21" s="22">
        <f t="shared" si="2"/>
        <v>1</v>
      </c>
      <c r="I21" s="123" t="s">
        <v>20</v>
      </c>
      <c r="J21" s="123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</row>
    <row r="22">
      <c r="A22" s="107">
        <v>20.0</v>
      </c>
      <c r="B22" s="138">
        <v>1017653.0</v>
      </c>
      <c r="C22" s="168" t="str">
        <f>vlookup(B22,'Crew Data'!C:G,5,0)</f>
        <v>Wachiraphon Lakbun</v>
      </c>
      <c r="D22" s="121" t="s">
        <v>768</v>
      </c>
      <c r="E22" s="107">
        <v>8.0</v>
      </c>
      <c r="F22" s="122">
        <f t="shared" si="1"/>
        <v>3200</v>
      </c>
      <c r="G22" t="str">
        <f t="array" ref="G22">XLOOKUP(B22,Sheet68!A:A,Sheet68!AB:AB,0)</f>
        <v>wachiraphonl@airasia.com</v>
      </c>
      <c r="H22" s="22">
        <f t="shared" si="2"/>
        <v>1</v>
      </c>
      <c r="I22" s="123" t="s">
        <v>20</v>
      </c>
      <c r="J22" s="123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>
      <c r="A23" s="107">
        <v>21.0</v>
      </c>
      <c r="B23" s="138">
        <v>1011848.0</v>
      </c>
      <c r="C23" s="168" t="str">
        <f>vlookup(B23,'Crew Data'!C:G,5,0)</f>
        <v>Wiput Janvanichstaporn</v>
      </c>
      <c r="D23" s="121" t="s">
        <v>764</v>
      </c>
      <c r="E23" s="107">
        <v>2.0</v>
      </c>
      <c r="F23" s="122">
        <f t="shared" si="1"/>
        <v>800</v>
      </c>
      <c r="G23" t="str">
        <f t="array" ref="G23">XLOOKUP(B23,Sheet68!A:A,Sheet68!AB:AB,0)</f>
        <v>wiputj@airasia.com</v>
      </c>
      <c r="H23" s="22">
        <f t="shared" si="2"/>
        <v>1</v>
      </c>
      <c r="I23" s="123" t="s">
        <v>20</v>
      </c>
      <c r="J23" s="123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>
      <c r="A24" s="107">
        <v>22.0</v>
      </c>
      <c r="B24" s="138">
        <v>1004200.0</v>
      </c>
      <c r="C24" s="168" t="str">
        <f>vlookup(B24,'Crew Data'!C:G,5,0)</f>
        <v>Napasorn Narkkaew</v>
      </c>
      <c r="D24" s="121" t="s">
        <v>769</v>
      </c>
      <c r="E24" s="107">
        <v>2.0</v>
      </c>
      <c r="F24" s="122">
        <f t="shared" si="1"/>
        <v>800</v>
      </c>
      <c r="G24" t="str">
        <f t="array" ref="G24">XLOOKUP(B24,Sheet68!A:A,Sheet68!AB:AB,0)</f>
        <v>napasornn@airasia.com</v>
      </c>
      <c r="H24" s="22">
        <f t="shared" si="2"/>
        <v>1</v>
      </c>
      <c r="I24" s="123" t="s">
        <v>20</v>
      </c>
      <c r="J24" s="123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>
      <c r="A25" s="107">
        <v>23.0</v>
      </c>
      <c r="B25" s="138">
        <v>1040336.0</v>
      </c>
      <c r="C25" s="168" t="str">
        <f>vlookup(B25,'Crew Data'!C:G,5,0)</f>
        <v>Patcharapan Suwanmanee</v>
      </c>
      <c r="D25" s="121" t="s">
        <v>769</v>
      </c>
      <c r="E25" s="107">
        <v>2.0</v>
      </c>
      <c r="F25" s="122">
        <f t="shared" si="1"/>
        <v>800</v>
      </c>
      <c r="G25" t="str">
        <f t="array" ref="G25">XLOOKUP(B25,Sheet68!A:A,Sheet68!AB:AB,0)</f>
        <v>patcharapansuwanman@airasia.com</v>
      </c>
      <c r="H25" s="22">
        <f t="shared" si="2"/>
        <v>1</v>
      </c>
      <c r="I25" s="123" t="s">
        <v>20</v>
      </c>
      <c r="J25" s="123"/>
      <c r="K25" s="31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>
      <c r="A26" s="107">
        <v>24.0</v>
      </c>
      <c r="B26" s="138">
        <v>1025144.0</v>
      </c>
      <c r="C26" s="168" t="str">
        <f>vlookup(B26,'Crew Data'!C:G,5,0)</f>
        <v>Maythawee Krabuansri</v>
      </c>
      <c r="D26" s="121" t="s">
        <v>770</v>
      </c>
      <c r="E26" s="107">
        <v>2.0</v>
      </c>
      <c r="F26" s="122">
        <f t="shared" si="1"/>
        <v>800</v>
      </c>
      <c r="G26" t="str">
        <f t="array" ref="G26">XLOOKUP(B26,Sheet68!A:A,Sheet68!AB:AB,0)</f>
        <v>maythaweekrabuansri@airasia.com</v>
      </c>
      <c r="H26" s="22">
        <f t="shared" si="2"/>
        <v>1</v>
      </c>
      <c r="I26" s="123" t="s">
        <v>20</v>
      </c>
      <c r="J26" s="123"/>
      <c r="K26" s="31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>
      <c r="A27" s="107">
        <v>25.0</v>
      </c>
      <c r="B27" s="129">
        <v>1018977.0</v>
      </c>
      <c r="C27" s="168" t="str">
        <f>vlookup(B27,'Crew Data'!C:G,5,0)</f>
        <v>Ploypailin Chuntawong</v>
      </c>
      <c r="D27" s="121" t="s">
        <v>771</v>
      </c>
      <c r="E27" s="107">
        <v>2.0</v>
      </c>
      <c r="F27" s="122">
        <f t="shared" si="1"/>
        <v>800</v>
      </c>
      <c r="G27" t="str">
        <f t="array" ref="G27">XLOOKUP(B27,Sheet68!A:A,Sheet68!AB:AB,0)</f>
        <v>ploypailinc@airasia.com</v>
      </c>
      <c r="H27" s="22">
        <f t="shared" si="2"/>
        <v>1</v>
      </c>
      <c r="I27" s="123" t="s">
        <v>20</v>
      </c>
      <c r="J27" s="123"/>
      <c r="K27" s="31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>
      <c r="A28" s="107">
        <v>26.0</v>
      </c>
      <c r="B28" s="138">
        <v>1022222.0</v>
      </c>
      <c r="C28" s="168" t="str">
        <f>vlookup(B28,'Crew Data'!C:G,5,0)</f>
        <v>Songboon Kiatchaweepan</v>
      </c>
      <c r="D28" s="121" t="s">
        <v>772</v>
      </c>
      <c r="E28" s="107">
        <v>4.0</v>
      </c>
      <c r="F28" s="122">
        <f t="shared" si="1"/>
        <v>1600</v>
      </c>
      <c r="G28" t="str">
        <f t="array" ref="G28">XLOOKUP(B28,Sheet68!A:A,Sheet68!AB:AB,0)</f>
        <v>songboonkiatchaweep@airasia.com</v>
      </c>
      <c r="H28" s="22">
        <f t="shared" si="2"/>
        <v>1</v>
      </c>
      <c r="I28" s="123" t="s">
        <v>20</v>
      </c>
      <c r="J28" s="123"/>
      <c r="K28" s="31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>
      <c r="A29" s="107">
        <v>27.0</v>
      </c>
      <c r="B29" s="138">
        <v>1005312.0</v>
      </c>
      <c r="C29" s="168" t="str">
        <f>vlookup(B29,'Crew Data'!C:G,5,0)</f>
        <v>Khemika Thnonchaikul</v>
      </c>
      <c r="D29" s="121" t="s">
        <v>773</v>
      </c>
      <c r="E29" s="107">
        <v>2.0</v>
      </c>
      <c r="F29" s="122">
        <f t="shared" si="1"/>
        <v>800</v>
      </c>
      <c r="G29" t="str">
        <f t="array" ref="G29">XLOOKUP(B29,Sheet68!A:A,Sheet68!AB:AB,0)</f>
        <v>khemikat@airasia.com</v>
      </c>
      <c r="H29" s="22">
        <f t="shared" si="2"/>
        <v>1</v>
      </c>
      <c r="I29" s="123" t="s">
        <v>20</v>
      </c>
      <c r="J29" s="123"/>
      <c r="K29" s="31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>
      <c r="A30" s="107">
        <v>28.0</v>
      </c>
      <c r="B30" s="139">
        <v>1022218.0</v>
      </c>
      <c r="C30" s="168" t="str">
        <f>vlookup(B30,'Crew Data'!C:G,5,0)</f>
        <v>Pimchai Supachaiyakij</v>
      </c>
      <c r="D30" s="121" t="s">
        <v>774</v>
      </c>
      <c r="E30" s="107">
        <v>2.0</v>
      </c>
      <c r="F30" s="122">
        <f t="shared" si="1"/>
        <v>800</v>
      </c>
      <c r="G30" t="str">
        <f t="array" ref="G30">XLOOKUP(B30,Sheet68!A:A,Sheet68!AB:AB,0)</f>
        <v>pimchaisupachaiyakij@airasia.com</v>
      </c>
      <c r="H30" s="22">
        <f t="shared" si="2"/>
        <v>1</v>
      </c>
      <c r="I30" s="123" t="s">
        <v>20</v>
      </c>
      <c r="J30" s="123"/>
      <c r="K30" s="31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</row>
    <row r="31">
      <c r="A31" s="107">
        <v>29.0</v>
      </c>
      <c r="B31" s="139">
        <v>1040912.0</v>
      </c>
      <c r="C31" s="168" t="str">
        <f>vlookup(B31,'Crew Data'!C:G,5,0)</f>
        <v>Wesudanatcha Hengsuwan</v>
      </c>
      <c r="D31" s="121" t="s">
        <v>771</v>
      </c>
      <c r="E31" s="107">
        <v>2.0</v>
      </c>
      <c r="F31" s="122">
        <f t="shared" si="1"/>
        <v>800</v>
      </c>
      <c r="G31" t="str">
        <f t="array" ref="G31">XLOOKUP(B31,Sheet68!A:A,Sheet68!AB:AB,0)</f>
        <v>wesudanatchahengsuw@airasia.com</v>
      </c>
      <c r="H31" s="22">
        <f t="shared" si="2"/>
        <v>1</v>
      </c>
      <c r="I31" s="123" t="s">
        <v>20</v>
      </c>
      <c r="J31" s="123"/>
      <c r="K31" s="31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>
      <c r="A32" s="107">
        <v>30.0</v>
      </c>
      <c r="B32" s="139">
        <v>1007035.0</v>
      </c>
      <c r="C32" s="168" t="str">
        <f>vlookup(B32,'Crew Data'!C:G,5,0)</f>
        <v>Sitthikorn Janchalaem</v>
      </c>
      <c r="D32" s="121" t="s">
        <v>705</v>
      </c>
      <c r="E32" s="107">
        <v>2.0</v>
      </c>
      <c r="F32" s="122">
        <f t="shared" si="1"/>
        <v>800</v>
      </c>
      <c r="G32" t="str">
        <f t="array" ref="G32">XLOOKUP(B32,Sheet68!A:A,Sheet68!AB:AB,0)</f>
        <v>sitthikornj@airasia.com</v>
      </c>
      <c r="H32" s="22">
        <f t="shared" si="2"/>
        <v>1</v>
      </c>
      <c r="I32" s="123" t="s">
        <v>20</v>
      </c>
      <c r="J32" s="123"/>
      <c r="K32" s="31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>
      <c r="A33" s="107">
        <v>31.0</v>
      </c>
      <c r="B33" s="139">
        <v>1007009.0</v>
      </c>
      <c r="C33" s="168" t="str">
        <f>vlookup(B33,'Crew Data'!C:G,5,0)</f>
        <v>Busayarat Pongratanakul</v>
      </c>
      <c r="D33" s="121" t="s">
        <v>771</v>
      </c>
      <c r="E33" s="107">
        <v>2.0</v>
      </c>
      <c r="F33" s="122">
        <f t="shared" si="1"/>
        <v>800</v>
      </c>
      <c r="G33" t="str">
        <f t="array" ref="G33">XLOOKUP(B33,Sheet68!A:A,Sheet68!AB:AB,0)</f>
        <v>busayaratp@airasia.com</v>
      </c>
      <c r="H33" s="22">
        <f t="shared" si="2"/>
        <v>1</v>
      </c>
      <c r="I33" s="123" t="s">
        <v>20</v>
      </c>
      <c r="J33" s="123"/>
      <c r="K33" s="31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</row>
    <row r="34">
      <c r="A34" s="107">
        <v>32.0</v>
      </c>
      <c r="B34" s="139">
        <v>1025319.0</v>
      </c>
      <c r="C34" s="168" t="str">
        <f>vlookup(B34,'Crew Data'!C:G,5,0)</f>
        <v>Phongsakron Saepan</v>
      </c>
      <c r="D34" s="121" t="s">
        <v>775</v>
      </c>
      <c r="E34" s="107">
        <v>6.0</v>
      </c>
      <c r="F34" s="122">
        <f t="shared" si="1"/>
        <v>2400</v>
      </c>
      <c r="G34" t="str">
        <f t="array" ref="G34">XLOOKUP(B34,Sheet68!A:A,Sheet68!AB:AB,0)</f>
        <v>phongsakronsaepan@airasia.com</v>
      </c>
      <c r="H34" s="22">
        <f t="shared" si="2"/>
        <v>1</v>
      </c>
      <c r="I34" s="123" t="s">
        <v>20</v>
      </c>
      <c r="J34" s="123"/>
      <c r="K34" s="31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</row>
    <row r="35">
      <c r="A35" s="107">
        <v>33.0</v>
      </c>
      <c r="B35" s="139">
        <v>1004034.0</v>
      </c>
      <c r="C35" s="168" t="str">
        <f>vlookup(B35,'Crew Data'!C:G,5,0)</f>
        <v>Monthon Siribunnakul</v>
      </c>
      <c r="D35" s="121" t="s">
        <v>776</v>
      </c>
      <c r="E35" s="107">
        <v>2.0</v>
      </c>
      <c r="F35" s="122">
        <f t="shared" si="1"/>
        <v>800</v>
      </c>
      <c r="G35" t="str">
        <f t="array" ref="G35">XLOOKUP(B35,Sheet68!A:A,Sheet68!AB:AB,0)</f>
        <v>monthons@airasia.com</v>
      </c>
      <c r="H35" s="22">
        <f t="shared" si="2"/>
        <v>1</v>
      </c>
      <c r="I35" s="123" t="s">
        <v>20</v>
      </c>
      <c r="J35" s="123"/>
      <c r="K35" s="31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</row>
    <row r="36">
      <c r="A36" s="107">
        <v>34.0</v>
      </c>
      <c r="B36" s="138">
        <v>1002264.0</v>
      </c>
      <c r="C36" s="168" t="str">
        <f>vlookup(B36,'Crew Data'!C:G,5,0)</f>
        <v>Anooradee Wilairot</v>
      </c>
      <c r="D36" s="121" t="s">
        <v>774</v>
      </c>
      <c r="E36" s="107">
        <v>2.0</v>
      </c>
      <c r="F36" s="122">
        <f t="shared" si="1"/>
        <v>800</v>
      </c>
      <c r="G36" t="str">
        <f t="array" ref="G36">XLOOKUP(B36,Sheet68!A:A,Sheet68!AB:AB,0)</f>
        <v>anooradeew@airasia.com</v>
      </c>
      <c r="H36" s="22">
        <f t="shared" si="2"/>
        <v>1</v>
      </c>
      <c r="I36" s="123" t="s">
        <v>20</v>
      </c>
      <c r="J36" s="111"/>
      <c r="K36" s="31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</row>
    <row r="37">
      <c r="A37" s="107">
        <v>35.0</v>
      </c>
      <c r="B37" s="138">
        <v>1006995.0</v>
      </c>
      <c r="C37" s="168" t="str">
        <f>vlookup(B37,'Crew Data'!C:G,5,0)</f>
        <v>Kornrumpha Wongsing</v>
      </c>
      <c r="D37" s="121" t="s">
        <v>765</v>
      </c>
      <c r="E37" s="107">
        <v>2.0</v>
      </c>
      <c r="F37" s="122">
        <f t="shared" si="1"/>
        <v>800</v>
      </c>
      <c r="G37" t="str">
        <f t="array" ref="G37">XLOOKUP(B37,Sheet68!A:A,Sheet68!AB:AB,0)</f>
        <v>kornrumphaw@airasia.com</v>
      </c>
      <c r="H37" s="22">
        <f t="shared" si="2"/>
        <v>1</v>
      </c>
      <c r="I37" s="123" t="s">
        <v>20</v>
      </c>
      <c r="J37" s="111"/>
      <c r="K37" s="31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>
      <c r="A38" s="107">
        <v>36.0</v>
      </c>
      <c r="B38" s="138">
        <v>1025547.0</v>
      </c>
      <c r="C38" s="168" t="str">
        <f>vlookup(B38,'Crew Data'!C:G,5,0)</f>
        <v>Jarumon Iamkanthong</v>
      </c>
      <c r="D38" s="121" t="s">
        <v>762</v>
      </c>
      <c r="E38" s="107">
        <v>2.0</v>
      </c>
      <c r="F38" s="122">
        <f t="shared" si="1"/>
        <v>800</v>
      </c>
      <c r="G38" t="str">
        <f t="array" ref="G38">XLOOKUP(B38,Sheet68!A:A,Sheet68!AB:AB,0)</f>
        <v>jarumoniamkanthong@airasia.com</v>
      </c>
      <c r="H38" s="22">
        <f t="shared" si="2"/>
        <v>1</v>
      </c>
      <c r="I38" s="123" t="s">
        <v>20</v>
      </c>
      <c r="J38" s="111"/>
      <c r="K38" s="31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>
      <c r="A39" s="107">
        <v>37.0</v>
      </c>
      <c r="B39" s="129">
        <v>1007340.0</v>
      </c>
      <c r="C39" s="168" t="str">
        <f>vlookup(B39,'Crew Data'!C:G,5,0)</f>
        <v>Patpapada Vadtanawat</v>
      </c>
      <c r="D39" s="121" t="s">
        <v>777</v>
      </c>
      <c r="E39" s="107">
        <v>2.0</v>
      </c>
      <c r="F39" s="122">
        <f t="shared" si="1"/>
        <v>800</v>
      </c>
      <c r="G39" t="str">
        <f t="array" ref="G39">XLOOKUP(B39,Sheet68!A:A,Sheet68!AB:AB,0)</f>
        <v>patpapadav@airasia.com</v>
      </c>
      <c r="H39" s="22">
        <f t="shared" si="2"/>
        <v>1</v>
      </c>
      <c r="I39" s="123" t="s">
        <v>20</v>
      </c>
      <c r="J39" s="111"/>
      <c r="K39" s="31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</row>
    <row r="40">
      <c r="A40" s="107">
        <v>38.0</v>
      </c>
      <c r="B40" s="129">
        <v>1002370.0</v>
      </c>
      <c r="C40" s="168" t="str">
        <f>vlookup(B40,'Crew Data'!C:G,5,0)</f>
        <v>Napaphat Yuktanan</v>
      </c>
      <c r="D40" s="121" t="s">
        <v>778</v>
      </c>
      <c r="E40" s="107">
        <v>2.0</v>
      </c>
      <c r="F40" s="122">
        <f t="shared" si="1"/>
        <v>800</v>
      </c>
      <c r="G40" t="str">
        <f t="array" ref="G40">XLOOKUP(B40,Sheet68!A:A,Sheet68!AB:AB,0)</f>
        <v>napaphaty@airasia.com</v>
      </c>
      <c r="H40" s="22">
        <f t="shared" si="2"/>
        <v>1</v>
      </c>
      <c r="I40" s="123" t="s">
        <v>20</v>
      </c>
      <c r="J40" s="111"/>
      <c r="K40" s="31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>
      <c r="A41" s="107">
        <v>39.0</v>
      </c>
      <c r="B41" s="139">
        <v>1009659.0</v>
      </c>
      <c r="C41" s="168" t="str">
        <f>vlookup(B41,'Crew Data'!C:G,5,0)</f>
        <v>Kanokkorn Pradit</v>
      </c>
      <c r="D41" s="121" t="s">
        <v>698</v>
      </c>
      <c r="E41" s="107">
        <v>2.0</v>
      </c>
      <c r="F41" s="122">
        <f t="shared" si="1"/>
        <v>800</v>
      </c>
      <c r="G41" t="str">
        <f t="array" ref="G41">XLOOKUP(B41,Sheet68!A:A,Sheet68!AB:AB,0)</f>
        <v>kanokkornp@airasia.com</v>
      </c>
      <c r="H41" s="22">
        <f t="shared" si="2"/>
        <v>1</v>
      </c>
      <c r="I41" s="123" t="s">
        <v>20</v>
      </c>
      <c r="J41" s="111"/>
      <c r="K41" s="31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</row>
    <row r="42">
      <c r="A42" s="107">
        <v>40.0</v>
      </c>
      <c r="B42" s="138">
        <v>1001083.0</v>
      </c>
      <c r="C42" s="168" t="str">
        <f>vlookup(B42,'Crew Data'!C:G,5,0)</f>
        <v>Patchteerat Pongsamart</v>
      </c>
      <c r="D42" s="121" t="s">
        <v>779</v>
      </c>
      <c r="E42" s="107">
        <v>2.0</v>
      </c>
      <c r="F42" s="122">
        <f t="shared" si="1"/>
        <v>800</v>
      </c>
      <c r="G42" t="str">
        <f t="array" ref="G42">XLOOKUP(B42,Sheet68!A:A,Sheet68!AB:AB,0)</f>
        <v>patchteeratpong@airasia.com</v>
      </c>
      <c r="H42" s="22">
        <f t="shared" si="2"/>
        <v>1</v>
      </c>
      <c r="I42" s="123" t="s">
        <v>20</v>
      </c>
      <c r="J42" s="111"/>
      <c r="K42" s="31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</row>
    <row r="43">
      <c r="A43" s="107">
        <v>41.0</v>
      </c>
      <c r="B43" s="138">
        <v>1006352.0</v>
      </c>
      <c r="C43" s="168" t="str">
        <f>vlookup(B43,'Crew Data'!C:G,5,0)</f>
        <v>Sirinthip Singhadecha</v>
      </c>
      <c r="D43" s="121" t="s">
        <v>771</v>
      </c>
      <c r="E43" s="107">
        <v>2.0</v>
      </c>
      <c r="F43" s="122">
        <f t="shared" si="1"/>
        <v>800</v>
      </c>
      <c r="G43" t="str">
        <f t="array" ref="G43">XLOOKUP(B43,Sheet68!A:A,Sheet68!AB:AB,0)</f>
        <v>sirinthips@airasia.com</v>
      </c>
      <c r="H43" s="22">
        <f t="shared" si="2"/>
        <v>1</v>
      </c>
      <c r="I43" s="123" t="s">
        <v>20</v>
      </c>
      <c r="J43" s="111"/>
      <c r="K43" s="31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</row>
    <row r="44">
      <c r="A44" s="107">
        <v>42.0</v>
      </c>
      <c r="B44" s="138">
        <v>1012366.0</v>
      </c>
      <c r="C44" s="168" t="str">
        <f>vlookup(B44,'Crew Data'!C:G,5,0)</f>
        <v>Ronnachai Wannarat</v>
      </c>
      <c r="D44" s="125">
        <v>45962.0</v>
      </c>
      <c r="E44" s="107">
        <v>1.0</v>
      </c>
      <c r="F44" s="122">
        <f t="shared" si="1"/>
        <v>400</v>
      </c>
      <c r="G44" t="str">
        <f t="array" ref="G44">XLOOKUP(B44,Sheet68!A:A,Sheet68!AB:AB,0)</f>
        <v>ronnachaiw@airasia.com</v>
      </c>
      <c r="H44" s="22">
        <f t="shared" si="2"/>
        <v>1</v>
      </c>
      <c r="I44" s="123" t="s">
        <v>20</v>
      </c>
      <c r="J44" s="111"/>
      <c r="K44" s="31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</row>
    <row r="45">
      <c r="A45" s="107">
        <v>43.0</v>
      </c>
      <c r="B45" s="102">
        <v>1040874.0</v>
      </c>
      <c r="C45" s="168" t="str">
        <f>vlookup(B45,'Crew Data'!C:G,5,0)</f>
        <v>Pairwa Suwan</v>
      </c>
      <c r="D45" s="121" t="s">
        <v>763</v>
      </c>
      <c r="E45" s="107">
        <v>2.0</v>
      </c>
      <c r="F45" s="122">
        <f t="shared" si="1"/>
        <v>800</v>
      </c>
      <c r="G45" t="str">
        <f t="array" ref="G45">XLOOKUP(B45,Sheet68!A:A,Sheet68!AB:AB,0)</f>
        <v>pairwasuwan@airasia.com</v>
      </c>
      <c r="H45" s="22">
        <f t="shared" si="2"/>
        <v>1</v>
      </c>
      <c r="I45" s="123" t="s">
        <v>20</v>
      </c>
      <c r="J45" s="111"/>
      <c r="K45" s="31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</row>
    <row r="46">
      <c r="A46" s="107">
        <v>44.0</v>
      </c>
      <c r="B46" s="138">
        <v>1012989.0</v>
      </c>
      <c r="C46" s="168" t="str">
        <f>vlookup(B46,'Crew Data'!C:G,5,0)</f>
        <v>Kitibodee Harnkunthamart</v>
      </c>
      <c r="D46" s="121" t="s">
        <v>770</v>
      </c>
      <c r="E46" s="107">
        <v>2.0</v>
      </c>
      <c r="F46" s="122">
        <f t="shared" si="1"/>
        <v>800</v>
      </c>
      <c r="G46" t="str">
        <f t="array" ref="G46">XLOOKUP(B46,Sheet68!A:A,Sheet68!AB:AB,0)</f>
        <v>kitibodeea@airasia.com</v>
      </c>
      <c r="H46" s="22">
        <f t="shared" si="2"/>
        <v>1</v>
      </c>
      <c r="I46" s="123" t="s">
        <v>20</v>
      </c>
      <c r="J46" s="111"/>
      <c r="K46" s="31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</row>
    <row r="47">
      <c r="A47" s="107">
        <v>45.0</v>
      </c>
      <c r="B47" s="138">
        <v>1043870.0</v>
      </c>
      <c r="C47" s="168" t="str">
        <f>vlookup(B47,'Crew Data'!C:G,5,0)</f>
        <v>Daranphon Chaikiatchanyaphon</v>
      </c>
      <c r="D47" s="125">
        <v>45983.0</v>
      </c>
      <c r="E47" s="107">
        <v>1.0</v>
      </c>
      <c r="F47" s="122">
        <f t="shared" si="1"/>
        <v>400</v>
      </c>
      <c r="G47" t="str">
        <f t="array" ref="G47">XLOOKUP(B47,Sheet68!A:A,Sheet68!AB:AB,0)</f>
        <v>daranphoncha@airasia.com</v>
      </c>
      <c r="H47" s="22">
        <f t="shared" si="2"/>
        <v>1</v>
      </c>
      <c r="I47" s="123" t="s">
        <v>20</v>
      </c>
      <c r="J47" s="111"/>
      <c r="K47" s="31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</row>
    <row r="48">
      <c r="A48" s="107">
        <v>46.0</v>
      </c>
      <c r="B48" s="138">
        <v>1018817.0</v>
      </c>
      <c r="C48" s="168" t="str">
        <f>vlookup(B48,'Crew Data'!C:G,5,0)</f>
        <v>Witittorn Onkhaw</v>
      </c>
      <c r="D48" s="121" t="s">
        <v>780</v>
      </c>
      <c r="E48" s="107">
        <v>2.0</v>
      </c>
      <c r="F48" s="122">
        <f t="shared" si="1"/>
        <v>800</v>
      </c>
      <c r="G48" t="str">
        <f t="array" ref="G48">XLOOKUP(B48,Sheet68!A:A,Sheet68!AB:AB,0)</f>
        <v>witittorno@airasia.com</v>
      </c>
      <c r="H48" s="22">
        <f t="shared" si="2"/>
        <v>1</v>
      </c>
      <c r="I48" s="123" t="s">
        <v>20</v>
      </c>
      <c r="J48" s="111"/>
      <c r="K48" s="31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</row>
    <row r="49">
      <c r="A49" s="107">
        <v>47.0</v>
      </c>
      <c r="B49" s="138">
        <v>1007157.0</v>
      </c>
      <c r="C49" s="168" t="str">
        <f>vlookup(B49,'Crew Data'!C:G,5,0)</f>
        <v>Pichanun Seneetantikul</v>
      </c>
      <c r="D49" s="121" t="s">
        <v>781</v>
      </c>
      <c r="E49" s="107">
        <v>2.0</v>
      </c>
      <c r="F49" s="122">
        <f t="shared" si="1"/>
        <v>800</v>
      </c>
      <c r="G49" t="str">
        <f t="array" ref="G49">XLOOKUP(B49,Sheet68!A:A,Sheet68!AB:AB,0)</f>
        <v>pichanuns@airasia.com</v>
      </c>
      <c r="H49" s="22">
        <f t="shared" si="2"/>
        <v>1</v>
      </c>
      <c r="I49" s="123" t="s">
        <v>20</v>
      </c>
      <c r="J49" s="111"/>
      <c r="K49" s="31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</row>
    <row r="50">
      <c r="A50" s="107">
        <v>48.0</v>
      </c>
      <c r="B50" s="138">
        <v>1017657.0</v>
      </c>
      <c r="C50" s="168" t="str">
        <f>vlookup(B50,'Crew Data'!C:G,5,0)</f>
        <v>Yanakorn Charnfun</v>
      </c>
      <c r="D50" s="121" t="s">
        <v>781</v>
      </c>
      <c r="E50" s="107">
        <v>2.0</v>
      </c>
      <c r="F50" s="122">
        <f t="shared" si="1"/>
        <v>800</v>
      </c>
      <c r="G50" t="str">
        <f t="array" ref="G50">XLOOKUP(B50,Sheet68!A:A,Sheet68!AB:AB,0)</f>
        <v>yanakornc@airasia.com</v>
      </c>
      <c r="H50" s="22">
        <f t="shared" si="2"/>
        <v>1</v>
      </c>
      <c r="I50" s="123" t="s">
        <v>20</v>
      </c>
      <c r="J50" s="111"/>
      <c r="K50" s="31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</row>
    <row r="51">
      <c r="A51" s="107">
        <v>49.0</v>
      </c>
      <c r="B51" s="138">
        <v>1004569.0</v>
      </c>
      <c r="C51" s="168" t="str">
        <f>vlookup(B51,'Crew Data'!C:G,5,0)</f>
        <v>Chutikul Khruakham</v>
      </c>
      <c r="D51" s="121" t="s">
        <v>763</v>
      </c>
      <c r="E51" s="107">
        <v>2.0</v>
      </c>
      <c r="F51" s="122">
        <f t="shared" si="1"/>
        <v>800</v>
      </c>
      <c r="G51" t="str">
        <f t="array" ref="G51">XLOOKUP(B51,Sheet68!A:A,Sheet68!AB:AB,0)</f>
        <v>chutikulk@airasia.com</v>
      </c>
      <c r="H51" s="22">
        <f t="shared" si="2"/>
        <v>1</v>
      </c>
      <c r="I51" s="123" t="s">
        <v>20</v>
      </c>
      <c r="J51" s="111"/>
      <c r="K51" s="31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</row>
    <row r="52">
      <c r="A52" s="107">
        <v>50.0</v>
      </c>
      <c r="B52" s="138">
        <v>1011844.0</v>
      </c>
      <c r="C52" s="168" t="str">
        <f>vlookup(B52,'Crew Data'!C:G,5,0)</f>
        <v>Thanyaporn Vaivattana</v>
      </c>
      <c r="D52" s="121" t="s">
        <v>773</v>
      </c>
      <c r="E52" s="107">
        <v>2.0</v>
      </c>
      <c r="F52" s="122">
        <f t="shared" si="1"/>
        <v>800</v>
      </c>
      <c r="G52" t="str">
        <f t="array" ref="G52">XLOOKUP(B52,Sheet68!A:A,Sheet68!AB:AB,0)</f>
        <v>thanyapornv@airasia.com</v>
      </c>
      <c r="H52" s="22">
        <f t="shared" si="2"/>
        <v>1</v>
      </c>
      <c r="I52" s="123" t="s">
        <v>20</v>
      </c>
      <c r="J52" s="111"/>
      <c r="K52" s="31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</row>
    <row r="53">
      <c r="A53" s="107">
        <v>51.0</v>
      </c>
      <c r="B53" s="138">
        <v>1018791.0</v>
      </c>
      <c r="C53" s="168" t="str">
        <f>vlookup(B53,'Crew Data'!C:G,5,0)</f>
        <v>Kitdanai Tiantanawit</v>
      </c>
      <c r="D53" s="121" t="s">
        <v>782</v>
      </c>
      <c r="E53" s="107">
        <v>8.0</v>
      </c>
      <c r="F53" s="122">
        <f t="shared" si="1"/>
        <v>3200</v>
      </c>
      <c r="G53" s="28" t="str">
        <f t="array" ref="G53">XLOOKUP(B53,Sheet68!A:A,Sheet68!AB:AB,0)</f>
        <v>kitdanait@airasia.com</v>
      </c>
      <c r="H53" s="22">
        <f t="shared" si="2"/>
        <v>1</v>
      </c>
      <c r="I53" s="123" t="s">
        <v>20</v>
      </c>
      <c r="J53" s="111"/>
      <c r="K53" s="31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</row>
    <row r="54">
      <c r="A54" s="107">
        <v>52.0</v>
      </c>
      <c r="B54" s="140">
        <v>1043871.0</v>
      </c>
      <c r="C54" s="168" t="str">
        <f>vlookup(B54,'Crew Data'!C:G,5,0)</f>
        <v>Waleerat Thaworn</v>
      </c>
      <c r="D54" s="125">
        <v>45985.0</v>
      </c>
      <c r="E54" s="107">
        <v>1.0</v>
      </c>
      <c r="F54" s="122">
        <f t="shared" si="1"/>
        <v>400</v>
      </c>
      <c r="G54" t="str">
        <f t="array" ref="G54">XLOOKUP(B54,Sheet68!A:A,Sheet68!AB:AB,0)</f>
        <v>waleerattha@airasia.com</v>
      </c>
      <c r="H54" s="22">
        <f t="shared" si="2"/>
        <v>1</v>
      </c>
      <c r="I54" s="123" t="s">
        <v>20</v>
      </c>
      <c r="J54" s="111"/>
      <c r="K54" s="31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</row>
    <row r="55">
      <c r="A55" s="107">
        <v>53.0</v>
      </c>
      <c r="B55" s="140">
        <v>1019297.0</v>
      </c>
      <c r="C55" s="168" t="str">
        <f>vlookup(B55,'Crew Data'!C:G,5,0)</f>
        <v>Norramon Nakkara</v>
      </c>
      <c r="D55" s="121" t="s">
        <v>769</v>
      </c>
      <c r="E55" s="107">
        <v>2.0</v>
      </c>
      <c r="F55" s="122">
        <f t="shared" si="1"/>
        <v>800</v>
      </c>
      <c r="G55" t="str">
        <f t="array" ref="G55">XLOOKUP(B55,Sheet68!A:A,Sheet68!AB:AB,0)</f>
        <v>norramonn@airasia.com</v>
      </c>
      <c r="H55" s="22">
        <f t="shared" si="2"/>
        <v>1</v>
      </c>
      <c r="I55" s="123" t="s">
        <v>20</v>
      </c>
      <c r="J55" s="111"/>
      <c r="K55" s="31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</row>
    <row r="56">
      <c r="A56" s="107">
        <v>54.0</v>
      </c>
      <c r="B56" s="138">
        <v>1043879.0</v>
      </c>
      <c r="C56" s="168" t="str">
        <f>vlookup(B56,'Crew Data'!C:G,5,0)</f>
        <v>Thanyaphon Chiraphatphokin</v>
      </c>
      <c r="D56" s="125">
        <v>45989.0</v>
      </c>
      <c r="E56" s="107">
        <v>1.0</v>
      </c>
      <c r="F56" s="122">
        <f t="shared" si="1"/>
        <v>400</v>
      </c>
      <c r="G56" t="str">
        <f t="array" ref="G56">XLOOKUP(B56,Sheet68!A:A,Sheet68!AB:AB,0)</f>
        <v>thanyaphonchi@airasia.com</v>
      </c>
      <c r="H56" s="22">
        <f t="shared" si="2"/>
        <v>1</v>
      </c>
      <c r="I56" s="123" t="s">
        <v>20</v>
      </c>
      <c r="J56" s="111"/>
      <c r="K56" s="31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</row>
    <row r="57">
      <c r="A57" s="107">
        <v>55.0</v>
      </c>
      <c r="B57" s="141">
        <v>1040352.0</v>
      </c>
      <c r="C57" s="168" t="str">
        <f>vlookup(B57,'Crew Data'!C:G,5,0)</f>
        <v>Jaksananapa Yingprayoon</v>
      </c>
      <c r="D57" s="121" t="s">
        <v>783</v>
      </c>
      <c r="E57" s="107">
        <v>4.0</v>
      </c>
      <c r="F57" s="122">
        <f t="shared" si="1"/>
        <v>1600</v>
      </c>
      <c r="G57" t="str">
        <f t="array" ref="G57">XLOOKUP(B57,Sheet68!A:A,Sheet68!AB:AB,0)</f>
        <v>jaksananapayingpray@airasia.com</v>
      </c>
      <c r="H57" s="22">
        <f t="shared" si="2"/>
        <v>1</v>
      </c>
      <c r="I57" s="123" t="s">
        <v>20</v>
      </c>
      <c r="J57" s="111"/>
      <c r="K57" s="31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</row>
    <row r="58">
      <c r="A58" s="107">
        <v>56.0</v>
      </c>
      <c r="B58" s="138">
        <v>1012850.0</v>
      </c>
      <c r="C58" s="168" t="str">
        <f>vlookup(B58,'Crew Data'!C:G,5,0)</f>
        <v>Chanagun Phanturat</v>
      </c>
      <c r="D58" s="121" t="s">
        <v>784</v>
      </c>
      <c r="E58" s="107">
        <v>2.0</v>
      </c>
      <c r="F58" s="122">
        <f t="shared" si="1"/>
        <v>800</v>
      </c>
      <c r="G58" t="str">
        <f t="array" ref="G58">XLOOKUP(B58,Sheet68!A:A,Sheet68!AB:AB,0)</f>
        <v>chanagunp@airasia.com</v>
      </c>
      <c r="H58" s="22">
        <f t="shared" si="2"/>
        <v>1</v>
      </c>
      <c r="I58" s="123" t="s">
        <v>20</v>
      </c>
      <c r="J58" s="111"/>
      <c r="K58" s="31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</row>
    <row r="59">
      <c r="A59" s="107">
        <v>57.0</v>
      </c>
      <c r="B59" s="138">
        <v>1040342.0</v>
      </c>
      <c r="C59" s="168" t="str">
        <f>vlookup(B59,'Crew Data'!C:G,5,0)</f>
        <v>Areeya Taleb</v>
      </c>
      <c r="D59" s="121" t="s">
        <v>785</v>
      </c>
      <c r="E59" s="107">
        <v>6.0</v>
      </c>
      <c r="F59" s="122">
        <f t="shared" si="1"/>
        <v>2400</v>
      </c>
      <c r="G59" t="str">
        <f t="array" ref="G59">XLOOKUP(B59,Sheet68!A:A,Sheet68!AB:AB,0)</f>
        <v>areeyataleb@airasia.com</v>
      </c>
      <c r="H59" s="22">
        <f t="shared" si="2"/>
        <v>1</v>
      </c>
      <c r="I59" s="123" t="s">
        <v>20</v>
      </c>
      <c r="J59" s="111"/>
      <c r="K59" s="31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</row>
    <row r="60">
      <c r="A60" s="107">
        <v>58.0</v>
      </c>
      <c r="B60" s="138">
        <v>1004318.0</v>
      </c>
      <c r="C60" s="168" t="str">
        <f>vlookup(B60,'Crew Data'!C:G,5,0)</f>
        <v>Nattapong Kao-Ngampanich</v>
      </c>
      <c r="D60" s="121" t="s">
        <v>786</v>
      </c>
      <c r="E60" s="107">
        <v>4.0</v>
      </c>
      <c r="F60" s="122">
        <f t="shared" si="1"/>
        <v>1600</v>
      </c>
      <c r="G60" t="str">
        <f t="array" ref="G60">XLOOKUP(B60,Sheet68!A:A,Sheet68!AB:AB,0)</f>
        <v>nattaponga@airasia.com</v>
      </c>
      <c r="H60" s="22">
        <f t="shared" si="2"/>
        <v>1</v>
      </c>
      <c r="I60" s="123" t="s">
        <v>20</v>
      </c>
      <c r="J60" s="111"/>
      <c r="K60" s="31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</row>
    <row r="61">
      <c r="A61" s="107">
        <v>59.0</v>
      </c>
      <c r="B61" s="138">
        <v>1011748.0</v>
      </c>
      <c r="C61" s="168" t="str">
        <f>vlookup(B61,'Crew Data'!C:G,5,0)</f>
        <v>Rattrawee Jirawaree</v>
      </c>
      <c r="D61" s="125">
        <v>45978.0</v>
      </c>
      <c r="E61" s="107">
        <v>1.0</v>
      </c>
      <c r="F61" s="122">
        <f t="shared" si="1"/>
        <v>400</v>
      </c>
      <c r="G61" t="str">
        <f t="array" ref="G61">XLOOKUP(B61,Sheet68!A:A,Sheet68!AB:AB,0)</f>
        <v>rattraweej@airasia.com</v>
      </c>
      <c r="H61" s="22">
        <f t="shared" si="2"/>
        <v>1</v>
      </c>
      <c r="I61" s="123" t="s">
        <v>20</v>
      </c>
      <c r="J61" s="111"/>
      <c r="K61" s="31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</row>
    <row r="62">
      <c r="A62" s="107">
        <v>60.0</v>
      </c>
      <c r="B62" s="138">
        <v>1004531.0</v>
      </c>
      <c r="C62" s="168" t="str">
        <f>vlookup(B62,'Crew Data'!C:G,5,0)</f>
        <v>Nattakan Kanokpantarakorn </v>
      </c>
      <c r="D62" s="121" t="s">
        <v>787</v>
      </c>
      <c r="E62" s="107">
        <v>2.0</v>
      </c>
      <c r="F62" s="122">
        <f t="shared" si="1"/>
        <v>800</v>
      </c>
      <c r="G62" t="str">
        <f t="array" ref="G62">XLOOKUP(B62,Sheet68!A:A,Sheet68!AB:AB,0)</f>
        <v>nattakankan@airasia.com</v>
      </c>
      <c r="H62" s="22">
        <f t="shared" si="2"/>
        <v>1</v>
      </c>
      <c r="I62" s="123" t="s">
        <v>20</v>
      </c>
      <c r="J62" s="111"/>
      <c r="K62" s="31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</row>
    <row r="63">
      <c r="A63" s="107">
        <v>61.0</v>
      </c>
      <c r="B63" s="138">
        <v>1007001.0</v>
      </c>
      <c r="C63" s="168" t="str">
        <f>vlookup(B63,'Crew Data'!C:G,5,0)</f>
        <v>Phakrapee Fuengprang</v>
      </c>
      <c r="D63" s="121" t="s">
        <v>788</v>
      </c>
      <c r="E63" s="107">
        <v>2.0</v>
      </c>
      <c r="F63" s="122">
        <f t="shared" si="1"/>
        <v>800</v>
      </c>
      <c r="G63" t="str">
        <f t="array" ref="G63">XLOOKUP(B63,Sheet68!A:A,Sheet68!AB:AB,0)</f>
        <v>phakrapeef@airasia.com</v>
      </c>
      <c r="H63" s="22">
        <f t="shared" si="2"/>
        <v>1</v>
      </c>
      <c r="I63" s="123" t="s">
        <v>20</v>
      </c>
      <c r="J63" s="111"/>
      <c r="K63" s="31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</row>
    <row r="64">
      <c r="A64" s="107">
        <v>62.0</v>
      </c>
      <c r="B64" s="131">
        <v>1000732.0</v>
      </c>
      <c r="C64" s="168" t="str">
        <f>vlookup(B64,'Crew Data'!C:G,5,0)</f>
        <v>Inthra Mathiang</v>
      </c>
      <c r="D64" s="121" t="s">
        <v>789</v>
      </c>
      <c r="E64" s="107">
        <v>6.0</v>
      </c>
      <c r="F64" s="122">
        <f t="shared" si="1"/>
        <v>2400</v>
      </c>
      <c r="G64" t="str">
        <f t="array" ref="G64">XLOOKUP(B64,Sheet68!A:A,Sheet68!AB:AB,0)</f>
        <v>inthram@airasia.com</v>
      </c>
      <c r="H64" s="22">
        <f t="shared" si="2"/>
        <v>1</v>
      </c>
      <c r="I64" s="123" t="s">
        <v>20</v>
      </c>
      <c r="J64" s="111"/>
      <c r="K64" s="31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</row>
    <row r="65">
      <c r="A65" s="107">
        <v>63.0</v>
      </c>
      <c r="B65" s="138">
        <v>1003302.0</v>
      </c>
      <c r="C65" s="168" t="str">
        <f>vlookup(B65,'Crew Data'!C:G,5,0)</f>
        <v>Panwad Thongkham</v>
      </c>
      <c r="D65" s="121" t="s">
        <v>790</v>
      </c>
      <c r="E65" s="107">
        <v>4.0</v>
      </c>
      <c r="F65" s="122">
        <f t="shared" si="1"/>
        <v>1600</v>
      </c>
      <c r="G65" t="str">
        <f t="array" ref="G65">XLOOKUP(B65,Sheet68!A:A,Sheet68!AB:AB,0)</f>
        <v>panwadt@airasia.com</v>
      </c>
      <c r="H65" s="22">
        <f t="shared" si="2"/>
        <v>1</v>
      </c>
      <c r="I65" s="123" t="s">
        <v>20</v>
      </c>
      <c r="J65" s="111"/>
      <c r="K65" s="31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</row>
    <row r="66">
      <c r="A66" s="107">
        <v>64.0</v>
      </c>
      <c r="B66" s="138">
        <v>1011513.0</v>
      </c>
      <c r="C66" s="168" t="str">
        <f>vlookup(B66,'Crew Data'!C:G,5,0)</f>
        <v>Rawitnat Marayat</v>
      </c>
      <c r="D66" s="121" t="s">
        <v>791</v>
      </c>
      <c r="E66" s="107">
        <v>2.0</v>
      </c>
      <c r="F66" s="122">
        <f t="shared" si="1"/>
        <v>800</v>
      </c>
      <c r="G66" t="str">
        <f t="array" ref="G66">XLOOKUP(B66,Sheet68!A:A,Sheet68!AB:AB,0)</f>
        <v>rawitnatm@airasia.com</v>
      </c>
      <c r="H66" s="22">
        <f t="shared" si="2"/>
        <v>1</v>
      </c>
      <c r="I66" s="123" t="s">
        <v>20</v>
      </c>
      <c r="J66" s="111"/>
      <c r="K66" s="31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</row>
    <row r="67">
      <c r="A67" s="107">
        <v>65.0</v>
      </c>
      <c r="B67" s="138">
        <v>1044229.0</v>
      </c>
      <c r="C67" s="168" t="str">
        <f>vlookup(B67,'Crew Data'!C:G,5,0)</f>
        <v>Napaporn Pansamdaeng</v>
      </c>
      <c r="D67" s="125">
        <v>45988.0</v>
      </c>
      <c r="E67" s="107">
        <v>1.0</v>
      </c>
      <c r="F67" s="122">
        <f t="shared" si="1"/>
        <v>400</v>
      </c>
      <c r="G67" t="str">
        <f t="array" ref="G67">XLOOKUP(B67,Sheet68!A:A,Sheet68!AB:AB,0)</f>
        <v>napapornpan@airasia.com</v>
      </c>
      <c r="H67" s="22">
        <f t="shared" si="2"/>
        <v>1</v>
      </c>
      <c r="I67" s="123" t="s">
        <v>20</v>
      </c>
      <c r="J67" s="111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</row>
    <row r="68">
      <c r="A68" s="107">
        <v>66.0</v>
      </c>
      <c r="B68" s="138">
        <v>1011308.0</v>
      </c>
      <c r="C68" s="168" t="str">
        <f>vlookup(B68,'Crew Data'!C:G,5,0)</f>
        <v>Narisa Jotikasathira</v>
      </c>
      <c r="D68" s="121" t="s">
        <v>792</v>
      </c>
      <c r="E68" s="107">
        <v>29.0</v>
      </c>
      <c r="F68" s="122">
        <f t="shared" si="1"/>
        <v>11600</v>
      </c>
      <c r="G68" t="str">
        <f t="array" ref="G68">XLOOKUP(B68,Sheet68!A:A,Sheet68!AB:AB,0)</f>
        <v>narisaj@airasia.com</v>
      </c>
      <c r="H68" s="22">
        <f t="shared" si="2"/>
        <v>1</v>
      </c>
      <c r="I68" s="123" t="s">
        <v>20</v>
      </c>
      <c r="J68" s="111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</row>
    <row r="69">
      <c r="A69" s="107">
        <v>67.0</v>
      </c>
      <c r="B69" s="138">
        <v>1001837.0</v>
      </c>
      <c r="C69" s="168" t="str">
        <f>vlookup(B69,'Crew Data'!C:G,5,0)</f>
        <v>Taralan Jareemuk</v>
      </c>
      <c r="D69" s="121" t="s">
        <v>793</v>
      </c>
      <c r="E69" s="107">
        <v>9.0</v>
      </c>
      <c r="F69" s="122">
        <f t="shared" si="1"/>
        <v>3600</v>
      </c>
      <c r="G69" t="str">
        <f t="array" ref="G69">XLOOKUP(B69,Sheet68!A:A,Sheet68!AB:AB,0)</f>
        <v>taralanj@airasia.com</v>
      </c>
      <c r="H69" s="22">
        <f t="shared" si="2"/>
        <v>1</v>
      </c>
      <c r="I69" s="123" t="s">
        <v>20</v>
      </c>
      <c r="J69" s="111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</row>
    <row r="70">
      <c r="A70" s="107">
        <v>68.0</v>
      </c>
      <c r="B70" s="138">
        <v>1015093.0</v>
      </c>
      <c r="C70" s="168" t="str">
        <f>vlookup(B70,'Crew Data'!C:G,5,0)</f>
        <v>Sampan Simpalipan</v>
      </c>
      <c r="D70" s="121" t="s">
        <v>794</v>
      </c>
      <c r="E70" s="107">
        <v>7.0</v>
      </c>
      <c r="F70" s="122">
        <f t="shared" si="1"/>
        <v>2800</v>
      </c>
      <c r="G70" t="str">
        <f t="array" ref="G70">XLOOKUP(B70,Sheet68!A:A,Sheet68!AB:AB,0)</f>
        <v>sampans@airasia.com</v>
      </c>
      <c r="H70" s="22">
        <f t="shared" si="2"/>
        <v>1</v>
      </c>
      <c r="I70" s="123" t="s">
        <v>20</v>
      </c>
      <c r="J70" s="111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</row>
    <row r="71">
      <c r="A71" s="107">
        <v>69.0</v>
      </c>
      <c r="B71" s="138">
        <v>1011307.0</v>
      </c>
      <c r="C71" s="168" t="str">
        <f>vlookup(B71,'Crew Data'!C:G,5,0)</f>
        <v>Munnanicha Sarakong</v>
      </c>
      <c r="D71" s="121" t="s">
        <v>760</v>
      </c>
      <c r="E71" s="107">
        <v>2.0</v>
      </c>
      <c r="F71" s="122">
        <f t="shared" si="1"/>
        <v>800</v>
      </c>
      <c r="G71" t="str">
        <f t="array" ref="G71">XLOOKUP(B71,Sheet68!A:A,Sheet68!AB:AB,0)</f>
        <v>munnanichas@airasia.com</v>
      </c>
      <c r="H71" s="22">
        <f t="shared" si="2"/>
        <v>1</v>
      </c>
      <c r="I71" s="123" t="s">
        <v>20</v>
      </c>
      <c r="J71" s="111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</row>
    <row r="72">
      <c r="A72" s="107">
        <v>70.0</v>
      </c>
      <c r="B72" s="138">
        <v>1013173.0</v>
      </c>
      <c r="C72" s="168" t="str">
        <f>vlookup(B72,'Crew Data'!C:G,5,0)</f>
        <v>Juthatip Narin</v>
      </c>
      <c r="D72" s="121" t="s">
        <v>795</v>
      </c>
      <c r="E72" s="107">
        <v>28.0</v>
      </c>
      <c r="F72" s="122">
        <f t="shared" si="1"/>
        <v>11200</v>
      </c>
      <c r="G72" t="str">
        <f t="array" ref="G72">XLOOKUP(B72,Sheet68!A:A,Sheet68!AB:AB,0)</f>
        <v>juthatipn@airasia.com</v>
      </c>
      <c r="H72" s="22">
        <f t="shared" si="2"/>
        <v>1</v>
      </c>
      <c r="I72" s="123" t="s">
        <v>20</v>
      </c>
      <c r="J72" s="111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</row>
    <row r="73">
      <c r="A73" s="107">
        <v>71.0</v>
      </c>
      <c r="B73" s="138">
        <v>1012236.0</v>
      </c>
      <c r="C73" s="168" t="str">
        <f>vlookup(B73,'Crew Data'!C:G,5,0)</f>
        <v>Anucha Panyachai</v>
      </c>
      <c r="D73" s="121" t="s">
        <v>780</v>
      </c>
      <c r="E73" s="107">
        <v>2.0</v>
      </c>
      <c r="F73" s="122">
        <f t="shared" si="1"/>
        <v>800</v>
      </c>
      <c r="G73" t="str">
        <f t="array" ref="G73">XLOOKUP(B73,Sheet68!A:A,Sheet68!AB:AB,0)</f>
        <v>anuchay@airasia.com</v>
      </c>
      <c r="H73" s="22">
        <f t="shared" si="2"/>
        <v>1</v>
      </c>
      <c r="I73" s="123" t="s">
        <v>20</v>
      </c>
      <c r="J73" s="111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</row>
    <row r="74">
      <c r="A74" s="107">
        <v>72.0</v>
      </c>
      <c r="B74" s="138">
        <v>1001286.0</v>
      </c>
      <c r="C74" s="168" t="str">
        <f>vlookup(B74,'Crew Data'!C:G,5,0)</f>
        <v>Sirinart Auypornbusyakom</v>
      </c>
      <c r="D74" s="121" t="s">
        <v>760</v>
      </c>
      <c r="E74" s="107">
        <v>2.0</v>
      </c>
      <c r="F74" s="122">
        <f t="shared" si="1"/>
        <v>800</v>
      </c>
      <c r="G74" t="str">
        <f t="array" ref="G74">XLOOKUP(B74,Sheet68!A:A,Sheet68!AB:AB,0)</f>
        <v>sirinarta@airasia.com</v>
      </c>
      <c r="H74" s="22">
        <f t="shared" si="2"/>
        <v>1</v>
      </c>
      <c r="I74" s="123" t="s">
        <v>20</v>
      </c>
      <c r="J74" s="111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</row>
    <row r="75">
      <c r="A75" s="107">
        <v>73.0</v>
      </c>
      <c r="B75" s="138">
        <v>1043891.0</v>
      </c>
      <c r="C75" s="168" t="str">
        <f>vlookup(B75,'Crew Data'!C:G,5,0)</f>
        <v>Vannaporn Chaiwatsittikul</v>
      </c>
      <c r="D75" s="125">
        <v>45965.0</v>
      </c>
      <c r="E75" s="107">
        <v>1.0</v>
      </c>
      <c r="F75" s="122">
        <f t="shared" si="1"/>
        <v>400</v>
      </c>
      <c r="G75" t="str">
        <f t="array" ref="G75">XLOOKUP(B75,Sheet68!A:A,Sheet68!AB:AB,0)</f>
        <v>vannaporncha@airasia.com</v>
      </c>
      <c r="H75" s="22">
        <f t="shared" si="2"/>
        <v>1</v>
      </c>
      <c r="I75" s="123" t="s">
        <v>20</v>
      </c>
      <c r="J75" s="111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</row>
    <row r="76">
      <c r="A76" s="107">
        <v>74.0</v>
      </c>
      <c r="B76" s="177">
        <v>1011323.0</v>
      </c>
      <c r="C76" s="168" t="str">
        <f>vlookup(B76,'Crew Data'!C:G,5,0)</f>
        <v>Yommana Arunrat</v>
      </c>
      <c r="D76" s="121" t="s">
        <v>698</v>
      </c>
      <c r="E76" s="107">
        <v>2.0</v>
      </c>
      <c r="F76" s="171">
        <f t="shared" si="1"/>
        <v>800</v>
      </c>
      <c r="G76" t="str">
        <f t="array" ref="G76">XLOOKUP(B76,Sheet68!A:A,Sheet68!AB:AB,0)</f>
        <v>yommanaa@airasia.com</v>
      </c>
      <c r="H76" s="22">
        <f t="shared" si="2"/>
        <v>1</v>
      </c>
      <c r="I76" s="173" t="s">
        <v>20</v>
      </c>
      <c r="J76" s="111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</row>
    <row r="77">
      <c r="A77" s="107">
        <v>75.0</v>
      </c>
      <c r="B77" s="102">
        <v>1004294.0</v>
      </c>
      <c r="C77" s="168" t="str">
        <f>vlookup(B77,'Crew Data'!C:G,5,0)</f>
        <v>Kawinwat Pringplert</v>
      </c>
      <c r="D77" s="121" t="s">
        <v>796</v>
      </c>
      <c r="E77" s="107">
        <v>6.0</v>
      </c>
      <c r="F77" s="122">
        <f t="shared" si="1"/>
        <v>2400</v>
      </c>
      <c r="G77" t="str">
        <f t="array" ref="G77">XLOOKUP(B77,Sheet68!A:A,Sheet68!AB:AB,0)</f>
        <v>kawinwatp@airasia.com</v>
      </c>
      <c r="H77" s="22">
        <f t="shared" si="2"/>
        <v>1</v>
      </c>
      <c r="I77" s="123" t="s">
        <v>20</v>
      </c>
      <c r="J77" s="111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</row>
    <row r="78">
      <c r="A78" s="107">
        <v>76.0</v>
      </c>
      <c r="B78" s="138">
        <v>1013018.0</v>
      </c>
      <c r="C78" s="168" t="str">
        <f>vlookup(B78,'Crew Data'!C:G,5,0)</f>
        <v>Panuwat Warunyaporn</v>
      </c>
      <c r="D78" s="121" t="s">
        <v>797</v>
      </c>
      <c r="E78" s="107">
        <v>7.0</v>
      </c>
      <c r="F78" s="122">
        <f t="shared" si="1"/>
        <v>2800</v>
      </c>
      <c r="G78" t="str">
        <f t="array" ref="G78">XLOOKUP(B78,Sheet68!A:A,Sheet68!AB:AB,0)</f>
        <v>panuwatw@airasia.com</v>
      </c>
      <c r="H78" s="22">
        <f t="shared" si="2"/>
        <v>1</v>
      </c>
      <c r="I78" s="123" t="s">
        <v>20</v>
      </c>
      <c r="J78" s="111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</row>
    <row r="79">
      <c r="A79" s="107">
        <v>77.0</v>
      </c>
      <c r="B79" s="138">
        <v>1002207.0</v>
      </c>
      <c r="C79" s="168" t="str">
        <f>vlookup(B79,'Crew Data'!C:G,5,0)</f>
        <v>Phakaon Chaiwong</v>
      </c>
      <c r="D79" s="121" t="s">
        <v>776</v>
      </c>
      <c r="E79" s="107">
        <v>2.0</v>
      </c>
      <c r="F79" s="122">
        <f t="shared" si="1"/>
        <v>800</v>
      </c>
      <c r="G79" t="str">
        <f t="array" ref="G79">XLOOKUP(B79,Sheet68!A:A,Sheet68!AB:AB,0)</f>
        <v>phakaonc@airasia.com</v>
      </c>
      <c r="H79" s="22">
        <f t="shared" si="2"/>
        <v>1</v>
      </c>
      <c r="I79" s="123" t="s">
        <v>20</v>
      </c>
      <c r="J79" s="111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</row>
    <row r="80">
      <c r="A80" s="107">
        <v>78.0</v>
      </c>
      <c r="B80" s="139">
        <v>1013192.0</v>
      </c>
      <c r="C80" s="168" t="str">
        <f>vlookup(B80,'Crew Data'!C:G,5,0)</f>
        <v>Thiptanya Phosri</v>
      </c>
      <c r="D80" s="121" t="s">
        <v>798</v>
      </c>
      <c r="E80" s="107">
        <v>2.0</v>
      </c>
      <c r="F80" s="122">
        <f t="shared" si="1"/>
        <v>800</v>
      </c>
      <c r="G80" t="str">
        <f t="array" ref="G80">XLOOKUP(B80,Sheet68!A:A,Sheet68!AB:AB,0)</f>
        <v>thiptanyap@airasia.com</v>
      </c>
      <c r="H80" s="22">
        <f t="shared" si="2"/>
        <v>1</v>
      </c>
      <c r="I80" s="123" t="s">
        <v>20</v>
      </c>
      <c r="J80" s="111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</row>
    <row r="81">
      <c r="A81" s="107">
        <v>79.0</v>
      </c>
      <c r="B81" s="138">
        <v>1025574.0</v>
      </c>
      <c r="C81" s="168" t="str">
        <f>vlookup(B81,'Crew Data'!C:G,5,0)</f>
        <v>Ravinnipa Hamid</v>
      </c>
      <c r="D81" s="121" t="s">
        <v>799</v>
      </c>
      <c r="E81" s="107">
        <v>2.0</v>
      </c>
      <c r="F81" s="122">
        <f t="shared" si="1"/>
        <v>800</v>
      </c>
      <c r="G81" t="str">
        <f t="array" ref="G81">XLOOKUP(B81,Sheet68!A:A,Sheet68!AB:AB,0)</f>
        <v>ravinnipahamid@airasia.com</v>
      </c>
      <c r="H81" s="22">
        <f t="shared" si="2"/>
        <v>1</v>
      </c>
      <c r="I81" s="123" t="s">
        <v>20</v>
      </c>
      <c r="J81" s="111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</row>
    <row r="82">
      <c r="A82" s="107">
        <v>80.0</v>
      </c>
      <c r="B82" s="138">
        <v>1013180.0</v>
      </c>
      <c r="C82" s="168" t="str">
        <f>vlookup(B82,'Crew Data'!C:G,5,0)</f>
        <v>Nuttinee Rattana-u-dom</v>
      </c>
      <c r="D82" s="121" t="s">
        <v>798</v>
      </c>
      <c r="E82" s="107">
        <v>2.0</v>
      </c>
      <c r="F82" s="122">
        <f t="shared" si="1"/>
        <v>800</v>
      </c>
      <c r="G82" t="str">
        <f t="array" ref="G82">XLOOKUP(B82,Sheet68!A:A,Sheet68!AB:AB,0)</f>
        <v>nuttineer@airasia.com</v>
      </c>
      <c r="H82" s="22">
        <f t="shared" si="2"/>
        <v>1</v>
      </c>
      <c r="I82" s="123" t="s">
        <v>20</v>
      </c>
      <c r="J82" s="111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</row>
    <row r="83">
      <c r="A83" s="107">
        <v>81.0</v>
      </c>
      <c r="B83" s="138">
        <v>1006960.0</v>
      </c>
      <c r="C83" s="168" t="str">
        <f>vlookup(B83,'Crew Data'!C:G,5,0)</f>
        <v>Natnicha Chumnuan</v>
      </c>
      <c r="D83" s="121" t="s">
        <v>800</v>
      </c>
      <c r="E83" s="107">
        <v>2.0</v>
      </c>
      <c r="F83" s="122">
        <f t="shared" si="1"/>
        <v>800</v>
      </c>
      <c r="G83" t="str">
        <f t="array" ref="G83">XLOOKUP(B83,Sheet68!A:A,Sheet68!AB:AB,0)</f>
        <v>natnichac@airasia.com</v>
      </c>
      <c r="H83" s="22">
        <f t="shared" si="2"/>
        <v>1</v>
      </c>
      <c r="I83" s="123" t="s">
        <v>20</v>
      </c>
      <c r="J83" s="111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</row>
    <row r="84">
      <c r="A84" s="107">
        <v>82.0</v>
      </c>
      <c r="B84" s="138">
        <v>1038746.0</v>
      </c>
      <c r="C84" s="168" t="str">
        <f>vlookup(B84,'Crew Data'!C:G,5,0)</f>
        <v>Supakorn Ekataksin</v>
      </c>
      <c r="D84" s="121" t="s">
        <v>801</v>
      </c>
      <c r="E84" s="107">
        <v>2.0</v>
      </c>
      <c r="F84" s="122">
        <f t="shared" si="1"/>
        <v>800</v>
      </c>
      <c r="G84" t="str">
        <f t="array" ref="G84">XLOOKUP(B84,Sheet68!A:A,Sheet68!AB:AB,0)</f>
        <v>supakornekataksin@airasia.com</v>
      </c>
      <c r="H84" s="22">
        <f t="shared" si="2"/>
        <v>1</v>
      </c>
      <c r="I84" s="123" t="s">
        <v>20</v>
      </c>
      <c r="J84" s="111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</row>
    <row r="85">
      <c r="A85" s="107">
        <v>83.0</v>
      </c>
      <c r="B85" s="139">
        <v>1003385.0</v>
      </c>
      <c r="C85" s="168" t="str">
        <f>vlookup(B85,'Crew Data'!C:G,5,0)</f>
        <v>Jaruma Jantarapap</v>
      </c>
      <c r="D85" s="121" t="s">
        <v>802</v>
      </c>
      <c r="E85" s="107">
        <v>6.0</v>
      </c>
      <c r="F85" s="122">
        <f t="shared" si="1"/>
        <v>2400</v>
      </c>
      <c r="G85" t="str">
        <f t="array" ref="G85">XLOOKUP(B85,Sheet68!A:A,Sheet68!AB:AB,0)</f>
        <v>jarumaj@airasia.com</v>
      </c>
      <c r="H85" s="22">
        <f t="shared" si="2"/>
        <v>1</v>
      </c>
      <c r="I85" s="123" t="s">
        <v>20</v>
      </c>
      <c r="J85" s="111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</row>
    <row r="86">
      <c r="A86" s="107">
        <v>84.0</v>
      </c>
      <c r="B86" s="138">
        <v>1012893.0</v>
      </c>
      <c r="C86" s="168" t="str">
        <f>vlookup(B86,'Crew Data'!C:G,5,0)</f>
        <v>Areeya Payap</v>
      </c>
      <c r="D86" s="121" t="s">
        <v>703</v>
      </c>
      <c r="E86" s="107">
        <v>2.0</v>
      </c>
      <c r="F86" s="122">
        <f t="shared" si="1"/>
        <v>800</v>
      </c>
      <c r="G86" t="str">
        <f t="array" ref="G86">XLOOKUP(B86,Sheet68!A:A,Sheet68!AB:AB,0)</f>
        <v>areeyap@airasia.com</v>
      </c>
      <c r="H86" s="22">
        <f t="shared" si="2"/>
        <v>1</v>
      </c>
      <c r="I86" s="123" t="s">
        <v>20</v>
      </c>
      <c r="J86" s="111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</row>
    <row r="87">
      <c r="A87" s="107">
        <v>85.0</v>
      </c>
      <c r="B87" s="138">
        <v>1008956.0</v>
      </c>
      <c r="C87" s="168" t="str">
        <f>vlookup(B87,'Crew Data'!C:G,5,0)</f>
        <v>Duangkamon Thongfuang</v>
      </c>
      <c r="D87" s="121" t="s">
        <v>799</v>
      </c>
      <c r="E87" s="107">
        <v>2.0</v>
      </c>
      <c r="F87" s="122">
        <f t="shared" si="1"/>
        <v>800</v>
      </c>
      <c r="G87" t="str">
        <f t="array" ref="G87">XLOOKUP(B87,Sheet68!A:A,Sheet68!AB:AB,0)</f>
        <v>duangkamont@airasia.com</v>
      </c>
      <c r="H87" s="22">
        <f t="shared" si="2"/>
        <v>1</v>
      </c>
      <c r="I87" s="123" t="s">
        <v>20</v>
      </c>
      <c r="J87" s="111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</row>
    <row r="88">
      <c r="A88" s="107">
        <v>86.0</v>
      </c>
      <c r="B88" s="138">
        <v>1011306.0</v>
      </c>
      <c r="C88" s="168" t="str">
        <f>vlookup(B88,'Crew Data'!C:G,5,0)</f>
        <v>Kanthanuch Boonlor</v>
      </c>
      <c r="D88" s="121" t="s">
        <v>803</v>
      </c>
      <c r="E88" s="107">
        <v>8.0</v>
      </c>
      <c r="F88" s="122">
        <f t="shared" si="1"/>
        <v>3200</v>
      </c>
      <c r="G88" t="str">
        <f t="array" ref="G88">XLOOKUP(B88,Sheet68!A:A,Sheet68!AB:AB,0)</f>
        <v>kanthanuchb@airasia.com</v>
      </c>
      <c r="H88" s="22">
        <f t="shared" si="2"/>
        <v>1</v>
      </c>
      <c r="I88" s="123" t="s">
        <v>20</v>
      </c>
      <c r="J88" s="111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</row>
    <row r="89">
      <c r="A89" s="107">
        <v>87.0</v>
      </c>
      <c r="B89" s="138">
        <v>1010916.0</v>
      </c>
      <c r="C89" s="168" t="str">
        <f>vlookup(B89,'Crew Data'!C:G,5,0)</f>
        <v>Sivakorn Sangsukiam</v>
      </c>
      <c r="D89" s="121" t="s">
        <v>804</v>
      </c>
      <c r="E89" s="107">
        <v>4.0</v>
      </c>
      <c r="F89" s="122">
        <f t="shared" si="1"/>
        <v>1600</v>
      </c>
      <c r="G89" t="str">
        <f t="array" ref="G89">XLOOKUP(B89,Sheet68!A:A,Sheet68!AB:AB,0)</f>
        <v>sivakorns@airasia.com</v>
      </c>
      <c r="H89" s="22">
        <f t="shared" si="2"/>
        <v>1</v>
      </c>
      <c r="I89" s="123" t="s">
        <v>20</v>
      </c>
      <c r="J89" s="111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</row>
    <row r="90">
      <c r="A90" s="107">
        <v>88.0</v>
      </c>
      <c r="B90" s="138">
        <v>1044230.0</v>
      </c>
      <c r="C90" s="168" t="str">
        <f>vlookup(B90,'Crew Data'!C:G,5,0)</f>
        <v>Sujinut Ruangmalai</v>
      </c>
      <c r="D90" s="121" t="s">
        <v>805</v>
      </c>
      <c r="E90" s="107">
        <v>2.0</v>
      </c>
      <c r="F90" s="122">
        <f t="shared" si="1"/>
        <v>800</v>
      </c>
      <c r="G90" t="str">
        <f t="array" ref="G90">XLOOKUP(B90,Sheet68!A:A,Sheet68!AB:AB,0)</f>
        <v>sujinutrua@airasia.com</v>
      </c>
      <c r="H90" s="22">
        <f t="shared" si="2"/>
        <v>1</v>
      </c>
      <c r="I90" s="123" t="s">
        <v>20</v>
      </c>
      <c r="J90" s="111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</row>
    <row r="91">
      <c r="A91" s="107">
        <v>89.0</v>
      </c>
      <c r="B91" s="138">
        <v>1019542.0</v>
      </c>
      <c r="C91" s="168" t="str">
        <f>vlookup(B91,'Crew Data'!C:G,5,0)</f>
        <v>Siravich Prathompatama</v>
      </c>
      <c r="D91" s="125">
        <v>45973.0</v>
      </c>
      <c r="E91" s="107">
        <v>1.0</v>
      </c>
      <c r="F91" s="122">
        <f t="shared" si="1"/>
        <v>400</v>
      </c>
      <c r="G91" t="str">
        <f t="array" ref="G91">XLOOKUP(B91,Sheet68!A:A,Sheet68!AB:AB,0)</f>
        <v>siravichp@airasia.com</v>
      </c>
      <c r="H91" s="22">
        <f t="shared" si="2"/>
        <v>1</v>
      </c>
      <c r="I91" s="123" t="s">
        <v>20</v>
      </c>
      <c r="J91" s="111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</row>
    <row r="92">
      <c r="A92" s="107">
        <v>90.0</v>
      </c>
      <c r="B92" s="138">
        <v>1039924.0</v>
      </c>
      <c r="C92" s="168" t="str">
        <f>vlookup(B92,'Crew Data'!C:G,5,0)</f>
        <v>Pornkamol Tonsakulwong</v>
      </c>
      <c r="D92" s="121" t="s">
        <v>770</v>
      </c>
      <c r="E92" s="107">
        <v>2.0</v>
      </c>
      <c r="F92" s="122">
        <f t="shared" si="1"/>
        <v>800</v>
      </c>
      <c r="G92" t="str">
        <f t="array" ref="G92">XLOOKUP(B92,Sheet68!A:A,Sheet68!AB:AB,0)</f>
        <v>pornkamoltonsakulwo@airasia.com</v>
      </c>
      <c r="H92" s="22">
        <f t="shared" si="2"/>
        <v>1</v>
      </c>
      <c r="I92" s="123" t="s">
        <v>20</v>
      </c>
      <c r="J92" s="111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</row>
    <row r="93">
      <c r="A93" s="107">
        <v>91.0</v>
      </c>
      <c r="B93" s="138">
        <v>1017648.0</v>
      </c>
      <c r="C93" s="168" t="str">
        <f>vlookup(B93,'Crew Data'!C:G,5,0)</f>
        <v>Sangkas Phetchai</v>
      </c>
      <c r="D93" s="121" t="s">
        <v>781</v>
      </c>
      <c r="E93" s="107">
        <v>2.0</v>
      </c>
      <c r="F93" s="122">
        <f t="shared" si="1"/>
        <v>800</v>
      </c>
      <c r="G93" t="str">
        <f t="array" ref="G93">XLOOKUP(B93,Sheet68!A:A,Sheet68!AB:AB,0)</f>
        <v>sangkasp@airasia.com</v>
      </c>
      <c r="H93" s="22">
        <f t="shared" si="2"/>
        <v>1</v>
      </c>
      <c r="I93" s="123" t="s">
        <v>20</v>
      </c>
      <c r="J93" s="111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</row>
    <row r="94">
      <c r="A94" s="107">
        <v>92.0</v>
      </c>
      <c r="B94" s="138">
        <v>1044237.0</v>
      </c>
      <c r="C94" s="168" t="str">
        <f>vlookup(B94,'Crew Data'!C:G,5,0)</f>
        <v>Suyomi Setthamungkorn</v>
      </c>
      <c r="D94" s="125">
        <v>45985.0</v>
      </c>
      <c r="E94" s="107">
        <v>1.0</v>
      </c>
      <c r="F94" s="122">
        <f t="shared" si="1"/>
        <v>400</v>
      </c>
      <c r="G94" t="str">
        <f t="array" ref="G94">XLOOKUP(B94,Sheet68!A:A,Sheet68!AB:AB,0)</f>
        <v>suyomiset@airasia.com</v>
      </c>
      <c r="H94" s="22">
        <f t="shared" si="2"/>
        <v>1</v>
      </c>
      <c r="I94" s="123" t="s">
        <v>20</v>
      </c>
      <c r="J94" s="111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</row>
    <row r="95" ht="16.5" customHeight="1">
      <c r="A95" s="107">
        <v>93.0</v>
      </c>
      <c r="B95" s="138">
        <v>1023595.0</v>
      </c>
      <c r="C95" s="168" t="str">
        <f>vlookup(B95,'Crew Data'!C:G,5,0)</f>
        <v>Kanokpan Tongnu</v>
      </c>
      <c r="D95" s="125">
        <v>45991.0</v>
      </c>
      <c r="E95" s="107">
        <v>1.0</v>
      </c>
      <c r="F95" s="122">
        <f t="shared" si="1"/>
        <v>400</v>
      </c>
      <c r="G95" t="str">
        <f t="array" ref="G95">XLOOKUP(B95,Sheet68!A:A,Sheet68!AB:AB,0)</f>
        <v>kanokpantongnu@airasia.com</v>
      </c>
      <c r="H95" s="22">
        <f t="shared" si="2"/>
        <v>1</v>
      </c>
      <c r="I95" s="123" t="s">
        <v>20</v>
      </c>
      <c r="J95" s="111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</row>
    <row r="96" ht="16.5" customHeight="1">
      <c r="A96" s="107">
        <v>94.0</v>
      </c>
      <c r="B96" s="138">
        <v>1014346.0</v>
      </c>
      <c r="C96" s="168" t="str">
        <f>vlookup(B96,'Crew Data'!C:G,5,0)</f>
        <v>Narongchai Mongkolchartthai</v>
      </c>
      <c r="D96" s="125">
        <v>45991.0</v>
      </c>
      <c r="E96" s="107">
        <v>1.0</v>
      </c>
      <c r="F96" s="122">
        <f t="shared" si="1"/>
        <v>400</v>
      </c>
      <c r="G96" t="str">
        <f t="array" ref="G96">XLOOKUP(B96,Sheet68!A:A,Sheet68!AB:AB,0)</f>
        <v>narongchaim@airasia.com</v>
      </c>
      <c r="H96" s="22">
        <f t="shared" si="2"/>
        <v>1</v>
      </c>
      <c r="I96" s="123" t="s">
        <v>20</v>
      </c>
      <c r="J96" s="111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</row>
    <row r="97" ht="16.5" customHeight="1">
      <c r="A97" s="107"/>
      <c r="B97" s="138"/>
      <c r="C97" s="168"/>
      <c r="D97" s="195"/>
      <c r="E97" s="107"/>
      <c r="F97" s="122"/>
      <c r="H97" s="22"/>
      <c r="I97" s="123"/>
      <c r="J97" s="111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</row>
    <row r="98" ht="16.5" customHeight="1">
      <c r="A98" s="107"/>
      <c r="B98" s="138"/>
      <c r="C98" s="168"/>
      <c r="D98" s="195"/>
      <c r="E98" s="107"/>
      <c r="F98" s="122"/>
      <c r="H98" s="22"/>
      <c r="I98" s="123"/>
      <c r="J98" s="111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</row>
    <row r="99" ht="16.5" customHeight="1">
      <c r="A99" s="107"/>
      <c r="B99" s="138"/>
      <c r="C99" s="168"/>
      <c r="D99" s="195"/>
      <c r="E99" s="107"/>
      <c r="F99" s="122"/>
      <c r="H99" s="22"/>
      <c r="I99" s="123"/>
      <c r="J99" s="111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</row>
    <row r="100" ht="16.5" customHeight="1">
      <c r="A100" s="107"/>
      <c r="B100" s="138"/>
      <c r="C100" s="168"/>
      <c r="D100" s="195"/>
      <c r="E100" s="107"/>
      <c r="F100" s="122"/>
      <c r="H100" s="22"/>
      <c r="I100" s="123"/>
      <c r="J100" s="111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</row>
    <row r="101" ht="16.5" customHeight="1">
      <c r="A101" s="107"/>
      <c r="B101" s="138"/>
      <c r="C101" s="168"/>
      <c r="D101" s="195"/>
      <c r="E101" s="107"/>
      <c r="F101" s="122"/>
      <c r="H101" s="22"/>
      <c r="I101" s="123"/>
      <c r="J101" s="111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</row>
    <row r="102" ht="16.5" customHeight="1">
      <c r="A102" s="107"/>
      <c r="B102" s="138"/>
      <c r="C102" s="168"/>
      <c r="D102" s="195"/>
      <c r="E102" s="107"/>
      <c r="F102" s="122"/>
      <c r="H102" s="22"/>
      <c r="I102" s="123"/>
      <c r="J102" s="111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</row>
    <row r="103" ht="16.5" customHeight="1">
      <c r="A103" s="107"/>
      <c r="B103" s="138"/>
      <c r="C103" s="168"/>
      <c r="D103" s="195"/>
      <c r="E103" s="107"/>
      <c r="F103" s="122"/>
      <c r="H103" s="22"/>
      <c r="I103" s="123"/>
      <c r="J103" s="111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</row>
    <row r="104" ht="16.5" customHeight="1">
      <c r="A104" s="107"/>
      <c r="B104" s="138"/>
      <c r="C104" s="168"/>
      <c r="D104" s="195"/>
      <c r="E104" s="107"/>
      <c r="F104" s="122"/>
      <c r="H104" s="22"/>
      <c r="I104" s="123"/>
      <c r="J104" s="111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</row>
    <row r="105" ht="16.5" customHeight="1">
      <c r="A105" s="107"/>
      <c r="B105" s="138"/>
      <c r="C105" s="168"/>
      <c r="D105" s="195"/>
      <c r="E105" s="107"/>
      <c r="F105" s="122"/>
      <c r="H105" s="22"/>
      <c r="I105" s="123"/>
      <c r="J105" s="111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</row>
    <row r="106" ht="16.5" customHeight="1">
      <c r="A106" s="107"/>
      <c r="B106" s="138"/>
      <c r="C106" s="168"/>
      <c r="D106" s="195"/>
      <c r="E106" s="107"/>
      <c r="F106" s="122"/>
      <c r="H106" s="22"/>
      <c r="I106" s="123"/>
      <c r="J106" s="111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</row>
    <row r="107" ht="16.5" customHeight="1">
      <c r="A107" s="107"/>
      <c r="B107" s="138"/>
      <c r="C107" s="168"/>
      <c r="D107" s="195"/>
      <c r="E107" s="107"/>
      <c r="F107" s="122"/>
      <c r="H107" s="22"/>
      <c r="I107" s="123"/>
      <c r="J107" s="111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</row>
    <row r="108" ht="16.5" customHeight="1">
      <c r="A108" s="107"/>
      <c r="B108" s="138"/>
      <c r="C108" s="168"/>
      <c r="D108" s="195"/>
      <c r="E108" s="107"/>
      <c r="F108" s="122"/>
      <c r="H108" s="22"/>
      <c r="I108" s="123"/>
      <c r="J108" s="111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</row>
    <row r="109" ht="16.5" customHeight="1">
      <c r="A109" s="107"/>
      <c r="B109" s="138"/>
      <c r="C109" s="168"/>
      <c r="D109" s="195"/>
      <c r="E109" s="107"/>
      <c r="F109" s="122"/>
      <c r="H109" s="22"/>
      <c r="I109" s="123"/>
      <c r="J109" s="111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</row>
    <row r="110" ht="16.5" customHeight="1">
      <c r="A110" s="107"/>
      <c r="B110" s="138"/>
      <c r="C110" s="168"/>
      <c r="D110" s="195"/>
      <c r="E110" s="107"/>
      <c r="F110" s="122"/>
      <c r="H110" s="22"/>
      <c r="I110" s="123"/>
      <c r="J110" s="111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</row>
    <row r="111" ht="16.5" customHeight="1">
      <c r="A111" s="107"/>
      <c r="B111" s="138"/>
      <c r="C111" s="168"/>
      <c r="D111" s="195"/>
      <c r="E111" s="107"/>
      <c r="F111" s="122"/>
      <c r="H111" s="22"/>
      <c r="I111" s="123"/>
      <c r="J111" s="111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</row>
    <row r="112" ht="16.5" customHeight="1">
      <c r="A112" s="107"/>
      <c r="B112" s="138"/>
      <c r="C112" s="168"/>
      <c r="D112" s="195"/>
      <c r="E112" s="107"/>
      <c r="F112" s="122"/>
      <c r="H112" s="22"/>
      <c r="I112" s="123"/>
      <c r="J112" s="111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</row>
    <row r="113" ht="16.5" customHeight="1">
      <c r="A113" s="107"/>
      <c r="B113" s="138"/>
      <c r="C113" s="168"/>
      <c r="D113" s="195"/>
      <c r="E113" s="107"/>
      <c r="F113" s="122"/>
      <c r="H113" s="22"/>
      <c r="I113" s="123"/>
      <c r="J113" s="111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</row>
    <row r="114" ht="16.5" customHeight="1">
      <c r="A114" s="107"/>
      <c r="B114" s="138"/>
      <c r="C114" s="168"/>
      <c r="D114" s="195"/>
      <c r="E114" s="107"/>
      <c r="F114" s="122"/>
      <c r="H114" s="22"/>
      <c r="I114" s="123"/>
      <c r="J114" s="111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</row>
    <row r="115" ht="16.5" customHeight="1">
      <c r="A115" s="107"/>
      <c r="B115" s="138"/>
      <c r="C115" s="168"/>
      <c r="D115" s="195"/>
      <c r="E115" s="107"/>
      <c r="F115" s="122"/>
      <c r="H115" s="22"/>
      <c r="I115" s="123"/>
      <c r="J115" s="111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</row>
    <row r="116" ht="16.5" customHeight="1">
      <c r="A116" s="107"/>
      <c r="B116" s="138"/>
      <c r="C116" s="168"/>
      <c r="D116" s="195"/>
      <c r="E116" s="107"/>
      <c r="F116" s="122"/>
      <c r="H116" s="22"/>
      <c r="I116" s="123"/>
      <c r="J116" s="111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</row>
    <row r="117" ht="16.5" customHeight="1">
      <c r="A117" s="107"/>
      <c r="B117" s="138"/>
      <c r="C117" s="168"/>
      <c r="D117" s="195"/>
      <c r="E117" s="107"/>
      <c r="F117" s="122"/>
      <c r="H117" s="22"/>
      <c r="I117" s="123"/>
      <c r="J117" s="111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</row>
    <row r="118" ht="16.5" customHeight="1">
      <c r="A118" s="107"/>
      <c r="B118" s="138"/>
      <c r="C118" s="168"/>
      <c r="D118" s="195"/>
      <c r="E118" s="107"/>
      <c r="F118" s="122"/>
      <c r="H118" s="22"/>
      <c r="I118" s="123"/>
      <c r="J118" s="111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</row>
    <row r="119" ht="16.5" customHeight="1">
      <c r="A119" s="107"/>
      <c r="B119" s="138"/>
      <c r="C119" s="168"/>
      <c r="D119" s="195"/>
      <c r="E119" s="107"/>
      <c r="F119" s="122"/>
      <c r="H119" s="22"/>
      <c r="I119" s="123"/>
      <c r="J119" s="111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</row>
    <row r="120" ht="16.5" customHeight="1">
      <c r="A120" s="107"/>
      <c r="B120" s="138"/>
      <c r="C120" s="168"/>
      <c r="D120" s="195"/>
      <c r="E120" s="107"/>
      <c r="F120" s="122"/>
      <c r="H120" s="22"/>
      <c r="I120" s="123"/>
      <c r="J120" s="111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</row>
    <row r="121" ht="16.5" customHeight="1">
      <c r="A121" s="107"/>
      <c r="B121" s="138"/>
      <c r="C121" s="168"/>
      <c r="D121" s="195"/>
      <c r="E121" s="107"/>
      <c r="F121" s="122"/>
      <c r="H121" s="22"/>
      <c r="I121" s="123"/>
      <c r="J121" s="111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</row>
    <row r="122" ht="16.5" customHeight="1">
      <c r="A122" s="107"/>
      <c r="B122" s="138"/>
      <c r="C122" s="168"/>
      <c r="D122" s="195"/>
      <c r="E122" s="107"/>
      <c r="F122" s="122"/>
      <c r="H122" s="22"/>
      <c r="I122" s="123"/>
      <c r="J122" s="111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</row>
    <row r="123" ht="16.5" customHeight="1">
      <c r="A123" s="107"/>
      <c r="B123" s="138"/>
      <c r="C123" s="168"/>
      <c r="D123" s="195"/>
      <c r="E123" s="107"/>
      <c r="F123" s="122"/>
      <c r="H123" s="22"/>
      <c r="I123" s="123"/>
      <c r="J123" s="111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</row>
    <row r="124" ht="16.5" customHeight="1">
      <c r="A124" s="107"/>
      <c r="B124" s="138"/>
      <c r="C124" s="168"/>
      <c r="D124" s="195"/>
      <c r="E124" s="107"/>
      <c r="F124" s="122"/>
      <c r="H124" s="22"/>
      <c r="I124" s="123"/>
      <c r="J124" s="111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</row>
    <row r="125" ht="16.5" customHeight="1">
      <c r="A125" s="107"/>
      <c r="B125" s="138"/>
      <c r="C125" s="168"/>
      <c r="D125" s="195"/>
      <c r="E125" s="107"/>
      <c r="F125" s="122"/>
      <c r="H125" s="22"/>
      <c r="I125" s="123"/>
      <c r="J125" s="111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</row>
    <row r="126" ht="16.5" customHeight="1">
      <c r="A126" s="107"/>
      <c r="B126" s="138"/>
      <c r="C126" s="168"/>
      <c r="D126" s="195"/>
      <c r="E126" s="107"/>
      <c r="F126" s="122"/>
      <c r="H126" s="22"/>
      <c r="I126" s="123"/>
      <c r="J126" s="111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</row>
    <row r="127" ht="16.5" customHeight="1">
      <c r="A127" s="107"/>
      <c r="B127" s="138"/>
      <c r="C127" s="168"/>
      <c r="D127" s="195"/>
      <c r="E127" s="107"/>
      <c r="F127" s="122"/>
      <c r="H127" s="22"/>
      <c r="I127" s="123"/>
      <c r="J127" s="111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</row>
    <row r="128" ht="16.5" customHeight="1">
      <c r="A128" s="107"/>
      <c r="B128" s="138"/>
      <c r="C128" s="168"/>
      <c r="D128" s="195"/>
      <c r="E128" s="107"/>
      <c r="F128" s="122"/>
      <c r="H128" s="22"/>
      <c r="I128" s="123"/>
      <c r="J128" s="111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</row>
    <row r="129" ht="16.5" customHeight="1">
      <c r="A129" s="107"/>
      <c r="B129" s="138"/>
      <c r="C129" s="168"/>
      <c r="D129" s="195"/>
      <c r="E129" s="107"/>
      <c r="F129" s="122"/>
      <c r="H129" s="22"/>
      <c r="I129" s="123"/>
      <c r="J129" s="111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</row>
    <row r="130" ht="16.5" customHeight="1">
      <c r="A130" s="107"/>
      <c r="B130" s="138"/>
      <c r="C130" s="168"/>
      <c r="D130" s="195"/>
      <c r="E130" s="107"/>
      <c r="F130" s="122"/>
      <c r="H130" s="22"/>
      <c r="I130" s="123"/>
      <c r="J130" s="111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</row>
    <row r="131" ht="16.5" customHeight="1">
      <c r="A131" s="107"/>
      <c r="B131" s="138"/>
      <c r="C131" s="168"/>
      <c r="D131" s="195"/>
      <c r="E131" s="107"/>
      <c r="F131" s="122"/>
      <c r="H131" s="22"/>
      <c r="I131" s="123"/>
      <c r="J131" s="111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</row>
    <row r="132" ht="16.5" customHeight="1">
      <c r="A132" s="107"/>
      <c r="B132" s="138"/>
      <c r="C132" s="168"/>
      <c r="D132" s="195"/>
      <c r="E132" s="107"/>
      <c r="F132" s="122"/>
      <c r="H132" s="22"/>
      <c r="I132" s="123"/>
      <c r="J132" s="111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</row>
    <row r="133" ht="16.5" customHeight="1">
      <c r="A133" s="107"/>
      <c r="B133" s="138"/>
      <c r="C133" s="168"/>
      <c r="D133" s="195"/>
      <c r="E133" s="107"/>
      <c r="F133" s="122"/>
      <c r="H133" s="22"/>
      <c r="I133" s="123"/>
      <c r="J133" s="111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</row>
    <row r="134" ht="16.5" customHeight="1">
      <c r="A134" s="107"/>
      <c r="B134" s="138"/>
      <c r="C134" s="168"/>
      <c r="D134" s="195"/>
      <c r="E134" s="107"/>
      <c r="F134" s="122"/>
      <c r="H134" s="22"/>
      <c r="I134" s="123"/>
      <c r="J134" s="111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</row>
    <row r="135" ht="16.5" customHeight="1">
      <c r="A135" s="107"/>
      <c r="B135" s="138"/>
      <c r="C135" s="168"/>
      <c r="D135" s="195"/>
      <c r="E135" s="107"/>
      <c r="F135" s="122"/>
      <c r="H135" s="22"/>
      <c r="I135" s="123"/>
      <c r="J135" s="111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</row>
    <row r="136" ht="16.5" customHeight="1">
      <c r="A136" s="107"/>
      <c r="B136" s="138"/>
      <c r="C136" s="168"/>
      <c r="D136" s="195"/>
      <c r="E136" s="107"/>
      <c r="F136" s="122"/>
      <c r="H136" s="22"/>
      <c r="I136" s="123"/>
      <c r="J136" s="111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</row>
    <row r="137" ht="16.5" customHeight="1">
      <c r="A137" s="107"/>
      <c r="B137" s="138"/>
      <c r="C137" s="168"/>
      <c r="D137" s="195"/>
      <c r="E137" s="107"/>
      <c r="F137" s="122"/>
      <c r="H137" s="22"/>
      <c r="I137" s="123"/>
      <c r="J137" s="111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</row>
    <row r="138" ht="16.5" customHeight="1">
      <c r="A138" s="107"/>
      <c r="B138" s="138"/>
      <c r="C138" s="168"/>
      <c r="D138" s="195"/>
      <c r="E138" s="107"/>
      <c r="F138" s="122"/>
      <c r="H138" s="22"/>
      <c r="I138" s="123"/>
      <c r="J138" s="111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</row>
    <row r="139" ht="16.5" customHeight="1">
      <c r="A139" s="107"/>
      <c r="B139" s="138"/>
      <c r="C139" s="168"/>
      <c r="D139" s="195"/>
      <c r="E139" s="107"/>
      <c r="F139" s="122"/>
      <c r="H139" s="22"/>
      <c r="I139" s="123"/>
      <c r="J139" s="111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</row>
    <row r="140" ht="16.5" customHeight="1">
      <c r="A140" s="107"/>
      <c r="B140" s="138"/>
      <c r="C140" s="168"/>
      <c r="D140" s="195"/>
      <c r="E140" s="107"/>
      <c r="F140" s="122"/>
      <c r="H140" s="22"/>
      <c r="I140" s="123"/>
      <c r="J140" s="111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</row>
    <row r="141" ht="16.5" customHeight="1">
      <c r="A141" s="107"/>
      <c r="B141" s="138"/>
      <c r="C141" s="168"/>
      <c r="D141" s="195"/>
      <c r="E141" s="107"/>
      <c r="F141" s="122"/>
      <c r="H141" s="22"/>
      <c r="I141" s="123"/>
      <c r="J141" s="111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</row>
    <row r="142" ht="16.5" customHeight="1">
      <c r="A142" s="107"/>
      <c r="B142" s="138"/>
      <c r="C142" s="168"/>
      <c r="D142" s="195"/>
      <c r="E142" s="107"/>
      <c r="F142" s="122"/>
      <c r="H142" s="22"/>
      <c r="I142" s="123"/>
      <c r="J142" s="111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</row>
    <row r="143" ht="16.5" customHeight="1">
      <c r="A143" s="107"/>
      <c r="B143" s="138"/>
      <c r="C143" s="168"/>
      <c r="D143" s="195"/>
      <c r="E143" s="107"/>
      <c r="F143" s="122"/>
      <c r="H143" s="22"/>
      <c r="I143" s="123"/>
      <c r="J143" s="111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</row>
    <row r="144" ht="16.5" customHeight="1">
      <c r="A144" s="107"/>
      <c r="B144" s="138"/>
      <c r="C144" s="168"/>
      <c r="D144" s="195"/>
      <c r="E144" s="107"/>
      <c r="F144" s="122"/>
      <c r="H144" s="22"/>
      <c r="I144" s="123"/>
      <c r="J144" s="111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</row>
    <row r="145" ht="16.5" customHeight="1">
      <c r="A145" s="107"/>
      <c r="B145" s="138"/>
      <c r="C145" s="168"/>
      <c r="D145" s="195"/>
      <c r="E145" s="107"/>
      <c r="F145" s="122"/>
      <c r="H145" s="22"/>
      <c r="I145" s="123"/>
      <c r="J145" s="111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</row>
    <row r="146" ht="16.5" customHeight="1">
      <c r="A146" s="107"/>
      <c r="B146" s="138"/>
      <c r="C146" s="168"/>
      <c r="D146" s="195"/>
      <c r="E146" s="107"/>
      <c r="F146" s="122"/>
      <c r="H146" s="22"/>
      <c r="I146" s="123"/>
      <c r="J146" s="111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</row>
    <row r="147" ht="16.5" customHeight="1">
      <c r="A147" s="107"/>
      <c r="B147" s="138"/>
      <c r="C147" s="168"/>
      <c r="D147" s="195"/>
      <c r="E147" s="107"/>
      <c r="F147" s="122"/>
      <c r="H147" s="22"/>
      <c r="I147" s="123"/>
      <c r="J147" s="111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</row>
    <row r="148" ht="16.5" customHeight="1">
      <c r="A148" s="107"/>
      <c r="B148" s="138"/>
      <c r="C148" s="168"/>
      <c r="D148" s="195"/>
      <c r="E148" s="107"/>
      <c r="F148" s="122"/>
      <c r="H148" s="22"/>
      <c r="I148" s="123"/>
      <c r="J148" s="111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</row>
    <row r="149" ht="16.5" customHeight="1">
      <c r="A149" s="107"/>
      <c r="B149" s="138"/>
      <c r="C149" s="168"/>
      <c r="D149" s="195"/>
      <c r="E149" s="107"/>
      <c r="F149" s="122"/>
      <c r="H149" s="22"/>
      <c r="I149" s="123"/>
      <c r="J149" s="111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</row>
    <row r="150" ht="16.5" customHeight="1">
      <c r="A150" s="107"/>
      <c r="B150" s="138"/>
      <c r="C150" s="168"/>
      <c r="D150" s="195"/>
      <c r="E150" s="107"/>
      <c r="F150" s="122"/>
      <c r="H150" s="22"/>
      <c r="I150" s="123"/>
      <c r="J150" s="111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</row>
    <row r="151" ht="16.5" customHeight="1">
      <c r="A151" s="107"/>
      <c r="B151" s="138"/>
      <c r="C151" s="168"/>
      <c r="D151" s="195"/>
      <c r="E151" s="107"/>
      <c r="F151" s="122"/>
      <c r="H151" s="22"/>
      <c r="I151" s="123"/>
      <c r="J151" s="111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</row>
    <row r="152" ht="16.5" customHeight="1">
      <c r="A152" s="107"/>
      <c r="B152" s="138"/>
      <c r="C152" s="168"/>
      <c r="D152" s="195"/>
      <c r="E152" s="107"/>
      <c r="F152" s="122"/>
      <c r="H152" s="22"/>
      <c r="I152" s="123"/>
      <c r="J152" s="111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</row>
    <row r="153" ht="16.5" customHeight="1">
      <c r="A153" s="107"/>
      <c r="B153" s="138"/>
      <c r="C153" s="168"/>
      <c r="D153" s="195"/>
      <c r="E153" s="107"/>
      <c r="F153" s="122"/>
      <c r="H153" s="22"/>
      <c r="I153" s="123"/>
      <c r="J153" s="111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</row>
    <row r="154" ht="16.5" customHeight="1">
      <c r="A154" s="107"/>
      <c r="B154" s="138"/>
      <c r="C154" s="168"/>
      <c r="D154" s="195"/>
      <c r="E154" s="107"/>
      <c r="F154" s="122"/>
      <c r="H154" s="22"/>
      <c r="I154" s="123"/>
      <c r="J154" s="111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</row>
    <row r="155" ht="16.5" customHeight="1">
      <c r="A155" s="107"/>
      <c r="B155" s="138"/>
      <c r="C155" s="168"/>
      <c r="D155" s="195"/>
      <c r="E155" s="107"/>
      <c r="F155" s="122"/>
      <c r="H155" s="22"/>
      <c r="I155" s="123"/>
      <c r="J155" s="111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</row>
    <row r="156" ht="16.5" customHeight="1">
      <c r="A156" s="107"/>
      <c r="B156" s="138"/>
      <c r="C156" s="168"/>
      <c r="D156" s="195"/>
      <c r="E156" s="107"/>
      <c r="F156" s="122"/>
      <c r="H156" s="22"/>
      <c r="I156" s="123"/>
      <c r="J156" s="111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</row>
    <row r="157" ht="16.5" customHeight="1">
      <c r="A157" s="107"/>
      <c r="B157" s="138"/>
      <c r="C157" s="168"/>
      <c r="D157" s="195"/>
      <c r="E157" s="107"/>
      <c r="F157" s="122"/>
      <c r="H157" s="22"/>
      <c r="I157" s="123"/>
      <c r="J157" s="111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</row>
    <row r="158" ht="16.5" customHeight="1">
      <c r="A158" s="107"/>
      <c r="B158" s="138"/>
      <c r="C158" s="168"/>
      <c r="D158" s="195"/>
      <c r="E158" s="107"/>
      <c r="F158" s="122"/>
      <c r="H158" s="22"/>
      <c r="I158" s="123"/>
      <c r="J158" s="111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</row>
    <row r="159" ht="16.5" customHeight="1">
      <c r="A159" s="107"/>
      <c r="B159" s="138"/>
      <c r="C159" s="168"/>
      <c r="D159" s="195"/>
      <c r="E159" s="107"/>
      <c r="F159" s="122"/>
      <c r="H159" s="22"/>
      <c r="I159" s="123"/>
      <c r="J159" s="111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</row>
    <row r="160" ht="16.5" customHeight="1">
      <c r="A160" s="107"/>
      <c r="B160" s="138"/>
      <c r="C160" s="168"/>
      <c r="D160" s="195"/>
      <c r="E160" s="107"/>
      <c r="F160" s="122"/>
      <c r="H160" s="22"/>
      <c r="I160" s="123"/>
      <c r="J160" s="111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</row>
    <row r="161" ht="16.5" customHeight="1">
      <c r="A161" s="107"/>
      <c r="B161" s="138"/>
      <c r="C161" s="168"/>
      <c r="D161" s="195"/>
      <c r="E161" s="107"/>
      <c r="F161" s="122"/>
      <c r="H161" s="22"/>
      <c r="I161" s="123"/>
      <c r="J161" s="111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</row>
    <row r="162" ht="16.5" customHeight="1">
      <c r="A162" s="107"/>
      <c r="B162" s="138"/>
      <c r="C162" s="168"/>
      <c r="D162" s="195"/>
      <c r="E162" s="107"/>
      <c r="F162" s="122"/>
      <c r="H162" s="22"/>
      <c r="I162" s="123"/>
      <c r="J162" s="111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</row>
    <row r="163" ht="16.5" customHeight="1">
      <c r="A163" s="107"/>
      <c r="B163" s="138"/>
      <c r="C163" s="168"/>
      <c r="D163" s="195"/>
      <c r="E163" s="107"/>
      <c r="F163" s="122"/>
      <c r="H163" s="22"/>
      <c r="I163" s="123"/>
      <c r="J163" s="111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</row>
    <row r="164" ht="16.5" customHeight="1">
      <c r="A164" s="107"/>
      <c r="B164" s="138"/>
      <c r="C164" s="168"/>
      <c r="D164" s="195"/>
      <c r="E164" s="107"/>
      <c r="F164" s="122"/>
      <c r="H164" s="22"/>
      <c r="I164" s="123"/>
      <c r="J164" s="111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</row>
    <row r="165" ht="16.5" customHeight="1">
      <c r="A165" s="107"/>
      <c r="B165" s="138"/>
      <c r="C165" s="168"/>
      <c r="D165" s="195"/>
      <c r="E165" s="107"/>
      <c r="F165" s="122"/>
      <c r="H165" s="22"/>
      <c r="I165" s="123"/>
      <c r="J165" s="111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</row>
    <row r="166" ht="16.5" customHeight="1">
      <c r="A166" s="107"/>
      <c r="B166" s="138"/>
      <c r="C166" s="168"/>
      <c r="D166" s="195"/>
      <c r="E166" s="107"/>
      <c r="F166" s="122"/>
      <c r="H166" s="22"/>
      <c r="I166" s="123"/>
      <c r="J166" s="111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</row>
    <row r="167" ht="16.5" customHeight="1">
      <c r="A167" s="107"/>
      <c r="B167" s="138"/>
      <c r="C167" s="168"/>
      <c r="D167" s="195"/>
      <c r="E167" s="107"/>
      <c r="F167" s="122"/>
      <c r="H167" s="22"/>
      <c r="I167" s="123"/>
      <c r="J167" s="111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</row>
    <row r="168" ht="16.5" customHeight="1">
      <c r="A168" s="107"/>
      <c r="B168" s="138"/>
      <c r="C168" s="168"/>
      <c r="D168" s="195"/>
      <c r="E168" s="107"/>
      <c r="F168" s="122"/>
      <c r="H168" s="22"/>
      <c r="I168" s="123"/>
      <c r="J168" s="111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</row>
    <row r="169" ht="16.5" customHeight="1">
      <c r="A169" s="107"/>
      <c r="B169" s="138"/>
      <c r="C169" s="168"/>
      <c r="D169" s="195"/>
      <c r="E169" s="107"/>
      <c r="F169" s="122"/>
      <c r="H169" s="22"/>
      <c r="I169" s="123"/>
      <c r="J169" s="111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</row>
    <row r="170" ht="16.5" customHeight="1">
      <c r="A170" s="107"/>
      <c r="B170" s="138"/>
      <c r="C170" s="168"/>
      <c r="D170" s="195"/>
      <c r="E170" s="107"/>
      <c r="F170" s="122"/>
      <c r="H170" s="22"/>
      <c r="I170" s="123"/>
      <c r="J170" s="111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</row>
    <row r="171" ht="16.5" customHeight="1">
      <c r="A171" s="107"/>
      <c r="B171" s="138"/>
      <c r="C171" s="168"/>
      <c r="D171" s="195"/>
      <c r="E171" s="107"/>
      <c r="F171" s="122"/>
      <c r="H171" s="22"/>
      <c r="I171" s="123"/>
      <c r="J171" s="111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</row>
    <row r="172" ht="16.5" customHeight="1">
      <c r="A172" s="107"/>
      <c r="B172" s="138"/>
      <c r="C172" s="168"/>
      <c r="D172" s="195"/>
      <c r="E172" s="107"/>
      <c r="F172" s="122"/>
      <c r="H172" s="22"/>
      <c r="I172" s="123"/>
      <c r="J172" s="111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</row>
    <row r="173" ht="16.5" customHeight="1">
      <c r="A173" s="107"/>
      <c r="B173" s="138"/>
      <c r="C173" s="168"/>
      <c r="D173" s="195"/>
      <c r="E173" s="107"/>
      <c r="F173" s="122"/>
      <c r="H173" s="22"/>
      <c r="I173" s="123"/>
      <c r="J173" s="111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</row>
    <row r="174" ht="16.5" customHeight="1">
      <c r="A174" s="107"/>
      <c r="B174" s="138"/>
      <c r="C174" s="168"/>
      <c r="D174" s="195"/>
      <c r="E174" s="107"/>
      <c r="F174" s="122"/>
      <c r="H174" s="22"/>
      <c r="I174" s="123"/>
      <c r="J174" s="111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</row>
    <row r="175" ht="16.5" customHeight="1">
      <c r="A175" s="107"/>
      <c r="B175" s="138"/>
      <c r="C175" s="168"/>
      <c r="D175" s="195"/>
      <c r="E175" s="107"/>
      <c r="F175" s="122"/>
      <c r="H175" s="22"/>
      <c r="I175" s="123"/>
      <c r="J175" s="111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</row>
    <row r="176" ht="16.5" customHeight="1">
      <c r="A176" s="107"/>
      <c r="B176" s="138"/>
      <c r="C176" s="168"/>
      <c r="D176" s="195"/>
      <c r="E176" s="107"/>
      <c r="F176" s="122"/>
      <c r="H176" s="22"/>
      <c r="I176" s="123"/>
      <c r="J176" s="111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</row>
    <row r="177" ht="16.5" customHeight="1">
      <c r="A177" s="107"/>
      <c r="B177" s="138"/>
      <c r="C177" s="168"/>
      <c r="D177" s="195"/>
      <c r="E177" s="107"/>
      <c r="F177" s="122"/>
      <c r="H177" s="22"/>
      <c r="I177" s="123"/>
      <c r="J177" s="111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</row>
    <row r="178" ht="16.5" customHeight="1">
      <c r="A178" s="107"/>
      <c r="B178" s="138"/>
      <c r="C178" s="168"/>
      <c r="D178" s="195"/>
      <c r="E178" s="107"/>
      <c r="F178" s="122"/>
      <c r="H178" s="22"/>
      <c r="I178" s="123"/>
      <c r="J178" s="111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</row>
    <row r="179" ht="16.5" customHeight="1">
      <c r="A179" s="107"/>
      <c r="B179" s="138"/>
      <c r="C179" s="168"/>
      <c r="D179" s="195"/>
      <c r="E179" s="107"/>
      <c r="F179" s="122"/>
      <c r="H179" s="22"/>
      <c r="I179" s="123"/>
      <c r="J179" s="111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</row>
    <row r="180" ht="16.5" customHeight="1">
      <c r="A180" s="107"/>
      <c r="B180" s="138"/>
      <c r="C180" s="168"/>
      <c r="D180" s="195"/>
      <c r="E180" s="107"/>
      <c r="F180" s="122"/>
      <c r="H180" s="22"/>
      <c r="I180" s="123"/>
      <c r="J180" s="111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</row>
    <row r="181" ht="16.5" customHeight="1">
      <c r="A181" s="107"/>
      <c r="B181" s="138"/>
      <c r="C181" s="168"/>
      <c r="D181" s="195"/>
      <c r="E181" s="107"/>
      <c r="F181" s="122"/>
      <c r="H181" s="22"/>
      <c r="I181" s="123"/>
      <c r="J181" s="111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</row>
    <row r="182" ht="16.5" customHeight="1">
      <c r="A182" s="107"/>
      <c r="B182" s="138"/>
      <c r="C182" s="168"/>
      <c r="D182" s="195"/>
      <c r="E182" s="107"/>
      <c r="F182" s="122"/>
      <c r="H182" s="22"/>
      <c r="I182" s="123"/>
      <c r="J182" s="111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</row>
    <row r="183" ht="16.5" customHeight="1">
      <c r="A183" s="107"/>
      <c r="B183" s="138"/>
      <c r="C183" s="168"/>
      <c r="D183" s="195"/>
      <c r="E183" s="107"/>
      <c r="F183" s="122"/>
      <c r="H183" s="22"/>
      <c r="I183" s="123"/>
      <c r="J183" s="111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</row>
    <row r="184" ht="16.5" customHeight="1">
      <c r="A184" s="107"/>
      <c r="B184" s="138"/>
      <c r="C184" s="168"/>
      <c r="D184" s="195"/>
      <c r="E184" s="107"/>
      <c r="F184" s="122"/>
      <c r="H184" s="22"/>
      <c r="I184" s="123"/>
      <c r="J184" s="111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</row>
    <row r="185" ht="16.5" customHeight="1">
      <c r="A185" s="107"/>
      <c r="B185" s="138"/>
      <c r="C185" s="168"/>
      <c r="D185" s="195"/>
      <c r="E185" s="107"/>
      <c r="F185" s="122"/>
      <c r="H185" s="22"/>
      <c r="I185" s="123"/>
      <c r="J185" s="111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</row>
    <row r="186" ht="16.5" customHeight="1">
      <c r="A186" s="107"/>
      <c r="B186" s="138"/>
      <c r="C186" s="168"/>
      <c r="D186" s="195"/>
      <c r="E186" s="107"/>
      <c r="F186" s="122"/>
      <c r="H186" s="22"/>
      <c r="I186" s="123"/>
      <c r="J186" s="111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</row>
    <row r="187" ht="16.5" customHeight="1">
      <c r="A187" s="107"/>
      <c r="B187" s="138"/>
      <c r="C187" s="168"/>
      <c r="D187" s="195"/>
      <c r="E187" s="107"/>
      <c r="F187" s="122"/>
      <c r="H187" s="22"/>
      <c r="I187" s="123"/>
      <c r="J187" s="111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</row>
    <row r="188" ht="16.5" customHeight="1">
      <c r="A188" s="107"/>
      <c r="B188" s="138"/>
      <c r="C188" s="168"/>
      <c r="D188" s="195"/>
      <c r="E188" s="107"/>
      <c r="F188" s="122"/>
      <c r="H188" s="22"/>
      <c r="I188" s="123"/>
      <c r="J188" s="111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</row>
    <row r="189" ht="16.5" customHeight="1">
      <c r="A189" s="107"/>
      <c r="B189" s="138"/>
      <c r="C189" s="168"/>
      <c r="D189" s="195"/>
      <c r="E189" s="107"/>
      <c r="F189" s="122"/>
      <c r="H189" s="22"/>
      <c r="I189" s="123"/>
      <c r="J189" s="111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</row>
    <row r="190" ht="16.5" customHeight="1">
      <c r="A190" s="107"/>
      <c r="B190" s="138"/>
      <c r="C190" s="168"/>
      <c r="D190" s="195"/>
      <c r="E190" s="107"/>
      <c r="F190" s="122"/>
      <c r="H190" s="22"/>
      <c r="I190" s="123"/>
      <c r="J190" s="111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</row>
    <row r="191" ht="16.5" customHeight="1">
      <c r="A191" s="107"/>
      <c r="B191" s="138"/>
      <c r="C191" s="168"/>
      <c r="D191" s="195"/>
      <c r="E191" s="107"/>
      <c r="F191" s="122"/>
      <c r="H191" s="22"/>
      <c r="I191" s="123"/>
      <c r="J191" s="111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</row>
    <row r="192" ht="16.5" customHeight="1">
      <c r="A192" s="107"/>
      <c r="B192" s="138"/>
      <c r="C192" s="168"/>
      <c r="D192" s="195"/>
      <c r="E192" s="107"/>
      <c r="F192" s="122"/>
      <c r="H192" s="22"/>
      <c r="I192" s="123"/>
      <c r="J192" s="111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</row>
    <row r="193" ht="16.5" customHeight="1">
      <c r="A193" s="107"/>
      <c r="B193" s="138"/>
      <c r="C193" s="168"/>
      <c r="D193" s="195"/>
      <c r="E193" s="107"/>
      <c r="F193" s="122"/>
      <c r="H193" s="22"/>
      <c r="I193" s="123"/>
      <c r="J193" s="111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</row>
    <row r="194" ht="16.5" customHeight="1">
      <c r="A194" s="107"/>
      <c r="B194" s="138"/>
      <c r="C194" s="168"/>
      <c r="D194" s="195"/>
      <c r="E194" s="107"/>
      <c r="F194" s="122"/>
      <c r="H194" s="22"/>
      <c r="I194" s="123"/>
      <c r="J194" s="111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</row>
    <row r="195" ht="16.5" customHeight="1">
      <c r="A195" s="107"/>
      <c r="B195" s="138"/>
      <c r="C195" s="168"/>
      <c r="D195" s="195"/>
      <c r="E195" s="107"/>
      <c r="F195" s="122"/>
      <c r="H195" s="22"/>
      <c r="I195" s="123"/>
      <c r="J195" s="111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</row>
    <row r="196" ht="16.5" customHeight="1">
      <c r="A196" s="107"/>
      <c r="B196" s="138"/>
      <c r="C196" s="168"/>
      <c r="D196" s="195"/>
      <c r="E196" s="107"/>
      <c r="F196" s="122"/>
      <c r="H196" s="22"/>
      <c r="I196" s="123"/>
      <c r="J196" s="111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</row>
    <row r="197" ht="16.5" customHeight="1">
      <c r="A197" s="107"/>
      <c r="B197" s="138"/>
      <c r="C197" s="168"/>
      <c r="D197" s="195"/>
      <c r="E197" s="107"/>
      <c r="F197" s="122"/>
      <c r="H197" s="22"/>
      <c r="I197" s="123"/>
      <c r="J197" s="111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</row>
    <row r="198" ht="16.5" customHeight="1">
      <c r="A198" s="107"/>
      <c r="B198" s="138"/>
      <c r="C198" s="168"/>
      <c r="D198" s="195"/>
      <c r="E198" s="107"/>
      <c r="F198" s="122"/>
      <c r="H198" s="22"/>
      <c r="I198" s="123"/>
      <c r="J198" s="111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</row>
    <row r="199" ht="16.5" customHeight="1">
      <c r="A199" s="107"/>
      <c r="B199" s="138"/>
      <c r="C199" s="168"/>
      <c r="D199" s="195"/>
      <c r="E199" s="107"/>
      <c r="F199" s="122"/>
      <c r="H199" s="22"/>
      <c r="I199" s="123"/>
      <c r="J199" s="111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</row>
    <row r="200" ht="16.5" customHeight="1">
      <c r="A200" s="107"/>
      <c r="B200" s="138"/>
      <c r="C200" s="168"/>
      <c r="D200" s="195"/>
      <c r="E200" s="107"/>
      <c r="F200" s="122"/>
      <c r="H200" s="22"/>
      <c r="I200" s="123"/>
      <c r="J200" s="111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</row>
    <row r="201" ht="16.5" customHeight="1">
      <c r="A201" s="107"/>
      <c r="B201" s="138"/>
      <c r="C201" s="168"/>
      <c r="D201" s="195"/>
      <c r="E201" s="107"/>
      <c r="F201" s="122"/>
      <c r="H201" s="22"/>
      <c r="I201" s="123"/>
      <c r="J201" s="111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</row>
    <row r="202" ht="16.5" customHeight="1">
      <c r="A202" s="107"/>
      <c r="B202" s="138"/>
      <c r="C202" s="168"/>
      <c r="D202" s="195"/>
      <c r="E202" s="107"/>
      <c r="F202" s="122"/>
      <c r="H202" s="22"/>
      <c r="I202" s="123"/>
      <c r="J202" s="111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</row>
    <row r="203" ht="16.5" customHeight="1">
      <c r="A203" s="107"/>
      <c r="B203" s="138"/>
      <c r="C203" s="168"/>
      <c r="D203" s="195"/>
      <c r="E203" s="107"/>
      <c r="F203" s="122"/>
      <c r="H203" s="22"/>
      <c r="I203" s="123"/>
      <c r="J203" s="111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</row>
    <row r="204" ht="16.5" customHeight="1">
      <c r="A204" s="107"/>
      <c r="B204" s="138"/>
      <c r="C204" s="168"/>
      <c r="D204" s="195"/>
      <c r="E204" s="107"/>
      <c r="F204" s="122"/>
      <c r="H204" s="22"/>
      <c r="I204" s="123"/>
      <c r="J204" s="111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</row>
    <row r="205" ht="16.5" customHeight="1">
      <c r="A205" s="107"/>
      <c r="B205" s="138"/>
      <c r="C205" s="168"/>
      <c r="D205" s="195"/>
      <c r="E205" s="107"/>
      <c r="F205" s="122"/>
      <c r="H205" s="22"/>
      <c r="I205" s="123"/>
      <c r="J205" s="111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</row>
    <row r="206" ht="16.5" customHeight="1">
      <c r="A206" s="107"/>
      <c r="B206" s="138"/>
      <c r="C206" s="168"/>
      <c r="D206" s="195"/>
      <c r="E206" s="107"/>
      <c r="F206" s="122"/>
      <c r="H206" s="22"/>
      <c r="I206" s="123"/>
      <c r="J206" s="111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</row>
    <row r="207" ht="16.5" customHeight="1">
      <c r="A207" s="107"/>
      <c r="B207" s="138"/>
      <c r="C207" s="168"/>
      <c r="D207" s="195"/>
      <c r="E207" s="107"/>
      <c r="F207" s="122"/>
      <c r="H207" s="22"/>
      <c r="I207" s="123"/>
      <c r="J207" s="111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</row>
    <row r="208" ht="16.5" customHeight="1">
      <c r="A208" s="107"/>
      <c r="B208" s="138"/>
      <c r="C208" s="168"/>
      <c r="D208" s="195"/>
      <c r="E208" s="107"/>
      <c r="F208" s="122"/>
      <c r="H208" s="22"/>
      <c r="I208" s="123"/>
      <c r="J208" s="111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</row>
    <row r="209" ht="16.5" customHeight="1">
      <c r="A209" s="107"/>
      <c r="B209" s="138"/>
      <c r="C209" s="168"/>
      <c r="D209" s="195"/>
      <c r="E209" s="107"/>
      <c r="F209" s="122"/>
      <c r="H209" s="22"/>
      <c r="I209" s="123"/>
      <c r="J209" s="111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</row>
    <row r="210" ht="16.5" customHeight="1">
      <c r="A210" s="107"/>
      <c r="B210" s="138"/>
      <c r="C210" s="168"/>
      <c r="D210" s="195"/>
      <c r="E210" s="107"/>
      <c r="F210" s="122"/>
      <c r="H210" s="22"/>
      <c r="I210" s="123"/>
      <c r="J210" s="111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</row>
    <row r="211" ht="16.5" customHeight="1">
      <c r="A211" s="107"/>
      <c r="B211" s="138"/>
      <c r="C211" s="168"/>
      <c r="D211" s="195"/>
      <c r="E211" s="107"/>
      <c r="F211" s="122"/>
      <c r="H211" s="22"/>
      <c r="I211" s="123"/>
      <c r="J211" s="111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</row>
    <row r="212" ht="16.5" customHeight="1">
      <c r="A212" s="107"/>
      <c r="B212" s="138"/>
      <c r="C212" s="168"/>
      <c r="D212" s="195"/>
      <c r="E212" s="107"/>
      <c r="F212" s="122"/>
      <c r="H212" s="22"/>
      <c r="I212" s="123"/>
      <c r="J212" s="111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</row>
    <row r="213" ht="16.5" customHeight="1">
      <c r="A213" s="107"/>
      <c r="B213" s="138"/>
      <c r="C213" s="168"/>
      <c r="D213" s="195"/>
      <c r="E213" s="107"/>
      <c r="F213" s="122"/>
      <c r="H213" s="22"/>
      <c r="I213" s="123"/>
      <c r="J213" s="111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</row>
    <row r="214" ht="16.5" customHeight="1">
      <c r="A214" s="107"/>
      <c r="B214" s="138"/>
      <c r="C214" s="168"/>
      <c r="D214" s="195"/>
      <c r="E214" s="107"/>
      <c r="F214" s="122"/>
      <c r="H214" s="22"/>
      <c r="I214" s="123"/>
      <c r="J214" s="111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</row>
    <row r="215" ht="16.5" customHeight="1">
      <c r="A215" s="107"/>
      <c r="B215" s="138"/>
      <c r="C215" s="168"/>
      <c r="D215" s="195"/>
      <c r="E215" s="107"/>
      <c r="F215" s="122"/>
      <c r="H215" s="22"/>
      <c r="I215" s="123"/>
      <c r="J215" s="111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</row>
    <row r="216" ht="16.5" customHeight="1">
      <c r="A216" s="107"/>
      <c r="B216" s="138"/>
      <c r="C216" s="168"/>
      <c r="D216" s="195"/>
      <c r="E216" s="107"/>
      <c r="F216" s="122"/>
      <c r="H216" s="22"/>
      <c r="I216" s="123"/>
      <c r="J216" s="111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</row>
    <row r="217" ht="16.5" customHeight="1">
      <c r="A217" s="107"/>
      <c r="B217" s="138"/>
      <c r="C217" s="168"/>
      <c r="D217" s="195"/>
      <c r="E217" s="107"/>
      <c r="F217" s="122"/>
      <c r="H217" s="22"/>
      <c r="I217" s="123"/>
      <c r="J217" s="111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</row>
    <row r="218" ht="16.5" customHeight="1">
      <c r="A218" s="107"/>
      <c r="B218" s="138"/>
      <c r="C218" s="168"/>
      <c r="D218" s="195"/>
      <c r="E218" s="107"/>
      <c r="F218" s="122"/>
      <c r="H218" s="22"/>
      <c r="I218" s="123"/>
      <c r="J218" s="111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</row>
    <row r="219" ht="16.5" customHeight="1">
      <c r="A219" s="107"/>
      <c r="B219" s="138"/>
      <c r="C219" s="168"/>
      <c r="D219" s="195"/>
      <c r="E219" s="107"/>
      <c r="F219" s="122"/>
      <c r="H219" s="22"/>
      <c r="I219" s="123"/>
      <c r="J219" s="111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</row>
    <row r="220" ht="16.5" customHeight="1">
      <c r="A220" s="107"/>
      <c r="B220" s="138"/>
      <c r="C220" s="168"/>
      <c r="D220" s="195"/>
      <c r="E220" s="107"/>
      <c r="F220" s="122"/>
      <c r="H220" s="22"/>
      <c r="I220" s="123"/>
      <c r="J220" s="111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</row>
    <row r="221" ht="16.5" customHeight="1">
      <c r="A221" s="107"/>
      <c r="B221" s="138"/>
      <c r="C221" s="168"/>
      <c r="D221" s="195"/>
      <c r="E221" s="107"/>
      <c r="F221" s="122"/>
      <c r="H221" s="22"/>
      <c r="I221" s="123"/>
      <c r="J221" s="111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</row>
    <row r="222" ht="16.5" customHeight="1">
      <c r="A222" s="107"/>
      <c r="B222" s="138"/>
      <c r="C222" s="168"/>
      <c r="D222" s="195"/>
      <c r="E222" s="107"/>
      <c r="F222" s="122"/>
      <c r="H222" s="22"/>
      <c r="I222" s="123"/>
      <c r="J222" s="111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</row>
    <row r="223" ht="16.5" customHeight="1">
      <c r="A223" s="107"/>
      <c r="B223" s="138"/>
      <c r="C223" s="168"/>
      <c r="D223" s="195"/>
      <c r="E223" s="107"/>
      <c r="F223" s="122"/>
      <c r="H223" s="22"/>
      <c r="I223" s="123"/>
      <c r="J223" s="111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</row>
    <row r="224" ht="16.5" customHeight="1">
      <c r="A224" s="107"/>
      <c r="B224" s="138"/>
      <c r="C224" s="168"/>
      <c r="D224" s="195"/>
      <c r="E224" s="107"/>
      <c r="F224" s="122"/>
      <c r="H224" s="22"/>
      <c r="I224" s="123"/>
      <c r="J224" s="111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</row>
    <row r="225" ht="16.5" customHeight="1">
      <c r="A225" s="107"/>
      <c r="B225" s="138"/>
      <c r="C225" s="168"/>
      <c r="D225" s="195"/>
      <c r="E225" s="107"/>
      <c r="F225" s="122"/>
      <c r="H225" s="22"/>
      <c r="I225" s="123"/>
      <c r="J225" s="111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</row>
    <row r="226" ht="16.5" customHeight="1">
      <c r="A226" s="107"/>
      <c r="B226" s="138"/>
      <c r="C226" s="168"/>
      <c r="D226" s="195"/>
      <c r="E226" s="107"/>
      <c r="F226" s="122"/>
      <c r="H226" s="22"/>
      <c r="I226" s="123"/>
      <c r="J226" s="111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</row>
    <row r="227" ht="16.5" customHeight="1">
      <c r="A227" s="107"/>
      <c r="B227" s="138"/>
      <c r="C227" s="168"/>
      <c r="D227" s="195"/>
      <c r="E227" s="107"/>
      <c r="F227" s="122"/>
      <c r="H227" s="22"/>
      <c r="I227" s="123"/>
      <c r="J227" s="111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</row>
    <row r="228" ht="16.5" customHeight="1">
      <c r="A228" s="107"/>
      <c r="B228" s="138"/>
      <c r="C228" s="168"/>
      <c r="D228" s="195"/>
      <c r="E228" s="107"/>
      <c r="F228" s="122"/>
      <c r="H228" s="22"/>
      <c r="I228" s="123"/>
      <c r="J228" s="111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</row>
    <row r="229" ht="16.5" customHeight="1">
      <c r="A229" s="107"/>
      <c r="B229" s="138"/>
      <c r="C229" s="168"/>
      <c r="D229" s="195"/>
      <c r="E229" s="107"/>
      <c r="F229" s="122"/>
      <c r="H229" s="22"/>
      <c r="I229" s="123"/>
      <c r="J229" s="111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</row>
    <row r="230" ht="16.5" customHeight="1">
      <c r="A230" s="107"/>
      <c r="B230" s="138"/>
      <c r="C230" s="168"/>
      <c r="D230" s="195"/>
      <c r="E230" s="107"/>
      <c r="F230" s="122"/>
      <c r="H230" s="22"/>
      <c r="I230" s="123"/>
      <c r="J230" s="111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</row>
    <row r="231" ht="16.5" customHeight="1">
      <c r="A231" s="107"/>
      <c r="B231" s="138"/>
      <c r="C231" s="168"/>
      <c r="D231" s="195"/>
      <c r="E231" s="107"/>
      <c r="F231" s="122"/>
      <c r="H231" s="22"/>
      <c r="I231" s="123"/>
      <c r="J231" s="111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</row>
    <row r="232" ht="16.5" customHeight="1">
      <c r="A232" s="107"/>
      <c r="B232" s="138"/>
      <c r="C232" s="168"/>
      <c r="D232" s="195"/>
      <c r="E232" s="107"/>
      <c r="F232" s="122"/>
      <c r="H232" s="22"/>
      <c r="I232" s="123"/>
      <c r="J232" s="111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</row>
    <row r="233" ht="16.5" customHeight="1">
      <c r="A233" s="107"/>
      <c r="B233" s="138"/>
      <c r="C233" s="168"/>
      <c r="D233" s="195"/>
      <c r="E233" s="107"/>
      <c r="F233" s="122"/>
      <c r="H233" s="22"/>
      <c r="I233" s="123"/>
      <c r="J233" s="111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</row>
    <row r="234" ht="16.5" customHeight="1">
      <c r="A234" s="107"/>
      <c r="B234" s="138"/>
      <c r="C234" s="168"/>
      <c r="D234" s="195"/>
      <c r="E234" s="107"/>
      <c r="F234" s="122"/>
      <c r="H234" s="22"/>
      <c r="I234" s="123"/>
      <c r="J234" s="111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</row>
    <row r="235" ht="16.5" customHeight="1">
      <c r="A235" s="107"/>
      <c r="B235" s="138"/>
      <c r="C235" s="168"/>
      <c r="D235" s="195"/>
      <c r="E235" s="107"/>
      <c r="F235" s="122"/>
      <c r="H235" s="22"/>
      <c r="I235" s="123"/>
      <c r="J235" s="111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</row>
    <row r="236" ht="16.5" customHeight="1">
      <c r="A236" s="107"/>
      <c r="B236" s="138"/>
      <c r="C236" s="168"/>
      <c r="D236" s="195"/>
      <c r="E236" s="107"/>
      <c r="F236" s="122"/>
      <c r="H236" s="22"/>
      <c r="I236" s="123"/>
      <c r="J236" s="111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</row>
    <row r="237" ht="16.5" customHeight="1">
      <c r="A237" s="107"/>
      <c r="B237" s="138"/>
      <c r="C237" s="168"/>
      <c r="D237" s="195"/>
      <c r="E237" s="107"/>
      <c r="F237" s="122"/>
      <c r="H237" s="22"/>
      <c r="I237" s="123"/>
      <c r="J237" s="111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</row>
    <row r="238" ht="16.5" customHeight="1">
      <c r="A238" s="107"/>
      <c r="B238" s="138"/>
      <c r="C238" s="168"/>
      <c r="D238" s="195"/>
      <c r="E238" s="107"/>
      <c r="F238" s="122"/>
      <c r="H238" s="22"/>
      <c r="I238" s="123"/>
      <c r="J238" s="111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</row>
    <row r="239" ht="16.5" customHeight="1">
      <c r="A239" s="107"/>
      <c r="B239" s="138"/>
      <c r="C239" s="168"/>
      <c r="D239" s="195"/>
      <c r="E239" s="107"/>
      <c r="F239" s="122"/>
      <c r="H239" s="22"/>
      <c r="I239" s="123"/>
      <c r="J239" s="111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</row>
    <row r="240" ht="16.5" customHeight="1">
      <c r="A240" s="107"/>
      <c r="B240" s="138"/>
      <c r="C240" s="168"/>
      <c r="D240" s="195"/>
      <c r="E240" s="107"/>
      <c r="F240" s="122"/>
      <c r="H240" s="22"/>
      <c r="I240" s="123"/>
      <c r="J240" s="111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</row>
    <row r="241" ht="16.5" customHeight="1">
      <c r="A241" s="107"/>
      <c r="B241" s="138"/>
      <c r="C241" s="168"/>
      <c r="D241" s="195"/>
      <c r="E241" s="107"/>
      <c r="F241" s="122"/>
      <c r="H241" s="22"/>
      <c r="I241" s="123"/>
      <c r="J241" s="111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</row>
    <row r="242" ht="16.5" customHeight="1">
      <c r="A242" s="107"/>
      <c r="B242" s="138"/>
      <c r="C242" s="168"/>
      <c r="D242" s="195"/>
      <c r="E242" s="107"/>
      <c r="F242" s="122"/>
      <c r="H242" s="22"/>
      <c r="I242" s="123"/>
      <c r="J242" s="111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</row>
    <row r="243" ht="16.5" customHeight="1">
      <c r="A243" s="107"/>
      <c r="B243" s="138"/>
      <c r="C243" s="168"/>
      <c r="D243" s="195"/>
      <c r="E243" s="107"/>
      <c r="F243" s="122"/>
      <c r="H243" s="22"/>
      <c r="I243" s="123"/>
      <c r="J243" s="111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</row>
    <row r="244" ht="16.5" customHeight="1">
      <c r="A244" s="107"/>
      <c r="B244" s="138"/>
      <c r="C244" s="168"/>
      <c r="D244" s="195"/>
      <c r="E244" s="107"/>
      <c r="F244" s="122"/>
      <c r="H244" s="22"/>
      <c r="I244" s="123"/>
      <c r="J244" s="111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</row>
    <row r="245" ht="16.5" customHeight="1">
      <c r="A245" s="107"/>
      <c r="B245" s="138"/>
      <c r="C245" s="168"/>
      <c r="D245" s="195"/>
      <c r="E245" s="107"/>
      <c r="F245" s="122"/>
      <c r="H245" s="22"/>
      <c r="I245" s="123"/>
      <c r="J245" s="111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</row>
    <row r="246" ht="16.5" customHeight="1">
      <c r="A246" s="107"/>
      <c r="B246" s="138"/>
      <c r="C246" s="168"/>
      <c r="D246" s="195"/>
      <c r="E246" s="107"/>
      <c r="F246" s="122"/>
      <c r="H246" s="22"/>
      <c r="I246" s="123"/>
      <c r="J246" s="111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</row>
    <row r="247" ht="16.5" customHeight="1">
      <c r="A247" s="107"/>
      <c r="B247" s="138"/>
      <c r="C247" s="168"/>
      <c r="D247" s="195"/>
      <c r="E247" s="107"/>
      <c r="F247" s="122"/>
      <c r="H247" s="22"/>
      <c r="I247" s="123"/>
      <c r="J247" s="111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</row>
    <row r="248" ht="16.5" customHeight="1">
      <c r="A248" s="107"/>
      <c r="B248" s="138"/>
      <c r="C248" s="168"/>
      <c r="D248" s="195"/>
      <c r="E248" s="107"/>
      <c r="F248" s="122"/>
      <c r="H248" s="22"/>
      <c r="I248" s="123"/>
      <c r="J248" s="111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</row>
    <row r="249" ht="16.5" customHeight="1">
      <c r="A249" s="107"/>
      <c r="B249" s="138"/>
      <c r="C249" s="168"/>
      <c r="D249" s="195"/>
      <c r="E249" s="107"/>
      <c r="F249" s="122"/>
      <c r="H249" s="22"/>
      <c r="I249" s="123"/>
      <c r="J249" s="111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</row>
    <row r="250" ht="16.5" customHeight="1">
      <c r="A250" s="107"/>
      <c r="B250" s="138"/>
      <c r="C250" s="168"/>
      <c r="D250" s="195"/>
      <c r="E250" s="107"/>
      <c r="F250" s="122"/>
      <c r="H250" s="22"/>
      <c r="I250" s="123"/>
      <c r="J250" s="111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</row>
    <row r="251" ht="16.5" customHeight="1">
      <c r="A251" s="107"/>
      <c r="B251" s="138"/>
      <c r="C251" s="168"/>
      <c r="D251" s="195"/>
      <c r="E251" s="107"/>
      <c r="F251" s="122"/>
      <c r="H251" s="22"/>
      <c r="I251" s="123"/>
      <c r="J251" s="111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</row>
    <row r="252" ht="16.5" customHeight="1">
      <c r="A252" s="107"/>
      <c r="B252" s="138"/>
      <c r="C252" s="168"/>
      <c r="D252" s="195"/>
      <c r="E252" s="107"/>
      <c r="F252" s="122"/>
      <c r="H252" s="22"/>
      <c r="I252" s="123"/>
      <c r="J252" s="111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</row>
    <row r="253" ht="16.5" customHeight="1">
      <c r="A253" s="107"/>
      <c r="B253" s="138"/>
      <c r="C253" s="168"/>
      <c r="D253" s="195"/>
      <c r="E253" s="107"/>
      <c r="F253" s="122"/>
      <c r="H253" s="22"/>
      <c r="I253" s="123"/>
      <c r="J253" s="111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</row>
    <row r="254" ht="16.5" customHeight="1">
      <c r="A254" s="107"/>
      <c r="B254" s="138"/>
      <c r="C254" s="168"/>
      <c r="D254" s="195"/>
      <c r="E254" s="107"/>
      <c r="F254" s="122"/>
      <c r="H254" s="22"/>
      <c r="I254" s="123"/>
      <c r="J254" s="111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</row>
    <row r="255" ht="16.5" customHeight="1">
      <c r="A255" s="107"/>
      <c r="B255" s="138"/>
      <c r="C255" s="168"/>
      <c r="D255" s="195"/>
      <c r="E255" s="107"/>
      <c r="F255" s="122"/>
      <c r="H255" s="22"/>
      <c r="I255" s="123"/>
      <c r="J255" s="111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</row>
    <row r="256" ht="16.5" customHeight="1">
      <c r="A256" s="107"/>
      <c r="B256" s="138"/>
      <c r="C256" s="168"/>
      <c r="D256" s="195"/>
      <c r="E256" s="107"/>
      <c r="F256" s="122"/>
      <c r="H256" s="22"/>
      <c r="I256" s="123"/>
      <c r="J256" s="111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</row>
    <row r="257" ht="16.5" customHeight="1">
      <c r="A257" s="107"/>
      <c r="B257" s="138"/>
      <c r="C257" s="168"/>
      <c r="D257" s="195"/>
      <c r="E257" s="107"/>
      <c r="F257" s="122"/>
      <c r="H257" s="22"/>
      <c r="I257" s="123"/>
      <c r="J257" s="111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</row>
    <row r="258" ht="16.5" customHeight="1">
      <c r="A258" s="107"/>
      <c r="B258" s="138"/>
      <c r="C258" s="168"/>
      <c r="D258" s="195"/>
      <c r="E258" s="107"/>
      <c r="F258" s="122"/>
      <c r="H258" s="22"/>
      <c r="I258" s="123"/>
      <c r="J258" s="111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</row>
    <row r="259" ht="16.5" customHeight="1">
      <c r="A259" s="107"/>
      <c r="B259" s="138"/>
      <c r="C259" s="168"/>
      <c r="D259" s="195"/>
      <c r="E259" s="107"/>
      <c r="F259" s="122"/>
      <c r="H259" s="22"/>
      <c r="I259" s="123"/>
      <c r="J259" s="111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</row>
    <row r="260" ht="16.5" customHeight="1">
      <c r="A260" s="107"/>
      <c r="B260" s="138"/>
      <c r="C260" s="168"/>
      <c r="D260" s="195"/>
      <c r="E260" s="107"/>
      <c r="F260" s="122"/>
      <c r="H260" s="22"/>
      <c r="I260" s="123"/>
      <c r="J260" s="111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</row>
    <row r="261" ht="16.5" customHeight="1">
      <c r="A261" s="107"/>
      <c r="B261" s="138"/>
      <c r="C261" s="168"/>
      <c r="D261" s="195"/>
      <c r="E261" s="107"/>
      <c r="F261" s="122"/>
      <c r="H261" s="22"/>
      <c r="I261" s="123"/>
      <c r="J261" s="111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</row>
    <row r="262" ht="16.5" customHeight="1">
      <c r="A262" s="107"/>
      <c r="B262" s="138"/>
      <c r="C262" s="168"/>
      <c r="D262" s="195"/>
      <c r="E262" s="107"/>
      <c r="F262" s="122"/>
      <c r="H262" s="22"/>
      <c r="I262" s="123"/>
      <c r="J262" s="111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</row>
    <row r="263" ht="16.5" customHeight="1">
      <c r="A263" s="107"/>
      <c r="B263" s="138"/>
      <c r="C263" s="168"/>
      <c r="D263" s="195"/>
      <c r="E263" s="107"/>
      <c r="F263" s="122"/>
      <c r="H263" s="22"/>
      <c r="I263" s="123"/>
      <c r="J263" s="111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</row>
    <row r="264" ht="16.5" customHeight="1">
      <c r="A264" s="107"/>
      <c r="B264" s="138"/>
      <c r="C264" s="168"/>
      <c r="D264" s="195"/>
      <c r="E264" s="107"/>
      <c r="F264" s="122"/>
      <c r="H264" s="22"/>
      <c r="I264" s="123"/>
      <c r="J264" s="111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</row>
    <row r="265" ht="16.5" customHeight="1">
      <c r="A265" s="107"/>
      <c r="B265" s="138"/>
      <c r="C265" s="168"/>
      <c r="D265" s="195"/>
      <c r="E265" s="107"/>
      <c r="F265" s="122"/>
      <c r="H265" s="22"/>
      <c r="I265" s="123"/>
      <c r="J265" s="111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</row>
    <row r="266" ht="16.5" customHeight="1">
      <c r="A266" s="107"/>
      <c r="B266" s="138"/>
      <c r="C266" s="168"/>
      <c r="D266" s="195"/>
      <c r="E266" s="107"/>
      <c r="F266" s="122"/>
      <c r="H266" s="22"/>
      <c r="I266" s="123"/>
      <c r="J266" s="111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</row>
    <row r="267" ht="16.5" customHeight="1">
      <c r="A267" s="107"/>
      <c r="B267" s="138"/>
      <c r="C267" s="168"/>
      <c r="D267" s="195"/>
      <c r="E267" s="107"/>
      <c r="F267" s="122"/>
      <c r="H267" s="22"/>
      <c r="I267" s="123"/>
      <c r="J267" s="111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</row>
    <row r="268" ht="16.5" customHeight="1">
      <c r="A268" s="107"/>
      <c r="B268" s="138"/>
      <c r="C268" s="168"/>
      <c r="D268" s="195"/>
      <c r="E268" s="107"/>
      <c r="F268" s="122"/>
      <c r="H268" s="22"/>
      <c r="I268" s="123"/>
      <c r="J268" s="111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</row>
    <row r="269" ht="16.5" customHeight="1">
      <c r="A269" s="107"/>
      <c r="B269" s="138"/>
      <c r="C269" s="168"/>
      <c r="D269" s="195"/>
      <c r="E269" s="107"/>
      <c r="F269" s="122"/>
      <c r="H269" s="22"/>
      <c r="I269" s="123"/>
      <c r="J269" s="111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</row>
    <row r="270" ht="16.5" customHeight="1">
      <c r="A270" s="107"/>
      <c r="B270" s="138"/>
      <c r="C270" s="168"/>
      <c r="D270" s="195"/>
      <c r="E270" s="107"/>
      <c r="F270" s="122"/>
      <c r="H270" s="22"/>
      <c r="I270" s="123"/>
      <c r="J270" s="111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</row>
    <row r="271" ht="16.5" customHeight="1">
      <c r="A271" s="107"/>
      <c r="B271" s="138"/>
      <c r="C271" s="168"/>
      <c r="D271" s="195"/>
      <c r="E271" s="107"/>
      <c r="F271" s="122"/>
      <c r="H271" s="22"/>
      <c r="I271" s="123"/>
      <c r="J271" s="111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</row>
    <row r="272" ht="16.5" customHeight="1">
      <c r="A272" s="107"/>
      <c r="B272" s="138"/>
      <c r="C272" s="168"/>
      <c r="D272" s="195"/>
      <c r="E272" s="107"/>
      <c r="F272" s="122"/>
      <c r="H272" s="22"/>
      <c r="I272" s="123"/>
      <c r="J272" s="111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</row>
    <row r="273" ht="16.5" customHeight="1">
      <c r="A273" s="107"/>
      <c r="B273" s="138"/>
      <c r="C273" s="168"/>
      <c r="D273" s="195"/>
      <c r="E273" s="107"/>
      <c r="F273" s="122"/>
      <c r="H273" s="22"/>
      <c r="I273" s="123"/>
      <c r="J273" s="111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</row>
    <row r="274" ht="16.5" customHeight="1">
      <c r="A274" s="107"/>
      <c r="B274" s="138"/>
      <c r="C274" s="168"/>
      <c r="D274" s="195"/>
      <c r="E274" s="107"/>
      <c r="F274" s="122"/>
      <c r="H274" s="22"/>
      <c r="I274" s="123"/>
      <c r="J274" s="111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</row>
    <row r="275" ht="16.5" customHeight="1">
      <c r="A275" s="107"/>
      <c r="B275" s="138"/>
      <c r="C275" s="168"/>
      <c r="D275" s="195"/>
      <c r="E275" s="107"/>
      <c r="F275" s="122"/>
      <c r="H275" s="22"/>
      <c r="I275" s="123"/>
      <c r="J275" s="111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</row>
    <row r="276" ht="16.5" customHeight="1">
      <c r="A276" s="107"/>
      <c r="B276" s="138"/>
      <c r="C276" s="168"/>
      <c r="D276" s="195"/>
      <c r="E276" s="107"/>
      <c r="F276" s="122"/>
      <c r="H276" s="22"/>
      <c r="I276" s="123"/>
      <c r="J276" s="111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</row>
    <row r="277" ht="16.5" customHeight="1">
      <c r="A277" s="107"/>
      <c r="B277" s="138"/>
      <c r="C277" s="168"/>
      <c r="D277" s="195"/>
      <c r="E277" s="107"/>
      <c r="F277" s="122"/>
      <c r="H277" s="22"/>
      <c r="I277" s="123"/>
      <c r="J277" s="111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</row>
    <row r="278" ht="16.5" customHeight="1">
      <c r="A278" s="107"/>
      <c r="B278" s="138"/>
      <c r="C278" s="168"/>
      <c r="D278" s="195"/>
      <c r="E278" s="107"/>
      <c r="F278" s="122"/>
      <c r="H278" s="22"/>
      <c r="I278" s="123"/>
      <c r="J278" s="111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</row>
    <row r="279" ht="16.5" customHeight="1">
      <c r="A279" s="107"/>
      <c r="B279" s="138"/>
      <c r="C279" s="168"/>
      <c r="D279" s="195"/>
      <c r="E279" s="107"/>
      <c r="F279" s="122"/>
      <c r="H279" s="22"/>
      <c r="I279" s="123"/>
      <c r="J279" s="111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</row>
    <row r="280" ht="16.5" customHeight="1">
      <c r="A280" s="107"/>
      <c r="B280" s="138"/>
      <c r="C280" s="168"/>
      <c r="D280" s="195"/>
      <c r="E280" s="107"/>
      <c r="F280" s="122"/>
      <c r="H280" s="22"/>
      <c r="I280" s="123"/>
      <c r="J280" s="111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</row>
    <row r="281" ht="16.5" customHeight="1">
      <c r="A281" s="107"/>
      <c r="B281" s="138"/>
      <c r="C281" s="168"/>
      <c r="D281" s="195"/>
      <c r="E281" s="107"/>
      <c r="F281" s="122"/>
      <c r="H281" s="22"/>
      <c r="I281" s="123"/>
      <c r="J281" s="111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</row>
    <row r="282" ht="16.5" customHeight="1">
      <c r="A282" s="107"/>
      <c r="B282" s="138"/>
      <c r="C282" s="168"/>
      <c r="D282" s="195"/>
      <c r="E282" s="107"/>
      <c r="F282" s="122"/>
      <c r="H282" s="22"/>
      <c r="I282" s="123"/>
      <c r="J282" s="111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</row>
    <row r="283" ht="16.5" customHeight="1">
      <c r="A283" s="107"/>
      <c r="B283" s="138"/>
      <c r="C283" s="168"/>
      <c r="D283" s="195"/>
      <c r="E283" s="107"/>
      <c r="F283" s="122"/>
      <c r="H283" s="22"/>
      <c r="I283" s="123"/>
      <c r="J283" s="111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</row>
    <row r="284" ht="16.5" customHeight="1">
      <c r="A284" s="107"/>
      <c r="B284" s="138"/>
      <c r="C284" s="168"/>
      <c r="D284" s="195"/>
      <c r="E284" s="107"/>
      <c r="F284" s="122"/>
      <c r="H284" s="22"/>
      <c r="I284" s="123"/>
      <c r="J284" s="111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</row>
    <row r="285" ht="16.5" customHeight="1">
      <c r="A285" s="107"/>
      <c r="B285" s="138"/>
      <c r="C285" s="168"/>
      <c r="D285" s="195"/>
      <c r="E285" s="107"/>
      <c r="F285" s="122"/>
      <c r="H285" s="22"/>
      <c r="I285" s="123"/>
      <c r="J285" s="111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</row>
    <row r="286" ht="16.5" customHeight="1">
      <c r="A286" s="107"/>
      <c r="B286" s="138"/>
      <c r="C286" s="168"/>
      <c r="D286" s="195"/>
      <c r="E286" s="107"/>
      <c r="F286" s="122"/>
      <c r="H286" s="22"/>
      <c r="I286" s="123"/>
      <c r="J286" s="111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</row>
    <row r="287" ht="16.5" customHeight="1">
      <c r="A287" s="107"/>
      <c r="B287" s="138"/>
      <c r="C287" s="168"/>
      <c r="D287" s="195"/>
      <c r="E287" s="107"/>
      <c r="F287" s="122"/>
      <c r="H287" s="22"/>
      <c r="I287" s="123"/>
      <c r="J287" s="111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</row>
    <row r="288" ht="16.5" customHeight="1">
      <c r="A288" s="107"/>
      <c r="B288" s="138"/>
      <c r="C288" s="168"/>
      <c r="D288" s="195"/>
      <c r="E288" s="107"/>
      <c r="F288" s="122"/>
      <c r="H288" s="22"/>
      <c r="I288" s="123"/>
      <c r="J288" s="111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</row>
    <row r="289" ht="16.5" customHeight="1">
      <c r="A289" s="107"/>
      <c r="B289" s="138"/>
      <c r="C289" s="168"/>
      <c r="D289" s="195"/>
      <c r="E289" s="107"/>
      <c r="F289" s="122"/>
      <c r="H289" s="22"/>
      <c r="I289" s="123"/>
      <c r="J289" s="111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</row>
    <row r="290" ht="16.5" customHeight="1">
      <c r="A290" s="107"/>
      <c r="B290" s="138"/>
      <c r="C290" s="168"/>
      <c r="D290" s="195"/>
      <c r="E290" s="107"/>
      <c r="F290" s="122"/>
      <c r="H290" s="22"/>
      <c r="I290" s="123"/>
      <c r="J290" s="111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</row>
    <row r="291" ht="16.5" customHeight="1">
      <c r="A291" s="107"/>
      <c r="B291" s="138"/>
      <c r="C291" s="168"/>
      <c r="D291" s="195"/>
      <c r="E291" s="107"/>
      <c r="F291" s="122"/>
      <c r="H291" s="22"/>
      <c r="I291" s="123"/>
      <c r="J291" s="111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</row>
    <row r="292" ht="16.5" customHeight="1">
      <c r="A292" s="107"/>
      <c r="B292" s="138"/>
      <c r="C292" s="168"/>
      <c r="D292" s="195"/>
      <c r="E292" s="107"/>
      <c r="F292" s="122"/>
      <c r="H292" s="22"/>
      <c r="I292" s="123"/>
      <c r="J292" s="111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</row>
    <row r="293" ht="16.5" customHeight="1">
      <c r="A293" s="107"/>
      <c r="B293" s="138"/>
      <c r="C293" s="168"/>
      <c r="D293" s="195"/>
      <c r="E293" s="107"/>
      <c r="F293" s="122"/>
      <c r="H293" s="22"/>
      <c r="I293" s="123"/>
      <c r="J293" s="111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</row>
    <row r="294" ht="16.5" customHeight="1">
      <c r="A294" s="107"/>
      <c r="B294" s="138"/>
      <c r="C294" s="168"/>
      <c r="D294" s="195"/>
      <c r="E294" s="107"/>
      <c r="F294" s="122"/>
      <c r="H294" s="22"/>
      <c r="I294" s="123"/>
      <c r="J294" s="111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</row>
    <row r="295" ht="16.5" customHeight="1">
      <c r="A295" s="107"/>
      <c r="B295" s="138"/>
      <c r="C295" s="168"/>
      <c r="D295" s="195"/>
      <c r="E295" s="107"/>
      <c r="F295" s="122"/>
      <c r="H295" s="22"/>
      <c r="I295" s="123"/>
      <c r="J295" s="111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</row>
    <row r="296" ht="16.5" customHeight="1">
      <c r="A296" s="107"/>
      <c r="B296" s="138"/>
      <c r="C296" s="168"/>
      <c r="D296" s="195"/>
      <c r="E296" s="107"/>
      <c r="F296" s="122"/>
      <c r="H296" s="22"/>
      <c r="I296" s="123"/>
      <c r="J296" s="111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</row>
    <row r="297" ht="16.5" customHeight="1">
      <c r="A297" s="107"/>
      <c r="B297" s="138"/>
      <c r="C297" s="168"/>
      <c r="D297" s="195"/>
      <c r="E297" s="107"/>
      <c r="F297" s="122"/>
      <c r="H297" s="22"/>
      <c r="I297" s="123"/>
      <c r="J297" s="111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</row>
    <row r="298" ht="16.5" customHeight="1">
      <c r="A298" s="107"/>
      <c r="B298" s="138"/>
      <c r="C298" s="168"/>
      <c r="D298" s="195"/>
      <c r="E298" s="107"/>
      <c r="F298" s="122"/>
      <c r="H298" s="22"/>
      <c r="I298" s="123"/>
      <c r="J298" s="111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</row>
    <row r="299" ht="16.5" customHeight="1">
      <c r="A299" s="107"/>
      <c r="B299" s="138"/>
      <c r="C299" s="168"/>
      <c r="D299" s="195"/>
      <c r="E299" s="107"/>
      <c r="F299" s="122"/>
      <c r="H299" s="22"/>
      <c r="I299" s="123"/>
      <c r="J299" s="111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</row>
    <row r="300" ht="16.5" customHeight="1">
      <c r="A300" s="107"/>
      <c r="B300" s="138"/>
      <c r="C300" s="168"/>
      <c r="D300" s="195"/>
      <c r="E300" s="107"/>
      <c r="F300" s="122"/>
      <c r="H300" s="22"/>
      <c r="I300" s="123"/>
      <c r="J300" s="111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</row>
    <row r="301" ht="16.5" customHeight="1">
      <c r="A301" s="107"/>
      <c r="B301" s="138"/>
      <c r="C301" s="168"/>
      <c r="D301" s="195"/>
      <c r="E301" s="107"/>
      <c r="F301" s="122"/>
      <c r="H301" s="22"/>
      <c r="I301" s="123"/>
      <c r="J301" s="111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</row>
    <row r="302" ht="16.5" customHeight="1">
      <c r="A302" s="107"/>
      <c r="B302" s="138"/>
      <c r="C302" s="168"/>
      <c r="D302" s="195"/>
      <c r="E302" s="107"/>
      <c r="F302" s="122"/>
      <c r="H302" s="22"/>
      <c r="I302" s="123"/>
      <c r="J302" s="111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</row>
    <row r="303" ht="16.5" customHeight="1">
      <c r="A303" s="107"/>
      <c r="B303" s="138"/>
      <c r="C303" s="168"/>
      <c r="D303" s="195"/>
      <c r="E303" s="107"/>
      <c r="F303" s="122"/>
      <c r="H303" s="22"/>
      <c r="I303" s="123"/>
      <c r="J303" s="111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</row>
    <row r="304" ht="16.5" customHeight="1">
      <c r="A304" s="107"/>
      <c r="B304" s="138"/>
      <c r="C304" s="168"/>
      <c r="D304" s="195"/>
      <c r="E304" s="107"/>
      <c r="F304" s="122"/>
      <c r="H304" s="22"/>
      <c r="I304" s="123"/>
      <c r="J304" s="111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</row>
    <row r="305" ht="16.5" customHeight="1">
      <c r="A305" s="107"/>
      <c r="B305" s="138"/>
      <c r="C305" s="168"/>
      <c r="D305" s="195"/>
      <c r="E305" s="107"/>
      <c r="F305" s="122"/>
      <c r="H305" s="22"/>
      <c r="I305" s="123"/>
      <c r="J305" s="111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</row>
    <row r="306" ht="16.5" customHeight="1">
      <c r="A306" s="107"/>
      <c r="B306" s="138"/>
      <c r="C306" s="168"/>
      <c r="D306" s="195"/>
      <c r="E306" s="107"/>
      <c r="F306" s="122"/>
      <c r="H306" s="22"/>
      <c r="I306" s="123"/>
      <c r="J306" s="111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</row>
    <row r="307" ht="16.5" customHeight="1">
      <c r="A307" s="107"/>
      <c r="B307" s="138"/>
      <c r="C307" s="168"/>
      <c r="D307" s="195"/>
      <c r="E307" s="107"/>
      <c r="F307" s="122"/>
      <c r="H307" s="22"/>
      <c r="I307" s="123"/>
      <c r="J307" s="111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</row>
    <row r="308" ht="16.5" customHeight="1">
      <c r="A308" s="107"/>
      <c r="B308" s="138"/>
      <c r="C308" s="168"/>
      <c r="D308" s="195"/>
      <c r="E308" s="107"/>
      <c r="F308" s="122"/>
      <c r="H308" s="22"/>
      <c r="I308" s="123"/>
      <c r="J308" s="111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</row>
    <row r="309" ht="16.5" customHeight="1">
      <c r="A309" s="107"/>
      <c r="B309" s="138"/>
      <c r="C309" s="168"/>
      <c r="D309" s="195"/>
      <c r="E309" s="107"/>
      <c r="F309" s="122"/>
      <c r="H309" s="22"/>
      <c r="I309" s="123"/>
      <c r="J309" s="111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</row>
    <row r="310" ht="16.5" customHeight="1">
      <c r="A310" s="107"/>
      <c r="B310" s="138"/>
      <c r="C310" s="168"/>
      <c r="D310" s="195"/>
      <c r="E310" s="107"/>
      <c r="F310" s="122"/>
      <c r="H310" s="22"/>
      <c r="I310" s="123"/>
      <c r="J310" s="111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</row>
    <row r="311" ht="16.5" customHeight="1">
      <c r="A311" s="107"/>
      <c r="B311" s="138"/>
      <c r="C311" s="168"/>
      <c r="D311" s="195"/>
      <c r="E311" s="107"/>
      <c r="F311" s="122"/>
      <c r="H311" s="22"/>
      <c r="I311" s="123"/>
      <c r="J311" s="111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</row>
    <row r="312" ht="16.5" customHeight="1">
      <c r="A312" s="107"/>
      <c r="B312" s="138"/>
      <c r="C312" s="168"/>
      <c r="D312" s="195"/>
      <c r="E312" s="107"/>
      <c r="F312" s="122"/>
      <c r="H312" s="22"/>
      <c r="I312" s="123"/>
      <c r="J312" s="111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</row>
    <row r="313" ht="16.5" customHeight="1">
      <c r="A313" s="107"/>
      <c r="B313" s="138"/>
      <c r="C313" s="168"/>
      <c r="D313" s="195"/>
      <c r="E313" s="107"/>
      <c r="F313" s="122"/>
      <c r="H313" s="22"/>
      <c r="I313" s="123"/>
      <c r="J313" s="111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</row>
    <row r="314" ht="16.5" customHeight="1">
      <c r="A314" s="107"/>
      <c r="B314" s="138"/>
      <c r="C314" s="168"/>
      <c r="D314" s="195"/>
      <c r="E314" s="107"/>
      <c r="F314" s="122"/>
      <c r="H314" s="22"/>
      <c r="I314" s="123"/>
      <c r="J314" s="111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</row>
    <row r="315" ht="16.5" customHeight="1">
      <c r="A315" s="107"/>
      <c r="B315" s="138"/>
      <c r="C315" s="168"/>
      <c r="D315" s="195"/>
      <c r="E315" s="107"/>
      <c r="F315" s="122"/>
      <c r="H315" s="22"/>
      <c r="I315" s="123"/>
      <c r="J315" s="111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</row>
    <row r="316" ht="16.5" customHeight="1">
      <c r="A316" s="107"/>
      <c r="B316" s="138"/>
      <c r="C316" s="168"/>
      <c r="D316" s="195"/>
      <c r="E316" s="107"/>
      <c r="F316" s="122"/>
      <c r="H316" s="22"/>
      <c r="I316" s="123"/>
      <c r="J316" s="111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</row>
    <row r="317" ht="16.5" customHeight="1">
      <c r="A317" s="107"/>
      <c r="B317" s="138"/>
      <c r="C317" s="168"/>
      <c r="D317" s="195"/>
      <c r="E317" s="107"/>
      <c r="F317" s="122"/>
      <c r="H317" s="22"/>
      <c r="I317" s="123"/>
      <c r="J317" s="111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</row>
    <row r="318" ht="16.5" customHeight="1">
      <c r="A318" s="107"/>
      <c r="B318" s="138"/>
      <c r="C318" s="168"/>
      <c r="D318" s="195"/>
      <c r="E318" s="107"/>
      <c r="F318" s="122"/>
      <c r="H318" s="22"/>
      <c r="I318" s="123"/>
      <c r="J318" s="111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</row>
    <row r="319" ht="16.5" customHeight="1">
      <c r="A319" s="107"/>
      <c r="B319" s="138"/>
      <c r="C319" s="168"/>
      <c r="D319" s="195"/>
      <c r="E319" s="107"/>
      <c r="F319" s="122"/>
      <c r="H319" s="22"/>
      <c r="I319" s="123"/>
      <c r="J319" s="111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</row>
    <row r="320" ht="16.5" customHeight="1">
      <c r="A320" s="107"/>
      <c r="B320" s="138"/>
      <c r="C320" s="168"/>
      <c r="D320" s="195"/>
      <c r="E320" s="107"/>
      <c r="F320" s="122"/>
      <c r="H320" s="22"/>
      <c r="I320" s="123"/>
      <c r="J320" s="111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</row>
    <row r="321" ht="16.5" customHeight="1">
      <c r="A321" s="107"/>
      <c r="B321" s="138"/>
      <c r="C321" s="168"/>
      <c r="D321" s="195"/>
      <c r="E321" s="107"/>
      <c r="F321" s="122"/>
      <c r="H321" s="22"/>
      <c r="I321" s="123"/>
      <c r="J321" s="111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</row>
    <row r="322" ht="16.5" customHeight="1">
      <c r="A322" s="107"/>
      <c r="B322" s="138"/>
      <c r="C322" s="168"/>
      <c r="D322" s="195"/>
      <c r="E322" s="107"/>
      <c r="F322" s="122"/>
      <c r="H322" s="22"/>
      <c r="I322" s="123"/>
      <c r="J322" s="111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</row>
    <row r="323" ht="16.5" customHeight="1">
      <c r="A323" s="107"/>
      <c r="B323" s="138"/>
      <c r="C323" s="168"/>
      <c r="D323" s="195"/>
      <c r="E323" s="107"/>
      <c r="F323" s="122"/>
      <c r="H323" s="22"/>
      <c r="I323" s="123"/>
      <c r="J323" s="111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</row>
    <row r="324" ht="16.5" customHeight="1">
      <c r="A324" s="107"/>
      <c r="B324" s="138"/>
      <c r="C324" s="168"/>
      <c r="D324" s="195"/>
      <c r="E324" s="107"/>
      <c r="F324" s="122"/>
      <c r="H324" s="22"/>
      <c r="I324" s="123"/>
      <c r="J324" s="111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</row>
    <row r="325" ht="16.5" customHeight="1">
      <c r="A325" s="107"/>
      <c r="B325" s="138"/>
      <c r="C325" s="168"/>
      <c r="D325" s="195"/>
      <c r="E325" s="107"/>
      <c r="F325" s="122"/>
      <c r="H325" s="22"/>
      <c r="I325" s="123"/>
      <c r="J325" s="111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</row>
    <row r="326" ht="16.5" customHeight="1">
      <c r="A326" s="107"/>
      <c r="B326" s="138"/>
      <c r="C326" s="168"/>
      <c r="D326" s="195"/>
      <c r="E326" s="107"/>
      <c r="F326" s="122"/>
      <c r="H326" s="22"/>
      <c r="I326" s="123"/>
      <c r="J326" s="111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</row>
    <row r="327" ht="16.5" customHeight="1">
      <c r="A327" s="107"/>
      <c r="B327" s="138"/>
      <c r="C327" s="168"/>
      <c r="D327" s="195"/>
      <c r="E327" s="107"/>
      <c r="F327" s="122"/>
      <c r="H327" s="22"/>
      <c r="I327" s="123"/>
      <c r="J327" s="111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</row>
    <row r="328" ht="16.5" customHeight="1">
      <c r="A328" s="107"/>
      <c r="B328" s="138"/>
      <c r="C328" s="168"/>
      <c r="D328" s="195"/>
      <c r="E328" s="107"/>
      <c r="F328" s="122"/>
      <c r="H328" s="22"/>
      <c r="I328" s="123"/>
      <c r="J328" s="111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</row>
    <row r="329" ht="16.5" customHeight="1">
      <c r="A329" s="107"/>
      <c r="B329" s="138"/>
      <c r="C329" s="168"/>
      <c r="D329" s="195"/>
      <c r="E329" s="107"/>
      <c r="F329" s="122"/>
      <c r="H329" s="22"/>
      <c r="I329" s="123"/>
      <c r="J329" s="111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</row>
    <row r="330" ht="16.5" customHeight="1">
      <c r="A330" s="107"/>
      <c r="B330" s="138"/>
      <c r="C330" s="168"/>
      <c r="D330" s="195"/>
      <c r="E330" s="107"/>
      <c r="F330" s="122"/>
      <c r="H330" s="22"/>
      <c r="I330" s="123"/>
      <c r="J330" s="111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</row>
    <row r="331" ht="16.5" customHeight="1">
      <c r="A331" s="107"/>
      <c r="B331" s="138"/>
      <c r="C331" s="168"/>
      <c r="D331" s="195"/>
      <c r="E331" s="107"/>
      <c r="F331" s="122"/>
      <c r="H331" s="22"/>
      <c r="I331" s="123"/>
      <c r="J331" s="111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</row>
    <row r="332" ht="16.5" customHeight="1">
      <c r="A332" s="107"/>
      <c r="B332" s="138"/>
      <c r="C332" s="168"/>
      <c r="D332" s="195"/>
      <c r="E332" s="107"/>
      <c r="F332" s="122"/>
      <c r="H332" s="22"/>
      <c r="I332" s="123"/>
      <c r="J332" s="111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</row>
    <row r="333" ht="16.5" customHeight="1">
      <c r="A333" s="107"/>
      <c r="B333" s="138"/>
      <c r="C333" s="168"/>
      <c r="D333" s="195"/>
      <c r="E333" s="107"/>
      <c r="F333" s="122"/>
      <c r="H333" s="22"/>
      <c r="I333" s="123"/>
      <c r="J333" s="111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</row>
    <row r="334" ht="16.5" customHeight="1">
      <c r="A334" s="107"/>
      <c r="B334" s="138"/>
      <c r="C334" s="168"/>
      <c r="D334" s="195"/>
      <c r="E334" s="107"/>
      <c r="F334" s="122"/>
      <c r="H334" s="22"/>
      <c r="I334" s="123"/>
      <c r="J334" s="111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</row>
    <row r="335" ht="16.5" customHeight="1">
      <c r="A335" s="107"/>
      <c r="B335" s="138"/>
      <c r="C335" s="168"/>
      <c r="D335" s="195"/>
      <c r="E335" s="107"/>
      <c r="F335" s="122"/>
      <c r="H335" s="22"/>
      <c r="I335" s="123"/>
      <c r="J335" s="111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</row>
    <row r="336" ht="16.5" customHeight="1">
      <c r="A336" s="107"/>
      <c r="B336" s="138"/>
      <c r="C336" s="168"/>
      <c r="D336" s="195"/>
      <c r="E336" s="107"/>
      <c r="F336" s="122"/>
      <c r="H336" s="22"/>
      <c r="I336" s="123"/>
      <c r="J336" s="111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</row>
    <row r="337" ht="16.5" customHeight="1">
      <c r="A337" s="107"/>
      <c r="B337" s="138"/>
      <c r="C337" s="168"/>
      <c r="D337" s="195"/>
      <c r="E337" s="107"/>
      <c r="F337" s="122"/>
      <c r="H337" s="22"/>
      <c r="I337" s="123"/>
      <c r="J337" s="111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</row>
    <row r="338" ht="16.5" customHeight="1">
      <c r="A338" s="107"/>
      <c r="B338" s="138"/>
      <c r="C338" s="168"/>
      <c r="D338" s="195"/>
      <c r="E338" s="107"/>
      <c r="F338" s="122"/>
      <c r="H338" s="22"/>
      <c r="I338" s="123"/>
      <c r="J338" s="111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</row>
    <row r="339" ht="16.5" customHeight="1">
      <c r="A339" s="107"/>
      <c r="B339" s="138"/>
      <c r="C339" s="168"/>
      <c r="D339" s="195"/>
      <c r="E339" s="107"/>
      <c r="F339" s="122"/>
      <c r="H339" s="22"/>
      <c r="I339" s="123"/>
      <c r="J339" s="111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</row>
    <row r="340" ht="16.5" customHeight="1">
      <c r="A340" s="107"/>
      <c r="B340" s="138"/>
      <c r="C340" s="168"/>
      <c r="D340" s="195"/>
      <c r="E340" s="107"/>
      <c r="F340" s="122"/>
      <c r="H340" s="22"/>
      <c r="I340" s="123"/>
      <c r="J340" s="111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</row>
    <row r="341" ht="16.5" customHeight="1">
      <c r="A341" s="107"/>
      <c r="B341" s="138"/>
      <c r="C341" s="168"/>
      <c r="D341" s="195"/>
      <c r="E341" s="107"/>
      <c r="F341" s="122"/>
      <c r="H341" s="22"/>
      <c r="I341" s="123"/>
      <c r="J341" s="111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</row>
    <row r="342" ht="16.5" customHeight="1">
      <c r="A342" s="107"/>
      <c r="B342" s="138"/>
      <c r="C342" s="168"/>
      <c r="D342" s="195"/>
      <c r="E342" s="107"/>
      <c r="F342" s="122"/>
      <c r="H342" s="22"/>
      <c r="I342" s="123"/>
      <c r="J342" s="111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</row>
    <row r="343" ht="16.5" customHeight="1">
      <c r="A343" s="107"/>
      <c r="B343" s="138"/>
      <c r="C343" s="168"/>
      <c r="D343" s="195"/>
      <c r="E343" s="107"/>
      <c r="F343" s="122"/>
      <c r="H343" s="22"/>
      <c r="I343" s="123"/>
      <c r="J343" s="111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</row>
    <row r="344" ht="16.5" customHeight="1">
      <c r="A344" s="107"/>
      <c r="B344" s="138"/>
      <c r="C344" s="168"/>
      <c r="D344" s="195"/>
      <c r="E344" s="107"/>
      <c r="F344" s="122"/>
      <c r="H344" s="22"/>
      <c r="I344" s="123"/>
      <c r="J344" s="111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</row>
    <row r="345" ht="16.5" customHeight="1">
      <c r="A345" s="107"/>
      <c r="B345" s="138"/>
      <c r="C345" s="168"/>
      <c r="D345" s="195"/>
      <c r="E345" s="107"/>
      <c r="F345" s="122"/>
      <c r="H345" s="22"/>
      <c r="I345" s="123"/>
      <c r="J345" s="111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</row>
    <row r="346" ht="16.5" customHeight="1">
      <c r="A346" s="107"/>
      <c r="B346" s="138"/>
      <c r="C346" s="168"/>
      <c r="D346" s="195"/>
      <c r="E346" s="107"/>
      <c r="F346" s="122"/>
      <c r="H346" s="22"/>
      <c r="I346" s="123"/>
      <c r="J346" s="111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</row>
    <row r="347" ht="16.5" customHeight="1">
      <c r="A347" s="107"/>
      <c r="B347" s="138"/>
      <c r="C347" s="168"/>
      <c r="D347" s="195"/>
      <c r="E347" s="107"/>
      <c r="F347" s="122"/>
      <c r="H347" s="22"/>
      <c r="I347" s="123"/>
      <c r="J347" s="111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</row>
    <row r="348" ht="16.5" customHeight="1">
      <c r="A348" s="107"/>
      <c r="B348" s="138"/>
      <c r="C348" s="168"/>
      <c r="D348" s="195"/>
      <c r="E348" s="107"/>
      <c r="F348" s="122"/>
      <c r="H348" s="22"/>
      <c r="I348" s="123"/>
      <c r="J348" s="111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</row>
    <row r="349" ht="16.5" customHeight="1">
      <c r="A349" s="107"/>
      <c r="B349" s="138"/>
      <c r="C349" s="168"/>
      <c r="D349" s="195"/>
      <c r="E349" s="107"/>
      <c r="F349" s="122"/>
      <c r="H349" s="22"/>
      <c r="I349" s="123"/>
      <c r="J349" s="111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</row>
    <row r="350" ht="16.5" customHeight="1">
      <c r="A350" s="107"/>
      <c r="B350" s="138"/>
      <c r="C350" s="168"/>
      <c r="D350" s="195"/>
      <c r="E350" s="107"/>
      <c r="F350" s="122"/>
      <c r="H350" s="22"/>
      <c r="I350" s="123"/>
      <c r="J350" s="111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</row>
    <row r="351" ht="16.5" customHeight="1">
      <c r="A351" s="107"/>
      <c r="B351" s="138"/>
      <c r="C351" s="168"/>
      <c r="D351" s="195"/>
      <c r="E351" s="107"/>
      <c r="F351" s="122"/>
      <c r="H351" s="22"/>
      <c r="I351" s="123"/>
      <c r="J351" s="111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</row>
    <row r="352" ht="16.5" customHeight="1">
      <c r="A352" s="107"/>
      <c r="B352" s="138"/>
      <c r="C352" s="168"/>
      <c r="D352" s="195"/>
      <c r="E352" s="107"/>
      <c r="F352" s="122"/>
      <c r="H352" s="22"/>
      <c r="I352" s="123"/>
      <c r="J352" s="111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</row>
    <row r="353" ht="16.5" customHeight="1">
      <c r="A353" s="107"/>
      <c r="B353" s="138"/>
      <c r="C353" s="168"/>
      <c r="D353" s="195"/>
      <c r="E353" s="107"/>
      <c r="F353" s="122"/>
      <c r="H353" s="22"/>
      <c r="I353" s="123"/>
      <c r="J353" s="111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</row>
    <row r="354" ht="16.5" customHeight="1">
      <c r="A354" s="107"/>
      <c r="B354" s="138"/>
      <c r="C354" s="168"/>
      <c r="D354" s="195"/>
      <c r="E354" s="107"/>
      <c r="F354" s="122"/>
      <c r="H354" s="22"/>
      <c r="I354" s="123"/>
      <c r="J354" s="111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</row>
    <row r="355" ht="16.5" customHeight="1">
      <c r="A355" s="107"/>
      <c r="B355" s="138"/>
      <c r="C355" s="168"/>
      <c r="D355" s="195"/>
      <c r="E355" s="107"/>
      <c r="F355" s="122"/>
      <c r="H355" s="22"/>
      <c r="I355" s="123"/>
      <c r="J355" s="111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</row>
    <row r="356" ht="16.5" customHeight="1">
      <c r="A356" s="107"/>
      <c r="B356" s="138"/>
      <c r="C356" s="168"/>
      <c r="D356" s="195"/>
      <c r="E356" s="107"/>
      <c r="F356" s="122"/>
      <c r="H356" s="22"/>
      <c r="I356" s="123"/>
      <c r="J356" s="111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</row>
    <row r="357" ht="16.5" customHeight="1">
      <c r="A357" s="107"/>
      <c r="B357" s="138"/>
      <c r="C357" s="168"/>
      <c r="D357" s="195"/>
      <c r="E357" s="107"/>
      <c r="F357" s="122"/>
      <c r="H357" s="22"/>
      <c r="I357" s="123"/>
      <c r="J357" s="111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</row>
    <row r="358" ht="16.5" customHeight="1">
      <c r="A358" s="107"/>
      <c r="B358" s="138"/>
      <c r="C358" s="168"/>
      <c r="D358" s="195"/>
      <c r="E358" s="107"/>
      <c r="F358" s="122"/>
      <c r="H358" s="22"/>
      <c r="I358" s="123"/>
      <c r="J358" s="111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</row>
    <row r="359" ht="16.5" customHeight="1">
      <c r="A359" s="107"/>
      <c r="B359" s="138"/>
      <c r="C359" s="168"/>
      <c r="D359" s="195"/>
      <c r="E359" s="107"/>
      <c r="F359" s="122"/>
      <c r="H359" s="22"/>
      <c r="I359" s="123"/>
      <c r="J359" s="111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</row>
    <row r="360" ht="16.5" customHeight="1">
      <c r="A360" s="107"/>
      <c r="B360" s="138"/>
      <c r="C360" s="168"/>
      <c r="D360" s="195"/>
      <c r="E360" s="107"/>
      <c r="F360" s="122"/>
      <c r="H360" s="22"/>
      <c r="I360" s="123"/>
      <c r="J360" s="111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</row>
    <row r="361" ht="16.5" customHeight="1">
      <c r="A361" s="107"/>
      <c r="B361" s="138"/>
      <c r="C361" s="168"/>
      <c r="D361" s="195"/>
      <c r="E361" s="107"/>
      <c r="F361" s="122"/>
      <c r="H361" s="22"/>
      <c r="I361" s="123"/>
      <c r="J361" s="111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</row>
    <row r="362" ht="16.5" customHeight="1">
      <c r="A362" s="107"/>
      <c r="B362" s="138"/>
      <c r="C362" s="168"/>
      <c r="D362" s="195"/>
      <c r="E362" s="107"/>
      <c r="F362" s="122"/>
      <c r="H362" s="22"/>
      <c r="I362" s="123"/>
      <c r="J362" s="111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</row>
    <row r="363" ht="16.5" customHeight="1">
      <c r="A363" s="107"/>
      <c r="B363" s="138"/>
      <c r="C363" s="168"/>
      <c r="D363" s="195"/>
      <c r="E363" s="107"/>
      <c r="F363" s="122"/>
      <c r="H363" s="22"/>
      <c r="I363" s="123"/>
      <c r="J363" s="111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</row>
    <row r="364" ht="16.5" customHeight="1">
      <c r="A364" s="107"/>
      <c r="B364" s="138"/>
      <c r="C364" s="168"/>
      <c r="D364" s="195"/>
      <c r="E364" s="107"/>
      <c r="F364" s="122"/>
      <c r="H364" s="22"/>
      <c r="I364" s="123"/>
      <c r="J364" s="111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</row>
    <row r="365" ht="16.5" customHeight="1">
      <c r="A365" s="107"/>
      <c r="B365" s="138"/>
      <c r="C365" s="168"/>
      <c r="D365" s="195"/>
      <c r="E365" s="107"/>
      <c r="F365" s="122"/>
      <c r="H365" s="22"/>
      <c r="I365" s="123"/>
      <c r="J365" s="111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</row>
    <row r="366" ht="16.5" customHeight="1">
      <c r="A366" s="107"/>
      <c r="B366" s="138"/>
      <c r="C366" s="168"/>
      <c r="D366" s="195"/>
      <c r="E366" s="107"/>
      <c r="F366" s="122"/>
      <c r="H366" s="22"/>
      <c r="I366" s="123"/>
      <c r="J366" s="111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</row>
    <row r="367" ht="16.5" customHeight="1">
      <c r="A367" s="107"/>
      <c r="B367" s="138"/>
      <c r="C367" s="168"/>
      <c r="D367" s="195"/>
      <c r="E367" s="107"/>
      <c r="F367" s="122"/>
      <c r="H367" s="22"/>
      <c r="I367" s="123"/>
      <c r="J367" s="111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</row>
    <row r="368" ht="16.5" customHeight="1">
      <c r="A368" s="107"/>
      <c r="B368" s="138"/>
      <c r="C368" s="168"/>
      <c r="D368" s="195"/>
      <c r="E368" s="107"/>
      <c r="F368" s="122"/>
      <c r="H368" s="22"/>
      <c r="I368" s="123"/>
      <c r="J368" s="111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</row>
    <row r="369" ht="16.5" customHeight="1">
      <c r="A369" s="107"/>
      <c r="B369" s="138"/>
      <c r="C369" s="168"/>
      <c r="D369" s="195"/>
      <c r="E369" s="107"/>
      <c r="F369" s="122"/>
      <c r="H369" s="22"/>
      <c r="I369" s="123"/>
      <c r="J369" s="111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</row>
    <row r="370" ht="16.5" customHeight="1">
      <c r="A370" s="107"/>
      <c r="B370" s="138"/>
      <c r="C370" s="168"/>
      <c r="D370" s="195"/>
      <c r="E370" s="107"/>
      <c r="F370" s="122"/>
      <c r="H370" s="22"/>
      <c r="I370" s="123"/>
      <c r="J370" s="111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</row>
    <row r="371" ht="16.5" customHeight="1">
      <c r="A371" s="107"/>
      <c r="B371" s="138"/>
      <c r="C371" s="168"/>
      <c r="D371" s="195"/>
      <c r="E371" s="107"/>
      <c r="F371" s="122"/>
      <c r="H371" s="22"/>
      <c r="I371" s="123"/>
      <c r="J371" s="111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</row>
    <row r="372" ht="16.5" customHeight="1">
      <c r="A372" s="107"/>
      <c r="B372" s="138"/>
      <c r="C372" s="168"/>
      <c r="D372" s="195"/>
      <c r="E372" s="107"/>
      <c r="F372" s="122"/>
      <c r="H372" s="22"/>
      <c r="I372" s="123"/>
      <c r="J372" s="111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</row>
    <row r="373" ht="16.5" customHeight="1">
      <c r="A373" s="107"/>
      <c r="B373" s="138"/>
      <c r="C373" s="168"/>
      <c r="D373" s="195"/>
      <c r="E373" s="107"/>
      <c r="F373" s="122"/>
      <c r="H373" s="22"/>
      <c r="I373" s="123"/>
      <c r="J373" s="111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</row>
    <row r="374" ht="16.5" customHeight="1">
      <c r="A374" s="107"/>
      <c r="B374" s="138"/>
      <c r="C374" s="168"/>
      <c r="D374" s="195"/>
      <c r="E374" s="107"/>
      <c r="F374" s="122"/>
      <c r="H374" s="22"/>
      <c r="I374" s="123"/>
      <c r="J374" s="111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</row>
    <row r="375" ht="16.5" customHeight="1">
      <c r="A375" s="107"/>
      <c r="B375" s="138"/>
      <c r="C375" s="168"/>
      <c r="D375" s="195"/>
      <c r="E375" s="107"/>
      <c r="F375" s="122"/>
      <c r="H375" s="22"/>
      <c r="I375" s="123"/>
      <c r="J375" s="111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</row>
    <row r="376" ht="16.5" customHeight="1">
      <c r="A376" s="107"/>
      <c r="B376" s="138"/>
      <c r="C376" s="168"/>
      <c r="D376" s="195"/>
      <c r="E376" s="107"/>
      <c r="F376" s="122"/>
      <c r="H376" s="22"/>
      <c r="I376" s="123"/>
      <c r="J376" s="111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</row>
    <row r="377" ht="16.5" customHeight="1">
      <c r="A377" s="107"/>
      <c r="B377" s="138"/>
      <c r="C377" s="168"/>
      <c r="D377" s="195"/>
      <c r="E377" s="107"/>
      <c r="F377" s="122"/>
      <c r="H377" s="22"/>
      <c r="I377" s="123"/>
      <c r="J377" s="111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</row>
    <row r="378" ht="16.5" customHeight="1">
      <c r="A378" s="107"/>
      <c r="B378" s="138"/>
      <c r="C378" s="168"/>
      <c r="D378" s="195"/>
      <c r="E378" s="107"/>
      <c r="F378" s="122"/>
      <c r="H378" s="22"/>
      <c r="I378" s="123"/>
      <c r="J378" s="111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</row>
    <row r="379" ht="16.5" customHeight="1">
      <c r="A379" s="107"/>
      <c r="B379" s="138"/>
      <c r="C379" s="168"/>
      <c r="D379" s="195"/>
      <c r="E379" s="107"/>
      <c r="F379" s="122"/>
      <c r="H379" s="22"/>
      <c r="I379" s="123"/>
      <c r="J379" s="111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</row>
    <row r="380" ht="16.5" customHeight="1">
      <c r="A380" s="107"/>
      <c r="B380" s="138"/>
      <c r="C380" s="168"/>
      <c r="D380" s="195"/>
      <c r="E380" s="107"/>
      <c r="F380" s="122"/>
      <c r="H380" s="22"/>
      <c r="I380" s="123"/>
      <c r="J380" s="111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</row>
    <row r="381" ht="16.5" customHeight="1">
      <c r="A381" s="107"/>
      <c r="B381" s="138"/>
      <c r="C381" s="168"/>
      <c r="D381" s="195"/>
      <c r="E381" s="107"/>
      <c r="F381" s="122"/>
      <c r="H381" s="22"/>
      <c r="I381" s="123"/>
      <c r="J381" s="111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</row>
    <row r="382" ht="16.5" customHeight="1">
      <c r="A382" s="107"/>
      <c r="B382" s="138"/>
      <c r="C382" s="168"/>
      <c r="D382" s="195"/>
      <c r="E382" s="107"/>
      <c r="F382" s="122"/>
      <c r="H382" s="22"/>
      <c r="I382" s="123"/>
      <c r="J382" s="111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</row>
    <row r="383" ht="16.5" customHeight="1">
      <c r="A383" s="107"/>
      <c r="B383" s="138"/>
      <c r="C383" s="168"/>
      <c r="D383" s="195"/>
      <c r="E383" s="107"/>
      <c r="F383" s="122"/>
      <c r="H383" s="22"/>
      <c r="I383" s="123"/>
      <c r="J383" s="111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</row>
    <row r="384" ht="16.5" customHeight="1">
      <c r="A384" s="107"/>
      <c r="B384" s="138"/>
      <c r="C384" s="168"/>
      <c r="D384" s="195"/>
      <c r="E384" s="107"/>
      <c r="F384" s="122"/>
      <c r="H384" s="22"/>
      <c r="I384" s="123"/>
      <c r="J384" s="111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</row>
    <row r="385" ht="16.5" customHeight="1">
      <c r="A385" s="107"/>
      <c r="B385" s="138"/>
      <c r="C385" s="168"/>
      <c r="D385" s="195"/>
      <c r="E385" s="107"/>
      <c r="F385" s="122"/>
      <c r="H385" s="22"/>
      <c r="I385" s="123"/>
      <c r="J385" s="111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</row>
    <row r="386" ht="16.5" customHeight="1">
      <c r="A386" s="107"/>
      <c r="B386" s="138"/>
      <c r="C386" s="168"/>
      <c r="D386" s="195"/>
      <c r="E386" s="107"/>
      <c r="F386" s="122"/>
      <c r="H386" s="22"/>
      <c r="I386" s="123"/>
      <c r="J386" s="111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</row>
    <row r="387" ht="16.5" customHeight="1">
      <c r="A387" s="107"/>
      <c r="B387" s="138"/>
      <c r="C387" s="168"/>
      <c r="D387" s="195"/>
      <c r="E387" s="107"/>
      <c r="F387" s="122"/>
      <c r="H387" s="22"/>
      <c r="I387" s="123"/>
      <c r="J387" s="111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</row>
    <row r="388" ht="16.5" customHeight="1">
      <c r="A388" s="107"/>
      <c r="B388" s="138"/>
      <c r="C388" s="168"/>
      <c r="D388" s="195"/>
      <c r="E388" s="107"/>
      <c r="F388" s="122"/>
      <c r="H388" s="22"/>
      <c r="I388" s="123"/>
      <c r="J388" s="111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</row>
    <row r="389" ht="16.5" customHeight="1">
      <c r="A389" s="107"/>
      <c r="B389" s="138"/>
      <c r="C389" s="168"/>
      <c r="D389" s="195"/>
      <c r="E389" s="107"/>
      <c r="F389" s="122"/>
      <c r="H389" s="22"/>
      <c r="I389" s="123"/>
      <c r="J389" s="111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</row>
    <row r="390" ht="16.5" customHeight="1">
      <c r="A390" s="107"/>
      <c r="B390" s="138"/>
      <c r="C390" s="168"/>
      <c r="D390" s="195"/>
      <c r="E390" s="107"/>
      <c r="F390" s="122"/>
      <c r="H390" s="22"/>
      <c r="I390" s="123"/>
      <c r="J390" s="111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</row>
    <row r="391" ht="16.5" customHeight="1">
      <c r="A391" s="107"/>
      <c r="B391" s="138"/>
      <c r="C391" s="168"/>
      <c r="D391" s="195"/>
      <c r="E391" s="107"/>
      <c r="F391" s="122"/>
      <c r="H391" s="22"/>
      <c r="I391" s="123"/>
      <c r="J391" s="111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</row>
    <row r="392" ht="16.5" customHeight="1">
      <c r="A392" s="107"/>
      <c r="B392" s="138"/>
      <c r="C392" s="168"/>
      <c r="D392" s="195"/>
      <c r="E392" s="107"/>
      <c r="F392" s="122"/>
      <c r="H392" s="22"/>
      <c r="I392" s="123"/>
      <c r="J392" s="111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</row>
    <row r="393" ht="16.5" customHeight="1">
      <c r="A393" s="107"/>
      <c r="B393" s="138"/>
      <c r="C393" s="168"/>
      <c r="D393" s="195"/>
      <c r="E393" s="107"/>
      <c r="F393" s="122"/>
      <c r="H393" s="22"/>
      <c r="I393" s="123"/>
      <c r="J393" s="111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</row>
    <row r="394" ht="16.5" customHeight="1">
      <c r="A394" s="107"/>
      <c r="B394" s="138"/>
      <c r="C394" s="168"/>
      <c r="D394" s="195"/>
      <c r="E394" s="107"/>
      <c r="F394" s="122"/>
      <c r="H394" s="22"/>
      <c r="I394" s="123"/>
      <c r="J394" s="111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</row>
    <row r="395" ht="16.5" customHeight="1">
      <c r="A395" s="107"/>
      <c r="B395" s="138"/>
      <c r="C395" s="168"/>
      <c r="D395" s="195"/>
      <c r="E395" s="107"/>
      <c r="F395" s="122"/>
      <c r="H395" s="22"/>
      <c r="I395" s="123"/>
      <c r="J395" s="111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</row>
    <row r="396" ht="16.5" customHeight="1">
      <c r="A396" s="107"/>
      <c r="B396" s="138"/>
      <c r="C396" s="168"/>
      <c r="D396" s="195"/>
      <c r="E396" s="107"/>
      <c r="F396" s="122"/>
      <c r="H396" s="22"/>
      <c r="I396" s="123"/>
      <c r="J396" s="111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</row>
    <row r="397" ht="16.5" customHeight="1">
      <c r="A397" s="107"/>
      <c r="B397" s="138"/>
      <c r="C397" s="168"/>
      <c r="D397" s="195"/>
      <c r="E397" s="107"/>
      <c r="F397" s="122"/>
      <c r="H397" s="22"/>
      <c r="I397" s="123"/>
      <c r="J397" s="111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</row>
    <row r="398" ht="16.5" customHeight="1">
      <c r="A398" s="107"/>
      <c r="B398" s="138"/>
      <c r="C398" s="168"/>
      <c r="D398" s="195"/>
      <c r="E398" s="107"/>
      <c r="F398" s="122"/>
      <c r="H398" s="22"/>
      <c r="I398" s="123"/>
      <c r="J398" s="111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</row>
    <row r="399" ht="16.5" customHeight="1">
      <c r="A399" s="107"/>
      <c r="B399" s="138"/>
      <c r="C399" s="168"/>
      <c r="D399" s="195"/>
      <c r="E399" s="107"/>
      <c r="F399" s="122"/>
      <c r="H399" s="22"/>
      <c r="I399" s="123"/>
      <c r="J399" s="111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</row>
    <row r="400" ht="16.5" customHeight="1">
      <c r="A400" s="107"/>
      <c r="B400" s="138"/>
      <c r="C400" s="168"/>
      <c r="D400" s="195"/>
      <c r="E400" s="107"/>
      <c r="F400" s="122"/>
      <c r="H400" s="22"/>
      <c r="I400" s="123"/>
      <c r="J400" s="111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</row>
    <row r="401" ht="16.5" customHeight="1">
      <c r="A401" s="107"/>
      <c r="B401" s="138"/>
      <c r="C401" s="168"/>
      <c r="D401" s="195"/>
      <c r="E401" s="107"/>
      <c r="F401" s="122"/>
      <c r="H401" s="22"/>
      <c r="I401" s="123"/>
      <c r="J401" s="111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</row>
    <row r="402" ht="16.5" customHeight="1">
      <c r="A402" s="107"/>
      <c r="B402" s="138"/>
      <c r="C402" s="168"/>
      <c r="D402" s="195"/>
      <c r="E402" s="107"/>
      <c r="F402" s="122"/>
      <c r="H402" s="22"/>
      <c r="I402" s="123"/>
      <c r="J402" s="111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</row>
    <row r="403" ht="16.5" customHeight="1">
      <c r="A403" s="107"/>
      <c r="B403" s="138"/>
      <c r="C403" s="168"/>
      <c r="D403" s="195"/>
      <c r="E403" s="107"/>
      <c r="F403" s="122"/>
      <c r="H403" s="22"/>
      <c r="I403" s="123"/>
      <c r="J403" s="111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</row>
    <row r="404" ht="16.5" customHeight="1">
      <c r="A404" s="107"/>
      <c r="B404" s="138"/>
      <c r="C404" s="168"/>
      <c r="D404" s="195"/>
      <c r="E404" s="107"/>
      <c r="F404" s="122"/>
      <c r="H404" s="22"/>
      <c r="I404" s="123"/>
      <c r="J404" s="111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</row>
    <row r="405" ht="16.5" customHeight="1">
      <c r="A405" s="107"/>
      <c r="B405" s="138"/>
      <c r="C405" s="168"/>
      <c r="D405" s="195"/>
      <c r="E405" s="107"/>
      <c r="F405" s="122"/>
      <c r="H405" s="22"/>
      <c r="I405" s="123"/>
      <c r="J405" s="111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</row>
    <row r="406" ht="16.5" customHeight="1">
      <c r="A406" s="107"/>
      <c r="B406" s="138"/>
      <c r="C406" s="168"/>
      <c r="D406" s="195"/>
      <c r="E406" s="107"/>
      <c r="F406" s="122"/>
      <c r="H406" s="22"/>
      <c r="I406" s="123"/>
      <c r="J406" s="111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</row>
    <row r="407" ht="16.5" customHeight="1">
      <c r="A407" s="107"/>
      <c r="B407" s="138"/>
      <c r="C407" s="168"/>
      <c r="D407" s="195"/>
      <c r="E407" s="107"/>
      <c r="F407" s="122"/>
      <c r="H407" s="22"/>
      <c r="I407" s="123"/>
      <c r="J407" s="111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</row>
    <row r="408" ht="16.5" customHeight="1">
      <c r="A408" s="107"/>
      <c r="B408" s="138"/>
      <c r="C408" s="168"/>
      <c r="D408" s="195"/>
      <c r="E408" s="107"/>
      <c r="F408" s="122"/>
      <c r="H408" s="22"/>
      <c r="I408" s="123"/>
      <c r="J408" s="111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</row>
    <row r="409" ht="16.5" customHeight="1">
      <c r="A409" s="107"/>
      <c r="B409" s="138"/>
      <c r="C409" s="168"/>
      <c r="D409" s="195"/>
      <c r="E409" s="107"/>
      <c r="F409" s="122"/>
      <c r="H409" s="22"/>
      <c r="I409" s="123"/>
      <c r="J409" s="111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</row>
    <row r="410" ht="16.5" customHeight="1">
      <c r="A410" s="107"/>
      <c r="B410" s="138"/>
      <c r="C410" s="168"/>
      <c r="D410" s="195"/>
      <c r="E410" s="107"/>
      <c r="F410" s="122"/>
      <c r="H410" s="22"/>
      <c r="I410" s="123"/>
      <c r="J410" s="111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</row>
    <row r="411" ht="16.5" customHeight="1">
      <c r="A411" s="107"/>
      <c r="B411" s="138"/>
      <c r="C411" s="168"/>
      <c r="D411" s="195"/>
      <c r="E411" s="107"/>
      <c r="F411" s="122"/>
      <c r="H411" s="22"/>
      <c r="I411" s="123"/>
      <c r="J411" s="111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</row>
    <row r="412" ht="16.5" customHeight="1">
      <c r="A412" s="107"/>
      <c r="B412" s="138"/>
      <c r="C412" s="168"/>
      <c r="D412" s="195"/>
      <c r="E412" s="107"/>
      <c r="F412" s="122"/>
      <c r="H412" s="22"/>
      <c r="I412" s="123"/>
      <c r="J412" s="111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</row>
    <row r="413" ht="16.5" customHeight="1">
      <c r="A413" s="107"/>
      <c r="B413" s="138"/>
      <c r="C413" s="168"/>
      <c r="D413" s="195"/>
      <c r="E413" s="107"/>
      <c r="F413" s="122"/>
      <c r="H413" s="22"/>
      <c r="I413" s="123"/>
      <c r="J413" s="111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</row>
    <row r="414" ht="16.5" customHeight="1">
      <c r="A414" s="107"/>
      <c r="B414" s="138"/>
      <c r="C414" s="168"/>
      <c r="D414" s="195"/>
      <c r="E414" s="107"/>
      <c r="F414" s="122"/>
      <c r="H414" s="22"/>
      <c r="I414" s="123"/>
      <c r="J414" s="111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</row>
    <row r="415" ht="16.5" customHeight="1">
      <c r="A415" s="107"/>
      <c r="B415" s="138"/>
      <c r="C415" s="168"/>
      <c r="D415" s="195"/>
      <c r="E415" s="107"/>
      <c r="F415" s="122"/>
      <c r="H415" s="22"/>
      <c r="I415" s="123"/>
      <c r="J415" s="111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</row>
    <row r="416" ht="16.5" customHeight="1">
      <c r="A416" s="107"/>
      <c r="B416" s="138"/>
      <c r="C416" s="168"/>
      <c r="D416" s="195"/>
      <c r="E416" s="107"/>
      <c r="F416" s="122"/>
      <c r="H416" s="22"/>
      <c r="I416" s="123"/>
      <c r="J416" s="111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</row>
    <row r="417" ht="16.5" customHeight="1">
      <c r="A417" s="107"/>
      <c r="B417" s="138"/>
      <c r="C417" s="168"/>
      <c r="D417" s="195"/>
      <c r="E417" s="107"/>
      <c r="F417" s="122"/>
      <c r="H417" s="22"/>
      <c r="I417" s="123"/>
      <c r="J417" s="111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</row>
    <row r="418" ht="16.5" customHeight="1">
      <c r="A418" s="107"/>
      <c r="B418" s="138"/>
      <c r="C418" s="168"/>
      <c r="D418" s="195"/>
      <c r="E418" s="107"/>
      <c r="F418" s="122"/>
      <c r="H418" s="22"/>
      <c r="I418" s="123"/>
      <c r="J418" s="111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</row>
    <row r="419" ht="16.5" customHeight="1">
      <c r="A419" s="107"/>
      <c r="B419" s="138"/>
      <c r="C419" s="168"/>
      <c r="D419" s="195"/>
      <c r="E419" s="107"/>
      <c r="F419" s="122"/>
      <c r="H419" s="22"/>
      <c r="I419" s="123"/>
      <c r="J419" s="111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</row>
    <row r="420" ht="16.5" customHeight="1">
      <c r="A420" s="107"/>
      <c r="B420" s="138"/>
      <c r="C420" s="168"/>
      <c r="D420" s="195"/>
      <c r="E420" s="107"/>
      <c r="F420" s="122"/>
      <c r="H420" s="22"/>
      <c r="I420" s="123"/>
      <c r="J420" s="111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</row>
    <row r="421" ht="16.5" customHeight="1">
      <c r="A421" s="107"/>
      <c r="B421" s="138"/>
      <c r="C421" s="168"/>
      <c r="D421" s="195"/>
      <c r="E421" s="107"/>
      <c r="F421" s="122"/>
      <c r="H421" s="22"/>
      <c r="I421" s="123"/>
      <c r="J421" s="111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</row>
    <row r="422" ht="16.5" customHeight="1">
      <c r="A422" s="107"/>
      <c r="B422" s="138"/>
      <c r="C422" s="168"/>
      <c r="D422" s="195"/>
      <c r="E422" s="107"/>
      <c r="F422" s="122"/>
      <c r="H422" s="22"/>
      <c r="I422" s="123"/>
      <c r="J422" s="111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</row>
    <row r="423" ht="16.5" customHeight="1">
      <c r="A423" s="107"/>
      <c r="B423" s="138"/>
      <c r="C423" s="168"/>
      <c r="D423" s="195"/>
      <c r="E423" s="107"/>
      <c r="F423" s="122"/>
      <c r="H423" s="22"/>
      <c r="I423" s="123"/>
      <c r="J423" s="111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</row>
    <row r="424" ht="16.5" customHeight="1">
      <c r="A424" s="107"/>
      <c r="B424" s="138"/>
      <c r="C424" s="168"/>
      <c r="D424" s="195"/>
      <c r="E424" s="107"/>
      <c r="F424" s="122"/>
      <c r="H424" s="22"/>
      <c r="I424" s="123"/>
      <c r="J424" s="111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</row>
    <row r="425" ht="16.5" customHeight="1">
      <c r="A425" s="107"/>
      <c r="B425" s="138"/>
      <c r="C425" s="168"/>
      <c r="D425" s="195"/>
      <c r="E425" s="107"/>
      <c r="F425" s="122"/>
      <c r="H425" s="22"/>
      <c r="I425" s="123"/>
      <c r="J425" s="111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</row>
    <row r="426" ht="16.5" customHeight="1">
      <c r="A426" s="107"/>
      <c r="B426" s="138"/>
      <c r="C426" s="168"/>
      <c r="D426" s="195"/>
      <c r="E426" s="107"/>
      <c r="F426" s="122"/>
      <c r="H426" s="22"/>
      <c r="I426" s="123"/>
      <c r="J426" s="111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</row>
    <row r="427" ht="16.5" customHeight="1">
      <c r="A427" s="107"/>
      <c r="B427" s="138"/>
      <c r="C427" s="168"/>
      <c r="D427" s="195"/>
      <c r="E427" s="107"/>
      <c r="F427" s="122"/>
      <c r="H427" s="22"/>
      <c r="I427" s="123"/>
      <c r="J427" s="111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</row>
    <row r="428" ht="16.5" customHeight="1">
      <c r="A428" s="107"/>
      <c r="B428" s="138"/>
      <c r="C428" s="168"/>
      <c r="D428" s="195"/>
      <c r="E428" s="107"/>
      <c r="F428" s="122"/>
      <c r="H428" s="22"/>
      <c r="I428" s="123"/>
      <c r="J428" s="111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</row>
    <row r="429" ht="16.5" customHeight="1">
      <c r="A429" s="107"/>
      <c r="B429" s="138"/>
      <c r="C429" s="168"/>
      <c r="D429" s="195"/>
      <c r="E429" s="107"/>
      <c r="F429" s="122"/>
      <c r="H429" s="22"/>
      <c r="I429" s="123"/>
      <c r="J429" s="111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</row>
    <row r="430" ht="16.5" customHeight="1">
      <c r="A430" s="107"/>
      <c r="B430" s="138"/>
      <c r="C430" s="168"/>
      <c r="D430" s="195"/>
      <c r="E430" s="107"/>
      <c r="F430" s="122"/>
      <c r="H430" s="22"/>
      <c r="I430" s="123"/>
      <c r="J430" s="111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</row>
    <row r="431" ht="16.5" customHeight="1">
      <c r="A431" s="107"/>
      <c r="B431" s="138"/>
      <c r="C431" s="168"/>
      <c r="D431" s="195"/>
      <c r="E431" s="107"/>
      <c r="F431" s="122"/>
      <c r="H431" s="22"/>
      <c r="I431" s="123"/>
      <c r="J431" s="111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</row>
    <row r="432" ht="16.5" customHeight="1">
      <c r="A432" s="107"/>
      <c r="B432" s="138"/>
      <c r="C432" s="168"/>
      <c r="D432" s="195"/>
      <c r="E432" s="107"/>
      <c r="F432" s="122"/>
      <c r="H432" s="22"/>
      <c r="I432" s="123"/>
      <c r="J432" s="111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</row>
    <row r="433" ht="16.5" customHeight="1">
      <c r="A433" s="107"/>
      <c r="B433" s="138"/>
      <c r="C433" s="168"/>
      <c r="D433" s="195"/>
      <c r="E433" s="107"/>
      <c r="F433" s="122"/>
      <c r="H433" s="22"/>
      <c r="I433" s="123"/>
      <c r="J433" s="111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</row>
    <row r="434" ht="16.5" customHeight="1">
      <c r="A434" s="107"/>
      <c r="B434" s="138"/>
      <c r="C434" s="168"/>
      <c r="D434" s="195"/>
      <c r="E434" s="107"/>
      <c r="F434" s="122"/>
      <c r="H434" s="22"/>
      <c r="I434" s="123"/>
      <c r="J434" s="111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</row>
    <row r="435" ht="16.5" customHeight="1">
      <c r="A435" s="107"/>
      <c r="B435" s="138"/>
      <c r="C435" s="168"/>
      <c r="D435" s="195"/>
      <c r="E435" s="107"/>
      <c r="F435" s="122"/>
      <c r="H435" s="22"/>
      <c r="I435" s="123"/>
      <c r="J435" s="111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</row>
    <row r="436" ht="16.5" customHeight="1">
      <c r="A436" s="107"/>
      <c r="B436" s="138"/>
      <c r="C436" s="168"/>
      <c r="D436" s="195"/>
      <c r="E436" s="107"/>
      <c r="F436" s="122"/>
      <c r="H436" s="22"/>
      <c r="I436" s="123"/>
      <c r="J436" s="111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</row>
    <row r="437" ht="16.5" customHeight="1">
      <c r="A437" s="107"/>
      <c r="B437" s="138"/>
      <c r="C437" s="168"/>
      <c r="D437" s="195"/>
      <c r="E437" s="107"/>
      <c r="F437" s="122"/>
      <c r="H437" s="22"/>
      <c r="I437" s="123"/>
      <c r="J437" s="111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</row>
    <row r="438" ht="16.5" customHeight="1">
      <c r="A438" s="107"/>
      <c r="B438" s="138"/>
      <c r="C438" s="168"/>
      <c r="D438" s="195"/>
      <c r="E438" s="107"/>
      <c r="F438" s="122"/>
      <c r="H438" s="22"/>
      <c r="I438" s="123"/>
      <c r="J438" s="111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</row>
    <row r="439" ht="16.5" customHeight="1">
      <c r="A439" s="107"/>
      <c r="B439" s="138"/>
      <c r="C439" s="168"/>
      <c r="D439" s="195"/>
      <c r="E439" s="107"/>
      <c r="F439" s="122"/>
      <c r="H439" s="22"/>
      <c r="I439" s="123"/>
      <c r="J439" s="111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</row>
    <row r="440" ht="16.5" customHeight="1">
      <c r="A440" s="107"/>
      <c r="B440" s="138"/>
      <c r="C440" s="168"/>
      <c r="D440" s="195"/>
      <c r="E440" s="107"/>
      <c r="F440" s="122"/>
      <c r="H440" s="22"/>
      <c r="I440" s="123"/>
      <c r="J440" s="111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</row>
    <row r="441" ht="16.5" customHeight="1">
      <c r="A441" s="107"/>
      <c r="B441" s="138"/>
      <c r="C441" s="168"/>
      <c r="D441" s="195"/>
      <c r="E441" s="107"/>
      <c r="F441" s="122"/>
      <c r="H441" s="22"/>
      <c r="I441" s="123"/>
      <c r="J441" s="111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</row>
    <row r="442" ht="16.5" customHeight="1">
      <c r="A442" s="107"/>
      <c r="B442" s="138"/>
      <c r="C442" s="168"/>
      <c r="D442" s="195"/>
      <c r="E442" s="107"/>
      <c r="F442" s="122"/>
      <c r="H442" s="22"/>
      <c r="I442" s="123"/>
      <c r="J442" s="111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</row>
    <row r="443" ht="16.5" customHeight="1">
      <c r="A443" s="107"/>
      <c r="B443" s="138"/>
      <c r="C443" s="168"/>
      <c r="D443" s="195"/>
      <c r="E443" s="107"/>
      <c r="F443" s="122"/>
      <c r="H443" s="22"/>
      <c r="I443" s="123"/>
      <c r="J443" s="111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</row>
    <row r="444" ht="16.5" customHeight="1">
      <c r="A444" s="107"/>
      <c r="B444" s="138"/>
      <c r="C444" s="168"/>
      <c r="D444" s="195"/>
      <c r="E444" s="107"/>
      <c r="F444" s="122"/>
      <c r="H444" s="22"/>
      <c r="I444" s="123"/>
      <c r="J444" s="111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</row>
    <row r="445" ht="16.5" customHeight="1">
      <c r="A445" s="107"/>
      <c r="B445" s="138"/>
      <c r="C445" s="168"/>
      <c r="D445" s="195"/>
      <c r="E445" s="107"/>
      <c r="F445" s="122"/>
      <c r="H445" s="22"/>
      <c r="I445" s="123"/>
      <c r="J445" s="111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</row>
    <row r="446" ht="16.5" customHeight="1">
      <c r="A446" s="107"/>
      <c r="B446" s="138"/>
      <c r="C446" s="168"/>
      <c r="D446" s="195"/>
      <c r="E446" s="107"/>
      <c r="F446" s="122"/>
      <c r="H446" s="22"/>
      <c r="I446" s="123"/>
      <c r="J446" s="111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</row>
    <row r="447" ht="16.5" customHeight="1">
      <c r="A447" s="107"/>
      <c r="B447" s="138"/>
      <c r="C447" s="168"/>
      <c r="D447" s="195"/>
      <c r="E447" s="107"/>
      <c r="F447" s="122"/>
      <c r="H447" s="22"/>
      <c r="I447" s="123"/>
      <c r="J447" s="111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</row>
    <row r="448" ht="16.5" customHeight="1">
      <c r="A448" s="107"/>
      <c r="B448" s="138"/>
      <c r="C448" s="168"/>
      <c r="D448" s="195"/>
      <c r="E448" s="107"/>
      <c r="F448" s="122"/>
      <c r="H448" s="22"/>
      <c r="I448" s="123"/>
      <c r="J448" s="111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</row>
    <row r="449" ht="16.5" customHeight="1">
      <c r="A449" s="107"/>
      <c r="B449" s="138"/>
      <c r="C449" s="168"/>
      <c r="D449" s="195"/>
      <c r="E449" s="107"/>
      <c r="F449" s="122"/>
      <c r="H449" s="22"/>
      <c r="I449" s="123"/>
      <c r="J449" s="111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</row>
    <row r="450" ht="16.5" customHeight="1">
      <c r="A450" s="107"/>
      <c r="B450" s="138"/>
      <c r="C450" s="168"/>
      <c r="D450" s="195"/>
      <c r="E450" s="107"/>
      <c r="F450" s="122"/>
      <c r="H450" s="22"/>
      <c r="I450" s="123"/>
      <c r="J450" s="111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</row>
    <row r="451" ht="16.5" customHeight="1">
      <c r="A451" s="107"/>
      <c r="B451" s="138"/>
      <c r="C451" s="168"/>
      <c r="D451" s="195"/>
      <c r="E451" s="107"/>
      <c r="F451" s="122"/>
      <c r="H451" s="22"/>
      <c r="I451" s="123"/>
      <c r="J451" s="111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</row>
    <row r="452" ht="16.5" customHeight="1">
      <c r="A452" s="107"/>
      <c r="B452" s="138"/>
      <c r="C452" s="168"/>
      <c r="D452" s="195"/>
      <c r="E452" s="107"/>
      <c r="F452" s="122"/>
      <c r="H452" s="22"/>
      <c r="I452" s="123"/>
      <c r="J452" s="111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</row>
    <row r="453" ht="16.5" customHeight="1">
      <c r="A453" s="107"/>
      <c r="B453" s="138"/>
      <c r="C453" s="168"/>
      <c r="D453" s="195"/>
      <c r="E453" s="107"/>
      <c r="F453" s="122"/>
      <c r="H453" s="22"/>
      <c r="I453" s="123"/>
      <c r="J453" s="111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</row>
    <row r="454" ht="16.5" customHeight="1">
      <c r="A454" s="107"/>
      <c r="B454" s="138"/>
      <c r="C454" s="168"/>
      <c r="D454" s="195"/>
      <c r="E454" s="107"/>
      <c r="F454" s="122"/>
      <c r="H454" s="22"/>
      <c r="I454" s="123"/>
      <c r="J454" s="111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</row>
    <row r="455" ht="16.5" customHeight="1">
      <c r="A455" s="107"/>
      <c r="B455" s="138"/>
      <c r="C455" s="168"/>
      <c r="D455" s="195"/>
      <c r="E455" s="107"/>
      <c r="F455" s="122"/>
      <c r="H455" s="22"/>
      <c r="I455" s="123"/>
      <c r="J455" s="111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</row>
    <row r="456" ht="16.5" customHeight="1">
      <c r="A456" s="107"/>
      <c r="B456" s="138"/>
      <c r="C456" s="168"/>
      <c r="D456" s="195"/>
      <c r="E456" s="107"/>
      <c r="F456" s="122"/>
      <c r="H456" s="22"/>
      <c r="I456" s="123"/>
      <c r="J456" s="111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</row>
    <row r="457" ht="16.5" customHeight="1">
      <c r="A457" s="107"/>
      <c r="B457" s="138"/>
      <c r="C457" s="168"/>
      <c r="D457" s="195"/>
      <c r="E457" s="107"/>
      <c r="F457" s="122"/>
      <c r="H457" s="22"/>
      <c r="I457" s="123"/>
      <c r="J457" s="111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</row>
    <row r="458" ht="16.5" customHeight="1">
      <c r="A458" s="107"/>
      <c r="B458" s="138"/>
      <c r="C458" s="168"/>
      <c r="D458" s="195"/>
      <c r="E458" s="107"/>
      <c r="F458" s="122"/>
      <c r="H458" s="22"/>
      <c r="I458" s="123"/>
      <c r="J458" s="111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</row>
    <row r="459" ht="16.5" customHeight="1">
      <c r="A459" s="107"/>
      <c r="B459" s="138"/>
      <c r="C459" s="168"/>
      <c r="D459" s="195"/>
      <c r="E459" s="107"/>
      <c r="F459" s="122"/>
      <c r="H459" s="22"/>
      <c r="I459" s="123"/>
      <c r="J459" s="111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</row>
    <row r="460" ht="16.5" customHeight="1">
      <c r="A460" s="107"/>
      <c r="B460" s="138"/>
      <c r="C460" s="168"/>
      <c r="D460" s="195"/>
      <c r="E460" s="107"/>
      <c r="F460" s="122"/>
      <c r="H460" s="22"/>
      <c r="I460" s="123"/>
      <c r="J460" s="111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</row>
    <row r="461" ht="16.5" customHeight="1">
      <c r="A461" s="107"/>
      <c r="B461" s="138"/>
      <c r="C461" s="168"/>
      <c r="D461" s="195"/>
      <c r="E461" s="107"/>
      <c r="F461" s="122"/>
      <c r="H461" s="22"/>
      <c r="I461" s="123"/>
      <c r="J461" s="111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</row>
    <row r="462" ht="16.5" customHeight="1">
      <c r="A462" s="107"/>
      <c r="B462" s="138"/>
      <c r="C462" s="168"/>
      <c r="D462" s="195"/>
      <c r="E462" s="107"/>
      <c r="F462" s="122"/>
      <c r="H462" s="22"/>
      <c r="I462" s="123"/>
      <c r="J462" s="111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</row>
    <row r="463" ht="16.5" customHeight="1">
      <c r="A463" s="107"/>
      <c r="B463" s="138"/>
      <c r="C463" s="168"/>
      <c r="D463" s="195"/>
      <c r="E463" s="107"/>
      <c r="F463" s="122"/>
      <c r="H463" s="22"/>
      <c r="I463" s="123"/>
      <c r="J463" s="111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</row>
    <row r="464" ht="16.5" customHeight="1">
      <c r="A464" s="107"/>
      <c r="B464" s="138"/>
      <c r="C464" s="168"/>
      <c r="D464" s="195"/>
      <c r="E464" s="107"/>
      <c r="F464" s="122"/>
      <c r="H464" s="22"/>
      <c r="I464" s="123"/>
      <c r="J464" s="111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</row>
    <row r="465" ht="16.5" customHeight="1">
      <c r="A465" s="107"/>
      <c r="B465" s="138"/>
      <c r="C465" s="168"/>
      <c r="D465" s="195"/>
      <c r="E465" s="107"/>
      <c r="F465" s="122"/>
      <c r="H465" s="22"/>
      <c r="I465" s="123"/>
      <c r="J465" s="111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</row>
    <row r="466" ht="16.5" customHeight="1">
      <c r="A466" s="107"/>
      <c r="B466" s="138"/>
      <c r="C466" s="168"/>
      <c r="D466" s="195"/>
      <c r="E466" s="107"/>
      <c r="F466" s="122"/>
      <c r="H466" s="22"/>
      <c r="I466" s="123"/>
      <c r="J466" s="111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</row>
    <row r="467" ht="16.5" customHeight="1">
      <c r="A467" s="107"/>
      <c r="B467" s="138"/>
      <c r="C467" s="168"/>
      <c r="D467" s="195"/>
      <c r="E467" s="107"/>
      <c r="F467" s="122"/>
      <c r="H467" s="22"/>
      <c r="I467" s="123"/>
      <c r="J467" s="111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</row>
    <row r="468" ht="16.5" customHeight="1">
      <c r="A468" s="107"/>
      <c r="B468" s="138"/>
      <c r="C468" s="168"/>
      <c r="D468" s="195"/>
      <c r="E468" s="107"/>
      <c r="F468" s="122"/>
      <c r="H468" s="22"/>
      <c r="I468" s="123"/>
      <c r="J468" s="111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</row>
    <row r="469" ht="16.5" customHeight="1">
      <c r="A469" s="107"/>
      <c r="B469" s="138"/>
      <c r="C469" s="168"/>
      <c r="D469" s="195"/>
      <c r="E469" s="107"/>
      <c r="F469" s="122"/>
      <c r="H469" s="22"/>
      <c r="I469" s="123"/>
      <c r="J469" s="111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</row>
    <row r="470" ht="16.5" customHeight="1">
      <c r="A470" s="107"/>
      <c r="B470" s="138"/>
      <c r="C470" s="168"/>
      <c r="D470" s="195"/>
      <c r="E470" s="107"/>
      <c r="F470" s="122"/>
      <c r="H470" s="22"/>
      <c r="I470" s="123"/>
      <c r="J470" s="111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</row>
    <row r="471" ht="16.5" customHeight="1">
      <c r="A471" s="107"/>
      <c r="B471" s="138"/>
      <c r="C471" s="168"/>
      <c r="D471" s="195"/>
      <c r="E471" s="107"/>
      <c r="F471" s="122"/>
      <c r="H471" s="22"/>
      <c r="I471" s="123"/>
      <c r="J471" s="111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</row>
    <row r="472" ht="16.5" customHeight="1">
      <c r="A472" s="107"/>
      <c r="B472" s="138"/>
      <c r="C472" s="168"/>
      <c r="D472" s="195"/>
      <c r="E472" s="107"/>
      <c r="F472" s="122"/>
      <c r="H472" s="22"/>
      <c r="I472" s="123"/>
      <c r="J472" s="111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</row>
    <row r="473" ht="16.5" customHeight="1">
      <c r="A473" s="107"/>
      <c r="B473" s="138"/>
      <c r="C473" s="168"/>
      <c r="D473" s="195"/>
      <c r="E473" s="107"/>
      <c r="F473" s="122"/>
      <c r="H473" s="22"/>
      <c r="I473" s="123"/>
      <c r="J473" s="111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</row>
    <row r="474" ht="16.5" customHeight="1">
      <c r="A474" s="107"/>
      <c r="B474" s="138"/>
      <c r="C474" s="168"/>
      <c r="D474" s="195"/>
      <c r="E474" s="107"/>
      <c r="F474" s="122"/>
      <c r="H474" s="22"/>
      <c r="I474" s="123"/>
      <c r="J474" s="111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</row>
    <row r="475" ht="16.5" customHeight="1">
      <c r="A475" s="107"/>
      <c r="B475" s="138"/>
      <c r="C475" s="168"/>
      <c r="D475" s="195"/>
      <c r="E475" s="107"/>
      <c r="F475" s="122"/>
      <c r="H475" s="22"/>
      <c r="I475" s="123"/>
      <c r="J475" s="111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</row>
    <row r="476" ht="16.5" customHeight="1">
      <c r="A476" s="107"/>
      <c r="B476" s="138"/>
      <c r="C476" s="168"/>
      <c r="D476" s="195"/>
      <c r="E476" s="107"/>
      <c r="F476" s="122"/>
      <c r="H476" s="22"/>
      <c r="I476" s="123"/>
      <c r="J476" s="111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</row>
    <row r="477" ht="16.5" customHeight="1">
      <c r="A477" s="107"/>
      <c r="B477" s="138"/>
      <c r="C477" s="168"/>
      <c r="D477" s="195"/>
      <c r="E477" s="107"/>
      <c r="F477" s="122"/>
      <c r="H477" s="22"/>
      <c r="I477" s="123"/>
      <c r="J477" s="111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</row>
    <row r="478" ht="16.5" customHeight="1">
      <c r="A478" s="107"/>
      <c r="B478" s="138"/>
      <c r="C478" s="168"/>
      <c r="D478" s="195"/>
      <c r="E478" s="107"/>
      <c r="F478" s="122"/>
      <c r="H478" s="22"/>
      <c r="I478" s="123"/>
      <c r="J478" s="111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</row>
    <row r="479" ht="16.5" customHeight="1">
      <c r="A479" s="107"/>
      <c r="B479" s="138"/>
      <c r="C479" s="168"/>
      <c r="D479" s="195"/>
      <c r="E479" s="107"/>
      <c r="F479" s="122"/>
      <c r="H479" s="22"/>
      <c r="I479" s="123"/>
      <c r="J479" s="111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</row>
    <row r="480" ht="16.5" customHeight="1">
      <c r="A480" s="107"/>
      <c r="B480" s="138"/>
      <c r="C480" s="168"/>
      <c r="D480" s="195"/>
      <c r="E480" s="107"/>
      <c r="F480" s="122"/>
      <c r="H480" s="22"/>
      <c r="I480" s="123"/>
      <c r="J480" s="111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</row>
    <row r="481" ht="16.5" customHeight="1">
      <c r="A481" s="107"/>
      <c r="B481" s="138"/>
      <c r="C481" s="168"/>
      <c r="D481" s="195"/>
      <c r="E481" s="107"/>
      <c r="F481" s="122"/>
      <c r="H481" s="22"/>
      <c r="I481" s="123"/>
      <c r="J481" s="111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</row>
    <row r="482" ht="16.5" customHeight="1">
      <c r="A482" s="107"/>
      <c r="B482" s="138"/>
      <c r="C482" s="168"/>
      <c r="D482" s="195"/>
      <c r="E482" s="107"/>
      <c r="F482" s="122"/>
      <c r="H482" s="22"/>
      <c r="I482" s="123"/>
      <c r="J482" s="111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</row>
    <row r="483" ht="16.5" customHeight="1">
      <c r="A483" s="107"/>
      <c r="B483" s="138"/>
      <c r="C483" s="168"/>
      <c r="D483" s="195"/>
      <c r="E483" s="107"/>
      <c r="F483" s="122"/>
      <c r="H483" s="22"/>
      <c r="I483" s="123"/>
      <c r="J483" s="111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</row>
    <row r="484" ht="16.5" customHeight="1">
      <c r="A484" s="107"/>
      <c r="B484" s="138"/>
      <c r="C484" s="168"/>
      <c r="D484" s="195"/>
      <c r="E484" s="107"/>
      <c r="F484" s="122"/>
      <c r="H484" s="22"/>
      <c r="I484" s="123"/>
      <c r="J484" s="111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</row>
    <row r="485" ht="16.5" customHeight="1">
      <c r="A485" s="107"/>
      <c r="B485" s="138"/>
      <c r="C485" s="168"/>
      <c r="D485" s="195"/>
      <c r="E485" s="107"/>
      <c r="F485" s="122"/>
      <c r="H485" s="22"/>
      <c r="I485" s="123"/>
      <c r="J485" s="111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</row>
    <row r="486" ht="16.5" customHeight="1">
      <c r="A486" s="107"/>
      <c r="B486" s="138"/>
      <c r="C486" s="168"/>
      <c r="D486" s="195"/>
      <c r="E486" s="107"/>
      <c r="F486" s="122"/>
      <c r="H486" s="22"/>
      <c r="I486" s="123"/>
      <c r="J486" s="111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</row>
    <row r="487" ht="16.5" customHeight="1">
      <c r="A487" s="107"/>
      <c r="B487" s="138"/>
      <c r="C487" s="168"/>
      <c r="D487" s="195"/>
      <c r="E487" s="107"/>
      <c r="F487" s="122"/>
      <c r="H487" s="22"/>
      <c r="I487" s="123"/>
      <c r="J487" s="111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</row>
    <row r="488" ht="16.5" customHeight="1">
      <c r="A488" s="107"/>
      <c r="B488" s="138"/>
      <c r="C488" s="168"/>
      <c r="D488" s="195"/>
      <c r="E488" s="107"/>
      <c r="F488" s="122"/>
      <c r="H488" s="22"/>
      <c r="I488" s="123"/>
      <c r="J488" s="111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</row>
    <row r="489" ht="16.5" customHeight="1">
      <c r="A489" s="107"/>
      <c r="B489" s="138"/>
      <c r="C489" s="168"/>
      <c r="D489" s="195"/>
      <c r="E489" s="107"/>
      <c r="F489" s="122"/>
      <c r="H489" s="22"/>
      <c r="I489" s="123"/>
      <c r="J489" s="111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</row>
    <row r="490" ht="16.5" customHeight="1">
      <c r="A490" s="107"/>
      <c r="B490" s="138"/>
      <c r="C490" s="168"/>
      <c r="D490" s="195"/>
      <c r="E490" s="107"/>
      <c r="F490" s="122"/>
      <c r="H490" s="22"/>
      <c r="I490" s="123"/>
      <c r="J490" s="111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</row>
    <row r="491" ht="16.5" customHeight="1">
      <c r="A491" s="107"/>
      <c r="B491" s="138"/>
      <c r="C491" s="168"/>
      <c r="D491" s="195"/>
      <c r="E491" s="107"/>
      <c r="F491" s="122"/>
      <c r="H491" s="22"/>
      <c r="I491" s="123"/>
      <c r="J491" s="111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</row>
    <row r="492" ht="16.5" customHeight="1">
      <c r="A492" s="107"/>
      <c r="B492" s="138"/>
      <c r="C492" s="168"/>
      <c r="D492" s="195"/>
      <c r="E492" s="107"/>
      <c r="F492" s="122"/>
      <c r="H492" s="22"/>
      <c r="I492" s="123"/>
      <c r="J492" s="111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</row>
    <row r="493" ht="16.5" customHeight="1">
      <c r="A493" s="107"/>
      <c r="B493" s="138"/>
      <c r="C493" s="168"/>
      <c r="D493" s="195"/>
      <c r="E493" s="107"/>
      <c r="F493" s="122"/>
      <c r="H493" s="22"/>
      <c r="I493" s="123"/>
      <c r="J493" s="111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</row>
    <row r="494" ht="16.5" customHeight="1">
      <c r="A494" s="107"/>
      <c r="B494" s="138"/>
      <c r="C494" s="168"/>
      <c r="D494" s="195"/>
      <c r="E494" s="107"/>
      <c r="F494" s="122"/>
      <c r="H494" s="22"/>
      <c r="I494" s="123"/>
      <c r="J494" s="111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</row>
    <row r="495" ht="16.5" customHeight="1">
      <c r="A495" s="107"/>
      <c r="B495" s="138"/>
      <c r="C495" s="168"/>
      <c r="D495" s="195"/>
      <c r="E495" s="107"/>
      <c r="F495" s="122"/>
      <c r="H495" s="22"/>
      <c r="I495" s="123"/>
      <c r="J495" s="111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</row>
    <row r="496" ht="16.5" customHeight="1">
      <c r="A496" s="107"/>
      <c r="B496" s="138"/>
      <c r="C496" s="168"/>
      <c r="D496" s="195"/>
      <c r="E496" s="107"/>
      <c r="F496" s="122"/>
      <c r="H496" s="22"/>
      <c r="I496" s="123"/>
      <c r="J496" s="111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</row>
    <row r="497" ht="16.5" customHeight="1">
      <c r="A497" s="107"/>
      <c r="B497" s="138"/>
      <c r="C497" s="168"/>
      <c r="D497" s="195"/>
      <c r="E497" s="107"/>
      <c r="F497" s="122"/>
      <c r="H497" s="22"/>
      <c r="I497" s="123"/>
      <c r="J497" s="111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</row>
    <row r="498" ht="16.5" customHeight="1">
      <c r="A498" s="107"/>
      <c r="B498" s="138"/>
      <c r="C498" s="168"/>
      <c r="D498" s="195"/>
      <c r="E498" s="107"/>
      <c r="F498" s="122"/>
      <c r="H498" s="22"/>
      <c r="I498" s="123"/>
      <c r="J498" s="111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</row>
    <row r="499" ht="16.5" customHeight="1">
      <c r="A499" s="107"/>
      <c r="B499" s="138"/>
      <c r="C499" s="168"/>
      <c r="D499" s="195"/>
      <c r="E499" s="107"/>
      <c r="F499" s="122"/>
      <c r="H499" s="22"/>
      <c r="I499" s="123"/>
      <c r="J499" s="111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</row>
    <row r="500" ht="16.5" customHeight="1">
      <c r="A500" s="107"/>
      <c r="B500" s="138"/>
      <c r="C500" s="168"/>
      <c r="D500" s="195"/>
      <c r="E500" s="107"/>
      <c r="F500" s="122"/>
      <c r="H500" s="22"/>
      <c r="I500" s="123"/>
      <c r="J500" s="111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</row>
    <row r="501" ht="16.5" customHeight="1">
      <c r="A501" s="107"/>
      <c r="B501" s="138"/>
      <c r="C501" s="168"/>
      <c r="D501" s="195"/>
      <c r="E501" s="107"/>
      <c r="F501" s="122"/>
      <c r="H501" s="22"/>
      <c r="I501" s="123"/>
      <c r="J501" s="111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</row>
    <row r="502" ht="16.5" customHeight="1">
      <c r="A502" s="107"/>
      <c r="B502" s="138"/>
      <c r="C502" s="168"/>
      <c r="D502" s="195"/>
      <c r="E502" s="107"/>
      <c r="F502" s="122"/>
      <c r="H502" s="22"/>
      <c r="I502" s="123"/>
      <c r="J502" s="111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</row>
    <row r="503" ht="16.5" customHeight="1">
      <c r="A503" s="107"/>
      <c r="B503" s="138"/>
      <c r="C503" s="168"/>
      <c r="D503" s="195"/>
      <c r="E503" s="107"/>
      <c r="F503" s="122"/>
      <c r="H503" s="22"/>
      <c r="I503" s="123"/>
      <c r="J503" s="111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</row>
    <row r="504" ht="16.5" customHeight="1">
      <c r="A504" s="107"/>
      <c r="B504" s="138"/>
      <c r="C504" s="168"/>
      <c r="D504" s="195"/>
      <c r="E504" s="107"/>
      <c r="F504" s="122"/>
      <c r="H504" s="22"/>
      <c r="I504" s="123"/>
      <c r="J504" s="111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</row>
    <row r="505" ht="16.5" customHeight="1">
      <c r="A505" s="107"/>
      <c r="B505" s="138"/>
      <c r="C505" s="168"/>
      <c r="D505" s="195"/>
      <c r="E505" s="107"/>
      <c r="F505" s="122"/>
      <c r="H505" s="22"/>
      <c r="I505" s="123"/>
      <c r="J505" s="111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</row>
    <row r="506" ht="16.5" customHeight="1">
      <c r="A506" s="107"/>
      <c r="B506" s="138"/>
      <c r="C506" s="168"/>
      <c r="D506" s="195"/>
      <c r="E506" s="107"/>
      <c r="F506" s="122"/>
      <c r="H506" s="22"/>
      <c r="I506" s="123"/>
      <c r="J506" s="111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</row>
    <row r="507" ht="16.5" customHeight="1">
      <c r="A507" s="107"/>
      <c r="B507" s="138"/>
      <c r="C507" s="168"/>
      <c r="D507" s="195"/>
      <c r="E507" s="107"/>
      <c r="F507" s="122"/>
      <c r="H507" s="22"/>
      <c r="I507" s="123"/>
      <c r="J507" s="111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</row>
    <row r="508" ht="16.5" customHeight="1">
      <c r="A508" s="107"/>
      <c r="B508" s="138"/>
      <c r="C508" s="168"/>
      <c r="D508" s="195"/>
      <c r="E508" s="107"/>
      <c r="F508" s="122"/>
      <c r="H508" s="22"/>
      <c r="I508" s="123"/>
      <c r="J508" s="111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</row>
    <row r="509" ht="16.5" customHeight="1">
      <c r="A509" s="107"/>
      <c r="B509" s="138"/>
      <c r="C509" s="168"/>
      <c r="D509" s="195"/>
      <c r="E509" s="107"/>
      <c r="F509" s="122"/>
      <c r="H509" s="22"/>
      <c r="I509" s="123"/>
      <c r="J509" s="111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</row>
    <row r="510" ht="16.5" customHeight="1">
      <c r="A510" s="107"/>
      <c r="B510" s="138"/>
      <c r="C510" s="168"/>
      <c r="D510" s="195"/>
      <c r="E510" s="107"/>
      <c r="F510" s="122"/>
      <c r="H510" s="22"/>
      <c r="I510" s="123"/>
      <c r="J510" s="111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</row>
    <row r="511" ht="16.5" customHeight="1">
      <c r="A511" s="107"/>
      <c r="B511" s="138"/>
      <c r="C511" s="168"/>
      <c r="D511" s="195"/>
      <c r="E511" s="107"/>
      <c r="F511" s="122"/>
      <c r="H511" s="22"/>
      <c r="I511" s="123"/>
      <c r="J511" s="111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</row>
    <row r="512" ht="16.5" customHeight="1">
      <c r="A512" s="107"/>
      <c r="B512" s="138"/>
      <c r="C512" s="168"/>
      <c r="D512" s="195"/>
      <c r="E512" s="107"/>
      <c r="F512" s="122"/>
      <c r="H512" s="22"/>
      <c r="I512" s="123"/>
      <c r="J512" s="111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</row>
    <row r="513" ht="16.5" customHeight="1">
      <c r="A513" s="107"/>
      <c r="B513" s="138"/>
      <c r="C513" s="168"/>
      <c r="D513" s="195"/>
      <c r="E513" s="107"/>
      <c r="F513" s="122"/>
      <c r="H513" s="22"/>
      <c r="I513" s="123"/>
      <c r="J513" s="111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</row>
    <row r="514" ht="16.5" customHeight="1">
      <c r="A514" s="107"/>
      <c r="B514" s="138"/>
      <c r="C514" s="168"/>
      <c r="D514" s="195"/>
      <c r="E514" s="107"/>
      <c r="F514" s="122"/>
      <c r="H514" s="22"/>
      <c r="I514" s="123"/>
      <c r="J514" s="111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</row>
    <row r="515" ht="16.5" customHeight="1">
      <c r="A515" s="107"/>
      <c r="B515" s="138"/>
      <c r="C515" s="168"/>
      <c r="D515" s="195"/>
      <c r="E515" s="107"/>
      <c r="F515" s="122"/>
      <c r="H515" s="22"/>
      <c r="I515" s="123"/>
      <c r="J515" s="111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</row>
    <row r="516" ht="16.5" customHeight="1">
      <c r="A516" s="107"/>
      <c r="B516" s="138"/>
      <c r="C516" s="168"/>
      <c r="D516" s="195"/>
      <c r="E516" s="107"/>
      <c r="F516" s="122"/>
      <c r="H516" s="22"/>
      <c r="I516" s="123"/>
      <c r="J516" s="111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</row>
    <row r="517" ht="16.5" customHeight="1">
      <c r="A517" s="107"/>
      <c r="B517" s="138"/>
      <c r="C517" s="168"/>
      <c r="D517" s="195"/>
      <c r="E517" s="107"/>
      <c r="F517" s="122"/>
      <c r="H517" s="22"/>
      <c r="I517" s="123"/>
      <c r="J517" s="111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</row>
    <row r="518" ht="16.5" customHeight="1">
      <c r="A518" s="107"/>
      <c r="B518" s="138"/>
      <c r="C518" s="168"/>
      <c r="D518" s="195"/>
      <c r="E518" s="107"/>
      <c r="F518" s="122"/>
      <c r="H518" s="22"/>
      <c r="I518" s="123"/>
      <c r="J518" s="111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</row>
    <row r="519" ht="16.5" customHeight="1">
      <c r="A519" s="107"/>
      <c r="B519" s="138"/>
      <c r="C519" s="168"/>
      <c r="D519" s="195"/>
      <c r="E519" s="107"/>
      <c r="F519" s="122"/>
      <c r="H519" s="22"/>
      <c r="I519" s="123"/>
      <c r="J519" s="111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</row>
    <row r="520" ht="16.5" customHeight="1">
      <c r="A520" s="107"/>
      <c r="B520" s="138"/>
      <c r="C520" s="168"/>
      <c r="D520" s="195"/>
      <c r="E520" s="107"/>
      <c r="F520" s="122"/>
      <c r="H520" s="22"/>
      <c r="I520" s="123"/>
      <c r="J520" s="111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</row>
    <row r="521" ht="16.5" customHeight="1">
      <c r="A521" s="107"/>
      <c r="B521" s="138"/>
      <c r="C521" s="168"/>
      <c r="D521" s="195"/>
      <c r="E521" s="107"/>
      <c r="F521" s="122"/>
      <c r="H521" s="22"/>
      <c r="I521" s="123"/>
      <c r="J521" s="111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</row>
    <row r="522" ht="16.5" customHeight="1">
      <c r="A522" s="107"/>
      <c r="B522" s="138"/>
      <c r="C522" s="168"/>
      <c r="D522" s="195"/>
      <c r="E522" s="107"/>
      <c r="F522" s="122"/>
      <c r="H522" s="22"/>
      <c r="I522" s="123"/>
      <c r="J522" s="111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</row>
    <row r="523" ht="16.5" customHeight="1">
      <c r="A523" s="107"/>
      <c r="B523" s="138"/>
      <c r="C523" s="168"/>
      <c r="D523" s="195"/>
      <c r="E523" s="107"/>
      <c r="F523" s="122"/>
      <c r="H523" s="22"/>
      <c r="I523" s="123"/>
      <c r="J523" s="111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</row>
    <row r="524" ht="16.5" customHeight="1">
      <c r="A524" s="107"/>
      <c r="B524" s="138"/>
      <c r="C524" s="168"/>
      <c r="D524" s="195"/>
      <c r="E524" s="107"/>
      <c r="F524" s="122"/>
      <c r="H524" s="22"/>
      <c r="I524" s="123"/>
      <c r="J524" s="111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</row>
    <row r="525" ht="16.5" customHeight="1">
      <c r="A525" s="107"/>
      <c r="B525" s="138"/>
      <c r="C525" s="168"/>
      <c r="D525" s="195"/>
      <c r="E525" s="107"/>
      <c r="F525" s="122"/>
      <c r="H525" s="22"/>
      <c r="I525" s="123"/>
      <c r="J525" s="111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</row>
    <row r="526" ht="16.5" customHeight="1">
      <c r="A526" s="107"/>
      <c r="B526" s="138"/>
      <c r="C526" s="168"/>
      <c r="D526" s="195"/>
      <c r="E526" s="107"/>
      <c r="F526" s="122"/>
      <c r="H526" s="22"/>
      <c r="I526" s="123"/>
      <c r="J526" s="111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</row>
    <row r="527" ht="16.5" customHeight="1">
      <c r="A527" s="107"/>
      <c r="B527" s="138"/>
      <c r="C527" s="168"/>
      <c r="D527" s="195"/>
      <c r="E527" s="107"/>
      <c r="F527" s="122"/>
      <c r="H527" s="22"/>
      <c r="I527" s="123"/>
      <c r="J527" s="111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</row>
    <row r="528" ht="16.5" customHeight="1">
      <c r="A528" s="107"/>
      <c r="B528" s="138"/>
      <c r="C528" s="168"/>
      <c r="D528" s="195"/>
      <c r="E528" s="107"/>
      <c r="F528" s="122"/>
      <c r="H528" s="22"/>
      <c r="I528" s="123"/>
      <c r="J528" s="111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</row>
    <row r="529" ht="16.5" customHeight="1">
      <c r="A529" s="107"/>
      <c r="B529" s="138"/>
      <c r="C529" s="168"/>
      <c r="D529" s="195"/>
      <c r="E529" s="107"/>
      <c r="F529" s="122"/>
      <c r="H529" s="22"/>
      <c r="I529" s="123"/>
      <c r="J529" s="111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</row>
    <row r="530" ht="16.5" customHeight="1">
      <c r="A530" s="107"/>
      <c r="B530" s="138"/>
      <c r="C530" s="168"/>
      <c r="D530" s="195"/>
      <c r="E530" s="107"/>
      <c r="F530" s="122"/>
      <c r="H530" s="22"/>
      <c r="I530" s="123"/>
      <c r="J530" s="111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</row>
    <row r="531" ht="16.5" customHeight="1">
      <c r="A531" s="107"/>
      <c r="B531" s="138"/>
      <c r="C531" s="168"/>
      <c r="D531" s="195"/>
      <c r="E531" s="107"/>
      <c r="F531" s="122"/>
      <c r="H531" s="22"/>
      <c r="I531" s="123"/>
      <c r="J531" s="111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</row>
    <row r="532" ht="16.5" customHeight="1">
      <c r="A532" s="107"/>
      <c r="B532" s="138"/>
      <c r="C532" s="168"/>
      <c r="D532" s="195"/>
      <c r="E532" s="107"/>
      <c r="F532" s="122"/>
      <c r="H532" s="22"/>
      <c r="I532" s="123"/>
      <c r="J532" s="111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</row>
    <row r="533" ht="16.5" customHeight="1">
      <c r="A533" s="107"/>
      <c r="B533" s="138"/>
      <c r="C533" s="168"/>
      <c r="D533" s="195"/>
      <c r="E533" s="107"/>
      <c r="F533" s="122"/>
      <c r="H533" s="22"/>
      <c r="I533" s="123"/>
      <c r="J533" s="111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</row>
    <row r="534" ht="16.5" customHeight="1">
      <c r="A534" s="107"/>
      <c r="B534" s="138"/>
      <c r="C534" s="168"/>
      <c r="D534" s="195"/>
      <c r="E534" s="107"/>
      <c r="F534" s="122"/>
      <c r="H534" s="22"/>
      <c r="I534" s="123"/>
      <c r="J534" s="111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</row>
    <row r="535" ht="16.5" customHeight="1">
      <c r="A535" s="107"/>
      <c r="B535" s="138"/>
      <c r="C535" s="168"/>
      <c r="D535" s="195"/>
      <c r="E535" s="107"/>
      <c r="F535" s="122"/>
      <c r="H535" s="22"/>
      <c r="I535" s="123"/>
      <c r="J535" s="111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</row>
    <row r="536" ht="16.5" customHeight="1">
      <c r="A536" s="107"/>
      <c r="B536" s="138"/>
      <c r="C536" s="168"/>
      <c r="D536" s="195"/>
      <c r="E536" s="107"/>
      <c r="F536" s="122"/>
      <c r="H536" s="22"/>
      <c r="I536" s="123"/>
      <c r="J536" s="111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</row>
    <row r="537" ht="16.5" customHeight="1">
      <c r="A537" s="107"/>
      <c r="B537" s="138"/>
      <c r="C537" s="168"/>
      <c r="D537" s="195"/>
      <c r="E537" s="107"/>
      <c r="F537" s="122"/>
      <c r="H537" s="22"/>
      <c r="I537" s="123"/>
      <c r="J537" s="111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</row>
    <row r="538" ht="16.5" customHeight="1">
      <c r="A538" s="107"/>
      <c r="B538" s="138"/>
      <c r="C538" s="168"/>
      <c r="D538" s="195"/>
      <c r="E538" s="107"/>
      <c r="F538" s="122"/>
      <c r="H538" s="22"/>
      <c r="I538" s="123"/>
      <c r="J538" s="111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</row>
    <row r="539" ht="16.5" customHeight="1">
      <c r="A539" s="107"/>
      <c r="B539" s="138"/>
      <c r="C539" s="168"/>
      <c r="D539" s="195"/>
      <c r="E539" s="107"/>
      <c r="F539" s="122"/>
      <c r="H539" s="22"/>
      <c r="I539" s="123"/>
      <c r="J539" s="111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</row>
    <row r="540" ht="16.5" customHeight="1">
      <c r="A540" s="107"/>
      <c r="B540" s="138"/>
      <c r="C540" s="168"/>
      <c r="D540" s="195"/>
      <c r="E540" s="107"/>
      <c r="F540" s="122"/>
      <c r="H540" s="22"/>
      <c r="I540" s="123"/>
      <c r="J540" s="111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</row>
    <row r="541" ht="16.5" customHeight="1">
      <c r="A541" s="107"/>
      <c r="B541" s="138"/>
      <c r="C541" s="168"/>
      <c r="D541" s="195"/>
      <c r="E541" s="107"/>
      <c r="F541" s="122"/>
      <c r="H541" s="22"/>
      <c r="I541" s="123"/>
      <c r="J541" s="111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</row>
    <row r="542" ht="16.5" customHeight="1">
      <c r="A542" s="107"/>
      <c r="B542" s="138"/>
      <c r="C542" s="168"/>
      <c r="D542" s="195"/>
      <c r="E542" s="107"/>
      <c r="F542" s="122"/>
      <c r="H542" s="22"/>
      <c r="I542" s="123"/>
      <c r="J542" s="111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</row>
    <row r="543" ht="16.5" customHeight="1">
      <c r="A543" s="107"/>
      <c r="B543" s="138"/>
      <c r="C543" s="168"/>
      <c r="D543" s="195"/>
      <c r="E543" s="107"/>
      <c r="F543" s="122"/>
      <c r="H543" s="22"/>
      <c r="I543" s="123"/>
      <c r="J543" s="111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</row>
    <row r="544" ht="16.5" customHeight="1">
      <c r="A544" s="107"/>
      <c r="B544" s="138"/>
      <c r="C544" s="168"/>
      <c r="D544" s="195"/>
      <c r="E544" s="107"/>
      <c r="F544" s="122"/>
      <c r="H544" s="22"/>
      <c r="I544" s="123"/>
      <c r="J544" s="111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</row>
    <row r="545" ht="16.5" customHeight="1">
      <c r="A545" s="107"/>
      <c r="B545" s="138"/>
      <c r="C545" s="168"/>
      <c r="D545" s="195"/>
      <c r="E545" s="107"/>
      <c r="F545" s="122"/>
      <c r="H545" s="22"/>
      <c r="I545" s="123"/>
      <c r="J545" s="111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</row>
    <row r="546" ht="16.5" customHeight="1">
      <c r="A546" s="107"/>
      <c r="B546" s="138"/>
      <c r="C546" s="168"/>
      <c r="D546" s="195"/>
      <c r="E546" s="107"/>
      <c r="F546" s="122"/>
      <c r="H546" s="22"/>
      <c r="I546" s="123"/>
      <c r="J546" s="111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</row>
    <row r="547" ht="16.5" customHeight="1">
      <c r="A547" s="107"/>
      <c r="B547" s="138"/>
      <c r="C547" s="168"/>
      <c r="D547" s="195"/>
      <c r="E547" s="107"/>
      <c r="F547" s="122"/>
      <c r="H547" s="22"/>
      <c r="I547" s="123"/>
      <c r="J547" s="111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</row>
    <row r="548" ht="16.5" customHeight="1">
      <c r="A548" s="107"/>
      <c r="B548" s="138"/>
      <c r="C548" s="168"/>
      <c r="D548" s="195"/>
      <c r="E548" s="107"/>
      <c r="F548" s="122"/>
      <c r="H548" s="22"/>
      <c r="I548" s="123"/>
      <c r="J548" s="111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</row>
    <row r="549" ht="16.5" customHeight="1">
      <c r="A549" s="107"/>
      <c r="B549" s="138"/>
      <c r="C549" s="168"/>
      <c r="D549" s="195"/>
      <c r="E549" s="107"/>
      <c r="F549" s="122"/>
      <c r="H549" s="22"/>
      <c r="I549" s="123"/>
      <c r="J549" s="111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</row>
    <row r="550" ht="16.5" customHeight="1">
      <c r="A550" s="107"/>
      <c r="B550" s="138"/>
      <c r="C550" s="168"/>
      <c r="D550" s="195"/>
      <c r="E550" s="107"/>
      <c r="F550" s="122"/>
      <c r="H550" s="22"/>
      <c r="I550" s="123"/>
      <c r="J550" s="111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</row>
    <row r="551" ht="16.5" customHeight="1">
      <c r="A551" s="107"/>
      <c r="B551" s="138"/>
      <c r="C551" s="168"/>
      <c r="D551" s="195"/>
      <c r="E551" s="107"/>
      <c r="F551" s="122"/>
      <c r="H551" s="22"/>
      <c r="I551" s="123"/>
      <c r="J551" s="111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</row>
    <row r="552" ht="16.5" customHeight="1">
      <c r="A552" s="107"/>
      <c r="B552" s="138"/>
      <c r="C552" s="168"/>
      <c r="D552" s="195"/>
      <c r="E552" s="107"/>
      <c r="F552" s="122"/>
      <c r="H552" s="22"/>
      <c r="I552" s="123"/>
      <c r="J552" s="111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</row>
    <row r="553" ht="16.5" customHeight="1">
      <c r="A553" s="107"/>
      <c r="B553" s="138"/>
      <c r="C553" s="168"/>
      <c r="D553" s="195"/>
      <c r="E553" s="107"/>
      <c r="F553" s="122"/>
      <c r="H553" s="22"/>
      <c r="I553" s="123"/>
      <c r="J553" s="111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</row>
    <row r="554" ht="16.5" customHeight="1">
      <c r="A554" s="107"/>
      <c r="B554" s="138"/>
      <c r="C554" s="168"/>
      <c r="D554" s="195"/>
      <c r="E554" s="107"/>
      <c r="F554" s="122"/>
      <c r="H554" s="22"/>
      <c r="I554" s="123"/>
      <c r="J554" s="111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</row>
    <row r="555" ht="16.5" customHeight="1">
      <c r="A555" s="107"/>
      <c r="B555" s="138"/>
      <c r="C555" s="168"/>
      <c r="D555" s="195"/>
      <c r="E555" s="107"/>
      <c r="F555" s="122"/>
      <c r="H555" s="22"/>
      <c r="I555" s="123"/>
      <c r="J555" s="111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</row>
    <row r="556" ht="16.5" customHeight="1">
      <c r="A556" s="107"/>
      <c r="B556" s="138"/>
      <c r="C556" s="168"/>
      <c r="D556" s="195"/>
      <c r="E556" s="107"/>
      <c r="F556" s="122"/>
      <c r="H556" s="22"/>
      <c r="I556" s="123"/>
      <c r="J556" s="111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</row>
    <row r="557" ht="16.5" customHeight="1">
      <c r="A557" s="107"/>
      <c r="B557" s="138"/>
      <c r="C557" s="168"/>
      <c r="D557" s="195"/>
      <c r="E557" s="107"/>
      <c r="F557" s="122"/>
      <c r="H557" s="22"/>
      <c r="I557" s="123"/>
      <c r="J557" s="111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</row>
    <row r="558" ht="16.5" customHeight="1">
      <c r="A558" s="107"/>
      <c r="B558" s="138"/>
      <c r="C558" s="168"/>
      <c r="D558" s="195"/>
      <c r="E558" s="107"/>
      <c r="F558" s="122"/>
      <c r="H558" s="22"/>
      <c r="I558" s="123"/>
      <c r="J558" s="111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</row>
    <row r="559" ht="16.5" customHeight="1">
      <c r="A559" s="107"/>
      <c r="B559" s="138"/>
      <c r="C559" s="168"/>
      <c r="D559" s="195"/>
      <c r="E559" s="107"/>
      <c r="F559" s="122"/>
      <c r="H559" s="22"/>
      <c r="I559" s="123"/>
      <c r="J559" s="111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</row>
    <row r="560" ht="16.5" customHeight="1">
      <c r="A560" s="107"/>
      <c r="B560" s="138"/>
      <c r="C560" s="168"/>
      <c r="D560" s="195"/>
      <c r="E560" s="107"/>
      <c r="F560" s="122"/>
      <c r="H560" s="22"/>
      <c r="I560" s="123"/>
      <c r="J560" s="111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</row>
    <row r="561" ht="16.5" customHeight="1">
      <c r="A561" s="107"/>
      <c r="B561" s="138"/>
      <c r="C561" s="168"/>
      <c r="D561" s="195"/>
      <c r="E561" s="107"/>
      <c r="F561" s="122"/>
      <c r="H561" s="22"/>
      <c r="I561" s="123"/>
      <c r="J561" s="111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</row>
    <row r="562" ht="16.5" customHeight="1">
      <c r="A562" s="107"/>
      <c r="B562" s="138"/>
      <c r="C562" s="168"/>
      <c r="D562" s="195"/>
      <c r="E562" s="107"/>
      <c r="F562" s="122"/>
      <c r="H562" s="22"/>
      <c r="I562" s="123"/>
      <c r="J562" s="111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</row>
    <row r="563" ht="16.5" customHeight="1">
      <c r="A563" s="107"/>
      <c r="B563" s="138"/>
      <c r="C563" s="168"/>
      <c r="D563" s="195"/>
      <c r="E563" s="107"/>
      <c r="F563" s="122"/>
      <c r="H563" s="22"/>
      <c r="I563" s="123"/>
      <c r="J563" s="111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</row>
    <row r="564" ht="16.5" customHeight="1">
      <c r="A564" s="107"/>
      <c r="B564" s="138"/>
      <c r="C564" s="168"/>
      <c r="D564" s="195"/>
      <c r="E564" s="107"/>
      <c r="F564" s="122"/>
      <c r="H564" s="22"/>
      <c r="I564" s="123"/>
      <c r="J564" s="111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</row>
    <row r="565" ht="16.5" customHeight="1">
      <c r="A565" s="107"/>
      <c r="B565" s="138"/>
      <c r="C565" s="168"/>
      <c r="D565" s="195"/>
      <c r="E565" s="107"/>
      <c r="F565" s="122"/>
      <c r="H565" s="22"/>
      <c r="I565" s="123"/>
      <c r="J565" s="111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</row>
    <row r="566" ht="16.5" customHeight="1">
      <c r="A566" s="107"/>
      <c r="B566" s="138"/>
      <c r="C566" s="168"/>
      <c r="D566" s="195"/>
      <c r="E566" s="107"/>
      <c r="F566" s="122"/>
      <c r="H566" s="22"/>
      <c r="I566" s="123"/>
      <c r="J566" s="111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</row>
    <row r="567" ht="16.5" customHeight="1">
      <c r="A567" s="107"/>
      <c r="B567" s="138"/>
      <c r="C567" s="168"/>
      <c r="D567" s="195"/>
      <c r="E567" s="107"/>
      <c r="F567" s="122"/>
      <c r="H567" s="22"/>
      <c r="I567" s="123"/>
      <c r="J567" s="111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</row>
    <row r="568" ht="16.5" customHeight="1">
      <c r="A568" s="107"/>
      <c r="B568" s="138"/>
      <c r="C568" s="168"/>
      <c r="D568" s="195"/>
      <c r="E568" s="107"/>
      <c r="F568" s="122"/>
      <c r="H568" s="22"/>
      <c r="I568" s="123"/>
      <c r="J568" s="111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</row>
    <row r="569" ht="16.5" customHeight="1">
      <c r="A569" s="107"/>
      <c r="B569" s="138"/>
      <c r="C569" s="168"/>
      <c r="D569" s="195"/>
      <c r="E569" s="107"/>
      <c r="F569" s="122"/>
      <c r="H569" s="22"/>
      <c r="I569" s="123"/>
      <c r="J569" s="111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</row>
    <row r="570" ht="16.5" customHeight="1">
      <c r="A570" s="107"/>
      <c r="B570" s="138"/>
      <c r="C570" s="168"/>
      <c r="D570" s="195"/>
      <c r="E570" s="107"/>
      <c r="F570" s="122"/>
      <c r="H570" s="22"/>
      <c r="I570" s="123"/>
      <c r="J570" s="111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</row>
    <row r="571" ht="16.5" customHeight="1">
      <c r="A571" s="107"/>
      <c r="B571" s="138"/>
      <c r="C571" s="168"/>
      <c r="D571" s="195"/>
      <c r="E571" s="107"/>
      <c r="F571" s="122"/>
      <c r="H571" s="22"/>
      <c r="I571" s="123"/>
      <c r="J571" s="111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</row>
    <row r="572" ht="16.5" customHeight="1">
      <c r="A572" s="107"/>
      <c r="B572" s="138"/>
      <c r="C572" s="168"/>
      <c r="D572" s="195"/>
      <c r="E572" s="107"/>
      <c r="F572" s="122"/>
      <c r="H572" s="22"/>
      <c r="I572" s="123"/>
      <c r="J572" s="111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</row>
    <row r="573" ht="16.5" customHeight="1">
      <c r="A573" s="107"/>
      <c r="B573" s="138"/>
      <c r="C573" s="168"/>
      <c r="D573" s="195"/>
      <c r="E573" s="107"/>
      <c r="F573" s="122"/>
      <c r="H573" s="22"/>
      <c r="I573" s="123"/>
      <c r="J573" s="111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</row>
    <row r="574" ht="16.5" customHeight="1">
      <c r="A574" s="107"/>
      <c r="B574" s="138"/>
      <c r="C574" s="168"/>
      <c r="D574" s="195"/>
      <c r="E574" s="107"/>
      <c r="F574" s="122"/>
      <c r="H574" s="22"/>
      <c r="I574" s="123"/>
      <c r="J574" s="111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</row>
    <row r="575" ht="16.5" customHeight="1">
      <c r="A575" s="107"/>
      <c r="B575" s="138"/>
      <c r="C575" s="168"/>
      <c r="D575" s="195"/>
      <c r="E575" s="107"/>
      <c r="F575" s="122"/>
      <c r="H575" s="22"/>
      <c r="I575" s="123"/>
      <c r="J575" s="111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</row>
    <row r="576" ht="16.5" customHeight="1">
      <c r="A576" s="107"/>
      <c r="B576" s="138"/>
      <c r="C576" s="168"/>
      <c r="D576" s="195"/>
      <c r="E576" s="107"/>
      <c r="F576" s="122"/>
      <c r="H576" s="22"/>
      <c r="I576" s="123"/>
      <c r="J576" s="111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</row>
    <row r="577" ht="16.5" customHeight="1">
      <c r="A577" s="107"/>
      <c r="B577" s="138"/>
      <c r="C577" s="168"/>
      <c r="D577" s="195"/>
      <c r="E577" s="107"/>
      <c r="F577" s="122"/>
      <c r="H577" s="22"/>
      <c r="I577" s="123"/>
      <c r="J577" s="111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</row>
    <row r="578" ht="16.5" customHeight="1">
      <c r="A578" s="107"/>
      <c r="B578" s="138"/>
      <c r="C578" s="168"/>
      <c r="D578" s="195"/>
      <c r="E578" s="107"/>
      <c r="F578" s="122"/>
      <c r="H578" s="22"/>
      <c r="I578" s="123"/>
      <c r="J578" s="111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</row>
    <row r="579" ht="16.5" customHeight="1">
      <c r="A579" s="107"/>
      <c r="B579" s="138"/>
      <c r="C579" s="168"/>
      <c r="D579" s="195"/>
      <c r="E579" s="107"/>
      <c r="F579" s="122"/>
      <c r="H579" s="22"/>
      <c r="I579" s="123"/>
      <c r="J579" s="111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</row>
    <row r="580" ht="16.5" customHeight="1">
      <c r="A580" s="107"/>
      <c r="B580" s="138"/>
      <c r="C580" s="168"/>
      <c r="D580" s="195"/>
      <c r="E580" s="107"/>
      <c r="F580" s="122"/>
      <c r="H580" s="22"/>
      <c r="I580" s="123"/>
      <c r="J580" s="111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</row>
    <row r="581" ht="16.5" customHeight="1">
      <c r="A581" s="107"/>
      <c r="B581" s="138"/>
      <c r="C581" s="168"/>
      <c r="D581" s="195"/>
      <c r="E581" s="107"/>
      <c r="F581" s="122"/>
      <c r="H581" s="22"/>
      <c r="I581" s="123"/>
      <c r="J581" s="111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</row>
    <row r="582" ht="16.5" customHeight="1">
      <c r="A582" s="107"/>
      <c r="B582" s="138"/>
      <c r="C582" s="168"/>
      <c r="D582" s="195"/>
      <c r="E582" s="107"/>
      <c r="F582" s="122"/>
      <c r="H582" s="22"/>
      <c r="I582" s="123"/>
      <c r="J582" s="111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</row>
    <row r="583" ht="16.5" customHeight="1">
      <c r="A583" s="107"/>
      <c r="B583" s="138"/>
      <c r="C583" s="168"/>
      <c r="D583" s="195"/>
      <c r="E583" s="107"/>
      <c r="F583" s="122"/>
      <c r="H583" s="22"/>
      <c r="I583" s="123"/>
      <c r="J583" s="111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</row>
    <row r="584" ht="16.5" customHeight="1">
      <c r="A584" s="107"/>
      <c r="B584" s="138"/>
      <c r="C584" s="168"/>
      <c r="D584" s="195"/>
      <c r="E584" s="107"/>
      <c r="F584" s="122"/>
      <c r="H584" s="22"/>
      <c r="I584" s="123"/>
      <c r="J584" s="111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</row>
    <row r="585" ht="16.5" customHeight="1">
      <c r="A585" s="107"/>
      <c r="B585" s="138"/>
      <c r="C585" s="168"/>
      <c r="D585" s="195"/>
      <c r="E585" s="107"/>
      <c r="F585" s="122"/>
      <c r="H585" s="22"/>
      <c r="I585" s="123"/>
      <c r="J585" s="111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</row>
    <row r="586" ht="16.5" customHeight="1">
      <c r="A586" s="107"/>
      <c r="B586" s="138"/>
      <c r="C586" s="168"/>
      <c r="D586" s="195"/>
      <c r="E586" s="107"/>
      <c r="F586" s="122"/>
      <c r="H586" s="22"/>
      <c r="I586" s="123"/>
      <c r="J586" s="111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</row>
    <row r="587" ht="16.5" customHeight="1">
      <c r="A587" s="107"/>
      <c r="B587" s="138"/>
      <c r="C587" s="168"/>
      <c r="D587" s="195"/>
      <c r="E587" s="107"/>
      <c r="F587" s="122"/>
      <c r="H587" s="22"/>
      <c r="I587" s="123"/>
      <c r="J587" s="111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</row>
    <row r="588" ht="16.5" customHeight="1">
      <c r="A588" s="107"/>
      <c r="B588" s="138"/>
      <c r="C588" s="168"/>
      <c r="D588" s="195"/>
      <c r="E588" s="107"/>
      <c r="F588" s="122"/>
      <c r="H588" s="22"/>
      <c r="I588" s="123"/>
      <c r="J588" s="111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</row>
    <row r="589" ht="16.5" customHeight="1">
      <c r="A589" s="107"/>
      <c r="B589" s="138"/>
      <c r="C589" s="168"/>
      <c r="D589" s="195"/>
      <c r="E589" s="107"/>
      <c r="F589" s="122"/>
      <c r="H589" s="22"/>
      <c r="I589" s="123"/>
      <c r="J589" s="111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</row>
    <row r="590" ht="16.5" customHeight="1">
      <c r="A590" s="107"/>
      <c r="B590" s="138"/>
      <c r="C590" s="168"/>
      <c r="D590" s="195"/>
      <c r="E590" s="107"/>
      <c r="F590" s="122"/>
      <c r="H590" s="22"/>
      <c r="I590" s="123"/>
      <c r="J590" s="111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</row>
    <row r="591" ht="16.5" customHeight="1">
      <c r="A591" s="107"/>
      <c r="B591" s="138"/>
      <c r="C591" s="168"/>
      <c r="D591" s="195"/>
      <c r="E591" s="107"/>
      <c r="F591" s="122"/>
      <c r="H591" s="22"/>
      <c r="I591" s="123"/>
      <c r="J591" s="111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</row>
    <row r="592" ht="16.5" customHeight="1">
      <c r="A592" s="107"/>
      <c r="B592" s="138"/>
      <c r="C592" s="168"/>
      <c r="D592" s="195"/>
      <c r="E592" s="107"/>
      <c r="F592" s="122"/>
      <c r="H592" s="22"/>
      <c r="I592" s="123"/>
      <c r="J592" s="111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</row>
    <row r="593" ht="16.5" customHeight="1">
      <c r="A593" s="107"/>
      <c r="B593" s="138"/>
      <c r="C593" s="168"/>
      <c r="D593" s="195"/>
      <c r="E593" s="107"/>
      <c r="F593" s="122"/>
      <c r="H593" s="22"/>
      <c r="I593" s="123"/>
      <c r="J593" s="111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</row>
    <row r="594" ht="16.5" customHeight="1">
      <c r="A594" s="107"/>
      <c r="B594" s="138"/>
      <c r="C594" s="168"/>
      <c r="D594" s="195"/>
      <c r="E594" s="107"/>
      <c r="F594" s="122"/>
      <c r="H594" s="22"/>
      <c r="I594" s="123"/>
      <c r="J594" s="111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</row>
    <row r="595" ht="16.5" customHeight="1">
      <c r="A595" s="107"/>
      <c r="B595" s="138"/>
      <c r="C595" s="168"/>
      <c r="D595" s="195"/>
      <c r="E595" s="107"/>
      <c r="F595" s="122"/>
      <c r="H595" s="22"/>
      <c r="I595" s="123"/>
      <c r="J595" s="111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</row>
    <row r="596" ht="16.5" customHeight="1">
      <c r="A596" s="107"/>
      <c r="B596" s="138"/>
      <c r="C596" s="168"/>
      <c r="D596" s="195"/>
      <c r="E596" s="107"/>
      <c r="F596" s="122"/>
      <c r="H596" s="22"/>
      <c r="I596" s="123"/>
      <c r="J596" s="111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</row>
    <row r="597" ht="16.5" customHeight="1">
      <c r="A597" s="107"/>
      <c r="B597" s="138"/>
      <c r="C597" s="168"/>
      <c r="D597" s="195"/>
      <c r="E597" s="107"/>
      <c r="F597" s="122"/>
      <c r="H597" s="22"/>
      <c r="I597" s="123"/>
      <c r="J597" s="111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</row>
    <row r="598" ht="16.5" customHeight="1">
      <c r="A598" s="107"/>
      <c r="B598" s="138"/>
      <c r="C598" s="168"/>
      <c r="D598" s="195"/>
      <c r="E598" s="107"/>
      <c r="F598" s="122"/>
      <c r="H598" s="22"/>
      <c r="I598" s="123"/>
      <c r="J598" s="111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</row>
    <row r="599" ht="16.5" customHeight="1">
      <c r="A599" s="107"/>
      <c r="B599" s="138"/>
      <c r="C599" s="168"/>
      <c r="D599" s="195"/>
      <c r="E599" s="107"/>
      <c r="F599" s="122"/>
      <c r="H599" s="22"/>
      <c r="I599" s="123"/>
      <c r="J599" s="111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</row>
    <row r="600" ht="16.5" customHeight="1">
      <c r="A600" s="107"/>
      <c r="B600" s="138"/>
      <c r="C600" s="168"/>
      <c r="D600" s="195"/>
      <c r="E600" s="107"/>
      <c r="F600" s="122"/>
      <c r="H600" s="22"/>
      <c r="I600" s="123"/>
      <c r="J600" s="111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</row>
    <row r="601" ht="16.5" customHeight="1">
      <c r="A601" s="107"/>
      <c r="B601" s="138"/>
      <c r="C601" s="168"/>
      <c r="D601" s="195"/>
      <c r="E601" s="107"/>
      <c r="F601" s="122"/>
      <c r="H601" s="22"/>
      <c r="I601" s="123"/>
      <c r="J601" s="111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</row>
    <row r="602" ht="16.5" customHeight="1">
      <c r="A602" s="107"/>
      <c r="B602" s="138"/>
      <c r="C602" s="168"/>
      <c r="D602" s="195"/>
      <c r="E602" s="107"/>
      <c r="F602" s="122"/>
      <c r="H602" s="22"/>
      <c r="I602" s="123"/>
      <c r="J602" s="111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</row>
    <row r="603" ht="16.5" customHeight="1">
      <c r="A603" s="107"/>
      <c r="B603" s="138"/>
      <c r="C603" s="168"/>
      <c r="D603" s="195"/>
      <c r="E603" s="107"/>
      <c r="F603" s="122"/>
      <c r="H603" s="22"/>
      <c r="I603" s="123"/>
      <c r="J603" s="111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</row>
    <row r="604" ht="16.5" customHeight="1">
      <c r="A604" s="107"/>
      <c r="B604" s="138"/>
      <c r="C604" s="168"/>
      <c r="D604" s="195"/>
      <c r="E604" s="107"/>
      <c r="F604" s="122"/>
      <c r="H604" s="22"/>
      <c r="I604" s="123"/>
      <c r="J604" s="111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</row>
    <row r="605" ht="16.5" customHeight="1">
      <c r="A605" s="107"/>
      <c r="B605" s="138"/>
      <c r="C605" s="168"/>
      <c r="D605" s="195"/>
      <c r="E605" s="107"/>
      <c r="F605" s="122"/>
      <c r="H605" s="22"/>
      <c r="I605" s="123"/>
      <c r="J605" s="111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</row>
    <row r="606" ht="16.5" customHeight="1">
      <c r="A606" s="107"/>
      <c r="B606" s="138"/>
      <c r="C606" s="168"/>
      <c r="D606" s="195"/>
      <c r="E606" s="107"/>
      <c r="F606" s="122"/>
      <c r="H606" s="22"/>
      <c r="I606" s="123"/>
      <c r="J606" s="111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</row>
    <row r="607" ht="16.5" customHeight="1">
      <c r="A607" s="107"/>
      <c r="B607" s="138"/>
      <c r="C607" s="168"/>
      <c r="D607" s="195"/>
      <c r="E607" s="107"/>
      <c r="F607" s="122"/>
      <c r="H607" s="22"/>
      <c r="I607" s="123"/>
      <c r="J607" s="111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</row>
    <row r="608" ht="16.5" customHeight="1">
      <c r="A608" s="107"/>
      <c r="B608" s="138"/>
      <c r="C608" s="168"/>
      <c r="D608" s="195"/>
      <c r="E608" s="107"/>
      <c r="F608" s="122"/>
      <c r="H608" s="22"/>
      <c r="I608" s="123"/>
      <c r="J608" s="111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</row>
    <row r="609" ht="16.5" customHeight="1">
      <c r="A609" s="107"/>
      <c r="B609" s="138"/>
      <c r="C609" s="168"/>
      <c r="D609" s="195"/>
      <c r="E609" s="107"/>
      <c r="F609" s="122"/>
      <c r="H609" s="22"/>
      <c r="I609" s="123"/>
      <c r="J609" s="111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</row>
    <row r="610" ht="16.5" customHeight="1">
      <c r="A610" s="107"/>
      <c r="B610" s="138"/>
      <c r="C610" s="168"/>
      <c r="D610" s="195"/>
      <c r="E610" s="107"/>
      <c r="F610" s="122"/>
      <c r="H610" s="22"/>
      <c r="I610" s="123"/>
      <c r="J610" s="111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</row>
    <row r="611" ht="16.5" customHeight="1">
      <c r="A611" s="107"/>
      <c r="B611" s="138"/>
      <c r="C611" s="168"/>
      <c r="D611" s="195"/>
      <c r="E611" s="107"/>
      <c r="F611" s="122"/>
      <c r="H611" s="22"/>
      <c r="I611" s="123"/>
      <c r="J611" s="111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</row>
    <row r="612" ht="16.5" customHeight="1">
      <c r="A612" s="107"/>
      <c r="B612" s="138"/>
      <c r="C612" s="168"/>
      <c r="D612" s="195"/>
      <c r="E612" s="107"/>
      <c r="F612" s="122"/>
      <c r="H612" s="22"/>
      <c r="I612" s="123"/>
      <c r="J612" s="111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</row>
    <row r="613" ht="16.5" customHeight="1">
      <c r="A613" s="107"/>
      <c r="B613" s="138"/>
      <c r="C613" s="168"/>
      <c r="D613" s="195"/>
      <c r="E613" s="107"/>
      <c r="F613" s="122"/>
      <c r="H613" s="22"/>
      <c r="I613" s="123"/>
      <c r="J613" s="111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</row>
    <row r="614" ht="16.5" customHeight="1">
      <c r="A614" s="107"/>
      <c r="B614" s="138"/>
      <c r="C614" s="168"/>
      <c r="D614" s="195"/>
      <c r="E614" s="107"/>
      <c r="F614" s="122"/>
      <c r="H614" s="22"/>
      <c r="I614" s="123"/>
      <c r="J614" s="111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</row>
    <row r="615" ht="16.5" customHeight="1">
      <c r="A615" s="107"/>
      <c r="B615" s="138"/>
      <c r="C615" s="168"/>
      <c r="D615" s="195"/>
      <c r="E615" s="107"/>
      <c r="F615" s="122"/>
      <c r="H615" s="22"/>
      <c r="I615" s="123"/>
      <c r="J615" s="111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</row>
    <row r="616" ht="16.5" customHeight="1">
      <c r="A616" s="107"/>
      <c r="B616" s="138"/>
      <c r="C616" s="168"/>
      <c r="D616" s="195"/>
      <c r="E616" s="107"/>
      <c r="F616" s="122"/>
      <c r="H616" s="22"/>
      <c r="I616" s="123"/>
      <c r="J616" s="111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</row>
    <row r="617" ht="16.5" customHeight="1">
      <c r="A617" s="107"/>
      <c r="B617" s="138"/>
      <c r="C617" s="168"/>
      <c r="D617" s="195"/>
      <c r="E617" s="107"/>
      <c r="F617" s="122"/>
      <c r="H617" s="22"/>
      <c r="I617" s="123"/>
      <c r="J617" s="111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</row>
    <row r="618" ht="16.5" customHeight="1">
      <c r="A618" s="107"/>
      <c r="B618" s="138"/>
      <c r="C618" s="168"/>
      <c r="D618" s="195"/>
      <c r="E618" s="107"/>
      <c r="F618" s="122"/>
      <c r="H618" s="22"/>
      <c r="I618" s="123"/>
      <c r="J618" s="111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</row>
    <row r="619" ht="16.5" customHeight="1">
      <c r="A619" s="107"/>
      <c r="B619" s="138"/>
      <c r="C619" s="168"/>
      <c r="D619" s="195"/>
      <c r="E619" s="107"/>
      <c r="F619" s="122"/>
      <c r="H619" s="22"/>
      <c r="I619" s="123"/>
      <c r="J619" s="111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</row>
    <row r="620" ht="16.5" customHeight="1">
      <c r="A620" s="107"/>
      <c r="B620" s="138"/>
      <c r="C620" s="168"/>
      <c r="D620" s="195"/>
      <c r="E620" s="107"/>
      <c r="F620" s="122"/>
      <c r="H620" s="22"/>
      <c r="I620" s="123"/>
      <c r="J620" s="111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</row>
    <row r="621" ht="16.5" customHeight="1">
      <c r="A621" s="107"/>
      <c r="B621" s="138"/>
      <c r="C621" s="168"/>
      <c r="D621" s="195"/>
      <c r="E621" s="107"/>
      <c r="F621" s="122"/>
      <c r="H621" s="22"/>
      <c r="I621" s="123"/>
      <c r="J621" s="111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</row>
    <row r="622" ht="16.5" customHeight="1">
      <c r="A622" s="107"/>
      <c r="B622" s="138"/>
      <c r="C622" s="168"/>
      <c r="D622" s="195"/>
      <c r="E622" s="107"/>
      <c r="F622" s="122"/>
      <c r="H622" s="22"/>
      <c r="I622" s="123"/>
      <c r="J622" s="111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</row>
    <row r="623" ht="16.5" customHeight="1">
      <c r="A623" s="107"/>
      <c r="B623" s="138"/>
      <c r="C623" s="168"/>
      <c r="D623" s="195"/>
      <c r="E623" s="107"/>
      <c r="F623" s="122"/>
      <c r="H623" s="22"/>
      <c r="I623" s="123"/>
      <c r="J623" s="111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</row>
    <row r="624" ht="16.5" customHeight="1">
      <c r="A624" s="107"/>
      <c r="B624" s="138"/>
      <c r="C624" s="168"/>
      <c r="D624" s="195"/>
      <c r="E624" s="107"/>
      <c r="F624" s="122"/>
      <c r="H624" s="22"/>
      <c r="I624" s="123"/>
      <c r="J624" s="111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</row>
    <row r="625" ht="16.5" customHeight="1">
      <c r="A625" s="107"/>
      <c r="B625" s="138"/>
      <c r="C625" s="168"/>
      <c r="D625" s="195"/>
      <c r="E625" s="107"/>
      <c r="F625" s="122"/>
      <c r="H625" s="22"/>
      <c r="I625" s="123"/>
      <c r="J625" s="111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</row>
    <row r="626" ht="16.5" customHeight="1">
      <c r="A626" s="107"/>
      <c r="B626" s="138"/>
      <c r="C626" s="168"/>
      <c r="D626" s="195"/>
      <c r="E626" s="107"/>
      <c r="F626" s="122"/>
      <c r="H626" s="22"/>
      <c r="I626" s="123"/>
      <c r="J626" s="111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</row>
    <row r="627" ht="16.5" customHeight="1">
      <c r="A627" s="107"/>
      <c r="B627" s="138"/>
      <c r="C627" s="168"/>
      <c r="D627" s="195"/>
      <c r="E627" s="107"/>
      <c r="F627" s="122"/>
      <c r="H627" s="22"/>
      <c r="I627" s="123"/>
      <c r="J627" s="111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</row>
    <row r="628" ht="16.5" customHeight="1">
      <c r="A628" s="107"/>
      <c r="B628" s="138"/>
      <c r="C628" s="168"/>
      <c r="D628" s="195"/>
      <c r="E628" s="107"/>
      <c r="F628" s="122"/>
      <c r="H628" s="22"/>
      <c r="I628" s="123"/>
      <c r="J628" s="111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</row>
    <row r="629" ht="16.5" customHeight="1">
      <c r="A629" s="107"/>
      <c r="B629" s="138"/>
      <c r="C629" s="168"/>
      <c r="D629" s="195"/>
      <c r="E629" s="107"/>
      <c r="F629" s="122"/>
      <c r="H629" s="22"/>
      <c r="I629" s="123"/>
      <c r="J629" s="111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</row>
    <row r="630" ht="16.5" customHeight="1">
      <c r="A630" s="107"/>
      <c r="B630" s="138"/>
      <c r="C630" s="168"/>
      <c r="D630" s="195"/>
      <c r="E630" s="107"/>
      <c r="F630" s="122"/>
      <c r="H630" s="22"/>
      <c r="I630" s="123"/>
      <c r="J630" s="111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</row>
    <row r="631" ht="16.5" customHeight="1">
      <c r="A631" s="107"/>
      <c r="B631" s="138"/>
      <c r="C631" s="168"/>
      <c r="D631" s="195"/>
      <c r="E631" s="107"/>
      <c r="F631" s="122"/>
      <c r="H631" s="22"/>
      <c r="I631" s="123"/>
      <c r="J631" s="111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</row>
    <row r="632" ht="16.5" customHeight="1">
      <c r="A632" s="107"/>
      <c r="B632" s="138"/>
      <c r="C632" s="168"/>
      <c r="D632" s="195"/>
      <c r="E632" s="107"/>
      <c r="F632" s="122"/>
      <c r="H632" s="22"/>
      <c r="I632" s="123"/>
      <c r="J632" s="111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</row>
    <row r="633" ht="16.5" customHeight="1">
      <c r="A633" s="107"/>
      <c r="B633" s="138"/>
      <c r="C633" s="168"/>
      <c r="D633" s="195"/>
      <c r="E633" s="107"/>
      <c r="F633" s="122"/>
      <c r="H633" s="22"/>
      <c r="I633" s="123"/>
      <c r="J633" s="111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</row>
    <row r="634" ht="16.5" customHeight="1">
      <c r="A634" s="107"/>
      <c r="B634" s="138"/>
      <c r="C634" s="168"/>
      <c r="D634" s="195"/>
      <c r="E634" s="107"/>
      <c r="F634" s="122"/>
      <c r="H634" s="22"/>
      <c r="I634" s="123"/>
      <c r="J634" s="111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</row>
    <row r="635" ht="16.5" customHeight="1">
      <c r="A635" s="107"/>
      <c r="B635" s="138"/>
      <c r="C635" s="168"/>
      <c r="D635" s="195"/>
      <c r="E635" s="107"/>
      <c r="F635" s="122"/>
      <c r="H635" s="22"/>
      <c r="I635" s="123"/>
      <c r="J635" s="111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</row>
    <row r="636" ht="16.5" customHeight="1">
      <c r="A636" s="107"/>
      <c r="B636" s="138"/>
      <c r="C636" s="168"/>
      <c r="D636" s="195"/>
      <c r="E636" s="107"/>
      <c r="F636" s="122"/>
      <c r="H636" s="22"/>
      <c r="I636" s="123"/>
      <c r="J636" s="111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</row>
    <row r="637" ht="16.5" customHeight="1">
      <c r="A637" s="107"/>
      <c r="B637" s="138"/>
      <c r="C637" s="168"/>
      <c r="D637" s="195"/>
      <c r="E637" s="107"/>
      <c r="F637" s="122"/>
      <c r="H637" s="22"/>
      <c r="I637" s="123"/>
      <c r="J637" s="111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</row>
    <row r="638" ht="16.5" customHeight="1">
      <c r="A638" s="107"/>
      <c r="B638" s="138"/>
      <c r="C638" s="168"/>
      <c r="D638" s="195"/>
      <c r="E638" s="107"/>
      <c r="F638" s="122"/>
      <c r="H638" s="22"/>
      <c r="I638" s="123"/>
      <c r="J638" s="111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</row>
    <row r="639" ht="16.5" customHeight="1">
      <c r="A639" s="107"/>
      <c r="B639" s="138"/>
      <c r="C639" s="168"/>
      <c r="D639" s="195"/>
      <c r="E639" s="107"/>
      <c r="F639" s="122"/>
      <c r="H639" s="22"/>
      <c r="I639" s="123"/>
      <c r="J639" s="111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</row>
    <row r="640" ht="16.5" customHeight="1">
      <c r="A640" s="107"/>
      <c r="B640" s="138"/>
      <c r="C640" s="168"/>
      <c r="D640" s="195"/>
      <c r="E640" s="107"/>
      <c r="F640" s="122"/>
      <c r="H640" s="22"/>
      <c r="I640" s="123"/>
      <c r="J640" s="111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</row>
    <row r="641" ht="16.5" customHeight="1">
      <c r="A641" s="107"/>
      <c r="B641" s="138"/>
      <c r="C641" s="168"/>
      <c r="D641" s="195"/>
      <c r="E641" s="107"/>
      <c r="F641" s="122"/>
      <c r="H641" s="22"/>
      <c r="I641" s="123"/>
      <c r="J641" s="111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</row>
    <row r="642" ht="16.5" customHeight="1">
      <c r="A642" s="107"/>
      <c r="B642" s="138"/>
      <c r="C642" s="168"/>
      <c r="D642" s="195"/>
      <c r="E642" s="107"/>
      <c r="F642" s="122"/>
      <c r="H642" s="22"/>
      <c r="I642" s="123"/>
      <c r="J642" s="111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</row>
    <row r="643" ht="16.5" customHeight="1">
      <c r="A643" s="107"/>
      <c r="B643" s="138"/>
      <c r="C643" s="168"/>
      <c r="D643" s="195"/>
      <c r="E643" s="107"/>
      <c r="F643" s="122"/>
      <c r="H643" s="22"/>
      <c r="I643" s="123"/>
      <c r="J643" s="111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</row>
    <row r="644" ht="16.5" customHeight="1">
      <c r="A644" s="107"/>
      <c r="B644" s="138"/>
      <c r="C644" s="168"/>
      <c r="D644" s="195"/>
      <c r="E644" s="107"/>
      <c r="F644" s="122"/>
      <c r="H644" s="22"/>
      <c r="I644" s="123"/>
      <c r="J644" s="111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</row>
    <row r="645" ht="16.5" customHeight="1">
      <c r="A645" s="107"/>
      <c r="B645" s="138"/>
      <c r="C645" s="168"/>
      <c r="D645" s="195"/>
      <c r="E645" s="107"/>
      <c r="F645" s="122"/>
      <c r="H645" s="22"/>
      <c r="I645" s="123"/>
      <c r="J645" s="111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</row>
    <row r="646" ht="16.5" customHeight="1">
      <c r="A646" s="107"/>
      <c r="B646" s="138"/>
      <c r="C646" s="168"/>
      <c r="D646" s="195"/>
      <c r="E646" s="107"/>
      <c r="F646" s="122"/>
      <c r="H646" s="22"/>
      <c r="I646" s="123"/>
      <c r="J646" s="111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</row>
    <row r="647" ht="16.5" customHeight="1">
      <c r="A647" s="107"/>
      <c r="B647" s="138"/>
      <c r="C647" s="168"/>
      <c r="D647" s="195"/>
      <c r="E647" s="107"/>
      <c r="F647" s="122"/>
      <c r="H647" s="22"/>
      <c r="I647" s="123"/>
      <c r="J647" s="111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</row>
    <row r="648" ht="16.5" customHeight="1">
      <c r="A648" s="107"/>
      <c r="B648" s="138"/>
      <c r="C648" s="168"/>
      <c r="D648" s="195"/>
      <c r="E648" s="107"/>
      <c r="F648" s="122"/>
      <c r="H648" s="22"/>
      <c r="I648" s="123"/>
      <c r="J648" s="111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</row>
    <row r="649" ht="16.5" customHeight="1">
      <c r="A649" s="107"/>
      <c r="B649" s="138"/>
      <c r="C649" s="168"/>
      <c r="D649" s="195"/>
      <c r="E649" s="107"/>
      <c r="F649" s="122"/>
      <c r="H649" s="22"/>
      <c r="I649" s="123"/>
      <c r="J649" s="111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</row>
    <row r="650" ht="16.5" customHeight="1">
      <c r="A650" s="107"/>
      <c r="B650" s="138"/>
      <c r="C650" s="168"/>
      <c r="D650" s="195"/>
      <c r="E650" s="107"/>
      <c r="F650" s="122"/>
      <c r="H650" s="22"/>
      <c r="I650" s="123"/>
      <c r="J650" s="111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</row>
    <row r="651" ht="16.5" customHeight="1">
      <c r="A651" s="107"/>
      <c r="B651" s="138"/>
      <c r="C651" s="168"/>
      <c r="D651" s="195"/>
      <c r="E651" s="107"/>
      <c r="F651" s="122"/>
      <c r="H651" s="22"/>
      <c r="I651" s="123"/>
      <c r="J651" s="111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</row>
    <row r="652" ht="16.5" customHeight="1">
      <c r="A652" s="107"/>
      <c r="B652" s="138"/>
      <c r="C652" s="168"/>
      <c r="D652" s="195"/>
      <c r="E652" s="107"/>
      <c r="F652" s="122"/>
      <c r="H652" s="22"/>
      <c r="I652" s="123"/>
      <c r="J652" s="111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</row>
    <row r="653" ht="16.5" customHeight="1">
      <c r="A653" s="107"/>
      <c r="B653" s="138"/>
      <c r="C653" s="168"/>
      <c r="D653" s="195"/>
      <c r="E653" s="107"/>
      <c r="F653" s="122"/>
      <c r="H653" s="22"/>
      <c r="I653" s="123"/>
      <c r="J653" s="111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</row>
    <row r="654" ht="16.5" customHeight="1">
      <c r="A654" s="107"/>
      <c r="B654" s="138"/>
      <c r="C654" s="168"/>
      <c r="D654" s="195"/>
      <c r="E654" s="107"/>
      <c r="F654" s="122"/>
      <c r="H654" s="22"/>
      <c r="I654" s="123"/>
      <c r="J654" s="111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</row>
    <row r="655" ht="16.5" customHeight="1">
      <c r="A655" s="107"/>
      <c r="B655" s="138"/>
      <c r="C655" s="168"/>
      <c r="D655" s="195"/>
      <c r="E655" s="107"/>
      <c r="F655" s="122"/>
      <c r="H655" s="22"/>
      <c r="I655" s="123"/>
      <c r="J655" s="111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</row>
    <row r="656" ht="16.5" customHeight="1">
      <c r="A656" s="107"/>
      <c r="B656" s="138"/>
      <c r="C656" s="168"/>
      <c r="D656" s="195"/>
      <c r="E656" s="107"/>
      <c r="F656" s="122"/>
      <c r="H656" s="22"/>
      <c r="I656" s="123"/>
      <c r="J656" s="111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</row>
    <row r="657" ht="16.5" customHeight="1">
      <c r="A657" s="107"/>
      <c r="B657" s="138"/>
      <c r="C657" s="168"/>
      <c r="D657" s="195"/>
      <c r="E657" s="107"/>
      <c r="F657" s="122"/>
      <c r="H657" s="22"/>
      <c r="I657" s="123"/>
      <c r="J657" s="111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</row>
    <row r="658" ht="16.5" customHeight="1">
      <c r="A658" s="107"/>
      <c r="B658" s="138"/>
      <c r="C658" s="168"/>
      <c r="D658" s="195"/>
      <c r="E658" s="107"/>
      <c r="F658" s="122"/>
      <c r="H658" s="22"/>
      <c r="I658" s="123"/>
      <c r="J658" s="111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</row>
    <row r="659" ht="16.5" customHeight="1">
      <c r="A659" s="107"/>
      <c r="B659" s="138"/>
      <c r="C659" s="168"/>
      <c r="D659" s="195"/>
      <c r="E659" s="107"/>
      <c r="F659" s="122"/>
      <c r="H659" s="22"/>
      <c r="I659" s="123"/>
      <c r="J659" s="111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</row>
    <row r="660" ht="16.5" customHeight="1">
      <c r="A660" s="107"/>
      <c r="B660" s="138"/>
      <c r="C660" s="168"/>
      <c r="D660" s="195"/>
      <c r="E660" s="107"/>
      <c r="F660" s="122"/>
      <c r="H660" s="22"/>
      <c r="I660" s="123"/>
      <c r="J660" s="111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</row>
    <row r="661" ht="16.5" customHeight="1">
      <c r="A661" s="107"/>
      <c r="B661" s="138"/>
      <c r="C661" s="168"/>
      <c r="D661" s="195"/>
      <c r="E661" s="107"/>
      <c r="F661" s="122"/>
      <c r="H661" s="22"/>
      <c r="I661" s="123"/>
      <c r="J661" s="111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</row>
    <row r="662" ht="16.5" customHeight="1">
      <c r="A662" s="107"/>
      <c r="B662" s="138"/>
      <c r="C662" s="168"/>
      <c r="D662" s="195"/>
      <c r="E662" s="107"/>
      <c r="F662" s="122"/>
      <c r="H662" s="22"/>
      <c r="I662" s="123"/>
      <c r="J662" s="111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</row>
    <row r="663" ht="16.5" customHeight="1">
      <c r="A663" s="107"/>
      <c r="B663" s="138"/>
      <c r="C663" s="168"/>
      <c r="D663" s="195"/>
      <c r="E663" s="107"/>
      <c r="F663" s="122"/>
      <c r="H663" s="22"/>
      <c r="I663" s="123"/>
      <c r="J663" s="111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</row>
    <row r="664" ht="16.5" customHeight="1">
      <c r="A664" s="107"/>
      <c r="B664" s="138"/>
      <c r="C664" s="168"/>
      <c r="D664" s="195"/>
      <c r="E664" s="107"/>
      <c r="F664" s="122"/>
      <c r="H664" s="22"/>
      <c r="I664" s="123"/>
      <c r="J664" s="111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</row>
    <row r="665" ht="16.5" customHeight="1">
      <c r="A665" s="107"/>
      <c r="B665" s="138"/>
      <c r="C665" s="168"/>
      <c r="D665" s="195"/>
      <c r="E665" s="107"/>
      <c r="F665" s="122"/>
      <c r="H665" s="22"/>
      <c r="I665" s="123"/>
      <c r="J665" s="111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</row>
    <row r="666" ht="16.5" customHeight="1">
      <c r="A666" s="107"/>
      <c r="B666" s="138"/>
      <c r="C666" s="168"/>
      <c r="D666" s="195"/>
      <c r="E666" s="107"/>
      <c r="F666" s="122"/>
      <c r="H666" s="22"/>
      <c r="I666" s="123"/>
      <c r="J666" s="111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</row>
    <row r="667" ht="16.5" customHeight="1">
      <c r="A667" s="107"/>
      <c r="B667" s="138"/>
      <c r="C667" s="168"/>
      <c r="D667" s="195"/>
      <c r="E667" s="107"/>
      <c r="F667" s="122"/>
      <c r="H667" s="22"/>
      <c r="I667" s="123"/>
      <c r="J667" s="111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</row>
    <row r="668" ht="16.5" customHeight="1">
      <c r="A668" s="107"/>
      <c r="B668" s="138"/>
      <c r="C668" s="168"/>
      <c r="D668" s="195"/>
      <c r="E668" s="107"/>
      <c r="F668" s="122"/>
      <c r="H668" s="22"/>
      <c r="I668" s="123"/>
      <c r="J668" s="111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</row>
    <row r="669" ht="16.5" customHeight="1">
      <c r="A669" s="107"/>
      <c r="B669" s="138"/>
      <c r="C669" s="168"/>
      <c r="D669" s="195"/>
      <c r="E669" s="107"/>
      <c r="F669" s="122"/>
      <c r="H669" s="22"/>
      <c r="I669" s="123"/>
      <c r="J669" s="111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</row>
    <row r="670" ht="16.5" customHeight="1">
      <c r="A670" s="107"/>
      <c r="B670" s="138"/>
      <c r="C670" s="168"/>
      <c r="D670" s="195"/>
      <c r="E670" s="107"/>
      <c r="F670" s="122"/>
      <c r="H670" s="22"/>
      <c r="I670" s="123"/>
      <c r="J670" s="111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</row>
    <row r="671" ht="16.5" customHeight="1">
      <c r="A671" s="107"/>
      <c r="B671" s="138"/>
      <c r="C671" s="168"/>
      <c r="D671" s="195"/>
      <c r="E671" s="107"/>
      <c r="F671" s="122"/>
      <c r="H671" s="22"/>
      <c r="I671" s="123"/>
      <c r="J671" s="111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</row>
    <row r="672" ht="16.5" customHeight="1">
      <c r="A672" s="107"/>
      <c r="B672" s="138"/>
      <c r="C672" s="168"/>
      <c r="D672" s="195"/>
      <c r="E672" s="107"/>
      <c r="F672" s="122"/>
      <c r="H672" s="22"/>
      <c r="I672" s="123"/>
      <c r="J672" s="111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</row>
    <row r="673" ht="16.5" customHeight="1">
      <c r="A673" s="107"/>
      <c r="B673" s="138"/>
      <c r="C673" s="168"/>
      <c r="D673" s="195"/>
      <c r="E673" s="107"/>
      <c r="F673" s="122"/>
      <c r="H673" s="22"/>
      <c r="I673" s="123"/>
      <c r="J673" s="111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</row>
    <row r="674" ht="16.5" customHeight="1">
      <c r="A674" s="107"/>
      <c r="B674" s="138"/>
      <c r="C674" s="168"/>
      <c r="D674" s="195"/>
      <c r="E674" s="107"/>
      <c r="F674" s="122"/>
      <c r="H674" s="22"/>
      <c r="I674" s="123"/>
      <c r="J674" s="111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</row>
    <row r="675" ht="16.5" customHeight="1">
      <c r="A675" s="107"/>
      <c r="B675" s="138"/>
      <c r="C675" s="168"/>
      <c r="D675" s="195"/>
      <c r="E675" s="107"/>
      <c r="F675" s="122"/>
      <c r="H675" s="22"/>
      <c r="I675" s="123"/>
      <c r="J675" s="111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</row>
    <row r="676" ht="16.5" customHeight="1">
      <c r="A676" s="107"/>
      <c r="B676" s="138"/>
      <c r="C676" s="168"/>
      <c r="D676" s="195"/>
      <c r="E676" s="107"/>
      <c r="F676" s="122"/>
      <c r="H676" s="22"/>
      <c r="I676" s="123"/>
      <c r="J676" s="111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</row>
    <row r="677" ht="16.5" customHeight="1">
      <c r="A677" s="107"/>
      <c r="B677" s="138"/>
      <c r="C677" s="168"/>
      <c r="D677" s="195"/>
      <c r="E677" s="107"/>
      <c r="F677" s="122"/>
      <c r="H677" s="22"/>
      <c r="I677" s="123"/>
      <c r="J677" s="111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</row>
    <row r="678" ht="16.5" customHeight="1">
      <c r="A678" s="107"/>
      <c r="B678" s="138"/>
      <c r="C678" s="168"/>
      <c r="D678" s="195"/>
      <c r="E678" s="107"/>
      <c r="F678" s="122"/>
      <c r="H678" s="22"/>
      <c r="I678" s="123"/>
      <c r="J678" s="111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</row>
    <row r="679" ht="16.5" customHeight="1">
      <c r="A679" s="107"/>
      <c r="B679" s="138"/>
      <c r="C679" s="168"/>
      <c r="D679" s="195"/>
      <c r="E679" s="107"/>
      <c r="F679" s="122"/>
      <c r="H679" s="22"/>
      <c r="I679" s="123"/>
      <c r="J679" s="111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</row>
    <row r="680" ht="16.5" customHeight="1">
      <c r="A680" s="107"/>
      <c r="B680" s="138"/>
      <c r="C680" s="168"/>
      <c r="D680" s="195"/>
      <c r="E680" s="107"/>
      <c r="F680" s="122"/>
      <c r="H680" s="22"/>
      <c r="I680" s="123"/>
      <c r="J680" s="111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</row>
    <row r="681" ht="16.5" customHeight="1">
      <c r="A681" s="107"/>
      <c r="B681" s="138"/>
      <c r="C681" s="168"/>
      <c r="D681" s="195"/>
      <c r="E681" s="107"/>
      <c r="F681" s="122"/>
      <c r="H681" s="22"/>
      <c r="I681" s="123"/>
      <c r="J681" s="111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</row>
    <row r="682" ht="16.5" customHeight="1">
      <c r="A682" s="107"/>
      <c r="B682" s="138"/>
      <c r="C682" s="168"/>
      <c r="D682" s="195"/>
      <c r="E682" s="107"/>
      <c r="F682" s="122"/>
      <c r="H682" s="22"/>
      <c r="I682" s="123"/>
      <c r="J682" s="111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</row>
    <row r="683" ht="16.5" customHeight="1">
      <c r="A683" s="107"/>
      <c r="B683" s="138"/>
      <c r="C683" s="168"/>
      <c r="D683" s="195"/>
      <c r="E683" s="107"/>
      <c r="F683" s="122"/>
      <c r="H683" s="22"/>
      <c r="I683" s="123"/>
      <c r="J683" s="111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</row>
    <row r="684" ht="16.5" customHeight="1">
      <c r="A684" s="107"/>
      <c r="B684" s="138"/>
      <c r="C684" s="168"/>
      <c r="D684" s="195"/>
      <c r="E684" s="107"/>
      <c r="F684" s="122"/>
      <c r="H684" s="22"/>
      <c r="I684" s="123"/>
      <c r="J684" s="111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</row>
    <row r="685" ht="16.5" customHeight="1">
      <c r="A685" s="107"/>
      <c r="B685" s="138"/>
      <c r="C685" s="168"/>
      <c r="D685" s="195"/>
      <c r="E685" s="107"/>
      <c r="F685" s="122"/>
      <c r="H685" s="22"/>
      <c r="I685" s="123"/>
      <c r="J685" s="111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</row>
    <row r="686" ht="16.5" customHeight="1">
      <c r="A686" s="107"/>
      <c r="B686" s="138"/>
      <c r="C686" s="168"/>
      <c r="D686" s="195"/>
      <c r="E686" s="107"/>
      <c r="F686" s="122"/>
      <c r="H686" s="22"/>
      <c r="I686" s="123"/>
      <c r="J686" s="111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</row>
    <row r="687" ht="16.5" customHeight="1">
      <c r="A687" s="107"/>
      <c r="B687" s="138"/>
      <c r="C687" s="168"/>
      <c r="D687" s="195"/>
      <c r="E687" s="107"/>
      <c r="F687" s="122"/>
      <c r="H687" s="22"/>
      <c r="I687" s="123"/>
      <c r="J687" s="111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</row>
    <row r="688" ht="16.5" customHeight="1">
      <c r="A688" s="107"/>
      <c r="B688" s="138"/>
      <c r="C688" s="168"/>
      <c r="D688" s="195"/>
      <c r="E688" s="107"/>
      <c r="F688" s="122"/>
      <c r="H688" s="22"/>
      <c r="I688" s="123"/>
      <c r="J688" s="111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</row>
    <row r="689" ht="16.5" customHeight="1">
      <c r="A689" s="107"/>
      <c r="B689" s="138"/>
      <c r="C689" s="168"/>
      <c r="D689" s="195"/>
      <c r="E689" s="107"/>
      <c r="F689" s="122"/>
      <c r="H689" s="22"/>
      <c r="I689" s="123"/>
      <c r="J689" s="111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</row>
    <row r="690" ht="16.5" customHeight="1">
      <c r="A690" s="107"/>
      <c r="B690" s="138"/>
      <c r="C690" s="168"/>
      <c r="D690" s="195"/>
      <c r="E690" s="107"/>
      <c r="F690" s="122"/>
      <c r="H690" s="22"/>
      <c r="I690" s="123"/>
      <c r="J690" s="111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</row>
    <row r="691" ht="16.5" customHeight="1">
      <c r="A691" s="107"/>
      <c r="B691" s="138"/>
      <c r="C691" s="168"/>
      <c r="D691" s="195"/>
      <c r="E691" s="107"/>
      <c r="F691" s="122"/>
      <c r="H691" s="22"/>
      <c r="I691" s="123"/>
      <c r="J691" s="111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</row>
    <row r="692" ht="16.5" customHeight="1">
      <c r="A692" s="107"/>
      <c r="B692" s="138"/>
      <c r="C692" s="168"/>
      <c r="D692" s="195"/>
      <c r="E692" s="107"/>
      <c r="F692" s="122"/>
      <c r="H692" s="22"/>
      <c r="I692" s="123"/>
      <c r="J692" s="111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</row>
    <row r="693" ht="16.5" customHeight="1">
      <c r="A693" s="107"/>
      <c r="B693" s="138"/>
      <c r="C693" s="168"/>
      <c r="D693" s="195"/>
      <c r="E693" s="107"/>
      <c r="F693" s="122"/>
      <c r="H693" s="22"/>
      <c r="I693" s="123"/>
      <c r="J693" s="111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</row>
    <row r="694" ht="16.5" customHeight="1">
      <c r="A694" s="107"/>
      <c r="B694" s="138"/>
      <c r="C694" s="168"/>
      <c r="D694" s="195"/>
      <c r="E694" s="107"/>
      <c r="F694" s="122"/>
      <c r="H694" s="22"/>
      <c r="I694" s="123"/>
      <c r="J694" s="111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</row>
    <row r="695" ht="16.5" customHeight="1">
      <c r="A695" s="107"/>
      <c r="B695" s="138"/>
      <c r="C695" s="168"/>
      <c r="D695" s="195"/>
      <c r="E695" s="107"/>
      <c r="F695" s="122"/>
      <c r="H695" s="22"/>
      <c r="I695" s="123"/>
      <c r="J695" s="111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</row>
    <row r="696" ht="16.5" customHeight="1">
      <c r="A696" s="107"/>
      <c r="B696" s="138"/>
      <c r="C696" s="168"/>
      <c r="D696" s="195"/>
      <c r="E696" s="107"/>
      <c r="F696" s="122"/>
      <c r="H696" s="22"/>
      <c r="I696" s="123"/>
      <c r="J696" s="111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</row>
    <row r="697" ht="16.5" customHeight="1">
      <c r="A697" s="107"/>
      <c r="B697" s="138"/>
      <c r="C697" s="168"/>
      <c r="D697" s="195"/>
      <c r="E697" s="107"/>
      <c r="F697" s="122"/>
      <c r="H697" s="22"/>
      <c r="I697" s="123"/>
      <c r="J697" s="111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</row>
    <row r="698" ht="16.5" customHeight="1">
      <c r="A698" s="107"/>
      <c r="B698" s="138"/>
      <c r="C698" s="168"/>
      <c r="D698" s="195"/>
      <c r="E698" s="107"/>
      <c r="F698" s="122"/>
      <c r="H698" s="22"/>
      <c r="I698" s="123"/>
      <c r="J698" s="111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</row>
    <row r="699" ht="16.5" customHeight="1">
      <c r="A699" s="107"/>
      <c r="B699" s="138"/>
      <c r="C699" s="168"/>
      <c r="D699" s="195"/>
      <c r="E699" s="107"/>
      <c r="F699" s="122"/>
      <c r="H699" s="22"/>
      <c r="I699" s="123"/>
      <c r="J699" s="111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</row>
    <row r="700" ht="16.5" customHeight="1">
      <c r="A700" s="107"/>
      <c r="B700" s="138"/>
      <c r="C700" s="168"/>
      <c r="D700" s="195"/>
      <c r="E700" s="107"/>
      <c r="F700" s="122"/>
      <c r="H700" s="22"/>
      <c r="I700" s="123"/>
      <c r="J700" s="111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</row>
    <row r="701" ht="16.5" customHeight="1">
      <c r="A701" s="107"/>
      <c r="B701" s="138"/>
      <c r="C701" s="168"/>
      <c r="D701" s="195"/>
      <c r="E701" s="107"/>
      <c r="F701" s="122"/>
      <c r="H701" s="22"/>
      <c r="I701" s="123"/>
      <c r="J701" s="111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</row>
    <row r="702" ht="16.5" customHeight="1">
      <c r="A702" s="107"/>
      <c r="B702" s="138"/>
      <c r="C702" s="168"/>
      <c r="D702" s="195"/>
      <c r="E702" s="107"/>
      <c r="F702" s="122"/>
      <c r="H702" s="22"/>
      <c r="I702" s="123"/>
      <c r="J702" s="111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</row>
    <row r="703" ht="16.5" customHeight="1">
      <c r="A703" s="107"/>
      <c r="B703" s="138"/>
      <c r="C703" s="168"/>
      <c r="D703" s="195"/>
      <c r="E703" s="107"/>
      <c r="F703" s="122"/>
      <c r="H703" s="22"/>
      <c r="I703" s="123"/>
      <c r="J703" s="111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</row>
    <row r="704" ht="16.5" customHeight="1">
      <c r="A704" s="107"/>
      <c r="B704" s="138"/>
      <c r="C704" s="168"/>
      <c r="D704" s="195"/>
      <c r="E704" s="107"/>
      <c r="F704" s="122"/>
      <c r="H704" s="22"/>
      <c r="I704" s="123"/>
      <c r="J704" s="111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</row>
    <row r="705" ht="16.5" customHeight="1">
      <c r="A705" s="107"/>
      <c r="B705" s="138"/>
      <c r="C705" s="168"/>
      <c r="D705" s="195"/>
      <c r="E705" s="107"/>
      <c r="F705" s="122"/>
      <c r="H705" s="22"/>
      <c r="I705" s="123"/>
      <c r="J705" s="111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</row>
    <row r="706" ht="16.5" customHeight="1">
      <c r="A706" s="107"/>
      <c r="B706" s="138"/>
      <c r="C706" s="168"/>
      <c r="D706" s="195"/>
      <c r="E706" s="107"/>
      <c r="F706" s="122"/>
      <c r="H706" s="22"/>
      <c r="I706" s="123"/>
      <c r="J706" s="111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</row>
    <row r="707" ht="16.5" customHeight="1">
      <c r="A707" s="107"/>
      <c r="B707" s="138"/>
      <c r="C707" s="168"/>
      <c r="D707" s="195"/>
      <c r="E707" s="107"/>
      <c r="F707" s="122"/>
      <c r="H707" s="22"/>
      <c r="I707" s="123"/>
      <c r="J707" s="111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</row>
    <row r="708" ht="16.5" customHeight="1">
      <c r="A708" s="107"/>
      <c r="B708" s="138"/>
      <c r="C708" s="168"/>
      <c r="D708" s="195"/>
      <c r="E708" s="107"/>
      <c r="F708" s="122"/>
      <c r="H708" s="22"/>
      <c r="I708" s="123"/>
      <c r="J708" s="111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</row>
    <row r="709" ht="16.5" customHeight="1">
      <c r="A709" s="107"/>
      <c r="B709" s="138"/>
      <c r="C709" s="168"/>
      <c r="D709" s="195"/>
      <c r="E709" s="107"/>
      <c r="F709" s="122"/>
      <c r="H709" s="22"/>
      <c r="I709" s="123"/>
      <c r="J709" s="111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</row>
    <row r="710" ht="16.5" customHeight="1">
      <c r="A710" s="107"/>
      <c r="B710" s="138"/>
      <c r="C710" s="168"/>
      <c r="D710" s="195"/>
      <c r="E710" s="107"/>
      <c r="F710" s="122"/>
      <c r="H710" s="22"/>
      <c r="I710" s="123"/>
      <c r="J710" s="111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</row>
    <row r="711" ht="16.5" customHeight="1">
      <c r="A711" s="107"/>
      <c r="B711" s="138"/>
      <c r="C711" s="168"/>
      <c r="D711" s="195"/>
      <c r="E711" s="107"/>
      <c r="F711" s="122"/>
      <c r="H711" s="22"/>
      <c r="I711" s="123"/>
      <c r="J711" s="111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</row>
    <row r="712" ht="16.5" customHeight="1">
      <c r="A712" s="107"/>
      <c r="B712" s="138"/>
      <c r="C712" s="168"/>
      <c r="D712" s="195"/>
      <c r="E712" s="107"/>
      <c r="F712" s="122"/>
      <c r="H712" s="22"/>
      <c r="I712" s="123"/>
      <c r="J712" s="111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</row>
    <row r="713" ht="16.5" customHeight="1">
      <c r="A713" s="107"/>
      <c r="B713" s="138"/>
      <c r="C713" s="168"/>
      <c r="D713" s="195"/>
      <c r="E713" s="107"/>
      <c r="F713" s="122"/>
      <c r="H713" s="22"/>
      <c r="I713" s="123"/>
      <c r="J713" s="111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</row>
    <row r="714" ht="16.5" customHeight="1">
      <c r="A714" s="107"/>
      <c r="B714" s="138"/>
      <c r="C714" s="168"/>
      <c r="D714" s="195"/>
      <c r="E714" s="107"/>
      <c r="F714" s="122"/>
      <c r="H714" s="22"/>
      <c r="I714" s="123"/>
      <c r="J714" s="111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</row>
    <row r="715" ht="16.5" customHeight="1">
      <c r="A715" s="107"/>
      <c r="B715" s="138"/>
      <c r="C715" s="168"/>
      <c r="D715" s="195"/>
      <c r="E715" s="107"/>
      <c r="F715" s="122"/>
      <c r="H715" s="22"/>
      <c r="I715" s="123"/>
      <c r="J715" s="111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</row>
    <row r="716" ht="16.5" customHeight="1">
      <c r="A716" s="107"/>
      <c r="B716" s="138"/>
      <c r="C716" s="168"/>
      <c r="D716" s="195"/>
      <c r="E716" s="107"/>
      <c r="F716" s="122"/>
      <c r="H716" s="22"/>
      <c r="I716" s="123"/>
      <c r="J716" s="111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</row>
    <row r="717" ht="16.5" customHeight="1">
      <c r="A717" s="107"/>
      <c r="B717" s="138"/>
      <c r="C717" s="168"/>
      <c r="D717" s="195"/>
      <c r="E717" s="107"/>
      <c r="F717" s="122"/>
      <c r="H717" s="22"/>
      <c r="I717" s="123"/>
      <c r="J717" s="111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</row>
    <row r="718" ht="16.5" customHeight="1">
      <c r="A718" s="107"/>
      <c r="B718" s="138"/>
      <c r="C718" s="168"/>
      <c r="D718" s="195"/>
      <c r="E718" s="107"/>
      <c r="F718" s="122"/>
      <c r="H718" s="22"/>
      <c r="I718" s="123"/>
      <c r="J718" s="111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</row>
    <row r="719" ht="16.5" customHeight="1">
      <c r="A719" s="107"/>
      <c r="B719" s="138"/>
      <c r="C719" s="168"/>
      <c r="D719" s="195"/>
      <c r="E719" s="107"/>
      <c r="F719" s="122"/>
      <c r="H719" s="22"/>
      <c r="I719" s="123"/>
      <c r="J719" s="111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</row>
    <row r="720" ht="16.5" customHeight="1">
      <c r="A720" s="107"/>
      <c r="B720" s="138"/>
      <c r="C720" s="168"/>
      <c r="D720" s="195"/>
      <c r="E720" s="107"/>
      <c r="F720" s="122"/>
      <c r="H720" s="22"/>
      <c r="I720" s="123"/>
      <c r="J720" s="111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</row>
    <row r="721" ht="16.5" customHeight="1">
      <c r="A721" s="107"/>
      <c r="B721" s="138"/>
      <c r="C721" s="168"/>
      <c r="D721" s="195"/>
      <c r="E721" s="107"/>
      <c r="F721" s="122"/>
      <c r="H721" s="22"/>
      <c r="I721" s="123"/>
      <c r="J721" s="111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</row>
    <row r="722" ht="16.5" customHeight="1">
      <c r="A722" s="107"/>
      <c r="B722" s="138"/>
      <c r="C722" s="168"/>
      <c r="D722" s="195"/>
      <c r="E722" s="107"/>
      <c r="F722" s="122"/>
      <c r="H722" s="22"/>
      <c r="I722" s="123"/>
      <c r="J722" s="111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</row>
    <row r="723" ht="16.5" customHeight="1">
      <c r="A723" s="107"/>
      <c r="B723" s="138"/>
      <c r="C723" s="168"/>
      <c r="D723" s="195"/>
      <c r="E723" s="107"/>
      <c r="F723" s="122"/>
      <c r="H723" s="22"/>
      <c r="I723" s="123"/>
      <c r="J723" s="111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</row>
    <row r="724" ht="16.5" customHeight="1">
      <c r="A724" s="107"/>
      <c r="B724" s="138"/>
      <c r="C724" s="168"/>
      <c r="D724" s="195"/>
      <c r="E724" s="107"/>
      <c r="F724" s="122"/>
      <c r="H724" s="22"/>
      <c r="I724" s="123"/>
      <c r="J724" s="111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</row>
    <row r="725" ht="16.5" customHeight="1">
      <c r="A725" s="107"/>
      <c r="B725" s="138"/>
      <c r="C725" s="168"/>
      <c r="D725" s="195"/>
      <c r="E725" s="107"/>
      <c r="F725" s="122"/>
      <c r="H725" s="22"/>
      <c r="I725" s="123"/>
      <c r="J725" s="111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</row>
    <row r="726" ht="16.5" customHeight="1">
      <c r="A726" s="107"/>
      <c r="B726" s="138"/>
      <c r="C726" s="168"/>
      <c r="D726" s="195"/>
      <c r="E726" s="107"/>
      <c r="F726" s="122"/>
      <c r="H726" s="22"/>
      <c r="I726" s="123"/>
      <c r="J726" s="111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</row>
    <row r="727" ht="16.5" customHeight="1">
      <c r="A727" s="107"/>
      <c r="B727" s="138"/>
      <c r="C727" s="168"/>
      <c r="D727" s="195"/>
      <c r="E727" s="107"/>
      <c r="F727" s="122"/>
      <c r="H727" s="22"/>
      <c r="I727" s="123"/>
      <c r="J727" s="111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</row>
    <row r="728" ht="16.5" customHeight="1">
      <c r="A728" s="107"/>
      <c r="B728" s="138"/>
      <c r="C728" s="168"/>
      <c r="D728" s="195"/>
      <c r="E728" s="107"/>
      <c r="F728" s="122"/>
      <c r="H728" s="22"/>
      <c r="I728" s="123"/>
      <c r="J728" s="111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</row>
    <row r="729" ht="16.5" customHeight="1">
      <c r="A729" s="107"/>
      <c r="B729" s="138"/>
      <c r="C729" s="168"/>
      <c r="D729" s="195"/>
      <c r="E729" s="107"/>
      <c r="F729" s="122"/>
      <c r="H729" s="22"/>
      <c r="I729" s="123"/>
      <c r="J729" s="111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</row>
    <row r="730" ht="16.5" customHeight="1">
      <c r="A730" s="107"/>
      <c r="B730" s="138"/>
      <c r="C730" s="168"/>
      <c r="D730" s="195"/>
      <c r="E730" s="107"/>
      <c r="F730" s="122"/>
      <c r="H730" s="22"/>
      <c r="I730" s="123"/>
      <c r="J730" s="111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</row>
    <row r="731" ht="16.5" customHeight="1">
      <c r="A731" s="107"/>
      <c r="B731" s="138"/>
      <c r="C731" s="168"/>
      <c r="D731" s="195"/>
      <c r="E731" s="107"/>
      <c r="F731" s="122"/>
      <c r="H731" s="22"/>
      <c r="I731" s="123"/>
      <c r="J731" s="111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</row>
    <row r="732" ht="16.5" customHeight="1">
      <c r="A732" s="107"/>
      <c r="B732" s="138"/>
      <c r="C732" s="168"/>
      <c r="D732" s="195"/>
      <c r="E732" s="107"/>
      <c r="F732" s="122"/>
      <c r="H732" s="22"/>
      <c r="I732" s="123"/>
      <c r="J732" s="111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</row>
    <row r="733" ht="16.5" customHeight="1">
      <c r="A733" s="107"/>
      <c r="B733" s="138"/>
      <c r="C733" s="168"/>
      <c r="D733" s="195"/>
      <c r="E733" s="107"/>
      <c r="F733" s="122"/>
      <c r="H733" s="22"/>
      <c r="I733" s="123"/>
      <c r="J733" s="111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</row>
    <row r="734" ht="16.5" customHeight="1">
      <c r="A734" s="107"/>
      <c r="B734" s="138"/>
      <c r="C734" s="168"/>
      <c r="D734" s="195"/>
      <c r="E734" s="107"/>
      <c r="F734" s="122"/>
      <c r="H734" s="22"/>
      <c r="I734" s="123"/>
      <c r="J734" s="111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</row>
    <row r="735" ht="16.5" customHeight="1">
      <c r="A735" s="107"/>
      <c r="B735" s="138"/>
      <c r="C735" s="168"/>
      <c r="D735" s="195"/>
      <c r="E735" s="107"/>
      <c r="F735" s="122"/>
      <c r="H735" s="22"/>
      <c r="I735" s="123"/>
      <c r="J735" s="111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</row>
    <row r="736" ht="16.5" customHeight="1">
      <c r="A736" s="107"/>
      <c r="B736" s="138"/>
      <c r="C736" s="168"/>
      <c r="D736" s="195"/>
      <c r="E736" s="107"/>
      <c r="F736" s="122"/>
      <c r="H736" s="22"/>
      <c r="I736" s="123"/>
      <c r="J736" s="111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</row>
    <row r="737" ht="16.5" customHeight="1">
      <c r="A737" s="107"/>
      <c r="B737" s="138"/>
      <c r="C737" s="168"/>
      <c r="D737" s="195"/>
      <c r="E737" s="107"/>
      <c r="F737" s="122"/>
      <c r="H737" s="22"/>
      <c r="I737" s="123"/>
      <c r="J737" s="111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</row>
    <row r="738" ht="16.5" customHeight="1">
      <c r="A738" s="107"/>
      <c r="B738" s="138"/>
      <c r="C738" s="168"/>
      <c r="D738" s="195"/>
      <c r="E738" s="107"/>
      <c r="F738" s="122"/>
      <c r="H738" s="22"/>
      <c r="I738" s="123"/>
      <c r="J738" s="111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</row>
    <row r="739" ht="16.5" customHeight="1">
      <c r="A739" s="107"/>
      <c r="B739" s="138"/>
      <c r="C739" s="168"/>
      <c r="D739" s="195"/>
      <c r="E739" s="107"/>
      <c r="F739" s="122"/>
      <c r="H739" s="22"/>
      <c r="I739" s="123"/>
      <c r="J739" s="111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</row>
    <row r="740" ht="16.5" customHeight="1">
      <c r="A740" s="107"/>
      <c r="B740" s="138"/>
      <c r="C740" s="168"/>
      <c r="D740" s="195"/>
      <c r="E740" s="107"/>
      <c r="F740" s="122"/>
      <c r="H740" s="22"/>
      <c r="I740" s="123"/>
      <c r="J740" s="111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</row>
    <row r="741" ht="16.5" customHeight="1">
      <c r="A741" s="107"/>
      <c r="B741" s="138"/>
      <c r="C741" s="168"/>
      <c r="D741" s="195"/>
      <c r="E741" s="107"/>
      <c r="F741" s="122"/>
      <c r="H741" s="22"/>
      <c r="I741" s="123"/>
      <c r="J741" s="111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</row>
    <row r="742" ht="16.5" customHeight="1">
      <c r="A742" s="107"/>
      <c r="B742" s="138"/>
      <c r="C742" s="168"/>
      <c r="D742" s="195"/>
      <c r="E742" s="107"/>
      <c r="F742" s="122"/>
      <c r="H742" s="22"/>
      <c r="I742" s="123"/>
      <c r="J742" s="111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</row>
    <row r="743" ht="16.5" customHeight="1">
      <c r="A743" s="107"/>
      <c r="B743" s="138"/>
      <c r="C743" s="168"/>
      <c r="D743" s="195"/>
      <c r="E743" s="107"/>
      <c r="F743" s="122"/>
      <c r="H743" s="22"/>
      <c r="I743" s="123"/>
      <c r="J743" s="111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</row>
    <row r="744" ht="16.5" customHeight="1">
      <c r="A744" s="107"/>
      <c r="B744" s="138"/>
      <c r="C744" s="168"/>
      <c r="D744" s="195"/>
      <c r="E744" s="107"/>
      <c r="F744" s="122"/>
      <c r="H744" s="22"/>
      <c r="I744" s="123"/>
      <c r="J744" s="111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</row>
    <row r="745" ht="16.5" customHeight="1">
      <c r="A745" s="107"/>
      <c r="B745" s="138"/>
      <c r="C745" s="168"/>
      <c r="D745" s="195"/>
      <c r="E745" s="107"/>
      <c r="F745" s="122"/>
      <c r="H745" s="22"/>
      <c r="I745" s="123"/>
      <c r="J745" s="111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</row>
    <row r="746" ht="16.5" customHeight="1">
      <c r="A746" s="107"/>
      <c r="B746" s="138"/>
      <c r="C746" s="168"/>
      <c r="D746" s="195"/>
      <c r="E746" s="107"/>
      <c r="F746" s="122"/>
      <c r="H746" s="22"/>
      <c r="I746" s="123"/>
      <c r="J746" s="111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</row>
    <row r="747" ht="16.5" customHeight="1">
      <c r="A747" s="107"/>
      <c r="B747" s="138"/>
      <c r="C747" s="168"/>
      <c r="D747" s="195"/>
      <c r="E747" s="107"/>
      <c r="F747" s="122"/>
      <c r="H747" s="22"/>
      <c r="I747" s="123"/>
      <c r="J747" s="111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</row>
    <row r="748" ht="16.5" customHeight="1">
      <c r="A748" s="107"/>
      <c r="B748" s="138"/>
      <c r="C748" s="168"/>
      <c r="D748" s="195"/>
      <c r="E748" s="107"/>
      <c r="F748" s="122"/>
      <c r="H748" s="22"/>
      <c r="I748" s="123"/>
      <c r="J748" s="111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</row>
    <row r="749" ht="16.5" customHeight="1">
      <c r="A749" s="107"/>
      <c r="B749" s="138"/>
      <c r="C749" s="168"/>
      <c r="D749" s="195"/>
      <c r="E749" s="107"/>
      <c r="F749" s="122"/>
      <c r="H749" s="22"/>
      <c r="I749" s="123"/>
      <c r="J749" s="111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</row>
    <row r="750" ht="16.5" customHeight="1">
      <c r="A750" s="107"/>
      <c r="B750" s="138"/>
      <c r="C750" s="168"/>
      <c r="D750" s="195"/>
      <c r="E750" s="107"/>
      <c r="F750" s="122"/>
      <c r="H750" s="22"/>
      <c r="I750" s="123"/>
      <c r="J750" s="111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</row>
    <row r="751" ht="16.5" customHeight="1">
      <c r="A751" s="107"/>
      <c r="B751" s="138"/>
      <c r="C751" s="168"/>
      <c r="D751" s="195"/>
      <c r="E751" s="107"/>
      <c r="F751" s="122"/>
      <c r="H751" s="22"/>
      <c r="I751" s="123"/>
      <c r="J751" s="111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</row>
    <row r="752" ht="16.5" customHeight="1">
      <c r="A752" s="107"/>
      <c r="B752" s="138"/>
      <c r="C752" s="168"/>
      <c r="D752" s="195"/>
      <c r="E752" s="107"/>
      <c r="F752" s="122"/>
      <c r="H752" s="22"/>
      <c r="I752" s="123"/>
      <c r="J752" s="111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</row>
    <row r="753" ht="16.5" customHeight="1">
      <c r="A753" s="107"/>
      <c r="B753" s="138"/>
      <c r="C753" s="168"/>
      <c r="D753" s="195"/>
      <c r="E753" s="107"/>
      <c r="F753" s="122"/>
      <c r="H753" s="22"/>
      <c r="I753" s="123"/>
      <c r="J753" s="111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</row>
    <row r="754" ht="16.5" customHeight="1">
      <c r="A754" s="107"/>
      <c r="B754" s="138"/>
      <c r="C754" s="168"/>
      <c r="D754" s="195"/>
      <c r="E754" s="107"/>
      <c r="F754" s="122"/>
      <c r="H754" s="22"/>
      <c r="I754" s="123"/>
      <c r="J754" s="111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</row>
    <row r="755" ht="16.5" customHeight="1">
      <c r="A755" s="107"/>
      <c r="B755" s="138"/>
      <c r="C755" s="168"/>
      <c r="D755" s="195"/>
      <c r="E755" s="107"/>
      <c r="F755" s="122"/>
      <c r="H755" s="22"/>
      <c r="I755" s="123"/>
      <c r="J755" s="111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</row>
    <row r="756" ht="16.5" customHeight="1">
      <c r="A756" s="107"/>
      <c r="B756" s="138"/>
      <c r="C756" s="168"/>
      <c r="D756" s="195"/>
      <c r="E756" s="107"/>
      <c r="F756" s="122"/>
      <c r="H756" s="22"/>
      <c r="I756" s="123"/>
      <c r="J756" s="111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</row>
    <row r="757" ht="16.5" customHeight="1">
      <c r="A757" s="107"/>
      <c r="B757" s="138"/>
      <c r="C757" s="168"/>
      <c r="D757" s="195"/>
      <c r="E757" s="107"/>
      <c r="F757" s="122"/>
      <c r="H757" s="22"/>
      <c r="I757" s="123"/>
      <c r="J757" s="111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</row>
    <row r="758" ht="16.5" customHeight="1">
      <c r="A758" s="107"/>
      <c r="B758" s="138"/>
      <c r="C758" s="168"/>
      <c r="D758" s="195"/>
      <c r="E758" s="107"/>
      <c r="F758" s="122"/>
      <c r="H758" s="22"/>
      <c r="I758" s="123"/>
      <c r="J758" s="111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</row>
    <row r="759" ht="16.5" customHeight="1">
      <c r="A759" s="107"/>
      <c r="B759" s="138"/>
      <c r="C759" s="168"/>
      <c r="D759" s="195"/>
      <c r="E759" s="107"/>
      <c r="F759" s="122"/>
      <c r="H759" s="22"/>
      <c r="I759" s="123"/>
      <c r="J759" s="111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</row>
    <row r="760" ht="16.5" customHeight="1">
      <c r="A760" s="107"/>
      <c r="B760" s="138"/>
      <c r="C760" s="168"/>
      <c r="D760" s="195"/>
      <c r="E760" s="107"/>
      <c r="F760" s="122"/>
      <c r="H760" s="22"/>
      <c r="I760" s="123"/>
      <c r="J760" s="111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</row>
    <row r="761" ht="16.5" customHeight="1">
      <c r="A761" s="107"/>
      <c r="B761" s="138"/>
      <c r="C761" s="168"/>
      <c r="D761" s="195"/>
      <c r="E761" s="107"/>
      <c r="F761" s="122"/>
      <c r="H761" s="22"/>
      <c r="I761" s="123"/>
      <c r="J761" s="111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</row>
    <row r="762" ht="16.5" customHeight="1">
      <c r="A762" s="107"/>
      <c r="B762" s="138"/>
      <c r="C762" s="168"/>
      <c r="D762" s="195"/>
      <c r="E762" s="107"/>
      <c r="F762" s="122"/>
      <c r="H762" s="22"/>
      <c r="I762" s="123"/>
      <c r="J762" s="111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</row>
    <row r="763" ht="16.5" customHeight="1">
      <c r="A763" s="107"/>
      <c r="B763" s="138"/>
      <c r="C763" s="168"/>
      <c r="D763" s="195"/>
      <c r="E763" s="107"/>
      <c r="F763" s="122"/>
      <c r="H763" s="22"/>
      <c r="I763" s="123"/>
      <c r="J763" s="111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</row>
    <row r="764" ht="16.5" customHeight="1">
      <c r="A764" s="107"/>
      <c r="B764" s="138"/>
      <c r="C764" s="168"/>
      <c r="D764" s="195"/>
      <c r="E764" s="107"/>
      <c r="F764" s="122"/>
      <c r="H764" s="22"/>
      <c r="I764" s="123"/>
      <c r="J764" s="111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</row>
    <row r="765" ht="16.5" customHeight="1">
      <c r="A765" s="107"/>
      <c r="B765" s="138"/>
      <c r="C765" s="168"/>
      <c r="D765" s="195"/>
      <c r="E765" s="107"/>
      <c r="F765" s="122"/>
      <c r="H765" s="22"/>
      <c r="I765" s="123"/>
      <c r="J765" s="111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</row>
    <row r="766" ht="16.5" customHeight="1">
      <c r="A766" s="107"/>
      <c r="B766" s="138"/>
      <c r="C766" s="168"/>
      <c r="D766" s="195"/>
      <c r="E766" s="107"/>
      <c r="F766" s="122"/>
      <c r="H766" s="22"/>
      <c r="I766" s="123"/>
      <c r="J766" s="111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</row>
    <row r="767" ht="16.5" customHeight="1">
      <c r="A767" s="107"/>
      <c r="B767" s="138"/>
      <c r="C767" s="168"/>
      <c r="D767" s="195"/>
      <c r="E767" s="107"/>
      <c r="F767" s="122"/>
      <c r="H767" s="22"/>
      <c r="I767" s="123"/>
      <c r="J767" s="111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</row>
    <row r="768" ht="16.5" customHeight="1">
      <c r="A768" s="107"/>
      <c r="B768" s="138"/>
      <c r="C768" s="168"/>
      <c r="D768" s="195"/>
      <c r="E768" s="107"/>
      <c r="F768" s="122"/>
      <c r="H768" s="22"/>
      <c r="I768" s="123"/>
      <c r="J768" s="111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</row>
    <row r="769" ht="16.5" customHeight="1">
      <c r="A769" s="107"/>
      <c r="B769" s="138"/>
      <c r="C769" s="168"/>
      <c r="D769" s="195"/>
      <c r="E769" s="107"/>
      <c r="F769" s="122"/>
      <c r="H769" s="22"/>
      <c r="I769" s="123"/>
      <c r="J769" s="111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</row>
    <row r="770" ht="16.5" customHeight="1">
      <c r="A770" s="107"/>
      <c r="B770" s="138"/>
      <c r="C770" s="168"/>
      <c r="D770" s="195"/>
      <c r="E770" s="107"/>
      <c r="F770" s="122"/>
      <c r="H770" s="22"/>
      <c r="I770" s="123"/>
      <c r="J770" s="111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</row>
    <row r="771" ht="16.5" customHeight="1">
      <c r="A771" s="107"/>
      <c r="B771" s="138"/>
      <c r="C771" s="168"/>
      <c r="D771" s="195"/>
      <c r="E771" s="107"/>
      <c r="F771" s="122"/>
      <c r="H771" s="22"/>
      <c r="I771" s="123"/>
      <c r="J771" s="111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</row>
    <row r="772" ht="16.5" customHeight="1">
      <c r="A772" s="107"/>
      <c r="B772" s="138"/>
      <c r="C772" s="168"/>
      <c r="D772" s="195"/>
      <c r="E772" s="107"/>
      <c r="F772" s="122"/>
      <c r="H772" s="22"/>
      <c r="I772" s="123"/>
      <c r="J772" s="111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</row>
    <row r="773" ht="16.5" customHeight="1">
      <c r="A773" s="107"/>
      <c r="B773" s="138"/>
      <c r="C773" s="168"/>
      <c r="D773" s="195"/>
      <c r="E773" s="107"/>
      <c r="F773" s="122"/>
      <c r="H773" s="22"/>
      <c r="I773" s="123"/>
      <c r="J773" s="111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</row>
    <row r="774" ht="16.5" customHeight="1">
      <c r="A774" s="107"/>
      <c r="B774" s="138"/>
      <c r="C774" s="168"/>
      <c r="D774" s="195"/>
      <c r="E774" s="107"/>
      <c r="F774" s="122"/>
      <c r="H774" s="22"/>
      <c r="I774" s="123"/>
      <c r="J774" s="111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</row>
    <row r="775" ht="16.5" customHeight="1">
      <c r="A775" s="107"/>
      <c r="B775" s="138"/>
      <c r="C775" s="168"/>
      <c r="D775" s="195"/>
      <c r="E775" s="107"/>
      <c r="F775" s="122"/>
      <c r="H775" s="22"/>
      <c r="I775" s="123"/>
      <c r="J775" s="111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</row>
    <row r="776" ht="16.5" customHeight="1">
      <c r="A776" s="107"/>
      <c r="B776" s="138"/>
      <c r="C776" s="168"/>
      <c r="D776" s="195"/>
      <c r="E776" s="107"/>
      <c r="F776" s="122"/>
      <c r="H776" s="22"/>
      <c r="I776" s="123"/>
      <c r="J776" s="111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</row>
    <row r="777" ht="16.5" customHeight="1">
      <c r="A777" s="107"/>
      <c r="B777" s="138"/>
      <c r="C777" s="168"/>
      <c r="D777" s="195"/>
      <c r="E777" s="107"/>
      <c r="F777" s="122"/>
      <c r="H777" s="22"/>
      <c r="I777" s="123"/>
      <c r="J777" s="111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</row>
    <row r="778" ht="16.5" customHeight="1">
      <c r="A778" s="107"/>
      <c r="B778" s="138"/>
      <c r="C778" s="168"/>
      <c r="D778" s="195"/>
      <c r="E778" s="107"/>
      <c r="F778" s="122"/>
      <c r="H778" s="22"/>
      <c r="I778" s="123"/>
      <c r="J778" s="111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</row>
    <row r="779" ht="16.5" customHeight="1">
      <c r="A779" s="107"/>
      <c r="B779" s="138"/>
      <c r="C779" s="168"/>
      <c r="D779" s="195"/>
      <c r="E779" s="107"/>
      <c r="F779" s="122"/>
      <c r="H779" s="22"/>
      <c r="I779" s="123"/>
      <c r="J779" s="111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</row>
    <row r="780" ht="16.5" customHeight="1">
      <c r="A780" s="107"/>
      <c r="B780" s="138"/>
      <c r="C780" s="168"/>
      <c r="D780" s="195"/>
      <c r="E780" s="107"/>
      <c r="F780" s="122"/>
      <c r="H780" s="22"/>
      <c r="I780" s="123"/>
      <c r="J780" s="111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</row>
    <row r="781" ht="16.5" customHeight="1">
      <c r="A781" s="107"/>
      <c r="B781" s="138"/>
      <c r="C781" s="168"/>
      <c r="D781" s="195"/>
      <c r="E781" s="107"/>
      <c r="F781" s="122"/>
      <c r="H781" s="22"/>
      <c r="I781" s="123"/>
      <c r="J781" s="111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</row>
    <row r="782" ht="16.5" customHeight="1">
      <c r="A782" s="107"/>
      <c r="B782" s="138"/>
      <c r="C782" s="168"/>
      <c r="D782" s="195"/>
      <c r="E782" s="107"/>
      <c r="F782" s="122"/>
      <c r="H782" s="22"/>
      <c r="I782" s="123"/>
      <c r="J782" s="111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</row>
    <row r="783" ht="16.5" customHeight="1">
      <c r="A783" s="107"/>
      <c r="B783" s="138"/>
      <c r="C783" s="168"/>
      <c r="D783" s="195"/>
      <c r="E783" s="107"/>
      <c r="F783" s="122"/>
      <c r="H783" s="22"/>
      <c r="I783" s="123"/>
      <c r="J783" s="111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</row>
    <row r="784" ht="16.5" customHeight="1">
      <c r="A784" s="107"/>
      <c r="B784" s="138"/>
      <c r="C784" s="168"/>
      <c r="D784" s="195"/>
      <c r="E784" s="107"/>
      <c r="F784" s="122"/>
      <c r="H784" s="22"/>
      <c r="I784" s="123"/>
      <c r="J784" s="111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</row>
    <row r="785" ht="16.5" customHeight="1">
      <c r="A785" s="107"/>
      <c r="B785" s="138"/>
      <c r="C785" s="168"/>
      <c r="D785" s="195"/>
      <c r="E785" s="107"/>
      <c r="F785" s="122"/>
      <c r="H785" s="22"/>
      <c r="I785" s="123"/>
      <c r="J785" s="111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</row>
    <row r="786" ht="16.5" customHeight="1">
      <c r="A786" s="107"/>
      <c r="B786" s="138"/>
      <c r="C786" s="168"/>
      <c r="D786" s="195"/>
      <c r="E786" s="107"/>
      <c r="F786" s="122"/>
      <c r="H786" s="22"/>
      <c r="I786" s="123"/>
      <c r="J786" s="111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</row>
    <row r="787" ht="16.5" customHeight="1">
      <c r="A787" s="107"/>
      <c r="B787" s="138"/>
      <c r="C787" s="168"/>
      <c r="D787" s="195"/>
      <c r="E787" s="107"/>
      <c r="F787" s="122"/>
      <c r="H787" s="22"/>
      <c r="I787" s="123"/>
      <c r="J787" s="111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</row>
    <row r="788" ht="16.5" customHeight="1">
      <c r="A788" s="107"/>
      <c r="B788" s="138"/>
      <c r="C788" s="168"/>
      <c r="D788" s="195"/>
      <c r="E788" s="107"/>
      <c r="F788" s="122"/>
      <c r="H788" s="22"/>
      <c r="I788" s="123"/>
      <c r="J788" s="111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</row>
    <row r="789" ht="16.5" customHeight="1">
      <c r="A789" s="107"/>
      <c r="B789" s="138"/>
      <c r="C789" s="168"/>
      <c r="D789" s="195"/>
      <c r="E789" s="107"/>
      <c r="F789" s="122"/>
      <c r="H789" s="22"/>
      <c r="I789" s="123"/>
      <c r="J789" s="111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</row>
    <row r="790" ht="16.5" customHeight="1">
      <c r="A790" s="107"/>
      <c r="B790" s="138"/>
      <c r="C790" s="168"/>
      <c r="D790" s="195"/>
      <c r="E790" s="107"/>
      <c r="F790" s="122"/>
      <c r="H790" s="22"/>
      <c r="I790" s="123"/>
      <c r="J790" s="111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</row>
    <row r="791" ht="16.5" customHeight="1">
      <c r="A791" s="107"/>
      <c r="B791" s="138"/>
      <c r="C791" s="168"/>
      <c r="D791" s="195"/>
      <c r="E791" s="107"/>
      <c r="F791" s="122"/>
      <c r="H791" s="22"/>
      <c r="I791" s="123"/>
      <c r="J791" s="111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</row>
    <row r="792" ht="16.5" customHeight="1">
      <c r="A792" s="107"/>
      <c r="B792" s="138"/>
      <c r="C792" s="168"/>
      <c r="D792" s="195"/>
      <c r="E792" s="107"/>
      <c r="F792" s="122"/>
      <c r="H792" s="22"/>
      <c r="I792" s="123"/>
      <c r="J792" s="111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</row>
    <row r="793" ht="16.5" customHeight="1">
      <c r="A793" s="107"/>
      <c r="B793" s="138"/>
      <c r="C793" s="168"/>
      <c r="D793" s="195"/>
      <c r="E793" s="107"/>
      <c r="F793" s="122"/>
      <c r="H793" s="22"/>
      <c r="I793" s="123"/>
      <c r="J793" s="111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</row>
    <row r="794" ht="16.5" customHeight="1">
      <c r="A794" s="107"/>
      <c r="B794" s="138"/>
      <c r="C794" s="168"/>
      <c r="D794" s="195"/>
      <c r="E794" s="107"/>
      <c r="F794" s="122"/>
      <c r="H794" s="22"/>
      <c r="I794" s="123"/>
      <c r="J794" s="111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</row>
    <row r="795" ht="16.5" customHeight="1">
      <c r="A795" s="107"/>
      <c r="B795" s="138"/>
      <c r="C795" s="168"/>
      <c r="D795" s="195"/>
      <c r="E795" s="107"/>
      <c r="F795" s="122"/>
      <c r="H795" s="22"/>
      <c r="I795" s="123"/>
      <c r="J795" s="111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</row>
    <row r="796" ht="16.5" customHeight="1">
      <c r="A796" s="107"/>
      <c r="B796" s="138"/>
      <c r="C796" s="168"/>
      <c r="D796" s="195"/>
      <c r="E796" s="107"/>
      <c r="F796" s="122"/>
      <c r="H796" s="22"/>
      <c r="I796" s="123"/>
      <c r="J796" s="111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</row>
    <row r="797" ht="16.5" customHeight="1">
      <c r="A797" s="107"/>
      <c r="B797" s="138"/>
      <c r="C797" s="168"/>
      <c r="D797" s="195"/>
      <c r="E797" s="107"/>
      <c r="F797" s="122"/>
      <c r="H797" s="22"/>
      <c r="I797" s="123"/>
      <c r="J797" s="111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</row>
    <row r="798" ht="16.5" customHeight="1">
      <c r="A798" s="107"/>
      <c r="B798" s="138"/>
      <c r="C798" s="168"/>
      <c r="D798" s="195"/>
      <c r="E798" s="107"/>
      <c r="F798" s="122"/>
      <c r="H798" s="22"/>
      <c r="I798" s="123"/>
      <c r="J798" s="111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</row>
    <row r="799" ht="16.5" customHeight="1">
      <c r="A799" s="107"/>
      <c r="B799" s="138"/>
      <c r="C799" s="168"/>
      <c r="D799" s="195"/>
      <c r="E799" s="107"/>
      <c r="F799" s="122"/>
      <c r="H799" s="22"/>
      <c r="I799" s="123"/>
      <c r="J799" s="111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</row>
    <row r="800" ht="16.5" customHeight="1">
      <c r="A800" s="107"/>
      <c r="B800" s="138"/>
      <c r="C800" s="168"/>
      <c r="D800" s="195"/>
      <c r="E800" s="107"/>
      <c r="F800" s="122"/>
      <c r="H800" s="22"/>
      <c r="I800" s="123"/>
      <c r="J800" s="111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</row>
    <row r="801" ht="16.5" customHeight="1">
      <c r="A801" s="107"/>
      <c r="B801" s="138"/>
      <c r="C801" s="168"/>
      <c r="D801" s="195"/>
      <c r="E801" s="107"/>
      <c r="F801" s="122"/>
      <c r="H801" s="22"/>
      <c r="I801" s="123"/>
      <c r="J801" s="111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</row>
    <row r="802" ht="16.5" customHeight="1">
      <c r="A802" s="107"/>
      <c r="B802" s="138"/>
      <c r="C802" s="168"/>
      <c r="D802" s="195"/>
      <c r="E802" s="107"/>
      <c r="F802" s="122"/>
      <c r="H802" s="22"/>
      <c r="I802" s="123"/>
      <c r="J802" s="111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</row>
    <row r="803" ht="16.5" customHeight="1">
      <c r="A803" s="107"/>
      <c r="B803" s="138"/>
      <c r="C803" s="168"/>
      <c r="D803" s="195"/>
      <c r="E803" s="107"/>
      <c r="F803" s="122"/>
      <c r="H803" s="22"/>
      <c r="I803" s="123"/>
      <c r="J803" s="111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</row>
    <row r="804" ht="16.5" customHeight="1">
      <c r="A804" s="107"/>
      <c r="B804" s="138"/>
      <c r="C804" s="168"/>
      <c r="D804" s="195"/>
      <c r="E804" s="107"/>
      <c r="F804" s="122"/>
      <c r="H804" s="22"/>
      <c r="I804" s="123"/>
      <c r="J804" s="111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</row>
    <row r="805" ht="16.5" customHeight="1">
      <c r="A805" s="107"/>
      <c r="B805" s="138"/>
      <c r="C805" s="168"/>
      <c r="D805" s="195"/>
      <c r="E805" s="107"/>
      <c r="F805" s="122"/>
      <c r="H805" s="22"/>
      <c r="I805" s="123"/>
      <c r="J805" s="111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</row>
    <row r="806" ht="16.5" customHeight="1">
      <c r="A806" s="107"/>
      <c r="B806" s="138"/>
      <c r="C806" s="168"/>
      <c r="D806" s="195"/>
      <c r="E806" s="107"/>
      <c r="F806" s="122"/>
      <c r="H806" s="22"/>
      <c r="I806" s="123"/>
      <c r="J806" s="111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</row>
    <row r="807" ht="16.5" customHeight="1">
      <c r="A807" s="107"/>
      <c r="B807" s="138"/>
      <c r="C807" s="168"/>
      <c r="D807" s="195"/>
      <c r="E807" s="107"/>
      <c r="F807" s="122"/>
      <c r="H807" s="22"/>
      <c r="I807" s="123"/>
      <c r="J807" s="111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</row>
    <row r="808" ht="16.5" customHeight="1">
      <c r="A808" s="107"/>
      <c r="B808" s="138"/>
      <c r="C808" s="168"/>
      <c r="D808" s="195"/>
      <c r="E808" s="107"/>
      <c r="F808" s="122"/>
      <c r="H808" s="22"/>
      <c r="I808" s="123"/>
      <c r="J808" s="111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</row>
    <row r="809" ht="16.5" customHeight="1">
      <c r="A809" s="107"/>
      <c r="B809" s="138"/>
      <c r="C809" s="168"/>
      <c r="D809" s="195"/>
      <c r="E809" s="107"/>
      <c r="F809" s="122"/>
      <c r="H809" s="22"/>
      <c r="I809" s="123"/>
      <c r="J809" s="111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</row>
    <row r="810" ht="16.5" customHeight="1">
      <c r="A810" s="107"/>
      <c r="B810" s="138"/>
      <c r="C810" s="168"/>
      <c r="D810" s="195"/>
      <c r="E810" s="107"/>
      <c r="F810" s="122"/>
      <c r="H810" s="22"/>
      <c r="I810" s="123"/>
      <c r="J810" s="111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</row>
    <row r="811" ht="16.5" customHeight="1">
      <c r="A811" s="107"/>
      <c r="B811" s="138"/>
      <c r="C811" s="168"/>
      <c r="D811" s="195"/>
      <c r="E811" s="107"/>
      <c r="F811" s="122"/>
      <c r="H811" s="22"/>
      <c r="I811" s="123"/>
      <c r="J811" s="111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</row>
    <row r="812" ht="16.5" customHeight="1">
      <c r="A812" s="107"/>
      <c r="B812" s="138"/>
      <c r="C812" s="168"/>
      <c r="D812" s="195"/>
      <c r="E812" s="107"/>
      <c r="F812" s="122"/>
      <c r="H812" s="22"/>
      <c r="I812" s="123"/>
      <c r="J812" s="111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</row>
    <row r="813" ht="16.5" customHeight="1">
      <c r="A813" s="107"/>
      <c r="B813" s="138"/>
      <c r="C813" s="168"/>
      <c r="D813" s="195"/>
      <c r="E813" s="107"/>
      <c r="F813" s="122"/>
      <c r="H813" s="22"/>
      <c r="I813" s="123"/>
      <c r="J813" s="111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</row>
    <row r="814" ht="16.5" customHeight="1">
      <c r="A814" s="107"/>
      <c r="B814" s="138"/>
      <c r="C814" s="168"/>
      <c r="D814" s="195"/>
      <c r="E814" s="107"/>
      <c r="F814" s="122"/>
      <c r="H814" s="22"/>
      <c r="I814" s="123"/>
      <c r="J814" s="111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</row>
    <row r="815" ht="16.5" customHeight="1">
      <c r="A815" s="107"/>
      <c r="B815" s="138"/>
      <c r="C815" s="168"/>
      <c r="D815" s="195"/>
      <c r="E815" s="107"/>
      <c r="F815" s="122"/>
      <c r="H815" s="22"/>
      <c r="I815" s="123"/>
      <c r="J815" s="111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</row>
    <row r="816" ht="16.5" customHeight="1">
      <c r="A816" s="107"/>
      <c r="B816" s="138"/>
      <c r="C816" s="168"/>
      <c r="D816" s="195"/>
      <c r="E816" s="107"/>
      <c r="F816" s="122"/>
      <c r="H816" s="22"/>
      <c r="I816" s="123"/>
      <c r="J816" s="111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</row>
    <row r="817" ht="16.5" customHeight="1">
      <c r="A817" s="107"/>
      <c r="B817" s="138"/>
      <c r="C817" s="168"/>
      <c r="D817" s="195"/>
      <c r="E817" s="107"/>
      <c r="F817" s="122"/>
      <c r="H817" s="22"/>
      <c r="I817" s="123"/>
      <c r="J817" s="111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</row>
    <row r="818" ht="16.5" customHeight="1">
      <c r="A818" s="107"/>
      <c r="B818" s="138"/>
      <c r="C818" s="168"/>
      <c r="D818" s="195"/>
      <c r="E818" s="107"/>
      <c r="F818" s="122"/>
      <c r="H818" s="22"/>
      <c r="I818" s="123"/>
      <c r="J818" s="111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</row>
    <row r="819" ht="16.5" customHeight="1">
      <c r="A819" s="107"/>
      <c r="B819" s="138"/>
      <c r="C819" s="168"/>
      <c r="D819" s="195"/>
      <c r="E819" s="107"/>
      <c r="F819" s="122"/>
      <c r="H819" s="22"/>
      <c r="I819" s="123"/>
      <c r="J819" s="111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</row>
    <row r="820" ht="16.5" customHeight="1">
      <c r="A820" s="107"/>
      <c r="B820" s="138"/>
      <c r="C820" s="168"/>
      <c r="D820" s="195"/>
      <c r="E820" s="107"/>
      <c r="F820" s="122"/>
      <c r="H820" s="22"/>
      <c r="I820" s="123"/>
      <c r="J820" s="111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</row>
    <row r="821" ht="16.5" customHeight="1">
      <c r="A821" s="107"/>
      <c r="B821" s="138"/>
      <c r="C821" s="168"/>
      <c r="D821" s="195"/>
      <c r="E821" s="107"/>
      <c r="F821" s="122"/>
      <c r="H821" s="22"/>
      <c r="I821" s="123"/>
      <c r="J821" s="111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</row>
    <row r="822" ht="16.5" customHeight="1">
      <c r="A822" s="107"/>
      <c r="B822" s="138"/>
      <c r="C822" s="168"/>
      <c r="D822" s="195"/>
      <c r="E822" s="107"/>
      <c r="F822" s="122"/>
      <c r="H822" s="22"/>
      <c r="I822" s="123"/>
      <c r="J822" s="111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</row>
    <row r="823" ht="16.5" customHeight="1">
      <c r="A823" s="107"/>
      <c r="B823" s="138"/>
      <c r="C823" s="168"/>
      <c r="D823" s="195"/>
      <c r="E823" s="107"/>
      <c r="F823" s="122"/>
      <c r="H823" s="22"/>
      <c r="I823" s="123"/>
      <c r="J823" s="111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</row>
    <row r="824" ht="16.5" customHeight="1">
      <c r="A824" s="107"/>
      <c r="B824" s="138"/>
      <c r="C824" s="168"/>
      <c r="D824" s="195"/>
      <c r="E824" s="107"/>
      <c r="F824" s="122"/>
      <c r="H824" s="22"/>
      <c r="I824" s="123"/>
      <c r="J824" s="111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</row>
    <row r="825" ht="16.5" customHeight="1">
      <c r="A825" s="107"/>
      <c r="B825" s="138"/>
      <c r="C825" s="168"/>
      <c r="D825" s="195"/>
      <c r="E825" s="107"/>
      <c r="F825" s="122"/>
      <c r="H825" s="22"/>
      <c r="I825" s="123"/>
      <c r="J825" s="111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</row>
    <row r="826" ht="16.5" customHeight="1">
      <c r="A826" s="107"/>
      <c r="B826" s="138"/>
      <c r="C826" s="168"/>
      <c r="D826" s="195"/>
      <c r="E826" s="107"/>
      <c r="F826" s="122"/>
      <c r="H826" s="22"/>
      <c r="I826" s="123"/>
      <c r="J826" s="111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</row>
    <row r="827" ht="16.5" customHeight="1">
      <c r="A827" s="107"/>
      <c r="B827" s="138"/>
      <c r="C827" s="168"/>
      <c r="D827" s="195"/>
      <c r="E827" s="107"/>
      <c r="F827" s="122"/>
      <c r="H827" s="22"/>
      <c r="I827" s="123"/>
      <c r="J827" s="111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</row>
    <row r="828" ht="16.5" customHeight="1">
      <c r="A828" s="107"/>
      <c r="B828" s="138"/>
      <c r="C828" s="168"/>
      <c r="D828" s="195"/>
      <c r="E828" s="107"/>
      <c r="F828" s="122"/>
      <c r="H828" s="22"/>
      <c r="I828" s="123"/>
      <c r="J828" s="111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</row>
    <row r="829" ht="16.5" customHeight="1">
      <c r="A829" s="107"/>
      <c r="B829" s="138"/>
      <c r="C829" s="168"/>
      <c r="D829" s="195"/>
      <c r="E829" s="107"/>
      <c r="F829" s="122"/>
      <c r="H829" s="22"/>
      <c r="I829" s="123"/>
      <c r="J829" s="111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</row>
    <row r="830" ht="16.5" customHeight="1">
      <c r="A830" s="107"/>
      <c r="B830" s="138"/>
      <c r="C830" s="168"/>
      <c r="D830" s="195"/>
      <c r="E830" s="107"/>
      <c r="F830" s="122"/>
      <c r="H830" s="22"/>
      <c r="I830" s="123"/>
      <c r="J830" s="111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</row>
    <row r="831" ht="16.5" customHeight="1">
      <c r="A831" s="107"/>
      <c r="B831" s="138"/>
      <c r="C831" s="168"/>
      <c r="D831" s="195"/>
      <c r="E831" s="107"/>
      <c r="F831" s="122"/>
      <c r="H831" s="22"/>
      <c r="I831" s="123"/>
      <c r="J831" s="111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</row>
    <row r="832" ht="16.5" customHeight="1">
      <c r="A832" s="107"/>
      <c r="B832" s="138"/>
      <c r="C832" s="168"/>
      <c r="D832" s="195"/>
      <c r="E832" s="107"/>
      <c r="F832" s="122"/>
      <c r="H832" s="22"/>
      <c r="I832" s="123"/>
      <c r="J832" s="111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</row>
    <row r="833" ht="16.5" customHeight="1">
      <c r="A833" s="107"/>
      <c r="B833" s="138"/>
      <c r="C833" s="168"/>
      <c r="D833" s="195"/>
      <c r="E833" s="107"/>
      <c r="F833" s="122"/>
      <c r="H833" s="22"/>
      <c r="I833" s="123"/>
      <c r="J833" s="111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</row>
    <row r="834" ht="16.5" customHeight="1">
      <c r="A834" s="107"/>
      <c r="B834" s="138"/>
      <c r="C834" s="168"/>
      <c r="D834" s="195"/>
      <c r="E834" s="107"/>
      <c r="F834" s="122"/>
      <c r="H834" s="22"/>
      <c r="I834" s="123"/>
      <c r="J834" s="111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</row>
    <row r="835" ht="16.5" customHeight="1">
      <c r="A835" s="107"/>
      <c r="B835" s="138"/>
      <c r="C835" s="168"/>
      <c r="D835" s="195"/>
      <c r="E835" s="107"/>
      <c r="F835" s="122"/>
      <c r="H835" s="22"/>
      <c r="I835" s="123"/>
      <c r="J835" s="111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</row>
    <row r="836" ht="16.5" customHeight="1">
      <c r="A836" s="107"/>
      <c r="B836" s="138"/>
      <c r="C836" s="168"/>
      <c r="D836" s="195"/>
      <c r="E836" s="107"/>
      <c r="F836" s="122"/>
      <c r="H836" s="22"/>
      <c r="I836" s="123"/>
      <c r="J836" s="111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</row>
    <row r="837" ht="16.5" customHeight="1">
      <c r="A837" s="107"/>
      <c r="B837" s="138"/>
      <c r="C837" s="168"/>
      <c r="D837" s="195"/>
      <c r="E837" s="107"/>
      <c r="F837" s="122"/>
      <c r="H837" s="22"/>
      <c r="I837" s="123"/>
      <c r="J837" s="111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</row>
    <row r="838" ht="16.5" customHeight="1">
      <c r="A838" s="107"/>
      <c r="B838" s="138"/>
      <c r="C838" s="168"/>
      <c r="D838" s="195"/>
      <c r="E838" s="107"/>
      <c r="F838" s="122"/>
      <c r="H838" s="22"/>
      <c r="I838" s="123"/>
      <c r="J838" s="111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</row>
    <row r="839" ht="16.5" customHeight="1">
      <c r="A839" s="107"/>
      <c r="B839" s="138"/>
      <c r="C839" s="168"/>
      <c r="D839" s="195"/>
      <c r="E839" s="107"/>
      <c r="F839" s="122"/>
      <c r="H839" s="22"/>
      <c r="I839" s="123"/>
      <c r="J839" s="111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</row>
    <row r="840" ht="16.5" customHeight="1">
      <c r="A840" s="107"/>
      <c r="B840" s="138"/>
      <c r="C840" s="168"/>
      <c r="D840" s="195"/>
      <c r="E840" s="107"/>
      <c r="F840" s="122"/>
      <c r="H840" s="22"/>
      <c r="I840" s="123"/>
      <c r="J840" s="111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</row>
    <row r="841" ht="16.5" customHeight="1">
      <c r="A841" s="107"/>
      <c r="B841" s="138"/>
      <c r="C841" s="168"/>
      <c r="D841" s="195"/>
      <c r="E841" s="107"/>
      <c r="F841" s="122"/>
      <c r="H841" s="22"/>
      <c r="I841" s="123"/>
      <c r="J841" s="111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</row>
    <row r="842" ht="16.5" customHeight="1">
      <c r="A842" s="107"/>
      <c r="B842" s="138"/>
      <c r="C842" s="168"/>
      <c r="D842" s="195"/>
      <c r="E842" s="107"/>
      <c r="F842" s="122"/>
      <c r="H842" s="22"/>
      <c r="I842" s="123"/>
      <c r="J842" s="111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</row>
    <row r="843" ht="16.5" customHeight="1">
      <c r="A843" s="107"/>
      <c r="B843" s="138"/>
      <c r="C843" s="168"/>
      <c r="D843" s="195"/>
      <c r="E843" s="107"/>
      <c r="F843" s="122"/>
      <c r="H843" s="22"/>
      <c r="I843" s="123"/>
      <c r="J843" s="111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</row>
    <row r="844" ht="16.5" customHeight="1">
      <c r="A844" s="107"/>
      <c r="B844" s="138"/>
      <c r="C844" s="168"/>
      <c r="D844" s="195"/>
      <c r="E844" s="107"/>
      <c r="F844" s="122"/>
      <c r="H844" s="22"/>
      <c r="I844" s="123"/>
      <c r="J844" s="111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</row>
    <row r="845" ht="16.5" customHeight="1">
      <c r="A845" s="107"/>
      <c r="B845" s="138"/>
      <c r="C845" s="168"/>
      <c r="D845" s="195"/>
      <c r="E845" s="107"/>
      <c r="F845" s="122"/>
      <c r="H845" s="22"/>
      <c r="I845" s="123"/>
      <c r="J845" s="111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</row>
    <row r="846" ht="16.5" customHeight="1">
      <c r="A846" s="107"/>
      <c r="B846" s="138"/>
      <c r="C846" s="168"/>
      <c r="D846" s="195"/>
      <c r="E846" s="107"/>
      <c r="F846" s="122"/>
      <c r="H846" s="22"/>
      <c r="I846" s="123"/>
      <c r="J846" s="111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</row>
    <row r="847" ht="16.5" customHeight="1">
      <c r="A847" s="107"/>
      <c r="B847" s="138"/>
      <c r="C847" s="168"/>
      <c r="D847" s="195"/>
      <c r="E847" s="107"/>
      <c r="F847" s="122"/>
      <c r="H847" s="22"/>
      <c r="I847" s="123"/>
      <c r="J847" s="111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</row>
    <row r="848" ht="16.5" customHeight="1">
      <c r="A848" s="107"/>
      <c r="B848" s="138"/>
      <c r="C848" s="168"/>
      <c r="D848" s="195"/>
      <c r="E848" s="107"/>
      <c r="F848" s="122"/>
      <c r="H848" s="22"/>
      <c r="I848" s="123"/>
      <c r="J848" s="111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</row>
    <row r="849" ht="16.5" customHeight="1">
      <c r="A849" s="107"/>
      <c r="B849" s="138"/>
      <c r="C849" s="168"/>
      <c r="D849" s="195"/>
      <c r="E849" s="107"/>
      <c r="F849" s="122"/>
      <c r="H849" s="22"/>
      <c r="I849" s="123"/>
      <c r="J849" s="111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</row>
    <row r="850" ht="16.5" customHeight="1">
      <c r="A850" s="107"/>
      <c r="B850" s="138"/>
      <c r="C850" s="168"/>
      <c r="D850" s="195"/>
      <c r="E850" s="107"/>
      <c r="F850" s="122"/>
      <c r="H850" s="22"/>
      <c r="I850" s="123"/>
      <c r="J850" s="111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</row>
    <row r="851" ht="16.5" customHeight="1">
      <c r="A851" s="107"/>
      <c r="B851" s="138"/>
      <c r="C851" s="168"/>
      <c r="D851" s="195"/>
      <c r="E851" s="107"/>
      <c r="F851" s="122"/>
      <c r="H851" s="22"/>
      <c r="I851" s="123"/>
      <c r="J851" s="111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</row>
    <row r="852" ht="16.5" customHeight="1">
      <c r="A852" s="107"/>
      <c r="B852" s="138"/>
      <c r="C852" s="168"/>
      <c r="D852" s="195"/>
      <c r="E852" s="107"/>
      <c r="F852" s="122"/>
      <c r="H852" s="22"/>
      <c r="I852" s="123"/>
      <c r="J852" s="111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</row>
    <row r="853" ht="16.5" customHeight="1">
      <c r="A853" s="107"/>
      <c r="B853" s="138"/>
      <c r="C853" s="168"/>
      <c r="D853" s="195"/>
      <c r="E853" s="107"/>
      <c r="F853" s="122"/>
      <c r="H853" s="22"/>
      <c r="I853" s="123"/>
      <c r="J853" s="111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</row>
    <row r="854" ht="16.5" customHeight="1">
      <c r="A854" s="107"/>
      <c r="B854" s="138"/>
      <c r="C854" s="168"/>
      <c r="D854" s="195"/>
      <c r="E854" s="107"/>
      <c r="F854" s="122"/>
      <c r="H854" s="22"/>
      <c r="I854" s="123"/>
      <c r="J854" s="111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</row>
    <row r="855" ht="16.5" customHeight="1">
      <c r="A855" s="107"/>
      <c r="B855" s="138"/>
      <c r="C855" s="168"/>
      <c r="D855" s="195"/>
      <c r="E855" s="107"/>
      <c r="F855" s="122"/>
      <c r="H855" s="22"/>
      <c r="I855" s="123"/>
      <c r="J855" s="111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</row>
    <row r="856" ht="16.5" customHeight="1">
      <c r="A856" s="107"/>
      <c r="B856" s="138"/>
      <c r="C856" s="168"/>
      <c r="D856" s="195"/>
      <c r="E856" s="107"/>
      <c r="F856" s="122"/>
      <c r="H856" s="22"/>
      <c r="I856" s="123"/>
      <c r="J856" s="111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</row>
    <row r="857" ht="16.5" customHeight="1">
      <c r="A857" s="107"/>
      <c r="B857" s="138"/>
      <c r="C857" s="168"/>
      <c r="D857" s="195"/>
      <c r="E857" s="107"/>
      <c r="F857" s="122"/>
      <c r="H857" s="22"/>
      <c r="I857" s="123"/>
      <c r="J857" s="111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</row>
    <row r="858" ht="16.5" customHeight="1">
      <c r="A858" s="107"/>
      <c r="B858" s="138"/>
      <c r="C858" s="168"/>
      <c r="D858" s="195"/>
      <c r="E858" s="107"/>
      <c r="F858" s="122"/>
      <c r="H858" s="22"/>
      <c r="I858" s="123"/>
      <c r="J858" s="111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</row>
    <row r="859" ht="16.5" customHeight="1">
      <c r="A859" s="107"/>
      <c r="B859" s="138"/>
      <c r="C859" s="168"/>
      <c r="D859" s="195"/>
      <c r="E859" s="107"/>
      <c r="F859" s="122"/>
      <c r="H859" s="22"/>
      <c r="I859" s="123"/>
      <c r="J859" s="111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</row>
    <row r="860" ht="16.5" customHeight="1">
      <c r="A860" s="107"/>
      <c r="B860" s="138"/>
      <c r="C860" s="168"/>
      <c r="D860" s="195"/>
      <c r="E860" s="107"/>
      <c r="F860" s="122"/>
      <c r="H860" s="22"/>
      <c r="I860" s="123"/>
      <c r="J860" s="111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</row>
    <row r="861" ht="16.5" customHeight="1">
      <c r="A861" s="107"/>
      <c r="B861" s="138"/>
      <c r="C861" s="168"/>
      <c r="D861" s="195"/>
      <c r="E861" s="107"/>
      <c r="F861" s="122"/>
      <c r="H861" s="22"/>
      <c r="I861" s="123"/>
      <c r="J861" s="111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</row>
    <row r="862" ht="16.5" customHeight="1">
      <c r="A862" s="107"/>
      <c r="B862" s="138"/>
      <c r="C862" s="168"/>
      <c r="D862" s="195"/>
      <c r="E862" s="107"/>
      <c r="F862" s="122"/>
      <c r="H862" s="22"/>
      <c r="I862" s="123"/>
      <c r="J862" s="111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</row>
    <row r="863" ht="16.5" customHeight="1">
      <c r="A863" s="107"/>
      <c r="B863" s="138"/>
      <c r="C863" s="168"/>
      <c r="D863" s="195"/>
      <c r="E863" s="107"/>
      <c r="F863" s="122"/>
      <c r="H863" s="22"/>
      <c r="I863" s="123"/>
      <c r="J863" s="111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</row>
    <row r="864" ht="16.5" customHeight="1">
      <c r="A864" s="107"/>
      <c r="B864" s="138"/>
      <c r="C864" s="168"/>
      <c r="D864" s="195"/>
      <c r="E864" s="107"/>
      <c r="F864" s="122"/>
      <c r="H864" s="22"/>
      <c r="I864" s="123"/>
      <c r="J864" s="111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</row>
    <row r="865" ht="16.5" customHeight="1">
      <c r="A865" s="107"/>
      <c r="B865" s="138"/>
      <c r="C865" s="168"/>
      <c r="D865" s="195"/>
      <c r="E865" s="107"/>
      <c r="F865" s="122"/>
      <c r="H865" s="22"/>
      <c r="I865" s="123"/>
      <c r="J865" s="111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</row>
    <row r="866" ht="16.5" customHeight="1">
      <c r="A866" s="107"/>
      <c r="B866" s="138"/>
      <c r="C866" s="168"/>
      <c r="D866" s="195"/>
      <c r="E866" s="107"/>
      <c r="F866" s="122"/>
      <c r="H866" s="22"/>
      <c r="I866" s="123"/>
      <c r="J866" s="111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</row>
    <row r="867" ht="16.5" customHeight="1">
      <c r="A867" s="107"/>
      <c r="B867" s="138"/>
      <c r="C867" s="168"/>
      <c r="D867" s="195"/>
      <c r="E867" s="107"/>
      <c r="F867" s="122"/>
      <c r="H867" s="22"/>
      <c r="I867" s="123"/>
      <c r="J867" s="111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</row>
    <row r="868" ht="16.5" customHeight="1">
      <c r="A868" s="107"/>
      <c r="B868" s="138"/>
      <c r="C868" s="168"/>
      <c r="D868" s="195"/>
      <c r="E868" s="107"/>
      <c r="F868" s="122"/>
      <c r="H868" s="22"/>
      <c r="I868" s="123"/>
      <c r="J868" s="111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</row>
    <row r="869" ht="16.5" customHeight="1">
      <c r="A869" s="107"/>
      <c r="B869" s="138"/>
      <c r="C869" s="168"/>
      <c r="D869" s="195"/>
      <c r="E869" s="107"/>
      <c r="F869" s="122"/>
      <c r="H869" s="22"/>
      <c r="I869" s="123"/>
      <c r="J869" s="111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</row>
    <row r="870" ht="16.5" customHeight="1">
      <c r="A870" s="107"/>
      <c r="B870" s="138"/>
      <c r="C870" s="168"/>
      <c r="D870" s="195"/>
      <c r="E870" s="107"/>
      <c r="F870" s="122"/>
      <c r="H870" s="22"/>
      <c r="I870" s="123"/>
      <c r="J870" s="111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</row>
    <row r="871" ht="16.5" customHeight="1">
      <c r="A871" s="107"/>
      <c r="B871" s="138"/>
      <c r="C871" s="168"/>
      <c r="D871" s="195"/>
      <c r="E871" s="107"/>
      <c r="F871" s="122"/>
      <c r="H871" s="22"/>
      <c r="I871" s="123"/>
      <c r="J871" s="111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</row>
    <row r="872" ht="16.5" customHeight="1">
      <c r="A872" s="107"/>
      <c r="B872" s="138"/>
      <c r="C872" s="168"/>
      <c r="D872" s="195"/>
      <c r="E872" s="107"/>
      <c r="F872" s="122"/>
      <c r="H872" s="22"/>
      <c r="I872" s="123"/>
      <c r="J872" s="111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</row>
    <row r="873" ht="16.5" customHeight="1">
      <c r="A873" s="107"/>
      <c r="B873" s="138"/>
      <c r="C873" s="168"/>
      <c r="D873" s="195"/>
      <c r="E873" s="107"/>
      <c r="F873" s="122"/>
      <c r="H873" s="22"/>
      <c r="I873" s="123"/>
      <c r="J873" s="111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</row>
    <row r="874" ht="16.5" customHeight="1">
      <c r="A874" s="107"/>
      <c r="B874" s="138"/>
      <c r="C874" s="168"/>
      <c r="D874" s="195"/>
      <c r="E874" s="107"/>
      <c r="F874" s="122"/>
      <c r="H874" s="22"/>
      <c r="I874" s="123"/>
      <c r="J874" s="111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</row>
    <row r="875" ht="16.5" customHeight="1">
      <c r="A875" s="107"/>
      <c r="B875" s="138"/>
      <c r="C875" s="168"/>
      <c r="D875" s="195"/>
      <c r="E875" s="107"/>
      <c r="F875" s="122"/>
      <c r="H875" s="22"/>
      <c r="I875" s="123"/>
      <c r="J875" s="111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</row>
    <row r="876" ht="16.5" customHeight="1">
      <c r="A876" s="107"/>
      <c r="B876" s="138"/>
      <c r="C876" s="168"/>
      <c r="D876" s="195"/>
      <c r="E876" s="107"/>
      <c r="F876" s="122"/>
      <c r="H876" s="22"/>
      <c r="I876" s="123"/>
      <c r="J876" s="111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</row>
    <row r="877" ht="16.5" customHeight="1">
      <c r="A877" s="107"/>
      <c r="B877" s="138"/>
      <c r="C877" s="168"/>
      <c r="D877" s="195"/>
      <c r="E877" s="107"/>
      <c r="F877" s="122"/>
      <c r="H877" s="22"/>
      <c r="I877" s="123"/>
      <c r="J877" s="111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</row>
    <row r="878" ht="16.5" customHeight="1">
      <c r="A878" s="107"/>
      <c r="B878" s="138"/>
      <c r="C878" s="168"/>
      <c r="D878" s="195"/>
      <c r="E878" s="107"/>
      <c r="F878" s="122"/>
      <c r="H878" s="22"/>
      <c r="I878" s="123"/>
      <c r="J878" s="111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</row>
    <row r="879" ht="16.5" customHeight="1">
      <c r="A879" s="107"/>
      <c r="B879" s="138"/>
      <c r="C879" s="168"/>
      <c r="D879" s="195"/>
      <c r="E879" s="107"/>
      <c r="F879" s="122"/>
      <c r="H879" s="22"/>
      <c r="I879" s="123"/>
      <c r="J879" s="111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</row>
    <row r="880" ht="16.5" customHeight="1">
      <c r="A880" s="107"/>
      <c r="B880" s="138"/>
      <c r="C880" s="168"/>
      <c r="D880" s="195"/>
      <c r="E880" s="107"/>
      <c r="F880" s="122"/>
      <c r="H880" s="22"/>
      <c r="I880" s="123"/>
      <c r="J880" s="111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</row>
    <row r="881" ht="16.5" customHeight="1">
      <c r="A881" s="107"/>
      <c r="B881" s="138"/>
      <c r="C881" s="168"/>
      <c r="D881" s="195"/>
      <c r="E881" s="107"/>
      <c r="F881" s="122"/>
      <c r="H881" s="22"/>
      <c r="I881" s="123"/>
      <c r="J881" s="111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</row>
    <row r="882" ht="16.5" customHeight="1">
      <c r="A882" s="107"/>
      <c r="B882" s="138"/>
      <c r="C882" s="168"/>
      <c r="D882" s="195"/>
      <c r="E882" s="107"/>
      <c r="F882" s="122"/>
      <c r="H882" s="22"/>
      <c r="I882" s="123"/>
      <c r="J882" s="111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</row>
    <row r="883" ht="16.5" customHeight="1">
      <c r="A883" s="107"/>
      <c r="B883" s="138"/>
      <c r="C883" s="168"/>
      <c r="D883" s="195"/>
      <c r="E883" s="107"/>
      <c r="F883" s="122"/>
      <c r="H883" s="22"/>
      <c r="I883" s="123"/>
      <c r="J883" s="111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</row>
    <row r="884" ht="16.5" customHeight="1">
      <c r="A884" s="107"/>
      <c r="B884" s="138"/>
      <c r="C884" s="168"/>
      <c r="D884" s="195"/>
      <c r="E884" s="107"/>
      <c r="F884" s="122"/>
      <c r="H884" s="22"/>
      <c r="I884" s="123"/>
      <c r="J884" s="111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</row>
    <row r="885" ht="16.5" customHeight="1">
      <c r="A885" s="107"/>
      <c r="B885" s="138"/>
      <c r="C885" s="168"/>
      <c r="D885" s="195"/>
      <c r="E885" s="107"/>
      <c r="F885" s="122"/>
      <c r="H885" s="22"/>
      <c r="I885" s="123"/>
      <c r="J885" s="111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</row>
    <row r="886" ht="16.5" customHeight="1">
      <c r="A886" s="107"/>
      <c r="B886" s="138"/>
      <c r="C886" s="168"/>
      <c r="D886" s="195"/>
      <c r="E886" s="107"/>
      <c r="F886" s="122"/>
      <c r="H886" s="22"/>
      <c r="I886" s="123"/>
      <c r="J886" s="111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</row>
    <row r="887" ht="16.5" customHeight="1">
      <c r="A887" s="107"/>
      <c r="B887" s="138"/>
      <c r="C887" s="168"/>
      <c r="D887" s="195"/>
      <c r="E887" s="107"/>
      <c r="F887" s="122"/>
      <c r="H887" s="22"/>
      <c r="I887" s="123"/>
      <c r="J887" s="111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</row>
    <row r="888" ht="16.5" customHeight="1">
      <c r="A888" s="107"/>
      <c r="B888" s="138"/>
      <c r="C888" s="168"/>
      <c r="D888" s="195"/>
      <c r="E888" s="107"/>
      <c r="F888" s="122"/>
      <c r="H888" s="22"/>
      <c r="I888" s="123"/>
      <c r="J888" s="111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</row>
    <row r="889" ht="16.5" customHeight="1">
      <c r="A889" s="107"/>
      <c r="B889" s="138"/>
      <c r="C889" s="168"/>
      <c r="D889" s="195"/>
      <c r="E889" s="107"/>
      <c r="F889" s="122"/>
      <c r="H889" s="22"/>
      <c r="I889" s="123"/>
      <c r="J889" s="111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</row>
    <row r="890" ht="16.5" customHeight="1">
      <c r="A890" s="107"/>
      <c r="B890" s="138"/>
      <c r="C890" s="168"/>
      <c r="D890" s="195"/>
      <c r="E890" s="107"/>
      <c r="F890" s="122"/>
      <c r="H890" s="22"/>
      <c r="I890" s="123"/>
      <c r="J890" s="111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</row>
    <row r="891" ht="16.5" customHeight="1">
      <c r="A891" s="107"/>
      <c r="B891" s="138"/>
      <c r="C891" s="168"/>
      <c r="D891" s="195"/>
      <c r="E891" s="107"/>
      <c r="F891" s="122"/>
      <c r="H891" s="22"/>
      <c r="I891" s="123"/>
      <c r="J891" s="111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</row>
    <row r="892" ht="16.5" customHeight="1">
      <c r="A892" s="107"/>
      <c r="B892" s="138"/>
      <c r="C892" s="168"/>
      <c r="D892" s="195"/>
      <c r="E892" s="107"/>
      <c r="F892" s="122"/>
      <c r="H892" s="22"/>
      <c r="I892" s="123"/>
      <c r="J892" s="111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</row>
    <row r="893" ht="16.5" customHeight="1">
      <c r="A893" s="107"/>
      <c r="B893" s="138"/>
      <c r="C893" s="168"/>
      <c r="D893" s="195"/>
      <c r="E893" s="107"/>
      <c r="F893" s="122"/>
      <c r="H893" s="22"/>
      <c r="I893" s="123"/>
      <c r="J893" s="111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</row>
    <row r="894" ht="16.5" customHeight="1">
      <c r="A894" s="107"/>
      <c r="B894" s="138"/>
      <c r="C894" s="168"/>
      <c r="D894" s="195"/>
      <c r="E894" s="107"/>
      <c r="F894" s="122"/>
      <c r="H894" s="22"/>
      <c r="I894" s="123"/>
      <c r="J894" s="111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</row>
    <row r="895" ht="16.5" customHeight="1">
      <c r="A895" s="107"/>
      <c r="B895" s="138"/>
      <c r="C895" s="168"/>
      <c r="D895" s="195"/>
      <c r="E895" s="107"/>
      <c r="F895" s="122"/>
      <c r="H895" s="22"/>
      <c r="I895" s="123"/>
      <c r="J895" s="111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</row>
    <row r="896" ht="16.5" customHeight="1">
      <c r="A896" s="107"/>
      <c r="B896" s="138"/>
      <c r="C896" s="168"/>
      <c r="D896" s="195"/>
      <c r="E896" s="107"/>
      <c r="F896" s="122"/>
      <c r="H896" s="22"/>
      <c r="I896" s="123"/>
      <c r="J896" s="111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</row>
    <row r="897" ht="16.5" customHeight="1">
      <c r="A897" s="107"/>
      <c r="B897" s="138"/>
      <c r="C897" s="168"/>
      <c r="D897" s="195"/>
      <c r="E897" s="107"/>
      <c r="F897" s="122"/>
      <c r="H897" s="22"/>
      <c r="I897" s="123"/>
      <c r="J897" s="111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</row>
    <row r="898" ht="16.5" customHeight="1">
      <c r="A898" s="107"/>
      <c r="B898" s="138"/>
      <c r="C898" s="168"/>
      <c r="D898" s="195"/>
      <c r="E898" s="107"/>
      <c r="F898" s="122"/>
      <c r="H898" s="22"/>
      <c r="I898" s="123"/>
      <c r="J898" s="111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</row>
    <row r="899" ht="16.5" customHeight="1">
      <c r="A899" s="107"/>
      <c r="B899" s="138"/>
      <c r="C899" s="168"/>
      <c r="D899" s="195"/>
      <c r="E899" s="107"/>
      <c r="F899" s="122"/>
      <c r="H899" s="22"/>
      <c r="I899" s="123"/>
      <c r="J899" s="111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</row>
    <row r="900" ht="16.5" customHeight="1">
      <c r="A900" s="107"/>
      <c r="B900" s="138"/>
      <c r="C900" s="168"/>
      <c r="D900" s="195"/>
      <c r="E900" s="107"/>
      <c r="F900" s="122"/>
      <c r="H900" s="22"/>
      <c r="I900" s="123"/>
      <c r="J900" s="111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</row>
    <row r="901" ht="16.5" customHeight="1">
      <c r="A901" s="107"/>
      <c r="B901" s="138"/>
      <c r="C901" s="168"/>
      <c r="D901" s="195"/>
      <c r="E901" s="107"/>
      <c r="F901" s="122"/>
      <c r="H901" s="22"/>
      <c r="I901" s="123"/>
      <c r="J901" s="111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</row>
    <row r="902" ht="16.5" customHeight="1">
      <c r="A902" s="107"/>
      <c r="B902" s="138"/>
      <c r="C902" s="168"/>
      <c r="D902" s="195"/>
      <c r="E902" s="107"/>
      <c r="F902" s="122"/>
      <c r="H902" s="22"/>
      <c r="I902" s="123"/>
      <c r="J902" s="111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</row>
    <row r="903" ht="16.5" customHeight="1">
      <c r="A903" s="107"/>
      <c r="B903" s="138"/>
      <c r="C903" s="168"/>
      <c r="D903" s="195"/>
      <c r="E903" s="107"/>
      <c r="F903" s="122"/>
      <c r="H903" s="22"/>
      <c r="I903" s="123"/>
      <c r="J903" s="111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</row>
    <row r="904" ht="16.5" customHeight="1">
      <c r="A904" s="107"/>
      <c r="B904" s="138"/>
      <c r="C904" s="168"/>
      <c r="D904" s="195"/>
      <c r="E904" s="107"/>
      <c r="F904" s="122"/>
      <c r="H904" s="22"/>
      <c r="I904" s="123"/>
      <c r="J904" s="111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</row>
    <row r="905" ht="16.5" customHeight="1">
      <c r="A905" s="107"/>
      <c r="B905" s="138"/>
      <c r="C905" s="168"/>
      <c r="D905" s="195"/>
      <c r="E905" s="107"/>
      <c r="F905" s="122"/>
      <c r="H905" s="22"/>
      <c r="I905" s="123"/>
      <c r="J905" s="111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</row>
    <row r="906" ht="16.5" customHeight="1">
      <c r="A906" s="107"/>
      <c r="B906" s="138"/>
      <c r="C906" s="168"/>
      <c r="D906" s="195"/>
      <c r="E906" s="107"/>
      <c r="F906" s="122"/>
      <c r="H906" s="22"/>
      <c r="I906" s="123"/>
      <c r="J906" s="111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</row>
    <row r="907" ht="16.5" customHeight="1">
      <c r="A907" s="107"/>
      <c r="B907" s="138"/>
      <c r="C907" s="168"/>
      <c r="D907" s="195"/>
      <c r="E907" s="107"/>
      <c r="F907" s="122"/>
      <c r="H907" s="22"/>
      <c r="I907" s="123"/>
      <c r="J907" s="111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</row>
    <row r="908" ht="16.5" customHeight="1">
      <c r="A908" s="107"/>
      <c r="B908" s="138"/>
      <c r="C908" s="168"/>
      <c r="D908" s="195"/>
      <c r="E908" s="107"/>
      <c r="F908" s="122"/>
      <c r="H908" s="22"/>
      <c r="I908" s="123"/>
      <c r="J908" s="111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</row>
    <row r="909" ht="16.5" customHeight="1">
      <c r="A909" s="107"/>
      <c r="B909" s="138"/>
      <c r="C909" s="168"/>
      <c r="D909" s="195"/>
      <c r="E909" s="107"/>
      <c r="F909" s="122"/>
      <c r="H909" s="22"/>
      <c r="I909" s="123"/>
      <c r="J909" s="111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</row>
    <row r="910" ht="16.5" customHeight="1">
      <c r="A910" s="107"/>
      <c r="B910" s="138"/>
      <c r="C910" s="168"/>
      <c r="D910" s="195"/>
      <c r="E910" s="107"/>
      <c r="F910" s="122"/>
      <c r="H910" s="22"/>
      <c r="I910" s="123"/>
      <c r="J910" s="111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</row>
    <row r="911" ht="16.5" customHeight="1">
      <c r="A911" s="107"/>
      <c r="B911" s="138"/>
      <c r="C911" s="168"/>
      <c r="D911" s="195"/>
      <c r="E911" s="107"/>
      <c r="F911" s="122"/>
      <c r="H911" s="22"/>
      <c r="I911" s="123"/>
      <c r="J911" s="111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</row>
    <row r="912" ht="16.5" customHeight="1">
      <c r="A912" s="107"/>
      <c r="B912" s="138"/>
      <c r="C912" s="168"/>
      <c r="D912" s="195"/>
      <c r="E912" s="107"/>
      <c r="F912" s="122"/>
      <c r="H912" s="22"/>
      <c r="I912" s="123"/>
      <c r="J912" s="111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</row>
    <row r="913" ht="16.5" customHeight="1">
      <c r="A913" s="107"/>
      <c r="B913" s="138"/>
      <c r="C913" s="168"/>
      <c r="D913" s="195"/>
      <c r="E913" s="107"/>
      <c r="F913" s="122"/>
      <c r="H913" s="22"/>
      <c r="I913" s="123"/>
      <c r="J913" s="111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</row>
    <row r="914" ht="16.5" customHeight="1">
      <c r="A914" s="107"/>
      <c r="B914" s="138"/>
      <c r="C914" s="168"/>
      <c r="D914" s="195"/>
      <c r="E914" s="107"/>
      <c r="F914" s="122"/>
      <c r="H914" s="22"/>
      <c r="I914" s="123"/>
      <c r="J914" s="111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</row>
    <row r="915" ht="16.5" customHeight="1">
      <c r="A915" s="107"/>
      <c r="B915" s="138"/>
      <c r="C915" s="168"/>
      <c r="D915" s="195"/>
      <c r="E915" s="107"/>
      <c r="F915" s="122"/>
      <c r="H915" s="22"/>
      <c r="I915" s="123"/>
      <c r="J915" s="111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</row>
    <row r="916" ht="16.5" customHeight="1">
      <c r="A916" s="107"/>
      <c r="B916" s="138"/>
      <c r="C916" s="168"/>
      <c r="D916" s="195"/>
      <c r="E916" s="107"/>
      <c r="F916" s="122"/>
      <c r="H916" s="22"/>
      <c r="I916" s="123"/>
      <c r="J916" s="111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</row>
    <row r="917" ht="16.5" customHeight="1">
      <c r="A917" s="107"/>
      <c r="B917" s="138"/>
      <c r="C917" s="168"/>
      <c r="D917" s="195"/>
      <c r="E917" s="107"/>
      <c r="F917" s="122"/>
      <c r="H917" s="22"/>
      <c r="I917" s="123"/>
      <c r="J917" s="111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</row>
    <row r="918" ht="16.5" customHeight="1">
      <c r="A918" s="107"/>
      <c r="B918" s="138"/>
      <c r="C918" s="168"/>
      <c r="D918" s="195"/>
      <c r="E918" s="107"/>
      <c r="F918" s="122"/>
      <c r="H918" s="22"/>
      <c r="I918" s="123"/>
      <c r="J918" s="111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</row>
    <row r="919" ht="16.5" customHeight="1">
      <c r="A919" s="107"/>
      <c r="B919" s="138"/>
      <c r="C919" s="168"/>
      <c r="D919" s="195"/>
      <c r="E919" s="107"/>
      <c r="F919" s="122"/>
      <c r="H919" s="22"/>
      <c r="I919" s="123"/>
      <c r="J919" s="111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</row>
    <row r="920" ht="16.5" customHeight="1">
      <c r="A920" s="107"/>
      <c r="B920" s="138"/>
      <c r="C920" s="168"/>
      <c r="D920" s="195"/>
      <c r="E920" s="107"/>
      <c r="F920" s="122"/>
      <c r="H920" s="22"/>
      <c r="I920" s="123"/>
      <c r="J920" s="111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</row>
    <row r="921" ht="16.5" customHeight="1">
      <c r="A921" s="107"/>
      <c r="B921" s="138"/>
      <c r="C921" s="168"/>
      <c r="D921" s="195"/>
      <c r="E921" s="107"/>
      <c r="F921" s="122"/>
      <c r="H921" s="22"/>
      <c r="I921" s="123"/>
      <c r="J921" s="111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</row>
    <row r="922" ht="16.5" customHeight="1">
      <c r="A922" s="107"/>
      <c r="B922" s="138"/>
      <c r="C922" s="168"/>
      <c r="D922" s="195"/>
      <c r="E922" s="107"/>
      <c r="F922" s="122"/>
      <c r="H922" s="22"/>
      <c r="I922" s="123"/>
      <c r="J922" s="111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</row>
    <row r="923" ht="16.5" customHeight="1">
      <c r="A923" s="107"/>
      <c r="B923" s="138"/>
      <c r="C923" s="168"/>
      <c r="D923" s="195"/>
      <c r="E923" s="107"/>
      <c r="F923" s="122"/>
      <c r="H923" s="22"/>
      <c r="I923" s="123"/>
      <c r="J923" s="111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</row>
    <row r="924" ht="16.5" customHeight="1">
      <c r="A924" s="107"/>
      <c r="B924" s="138"/>
      <c r="C924" s="168"/>
      <c r="D924" s="195"/>
      <c r="E924" s="107"/>
      <c r="F924" s="122"/>
      <c r="H924" s="22"/>
      <c r="I924" s="123"/>
      <c r="J924" s="111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</row>
    <row r="925" ht="16.5" customHeight="1">
      <c r="A925" s="107"/>
      <c r="B925" s="138"/>
      <c r="C925" s="168"/>
      <c r="D925" s="195"/>
      <c r="E925" s="107"/>
      <c r="F925" s="122"/>
      <c r="H925" s="22"/>
      <c r="I925" s="123"/>
      <c r="J925" s="111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</row>
    <row r="926" ht="16.5" customHeight="1">
      <c r="A926" s="107"/>
      <c r="B926" s="138"/>
      <c r="C926" s="168"/>
      <c r="D926" s="195"/>
      <c r="E926" s="107"/>
      <c r="F926" s="122"/>
      <c r="H926" s="22"/>
      <c r="I926" s="123"/>
      <c r="J926" s="111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</row>
    <row r="927" ht="16.5" customHeight="1">
      <c r="A927" s="107"/>
      <c r="B927" s="138"/>
      <c r="C927" s="168"/>
      <c r="D927" s="195"/>
      <c r="E927" s="107"/>
      <c r="F927" s="122"/>
      <c r="H927" s="22"/>
      <c r="I927" s="123"/>
      <c r="J927" s="111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</row>
    <row r="928" ht="16.5" customHeight="1">
      <c r="A928" s="107"/>
      <c r="B928" s="138"/>
      <c r="C928" s="168"/>
      <c r="D928" s="195"/>
      <c r="E928" s="107"/>
      <c r="F928" s="122"/>
      <c r="H928" s="22"/>
      <c r="I928" s="123"/>
      <c r="J928" s="111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</row>
    <row r="929" ht="16.5" customHeight="1">
      <c r="A929" s="107"/>
      <c r="B929" s="138"/>
      <c r="C929" s="168"/>
      <c r="D929" s="195"/>
      <c r="E929" s="107"/>
      <c r="F929" s="122"/>
      <c r="H929" s="22"/>
      <c r="I929" s="123"/>
      <c r="J929" s="111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</row>
    <row r="930" ht="16.5" customHeight="1">
      <c r="A930" s="107"/>
      <c r="B930" s="138"/>
      <c r="C930" s="168"/>
      <c r="D930" s="195"/>
      <c r="E930" s="107"/>
      <c r="F930" s="122"/>
      <c r="H930" s="22"/>
      <c r="I930" s="123"/>
      <c r="J930" s="111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</row>
    <row r="931" ht="16.5" customHeight="1">
      <c r="A931" s="107"/>
      <c r="B931" s="138"/>
      <c r="C931" s="168"/>
      <c r="D931" s="195"/>
      <c r="E931" s="107"/>
      <c r="F931" s="122"/>
      <c r="H931" s="22"/>
      <c r="I931" s="123"/>
      <c r="J931" s="111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</row>
    <row r="932" ht="16.5" customHeight="1">
      <c r="A932" s="107"/>
      <c r="B932" s="138"/>
      <c r="C932" s="168"/>
      <c r="D932" s="195"/>
      <c r="E932" s="107"/>
      <c r="F932" s="122"/>
      <c r="H932" s="22"/>
      <c r="I932" s="123"/>
      <c r="J932" s="111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</row>
    <row r="933" ht="16.5" customHeight="1">
      <c r="A933" s="107"/>
      <c r="B933" s="138"/>
      <c r="C933" s="168"/>
      <c r="D933" s="195"/>
      <c r="E933" s="107"/>
      <c r="F933" s="122"/>
      <c r="H933" s="22"/>
      <c r="I933" s="123"/>
      <c r="J933" s="111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</row>
    <row r="934" ht="16.5" customHeight="1">
      <c r="A934" s="107"/>
      <c r="B934" s="138"/>
      <c r="C934" s="168"/>
      <c r="D934" s="195"/>
      <c r="E934" s="107"/>
      <c r="F934" s="122"/>
      <c r="H934" s="22"/>
      <c r="I934" s="123"/>
      <c r="J934" s="111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</row>
    <row r="935" ht="16.5" customHeight="1">
      <c r="A935" s="107"/>
      <c r="B935" s="138"/>
      <c r="C935" s="168"/>
      <c r="D935" s="195"/>
      <c r="E935" s="107"/>
      <c r="F935" s="122"/>
      <c r="H935" s="22"/>
      <c r="I935" s="123"/>
      <c r="J935" s="111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</row>
    <row r="936" ht="16.5" customHeight="1">
      <c r="A936" s="107"/>
      <c r="B936" s="138"/>
      <c r="C936" s="168"/>
      <c r="D936" s="195"/>
      <c r="E936" s="107"/>
      <c r="F936" s="122"/>
      <c r="H936" s="22"/>
      <c r="I936" s="123"/>
      <c r="J936" s="111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</row>
    <row r="937" ht="16.5" customHeight="1">
      <c r="A937" s="107"/>
      <c r="B937" s="138"/>
      <c r="C937" s="168"/>
      <c r="D937" s="195"/>
      <c r="E937" s="107"/>
      <c r="F937" s="122"/>
      <c r="H937" s="22"/>
      <c r="I937" s="123"/>
      <c r="J937" s="111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</row>
    <row r="938" ht="16.5" customHeight="1">
      <c r="A938" s="107"/>
      <c r="B938" s="138"/>
      <c r="C938" s="168"/>
      <c r="D938" s="195"/>
      <c r="E938" s="107"/>
      <c r="F938" s="122"/>
      <c r="H938" s="22"/>
      <c r="I938" s="123"/>
      <c r="J938" s="111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</row>
    <row r="939" ht="16.5" customHeight="1">
      <c r="A939" s="107"/>
      <c r="B939" s="138"/>
      <c r="C939" s="168"/>
      <c r="D939" s="195"/>
      <c r="E939" s="107"/>
      <c r="F939" s="122"/>
      <c r="H939" s="22"/>
      <c r="I939" s="123"/>
      <c r="J939" s="111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</row>
    <row r="940" ht="16.5" customHeight="1">
      <c r="A940" s="107"/>
      <c r="B940" s="138"/>
      <c r="C940" s="168"/>
      <c r="D940" s="195"/>
      <c r="E940" s="107"/>
      <c r="F940" s="122"/>
      <c r="H940" s="22"/>
      <c r="I940" s="123"/>
      <c r="J940" s="111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</row>
    <row r="941" ht="16.5" customHeight="1">
      <c r="A941" s="107"/>
      <c r="B941" s="138"/>
      <c r="C941" s="168"/>
      <c r="D941" s="195"/>
      <c r="E941" s="107"/>
      <c r="F941" s="122"/>
      <c r="H941" s="22"/>
      <c r="I941" s="123"/>
      <c r="J941" s="111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</row>
    <row r="942" ht="16.5" customHeight="1">
      <c r="A942" s="107"/>
      <c r="B942" s="138"/>
      <c r="C942" s="168"/>
      <c r="D942" s="195"/>
      <c r="E942" s="107"/>
      <c r="F942" s="122"/>
      <c r="H942" s="22"/>
      <c r="I942" s="123"/>
      <c r="J942" s="111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</row>
    <row r="943" ht="16.5" customHeight="1">
      <c r="A943" s="107"/>
      <c r="B943" s="138"/>
      <c r="C943" s="168"/>
      <c r="D943" s="195"/>
      <c r="E943" s="107"/>
      <c r="F943" s="122"/>
      <c r="H943" s="22"/>
      <c r="I943" s="123"/>
      <c r="J943" s="111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</row>
    <row r="944" ht="16.5" customHeight="1">
      <c r="A944" s="107"/>
      <c r="B944" s="138"/>
      <c r="C944" s="168"/>
      <c r="D944" s="195"/>
      <c r="E944" s="107"/>
      <c r="F944" s="122"/>
      <c r="H944" s="22"/>
      <c r="I944" s="123"/>
      <c r="J944" s="111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</row>
    <row r="945" ht="16.5" customHeight="1">
      <c r="A945" s="107"/>
      <c r="B945" s="138"/>
      <c r="C945" s="168"/>
      <c r="D945" s="195"/>
      <c r="E945" s="107"/>
      <c r="F945" s="122"/>
      <c r="H945" s="22"/>
      <c r="I945" s="123"/>
      <c r="J945" s="111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</row>
    <row r="946" ht="16.5" customHeight="1">
      <c r="A946" s="107"/>
      <c r="B946" s="138"/>
      <c r="C946" s="168"/>
      <c r="D946" s="195"/>
      <c r="E946" s="107"/>
      <c r="F946" s="122"/>
      <c r="H946" s="22"/>
      <c r="I946" s="123"/>
      <c r="J946" s="111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</row>
    <row r="947" ht="16.5" customHeight="1">
      <c r="A947" s="107"/>
      <c r="B947" s="138"/>
      <c r="C947" s="168"/>
      <c r="D947" s="195"/>
      <c r="E947" s="107"/>
      <c r="F947" s="122"/>
      <c r="H947" s="22"/>
      <c r="I947" s="123"/>
      <c r="J947" s="111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</row>
    <row r="948" ht="16.5" customHeight="1">
      <c r="A948" s="107"/>
      <c r="B948" s="138"/>
      <c r="C948" s="168"/>
      <c r="D948" s="195"/>
      <c r="E948" s="107"/>
      <c r="F948" s="122"/>
      <c r="H948" s="22"/>
      <c r="I948" s="123"/>
      <c r="J948" s="111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</row>
    <row r="949" ht="16.5" customHeight="1">
      <c r="A949" s="107"/>
      <c r="B949" s="138"/>
      <c r="C949" s="168"/>
      <c r="D949" s="195"/>
      <c r="E949" s="107"/>
      <c r="F949" s="122"/>
      <c r="H949" s="22"/>
      <c r="I949" s="123"/>
      <c r="J949" s="111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</row>
    <row r="950" ht="16.5" customHeight="1">
      <c r="A950" s="107"/>
      <c r="B950" s="138"/>
      <c r="C950" s="168"/>
      <c r="D950" s="195"/>
      <c r="E950" s="107"/>
      <c r="F950" s="122"/>
      <c r="H950" s="22"/>
      <c r="I950" s="123"/>
      <c r="J950" s="111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</row>
    <row r="951" ht="16.5" customHeight="1">
      <c r="A951" s="107"/>
      <c r="B951" s="138"/>
      <c r="C951" s="168"/>
      <c r="D951" s="195"/>
      <c r="E951" s="107"/>
      <c r="F951" s="122"/>
      <c r="H951" s="22"/>
      <c r="I951" s="123"/>
      <c r="J951" s="111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</row>
    <row r="952" ht="16.5" customHeight="1">
      <c r="A952" s="107"/>
      <c r="B952" s="138"/>
      <c r="C952" s="168"/>
      <c r="D952" s="195"/>
      <c r="E952" s="107"/>
      <c r="F952" s="122"/>
      <c r="H952" s="22"/>
      <c r="I952" s="123"/>
      <c r="J952" s="111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</row>
    <row r="953" ht="16.5" customHeight="1">
      <c r="A953" s="107"/>
      <c r="B953" s="138"/>
      <c r="C953" s="168"/>
      <c r="D953" s="195"/>
      <c r="E953" s="107"/>
      <c r="F953" s="122"/>
      <c r="H953" s="22"/>
      <c r="I953" s="123"/>
      <c r="J953" s="111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</row>
    <row r="954" ht="16.5" customHeight="1">
      <c r="A954" s="107"/>
      <c r="B954" s="138"/>
      <c r="C954" s="168"/>
      <c r="D954" s="195"/>
      <c r="E954" s="107"/>
      <c r="F954" s="122"/>
      <c r="H954" s="22"/>
      <c r="I954" s="123"/>
      <c r="J954" s="111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</row>
    <row r="955" ht="16.5" customHeight="1">
      <c r="A955" s="107"/>
      <c r="B955" s="138"/>
      <c r="C955" s="168"/>
      <c r="D955" s="195"/>
      <c r="E955" s="107"/>
      <c r="F955" s="122"/>
      <c r="H955" s="22"/>
      <c r="I955" s="123"/>
      <c r="J955" s="111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</row>
    <row r="956" ht="16.5" customHeight="1">
      <c r="A956" s="107"/>
      <c r="B956" s="138"/>
      <c r="C956" s="168"/>
      <c r="D956" s="195"/>
      <c r="E956" s="107"/>
      <c r="F956" s="122"/>
      <c r="H956" s="22"/>
      <c r="I956" s="123"/>
      <c r="J956" s="111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</row>
    <row r="957" ht="16.5" customHeight="1">
      <c r="A957" s="107"/>
      <c r="B957" s="138"/>
      <c r="C957" s="168"/>
      <c r="D957" s="195"/>
      <c r="E957" s="107"/>
      <c r="F957" s="122"/>
      <c r="H957" s="22"/>
      <c r="I957" s="123"/>
      <c r="J957" s="111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</row>
    <row r="958" ht="16.5" customHeight="1">
      <c r="A958" s="107"/>
      <c r="B958" s="138"/>
      <c r="C958" s="168"/>
      <c r="D958" s="195"/>
      <c r="E958" s="107"/>
      <c r="F958" s="122"/>
      <c r="H958" s="22"/>
      <c r="I958" s="123"/>
      <c r="J958" s="111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</row>
    <row r="959" ht="16.5" customHeight="1">
      <c r="A959" s="107"/>
      <c r="B959" s="138"/>
      <c r="C959" s="168"/>
      <c r="D959" s="195"/>
      <c r="E959" s="107"/>
      <c r="F959" s="122"/>
      <c r="H959" s="22"/>
      <c r="I959" s="123"/>
      <c r="J959" s="111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</row>
    <row r="960" ht="16.5" customHeight="1">
      <c r="A960" s="107"/>
      <c r="B960" s="138"/>
      <c r="C960" s="168"/>
      <c r="D960" s="195"/>
      <c r="E960" s="107"/>
      <c r="F960" s="122"/>
      <c r="H960" s="22"/>
      <c r="I960" s="123"/>
      <c r="J960" s="111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</row>
    <row r="961" ht="16.5" customHeight="1">
      <c r="A961" s="107"/>
      <c r="B961" s="138"/>
      <c r="C961" s="168"/>
      <c r="D961" s="195"/>
      <c r="E961" s="107"/>
      <c r="F961" s="122"/>
      <c r="H961" s="22"/>
      <c r="I961" s="123"/>
      <c r="J961" s="111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</row>
    <row r="962" ht="16.5" customHeight="1">
      <c r="A962" s="107"/>
      <c r="B962" s="138"/>
      <c r="C962" s="168"/>
      <c r="D962" s="195"/>
      <c r="E962" s="107"/>
      <c r="F962" s="122"/>
      <c r="H962" s="22"/>
      <c r="I962" s="123"/>
      <c r="J962" s="111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</row>
    <row r="963" ht="16.5" customHeight="1">
      <c r="A963" s="107"/>
      <c r="B963" s="138"/>
      <c r="C963" s="168"/>
      <c r="D963" s="195"/>
      <c r="E963" s="107"/>
      <c r="F963" s="122"/>
      <c r="H963" s="22"/>
      <c r="I963" s="123"/>
      <c r="J963" s="111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</row>
    <row r="964" ht="16.5" customHeight="1">
      <c r="A964" s="107"/>
      <c r="B964" s="138"/>
      <c r="C964" s="168"/>
      <c r="D964" s="195"/>
      <c r="E964" s="107"/>
      <c r="F964" s="122"/>
      <c r="H964" s="22"/>
      <c r="I964" s="123"/>
      <c r="J964" s="111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</row>
    <row r="965" ht="16.5" customHeight="1">
      <c r="A965" s="107"/>
      <c r="B965" s="138"/>
      <c r="C965" s="168"/>
      <c r="D965" s="195"/>
      <c r="E965" s="107"/>
      <c r="F965" s="122"/>
      <c r="H965" s="22"/>
      <c r="I965" s="123"/>
      <c r="J965" s="111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</row>
    <row r="966" ht="16.5" customHeight="1">
      <c r="A966" s="107"/>
      <c r="B966" s="138"/>
      <c r="C966" s="168"/>
      <c r="D966" s="195"/>
      <c r="E966" s="107"/>
      <c r="F966" s="122"/>
      <c r="H966" s="22"/>
      <c r="I966" s="123"/>
      <c r="J966" s="111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</row>
    <row r="967" ht="16.5" customHeight="1">
      <c r="A967" s="107"/>
      <c r="B967" s="138"/>
      <c r="C967" s="168"/>
      <c r="D967" s="195"/>
      <c r="E967" s="107"/>
      <c r="F967" s="122"/>
      <c r="H967" s="22"/>
      <c r="I967" s="123"/>
      <c r="J967" s="111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</row>
    <row r="968" ht="16.5" customHeight="1">
      <c r="A968" s="107"/>
      <c r="B968" s="138"/>
      <c r="C968" s="168"/>
      <c r="D968" s="195"/>
      <c r="E968" s="107"/>
      <c r="F968" s="122"/>
      <c r="H968" s="22"/>
      <c r="I968" s="123"/>
      <c r="J968" s="111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</row>
    <row r="969" ht="16.5" customHeight="1">
      <c r="A969" s="107"/>
      <c r="B969" s="138"/>
      <c r="C969" s="168"/>
      <c r="D969" s="195"/>
      <c r="E969" s="107"/>
      <c r="F969" s="122"/>
      <c r="H969" s="22"/>
      <c r="I969" s="123"/>
      <c r="J969" s="111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</row>
    <row r="970" ht="16.5" customHeight="1">
      <c r="A970" s="107"/>
      <c r="B970" s="138"/>
      <c r="C970" s="168"/>
      <c r="D970" s="195"/>
      <c r="E970" s="107"/>
      <c r="F970" s="122"/>
      <c r="H970" s="22"/>
      <c r="I970" s="123"/>
      <c r="J970" s="111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</row>
    <row r="971" ht="16.5" customHeight="1">
      <c r="A971" s="107"/>
      <c r="B971" s="138"/>
      <c r="C971" s="168"/>
      <c r="D971" s="195"/>
      <c r="E971" s="107"/>
      <c r="F971" s="122"/>
      <c r="H971" s="22"/>
      <c r="I971" s="123"/>
      <c r="J971" s="111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</row>
    <row r="972" ht="16.5" customHeight="1">
      <c r="A972" s="107"/>
      <c r="B972" s="138"/>
      <c r="C972" s="168"/>
      <c r="D972" s="195"/>
      <c r="E972" s="107"/>
      <c r="F972" s="122"/>
      <c r="H972" s="22"/>
      <c r="I972" s="123"/>
      <c r="J972" s="111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</row>
    <row r="973" ht="16.5" customHeight="1">
      <c r="A973" s="107"/>
      <c r="B973" s="138"/>
      <c r="C973" s="168"/>
      <c r="D973" s="195"/>
      <c r="E973" s="107"/>
      <c r="F973" s="122"/>
      <c r="H973" s="22"/>
      <c r="I973" s="123"/>
      <c r="J973" s="111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</row>
    <row r="974" ht="16.5" customHeight="1">
      <c r="A974" s="107"/>
      <c r="B974" s="138"/>
      <c r="C974" s="168"/>
      <c r="D974" s="195"/>
      <c r="E974" s="107"/>
      <c r="F974" s="122"/>
      <c r="H974" s="22"/>
      <c r="I974" s="123"/>
      <c r="J974" s="111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</row>
    <row r="975" ht="16.5" customHeight="1">
      <c r="A975" s="107"/>
      <c r="B975" s="138"/>
      <c r="C975" s="168"/>
      <c r="D975" s="195"/>
      <c r="E975" s="107"/>
      <c r="F975" s="122"/>
      <c r="H975" s="22"/>
      <c r="I975" s="123"/>
      <c r="J975" s="111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</row>
    <row r="976" ht="16.5" customHeight="1">
      <c r="A976" s="107"/>
      <c r="B976" s="138"/>
      <c r="C976" s="168"/>
      <c r="D976" s="195"/>
      <c r="E976" s="107"/>
      <c r="F976" s="122"/>
      <c r="H976" s="22"/>
      <c r="I976" s="123"/>
      <c r="J976" s="111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</row>
    <row r="977" ht="16.5" customHeight="1">
      <c r="A977" s="107"/>
      <c r="B977" s="138"/>
      <c r="C977" s="168"/>
      <c r="D977" s="195"/>
      <c r="E977" s="107"/>
      <c r="F977" s="122"/>
      <c r="H977" s="22"/>
      <c r="I977" s="123"/>
      <c r="J977" s="111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</row>
    <row r="978" ht="16.5" customHeight="1">
      <c r="A978" s="107"/>
      <c r="B978" s="138"/>
      <c r="C978" s="168"/>
      <c r="D978" s="195"/>
      <c r="E978" s="107"/>
      <c r="F978" s="122"/>
      <c r="H978" s="22"/>
      <c r="I978" s="123"/>
      <c r="J978" s="111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</row>
    <row r="979" ht="16.5" customHeight="1">
      <c r="A979" s="107"/>
      <c r="B979" s="138"/>
      <c r="C979" s="168"/>
      <c r="D979" s="195"/>
      <c r="E979" s="107"/>
      <c r="F979" s="122"/>
      <c r="H979" s="22"/>
      <c r="I979" s="123"/>
      <c r="J979" s="111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</row>
    <row r="980" ht="16.5" customHeight="1">
      <c r="A980" s="107"/>
      <c r="B980" s="138"/>
      <c r="C980" s="168"/>
      <c r="D980" s="195"/>
      <c r="E980" s="107"/>
      <c r="F980" s="122"/>
      <c r="H980" s="22"/>
      <c r="I980" s="123"/>
      <c r="J980" s="111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</row>
    <row r="981" ht="16.5" customHeight="1">
      <c r="A981" s="107"/>
      <c r="B981" s="138"/>
      <c r="C981" s="168"/>
      <c r="D981" s="195"/>
      <c r="E981" s="107"/>
      <c r="F981" s="122"/>
      <c r="H981" s="22"/>
      <c r="I981" s="123"/>
      <c r="J981" s="111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</row>
    <row r="982" ht="16.5" customHeight="1">
      <c r="A982" s="107"/>
      <c r="B982" s="138"/>
      <c r="C982" s="168"/>
      <c r="D982" s="195"/>
      <c r="E982" s="107"/>
      <c r="F982" s="122"/>
      <c r="H982" s="22"/>
      <c r="I982" s="123"/>
      <c r="J982" s="111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</row>
    <row r="983" ht="16.5" customHeight="1">
      <c r="A983" s="107"/>
      <c r="B983" s="138"/>
      <c r="C983" s="168"/>
      <c r="D983" s="195"/>
      <c r="E983" s="107"/>
      <c r="F983" s="122"/>
      <c r="H983" s="22"/>
      <c r="I983" s="123"/>
      <c r="J983" s="111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</row>
    <row r="984" ht="16.5" customHeight="1">
      <c r="A984" s="107"/>
      <c r="B984" s="138"/>
      <c r="C984" s="168"/>
      <c r="D984" s="195"/>
      <c r="E984" s="107"/>
      <c r="F984" s="122"/>
      <c r="H984" s="22"/>
      <c r="I984" s="123"/>
      <c r="J984" s="111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</row>
    <row r="985" ht="16.5" customHeight="1">
      <c r="A985" s="107"/>
      <c r="B985" s="138"/>
      <c r="C985" s="168"/>
      <c r="D985" s="195"/>
      <c r="E985" s="107"/>
      <c r="F985" s="122"/>
      <c r="H985" s="22"/>
      <c r="I985" s="123"/>
      <c r="J985" s="111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</row>
    <row r="986" ht="16.5" customHeight="1">
      <c r="A986" s="107"/>
      <c r="B986" s="138"/>
      <c r="C986" s="168"/>
      <c r="D986" s="195"/>
      <c r="E986" s="107"/>
      <c r="F986" s="122"/>
      <c r="H986" s="22"/>
      <c r="I986" s="123"/>
      <c r="J986" s="111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</row>
    <row r="987" ht="16.5" customHeight="1">
      <c r="A987" s="107"/>
      <c r="B987" s="138"/>
      <c r="C987" s="168"/>
      <c r="D987" s="195"/>
      <c r="E987" s="107"/>
      <c r="F987" s="122"/>
      <c r="H987" s="22"/>
      <c r="I987" s="123"/>
      <c r="J987" s="111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</row>
    <row r="988" ht="16.5" customHeight="1">
      <c r="A988" s="107"/>
      <c r="B988" s="138"/>
      <c r="C988" s="168"/>
      <c r="D988" s="195"/>
      <c r="E988" s="107"/>
      <c r="F988" s="122"/>
      <c r="H988" s="22"/>
      <c r="I988" s="123"/>
      <c r="J988" s="111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</row>
    <row r="989" ht="16.5" customHeight="1">
      <c r="A989" s="107"/>
      <c r="B989" s="138"/>
      <c r="C989" s="168"/>
      <c r="D989" s="195"/>
      <c r="E989" s="107"/>
      <c r="F989" s="122"/>
      <c r="H989" s="22"/>
      <c r="I989" s="123"/>
      <c r="J989" s="111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</row>
    <row r="990" ht="16.5" customHeight="1">
      <c r="A990" s="107"/>
      <c r="B990" s="138"/>
      <c r="C990" s="168"/>
      <c r="D990" s="195"/>
      <c r="E990" s="107"/>
      <c r="F990" s="122"/>
      <c r="H990" s="22"/>
      <c r="I990" s="123"/>
      <c r="J990" s="111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</row>
    <row r="991" ht="16.5" customHeight="1">
      <c r="A991" s="107"/>
      <c r="B991" s="138"/>
      <c r="C991" s="168"/>
      <c r="D991" s="195"/>
      <c r="E991" s="107"/>
      <c r="F991" s="122"/>
      <c r="H991" s="22"/>
      <c r="I991" s="123"/>
      <c r="J991" s="111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</row>
    <row r="992" ht="16.5" customHeight="1">
      <c r="A992" s="107"/>
      <c r="B992" s="138"/>
      <c r="C992" s="168"/>
      <c r="D992" s="195"/>
      <c r="E992" s="107"/>
      <c r="F992" s="122"/>
      <c r="H992" s="22"/>
      <c r="I992" s="123"/>
      <c r="J992" s="111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</row>
    <row r="993" ht="16.5" customHeight="1">
      <c r="A993" s="107"/>
      <c r="B993" s="138"/>
      <c r="C993" s="168"/>
      <c r="D993" s="195"/>
      <c r="E993" s="107"/>
      <c r="F993" s="122"/>
      <c r="H993" s="22"/>
      <c r="I993" s="123"/>
      <c r="J993" s="111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</row>
    <row r="994" ht="16.5" customHeight="1">
      <c r="A994" s="107"/>
      <c r="B994" s="138"/>
      <c r="C994" s="168"/>
      <c r="D994" s="195"/>
      <c r="E994" s="107"/>
      <c r="F994" s="122"/>
      <c r="H994" s="22"/>
      <c r="I994" s="123"/>
      <c r="J994" s="111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</row>
    <row r="995" ht="16.5" customHeight="1">
      <c r="A995" s="107"/>
      <c r="B995" s="138"/>
      <c r="C995" s="168"/>
      <c r="D995" s="195"/>
      <c r="E995" s="107"/>
      <c r="F995" s="122"/>
      <c r="H995" s="22"/>
      <c r="I995" s="123"/>
      <c r="J995" s="111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</row>
    <row r="996" ht="16.5" customHeight="1">
      <c r="A996" s="107"/>
      <c r="B996" s="138"/>
      <c r="C996" s="168"/>
      <c r="D996" s="195"/>
      <c r="E996" s="107"/>
      <c r="F996" s="122"/>
      <c r="H996" s="22"/>
      <c r="I996" s="123"/>
      <c r="J996" s="111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</row>
    <row r="997" ht="16.5" customHeight="1">
      <c r="A997" s="107"/>
      <c r="B997" s="138"/>
      <c r="C997" s="168"/>
      <c r="D997" s="195"/>
      <c r="E997" s="107"/>
      <c r="F997" s="122"/>
      <c r="H997" s="22"/>
      <c r="I997" s="123"/>
      <c r="J997" s="111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</row>
    <row r="998" ht="16.5" customHeight="1">
      <c r="A998" s="107"/>
      <c r="B998" s="138"/>
      <c r="C998" s="168"/>
      <c r="D998" s="195"/>
      <c r="E998" s="107"/>
      <c r="F998" s="122"/>
      <c r="H998" s="22"/>
      <c r="I998" s="123"/>
      <c r="J998" s="111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</row>
    <row r="999" ht="16.5" customHeight="1">
      <c r="A999" s="107"/>
      <c r="B999" s="138"/>
      <c r="C999" s="168"/>
      <c r="D999" s="195"/>
      <c r="E999" s="107"/>
      <c r="F999" s="122"/>
      <c r="H999" s="22"/>
      <c r="I999" s="123"/>
      <c r="J999" s="111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</row>
    <row r="1000" ht="16.5" customHeight="1">
      <c r="A1000" s="107"/>
      <c r="B1000" s="138"/>
      <c r="C1000" s="168"/>
      <c r="D1000" s="195"/>
      <c r="E1000" s="107"/>
      <c r="F1000" s="122"/>
      <c r="H1000" s="22"/>
      <c r="I1000" s="123"/>
      <c r="J1000" s="111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</row>
    <row r="1001" ht="16.5" customHeight="1">
      <c r="A1001" s="107"/>
      <c r="B1001" s="138"/>
      <c r="C1001" s="168"/>
      <c r="D1001" s="195"/>
      <c r="E1001" s="107"/>
      <c r="F1001" s="122"/>
      <c r="H1001" s="22"/>
      <c r="I1001" s="123"/>
      <c r="J1001" s="111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  <c r="AA1001" s="28"/>
    </row>
    <row r="1002" ht="16.5" customHeight="1">
      <c r="A1002" s="107"/>
      <c r="B1002" s="138"/>
      <c r="C1002" s="168"/>
      <c r="D1002" s="195"/>
      <c r="E1002" s="107"/>
      <c r="F1002" s="122"/>
      <c r="H1002" s="22"/>
      <c r="I1002" s="123"/>
      <c r="J1002" s="111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  <c r="AA1002" s="28"/>
    </row>
    <row r="1003" ht="16.5" customHeight="1">
      <c r="A1003" s="107"/>
      <c r="B1003" s="138"/>
      <c r="C1003" s="168"/>
      <c r="D1003" s="195"/>
      <c r="E1003" s="107"/>
      <c r="F1003" s="122"/>
      <c r="H1003" s="22"/>
      <c r="I1003" s="123"/>
      <c r="J1003" s="111"/>
      <c r="K1003" s="28"/>
      <c r="L1003" s="28"/>
      <c r="M1003" s="28"/>
      <c r="N1003" s="28"/>
      <c r="O1003" s="28"/>
      <c r="P1003" s="28"/>
      <c r="Q1003" s="28"/>
      <c r="R1003" s="28"/>
      <c r="S1003" s="28"/>
      <c r="T1003" s="28"/>
      <c r="U1003" s="28"/>
      <c r="V1003" s="28"/>
      <c r="W1003" s="28"/>
      <c r="X1003" s="28"/>
      <c r="Y1003" s="28"/>
      <c r="Z1003" s="28"/>
      <c r="AA1003" s="28"/>
    </row>
    <row r="1004" ht="16.5" customHeight="1">
      <c r="A1004" s="107"/>
      <c r="B1004" s="138"/>
      <c r="C1004" s="168"/>
      <c r="D1004" s="195"/>
      <c r="E1004" s="107"/>
      <c r="F1004" s="122"/>
      <c r="H1004" s="22"/>
      <c r="I1004" s="123"/>
      <c r="J1004" s="111"/>
      <c r="K1004" s="28"/>
      <c r="L1004" s="28"/>
      <c r="M1004" s="28"/>
      <c r="N1004" s="28"/>
      <c r="O1004" s="28"/>
      <c r="P1004" s="28"/>
      <c r="Q1004" s="28"/>
      <c r="R1004" s="28"/>
      <c r="S1004" s="28"/>
      <c r="T1004" s="28"/>
      <c r="U1004" s="28"/>
      <c r="V1004" s="28"/>
      <c r="W1004" s="28"/>
      <c r="X1004" s="28"/>
      <c r="Y1004" s="28"/>
      <c r="Z1004" s="28"/>
      <c r="AA1004" s="28"/>
    </row>
    <row r="1005" ht="16.5" customHeight="1">
      <c r="A1005" s="107"/>
      <c r="B1005" s="138"/>
      <c r="C1005" s="168"/>
      <c r="D1005" s="195"/>
      <c r="E1005" s="107"/>
      <c r="F1005" s="122"/>
      <c r="H1005" s="22"/>
      <c r="I1005" s="123"/>
      <c r="J1005" s="111"/>
      <c r="K1005" s="28"/>
      <c r="L1005" s="28"/>
      <c r="M1005" s="28"/>
      <c r="N1005" s="28"/>
      <c r="O1005" s="28"/>
      <c r="P1005" s="28"/>
      <c r="Q1005" s="28"/>
      <c r="R1005" s="28"/>
      <c r="S1005" s="28"/>
      <c r="T1005" s="28"/>
      <c r="U1005" s="28"/>
      <c r="V1005" s="28"/>
      <c r="W1005" s="28"/>
      <c r="X1005" s="28"/>
      <c r="Y1005" s="28"/>
      <c r="Z1005" s="28"/>
      <c r="AA1005" s="28"/>
    </row>
    <row r="1006" ht="16.5" customHeight="1">
      <c r="A1006" s="107"/>
      <c r="B1006" s="138"/>
      <c r="C1006" s="168"/>
      <c r="D1006" s="195"/>
      <c r="E1006" s="107"/>
      <c r="F1006" s="122"/>
      <c r="H1006" s="22"/>
      <c r="I1006" s="123"/>
      <c r="J1006" s="111"/>
      <c r="K1006" s="28"/>
      <c r="L1006" s="28"/>
      <c r="M1006" s="28"/>
      <c r="N1006" s="28"/>
      <c r="O1006" s="28"/>
      <c r="P1006" s="28"/>
      <c r="Q1006" s="28"/>
      <c r="R1006" s="28"/>
      <c r="S1006" s="28"/>
      <c r="T1006" s="28"/>
      <c r="U1006" s="28"/>
      <c r="V1006" s="28"/>
      <c r="W1006" s="28"/>
      <c r="X1006" s="28"/>
      <c r="Y1006" s="28"/>
      <c r="Z1006" s="28"/>
      <c r="AA1006" s="28"/>
    </row>
    <row r="1007" ht="16.5" customHeight="1">
      <c r="A1007" s="107"/>
      <c r="B1007" s="138"/>
      <c r="C1007" s="168"/>
      <c r="D1007" s="195"/>
      <c r="E1007" s="107"/>
      <c r="F1007" s="122"/>
      <c r="H1007" s="22"/>
      <c r="I1007" s="123"/>
      <c r="J1007" s="111"/>
      <c r="K1007" s="28"/>
      <c r="L1007" s="28"/>
      <c r="M1007" s="28"/>
      <c r="N1007" s="28"/>
      <c r="O1007" s="28"/>
      <c r="P1007" s="28"/>
      <c r="Q1007" s="28"/>
      <c r="R1007" s="28"/>
      <c r="S1007" s="28"/>
      <c r="T1007" s="28"/>
      <c r="U1007" s="28"/>
      <c r="V1007" s="28"/>
      <c r="W1007" s="28"/>
      <c r="X1007" s="28"/>
      <c r="Y1007" s="28"/>
      <c r="Z1007" s="28"/>
      <c r="AA1007" s="28"/>
    </row>
    <row r="1008" ht="16.5" customHeight="1">
      <c r="A1008" s="107"/>
      <c r="B1008" s="138"/>
      <c r="C1008" s="168"/>
      <c r="D1008" s="195"/>
      <c r="E1008" s="107"/>
      <c r="F1008" s="122"/>
      <c r="H1008" s="22"/>
      <c r="I1008" s="123"/>
      <c r="J1008" s="111"/>
      <c r="K1008" s="28"/>
      <c r="L1008" s="28"/>
      <c r="M1008" s="28"/>
      <c r="N1008" s="28"/>
      <c r="O1008" s="28"/>
      <c r="P1008" s="28"/>
      <c r="Q1008" s="28"/>
      <c r="R1008" s="28"/>
      <c r="S1008" s="28"/>
      <c r="T1008" s="28"/>
      <c r="U1008" s="28"/>
      <c r="V1008" s="28"/>
      <c r="W1008" s="28"/>
      <c r="X1008" s="28"/>
      <c r="Y1008" s="28"/>
      <c r="Z1008" s="28"/>
      <c r="AA1008" s="28"/>
    </row>
    <row r="1009" ht="16.5" customHeight="1">
      <c r="A1009" s="107"/>
      <c r="B1009" s="138"/>
      <c r="C1009" s="168"/>
      <c r="D1009" s="195"/>
      <c r="E1009" s="107"/>
      <c r="F1009" s="122"/>
      <c r="H1009" s="22"/>
      <c r="I1009" s="123"/>
      <c r="J1009" s="111"/>
      <c r="K1009" s="28"/>
      <c r="L1009" s="28"/>
      <c r="M1009" s="28"/>
      <c r="N1009" s="28"/>
      <c r="O1009" s="28"/>
      <c r="P1009" s="28"/>
      <c r="Q1009" s="28"/>
      <c r="R1009" s="28"/>
      <c r="S1009" s="28"/>
      <c r="T1009" s="28"/>
      <c r="U1009" s="28"/>
      <c r="V1009" s="28"/>
      <c r="W1009" s="28"/>
      <c r="X1009" s="28"/>
      <c r="Y1009" s="28"/>
      <c r="Z1009" s="28"/>
      <c r="AA1009" s="28"/>
    </row>
    <row r="1010" ht="16.5" customHeight="1">
      <c r="A1010" s="107"/>
      <c r="B1010" s="138"/>
      <c r="C1010" s="168"/>
      <c r="D1010" s="195"/>
      <c r="E1010" s="107"/>
      <c r="F1010" s="122"/>
      <c r="H1010" s="22"/>
      <c r="I1010" s="123"/>
      <c r="J1010" s="111"/>
      <c r="K1010" s="28"/>
      <c r="L1010" s="28"/>
      <c r="M1010" s="28"/>
      <c r="N1010" s="28"/>
      <c r="O1010" s="28"/>
      <c r="P1010" s="28"/>
      <c r="Q1010" s="28"/>
      <c r="R1010" s="28"/>
      <c r="S1010" s="28"/>
      <c r="T1010" s="28"/>
      <c r="U1010" s="28"/>
      <c r="V1010" s="28"/>
      <c r="W1010" s="28"/>
      <c r="X1010" s="28"/>
      <c r="Y1010" s="28"/>
      <c r="Z1010" s="28"/>
      <c r="AA1010" s="28"/>
    </row>
    <row r="1011" ht="16.5" customHeight="1">
      <c r="A1011" s="107"/>
      <c r="B1011" s="138"/>
      <c r="C1011" s="168"/>
      <c r="D1011" s="195"/>
      <c r="E1011" s="107"/>
      <c r="F1011" s="122"/>
      <c r="H1011" s="22"/>
      <c r="I1011" s="123"/>
      <c r="J1011" s="111"/>
      <c r="K1011" s="28"/>
      <c r="L1011" s="28"/>
      <c r="M1011" s="28"/>
      <c r="N1011" s="28"/>
      <c r="O1011" s="28"/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28"/>
      <c r="AA1011" s="28"/>
    </row>
    <row r="1012" ht="16.5" customHeight="1">
      <c r="A1012" s="107"/>
      <c r="B1012" s="138"/>
      <c r="C1012" s="168"/>
      <c r="D1012" s="195"/>
      <c r="E1012" s="107"/>
      <c r="F1012" s="122"/>
      <c r="H1012" s="22"/>
      <c r="I1012" s="123"/>
      <c r="J1012" s="111"/>
      <c r="K1012" s="28"/>
      <c r="L1012" s="28"/>
      <c r="M1012" s="28"/>
      <c r="N1012" s="28"/>
      <c r="O1012" s="28"/>
      <c r="P1012" s="28"/>
      <c r="Q1012" s="28"/>
      <c r="R1012" s="28"/>
      <c r="S1012" s="28"/>
      <c r="T1012" s="28"/>
      <c r="U1012" s="28"/>
      <c r="V1012" s="28"/>
      <c r="W1012" s="28"/>
      <c r="X1012" s="28"/>
      <c r="Y1012" s="28"/>
      <c r="Z1012" s="28"/>
      <c r="AA1012" s="28"/>
    </row>
    <row r="1013" ht="16.5" customHeight="1">
      <c r="A1013" s="107"/>
      <c r="B1013" s="138"/>
      <c r="C1013" s="168"/>
      <c r="D1013" s="195"/>
      <c r="E1013" s="107"/>
      <c r="F1013" s="122"/>
      <c r="H1013" s="22"/>
      <c r="I1013" s="123"/>
      <c r="J1013" s="111"/>
      <c r="K1013" s="28"/>
      <c r="L1013" s="28"/>
      <c r="M1013" s="28"/>
      <c r="N1013" s="28"/>
      <c r="O1013" s="28"/>
      <c r="P1013" s="28"/>
      <c r="Q1013" s="28"/>
      <c r="R1013" s="28"/>
      <c r="S1013" s="28"/>
      <c r="T1013" s="28"/>
      <c r="U1013" s="28"/>
      <c r="V1013" s="28"/>
      <c r="W1013" s="28"/>
      <c r="X1013" s="28"/>
      <c r="Y1013" s="28"/>
      <c r="Z1013" s="28"/>
      <c r="AA1013" s="28"/>
    </row>
    <row r="1014" ht="16.5" customHeight="1">
      <c r="A1014" s="107"/>
      <c r="B1014" s="138"/>
      <c r="C1014" s="168"/>
      <c r="D1014" s="195"/>
      <c r="E1014" s="107"/>
      <c r="F1014" s="122"/>
      <c r="H1014" s="22"/>
      <c r="I1014" s="123"/>
      <c r="J1014" s="111"/>
      <c r="K1014" s="28"/>
      <c r="L1014" s="28"/>
      <c r="M1014" s="28"/>
      <c r="N1014" s="28"/>
      <c r="O1014" s="28"/>
      <c r="P1014" s="28"/>
      <c r="Q1014" s="28"/>
      <c r="R1014" s="28"/>
      <c r="S1014" s="28"/>
      <c r="T1014" s="28"/>
      <c r="U1014" s="28"/>
      <c r="V1014" s="28"/>
      <c r="W1014" s="28"/>
      <c r="X1014" s="28"/>
      <c r="Y1014" s="28"/>
      <c r="Z1014" s="28"/>
      <c r="AA1014" s="28"/>
    </row>
    <row r="1015" ht="16.5" customHeight="1">
      <c r="A1015" s="107"/>
      <c r="B1015" s="138"/>
      <c r="C1015" s="168"/>
      <c r="D1015" s="195"/>
      <c r="E1015" s="107"/>
      <c r="F1015" s="122"/>
      <c r="H1015" s="22"/>
      <c r="I1015" s="123"/>
      <c r="J1015" s="111"/>
      <c r="K1015" s="28"/>
      <c r="L1015" s="28"/>
      <c r="M1015" s="28"/>
      <c r="N1015" s="28"/>
      <c r="O1015" s="28"/>
      <c r="P1015" s="28"/>
      <c r="Q1015" s="28"/>
      <c r="R1015" s="28"/>
      <c r="S1015" s="28"/>
      <c r="T1015" s="28"/>
      <c r="U1015" s="28"/>
      <c r="V1015" s="28"/>
      <c r="W1015" s="28"/>
      <c r="X1015" s="28"/>
      <c r="Y1015" s="28"/>
      <c r="Z1015" s="28"/>
      <c r="AA1015" s="28"/>
    </row>
    <row r="1016" ht="16.5" customHeight="1">
      <c r="A1016" s="107"/>
      <c r="B1016" s="138"/>
      <c r="C1016" s="168"/>
      <c r="D1016" s="195"/>
      <c r="E1016" s="107"/>
      <c r="F1016" s="122"/>
      <c r="H1016" s="22"/>
      <c r="I1016" s="123"/>
      <c r="J1016" s="111"/>
      <c r="K1016" s="28"/>
      <c r="L1016" s="28"/>
      <c r="M1016" s="28"/>
      <c r="N1016" s="28"/>
      <c r="O1016" s="28"/>
      <c r="P1016" s="28"/>
      <c r="Q1016" s="28"/>
      <c r="R1016" s="28"/>
      <c r="S1016" s="28"/>
      <c r="T1016" s="28"/>
      <c r="U1016" s="28"/>
      <c r="V1016" s="28"/>
      <c r="W1016" s="28"/>
      <c r="X1016" s="28"/>
      <c r="Y1016" s="28"/>
      <c r="Z1016" s="28"/>
      <c r="AA1016" s="28"/>
    </row>
    <row r="1017" ht="16.5" customHeight="1">
      <c r="A1017" s="107"/>
      <c r="B1017" s="138"/>
      <c r="C1017" s="168"/>
      <c r="D1017" s="195"/>
      <c r="E1017" s="107"/>
      <c r="F1017" s="122"/>
      <c r="H1017" s="22"/>
      <c r="I1017" s="123"/>
      <c r="J1017" s="111"/>
      <c r="K1017" s="28"/>
      <c r="L1017" s="28"/>
      <c r="M1017" s="28"/>
      <c r="N1017" s="28"/>
      <c r="O1017" s="28"/>
      <c r="P1017" s="28"/>
      <c r="Q1017" s="28"/>
      <c r="R1017" s="28"/>
      <c r="S1017" s="28"/>
      <c r="T1017" s="28"/>
      <c r="U1017" s="28"/>
      <c r="V1017" s="28"/>
      <c r="W1017" s="28"/>
      <c r="X1017" s="28"/>
      <c r="Y1017" s="28"/>
      <c r="Z1017" s="28"/>
      <c r="AA1017" s="28"/>
    </row>
    <row r="1018" ht="16.5" customHeight="1">
      <c r="A1018" s="107"/>
      <c r="B1018" s="138"/>
      <c r="C1018" s="168"/>
      <c r="D1018" s="195"/>
      <c r="E1018" s="107"/>
      <c r="F1018" s="122"/>
      <c r="H1018" s="22"/>
      <c r="I1018" s="123"/>
      <c r="J1018" s="111"/>
      <c r="K1018" s="28"/>
      <c r="L1018" s="28"/>
      <c r="M1018" s="28"/>
      <c r="N1018" s="28"/>
      <c r="O1018" s="28"/>
      <c r="P1018" s="28"/>
      <c r="Q1018" s="28"/>
      <c r="R1018" s="28"/>
      <c r="S1018" s="28"/>
      <c r="T1018" s="28"/>
      <c r="U1018" s="28"/>
      <c r="V1018" s="28"/>
      <c r="W1018" s="28"/>
      <c r="X1018" s="28"/>
      <c r="Y1018" s="28"/>
      <c r="Z1018" s="28"/>
      <c r="AA1018" s="28"/>
    </row>
    <row r="1019" ht="16.5" customHeight="1">
      <c r="A1019" s="107"/>
      <c r="B1019" s="138"/>
      <c r="C1019" s="168"/>
      <c r="D1019" s="195"/>
      <c r="E1019" s="107"/>
      <c r="F1019" s="122"/>
      <c r="H1019" s="22"/>
      <c r="I1019" s="123"/>
      <c r="J1019" s="111"/>
      <c r="K1019" s="28"/>
      <c r="L1019" s="28"/>
      <c r="M1019" s="28"/>
      <c r="N1019" s="28"/>
      <c r="O1019" s="28"/>
      <c r="P1019" s="28"/>
      <c r="Q1019" s="28"/>
      <c r="R1019" s="28"/>
      <c r="S1019" s="28"/>
      <c r="T1019" s="28"/>
      <c r="U1019" s="28"/>
      <c r="V1019" s="28"/>
      <c r="W1019" s="28"/>
      <c r="X1019" s="28"/>
      <c r="Y1019" s="28"/>
      <c r="Z1019" s="28"/>
      <c r="AA1019" s="28"/>
    </row>
    <row r="1020" ht="16.5" customHeight="1">
      <c r="A1020" s="107"/>
      <c r="B1020" s="138"/>
      <c r="C1020" s="168"/>
      <c r="D1020" s="195"/>
      <c r="E1020" s="107"/>
      <c r="F1020" s="122"/>
      <c r="H1020" s="22"/>
      <c r="I1020" s="123"/>
      <c r="J1020" s="111"/>
      <c r="K1020" s="28"/>
      <c r="L1020" s="28"/>
      <c r="M1020" s="28"/>
      <c r="N1020" s="28"/>
      <c r="O1020" s="28"/>
      <c r="P1020" s="28"/>
      <c r="Q1020" s="28"/>
      <c r="R1020" s="28"/>
      <c r="S1020" s="28"/>
      <c r="T1020" s="28"/>
      <c r="U1020" s="28"/>
      <c r="V1020" s="28"/>
      <c r="W1020" s="28"/>
      <c r="X1020" s="28"/>
      <c r="Y1020" s="28"/>
      <c r="Z1020" s="28"/>
      <c r="AA1020" s="28"/>
    </row>
    <row r="1021" ht="16.5" customHeight="1">
      <c r="A1021" s="107"/>
      <c r="B1021" s="138"/>
      <c r="C1021" s="168"/>
      <c r="D1021" s="195"/>
      <c r="E1021" s="107"/>
      <c r="F1021" s="122"/>
      <c r="H1021" s="22"/>
      <c r="I1021" s="123"/>
      <c r="J1021" s="111"/>
      <c r="K1021" s="28"/>
      <c r="L1021" s="28"/>
      <c r="M1021" s="28"/>
      <c r="N1021" s="28"/>
      <c r="O1021" s="28"/>
      <c r="P1021" s="28"/>
      <c r="Q1021" s="28"/>
      <c r="R1021" s="28"/>
      <c r="S1021" s="28"/>
      <c r="T1021" s="28"/>
      <c r="U1021" s="28"/>
      <c r="V1021" s="28"/>
      <c r="W1021" s="28"/>
      <c r="X1021" s="28"/>
      <c r="Y1021" s="28"/>
      <c r="Z1021" s="28"/>
      <c r="AA1021" s="28"/>
    </row>
    <row r="1022" ht="16.5" customHeight="1">
      <c r="A1022" s="107"/>
      <c r="B1022" s="138"/>
      <c r="C1022" s="168"/>
      <c r="D1022" s="195"/>
      <c r="E1022" s="107"/>
      <c r="F1022" s="122"/>
      <c r="H1022" s="22"/>
      <c r="I1022" s="123"/>
      <c r="J1022" s="111"/>
      <c r="K1022" s="28"/>
      <c r="L1022" s="28"/>
      <c r="M1022" s="28"/>
      <c r="N1022" s="28"/>
      <c r="O1022" s="28"/>
      <c r="P1022" s="28"/>
      <c r="Q1022" s="28"/>
      <c r="R1022" s="28"/>
      <c r="S1022" s="28"/>
      <c r="T1022" s="28"/>
      <c r="U1022" s="28"/>
      <c r="V1022" s="28"/>
      <c r="W1022" s="28"/>
      <c r="X1022" s="28"/>
      <c r="Y1022" s="28"/>
      <c r="Z1022" s="28"/>
      <c r="AA1022" s="28"/>
    </row>
    <row r="1023" ht="16.5" customHeight="1">
      <c r="A1023" s="107"/>
      <c r="B1023" s="138"/>
      <c r="C1023" s="168"/>
      <c r="D1023" s="195"/>
      <c r="E1023" s="107"/>
      <c r="F1023" s="122"/>
      <c r="H1023" s="22"/>
      <c r="I1023" s="123"/>
      <c r="J1023" s="111"/>
      <c r="K1023" s="28"/>
      <c r="L1023" s="28"/>
      <c r="M1023" s="28"/>
      <c r="N1023" s="28"/>
      <c r="O1023" s="28"/>
      <c r="P1023" s="28"/>
      <c r="Q1023" s="28"/>
      <c r="R1023" s="28"/>
      <c r="S1023" s="28"/>
      <c r="T1023" s="28"/>
      <c r="U1023" s="28"/>
      <c r="V1023" s="28"/>
      <c r="W1023" s="28"/>
      <c r="X1023" s="28"/>
      <c r="Y1023" s="28"/>
      <c r="Z1023" s="28"/>
      <c r="AA1023" s="28"/>
    </row>
    <row r="1024" ht="16.5" customHeight="1">
      <c r="A1024" s="107"/>
      <c r="B1024" s="138"/>
      <c r="C1024" s="168"/>
      <c r="D1024" s="195"/>
      <c r="E1024" s="107"/>
      <c r="F1024" s="122"/>
      <c r="H1024" s="22"/>
      <c r="I1024" s="123"/>
      <c r="J1024" s="111"/>
      <c r="K1024" s="28"/>
      <c r="L1024" s="28"/>
      <c r="M1024" s="28"/>
      <c r="N1024" s="28"/>
      <c r="O1024" s="28"/>
      <c r="P1024" s="28"/>
      <c r="Q1024" s="28"/>
      <c r="R1024" s="28"/>
      <c r="S1024" s="28"/>
      <c r="T1024" s="28"/>
      <c r="U1024" s="28"/>
      <c r="V1024" s="28"/>
      <c r="W1024" s="28"/>
      <c r="X1024" s="28"/>
      <c r="Y1024" s="28"/>
      <c r="Z1024" s="28"/>
      <c r="AA1024" s="28"/>
    </row>
    <row r="1025" ht="16.5" customHeight="1">
      <c r="A1025" s="107"/>
      <c r="B1025" s="138"/>
      <c r="C1025" s="168"/>
      <c r="D1025" s="195"/>
      <c r="E1025" s="107"/>
      <c r="F1025" s="122"/>
      <c r="H1025" s="22"/>
      <c r="I1025" s="123"/>
      <c r="J1025" s="111"/>
      <c r="K1025" s="28"/>
      <c r="L1025" s="28"/>
      <c r="M1025" s="28"/>
      <c r="N1025" s="28"/>
      <c r="O1025" s="28"/>
      <c r="P1025" s="28"/>
      <c r="Q1025" s="28"/>
      <c r="R1025" s="28"/>
      <c r="S1025" s="28"/>
      <c r="T1025" s="28"/>
      <c r="U1025" s="28"/>
      <c r="V1025" s="28"/>
      <c r="W1025" s="28"/>
      <c r="X1025" s="28"/>
      <c r="Y1025" s="28"/>
      <c r="Z1025" s="28"/>
      <c r="AA1025" s="28"/>
    </row>
    <row r="1026" ht="16.5" customHeight="1">
      <c r="A1026" s="107"/>
      <c r="B1026" s="138"/>
      <c r="C1026" s="168"/>
      <c r="D1026" s="195"/>
      <c r="E1026" s="107"/>
      <c r="F1026" s="122"/>
      <c r="H1026" s="22"/>
      <c r="I1026" s="123"/>
      <c r="J1026" s="111"/>
      <c r="K1026" s="28"/>
      <c r="L1026" s="28"/>
      <c r="M1026" s="28"/>
      <c r="N1026" s="28"/>
      <c r="O1026" s="28"/>
      <c r="P1026" s="28"/>
      <c r="Q1026" s="28"/>
      <c r="R1026" s="28"/>
      <c r="S1026" s="28"/>
      <c r="T1026" s="28"/>
      <c r="U1026" s="28"/>
      <c r="V1026" s="28"/>
      <c r="W1026" s="28"/>
      <c r="X1026" s="28"/>
      <c r="Y1026" s="28"/>
      <c r="Z1026" s="28"/>
      <c r="AA1026" s="28"/>
    </row>
    <row r="1027" ht="16.5" customHeight="1">
      <c r="A1027" s="107"/>
      <c r="B1027" s="138"/>
      <c r="C1027" s="168"/>
      <c r="D1027" s="195"/>
      <c r="E1027" s="107"/>
      <c r="F1027" s="122"/>
      <c r="H1027" s="22"/>
      <c r="I1027" s="123"/>
      <c r="J1027" s="111"/>
      <c r="K1027" s="28"/>
      <c r="L1027" s="28"/>
      <c r="M1027" s="28"/>
      <c r="N1027" s="28"/>
      <c r="O1027" s="28"/>
      <c r="P1027" s="28"/>
      <c r="Q1027" s="28"/>
      <c r="R1027" s="28"/>
      <c r="S1027" s="28"/>
      <c r="T1027" s="28"/>
      <c r="U1027" s="28"/>
      <c r="V1027" s="28"/>
      <c r="W1027" s="28"/>
      <c r="X1027" s="28"/>
      <c r="Y1027" s="28"/>
      <c r="Z1027" s="28"/>
      <c r="AA1027" s="28"/>
    </row>
    <row r="1028" ht="16.5" customHeight="1">
      <c r="A1028" s="107"/>
      <c r="B1028" s="138"/>
      <c r="C1028" s="168"/>
      <c r="D1028" s="195"/>
      <c r="E1028" s="107"/>
      <c r="F1028" s="122"/>
      <c r="H1028" s="22"/>
      <c r="I1028" s="123"/>
      <c r="J1028" s="111"/>
      <c r="K1028" s="28"/>
      <c r="L1028" s="28"/>
      <c r="M1028" s="28"/>
      <c r="N1028" s="28"/>
      <c r="O1028" s="28"/>
      <c r="P1028" s="28"/>
      <c r="Q1028" s="28"/>
      <c r="R1028" s="28"/>
      <c r="S1028" s="28"/>
      <c r="T1028" s="28"/>
      <c r="U1028" s="28"/>
      <c r="V1028" s="28"/>
      <c r="W1028" s="28"/>
      <c r="X1028" s="28"/>
      <c r="Y1028" s="28"/>
      <c r="Z1028" s="28"/>
      <c r="AA1028" s="28"/>
    </row>
    <row r="1029" ht="16.5" customHeight="1">
      <c r="A1029" s="107"/>
      <c r="B1029" s="138"/>
      <c r="C1029" s="168"/>
      <c r="D1029" s="195"/>
      <c r="E1029" s="107"/>
      <c r="F1029" s="122"/>
      <c r="H1029" s="22"/>
      <c r="I1029" s="123"/>
      <c r="J1029" s="111"/>
      <c r="K1029" s="28"/>
      <c r="L1029" s="28"/>
      <c r="M1029" s="28"/>
      <c r="N1029" s="28"/>
      <c r="O1029" s="28"/>
      <c r="P1029" s="28"/>
      <c r="Q1029" s="28"/>
      <c r="R1029" s="28"/>
      <c r="S1029" s="28"/>
      <c r="T1029" s="28"/>
      <c r="U1029" s="28"/>
      <c r="V1029" s="28"/>
      <c r="W1029" s="28"/>
      <c r="X1029" s="28"/>
      <c r="Y1029" s="28"/>
      <c r="Z1029" s="28"/>
      <c r="AA1029" s="28"/>
    </row>
    <row r="1030" ht="16.5" customHeight="1">
      <c r="A1030" s="107"/>
      <c r="B1030" s="138"/>
      <c r="C1030" s="168"/>
      <c r="D1030" s="195"/>
      <c r="E1030" s="107"/>
      <c r="F1030" s="122"/>
      <c r="H1030" s="22"/>
      <c r="I1030" s="123"/>
      <c r="J1030" s="111"/>
      <c r="K1030" s="28"/>
      <c r="L1030" s="28"/>
      <c r="M1030" s="28"/>
      <c r="N1030" s="28"/>
      <c r="O1030" s="28"/>
      <c r="P1030" s="28"/>
      <c r="Q1030" s="28"/>
      <c r="R1030" s="28"/>
      <c r="S1030" s="28"/>
      <c r="T1030" s="28"/>
      <c r="U1030" s="28"/>
      <c r="V1030" s="28"/>
      <c r="W1030" s="28"/>
      <c r="X1030" s="28"/>
      <c r="Y1030" s="28"/>
      <c r="Z1030" s="28"/>
      <c r="AA1030" s="28"/>
    </row>
    <row r="1031" ht="16.5" customHeight="1">
      <c r="A1031" s="107"/>
      <c r="B1031" s="138"/>
      <c r="C1031" s="168"/>
      <c r="D1031" s="195"/>
      <c r="E1031" s="107"/>
      <c r="F1031" s="122"/>
      <c r="H1031" s="22"/>
      <c r="I1031" s="123"/>
      <c r="J1031" s="111"/>
      <c r="K1031" s="28"/>
      <c r="L1031" s="28"/>
      <c r="M1031" s="28"/>
      <c r="N1031" s="28"/>
      <c r="O1031" s="28"/>
      <c r="P1031" s="28"/>
      <c r="Q1031" s="28"/>
      <c r="R1031" s="28"/>
      <c r="S1031" s="28"/>
      <c r="T1031" s="28"/>
      <c r="U1031" s="28"/>
      <c r="V1031" s="28"/>
      <c r="W1031" s="28"/>
      <c r="X1031" s="28"/>
      <c r="Y1031" s="28"/>
      <c r="Z1031" s="28"/>
      <c r="AA1031" s="28"/>
    </row>
    <row r="1032" ht="16.5" customHeight="1">
      <c r="A1032" s="107"/>
      <c r="B1032" s="138"/>
      <c r="C1032" s="168"/>
      <c r="D1032" s="195"/>
      <c r="E1032" s="107"/>
      <c r="F1032" s="122"/>
      <c r="H1032" s="22"/>
      <c r="I1032" s="123"/>
      <c r="J1032" s="111"/>
      <c r="K1032" s="28"/>
      <c r="L1032" s="28"/>
      <c r="M1032" s="28"/>
      <c r="N1032" s="28"/>
      <c r="O1032" s="28"/>
      <c r="P1032" s="28"/>
      <c r="Q1032" s="28"/>
      <c r="R1032" s="28"/>
      <c r="S1032" s="28"/>
      <c r="T1032" s="28"/>
      <c r="U1032" s="28"/>
      <c r="V1032" s="28"/>
      <c r="W1032" s="28"/>
      <c r="X1032" s="28"/>
      <c r="Y1032" s="28"/>
      <c r="Z1032" s="28"/>
      <c r="AA1032" s="28"/>
    </row>
    <row r="1033" ht="16.5" customHeight="1">
      <c r="A1033" s="107"/>
      <c r="B1033" s="138"/>
      <c r="C1033" s="168"/>
      <c r="D1033" s="195"/>
      <c r="E1033" s="107"/>
      <c r="F1033" s="122"/>
      <c r="H1033" s="22"/>
      <c r="I1033" s="123"/>
      <c r="J1033" s="111"/>
      <c r="K1033" s="28"/>
      <c r="L1033" s="28"/>
      <c r="M1033" s="28"/>
      <c r="N1033" s="28"/>
      <c r="O1033" s="28"/>
      <c r="P1033" s="28"/>
      <c r="Q1033" s="28"/>
      <c r="R1033" s="28"/>
      <c r="S1033" s="28"/>
      <c r="T1033" s="28"/>
      <c r="U1033" s="28"/>
      <c r="V1033" s="28"/>
      <c r="W1033" s="28"/>
      <c r="X1033" s="28"/>
      <c r="Y1033" s="28"/>
      <c r="Z1033" s="28"/>
      <c r="AA1033" s="28"/>
    </row>
    <row r="1034" ht="16.5" customHeight="1">
      <c r="A1034" s="107"/>
      <c r="B1034" s="138"/>
      <c r="C1034" s="168"/>
      <c r="D1034" s="195"/>
      <c r="E1034" s="107"/>
      <c r="F1034" s="122"/>
      <c r="H1034" s="22"/>
      <c r="I1034" s="123"/>
      <c r="J1034" s="111"/>
      <c r="K1034" s="28"/>
      <c r="L1034" s="28"/>
      <c r="M1034" s="28"/>
      <c r="N1034" s="28"/>
      <c r="O1034" s="28"/>
      <c r="P1034" s="28"/>
      <c r="Q1034" s="28"/>
      <c r="R1034" s="28"/>
      <c r="S1034" s="28"/>
      <c r="T1034" s="28"/>
      <c r="U1034" s="28"/>
      <c r="V1034" s="28"/>
      <c r="W1034" s="28"/>
      <c r="X1034" s="28"/>
      <c r="Y1034" s="28"/>
      <c r="Z1034" s="28"/>
      <c r="AA1034" s="28"/>
    </row>
    <row r="1035" ht="16.5" customHeight="1">
      <c r="A1035" s="107"/>
      <c r="B1035" s="138"/>
      <c r="C1035" s="168"/>
      <c r="D1035" s="195"/>
      <c r="E1035" s="107"/>
      <c r="F1035" s="122"/>
      <c r="H1035" s="22"/>
      <c r="I1035" s="123"/>
      <c r="J1035" s="111"/>
      <c r="K1035" s="28"/>
      <c r="L1035" s="28"/>
      <c r="M1035" s="28"/>
      <c r="N1035" s="28"/>
      <c r="O1035" s="28"/>
      <c r="P1035" s="28"/>
      <c r="Q1035" s="28"/>
      <c r="R1035" s="28"/>
      <c r="S1035" s="28"/>
      <c r="T1035" s="28"/>
      <c r="U1035" s="28"/>
      <c r="V1035" s="28"/>
      <c r="W1035" s="28"/>
      <c r="X1035" s="28"/>
      <c r="Y1035" s="28"/>
      <c r="Z1035" s="28"/>
      <c r="AA1035" s="28"/>
    </row>
    <row r="1036" ht="16.5" customHeight="1">
      <c r="A1036" s="107"/>
      <c r="B1036" s="138"/>
      <c r="C1036" s="168"/>
      <c r="D1036" s="195"/>
      <c r="E1036" s="107"/>
      <c r="F1036" s="122"/>
      <c r="H1036" s="22"/>
      <c r="I1036" s="123"/>
      <c r="J1036" s="111"/>
      <c r="K1036" s="28"/>
      <c r="L1036" s="28"/>
      <c r="M1036" s="28"/>
      <c r="N1036" s="28"/>
      <c r="O1036" s="28"/>
      <c r="P1036" s="28"/>
      <c r="Q1036" s="28"/>
      <c r="R1036" s="28"/>
      <c r="S1036" s="28"/>
      <c r="T1036" s="28"/>
      <c r="U1036" s="28"/>
      <c r="V1036" s="28"/>
      <c r="W1036" s="28"/>
      <c r="X1036" s="28"/>
      <c r="Y1036" s="28"/>
      <c r="Z1036" s="28"/>
      <c r="AA1036" s="28"/>
    </row>
    <row r="1037" ht="16.5" customHeight="1">
      <c r="A1037" s="107"/>
      <c r="B1037" s="138"/>
      <c r="C1037" s="168"/>
      <c r="D1037" s="195"/>
      <c r="E1037" s="107"/>
      <c r="F1037" s="122"/>
      <c r="H1037" s="22"/>
      <c r="I1037" s="123"/>
      <c r="J1037" s="111"/>
      <c r="K1037" s="28"/>
      <c r="L1037" s="28"/>
      <c r="M1037" s="28"/>
      <c r="N1037" s="28"/>
      <c r="O1037" s="28"/>
      <c r="P1037" s="28"/>
      <c r="Q1037" s="28"/>
      <c r="R1037" s="28"/>
      <c r="S1037" s="28"/>
      <c r="T1037" s="28"/>
      <c r="U1037" s="28"/>
      <c r="V1037" s="28"/>
      <c r="W1037" s="28"/>
      <c r="X1037" s="28"/>
      <c r="Y1037" s="28"/>
      <c r="Z1037" s="28"/>
      <c r="AA1037" s="28"/>
    </row>
    <row r="1038" ht="16.5" customHeight="1">
      <c r="A1038" s="107"/>
      <c r="B1038" s="138"/>
      <c r="C1038" s="168"/>
      <c r="D1038" s="195"/>
      <c r="E1038" s="107"/>
      <c r="F1038" s="122"/>
      <c r="H1038" s="22"/>
      <c r="I1038" s="123"/>
      <c r="J1038" s="111"/>
      <c r="K1038" s="28"/>
      <c r="L1038" s="28"/>
      <c r="M1038" s="28"/>
      <c r="N1038" s="28"/>
      <c r="O1038" s="28"/>
      <c r="P1038" s="28"/>
      <c r="Q1038" s="28"/>
      <c r="R1038" s="28"/>
      <c r="S1038" s="28"/>
      <c r="T1038" s="28"/>
      <c r="U1038" s="28"/>
      <c r="V1038" s="28"/>
      <c r="W1038" s="28"/>
      <c r="X1038" s="28"/>
      <c r="Y1038" s="28"/>
      <c r="Z1038" s="28"/>
      <c r="AA1038" s="28"/>
    </row>
    <row r="1039" ht="16.5" customHeight="1">
      <c r="A1039" s="107"/>
      <c r="B1039" s="138"/>
      <c r="C1039" s="168"/>
      <c r="D1039" s="195"/>
      <c r="E1039" s="107"/>
      <c r="F1039" s="122"/>
      <c r="H1039" s="22"/>
      <c r="I1039" s="123"/>
      <c r="J1039" s="111"/>
      <c r="K1039" s="28"/>
      <c r="L1039" s="28"/>
      <c r="M1039" s="28"/>
      <c r="N1039" s="28"/>
      <c r="O1039" s="28"/>
      <c r="P1039" s="28"/>
      <c r="Q1039" s="28"/>
      <c r="R1039" s="28"/>
      <c r="S1039" s="28"/>
      <c r="T1039" s="28"/>
      <c r="U1039" s="28"/>
      <c r="V1039" s="28"/>
      <c r="W1039" s="28"/>
      <c r="X1039" s="28"/>
      <c r="Y1039" s="28"/>
      <c r="Z1039" s="28"/>
      <c r="AA1039" s="28"/>
    </row>
    <row r="1040" ht="16.5" customHeight="1">
      <c r="A1040" s="107"/>
      <c r="B1040" s="138"/>
      <c r="C1040" s="168"/>
      <c r="D1040" s="195"/>
      <c r="E1040" s="107"/>
      <c r="F1040" s="122"/>
      <c r="H1040" s="22"/>
      <c r="I1040" s="123"/>
      <c r="J1040" s="111"/>
      <c r="K1040" s="28"/>
      <c r="L1040" s="28"/>
      <c r="M1040" s="28"/>
      <c r="N1040" s="28"/>
      <c r="O1040" s="28"/>
      <c r="P1040" s="28"/>
      <c r="Q1040" s="28"/>
      <c r="R1040" s="28"/>
      <c r="S1040" s="28"/>
      <c r="T1040" s="28"/>
      <c r="U1040" s="28"/>
      <c r="V1040" s="28"/>
      <c r="W1040" s="28"/>
      <c r="X1040" s="28"/>
      <c r="Y1040" s="28"/>
      <c r="Z1040" s="28"/>
      <c r="AA1040" s="28"/>
    </row>
    <row r="1041" ht="16.5" customHeight="1">
      <c r="A1041" s="107"/>
      <c r="B1041" s="138"/>
      <c r="C1041" s="168"/>
      <c r="D1041" s="195"/>
      <c r="E1041" s="107"/>
      <c r="F1041" s="122"/>
      <c r="H1041" s="22"/>
      <c r="I1041" s="123"/>
      <c r="J1041" s="111"/>
      <c r="K1041" s="28"/>
      <c r="L1041" s="28"/>
      <c r="M1041" s="28"/>
      <c r="N1041" s="28"/>
      <c r="O1041" s="28"/>
      <c r="P1041" s="28"/>
      <c r="Q1041" s="28"/>
      <c r="R1041" s="28"/>
      <c r="S1041" s="28"/>
      <c r="T1041" s="28"/>
      <c r="U1041" s="28"/>
      <c r="V1041" s="28"/>
      <c r="W1041" s="28"/>
      <c r="X1041" s="28"/>
      <c r="Y1041" s="28"/>
      <c r="Z1041" s="28"/>
      <c r="AA1041" s="28"/>
    </row>
    <row r="1042" ht="16.5" customHeight="1">
      <c r="A1042" s="107"/>
      <c r="B1042" s="138"/>
      <c r="C1042" s="168"/>
      <c r="D1042" s="195"/>
      <c r="E1042" s="107"/>
      <c r="F1042" s="122"/>
      <c r="H1042" s="22"/>
      <c r="I1042" s="123"/>
      <c r="J1042" s="111"/>
      <c r="K1042" s="28"/>
      <c r="L1042" s="28"/>
      <c r="M1042" s="28"/>
      <c r="N1042" s="28"/>
      <c r="O1042" s="28"/>
      <c r="P1042" s="28"/>
      <c r="Q1042" s="28"/>
      <c r="R1042" s="28"/>
      <c r="S1042" s="28"/>
      <c r="T1042" s="28"/>
      <c r="U1042" s="28"/>
      <c r="V1042" s="28"/>
      <c r="W1042" s="28"/>
      <c r="X1042" s="28"/>
      <c r="Y1042" s="28"/>
      <c r="Z1042" s="28"/>
      <c r="AA1042" s="28"/>
    </row>
    <row r="1043" ht="16.5" customHeight="1">
      <c r="A1043" s="107"/>
      <c r="B1043" s="138"/>
      <c r="C1043" s="168"/>
      <c r="D1043" s="195"/>
      <c r="E1043" s="107"/>
      <c r="F1043" s="122"/>
      <c r="H1043" s="22"/>
      <c r="I1043" s="123"/>
      <c r="J1043" s="111"/>
      <c r="K1043" s="28"/>
      <c r="L1043" s="28"/>
      <c r="M1043" s="28"/>
      <c r="N1043" s="28"/>
      <c r="O1043" s="28"/>
      <c r="P1043" s="28"/>
      <c r="Q1043" s="28"/>
      <c r="R1043" s="28"/>
      <c r="S1043" s="28"/>
      <c r="T1043" s="28"/>
      <c r="U1043" s="28"/>
      <c r="V1043" s="28"/>
      <c r="W1043" s="28"/>
      <c r="X1043" s="28"/>
      <c r="Y1043" s="28"/>
      <c r="Z1043" s="28"/>
      <c r="AA1043" s="28"/>
    </row>
    <row r="1044" ht="16.5" customHeight="1">
      <c r="A1044" s="107"/>
      <c r="B1044" s="138"/>
      <c r="C1044" s="168"/>
      <c r="D1044" s="195"/>
      <c r="E1044" s="107"/>
      <c r="F1044" s="122"/>
      <c r="H1044" s="22"/>
      <c r="I1044" s="123"/>
      <c r="J1044" s="111"/>
      <c r="K1044" s="28"/>
      <c r="L1044" s="28"/>
      <c r="M1044" s="28"/>
      <c r="N1044" s="28"/>
      <c r="O1044" s="28"/>
      <c r="P1044" s="28"/>
      <c r="Q1044" s="28"/>
      <c r="R1044" s="28"/>
      <c r="S1044" s="28"/>
      <c r="T1044" s="28"/>
      <c r="U1044" s="28"/>
      <c r="V1044" s="28"/>
      <c r="W1044" s="28"/>
      <c r="X1044" s="28"/>
      <c r="Y1044" s="28"/>
      <c r="Z1044" s="28"/>
      <c r="AA1044" s="28"/>
    </row>
    <row r="1045" ht="16.5" customHeight="1">
      <c r="A1045" s="107"/>
      <c r="B1045" s="138"/>
      <c r="C1045" s="168"/>
      <c r="D1045" s="195"/>
      <c r="E1045" s="107"/>
      <c r="F1045" s="122"/>
      <c r="H1045" s="22"/>
      <c r="I1045" s="123"/>
      <c r="J1045" s="111"/>
      <c r="K1045" s="28"/>
      <c r="L1045" s="28"/>
      <c r="M1045" s="28"/>
      <c r="N1045" s="28"/>
      <c r="O1045" s="28"/>
      <c r="P1045" s="28"/>
      <c r="Q1045" s="28"/>
      <c r="R1045" s="28"/>
      <c r="S1045" s="28"/>
      <c r="T1045" s="28"/>
      <c r="U1045" s="28"/>
      <c r="V1045" s="28"/>
      <c r="W1045" s="28"/>
      <c r="X1045" s="28"/>
      <c r="Y1045" s="28"/>
      <c r="Z1045" s="28"/>
      <c r="AA1045" s="28"/>
    </row>
    <row r="1046" ht="16.5" customHeight="1">
      <c r="A1046" s="107"/>
      <c r="B1046" s="138"/>
      <c r="C1046" s="168"/>
      <c r="D1046" s="195"/>
      <c r="E1046" s="107"/>
      <c r="F1046" s="122"/>
      <c r="H1046" s="22"/>
      <c r="I1046" s="123"/>
      <c r="J1046" s="111"/>
      <c r="K1046" s="28"/>
      <c r="L1046" s="28"/>
      <c r="M1046" s="28"/>
      <c r="N1046" s="28"/>
      <c r="O1046" s="28"/>
      <c r="P1046" s="28"/>
      <c r="Q1046" s="28"/>
      <c r="R1046" s="28"/>
      <c r="S1046" s="28"/>
      <c r="T1046" s="28"/>
      <c r="U1046" s="28"/>
      <c r="V1046" s="28"/>
      <c r="W1046" s="28"/>
      <c r="X1046" s="28"/>
      <c r="Y1046" s="28"/>
      <c r="Z1046" s="28"/>
      <c r="AA1046" s="28"/>
    </row>
    <row r="1047" ht="16.5" customHeight="1">
      <c r="A1047" s="107"/>
      <c r="B1047" s="138"/>
      <c r="C1047" s="168"/>
      <c r="D1047" s="195"/>
      <c r="E1047" s="107"/>
      <c r="F1047" s="122"/>
      <c r="H1047" s="22"/>
      <c r="I1047" s="123"/>
      <c r="J1047" s="111"/>
      <c r="K1047" s="28"/>
      <c r="L1047" s="28"/>
      <c r="M1047" s="28"/>
      <c r="N1047" s="28"/>
      <c r="O1047" s="28"/>
      <c r="P1047" s="28"/>
      <c r="Q1047" s="28"/>
      <c r="R1047" s="28"/>
      <c r="S1047" s="28"/>
      <c r="T1047" s="28"/>
      <c r="U1047" s="28"/>
      <c r="V1047" s="28"/>
      <c r="W1047" s="28"/>
      <c r="X1047" s="28"/>
      <c r="Y1047" s="28"/>
      <c r="Z1047" s="28"/>
      <c r="AA1047" s="28"/>
    </row>
    <row r="1048" ht="16.5" customHeight="1">
      <c r="A1048" s="107"/>
      <c r="B1048" s="138"/>
      <c r="C1048" s="168"/>
      <c r="D1048" s="195"/>
      <c r="E1048" s="107"/>
      <c r="F1048" s="122"/>
      <c r="H1048" s="22"/>
      <c r="I1048" s="123"/>
      <c r="J1048" s="111"/>
      <c r="K1048" s="28"/>
      <c r="L1048" s="28"/>
      <c r="M1048" s="28"/>
      <c r="N1048" s="28"/>
      <c r="O1048" s="28"/>
      <c r="P1048" s="28"/>
      <c r="Q1048" s="28"/>
      <c r="R1048" s="28"/>
      <c r="S1048" s="28"/>
      <c r="T1048" s="28"/>
      <c r="U1048" s="28"/>
      <c r="V1048" s="28"/>
      <c r="W1048" s="28"/>
      <c r="X1048" s="28"/>
      <c r="Y1048" s="28"/>
      <c r="Z1048" s="28"/>
      <c r="AA1048" s="28"/>
    </row>
    <row r="1049" ht="16.5" customHeight="1">
      <c r="A1049" s="107"/>
      <c r="B1049" s="138"/>
      <c r="C1049" s="168"/>
      <c r="D1049" s="195"/>
      <c r="E1049" s="107"/>
      <c r="F1049" s="122"/>
      <c r="H1049" s="22"/>
      <c r="I1049" s="123"/>
      <c r="J1049" s="111"/>
      <c r="K1049" s="28"/>
      <c r="L1049" s="28"/>
      <c r="M1049" s="28"/>
      <c r="N1049" s="28"/>
      <c r="O1049" s="28"/>
      <c r="P1049" s="28"/>
      <c r="Q1049" s="28"/>
      <c r="R1049" s="28"/>
      <c r="S1049" s="28"/>
      <c r="T1049" s="28"/>
      <c r="U1049" s="28"/>
      <c r="V1049" s="28"/>
      <c r="W1049" s="28"/>
      <c r="X1049" s="28"/>
      <c r="Y1049" s="28"/>
      <c r="Z1049" s="28"/>
      <c r="AA1049" s="28"/>
    </row>
    <row r="1050" ht="16.5" customHeight="1">
      <c r="A1050" s="107"/>
      <c r="B1050" s="138"/>
      <c r="C1050" s="168"/>
      <c r="D1050" s="195"/>
      <c r="E1050" s="107"/>
      <c r="F1050" s="122"/>
      <c r="H1050" s="22"/>
      <c r="I1050" s="123"/>
      <c r="J1050" s="111"/>
      <c r="K1050" s="28"/>
      <c r="L1050" s="28"/>
      <c r="M1050" s="28"/>
      <c r="N1050" s="28"/>
      <c r="O1050" s="28"/>
      <c r="P1050" s="28"/>
      <c r="Q1050" s="28"/>
      <c r="R1050" s="28"/>
      <c r="S1050" s="28"/>
      <c r="T1050" s="28"/>
      <c r="U1050" s="28"/>
      <c r="V1050" s="28"/>
      <c r="W1050" s="28"/>
      <c r="X1050" s="28"/>
      <c r="Y1050" s="28"/>
      <c r="Z1050" s="28"/>
      <c r="AA1050" s="28"/>
    </row>
    <row r="1051" ht="16.5" customHeight="1">
      <c r="A1051" s="107"/>
      <c r="B1051" s="138"/>
      <c r="C1051" s="168"/>
      <c r="D1051" s="195"/>
      <c r="E1051" s="107"/>
      <c r="F1051" s="122"/>
      <c r="H1051" s="22"/>
      <c r="I1051" s="123"/>
      <c r="J1051" s="111"/>
      <c r="K1051" s="28"/>
      <c r="L1051" s="28"/>
      <c r="M1051" s="28"/>
      <c r="N1051" s="28"/>
      <c r="O1051" s="28"/>
      <c r="P1051" s="28"/>
      <c r="Q1051" s="28"/>
      <c r="R1051" s="28"/>
      <c r="S1051" s="28"/>
      <c r="T1051" s="28"/>
      <c r="U1051" s="28"/>
      <c r="V1051" s="28"/>
      <c r="W1051" s="28"/>
      <c r="X1051" s="28"/>
      <c r="Y1051" s="28"/>
      <c r="Z1051" s="28"/>
      <c r="AA1051" s="28"/>
    </row>
    <row r="1052" ht="16.5" customHeight="1">
      <c r="A1052" s="107"/>
      <c r="B1052" s="138"/>
      <c r="C1052" s="168"/>
      <c r="D1052" s="195"/>
      <c r="E1052" s="107"/>
      <c r="F1052" s="122"/>
      <c r="H1052" s="22"/>
      <c r="I1052" s="123"/>
      <c r="J1052" s="111"/>
      <c r="K1052" s="28"/>
      <c r="L1052" s="28"/>
      <c r="M1052" s="28"/>
      <c r="N1052" s="28"/>
      <c r="O1052" s="28"/>
      <c r="P1052" s="28"/>
      <c r="Q1052" s="28"/>
      <c r="R1052" s="28"/>
      <c r="S1052" s="28"/>
      <c r="T1052" s="28"/>
      <c r="U1052" s="28"/>
      <c r="V1052" s="28"/>
      <c r="W1052" s="28"/>
      <c r="X1052" s="28"/>
      <c r="Y1052" s="28"/>
      <c r="Z1052" s="28"/>
      <c r="AA1052" s="28"/>
    </row>
    <row r="1053" ht="16.5" customHeight="1">
      <c r="A1053" s="107"/>
      <c r="B1053" s="138"/>
      <c r="C1053" s="168"/>
      <c r="D1053" s="195"/>
      <c r="E1053" s="107"/>
      <c r="F1053" s="122"/>
      <c r="H1053" s="22"/>
      <c r="I1053" s="123"/>
      <c r="J1053" s="111"/>
      <c r="K1053" s="28"/>
      <c r="L1053" s="28"/>
      <c r="M1053" s="28"/>
      <c r="N1053" s="28"/>
      <c r="O1053" s="28"/>
      <c r="P1053" s="28"/>
      <c r="Q1053" s="28"/>
      <c r="R1053" s="28"/>
      <c r="S1053" s="28"/>
      <c r="T1053" s="28"/>
      <c r="U1053" s="28"/>
      <c r="V1053" s="28"/>
      <c r="W1053" s="28"/>
      <c r="X1053" s="28"/>
      <c r="Y1053" s="28"/>
      <c r="Z1053" s="28"/>
      <c r="AA1053" s="28"/>
    </row>
    <row r="1054" ht="16.5" customHeight="1">
      <c r="A1054" s="107"/>
      <c r="B1054" s="138"/>
      <c r="C1054" s="168"/>
      <c r="D1054" s="195"/>
      <c r="E1054" s="107"/>
      <c r="F1054" s="122"/>
      <c r="H1054" s="22"/>
      <c r="I1054" s="123"/>
      <c r="J1054" s="111"/>
      <c r="K1054" s="28"/>
      <c r="L1054" s="28"/>
      <c r="M1054" s="28"/>
      <c r="N1054" s="28"/>
      <c r="O1054" s="28"/>
      <c r="P1054" s="28"/>
      <c r="Q1054" s="28"/>
      <c r="R1054" s="28"/>
      <c r="S1054" s="28"/>
      <c r="T1054" s="28"/>
      <c r="U1054" s="28"/>
      <c r="V1054" s="28"/>
      <c r="W1054" s="28"/>
      <c r="X1054" s="28"/>
      <c r="Y1054" s="28"/>
      <c r="Z1054" s="28"/>
      <c r="AA1054" s="28"/>
    </row>
    <row r="1055" ht="16.5" customHeight="1">
      <c r="A1055" s="107"/>
      <c r="B1055" s="138"/>
      <c r="C1055" s="168"/>
      <c r="D1055" s="195"/>
      <c r="E1055" s="107"/>
      <c r="F1055" s="122"/>
      <c r="H1055" s="22"/>
      <c r="I1055" s="123"/>
      <c r="J1055" s="111"/>
      <c r="K1055" s="28"/>
      <c r="L1055" s="28"/>
      <c r="M1055" s="28"/>
      <c r="N1055" s="28"/>
      <c r="O1055" s="28"/>
      <c r="P1055" s="28"/>
      <c r="Q1055" s="28"/>
      <c r="R1055" s="28"/>
      <c r="S1055" s="28"/>
      <c r="T1055" s="28"/>
      <c r="U1055" s="28"/>
      <c r="V1055" s="28"/>
      <c r="W1055" s="28"/>
      <c r="X1055" s="28"/>
      <c r="Y1055" s="28"/>
      <c r="Z1055" s="28"/>
      <c r="AA1055" s="28"/>
    </row>
    <row r="1056" ht="16.5" customHeight="1">
      <c r="A1056" s="107"/>
      <c r="B1056" s="138"/>
      <c r="C1056" s="168"/>
      <c r="D1056" s="195"/>
      <c r="E1056" s="107"/>
      <c r="F1056" s="122"/>
      <c r="H1056" s="22"/>
      <c r="I1056" s="123"/>
      <c r="J1056" s="111"/>
      <c r="K1056" s="28"/>
      <c r="L1056" s="28"/>
      <c r="M1056" s="28"/>
      <c r="N1056" s="28"/>
      <c r="O1056" s="28"/>
      <c r="P1056" s="28"/>
      <c r="Q1056" s="28"/>
      <c r="R1056" s="28"/>
      <c r="S1056" s="28"/>
      <c r="T1056" s="28"/>
      <c r="U1056" s="28"/>
      <c r="V1056" s="28"/>
      <c r="W1056" s="28"/>
      <c r="X1056" s="28"/>
      <c r="Y1056" s="28"/>
      <c r="Z1056" s="28"/>
      <c r="AA1056" s="28"/>
    </row>
    <row r="1057" ht="16.5" customHeight="1">
      <c r="A1057" s="107"/>
      <c r="B1057" s="138"/>
      <c r="C1057" s="168"/>
      <c r="D1057" s="195"/>
      <c r="E1057" s="107"/>
      <c r="F1057" s="122"/>
      <c r="H1057" s="22"/>
      <c r="I1057" s="123"/>
      <c r="J1057" s="111"/>
      <c r="K1057" s="28"/>
      <c r="L1057" s="28"/>
      <c r="M1057" s="28"/>
      <c r="N1057" s="28"/>
      <c r="O1057" s="28"/>
      <c r="P1057" s="28"/>
      <c r="Q1057" s="28"/>
      <c r="R1057" s="28"/>
      <c r="S1057" s="28"/>
      <c r="T1057" s="28"/>
      <c r="U1057" s="28"/>
      <c r="V1057" s="28"/>
      <c r="W1057" s="28"/>
      <c r="X1057" s="28"/>
      <c r="Y1057" s="28"/>
      <c r="Z1057" s="28"/>
      <c r="AA1057" s="28"/>
    </row>
    <row r="1058" ht="16.5" customHeight="1">
      <c r="A1058" s="107"/>
      <c r="B1058" s="138"/>
      <c r="C1058" s="168"/>
      <c r="D1058" s="195"/>
      <c r="E1058" s="107"/>
      <c r="F1058" s="122"/>
      <c r="H1058" s="22"/>
      <c r="I1058" s="123"/>
      <c r="J1058" s="111"/>
      <c r="K1058" s="28"/>
      <c r="L1058" s="28"/>
      <c r="M1058" s="28"/>
      <c r="N1058" s="28"/>
      <c r="O1058" s="28"/>
      <c r="P1058" s="28"/>
      <c r="Q1058" s="28"/>
      <c r="R1058" s="28"/>
      <c r="S1058" s="28"/>
      <c r="T1058" s="28"/>
      <c r="U1058" s="28"/>
      <c r="V1058" s="28"/>
      <c r="W1058" s="28"/>
      <c r="X1058" s="28"/>
      <c r="Y1058" s="28"/>
      <c r="Z1058" s="28"/>
      <c r="AA1058" s="28"/>
    </row>
    <row r="1059" ht="16.5" customHeight="1">
      <c r="A1059" s="107"/>
      <c r="B1059" s="138"/>
      <c r="C1059" s="168"/>
      <c r="D1059" s="195"/>
      <c r="E1059" s="107"/>
      <c r="F1059" s="122"/>
      <c r="H1059" s="22"/>
      <c r="I1059" s="123"/>
      <c r="J1059" s="111"/>
      <c r="K1059" s="28"/>
      <c r="L1059" s="28"/>
      <c r="M1059" s="28"/>
      <c r="N1059" s="28"/>
      <c r="O1059" s="28"/>
      <c r="P1059" s="28"/>
      <c r="Q1059" s="28"/>
      <c r="R1059" s="28"/>
      <c r="S1059" s="28"/>
      <c r="T1059" s="28"/>
      <c r="U1059" s="28"/>
      <c r="V1059" s="28"/>
      <c r="W1059" s="28"/>
      <c r="X1059" s="28"/>
      <c r="Y1059" s="28"/>
      <c r="Z1059" s="28"/>
      <c r="AA1059" s="28"/>
    </row>
    <row r="1060" ht="16.5" customHeight="1">
      <c r="A1060" s="107"/>
      <c r="B1060" s="138"/>
      <c r="C1060" s="168"/>
      <c r="D1060" s="195"/>
      <c r="E1060" s="107"/>
      <c r="F1060" s="122"/>
      <c r="H1060" s="22"/>
      <c r="I1060" s="123"/>
      <c r="J1060" s="111"/>
      <c r="K1060" s="28"/>
      <c r="L1060" s="28"/>
      <c r="M1060" s="28"/>
      <c r="N1060" s="28"/>
      <c r="O1060" s="28"/>
      <c r="P1060" s="28"/>
      <c r="Q1060" s="28"/>
      <c r="R1060" s="28"/>
      <c r="S1060" s="28"/>
      <c r="T1060" s="28"/>
      <c r="U1060" s="28"/>
      <c r="V1060" s="28"/>
      <c r="W1060" s="28"/>
      <c r="X1060" s="28"/>
      <c r="Y1060" s="28"/>
      <c r="Z1060" s="28"/>
      <c r="AA1060" s="28"/>
    </row>
    <row r="1061" ht="16.5" customHeight="1">
      <c r="A1061" s="107"/>
      <c r="B1061" s="138"/>
      <c r="C1061" s="168"/>
      <c r="D1061" s="195"/>
      <c r="E1061" s="107"/>
      <c r="F1061" s="122"/>
      <c r="H1061" s="22"/>
      <c r="I1061" s="123"/>
      <c r="J1061" s="111"/>
      <c r="K1061" s="28"/>
      <c r="L1061" s="28"/>
      <c r="M1061" s="28"/>
      <c r="N1061" s="28"/>
      <c r="O1061" s="28"/>
      <c r="P1061" s="28"/>
      <c r="Q1061" s="28"/>
      <c r="R1061" s="28"/>
      <c r="S1061" s="28"/>
      <c r="T1061" s="28"/>
      <c r="U1061" s="28"/>
      <c r="V1061" s="28"/>
      <c r="W1061" s="28"/>
      <c r="X1061" s="28"/>
      <c r="Y1061" s="28"/>
      <c r="Z1061" s="28"/>
      <c r="AA1061" s="28"/>
    </row>
    <row r="1062" ht="16.5" customHeight="1">
      <c r="A1062" s="107"/>
      <c r="B1062" s="138"/>
      <c r="C1062" s="168"/>
      <c r="D1062" s="195"/>
      <c r="E1062" s="107"/>
      <c r="F1062" s="122"/>
      <c r="H1062" s="22"/>
      <c r="I1062" s="123"/>
      <c r="J1062" s="111"/>
      <c r="K1062" s="28"/>
      <c r="L1062" s="28"/>
      <c r="M1062" s="28"/>
      <c r="N1062" s="28"/>
      <c r="O1062" s="28"/>
      <c r="P1062" s="28"/>
      <c r="Q1062" s="28"/>
      <c r="R1062" s="28"/>
      <c r="S1062" s="28"/>
      <c r="T1062" s="28"/>
      <c r="U1062" s="28"/>
      <c r="V1062" s="28"/>
      <c r="W1062" s="28"/>
      <c r="X1062" s="28"/>
      <c r="Y1062" s="28"/>
      <c r="Z1062" s="28"/>
      <c r="AA1062" s="28"/>
    </row>
    <row r="1063" ht="16.5" customHeight="1">
      <c r="A1063" s="107"/>
      <c r="B1063" s="138"/>
      <c r="C1063" s="168"/>
      <c r="D1063" s="195"/>
      <c r="E1063" s="107"/>
      <c r="F1063" s="122"/>
      <c r="H1063" s="22"/>
      <c r="I1063" s="123"/>
      <c r="J1063" s="111"/>
      <c r="K1063" s="28"/>
      <c r="L1063" s="28"/>
      <c r="M1063" s="28"/>
      <c r="N1063" s="28"/>
      <c r="O1063" s="28"/>
      <c r="P1063" s="28"/>
      <c r="Q1063" s="28"/>
      <c r="R1063" s="28"/>
      <c r="S1063" s="28"/>
      <c r="T1063" s="28"/>
      <c r="U1063" s="28"/>
      <c r="V1063" s="28"/>
      <c r="W1063" s="28"/>
      <c r="X1063" s="28"/>
      <c r="Y1063" s="28"/>
      <c r="Z1063" s="28"/>
      <c r="AA1063" s="28"/>
    </row>
    <row r="1064" ht="16.5" customHeight="1">
      <c r="A1064" s="107"/>
      <c r="B1064" s="138"/>
      <c r="C1064" s="168"/>
      <c r="D1064" s="195"/>
      <c r="E1064" s="107"/>
      <c r="F1064" s="122"/>
      <c r="H1064" s="22"/>
      <c r="I1064" s="123"/>
      <c r="J1064" s="111"/>
      <c r="K1064" s="28"/>
      <c r="L1064" s="28"/>
      <c r="M1064" s="28"/>
      <c r="N1064" s="28"/>
      <c r="O1064" s="28"/>
      <c r="P1064" s="28"/>
      <c r="Q1064" s="28"/>
      <c r="R1064" s="28"/>
      <c r="S1064" s="28"/>
      <c r="T1064" s="28"/>
      <c r="U1064" s="28"/>
      <c r="V1064" s="28"/>
      <c r="W1064" s="28"/>
      <c r="X1064" s="28"/>
      <c r="Y1064" s="28"/>
      <c r="Z1064" s="28"/>
      <c r="AA1064" s="28"/>
    </row>
    <row r="1065" ht="16.5" customHeight="1">
      <c r="A1065" s="107"/>
      <c r="B1065" s="138"/>
      <c r="C1065" s="168"/>
      <c r="D1065" s="195"/>
      <c r="E1065" s="107"/>
      <c r="F1065" s="122"/>
      <c r="H1065" s="22"/>
      <c r="I1065" s="123"/>
      <c r="J1065" s="111"/>
      <c r="K1065" s="28"/>
      <c r="L1065" s="28"/>
      <c r="M1065" s="28"/>
      <c r="N1065" s="28"/>
      <c r="O1065" s="28"/>
      <c r="P1065" s="28"/>
      <c r="Q1065" s="28"/>
      <c r="R1065" s="28"/>
      <c r="S1065" s="28"/>
      <c r="T1065" s="28"/>
      <c r="U1065" s="28"/>
      <c r="V1065" s="28"/>
      <c r="W1065" s="28"/>
      <c r="X1065" s="28"/>
      <c r="Y1065" s="28"/>
      <c r="Z1065" s="28"/>
      <c r="AA1065" s="28"/>
    </row>
    <row r="1066" ht="16.5" customHeight="1">
      <c r="A1066" s="107"/>
      <c r="B1066" s="138"/>
      <c r="C1066" s="168"/>
      <c r="D1066" s="195"/>
      <c r="E1066" s="107"/>
      <c r="F1066" s="122"/>
      <c r="H1066" s="22"/>
      <c r="I1066" s="123"/>
      <c r="J1066" s="111"/>
      <c r="K1066" s="28"/>
      <c r="L1066" s="28"/>
      <c r="M1066" s="28"/>
      <c r="N1066" s="28"/>
      <c r="O1066" s="28"/>
      <c r="P1066" s="28"/>
      <c r="Q1066" s="28"/>
      <c r="R1066" s="28"/>
      <c r="S1066" s="28"/>
      <c r="T1066" s="28"/>
      <c r="U1066" s="28"/>
      <c r="V1066" s="28"/>
      <c r="W1066" s="28"/>
      <c r="X1066" s="28"/>
      <c r="Y1066" s="28"/>
      <c r="Z1066" s="28"/>
      <c r="AA1066" s="28"/>
    </row>
    <row r="1067" ht="16.5" customHeight="1">
      <c r="A1067" s="107"/>
      <c r="B1067" s="138"/>
      <c r="C1067" s="168"/>
      <c r="D1067" s="195"/>
      <c r="E1067" s="107"/>
      <c r="F1067" s="122"/>
      <c r="H1067" s="22"/>
      <c r="I1067" s="123"/>
      <c r="J1067" s="111"/>
      <c r="K1067" s="28"/>
      <c r="L1067" s="28"/>
      <c r="M1067" s="28"/>
      <c r="N1067" s="28"/>
      <c r="O1067" s="28"/>
      <c r="P1067" s="28"/>
      <c r="Q1067" s="28"/>
      <c r="R1067" s="28"/>
      <c r="S1067" s="28"/>
      <c r="T1067" s="28"/>
      <c r="U1067" s="28"/>
      <c r="V1067" s="28"/>
      <c r="W1067" s="28"/>
      <c r="X1067" s="28"/>
      <c r="Y1067" s="28"/>
      <c r="Z1067" s="28"/>
      <c r="AA1067" s="28"/>
    </row>
    <row r="1068" ht="16.5" customHeight="1">
      <c r="A1068" s="107"/>
      <c r="B1068" s="138"/>
      <c r="C1068" s="168"/>
      <c r="D1068" s="195"/>
      <c r="E1068" s="107"/>
      <c r="F1068" s="122"/>
      <c r="H1068" s="22"/>
      <c r="I1068" s="123"/>
      <c r="J1068" s="111"/>
      <c r="K1068" s="28"/>
      <c r="L1068" s="28"/>
      <c r="M1068" s="28"/>
      <c r="N1068" s="28"/>
      <c r="O1068" s="28"/>
      <c r="P1068" s="28"/>
      <c r="Q1068" s="28"/>
      <c r="R1068" s="28"/>
      <c r="S1068" s="28"/>
      <c r="T1068" s="28"/>
      <c r="U1068" s="28"/>
      <c r="V1068" s="28"/>
      <c r="W1068" s="28"/>
      <c r="X1068" s="28"/>
      <c r="Y1068" s="28"/>
      <c r="Z1068" s="28"/>
      <c r="AA1068" s="28"/>
    </row>
    <row r="1069" ht="16.5" customHeight="1">
      <c r="A1069" s="107"/>
      <c r="B1069" s="138"/>
      <c r="C1069" s="168"/>
      <c r="D1069" s="195"/>
      <c r="E1069" s="107"/>
      <c r="F1069" s="122"/>
      <c r="H1069" s="22"/>
      <c r="I1069" s="123"/>
      <c r="J1069" s="111"/>
      <c r="K1069" s="28"/>
      <c r="L1069" s="28"/>
      <c r="M1069" s="28"/>
      <c r="N1069" s="28"/>
      <c r="O1069" s="28"/>
      <c r="P1069" s="28"/>
      <c r="Q1069" s="28"/>
      <c r="R1069" s="28"/>
      <c r="S1069" s="28"/>
      <c r="T1069" s="28"/>
      <c r="U1069" s="28"/>
      <c r="V1069" s="28"/>
      <c r="W1069" s="28"/>
      <c r="X1069" s="28"/>
      <c r="Y1069" s="28"/>
      <c r="Z1069" s="28"/>
      <c r="AA1069" s="28"/>
    </row>
    <row r="1070" ht="16.5" customHeight="1">
      <c r="A1070" s="107"/>
      <c r="B1070" s="138"/>
      <c r="C1070" s="168"/>
      <c r="D1070" s="195"/>
      <c r="E1070" s="107"/>
      <c r="F1070" s="122"/>
      <c r="H1070" s="22"/>
      <c r="I1070" s="123"/>
      <c r="J1070" s="111"/>
      <c r="K1070" s="28"/>
      <c r="L1070" s="28"/>
      <c r="M1070" s="28"/>
      <c r="N1070" s="28"/>
      <c r="O1070" s="28"/>
      <c r="P1070" s="28"/>
      <c r="Q1070" s="28"/>
      <c r="R1070" s="28"/>
      <c r="S1070" s="28"/>
      <c r="T1070" s="28"/>
      <c r="U1070" s="28"/>
      <c r="V1070" s="28"/>
      <c r="W1070" s="28"/>
      <c r="X1070" s="28"/>
      <c r="Y1070" s="28"/>
      <c r="Z1070" s="28"/>
      <c r="AA1070" s="28"/>
    </row>
    <row r="1071" ht="16.5" customHeight="1">
      <c r="A1071" s="107"/>
      <c r="B1071" s="138"/>
      <c r="C1071" s="168"/>
      <c r="D1071" s="195"/>
      <c r="E1071" s="107"/>
      <c r="F1071" s="122"/>
      <c r="H1071" s="22"/>
      <c r="I1071" s="123"/>
      <c r="J1071" s="111"/>
      <c r="K1071" s="28"/>
      <c r="L1071" s="28"/>
      <c r="M1071" s="28"/>
      <c r="N1071" s="28"/>
      <c r="O1071" s="28"/>
      <c r="P1071" s="28"/>
      <c r="Q1071" s="28"/>
      <c r="R1071" s="28"/>
      <c r="S1071" s="28"/>
      <c r="T1071" s="28"/>
      <c r="U1071" s="28"/>
      <c r="V1071" s="28"/>
      <c r="W1071" s="28"/>
      <c r="X1071" s="28"/>
      <c r="Y1071" s="28"/>
      <c r="Z1071" s="28"/>
      <c r="AA1071" s="28"/>
    </row>
    <row r="1072" ht="16.5" customHeight="1">
      <c r="A1072" s="107"/>
      <c r="B1072" s="138"/>
      <c r="C1072" s="168"/>
      <c r="D1072" s="195"/>
      <c r="E1072" s="107"/>
      <c r="F1072" s="122"/>
      <c r="H1072" s="22"/>
      <c r="I1072" s="123"/>
      <c r="J1072" s="111"/>
      <c r="K1072" s="28"/>
      <c r="L1072" s="28"/>
      <c r="M1072" s="28"/>
      <c r="N1072" s="28"/>
      <c r="O1072" s="28"/>
      <c r="P1072" s="28"/>
      <c r="Q1072" s="28"/>
      <c r="R1072" s="28"/>
      <c r="S1072" s="28"/>
      <c r="T1072" s="28"/>
      <c r="U1072" s="28"/>
      <c r="V1072" s="28"/>
      <c r="W1072" s="28"/>
      <c r="X1072" s="28"/>
      <c r="Y1072" s="28"/>
      <c r="Z1072" s="28"/>
      <c r="AA1072" s="28"/>
    </row>
  </sheetData>
  <mergeCells count="1">
    <mergeCell ref="A1:G1"/>
  </mergeCells>
  <dataValidations>
    <dataValidation type="list" allowBlank="1" sqref="I3:I1072">
      <formula1>"CHECKED (OK),CHECKED  (NOT OK)"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88"/>
    <col customWidth="1" min="2" max="2" width="9.63"/>
    <col customWidth="1" min="3" max="3" width="24.75"/>
    <col customWidth="1" min="4" max="4" width="33.0"/>
    <col customWidth="1" min="5" max="5" width="14.25"/>
    <col customWidth="1" min="6" max="6" width="9.0"/>
    <col customWidth="1" min="7" max="7" width="28.63"/>
    <col customWidth="1" min="8" max="8" width="7.13"/>
    <col customWidth="1" min="9" max="9" width="14.75"/>
    <col customWidth="1" min="10" max="10" width="49.0"/>
  </cols>
  <sheetData>
    <row r="1">
      <c r="A1" s="196" t="s">
        <v>806</v>
      </c>
      <c r="H1" s="111"/>
      <c r="I1" s="197"/>
      <c r="J1" s="112" t="s">
        <v>807</v>
      </c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>
      <c r="A2" s="106" t="s">
        <v>1</v>
      </c>
      <c r="B2" s="106" t="s">
        <v>11</v>
      </c>
      <c r="C2" s="106" t="s">
        <v>12</v>
      </c>
      <c r="D2" s="114" t="s">
        <v>13</v>
      </c>
      <c r="E2" s="105" t="s">
        <v>808</v>
      </c>
      <c r="F2" s="183" t="s">
        <v>5</v>
      </c>
      <c r="G2" s="106" t="s">
        <v>646</v>
      </c>
      <c r="H2" s="116"/>
      <c r="I2" s="118" t="s">
        <v>6</v>
      </c>
      <c r="J2" s="119" t="s">
        <v>7</v>
      </c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>
      <c r="A3" s="107">
        <v>1.0</v>
      </c>
      <c r="B3" s="107">
        <v>1040512.0</v>
      </c>
      <c r="C3" s="168" t="str">
        <f>vlookup(B3,'Crew Data'!C:G,5,0)</f>
        <v>Nichapa Punsuwan</v>
      </c>
      <c r="D3" s="121" t="s">
        <v>710</v>
      </c>
      <c r="E3" s="198">
        <f>IFERROR(__xludf.DUMMYFUNCTION("IFERROR(SUM(
  ARRAYFORMULA(
    DATEVALUE(TRIM(MID(SPLIT(D3,CHAR(10)), FIND(""-"",SPLIT(D3,CHAR(10)))+1, 50))) 
  -
    DATEVALUE(TRIM(LEFT(SPLIT(D3,CHAR(10)), FIND(""-"",SPLIT(D3,CHAR(10)))-1)))
  + 1
)
),1)"),2.0)</f>
        <v>2</v>
      </c>
      <c r="F3" s="122">
        <f t="shared" ref="F3:F110" si="1">E3*400</f>
        <v>800</v>
      </c>
      <c r="G3" s="111" t="str">
        <f t="array" ref="G3">XLOOKUP(B3,Sheet68!A:A,Sheet68!AB:AB,0)</f>
        <v>nichapapunsuwan@airasia.com</v>
      </c>
      <c r="H3" s="22">
        <f t="shared" ref="H3:H110" si="2">COUNTIF(B:B,B3)</f>
        <v>1</v>
      </c>
      <c r="I3" s="123" t="s">
        <v>20</v>
      </c>
      <c r="J3" s="123" t="s">
        <v>809</v>
      </c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>
      <c r="A4" s="107">
        <v>2.0</v>
      </c>
      <c r="B4" s="107">
        <v>1005304.0</v>
      </c>
      <c r="C4" s="168" t="str">
        <f>vlookup(B4,'Crew Data'!C:G,5,0)</f>
        <v>Pongpon Buasalee</v>
      </c>
      <c r="D4" s="121" t="s">
        <v>810</v>
      </c>
      <c r="E4" s="198">
        <f>IFERROR(__xludf.DUMMYFUNCTION("IFERROR(SUM(
  ARRAYFORMULA(
    DATEVALUE(TRIM(MID(SPLIT(D4,CHAR(10)), FIND(""-"",SPLIT(D4,CHAR(10)))+1, 50))) 
  -
    DATEVALUE(TRIM(LEFT(SPLIT(D4,CHAR(10)), FIND(""-"",SPLIT(D4,CHAR(10)))-1)))
  + 1
)
),1)"),2.0)</f>
        <v>2</v>
      </c>
      <c r="F4" s="122">
        <f t="shared" si="1"/>
        <v>800</v>
      </c>
      <c r="G4" s="197" t="str">
        <f t="array" ref="G4">XLOOKUP(B4,Sheet68!A:A,Sheet68!AB:AB,0)</f>
        <v>pongponb@airasia.com</v>
      </c>
      <c r="H4" s="22">
        <f t="shared" si="2"/>
        <v>1</v>
      </c>
      <c r="I4" s="123" t="s">
        <v>20</v>
      </c>
      <c r="J4" s="123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</row>
    <row r="5">
      <c r="A5" s="107">
        <v>3.0</v>
      </c>
      <c r="B5" s="107">
        <v>1002065.0</v>
      </c>
      <c r="C5" s="168" t="str">
        <f>vlookup(B5,'Crew Data'!C:G,5,0)</f>
        <v>Pattaramon Phunsook</v>
      </c>
      <c r="D5" s="121" t="s">
        <v>719</v>
      </c>
      <c r="E5" s="198">
        <f>IFERROR(__xludf.DUMMYFUNCTION("IFERROR(SUM(
  ARRAYFORMULA(
    DATEVALUE(TRIM(MID(SPLIT(D5,CHAR(10)), FIND(""-"",SPLIT(D5,CHAR(10)))+1, 50))) 
  -
    DATEVALUE(TRIM(LEFT(SPLIT(D5,CHAR(10)), FIND(""-"",SPLIT(D5,CHAR(10)))-1)))
  + 1
)
),1)"),2.0)</f>
        <v>2</v>
      </c>
      <c r="F5" s="122">
        <f t="shared" si="1"/>
        <v>800</v>
      </c>
      <c r="G5" s="197" t="str">
        <f t="array" ref="G5">XLOOKUP(B5,Sheet68!A:A,Sheet68!AB:AB,0)</f>
        <v>pattaramonp@airasia.com</v>
      </c>
      <c r="H5" s="22">
        <f t="shared" si="2"/>
        <v>1</v>
      </c>
      <c r="I5" s="123" t="s">
        <v>20</v>
      </c>
      <c r="J5" s="123" t="s">
        <v>809</v>
      </c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>
      <c r="A6" s="107">
        <v>4.0</v>
      </c>
      <c r="B6" s="107">
        <v>1019406.0</v>
      </c>
      <c r="C6" s="168" t="str">
        <f>vlookup(B6,'Crew Data'!C:G,5,0)</f>
        <v>Purichaya Pongpeerachork</v>
      </c>
      <c r="D6" s="121" t="s">
        <v>811</v>
      </c>
      <c r="E6" s="198">
        <f>IFERROR(__xludf.DUMMYFUNCTION("IFERROR(SUM(
  ARRAYFORMULA(
    DATEVALUE(TRIM(MID(SPLIT(D6,CHAR(10)), FIND(""-"",SPLIT(D6,CHAR(10)))+1, 50))) 
  -
    DATEVALUE(TRIM(LEFT(SPLIT(D6,CHAR(10)), FIND(""-"",SPLIT(D6,CHAR(10)))-1)))
  + 1
)
),1)"),4.0)</f>
        <v>4</v>
      </c>
      <c r="F6" s="122">
        <f t="shared" si="1"/>
        <v>1600</v>
      </c>
      <c r="G6" s="197" t="str">
        <f t="array" ref="G6">XLOOKUP(B6,Sheet68!A:A,Sheet68!AB:AB,0)</f>
        <v>purichayap@airasia.com</v>
      </c>
      <c r="H6" s="22">
        <f t="shared" si="2"/>
        <v>1</v>
      </c>
      <c r="I6" s="123" t="s">
        <v>20</v>
      </c>
      <c r="J6" s="123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>
      <c r="A7" s="107">
        <v>5.0</v>
      </c>
      <c r="B7" s="107">
        <v>1026210.0</v>
      </c>
      <c r="C7" s="168" t="str">
        <f>vlookup(B7,'Crew Data'!C:G,5,0)</f>
        <v>Warissaraporn Srisathienkul</v>
      </c>
      <c r="D7" s="121" t="s">
        <v>798</v>
      </c>
      <c r="E7" s="198">
        <f>IFERROR(__xludf.DUMMYFUNCTION("IFERROR(SUM(
  ARRAYFORMULA(
    DATEVALUE(TRIM(MID(SPLIT(D7,CHAR(10)), FIND(""-"",SPLIT(D7,CHAR(10)))+1, 50))) 
  -
    DATEVALUE(TRIM(LEFT(SPLIT(D7,CHAR(10)), FIND(""-"",SPLIT(D7,CHAR(10)))-1)))
  + 1
)
),1)"),2.0)</f>
        <v>2</v>
      </c>
      <c r="F7" s="122">
        <f t="shared" si="1"/>
        <v>800</v>
      </c>
      <c r="G7" s="197" t="str">
        <f t="array" ref="G7">XLOOKUP(B7,Sheet68!A:A,Sheet68!AB:AB,0)</f>
        <v>warissarapornsrisat@airasia.com</v>
      </c>
      <c r="H7" s="22">
        <f t="shared" si="2"/>
        <v>1</v>
      </c>
      <c r="I7" s="123" t="s">
        <v>20</v>
      </c>
      <c r="J7" s="123" t="s">
        <v>699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 ht="43.5" customHeight="1">
      <c r="A8" s="107">
        <v>6.0</v>
      </c>
      <c r="B8" s="199">
        <v>1004034.0</v>
      </c>
      <c r="C8" s="168" t="str">
        <f>vlookup(B8,'Crew Data'!C:G,5,0)</f>
        <v>Monthon Siribunnakul</v>
      </c>
      <c r="D8" s="121" t="s">
        <v>812</v>
      </c>
      <c r="E8" s="198">
        <f>IFERROR(__xludf.DUMMYFUNCTION("IFERROR(SUM(
  ARRAYFORMULA(
    DATEVALUE(TRIM(MID(SPLIT(D8,CHAR(10)), FIND(""-"",SPLIT(D8,CHAR(10)))+1, 50))) 
  -
    DATEVALUE(TRIM(LEFT(SPLIT(D8,CHAR(10)), FIND(""-"",SPLIT(D8,CHAR(10)))-1)))
  + 1
)
),1)"),10.0)</f>
        <v>10</v>
      </c>
      <c r="F8" s="122">
        <f t="shared" si="1"/>
        <v>4000</v>
      </c>
      <c r="G8" s="197" t="str">
        <f t="array" ref="G8">XLOOKUP(B8,Sheet68!A:A,Sheet68!AB:AB,0)</f>
        <v>monthons@airasia.com</v>
      </c>
      <c r="H8" s="22">
        <f t="shared" si="2"/>
        <v>1</v>
      </c>
      <c r="I8" s="123" t="s">
        <v>20</v>
      </c>
      <c r="J8" s="123" t="s">
        <v>809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>
      <c r="A9" s="107">
        <v>7.0</v>
      </c>
      <c r="B9" s="107">
        <v>1012359.0</v>
      </c>
      <c r="C9" s="168" t="str">
        <f>vlookup(B9,'Crew Data'!C:G,5,0)</f>
        <v>Kotchakon Kanchanamethakul</v>
      </c>
      <c r="D9" s="121" t="s">
        <v>813</v>
      </c>
      <c r="E9" s="198">
        <f>IFERROR(__xludf.DUMMYFUNCTION("IFERROR(SUM(
  ARRAYFORMULA(
    DATEVALUE(TRIM(MID(SPLIT(D9,CHAR(10)), FIND(""-"",SPLIT(D9,CHAR(10)))+1, 50))) 
  -
    DATEVALUE(TRIM(LEFT(SPLIT(D9,CHAR(10)), FIND(""-"",SPLIT(D9,CHAR(10)))-1)))
  + 1
)
),1)"),12.0)</f>
        <v>12</v>
      </c>
      <c r="F9" s="122">
        <f t="shared" si="1"/>
        <v>4800</v>
      </c>
      <c r="G9" s="197" t="str">
        <f t="array" ref="G9">XLOOKUP(B9,Sheet68!A:A,Sheet68!AB:AB,0)</f>
        <v>kotchakonk@airasia.com</v>
      </c>
      <c r="H9" s="22">
        <f t="shared" si="2"/>
        <v>1</v>
      </c>
      <c r="I9" s="123" t="s">
        <v>20</v>
      </c>
      <c r="J9" s="123" t="s">
        <v>809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>
      <c r="A10" s="107">
        <v>8.0</v>
      </c>
      <c r="B10" s="107">
        <v>1044223.0</v>
      </c>
      <c r="C10" s="168" t="str">
        <f>vlookup(B10,'Crew Data'!C:G,5,0)</f>
        <v>Sujipa Prasitchairit</v>
      </c>
      <c r="D10" s="125">
        <v>45992.0</v>
      </c>
      <c r="E10" s="198">
        <f>IFERROR(__xludf.DUMMYFUNCTION("IFERROR(SUM(
  ARRAYFORMULA(
    DATEVALUE(TRIM(MID(SPLIT(D10,CHAR(10)), FIND(""-"",SPLIT(D10,CHAR(10)))+1, 50))) 
  -
    DATEVALUE(TRIM(LEFT(SPLIT(D10,CHAR(10)), FIND(""-"",SPLIT(D10,CHAR(10)))-1)))
  + 1
)
),1)"),1.0)</f>
        <v>1</v>
      </c>
      <c r="F10" s="122">
        <f t="shared" si="1"/>
        <v>400</v>
      </c>
      <c r="G10" s="197" t="str">
        <f t="array" ref="G10">XLOOKUP(B10,Sheet68!A:A,Sheet68!AB:AB,0)</f>
        <v>sujipapra@airasia.com</v>
      </c>
      <c r="H10" s="22">
        <f t="shared" si="2"/>
        <v>1</v>
      </c>
      <c r="I10" s="123" t="s">
        <v>20</v>
      </c>
      <c r="J10" s="123" t="s">
        <v>809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>
      <c r="A11" s="107">
        <v>9.0</v>
      </c>
      <c r="B11" s="107">
        <v>1027118.0</v>
      </c>
      <c r="C11" s="168" t="str">
        <f>vlookup(B11,'Crew Data'!C:G,5,0)</f>
        <v>Kamonkarn Chuengoen</v>
      </c>
      <c r="D11" s="121" t="s">
        <v>726</v>
      </c>
      <c r="E11" s="198">
        <f>IFERROR(__xludf.DUMMYFUNCTION("IFERROR(SUM(
  ARRAYFORMULA(
    DATEVALUE(TRIM(MID(SPLIT(D11,CHAR(10)), FIND(""-"",SPLIT(D11,CHAR(10)))+1, 50))) 
  -
    DATEVALUE(TRIM(LEFT(SPLIT(D11,CHAR(10)), FIND(""-"",SPLIT(D11,CHAR(10)))-1)))
  + 1
)
),1)"),2.0)</f>
        <v>2</v>
      </c>
      <c r="F11" s="122">
        <f t="shared" si="1"/>
        <v>800</v>
      </c>
      <c r="G11" s="197" t="str">
        <f t="array" ref="G11">XLOOKUP(B11,Sheet68!A:A,Sheet68!AB:AB,0)</f>
        <v>kamonkarnchuengoen@airasia.com</v>
      </c>
      <c r="H11" s="22">
        <f t="shared" si="2"/>
        <v>1</v>
      </c>
      <c r="I11" s="123" t="s">
        <v>20</v>
      </c>
      <c r="J11" s="123" t="s">
        <v>809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>
      <c r="A12" s="107">
        <v>10.0</v>
      </c>
      <c r="B12" s="107">
        <v>1011065.0</v>
      </c>
      <c r="C12" s="168" t="str">
        <f>vlookup(B12,'Crew Data'!C:G,5,0)</f>
        <v>Krittapak Chuchuaisuwan</v>
      </c>
      <c r="D12" s="121" t="s">
        <v>814</v>
      </c>
      <c r="E12" s="198">
        <f>IFERROR(__xludf.DUMMYFUNCTION("IFERROR(SUM(
  ARRAYFORMULA(
    DATEVALUE(TRIM(MID(SPLIT(D12,CHAR(10)), FIND(""-"",SPLIT(D12,CHAR(10)))+1, 50))) 
  -
    DATEVALUE(TRIM(LEFT(SPLIT(D12,CHAR(10)), FIND(""-"",SPLIT(D12,CHAR(10)))-1)))
  + 1
)
),1)"),12.0)</f>
        <v>12</v>
      </c>
      <c r="F12" s="122">
        <f t="shared" si="1"/>
        <v>4800</v>
      </c>
      <c r="G12" s="197" t="str">
        <f t="array" ref="G12">XLOOKUP(B12,Sheet68!A:A,Sheet68!AB:AB,0)</f>
        <v>krittapakc@airasia.com</v>
      </c>
      <c r="H12" s="22">
        <f t="shared" si="2"/>
        <v>1</v>
      </c>
      <c r="I12" s="123" t="s">
        <v>20</v>
      </c>
      <c r="J12" s="123" t="s">
        <v>809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>
      <c r="A13" s="107">
        <v>11.0</v>
      </c>
      <c r="B13" s="200">
        <v>1007138.0</v>
      </c>
      <c r="C13" s="168" t="str">
        <f>vlookup(B13,'Crew Data'!C:G,5,0)</f>
        <v>Muanprae Fukiatisuthi</v>
      </c>
      <c r="D13" s="121" t="s">
        <v>815</v>
      </c>
      <c r="E13" s="198">
        <f>IFERROR(__xludf.DUMMYFUNCTION("IFERROR(SUM(
  ARRAYFORMULA(
    DATEVALUE(TRIM(MID(SPLIT(D13,CHAR(10)), FIND(""-"",SPLIT(D13,CHAR(10)))+1, 50))) 
  -
    DATEVALUE(TRIM(LEFT(SPLIT(D13,CHAR(10)), FIND(""-"",SPLIT(D13,CHAR(10)))-1)))
  + 1
)
),1)"),4.0)</f>
        <v>4</v>
      </c>
      <c r="F13" s="122">
        <f t="shared" si="1"/>
        <v>1600</v>
      </c>
      <c r="G13" s="197" t="str">
        <f t="array" ref="G13">XLOOKUP(B13,Sheet68!A:A,Sheet68!AB:AB,0)</f>
        <v>muanpraef@airasia.com</v>
      </c>
      <c r="H13" s="22">
        <f t="shared" si="2"/>
        <v>1</v>
      </c>
      <c r="I13" s="123" t="s">
        <v>20</v>
      </c>
      <c r="J13" s="123" t="s">
        <v>809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>
      <c r="A14" s="107">
        <v>12.0</v>
      </c>
      <c r="B14" s="107">
        <v>1026025.0</v>
      </c>
      <c r="C14" s="168" t="str">
        <f>vlookup(B14,'Crew Data'!C:G,5,0)</f>
        <v>Marisa Homderm</v>
      </c>
      <c r="D14" s="121" t="s">
        <v>816</v>
      </c>
      <c r="E14" s="198">
        <f>IFERROR(__xludf.DUMMYFUNCTION("IFERROR(SUM(
  ARRAYFORMULA(
    DATEVALUE(TRIM(MID(SPLIT(D14,CHAR(10)), FIND(""-"",SPLIT(D14,CHAR(10)))+1, 50))) 
  -
    DATEVALUE(TRIM(LEFT(SPLIT(D14,CHAR(10)), FIND(""-"",SPLIT(D14,CHAR(10)))-1)))
  + 1
)
),1)"),4.0)</f>
        <v>4</v>
      </c>
      <c r="F14" s="122">
        <f t="shared" si="1"/>
        <v>1600</v>
      </c>
      <c r="G14" s="197" t="str">
        <f t="array" ref="G14">XLOOKUP(B14,Sheet68!A:A,Sheet68!AB:AB,0)</f>
        <v>marisahom@airasia.com</v>
      </c>
      <c r="H14" s="22">
        <f t="shared" si="2"/>
        <v>1</v>
      </c>
      <c r="I14" s="123" t="s">
        <v>20</v>
      </c>
      <c r="J14" s="123" t="s">
        <v>809</v>
      </c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>
      <c r="A15" s="107">
        <v>13.0</v>
      </c>
      <c r="B15" s="107">
        <v>1044222.0</v>
      </c>
      <c r="C15" s="168" t="str">
        <f>vlookup(B15,'Crew Data'!C:G,5,0)</f>
        <v>Pichit Jinakaew</v>
      </c>
      <c r="D15" s="125">
        <v>45992.0</v>
      </c>
      <c r="E15" s="198">
        <f>IFERROR(__xludf.DUMMYFUNCTION("IFERROR(SUM(
  ARRAYFORMULA(
    DATEVALUE(TRIM(MID(SPLIT(D15,CHAR(10)), FIND(""-"",SPLIT(D15,CHAR(10)))+1, 50))) 
  -
    DATEVALUE(TRIM(LEFT(SPLIT(D15,CHAR(10)), FIND(""-"",SPLIT(D15,CHAR(10)))-1)))
  + 1
)
),1)"),1.0)</f>
        <v>1</v>
      </c>
      <c r="F15" s="122">
        <f t="shared" si="1"/>
        <v>400</v>
      </c>
      <c r="G15" s="197" t="str">
        <f t="array" ref="G15">XLOOKUP(B15,Sheet68!A:A,Sheet68!AB:AB,0)</f>
        <v>pichitjin@airasia.com</v>
      </c>
      <c r="H15" s="22">
        <f t="shared" si="2"/>
        <v>1</v>
      </c>
      <c r="I15" s="123" t="s">
        <v>20</v>
      </c>
      <c r="J15" s="123" t="s">
        <v>809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>
      <c r="A16" s="107">
        <v>14.0</v>
      </c>
      <c r="B16" s="107">
        <v>1003425.0</v>
      </c>
      <c r="C16" s="168" t="str">
        <f>vlookup(B16,'Crew Data'!C:G,5,0)</f>
        <v>Ake Choetsobhon</v>
      </c>
      <c r="D16" s="121" t="s">
        <v>705</v>
      </c>
      <c r="E16" s="198">
        <f>IFERROR(__xludf.DUMMYFUNCTION("IFERROR(SUM(
  ARRAYFORMULA(
    DATEVALUE(TRIM(MID(SPLIT(D16,CHAR(10)), FIND(""-"",SPLIT(D16,CHAR(10)))+1, 50))) 
  -
    DATEVALUE(TRIM(LEFT(SPLIT(D16,CHAR(10)), FIND(""-"",SPLIT(D16,CHAR(10)))-1)))
  + 1
)
),1)"),2.0)</f>
        <v>2</v>
      </c>
      <c r="F16" s="122">
        <f t="shared" si="1"/>
        <v>800</v>
      </c>
      <c r="G16" s="197" t="str">
        <f t="array" ref="G16">XLOOKUP(B16,Sheet68!A:A,Sheet68!AB:AB,0)</f>
        <v>akec@airasia.com</v>
      </c>
      <c r="H16" s="22">
        <f t="shared" si="2"/>
        <v>1</v>
      </c>
      <c r="I16" s="123" t="s">
        <v>20</v>
      </c>
      <c r="J16" s="123" t="s">
        <v>699</v>
      </c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</row>
    <row r="17">
      <c r="A17" s="107">
        <v>15.0</v>
      </c>
      <c r="B17" s="107">
        <v>1006998.0</v>
      </c>
      <c r="C17" s="168" t="str">
        <f>vlookup(B17,'Crew Data'!C:G,5,0)</f>
        <v>Natchanakarn Wattanaboribhonkun</v>
      </c>
      <c r="D17" s="121" t="s">
        <v>817</v>
      </c>
      <c r="E17" s="198">
        <f>IFERROR(__xludf.DUMMYFUNCTION("IFERROR(SUM(
  ARRAYFORMULA(
    DATEVALUE(TRIM(MID(SPLIT(D17,CHAR(10)), FIND(""-"",SPLIT(D17,CHAR(10)))+1, 50))) 
  -
    DATEVALUE(TRIM(LEFT(SPLIT(D17,CHAR(10)), FIND(""-"",SPLIT(D17,CHAR(10)))-1)))
  + 1
)
),1)"),2.0)</f>
        <v>2</v>
      </c>
      <c r="F17" s="122">
        <f t="shared" si="1"/>
        <v>800</v>
      </c>
      <c r="G17" s="197" t="str">
        <f t="array" ref="G17">XLOOKUP(B17,Sheet68!A:A,Sheet68!AB:AB,0)</f>
        <v>natchanakarnw@airasia.com</v>
      </c>
      <c r="H17" s="22">
        <f t="shared" si="2"/>
        <v>1</v>
      </c>
      <c r="I17" s="123" t="s">
        <v>20</v>
      </c>
      <c r="J17" s="123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</row>
    <row r="18">
      <c r="A18" s="107">
        <v>16.0</v>
      </c>
      <c r="B18" s="107">
        <v>1011516.0</v>
      </c>
      <c r="C18" s="168" t="str">
        <f>vlookup(B18,'Crew Data'!C:G,5,0)</f>
        <v>Thitipol Soontorn-Anantakul</v>
      </c>
      <c r="D18" s="121" t="s">
        <v>817</v>
      </c>
      <c r="E18" s="198">
        <f>IFERROR(__xludf.DUMMYFUNCTION("IFERROR(SUM(
  ARRAYFORMULA(
    DATEVALUE(TRIM(MID(SPLIT(D18,CHAR(10)), FIND(""-"",SPLIT(D18,CHAR(10)))+1, 50))) 
  -
    DATEVALUE(TRIM(LEFT(SPLIT(D18,CHAR(10)), FIND(""-"",SPLIT(D18,CHAR(10)))-1)))
  + 1
)
),1)"),2.0)</f>
        <v>2</v>
      </c>
      <c r="F18" s="122">
        <f t="shared" si="1"/>
        <v>800</v>
      </c>
      <c r="G18" s="197" t="str">
        <f t="array" ref="G18">XLOOKUP(B18,Sheet68!A:A,Sheet68!AB:AB,0)</f>
        <v>thitipols@airasia.com</v>
      </c>
      <c r="H18" s="22">
        <f t="shared" si="2"/>
        <v>1</v>
      </c>
      <c r="I18" s="123" t="s">
        <v>20</v>
      </c>
      <c r="J18" s="123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</row>
    <row r="19">
      <c r="A19" s="107">
        <v>17.0</v>
      </c>
      <c r="B19" s="107">
        <v>1019307.0</v>
      </c>
      <c r="C19" s="168" t="str">
        <f>vlookup(B19,'Crew Data'!C:G,5,0)</f>
        <v>Thanyathorn Krisanayanyong</v>
      </c>
      <c r="D19" s="121" t="s">
        <v>817</v>
      </c>
      <c r="E19" s="198">
        <f>IFERROR(__xludf.DUMMYFUNCTION("IFERROR(SUM(
  ARRAYFORMULA(
    DATEVALUE(TRIM(MID(SPLIT(D19,CHAR(10)), FIND(""-"",SPLIT(D19,CHAR(10)))+1, 50))) 
  -
    DATEVALUE(TRIM(LEFT(SPLIT(D19,CHAR(10)), FIND(""-"",SPLIT(D19,CHAR(10)))-1)))
  + 1
)
),1)"),2.0)</f>
        <v>2</v>
      </c>
      <c r="F19" s="122">
        <f t="shared" si="1"/>
        <v>800</v>
      </c>
      <c r="G19" s="197" t="str">
        <f t="array" ref="G19">XLOOKUP(B19,Sheet68!A:A,Sheet68!AB:AB,0)</f>
        <v>thanyathornk@airasia.com</v>
      </c>
      <c r="H19" s="22">
        <f t="shared" si="2"/>
        <v>1</v>
      </c>
      <c r="I19" s="123" t="s">
        <v>20</v>
      </c>
      <c r="J19" s="123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</row>
    <row r="20">
      <c r="A20" s="107">
        <v>18.0</v>
      </c>
      <c r="B20" s="107">
        <v>1025550.0</v>
      </c>
      <c r="C20" s="168" t="str">
        <f>vlookup(B20,'Crew Data'!C:G,5,0)</f>
        <v>Kathabhon Thanalerdsobhon</v>
      </c>
      <c r="D20" s="121" t="s">
        <v>818</v>
      </c>
      <c r="E20" s="198">
        <f>IFERROR(__xludf.DUMMYFUNCTION("IFERROR(SUM(
  ARRAYFORMULA(
    DATEVALUE(TRIM(MID(SPLIT(D20,CHAR(10)), FIND(""-"",SPLIT(D20,CHAR(10)))+1, 50))) 
  -
    DATEVALUE(TRIM(LEFT(SPLIT(D20,CHAR(10)), FIND(""-"",SPLIT(D20,CHAR(10)))-1)))
  + 1
)
),1)"),2.0)</f>
        <v>2</v>
      </c>
      <c r="F20" s="122">
        <f t="shared" si="1"/>
        <v>800</v>
      </c>
      <c r="G20" s="197" t="str">
        <f t="array" ref="G20">XLOOKUP(B20,Sheet68!A:A,Sheet68!AB:AB,0)</f>
        <v>kathabhonthanalerds@airasia.com</v>
      </c>
      <c r="H20" s="22">
        <f t="shared" si="2"/>
        <v>1</v>
      </c>
      <c r="I20" s="123" t="s">
        <v>20</v>
      </c>
      <c r="J20" s="123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</row>
    <row r="21">
      <c r="A21" s="107">
        <v>19.0</v>
      </c>
      <c r="B21" s="107">
        <v>1008424.0</v>
      </c>
      <c r="C21" s="168" t="str">
        <f>vlookup(B21,'Crew Data'!C:G,5,0)</f>
        <v>Sudsaiparn Sasiwannapong</v>
      </c>
      <c r="D21" s="121" t="s">
        <v>818</v>
      </c>
      <c r="E21" s="198">
        <f>IFERROR(__xludf.DUMMYFUNCTION("IFERROR(SUM(
  ARRAYFORMULA(
    DATEVALUE(TRIM(MID(SPLIT(D21,CHAR(10)), FIND(""-"",SPLIT(D21,CHAR(10)))+1, 50))) 
  -
    DATEVALUE(TRIM(LEFT(SPLIT(D21,CHAR(10)), FIND(""-"",SPLIT(D21,CHAR(10)))-1)))
  + 1
)
),1)"),2.0)</f>
        <v>2</v>
      </c>
      <c r="F21" s="122">
        <f t="shared" si="1"/>
        <v>800</v>
      </c>
      <c r="G21" s="197" t="str">
        <f t="array" ref="G21">XLOOKUP(B21,Sheet68!A:A,Sheet68!AB:AB,0)</f>
        <v>sudsaiparns@airasia.com</v>
      </c>
      <c r="H21" s="22">
        <f t="shared" si="2"/>
        <v>1</v>
      </c>
      <c r="I21" s="123" t="s">
        <v>20</v>
      </c>
      <c r="J21" s="123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</row>
    <row r="22">
      <c r="A22" s="107">
        <v>20.0</v>
      </c>
      <c r="B22" s="107">
        <v>1008987.0</v>
      </c>
      <c r="C22" s="168" t="str">
        <f>vlookup(B22,'Crew Data'!C:G,5,0)</f>
        <v>Punnasisth Rangshirinanthakorn</v>
      </c>
      <c r="D22" s="121" t="s">
        <v>818</v>
      </c>
      <c r="E22" s="198">
        <f>IFERROR(__xludf.DUMMYFUNCTION("IFERROR(SUM(
  ARRAYFORMULA(
    DATEVALUE(TRIM(MID(SPLIT(D22,CHAR(10)), FIND(""-"",SPLIT(D22,CHAR(10)))+1, 50))) 
  -
    DATEVALUE(TRIM(LEFT(SPLIT(D22,CHAR(10)), FIND(""-"",SPLIT(D22,CHAR(10)))-1)))
  + 1
)
),1)"),2.0)</f>
        <v>2</v>
      </c>
      <c r="F22" s="122">
        <f t="shared" si="1"/>
        <v>800</v>
      </c>
      <c r="G22" s="111" t="str">
        <f t="array" ref="G22">XLOOKUP(B22,Sheet68!A:A,Sheet68!AB:AB,0)</f>
        <v>punnasisthran@airasia.com</v>
      </c>
      <c r="H22" s="22">
        <f t="shared" si="2"/>
        <v>1</v>
      </c>
      <c r="I22" s="123" t="s">
        <v>20</v>
      </c>
      <c r="J22" s="123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>
      <c r="A23" s="107">
        <v>21.0</v>
      </c>
      <c r="B23" s="107">
        <v>1023582.0</v>
      </c>
      <c r="C23" s="168" t="str">
        <f>vlookup(B23,'Crew Data'!C:G,5,0)</f>
        <v>Rawiwan Chailerst</v>
      </c>
      <c r="D23" s="121" t="s">
        <v>819</v>
      </c>
      <c r="E23" s="198">
        <f>IFERROR(__xludf.DUMMYFUNCTION("IFERROR(SUM(
  ARRAYFORMULA(
    DATEVALUE(TRIM(MID(SPLIT(D23,CHAR(10)), FIND(""-"",SPLIT(D23,CHAR(10)))+1, 50))) 
  -
    DATEVALUE(TRIM(LEFT(SPLIT(D23,CHAR(10)), FIND(""-"",SPLIT(D23,CHAR(10)))-1)))
  + 1
)
),1)"),2.0)</f>
        <v>2</v>
      </c>
      <c r="F23" s="122">
        <f t="shared" si="1"/>
        <v>800</v>
      </c>
      <c r="G23" s="197" t="str">
        <f t="array" ref="G23">XLOOKUP(B23,Sheet68!A:A,Sheet68!AB:AB,0)</f>
        <v>rawiwanchailerst@airasia.com</v>
      </c>
      <c r="H23" s="22">
        <f t="shared" si="2"/>
        <v>1</v>
      </c>
      <c r="I23" s="123" t="s">
        <v>20</v>
      </c>
      <c r="J23" s="123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>
      <c r="A24" s="107">
        <v>22.0</v>
      </c>
      <c r="B24" s="107">
        <v>1023591.0</v>
      </c>
      <c r="C24" s="168" t="str">
        <f>vlookup(B24,'Crew Data'!C:G,5,0)</f>
        <v>Jittanan Piromsri</v>
      </c>
      <c r="D24" s="121" t="s">
        <v>820</v>
      </c>
      <c r="E24" s="198">
        <f>IFERROR(__xludf.DUMMYFUNCTION("IFERROR(SUM(
  ARRAYFORMULA(
    DATEVALUE(TRIM(MID(SPLIT(D24,CHAR(10)), FIND(""-"",SPLIT(D24,CHAR(10)))+1, 50))) 
  -
    DATEVALUE(TRIM(LEFT(SPLIT(D24,CHAR(10)), FIND(""-"",SPLIT(D24,CHAR(10)))-1)))
  + 1
)
),1)"),2.0)</f>
        <v>2</v>
      </c>
      <c r="F24" s="122">
        <f t="shared" si="1"/>
        <v>800</v>
      </c>
      <c r="G24" s="197" t="str">
        <f t="array" ref="G24">XLOOKUP(B24,Sheet68!A:A,Sheet68!AB:AB,0)</f>
        <v>jittananpiromsri@airasia.com</v>
      </c>
      <c r="H24" s="22">
        <f t="shared" si="2"/>
        <v>1</v>
      </c>
      <c r="I24" s="123" t="s">
        <v>20</v>
      </c>
      <c r="J24" s="123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>
      <c r="A25" s="107">
        <v>23.0</v>
      </c>
      <c r="B25" s="107">
        <v>1018803.0</v>
      </c>
      <c r="C25" s="168" t="str">
        <f>vlookup(B25,'Crew Data'!C:G,5,0)</f>
        <v>Natthaphon Poosomchit</v>
      </c>
      <c r="D25" s="121" t="s">
        <v>818</v>
      </c>
      <c r="E25" s="198">
        <f>IFERROR(__xludf.DUMMYFUNCTION("IFERROR(SUM(
  ARRAYFORMULA(
    DATEVALUE(TRIM(MID(SPLIT(D25,CHAR(10)), FIND(""-"",SPLIT(D25,CHAR(10)))+1, 50))) 
  -
    DATEVALUE(TRIM(LEFT(SPLIT(D25,CHAR(10)), FIND(""-"",SPLIT(D25,CHAR(10)))-1)))
  + 1
)
),1)"),2.0)</f>
        <v>2</v>
      </c>
      <c r="F25" s="122">
        <f t="shared" si="1"/>
        <v>800</v>
      </c>
      <c r="G25" s="197" t="str">
        <f t="array" ref="G25">XLOOKUP(B25,Sheet68!A:A,Sheet68!AB:AB,0)</f>
        <v>natthaphonm@airasia.com</v>
      </c>
      <c r="H25" s="22">
        <f t="shared" si="2"/>
        <v>1</v>
      </c>
      <c r="I25" s="123" t="s">
        <v>20</v>
      </c>
      <c r="J25" s="123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>
      <c r="A26" s="107">
        <v>24.0</v>
      </c>
      <c r="B26" s="107">
        <v>1012155.0</v>
      </c>
      <c r="C26" s="168" t="str">
        <f>vlookup(B26,'Crew Data'!C:G,5,0)</f>
        <v>Duangsuree Krairatanalerk</v>
      </c>
      <c r="D26" s="121" t="s">
        <v>821</v>
      </c>
      <c r="E26" s="198">
        <f>IFERROR(__xludf.DUMMYFUNCTION("IFERROR(SUM(
  ARRAYFORMULA(
    DATEVALUE(TRIM(MID(SPLIT(D26,CHAR(10)), FIND(""-"",SPLIT(D26,CHAR(10)))+1, 50))) 
  -
    DATEVALUE(TRIM(LEFT(SPLIT(D26,CHAR(10)), FIND(""-"",SPLIT(D26,CHAR(10)))-1)))
  + 1
)
),1)"),2.0)</f>
        <v>2</v>
      </c>
      <c r="F26" s="122">
        <f t="shared" si="1"/>
        <v>800</v>
      </c>
      <c r="G26" s="197" t="str">
        <f t="array" ref="G26">XLOOKUP(B26,Sheet68!A:A,Sheet68!AB:AB,0)</f>
        <v>duangsureek@airasia.com</v>
      </c>
      <c r="H26" s="22">
        <f t="shared" si="2"/>
        <v>1</v>
      </c>
      <c r="I26" s="123" t="s">
        <v>20</v>
      </c>
      <c r="J26" s="123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>
      <c r="A27" s="107">
        <v>25.0</v>
      </c>
      <c r="B27" s="107">
        <v>1022218.0</v>
      </c>
      <c r="C27" s="168" t="str">
        <f>vlookup(B27,'Crew Data'!C:G,5,0)</f>
        <v>Pimchai Supachaiyakij</v>
      </c>
      <c r="D27" s="121" t="s">
        <v>822</v>
      </c>
      <c r="E27" s="198">
        <f>IFERROR(__xludf.DUMMYFUNCTION("IFERROR(SUM(
  ARRAYFORMULA(
    DATEVALUE(TRIM(MID(SPLIT(D27,CHAR(10)), FIND(""-"",SPLIT(D27,CHAR(10)))+1, 50))) 
  -
    DATEVALUE(TRIM(LEFT(SPLIT(D27,CHAR(10)), FIND(""-"",SPLIT(D27,CHAR(10)))-1)))
  + 1
)
),1)"),2.0)</f>
        <v>2</v>
      </c>
      <c r="F27" s="122">
        <f t="shared" si="1"/>
        <v>800</v>
      </c>
      <c r="G27" s="197" t="str">
        <f t="array" ref="G27">XLOOKUP(B27,Sheet68!A:A,Sheet68!AB:AB,0)</f>
        <v>pimchaisupachaiyakij@airasia.com</v>
      </c>
      <c r="H27" s="22">
        <f t="shared" si="2"/>
        <v>1</v>
      </c>
      <c r="I27" s="123" t="s">
        <v>20</v>
      </c>
      <c r="J27" s="123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>
      <c r="A28" s="107">
        <v>26.0</v>
      </c>
      <c r="B28" s="107">
        <v>1038750.0</v>
      </c>
      <c r="C28" s="168" t="str">
        <f>vlookup(B28,'Crew Data'!C:G,5,0)</f>
        <v>Achiraya Phutthachanyawong</v>
      </c>
      <c r="D28" s="121" t="s">
        <v>823</v>
      </c>
      <c r="E28" s="198">
        <f>IFERROR(__xludf.DUMMYFUNCTION("IFERROR(SUM(
  ARRAYFORMULA(
    DATEVALUE(TRIM(MID(SPLIT(D28,CHAR(10)), FIND(""-"",SPLIT(D28,CHAR(10)))+1, 50))) 
  -
    DATEVALUE(TRIM(LEFT(SPLIT(D28,CHAR(10)), FIND(""-"",SPLIT(D28,CHAR(10)))-1)))
  + 1
)
),1)"),2.0)</f>
        <v>2</v>
      </c>
      <c r="F28" s="122">
        <f t="shared" si="1"/>
        <v>800</v>
      </c>
      <c r="G28" s="197" t="str">
        <f t="array" ref="G28">XLOOKUP(B28,Sheet68!A:A,Sheet68!AB:AB,0)</f>
        <v>achirayaphutthachan@airasia.com</v>
      </c>
      <c r="H28" s="22">
        <f t="shared" si="2"/>
        <v>1</v>
      </c>
      <c r="I28" s="123" t="s">
        <v>20</v>
      </c>
      <c r="J28" s="123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>
      <c r="A29" s="107">
        <v>27.0</v>
      </c>
      <c r="B29" s="107">
        <v>1019304.0</v>
      </c>
      <c r="C29" s="168" t="str">
        <f>vlookup(B29,'Crew Data'!C:G,5,0)</f>
        <v>Sutthirak Tangsutthichai</v>
      </c>
      <c r="D29" s="121" t="s">
        <v>824</v>
      </c>
      <c r="E29" s="198">
        <f>IFERROR(__xludf.DUMMYFUNCTION("IFERROR(SUM(
  ARRAYFORMULA(
    DATEVALUE(TRIM(MID(SPLIT(D29,CHAR(10)), FIND(""-"",SPLIT(D29,CHAR(10)))+1, 50))) 
  -
    DATEVALUE(TRIM(LEFT(SPLIT(D29,CHAR(10)), FIND(""-"",SPLIT(D29,CHAR(10)))-1)))
  + 1
)
),1)"),2.0)</f>
        <v>2</v>
      </c>
      <c r="F29" s="122">
        <f t="shared" si="1"/>
        <v>800</v>
      </c>
      <c r="G29" s="197" t="str">
        <f t="array" ref="G29">XLOOKUP(B29,Sheet68!A:A,Sheet68!AB:AB,0)</f>
        <v>sutthirakt@airasia.com</v>
      </c>
      <c r="H29" s="22">
        <f t="shared" si="2"/>
        <v>1</v>
      </c>
      <c r="I29" s="123" t="s">
        <v>20</v>
      </c>
      <c r="J29" s="123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>
      <c r="A30" s="107">
        <v>28.0</v>
      </c>
      <c r="B30" s="107">
        <v>1019518.0</v>
      </c>
      <c r="C30" s="168" t="str">
        <f>vlookup(B30,'Crew Data'!C:G,5,0)</f>
        <v>Naratip Dumrongthai</v>
      </c>
      <c r="D30" s="121" t="s">
        <v>825</v>
      </c>
      <c r="E30" s="198">
        <f>IFERROR(__xludf.DUMMYFUNCTION("IFERROR(SUM(
  ARRAYFORMULA(
    DATEVALUE(TRIM(MID(SPLIT(D30,CHAR(10)), FIND(""-"",SPLIT(D30,CHAR(10)))+1, 50))) 
  -
    DATEVALUE(TRIM(LEFT(SPLIT(D30,CHAR(10)), FIND(""-"",SPLIT(D30,CHAR(10)))-1)))
  + 1
)
),1)"),2.0)</f>
        <v>2</v>
      </c>
      <c r="F30" s="122">
        <f t="shared" si="1"/>
        <v>800</v>
      </c>
      <c r="G30" s="197" t="str">
        <f t="array" ref="G30">XLOOKUP(B30,Sheet68!A:A,Sheet68!AB:AB,0)</f>
        <v>naratipd@airasia.com</v>
      </c>
      <c r="H30" s="22">
        <f t="shared" si="2"/>
        <v>1</v>
      </c>
      <c r="I30" s="123" t="s">
        <v>20</v>
      </c>
      <c r="J30" s="123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>
      <c r="A31" s="107">
        <v>29.0</v>
      </c>
      <c r="B31" s="107">
        <v>1022662.0</v>
      </c>
      <c r="C31" s="168" t="str">
        <f>vlookup(B31,'Crew Data'!C:G,5,0)</f>
        <v>Wachiraporn Songkram</v>
      </c>
      <c r="D31" s="121" t="s">
        <v>826</v>
      </c>
      <c r="E31" s="198">
        <f>IFERROR(__xludf.DUMMYFUNCTION("IFERROR(SUM(
  ARRAYFORMULA(
    DATEVALUE(TRIM(MID(SPLIT(D31,CHAR(10)), FIND(""-"",SPLIT(D31,CHAR(10)))+1, 50))) 
  -
    DATEVALUE(TRIM(LEFT(SPLIT(D31,CHAR(10)), FIND(""-"",SPLIT(D31,CHAR(10)))-1)))
  + 1
)
),1)"),2.0)</f>
        <v>2</v>
      </c>
      <c r="F31" s="122">
        <f t="shared" si="1"/>
        <v>800</v>
      </c>
      <c r="G31" s="197" t="str">
        <f t="array" ref="G31">XLOOKUP(B31,Sheet68!A:A,Sheet68!AB:AB,0)</f>
        <v>wachirapornsongkram@airasia.com</v>
      </c>
      <c r="H31" s="22">
        <f t="shared" si="2"/>
        <v>1</v>
      </c>
      <c r="I31" s="123" t="s">
        <v>20</v>
      </c>
      <c r="J31" s="123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>
      <c r="A32" s="107">
        <v>30.0</v>
      </c>
      <c r="B32" s="107">
        <v>1044218.0</v>
      </c>
      <c r="C32" s="168" t="str">
        <f>vlookup(B32,'Crew Data'!C:G,5,0)</f>
        <v>Nopanon Amonchinviwat</v>
      </c>
      <c r="D32" s="121" t="s">
        <v>827</v>
      </c>
      <c r="E32" s="198">
        <f>IFERROR(__xludf.DUMMYFUNCTION("IFERROR(SUM(
  ARRAYFORMULA(
    DATEVALUE(TRIM(MID(SPLIT(D32,CHAR(10)), FIND(""-"",SPLIT(D32,CHAR(10)))+1, 50))) 
  -
    DATEVALUE(TRIM(LEFT(SPLIT(D32,CHAR(10)), FIND(""-"",SPLIT(D32,CHAR(10)))-1)))
  + 1
)
),1)"),2.0)</f>
        <v>2</v>
      </c>
      <c r="F32" s="122">
        <f t="shared" si="1"/>
        <v>800</v>
      </c>
      <c r="G32" s="197" t="str">
        <f t="array" ref="G32">XLOOKUP(B32,Sheet68!A:A,Sheet68!AB:AB,0)</f>
        <v>nopanonamo@airasia.com</v>
      </c>
      <c r="H32" s="22">
        <f t="shared" si="2"/>
        <v>1</v>
      </c>
      <c r="I32" s="123" t="s">
        <v>20</v>
      </c>
      <c r="J32" s="123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>
      <c r="A33" s="107">
        <v>31.0</v>
      </c>
      <c r="B33" s="107">
        <v>1022666.0</v>
      </c>
      <c r="C33" s="168" t="str">
        <f>vlookup(B33,'Crew Data'!C:G,5,0)</f>
        <v>Suchanart Thongsongsom</v>
      </c>
      <c r="D33" s="121" t="s">
        <v>826</v>
      </c>
      <c r="E33" s="198">
        <f>IFERROR(__xludf.DUMMYFUNCTION("IFERROR(SUM(
  ARRAYFORMULA(
    DATEVALUE(TRIM(MID(SPLIT(D33,CHAR(10)), FIND(""-"",SPLIT(D33,CHAR(10)))+1, 50))) 
  -
    DATEVALUE(TRIM(LEFT(SPLIT(D33,CHAR(10)), FIND(""-"",SPLIT(D33,CHAR(10)))-1)))
  + 1
)
),1)"),2.0)</f>
        <v>2</v>
      </c>
      <c r="F33" s="122">
        <f t="shared" si="1"/>
        <v>800</v>
      </c>
      <c r="G33" s="197" t="str">
        <f t="array" ref="G33">XLOOKUP(B33,Sheet68!A:A,Sheet68!AB:AB,0)</f>
        <v>suchanartthongsongs@airasia.com</v>
      </c>
      <c r="H33" s="22">
        <f t="shared" si="2"/>
        <v>1</v>
      </c>
      <c r="I33" s="123" t="s">
        <v>20</v>
      </c>
      <c r="J33" s="123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>
      <c r="A34" s="107">
        <v>32.0</v>
      </c>
      <c r="B34" s="107">
        <v>1007269.0</v>
      </c>
      <c r="C34" s="168" t="str">
        <f>vlookup(B34,'Crew Data'!C:G,5,0)</f>
        <v>Pattarapoom Settaprasert</v>
      </c>
      <c r="D34" s="121" t="s">
        <v>828</v>
      </c>
      <c r="E34" s="198">
        <f>IFERROR(__xludf.DUMMYFUNCTION("IFERROR(SUM(
  ARRAYFORMULA(
    DATEVALUE(TRIM(MID(SPLIT(D34,CHAR(10)), FIND(""-"",SPLIT(D34,CHAR(10)))+1, 50))) 
  -
    DATEVALUE(TRIM(LEFT(SPLIT(D34,CHAR(10)), FIND(""-"",SPLIT(D34,CHAR(10)))-1)))
  + 1
)
),1)"),2.0)</f>
        <v>2</v>
      </c>
      <c r="F34" s="122">
        <f t="shared" si="1"/>
        <v>800</v>
      </c>
      <c r="G34" s="197" t="str">
        <f t="array" ref="G34">XLOOKUP(B34,Sheet68!A:A,Sheet68!AB:AB,0)</f>
        <v>pattarapooms@airasia.com</v>
      </c>
      <c r="H34" s="22">
        <f t="shared" si="2"/>
        <v>1</v>
      </c>
      <c r="I34" s="123" t="s">
        <v>20</v>
      </c>
      <c r="J34" s="123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>
      <c r="A35" s="107">
        <v>33.0</v>
      </c>
      <c r="B35" s="107">
        <v>1001822.0</v>
      </c>
      <c r="C35" s="168" t="str">
        <f>vlookup(B35,'Crew Data'!C:G,5,0)</f>
        <v>Wilasinee Natenopparat</v>
      </c>
      <c r="D35" s="121" t="s">
        <v>826</v>
      </c>
      <c r="E35" s="198">
        <f>IFERROR(__xludf.DUMMYFUNCTION("IFERROR(SUM(
  ARRAYFORMULA(
    DATEVALUE(TRIM(MID(SPLIT(D35,CHAR(10)), FIND(""-"",SPLIT(D35,CHAR(10)))+1, 50))) 
  -
    DATEVALUE(TRIM(LEFT(SPLIT(D35,CHAR(10)), FIND(""-"",SPLIT(D35,CHAR(10)))-1)))
  + 1
)
),1)"),2.0)</f>
        <v>2</v>
      </c>
      <c r="F35" s="122">
        <f t="shared" si="1"/>
        <v>800</v>
      </c>
      <c r="G35" s="197" t="str">
        <f t="array" ref="G35">XLOOKUP(B35,Sheet68!A:A,Sheet68!AB:AB,0)</f>
        <v>wilasineen@airasia.com</v>
      </c>
      <c r="H35" s="22">
        <f t="shared" si="2"/>
        <v>1</v>
      </c>
      <c r="I35" s="123" t="s">
        <v>20</v>
      </c>
      <c r="J35" s="123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>
      <c r="A36" s="107">
        <v>34.0</v>
      </c>
      <c r="B36" s="107">
        <v>1017639.0</v>
      </c>
      <c r="C36" s="168" t="str">
        <f>vlookup(B36,'Crew Data'!C:G,5,0)</f>
        <v>Dhanupol Sagulsukhmongkol</v>
      </c>
      <c r="D36" s="121" t="s">
        <v>825</v>
      </c>
      <c r="E36" s="198">
        <f>IFERROR(__xludf.DUMMYFUNCTION("IFERROR(SUM(
  ARRAYFORMULA(
    DATEVALUE(TRIM(MID(SPLIT(D36,CHAR(10)), FIND(""-"",SPLIT(D36,CHAR(10)))+1, 50))) 
  -
    DATEVALUE(TRIM(LEFT(SPLIT(D36,CHAR(10)), FIND(""-"",SPLIT(D36,CHAR(10)))-1)))
  + 1
)
),1)"),2.0)</f>
        <v>2</v>
      </c>
      <c r="F36" s="122">
        <f t="shared" si="1"/>
        <v>800</v>
      </c>
      <c r="G36" s="197" t="str">
        <f t="array" ref="G36">XLOOKUP(B36,Sheet68!A:A,Sheet68!AB:AB,0)</f>
        <v>dhanupols@airasia.com</v>
      </c>
      <c r="H36" s="22">
        <f t="shared" si="2"/>
        <v>1</v>
      </c>
      <c r="I36" s="123" t="s">
        <v>20</v>
      </c>
      <c r="J36" s="123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>
      <c r="A37" s="107">
        <v>35.0</v>
      </c>
      <c r="B37" s="107">
        <v>1019407.0</v>
      </c>
      <c r="C37" s="168" t="str">
        <f>vlookup(B37,'Crew Data'!C:G,5,0)</f>
        <v>Saowapak Siri-athikhom</v>
      </c>
      <c r="D37" s="121" t="s">
        <v>827</v>
      </c>
      <c r="E37" s="198">
        <f>IFERROR(__xludf.DUMMYFUNCTION("IFERROR(SUM(
  ARRAYFORMULA(
    DATEVALUE(TRIM(MID(SPLIT(D37,CHAR(10)), FIND(""-"",SPLIT(D37,CHAR(10)))+1, 50))) 
  -
    DATEVALUE(TRIM(LEFT(SPLIT(D37,CHAR(10)), FIND(""-"",SPLIT(D37,CHAR(10)))-1)))
  + 1
)
),1)"),2.0)</f>
        <v>2</v>
      </c>
      <c r="F37" s="122">
        <f t="shared" si="1"/>
        <v>800</v>
      </c>
      <c r="G37" s="197" t="str">
        <f t="array" ref="G37">XLOOKUP(B37,Sheet68!A:A,Sheet68!AB:AB,0)</f>
        <v>saowapaks@airasia.com</v>
      </c>
      <c r="H37" s="22">
        <f t="shared" si="2"/>
        <v>1</v>
      </c>
      <c r="I37" s="123" t="s">
        <v>20</v>
      </c>
      <c r="J37" s="123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>
      <c r="A38" s="107">
        <v>36.0</v>
      </c>
      <c r="B38" s="107">
        <v>1040505.0</v>
      </c>
      <c r="C38" s="168" t="str">
        <f>vlookup(B38,'Crew Data'!C:G,5,0)</f>
        <v>Atchamaporn Pimrin</v>
      </c>
      <c r="D38" s="121" t="s">
        <v>825</v>
      </c>
      <c r="E38" s="198">
        <f>IFERROR(__xludf.DUMMYFUNCTION("IFERROR(SUM(
  ARRAYFORMULA(
    DATEVALUE(TRIM(MID(SPLIT(D38,CHAR(10)), FIND(""-"",SPLIT(D38,CHAR(10)))+1, 50))) 
  -
    DATEVALUE(TRIM(LEFT(SPLIT(D38,CHAR(10)), FIND(""-"",SPLIT(D38,CHAR(10)))-1)))
  + 1
)
),1)"),2.0)</f>
        <v>2</v>
      </c>
      <c r="F38" s="122">
        <f t="shared" si="1"/>
        <v>800</v>
      </c>
      <c r="G38" s="197" t="str">
        <f t="array" ref="G38">XLOOKUP(B38,Sheet68!A:A,Sheet68!AB:AB,0)</f>
        <v>atchamapornpimrin@airasia.com</v>
      </c>
      <c r="H38" s="22">
        <f t="shared" si="2"/>
        <v>1</v>
      </c>
      <c r="I38" s="123" t="s">
        <v>20</v>
      </c>
      <c r="J38" s="11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>
      <c r="A39" s="107">
        <v>37.0</v>
      </c>
      <c r="B39" s="107">
        <v>1015405.0</v>
      </c>
      <c r="C39" s="168" t="str">
        <f>vlookup(B39,'Crew Data'!C:G,5,0)</f>
        <v>Nuttapon Pungjun</v>
      </c>
      <c r="D39" s="121" t="s">
        <v>827</v>
      </c>
      <c r="E39" s="198">
        <f>IFERROR(__xludf.DUMMYFUNCTION("IFERROR(SUM(
  ARRAYFORMULA(
    DATEVALUE(TRIM(MID(SPLIT(D39,CHAR(10)), FIND(""-"",SPLIT(D39,CHAR(10)))+1, 50))) 
  -
    DATEVALUE(TRIM(LEFT(SPLIT(D39,CHAR(10)), FIND(""-"",SPLIT(D39,CHAR(10)))-1)))
  + 1
)
),1)"),2.0)</f>
        <v>2</v>
      </c>
      <c r="F39" s="122">
        <f t="shared" si="1"/>
        <v>800</v>
      </c>
      <c r="G39" s="197" t="str">
        <f t="array" ref="G39">XLOOKUP(B39,Sheet68!A:A,Sheet68!AB:AB,0)</f>
        <v>nuttaponj@airasia.com</v>
      </c>
      <c r="H39" s="22">
        <f t="shared" si="2"/>
        <v>1</v>
      </c>
      <c r="I39" s="123" t="s">
        <v>20</v>
      </c>
      <c r="J39" s="11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>
      <c r="A40" s="107">
        <v>38.0</v>
      </c>
      <c r="B40" s="107">
        <v>1044234.0</v>
      </c>
      <c r="C40" s="168" t="str">
        <f>vlookup(B40,'Crew Data'!C:G,5,0)</f>
        <v>Adipa Charoenthongtrakul</v>
      </c>
      <c r="D40" s="121" t="s">
        <v>829</v>
      </c>
      <c r="E40" s="198">
        <f>IFERROR(__xludf.DUMMYFUNCTION("IFERROR(SUM(
  ARRAYFORMULA(
    DATEVALUE(TRIM(MID(SPLIT(D40,CHAR(10)), FIND(""-"",SPLIT(D40,CHAR(10)))+1, 50))) 
  -
    DATEVALUE(TRIM(LEFT(SPLIT(D40,CHAR(10)), FIND(""-"",SPLIT(D40,CHAR(10)))-1)))
  + 1
)
),1)"),2.0)</f>
        <v>2</v>
      </c>
      <c r="F40" s="122">
        <f t="shared" si="1"/>
        <v>800</v>
      </c>
      <c r="G40" s="197" t="str">
        <f t="array" ref="G40">XLOOKUP(B40,Sheet68!A:A,Sheet68!AB:AB,0)</f>
        <v>adipacha@airasia.com</v>
      </c>
      <c r="H40" s="22">
        <f t="shared" si="2"/>
        <v>1</v>
      </c>
      <c r="I40" s="123" t="s">
        <v>20</v>
      </c>
      <c r="J40" s="11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</row>
    <row r="41">
      <c r="A41" s="107">
        <v>39.0</v>
      </c>
      <c r="B41" s="107">
        <v>1004294.0</v>
      </c>
      <c r="C41" s="168" t="str">
        <f>vlookup(B41,'Crew Data'!C:G,5,0)</f>
        <v>Kawinwat Pringplert</v>
      </c>
      <c r="D41" s="121" t="s">
        <v>830</v>
      </c>
      <c r="E41" s="198">
        <f>IFERROR(__xludf.DUMMYFUNCTION("IFERROR(SUM(
  ARRAYFORMULA(
    DATEVALUE(TRIM(MID(SPLIT(D41,CHAR(10)), FIND(""-"",SPLIT(D41,CHAR(10)))+1, 50))) 
  -
    DATEVALUE(TRIM(LEFT(SPLIT(D41,CHAR(10)), FIND(""-"",SPLIT(D41,CHAR(10)))-1)))
  + 1
)
),1)"),4.0)</f>
        <v>4</v>
      </c>
      <c r="F41" s="122">
        <f t="shared" si="1"/>
        <v>1600</v>
      </c>
      <c r="G41" s="197" t="str">
        <f t="array" ref="G41">XLOOKUP(B41,Sheet68!A:A,Sheet68!AB:AB,0)</f>
        <v>kawinwatp@airasia.com</v>
      </c>
      <c r="H41" s="22">
        <f t="shared" si="2"/>
        <v>1</v>
      </c>
      <c r="I41" s="123" t="s">
        <v>20</v>
      </c>
      <c r="J41" s="11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</row>
    <row r="42">
      <c r="A42" s="107">
        <v>40.0</v>
      </c>
      <c r="B42" s="107">
        <v>1010919.0</v>
      </c>
      <c r="C42" s="168" t="str">
        <f>vlookup(B42,'Crew Data'!C:G,5,0)</f>
        <v>Suntorn Srimasongserm</v>
      </c>
      <c r="D42" s="121" t="s">
        <v>823</v>
      </c>
      <c r="E42" s="198">
        <f>IFERROR(__xludf.DUMMYFUNCTION("IFERROR(SUM(
  ARRAYFORMULA(
    DATEVALUE(TRIM(MID(SPLIT(D42,CHAR(10)), FIND(""-"",SPLIT(D42,CHAR(10)))+1, 50))) 
  -
    DATEVALUE(TRIM(LEFT(SPLIT(D42,CHAR(10)), FIND(""-"",SPLIT(D42,CHAR(10)))-1)))
  + 1
)
),1)"),2.0)</f>
        <v>2</v>
      </c>
      <c r="F42" s="122">
        <f t="shared" si="1"/>
        <v>800</v>
      </c>
      <c r="G42" s="197" t="str">
        <f t="array" ref="G42">XLOOKUP(B42,Sheet68!A:A,Sheet68!AB:AB,0)</f>
        <v>suntorns@airasia.com</v>
      </c>
      <c r="H42" s="22">
        <f t="shared" si="2"/>
        <v>1</v>
      </c>
      <c r="I42" s="123" t="s">
        <v>20</v>
      </c>
      <c r="J42" s="11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</row>
    <row r="43">
      <c r="A43" s="107">
        <v>41.0</v>
      </c>
      <c r="B43" s="107">
        <v>1004213.0</v>
      </c>
      <c r="C43" s="168" t="str">
        <f>vlookup(B43,'Crew Data'!C:G,5,0)</f>
        <v>Worapada Suetrongmunkong</v>
      </c>
      <c r="D43" s="121" t="s">
        <v>831</v>
      </c>
      <c r="E43" s="198">
        <f>IFERROR(__xludf.DUMMYFUNCTION("IFERROR(SUM(
  ARRAYFORMULA(
    DATEVALUE(TRIM(MID(SPLIT(D43,CHAR(10)), FIND(""-"",SPLIT(D43,CHAR(10)))+1, 50))) 
  -
    DATEVALUE(TRIM(LEFT(SPLIT(D43,CHAR(10)), FIND(""-"",SPLIT(D43,CHAR(10)))-1)))
  + 1
)
),1)"),4.0)</f>
        <v>4</v>
      </c>
      <c r="F43" s="122">
        <f t="shared" si="1"/>
        <v>1600</v>
      </c>
      <c r="G43" s="197" t="str">
        <f t="array" ref="G43">XLOOKUP(B43,Sheet68!A:A,Sheet68!AB:AB,0)</f>
        <v>worapadas@airasia.com</v>
      </c>
      <c r="H43" s="22">
        <f t="shared" si="2"/>
        <v>1</v>
      </c>
      <c r="I43" s="123" t="s">
        <v>20</v>
      </c>
      <c r="J43" s="11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</row>
    <row r="44">
      <c r="A44" s="107">
        <v>42.0</v>
      </c>
      <c r="B44" s="107">
        <v>1038749.0</v>
      </c>
      <c r="C44" s="168" t="str">
        <f>vlookup(B44,'Crew Data'!C:G,5,0)</f>
        <v>Sirapat Subpiboonphon</v>
      </c>
      <c r="D44" s="121" t="s">
        <v>832</v>
      </c>
      <c r="E44" s="198">
        <f>IFERROR(__xludf.DUMMYFUNCTION("IFERROR(SUM(
  ARRAYFORMULA(
    DATEVALUE(TRIM(MID(SPLIT(D44,CHAR(10)), FIND(""-"",SPLIT(D44,CHAR(10)))+1, 50))) 
  -
    DATEVALUE(TRIM(LEFT(SPLIT(D44,CHAR(10)), FIND(""-"",SPLIT(D44,CHAR(10)))-1)))
  + 1
)
),1)"),2.0)</f>
        <v>2</v>
      </c>
      <c r="F44" s="122">
        <f t="shared" si="1"/>
        <v>800</v>
      </c>
      <c r="G44" s="197" t="str">
        <f t="array" ref="G44">XLOOKUP(B44,Sheet68!A:A,Sheet68!AB:AB,0)</f>
        <v>sirapatsubpiboonphon@airasia.com</v>
      </c>
      <c r="H44" s="22">
        <f t="shared" si="2"/>
        <v>1</v>
      </c>
      <c r="I44" s="123" t="s">
        <v>20</v>
      </c>
      <c r="J44" s="11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</row>
    <row r="45">
      <c r="A45" s="107">
        <v>43.0</v>
      </c>
      <c r="B45" s="107">
        <v>1021432.0</v>
      </c>
      <c r="C45" s="168" t="str">
        <f>vlookup(B45,'Crew Data'!C:G,5,0)</f>
        <v>Nuttapong Pumcharoen</v>
      </c>
      <c r="D45" s="121" t="s">
        <v>828</v>
      </c>
      <c r="E45" s="198">
        <f>IFERROR(__xludf.DUMMYFUNCTION("IFERROR(SUM(
  ARRAYFORMULA(
    DATEVALUE(TRIM(MID(SPLIT(D45,CHAR(10)), FIND(""-"",SPLIT(D45,CHAR(10)))+1, 50))) 
  -
    DATEVALUE(TRIM(LEFT(SPLIT(D45,CHAR(10)), FIND(""-"",SPLIT(D45,CHAR(10)))-1)))
  + 1
)
),1)"),2.0)</f>
        <v>2</v>
      </c>
      <c r="F45" s="122">
        <f t="shared" si="1"/>
        <v>800</v>
      </c>
      <c r="G45" s="197" t="str">
        <f t="array" ref="G45">XLOOKUP(B45,Sheet68!A:A,Sheet68!AB:AB,0)</f>
        <v>nuttapongm@airasia.com</v>
      </c>
      <c r="H45" s="22">
        <f t="shared" si="2"/>
        <v>1</v>
      </c>
      <c r="I45" s="123" t="s">
        <v>20</v>
      </c>
      <c r="J45" s="11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</row>
    <row r="46">
      <c r="A46" s="107">
        <v>44.0</v>
      </c>
      <c r="B46" s="107">
        <v>1009326.0</v>
      </c>
      <c r="C46" s="168" t="str">
        <f>vlookup(B46,'Crew Data'!C:G,5,0)</f>
        <v>Thanarat Wintachai</v>
      </c>
      <c r="D46" s="121" t="s">
        <v>833</v>
      </c>
      <c r="E46" s="198">
        <f>IFERROR(__xludf.DUMMYFUNCTION("IFERROR(SUM(
  ARRAYFORMULA(
    DATEVALUE(TRIM(MID(SPLIT(D46,CHAR(10)), FIND(""-"",SPLIT(D46,CHAR(10)))+1, 50))) 
  -
    DATEVALUE(TRIM(LEFT(SPLIT(D46,CHAR(10)), FIND(""-"",SPLIT(D46,CHAR(10)))-1)))
  + 1
)
),1)"),2.0)</f>
        <v>2</v>
      </c>
      <c r="F46" s="122">
        <f t="shared" si="1"/>
        <v>800</v>
      </c>
      <c r="G46" s="197" t="str">
        <f t="array" ref="G46">XLOOKUP(B46,Sheet68!A:A,Sheet68!AB:AB,0)</f>
        <v>thanaratw@airasia.com</v>
      </c>
      <c r="H46" s="22">
        <f t="shared" si="2"/>
        <v>1</v>
      </c>
      <c r="I46" s="123" t="s">
        <v>20</v>
      </c>
      <c r="J46" s="11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</row>
    <row r="47">
      <c r="A47" s="107">
        <v>45.0</v>
      </c>
      <c r="B47" s="107">
        <v>1001317.0</v>
      </c>
      <c r="C47" s="168" t="str">
        <f>vlookup(B47,'Crew Data'!C:G,5,0)</f>
        <v>Umaporn Charnond</v>
      </c>
      <c r="D47" s="121" t="s">
        <v>834</v>
      </c>
      <c r="E47" s="198">
        <f>IFERROR(__xludf.DUMMYFUNCTION("IFERROR(SUM(
  ARRAYFORMULA(
    DATEVALUE(TRIM(MID(SPLIT(D47,CHAR(10)), FIND(""-"",SPLIT(D47,CHAR(10)))+1, 50))) 
  -
    DATEVALUE(TRIM(LEFT(SPLIT(D47,CHAR(10)), FIND(""-"",SPLIT(D47,CHAR(10)))-1)))
  + 1
)
),1)"),4.0)</f>
        <v>4</v>
      </c>
      <c r="F47" s="122">
        <f t="shared" si="1"/>
        <v>1600</v>
      </c>
      <c r="G47" s="197" t="str">
        <f t="array" ref="G47">XLOOKUP(B47,Sheet68!A:A,Sheet68!AB:AB,0)</f>
        <v>umapornc@airasia.com</v>
      </c>
      <c r="H47" s="22">
        <f t="shared" si="2"/>
        <v>1</v>
      </c>
      <c r="I47" s="123" t="s">
        <v>20</v>
      </c>
      <c r="J47" s="11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</row>
    <row r="48">
      <c r="A48" s="107">
        <v>46.0</v>
      </c>
      <c r="B48" s="107">
        <v>1019306.0</v>
      </c>
      <c r="C48" s="168" t="str">
        <f>vlookup(B48,'Crew Data'!C:G,5,0)</f>
        <v>Tanyatorn Leenawong</v>
      </c>
      <c r="D48" s="121" t="s">
        <v>820</v>
      </c>
      <c r="E48" s="198">
        <f>IFERROR(__xludf.DUMMYFUNCTION("IFERROR(SUM(
  ARRAYFORMULA(
    DATEVALUE(TRIM(MID(SPLIT(D48,CHAR(10)), FIND(""-"",SPLIT(D48,CHAR(10)))+1, 50))) 
  -
    DATEVALUE(TRIM(LEFT(SPLIT(D48,CHAR(10)), FIND(""-"",SPLIT(D48,CHAR(10)))-1)))
  + 1
)
),1)"),2.0)</f>
        <v>2</v>
      </c>
      <c r="F48" s="122">
        <f t="shared" si="1"/>
        <v>800</v>
      </c>
      <c r="G48" s="197" t="str">
        <f t="array" ref="G48">XLOOKUP(B48,Sheet68!A:A,Sheet68!AB:AB,0)</f>
        <v>tanyatornl@airasia.com</v>
      </c>
      <c r="H48" s="22">
        <f t="shared" si="2"/>
        <v>1</v>
      </c>
      <c r="I48" s="123" t="s">
        <v>20</v>
      </c>
      <c r="J48" s="11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</row>
    <row r="49">
      <c r="A49" s="107">
        <v>47.0</v>
      </c>
      <c r="B49" s="107">
        <v>1011303.0</v>
      </c>
      <c r="C49" s="168" t="str">
        <f>vlookup(B49,'Crew Data'!C:G,5,0)</f>
        <v>Awassada Somprasertsri</v>
      </c>
      <c r="D49" s="121" t="s">
        <v>835</v>
      </c>
      <c r="E49" s="198">
        <f>IFERROR(__xludf.DUMMYFUNCTION("IFERROR(SUM(
  ARRAYFORMULA(
    DATEVALUE(TRIM(MID(SPLIT(D49,CHAR(10)), FIND(""-"",SPLIT(D49,CHAR(10)))+1, 50))) 
  -
    DATEVALUE(TRIM(LEFT(SPLIT(D49,CHAR(10)), FIND(""-"",SPLIT(D49,CHAR(10)))-1)))
  + 1
)
),1)"),2.0)</f>
        <v>2</v>
      </c>
      <c r="F49" s="122">
        <f t="shared" si="1"/>
        <v>800</v>
      </c>
      <c r="G49" s="197" t="str">
        <f t="array" ref="G49">XLOOKUP(B49,Sheet68!A:A,Sheet68!AB:AB,0)</f>
        <v>awassadas@airasia.com</v>
      </c>
      <c r="H49" s="22">
        <f t="shared" si="2"/>
        <v>1</v>
      </c>
      <c r="I49" s="123" t="s">
        <v>20</v>
      </c>
      <c r="J49" s="11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</row>
    <row r="50">
      <c r="A50" s="107">
        <v>48.0</v>
      </c>
      <c r="B50" s="107">
        <v>1019545.0</v>
      </c>
      <c r="C50" s="168" t="str">
        <f>vlookup(B50,'Crew Data'!C:G,5,0)</f>
        <v>Sorawich Kaosumang</v>
      </c>
      <c r="D50" s="121" t="s">
        <v>836</v>
      </c>
      <c r="E50" s="198">
        <f>IFERROR(__xludf.DUMMYFUNCTION("IFERROR(SUM(
  ARRAYFORMULA(
    DATEVALUE(TRIM(MID(SPLIT(D50,CHAR(10)), FIND(""-"",SPLIT(D50,CHAR(10)))+1, 50))) 
  -
    DATEVALUE(TRIM(LEFT(SPLIT(D50,CHAR(10)), FIND(""-"",SPLIT(D50,CHAR(10)))-1)))
  + 1
)
),1)"),2.0)</f>
        <v>2</v>
      </c>
      <c r="F50" s="122">
        <f t="shared" si="1"/>
        <v>800</v>
      </c>
      <c r="G50" s="197" t="str">
        <f t="array" ref="G50">XLOOKUP(B50,Sheet68!A:A,Sheet68!AB:AB,0)</f>
        <v>sorawichk@airasia.com</v>
      </c>
      <c r="H50" s="22">
        <f t="shared" si="2"/>
        <v>1</v>
      </c>
      <c r="I50" s="123" t="s">
        <v>20</v>
      </c>
      <c r="J50" s="11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</row>
    <row r="51">
      <c r="A51" s="107">
        <v>49.0</v>
      </c>
      <c r="B51" s="107">
        <v>1005906.0</v>
      </c>
      <c r="C51" s="168" t="str">
        <f>vlookup(B51,'Crew Data'!C:G,5,0)</f>
        <v>Supatra Pokkhabut</v>
      </c>
      <c r="D51" s="121" t="s">
        <v>833</v>
      </c>
      <c r="E51" s="198">
        <f>IFERROR(__xludf.DUMMYFUNCTION("IFERROR(SUM(
  ARRAYFORMULA(
    DATEVALUE(TRIM(MID(SPLIT(D51,CHAR(10)), FIND(""-"",SPLIT(D51,CHAR(10)))+1, 50))) 
  -
    DATEVALUE(TRIM(LEFT(SPLIT(D51,CHAR(10)), FIND(""-"",SPLIT(D51,CHAR(10)))-1)))
  + 1
)
),1)"),2.0)</f>
        <v>2</v>
      </c>
      <c r="F51" s="122">
        <f t="shared" si="1"/>
        <v>800</v>
      </c>
      <c r="G51" s="197" t="str">
        <f t="array" ref="G51">XLOOKUP(B51,Sheet68!A:A,Sheet68!AB:AB,0)</f>
        <v>supatrap@airasia.com</v>
      </c>
      <c r="H51" s="22">
        <f t="shared" si="2"/>
        <v>1</v>
      </c>
      <c r="I51" s="123" t="s">
        <v>20</v>
      </c>
      <c r="J51" s="11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</row>
    <row r="52">
      <c r="A52" s="107">
        <v>50.0</v>
      </c>
      <c r="B52" s="107">
        <v>1018531.0</v>
      </c>
      <c r="C52" s="168" t="str">
        <f>vlookup(B52,'Crew Data'!C:G,5,0)</f>
        <v>Chawit Donsawee</v>
      </c>
      <c r="D52" s="121" t="s">
        <v>837</v>
      </c>
      <c r="E52" s="198">
        <f>IFERROR(__xludf.DUMMYFUNCTION("IFERROR(SUM(
  ARRAYFORMULA(
    DATEVALUE(TRIM(MID(SPLIT(D52,CHAR(10)), FIND(""-"",SPLIT(D52,CHAR(10)))+1, 50))) 
  -
    DATEVALUE(TRIM(LEFT(SPLIT(D52,CHAR(10)), FIND(""-"",SPLIT(D52,CHAR(10)))-1)))
  + 1
)
),1)"),2.0)</f>
        <v>2</v>
      </c>
      <c r="F52" s="122">
        <f t="shared" si="1"/>
        <v>800</v>
      </c>
      <c r="G52" s="197" t="str">
        <f t="array" ref="G52">XLOOKUP(B52,Sheet68!A:A,Sheet68!AB:AB,0)</f>
        <v>chawitdonsawee@airasia.com</v>
      </c>
      <c r="H52" s="22">
        <f t="shared" si="2"/>
        <v>1</v>
      </c>
      <c r="I52" s="123" t="s">
        <v>20</v>
      </c>
      <c r="J52" s="11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</row>
    <row r="53">
      <c r="A53" s="107">
        <v>51.0</v>
      </c>
      <c r="B53" s="107">
        <v>1022223.0</v>
      </c>
      <c r="C53" s="168" t="str">
        <f>vlookup(B53,'Crew Data'!C:G,5,0)</f>
        <v>Nantapak Benjasiriporn</v>
      </c>
      <c r="D53" s="121" t="s">
        <v>838</v>
      </c>
      <c r="E53" s="198">
        <f>IFERROR(__xludf.DUMMYFUNCTION("IFERROR(SUM(
  ARRAYFORMULA(
    DATEVALUE(TRIM(MID(SPLIT(D53,CHAR(10)), FIND(""-"",SPLIT(D53,CHAR(10)))+1, 50))) 
  -
    DATEVALUE(TRIM(LEFT(SPLIT(D53,CHAR(10)), FIND(""-"",SPLIT(D53,CHAR(10)))-1)))
  + 1
)
),1)"),2.0)</f>
        <v>2</v>
      </c>
      <c r="F53" s="122">
        <f t="shared" si="1"/>
        <v>800</v>
      </c>
      <c r="G53" s="197" t="str">
        <f t="array" ref="G53">XLOOKUP(B53,Sheet68!A:A,Sheet68!AB:AB,0)</f>
        <v>nantapakbenjasiripo@airasia.com</v>
      </c>
      <c r="H53" s="22">
        <f t="shared" si="2"/>
        <v>1</v>
      </c>
      <c r="I53" s="123" t="s">
        <v>20</v>
      </c>
      <c r="J53" s="11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</row>
    <row r="54">
      <c r="A54" s="107">
        <v>52.0</v>
      </c>
      <c r="B54" s="107">
        <v>1005953.0</v>
      </c>
      <c r="C54" s="168" t="str">
        <f>vlookup(B54,'Crew Data'!C:G,5,0)</f>
        <v>Pinchapitch Pinchachartanant</v>
      </c>
      <c r="D54" s="121" t="s">
        <v>825</v>
      </c>
      <c r="E54" s="198">
        <f>IFERROR(__xludf.DUMMYFUNCTION("IFERROR(SUM(
  ARRAYFORMULA(
    DATEVALUE(TRIM(MID(SPLIT(D54,CHAR(10)), FIND(""-"",SPLIT(D54,CHAR(10)))+1, 50))) 
  -
    DATEVALUE(TRIM(LEFT(SPLIT(D54,CHAR(10)), FIND(""-"",SPLIT(D54,CHAR(10)))-1)))
  + 1
)
),1)"),2.0)</f>
        <v>2</v>
      </c>
      <c r="F54" s="122">
        <f t="shared" si="1"/>
        <v>800</v>
      </c>
      <c r="G54" s="111" t="str">
        <f t="array" ref="G54">XLOOKUP(B54,Sheet68!A:A,Sheet68!AB:AB,0)</f>
        <v>pinchapitchp@airasia.com</v>
      </c>
      <c r="H54" s="22">
        <f t="shared" si="2"/>
        <v>1</v>
      </c>
      <c r="I54" s="123" t="s">
        <v>20</v>
      </c>
      <c r="J54" s="11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</row>
    <row r="55">
      <c r="A55" s="107">
        <v>53.0</v>
      </c>
      <c r="B55" s="200">
        <v>1038746.0</v>
      </c>
      <c r="C55" s="168" t="str">
        <f>vlookup(B55,'Crew Data'!C:G,5,0)</f>
        <v>Supakorn Ekataksin</v>
      </c>
      <c r="D55" s="121" t="s">
        <v>839</v>
      </c>
      <c r="E55" s="198">
        <f>IFERROR(__xludf.DUMMYFUNCTION("IFERROR(SUM(
  ARRAYFORMULA(
    DATEVALUE(TRIM(MID(SPLIT(D55,CHAR(10)), FIND(""-"",SPLIT(D55,CHAR(10)))+1, 50))) 
  -
    DATEVALUE(TRIM(LEFT(SPLIT(D55,CHAR(10)), FIND(""-"",SPLIT(D55,CHAR(10)))-1)))
  + 1
)
),1)"),2.0)</f>
        <v>2</v>
      </c>
      <c r="F55" s="122">
        <f t="shared" si="1"/>
        <v>800</v>
      </c>
      <c r="G55" s="197" t="str">
        <f t="array" ref="G55">XLOOKUP(B55,Sheet68!A:A,Sheet68!AB:AB,0)</f>
        <v>supakornekataksin@airasia.com</v>
      </c>
      <c r="H55" s="22">
        <f t="shared" si="2"/>
        <v>1</v>
      </c>
      <c r="I55" s="123" t="s">
        <v>20</v>
      </c>
      <c r="J55" s="11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</row>
    <row r="56">
      <c r="A56" s="107">
        <v>54.0</v>
      </c>
      <c r="B56" s="107">
        <v>1004318.0</v>
      </c>
      <c r="C56" s="168" t="str">
        <f>vlookup(B56,'Crew Data'!C:G,5,0)</f>
        <v>Nattapong Kao-Ngampanich</v>
      </c>
      <c r="D56" s="121" t="s">
        <v>840</v>
      </c>
      <c r="E56" s="198">
        <f>IFERROR(__xludf.DUMMYFUNCTION("IFERROR(SUM(
  ARRAYFORMULA(
    DATEVALUE(TRIM(MID(SPLIT(D56,CHAR(10)), FIND(""-"",SPLIT(D56,CHAR(10)))+1, 50))) 
  -
    DATEVALUE(TRIM(LEFT(SPLIT(D56,CHAR(10)), FIND(""-"",SPLIT(D56,CHAR(10)))-1)))
  + 1
)
),1)"),6.0)</f>
        <v>6</v>
      </c>
      <c r="F56" s="122">
        <f t="shared" si="1"/>
        <v>2400</v>
      </c>
      <c r="G56" s="197" t="str">
        <f t="array" ref="G56">XLOOKUP(B56,Sheet68!A:A,Sheet68!AB:AB,0)</f>
        <v>nattaponga@airasia.com</v>
      </c>
      <c r="H56" s="22">
        <f t="shared" si="2"/>
        <v>1</v>
      </c>
      <c r="I56" s="123" t="s">
        <v>20</v>
      </c>
      <c r="J56" s="11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</row>
    <row r="57">
      <c r="A57" s="107">
        <v>55.0</v>
      </c>
      <c r="B57" s="107">
        <v>1025319.0</v>
      </c>
      <c r="C57" s="168" t="str">
        <f>vlookup(B57,'Crew Data'!C:G,5,0)</f>
        <v>Phongsakron Saepan</v>
      </c>
      <c r="D57" s="121" t="s">
        <v>841</v>
      </c>
      <c r="E57" s="198">
        <f>IFERROR(__xludf.DUMMYFUNCTION("IFERROR(SUM(
  ARRAYFORMULA(
    DATEVALUE(TRIM(MID(SPLIT(D57,CHAR(10)), FIND(""-"",SPLIT(D57,CHAR(10)))+1, 50))) 
  -
    DATEVALUE(TRIM(LEFT(SPLIT(D57,CHAR(10)), FIND(""-"",SPLIT(D57,CHAR(10)))-1)))
  + 1
)
),1)"),6.0)</f>
        <v>6</v>
      </c>
      <c r="F57" s="122">
        <f t="shared" si="1"/>
        <v>2400</v>
      </c>
      <c r="G57" s="197" t="str">
        <f t="array" ref="G57">XLOOKUP(B57,Sheet68!A:A,Sheet68!AB:AB,0)</f>
        <v>phongsakronsaepan@airasia.com</v>
      </c>
      <c r="H57" s="22">
        <f t="shared" si="2"/>
        <v>1</v>
      </c>
      <c r="I57" s="123" t="s">
        <v>20</v>
      </c>
      <c r="J57" s="11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</row>
    <row r="58">
      <c r="A58" s="107">
        <v>56.0</v>
      </c>
      <c r="B58" s="107">
        <v>1008372.0</v>
      </c>
      <c r="C58" s="168" t="str">
        <f>vlookup(B58,'Crew Data'!C:G,5,0)</f>
        <v>Sirinya Maydan</v>
      </c>
      <c r="D58" s="121" t="s">
        <v>842</v>
      </c>
      <c r="E58" s="198">
        <f>IFERROR(__xludf.DUMMYFUNCTION("IFERROR(SUM(
  ARRAYFORMULA(
    DATEVALUE(TRIM(MID(SPLIT(D58,CHAR(10)), FIND(""-"",SPLIT(D58,CHAR(10)))+1, 50))) 
  -
    DATEVALUE(TRIM(LEFT(SPLIT(D58,CHAR(10)), FIND(""-"",SPLIT(D58,CHAR(10)))-1)))
  + 1
)
),1)"),8.0)</f>
        <v>8</v>
      </c>
      <c r="F58" s="122">
        <f t="shared" si="1"/>
        <v>3200</v>
      </c>
      <c r="G58" s="197" t="str">
        <f t="array" ref="G58">XLOOKUP(B58,Sheet68!A:A,Sheet68!AB:AB,0)</f>
        <v>sirinyam@airasia.com</v>
      </c>
      <c r="H58" s="22">
        <f t="shared" si="2"/>
        <v>1</v>
      </c>
      <c r="I58" s="123" t="s">
        <v>20</v>
      </c>
      <c r="J58" s="11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</row>
    <row r="59">
      <c r="A59" s="107">
        <v>57.0</v>
      </c>
      <c r="B59" s="107">
        <v>1027515.0</v>
      </c>
      <c r="C59" s="168" t="str">
        <f>vlookup(B59,'Crew Data'!C:G,5,0)</f>
        <v>Kantaporn Dechchu</v>
      </c>
      <c r="D59" s="121" t="s">
        <v>843</v>
      </c>
      <c r="E59" s="198">
        <f>IFERROR(__xludf.DUMMYFUNCTION("IFERROR(SUM(
  ARRAYFORMULA(
    DATEVALUE(TRIM(MID(SPLIT(D59,CHAR(10)), FIND(""-"",SPLIT(D59,CHAR(10)))+1, 50))) 
  -
    DATEVALUE(TRIM(LEFT(SPLIT(D59,CHAR(10)), FIND(""-"",SPLIT(D59,CHAR(10)))-1)))
  + 1
)
),1)"),6.0)</f>
        <v>6</v>
      </c>
      <c r="F59" s="122">
        <f t="shared" si="1"/>
        <v>2400</v>
      </c>
      <c r="G59" s="197" t="str">
        <f t="array" ref="G59">XLOOKUP(B59,Sheet68!A:A,Sheet68!AB:AB,0)</f>
        <v>kantaporndechchu@airasia.com</v>
      </c>
      <c r="H59" s="22">
        <f t="shared" si="2"/>
        <v>1</v>
      </c>
      <c r="I59" s="123" t="s">
        <v>20</v>
      </c>
      <c r="J59" s="11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</row>
    <row r="60">
      <c r="A60" s="107">
        <v>58.0</v>
      </c>
      <c r="B60" s="107">
        <v>1012236.0</v>
      </c>
      <c r="C60" s="168" t="str">
        <f>vlookup(B60,'Crew Data'!C:G,5,0)</f>
        <v>Anucha Panyachai</v>
      </c>
      <c r="D60" s="121" t="s">
        <v>844</v>
      </c>
      <c r="E60" s="198">
        <f>IFERROR(__xludf.DUMMYFUNCTION("IFERROR(SUM(
  ARRAYFORMULA(
    DATEVALUE(TRIM(MID(SPLIT(D60,CHAR(10)), FIND(""-"",SPLIT(D60,CHAR(10)))+1, 50))) 
  -
    DATEVALUE(TRIM(LEFT(SPLIT(D60,CHAR(10)), FIND(""-"",SPLIT(D60,CHAR(10)))-1)))
  + 1
)
),1)"),6.0)</f>
        <v>6</v>
      </c>
      <c r="F60" s="122">
        <f t="shared" si="1"/>
        <v>2400</v>
      </c>
      <c r="G60" s="197" t="str">
        <f t="array" ref="G60">XLOOKUP(B60,Sheet68!A:A,Sheet68!AB:AB,0)</f>
        <v>anuchay@airasia.com</v>
      </c>
      <c r="H60" s="22">
        <f t="shared" si="2"/>
        <v>1</v>
      </c>
      <c r="I60" s="123" t="s">
        <v>20</v>
      </c>
      <c r="J60" s="11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</row>
    <row r="61">
      <c r="A61" s="107">
        <v>59.0</v>
      </c>
      <c r="B61" s="107">
        <v>1002273.0</v>
      </c>
      <c r="C61" s="168" t="str">
        <f>vlookup(B61,'Crew Data'!C:G,5,0)</f>
        <v>Sirion Kwanchai</v>
      </c>
      <c r="D61" s="121" t="s">
        <v>845</v>
      </c>
      <c r="E61" s="198">
        <f>IFERROR(__xludf.DUMMYFUNCTION("IFERROR(SUM(
  ARRAYFORMULA(
    DATEVALUE(TRIM(MID(SPLIT(D61,CHAR(10)), FIND(""-"",SPLIT(D61,CHAR(10)))+1, 50))) 
  -
    DATEVALUE(TRIM(LEFT(SPLIT(D61,CHAR(10)), FIND(""-"",SPLIT(D61,CHAR(10)))-1)))
  + 1
)
),1)"),6.0)</f>
        <v>6</v>
      </c>
      <c r="F61" s="122">
        <f t="shared" si="1"/>
        <v>2400</v>
      </c>
      <c r="G61" s="197" t="str">
        <f t="array" ref="G61">XLOOKUP(B61,Sheet68!A:A,Sheet68!AB:AB,0)</f>
        <v>sirionk@airasia.com</v>
      </c>
      <c r="H61" s="22">
        <f t="shared" si="2"/>
        <v>1</v>
      </c>
      <c r="I61" s="123" t="s">
        <v>20</v>
      </c>
      <c r="J61" s="11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</row>
    <row r="62">
      <c r="A62" s="107">
        <v>60.0</v>
      </c>
      <c r="B62" s="107">
        <v>1022213.0</v>
      </c>
      <c r="C62" s="168" t="str">
        <f>vlookup(B62,'Crew Data'!C:G,5,0)</f>
        <v>Puripak Pensawat</v>
      </c>
      <c r="D62" s="121" t="s">
        <v>846</v>
      </c>
      <c r="E62" s="198">
        <f>IFERROR(__xludf.DUMMYFUNCTION("IFERROR(SUM(
  ARRAYFORMULA(
    DATEVALUE(TRIM(MID(SPLIT(D62,CHAR(10)), FIND(""-"",SPLIT(D62,CHAR(10)))+1, 50))) 
  -
    DATEVALUE(TRIM(LEFT(SPLIT(D62,CHAR(10)), FIND(""-"",SPLIT(D62,CHAR(10)))-1)))
  + 1
)
),1)"),2.0)</f>
        <v>2</v>
      </c>
      <c r="F62" s="122">
        <f t="shared" si="1"/>
        <v>800</v>
      </c>
      <c r="G62" s="197" t="str">
        <f t="array" ref="G62">XLOOKUP(B62,Sheet68!A:A,Sheet68!AB:AB,0)</f>
        <v>puripakpensawat@airasia.com</v>
      </c>
      <c r="H62" s="22">
        <f t="shared" si="2"/>
        <v>1</v>
      </c>
      <c r="I62" s="123" t="s">
        <v>20</v>
      </c>
      <c r="J62" s="11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</row>
    <row r="63">
      <c r="A63" s="107">
        <v>61.0</v>
      </c>
      <c r="B63" s="107">
        <v>1011830.0</v>
      </c>
      <c r="C63" s="168" t="str">
        <f>vlookup(B63,'Crew Data'!C:G,5,0)</f>
        <v>Rathaphon Pratheappornsak</v>
      </c>
      <c r="D63" s="121" t="s">
        <v>846</v>
      </c>
      <c r="E63" s="198">
        <f>IFERROR(__xludf.DUMMYFUNCTION("IFERROR(SUM(
  ARRAYFORMULA(
    DATEVALUE(TRIM(MID(SPLIT(D63,CHAR(10)), FIND(""-"",SPLIT(D63,CHAR(10)))+1, 50))) 
  -
    DATEVALUE(TRIM(LEFT(SPLIT(D63,CHAR(10)), FIND(""-"",SPLIT(D63,CHAR(10)))-1)))
  + 1
)
),1)"),2.0)</f>
        <v>2</v>
      </c>
      <c r="F63" s="122">
        <f t="shared" si="1"/>
        <v>800</v>
      </c>
      <c r="G63" s="197" t="str">
        <f t="array" ref="G63">XLOOKUP(B63,Sheet68!A:A,Sheet68!AB:AB,0)</f>
        <v>rathaphonp@airasia.com</v>
      </c>
      <c r="H63" s="22">
        <f t="shared" si="2"/>
        <v>1</v>
      </c>
      <c r="I63" s="123" t="s">
        <v>20</v>
      </c>
      <c r="J63" s="11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</row>
    <row r="64">
      <c r="A64" s="107">
        <v>62.0</v>
      </c>
      <c r="B64" s="107">
        <v>1022212.0</v>
      </c>
      <c r="C64" s="168" t="str">
        <f>vlookup(B64,'Crew Data'!C:G,5,0)</f>
        <v>Patcharamon Vipatanawin</v>
      </c>
      <c r="D64" s="121" t="s">
        <v>847</v>
      </c>
      <c r="E64" s="198">
        <f>IFERROR(__xludf.DUMMYFUNCTION("IFERROR(SUM(
  ARRAYFORMULA(
    DATEVALUE(TRIM(MID(SPLIT(D64,CHAR(10)), FIND(""-"",SPLIT(D64,CHAR(10)))+1, 50))) 
  -
    DATEVALUE(TRIM(LEFT(SPLIT(D64,CHAR(10)), FIND(""-"",SPLIT(D64,CHAR(10)))-1)))
  + 1
)
),1)"),6.0)</f>
        <v>6</v>
      </c>
      <c r="F64" s="122">
        <f t="shared" si="1"/>
        <v>2400</v>
      </c>
      <c r="G64" s="197" t="str">
        <f t="array" ref="G64">XLOOKUP(B64,Sheet68!A:A,Sheet68!AB:AB,0)</f>
        <v>patcharamonvipatana@airasia.com</v>
      </c>
      <c r="H64" s="22">
        <f t="shared" si="2"/>
        <v>1</v>
      </c>
      <c r="I64" s="123" t="s">
        <v>20</v>
      </c>
      <c r="J64" s="11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</row>
    <row r="65">
      <c r="A65" s="107">
        <v>63.0</v>
      </c>
      <c r="B65" s="107">
        <v>1022214.0</v>
      </c>
      <c r="C65" s="168" t="str">
        <f>vlookup(B65,'Crew Data'!C:G,5,0)</f>
        <v>Siripassorn Lerdnitirungrit</v>
      </c>
      <c r="D65" s="121" t="s">
        <v>848</v>
      </c>
      <c r="E65" s="198">
        <f>IFERROR(__xludf.DUMMYFUNCTION("IFERROR(SUM(
  ARRAYFORMULA(
    DATEVALUE(TRIM(MID(SPLIT(D65,CHAR(10)), FIND(""-"",SPLIT(D65,CHAR(10)))+1, 50))) 
  -
    DATEVALUE(TRIM(LEFT(SPLIT(D65,CHAR(10)), FIND(""-"",SPLIT(D65,CHAR(10)))-1)))
  + 1
)
),1)"),6.0)</f>
        <v>6</v>
      </c>
      <c r="F65" s="122">
        <f t="shared" si="1"/>
        <v>2400</v>
      </c>
      <c r="G65" s="197" t="str">
        <f t="array" ref="G65">XLOOKUP(B65,Sheet68!A:A,Sheet68!AB:AB,0)</f>
        <v>siripassornliangpan@airasia.com</v>
      </c>
      <c r="H65" s="22">
        <f t="shared" si="2"/>
        <v>1</v>
      </c>
      <c r="I65" s="123" t="s">
        <v>20</v>
      </c>
      <c r="J65" s="11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</row>
    <row r="66">
      <c r="A66" s="107">
        <v>64.0</v>
      </c>
      <c r="B66" s="107">
        <v>1019405.0</v>
      </c>
      <c r="C66" s="168" t="str">
        <f>vlookup(B66,'Crew Data'!C:G,5,0)</f>
        <v>Nithi Chalongtrakul</v>
      </c>
      <c r="D66" s="121" t="s">
        <v>837</v>
      </c>
      <c r="E66" s="198">
        <f>IFERROR(__xludf.DUMMYFUNCTION("IFERROR(SUM(
  ARRAYFORMULA(
    DATEVALUE(TRIM(MID(SPLIT(D66,CHAR(10)), FIND(""-"",SPLIT(D66,CHAR(10)))+1, 50))) 
  -
    DATEVALUE(TRIM(LEFT(SPLIT(D66,CHAR(10)), FIND(""-"",SPLIT(D66,CHAR(10)))-1)))
  + 1
)
),1)"),2.0)</f>
        <v>2</v>
      </c>
      <c r="F66" s="122">
        <f t="shared" si="1"/>
        <v>800</v>
      </c>
      <c r="G66" s="197" t="str">
        <f t="array" ref="G66">XLOOKUP(B66,Sheet68!A:A,Sheet68!AB:AB,0)</f>
        <v>nithic@airasia.com</v>
      </c>
      <c r="H66" s="22">
        <f t="shared" si="2"/>
        <v>1</v>
      </c>
      <c r="I66" s="123" t="s">
        <v>20</v>
      </c>
      <c r="J66" s="11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</row>
    <row r="67">
      <c r="A67" s="107">
        <v>65.0</v>
      </c>
      <c r="B67" s="107">
        <v>1040877.0</v>
      </c>
      <c r="C67" s="168" t="str">
        <f>vlookup(B67,'Crew Data'!C:G,5,0)</f>
        <v>Pitchayaporn Uthaituraton</v>
      </c>
      <c r="D67" s="121" t="s">
        <v>849</v>
      </c>
      <c r="E67" s="198">
        <f>IFERROR(__xludf.DUMMYFUNCTION("IFERROR(SUM(
  ARRAYFORMULA(
    DATEVALUE(TRIM(MID(SPLIT(D67,CHAR(10)), FIND(""-"",SPLIT(D67,CHAR(10)))+1, 50))) 
  -
    DATEVALUE(TRIM(LEFT(SPLIT(D67,CHAR(10)), FIND(""-"",SPLIT(D67,CHAR(10)))-1)))
  + 1
)
),1)"),6.0)</f>
        <v>6</v>
      </c>
      <c r="F67" s="122">
        <f t="shared" si="1"/>
        <v>2400</v>
      </c>
      <c r="G67" s="197" t="str">
        <f t="array" ref="G67">XLOOKUP(B67,Sheet68!A:A,Sheet68!AB:AB,0)</f>
        <v>pitchayapornuthaitu@airasia.com</v>
      </c>
      <c r="H67" s="22">
        <f t="shared" si="2"/>
        <v>1</v>
      </c>
      <c r="I67" s="123" t="s">
        <v>20</v>
      </c>
      <c r="J67" s="11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</row>
    <row r="68">
      <c r="A68" s="107">
        <v>66.0</v>
      </c>
      <c r="B68" s="107">
        <v>1015094.0</v>
      </c>
      <c r="C68" s="168" t="str">
        <f>vlookup(B68,'Crew Data'!C:G,5,0)</f>
        <v>Pheephat Janjamras</v>
      </c>
      <c r="D68" s="121" t="s">
        <v>850</v>
      </c>
      <c r="E68" s="198">
        <f>IFERROR(__xludf.DUMMYFUNCTION("IFERROR(SUM(
  ARRAYFORMULA(
    DATEVALUE(TRIM(MID(SPLIT(D68,CHAR(10)), FIND(""-"",SPLIT(D68,CHAR(10)))+1, 50))) 
  -
    DATEVALUE(TRIM(LEFT(SPLIT(D68,CHAR(10)), FIND(""-"",SPLIT(D68,CHAR(10)))-1)))
  + 1
)
),1)"),2.0)</f>
        <v>2</v>
      </c>
      <c r="F68" s="122">
        <f t="shared" si="1"/>
        <v>800</v>
      </c>
      <c r="G68" s="197" t="str">
        <f t="array" ref="G68">XLOOKUP(B68,Sheet68!A:A,Sheet68!AB:AB,0)</f>
        <v>pheephatj@airasia.com</v>
      </c>
      <c r="H68" s="22">
        <f t="shared" si="2"/>
        <v>1</v>
      </c>
      <c r="I68" s="123" t="s">
        <v>20</v>
      </c>
      <c r="J68" s="11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</row>
    <row r="69">
      <c r="A69" s="107">
        <v>67.0</v>
      </c>
      <c r="B69" s="107">
        <v>1016381.0</v>
      </c>
      <c r="C69" s="168" t="str">
        <f>vlookup(B69,'Crew Data'!C:G,5,0)</f>
        <v>Pongsathorn Petcharat</v>
      </c>
      <c r="D69" s="121" t="s">
        <v>851</v>
      </c>
      <c r="E69" s="198">
        <f>IFERROR(__xludf.DUMMYFUNCTION("IFERROR(SUM(
  ARRAYFORMULA(
    DATEVALUE(TRIM(MID(SPLIT(D69,CHAR(10)), FIND(""-"",SPLIT(D69,CHAR(10)))+1, 50))) 
  -
    DATEVALUE(TRIM(LEFT(SPLIT(D69,CHAR(10)), FIND(""-"",SPLIT(D69,CHAR(10)))-1)))
  + 1
)
),1)"),4.0)</f>
        <v>4</v>
      </c>
      <c r="F69" s="122">
        <f t="shared" si="1"/>
        <v>1600</v>
      </c>
      <c r="G69" s="197" t="str">
        <f t="array" ref="G69">XLOOKUP(B69,Sheet68!A:A,Sheet68!AB:AB,0)</f>
        <v>pongsathornb@airasia.com</v>
      </c>
      <c r="H69" s="22">
        <f t="shared" si="2"/>
        <v>1</v>
      </c>
      <c r="I69" s="123" t="s">
        <v>20</v>
      </c>
      <c r="J69" s="11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</row>
    <row r="70">
      <c r="A70" s="107">
        <v>68.0</v>
      </c>
      <c r="B70" s="107">
        <v>1014067.0</v>
      </c>
      <c r="C70" s="168" t="str">
        <f>vlookup(B70,'Crew Data'!C:G,5,0)</f>
        <v>Kedvarang Pikoonted</v>
      </c>
      <c r="D70" s="121" t="s">
        <v>852</v>
      </c>
      <c r="E70" s="198">
        <f>IFERROR(__xludf.DUMMYFUNCTION("IFERROR(SUM(
  ARRAYFORMULA(
    DATEVALUE(TRIM(MID(SPLIT(D70,CHAR(10)), FIND(""-"",SPLIT(D70,CHAR(10)))+1, 50))) 
  -
    DATEVALUE(TRIM(LEFT(SPLIT(D70,CHAR(10)), FIND(""-"",SPLIT(D70,CHAR(10)))-1)))
  + 1
)
),1)"),2.0)</f>
        <v>2</v>
      </c>
      <c r="F70" s="122">
        <f t="shared" si="1"/>
        <v>800</v>
      </c>
      <c r="G70" s="197" t="str">
        <f t="array" ref="G70">XLOOKUP(B70,Sheet68!A:A,Sheet68!AB:AB,0)</f>
        <v>kedvarangp@airasia.com</v>
      </c>
      <c r="H70" s="22">
        <f t="shared" si="2"/>
        <v>1</v>
      </c>
      <c r="I70" s="123" t="s">
        <v>20</v>
      </c>
      <c r="J70" s="11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</row>
    <row r="71">
      <c r="A71" s="107">
        <v>69.0</v>
      </c>
      <c r="B71" s="107">
        <v>1001738.0</v>
      </c>
      <c r="C71" s="168" t="str">
        <f>vlookup(B71,'Crew Data'!C:G,5,0)</f>
        <v>Nannaphat Poolklai</v>
      </c>
      <c r="D71" s="121" t="s">
        <v>853</v>
      </c>
      <c r="E71" s="198">
        <f>IFERROR(__xludf.DUMMYFUNCTION("IFERROR(SUM(
  ARRAYFORMULA(
    DATEVALUE(TRIM(MID(SPLIT(D71,CHAR(10)), FIND(""-"",SPLIT(D71,CHAR(10)))+1, 50))) 
  -
    DATEVALUE(TRIM(LEFT(SPLIT(D71,CHAR(10)), FIND(""-"",SPLIT(D71,CHAR(10)))-1)))
  + 1
)
),1)"),2.0)</f>
        <v>2</v>
      </c>
      <c r="F71" s="122">
        <f t="shared" si="1"/>
        <v>800</v>
      </c>
      <c r="G71" s="197" t="str">
        <f t="array" ref="G71">XLOOKUP(B71,Sheet68!A:A,Sheet68!AB:AB,0)</f>
        <v>nannaphatpoolklai@airasia.com</v>
      </c>
      <c r="H71" s="22">
        <f t="shared" si="2"/>
        <v>1</v>
      </c>
      <c r="I71" s="123" t="s">
        <v>20</v>
      </c>
      <c r="J71" s="11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</row>
    <row r="72">
      <c r="A72" s="107">
        <v>70.0</v>
      </c>
      <c r="B72" s="107">
        <v>1001286.0</v>
      </c>
      <c r="C72" s="168" t="str">
        <f>vlookup(B72,'Crew Data'!C:G,5,0)</f>
        <v>Sirinart Auypornbusyakom</v>
      </c>
      <c r="D72" s="121" t="s">
        <v>853</v>
      </c>
      <c r="E72" s="198">
        <f>IFERROR(__xludf.DUMMYFUNCTION("IFERROR(SUM(
  ARRAYFORMULA(
    DATEVALUE(TRIM(MID(SPLIT(D72,CHAR(10)), FIND(""-"",SPLIT(D72,CHAR(10)))+1, 50))) 
  -
    DATEVALUE(TRIM(LEFT(SPLIT(D72,CHAR(10)), FIND(""-"",SPLIT(D72,CHAR(10)))-1)))
  + 1
)
),1)"),2.0)</f>
        <v>2</v>
      </c>
      <c r="F72" s="122">
        <f t="shared" si="1"/>
        <v>800</v>
      </c>
      <c r="G72" s="197" t="str">
        <f t="array" ref="G72">XLOOKUP(B72,Sheet68!A:A,Sheet68!AB:AB,0)</f>
        <v>sirinarta@airasia.com</v>
      </c>
      <c r="H72" s="22">
        <f t="shared" si="2"/>
        <v>1</v>
      </c>
      <c r="I72" s="123" t="s">
        <v>20</v>
      </c>
      <c r="J72" s="11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</row>
    <row r="73">
      <c r="A73" s="107">
        <v>71.0</v>
      </c>
      <c r="B73" s="107">
        <v>1003302.0</v>
      </c>
      <c r="C73" s="168" t="str">
        <f>vlookup(B73,'Crew Data'!C:G,5,0)</f>
        <v>Panwad Thongkham</v>
      </c>
      <c r="D73" s="121" t="s">
        <v>854</v>
      </c>
      <c r="E73" s="198">
        <f>IFERROR(__xludf.DUMMYFUNCTION("IFERROR(SUM(
  ARRAYFORMULA(
    DATEVALUE(TRIM(MID(SPLIT(D73,CHAR(10)), FIND(""-"",SPLIT(D73,CHAR(10)))+1, 50))) 
  -
    DATEVALUE(TRIM(LEFT(SPLIT(D73,CHAR(10)), FIND(""-"",SPLIT(D73,CHAR(10)))-1)))
  + 1
)
),1)"),2.0)</f>
        <v>2</v>
      </c>
      <c r="F73" s="122">
        <f t="shared" si="1"/>
        <v>800</v>
      </c>
      <c r="G73" s="197" t="str">
        <f t="array" ref="G73">XLOOKUP(B73,Sheet68!A:A,Sheet68!AB:AB,0)</f>
        <v>panwadt@airasia.com</v>
      </c>
      <c r="H73" s="22">
        <f t="shared" si="2"/>
        <v>1</v>
      </c>
      <c r="I73" s="123" t="s">
        <v>20</v>
      </c>
      <c r="J73" s="11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</row>
    <row r="74">
      <c r="A74" s="107">
        <v>72.0</v>
      </c>
      <c r="B74" s="107">
        <v>1004292.0</v>
      </c>
      <c r="C74" s="168" t="str">
        <f>vlookup(B74,'Crew Data'!C:G,5,0)</f>
        <v>Darunee Anumat</v>
      </c>
      <c r="D74" s="121" t="s">
        <v>855</v>
      </c>
      <c r="E74" s="198">
        <f>IFERROR(__xludf.DUMMYFUNCTION("IFERROR(SUM(
  ARRAYFORMULA(
    DATEVALUE(TRIM(MID(SPLIT(D74,CHAR(10)), FIND(""-"",SPLIT(D74,CHAR(10)))+1, 50))) 
  -
    DATEVALUE(TRIM(LEFT(SPLIT(D74,CHAR(10)), FIND(""-"",SPLIT(D74,CHAR(10)))-1)))
  + 1
)
),1)"),2.0)</f>
        <v>2</v>
      </c>
      <c r="F74" s="122">
        <f t="shared" si="1"/>
        <v>800</v>
      </c>
      <c r="G74" s="197" t="str">
        <f t="array" ref="G74">XLOOKUP(B74,Sheet68!A:A,Sheet68!AB:AB,0)</f>
        <v>daruneea@airasia.com</v>
      </c>
      <c r="H74" s="22">
        <f t="shared" si="2"/>
        <v>1</v>
      </c>
      <c r="I74" s="123" t="s">
        <v>20</v>
      </c>
      <c r="J74" s="11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</row>
    <row r="75">
      <c r="A75" s="107">
        <v>73.0</v>
      </c>
      <c r="B75" s="107">
        <v>1022690.0</v>
      </c>
      <c r="C75" s="168" t="str">
        <f>vlookup(B75,'Crew Data'!C:G,5,0)</f>
        <v>Peerasin Yinharnmingmongkol</v>
      </c>
      <c r="D75" s="121" t="s">
        <v>856</v>
      </c>
      <c r="E75" s="198">
        <f>IFERROR(__xludf.DUMMYFUNCTION("IFERROR(SUM(
  ARRAYFORMULA(
    DATEVALUE(TRIM(MID(SPLIT(D75,CHAR(10)), FIND(""-"",SPLIT(D75,CHAR(10)))+1, 50))) 
  -
    DATEVALUE(TRIM(LEFT(SPLIT(D75,CHAR(10)), FIND(""-"",SPLIT(D75,CHAR(10)))-1)))
  + 1
)
),1)"),2.0)</f>
        <v>2</v>
      </c>
      <c r="F75" s="122">
        <f t="shared" si="1"/>
        <v>800</v>
      </c>
      <c r="G75" s="197" t="str">
        <f t="array" ref="G75">XLOOKUP(B75,Sheet68!A:A,Sheet68!AB:AB,0)</f>
        <v>peerasinyinharnming@airasia.com</v>
      </c>
      <c r="H75" s="22">
        <f t="shared" si="2"/>
        <v>1</v>
      </c>
      <c r="I75" s="173" t="s">
        <v>20</v>
      </c>
      <c r="J75" s="11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</row>
    <row r="76">
      <c r="A76" s="107">
        <v>74.0</v>
      </c>
      <c r="B76" s="107">
        <v>1026705.0</v>
      </c>
      <c r="C76" s="168" t="str">
        <f>vlookup(B76,'Crew Data'!C:G,5,0)</f>
        <v>Krittaya Tejawong</v>
      </c>
      <c r="D76" s="121" t="s">
        <v>856</v>
      </c>
      <c r="E76" s="198">
        <f>IFERROR(__xludf.DUMMYFUNCTION("IFERROR(SUM(
  ARRAYFORMULA(
    DATEVALUE(TRIM(MID(SPLIT(D76,CHAR(10)), FIND(""-"",SPLIT(D76,CHAR(10)))+1, 50))) 
  -
    DATEVALUE(TRIM(LEFT(SPLIT(D76,CHAR(10)), FIND(""-"",SPLIT(D76,CHAR(10)))-1)))
  + 1
)
),1)"),2.0)</f>
        <v>2</v>
      </c>
      <c r="F76" s="122">
        <f t="shared" si="1"/>
        <v>800</v>
      </c>
      <c r="G76" s="197" t="str">
        <f t="array" ref="G76">XLOOKUP(B76,Sheet68!A:A,Sheet68!AB:AB,0)</f>
        <v>krittayatejawong@airasia.com</v>
      </c>
      <c r="H76" s="22">
        <f t="shared" si="2"/>
        <v>1</v>
      </c>
      <c r="I76" s="123" t="s">
        <v>20</v>
      </c>
      <c r="J76" s="11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</row>
    <row r="77">
      <c r="A77" s="107">
        <v>75.0</v>
      </c>
      <c r="B77" s="107">
        <v>1012360.0</v>
      </c>
      <c r="C77" s="168" t="str">
        <f>vlookup(B77,'Crew Data'!C:G,5,0)</f>
        <v>Mintra Tunta-A-Riya</v>
      </c>
      <c r="D77" s="121" t="s">
        <v>857</v>
      </c>
      <c r="E77" s="198">
        <f>IFERROR(__xludf.DUMMYFUNCTION("IFERROR(SUM(
  ARRAYFORMULA(
    DATEVALUE(TRIM(MID(SPLIT(D77,CHAR(10)), FIND(""-"",SPLIT(D77,CHAR(10)))+1, 50))) 
  -
    DATEVALUE(TRIM(LEFT(SPLIT(D77,CHAR(10)), FIND(""-"",SPLIT(D77,CHAR(10)))-1)))
  + 1
)
),1)"),2.0)</f>
        <v>2</v>
      </c>
      <c r="F77" s="122">
        <f t="shared" si="1"/>
        <v>800</v>
      </c>
      <c r="G77" s="197" t="str">
        <f t="array" ref="G77">XLOOKUP(B77,Sheet68!A:A,Sheet68!AB:AB,0)</f>
        <v>mintrau@airasia.com</v>
      </c>
      <c r="H77" s="22">
        <f t="shared" si="2"/>
        <v>1</v>
      </c>
      <c r="I77" s="123" t="s">
        <v>20</v>
      </c>
      <c r="J77" s="11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</row>
    <row r="78">
      <c r="A78" s="107">
        <v>76.0</v>
      </c>
      <c r="B78" s="107">
        <v>1038950.0</v>
      </c>
      <c r="C78" s="168" t="str">
        <f>vlookup(B78,'Crew Data'!C:G,5,0)</f>
        <v>Parinya Silasak</v>
      </c>
      <c r="D78" s="121" t="s">
        <v>857</v>
      </c>
      <c r="E78" s="198">
        <f>IFERROR(__xludf.DUMMYFUNCTION("IFERROR(SUM(
  ARRAYFORMULA(
    DATEVALUE(TRIM(MID(SPLIT(D78,CHAR(10)), FIND(""-"",SPLIT(D78,CHAR(10)))+1, 50))) 
  -
    DATEVALUE(TRIM(LEFT(SPLIT(D78,CHAR(10)), FIND(""-"",SPLIT(D78,CHAR(10)))-1)))
  + 1
)
),1)"),2.0)</f>
        <v>2</v>
      </c>
      <c r="F78" s="122">
        <f t="shared" si="1"/>
        <v>800</v>
      </c>
      <c r="G78" s="197" t="str">
        <f t="array" ref="G78">XLOOKUP(B78,Sheet68!A:A,Sheet68!AB:AB,0)</f>
        <v>parinyasilasak@airasia.com</v>
      </c>
      <c r="H78" s="22">
        <f t="shared" si="2"/>
        <v>1</v>
      </c>
      <c r="I78" s="123" t="s">
        <v>20</v>
      </c>
      <c r="J78" s="11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</row>
    <row r="79">
      <c r="A79" s="107">
        <v>77.0</v>
      </c>
      <c r="B79" s="107">
        <v>1011306.0</v>
      </c>
      <c r="C79" s="168" t="str">
        <f>vlookup(B79,'Crew Data'!C:G,5,0)</f>
        <v>Kanthanuch Boonlor</v>
      </c>
      <c r="D79" s="121" t="s">
        <v>858</v>
      </c>
      <c r="E79" s="198">
        <f>IFERROR(__xludf.DUMMYFUNCTION("IFERROR(SUM(
  ARRAYFORMULA(
    DATEVALUE(TRIM(MID(SPLIT(D79,CHAR(10)), FIND(""-"",SPLIT(D79,CHAR(10)))+1, 50))) 
  -
    DATEVALUE(TRIM(LEFT(SPLIT(D79,CHAR(10)), FIND(""-"",SPLIT(D79,CHAR(10)))-1)))
  + 1
)
),1)"),4.0)</f>
        <v>4</v>
      </c>
      <c r="F79" s="122">
        <f t="shared" si="1"/>
        <v>1600</v>
      </c>
      <c r="G79" s="197" t="str">
        <f t="array" ref="G79">XLOOKUP(B79,Sheet68!A:A,Sheet68!AB:AB,0)</f>
        <v>kanthanuchb@airasia.com</v>
      </c>
      <c r="H79" s="22">
        <f t="shared" si="2"/>
        <v>1</v>
      </c>
      <c r="I79" s="123" t="s">
        <v>20</v>
      </c>
      <c r="J79" s="11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</row>
    <row r="80">
      <c r="A80" s="107">
        <v>78.0</v>
      </c>
      <c r="B80" s="107">
        <v>1015093.0</v>
      </c>
      <c r="C80" s="168" t="str">
        <f>vlookup(B80,'Crew Data'!C:G,5,0)</f>
        <v>Sampan Simpalipan</v>
      </c>
      <c r="D80" s="121" t="s">
        <v>859</v>
      </c>
      <c r="E80" s="198">
        <f>IFERROR(__xludf.DUMMYFUNCTION("IFERROR(SUM(
  ARRAYFORMULA(
    DATEVALUE(TRIM(MID(SPLIT(D80,CHAR(10)), FIND(""-"",SPLIT(D80,CHAR(10)))+1, 50))) 
  -
    DATEVALUE(TRIM(LEFT(SPLIT(D80,CHAR(10)), FIND(""-"",SPLIT(D80,CHAR(10)))-1)))
  + 1
)
),1)"),6.0)</f>
        <v>6</v>
      </c>
      <c r="F80" s="122">
        <f t="shared" si="1"/>
        <v>2400</v>
      </c>
      <c r="G80" s="197" t="str">
        <f t="array" ref="G80">XLOOKUP(B80,Sheet68!A:A,Sheet68!AB:AB,0)</f>
        <v>sampans@airasia.com</v>
      </c>
      <c r="H80" s="22">
        <f t="shared" si="2"/>
        <v>1</v>
      </c>
      <c r="I80" s="123" t="s">
        <v>20</v>
      </c>
      <c r="J80" s="11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</row>
    <row r="81">
      <c r="A81" s="107">
        <v>79.0</v>
      </c>
      <c r="B81" s="107">
        <v>1002264.0</v>
      </c>
      <c r="C81" s="168" t="str">
        <f>vlookup(B81,'Crew Data'!C:G,5,0)</f>
        <v>Anooradee Wilairot</v>
      </c>
      <c r="D81" s="121" t="s">
        <v>850</v>
      </c>
      <c r="E81" s="198">
        <f>IFERROR(__xludf.DUMMYFUNCTION("IFERROR(SUM(
  ARRAYFORMULA(
    DATEVALUE(TRIM(MID(SPLIT(D81,CHAR(10)), FIND(""-"",SPLIT(D81,CHAR(10)))+1, 50))) 
  -
    DATEVALUE(TRIM(LEFT(SPLIT(D81,CHAR(10)), FIND(""-"",SPLIT(D81,CHAR(10)))-1)))
  + 1
)
),1)"),2.0)</f>
        <v>2</v>
      </c>
      <c r="F81" s="122">
        <f t="shared" si="1"/>
        <v>800</v>
      </c>
      <c r="G81" s="197" t="str">
        <f t="array" ref="G81">XLOOKUP(B81,Sheet68!A:A,Sheet68!AB:AB,0)</f>
        <v>anooradeew@airasia.com</v>
      </c>
      <c r="H81" s="22">
        <f t="shared" si="2"/>
        <v>1</v>
      </c>
      <c r="I81" s="123" t="s">
        <v>20</v>
      </c>
      <c r="J81" s="11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</row>
    <row r="82">
      <c r="A82" s="107">
        <v>80.0</v>
      </c>
      <c r="B82" s="107">
        <v>1013190.0</v>
      </c>
      <c r="C82" s="168" t="str">
        <f>vlookup(B82,'Crew Data'!C:G,5,0)</f>
        <v>Thamonwan Chokumpornpan</v>
      </c>
      <c r="D82" s="121" t="s">
        <v>857</v>
      </c>
      <c r="E82" s="198">
        <f>IFERROR(__xludf.DUMMYFUNCTION("IFERROR(SUM(
  ARRAYFORMULA(
    DATEVALUE(TRIM(MID(SPLIT(D82,CHAR(10)), FIND(""-"",SPLIT(D82,CHAR(10)))+1, 50))) 
  -
    DATEVALUE(TRIM(LEFT(SPLIT(D82,CHAR(10)), FIND(""-"",SPLIT(D82,CHAR(10)))-1)))
  + 1
)
),1)"),2.0)</f>
        <v>2</v>
      </c>
      <c r="F82" s="122">
        <f t="shared" si="1"/>
        <v>800</v>
      </c>
      <c r="G82" s="197" t="str">
        <f t="array" ref="G82">XLOOKUP(B82,Sheet68!A:A,Sheet68!AB:AB,0)</f>
        <v>thamonwanh@airasia.com</v>
      </c>
      <c r="H82" s="22">
        <f t="shared" si="2"/>
        <v>1</v>
      </c>
      <c r="I82" s="123" t="s">
        <v>20</v>
      </c>
      <c r="J82" s="11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</row>
    <row r="83">
      <c r="A83" s="107">
        <v>81.0</v>
      </c>
      <c r="B83" s="107">
        <v>1004444.0</v>
      </c>
      <c r="C83" s="168" t="str">
        <f>vlookup(B83,'Crew Data'!C:G,5,0)</f>
        <v>Arisara Nenchatee</v>
      </c>
      <c r="D83" s="121" t="s">
        <v>822</v>
      </c>
      <c r="E83" s="198">
        <f>IFERROR(__xludf.DUMMYFUNCTION("IFERROR(SUM(
  ARRAYFORMULA(
    DATEVALUE(TRIM(MID(SPLIT(D83,CHAR(10)), FIND(""-"",SPLIT(D83,CHAR(10)))+1, 50))) 
  -
    DATEVALUE(TRIM(LEFT(SPLIT(D83,CHAR(10)), FIND(""-"",SPLIT(D83,CHAR(10)))-1)))
  + 1
)
),1)"),2.0)</f>
        <v>2</v>
      </c>
      <c r="F83" s="122">
        <f t="shared" si="1"/>
        <v>800</v>
      </c>
      <c r="G83" s="197" t="str">
        <f t="array" ref="G83">XLOOKUP(B83,Sheet68!A:A,Sheet68!AB:AB,0)</f>
        <v>arisaran@airasia.com</v>
      </c>
      <c r="H83" s="22">
        <f t="shared" si="2"/>
        <v>1</v>
      </c>
      <c r="I83" s="123" t="s">
        <v>20</v>
      </c>
      <c r="J83" s="11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</row>
    <row r="84">
      <c r="A84" s="107">
        <v>82.0</v>
      </c>
      <c r="B84" s="107">
        <v>1022222.0</v>
      </c>
      <c r="C84" s="168" t="str">
        <f>vlookup(B84,'Crew Data'!C:G,5,0)</f>
        <v>Songboon Kiatchaweepan</v>
      </c>
      <c r="D84" s="121" t="s">
        <v>860</v>
      </c>
      <c r="E84" s="198">
        <f>IFERROR(__xludf.DUMMYFUNCTION("IFERROR(SUM(
  ARRAYFORMULA(
    DATEVALUE(TRIM(MID(SPLIT(D84,CHAR(10)), FIND(""-"",SPLIT(D84,CHAR(10)))+1, 50))) 
  -
    DATEVALUE(TRIM(LEFT(SPLIT(D84,CHAR(10)), FIND(""-"",SPLIT(D84,CHAR(10)))-1)))
  + 1
)
),1)"),2.0)</f>
        <v>2</v>
      </c>
      <c r="F84" s="122">
        <f t="shared" si="1"/>
        <v>800</v>
      </c>
      <c r="G84" s="197" t="str">
        <f t="array" ref="G84">XLOOKUP(B84,Sheet68!A:A,Sheet68!AB:AB,0)</f>
        <v>songboonkiatchaweep@airasia.com</v>
      </c>
      <c r="H84" s="22">
        <f t="shared" si="2"/>
        <v>1</v>
      </c>
      <c r="I84" s="123" t="s">
        <v>20</v>
      </c>
      <c r="J84" s="11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</row>
    <row r="85">
      <c r="A85" s="107">
        <v>83.0</v>
      </c>
      <c r="B85" s="107">
        <v>1001837.0</v>
      </c>
      <c r="C85" s="168" t="str">
        <f>vlookup(B85,'Crew Data'!C:G,5,0)</f>
        <v>Taralan Jareemuk</v>
      </c>
      <c r="D85" s="121" t="s">
        <v>861</v>
      </c>
      <c r="E85" s="198">
        <f>IFERROR(__xludf.DUMMYFUNCTION("IFERROR(SUM(
  ARRAYFORMULA(
    DATEVALUE(TRIM(MID(SPLIT(D85,CHAR(10)), FIND(""-"",SPLIT(D85,CHAR(10)))+1, 50))) 
  -
    DATEVALUE(TRIM(LEFT(SPLIT(D85,CHAR(10)), FIND(""-"",SPLIT(D85,CHAR(10)))-1)))
  + 1
)
),1)"),12.0)</f>
        <v>12</v>
      </c>
      <c r="F85" s="122">
        <f t="shared" si="1"/>
        <v>4800</v>
      </c>
      <c r="G85" s="197" t="str">
        <f t="array" ref="G85">XLOOKUP(B85,Sheet68!A:A,Sheet68!AB:AB,0)</f>
        <v>taralanj@airasia.com</v>
      </c>
      <c r="H85" s="22">
        <f t="shared" si="2"/>
        <v>1</v>
      </c>
      <c r="I85" s="123" t="s">
        <v>20</v>
      </c>
      <c r="J85" s="11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</row>
    <row r="86">
      <c r="A86" s="107">
        <v>84.0</v>
      </c>
      <c r="B86" s="107">
        <v>1025309.0</v>
      </c>
      <c r="C86" s="168" t="str">
        <f>vlookup(B86,'Crew Data'!C:G,5,0)</f>
        <v>Nonthapat Mansamak</v>
      </c>
      <c r="D86" s="121" t="s">
        <v>850</v>
      </c>
      <c r="E86" s="198">
        <f>IFERROR(__xludf.DUMMYFUNCTION("IFERROR(SUM(
  ARRAYFORMULA(
    DATEVALUE(TRIM(MID(SPLIT(D86,CHAR(10)), FIND(""-"",SPLIT(D86,CHAR(10)))+1, 50))) 
  -
    DATEVALUE(TRIM(LEFT(SPLIT(D86,CHAR(10)), FIND(""-"",SPLIT(D86,CHAR(10)))-1)))
  + 1
)
),1)"),2.0)</f>
        <v>2</v>
      </c>
      <c r="F86" s="122">
        <f t="shared" si="1"/>
        <v>800</v>
      </c>
      <c r="G86" s="197" t="str">
        <f t="array" ref="G86">XLOOKUP(B86,Sheet68!A:A,Sheet68!AB:AB,0)</f>
        <v>nonthapatmansamak@airasia.com</v>
      </c>
      <c r="H86" s="22">
        <f t="shared" si="2"/>
        <v>1</v>
      </c>
      <c r="I86" s="123" t="s">
        <v>20</v>
      </c>
      <c r="J86" s="11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</row>
    <row r="87">
      <c r="A87" s="107">
        <v>85.0</v>
      </c>
      <c r="B87" s="107">
        <v>1010916.0</v>
      </c>
      <c r="C87" s="168" t="str">
        <f>vlookup(B87,'Crew Data'!C:G,5,0)</f>
        <v>Sivakorn Sangsukiam</v>
      </c>
      <c r="D87" s="121" t="s">
        <v>857</v>
      </c>
      <c r="E87" s="198">
        <f>IFERROR(__xludf.DUMMYFUNCTION("IFERROR(SUM(
  ARRAYFORMULA(
    DATEVALUE(TRIM(MID(SPLIT(D87,CHAR(10)), FIND(""-"",SPLIT(D87,CHAR(10)))+1, 50))) 
  -
    DATEVALUE(TRIM(LEFT(SPLIT(D87,CHAR(10)), FIND(""-"",SPLIT(D87,CHAR(10)))-1)))
  + 1
)
),1)"),2.0)</f>
        <v>2</v>
      </c>
      <c r="F87" s="122">
        <f t="shared" si="1"/>
        <v>800</v>
      </c>
      <c r="G87" s="197" t="str">
        <f t="array" ref="G87">XLOOKUP(B87,Sheet68!A:A,Sheet68!AB:AB,0)</f>
        <v>sivakorns@airasia.com</v>
      </c>
      <c r="H87" s="22">
        <f t="shared" si="2"/>
        <v>1</v>
      </c>
      <c r="I87" s="123" t="s">
        <v>20</v>
      </c>
      <c r="J87" s="11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</row>
    <row r="88">
      <c r="A88" s="107">
        <v>86.0</v>
      </c>
      <c r="B88" s="107">
        <v>1040874.0</v>
      </c>
      <c r="C88" s="168" t="str">
        <f>vlookup(B88,'Crew Data'!C:G,5,0)</f>
        <v>Pairwa Suwan</v>
      </c>
      <c r="D88" s="121" t="s">
        <v>852</v>
      </c>
      <c r="E88" s="198">
        <f>IFERROR(__xludf.DUMMYFUNCTION("IFERROR(SUM(
  ARRAYFORMULA(
    DATEVALUE(TRIM(MID(SPLIT(D88,CHAR(10)), FIND(""-"",SPLIT(D88,CHAR(10)))+1, 50))) 
  -
    DATEVALUE(TRIM(LEFT(SPLIT(D88,CHAR(10)), FIND(""-"",SPLIT(D88,CHAR(10)))-1)))
  + 1
)
),1)"),2.0)</f>
        <v>2</v>
      </c>
      <c r="F88" s="122">
        <f t="shared" si="1"/>
        <v>800</v>
      </c>
      <c r="G88" s="197" t="str">
        <f t="array" ref="G88">XLOOKUP(B88,Sheet68!A:A,Sheet68!AB:AB,0)</f>
        <v>pairwasuwan@airasia.com</v>
      </c>
      <c r="H88" s="22">
        <f t="shared" si="2"/>
        <v>1</v>
      </c>
      <c r="I88" s="123" t="s">
        <v>20</v>
      </c>
      <c r="J88" s="11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</row>
    <row r="89">
      <c r="A89" s="107">
        <v>87.0</v>
      </c>
      <c r="B89" s="107">
        <v>1038742.0</v>
      </c>
      <c r="C89" s="168" t="str">
        <f>vlookup(B89,'Crew Data'!C:G,5,0)</f>
        <v>Sudarat Saktawin</v>
      </c>
      <c r="D89" s="121" t="s">
        <v>823</v>
      </c>
      <c r="E89" s="198">
        <f>IFERROR(__xludf.DUMMYFUNCTION("IFERROR(SUM(
  ARRAYFORMULA(
    DATEVALUE(TRIM(MID(SPLIT(D89,CHAR(10)), FIND(""-"",SPLIT(D89,CHAR(10)))+1, 50))) 
  -
    DATEVALUE(TRIM(LEFT(SPLIT(D89,CHAR(10)), FIND(""-"",SPLIT(D89,CHAR(10)))-1)))
  + 1
)
),1)"),2.0)</f>
        <v>2</v>
      </c>
      <c r="F89" s="122">
        <f t="shared" si="1"/>
        <v>800</v>
      </c>
      <c r="G89" s="197" t="str">
        <f t="array" ref="G89">XLOOKUP(B89,Sheet68!A:A,Sheet68!AB:AB,0)</f>
        <v>sudaratsaktawin@airasia.com</v>
      </c>
      <c r="H89" s="22">
        <f t="shared" si="2"/>
        <v>1</v>
      </c>
      <c r="I89" s="123" t="s">
        <v>20</v>
      </c>
      <c r="J89" s="11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</row>
    <row r="90">
      <c r="A90" s="107">
        <v>88.0</v>
      </c>
      <c r="B90" s="107">
        <v>1011307.0</v>
      </c>
      <c r="C90" s="168" t="str">
        <f>vlookup(B90,'Crew Data'!C:G,5,0)</f>
        <v>Munnanicha Sarakong</v>
      </c>
      <c r="D90" s="121" t="s">
        <v>862</v>
      </c>
      <c r="E90" s="198">
        <f>IFERROR(__xludf.DUMMYFUNCTION("IFERROR(SUM(
  ARRAYFORMULA(
    DATEVALUE(TRIM(MID(SPLIT(D90,CHAR(10)), FIND(""-"",SPLIT(D90,CHAR(10)))+1, 50))) 
  -
    DATEVALUE(TRIM(LEFT(SPLIT(D90,CHAR(10)), FIND(""-"",SPLIT(D90,CHAR(10)))-1)))
  + 1
)
),1)"),4.0)</f>
        <v>4</v>
      </c>
      <c r="F90" s="122">
        <f t="shared" si="1"/>
        <v>1600</v>
      </c>
      <c r="G90" s="197" t="str">
        <f t="array" ref="G90">XLOOKUP(B90,Sheet68!A:A,Sheet68!AB:AB,0)</f>
        <v>munnanichas@airasia.com</v>
      </c>
      <c r="H90" s="22">
        <f t="shared" si="2"/>
        <v>1</v>
      </c>
      <c r="I90" s="123" t="s">
        <v>20</v>
      </c>
      <c r="J90" s="11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</row>
    <row r="91">
      <c r="A91" s="107">
        <v>89.0</v>
      </c>
      <c r="B91" s="107">
        <v>1007147.0</v>
      </c>
      <c r="C91" s="168" t="str">
        <f>vlookup(B91,'Crew Data'!C:G,5,0)</f>
        <v>Nongnaphat Ongetphon</v>
      </c>
      <c r="D91" s="121" t="s">
        <v>819</v>
      </c>
      <c r="E91" s="198">
        <f>IFERROR(__xludf.DUMMYFUNCTION("IFERROR(SUM(
  ARRAYFORMULA(
    DATEVALUE(TRIM(MID(SPLIT(D91,CHAR(10)), FIND(""-"",SPLIT(D91,CHAR(10)))+1, 50))) 
  -
    DATEVALUE(TRIM(LEFT(SPLIT(D91,CHAR(10)), FIND(""-"",SPLIT(D91,CHAR(10)))-1)))
  + 1
)
),1)"),2.0)</f>
        <v>2</v>
      </c>
      <c r="F91" s="122">
        <f t="shared" si="1"/>
        <v>800</v>
      </c>
      <c r="G91" s="197" t="str">
        <f t="array" ref="G91">XLOOKUP(B91,Sheet68!A:A,Sheet68!AB:AB,0)</f>
        <v>nongnaphato@airasia.com</v>
      </c>
      <c r="H91" s="22">
        <f t="shared" si="2"/>
        <v>1</v>
      </c>
      <c r="I91" s="123" t="s">
        <v>20</v>
      </c>
      <c r="J91" s="11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</row>
    <row r="92">
      <c r="A92" s="107">
        <v>90.0</v>
      </c>
      <c r="B92" s="201">
        <v>1001614.0</v>
      </c>
      <c r="C92" s="168" t="str">
        <f>vlookup(B92,'Crew Data'!C:G,5,0)</f>
        <v>Sanlaya Kanrarat</v>
      </c>
      <c r="D92" s="121" t="s">
        <v>832</v>
      </c>
      <c r="E92" s="198">
        <f>IFERROR(__xludf.DUMMYFUNCTION("IFERROR(SUM(
  ARRAYFORMULA(
    DATEVALUE(TRIM(MID(SPLIT(D92,CHAR(10)), FIND(""-"",SPLIT(D92,CHAR(10)))+1, 50))) 
  -
    DATEVALUE(TRIM(LEFT(SPLIT(D92,CHAR(10)), FIND(""-"",SPLIT(D92,CHAR(10)))-1)))
  + 1
)
),1)"),2.0)</f>
        <v>2</v>
      </c>
      <c r="F92" s="122">
        <f t="shared" si="1"/>
        <v>800</v>
      </c>
      <c r="G92" s="197" t="str">
        <f t="array" ref="G92">XLOOKUP(B92,Sheet68!A:A,Sheet68!AB:AB,0)</f>
        <v>sanlayak@airasia.com</v>
      </c>
      <c r="H92" s="22">
        <f t="shared" si="2"/>
        <v>1</v>
      </c>
      <c r="I92" s="123" t="s">
        <v>20</v>
      </c>
      <c r="J92" s="11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</row>
    <row r="93">
      <c r="A93" s="107">
        <v>91.0</v>
      </c>
      <c r="B93" s="107">
        <v>1019308.0</v>
      </c>
      <c r="C93" s="168" t="str">
        <f>vlookup(B93,'Crew Data'!C:G,5,0)</f>
        <v>Thanyathorn Prueksasilp</v>
      </c>
      <c r="D93" s="121" t="s">
        <v>836</v>
      </c>
      <c r="E93" s="198">
        <f>IFERROR(__xludf.DUMMYFUNCTION("IFERROR(SUM(
  ARRAYFORMULA(
    DATEVALUE(TRIM(MID(SPLIT(D93,CHAR(10)), FIND(""-"",SPLIT(D93,CHAR(10)))+1, 50))) 
  -
    DATEVALUE(TRIM(LEFT(SPLIT(D93,CHAR(10)), FIND(""-"",SPLIT(D93,CHAR(10)))-1)))
  + 1
)
),1)"),2.0)</f>
        <v>2</v>
      </c>
      <c r="F93" s="122">
        <f t="shared" si="1"/>
        <v>800</v>
      </c>
      <c r="G93" s="197" t="str">
        <f t="array" ref="G93">XLOOKUP(B93,Sheet68!A:A,Sheet68!AB:AB,0)</f>
        <v>thanyathornp@airasia.com</v>
      </c>
      <c r="H93" s="22">
        <f t="shared" si="2"/>
        <v>1</v>
      </c>
      <c r="I93" s="123" t="s">
        <v>20</v>
      </c>
      <c r="J93" s="11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</row>
    <row r="94" ht="16.5" customHeight="1">
      <c r="A94" s="107">
        <v>92.0</v>
      </c>
      <c r="B94" s="107">
        <v>1019528.0</v>
      </c>
      <c r="C94" s="168" t="str">
        <f>vlookup(B94,'Crew Data'!C:G,5,0)</f>
        <v>Panida Wannaying</v>
      </c>
      <c r="D94" s="121" t="s">
        <v>850</v>
      </c>
      <c r="E94" s="198">
        <f>IFERROR(__xludf.DUMMYFUNCTION("IFERROR(SUM(
  ARRAYFORMULA(
    DATEVALUE(TRIM(MID(SPLIT(D94,CHAR(10)), FIND(""-"",SPLIT(D94,CHAR(10)))+1, 50))) 
  -
    DATEVALUE(TRIM(LEFT(SPLIT(D94,CHAR(10)), FIND(""-"",SPLIT(D94,CHAR(10)))-1)))
  + 1
)
),1)"),2.0)</f>
        <v>2</v>
      </c>
      <c r="F94" s="122">
        <f t="shared" si="1"/>
        <v>800</v>
      </c>
      <c r="G94" s="197" t="str">
        <f t="array" ref="G94">XLOOKUP(B94,Sheet68!A:A,Sheet68!AB:AB,0)</f>
        <v>panidaw@airasia.com</v>
      </c>
      <c r="H94" s="22">
        <f t="shared" si="2"/>
        <v>1</v>
      </c>
      <c r="I94" s="123" t="s">
        <v>20</v>
      </c>
      <c r="J94" s="11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</row>
    <row r="95" ht="17.25" customHeight="1">
      <c r="A95" s="107">
        <v>93.0</v>
      </c>
      <c r="B95" s="107">
        <v>1003418.0</v>
      </c>
      <c r="C95" s="168" t="str">
        <f>vlookup(B95,'Crew Data'!C:G,5,0)</f>
        <v>Chiravitch Kittiphongsathaporn</v>
      </c>
      <c r="D95" s="121" t="s">
        <v>863</v>
      </c>
      <c r="E95" s="198">
        <f>IFERROR(__xludf.DUMMYFUNCTION("IFERROR(SUM(
  ARRAYFORMULA(
    DATEVALUE(TRIM(MID(SPLIT(D95,CHAR(10)), FIND(""-"",SPLIT(D95,CHAR(10)))+1, 50))) 
  -
    DATEVALUE(TRIM(LEFT(SPLIT(D95,CHAR(10)), FIND(""-"",SPLIT(D95,CHAR(10)))-1)))
  + 1
)
),1)"),2.0)</f>
        <v>2</v>
      </c>
      <c r="F95" s="122">
        <f t="shared" si="1"/>
        <v>800</v>
      </c>
      <c r="G95" s="197" t="str">
        <f t="array" ref="G95">XLOOKUP(B95,Sheet68!A:A,Sheet68!AB:AB,0)</f>
        <v>chiravitchk@airasia.com</v>
      </c>
      <c r="H95" s="22">
        <f t="shared" si="2"/>
        <v>1</v>
      </c>
      <c r="I95" s="123" t="s">
        <v>20</v>
      </c>
      <c r="J95" s="11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</row>
    <row r="96" ht="16.5" customHeight="1">
      <c r="A96" s="107">
        <v>94.0</v>
      </c>
      <c r="B96" s="107">
        <v>1005954.0</v>
      </c>
      <c r="C96" s="168" t="str">
        <f>vlookup(B96,'Crew Data'!C:G,5,0)</f>
        <v>Pawinee Srisungnoen</v>
      </c>
      <c r="D96" s="121" t="s">
        <v>837</v>
      </c>
      <c r="E96" s="198">
        <f>IFERROR(__xludf.DUMMYFUNCTION("IFERROR(SUM(
  ARRAYFORMULA(
    DATEVALUE(TRIM(MID(SPLIT(D96,CHAR(10)), FIND(""-"",SPLIT(D96,CHAR(10)))+1, 50))) 
  -
    DATEVALUE(TRIM(LEFT(SPLIT(D96,CHAR(10)), FIND(""-"",SPLIT(D96,CHAR(10)))-1)))
  + 1
)
),1)"),2.0)</f>
        <v>2</v>
      </c>
      <c r="F96" s="122">
        <f t="shared" si="1"/>
        <v>800</v>
      </c>
      <c r="G96" s="197" t="str">
        <f t="array" ref="G96">XLOOKUP(B96,Sheet68!A:A,Sheet68!AB:AB,0)</f>
        <v>pawinees@airasia.com</v>
      </c>
      <c r="H96" s="22">
        <f t="shared" si="2"/>
        <v>1</v>
      </c>
      <c r="I96" s="123" t="s">
        <v>20</v>
      </c>
      <c r="J96" s="11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</row>
    <row r="97" ht="16.5" customHeight="1">
      <c r="A97" s="107">
        <v>95.0</v>
      </c>
      <c r="B97" s="107">
        <v>1021945.0</v>
      </c>
      <c r="C97" s="168" t="str">
        <f>vlookup(B97,'Crew Data'!C:G,5,0)</f>
        <v>Pornpimon Sakulpan</v>
      </c>
      <c r="D97" s="121" t="s">
        <v>856</v>
      </c>
      <c r="E97" s="198">
        <f>IFERROR(__xludf.DUMMYFUNCTION("IFERROR(SUM(
  ARRAYFORMULA(
    DATEVALUE(TRIM(MID(SPLIT(D97,CHAR(10)), FIND(""-"",SPLIT(D97,CHAR(10)))+1, 50))) 
  -
    DATEVALUE(TRIM(LEFT(SPLIT(D97,CHAR(10)), FIND(""-"",SPLIT(D97,CHAR(10)))-1)))
  + 1
)
),1)"),2.0)</f>
        <v>2</v>
      </c>
      <c r="F97" s="122">
        <f t="shared" si="1"/>
        <v>800</v>
      </c>
      <c r="G97" s="197" t="str">
        <f t="array" ref="G97">XLOOKUP(B97,Sheet68!A:A,Sheet68!AB:AB,0)</f>
        <v>pornpimons@airasia.com</v>
      </c>
      <c r="H97" s="22">
        <f t="shared" si="2"/>
        <v>1</v>
      </c>
      <c r="I97" s="123" t="s">
        <v>20</v>
      </c>
      <c r="J97" s="11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</row>
    <row r="98" ht="16.5" customHeight="1">
      <c r="A98" s="107">
        <v>96.0</v>
      </c>
      <c r="B98" s="107">
        <v>1040336.0</v>
      </c>
      <c r="C98" s="168" t="str">
        <f>vlookup(B98,'Crew Data'!C:G,5,0)</f>
        <v>Patcharapan Suwanmanee</v>
      </c>
      <c r="D98" s="125">
        <v>46053.0</v>
      </c>
      <c r="E98" s="198">
        <f>IFERROR(__xludf.DUMMYFUNCTION("IFERROR(SUM(
  ARRAYFORMULA(
    DATEVALUE(TRIM(MID(SPLIT(D98,CHAR(10)), FIND(""-"",SPLIT(D98,CHAR(10)))+1, 50))) 
  -
    DATEVALUE(TRIM(LEFT(SPLIT(D98,CHAR(10)), FIND(""-"",SPLIT(D98,CHAR(10)))-1)))
  + 1
)
),1)"),1.0)</f>
        <v>1</v>
      </c>
      <c r="F98" s="122">
        <f t="shared" si="1"/>
        <v>400</v>
      </c>
      <c r="G98" s="197" t="str">
        <f t="array" ref="G98">XLOOKUP(B98,Sheet68!A:A,Sheet68!AB:AB,0)</f>
        <v>patcharapansuwanman@airasia.com</v>
      </c>
      <c r="H98" s="22">
        <f t="shared" si="2"/>
        <v>1</v>
      </c>
      <c r="I98" s="123" t="s">
        <v>20</v>
      </c>
      <c r="J98" s="11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</row>
    <row r="99" ht="16.5" customHeight="1">
      <c r="A99" s="107">
        <v>97.0</v>
      </c>
      <c r="B99" s="107">
        <v>1009434.0</v>
      </c>
      <c r="C99" s="168" t="str">
        <f>vlookup(B99,'Crew Data'!C:G,5,0)</f>
        <v>Wanpiya Kaewyok</v>
      </c>
      <c r="D99" s="125">
        <v>46053.0</v>
      </c>
      <c r="E99" s="198">
        <f>IFERROR(__xludf.DUMMYFUNCTION("IFERROR(SUM(
  ARRAYFORMULA(
    DATEVALUE(TRIM(MID(SPLIT(D99,CHAR(10)), FIND(""-"",SPLIT(D99,CHAR(10)))+1, 50))) 
  -
    DATEVALUE(TRIM(LEFT(SPLIT(D99,CHAR(10)), FIND(""-"",SPLIT(D99,CHAR(10)))-1)))
  + 1
)
),1)"),1.0)</f>
        <v>1</v>
      </c>
      <c r="F99" s="122">
        <f t="shared" si="1"/>
        <v>400</v>
      </c>
      <c r="G99" s="197" t="str">
        <f t="array" ref="G99">XLOOKUP(B99,Sheet68!A:A,Sheet68!AB:AB,0)</f>
        <v>wanpiyak@airasia.com</v>
      </c>
      <c r="H99" s="22">
        <f t="shared" si="2"/>
        <v>1</v>
      </c>
      <c r="I99" s="123" t="s">
        <v>20</v>
      </c>
      <c r="J99" s="11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</row>
    <row r="100" ht="16.5" customHeight="1">
      <c r="A100" s="107">
        <v>98.0</v>
      </c>
      <c r="B100" s="107">
        <v>1008991.0</v>
      </c>
      <c r="C100" s="168" t="str">
        <f>vlookup(B100,'Crew Data'!C:G,5,0)</f>
        <v>Premkamon Changsuwan</v>
      </c>
      <c r="D100" s="125">
        <v>46053.0</v>
      </c>
      <c r="E100" s="198">
        <f>IFERROR(__xludf.DUMMYFUNCTION("IFERROR(SUM(
  ARRAYFORMULA(
    DATEVALUE(TRIM(MID(SPLIT(D100,CHAR(10)), FIND(""-"",SPLIT(D100,CHAR(10)))+1, 50))) 
  -
    DATEVALUE(TRIM(LEFT(SPLIT(D100,CHAR(10)), FIND(""-"",SPLIT(D100,CHAR(10)))-1)))
  + 1
)
),1)"),1.0)</f>
        <v>1</v>
      </c>
      <c r="F100" s="122">
        <f t="shared" si="1"/>
        <v>400</v>
      </c>
      <c r="G100" s="197" t="str">
        <f t="array" ref="G100">XLOOKUP(B100,Sheet68!A:A,Sheet68!AB:AB,0)</f>
        <v>premkamonc@airasia.com</v>
      </c>
      <c r="H100" s="22">
        <f t="shared" si="2"/>
        <v>1</v>
      </c>
      <c r="I100" s="123" t="s">
        <v>20</v>
      </c>
      <c r="J100" s="11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</row>
    <row r="101" ht="16.5" customHeight="1">
      <c r="A101" s="107">
        <v>99.0</v>
      </c>
      <c r="B101" s="107">
        <v>1009768.0</v>
      </c>
      <c r="C101" s="168" t="str">
        <f>vlookup(B101,'Crew Data'!C:G,5,0)</f>
        <v>Thidech Eakmongkollert</v>
      </c>
      <c r="D101" s="121" t="s">
        <v>836</v>
      </c>
      <c r="E101" s="198">
        <f>IFERROR(__xludf.DUMMYFUNCTION("IFERROR(SUM(
  ARRAYFORMULA(
    DATEVALUE(TRIM(MID(SPLIT(D101,CHAR(10)), FIND(""-"",SPLIT(D101,CHAR(10)))+1, 50))) 
  -
    DATEVALUE(TRIM(LEFT(SPLIT(D101,CHAR(10)), FIND(""-"",SPLIT(D101,CHAR(10)))-1)))
  + 1
)
),1)"),2.0)</f>
        <v>2</v>
      </c>
      <c r="F101" s="122">
        <f t="shared" si="1"/>
        <v>800</v>
      </c>
      <c r="G101" s="197" t="str">
        <f t="array" ref="G101">XLOOKUP(B101,Sheet68!A:A,Sheet68!AB:AB,0)</f>
        <v>thideche@airasia.com</v>
      </c>
      <c r="H101" s="22">
        <f t="shared" si="2"/>
        <v>1</v>
      </c>
      <c r="I101" s="123" t="s">
        <v>20</v>
      </c>
      <c r="J101" s="11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</row>
    <row r="102" ht="42.75" customHeight="1">
      <c r="A102" s="107">
        <v>100.0</v>
      </c>
      <c r="B102" s="107">
        <v>1038741.0</v>
      </c>
      <c r="C102" s="168" t="str">
        <f>vlookup(B102,'Crew Data'!C:G,5,0)</f>
        <v>Sureerat Supsomran</v>
      </c>
      <c r="D102" s="121" t="s">
        <v>864</v>
      </c>
      <c r="E102" s="198">
        <f>IFERROR(__xludf.DUMMYFUNCTION("IFERROR(SUM(
  ARRAYFORMULA(
    DATEVALUE(TRIM(MID(SPLIT(D102,CHAR(10)), FIND(""-"",SPLIT(D102,CHAR(10)))+1, 50))) 
  -
    DATEVALUE(TRIM(LEFT(SPLIT(D102,CHAR(10)), FIND(""-"",SPLIT(D102,CHAR(10)))-1)))
  + 1
)
),1)"),6.0)</f>
        <v>6</v>
      </c>
      <c r="F102" s="122">
        <f t="shared" si="1"/>
        <v>2400</v>
      </c>
      <c r="G102" s="197" t="str">
        <f t="array" ref="G102">XLOOKUP(B102,Sheet68!A:A,Sheet68!AB:AB,0)</f>
        <v>sureeratsupsomran@airasia.com</v>
      </c>
      <c r="H102" s="22">
        <f t="shared" si="2"/>
        <v>1</v>
      </c>
      <c r="I102" s="123" t="s">
        <v>20</v>
      </c>
      <c r="J102" s="11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</row>
    <row r="103" ht="16.5" customHeight="1">
      <c r="A103" s="107">
        <v>101.0</v>
      </c>
      <c r="B103" s="199">
        <v>1007181.0</v>
      </c>
      <c r="C103" s="168" t="str">
        <f>vlookup(B103,'Crew Data'!C:G,5,0)</f>
        <v>Warisara Sutta</v>
      </c>
      <c r="D103" s="121" t="s">
        <v>865</v>
      </c>
      <c r="E103" s="198">
        <f>IFERROR(__xludf.DUMMYFUNCTION("IFERROR(SUM(
  ARRAYFORMULA(
    DATEVALUE(TRIM(MID(SPLIT(D103,CHAR(10)), FIND(""-"",SPLIT(D103,CHAR(10)))+1, 50))) 
  -
    DATEVALUE(TRIM(LEFT(SPLIT(D103,CHAR(10)), FIND(""-"",SPLIT(D103,CHAR(10)))-1)))
  + 1
)
),1)"),4.0)</f>
        <v>4</v>
      </c>
      <c r="F103" s="122">
        <f t="shared" si="1"/>
        <v>1600</v>
      </c>
      <c r="G103" s="197" t="str">
        <f t="array" ref="G103">XLOOKUP(B103,Sheet68!A:A,Sheet68!AB:AB,0)</f>
        <v>warisaras@airasia.com</v>
      </c>
      <c r="H103" s="22">
        <f t="shared" si="2"/>
        <v>1</v>
      </c>
      <c r="I103" s="123" t="s">
        <v>20</v>
      </c>
      <c r="J103" s="11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</row>
    <row r="104" ht="16.5" customHeight="1">
      <c r="A104" s="107">
        <v>102.0</v>
      </c>
      <c r="B104" s="107">
        <v>1015412.0</v>
      </c>
      <c r="C104" s="168" t="str">
        <f>vlookup(B104,'Crew Data'!C:G,5,0)</f>
        <v>Sitthiphath Ratanaborvornsethi</v>
      </c>
      <c r="D104" s="121" t="s">
        <v>706</v>
      </c>
      <c r="E104" s="198">
        <f>IFERROR(__xludf.DUMMYFUNCTION("IFERROR(SUM(
  ARRAYFORMULA(
    DATEVALUE(TRIM(MID(SPLIT(D104,CHAR(10)), FIND(""-"",SPLIT(D104,CHAR(10)))+1, 50))) 
  -
    DATEVALUE(TRIM(LEFT(SPLIT(D104,CHAR(10)), FIND(""-"",SPLIT(D104,CHAR(10)))-1)))
  + 1
)
),1)"),2.0)</f>
        <v>2</v>
      </c>
      <c r="F104" s="122">
        <f t="shared" si="1"/>
        <v>800</v>
      </c>
      <c r="G104" s="197" t="str">
        <f t="array" ref="G104">XLOOKUP(B104,Sheet68!A:A,Sheet68!AB:AB,0)</f>
        <v>sitthiphathr@airasia.com</v>
      </c>
      <c r="H104" s="22">
        <f t="shared" si="2"/>
        <v>1</v>
      </c>
      <c r="I104" s="123" t="s">
        <v>20</v>
      </c>
      <c r="J104" s="11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</row>
    <row r="105" ht="16.5" customHeight="1">
      <c r="A105" s="107">
        <v>103.0</v>
      </c>
      <c r="B105" s="107">
        <v>1004765.0</v>
      </c>
      <c r="C105" s="168" t="str">
        <f>vlookup(B105,'Crew Data'!C:G,5,0)</f>
        <v>Wasinee Leeopas</v>
      </c>
      <c r="D105" s="121" t="s">
        <v>835</v>
      </c>
      <c r="E105" s="198">
        <f>IFERROR(__xludf.DUMMYFUNCTION("IFERROR(SUM(
  ARRAYFORMULA(
    DATEVALUE(TRIM(MID(SPLIT(D105,CHAR(10)), FIND(""-"",SPLIT(D105,CHAR(10)))+1, 50))) 
  -
    DATEVALUE(TRIM(LEFT(SPLIT(D105,CHAR(10)), FIND(""-"",SPLIT(D105,CHAR(10)))-1)))
  + 1
)
),1)"),2.0)</f>
        <v>2</v>
      </c>
      <c r="F105" s="122">
        <f t="shared" si="1"/>
        <v>800</v>
      </c>
      <c r="G105" s="197" t="str">
        <f t="array" ref="G105">XLOOKUP(B105,Sheet68!A:A,Sheet68!AB:AB,0)</f>
        <v>wasineel@airasia.com</v>
      </c>
      <c r="H105" s="22">
        <f t="shared" si="2"/>
        <v>1</v>
      </c>
      <c r="I105" s="123" t="s">
        <v>20</v>
      </c>
      <c r="J105" s="11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</row>
    <row r="106" ht="30.75" customHeight="1">
      <c r="A106" s="107">
        <v>104.0</v>
      </c>
      <c r="B106" s="107">
        <v>1040813.0</v>
      </c>
      <c r="C106" s="168" t="str">
        <f>vlookup(B106,'Crew Data'!C:G,5,0)</f>
        <v>Areeyaporn Korajak</v>
      </c>
      <c r="D106" s="121" t="s">
        <v>866</v>
      </c>
      <c r="E106" s="198">
        <f>IFERROR(__xludf.DUMMYFUNCTION("IFERROR(SUM(
  ARRAYFORMULA(
    DATEVALUE(TRIM(MID(SPLIT(D106,CHAR(10)), FIND(""-"",SPLIT(D106,CHAR(10)))+1, 50))) 
  -
    DATEVALUE(TRIM(LEFT(SPLIT(D106,CHAR(10)), FIND(""-"",SPLIT(D106,CHAR(10)))-1)))
  + 1
)
),1)"),4.0)</f>
        <v>4</v>
      </c>
      <c r="F106" s="122">
        <f t="shared" si="1"/>
        <v>1600</v>
      </c>
      <c r="G106" s="197" t="str">
        <f t="array" ref="G106">XLOOKUP(B106,Sheet68!A:A,Sheet68!AB:AB,0)</f>
        <v>areeyapornk@airasia.com</v>
      </c>
      <c r="H106" s="22">
        <f t="shared" si="2"/>
        <v>1</v>
      </c>
      <c r="I106" s="123" t="s">
        <v>20</v>
      </c>
      <c r="J106" s="11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</row>
    <row r="107" ht="16.5" customHeight="1">
      <c r="A107" s="107">
        <v>105.0</v>
      </c>
      <c r="B107" s="107">
        <v>1004203.0</v>
      </c>
      <c r="C107" s="168" t="str">
        <f>vlookup(B107,'Crew Data'!C:G,5,0)</f>
        <v>Pavaran Maneechai</v>
      </c>
      <c r="D107" s="121" t="s">
        <v>824</v>
      </c>
      <c r="E107" s="198">
        <f>IFERROR(__xludf.DUMMYFUNCTION("IFERROR(SUM(
  ARRAYFORMULA(
    DATEVALUE(TRIM(MID(SPLIT(D107,CHAR(10)), FIND(""-"",SPLIT(D107,CHAR(10)))+1, 50))) 
  -
    DATEVALUE(TRIM(LEFT(SPLIT(D107,CHAR(10)), FIND(""-"",SPLIT(D107,CHAR(10)))-1)))
  + 1
)
),1)"),2.0)</f>
        <v>2</v>
      </c>
      <c r="F107" s="122">
        <f t="shared" si="1"/>
        <v>800</v>
      </c>
      <c r="G107" s="197" t="str">
        <f t="array" ref="G107">XLOOKUP(B107,Sheet68!A:A,Sheet68!AB:AB,0)</f>
        <v>pavaranm@airasia.com</v>
      </c>
      <c r="H107" s="22">
        <f t="shared" si="2"/>
        <v>1</v>
      </c>
      <c r="I107" s="123" t="s">
        <v>20</v>
      </c>
      <c r="J107" s="11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</row>
    <row r="108" ht="16.5" customHeight="1">
      <c r="A108" s="107">
        <v>106.0</v>
      </c>
      <c r="B108" s="107">
        <v>1001319.0</v>
      </c>
      <c r="C108" s="168" t="str">
        <f>vlookup(B108,'Crew Data'!C:G,5,0)</f>
        <v>Wipat Lurkasemsuk</v>
      </c>
      <c r="D108" s="121" t="s">
        <v>863</v>
      </c>
      <c r="E108" s="198">
        <f>IFERROR(__xludf.DUMMYFUNCTION("IFERROR(SUM(
  ARRAYFORMULA(
    DATEVALUE(TRIM(MID(SPLIT(D108,CHAR(10)), FIND(""-"",SPLIT(D108,CHAR(10)))+1, 50))) 
  -
    DATEVALUE(TRIM(LEFT(SPLIT(D108,CHAR(10)), FIND(""-"",SPLIT(D108,CHAR(10)))-1)))
  + 1
)
),1)"),2.0)</f>
        <v>2</v>
      </c>
      <c r="F108" s="122">
        <f t="shared" si="1"/>
        <v>800</v>
      </c>
      <c r="G108" s="197" t="str">
        <f t="array" ref="G108">XLOOKUP(B108,Sheet68!A:A,Sheet68!AB:AB,0)</f>
        <v>wipatl@airasia.com</v>
      </c>
      <c r="H108" s="22">
        <f t="shared" si="2"/>
        <v>1</v>
      </c>
      <c r="I108" s="123" t="s">
        <v>20</v>
      </c>
      <c r="J108" s="11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</row>
    <row r="109" ht="16.5" customHeight="1">
      <c r="A109" s="107">
        <v>107.0</v>
      </c>
      <c r="B109" s="107">
        <v>1003385.0</v>
      </c>
      <c r="C109" s="168" t="str">
        <f>vlookup(B109,'Crew Data'!C:G,5,0)</f>
        <v>Jaruma Jantarapap</v>
      </c>
      <c r="D109" s="121" t="s">
        <v>867</v>
      </c>
      <c r="E109" s="198">
        <f>IFERROR(__xludf.DUMMYFUNCTION("IFERROR(SUM(
  ARRAYFORMULA(
    DATEVALUE(TRIM(MID(SPLIT(D109,CHAR(10)), FIND(""-"",SPLIT(D109,CHAR(10)))+1, 50))) 
  -
    DATEVALUE(TRIM(LEFT(SPLIT(D109,CHAR(10)), FIND(""-"",SPLIT(D109,CHAR(10)))-1)))
  + 1
)
),1)"),4.0)</f>
        <v>4</v>
      </c>
      <c r="F109" s="122">
        <f t="shared" si="1"/>
        <v>1600</v>
      </c>
      <c r="G109" s="197" t="str">
        <f t="array" ref="G109">XLOOKUP(B109,Sheet68!A:A,Sheet68!AB:AB,0)</f>
        <v>jarumaj@airasia.com</v>
      </c>
      <c r="H109" s="22">
        <f t="shared" si="2"/>
        <v>1</v>
      </c>
      <c r="I109" s="123" t="s">
        <v>20</v>
      </c>
      <c r="J109" s="11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</row>
    <row r="110" ht="16.5" customHeight="1">
      <c r="A110" s="107">
        <v>10000.0</v>
      </c>
      <c r="B110" s="107">
        <v>123456.0</v>
      </c>
      <c r="C110" s="202" t="s">
        <v>868</v>
      </c>
      <c r="D110" s="121" t="s">
        <v>867</v>
      </c>
      <c r="E110" s="198">
        <f>IFERROR(__xludf.DUMMYFUNCTION("IFERROR(SUM(
  ARRAYFORMULA(
    DATEVALUE(TRIM(MID(SPLIT(D110,CHAR(10)), FIND(""-"",SPLIT(D110,CHAR(10)))+1, 50))) 
  -
    DATEVALUE(TRIM(LEFT(SPLIT(D110,CHAR(10)), FIND(""-"",SPLIT(D110,CHAR(10)))-1)))
  + 1
)
),1)"),4.0)</f>
        <v>4</v>
      </c>
      <c r="F110" s="122">
        <f t="shared" si="1"/>
        <v>1600</v>
      </c>
      <c r="G110" s="203" t="s">
        <v>749</v>
      </c>
      <c r="H110" s="22">
        <f t="shared" si="2"/>
        <v>1</v>
      </c>
      <c r="I110" s="123" t="s">
        <v>20</v>
      </c>
      <c r="J110" s="11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</row>
    <row r="111" ht="16.5" customHeight="1">
      <c r="A111" s="107"/>
      <c r="B111" s="204"/>
      <c r="C111" s="168"/>
      <c r="D111" s="121"/>
      <c r="E111" s="198"/>
      <c r="F111" s="122"/>
      <c r="G111" s="166"/>
      <c r="H111" s="22"/>
      <c r="I111" s="123"/>
      <c r="J111" s="11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</row>
    <row r="112" ht="16.5" customHeight="1">
      <c r="A112" s="107"/>
      <c r="B112" s="204"/>
      <c r="C112" s="168"/>
      <c r="D112" s="121"/>
      <c r="E112" s="198"/>
      <c r="F112" s="122"/>
      <c r="G112" s="166"/>
      <c r="H112" s="22"/>
      <c r="I112" s="123"/>
      <c r="J112" s="11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</row>
    <row r="113" ht="16.5" customHeight="1">
      <c r="A113" s="107"/>
      <c r="B113" s="204"/>
      <c r="C113" s="168"/>
      <c r="D113" s="121"/>
      <c r="E113" s="198"/>
      <c r="F113" s="122"/>
      <c r="G113" s="166"/>
      <c r="H113" s="22"/>
      <c r="I113" s="123"/>
      <c r="J113" s="11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</row>
    <row r="114" ht="16.5" customHeight="1">
      <c r="A114" s="107"/>
      <c r="B114" s="204"/>
      <c r="C114" s="168"/>
      <c r="D114" s="121"/>
      <c r="E114" s="198"/>
      <c r="F114" s="122"/>
      <c r="G114" s="166"/>
      <c r="H114" s="22"/>
      <c r="I114" s="123"/>
      <c r="J114" s="11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</row>
    <row r="115" ht="16.5" customHeight="1">
      <c r="A115" s="107"/>
      <c r="B115" s="204"/>
      <c r="C115" s="168"/>
      <c r="D115" s="121"/>
      <c r="E115" s="198"/>
      <c r="F115" s="122"/>
      <c r="G115" s="166"/>
      <c r="H115" s="22"/>
      <c r="I115" s="123"/>
      <c r="J115" s="11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</row>
    <row r="116" ht="16.5" customHeight="1">
      <c r="A116" s="107"/>
      <c r="B116" s="204"/>
      <c r="C116" s="168"/>
      <c r="D116" s="121"/>
      <c r="E116" s="198"/>
      <c r="F116" s="122"/>
      <c r="G116" s="166"/>
      <c r="H116" s="22"/>
      <c r="I116" s="123"/>
      <c r="J116" s="11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</row>
    <row r="117" ht="16.5" customHeight="1">
      <c r="A117" s="107"/>
      <c r="B117" s="204"/>
      <c r="C117" s="168"/>
      <c r="D117" s="121"/>
      <c r="E117" s="198"/>
      <c r="F117" s="122"/>
      <c r="G117" s="166"/>
      <c r="H117" s="22"/>
      <c r="I117" s="123"/>
      <c r="J117" s="11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</row>
    <row r="118" ht="16.5" customHeight="1">
      <c r="A118" s="107"/>
      <c r="B118" s="204"/>
      <c r="C118" s="168"/>
      <c r="D118" s="121"/>
      <c r="E118" s="198"/>
      <c r="F118" s="122"/>
      <c r="G118" s="166"/>
      <c r="H118" s="22"/>
      <c r="I118" s="123"/>
      <c r="J118" s="11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</row>
    <row r="119" ht="16.5" customHeight="1">
      <c r="A119" s="107"/>
      <c r="B119" s="204"/>
      <c r="C119" s="168"/>
      <c r="D119" s="121"/>
      <c r="E119" s="198"/>
      <c r="F119" s="122"/>
      <c r="G119" s="166"/>
      <c r="H119" s="22"/>
      <c r="I119" s="123"/>
      <c r="J119" s="11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</row>
    <row r="120" ht="16.5" customHeight="1">
      <c r="A120" s="107"/>
      <c r="B120" s="204"/>
      <c r="C120" s="168"/>
      <c r="D120" s="121"/>
      <c r="E120" s="198"/>
      <c r="F120" s="122"/>
      <c r="G120" s="166"/>
      <c r="H120" s="22"/>
      <c r="I120" s="123"/>
      <c r="J120" s="11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</row>
    <row r="121" ht="16.5" customHeight="1">
      <c r="A121" s="107"/>
      <c r="B121" s="138"/>
      <c r="C121" s="168"/>
      <c r="D121" s="195"/>
      <c r="E121" s="205"/>
      <c r="F121" s="122"/>
      <c r="G121" s="166"/>
      <c r="H121" s="22"/>
      <c r="I121" s="123"/>
      <c r="J121" s="11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</row>
    <row r="122" ht="16.5" customHeight="1">
      <c r="A122" s="107"/>
      <c r="B122" s="138"/>
      <c r="C122" s="168"/>
      <c r="D122" s="195"/>
      <c r="E122" s="205"/>
      <c r="F122" s="122"/>
      <c r="G122" s="166"/>
      <c r="H122" s="22"/>
      <c r="I122" s="123"/>
      <c r="J122" s="11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</row>
    <row r="123" ht="16.5" customHeight="1">
      <c r="A123" s="107"/>
      <c r="B123" s="138"/>
      <c r="C123" s="168"/>
      <c r="D123" s="195"/>
      <c r="E123" s="205"/>
      <c r="F123" s="122"/>
      <c r="G123" s="166"/>
      <c r="H123" s="22"/>
      <c r="I123" s="123"/>
      <c r="J123" s="11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</row>
    <row r="124" ht="16.5" customHeight="1">
      <c r="A124" s="107"/>
      <c r="B124" s="138"/>
      <c r="C124" s="168"/>
      <c r="D124" s="195"/>
      <c r="E124" s="205"/>
      <c r="F124" s="122"/>
      <c r="G124" s="166"/>
      <c r="H124" s="22"/>
      <c r="I124" s="123"/>
      <c r="J124" s="11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</row>
    <row r="125" ht="16.5" customHeight="1">
      <c r="A125" s="107"/>
      <c r="B125" s="138"/>
      <c r="C125" s="168"/>
      <c r="D125" s="195"/>
      <c r="E125" s="205"/>
      <c r="F125" s="122"/>
      <c r="G125" s="166"/>
      <c r="H125" s="22"/>
      <c r="I125" s="123"/>
      <c r="J125" s="11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</row>
    <row r="126" ht="16.5" customHeight="1">
      <c r="A126" s="107"/>
      <c r="B126" s="138"/>
      <c r="C126" s="168"/>
      <c r="D126" s="195"/>
      <c r="E126" s="205"/>
      <c r="F126" s="122"/>
      <c r="G126" s="166"/>
      <c r="H126" s="22"/>
      <c r="I126" s="123"/>
      <c r="J126" s="11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</row>
    <row r="127" ht="16.5" customHeight="1">
      <c r="A127" s="107"/>
      <c r="B127" s="138"/>
      <c r="C127" s="168"/>
      <c r="D127" s="195"/>
      <c r="E127" s="205"/>
      <c r="F127" s="122"/>
      <c r="G127" s="166"/>
      <c r="H127" s="22"/>
      <c r="I127" s="123"/>
      <c r="J127" s="11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</row>
    <row r="128" ht="16.5" customHeight="1">
      <c r="A128" s="107"/>
      <c r="B128" s="138"/>
      <c r="C128" s="168"/>
      <c r="D128" s="195"/>
      <c r="E128" s="205"/>
      <c r="F128" s="122"/>
      <c r="G128" s="166"/>
      <c r="H128" s="22"/>
      <c r="I128" s="123"/>
      <c r="J128" s="11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</row>
    <row r="129" ht="16.5" customHeight="1">
      <c r="A129" s="107"/>
      <c r="B129" s="138"/>
      <c r="C129" s="168"/>
      <c r="D129" s="195"/>
      <c r="E129" s="205"/>
      <c r="F129" s="122"/>
      <c r="G129" s="166"/>
      <c r="H129" s="22"/>
      <c r="I129" s="123"/>
      <c r="J129" s="11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</row>
    <row r="130" ht="16.5" customHeight="1">
      <c r="A130" s="107"/>
      <c r="B130" s="138"/>
      <c r="C130" s="168"/>
      <c r="D130" s="195"/>
      <c r="E130" s="205"/>
      <c r="F130" s="122"/>
      <c r="G130" s="166"/>
      <c r="H130" s="22"/>
      <c r="I130" s="123"/>
      <c r="J130" s="11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</row>
    <row r="131" ht="16.5" customHeight="1">
      <c r="A131" s="107"/>
      <c r="B131" s="138"/>
      <c r="C131" s="168"/>
      <c r="D131" s="195"/>
      <c r="E131" s="205"/>
      <c r="F131" s="122"/>
      <c r="G131" s="166"/>
      <c r="H131" s="22"/>
      <c r="I131" s="123"/>
      <c r="J131" s="11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</row>
    <row r="132" ht="16.5" customHeight="1">
      <c r="A132" s="107"/>
      <c r="B132" s="138"/>
      <c r="C132" s="168"/>
      <c r="D132" s="195"/>
      <c r="E132" s="205"/>
      <c r="F132" s="122"/>
      <c r="G132" s="166"/>
      <c r="H132" s="22"/>
      <c r="I132" s="123"/>
      <c r="J132" s="11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</row>
    <row r="133" ht="16.5" customHeight="1">
      <c r="A133" s="107"/>
      <c r="B133" s="138"/>
      <c r="C133" s="168"/>
      <c r="D133" s="195"/>
      <c r="E133" s="205"/>
      <c r="F133" s="122"/>
      <c r="G133" s="166"/>
      <c r="H133" s="22"/>
      <c r="I133" s="123"/>
      <c r="J133" s="11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</row>
    <row r="134" ht="16.5" customHeight="1">
      <c r="A134" s="107"/>
      <c r="B134" s="138"/>
      <c r="C134" s="168"/>
      <c r="D134" s="195"/>
      <c r="E134" s="205"/>
      <c r="F134" s="122"/>
      <c r="G134" s="166"/>
      <c r="H134" s="22"/>
      <c r="I134" s="123"/>
      <c r="J134" s="11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</row>
    <row r="135" ht="16.5" customHeight="1">
      <c r="A135" s="107"/>
      <c r="B135" s="138"/>
      <c r="C135" s="168"/>
      <c r="D135" s="195"/>
      <c r="E135" s="205"/>
      <c r="F135" s="122"/>
      <c r="G135" s="166"/>
      <c r="H135" s="22"/>
      <c r="I135" s="123"/>
      <c r="J135" s="11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</row>
    <row r="136" ht="16.5" customHeight="1">
      <c r="A136" s="107"/>
      <c r="B136" s="138"/>
      <c r="C136" s="168"/>
      <c r="D136" s="195"/>
      <c r="E136" s="205"/>
      <c r="F136" s="122"/>
      <c r="G136" s="166"/>
      <c r="H136" s="22"/>
      <c r="I136" s="123"/>
      <c r="J136" s="11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</row>
    <row r="137" ht="16.5" customHeight="1">
      <c r="A137" s="107"/>
      <c r="B137" s="138"/>
      <c r="C137" s="168"/>
      <c r="D137" s="195"/>
      <c r="E137" s="205"/>
      <c r="F137" s="122"/>
      <c r="G137" s="166"/>
      <c r="H137" s="22"/>
      <c r="I137" s="123"/>
      <c r="J137" s="11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</row>
    <row r="138" ht="16.5" customHeight="1">
      <c r="A138" s="107"/>
      <c r="B138" s="138"/>
      <c r="C138" s="168"/>
      <c r="D138" s="195"/>
      <c r="E138" s="205"/>
      <c r="F138" s="122"/>
      <c r="G138" s="166"/>
      <c r="H138" s="22"/>
      <c r="I138" s="123"/>
      <c r="J138" s="11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</row>
    <row r="139" ht="16.5" customHeight="1">
      <c r="A139" s="107"/>
      <c r="B139" s="138"/>
      <c r="C139" s="168"/>
      <c r="D139" s="195"/>
      <c r="E139" s="205"/>
      <c r="F139" s="122"/>
      <c r="G139" s="166"/>
      <c r="H139" s="22"/>
      <c r="I139" s="123"/>
      <c r="J139" s="11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</row>
    <row r="140" ht="16.5" customHeight="1">
      <c r="A140" s="107"/>
      <c r="B140" s="138"/>
      <c r="C140" s="168"/>
      <c r="D140" s="195"/>
      <c r="E140" s="205"/>
      <c r="F140" s="122"/>
      <c r="G140" s="166"/>
      <c r="H140" s="22"/>
      <c r="I140" s="123"/>
      <c r="J140" s="11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</row>
    <row r="141" ht="16.5" customHeight="1">
      <c r="A141" s="107"/>
      <c r="B141" s="138"/>
      <c r="C141" s="168"/>
      <c r="D141" s="195"/>
      <c r="E141" s="205"/>
      <c r="F141" s="122"/>
      <c r="G141" s="166"/>
      <c r="H141" s="22"/>
      <c r="I141" s="123"/>
      <c r="J141" s="11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</row>
    <row r="142" ht="16.5" customHeight="1">
      <c r="A142" s="107"/>
      <c r="B142" s="138"/>
      <c r="C142" s="168"/>
      <c r="D142" s="195"/>
      <c r="E142" s="205"/>
      <c r="F142" s="122"/>
      <c r="G142" s="166"/>
      <c r="H142" s="22"/>
      <c r="I142" s="123"/>
      <c r="J142" s="11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</row>
    <row r="143" ht="16.5" customHeight="1">
      <c r="A143" s="107"/>
      <c r="B143" s="138"/>
      <c r="C143" s="168"/>
      <c r="D143" s="195"/>
      <c r="E143" s="205"/>
      <c r="F143" s="122"/>
      <c r="G143" s="166"/>
      <c r="H143" s="22"/>
      <c r="I143" s="123"/>
      <c r="J143" s="11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</row>
    <row r="144" ht="16.5" customHeight="1">
      <c r="A144" s="107"/>
      <c r="B144" s="138"/>
      <c r="C144" s="168"/>
      <c r="D144" s="195"/>
      <c r="E144" s="205"/>
      <c r="F144" s="122"/>
      <c r="G144" s="166"/>
      <c r="H144" s="22"/>
      <c r="I144" s="123"/>
      <c r="J144" s="11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</row>
    <row r="145" ht="16.5" customHeight="1">
      <c r="A145" s="107"/>
      <c r="B145" s="138"/>
      <c r="C145" s="168"/>
      <c r="D145" s="195"/>
      <c r="E145" s="205"/>
      <c r="F145" s="122"/>
      <c r="G145" s="166"/>
      <c r="H145" s="22"/>
      <c r="I145" s="123"/>
      <c r="J145" s="11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</row>
    <row r="146" ht="16.5" customHeight="1">
      <c r="A146" s="107"/>
      <c r="B146" s="138"/>
      <c r="C146" s="168"/>
      <c r="D146" s="195"/>
      <c r="E146" s="205"/>
      <c r="F146" s="122"/>
      <c r="G146" s="166"/>
      <c r="H146" s="22"/>
      <c r="I146" s="123"/>
      <c r="J146" s="11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</row>
    <row r="147" ht="16.5" customHeight="1">
      <c r="A147" s="107"/>
      <c r="B147" s="138"/>
      <c r="C147" s="168"/>
      <c r="D147" s="195"/>
      <c r="E147" s="205"/>
      <c r="F147" s="122"/>
      <c r="G147" s="166"/>
      <c r="H147" s="22"/>
      <c r="I147" s="123"/>
      <c r="J147" s="11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</row>
    <row r="148" ht="16.5" customHeight="1">
      <c r="A148" s="107"/>
      <c r="B148" s="138"/>
      <c r="C148" s="168"/>
      <c r="D148" s="195"/>
      <c r="E148" s="205"/>
      <c r="F148" s="122"/>
      <c r="G148" s="166"/>
      <c r="H148" s="22"/>
      <c r="I148" s="123"/>
      <c r="J148" s="11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</row>
    <row r="149" ht="16.5" customHeight="1">
      <c r="A149" s="107"/>
      <c r="B149" s="138"/>
      <c r="C149" s="168"/>
      <c r="D149" s="195"/>
      <c r="E149" s="205"/>
      <c r="F149" s="122"/>
      <c r="G149" s="166"/>
      <c r="H149" s="22"/>
      <c r="I149" s="123"/>
      <c r="J149" s="11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</row>
    <row r="150" ht="16.5" customHeight="1">
      <c r="A150" s="107"/>
      <c r="B150" s="138"/>
      <c r="C150" s="168"/>
      <c r="D150" s="195"/>
      <c r="E150" s="205"/>
      <c r="F150" s="122"/>
      <c r="G150" s="166"/>
      <c r="H150" s="22"/>
      <c r="I150" s="123"/>
      <c r="J150" s="11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</row>
    <row r="151" ht="16.5" customHeight="1">
      <c r="A151" s="107"/>
      <c r="B151" s="138"/>
      <c r="C151" s="168"/>
      <c r="D151" s="195"/>
      <c r="E151" s="205"/>
      <c r="F151" s="122"/>
      <c r="G151" s="166"/>
      <c r="H151" s="22"/>
      <c r="I151" s="123"/>
      <c r="J151" s="11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</row>
    <row r="152" ht="16.5" customHeight="1">
      <c r="A152" s="107"/>
      <c r="B152" s="138"/>
      <c r="C152" s="168"/>
      <c r="D152" s="195"/>
      <c r="E152" s="205"/>
      <c r="F152" s="122"/>
      <c r="G152" s="166"/>
      <c r="H152" s="22"/>
      <c r="I152" s="123"/>
      <c r="J152" s="11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</row>
    <row r="153" ht="16.5" customHeight="1">
      <c r="A153" s="107"/>
      <c r="B153" s="138"/>
      <c r="C153" s="168"/>
      <c r="D153" s="195"/>
      <c r="E153" s="205"/>
      <c r="F153" s="122"/>
      <c r="G153" s="166"/>
      <c r="H153" s="22"/>
      <c r="I153" s="123"/>
      <c r="J153" s="11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</row>
    <row r="154" ht="16.5" customHeight="1">
      <c r="A154" s="107"/>
      <c r="B154" s="138"/>
      <c r="C154" s="168"/>
      <c r="D154" s="195"/>
      <c r="E154" s="205"/>
      <c r="F154" s="122"/>
      <c r="G154" s="166"/>
      <c r="H154" s="22"/>
      <c r="I154" s="123"/>
      <c r="J154" s="11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</row>
    <row r="155" ht="16.5" customHeight="1">
      <c r="A155" s="107"/>
      <c r="B155" s="138"/>
      <c r="C155" s="168"/>
      <c r="D155" s="195"/>
      <c r="E155" s="205"/>
      <c r="F155" s="122"/>
      <c r="G155" s="166"/>
      <c r="H155" s="22"/>
      <c r="I155" s="123"/>
      <c r="J155" s="11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</row>
    <row r="156" ht="16.5" customHeight="1">
      <c r="A156" s="107"/>
      <c r="B156" s="138"/>
      <c r="C156" s="168"/>
      <c r="D156" s="195"/>
      <c r="E156" s="205"/>
      <c r="F156" s="122"/>
      <c r="G156" s="166"/>
      <c r="H156" s="22"/>
      <c r="I156" s="123"/>
      <c r="J156" s="11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</row>
    <row r="157" ht="16.5" customHeight="1">
      <c r="A157" s="107"/>
      <c r="B157" s="138"/>
      <c r="C157" s="168"/>
      <c r="D157" s="195"/>
      <c r="E157" s="205"/>
      <c r="F157" s="122"/>
      <c r="G157" s="166"/>
      <c r="H157" s="22"/>
      <c r="I157" s="123"/>
      <c r="J157" s="11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</row>
    <row r="158" ht="16.5" customHeight="1">
      <c r="A158" s="107"/>
      <c r="B158" s="138"/>
      <c r="C158" s="168"/>
      <c r="D158" s="195"/>
      <c r="E158" s="205"/>
      <c r="F158" s="122"/>
      <c r="G158" s="166"/>
      <c r="H158" s="22"/>
      <c r="I158" s="123"/>
      <c r="J158" s="11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</row>
    <row r="159" ht="16.5" customHeight="1">
      <c r="A159" s="107"/>
      <c r="B159" s="138"/>
      <c r="C159" s="168"/>
      <c r="D159" s="195"/>
      <c r="E159" s="205"/>
      <c r="F159" s="122"/>
      <c r="G159" s="166"/>
      <c r="H159" s="22"/>
      <c r="I159" s="123"/>
      <c r="J159" s="11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</row>
    <row r="160" ht="16.5" customHeight="1">
      <c r="A160" s="107"/>
      <c r="B160" s="138"/>
      <c r="C160" s="168"/>
      <c r="D160" s="195"/>
      <c r="E160" s="205"/>
      <c r="F160" s="122"/>
      <c r="G160" s="166"/>
      <c r="H160" s="22"/>
      <c r="I160" s="123"/>
      <c r="J160" s="11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</row>
    <row r="161" ht="16.5" customHeight="1">
      <c r="A161" s="107"/>
      <c r="B161" s="138"/>
      <c r="C161" s="168"/>
      <c r="D161" s="195"/>
      <c r="E161" s="205"/>
      <c r="F161" s="122"/>
      <c r="G161" s="166"/>
      <c r="H161" s="22"/>
      <c r="I161" s="123"/>
      <c r="J161" s="11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</row>
    <row r="162" ht="16.5" customHeight="1">
      <c r="A162" s="107"/>
      <c r="B162" s="138"/>
      <c r="C162" s="168"/>
      <c r="D162" s="195"/>
      <c r="E162" s="205"/>
      <c r="F162" s="122"/>
      <c r="G162" s="166"/>
      <c r="H162" s="22"/>
      <c r="I162" s="123"/>
      <c r="J162" s="11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</row>
    <row r="163" ht="16.5" customHeight="1">
      <c r="A163" s="107"/>
      <c r="B163" s="138"/>
      <c r="C163" s="168"/>
      <c r="D163" s="195"/>
      <c r="E163" s="205"/>
      <c r="F163" s="122"/>
      <c r="G163" s="166"/>
      <c r="H163" s="22"/>
      <c r="I163" s="123"/>
      <c r="J163" s="11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</row>
    <row r="164" ht="16.5" customHeight="1">
      <c r="A164" s="107"/>
      <c r="B164" s="138"/>
      <c r="C164" s="168"/>
      <c r="D164" s="195"/>
      <c r="E164" s="205"/>
      <c r="F164" s="122"/>
      <c r="G164" s="166"/>
      <c r="H164" s="22"/>
      <c r="I164" s="123"/>
      <c r="J164" s="11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</row>
    <row r="165" ht="16.5" customHeight="1">
      <c r="A165" s="107"/>
      <c r="B165" s="138"/>
      <c r="C165" s="168"/>
      <c r="D165" s="195"/>
      <c r="E165" s="205"/>
      <c r="F165" s="122"/>
      <c r="G165" s="166"/>
      <c r="H165" s="22"/>
      <c r="I165" s="123"/>
      <c r="J165" s="11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</row>
    <row r="166" ht="16.5" customHeight="1">
      <c r="A166" s="107"/>
      <c r="B166" s="138"/>
      <c r="C166" s="168"/>
      <c r="D166" s="195"/>
      <c r="E166" s="205"/>
      <c r="F166" s="122"/>
      <c r="G166" s="166"/>
      <c r="H166" s="22"/>
      <c r="I166" s="123"/>
      <c r="J166" s="11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</row>
    <row r="167" ht="16.5" customHeight="1">
      <c r="A167" s="107"/>
      <c r="B167" s="138"/>
      <c r="C167" s="168"/>
      <c r="D167" s="195"/>
      <c r="E167" s="205"/>
      <c r="F167" s="122"/>
      <c r="G167" s="166"/>
      <c r="H167" s="22"/>
      <c r="I167" s="123"/>
      <c r="J167" s="11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</row>
    <row r="168" ht="16.5" customHeight="1">
      <c r="A168" s="107"/>
      <c r="B168" s="138"/>
      <c r="C168" s="168"/>
      <c r="D168" s="195"/>
      <c r="E168" s="205"/>
      <c r="F168" s="122"/>
      <c r="G168" s="166"/>
      <c r="H168" s="22"/>
      <c r="I168" s="123"/>
      <c r="J168" s="11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</row>
    <row r="169" ht="16.5" customHeight="1">
      <c r="A169" s="107"/>
      <c r="B169" s="138"/>
      <c r="C169" s="168"/>
      <c r="D169" s="195"/>
      <c r="E169" s="205"/>
      <c r="F169" s="122"/>
      <c r="G169" s="166"/>
      <c r="H169" s="22"/>
      <c r="I169" s="123"/>
      <c r="J169" s="11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</row>
    <row r="170" ht="16.5" customHeight="1">
      <c r="A170" s="107"/>
      <c r="B170" s="138"/>
      <c r="C170" s="168"/>
      <c r="D170" s="195"/>
      <c r="E170" s="205"/>
      <c r="F170" s="122"/>
      <c r="G170" s="166"/>
      <c r="H170" s="22"/>
      <c r="I170" s="123"/>
      <c r="J170" s="11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</row>
    <row r="171" ht="16.5" customHeight="1">
      <c r="A171" s="107"/>
      <c r="B171" s="138"/>
      <c r="C171" s="168"/>
      <c r="D171" s="195"/>
      <c r="E171" s="205"/>
      <c r="F171" s="122"/>
      <c r="G171" s="166"/>
      <c r="H171" s="22"/>
      <c r="I171" s="123"/>
      <c r="J171" s="11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</row>
    <row r="172" ht="16.5" customHeight="1">
      <c r="A172" s="107"/>
      <c r="B172" s="138"/>
      <c r="C172" s="168"/>
      <c r="D172" s="195"/>
      <c r="E172" s="205"/>
      <c r="F172" s="122"/>
      <c r="G172" s="166"/>
      <c r="H172" s="22"/>
      <c r="I172" s="123"/>
      <c r="J172" s="11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</row>
    <row r="173" ht="16.5" customHeight="1">
      <c r="A173" s="107"/>
      <c r="B173" s="138"/>
      <c r="C173" s="168"/>
      <c r="D173" s="195"/>
      <c r="E173" s="205"/>
      <c r="F173" s="122"/>
      <c r="G173" s="166"/>
      <c r="H173" s="22"/>
      <c r="I173" s="123"/>
      <c r="J173" s="11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</row>
    <row r="174" ht="16.5" customHeight="1">
      <c r="A174" s="107"/>
      <c r="B174" s="138"/>
      <c r="C174" s="168"/>
      <c r="D174" s="195"/>
      <c r="E174" s="205"/>
      <c r="F174" s="122"/>
      <c r="G174" s="166"/>
      <c r="H174" s="22"/>
      <c r="I174" s="123"/>
      <c r="J174" s="11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</row>
    <row r="175" ht="16.5" customHeight="1">
      <c r="A175" s="107"/>
      <c r="B175" s="138"/>
      <c r="C175" s="168"/>
      <c r="D175" s="195"/>
      <c r="E175" s="205"/>
      <c r="F175" s="122"/>
      <c r="G175" s="166"/>
      <c r="H175" s="22"/>
      <c r="I175" s="123"/>
      <c r="J175" s="11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</row>
    <row r="176" ht="16.5" customHeight="1">
      <c r="A176" s="107"/>
      <c r="B176" s="138"/>
      <c r="C176" s="168"/>
      <c r="D176" s="195"/>
      <c r="E176" s="205"/>
      <c r="F176" s="122"/>
      <c r="G176" s="166"/>
      <c r="H176" s="22"/>
      <c r="I176" s="123"/>
      <c r="J176" s="11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</row>
    <row r="177" ht="16.5" customHeight="1">
      <c r="A177" s="107"/>
      <c r="B177" s="138"/>
      <c r="C177" s="168"/>
      <c r="D177" s="195"/>
      <c r="E177" s="205"/>
      <c r="F177" s="122"/>
      <c r="G177" s="166"/>
      <c r="H177" s="22"/>
      <c r="I177" s="123"/>
      <c r="J177" s="11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</row>
    <row r="178" ht="16.5" customHeight="1">
      <c r="A178" s="107"/>
      <c r="B178" s="138"/>
      <c r="C178" s="168"/>
      <c r="D178" s="195"/>
      <c r="E178" s="205"/>
      <c r="F178" s="122"/>
      <c r="G178" s="166"/>
      <c r="H178" s="22"/>
      <c r="I178" s="123"/>
      <c r="J178" s="11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</row>
    <row r="179" ht="16.5" customHeight="1">
      <c r="A179" s="107"/>
      <c r="B179" s="138"/>
      <c r="C179" s="168"/>
      <c r="D179" s="195"/>
      <c r="E179" s="205"/>
      <c r="F179" s="122"/>
      <c r="G179" s="166"/>
      <c r="H179" s="22"/>
      <c r="I179" s="123"/>
      <c r="J179" s="11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</row>
    <row r="180" ht="16.5" customHeight="1">
      <c r="A180" s="107"/>
      <c r="B180" s="138"/>
      <c r="C180" s="168"/>
      <c r="D180" s="195"/>
      <c r="E180" s="205"/>
      <c r="F180" s="122"/>
      <c r="G180" s="166"/>
      <c r="H180" s="22"/>
      <c r="I180" s="123"/>
      <c r="J180" s="11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</row>
    <row r="181" ht="16.5" customHeight="1">
      <c r="A181" s="107"/>
      <c r="B181" s="138"/>
      <c r="C181" s="168"/>
      <c r="D181" s="195"/>
      <c r="E181" s="205"/>
      <c r="F181" s="122"/>
      <c r="G181" s="166"/>
      <c r="H181" s="22"/>
      <c r="I181" s="123"/>
      <c r="J181" s="11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</row>
    <row r="182" ht="16.5" customHeight="1">
      <c r="A182" s="107"/>
      <c r="B182" s="138"/>
      <c r="C182" s="168"/>
      <c r="D182" s="195"/>
      <c r="E182" s="205"/>
      <c r="F182" s="122"/>
      <c r="G182" s="166"/>
      <c r="H182" s="22"/>
      <c r="I182" s="123"/>
      <c r="J182" s="11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</row>
    <row r="183" ht="16.5" customHeight="1">
      <c r="A183" s="107"/>
      <c r="B183" s="138"/>
      <c r="C183" s="168"/>
      <c r="D183" s="195"/>
      <c r="E183" s="205"/>
      <c r="F183" s="122"/>
      <c r="G183" s="166"/>
      <c r="H183" s="22"/>
      <c r="I183" s="123"/>
      <c r="J183" s="11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</row>
    <row r="184" ht="16.5" customHeight="1">
      <c r="A184" s="107"/>
      <c r="B184" s="138"/>
      <c r="C184" s="168"/>
      <c r="D184" s="195"/>
      <c r="E184" s="205"/>
      <c r="F184" s="122"/>
      <c r="G184" s="166"/>
      <c r="H184" s="22"/>
      <c r="I184" s="123"/>
      <c r="J184" s="11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</row>
    <row r="185" ht="16.5" customHeight="1">
      <c r="A185" s="107"/>
      <c r="B185" s="138"/>
      <c r="C185" s="168"/>
      <c r="D185" s="195"/>
      <c r="E185" s="205"/>
      <c r="F185" s="122"/>
      <c r="G185" s="166"/>
      <c r="H185" s="22"/>
      <c r="I185" s="123"/>
      <c r="J185" s="11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</row>
    <row r="186" ht="16.5" customHeight="1">
      <c r="A186" s="107"/>
      <c r="B186" s="138"/>
      <c r="C186" s="168"/>
      <c r="D186" s="195"/>
      <c r="E186" s="205"/>
      <c r="F186" s="122"/>
      <c r="G186" s="166"/>
      <c r="H186" s="22"/>
      <c r="I186" s="123"/>
      <c r="J186" s="11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</row>
    <row r="187" ht="16.5" customHeight="1">
      <c r="A187" s="107"/>
      <c r="B187" s="138"/>
      <c r="C187" s="168"/>
      <c r="D187" s="195"/>
      <c r="E187" s="205"/>
      <c r="F187" s="122"/>
      <c r="G187" s="166"/>
      <c r="H187" s="22"/>
      <c r="I187" s="123"/>
      <c r="J187" s="11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</row>
    <row r="188" ht="16.5" customHeight="1">
      <c r="A188" s="107"/>
      <c r="B188" s="138"/>
      <c r="C188" s="168"/>
      <c r="D188" s="195"/>
      <c r="E188" s="205"/>
      <c r="F188" s="122"/>
      <c r="G188" s="166"/>
      <c r="H188" s="22"/>
      <c r="I188" s="123"/>
      <c r="J188" s="11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</row>
    <row r="189" ht="16.5" customHeight="1">
      <c r="A189" s="107"/>
      <c r="B189" s="138"/>
      <c r="C189" s="168"/>
      <c r="D189" s="195"/>
      <c r="E189" s="205"/>
      <c r="F189" s="122"/>
      <c r="G189" s="166"/>
      <c r="H189" s="22"/>
      <c r="I189" s="123"/>
      <c r="J189" s="11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</row>
    <row r="190" ht="16.5" customHeight="1">
      <c r="A190" s="107"/>
      <c r="B190" s="138"/>
      <c r="C190" s="168"/>
      <c r="D190" s="195"/>
      <c r="E190" s="205"/>
      <c r="F190" s="122"/>
      <c r="G190" s="166"/>
      <c r="H190" s="22"/>
      <c r="I190" s="123"/>
      <c r="J190" s="11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</row>
    <row r="191" ht="16.5" customHeight="1">
      <c r="A191" s="107"/>
      <c r="B191" s="138"/>
      <c r="C191" s="168"/>
      <c r="D191" s="195"/>
      <c r="E191" s="205"/>
      <c r="F191" s="122"/>
      <c r="G191" s="166"/>
      <c r="H191" s="22"/>
      <c r="I191" s="123"/>
      <c r="J191" s="11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</row>
    <row r="192" ht="16.5" customHeight="1">
      <c r="A192" s="107"/>
      <c r="B192" s="138"/>
      <c r="C192" s="168"/>
      <c r="D192" s="195"/>
      <c r="E192" s="205"/>
      <c r="F192" s="122"/>
      <c r="G192" s="166"/>
      <c r="H192" s="22"/>
      <c r="I192" s="123"/>
      <c r="J192" s="11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</row>
    <row r="193" ht="16.5" customHeight="1">
      <c r="A193" s="107"/>
      <c r="B193" s="138"/>
      <c r="C193" s="168"/>
      <c r="D193" s="195"/>
      <c r="E193" s="205"/>
      <c r="F193" s="122"/>
      <c r="G193" s="166"/>
      <c r="H193" s="22"/>
      <c r="I193" s="123"/>
      <c r="J193" s="11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</row>
    <row r="194" ht="16.5" customHeight="1">
      <c r="A194" s="107"/>
      <c r="B194" s="138"/>
      <c r="C194" s="168"/>
      <c r="D194" s="195"/>
      <c r="E194" s="205"/>
      <c r="F194" s="122"/>
      <c r="G194" s="166"/>
      <c r="H194" s="22"/>
      <c r="I194" s="123"/>
      <c r="J194" s="11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</row>
    <row r="195" ht="16.5" customHeight="1">
      <c r="A195" s="107"/>
      <c r="B195" s="138"/>
      <c r="C195" s="168"/>
      <c r="D195" s="195"/>
      <c r="E195" s="205"/>
      <c r="F195" s="122"/>
      <c r="G195" s="166"/>
      <c r="H195" s="22"/>
      <c r="I195" s="123"/>
      <c r="J195" s="11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</row>
    <row r="196" ht="16.5" customHeight="1">
      <c r="A196" s="107"/>
      <c r="B196" s="138"/>
      <c r="C196" s="168"/>
      <c r="D196" s="195"/>
      <c r="E196" s="205"/>
      <c r="F196" s="122"/>
      <c r="G196" s="166"/>
      <c r="H196" s="22"/>
      <c r="I196" s="123"/>
      <c r="J196" s="11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</row>
    <row r="197" ht="16.5" customHeight="1">
      <c r="A197" s="107"/>
      <c r="B197" s="138"/>
      <c r="C197" s="168"/>
      <c r="D197" s="195"/>
      <c r="E197" s="205"/>
      <c r="F197" s="122"/>
      <c r="G197" s="166"/>
      <c r="H197" s="22"/>
      <c r="I197" s="123"/>
      <c r="J197" s="11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</row>
    <row r="198" ht="16.5" customHeight="1">
      <c r="A198" s="107"/>
      <c r="B198" s="138"/>
      <c r="C198" s="168"/>
      <c r="D198" s="195"/>
      <c r="E198" s="205"/>
      <c r="F198" s="122"/>
      <c r="G198" s="166"/>
      <c r="H198" s="22"/>
      <c r="I198" s="123"/>
      <c r="J198" s="11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</row>
    <row r="199" ht="16.5" customHeight="1">
      <c r="A199" s="107"/>
      <c r="B199" s="138"/>
      <c r="C199" s="168"/>
      <c r="D199" s="195"/>
      <c r="E199" s="205"/>
      <c r="F199" s="122"/>
      <c r="G199" s="166"/>
      <c r="H199" s="22"/>
      <c r="I199" s="123"/>
      <c r="J199" s="11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</row>
    <row r="200" ht="16.5" customHeight="1">
      <c r="A200" s="107"/>
      <c r="B200" s="138"/>
      <c r="C200" s="168"/>
      <c r="D200" s="195"/>
      <c r="E200" s="205"/>
      <c r="F200" s="122"/>
      <c r="G200" s="166"/>
      <c r="H200" s="22"/>
      <c r="I200" s="123"/>
      <c r="J200" s="11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</row>
    <row r="201" ht="16.5" customHeight="1">
      <c r="A201" s="107"/>
      <c r="B201" s="138"/>
      <c r="C201" s="168"/>
      <c r="D201" s="195"/>
      <c r="E201" s="205"/>
      <c r="F201" s="122"/>
      <c r="G201" s="166"/>
      <c r="H201" s="22"/>
      <c r="I201" s="123"/>
      <c r="J201" s="11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</row>
    <row r="202" ht="16.5" customHeight="1">
      <c r="A202" s="107"/>
      <c r="B202" s="138"/>
      <c r="C202" s="168"/>
      <c r="D202" s="195"/>
      <c r="E202" s="205"/>
      <c r="F202" s="122"/>
      <c r="G202" s="166"/>
      <c r="H202" s="22"/>
      <c r="I202" s="123"/>
      <c r="J202" s="11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</row>
    <row r="203" ht="16.5" customHeight="1">
      <c r="A203" s="107"/>
      <c r="B203" s="138"/>
      <c r="C203" s="168"/>
      <c r="D203" s="195"/>
      <c r="E203" s="205"/>
      <c r="F203" s="122"/>
      <c r="G203" s="166"/>
      <c r="H203" s="22"/>
      <c r="I203" s="123"/>
      <c r="J203" s="11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</row>
    <row r="204" ht="16.5" customHeight="1">
      <c r="A204" s="107"/>
      <c r="B204" s="138"/>
      <c r="C204" s="168"/>
      <c r="D204" s="195"/>
      <c r="E204" s="205"/>
      <c r="F204" s="122"/>
      <c r="G204" s="166"/>
      <c r="H204" s="22"/>
      <c r="I204" s="123"/>
      <c r="J204" s="11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</row>
    <row r="205" ht="16.5" customHeight="1">
      <c r="A205" s="107"/>
      <c r="B205" s="138"/>
      <c r="C205" s="168"/>
      <c r="D205" s="195"/>
      <c r="E205" s="205"/>
      <c r="F205" s="122"/>
      <c r="G205" s="166"/>
      <c r="H205" s="22"/>
      <c r="I205" s="123"/>
      <c r="J205" s="11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</row>
    <row r="206" ht="16.5" customHeight="1">
      <c r="A206" s="107"/>
      <c r="B206" s="138"/>
      <c r="C206" s="168"/>
      <c r="D206" s="195"/>
      <c r="E206" s="205"/>
      <c r="F206" s="122"/>
      <c r="G206" s="166"/>
      <c r="H206" s="22"/>
      <c r="I206" s="123"/>
      <c r="J206" s="11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</row>
    <row r="207" ht="16.5" customHeight="1">
      <c r="A207" s="107"/>
      <c r="B207" s="138"/>
      <c r="C207" s="168"/>
      <c r="D207" s="195"/>
      <c r="E207" s="205"/>
      <c r="F207" s="122"/>
      <c r="G207" s="166"/>
      <c r="H207" s="22"/>
      <c r="I207" s="123"/>
      <c r="J207" s="11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</row>
    <row r="208" ht="16.5" customHeight="1">
      <c r="A208" s="107"/>
      <c r="B208" s="138"/>
      <c r="C208" s="168"/>
      <c r="D208" s="195"/>
      <c r="E208" s="205"/>
      <c r="F208" s="122"/>
      <c r="G208" s="166"/>
      <c r="H208" s="22"/>
      <c r="I208" s="123"/>
      <c r="J208" s="11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</row>
    <row r="209" ht="16.5" customHeight="1">
      <c r="A209" s="107"/>
      <c r="B209" s="138"/>
      <c r="C209" s="168"/>
      <c r="D209" s="195"/>
      <c r="E209" s="205"/>
      <c r="F209" s="122"/>
      <c r="G209" s="166"/>
      <c r="H209" s="22"/>
      <c r="I209" s="123"/>
      <c r="J209" s="11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</row>
    <row r="210" ht="16.5" customHeight="1">
      <c r="A210" s="107"/>
      <c r="B210" s="138"/>
      <c r="C210" s="168"/>
      <c r="D210" s="195"/>
      <c r="E210" s="205"/>
      <c r="F210" s="122"/>
      <c r="G210" s="166"/>
      <c r="H210" s="22"/>
      <c r="I210" s="123"/>
      <c r="J210" s="11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</row>
    <row r="211" ht="16.5" customHeight="1">
      <c r="A211" s="107"/>
      <c r="B211" s="138"/>
      <c r="C211" s="168"/>
      <c r="D211" s="195"/>
      <c r="E211" s="205"/>
      <c r="F211" s="122"/>
      <c r="G211" s="166"/>
      <c r="H211" s="22"/>
      <c r="I211" s="123"/>
      <c r="J211" s="11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</row>
    <row r="212" ht="16.5" customHeight="1">
      <c r="A212" s="107"/>
      <c r="B212" s="138"/>
      <c r="C212" s="168"/>
      <c r="D212" s="195"/>
      <c r="E212" s="205"/>
      <c r="F212" s="122"/>
      <c r="G212" s="166"/>
      <c r="H212" s="22"/>
      <c r="I212" s="123"/>
      <c r="J212" s="11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</row>
    <row r="213" ht="16.5" customHeight="1">
      <c r="A213" s="107"/>
      <c r="B213" s="138"/>
      <c r="C213" s="168"/>
      <c r="D213" s="195"/>
      <c r="E213" s="205"/>
      <c r="F213" s="122"/>
      <c r="G213" s="166"/>
      <c r="H213" s="22"/>
      <c r="I213" s="123"/>
      <c r="J213" s="11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</row>
    <row r="214" ht="16.5" customHeight="1">
      <c r="A214" s="107"/>
      <c r="B214" s="138"/>
      <c r="C214" s="168"/>
      <c r="D214" s="195"/>
      <c r="E214" s="205"/>
      <c r="F214" s="122"/>
      <c r="G214" s="166"/>
      <c r="H214" s="22"/>
      <c r="I214" s="123"/>
      <c r="J214" s="11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</row>
    <row r="215" ht="16.5" customHeight="1">
      <c r="A215" s="107"/>
      <c r="B215" s="138"/>
      <c r="C215" s="168"/>
      <c r="D215" s="195"/>
      <c r="E215" s="205"/>
      <c r="F215" s="122"/>
      <c r="G215" s="166"/>
      <c r="H215" s="22"/>
      <c r="I215" s="123"/>
      <c r="J215" s="11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</row>
    <row r="216" ht="16.5" customHeight="1">
      <c r="A216" s="107"/>
      <c r="B216" s="138"/>
      <c r="C216" s="168"/>
      <c r="D216" s="195"/>
      <c r="E216" s="205"/>
      <c r="F216" s="122"/>
      <c r="G216" s="166"/>
      <c r="H216" s="22"/>
      <c r="I216" s="123"/>
      <c r="J216" s="11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</row>
    <row r="217" ht="16.5" customHeight="1">
      <c r="A217" s="107"/>
      <c r="B217" s="138"/>
      <c r="C217" s="168"/>
      <c r="D217" s="195"/>
      <c r="E217" s="205"/>
      <c r="F217" s="122"/>
      <c r="G217" s="166"/>
      <c r="H217" s="22"/>
      <c r="I217" s="123"/>
      <c r="J217" s="11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</row>
    <row r="218" ht="16.5" customHeight="1">
      <c r="A218" s="107"/>
      <c r="B218" s="138"/>
      <c r="C218" s="168"/>
      <c r="D218" s="195"/>
      <c r="E218" s="205"/>
      <c r="F218" s="122"/>
      <c r="G218" s="166"/>
      <c r="H218" s="22"/>
      <c r="I218" s="123"/>
      <c r="J218" s="11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</row>
    <row r="219" ht="16.5" customHeight="1">
      <c r="A219" s="107"/>
      <c r="B219" s="138"/>
      <c r="C219" s="168"/>
      <c r="D219" s="195"/>
      <c r="E219" s="205"/>
      <c r="F219" s="122"/>
      <c r="G219" s="166"/>
      <c r="H219" s="22"/>
      <c r="I219" s="123"/>
      <c r="J219" s="11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</row>
    <row r="220" ht="16.5" customHeight="1">
      <c r="A220" s="107"/>
      <c r="B220" s="138"/>
      <c r="C220" s="168"/>
      <c r="D220" s="195"/>
      <c r="E220" s="205"/>
      <c r="F220" s="122"/>
      <c r="G220" s="166"/>
      <c r="H220" s="22"/>
      <c r="I220" s="123"/>
      <c r="J220" s="11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</row>
    <row r="221" ht="16.5" customHeight="1">
      <c r="A221" s="107"/>
      <c r="B221" s="138"/>
      <c r="C221" s="168"/>
      <c r="D221" s="195"/>
      <c r="E221" s="205"/>
      <c r="F221" s="122"/>
      <c r="G221" s="166"/>
      <c r="H221" s="22"/>
      <c r="I221" s="123"/>
      <c r="J221" s="11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</row>
    <row r="222" ht="16.5" customHeight="1">
      <c r="A222" s="107"/>
      <c r="B222" s="138"/>
      <c r="C222" s="168"/>
      <c r="D222" s="195"/>
      <c r="E222" s="205"/>
      <c r="F222" s="122"/>
      <c r="G222" s="166"/>
      <c r="H222" s="22"/>
      <c r="I222" s="123"/>
      <c r="J222" s="11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</row>
    <row r="223" ht="16.5" customHeight="1">
      <c r="A223" s="107"/>
      <c r="B223" s="138"/>
      <c r="C223" s="168"/>
      <c r="D223" s="195"/>
      <c r="E223" s="205"/>
      <c r="F223" s="122"/>
      <c r="G223" s="166"/>
      <c r="H223" s="22"/>
      <c r="I223" s="123"/>
      <c r="J223" s="11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</row>
    <row r="224" ht="16.5" customHeight="1">
      <c r="A224" s="107"/>
      <c r="B224" s="138"/>
      <c r="C224" s="168"/>
      <c r="D224" s="195"/>
      <c r="E224" s="205"/>
      <c r="F224" s="122"/>
      <c r="G224" s="166"/>
      <c r="H224" s="22"/>
      <c r="I224" s="123"/>
      <c r="J224" s="11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</row>
    <row r="225" ht="16.5" customHeight="1">
      <c r="A225" s="107"/>
      <c r="B225" s="138"/>
      <c r="C225" s="168"/>
      <c r="D225" s="195"/>
      <c r="E225" s="205"/>
      <c r="F225" s="122"/>
      <c r="G225" s="166"/>
      <c r="H225" s="22"/>
      <c r="I225" s="123"/>
      <c r="J225" s="11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</row>
    <row r="226" ht="16.5" customHeight="1">
      <c r="A226" s="107"/>
      <c r="B226" s="138"/>
      <c r="C226" s="168"/>
      <c r="D226" s="195"/>
      <c r="E226" s="205"/>
      <c r="F226" s="122"/>
      <c r="G226" s="166"/>
      <c r="H226" s="22"/>
      <c r="I226" s="123"/>
      <c r="J226" s="11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</row>
    <row r="227" ht="16.5" customHeight="1">
      <c r="A227" s="107"/>
      <c r="B227" s="138"/>
      <c r="C227" s="168"/>
      <c r="D227" s="195"/>
      <c r="E227" s="205"/>
      <c r="F227" s="122"/>
      <c r="G227" s="166"/>
      <c r="H227" s="22"/>
      <c r="I227" s="123"/>
      <c r="J227" s="11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</row>
    <row r="228" ht="16.5" customHeight="1">
      <c r="A228" s="107"/>
      <c r="B228" s="138"/>
      <c r="C228" s="168"/>
      <c r="D228" s="195"/>
      <c r="E228" s="205"/>
      <c r="F228" s="122"/>
      <c r="G228" s="166"/>
      <c r="H228" s="22"/>
      <c r="I228" s="123"/>
      <c r="J228" s="11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</row>
    <row r="229" ht="16.5" customHeight="1">
      <c r="A229" s="107"/>
      <c r="B229" s="138"/>
      <c r="C229" s="168"/>
      <c r="D229" s="195"/>
      <c r="E229" s="205"/>
      <c r="F229" s="122"/>
      <c r="G229" s="166"/>
      <c r="H229" s="22"/>
      <c r="I229" s="123"/>
      <c r="J229" s="11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</row>
    <row r="230" ht="16.5" customHeight="1">
      <c r="A230" s="107"/>
      <c r="B230" s="138"/>
      <c r="C230" s="168"/>
      <c r="D230" s="195"/>
      <c r="E230" s="205"/>
      <c r="F230" s="122"/>
      <c r="G230" s="166"/>
      <c r="H230" s="22"/>
      <c r="I230" s="123"/>
      <c r="J230" s="11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</row>
    <row r="231" ht="16.5" customHeight="1">
      <c r="A231" s="107"/>
      <c r="B231" s="138"/>
      <c r="C231" s="168"/>
      <c r="D231" s="195"/>
      <c r="E231" s="205"/>
      <c r="F231" s="122"/>
      <c r="G231" s="166"/>
      <c r="H231" s="22"/>
      <c r="I231" s="123"/>
      <c r="J231" s="11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</row>
    <row r="232" ht="16.5" customHeight="1">
      <c r="A232" s="107"/>
      <c r="B232" s="138"/>
      <c r="C232" s="168"/>
      <c r="D232" s="195"/>
      <c r="E232" s="205"/>
      <c r="F232" s="122"/>
      <c r="G232" s="166"/>
      <c r="H232" s="22"/>
      <c r="I232" s="123"/>
      <c r="J232" s="11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</row>
    <row r="233" ht="16.5" customHeight="1">
      <c r="A233" s="107"/>
      <c r="B233" s="138"/>
      <c r="C233" s="168"/>
      <c r="D233" s="195"/>
      <c r="E233" s="205"/>
      <c r="F233" s="122"/>
      <c r="G233" s="166"/>
      <c r="H233" s="22"/>
      <c r="I233" s="123"/>
      <c r="J233" s="11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</row>
    <row r="234" ht="16.5" customHeight="1">
      <c r="A234" s="107"/>
      <c r="B234" s="138"/>
      <c r="C234" s="168"/>
      <c r="D234" s="195"/>
      <c r="E234" s="205"/>
      <c r="F234" s="122"/>
      <c r="G234" s="166"/>
      <c r="H234" s="22"/>
      <c r="I234" s="123"/>
      <c r="J234" s="11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</row>
    <row r="235" ht="16.5" customHeight="1">
      <c r="A235" s="107"/>
      <c r="B235" s="138"/>
      <c r="C235" s="168"/>
      <c r="D235" s="195"/>
      <c r="E235" s="205"/>
      <c r="F235" s="122"/>
      <c r="G235" s="166"/>
      <c r="H235" s="22"/>
      <c r="I235" s="123"/>
      <c r="J235" s="11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</row>
    <row r="236" ht="16.5" customHeight="1">
      <c r="A236" s="107"/>
      <c r="B236" s="138"/>
      <c r="C236" s="168"/>
      <c r="D236" s="195"/>
      <c r="E236" s="205"/>
      <c r="F236" s="122"/>
      <c r="G236" s="166"/>
      <c r="H236" s="22"/>
      <c r="I236" s="123"/>
      <c r="J236" s="11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</row>
    <row r="237" ht="16.5" customHeight="1">
      <c r="A237" s="107"/>
      <c r="B237" s="138"/>
      <c r="C237" s="168"/>
      <c r="D237" s="195"/>
      <c r="E237" s="205"/>
      <c r="F237" s="122"/>
      <c r="G237" s="166"/>
      <c r="H237" s="22"/>
      <c r="I237" s="123"/>
      <c r="J237" s="11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</row>
    <row r="238" ht="16.5" customHeight="1">
      <c r="A238" s="107"/>
      <c r="B238" s="138"/>
      <c r="C238" s="168"/>
      <c r="D238" s="195"/>
      <c r="E238" s="205"/>
      <c r="F238" s="122"/>
      <c r="G238" s="166"/>
      <c r="H238" s="22"/>
      <c r="I238" s="123"/>
      <c r="J238" s="11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</row>
    <row r="239" ht="16.5" customHeight="1">
      <c r="A239" s="107"/>
      <c r="B239" s="138"/>
      <c r="C239" s="168"/>
      <c r="D239" s="195"/>
      <c r="E239" s="205"/>
      <c r="F239" s="122"/>
      <c r="G239" s="166"/>
      <c r="H239" s="22"/>
      <c r="I239" s="123"/>
      <c r="J239" s="11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</row>
    <row r="240" ht="16.5" customHeight="1">
      <c r="A240" s="107"/>
      <c r="B240" s="138"/>
      <c r="C240" s="168"/>
      <c r="D240" s="195"/>
      <c r="E240" s="205"/>
      <c r="F240" s="122"/>
      <c r="G240" s="166"/>
      <c r="H240" s="22"/>
      <c r="I240" s="123"/>
      <c r="J240" s="11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</row>
    <row r="241" ht="16.5" customHeight="1">
      <c r="A241" s="107"/>
      <c r="B241" s="138"/>
      <c r="C241" s="168"/>
      <c r="D241" s="195"/>
      <c r="E241" s="205"/>
      <c r="F241" s="122"/>
      <c r="G241" s="166"/>
      <c r="H241" s="22"/>
      <c r="I241" s="123"/>
      <c r="J241" s="11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</row>
    <row r="242" ht="16.5" customHeight="1">
      <c r="A242" s="107"/>
      <c r="B242" s="138"/>
      <c r="C242" s="168"/>
      <c r="D242" s="195"/>
      <c r="E242" s="205"/>
      <c r="F242" s="122"/>
      <c r="G242" s="166"/>
      <c r="H242" s="22"/>
      <c r="I242" s="123"/>
      <c r="J242" s="11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</row>
    <row r="243" ht="16.5" customHeight="1">
      <c r="A243" s="107"/>
      <c r="B243" s="138"/>
      <c r="C243" s="168"/>
      <c r="D243" s="195"/>
      <c r="E243" s="205"/>
      <c r="F243" s="122"/>
      <c r="G243" s="166"/>
      <c r="H243" s="22"/>
      <c r="I243" s="123"/>
      <c r="J243" s="11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</row>
    <row r="244" ht="16.5" customHeight="1">
      <c r="A244" s="107"/>
      <c r="B244" s="138"/>
      <c r="C244" s="168"/>
      <c r="D244" s="195"/>
      <c r="E244" s="205"/>
      <c r="F244" s="122"/>
      <c r="G244" s="166"/>
      <c r="H244" s="22"/>
      <c r="I244" s="123"/>
      <c r="J244" s="11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</row>
    <row r="245" ht="16.5" customHeight="1">
      <c r="A245" s="107"/>
      <c r="B245" s="138"/>
      <c r="C245" s="168"/>
      <c r="D245" s="195"/>
      <c r="E245" s="205"/>
      <c r="F245" s="122"/>
      <c r="G245" s="166"/>
      <c r="H245" s="22"/>
      <c r="I245" s="123"/>
      <c r="J245" s="11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</row>
    <row r="246" ht="16.5" customHeight="1">
      <c r="A246" s="107"/>
      <c r="B246" s="138"/>
      <c r="C246" s="168"/>
      <c r="D246" s="195"/>
      <c r="E246" s="205"/>
      <c r="F246" s="122"/>
      <c r="G246" s="166"/>
      <c r="H246" s="22"/>
      <c r="I246" s="123"/>
      <c r="J246" s="11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</row>
    <row r="247" ht="16.5" customHeight="1">
      <c r="A247" s="107"/>
      <c r="B247" s="138"/>
      <c r="C247" s="168"/>
      <c r="D247" s="195"/>
      <c r="E247" s="205"/>
      <c r="F247" s="122"/>
      <c r="G247" s="166"/>
      <c r="H247" s="22"/>
      <c r="I247" s="123"/>
      <c r="J247" s="11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</row>
    <row r="248" ht="16.5" customHeight="1">
      <c r="A248" s="107"/>
      <c r="B248" s="138"/>
      <c r="C248" s="168"/>
      <c r="D248" s="195"/>
      <c r="E248" s="205"/>
      <c r="F248" s="122"/>
      <c r="G248" s="166"/>
      <c r="H248" s="22"/>
      <c r="I248" s="123"/>
      <c r="J248" s="11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</row>
    <row r="249" ht="16.5" customHeight="1">
      <c r="A249" s="107"/>
      <c r="B249" s="138"/>
      <c r="C249" s="168"/>
      <c r="D249" s="195"/>
      <c r="E249" s="205"/>
      <c r="F249" s="122"/>
      <c r="G249" s="166"/>
      <c r="H249" s="22"/>
      <c r="I249" s="123"/>
      <c r="J249" s="11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</row>
    <row r="250" ht="16.5" customHeight="1">
      <c r="A250" s="107"/>
      <c r="B250" s="138"/>
      <c r="C250" s="168"/>
      <c r="D250" s="195"/>
      <c r="E250" s="205"/>
      <c r="F250" s="122"/>
      <c r="G250" s="166"/>
      <c r="H250" s="22"/>
      <c r="I250" s="123"/>
      <c r="J250" s="11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</row>
    <row r="251" ht="16.5" customHeight="1">
      <c r="A251" s="107"/>
      <c r="B251" s="138"/>
      <c r="C251" s="168"/>
      <c r="D251" s="195"/>
      <c r="E251" s="205"/>
      <c r="F251" s="122"/>
      <c r="G251" s="166"/>
      <c r="H251" s="22"/>
      <c r="I251" s="123"/>
      <c r="J251" s="11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</row>
    <row r="252" ht="16.5" customHeight="1">
      <c r="A252" s="107"/>
      <c r="B252" s="138"/>
      <c r="C252" s="168"/>
      <c r="D252" s="195"/>
      <c r="E252" s="205"/>
      <c r="F252" s="122"/>
      <c r="G252" s="166"/>
      <c r="H252" s="22"/>
      <c r="I252" s="123"/>
      <c r="J252" s="11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</row>
    <row r="253" ht="16.5" customHeight="1">
      <c r="A253" s="107"/>
      <c r="B253" s="138"/>
      <c r="C253" s="168"/>
      <c r="D253" s="195"/>
      <c r="E253" s="205"/>
      <c r="F253" s="122"/>
      <c r="G253" s="166"/>
      <c r="H253" s="22"/>
      <c r="I253" s="123"/>
      <c r="J253" s="11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</row>
    <row r="254" ht="16.5" customHeight="1">
      <c r="A254" s="107"/>
      <c r="B254" s="138"/>
      <c r="C254" s="168"/>
      <c r="D254" s="195"/>
      <c r="E254" s="205"/>
      <c r="F254" s="122"/>
      <c r="G254" s="166"/>
      <c r="H254" s="22"/>
      <c r="I254" s="123"/>
      <c r="J254" s="11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</row>
    <row r="255" ht="16.5" customHeight="1">
      <c r="A255" s="107"/>
      <c r="B255" s="138"/>
      <c r="C255" s="168"/>
      <c r="D255" s="195"/>
      <c r="E255" s="205"/>
      <c r="F255" s="122"/>
      <c r="G255" s="166"/>
      <c r="H255" s="22"/>
      <c r="I255" s="123"/>
      <c r="J255" s="11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</row>
    <row r="256" ht="16.5" customHeight="1">
      <c r="A256" s="107"/>
      <c r="B256" s="138"/>
      <c r="C256" s="168"/>
      <c r="D256" s="195"/>
      <c r="E256" s="205"/>
      <c r="F256" s="122"/>
      <c r="G256" s="166"/>
      <c r="H256" s="22"/>
      <c r="I256" s="123"/>
      <c r="J256" s="11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</row>
    <row r="257" ht="16.5" customHeight="1">
      <c r="A257" s="107"/>
      <c r="B257" s="138"/>
      <c r="C257" s="168"/>
      <c r="D257" s="195"/>
      <c r="E257" s="205"/>
      <c r="F257" s="122"/>
      <c r="G257" s="166"/>
      <c r="H257" s="22"/>
      <c r="I257" s="123"/>
      <c r="J257" s="11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</row>
    <row r="258" ht="16.5" customHeight="1">
      <c r="A258" s="107"/>
      <c r="B258" s="138"/>
      <c r="C258" s="168"/>
      <c r="D258" s="195"/>
      <c r="E258" s="205"/>
      <c r="F258" s="122"/>
      <c r="G258" s="166"/>
      <c r="H258" s="22"/>
      <c r="I258" s="123"/>
      <c r="J258" s="11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</row>
    <row r="259" ht="16.5" customHeight="1">
      <c r="A259" s="107"/>
      <c r="B259" s="138"/>
      <c r="C259" s="168"/>
      <c r="D259" s="195"/>
      <c r="E259" s="205"/>
      <c r="F259" s="122"/>
      <c r="G259" s="166"/>
      <c r="H259" s="22"/>
      <c r="I259" s="123"/>
      <c r="J259" s="11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</row>
    <row r="260" ht="16.5" customHeight="1">
      <c r="A260" s="107"/>
      <c r="B260" s="138"/>
      <c r="C260" s="168"/>
      <c r="D260" s="195"/>
      <c r="E260" s="205"/>
      <c r="F260" s="122"/>
      <c r="G260" s="166"/>
      <c r="H260" s="22"/>
      <c r="I260" s="123"/>
      <c r="J260" s="11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</row>
    <row r="261" ht="16.5" customHeight="1">
      <c r="A261" s="107"/>
      <c r="B261" s="138"/>
      <c r="C261" s="168"/>
      <c r="D261" s="195"/>
      <c r="E261" s="205"/>
      <c r="F261" s="122"/>
      <c r="G261" s="166"/>
      <c r="H261" s="22"/>
      <c r="I261" s="123"/>
      <c r="J261" s="11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</row>
    <row r="262" ht="16.5" customHeight="1">
      <c r="A262" s="107"/>
      <c r="B262" s="138"/>
      <c r="C262" s="168"/>
      <c r="D262" s="195"/>
      <c r="E262" s="205"/>
      <c r="F262" s="122"/>
      <c r="G262" s="166"/>
      <c r="H262" s="22"/>
      <c r="I262" s="123"/>
      <c r="J262" s="11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</row>
    <row r="263" ht="16.5" customHeight="1">
      <c r="A263" s="107"/>
      <c r="B263" s="138"/>
      <c r="C263" s="168"/>
      <c r="D263" s="195"/>
      <c r="E263" s="205"/>
      <c r="F263" s="122"/>
      <c r="G263" s="166"/>
      <c r="H263" s="22"/>
      <c r="I263" s="123"/>
      <c r="J263" s="11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</row>
    <row r="264" ht="16.5" customHeight="1">
      <c r="A264" s="107"/>
      <c r="B264" s="138"/>
      <c r="C264" s="168"/>
      <c r="D264" s="195"/>
      <c r="E264" s="205"/>
      <c r="F264" s="122"/>
      <c r="G264" s="166"/>
      <c r="H264" s="22"/>
      <c r="I264" s="123"/>
      <c r="J264" s="11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</row>
    <row r="265" ht="16.5" customHeight="1">
      <c r="A265" s="107"/>
      <c r="B265" s="138"/>
      <c r="C265" s="168"/>
      <c r="D265" s="195"/>
      <c r="E265" s="205"/>
      <c r="F265" s="122"/>
      <c r="G265" s="166"/>
      <c r="H265" s="22"/>
      <c r="I265" s="123"/>
      <c r="J265" s="11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</row>
    <row r="266" ht="16.5" customHeight="1">
      <c r="A266" s="107"/>
      <c r="B266" s="138"/>
      <c r="C266" s="168"/>
      <c r="D266" s="195"/>
      <c r="E266" s="205"/>
      <c r="F266" s="122"/>
      <c r="G266" s="166"/>
      <c r="H266" s="22"/>
      <c r="I266" s="123"/>
      <c r="J266" s="11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</row>
    <row r="267" ht="16.5" customHeight="1">
      <c r="A267" s="107"/>
      <c r="B267" s="138"/>
      <c r="C267" s="168"/>
      <c r="D267" s="195"/>
      <c r="E267" s="205"/>
      <c r="F267" s="122"/>
      <c r="G267" s="166"/>
      <c r="H267" s="22"/>
      <c r="I267" s="123"/>
      <c r="J267" s="11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</row>
    <row r="268" ht="16.5" customHeight="1">
      <c r="A268" s="107"/>
      <c r="B268" s="138"/>
      <c r="C268" s="168"/>
      <c r="D268" s="195"/>
      <c r="E268" s="205"/>
      <c r="F268" s="122"/>
      <c r="G268" s="166"/>
      <c r="H268" s="22"/>
      <c r="I268" s="123"/>
      <c r="J268" s="11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</row>
    <row r="269" ht="16.5" customHeight="1">
      <c r="A269" s="107"/>
      <c r="B269" s="138"/>
      <c r="C269" s="168"/>
      <c r="D269" s="195"/>
      <c r="E269" s="205"/>
      <c r="F269" s="122"/>
      <c r="G269" s="166"/>
      <c r="H269" s="22"/>
      <c r="I269" s="123"/>
      <c r="J269" s="11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</row>
    <row r="270" ht="16.5" customHeight="1">
      <c r="A270" s="107"/>
      <c r="B270" s="138"/>
      <c r="C270" s="168"/>
      <c r="D270" s="195"/>
      <c r="E270" s="205"/>
      <c r="F270" s="122"/>
      <c r="G270" s="166"/>
      <c r="H270" s="22"/>
      <c r="I270" s="123"/>
      <c r="J270" s="11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</row>
    <row r="271" ht="16.5" customHeight="1">
      <c r="A271" s="107"/>
      <c r="B271" s="138"/>
      <c r="C271" s="168"/>
      <c r="D271" s="195"/>
      <c r="E271" s="205"/>
      <c r="F271" s="122"/>
      <c r="G271" s="166"/>
      <c r="H271" s="22"/>
      <c r="I271" s="123"/>
      <c r="J271" s="11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</row>
    <row r="272" ht="16.5" customHeight="1">
      <c r="A272" s="107"/>
      <c r="B272" s="138"/>
      <c r="C272" s="168"/>
      <c r="D272" s="195"/>
      <c r="E272" s="205"/>
      <c r="F272" s="122"/>
      <c r="G272" s="166"/>
      <c r="H272" s="22"/>
      <c r="I272" s="123"/>
      <c r="J272" s="11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</row>
    <row r="273" ht="16.5" customHeight="1">
      <c r="A273" s="107"/>
      <c r="B273" s="138"/>
      <c r="C273" s="168"/>
      <c r="D273" s="195"/>
      <c r="E273" s="205"/>
      <c r="F273" s="122"/>
      <c r="G273" s="166"/>
      <c r="H273" s="22"/>
      <c r="I273" s="123"/>
      <c r="J273" s="11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</row>
    <row r="274" ht="16.5" customHeight="1">
      <c r="A274" s="107"/>
      <c r="B274" s="138"/>
      <c r="C274" s="168"/>
      <c r="D274" s="195"/>
      <c r="E274" s="205"/>
      <c r="F274" s="122"/>
      <c r="G274" s="166"/>
      <c r="H274" s="22"/>
      <c r="I274" s="123"/>
      <c r="J274" s="11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</row>
    <row r="275" ht="16.5" customHeight="1">
      <c r="A275" s="107"/>
      <c r="B275" s="138"/>
      <c r="C275" s="168"/>
      <c r="D275" s="195"/>
      <c r="E275" s="205"/>
      <c r="F275" s="122"/>
      <c r="G275" s="166"/>
      <c r="H275" s="22"/>
      <c r="I275" s="123"/>
      <c r="J275" s="11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</row>
    <row r="276" ht="16.5" customHeight="1">
      <c r="A276" s="107"/>
      <c r="B276" s="138"/>
      <c r="C276" s="168"/>
      <c r="D276" s="195"/>
      <c r="E276" s="205"/>
      <c r="F276" s="122"/>
      <c r="G276" s="166"/>
      <c r="H276" s="22"/>
      <c r="I276" s="123"/>
      <c r="J276" s="11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</row>
    <row r="277" ht="16.5" customHeight="1">
      <c r="A277" s="107"/>
      <c r="B277" s="138"/>
      <c r="C277" s="168"/>
      <c r="D277" s="195"/>
      <c r="E277" s="205"/>
      <c r="F277" s="122"/>
      <c r="G277" s="166"/>
      <c r="H277" s="22"/>
      <c r="I277" s="123"/>
      <c r="J277" s="11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</row>
    <row r="278" ht="16.5" customHeight="1">
      <c r="A278" s="107"/>
      <c r="B278" s="138"/>
      <c r="C278" s="168"/>
      <c r="D278" s="195"/>
      <c r="E278" s="205"/>
      <c r="F278" s="122"/>
      <c r="G278" s="166"/>
      <c r="H278" s="22"/>
      <c r="I278" s="123"/>
      <c r="J278" s="11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</row>
    <row r="279" ht="16.5" customHeight="1">
      <c r="A279" s="107"/>
      <c r="B279" s="138"/>
      <c r="C279" s="168"/>
      <c r="D279" s="195"/>
      <c r="E279" s="205"/>
      <c r="F279" s="122"/>
      <c r="G279" s="166"/>
      <c r="H279" s="22"/>
      <c r="I279" s="123"/>
      <c r="J279" s="11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</row>
    <row r="280" ht="16.5" customHeight="1">
      <c r="A280" s="107"/>
      <c r="B280" s="138"/>
      <c r="C280" s="168"/>
      <c r="D280" s="195"/>
      <c r="E280" s="205"/>
      <c r="F280" s="122"/>
      <c r="G280" s="166"/>
      <c r="H280" s="22"/>
      <c r="I280" s="123"/>
      <c r="J280" s="11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</row>
    <row r="281" ht="16.5" customHeight="1">
      <c r="A281" s="107"/>
      <c r="B281" s="138"/>
      <c r="C281" s="168"/>
      <c r="D281" s="195"/>
      <c r="E281" s="205"/>
      <c r="F281" s="122"/>
      <c r="G281" s="166"/>
      <c r="H281" s="22"/>
      <c r="I281" s="123"/>
      <c r="J281" s="11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</row>
    <row r="282" ht="16.5" customHeight="1">
      <c r="A282" s="107"/>
      <c r="B282" s="138"/>
      <c r="C282" s="168"/>
      <c r="D282" s="195"/>
      <c r="E282" s="205"/>
      <c r="F282" s="122"/>
      <c r="G282" s="166"/>
      <c r="H282" s="22"/>
      <c r="I282" s="123"/>
      <c r="J282" s="11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</row>
    <row r="283" ht="16.5" customHeight="1">
      <c r="A283" s="107"/>
      <c r="B283" s="138"/>
      <c r="C283" s="168"/>
      <c r="D283" s="195"/>
      <c r="E283" s="205"/>
      <c r="F283" s="122"/>
      <c r="G283" s="166"/>
      <c r="H283" s="22"/>
      <c r="I283" s="123"/>
      <c r="J283" s="11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</row>
    <row r="284" ht="16.5" customHeight="1">
      <c r="A284" s="107"/>
      <c r="B284" s="138"/>
      <c r="C284" s="168"/>
      <c r="D284" s="195"/>
      <c r="E284" s="205"/>
      <c r="F284" s="122"/>
      <c r="G284" s="166"/>
      <c r="H284" s="22"/>
      <c r="I284" s="123"/>
      <c r="J284" s="11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</row>
    <row r="285" ht="16.5" customHeight="1">
      <c r="A285" s="107"/>
      <c r="B285" s="138"/>
      <c r="C285" s="168"/>
      <c r="D285" s="195"/>
      <c r="E285" s="205"/>
      <c r="F285" s="122"/>
      <c r="G285" s="166"/>
      <c r="H285" s="22"/>
      <c r="I285" s="123"/>
      <c r="J285" s="11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</row>
    <row r="286" ht="16.5" customHeight="1">
      <c r="A286" s="107"/>
      <c r="B286" s="138"/>
      <c r="C286" s="168"/>
      <c r="D286" s="195"/>
      <c r="E286" s="205"/>
      <c r="F286" s="122"/>
      <c r="G286" s="166"/>
      <c r="H286" s="22"/>
      <c r="I286" s="123"/>
      <c r="J286" s="11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</row>
    <row r="287" ht="16.5" customHeight="1">
      <c r="A287" s="107"/>
      <c r="B287" s="138"/>
      <c r="C287" s="168"/>
      <c r="D287" s="195"/>
      <c r="E287" s="205"/>
      <c r="F287" s="122"/>
      <c r="G287" s="166"/>
      <c r="H287" s="22"/>
      <c r="I287" s="123"/>
      <c r="J287" s="11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</row>
    <row r="288" ht="16.5" customHeight="1">
      <c r="A288" s="107"/>
      <c r="B288" s="138"/>
      <c r="C288" s="168"/>
      <c r="D288" s="195"/>
      <c r="E288" s="205"/>
      <c r="F288" s="122"/>
      <c r="G288" s="166"/>
      <c r="H288" s="22"/>
      <c r="I288" s="123"/>
      <c r="J288" s="11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</row>
    <row r="289" ht="16.5" customHeight="1">
      <c r="A289" s="107"/>
      <c r="B289" s="138"/>
      <c r="C289" s="168"/>
      <c r="D289" s="195"/>
      <c r="E289" s="205"/>
      <c r="F289" s="122"/>
      <c r="G289" s="166"/>
      <c r="H289" s="22"/>
      <c r="I289" s="123"/>
      <c r="J289" s="11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</row>
    <row r="290" ht="16.5" customHeight="1">
      <c r="A290" s="107"/>
      <c r="B290" s="138"/>
      <c r="C290" s="168"/>
      <c r="D290" s="195"/>
      <c r="E290" s="205"/>
      <c r="F290" s="122"/>
      <c r="G290" s="166"/>
      <c r="H290" s="22"/>
      <c r="I290" s="123"/>
      <c r="J290" s="11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</row>
    <row r="291" ht="16.5" customHeight="1">
      <c r="A291" s="107"/>
      <c r="B291" s="138"/>
      <c r="C291" s="168"/>
      <c r="D291" s="195"/>
      <c r="E291" s="205"/>
      <c r="F291" s="122"/>
      <c r="G291" s="166"/>
      <c r="H291" s="22"/>
      <c r="I291" s="123"/>
      <c r="J291" s="11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</row>
    <row r="292" ht="16.5" customHeight="1">
      <c r="A292" s="107"/>
      <c r="B292" s="138"/>
      <c r="C292" s="168"/>
      <c r="D292" s="195"/>
      <c r="E292" s="205"/>
      <c r="F292" s="122"/>
      <c r="G292" s="166"/>
      <c r="H292" s="22"/>
      <c r="I292" s="123"/>
      <c r="J292" s="11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</row>
    <row r="293" ht="16.5" customHeight="1">
      <c r="A293" s="107"/>
      <c r="B293" s="138"/>
      <c r="C293" s="168"/>
      <c r="D293" s="195"/>
      <c r="E293" s="205"/>
      <c r="F293" s="122"/>
      <c r="G293" s="166"/>
      <c r="H293" s="22"/>
      <c r="I293" s="123"/>
      <c r="J293" s="11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</row>
    <row r="294" ht="16.5" customHeight="1">
      <c r="A294" s="107"/>
      <c r="B294" s="138"/>
      <c r="C294" s="168"/>
      <c r="D294" s="195"/>
      <c r="E294" s="205"/>
      <c r="F294" s="122"/>
      <c r="G294" s="166"/>
      <c r="H294" s="22"/>
      <c r="I294" s="123"/>
      <c r="J294" s="11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</row>
    <row r="295" ht="16.5" customHeight="1">
      <c r="A295" s="107"/>
      <c r="B295" s="138"/>
      <c r="C295" s="168"/>
      <c r="D295" s="195"/>
      <c r="E295" s="205"/>
      <c r="F295" s="122"/>
      <c r="G295" s="166"/>
      <c r="H295" s="22"/>
      <c r="I295" s="123"/>
      <c r="J295" s="11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</row>
    <row r="296" ht="16.5" customHeight="1">
      <c r="A296" s="107"/>
      <c r="B296" s="138"/>
      <c r="C296" s="168"/>
      <c r="D296" s="195"/>
      <c r="E296" s="205"/>
      <c r="F296" s="122"/>
      <c r="G296" s="166"/>
      <c r="H296" s="22"/>
      <c r="I296" s="123"/>
      <c r="J296" s="11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</row>
    <row r="297" ht="16.5" customHeight="1">
      <c r="A297" s="107"/>
      <c r="B297" s="138"/>
      <c r="C297" s="168"/>
      <c r="D297" s="195"/>
      <c r="E297" s="205"/>
      <c r="F297" s="122"/>
      <c r="G297" s="166"/>
      <c r="H297" s="22"/>
      <c r="I297" s="123"/>
      <c r="J297" s="11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</row>
    <row r="298" ht="16.5" customHeight="1">
      <c r="A298" s="107"/>
      <c r="B298" s="138"/>
      <c r="C298" s="168"/>
      <c r="D298" s="195"/>
      <c r="E298" s="205"/>
      <c r="F298" s="122"/>
      <c r="G298" s="166"/>
      <c r="H298" s="22"/>
      <c r="I298" s="123"/>
      <c r="J298" s="11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</row>
    <row r="299" ht="16.5" customHeight="1">
      <c r="A299" s="107"/>
      <c r="B299" s="138"/>
      <c r="C299" s="168"/>
      <c r="D299" s="195"/>
      <c r="E299" s="205"/>
      <c r="F299" s="122"/>
      <c r="G299" s="166"/>
      <c r="H299" s="22"/>
      <c r="I299" s="123"/>
      <c r="J299" s="11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</row>
    <row r="300" ht="16.5" customHeight="1">
      <c r="A300" s="107"/>
      <c r="B300" s="138"/>
      <c r="C300" s="168"/>
      <c r="D300" s="195"/>
      <c r="E300" s="205"/>
      <c r="F300" s="122"/>
      <c r="G300" s="166"/>
      <c r="H300" s="22"/>
      <c r="I300" s="123"/>
      <c r="J300" s="11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</row>
    <row r="301" ht="16.5" customHeight="1">
      <c r="A301" s="107"/>
      <c r="B301" s="138"/>
      <c r="C301" s="168"/>
      <c r="D301" s="195"/>
      <c r="E301" s="205"/>
      <c r="F301" s="122"/>
      <c r="G301" s="166"/>
      <c r="H301" s="22"/>
      <c r="I301" s="123"/>
      <c r="J301" s="11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</row>
    <row r="302" ht="16.5" customHeight="1">
      <c r="A302" s="107"/>
      <c r="B302" s="138"/>
      <c r="C302" s="168"/>
      <c r="D302" s="195"/>
      <c r="E302" s="205"/>
      <c r="F302" s="122"/>
      <c r="G302" s="166"/>
      <c r="H302" s="22"/>
      <c r="I302" s="123"/>
      <c r="J302" s="11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</row>
    <row r="303" ht="16.5" customHeight="1">
      <c r="A303" s="107"/>
      <c r="B303" s="138"/>
      <c r="C303" s="168"/>
      <c r="D303" s="195"/>
      <c r="E303" s="205"/>
      <c r="F303" s="122"/>
      <c r="G303" s="166"/>
      <c r="H303" s="22"/>
      <c r="I303" s="123"/>
      <c r="J303" s="11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</row>
    <row r="304" ht="16.5" customHeight="1">
      <c r="A304" s="107"/>
      <c r="B304" s="138"/>
      <c r="C304" s="168"/>
      <c r="D304" s="195"/>
      <c r="E304" s="205"/>
      <c r="F304" s="122"/>
      <c r="G304" s="166"/>
      <c r="H304" s="22"/>
      <c r="I304" s="123"/>
      <c r="J304" s="11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</row>
    <row r="305" ht="16.5" customHeight="1">
      <c r="A305" s="107"/>
      <c r="B305" s="138"/>
      <c r="C305" s="168"/>
      <c r="D305" s="195"/>
      <c r="E305" s="205"/>
      <c r="F305" s="122"/>
      <c r="G305" s="166"/>
      <c r="H305" s="22"/>
      <c r="I305" s="123"/>
      <c r="J305" s="11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</row>
    <row r="306" ht="16.5" customHeight="1">
      <c r="A306" s="107"/>
      <c r="B306" s="138"/>
      <c r="C306" s="168"/>
      <c r="D306" s="195"/>
      <c r="E306" s="205"/>
      <c r="F306" s="122"/>
      <c r="G306" s="166"/>
      <c r="H306" s="22"/>
      <c r="I306" s="123"/>
      <c r="J306" s="11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</row>
    <row r="307" ht="16.5" customHeight="1">
      <c r="A307" s="107"/>
      <c r="B307" s="138"/>
      <c r="C307" s="168"/>
      <c r="D307" s="195"/>
      <c r="E307" s="205"/>
      <c r="F307" s="122"/>
      <c r="G307" s="166"/>
      <c r="H307" s="22"/>
      <c r="I307" s="123"/>
      <c r="J307" s="11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</row>
    <row r="308" ht="16.5" customHeight="1">
      <c r="A308" s="107"/>
      <c r="B308" s="138"/>
      <c r="C308" s="168"/>
      <c r="D308" s="195"/>
      <c r="E308" s="205"/>
      <c r="F308" s="122"/>
      <c r="G308" s="166"/>
      <c r="H308" s="22"/>
      <c r="I308" s="123"/>
      <c r="J308" s="11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</row>
    <row r="309" ht="16.5" customHeight="1">
      <c r="A309" s="107"/>
      <c r="B309" s="138"/>
      <c r="C309" s="168"/>
      <c r="D309" s="195"/>
      <c r="E309" s="205"/>
      <c r="F309" s="122"/>
      <c r="G309" s="166"/>
      <c r="H309" s="22"/>
      <c r="I309" s="123"/>
      <c r="J309" s="11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</row>
    <row r="310" ht="16.5" customHeight="1">
      <c r="A310" s="107"/>
      <c r="B310" s="138"/>
      <c r="C310" s="168"/>
      <c r="D310" s="195"/>
      <c r="E310" s="205"/>
      <c r="F310" s="122"/>
      <c r="G310" s="166"/>
      <c r="H310" s="22"/>
      <c r="I310" s="123"/>
      <c r="J310" s="11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</row>
    <row r="311" ht="16.5" customHeight="1">
      <c r="A311" s="107"/>
      <c r="B311" s="138"/>
      <c r="C311" s="168"/>
      <c r="D311" s="195"/>
      <c r="E311" s="205"/>
      <c r="F311" s="122"/>
      <c r="G311" s="166"/>
      <c r="H311" s="22"/>
      <c r="I311" s="123"/>
      <c r="J311" s="11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</row>
    <row r="312" ht="16.5" customHeight="1">
      <c r="A312" s="107"/>
      <c r="B312" s="138"/>
      <c r="C312" s="168"/>
      <c r="D312" s="195"/>
      <c r="E312" s="205"/>
      <c r="F312" s="122"/>
      <c r="G312" s="166"/>
      <c r="H312" s="22"/>
      <c r="I312" s="123"/>
      <c r="J312" s="11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</row>
    <row r="313" ht="16.5" customHeight="1">
      <c r="A313" s="107"/>
      <c r="B313" s="138"/>
      <c r="C313" s="168"/>
      <c r="D313" s="195"/>
      <c r="E313" s="205"/>
      <c r="F313" s="122"/>
      <c r="G313" s="166"/>
      <c r="H313" s="22"/>
      <c r="I313" s="123"/>
      <c r="J313" s="11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</row>
    <row r="314" ht="16.5" customHeight="1">
      <c r="A314" s="107"/>
      <c r="B314" s="138"/>
      <c r="C314" s="168"/>
      <c r="D314" s="195"/>
      <c r="E314" s="205"/>
      <c r="F314" s="122"/>
      <c r="G314" s="166"/>
      <c r="H314" s="22"/>
      <c r="I314" s="123"/>
      <c r="J314" s="11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</row>
    <row r="315" ht="16.5" customHeight="1">
      <c r="A315" s="107"/>
      <c r="B315" s="138"/>
      <c r="C315" s="168"/>
      <c r="D315" s="195"/>
      <c r="E315" s="205"/>
      <c r="F315" s="122"/>
      <c r="G315" s="166"/>
      <c r="H315" s="22"/>
      <c r="I315" s="123"/>
      <c r="J315" s="11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</row>
    <row r="316" ht="16.5" customHeight="1">
      <c r="A316" s="107"/>
      <c r="B316" s="138"/>
      <c r="C316" s="168"/>
      <c r="D316" s="195"/>
      <c r="E316" s="205"/>
      <c r="F316" s="122"/>
      <c r="G316" s="166"/>
      <c r="H316" s="22"/>
      <c r="I316" s="123"/>
      <c r="J316" s="11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</row>
    <row r="317" ht="16.5" customHeight="1">
      <c r="A317" s="107"/>
      <c r="B317" s="138"/>
      <c r="C317" s="168"/>
      <c r="D317" s="195"/>
      <c r="E317" s="205"/>
      <c r="F317" s="122"/>
      <c r="G317" s="166"/>
      <c r="H317" s="22"/>
      <c r="I317" s="123"/>
      <c r="J317" s="11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</row>
    <row r="318" ht="16.5" customHeight="1">
      <c r="A318" s="107"/>
      <c r="B318" s="138"/>
      <c r="C318" s="168"/>
      <c r="D318" s="195"/>
      <c r="E318" s="205"/>
      <c r="F318" s="122"/>
      <c r="G318" s="166"/>
      <c r="H318" s="22"/>
      <c r="I318" s="123"/>
      <c r="J318" s="11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</row>
    <row r="319" ht="16.5" customHeight="1">
      <c r="A319" s="107"/>
      <c r="B319" s="138"/>
      <c r="C319" s="168"/>
      <c r="D319" s="195"/>
      <c r="E319" s="205"/>
      <c r="F319" s="122"/>
      <c r="G319" s="166"/>
      <c r="H319" s="22"/>
      <c r="I319" s="123"/>
      <c r="J319" s="11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</row>
    <row r="320" ht="16.5" customHeight="1">
      <c r="A320" s="107"/>
      <c r="B320" s="138"/>
      <c r="C320" s="168"/>
      <c r="D320" s="195"/>
      <c r="E320" s="205"/>
      <c r="F320" s="122"/>
      <c r="G320" s="166"/>
      <c r="H320" s="22"/>
      <c r="I320" s="123"/>
      <c r="J320" s="11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</row>
    <row r="321" ht="16.5" customHeight="1">
      <c r="A321" s="107"/>
      <c r="B321" s="138"/>
      <c r="C321" s="168"/>
      <c r="D321" s="195"/>
      <c r="E321" s="205"/>
      <c r="F321" s="122"/>
      <c r="G321" s="166"/>
      <c r="H321" s="22"/>
      <c r="I321" s="123"/>
      <c r="J321" s="11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</row>
    <row r="322" ht="16.5" customHeight="1">
      <c r="A322" s="107"/>
      <c r="B322" s="138"/>
      <c r="C322" s="168"/>
      <c r="D322" s="195"/>
      <c r="E322" s="205"/>
      <c r="F322" s="122"/>
      <c r="G322" s="166"/>
      <c r="H322" s="22"/>
      <c r="I322" s="123"/>
      <c r="J322" s="11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</row>
    <row r="323" ht="16.5" customHeight="1">
      <c r="A323" s="107"/>
      <c r="B323" s="138"/>
      <c r="C323" s="168"/>
      <c r="D323" s="195"/>
      <c r="E323" s="205"/>
      <c r="F323" s="122"/>
      <c r="G323" s="166"/>
      <c r="H323" s="22"/>
      <c r="I323" s="123"/>
      <c r="J323" s="11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</row>
    <row r="324" ht="16.5" customHeight="1">
      <c r="A324" s="107"/>
      <c r="B324" s="138"/>
      <c r="C324" s="168"/>
      <c r="D324" s="195"/>
      <c r="E324" s="205"/>
      <c r="F324" s="122"/>
      <c r="G324" s="166"/>
      <c r="H324" s="22"/>
      <c r="I324" s="123"/>
      <c r="J324" s="11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</row>
    <row r="325" ht="16.5" customHeight="1">
      <c r="A325" s="107"/>
      <c r="B325" s="138"/>
      <c r="C325" s="168"/>
      <c r="D325" s="195"/>
      <c r="E325" s="205"/>
      <c r="F325" s="122"/>
      <c r="G325" s="166"/>
      <c r="H325" s="22"/>
      <c r="I325" s="123"/>
      <c r="J325" s="11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</row>
    <row r="326" ht="16.5" customHeight="1">
      <c r="A326" s="107"/>
      <c r="B326" s="138"/>
      <c r="C326" s="168"/>
      <c r="D326" s="195"/>
      <c r="E326" s="205"/>
      <c r="F326" s="122"/>
      <c r="G326" s="166"/>
      <c r="H326" s="22"/>
      <c r="I326" s="123"/>
      <c r="J326" s="11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</row>
    <row r="327" ht="16.5" customHeight="1">
      <c r="A327" s="107"/>
      <c r="B327" s="138"/>
      <c r="C327" s="168"/>
      <c r="D327" s="195"/>
      <c r="E327" s="205"/>
      <c r="F327" s="122"/>
      <c r="G327" s="166"/>
      <c r="H327" s="22"/>
      <c r="I327" s="123"/>
      <c r="J327" s="11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</row>
    <row r="328" ht="16.5" customHeight="1">
      <c r="A328" s="107"/>
      <c r="B328" s="138"/>
      <c r="C328" s="168"/>
      <c r="D328" s="195"/>
      <c r="E328" s="205"/>
      <c r="F328" s="122"/>
      <c r="G328" s="166"/>
      <c r="H328" s="22"/>
      <c r="I328" s="123"/>
      <c r="J328" s="11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</row>
    <row r="329" ht="16.5" customHeight="1">
      <c r="A329" s="107"/>
      <c r="B329" s="138"/>
      <c r="C329" s="168"/>
      <c r="D329" s="195"/>
      <c r="E329" s="205"/>
      <c r="F329" s="122"/>
      <c r="G329" s="166"/>
      <c r="H329" s="22"/>
      <c r="I329" s="123"/>
      <c r="J329" s="11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</row>
    <row r="330" ht="16.5" customHeight="1">
      <c r="A330" s="107"/>
      <c r="B330" s="138"/>
      <c r="C330" s="168"/>
      <c r="D330" s="195"/>
      <c r="E330" s="205"/>
      <c r="F330" s="122"/>
      <c r="G330" s="166"/>
      <c r="H330" s="22"/>
      <c r="I330" s="123"/>
      <c r="J330" s="11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</row>
    <row r="331" ht="16.5" customHeight="1">
      <c r="A331" s="107"/>
      <c r="B331" s="138"/>
      <c r="C331" s="168"/>
      <c r="D331" s="195"/>
      <c r="E331" s="205"/>
      <c r="F331" s="122"/>
      <c r="G331" s="166"/>
      <c r="H331" s="22"/>
      <c r="I331" s="123"/>
      <c r="J331" s="11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</row>
    <row r="332" ht="16.5" customHeight="1">
      <c r="A332" s="107"/>
      <c r="B332" s="138"/>
      <c r="C332" s="168"/>
      <c r="D332" s="195"/>
      <c r="E332" s="205"/>
      <c r="F332" s="122"/>
      <c r="G332" s="166"/>
      <c r="H332" s="22"/>
      <c r="I332" s="123"/>
      <c r="J332" s="11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</row>
    <row r="333" ht="16.5" customHeight="1">
      <c r="A333" s="107"/>
      <c r="B333" s="138"/>
      <c r="C333" s="168"/>
      <c r="D333" s="195"/>
      <c r="E333" s="205"/>
      <c r="F333" s="122"/>
      <c r="G333" s="166"/>
      <c r="H333" s="22"/>
      <c r="I333" s="123"/>
      <c r="J333" s="11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</row>
    <row r="334" ht="16.5" customHeight="1">
      <c r="A334" s="107"/>
      <c r="B334" s="138"/>
      <c r="C334" s="168"/>
      <c r="D334" s="195"/>
      <c r="E334" s="205"/>
      <c r="F334" s="122"/>
      <c r="G334" s="166"/>
      <c r="H334" s="22"/>
      <c r="I334" s="123"/>
      <c r="J334" s="11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</row>
    <row r="335" ht="16.5" customHeight="1">
      <c r="A335" s="107"/>
      <c r="B335" s="138"/>
      <c r="C335" s="168"/>
      <c r="D335" s="195"/>
      <c r="E335" s="205"/>
      <c r="F335" s="122"/>
      <c r="G335" s="166"/>
      <c r="H335" s="22"/>
      <c r="I335" s="123"/>
      <c r="J335" s="11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</row>
    <row r="336" ht="16.5" customHeight="1">
      <c r="A336" s="107"/>
      <c r="B336" s="138"/>
      <c r="C336" s="168"/>
      <c r="D336" s="195"/>
      <c r="E336" s="205"/>
      <c r="F336" s="122"/>
      <c r="G336" s="166"/>
      <c r="H336" s="22"/>
      <c r="I336" s="123"/>
      <c r="J336" s="11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</row>
    <row r="337" ht="16.5" customHeight="1">
      <c r="A337" s="107"/>
      <c r="B337" s="138"/>
      <c r="C337" s="168"/>
      <c r="D337" s="195"/>
      <c r="E337" s="205"/>
      <c r="F337" s="122"/>
      <c r="G337" s="166"/>
      <c r="H337" s="22"/>
      <c r="I337" s="123"/>
      <c r="J337" s="11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</row>
    <row r="338" ht="16.5" customHeight="1">
      <c r="A338" s="107"/>
      <c r="B338" s="138"/>
      <c r="C338" s="168"/>
      <c r="D338" s="195"/>
      <c r="E338" s="205"/>
      <c r="F338" s="122"/>
      <c r="G338" s="166"/>
      <c r="H338" s="22"/>
      <c r="I338" s="123"/>
      <c r="J338" s="11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</row>
    <row r="339" ht="16.5" customHeight="1">
      <c r="A339" s="107"/>
      <c r="B339" s="138"/>
      <c r="C339" s="168"/>
      <c r="D339" s="195"/>
      <c r="E339" s="205"/>
      <c r="F339" s="122"/>
      <c r="G339" s="166"/>
      <c r="H339" s="22"/>
      <c r="I339" s="123"/>
      <c r="J339" s="11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</row>
    <row r="340" ht="16.5" customHeight="1">
      <c r="A340" s="107"/>
      <c r="B340" s="138"/>
      <c r="C340" s="168"/>
      <c r="D340" s="195"/>
      <c r="E340" s="205"/>
      <c r="F340" s="122"/>
      <c r="G340" s="166"/>
      <c r="H340" s="22"/>
      <c r="I340" s="123"/>
      <c r="J340" s="11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</row>
    <row r="341" ht="16.5" customHeight="1">
      <c r="A341" s="107"/>
      <c r="B341" s="138"/>
      <c r="C341" s="168"/>
      <c r="D341" s="195"/>
      <c r="E341" s="205"/>
      <c r="F341" s="122"/>
      <c r="G341" s="166"/>
      <c r="H341" s="22"/>
      <c r="I341" s="123"/>
      <c r="J341" s="11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</row>
    <row r="342" ht="16.5" customHeight="1">
      <c r="A342" s="107"/>
      <c r="B342" s="138"/>
      <c r="C342" s="168"/>
      <c r="D342" s="195"/>
      <c r="E342" s="205"/>
      <c r="F342" s="122"/>
      <c r="G342" s="166"/>
      <c r="H342" s="22"/>
      <c r="I342" s="123"/>
      <c r="J342" s="11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</row>
    <row r="343" ht="16.5" customHeight="1">
      <c r="A343" s="107"/>
      <c r="B343" s="138"/>
      <c r="C343" s="168"/>
      <c r="D343" s="195"/>
      <c r="E343" s="205"/>
      <c r="F343" s="122"/>
      <c r="G343" s="166"/>
      <c r="H343" s="22"/>
      <c r="I343" s="123"/>
      <c r="J343" s="11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</row>
    <row r="344" ht="16.5" customHeight="1">
      <c r="A344" s="107"/>
      <c r="B344" s="138"/>
      <c r="C344" s="168"/>
      <c r="D344" s="195"/>
      <c r="E344" s="205"/>
      <c r="F344" s="122"/>
      <c r="G344" s="166"/>
      <c r="H344" s="22"/>
      <c r="I344" s="123"/>
      <c r="J344" s="11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</row>
    <row r="345" ht="16.5" customHeight="1">
      <c r="A345" s="107"/>
      <c r="B345" s="138"/>
      <c r="C345" s="168"/>
      <c r="D345" s="195"/>
      <c r="E345" s="205"/>
      <c r="F345" s="122"/>
      <c r="G345" s="166"/>
      <c r="H345" s="22"/>
      <c r="I345" s="123"/>
      <c r="J345" s="11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</row>
    <row r="346" ht="16.5" customHeight="1">
      <c r="A346" s="107"/>
      <c r="B346" s="138"/>
      <c r="C346" s="168"/>
      <c r="D346" s="195"/>
      <c r="E346" s="205"/>
      <c r="F346" s="122"/>
      <c r="G346" s="166"/>
      <c r="H346" s="22"/>
      <c r="I346" s="123"/>
      <c r="J346" s="11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</row>
    <row r="347" ht="16.5" customHeight="1">
      <c r="A347" s="107"/>
      <c r="B347" s="138"/>
      <c r="C347" s="168"/>
      <c r="D347" s="195"/>
      <c r="E347" s="205"/>
      <c r="F347" s="122"/>
      <c r="G347" s="166"/>
      <c r="H347" s="22"/>
      <c r="I347" s="123"/>
      <c r="J347" s="11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</row>
    <row r="348" ht="16.5" customHeight="1">
      <c r="A348" s="107"/>
      <c r="B348" s="138"/>
      <c r="C348" s="168"/>
      <c r="D348" s="195"/>
      <c r="E348" s="205"/>
      <c r="F348" s="122"/>
      <c r="G348" s="166"/>
      <c r="H348" s="22"/>
      <c r="I348" s="123"/>
      <c r="J348" s="11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</row>
    <row r="349" ht="16.5" customHeight="1">
      <c r="A349" s="107"/>
      <c r="B349" s="138"/>
      <c r="C349" s="168"/>
      <c r="D349" s="195"/>
      <c r="E349" s="205"/>
      <c r="F349" s="122"/>
      <c r="G349" s="166"/>
      <c r="H349" s="22"/>
      <c r="I349" s="123"/>
      <c r="J349" s="11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</row>
    <row r="350" ht="16.5" customHeight="1">
      <c r="A350" s="107"/>
      <c r="B350" s="138"/>
      <c r="C350" s="168"/>
      <c r="D350" s="195"/>
      <c r="E350" s="205"/>
      <c r="F350" s="122"/>
      <c r="G350" s="166"/>
      <c r="H350" s="22"/>
      <c r="I350" s="123"/>
      <c r="J350" s="11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</row>
    <row r="351" ht="16.5" customHeight="1">
      <c r="A351" s="107"/>
      <c r="B351" s="138"/>
      <c r="C351" s="168"/>
      <c r="D351" s="195"/>
      <c r="E351" s="205"/>
      <c r="F351" s="122"/>
      <c r="G351" s="166"/>
      <c r="H351" s="22"/>
      <c r="I351" s="123"/>
      <c r="J351" s="11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</row>
    <row r="352" ht="16.5" customHeight="1">
      <c r="A352" s="107"/>
      <c r="B352" s="138"/>
      <c r="C352" s="168"/>
      <c r="D352" s="195"/>
      <c r="E352" s="205"/>
      <c r="F352" s="122"/>
      <c r="G352" s="166"/>
      <c r="H352" s="22"/>
      <c r="I352" s="123"/>
      <c r="J352" s="11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</row>
    <row r="353" ht="16.5" customHeight="1">
      <c r="A353" s="107"/>
      <c r="B353" s="138"/>
      <c r="C353" s="168"/>
      <c r="D353" s="195"/>
      <c r="E353" s="205"/>
      <c r="F353" s="122"/>
      <c r="G353" s="166"/>
      <c r="H353" s="22"/>
      <c r="I353" s="123"/>
      <c r="J353" s="11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</row>
    <row r="354" ht="16.5" customHeight="1">
      <c r="A354" s="107"/>
      <c r="B354" s="138"/>
      <c r="C354" s="168"/>
      <c r="D354" s="195"/>
      <c r="E354" s="205"/>
      <c r="F354" s="122"/>
      <c r="G354" s="166"/>
      <c r="H354" s="22"/>
      <c r="I354" s="123"/>
      <c r="J354" s="11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</row>
    <row r="355" ht="16.5" customHeight="1">
      <c r="A355" s="107"/>
      <c r="B355" s="138"/>
      <c r="C355" s="168"/>
      <c r="D355" s="195"/>
      <c r="E355" s="205"/>
      <c r="F355" s="122"/>
      <c r="G355" s="166"/>
      <c r="H355" s="22"/>
      <c r="I355" s="123"/>
      <c r="J355" s="11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</row>
    <row r="356" ht="16.5" customHeight="1">
      <c r="A356" s="107"/>
      <c r="B356" s="138"/>
      <c r="C356" s="168"/>
      <c r="D356" s="195"/>
      <c r="E356" s="205"/>
      <c r="F356" s="122"/>
      <c r="G356" s="166"/>
      <c r="H356" s="22"/>
      <c r="I356" s="123"/>
      <c r="J356" s="11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</row>
    <row r="357" ht="16.5" customHeight="1">
      <c r="A357" s="107"/>
      <c r="B357" s="138"/>
      <c r="C357" s="168"/>
      <c r="D357" s="195"/>
      <c r="E357" s="205"/>
      <c r="F357" s="122"/>
      <c r="G357" s="166"/>
      <c r="H357" s="22"/>
      <c r="I357" s="123"/>
      <c r="J357" s="11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</row>
    <row r="358" ht="16.5" customHeight="1">
      <c r="A358" s="107"/>
      <c r="B358" s="138"/>
      <c r="C358" s="168"/>
      <c r="D358" s="195"/>
      <c r="E358" s="205"/>
      <c r="F358" s="122"/>
      <c r="G358" s="166"/>
      <c r="H358" s="22"/>
      <c r="I358" s="123"/>
      <c r="J358" s="11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</row>
    <row r="359" ht="16.5" customHeight="1">
      <c r="A359" s="107"/>
      <c r="B359" s="138"/>
      <c r="C359" s="168"/>
      <c r="D359" s="195"/>
      <c r="E359" s="205"/>
      <c r="F359" s="122"/>
      <c r="G359" s="166"/>
      <c r="H359" s="22"/>
      <c r="I359" s="123"/>
      <c r="J359" s="11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</row>
    <row r="360" ht="16.5" customHeight="1">
      <c r="A360" s="107"/>
      <c r="B360" s="138"/>
      <c r="C360" s="168"/>
      <c r="D360" s="195"/>
      <c r="E360" s="205"/>
      <c r="F360" s="122"/>
      <c r="G360" s="166"/>
      <c r="H360" s="22"/>
      <c r="I360" s="123"/>
      <c r="J360" s="11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</row>
    <row r="361" ht="16.5" customHeight="1">
      <c r="A361" s="107"/>
      <c r="B361" s="138"/>
      <c r="C361" s="168"/>
      <c r="D361" s="195"/>
      <c r="E361" s="205"/>
      <c r="F361" s="122"/>
      <c r="G361" s="166"/>
      <c r="H361" s="22"/>
      <c r="I361" s="123"/>
      <c r="J361" s="11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</row>
    <row r="362" ht="16.5" customHeight="1">
      <c r="A362" s="107"/>
      <c r="B362" s="138"/>
      <c r="C362" s="168"/>
      <c r="D362" s="195"/>
      <c r="E362" s="205"/>
      <c r="F362" s="122"/>
      <c r="G362" s="166"/>
      <c r="H362" s="22"/>
      <c r="I362" s="123"/>
      <c r="J362" s="11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</row>
    <row r="363" ht="16.5" customHeight="1">
      <c r="A363" s="107"/>
      <c r="B363" s="138"/>
      <c r="C363" s="168"/>
      <c r="D363" s="195"/>
      <c r="E363" s="205"/>
      <c r="F363" s="122"/>
      <c r="G363" s="166"/>
      <c r="H363" s="22"/>
      <c r="I363" s="123"/>
      <c r="J363" s="11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</row>
    <row r="364" ht="16.5" customHeight="1">
      <c r="A364" s="107"/>
      <c r="B364" s="138"/>
      <c r="C364" s="168"/>
      <c r="D364" s="195"/>
      <c r="E364" s="205"/>
      <c r="F364" s="122"/>
      <c r="G364" s="166"/>
      <c r="H364" s="22"/>
      <c r="I364" s="123"/>
      <c r="J364" s="11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</row>
    <row r="365" ht="16.5" customHeight="1">
      <c r="A365" s="107"/>
      <c r="B365" s="138"/>
      <c r="C365" s="168"/>
      <c r="D365" s="195"/>
      <c r="E365" s="205"/>
      <c r="F365" s="122"/>
      <c r="G365" s="166"/>
      <c r="H365" s="22"/>
      <c r="I365" s="123"/>
      <c r="J365" s="11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</row>
    <row r="366" ht="16.5" customHeight="1">
      <c r="A366" s="107"/>
      <c r="B366" s="138"/>
      <c r="C366" s="168"/>
      <c r="D366" s="195"/>
      <c r="E366" s="205"/>
      <c r="F366" s="122"/>
      <c r="G366" s="166"/>
      <c r="H366" s="22"/>
      <c r="I366" s="123"/>
      <c r="J366" s="11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</row>
    <row r="367" ht="16.5" customHeight="1">
      <c r="A367" s="107"/>
      <c r="B367" s="138"/>
      <c r="C367" s="168"/>
      <c r="D367" s="195"/>
      <c r="E367" s="205"/>
      <c r="F367" s="122"/>
      <c r="G367" s="166"/>
      <c r="H367" s="22"/>
      <c r="I367" s="123"/>
      <c r="J367" s="11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</row>
    <row r="368" ht="16.5" customHeight="1">
      <c r="A368" s="107"/>
      <c r="B368" s="138"/>
      <c r="C368" s="168"/>
      <c r="D368" s="195"/>
      <c r="E368" s="205"/>
      <c r="F368" s="122"/>
      <c r="G368" s="166"/>
      <c r="H368" s="22"/>
      <c r="I368" s="123"/>
      <c r="J368" s="11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</row>
    <row r="369" ht="16.5" customHeight="1">
      <c r="A369" s="107"/>
      <c r="B369" s="138"/>
      <c r="C369" s="168"/>
      <c r="D369" s="195"/>
      <c r="E369" s="205"/>
      <c r="F369" s="122"/>
      <c r="G369" s="166"/>
      <c r="H369" s="22"/>
      <c r="I369" s="123"/>
      <c r="J369" s="11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</row>
    <row r="370" ht="16.5" customHeight="1">
      <c r="A370" s="107"/>
      <c r="B370" s="138"/>
      <c r="C370" s="168"/>
      <c r="D370" s="195"/>
      <c r="E370" s="205"/>
      <c r="F370" s="122"/>
      <c r="G370" s="166"/>
      <c r="H370" s="22"/>
      <c r="I370" s="123"/>
      <c r="J370" s="11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</row>
    <row r="371" ht="16.5" customHeight="1">
      <c r="A371" s="107"/>
      <c r="B371" s="138"/>
      <c r="C371" s="168"/>
      <c r="D371" s="195"/>
      <c r="E371" s="205"/>
      <c r="F371" s="122"/>
      <c r="G371" s="166"/>
      <c r="H371" s="22"/>
      <c r="I371" s="123"/>
      <c r="J371" s="11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</row>
    <row r="372" ht="16.5" customHeight="1">
      <c r="A372" s="107"/>
      <c r="B372" s="138"/>
      <c r="C372" s="168"/>
      <c r="D372" s="195"/>
      <c r="E372" s="205"/>
      <c r="F372" s="122"/>
      <c r="G372" s="166"/>
      <c r="H372" s="22"/>
      <c r="I372" s="123"/>
      <c r="J372" s="11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</row>
    <row r="373" ht="16.5" customHeight="1">
      <c r="A373" s="107"/>
      <c r="B373" s="138"/>
      <c r="C373" s="168"/>
      <c r="D373" s="195"/>
      <c r="E373" s="205"/>
      <c r="F373" s="122"/>
      <c r="G373" s="166"/>
      <c r="H373" s="22"/>
      <c r="I373" s="123"/>
      <c r="J373" s="11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</row>
    <row r="374" ht="16.5" customHeight="1">
      <c r="A374" s="107"/>
      <c r="B374" s="138"/>
      <c r="C374" s="168"/>
      <c r="D374" s="195"/>
      <c r="E374" s="205"/>
      <c r="F374" s="122"/>
      <c r="G374" s="166"/>
      <c r="H374" s="22"/>
      <c r="I374" s="123"/>
      <c r="J374" s="11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</row>
    <row r="375" ht="16.5" customHeight="1">
      <c r="A375" s="107"/>
      <c r="B375" s="138"/>
      <c r="C375" s="168"/>
      <c r="D375" s="195"/>
      <c r="E375" s="205"/>
      <c r="F375" s="122"/>
      <c r="G375" s="166"/>
      <c r="H375" s="22"/>
      <c r="I375" s="123"/>
      <c r="J375" s="11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</row>
    <row r="376" ht="16.5" customHeight="1">
      <c r="A376" s="107"/>
      <c r="B376" s="138"/>
      <c r="C376" s="168"/>
      <c r="D376" s="195"/>
      <c r="E376" s="205"/>
      <c r="F376" s="122"/>
      <c r="G376" s="166"/>
      <c r="H376" s="22"/>
      <c r="I376" s="123"/>
      <c r="J376" s="11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</row>
    <row r="377" ht="16.5" customHeight="1">
      <c r="A377" s="107"/>
      <c r="B377" s="138"/>
      <c r="C377" s="168"/>
      <c r="D377" s="195"/>
      <c r="E377" s="205"/>
      <c r="F377" s="122"/>
      <c r="G377" s="166"/>
      <c r="H377" s="22"/>
      <c r="I377" s="123"/>
      <c r="J377" s="11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</row>
    <row r="378" ht="16.5" customHeight="1">
      <c r="A378" s="107"/>
      <c r="B378" s="138"/>
      <c r="C378" s="168"/>
      <c r="D378" s="195"/>
      <c r="E378" s="205"/>
      <c r="F378" s="122"/>
      <c r="G378" s="166"/>
      <c r="H378" s="22"/>
      <c r="I378" s="123"/>
      <c r="J378" s="11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</row>
    <row r="379" ht="16.5" customHeight="1">
      <c r="A379" s="107"/>
      <c r="B379" s="138"/>
      <c r="C379" s="168"/>
      <c r="D379" s="195"/>
      <c r="E379" s="205"/>
      <c r="F379" s="122"/>
      <c r="G379" s="166"/>
      <c r="H379" s="22"/>
      <c r="I379" s="123"/>
      <c r="J379" s="11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</row>
    <row r="380" ht="16.5" customHeight="1">
      <c r="A380" s="107"/>
      <c r="B380" s="138"/>
      <c r="C380" s="168"/>
      <c r="D380" s="195"/>
      <c r="E380" s="205"/>
      <c r="F380" s="122"/>
      <c r="G380" s="166"/>
      <c r="H380" s="22"/>
      <c r="I380" s="123"/>
      <c r="J380" s="11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</row>
    <row r="381" ht="16.5" customHeight="1">
      <c r="A381" s="107"/>
      <c r="B381" s="138"/>
      <c r="C381" s="168"/>
      <c r="D381" s="195"/>
      <c r="E381" s="205"/>
      <c r="F381" s="122"/>
      <c r="G381" s="166"/>
      <c r="H381" s="22"/>
      <c r="I381" s="123"/>
      <c r="J381" s="11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</row>
    <row r="382" ht="16.5" customHeight="1">
      <c r="A382" s="107"/>
      <c r="B382" s="138"/>
      <c r="C382" s="168"/>
      <c r="D382" s="195"/>
      <c r="E382" s="205"/>
      <c r="F382" s="122"/>
      <c r="G382" s="166"/>
      <c r="H382" s="22"/>
      <c r="I382" s="123"/>
      <c r="J382" s="11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</row>
    <row r="383" ht="16.5" customHeight="1">
      <c r="A383" s="107"/>
      <c r="B383" s="138"/>
      <c r="C383" s="168"/>
      <c r="D383" s="195"/>
      <c r="E383" s="205"/>
      <c r="F383" s="122"/>
      <c r="G383" s="166"/>
      <c r="H383" s="22"/>
      <c r="I383" s="123"/>
      <c r="J383" s="11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</row>
    <row r="384" ht="16.5" customHeight="1">
      <c r="A384" s="107"/>
      <c r="B384" s="138"/>
      <c r="C384" s="168"/>
      <c r="D384" s="195"/>
      <c r="E384" s="205"/>
      <c r="F384" s="122"/>
      <c r="G384" s="166"/>
      <c r="H384" s="22"/>
      <c r="I384" s="123"/>
      <c r="J384" s="11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</row>
    <row r="385" ht="16.5" customHeight="1">
      <c r="A385" s="107"/>
      <c r="B385" s="138"/>
      <c r="C385" s="168"/>
      <c r="D385" s="195"/>
      <c r="E385" s="205"/>
      <c r="F385" s="122"/>
      <c r="G385" s="166"/>
      <c r="H385" s="22"/>
      <c r="I385" s="123"/>
      <c r="J385" s="11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</row>
    <row r="386" ht="16.5" customHeight="1">
      <c r="A386" s="107"/>
      <c r="B386" s="138"/>
      <c r="C386" s="168"/>
      <c r="D386" s="195"/>
      <c r="E386" s="205"/>
      <c r="F386" s="122"/>
      <c r="G386" s="166"/>
      <c r="H386" s="22"/>
      <c r="I386" s="123"/>
      <c r="J386" s="11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</row>
    <row r="387" ht="16.5" customHeight="1">
      <c r="A387" s="107"/>
      <c r="B387" s="138"/>
      <c r="C387" s="168"/>
      <c r="D387" s="195"/>
      <c r="E387" s="205"/>
      <c r="F387" s="122"/>
      <c r="G387" s="166"/>
      <c r="H387" s="22"/>
      <c r="I387" s="123"/>
      <c r="J387" s="11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</row>
    <row r="388" ht="16.5" customHeight="1">
      <c r="A388" s="107"/>
      <c r="B388" s="138"/>
      <c r="C388" s="168"/>
      <c r="D388" s="195"/>
      <c r="E388" s="205"/>
      <c r="F388" s="122"/>
      <c r="G388" s="166"/>
      <c r="H388" s="22"/>
      <c r="I388" s="123"/>
      <c r="J388" s="11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</row>
    <row r="389" ht="16.5" customHeight="1">
      <c r="A389" s="107"/>
      <c r="B389" s="138"/>
      <c r="C389" s="168"/>
      <c r="D389" s="195"/>
      <c r="E389" s="205"/>
      <c r="F389" s="122"/>
      <c r="G389" s="166"/>
      <c r="H389" s="22"/>
      <c r="I389" s="123"/>
      <c r="J389" s="11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</row>
    <row r="390" ht="16.5" customHeight="1">
      <c r="A390" s="107"/>
      <c r="B390" s="138"/>
      <c r="C390" s="168"/>
      <c r="D390" s="195"/>
      <c r="E390" s="205"/>
      <c r="F390" s="122"/>
      <c r="G390" s="166"/>
      <c r="H390" s="22"/>
      <c r="I390" s="123"/>
      <c r="J390" s="11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</row>
    <row r="391" ht="16.5" customHeight="1">
      <c r="A391" s="107"/>
      <c r="B391" s="138"/>
      <c r="C391" s="168"/>
      <c r="D391" s="195"/>
      <c r="E391" s="205"/>
      <c r="F391" s="122"/>
      <c r="G391" s="166"/>
      <c r="H391" s="22"/>
      <c r="I391" s="123"/>
      <c r="J391" s="11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</row>
    <row r="392" ht="16.5" customHeight="1">
      <c r="A392" s="107"/>
      <c r="B392" s="138"/>
      <c r="C392" s="168"/>
      <c r="D392" s="195"/>
      <c r="E392" s="205"/>
      <c r="F392" s="122"/>
      <c r="G392" s="166"/>
      <c r="H392" s="22"/>
      <c r="I392" s="123"/>
      <c r="J392" s="11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</row>
    <row r="393" ht="16.5" customHeight="1">
      <c r="A393" s="107"/>
      <c r="B393" s="138"/>
      <c r="C393" s="168"/>
      <c r="D393" s="195"/>
      <c r="E393" s="205"/>
      <c r="F393" s="122"/>
      <c r="G393" s="166"/>
      <c r="H393" s="22"/>
      <c r="I393" s="123"/>
      <c r="J393" s="11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</row>
    <row r="394" ht="16.5" customHeight="1">
      <c r="A394" s="107"/>
      <c r="B394" s="138"/>
      <c r="C394" s="168"/>
      <c r="D394" s="195"/>
      <c r="E394" s="205"/>
      <c r="F394" s="122"/>
      <c r="G394" s="166"/>
      <c r="H394" s="22"/>
      <c r="I394" s="123"/>
      <c r="J394" s="11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</row>
    <row r="395" ht="16.5" customHeight="1">
      <c r="A395" s="107"/>
      <c r="B395" s="138"/>
      <c r="C395" s="168"/>
      <c r="D395" s="195"/>
      <c r="E395" s="205"/>
      <c r="F395" s="122"/>
      <c r="G395" s="166"/>
      <c r="H395" s="22"/>
      <c r="I395" s="123"/>
      <c r="J395" s="11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</row>
    <row r="396" ht="16.5" customHeight="1">
      <c r="A396" s="107"/>
      <c r="B396" s="138"/>
      <c r="C396" s="168"/>
      <c r="D396" s="195"/>
      <c r="E396" s="205"/>
      <c r="F396" s="122"/>
      <c r="G396" s="166"/>
      <c r="H396" s="22"/>
      <c r="I396" s="123"/>
      <c r="J396" s="11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</row>
    <row r="397" ht="16.5" customHeight="1">
      <c r="A397" s="107"/>
      <c r="B397" s="138"/>
      <c r="C397" s="168"/>
      <c r="D397" s="195"/>
      <c r="E397" s="205"/>
      <c r="F397" s="122"/>
      <c r="G397" s="166"/>
      <c r="H397" s="22"/>
      <c r="I397" s="123"/>
      <c r="J397" s="11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</row>
    <row r="398" ht="16.5" customHeight="1">
      <c r="A398" s="107"/>
      <c r="B398" s="138"/>
      <c r="C398" s="168"/>
      <c r="D398" s="195"/>
      <c r="E398" s="205"/>
      <c r="F398" s="122"/>
      <c r="G398" s="166"/>
      <c r="H398" s="22"/>
      <c r="I398" s="123"/>
      <c r="J398" s="11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</row>
    <row r="399" ht="16.5" customHeight="1">
      <c r="A399" s="107"/>
      <c r="B399" s="138"/>
      <c r="C399" s="168"/>
      <c r="D399" s="195"/>
      <c r="E399" s="205"/>
      <c r="F399" s="122"/>
      <c r="G399" s="166"/>
      <c r="H399" s="22"/>
      <c r="I399" s="123"/>
      <c r="J399" s="11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</row>
    <row r="400" ht="16.5" customHeight="1">
      <c r="A400" s="107"/>
      <c r="B400" s="138"/>
      <c r="C400" s="168"/>
      <c r="D400" s="195"/>
      <c r="E400" s="205"/>
      <c r="F400" s="122"/>
      <c r="G400" s="166"/>
      <c r="H400" s="22"/>
      <c r="I400" s="123"/>
      <c r="J400" s="11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</row>
    <row r="401" ht="16.5" customHeight="1">
      <c r="A401" s="107"/>
      <c r="B401" s="138"/>
      <c r="C401" s="168"/>
      <c r="D401" s="195"/>
      <c r="E401" s="205"/>
      <c r="F401" s="122"/>
      <c r="G401" s="166"/>
      <c r="H401" s="22"/>
      <c r="I401" s="123"/>
      <c r="J401" s="11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</row>
    <row r="402" ht="16.5" customHeight="1">
      <c r="A402" s="107"/>
      <c r="B402" s="138"/>
      <c r="C402" s="168"/>
      <c r="D402" s="195"/>
      <c r="E402" s="205"/>
      <c r="F402" s="122"/>
      <c r="G402" s="166"/>
      <c r="H402" s="22"/>
      <c r="I402" s="123"/>
      <c r="J402" s="11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</row>
    <row r="403" ht="16.5" customHeight="1">
      <c r="A403" s="107"/>
      <c r="B403" s="138"/>
      <c r="C403" s="168"/>
      <c r="D403" s="195"/>
      <c r="E403" s="205"/>
      <c r="F403" s="122"/>
      <c r="G403" s="166"/>
      <c r="H403" s="22"/>
      <c r="I403" s="123"/>
      <c r="J403" s="11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</row>
    <row r="404" ht="16.5" customHeight="1">
      <c r="A404" s="107"/>
      <c r="B404" s="138"/>
      <c r="C404" s="168"/>
      <c r="D404" s="195"/>
      <c r="E404" s="205"/>
      <c r="F404" s="122"/>
      <c r="G404" s="166"/>
      <c r="H404" s="22"/>
      <c r="I404" s="123"/>
      <c r="J404" s="11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</row>
    <row r="405" ht="16.5" customHeight="1">
      <c r="A405" s="107"/>
      <c r="B405" s="138"/>
      <c r="C405" s="168"/>
      <c r="D405" s="195"/>
      <c r="E405" s="205"/>
      <c r="F405" s="122"/>
      <c r="G405" s="166"/>
      <c r="H405" s="22"/>
      <c r="I405" s="123"/>
      <c r="J405" s="11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</row>
    <row r="406" ht="16.5" customHeight="1">
      <c r="A406" s="107"/>
      <c r="B406" s="138"/>
      <c r="C406" s="168"/>
      <c r="D406" s="195"/>
      <c r="E406" s="205"/>
      <c r="F406" s="122"/>
      <c r="G406" s="166"/>
      <c r="H406" s="22"/>
      <c r="I406" s="123"/>
      <c r="J406" s="11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</row>
    <row r="407" ht="16.5" customHeight="1">
      <c r="A407" s="107"/>
      <c r="B407" s="138"/>
      <c r="C407" s="168"/>
      <c r="D407" s="195"/>
      <c r="E407" s="205"/>
      <c r="F407" s="122"/>
      <c r="G407" s="166"/>
      <c r="H407" s="22"/>
      <c r="I407" s="123"/>
      <c r="J407" s="11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</row>
    <row r="408" ht="16.5" customHeight="1">
      <c r="A408" s="107"/>
      <c r="B408" s="138"/>
      <c r="C408" s="168"/>
      <c r="D408" s="195"/>
      <c r="E408" s="205"/>
      <c r="F408" s="122"/>
      <c r="G408" s="166"/>
      <c r="H408" s="22"/>
      <c r="I408" s="123"/>
      <c r="J408" s="11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</row>
    <row r="409" ht="16.5" customHeight="1">
      <c r="A409" s="107"/>
      <c r="B409" s="138"/>
      <c r="C409" s="168"/>
      <c r="D409" s="195"/>
      <c r="E409" s="205"/>
      <c r="F409" s="122"/>
      <c r="G409" s="166"/>
      <c r="H409" s="22"/>
      <c r="I409" s="123"/>
      <c r="J409" s="11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</row>
    <row r="410" ht="16.5" customHeight="1">
      <c r="A410" s="107"/>
      <c r="B410" s="138"/>
      <c r="C410" s="168"/>
      <c r="D410" s="195"/>
      <c r="E410" s="205"/>
      <c r="F410" s="122"/>
      <c r="G410" s="166"/>
      <c r="H410" s="22"/>
      <c r="I410" s="123"/>
      <c r="J410" s="11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</row>
    <row r="411" ht="16.5" customHeight="1">
      <c r="A411" s="107"/>
      <c r="B411" s="138"/>
      <c r="C411" s="168"/>
      <c r="D411" s="195"/>
      <c r="E411" s="205"/>
      <c r="F411" s="122"/>
      <c r="G411" s="166"/>
      <c r="H411" s="22"/>
      <c r="I411" s="123"/>
      <c r="J411" s="11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</row>
    <row r="412" ht="16.5" customHeight="1">
      <c r="A412" s="107"/>
      <c r="B412" s="138"/>
      <c r="C412" s="168"/>
      <c r="D412" s="195"/>
      <c r="E412" s="205"/>
      <c r="F412" s="122"/>
      <c r="G412" s="166"/>
      <c r="H412" s="22"/>
      <c r="I412" s="123"/>
      <c r="J412" s="11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</row>
    <row r="413" ht="16.5" customHeight="1">
      <c r="A413" s="107"/>
      <c r="B413" s="138"/>
      <c r="C413" s="168"/>
      <c r="D413" s="195"/>
      <c r="E413" s="205"/>
      <c r="F413" s="122"/>
      <c r="G413" s="166"/>
      <c r="H413" s="22"/>
      <c r="I413" s="123"/>
      <c r="J413" s="11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</row>
    <row r="414" ht="16.5" customHeight="1">
      <c r="A414" s="107"/>
      <c r="B414" s="138"/>
      <c r="C414" s="168"/>
      <c r="D414" s="195"/>
      <c r="E414" s="205"/>
      <c r="F414" s="122"/>
      <c r="G414" s="166"/>
      <c r="H414" s="22"/>
      <c r="I414" s="123"/>
      <c r="J414" s="11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</row>
    <row r="415" ht="16.5" customHeight="1">
      <c r="A415" s="107"/>
      <c r="B415" s="138"/>
      <c r="C415" s="168"/>
      <c r="D415" s="195"/>
      <c r="E415" s="205"/>
      <c r="F415" s="122"/>
      <c r="G415" s="166"/>
      <c r="H415" s="22"/>
      <c r="I415" s="123"/>
      <c r="J415" s="11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</row>
    <row r="416" ht="16.5" customHeight="1">
      <c r="A416" s="107"/>
      <c r="B416" s="138"/>
      <c r="C416" s="168"/>
      <c r="D416" s="195"/>
      <c r="E416" s="205"/>
      <c r="F416" s="122"/>
      <c r="G416" s="166"/>
      <c r="H416" s="22"/>
      <c r="I416" s="123"/>
      <c r="J416" s="11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</row>
    <row r="417" ht="16.5" customHeight="1">
      <c r="A417" s="107"/>
      <c r="B417" s="138"/>
      <c r="C417" s="168"/>
      <c r="D417" s="195"/>
      <c r="E417" s="205"/>
      <c r="F417" s="122"/>
      <c r="G417" s="166"/>
      <c r="H417" s="22"/>
      <c r="I417" s="123"/>
      <c r="J417" s="11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</row>
    <row r="418" ht="16.5" customHeight="1">
      <c r="A418" s="107"/>
      <c r="B418" s="138"/>
      <c r="C418" s="168"/>
      <c r="D418" s="195"/>
      <c r="E418" s="205"/>
      <c r="F418" s="122"/>
      <c r="G418" s="166"/>
      <c r="H418" s="22"/>
      <c r="I418" s="123"/>
      <c r="J418" s="11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</row>
    <row r="419" ht="16.5" customHeight="1">
      <c r="A419" s="107"/>
      <c r="B419" s="138"/>
      <c r="C419" s="168"/>
      <c r="D419" s="195"/>
      <c r="E419" s="205"/>
      <c r="F419" s="122"/>
      <c r="G419" s="166"/>
      <c r="H419" s="22"/>
      <c r="I419" s="123"/>
      <c r="J419" s="11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</row>
    <row r="420" ht="16.5" customHeight="1">
      <c r="A420" s="107"/>
      <c r="B420" s="138"/>
      <c r="C420" s="168"/>
      <c r="D420" s="195"/>
      <c r="E420" s="205"/>
      <c r="F420" s="122"/>
      <c r="G420" s="166"/>
      <c r="H420" s="22"/>
      <c r="I420" s="123"/>
      <c r="J420" s="11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</row>
    <row r="421" ht="16.5" customHeight="1">
      <c r="A421" s="107"/>
      <c r="B421" s="138"/>
      <c r="C421" s="168"/>
      <c r="D421" s="195"/>
      <c r="E421" s="205"/>
      <c r="F421" s="122"/>
      <c r="G421" s="166"/>
      <c r="H421" s="22"/>
      <c r="I421" s="123"/>
      <c r="J421" s="11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</row>
    <row r="422" ht="16.5" customHeight="1">
      <c r="A422" s="107"/>
      <c r="B422" s="138"/>
      <c r="C422" s="168"/>
      <c r="D422" s="195"/>
      <c r="E422" s="205"/>
      <c r="F422" s="122"/>
      <c r="G422" s="166"/>
      <c r="H422" s="22"/>
      <c r="I422" s="123"/>
      <c r="J422" s="11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</row>
    <row r="423" ht="16.5" customHeight="1">
      <c r="A423" s="107"/>
      <c r="B423" s="138"/>
      <c r="C423" s="168"/>
      <c r="D423" s="195"/>
      <c r="E423" s="205"/>
      <c r="F423" s="122"/>
      <c r="G423" s="166"/>
      <c r="H423" s="22"/>
      <c r="I423" s="123"/>
      <c r="J423" s="11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</row>
    <row r="424" ht="16.5" customHeight="1">
      <c r="A424" s="107"/>
      <c r="B424" s="138"/>
      <c r="C424" s="168"/>
      <c r="D424" s="195"/>
      <c r="E424" s="205"/>
      <c r="F424" s="122"/>
      <c r="G424" s="166"/>
      <c r="H424" s="22"/>
      <c r="I424" s="123"/>
      <c r="J424" s="11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</row>
    <row r="425" ht="16.5" customHeight="1">
      <c r="A425" s="107"/>
      <c r="B425" s="138"/>
      <c r="C425" s="168"/>
      <c r="D425" s="195"/>
      <c r="E425" s="205"/>
      <c r="F425" s="122"/>
      <c r="G425" s="166"/>
      <c r="H425" s="22"/>
      <c r="I425" s="123"/>
      <c r="J425" s="11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</row>
    <row r="426" ht="16.5" customHeight="1">
      <c r="A426" s="107"/>
      <c r="B426" s="138"/>
      <c r="C426" s="168"/>
      <c r="D426" s="195"/>
      <c r="E426" s="205"/>
      <c r="F426" s="122"/>
      <c r="G426" s="166"/>
      <c r="H426" s="22"/>
      <c r="I426" s="123"/>
      <c r="J426" s="11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</row>
    <row r="427" ht="16.5" customHeight="1">
      <c r="A427" s="107"/>
      <c r="B427" s="138"/>
      <c r="C427" s="168"/>
      <c r="D427" s="195"/>
      <c r="E427" s="205"/>
      <c r="F427" s="122"/>
      <c r="G427" s="166"/>
      <c r="H427" s="22"/>
      <c r="I427" s="123"/>
      <c r="J427" s="11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</row>
    <row r="428" ht="16.5" customHeight="1">
      <c r="A428" s="107"/>
      <c r="B428" s="138"/>
      <c r="C428" s="168"/>
      <c r="D428" s="195"/>
      <c r="E428" s="205"/>
      <c r="F428" s="122"/>
      <c r="G428" s="166"/>
      <c r="H428" s="22"/>
      <c r="I428" s="123"/>
      <c r="J428" s="11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</row>
    <row r="429" ht="16.5" customHeight="1">
      <c r="A429" s="107"/>
      <c r="B429" s="138"/>
      <c r="C429" s="168"/>
      <c r="D429" s="195"/>
      <c r="E429" s="205"/>
      <c r="F429" s="122"/>
      <c r="G429" s="166"/>
      <c r="H429" s="22"/>
      <c r="I429" s="123"/>
      <c r="J429" s="11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</row>
    <row r="430" ht="16.5" customHeight="1">
      <c r="A430" s="107"/>
      <c r="B430" s="138"/>
      <c r="C430" s="168"/>
      <c r="D430" s="195"/>
      <c r="E430" s="205"/>
      <c r="F430" s="122"/>
      <c r="G430" s="166"/>
      <c r="H430" s="22"/>
      <c r="I430" s="123"/>
      <c r="J430" s="11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</row>
    <row r="431" ht="16.5" customHeight="1">
      <c r="A431" s="107"/>
      <c r="B431" s="138"/>
      <c r="C431" s="168"/>
      <c r="D431" s="195"/>
      <c r="E431" s="205"/>
      <c r="F431" s="122"/>
      <c r="G431" s="166"/>
      <c r="H431" s="22"/>
      <c r="I431" s="123"/>
      <c r="J431" s="11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</row>
    <row r="432" ht="16.5" customHeight="1">
      <c r="A432" s="107"/>
      <c r="B432" s="138"/>
      <c r="C432" s="168"/>
      <c r="D432" s="195"/>
      <c r="E432" s="205"/>
      <c r="F432" s="122"/>
      <c r="G432" s="166"/>
      <c r="H432" s="22"/>
      <c r="I432" s="123"/>
      <c r="J432" s="11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</row>
    <row r="433" ht="16.5" customHeight="1">
      <c r="A433" s="107"/>
      <c r="B433" s="138"/>
      <c r="C433" s="168"/>
      <c r="D433" s="195"/>
      <c r="E433" s="205"/>
      <c r="F433" s="122"/>
      <c r="G433" s="166"/>
      <c r="H433" s="22"/>
      <c r="I433" s="123"/>
      <c r="J433" s="11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</row>
    <row r="434" ht="16.5" customHeight="1">
      <c r="A434" s="107"/>
      <c r="B434" s="138"/>
      <c r="C434" s="168"/>
      <c r="D434" s="195"/>
      <c r="E434" s="205"/>
      <c r="F434" s="122"/>
      <c r="G434" s="166"/>
      <c r="H434" s="22"/>
      <c r="I434" s="123"/>
      <c r="J434" s="11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</row>
    <row r="435" ht="16.5" customHeight="1">
      <c r="A435" s="107"/>
      <c r="B435" s="138"/>
      <c r="C435" s="168"/>
      <c r="D435" s="195"/>
      <c r="E435" s="205"/>
      <c r="F435" s="122"/>
      <c r="G435" s="166"/>
      <c r="H435" s="22"/>
      <c r="I435" s="123"/>
      <c r="J435" s="11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</row>
    <row r="436" ht="16.5" customHeight="1">
      <c r="A436" s="107"/>
      <c r="B436" s="138"/>
      <c r="C436" s="168"/>
      <c r="D436" s="195"/>
      <c r="E436" s="205"/>
      <c r="F436" s="122"/>
      <c r="G436" s="166"/>
      <c r="H436" s="22"/>
      <c r="I436" s="123"/>
      <c r="J436" s="11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</row>
    <row r="437" ht="16.5" customHeight="1">
      <c r="A437" s="107"/>
      <c r="B437" s="138"/>
      <c r="C437" s="168"/>
      <c r="D437" s="195"/>
      <c r="E437" s="205"/>
      <c r="F437" s="122"/>
      <c r="G437" s="166"/>
      <c r="H437" s="22"/>
      <c r="I437" s="123"/>
      <c r="J437" s="11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</row>
    <row r="438" ht="16.5" customHeight="1">
      <c r="A438" s="107"/>
      <c r="B438" s="138"/>
      <c r="C438" s="168"/>
      <c r="D438" s="195"/>
      <c r="E438" s="205"/>
      <c r="F438" s="122"/>
      <c r="G438" s="166"/>
      <c r="H438" s="22"/>
      <c r="I438" s="123"/>
      <c r="J438" s="11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</row>
    <row r="439" ht="16.5" customHeight="1">
      <c r="A439" s="107"/>
      <c r="B439" s="138"/>
      <c r="C439" s="168"/>
      <c r="D439" s="195"/>
      <c r="E439" s="205"/>
      <c r="F439" s="122"/>
      <c r="G439" s="166"/>
      <c r="H439" s="22"/>
      <c r="I439" s="123"/>
      <c r="J439" s="11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</row>
    <row r="440" ht="16.5" customHeight="1">
      <c r="A440" s="107"/>
      <c r="B440" s="138"/>
      <c r="C440" s="168"/>
      <c r="D440" s="195"/>
      <c r="E440" s="205"/>
      <c r="F440" s="122"/>
      <c r="G440" s="166"/>
      <c r="H440" s="22"/>
      <c r="I440" s="123"/>
      <c r="J440" s="11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</row>
    <row r="441" ht="16.5" customHeight="1">
      <c r="A441" s="107"/>
      <c r="B441" s="138"/>
      <c r="C441" s="168"/>
      <c r="D441" s="195"/>
      <c r="E441" s="205"/>
      <c r="F441" s="122"/>
      <c r="G441" s="166"/>
      <c r="H441" s="22"/>
      <c r="I441" s="123"/>
      <c r="J441" s="11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</row>
    <row r="442" ht="16.5" customHeight="1">
      <c r="A442" s="107"/>
      <c r="B442" s="138"/>
      <c r="C442" s="168"/>
      <c r="D442" s="195"/>
      <c r="E442" s="205"/>
      <c r="F442" s="122"/>
      <c r="G442" s="166"/>
      <c r="H442" s="22"/>
      <c r="I442" s="123"/>
      <c r="J442" s="11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</row>
    <row r="443" ht="16.5" customHeight="1">
      <c r="A443" s="107"/>
      <c r="B443" s="138"/>
      <c r="C443" s="168"/>
      <c r="D443" s="195"/>
      <c r="E443" s="205"/>
      <c r="F443" s="122"/>
      <c r="G443" s="166"/>
      <c r="H443" s="22"/>
      <c r="I443" s="123"/>
      <c r="J443" s="11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</row>
    <row r="444" ht="16.5" customHeight="1">
      <c r="A444" s="107"/>
      <c r="B444" s="138"/>
      <c r="C444" s="168"/>
      <c r="D444" s="195"/>
      <c r="E444" s="205"/>
      <c r="F444" s="122"/>
      <c r="G444" s="166"/>
      <c r="H444" s="22"/>
      <c r="I444" s="123"/>
      <c r="J444" s="11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</row>
    <row r="445" ht="16.5" customHeight="1">
      <c r="A445" s="107"/>
      <c r="B445" s="138"/>
      <c r="C445" s="168"/>
      <c r="D445" s="195"/>
      <c r="E445" s="205"/>
      <c r="F445" s="122"/>
      <c r="G445" s="166"/>
      <c r="H445" s="22"/>
      <c r="I445" s="123"/>
      <c r="J445" s="11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</row>
    <row r="446" ht="16.5" customHeight="1">
      <c r="A446" s="107"/>
      <c r="B446" s="138"/>
      <c r="C446" s="168"/>
      <c r="D446" s="195"/>
      <c r="E446" s="205"/>
      <c r="F446" s="122"/>
      <c r="G446" s="166"/>
      <c r="H446" s="22"/>
      <c r="I446" s="123"/>
      <c r="J446" s="11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</row>
    <row r="447" ht="16.5" customHeight="1">
      <c r="A447" s="107"/>
      <c r="B447" s="138"/>
      <c r="C447" s="168"/>
      <c r="D447" s="195"/>
      <c r="E447" s="205"/>
      <c r="F447" s="122"/>
      <c r="G447" s="166"/>
      <c r="H447" s="22"/>
      <c r="I447" s="123"/>
      <c r="J447" s="11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</row>
    <row r="448" ht="16.5" customHeight="1">
      <c r="A448" s="107"/>
      <c r="B448" s="138"/>
      <c r="C448" s="168"/>
      <c r="D448" s="195"/>
      <c r="E448" s="205"/>
      <c r="F448" s="122"/>
      <c r="G448" s="166"/>
      <c r="H448" s="22"/>
      <c r="I448" s="123"/>
      <c r="J448" s="11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</row>
    <row r="449" ht="16.5" customHeight="1">
      <c r="A449" s="107"/>
      <c r="B449" s="138"/>
      <c r="C449" s="168"/>
      <c r="D449" s="195"/>
      <c r="E449" s="205"/>
      <c r="F449" s="122"/>
      <c r="G449" s="166"/>
      <c r="H449" s="22"/>
      <c r="I449" s="123"/>
      <c r="J449" s="11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</row>
    <row r="450" ht="16.5" customHeight="1">
      <c r="A450" s="107"/>
      <c r="B450" s="138"/>
      <c r="C450" s="168"/>
      <c r="D450" s="195"/>
      <c r="E450" s="205"/>
      <c r="F450" s="122"/>
      <c r="G450" s="166"/>
      <c r="H450" s="22"/>
      <c r="I450" s="123"/>
      <c r="J450" s="11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</row>
    <row r="451" ht="16.5" customHeight="1">
      <c r="A451" s="107"/>
      <c r="B451" s="138"/>
      <c r="C451" s="168"/>
      <c r="D451" s="195"/>
      <c r="E451" s="205"/>
      <c r="F451" s="122"/>
      <c r="G451" s="166"/>
      <c r="H451" s="22"/>
      <c r="I451" s="123"/>
      <c r="J451" s="11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</row>
    <row r="452" ht="16.5" customHeight="1">
      <c r="A452" s="107"/>
      <c r="B452" s="138"/>
      <c r="C452" s="168"/>
      <c r="D452" s="195"/>
      <c r="E452" s="205"/>
      <c r="F452" s="122"/>
      <c r="G452" s="166"/>
      <c r="H452" s="22"/>
      <c r="I452" s="123"/>
      <c r="J452" s="11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</row>
    <row r="453" ht="16.5" customHeight="1">
      <c r="A453" s="107"/>
      <c r="B453" s="138"/>
      <c r="C453" s="168"/>
      <c r="D453" s="195"/>
      <c r="E453" s="205"/>
      <c r="F453" s="122"/>
      <c r="G453" s="166"/>
      <c r="H453" s="22"/>
      <c r="I453" s="123"/>
      <c r="J453" s="11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</row>
    <row r="454" ht="16.5" customHeight="1">
      <c r="A454" s="107"/>
      <c r="B454" s="138"/>
      <c r="C454" s="168"/>
      <c r="D454" s="195"/>
      <c r="E454" s="205"/>
      <c r="F454" s="122"/>
      <c r="G454" s="166"/>
      <c r="H454" s="22"/>
      <c r="I454" s="123"/>
      <c r="J454" s="11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</row>
    <row r="455" ht="16.5" customHeight="1">
      <c r="A455" s="107"/>
      <c r="B455" s="138"/>
      <c r="C455" s="168"/>
      <c r="D455" s="195"/>
      <c r="E455" s="205"/>
      <c r="F455" s="122"/>
      <c r="G455" s="166"/>
      <c r="H455" s="22"/>
      <c r="I455" s="123"/>
      <c r="J455" s="11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</row>
    <row r="456" ht="16.5" customHeight="1">
      <c r="A456" s="107"/>
      <c r="B456" s="138"/>
      <c r="C456" s="168"/>
      <c r="D456" s="195"/>
      <c r="E456" s="205"/>
      <c r="F456" s="122"/>
      <c r="G456" s="166"/>
      <c r="H456" s="22"/>
      <c r="I456" s="123"/>
      <c r="J456" s="11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</row>
    <row r="457" ht="16.5" customHeight="1">
      <c r="A457" s="107"/>
      <c r="B457" s="138"/>
      <c r="C457" s="168"/>
      <c r="D457" s="195"/>
      <c r="E457" s="205"/>
      <c r="F457" s="122"/>
      <c r="G457" s="166"/>
      <c r="H457" s="22"/>
      <c r="I457" s="123"/>
      <c r="J457" s="11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</row>
    <row r="458" ht="16.5" customHeight="1">
      <c r="A458" s="107"/>
      <c r="B458" s="138"/>
      <c r="C458" s="168"/>
      <c r="D458" s="195"/>
      <c r="E458" s="205"/>
      <c r="F458" s="122"/>
      <c r="G458" s="166"/>
      <c r="H458" s="22"/>
      <c r="I458" s="123"/>
      <c r="J458" s="11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</row>
    <row r="459" ht="16.5" customHeight="1">
      <c r="A459" s="107"/>
      <c r="B459" s="138"/>
      <c r="C459" s="168"/>
      <c r="D459" s="195"/>
      <c r="E459" s="205"/>
      <c r="F459" s="122"/>
      <c r="G459" s="166"/>
      <c r="H459" s="22"/>
      <c r="I459" s="123"/>
      <c r="J459" s="11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</row>
    <row r="460" ht="16.5" customHeight="1">
      <c r="A460" s="107"/>
      <c r="B460" s="138"/>
      <c r="C460" s="168"/>
      <c r="D460" s="195"/>
      <c r="E460" s="205"/>
      <c r="F460" s="122"/>
      <c r="G460" s="166"/>
      <c r="H460" s="22"/>
      <c r="I460" s="123"/>
      <c r="J460" s="11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</row>
    <row r="461" ht="16.5" customHeight="1">
      <c r="A461" s="107"/>
      <c r="B461" s="138"/>
      <c r="C461" s="168"/>
      <c r="D461" s="195"/>
      <c r="E461" s="205"/>
      <c r="F461" s="122"/>
      <c r="G461" s="166"/>
      <c r="H461" s="22"/>
      <c r="I461" s="123"/>
      <c r="J461" s="11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</row>
    <row r="462" ht="16.5" customHeight="1">
      <c r="A462" s="107"/>
      <c r="B462" s="138"/>
      <c r="C462" s="168"/>
      <c r="D462" s="195"/>
      <c r="E462" s="205"/>
      <c r="F462" s="122"/>
      <c r="G462" s="166"/>
      <c r="H462" s="22"/>
      <c r="I462" s="123"/>
      <c r="J462" s="11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</row>
    <row r="463" ht="16.5" customHeight="1">
      <c r="A463" s="107"/>
      <c r="B463" s="138"/>
      <c r="C463" s="168"/>
      <c r="D463" s="195"/>
      <c r="E463" s="205"/>
      <c r="F463" s="122"/>
      <c r="G463" s="166"/>
      <c r="H463" s="22"/>
      <c r="I463" s="123"/>
      <c r="J463" s="11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</row>
    <row r="464" ht="16.5" customHeight="1">
      <c r="A464" s="107"/>
      <c r="B464" s="138"/>
      <c r="C464" s="168"/>
      <c r="D464" s="195"/>
      <c r="E464" s="205"/>
      <c r="F464" s="122"/>
      <c r="G464" s="166"/>
      <c r="H464" s="22"/>
      <c r="I464" s="123"/>
      <c r="J464" s="11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</row>
    <row r="465" ht="16.5" customHeight="1">
      <c r="A465" s="107"/>
      <c r="B465" s="138"/>
      <c r="C465" s="168"/>
      <c r="D465" s="195"/>
      <c r="E465" s="205"/>
      <c r="F465" s="122"/>
      <c r="G465" s="166"/>
      <c r="H465" s="22"/>
      <c r="I465" s="123"/>
      <c r="J465" s="11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</row>
    <row r="466" ht="16.5" customHeight="1">
      <c r="A466" s="107"/>
      <c r="B466" s="138"/>
      <c r="C466" s="168"/>
      <c r="D466" s="195"/>
      <c r="E466" s="205"/>
      <c r="F466" s="122"/>
      <c r="G466" s="166"/>
      <c r="H466" s="22"/>
      <c r="I466" s="123"/>
      <c r="J466" s="11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</row>
    <row r="467" ht="16.5" customHeight="1">
      <c r="A467" s="107"/>
      <c r="B467" s="138"/>
      <c r="C467" s="168"/>
      <c r="D467" s="195"/>
      <c r="E467" s="205"/>
      <c r="F467" s="122"/>
      <c r="G467" s="166"/>
      <c r="H467" s="22"/>
      <c r="I467" s="123"/>
      <c r="J467" s="11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</row>
    <row r="468" ht="16.5" customHeight="1">
      <c r="A468" s="107"/>
      <c r="B468" s="138"/>
      <c r="C468" s="168"/>
      <c r="D468" s="195"/>
      <c r="E468" s="205"/>
      <c r="F468" s="122"/>
      <c r="G468" s="166"/>
      <c r="H468" s="22"/>
      <c r="I468" s="123"/>
      <c r="J468" s="11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</row>
    <row r="469" ht="16.5" customHeight="1">
      <c r="A469" s="107"/>
      <c r="B469" s="138"/>
      <c r="C469" s="168"/>
      <c r="D469" s="195"/>
      <c r="E469" s="205"/>
      <c r="F469" s="122"/>
      <c r="G469" s="166"/>
      <c r="H469" s="22"/>
      <c r="I469" s="123"/>
      <c r="J469" s="11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</row>
    <row r="470" ht="16.5" customHeight="1">
      <c r="A470" s="107"/>
      <c r="B470" s="138"/>
      <c r="C470" s="168"/>
      <c r="D470" s="195"/>
      <c r="E470" s="205"/>
      <c r="F470" s="122"/>
      <c r="G470" s="166"/>
      <c r="H470" s="22"/>
      <c r="I470" s="123"/>
      <c r="J470" s="11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</row>
    <row r="471" ht="16.5" customHeight="1">
      <c r="A471" s="107"/>
      <c r="B471" s="138"/>
      <c r="C471" s="168"/>
      <c r="D471" s="195"/>
      <c r="E471" s="205"/>
      <c r="F471" s="122"/>
      <c r="G471" s="166"/>
      <c r="H471" s="22"/>
      <c r="I471" s="123"/>
      <c r="J471" s="11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</row>
    <row r="472" ht="16.5" customHeight="1">
      <c r="A472" s="107"/>
      <c r="B472" s="138"/>
      <c r="C472" s="168"/>
      <c r="D472" s="195"/>
      <c r="E472" s="205"/>
      <c r="F472" s="122"/>
      <c r="G472" s="166"/>
      <c r="H472" s="22"/>
      <c r="I472" s="123"/>
      <c r="J472" s="11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</row>
    <row r="473" ht="16.5" customHeight="1">
      <c r="A473" s="107"/>
      <c r="B473" s="138"/>
      <c r="C473" s="168"/>
      <c r="D473" s="195"/>
      <c r="E473" s="205"/>
      <c r="F473" s="122"/>
      <c r="G473" s="166"/>
      <c r="H473" s="22"/>
      <c r="I473" s="123"/>
      <c r="J473" s="11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</row>
    <row r="474" ht="16.5" customHeight="1">
      <c r="A474" s="107"/>
      <c r="B474" s="138"/>
      <c r="C474" s="168"/>
      <c r="D474" s="195"/>
      <c r="E474" s="205"/>
      <c r="F474" s="122"/>
      <c r="G474" s="166"/>
      <c r="H474" s="22"/>
      <c r="I474" s="123"/>
      <c r="J474" s="11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</row>
    <row r="475" ht="16.5" customHeight="1">
      <c r="A475" s="107"/>
      <c r="B475" s="138"/>
      <c r="C475" s="168"/>
      <c r="D475" s="195"/>
      <c r="E475" s="205"/>
      <c r="F475" s="122"/>
      <c r="G475" s="166"/>
      <c r="H475" s="22"/>
      <c r="I475" s="123"/>
      <c r="J475" s="11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</row>
    <row r="476" ht="16.5" customHeight="1">
      <c r="A476" s="107"/>
      <c r="B476" s="138"/>
      <c r="C476" s="168"/>
      <c r="D476" s="195"/>
      <c r="E476" s="205"/>
      <c r="F476" s="122"/>
      <c r="G476" s="166"/>
      <c r="H476" s="22"/>
      <c r="I476" s="123"/>
      <c r="J476" s="11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</row>
    <row r="477" ht="16.5" customHeight="1">
      <c r="A477" s="107"/>
      <c r="B477" s="138"/>
      <c r="C477" s="168"/>
      <c r="D477" s="195"/>
      <c r="E477" s="205"/>
      <c r="F477" s="122"/>
      <c r="G477" s="166"/>
      <c r="H477" s="22"/>
      <c r="I477" s="123"/>
      <c r="J477" s="11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</row>
    <row r="478" ht="16.5" customHeight="1">
      <c r="A478" s="107"/>
      <c r="B478" s="138"/>
      <c r="C478" s="168"/>
      <c r="D478" s="195"/>
      <c r="E478" s="205"/>
      <c r="F478" s="122"/>
      <c r="G478" s="166"/>
      <c r="H478" s="22"/>
      <c r="I478" s="123"/>
      <c r="J478" s="11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</row>
    <row r="479" ht="16.5" customHeight="1">
      <c r="A479" s="107"/>
      <c r="B479" s="138"/>
      <c r="C479" s="168"/>
      <c r="D479" s="195"/>
      <c r="E479" s="205"/>
      <c r="F479" s="122"/>
      <c r="G479" s="166"/>
      <c r="H479" s="22"/>
      <c r="I479" s="123"/>
      <c r="J479" s="11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</row>
    <row r="480" ht="16.5" customHeight="1">
      <c r="A480" s="107"/>
      <c r="B480" s="138"/>
      <c r="C480" s="168"/>
      <c r="D480" s="195"/>
      <c r="E480" s="205"/>
      <c r="F480" s="122"/>
      <c r="G480" s="166"/>
      <c r="H480" s="22"/>
      <c r="I480" s="123"/>
      <c r="J480" s="11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</row>
    <row r="481" ht="16.5" customHeight="1">
      <c r="A481" s="107"/>
      <c r="B481" s="138"/>
      <c r="C481" s="168"/>
      <c r="D481" s="195"/>
      <c r="E481" s="205"/>
      <c r="F481" s="122"/>
      <c r="G481" s="166"/>
      <c r="H481" s="22"/>
      <c r="I481" s="123"/>
      <c r="J481" s="11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</row>
    <row r="482" ht="16.5" customHeight="1">
      <c r="A482" s="107"/>
      <c r="B482" s="138"/>
      <c r="C482" s="168"/>
      <c r="D482" s="195"/>
      <c r="E482" s="205"/>
      <c r="F482" s="122"/>
      <c r="G482" s="166"/>
      <c r="H482" s="22"/>
      <c r="I482" s="123"/>
      <c r="J482" s="11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</row>
    <row r="483" ht="16.5" customHeight="1">
      <c r="A483" s="107"/>
      <c r="B483" s="138"/>
      <c r="C483" s="168"/>
      <c r="D483" s="195"/>
      <c r="E483" s="205"/>
      <c r="F483" s="122"/>
      <c r="G483" s="166"/>
      <c r="H483" s="22"/>
      <c r="I483" s="123"/>
      <c r="J483" s="11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</row>
    <row r="484" ht="16.5" customHeight="1">
      <c r="A484" s="107"/>
      <c r="B484" s="138"/>
      <c r="C484" s="168"/>
      <c r="D484" s="195"/>
      <c r="E484" s="205"/>
      <c r="F484" s="122"/>
      <c r="G484" s="166"/>
      <c r="H484" s="22"/>
      <c r="I484" s="123"/>
      <c r="J484" s="11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</row>
    <row r="485" ht="16.5" customHeight="1">
      <c r="A485" s="107"/>
      <c r="B485" s="138"/>
      <c r="C485" s="168"/>
      <c r="D485" s="195"/>
      <c r="E485" s="205"/>
      <c r="F485" s="122"/>
      <c r="G485" s="166"/>
      <c r="H485" s="22"/>
      <c r="I485" s="123"/>
      <c r="J485" s="11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</row>
    <row r="486" ht="16.5" customHeight="1">
      <c r="A486" s="107"/>
      <c r="B486" s="138"/>
      <c r="C486" s="168"/>
      <c r="D486" s="195"/>
      <c r="E486" s="205"/>
      <c r="F486" s="122"/>
      <c r="G486" s="166"/>
      <c r="H486" s="22"/>
      <c r="I486" s="123"/>
      <c r="J486" s="11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</row>
    <row r="487" ht="16.5" customHeight="1">
      <c r="A487" s="107"/>
      <c r="B487" s="138"/>
      <c r="C487" s="168"/>
      <c r="D487" s="195"/>
      <c r="E487" s="205"/>
      <c r="F487" s="122"/>
      <c r="G487" s="166"/>
      <c r="H487" s="22"/>
      <c r="I487" s="123"/>
      <c r="J487" s="11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</row>
    <row r="488" ht="16.5" customHeight="1">
      <c r="A488" s="107"/>
      <c r="B488" s="138"/>
      <c r="C488" s="168"/>
      <c r="D488" s="195"/>
      <c r="E488" s="205"/>
      <c r="F488" s="122"/>
      <c r="G488" s="166"/>
      <c r="H488" s="22"/>
      <c r="I488" s="123"/>
      <c r="J488" s="11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</row>
    <row r="489" ht="16.5" customHeight="1">
      <c r="A489" s="107"/>
      <c r="B489" s="138"/>
      <c r="C489" s="168"/>
      <c r="D489" s="195"/>
      <c r="E489" s="205"/>
      <c r="F489" s="122"/>
      <c r="G489" s="166"/>
      <c r="H489" s="22"/>
      <c r="I489" s="123"/>
      <c r="J489" s="11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</row>
    <row r="490" ht="16.5" customHeight="1">
      <c r="A490" s="107"/>
      <c r="B490" s="138"/>
      <c r="C490" s="168"/>
      <c r="D490" s="195"/>
      <c r="E490" s="205"/>
      <c r="F490" s="122"/>
      <c r="G490" s="166"/>
      <c r="H490" s="22"/>
      <c r="I490" s="123"/>
      <c r="J490" s="11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</row>
    <row r="491" ht="16.5" customHeight="1">
      <c r="A491" s="107"/>
      <c r="B491" s="138"/>
      <c r="C491" s="168"/>
      <c r="D491" s="195"/>
      <c r="E491" s="205"/>
      <c r="F491" s="122"/>
      <c r="G491" s="166"/>
      <c r="H491" s="22"/>
      <c r="I491" s="123"/>
      <c r="J491" s="11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</row>
    <row r="492" ht="16.5" customHeight="1">
      <c r="A492" s="107"/>
      <c r="B492" s="138"/>
      <c r="C492" s="168"/>
      <c r="D492" s="195"/>
      <c r="E492" s="205"/>
      <c r="F492" s="122"/>
      <c r="G492" s="166"/>
      <c r="H492" s="22"/>
      <c r="I492" s="123"/>
      <c r="J492" s="11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</row>
    <row r="493" ht="16.5" customHeight="1">
      <c r="A493" s="107"/>
      <c r="B493" s="138"/>
      <c r="C493" s="168"/>
      <c r="D493" s="195"/>
      <c r="E493" s="205"/>
      <c r="F493" s="122"/>
      <c r="G493" s="166"/>
      <c r="H493" s="22"/>
      <c r="I493" s="123"/>
      <c r="J493" s="11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</row>
    <row r="494" ht="16.5" customHeight="1">
      <c r="A494" s="107"/>
      <c r="B494" s="138"/>
      <c r="C494" s="168"/>
      <c r="D494" s="195"/>
      <c r="E494" s="205"/>
      <c r="F494" s="122"/>
      <c r="G494" s="166"/>
      <c r="H494" s="22"/>
      <c r="I494" s="123"/>
      <c r="J494" s="11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</row>
    <row r="495" ht="16.5" customHeight="1">
      <c r="A495" s="107"/>
      <c r="B495" s="138"/>
      <c r="C495" s="168"/>
      <c r="D495" s="195"/>
      <c r="E495" s="205"/>
      <c r="F495" s="122"/>
      <c r="G495" s="166"/>
      <c r="H495" s="22"/>
      <c r="I495" s="123"/>
      <c r="J495" s="11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</row>
    <row r="496" ht="16.5" customHeight="1">
      <c r="A496" s="107"/>
      <c r="B496" s="138"/>
      <c r="C496" s="168"/>
      <c r="D496" s="195"/>
      <c r="E496" s="205"/>
      <c r="F496" s="122"/>
      <c r="G496" s="166"/>
      <c r="H496" s="22"/>
      <c r="I496" s="123"/>
      <c r="J496" s="11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</row>
    <row r="497" ht="16.5" customHeight="1">
      <c r="A497" s="107"/>
      <c r="B497" s="138"/>
      <c r="C497" s="168"/>
      <c r="D497" s="195"/>
      <c r="E497" s="205"/>
      <c r="F497" s="122"/>
      <c r="G497" s="166"/>
      <c r="H497" s="22"/>
      <c r="I497" s="123"/>
      <c r="J497" s="11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</row>
    <row r="498" ht="16.5" customHeight="1">
      <c r="A498" s="107"/>
      <c r="B498" s="138"/>
      <c r="C498" s="168"/>
      <c r="D498" s="195"/>
      <c r="E498" s="205"/>
      <c r="F498" s="122"/>
      <c r="G498" s="166"/>
      <c r="H498" s="22"/>
      <c r="I498" s="123"/>
      <c r="J498" s="11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</row>
    <row r="499" ht="16.5" customHeight="1">
      <c r="A499" s="107"/>
      <c r="B499" s="138"/>
      <c r="C499" s="168"/>
      <c r="D499" s="195"/>
      <c r="E499" s="205"/>
      <c r="F499" s="122"/>
      <c r="G499" s="166"/>
      <c r="H499" s="22"/>
      <c r="I499" s="123"/>
      <c r="J499" s="11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</row>
    <row r="500" ht="16.5" customHeight="1">
      <c r="A500" s="107"/>
      <c r="B500" s="138"/>
      <c r="C500" s="168"/>
      <c r="D500" s="195"/>
      <c r="E500" s="205"/>
      <c r="F500" s="122"/>
      <c r="G500" s="166"/>
      <c r="H500" s="22"/>
      <c r="I500" s="123"/>
      <c r="J500" s="11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</row>
    <row r="501" ht="16.5" customHeight="1">
      <c r="A501" s="107"/>
      <c r="B501" s="138"/>
      <c r="C501" s="168"/>
      <c r="D501" s="195"/>
      <c r="E501" s="205"/>
      <c r="F501" s="122"/>
      <c r="G501" s="166"/>
      <c r="H501" s="22"/>
      <c r="I501" s="123"/>
      <c r="J501" s="11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</row>
    <row r="502" ht="16.5" customHeight="1">
      <c r="A502" s="107"/>
      <c r="B502" s="138"/>
      <c r="C502" s="168"/>
      <c r="D502" s="195"/>
      <c r="E502" s="205"/>
      <c r="F502" s="122"/>
      <c r="G502" s="166"/>
      <c r="H502" s="22"/>
      <c r="I502" s="123"/>
      <c r="J502" s="11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</row>
    <row r="503" ht="16.5" customHeight="1">
      <c r="A503" s="107"/>
      <c r="B503" s="138"/>
      <c r="C503" s="168"/>
      <c r="D503" s="195"/>
      <c r="E503" s="205"/>
      <c r="F503" s="122"/>
      <c r="G503" s="166"/>
      <c r="H503" s="22"/>
      <c r="I503" s="123"/>
      <c r="J503" s="11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</row>
    <row r="504" ht="16.5" customHeight="1">
      <c r="A504" s="107"/>
      <c r="B504" s="138"/>
      <c r="C504" s="168"/>
      <c r="D504" s="195"/>
      <c r="E504" s="205"/>
      <c r="F504" s="122"/>
      <c r="G504" s="166"/>
      <c r="H504" s="22"/>
      <c r="I504" s="123"/>
      <c r="J504" s="11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</row>
    <row r="505" ht="16.5" customHeight="1">
      <c r="A505" s="107"/>
      <c r="B505" s="138"/>
      <c r="C505" s="168"/>
      <c r="D505" s="195"/>
      <c r="E505" s="205"/>
      <c r="F505" s="122"/>
      <c r="G505" s="166"/>
      <c r="H505" s="22"/>
      <c r="I505" s="123"/>
      <c r="J505" s="11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</row>
    <row r="506" ht="16.5" customHeight="1">
      <c r="A506" s="107"/>
      <c r="B506" s="138"/>
      <c r="C506" s="168"/>
      <c r="D506" s="195"/>
      <c r="E506" s="205"/>
      <c r="F506" s="122"/>
      <c r="G506" s="166"/>
      <c r="H506" s="22"/>
      <c r="I506" s="123"/>
      <c r="J506" s="11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</row>
    <row r="507" ht="16.5" customHeight="1">
      <c r="A507" s="107"/>
      <c r="B507" s="138"/>
      <c r="C507" s="168"/>
      <c r="D507" s="195"/>
      <c r="E507" s="205"/>
      <c r="F507" s="122"/>
      <c r="G507" s="166"/>
      <c r="H507" s="22"/>
      <c r="I507" s="123"/>
      <c r="J507" s="11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</row>
    <row r="508" ht="16.5" customHeight="1">
      <c r="A508" s="107"/>
      <c r="B508" s="138"/>
      <c r="C508" s="168"/>
      <c r="D508" s="195"/>
      <c r="E508" s="205"/>
      <c r="F508" s="122"/>
      <c r="G508" s="166"/>
      <c r="H508" s="22"/>
      <c r="I508" s="123"/>
      <c r="J508" s="11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</row>
    <row r="509" ht="16.5" customHeight="1">
      <c r="A509" s="107"/>
      <c r="B509" s="138"/>
      <c r="C509" s="168"/>
      <c r="D509" s="195"/>
      <c r="E509" s="205"/>
      <c r="F509" s="122"/>
      <c r="G509" s="166"/>
      <c r="H509" s="22"/>
      <c r="I509" s="123"/>
      <c r="J509" s="11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</row>
    <row r="510" ht="16.5" customHeight="1">
      <c r="A510" s="107"/>
      <c r="B510" s="138"/>
      <c r="C510" s="168"/>
      <c r="D510" s="195"/>
      <c r="E510" s="205"/>
      <c r="F510" s="122"/>
      <c r="G510" s="166"/>
      <c r="H510" s="22"/>
      <c r="I510" s="123"/>
      <c r="J510" s="11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</row>
    <row r="511" ht="16.5" customHeight="1">
      <c r="A511" s="107"/>
      <c r="B511" s="138"/>
      <c r="C511" s="168"/>
      <c r="D511" s="195"/>
      <c r="E511" s="205"/>
      <c r="F511" s="122"/>
      <c r="G511" s="166"/>
      <c r="H511" s="22"/>
      <c r="I511" s="123"/>
      <c r="J511" s="11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</row>
    <row r="512" ht="16.5" customHeight="1">
      <c r="A512" s="107"/>
      <c r="B512" s="138"/>
      <c r="C512" s="168"/>
      <c r="D512" s="195"/>
      <c r="E512" s="205"/>
      <c r="F512" s="122"/>
      <c r="G512" s="166"/>
      <c r="H512" s="22"/>
      <c r="I512" s="123"/>
      <c r="J512" s="11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</row>
    <row r="513" ht="16.5" customHeight="1">
      <c r="A513" s="107"/>
      <c r="B513" s="138"/>
      <c r="C513" s="168"/>
      <c r="D513" s="195"/>
      <c r="E513" s="205"/>
      <c r="F513" s="122"/>
      <c r="G513" s="166"/>
      <c r="H513" s="22"/>
      <c r="I513" s="123"/>
      <c r="J513" s="11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</row>
    <row r="514" ht="16.5" customHeight="1">
      <c r="A514" s="107"/>
      <c r="B514" s="138"/>
      <c r="C514" s="168"/>
      <c r="D514" s="195"/>
      <c r="E514" s="205"/>
      <c r="F514" s="122"/>
      <c r="G514" s="166"/>
      <c r="H514" s="22"/>
      <c r="I514" s="123"/>
      <c r="J514" s="11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</row>
    <row r="515" ht="16.5" customHeight="1">
      <c r="A515" s="107"/>
      <c r="B515" s="138"/>
      <c r="C515" s="168"/>
      <c r="D515" s="195"/>
      <c r="E515" s="205"/>
      <c r="F515" s="122"/>
      <c r="G515" s="166"/>
      <c r="H515" s="22"/>
      <c r="I515" s="123"/>
      <c r="J515" s="11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</row>
    <row r="516" ht="16.5" customHeight="1">
      <c r="A516" s="107"/>
      <c r="B516" s="138"/>
      <c r="C516" s="168"/>
      <c r="D516" s="195"/>
      <c r="E516" s="205"/>
      <c r="F516" s="122"/>
      <c r="G516" s="166"/>
      <c r="H516" s="22"/>
      <c r="I516" s="123"/>
      <c r="J516" s="11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</row>
    <row r="517" ht="16.5" customHeight="1">
      <c r="A517" s="107"/>
      <c r="B517" s="138"/>
      <c r="C517" s="168"/>
      <c r="D517" s="195"/>
      <c r="E517" s="205"/>
      <c r="F517" s="122"/>
      <c r="G517" s="166"/>
      <c r="H517" s="22"/>
      <c r="I517" s="123"/>
      <c r="J517" s="11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</row>
    <row r="518" ht="16.5" customHeight="1">
      <c r="A518" s="107"/>
      <c r="B518" s="138"/>
      <c r="C518" s="168"/>
      <c r="D518" s="195"/>
      <c r="E518" s="205"/>
      <c r="F518" s="122"/>
      <c r="G518" s="166"/>
      <c r="H518" s="22"/>
      <c r="I518" s="123"/>
      <c r="J518" s="11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</row>
    <row r="519" ht="16.5" customHeight="1">
      <c r="A519" s="107"/>
      <c r="B519" s="138"/>
      <c r="C519" s="168"/>
      <c r="D519" s="195"/>
      <c r="E519" s="205"/>
      <c r="F519" s="122"/>
      <c r="G519" s="166"/>
      <c r="H519" s="22"/>
      <c r="I519" s="123"/>
      <c r="J519" s="11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</row>
    <row r="520" ht="16.5" customHeight="1">
      <c r="A520" s="107"/>
      <c r="B520" s="138"/>
      <c r="C520" s="168"/>
      <c r="D520" s="195"/>
      <c r="E520" s="205"/>
      <c r="F520" s="122"/>
      <c r="G520" s="166"/>
      <c r="H520" s="22"/>
      <c r="I520" s="123"/>
      <c r="J520" s="11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</row>
    <row r="521" ht="16.5" customHeight="1">
      <c r="A521" s="107"/>
      <c r="B521" s="138"/>
      <c r="C521" s="168"/>
      <c r="D521" s="195"/>
      <c r="E521" s="205"/>
      <c r="F521" s="122"/>
      <c r="G521" s="166"/>
      <c r="H521" s="22"/>
      <c r="I521" s="123"/>
      <c r="J521" s="11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</row>
    <row r="522" ht="16.5" customHeight="1">
      <c r="A522" s="107"/>
      <c r="B522" s="138"/>
      <c r="C522" s="168"/>
      <c r="D522" s="195"/>
      <c r="E522" s="205"/>
      <c r="F522" s="122"/>
      <c r="G522" s="166"/>
      <c r="H522" s="22"/>
      <c r="I522" s="123"/>
      <c r="J522" s="11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</row>
    <row r="523" ht="16.5" customHeight="1">
      <c r="A523" s="107"/>
      <c r="B523" s="138"/>
      <c r="C523" s="168"/>
      <c r="D523" s="195"/>
      <c r="E523" s="205"/>
      <c r="F523" s="122"/>
      <c r="G523" s="166"/>
      <c r="H523" s="22"/>
      <c r="I523" s="123"/>
      <c r="J523" s="11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</row>
    <row r="524" ht="16.5" customHeight="1">
      <c r="A524" s="107"/>
      <c r="B524" s="138"/>
      <c r="C524" s="168"/>
      <c r="D524" s="195"/>
      <c r="E524" s="205"/>
      <c r="F524" s="122"/>
      <c r="G524" s="166"/>
      <c r="H524" s="22"/>
      <c r="I524" s="123"/>
      <c r="J524" s="11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</row>
    <row r="525" ht="16.5" customHeight="1">
      <c r="A525" s="107"/>
      <c r="B525" s="138"/>
      <c r="C525" s="168"/>
      <c r="D525" s="195"/>
      <c r="E525" s="205"/>
      <c r="F525" s="122"/>
      <c r="G525" s="166"/>
      <c r="H525" s="22"/>
      <c r="I525" s="123"/>
      <c r="J525" s="11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</row>
    <row r="526" ht="16.5" customHeight="1">
      <c r="A526" s="107"/>
      <c r="B526" s="138"/>
      <c r="C526" s="168"/>
      <c r="D526" s="195"/>
      <c r="E526" s="205"/>
      <c r="F526" s="122"/>
      <c r="G526" s="166"/>
      <c r="H526" s="22"/>
      <c r="I526" s="123"/>
      <c r="J526" s="11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</row>
    <row r="527" ht="16.5" customHeight="1">
      <c r="A527" s="107"/>
      <c r="B527" s="138"/>
      <c r="C527" s="168"/>
      <c r="D527" s="195"/>
      <c r="E527" s="205"/>
      <c r="F527" s="122"/>
      <c r="G527" s="166"/>
      <c r="H527" s="22"/>
      <c r="I527" s="123"/>
      <c r="J527" s="11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</row>
    <row r="528" ht="16.5" customHeight="1">
      <c r="A528" s="107"/>
      <c r="B528" s="138"/>
      <c r="C528" s="168"/>
      <c r="D528" s="195"/>
      <c r="E528" s="205"/>
      <c r="F528" s="122"/>
      <c r="G528" s="166"/>
      <c r="H528" s="22"/>
      <c r="I528" s="123"/>
      <c r="J528" s="11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</row>
    <row r="529" ht="16.5" customHeight="1">
      <c r="A529" s="107"/>
      <c r="B529" s="138"/>
      <c r="C529" s="168"/>
      <c r="D529" s="195"/>
      <c r="E529" s="205"/>
      <c r="F529" s="122"/>
      <c r="G529" s="166"/>
      <c r="H529" s="22"/>
      <c r="I529" s="123"/>
      <c r="J529" s="11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</row>
    <row r="530" ht="16.5" customHeight="1">
      <c r="A530" s="107"/>
      <c r="B530" s="138"/>
      <c r="C530" s="168"/>
      <c r="D530" s="195"/>
      <c r="E530" s="205"/>
      <c r="F530" s="122"/>
      <c r="G530" s="166"/>
      <c r="H530" s="22"/>
      <c r="I530" s="123"/>
      <c r="J530" s="11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</row>
    <row r="531" ht="16.5" customHeight="1">
      <c r="A531" s="107"/>
      <c r="B531" s="138"/>
      <c r="C531" s="168"/>
      <c r="D531" s="195"/>
      <c r="E531" s="205"/>
      <c r="F531" s="122"/>
      <c r="G531" s="166"/>
      <c r="H531" s="22"/>
      <c r="I531" s="123"/>
      <c r="J531" s="11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</row>
    <row r="532" ht="16.5" customHeight="1">
      <c r="A532" s="107"/>
      <c r="B532" s="138"/>
      <c r="C532" s="168"/>
      <c r="D532" s="195"/>
      <c r="E532" s="205"/>
      <c r="F532" s="122"/>
      <c r="G532" s="166"/>
      <c r="H532" s="22"/>
      <c r="I532" s="123"/>
      <c r="J532" s="11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</row>
    <row r="533" ht="16.5" customHeight="1">
      <c r="A533" s="107"/>
      <c r="B533" s="138"/>
      <c r="C533" s="168"/>
      <c r="D533" s="195"/>
      <c r="E533" s="205"/>
      <c r="F533" s="122"/>
      <c r="G533" s="166"/>
      <c r="H533" s="22"/>
      <c r="I533" s="123"/>
      <c r="J533" s="11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</row>
    <row r="534" ht="16.5" customHeight="1">
      <c r="A534" s="107"/>
      <c r="B534" s="138"/>
      <c r="C534" s="168"/>
      <c r="D534" s="195"/>
      <c r="E534" s="205"/>
      <c r="F534" s="122"/>
      <c r="G534" s="166"/>
      <c r="H534" s="22"/>
      <c r="I534" s="123"/>
      <c r="J534" s="11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</row>
    <row r="535" ht="16.5" customHeight="1">
      <c r="A535" s="107"/>
      <c r="B535" s="138"/>
      <c r="C535" s="168"/>
      <c r="D535" s="195"/>
      <c r="E535" s="205"/>
      <c r="F535" s="122"/>
      <c r="G535" s="166"/>
      <c r="H535" s="22"/>
      <c r="I535" s="123"/>
      <c r="J535" s="11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</row>
    <row r="536" ht="16.5" customHeight="1">
      <c r="A536" s="107"/>
      <c r="B536" s="138"/>
      <c r="C536" s="168"/>
      <c r="D536" s="195"/>
      <c r="E536" s="205"/>
      <c r="F536" s="122"/>
      <c r="G536" s="166"/>
      <c r="H536" s="22"/>
      <c r="I536" s="123"/>
      <c r="J536" s="11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</row>
    <row r="537" ht="16.5" customHeight="1">
      <c r="A537" s="107"/>
      <c r="B537" s="138"/>
      <c r="C537" s="168"/>
      <c r="D537" s="195"/>
      <c r="E537" s="205"/>
      <c r="F537" s="122"/>
      <c r="G537" s="166"/>
      <c r="H537" s="22"/>
      <c r="I537" s="123"/>
      <c r="J537" s="11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</row>
    <row r="538" ht="16.5" customHeight="1">
      <c r="A538" s="107"/>
      <c r="B538" s="138"/>
      <c r="C538" s="168"/>
      <c r="D538" s="195"/>
      <c r="E538" s="205"/>
      <c r="F538" s="122"/>
      <c r="G538" s="166"/>
      <c r="H538" s="22"/>
      <c r="I538" s="123"/>
      <c r="J538" s="11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</row>
    <row r="539" ht="16.5" customHeight="1">
      <c r="A539" s="107"/>
      <c r="B539" s="138"/>
      <c r="C539" s="168"/>
      <c r="D539" s="195"/>
      <c r="E539" s="205"/>
      <c r="F539" s="122"/>
      <c r="G539" s="166"/>
      <c r="H539" s="22"/>
      <c r="I539" s="123"/>
      <c r="J539" s="11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</row>
    <row r="540" ht="16.5" customHeight="1">
      <c r="A540" s="107"/>
      <c r="B540" s="138"/>
      <c r="C540" s="168"/>
      <c r="D540" s="195"/>
      <c r="E540" s="205"/>
      <c r="F540" s="122"/>
      <c r="G540" s="166"/>
      <c r="H540" s="22"/>
      <c r="I540" s="123"/>
      <c r="J540" s="11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</row>
    <row r="541" ht="16.5" customHeight="1">
      <c r="A541" s="107"/>
      <c r="B541" s="138"/>
      <c r="C541" s="168"/>
      <c r="D541" s="195"/>
      <c r="E541" s="205"/>
      <c r="F541" s="122"/>
      <c r="G541" s="166"/>
      <c r="H541" s="22"/>
      <c r="I541" s="123"/>
      <c r="J541" s="11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</row>
    <row r="542" ht="16.5" customHeight="1">
      <c r="A542" s="107"/>
      <c r="B542" s="138"/>
      <c r="C542" s="168"/>
      <c r="D542" s="195"/>
      <c r="E542" s="205"/>
      <c r="F542" s="122"/>
      <c r="G542" s="166"/>
      <c r="H542" s="22"/>
      <c r="I542" s="123"/>
      <c r="J542" s="11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</row>
    <row r="543" ht="16.5" customHeight="1">
      <c r="A543" s="107"/>
      <c r="B543" s="138"/>
      <c r="C543" s="168"/>
      <c r="D543" s="195"/>
      <c r="E543" s="205"/>
      <c r="F543" s="122"/>
      <c r="G543" s="166"/>
      <c r="H543" s="22"/>
      <c r="I543" s="123"/>
      <c r="J543" s="11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</row>
    <row r="544" ht="16.5" customHeight="1">
      <c r="A544" s="107"/>
      <c r="B544" s="138"/>
      <c r="C544" s="168"/>
      <c r="D544" s="195"/>
      <c r="E544" s="205"/>
      <c r="F544" s="122"/>
      <c r="G544" s="166"/>
      <c r="H544" s="22"/>
      <c r="I544" s="123"/>
      <c r="J544" s="11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</row>
    <row r="545" ht="16.5" customHeight="1">
      <c r="A545" s="107"/>
      <c r="B545" s="138"/>
      <c r="C545" s="168"/>
      <c r="D545" s="195"/>
      <c r="E545" s="205"/>
      <c r="F545" s="122"/>
      <c r="G545" s="166"/>
      <c r="H545" s="22"/>
      <c r="I545" s="123"/>
      <c r="J545" s="11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</row>
    <row r="546" ht="16.5" customHeight="1">
      <c r="A546" s="107"/>
      <c r="B546" s="138"/>
      <c r="C546" s="168"/>
      <c r="D546" s="195"/>
      <c r="E546" s="205"/>
      <c r="F546" s="122"/>
      <c r="G546" s="166"/>
      <c r="H546" s="22"/>
      <c r="I546" s="123"/>
      <c r="J546" s="11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</row>
    <row r="547" ht="16.5" customHeight="1">
      <c r="A547" s="107"/>
      <c r="B547" s="138"/>
      <c r="C547" s="168"/>
      <c r="D547" s="195"/>
      <c r="E547" s="205"/>
      <c r="F547" s="122"/>
      <c r="G547" s="166"/>
      <c r="H547" s="22"/>
      <c r="I547" s="123"/>
      <c r="J547" s="11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</row>
    <row r="548" ht="16.5" customHeight="1">
      <c r="A548" s="107"/>
      <c r="B548" s="138"/>
      <c r="C548" s="168"/>
      <c r="D548" s="195"/>
      <c r="E548" s="205"/>
      <c r="F548" s="122"/>
      <c r="G548" s="166"/>
      <c r="H548" s="22"/>
      <c r="I548" s="123"/>
      <c r="J548" s="11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</row>
    <row r="549" ht="16.5" customHeight="1">
      <c r="A549" s="107"/>
      <c r="B549" s="138"/>
      <c r="C549" s="168"/>
      <c r="D549" s="195"/>
      <c r="E549" s="205"/>
      <c r="F549" s="122"/>
      <c r="G549" s="166"/>
      <c r="H549" s="22"/>
      <c r="I549" s="123"/>
      <c r="J549" s="11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</row>
    <row r="550" ht="16.5" customHeight="1">
      <c r="A550" s="107"/>
      <c r="B550" s="138"/>
      <c r="C550" s="168"/>
      <c r="D550" s="195"/>
      <c r="E550" s="205"/>
      <c r="F550" s="122"/>
      <c r="G550" s="166"/>
      <c r="H550" s="22"/>
      <c r="I550" s="123"/>
      <c r="J550" s="11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</row>
    <row r="551" ht="16.5" customHeight="1">
      <c r="A551" s="107"/>
      <c r="B551" s="138"/>
      <c r="C551" s="168"/>
      <c r="D551" s="195"/>
      <c r="E551" s="205"/>
      <c r="F551" s="122"/>
      <c r="G551" s="166"/>
      <c r="H551" s="22"/>
      <c r="I551" s="123"/>
      <c r="J551" s="11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</row>
    <row r="552" ht="16.5" customHeight="1">
      <c r="A552" s="107"/>
      <c r="B552" s="138"/>
      <c r="C552" s="168"/>
      <c r="D552" s="195"/>
      <c r="E552" s="205"/>
      <c r="F552" s="122"/>
      <c r="G552" s="166"/>
      <c r="H552" s="22"/>
      <c r="I552" s="123"/>
      <c r="J552" s="11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</row>
    <row r="553" ht="16.5" customHeight="1">
      <c r="A553" s="107"/>
      <c r="B553" s="138"/>
      <c r="C553" s="168"/>
      <c r="D553" s="195"/>
      <c r="E553" s="205"/>
      <c r="F553" s="122"/>
      <c r="G553" s="166"/>
      <c r="H553" s="22"/>
      <c r="I553" s="123"/>
      <c r="J553" s="11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</row>
    <row r="554" ht="16.5" customHeight="1">
      <c r="A554" s="107"/>
      <c r="B554" s="138"/>
      <c r="C554" s="168"/>
      <c r="D554" s="195"/>
      <c r="E554" s="205"/>
      <c r="F554" s="122"/>
      <c r="G554" s="166"/>
      <c r="H554" s="22"/>
      <c r="I554" s="123"/>
      <c r="J554" s="11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</row>
    <row r="555" ht="16.5" customHeight="1">
      <c r="A555" s="107"/>
      <c r="B555" s="138"/>
      <c r="C555" s="168"/>
      <c r="D555" s="195"/>
      <c r="E555" s="205"/>
      <c r="F555" s="122"/>
      <c r="G555" s="166"/>
      <c r="H555" s="22"/>
      <c r="I555" s="123"/>
      <c r="J555" s="11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</row>
    <row r="556" ht="16.5" customHeight="1">
      <c r="A556" s="107"/>
      <c r="B556" s="138"/>
      <c r="C556" s="168"/>
      <c r="D556" s="195"/>
      <c r="E556" s="205"/>
      <c r="F556" s="122"/>
      <c r="G556" s="166"/>
      <c r="H556" s="22"/>
      <c r="I556" s="123"/>
      <c r="J556" s="11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</row>
    <row r="557" ht="16.5" customHeight="1">
      <c r="A557" s="107"/>
      <c r="B557" s="138"/>
      <c r="C557" s="168"/>
      <c r="D557" s="195"/>
      <c r="E557" s="205"/>
      <c r="F557" s="122"/>
      <c r="G557" s="166"/>
      <c r="H557" s="22"/>
      <c r="I557" s="123"/>
      <c r="J557" s="11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</row>
    <row r="558" ht="16.5" customHeight="1">
      <c r="A558" s="107"/>
      <c r="B558" s="138"/>
      <c r="C558" s="168"/>
      <c r="D558" s="195"/>
      <c r="E558" s="205"/>
      <c r="F558" s="122"/>
      <c r="G558" s="166"/>
      <c r="H558" s="22"/>
      <c r="I558" s="123"/>
      <c r="J558" s="11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</row>
    <row r="559" ht="16.5" customHeight="1">
      <c r="A559" s="107"/>
      <c r="B559" s="138"/>
      <c r="C559" s="168"/>
      <c r="D559" s="195"/>
      <c r="E559" s="205"/>
      <c r="F559" s="122"/>
      <c r="G559" s="166"/>
      <c r="H559" s="22"/>
      <c r="I559" s="123"/>
      <c r="J559" s="11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</row>
    <row r="560" ht="16.5" customHeight="1">
      <c r="A560" s="107"/>
      <c r="B560" s="138"/>
      <c r="C560" s="168"/>
      <c r="D560" s="195"/>
      <c r="E560" s="205"/>
      <c r="F560" s="122"/>
      <c r="G560" s="166"/>
      <c r="H560" s="22"/>
      <c r="I560" s="123"/>
      <c r="J560" s="11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</row>
    <row r="561" ht="16.5" customHeight="1">
      <c r="A561" s="107"/>
      <c r="B561" s="138"/>
      <c r="C561" s="168"/>
      <c r="D561" s="195"/>
      <c r="E561" s="205"/>
      <c r="F561" s="122"/>
      <c r="G561" s="166"/>
      <c r="H561" s="22"/>
      <c r="I561" s="123"/>
      <c r="J561" s="11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</row>
    <row r="562" ht="16.5" customHeight="1">
      <c r="A562" s="107"/>
      <c r="B562" s="138"/>
      <c r="C562" s="168"/>
      <c r="D562" s="195"/>
      <c r="E562" s="205"/>
      <c r="F562" s="122"/>
      <c r="G562" s="166"/>
      <c r="H562" s="22"/>
      <c r="I562" s="123"/>
      <c r="J562" s="11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</row>
    <row r="563" ht="16.5" customHeight="1">
      <c r="A563" s="107"/>
      <c r="B563" s="138"/>
      <c r="C563" s="168"/>
      <c r="D563" s="195"/>
      <c r="E563" s="205"/>
      <c r="F563" s="122"/>
      <c r="G563" s="166"/>
      <c r="H563" s="22"/>
      <c r="I563" s="123"/>
      <c r="J563" s="11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</row>
    <row r="564" ht="16.5" customHeight="1">
      <c r="A564" s="107"/>
      <c r="B564" s="138"/>
      <c r="C564" s="168"/>
      <c r="D564" s="195"/>
      <c r="E564" s="205"/>
      <c r="F564" s="122"/>
      <c r="G564" s="166"/>
      <c r="H564" s="22"/>
      <c r="I564" s="123"/>
      <c r="J564" s="11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</row>
    <row r="565" ht="16.5" customHeight="1">
      <c r="A565" s="107"/>
      <c r="B565" s="138"/>
      <c r="C565" s="168"/>
      <c r="D565" s="195"/>
      <c r="E565" s="205"/>
      <c r="F565" s="122"/>
      <c r="G565" s="166"/>
      <c r="H565" s="22"/>
      <c r="I565" s="123"/>
      <c r="J565" s="11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</row>
    <row r="566" ht="16.5" customHeight="1">
      <c r="A566" s="107"/>
      <c r="B566" s="138"/>
      <c r="C566" s="168"/>
      <c r="D566" s="195"/>
      <c r="E566" s="205"/>
      <c r="F566" s="122"/>
      <c r="G566" s="166"/>
      <c r="H566" s="22"/>
      <c r="I566" s="123"/>
      <c r="J566" s="11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</row>
    <row r="567" ht="16.5" customHeight="1">
      <c r="A567" s="107"/>
      <c r="B567" s="138"/>
      <c r="C567" s="168"/>
      <c r="D567" s="195"/>
      <c r="E567" s="205"/>
      <c r="F567" s="122"/>
      <c r="G567" s="166"/>
      <c r="H567" s="22"/>
      <c r="I567" s="123"/>
      <c r="J567" s="11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</row>
    <row r="568" ht="16.5" customHeight="1">
      <c r="A568" s="107"/>
      <c r="B568" s="138"/>
      <c r="C568" s="168"/>
      <c r="D568" s="195"/>
      <c r="E568" s="205"/>
      <c r="F568" s="122"/>
      <c r="G568" s="166"/>
      <c r="H568" s="22"/>
      <c r="I568" s="123"/>
      <c r="J568" s="11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</row>
    <row r="569" ht="16.5" customHeight="1">
      <c r="A569" s="107"/>
      <c r="B569" s="138"/>
      <c r="C569" s="168"/>
      <c r="D569" s="195"/>
      <c r="E569" s="205"/>
      <c r="F569" s="122"/>
      <c r="G569" s="166"/>
      <c r="H569" s="22"/>
      <c r="I569" s="123"/>
      <c r="J569" s="11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</row>
    <row r="570" ht="16.5" customHeight="1">
      <c r="A570" s="107"/>
      <c r="B570" s="138"/>
      <c r="C570" s="168"/>
      <c r="D570" s="195"/>
      <c r="E570" s="205"/>
      <c r="F570" s="122"/>
      <c r="G570" s="166"/>
      <c r="H570" s="22"/>
      <c r="I570" s="123"/>
      <c r="J570" s="11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</row>
    <row r="571" ht="16.5" customHeight="1">
      <c r="A571" s="107"/>
      <c r="B571" s="138"/>
      <c r="C571" s="168"/>
      <c r="D571" s="195"/>
      <c r="E571" s="205"/>
      <c r="F571" s="122"/>
      <c r="G571" s="166"/>
      <c r="H571" s="22"/>
      <c r="I571" s="123"/>
      <c r="J571" s="11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</row>
    <row r="572" ht="16.5" customHeight="1">
      <c r="A572" s="107"/>
      <c r="B572" s="138"/>
      <c r="C572" s="168"/>
      <c r="D572" s="195"/>
      <c r="E572" s="205"/>
      <c r="F572" s="122"/>
      <c r="G572" s="166"/>
      <c r="H572" s="22"/>
      <c r="I572" s="123"/>
      <c r="J572" s="11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</row>
    <row r="573" ht="16.5" customHeight="1">
      <c r="A573" s="107"/>
      <c r="B573" s="138"/>
      <c r="C573" s="168"/>
      <c r="D573" s="195"/>
      <c r="E573" s="205"/>
      <c r="F573" s="122"/>
      <c r="G573" s="166"/>
      <c r="H573" s="22"/>
      <c r="I573" s="123"/>
      <c r="J573" s="11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</row>
    <row r="574" ht="16.5" customHeight="1">
      <c r="A574" s="107"/>
      <c r="B574" s="138"/>
      <c r="C574" s="168"/>
      <c r="D574" s="195"/>
      <c r="E574" s="205"/>
      <c r="F574" s="122"/>
      <c r="G574" s="166"/>
      <c r="H574" s="22"/>
      <c r="I574" s="123"/>
      <c r="J574" s="11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</row>
    <row r="575" ht="16.5" customHeight="1">
      <c r="A575" s="107"/>
      <c r="B575" s="138"/>
      <c r="C575" s="168"/>
      <c r="D575" s="195"/>
      <c r="E575" s="205"/>
      <c r="F575" s="122"/>
      <c r="G575" s="166"/>
      <c r="H575" s="22"/>
      <c r="I575" s="123"/>
      <c r="J575" s="11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</row>
    <row r="576" ht="16.5" customHeight="1">
      <c r="A576" s="107"/>
      <c r="B576" s="138"/>
      <c r="C576" s="168"/>
      <c r="D576" s="195"/>
      <c r="E576" s="205"/>
      <c r="F576" s="122"/>
      <c r="G576" s="166"/>
      <c r="H576" s="22"/>
      <c r="I576" s="123"/>
      <c r="J576" s="11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</row>
    <row r="577" ht="16.5" customHeight="1">
      <c r="A577" s="107"/>
      <c r="B577" s="138"/>
      <c r="C577" s="168"/>
      <c r="D577" s="195"/>
      <c r="E577" s="205"/>
      <c r="F577" s="122"/>
      <c r="G577" s="166"/>
      <c r="H577" s="22"/>
      <c r="I577" s="123"/>
      <c r="J577" s="11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</row>
    <row r="578" ht="16.5" customHeight="1">
      <c r="A578" s="107"/>
      <c r="B578" s="138"/>
      <c r="C578" s="168"/>
      <c r="D578" s="195"/>
      <c r="E578" s="205"/>
      <c r="F578" s="122"/>
      <c r="G578" s="166"/>
      <c r="H578" s="22"/>
      <c r="I578" s="123"/>
      <c r="J578" s="11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</row>
    <row r="579" ht="16.5" customHeight="1">
      <c r="A579" s="107"/>
      <c r="B579" s="138"/>
      <c r="C579" s="168"/>
      <c r="D579" s="195"/>
      <c r="E579" s="205"/>
      <c r="F579" s="122"/>
      <c r="G579" s="166"/>
      <c r="H579" s="22"/>
      <c r="I579" s="123"/>
      <c r="J579" s="11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</row>
    <row r="580" ht="16.5" customHeight="1">
      <c r="A580" s="107"/>
      <c r="B580" s="138"/>
      <c r="C580" s="168"/>
      <c r="D580" s="195"/>
      <c r="E580" s="205"/>
      <c r="F580" s="122"/>
      <c r="G580" s="166"/>
      <c r="H580" s="22"/>
      <c r="I580" s="123"/>
      <c r="J580" s="11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</row>
    <row r="581" ht="16.5" customHeight="1">
      <c r="A581" s="107"/>
      <c r="B581" s="138"/>
      <c r="C581" s="168"/>
      <c r="D581" s="195"/>
      <c r="E581" s="205"/>
      <c r="F581" s="122"/>
      <c r="G581" s="166"/>
      <c r="H581" s="22"/>
      <c r="I581" s="123"/>
      <c r="J581" s="11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</row>
    <row r="582" ht="16.5" customHeight="1">
      <c r="A582" s="107"/>
      <c r="B582" s="138"/>
      <c r="C582" s="168"/>
      <c r="D582" s="195"/>
      <c r="E582" s="205"/>
      <c r="F582" s="122"/>
      <c r="G582" s="166"/>
      <c r="H582" s="22"/>
      <c r="I582" s="123"/>
      <c r="J582" s="11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</row>
    <row r="583" ht="16.5" customHeight="1">
      <c r="A583" s="107"/>
      <c r="B583" s="138"/>
      <c r="C583" s="168"/>
      <c r="D583" s="195"/>
      <c r="E583" s="205"/>
      <c r="F583" s="122"/>
      <c r="G583" s="166"/>
      <c r="H583" s="22"/>
      <c r="I583" s="123"/>
      <c r="J583" s="11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</row>
    <row r="584" ht="16.5" customHeight="1">
      <c r="A584" s="107"/>
      <c r="B584" s="138"/>
      <c r="C584" s="168"/>
      <c r="D584" s="195"/>
      <c r="E584" s="205"/>
      <c r="F584" s="122"/>
      <c r="G584" s="166"/>
      <c r="H584" s="22"/>
      <c r="I584" s="123"/>
      <c r="J584" s="11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</row>
    <row r="585" ht="16.5" customHeight="1">
      <c r="A585" s="107"/>
      <c r="B585" s="138"/>
      <c r="C585" s="168"/>
      <c r="D585" s="195"/>
      <c r="E585" s="205"/>
      <c r="F585" s="122"/>
      <c r="G585" s="166"/>
      <c r="H585" s="22"/>
      <c r="I585" s="123"/>
      <c r="J585" s="11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</row>
    <row r="586" ht="16.5" customHeight="1">
      <c r="A586" s="107"/>
      <c r="B586" s="138"/>
      <c r="C586" s="168"/>
      <c r="D586" s="195"/>
      <c r="E586" s="205"/>
      <c r="F586" s="122"/>
      <c r="G586" s="166"/>
      <c r="H586" s="22"/>
      <c r="I586" s="123"/>
      <c r="J586" s="11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</row>
    <row r="587" ht="16.5" customHeight="1">
      <c r="A587" s="107"/>
      <c r="B587" s="138"/>
      <c r="C587" s="168"/>
      <c r="D587" s="195"/>
      <c r="E587" s="205"/>
      <c r="F587" s="122"/>
      <c r="G587" s="166"/>
      <c r="H587" s="22"/>
      <c r="I587" s="123"/>
      <c r="J587" s="11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</row>
    <row r="588" ht="16.5" customHeight="1">
      <c r="A588" s="107"/>
      <c r="B588" s="138"/>
      <c r="C588" s="168"/>
      <c r="D588" s="195"/>
      <c r="E588" s="205"/>
      <c r="F588" s="122"/>
      <c r="G588" s="166"/>
      <c r="H588" s="22"/>
      <c r="I588" s="123"/>
      <c r="J588" s="11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</row>
    <row r="589" ht="16.5" customHeight="1">
      <c r="A589" s="107"/>
      <c r="B589" s="138"/>
      <c r="C589" s="168"/>
      <c r="D589" s="195"/>
      <c r="E589" s="205"/>
      <c r="F589" s="122"/>
      <c r="G589" s="166"/>
      <c r="H589" s="22"/>
      <c r="I589" s="123"/>
      <c r="J589" s="11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</row>
    <row r="590" ht="16.5" customHeight="1">
      <c r="A590" s="107"/>
      <c r="B590" s="138"/>
      <c r="C590" s="168"/>
      <c r="D590" s="195"/>
      <c r="E590" s="205"/>
      <c r="F590" s="122"/>
      <c r="G590" s="166"/>
      <c r="H590" s="22"/>
      <c r="I590" s="123"/>
      <c r="J590" s="11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</row>
    <row r="591" ht="16.5" customHeight="1">
      <c r="A591" s="107"/>
      <c r="B591" s="138"/>
      <c r="C591" s="168"/>
      <c r="D591" s="195"/>
      <c r="E591" s="205"/>
      <c r="F591" s="122"/>
      <c r="G591" s="166"/>
      <c r="H591" s="22"/>
      <c r="I591" s="123"/>
      <c r="J591" s="11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</row>
    <row r="592" ht="16.5" customHeight="1">
      <c r="A592" s="107"/>
      <c r="B592" s="138"/>
      <c r="C592" s="168"/>
      <c r="D592" s="195"/>
      <c r="E592" s="205"/>
      <c r="F592" s="122"/>
      <c r="G592" s="166"/>
      <c r="H592" s="22"/>
      <c r="I592" s="123"/>
      <c r="J592" s="11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</row>
    <row r="593" ht="16.5" customHeight="1">
      <c r="A593" s="107"/>
      <c r="B593" s="138"/>
      <c r="C593" s="168"/>
      <c r="D593" s="195"/>
      <c r="E593" s="205"/>
      <c r="F593" s="122"/>
      <c r="G593" s="166"/>
      <c r="H593" s="22"/>
      <c r="I593" s="123"/>
      <c r="J593" s="11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</row>
    <row r="594" ht="16.5" customHeight="1">
      <c r="A594" s="107"/>
      <c r="B594" s="138"/>
      <c r="C594" s="168"/>
      <c r="D594" s="195"/>
      <c r="E594" s="205"/>
      <c r="F594" s="122"/>
      <c r="G594" s="166"/>
      <c r="H594" s="22"/>
      <c r="I594" s="123"/>
      <c r="J594" s="11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</row>
    <row r="595" ht="16.5" customHeight="1">
      <c r="A595" s="107"/>
      <c r="B595" s="138"/>
      <c r="C595" s="168"/>
      <c r="D595" s="195"/>
      <c r="E595" s="205"/>
      <c r="F595" s="122"/>
      <c r="G595" s="166"/>
      <c r="H595" s="22"/>
      <c r="I595" s="123"/>
      <c r="J595" s="11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</row>
    <row r="596" ht="16.5" customHeight="1">
      <c r="A596" s="107"/>
      <c r="B596" s="138"/>
      <c r="C596" s="168"/>
      <c r="D596" s="195"/>
      <c r="E596" s="205"/>
      <c r="F596" s="122"/>
      <c r="G596" s="166"/>
      <c r="H596" s="22"/>
      <c r="I596" s="123"/>
      <c r="J596" s="11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</row>
    <row r="597" ht="16.5" customHeight="1">
      <c r="A597" s="107"/>
      <c r="B597" s="138"/>
      <c r="C597" s="168"/>
      <c r="D597" s="195"/>
      <c r="E597" s="205"/>
      <c r="F597" s="122"/>
      <c r="G597" s="166"/>
      <c r="H597" s="22"/>
      <c r="I597" s="123"/>
      <c r="J597" s="11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</row>
    <row r="598" ht="16.5" customHeight="1">
      <c r="A598" s="107"/>
      <c r="B598" s="138"/>
      <c r="C598" s="168"/>
      <c r="D598" s="195"/>
      <c r="E598" s="205"/>
      <c r="F598" s="122"/>
      <c r="G598" s="166"/>
      <c r="H598" s="22"/>
      <c r="I598" s="123"/>
      <c r="J598" s="11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</row>
    <row r="599" ht="16.5" customHeight="1">
      <c r="A599" s="107"/>
      <c r="B599" s="138"/>
      <c r="C599" s="168"/>
      <c r="D599" s="195"/>
      <c r="E599" s="205"/>
      <c r="F599" s="122"/>
      <c r="G599" s="166"/>
      <c r="H599" s="22"/>
      <c r="I599" s="123"/>
      <c r="J599" s="11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</row>
    <row r="600" ht="16.5" customHeight="1">
      <c r="A600" s="107"/>
      <c r="B600" s="138"/>
      <c r="C600" s="168"/>
      <c r="D600" s="195"/>
      <c r="E600" s="205"/>
      <c r="F600" s="122"/>
      <c r="G600" s="166"/>
      <c r="H600" s="22"/>
      <c r="I600" s="123"/>
      <c r="J600" s="11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</row>
    <row r="601" ht="16.5" customHeight="1">
      <c r="A601" s="107"/>
      <c r="B601" s="138"/>
      <c r="C601" s="168"/>
      <c r="D601" s="195"/>
      <c r="E601" s="205"/>
      <c r="F601" s="122"/>
      <c r="G601" s="166"/>
      <c r="H601" s="22"/>
      <c r="I601" s="123"/>
      <c r="J601" s="11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</row>
    <row r="602" ht="16.5" customHeight="1">
      <c r="A602" s="107"/>
      <c r="B602" s="138"/>
      <c r="C602" s="168"/>
      <c r="D602" s="195"/>
      <c r="E602" s="205"/>
      <c r="F602" s="122"/>
      <c r="G602" s="166"/>
      <c r="H602" s="22"/>
      <c r="I602" s="123"/>
      <c r="J602" s="11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</row>
    <row r="603" ht="16.5" customHeight="1">
      <c r="A603" s="107"/>
      <c r="B603" s="138"/>
      <c r="C603" s="168"/>
      <c r="D603" s="195"/>
      <c r="E603" s="205"/>
      <c r="F603" s="122"/>
      <c r="G603" s="166"/>
      <c r="H603" s="22"/>
      <c r="I603" s="123"/>
      <c r="J603" s="11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</row>
    <row r="604" ht="16.5" customHeight="1">
      <c r="A604" s="107"/>
      <c r="B604" s="138"/>
      <c r="C604" s="168"/>
      <c r="D604" s="195"/>
      <c r="E604" s="205"/>
      <c r="F604" s="122"/>
      <c r="G604" s="166"/>
      <c r="H604" s="22"/>
      <c r="I604" s="123"/>
      <c r="J604" s="11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</row>
    <row r="605" ht="16.5" customHeight="1">
      <c r="A605" s="107"/>
      <c r="B605" s="138"/>
      <c r="C605" s="168"/>
      <c r="D605" s="195"/>
      <c r="E605" s="205"/>
      <c r="F605" s="122"/>
      <c r="G605" s="166"/>
      <c r="H605" s="22"/>
      <c r="I605" s="123"/>
      <c r="J605" s="11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</row>
    <row r="606" ht="16.5" customHeight="1">
      <c r="A606" s="107"/>
      <c r="B606" s="138"/>
      <c r="C606" s="168"/>
      <c r="D606" s="195"/>
      <c r="E606" s="205"/>
      <c r="F606" s="122"/>
      <c r="G606" s="166"/>
      <c r="H606" s="22"/>
      <c r="I606" s="123"/>
      <c r="J606" s="11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</row>
    <row r="607" ht="16.5" customHeight="1">
      <c r="A607" s="107"/>
      <c r="B607" s="138"/>
      <c r="C607" s="168"/>
      <c r="D607" s="195"/>
      <c r="E607" s="205"/>
      <c r="F607" s="122"/>
      <c r="G607" s="166"/>
      <c r="H607" s="22"/>
      <c r="I607" s="123"/>
      <c r="J607" s="11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</row>
    <row r="608" ht="16.5" customHeight="1">
      <c r="A608" s="107"/>
      <c r="B608" s="138"/>
      <c r="C608" s="168"/>
      <c r="D608" s="195"/>
      <c r="E608" s="205"/>
      <c r="F608" s="122"/>
      <c r="G608" s="166"/>
      <c r="H608" s="22"/>
      <c r="I608" s="123"/>
      <c r="J608" s="11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</row>
    <row r="609" ht="16.5" customHeight="1">
      <c r="A609" s="107"/>
      <c r="B609" s="138"/>
      <c r="C609" s="168"/>
      <c r="D609" s="195"/>
      <c r="E609" s="205"/>
      <c r="F609" s="122"/>
      <c r="G609" s="166"/>
      <c r="H609" s="22"/>
      <c r="I609" s="123"/>
      <c r="J609" s="11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</row>
    <row r="610" ht="16.5" customHeight="1">
      <c r="A610" s="107"/>
      <c r="B610" s="138"/>
      <c r="C610" s="168"/>
      <c r="D610" s="195"/>
      <c r="E610" s="205"/>
      <c r="F610" s="122"/>
      <c r="G610" s="166"/>
      <c r="H610" s="22"/>
      <c r="I610" s="123"/>
      <c r="J610" s="11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</row>
    <row r="611" ht="16.5" customHeight="1">
      <c r="A611" s="107"/>
      <c r="B611" s="138"/>
      <c r="C611" s="168"/>
      <c r="D611" s="195"/>
      <c r="E611" s="205"/>
      <c r="F611" s="122"/>
      <c r="G611" s="166"/>
      <c r="H611" s="22"/>
      <c r="I611" s="123"/>
      <c r="J611" s="11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</row>
    <row r="612" ht="16.5" customHeight="1">
      <c r="A612" s="107"/>
      <c r="B612" s="138"/>
      <c r="C612" s="168"/>
      <c r="D612" s="195"/>
      <c r="E612" s="205"/>
      <c r="F612" s="122"/>
      <c r="G612" s="166"/>
      <c r="H612" s="22"/>
      <c r="I612" s="123"/>
      <c r="J612" s="11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</row>
    <row r="613" ht="16.5" customHeight="1">
      <c r="A613" s="107"/>
      <c r="B613" s="138"/>
      <c r="C613" s="168"/>
      <c r="D613" s="195"/>
      <c r="E613" s="205"/>
      <c r="F613" s="122"/>
      <c r="G613" s="166"/>
      <c r="H613" s="22"/>
      <c r="I613" s="123"/>
      <c r="J613" s="11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</row>
    <row r="614" ht="16.5" customHeight="1">
      <c r="A614" s="107"/>
      <c r="B614" s="138"/>
      <c r="C614" s="168"/>
      <c r="D614" s="195"/>
      <c r="E614" s="205"/>
      <c r="F614" s="122"/>
      <c r="G614" s="166"/>
      <c r="H614" s="22"/>
      <c r="I614" s="123"/>
      <c r="J614" s="11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</row>
    <row r="615" ht="16.5" customHeight="1">
      <c r="A615" s="107"/>
      <c r="B615" s="138"/>
      <c r="C615" s="168"/>
      <c r="D615" s="195"/>
      <c r="E615" s="205"/>
      <c r="F615" s="122"/>
      <c r="G615" s="166"/>
      <c r="H615" s="22"/>
      <c r="I615" s="123"/>
      <c r="J615" s="11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</row>
    <row r="616" ht="16.5" customHeight="1">
      <c r="A616" s="107"/>
      <c r="B616" s="138"/>
      <c r="C616" s="168"/>
      <c r="D616" s="195"/>
      <c r="E616" s="205"/>
      <c r="F616" s="122"/>
      <c r="G616" s="166"/>
      <c r="H616" s="22"/>
      <c r="I616" s="123"/>
      <c r="J616" s="11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</row>
    <row r="617" ht="16.5" customHeight="1">
      <c r="A617" s="107"/>
      <c r="B617" s="138"/>
      <c r="C617" s="168"/>
      <c r="D617" s="195"/>
      <c r="E617" s="205"/>
      <c r="F617" s="122"/>
      <c r="G617" s="166"/>
      <c r="H617" s="22"/>
      <c r="I617" s="123"/>
      <c r="J617" s="11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</row>
    <row r="618" ht="16.5" customHeight="1">
      <c r="A618" s="107"/>
      <c r="B618" s="138"/>
      <c r="C618" s="168"/>
      <c r="D618" s="195"/>
      <c r="E618" s="205"/>
      <c r="F618" s="122"/>
      <c r="G618" s="166"/>
      <c r="H618" s="22"/>
      <c r="I618" s="123"/>
      <c r="J618" s="11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</row>
    <row r="619" ht="16.5" customHeight="1">
      <c r="A619" s="107"/>
      <c r="B619" s="138"/>
      <c r="C619" s="168"/>
      <c r="D619" s="195"/>
      <c r="E619" s="205"/>
      <c r="F619" s="122"/>
      <c r="G619" s="166"/>
      <c r="H619" s="22"/>
      <c r="I619" s="123"/>
      <c r="J619" s="11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</row>
    <row r="620" ht="16.5" customHeight="1">
      <c r="A620" s="107"/>
      <c r="B620" s="138"/>
      <c r="C620" s="168"/>
      <c r="D620" s="195"/>
      <c r="E620" s="205"/>
      <c r="F620" s="122"/>
      <c r="G620" s="166"/>
      <c r="H620" s="22"/>
      <c r="I620" s="123"/>
      <c r="J620" s="11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</row>
    <row r="621" ht="16.5" customHeight="1">
      <c r="A621" s="107"/>
      <c r="B621" s="138"/>
      <c r="C621" s="168"/>
      <c r="D621" s="195"/>
      <c r="E621" s="205"/>
      <c r="F621" s="122"/>
      <c r="G621" s="166"/>
      <c r="H621" s="22"/>
      <c r="I621" s="123"/>
      <c r="J621" s="11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</row>
    <row r="622" ht="16.5" customHeight="1">
      <c r="A622" s="107"/>
      <c r="B622" s="138"/>
      <c r="C622" s="168"/>
      <c r="D622" s="195"/>
      <c r="E622" s="205"/>
      <c r="F622" s="122"/>
      <c r="G622" s="166"/>
      <c r="H622" s="22"/>
      <c r="I622" s="123"/>
      <c r="J622" s="11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</row>
    <row r="623" ht="16.5" customHeight="1">
      <c r="A623" s="107"/>
      <c r="B623" s="138"/>
      <c r="C623" s="168"/>
      <c r="D623" s="195"/>
      <c r="E623" s="205"/>
      <c r="F623" s="122"/>
      <c r="G623" s="166"/>
      <c r="H623" s="22"/>
      <c r="I623" s="123"/>
      <c r="J623" s="11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</row>
    <row r="624" ht="16.5" customHeight="1">
      <c r="A624" s="107"/>
      <c r="B624" s="138"/>
      <c r="C624" s="168"/>
      <c r="D624" s="195"/>
      <c r="E624" s="205"/>
      <c r="F624" s="122"/>
      <c r="G624" s="166"/>
      <c r="H624" s="22"/>
      <c r="I624" s="123"/>
      <c r="J624" s="11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</row>
    <row r="625" ht="16.5" customHeight="1">
      <c r="A625" s="107"/>
      <c r="B625" s="138"/>
      <c r="C625" s="168"/>
      <c r="D625" s="195"/>
      <c r="E625" s="205"/>
      <c r="F625" s="122"/>
      <c r="G625" s="166"/>
      <c r="H625" s="22"/>
      <c r="I625" s="123"/>
      <c r="J625" s="11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</row>
    <row r="626" ht="16.5" customHeight="1">
      <c r="A626" s="107"/>
      <c r="B626" s="138"/>
      <c r="C626" s="168"/>
      <c r="D626" s="195"/>
      <c r="E626" s="205"/>
      <c r="F626" s="122"/>
      <c r="G626" s="166"/>
      <c r="H626" s="22"/>
      <c r="I626" s="123"/>
      <c r="J626" s="11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</row>
    <row r="627" ht="16.5" customHeight="1">
      <c r="A627" s="107"/>
      <c r="B627" s="138"/>
      <c r="C627" s="168"/>
      <c r="D627" s="195"/>
      <c r="E627" s="205"/>
      <c r="F627" s="122"/>
      <c r="G627" s="166"/>
      <c r="H627" s="22"/>
      <c r="I627" s="123"/>
      <c r="J627" s="11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</row>
    <row r="628" ht="16.5" customHeight="1">
      <c r="A628" s="107"/>
      <c r="B628" s="138"/>
      <c r="C628" s="168"/>
      <c r="D628" s="195"/>
      <c r="E628" s="205"/>
      <c r="F628" s="122"/>
      <c r="G628" s="166"/>
      <c r="H628" s="22"/>
      <c r="I628" s="123"/>
      <c r="J628" s="11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</row>
    <row r="629" ht="16.5" customHeight="1">
      <c r="A629" s="107"/>
      <c r="B629" s="138"/>
      <c r="C629" s="168"/>
      <c r="D629" s="195"/>
      <c r="E629" s="205"/>
      <c r="F629" s="122"/>
      <c r="G629" s="166"/>
      <c r="H629" s="22"/>
      <c r="I629" s="123"/>
      <c r="J629" s="11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</row>
    <row r="630" ht="16.5" customHeight="1">
      <c r="A630" s="107"/>
      <c r="B630" s="138"/>
      <c r="C630" s="168"/>
      <c r="D630" s="195"/>
      <c r="E630" s="205"/>
      <c r="F630" s="122"/>
      <c r="G630" s="166"/>
      <c r="H630" s="22"/>
      <c r="I630" s="123"/>
      <c r="J630" s="11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</row>
    <row r="631" ht="16.5" customHeight="1">
      <c r="A631" s="107"/>
      <c r="B631" s="138"/>
      <c r="C631" s="168"/>
      <c r="D631" s="195"/>
      <c r="E631" s="205"/>
      <c r="F631" s="122"/>
      <c r="G631" s="166"/>
      <c r="H631" s="22"/>
      <c r="I631" s="123"/>
      <c r="J631" s="11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</row>
    <row r="632" ht="16.5" customHeight="1">
      <c r="A632" s="107"/>
      <c r="B632" s="138"/>
      <c r="C632" s="168"/>
      <c r="D632" s="195"/>
      <c r="E632" s="205"/>
      <c r="F632" s="122"/>
      <c r="G632" s="166"/>
      <c r="H632" s="22"/>
      <c r="I632" s="123"/>
      <c r="J632" s="11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</row>
    <row r="633" ht="16.5" customHeight="1">
      <c r="A633" s="107"/>
      <c r="B633" s="138"/>
      <c r="C633" s="168"/>
      <c r="D633" s="195"/>
      <c r="E633" s="205"/>
      <c r="F633" s="122"/>
      <c r="G633" s="166"/>
      <c r="H633" s="22"/>
      <c r="I633" s="123"/>
      <c r="J633" s="11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</row>
    <row r="634" ht="16.5" customHeight="1">
      <c r="A634" s="107"/>
      <c r="B634" s="138"/>
      <c r="C634" s="168"/>
      <c r="D634" s="195"/>
      <c r="E634" s="205"/>
      <c r="F634" s="122"/>
      <c r="G634" s="166"/>
      <c r="H634" s="22"/>
      <c r="I634" s="123"/>
      <c r="J634" s="11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</row>
    <row r="635" ht="16.5" customHeight="1">
      <c r="A635" s="107"/>
      <c r="B635" s="138"/>
      <c r="C635" s="168"/>
      <c r="D635" s="195"/>
      <c r="E635" s="205"/>
      <c r="F635" s="122"/>
      <c r="G635" s="166"/>
      <c r="H635" s="22"/>
      <c r="I635" s="123"/>
      <c r="J635" s="11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</row>
    <row r="636" ht="16.5" customHeight="1">
      <c r="A636" s="107"/>
      <c r="B636" s="138"/>
      <c r="C636" s="168"/>
      <c r="D636" s="195"/>
      <c r="E636" s="205"/>
      <c r="F636" s="122"/>
      <c r="G636" s="166"/>
      <c r="H636" s="22"/>
      <c r="I636" s="123"/>
      <c r="J636" s="11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</row>
    <row r="637" ht="16.5" customHeight="1">
      <c r="A637" s="107"/>
      <c r="B637" s="138"/>
      <c r="C637" s="168"/>
      <c r="D637" s="195"/>
      <c r="E637" s="205"/>
      <c r="F637" s="122"/>
      <c r="G637" s="166"/>
      <c r="H637" s="22"/>
      <c r="I637" s="123"/>
      <c r="J637" s="11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</row>
    <row r="638" ht="16.5" customHeight="1">
      <c r="A638" s="107"/>
      <c r="B638" s="138"/>
      <c r="C638" s="168"/>
      <c r="D638" s="195"/>
      <c r="E638" s="205"/>
      <c r="F638" s="122"/>
      <c r="G638" s="166"/>
      <c r="H638" s="22"/>
      <c r="I638" s="123"/>
      <c r="J638" s="11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</row>
    <row r="639" ht="16.5" customHeight="1">
      <c r="A639" s="107"/>
      <c r="B639" s="138"/>
      <c r="C639" s="168"/>
      <c r="D639" s="195"/>
      <c r="E639" s="205"/>
      <c r="F639" s="122"/>
      <c r="G639" s="166"/>
      <c r="H639" s="22"/>
      <c r="I639" s="123"/>
      <c r="J639" s="11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</row>
    <row r="640" ht="16.5" customHeight="1">
      <c r="A640" s="107"/>
      <c r="B640" s="138"/>
      <c r="C640" s="168"/>
      <c r="D640" s="195"/>
      <c r="E640" s="205"/>
      <c r="F640" s="122"/>
      <c r="G640" s="166"/>
      <c r="H640" s="22"/>
      <c r="I640" s="123"/>
      <c r="J640" s="11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</row>
    <row r="641" ht="16.5" customHeight="1">
      <c r="A641" s="107"/>
      <c r="B641" s="138"/>
      <c r="C641" s="168"/>
      <c r="D641" s="195"/>
      <c r="E641" s="205"/>
      <c r="F641" s="122"/>
      <c r="G641" s="166"/>
      <c r="H641" s="22"/>
      <c r="I641" s="123"/>
      <c r="J641" s="11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</row>
    <row r="642" ht="16.5" customHeight="1">
      <c r="A642" s="107"/>
      <c r="B642" s="138"/>
      <c r="C642" s="168"/>
      <c r="D642" s="195"/>
      <c r="E642" s="205"/>
      <c r="F642" s="122"/>
      <c r="G642" s="166"/>
      <c r="H642" s="22"/>
      <c r="I642" s="123"/>
      <c r="J642" s="11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</row>
    <row r="643" ht="16.5" customHeight="1">
      <c r="A643" s="107"/>
      <c r="B643" s="138"/>
      <c r="C643" s="168"/>
      <c r="D643" s="195"/>
      <c r="E643" s="205"/>
      <c r="F643" s="122"/>
      <c r="G643" s="166"/>
      <c r="H643" s="22"/>
      <c r="I643" s="123"/>
      <c r="J643" s="11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</row>
    <row r="644" ht="16.5" customHeight="1">
      <c r="A644" s="107"/>
      <c r="B644" s="138"/>
      <c r="C644" s="168"/>
      <c r="D644" s="195"/>
      <c r="E644" s="205"/>
      <c r="F644" s="122"/>
      <c r="G644" s="166"/>
      <c r="H644" s="22"/>
      <c r="I644" s="123"/>
      <c r="J644" s="11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</row>
    <row r="645" ht="16.5" customHeight="1">
      <c r="A645" s="107"/>
      <c r="B645" s="138"/>
      <c r="C645" s="168"/>
      <c r="D645" s="195"/>
      <c r="E645" s="205"/>
      <c r="F645" s="122"/>
      <c r="G645" s="166"/>
      <c r="H645" s="22"/>
      <c r="I645" s="123"/>
      <c r="J645" s="11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</row>
    <row r="646" ht="16.5" customHeight="1">
      <c r="A646" s="107"/>
      <c r="B646" s="138"/>
      <c r="C646" s="168"/>
      <c r="D646" s="195"/>
      <c r="E646" s="205"/>
      <c r="F646" s="122"/>
      <c r="G646" s="166"/>
      <c r="H646" s="22"/>
      <c r="I646" s="123"/>
      <c r="J646" s="11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</row>
    <row r="647" ht="16.5" customHeight="1">
      <c r="A647" s="107"/>
      <c r="B647" s="138"/>
      <c r="C647" s="168"/>
      <c r="D647" s="195"/>
      <c r="E647" s="205"/>
      <c r="F647" s="122"/>
      <c r="G647" s="166"/>
      <c r="H647" s="22"/>
      <c r="I647" s="123"/>
      <c r="J647" s="11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</row>
    <row r="648" ht="16.5" customHeight="1">
      <c r="A648" s="107"/>
      <c r="B648" s="138"/>
      <c r="C648" s="168"/>
      <c r="D648" s="195"/>
      <c r="E648" s="205"/>
      <c r="F648" s="122"/>
      <c r="G648" s="166"/>
      <c r="H648" s="22"/>
      <c r="I648" s="123"/>
      <c r="J648" s="11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</row>
    <row r="649" ht="16.5" customHeight="1">
      <c r="A649" s="107"/>
      <c r="B649" s="138"/>
      <c r="C649" s="168"/>
      <c r="D649" s="195"/>
      <c r="E649" s="205"/>
      <c r="F649" s="122"/>
      <c r="G649" s="166"/>
      <c r="H649" s="22"/>
      <c r="I649" s="123"/>
      <c r="J649" s="11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</row>
    <row r="650" ht="16.5" customHeight="1">
      <c r="A650" s="107"/>
      <c r="B650" s="138"/>
      <c r="C650" s="168"/>
      <c r="D650" s="195"/>
      <c r="E650" s="205"/>
      <c r="F650" s="122"/>
      <c r="G650" s="166"/>
      <c r="H650" s="22"/>
      <c r="I650" s="123"/>
      <c r="J650" s="11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</row>
    <row r="651" ht="16.5" customHeight="1">
      <c r="A651" s="107"/>
      <c r="B651" s="138"/>
      <c r="C651" s="168"/>
      <c r="D651" s="195"/>
      <c r="E651" s="205"/>
      <c r="F651" s="122"/>
      <c r="G651" s="166"/>
      <c r="H651" s="22"/>
      <c r="I651" s="123"/>
      <c r="J651" s="11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</row>
    <row r="652" ht="16.5" customHeight="1">
      <c r="A652" s="107"/>
      <c r="B652" s="138"/>
      <c r="C652" s="168"/>
      <c r="D652" s="195"/>
      <c r="E652" s="205"/>
      <c r="F652" s="122"/>
      <c r="G652" s="166"/>
      <c r="H652" s="22"/>
      <c r="I652" s="123"/>
      <c r="J652" s="11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</row>
    <row r="653" ht="16.5" customHeight="1">
      <c r="A653" s="107"/>
      <c r="B653" s="138"/>
      <c r="C653" s="168"/>
      <c r="D653" s="195"/>
      <c r="E653" s="205"/>
      <c r="F653" s="122"/>
      <c r="G653" s="166"/>
      <c r="H653" s="22"/>
      <c r="I653" s="123"/>
      <c r="J653" s="11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</row>
    <row r="654" ht="16.5" customHeight="1">
      <c r="A654" s="107"/>
      <c r="B654" s="138"/>
      <c r="C654" s="168"/>
      <c r="D654" s="195"/>
      <c r="E654" s="205"/>
      <c r="F654" s="122"/>
      <c r="G654" s="166"/>
      <c r="H654" s="22"/>
      <c r="I654" s="123"/>
      <c r="J654" s="11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</row>
    <row r="655" ht="16.5" customHeight="1">
      <c r="A655" s="107"/>
      <c r="B655" s="138"/>
      <c r="C655" s="168"/>
      <c r="D655" s="195"/>
      <c r="E655" s="205"/>
      <c r="F655" s="122"/>
      <c r="G655" s="166"/>
      <c r="H655" s="22"/>
      <c r="I655" s="123"/>
      <c r="J655" s="11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</row>
    <row r="656" ht="16.5" customHeight="1">
      <c r="A656" s="107"/>
      <c r="B656" s="138"/>
      <c r="C656" s="168"/>
      <c r="D656" s="195"/>
      <c r="E656" s="205"/>
      <c r="F656" s="122"/>
      <c r="G656" s="166"/>
      <c r="H656" s="22"/>
      <c r="I656" s="123"/>
      <c r="J656" s="11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</row>
    <row r="657" ht="16.5" customHeight="1">
      <c r="A657" s="107"/>
      <c r="B657" s="138"/>
      <c r="C657" s="168"/>
      <c r="D657" s="195"/>
      <c r="E657" s="205"/>
      <c r="F657" s="122"/>
      <c r="G657" s="166"/>
      <c r="H657" s="22"/>
      <c r="I657" s="123"/>
      <c r="J657" s="11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</row>
    <row r="658" ht="16.5" customHeight="1">
      <c r="A658" s="107"/>
      <c r="B658" s="138"/>
      <c r="C658" s="168"/>
      <c r="D658" s="195"/>
      <c r="E658" s="205"/>
      <c r="F658" s="122"/>
      <c r="G658" s="166"/>
      <c r="H658" s="22"/>
      <c r="I658" s="123"/>
      <c r="J658" s="11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</row>
    <row r="659" ht="16.5" customHeight="1">
      <c r="A659" s="107"/>
      <c r="B659" s="138"/>
      <c r="C659" s="168"/>
      <c r="D659" s="195"/>
      <c r="E659" s="205"/>
      <c r="F659" s="122"/>
      <c r="G659" s="166"/>
      <c r="H659" s="22"/>
      <c r="I659" s="123"/>
      <c r="J659" s="11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</row>
    <row r="660" ht="16.5" customHeight="1">
      <c r="A660" s="107"/>
      <c r="B660" s="138"/>
      <c r="C660" s="168"/>
      <c r="D660" s="195"/>
      <c r="E660" s="205"/>
      <c r="F660" s="122"/>
      <c r="G660" s="166"/>
      <c r="H660" s="22"/>
      <c r="I660" s="123"/>
      <c r="J660" s="11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</row>
    <row r="661" ht="16.5" customHeight="1">
      <c r="A661" s="107"/>
      <c r="B661" s="138"/>
      <c r="C661" s="168"/>
      <c r="D661" s="195"/>
      <c r="E661" s="205"/>
      <c r="F661" s="122"/>
      <c r="G661" s="166"/>
      <c r="H661" s="22"/>
      <c r="I661" s="123"/>
      <c r="J661" s="11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</row>
    <row r="662" ht="16.5" customHeight="1">
      <c r="A662" s="107"/>
      <c r="B662" s="138"/>
      <c r="C662" s="168"/>
      <c r="D662" s="195"/>
      <c r="E662" s="205"/>
      <c r="F662" s="122"/>
      <c r="G662" s="166"/>
      <c r="H662" s="22"/>
      <c r="I662" s="123"/>
      <c r="J662" s="11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</row>
    <row r="663" ht="16.5" customHeight="1">
      <c r="A663" s="107"/>
      <c r="B663" s="138"/>
      <c r="C663" s="168"/>
      <c r="D663" s="195"/>
      <c r="E663" s="205"/>
      <c r="F663" s="122"/>
      <c r="G663" s="166"/>
      <c r="H663" s="22"/>
      <c r="I663" s="123"/>
      <c r="J663" s="11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</row>
    <row r="664" ht="16.5" customHeight="1">
      <c r="A664" s="107"/>
      <c r="B664" s="138"/>
      <c r="C664" s="168"/>
      <c r="D664" s="195"/>
      <c r="E664" s="205"/>
      <c r="F664" s="122"/>
      <c r="G664" s="166"/>
      <c r="H664" s="22"/>
      <c r="I664" s="123"/>
      <c r="J664" s="11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</row>
    <row r="665" ht="16.5" customHeight="1">
      <c r="A665" s="107"/>
      <c r="B665" s="138"/>
      <c r="C665" s="168"/>
      <c r="D665" s="195"/>
      <c r="E665" s="205"/>
      <c r="F665" s="122"/>
      <c r="G665" s="166"/>
      <c r="H665" s="22"/>
      <c r="I665" s="123"/>
      <c r="J665" s="11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</row>
    <row r="666" ht="16.5" customHeight="1">
      <c r="A666" s="107"/>
      <c r="B666" s="138"/>
      <c r="C666" s="168"/>
      <c r="D666" s="195"/>
      <c r="E666" s="205"/>
      <c r="F666" s="122"/>
      <c r="G666" s="166"/>
      <c r="H666" s="22"/>
      <c r="I666" s="123"/>
      <c r="J666" s="11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</row>
    <row r="667" ht="16.5" customHeight="1">
      <c r="A667" s="107"/>
      <c r="B667" s="138"/>
      <c r="C667" s="168"/>
      <c r="D667" s="195"/>
      <c r="E667" s="205"/>
      <c r="F667" s="122"/>
      <c r="G667" s="166"/>
      <c r="H667" s="22"/>
      <c r="I667" s="123"/>
      <c r="J667" s="11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</row>
    <row r="668" ht="16.5" customHeight="1">
      <c r="A668" s="107"/>
      <c r="B668" s="138"/>
      <c r="C668" s="168"/>
      <c r="D668" s="195"/>
      <c r="E668" s="205"/>
      <c r="F668" s="122"/>
      <c r="G668" s="166"/>
      <c r="H668" s="22"/>
      <c r="I668" s="123"/>
      <c r="J668" s="11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</row>
    <row r="669" ht="16.5" customHeight="1">
      <c r="A669" s="107"/>
      <c r="B669" s="138"/>
      <c r="C669" s="168"/>
      <c r="D669" s="195"/>
      <c r="E669" s="205"/>
      <c r="F669" s="122"/>
      <c r="G669" s="166"/>
      <c r="H669" s="22"/>
      <c r="I669" s="123"/>
      <c r="J669" s="11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</row>
    <row r="670" ht="16.5" customHeight="1">
      <c r="A670" s="107"/>
      <c r="B670" s="138"/>
      <c r="C670" s="168"/>
      <c r="D670" s="195"/>
      <c r="E670" s="205"/>
      <c r="F670" s="122"/>
      <c r="G670" s="166"/>
      <c r="H670" s="22"/>
      <c r="I670" s="123"/>
      <c r="J670" s="11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</row>
    <row r="671" ht="16.5" customHeight="1">
      <c r="A671" s="107"/>
      <c r="B671" s="138"/>
      <c r="C671" s="168"/>
      <c r="D671" s="195"/>
      <c r="E671" s="205"/>
      <c r="F671" s="122"/>
      <c r="G671" s="166"/>
      <c r="H671" s="22"/>
      <c r="I671" s="123"/>
      <c r="J671" s="11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</row>
    <row r="672" ht="16.5" customHeight="1">
      <c r="A672" s="107"/>
      <c r="B672" s="138"/>
      <c r="C672" s="168"/>
      <c r="D672" s="195"/>
      <c r="E672" s="205"/>
      <c r="F672" s="122"/>
      <c r="G672" s="166"/>
      <c r="H672" s="22"/>
      <c r="I672" s="123"/>
      <c r="J672" s="11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</row>
    <row r="673" ht="16.5" customHeight="1">
      <c r="A673" s="107"/>
      <c r="B673" s="138"/>
      <c r="C673" s="168"/>
      <c r="D673" s="195"/>
      <c r="E673" s="205"/>
      <c r="F673" s="122"/>
      <c r="G673" s="166"/>
      <c r="H673" s="22"/>
      <c r="I673" s="123"/>
      <c r="J673" s="11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</row>
    <row r="674" ht="16.5" customHeight="1">
      <c r="A674" s="107"/>
      <c r="B674" s="138"/>
      <c r="C674" s="168"/>
      <c r="D674" s="195"/>
      <c r="E674" s="205"/>
      <c r="F674" s="122"/>
      <c r="G674" s="166"/>
      <c r="H674" s="22"/>
      <c r="I674" s="123"/>
      <c r="J674" s="11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</row>
    <row r="675" ht="16.5" customHeight="1">
      <c r="A675" s="107"/>
      <c r="B675" s="138"/>
      <c r="C675" s="168"/>
      <c r="D675" s="195"/>
      <c r="E675" s="205"/>
      <c r="F675" s="122"/>
      <c r="G675" s="166"/>
      <c r="H675" s="22"/>
      <c r="I675" s="123"/>
      <c r="J675" s="11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</row>
    <row r="676" ht="16.5" customHeight="1">
      <c r="A676" s="107"/>
      <c r="B676" s="138"/>
      <c r="C676" s="168"/>
      <c r="D676" s="195"/>
      <c r="E676" s="205"/>
      <c r="F676" s="122"/>
      <c r="G676" s="166"/>
      <c r="H676" s="22"/>
      <c r="I676" s="123"/>
      <c r="J676" s="11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</row>
    <row r="677" ht="16.5" customHeight="1">
      <c r="A677" s="107"/>
      <c r="B677" s="138"/>
      <c r="C677" s="168"/>
      <c r="D677" s="195"/>
      <c r="E677" s="205"/>
      <c r="F677" s="122"/>
      <c r="G677" s="166"/>
      <c r="H677" s="22"/>
      <c r="I677" s="123"/>
      <c r="J677" s="11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</row>
    <row r="678" ht="16.5" customHeight="1">
      <c r="A678" s="107"/>
      <c r="B678" s="138"/>
      <c r="C678" s="168"/>
      <c r="D678" s="195"/>
      <c r="E678" s="205"/>
      <c r="F678" s="122"/>
      <c r="G678" s="166"/>
      <c r="H678" s="22"/>
      <c r="I678" s="123"/>
      <c r="J678" s="11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</row>
    <row r="679" ht="16.5" customHeight="1">
      <c r="A679" s="107"/>
      <c r="B679" s="138"/>
      <c r="C679" s="168"/>
      <c r="D679" s="195"/>
      <c r="E679" s="205"/>
      <c r="F679" s="122"/>
      <c r="G679" s="166"/>
      <c r="H679" s="22"/>
      <c r="I679" s="123"/>
      <c r="J679" s="11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</row>
    <row r="680" ht="16.5" customHeight="1">
      <c r="A680" s="107"/>
      <c r="B680" s="138"/>
      <c r="C680" s="168"/>
      <c r="D680" s="195"/>
      <c r="E680" s="205"/>
      <c r="F680" s="122"/>
      <c r="G680" s="166"/>
      <c r="H680" s="22"/>
      <c r="I680" s="123"/>
      <c r="J680" s="11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</row>
    <row r="681" ht="16.5" customHeight="1">
      <c r="A681" s="107"/>
      <c r="B681" s="138"/>
      <c r="C681" s="168"/>
      <c r="D681" s="195"/>
      <c r="E681" s="205"/>
      <c r="F681" s="122"/>
      <c r="G681" s="166"/>
      <c r="H681" s="22"/>
      <c r="I681" s="123"/>
      <c r="J681" s="11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</row>
    <row r="682" ht="16.5" customHeight="1">
      <c r="A682" s="107"/>
      <c r="B682" s="138"/>
      <c r="C682" s="168"/>
      <c r="D682" s="195"/>
      <c r="E682" s="205"/>
      <c r="F682" s="122"/>
      <c r="G682" s="166"/>
      <c r="H682" s="22"/>
      <c r="I682" s="123"/>
      <c r="J682" s="11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</row>
    <row r="683" ht="16.5" customHeight="1">
      <c r="A683" s="107"/>
      <c r="B683" s="138"/>
      <c r="C683" s="168"/>
      <c r="D683" s="195"/>
      <c r="E683" s="205"/>
      <c r="F683" s="122"/>
      <c r="G683" s="166"/>
      <c r="H683" s="22"/>
      <c r="I683" s="123"/>
      <c r="J683" s="11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</row>
    <row r="684" ht="16.5" customHeight="1">
      <c r="A684" s="107"/>
      <c r="B684" s="138"/>
      <c r="C684" s="168"/>
      <c r="D684" s="195"/>
      <c r="E684" s="205"/>
      <c r="F684" s="122"/>
      <c r="G684" s="166"/>
      <c r="H684" s="22"/>
      <c r="I684" s="123"/>
      <c r="J684" s="11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</row>
    <row r="685" ht="16.5" customHeight="1">
      <c r="A685" s="107"/>
      <c r="B685" s="138"/>
      <c r="C685" s="168"/>
      <c r="D685" s="195"/>
      <c r="E685" s="205"/>
      <c r="F685" s="122"/>
      <c r="G685" s="166"/>
      <c r="H685" s="22"/>
      <c r="I685" s="123"/>
      <c r="J685" s="11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</row>
    <row r="686" ht="16.5" customHeight="1">
      <c r="A686" s="107"/>
      <c r="B686" s="138"/>
      <c r="C686" s="168"/>
      <c r="D686" s="195"/>
      <c r="E686" s="205"/>
      <c r="F686" s="122"/>
      <c r="G686" s="166"/>
      <c r="H686" s="22"/>
      <c r="I686" s="123"/>
      <c r="J686" s="11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</row>
    <row r="687" ht="16.5" customHeight="1">
      <c r="A687" s="107"/>
      <c r="B687" s="138"/>
      <c r="C687" s="168"/>
      <c r="D687" s="195"/>
      <c r="E687" s="205"/>
      <c r="F687" s="122"/>
      <c r="G687" s="166"/>
      <c r="H687" s="22"/>
      <c r="I687" s="123"/>
      <c r="J687" s="11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</row>
    <row r="688" ht="16.5" customHeight="1">
      <c r="A688" s="107"/>
      <c r="B688" s="138"/>
      <c r="C688" s="168"/>
      <c r="D688" s="195"/>
      <c r="E688" s="205"/>
      <c r="F688" s="122"/>
      <c r="G688" s="166"/>
      <c r="H688" s="22"/>
      <c r="I688" s="123"/>
      <c r="J688" s="11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</row>
    <row r="689" ht="16.5" customHeight="1">
      <c r="A689" s="107"/>
      <c r="B689" s="138"/>
      <c r="C689" s="168"/>
      <c r="D689" s="195"/>
      <c r="E689" s="205"/>
      <c r="F689" s="122"/>
      <c r="G689" s="166"/>
      <c r="H689" s="22"/>
      <c r="I689" s="123"/>
      <c r="J689" s="11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</row>
    <row r="690" ht="16.5" customHeight="1">
      <c r="A690" s="107"/>
      <c r="B690" s="138"/>
      <c r="C690" s="168"/>
      <c r="D690" s="195"/>
      <c r="E690" s="205"/>
      <c r="F690" s="122"/>
      <c r="G690" s="166"/>
      <c r="H690" s="22"/>
      <c r="I690" s="123"/>
      <c r="J690" s="11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</row>
    <row r="691" ht="16.5" customHeight="1">
      <c r="A691" s="107"/>
      <c r="B691" s="138"/>
      <c r="C691" s="168"/>
      <c r="D691" s="195"/>
      <c r="E691" s="205"/>
      <c r="F691" s="122"/>
      <c r="G691" s="166"/>
      <c r="H691" s="22"/>
      <c r="I691" s="123"/>
      <c r="J691" s="11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</row>
    <row r="692" ht="16.5" customHeight="1">
      <c r="A692" s="107"/>
      <c r="B692" s="138"/>
      <c r="C692" s="168"/>
      <c r="D692" s="195"/>
      <c r="E692" s="205"/>
      <c r="F692" s="122"/>
      <c r="G692" s="166"/>
      <c r="H692" s="22"/>
      <c r="I692" s="123"/>
      <c r="J692" s="11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</row>
    <row r="693" ht="16.5" customHeight="1">
      <c r="A693" s="107"/>
      <c r="B693" s="138"/>
      <c r="C693" s="168"/>
      <c r="D693" s="195"/>
      <c r="E693" s="205"/>
      <c r="F693" s="122"/>
      <c r="G693" s="166"/>
      <c r="H693" s="22"/>
      <c r="I693" s="123"/>
      <c r="J693" s="11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</row>
    <row r="694" ht="16.5" customHeight="1">
      <c r="A694" s="107"/>
      <c r="B694" s="138"/>
      <c r="C694" s="168"/>
      <c r="D694" s="195"/>
      <c r="E694" s="205"/>
      <c r="F694" s="122"/>
      <c r="G694" s="166"/>
      <c r="H694" s="22"/>
      <c r="I694" s="123"/>
      <c r="J694" s="11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</row>
    <row r="695" ht="16.5" customHeight="1">
      <c r="A695" s="107"/>
      <c r="B695" s="138"/>
      <c r="C695" s="168"/>
      <c r="D695" s="195"/>
      <c r="E695" s="205"/>
      <c r="F695" s="122"/>
      <c r="G695" s="166"/>
      <c r="H695" s="22"/>
      <c r="I695" s="123"/>
      <c r="J695" s="11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</row>
    <row r="696" ht="16.5" customHeight="1">
      <c r="A696" s="107"/>
      <c r="B696" s="138"/>
      <c r="C696" s="168"/>
      <c r="D696" s="195"/>
      <c r="E696" s="205"/>
      <c r="F696" s="122"/>
      <c r="G696" s="166"/>
      <c r="H696" s="22"/>
      <c r="I696" s="123"/>
      <c r="J696" s="11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</row>
    <row r="697" ht="16.5" customHeight="1">
      <c r="A697" s="107"/>
      <c r="B697" s="138"/>
      <c r="C697" s="168"/>
      <c r="D697" s="195"/>
      <c r="E697" s="205"/>
      <c r="F697" s="122"/>
      <c r="G697" s="166"/>
      <c r="H697" s="22"/>
      <c r="I697" s="123"/>
      <c r="J697" s="11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</row>
    <row r="698" ht="16.5" customHeight="1">
      <c r="A698" s="107"/>
      <c r="B698" s="138"/>
      <c r="C698" s="168"/>
      <c r="D698" s="195"/>
      <c r="E698" s="205"/>
      <c r="F698" s="122"/>
      <c r="G698" s="166"/>
      <c r="H698" s="22"/>
      <c r="I698" s="123"/>
      <c r="J698" s="11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</row>
    <row r="699" ht="16.5" customHeight="1">
      <c r="A699" s="107"/>
      <c r="B699" s="138"/>
      <c r="C699" s="168"/>
      <c r="D699" s="195"/>
      <c r="E699" s="205"/>
      <c r="F699" s="122"/>
      <c r="G699" s="166"/>
      <c r="H699" s="22"/>
      <c r="I699" s="123"/>
      <c r="J699" s="11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</row>
    <row r="700" ht="16.5" customHeight="1">
      <c r="A700" s="107"/>
      <c r="B700" s="138"/>
      <c r="C700" s="168"/>
      <c r="D700" s="195"/>
      <c r="E700" s="205"/>
      <c r="F700" s="122"/>
      <c r="G700" s="166"/>
      <c r="H700" s="22"/>
      <c r="I700" s="123"/>
      <c r="J700" s="11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</row>
    <row r="701" ht="16.5" customHeight="1">
      <c r="A701" s="107"/>
      <c r="B701" s="138"/>
      <c r="C701" s="168"/>
      <c r="D701" s="195"/>
      <c r="E701" s="205"/>
      <c r="F701" s="122"/>
      <c r="G701" s="166"/>
      <c r="H701" s="22"/>
      <c r="I701" s="123"/>
      <c r="J701" s="11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</row>
    <row r="702" ht="16.5" customHeight="1">
      <c r="A702" s="107"/>
      <c r="B702" s="138"/>
      <c r="C702" s="168"/>
      <c r="D702" s="195"/>
      <c r="E702" s="205"/>
      <c r="F702" s="122"/>
      <c r="G702" s="166"/>
      <c r="H702" s="22"/>
      <c r="I702" s="123"/>
      <c r="J702" s="11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</row>
    <row r="703" ht="16.5" customHeight="1">
      <c r="A703" s="107"/>
      <c r="B703" s="138"/>
      <c r="C703" s="168"/>
      <c r="D703" s="195"/>
      <c r="E703" s="205"/>
      <c r="F703" s="122"/>
      <c r="G703" s="166"/>
      <c r="H703" s="22"/>
      <c r="I703" s="123"/>
      <c r="J703" s="11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</row>
    <row r="704" ht="16.5" customHeight="1">
      <c r="A704" s="107"/>
      <c r="B704" s="138"/>
      <c r="C704" s="168"/>
      <c r="D704" s="195"/>
      <c r="E704" s="205"/>
      <c r="F704" s="122"/>
      <c r="G704" s="166"/>
      <c r="H704" s="22"/>
      <c r="I704" s="123"/>
      <c r="J704" s="11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</row>
    <row r="705" ht="16.5" customHeight="1">
      <c r="A705" s="107"/>
      <c r="B705" s="138"/>
      <c r="C705" s="168"/>
      <c r="D705" s="195"/>
      <c r="E705" s="205"/>
      <c r="F705" s="122"/>
      <c r="G705" s="166"/>
      <c r="H705" s="22"/>
      <c r="I705" s="123"/>
      <c r="J705" s="11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</row>
    <row r="706" ht="16.5" customHeight="1">
      <c r="A706" s="107"/>
      <c r="B706" s="138"/>
      <c r="C706" s="168"/>
      <c r="D706" s="195"/>
      <c r="E706" s="205"/>
      <c r="F706" s="122"/>
      <c r="G706" s="166"/>
      <c r="H706" s="22"/>
      <c r="I706" s="123"/>
      <c r="J706" s="11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</row>
    <row r="707" ht="16.5" customHeight="1">
      <c r="A707" s="107"/>
      <c r="B707" s="138"/>
      <c r="C707" s="168"/>
      <c r="D707" s="195"/>
      <c r="E707" s="205"/>
      <c r="F707" s="122"/>
      <c r="G707" s="166"/>
      <c r="H707" s="22"/>
      <c r="I707" s="123"/>
      <c r="J707" s="11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</row>
    <row r="708" ht="16.5" customHeight="1">
      <c r="A708" s="107"/>
      <c r="B708" s="138"/>
      <c r="C708" s="168"/>
      <c r="D708" s="195"/>
      <c r="E708" s="205"/>
      <c r="F708" s="122"/>
      <c r="G708" s="166"/>
      <c r="H708" s="22"/>
      <c r="I708" s="123"/>
      <c r="J708" s="11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</row>
    <row r="709" ht="16.5" customHeight="1">
      <c r="A709" s="107"/>
      <c r="B709" s="138"/>
      <c r="C709" s="168"/>
      <c r="D709" s="195"/>
      <c r="E709" s="205"/>
      <c r="F709" s="122"/>
      <c r="G709" s="166"/>
      <c r="H709" s="22"/>
      <c r="I709" s="123"/>
      <c r="J709" s="11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</row>
    <row r="710" ht="16.5" customHeight="1">
      <c r="A710" s="107"/>
      <c r="B710" s="138"/>
      <c r="C710" s="168"/>
      <c r="D710" s="195"/>
      <c r="E710" s="205"/>
      <c r="F710" s="122"/>
      <c r="G710" s="166"/>
      <c r="H710" s="22"/>
      <c r="I710" s="123"/>
      <c r="J710" s="11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</row>
    <row r="711" ht="16.5" customHeight="1">
      <c r="A711" s="107"/>
      <c r="B711" s="138"/>
      <c r="C711" s="168"/>
      <c r="D711" s="195"/>
      <c r="E711" s="205"/>
      <c r="F711" s="122"/>
      <c r="G711" s="166"/>
      <c r="H711" s="22"/>
      <c r="I711" s="123"/>
      <c r="J711" s="11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</row>
    <row r="712" ht="16.5" customHeight="1">
      <c r="A712" s="107"/>
      <c r="B712" s="138"/>
      <c r="C712" s="168"/>
      <c r="D712" s="195"/>
      <c r="E712" s="205"/>
      <c r="F712" s="122"/>
      <c r="G712" s="166"/>
      <c r="H712" s="22"/>
      <c r="I712" s="123"/>
      <c r="J712" s="11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</row>
    <row r="713" ht="16.5" customHeight="1">
      <c r="A713" s="107"/>
      <c r="B713" s="138"/>
      <c r="C713" s="168"/>
      <c r="D713" s="195"/>
      <c r="E713" s="205"/>
      <c r="F713" s="122"/>
      <c r="G713" s="166"/>
      <c r="H713" s="22"/>
      <c r="I713" s="123"/>
      <c r="J713" s="11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</row>
    <row r="714" ht="16.5" customHeight="1">
      <c r="A714" s="107"/>
      <c r="B714" s="138"/>
      <c r="C714" s="168"/>
      <c r="D714" s="195"/>
      <c r="E714" s="205"/>
      <c r="F714" s="122"/>
      <c r="G714" s="166"/>
      <c r="H714" s="22"/>
      <c r="I714" s="123"/>
      <c r="J714" s="11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</row>
    <row r="715" ht="16.5" customHeight="1">
      <c r="A715" s="107"/>
      <c r="B715" s="138"/>
      <c r="C715" s="168"/>
      <c r="D715" s="195"/>
      <c r="E715" s="205"/>
      <c r="F715" s="122"/>
      <c r="G715" s="166"/>
      <c r="H715" s="22"/>
      <c r="I715" s="123"/>
      <c r="J715" s="11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</row>
    <row r="716" ht="16.5" customHeight="1">
      <c r="A716" s="107"/>
      <c r="B716" s="138"/>
      <c r="C716" s="168"/>
      <c r="D716" s="195"/>
      <c r="E716" s="205"/>
      <c r="F716" s="122"/>
      <c r="G716" s="166"/>
      <c r="H716" s="22"/>
      <c r="I716" s="123"/>
      <c r="J716" s="11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</row>
    <row r="717" ht="16.5" customHeight="1">
      <c r="A717" s="107"/>
      <c r="B717" s="138"/>
      <c r="C717" s="168"/>
      <c r="D717" s="195"/>
      <c r="E717" s="205"/>
      <c r="F717" s="122"/>
      <c r="G717" s="166"/>
      <c r="H717" s="22"/>
      <c r="I717" s="123"/>
      <c r="J717" s="11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</row>
    <row r="718" ht="16.5" customHeight="1">
      <c r="A718" s="107"/>
      <c r="B718" s="138"/>
      <c r="C718" s="168"/>
      <c r="D718" s="195"/>
      <c r="E718" s="205"/>
      <c r="F718" s="122"/>
      <c r="G718" s="166"/>
      <c r="H718" s="22"/>
      <c r="I718" s="123"/>
      <c r="J718" s="11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</row>
    <row r="719" ht="16.5" customHeight="1">
      <c r="A719" s="107"/>
      <c r="B719" s="138"/>
      <c r="C719" s="168"/>
      <c r="D719" s="195"/>
      <c r="E719" s="205"/>
      <c r="F719" s="122"/>
      <c r="G719" s="166"/>
      <c r="H719" s="22"/>
      <c r="I719" s="123"/>
      <c r="J719" s="11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</row>
    <row r="720" ht="16.5" customHeight="1">
      <c r="A720" s="107"/>
      <c r="B720" s="138"/>
      <c r="C720" s="168"/>
      <c r="D720" s="195"/>
      <c r="E720" s="205"/>
      <c r="F720" s="122"/>
      <c r="G720" s="166"/>
      <c r="H720" s="22"/>
      <c r="I720" s="123"/>
      <c r="J720" s="11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</row>
    <row r="721" ht="16.5" customHeight="1">
      <c r="A721" s="107"/>
      <c r="B721" s="138"/>
      <c r="C721" s="168"/>
      <c r="D721" s="195"/>
      <c r="E721" s="205"/>
      <c r="F721" s="122"/>
      <c r="G721" s="166"/>
      <c r="H721" s="22"/>
      <c r="I721" s="123"/>
      <c r="J721" s="11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</row>
    <row r="722" ht="16.5" customHeight="1">
      <c r="A722" s="107"/>
      <c r="B722" s="138"/>
      <c r="C722" s="168"/>
      <c r="D722" s="195"/>
      <c r="E722" s="205"/>
      <c r="F722" s="122"/>
      <c r="G722" s="166"/>
      <c r="H722" s="22"/>
      <c r="I722" s="123"/>
      <c r="J722" s="11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</row>
    <row r="723" ht="16.5" customHeight="1">
      <c r="A723" s="107"/>
      <c r="B723" s="138"/>
      <c r="C723" s="168"/>
      <c r="D723" s="195"/>
      <c r="E723" s="205"/>
      <c r="F723" s="122"/>
      <c r="G723" s="166"/>
      <c r="H723" s="22"/>
      <c r="I723" s="123"/>
      <c r="J723" s="11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</row>
    <row r="724" ht="16.5" customHeight="1">
      <c r="A724" s="107"/>
      <c r="B724" s="138"/>
      <c r="C724" s="168"/>
      <c r="D724" s="195"/>
      <c r="E724" s="205"/>
      <c r="F724" s="122"/>
      <c r="G724" s="166"/>
      <c r="H724" s="22"/>
      <c r="I724" s="123"/>
      <c r="J724" s="11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</row>
    <row r="725" ht="16.5" customHeight="1">
      <c r="A725" s="107"/>
      <c r="B725" s="138"/>
      <c r="C725" s="168"/>
      <c r="D725" s="195"/>
      <c r="E725" s="205"/>
      <c r="F725" s="122"/>
      <c r="G725" s="166"/>
      <c r="H725" s="22"/>
      <c r="I725" s="123"/>
      <c r="J725" s="11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</row>
    <row r="726" ht="16.5" customHeight="1">
      <c r="A726" s="107"/>
      <c r="B726" s="138"/>
      <c r="C726" s="168"/>
      <c r="D726" s="195"/>
      <c r="E726" s="205"/>
      <c r="F726" s="122"/>
      <c r="G726" s="166"/>
      <c r="H726" s="22"/>
      <c r="I726" s="123"/>
      <c r="J726" s="11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</row>
    <row r="727" ht="16.5" customHeight="1">
      <c r="A727" s="107"/>
      <c r="B727" s="138"/>
      <c r="C727" s="168"/>
      <c r="D727" s="195"/>
      <c r="E727" s="205"/>
      <c r="F727" s="122"/>
      <c r="G727" s="166"/>
      <c r="H727" s="22"/>
      <c r="I727" s="123"/>
      <c r="J727" s="11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</row>
    <row r="728" ht="16.5" customHeight="1">
      <c r="A728" s="107"/>
      <c r="B728" s="138"/>
      <c r="C728" s="168"/>
      <c r="D728" s="195"/>
      <c r="E728" s="205"/>
      <c r="F728" s="122"/>
      <c r="G728" s="166"/>
      <c r="H728" s="22"/>
      <c r="I728" s="123"/>
      <c r="J728" s="11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</row>
    <row r="729" ht="16.5" customHeight="1">
      <c r="A729" s="107"/>
      <c r="B729" s="138"/>
      <c r="C729" s="168"/>
      <c r="D729" s="195"/>
      <c r="E729" s="205"/>
      <c r="F729" s="122"/>
      <c r="G729" s="166"/>
      <c r="H729" s="22"/>
      <c r="I729" s="123"/>
      <c r="J729" s="11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</row>
    <row r="730" ht="16.5" customHeight="1">
      <c r="A730" s="107"/>
      <c r="B730" s="138"/>
      <c r="C730" s="168"/>
      <c r="D730" s="195"/>
      <c r="E730" s="205"/>
      <c r="F730" s="122"/>
      <c r="G730" s="166"/>
      <c r="H730" s="22"/>
      <c r="I730" s="123"/>
      <c r="J730" s="11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</row>
    <row r="731" ht="16.5" customHeight="1">
      <c r="A731" s="107"/>
      <c r="B731" s="138"/>
      <c r="C731" s="168"/>
      <c r="D731" s="195"/>
      <c r="E731" s="205"/>
      <c r="F731" s="122"/>
      <c r="G731" s="166"/>
      <c r="H731" s="22"/>
      <c r="I731" s="123"/>
      <c r="J731" s="11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</row>
    <row r="732" ht="16.5" customHeight="1">
      <c r="A732" s="107"/>
      <c r="B732" s="138"/>
      <c r="C732" s="168"/>
      <c r="D732" s="195"/>
      <c r="E732" s="205"/>
      <c r="F732" s="122"/>
      <c r="G732" s="166"/>
      <c r="H732" s="22"/>
      <c r="I732" s="123"/>
      <c r="J732" s="11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</row>
    <row r="733" ht="16.5" customHeight="1">
      <c r="A733" s="107"/>
      <c r="B733" s="138"/>
      <c r="C733" s="168"/>
      <c r="D733" s="195"/>
      <c r="E733" s="205"/>
      <c r="F733" s="122"/>
      <c r="G733" s="166"/>
      <c r="H733" s="22"/>
      <c r="I733" s="123"/>
      <c r="J733" s="11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</row>
    <row r="734" ht="16.5" customHeight="1">
      <c r="A734" s="107"/>
      <c r="B734" s="138"/>
      <c r="C734" s="168"/>
      <c r="D734" s="195"/>
      <c r="E734" s="205"/>
      <c r="F734" s="122"/>
      <c r="G734" s="166"/>
      <c r="H734" s="22"/>
      <c r="I734" s="123"/>
      <c r="J734" s="11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</row>
    <row r="735" ht="16.5" customHeight="1">
      <c r="A735" s="107"/>
      <c r="B735" s="138"/>
      <c r="C735" s="168"/>
      <c r="D735" s="195"/>
      <c r="E735" s="205"/>
      <c r="F735" s="122"/>
      <c r="G735" s="166"/>
      <c r="H735" s="22"/>
      <c r="I735" s="123"/>
      <c r="J735" s="11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</row>
    <row r="736" ht="16.5" customHeight="1">
      <c r="A736" s="107"/>
      <c r="B736" s="138"/>
      <c r="C736" s="168"/>
      <c r="D736" s="195"/>
      <c r="E736" s="205"/>
      <c r="F736" s="122"/>
      <c r="G736" s="166"/>
      <c r="H736" s="22"/>
      <c r="I736" s="123"/>
      <c r="J736" s="11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</row>
    <row r="737" ht="16.5" customHeight="1">
      <c r="A737" s="107"/>
      <c r="B737" s="138"/>
      <c r="C737" s="168"/>
      <c r="D737" s="195"/>
      <c r="E737" s="205"/>
      <c r="F737" s="122"/>
      <c r="G737" s="166"/>
      <c r="H737" s="22"/>
      <c r="I737" s="123"/>
      <c r="J737" s="11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</row>
    <row r="738" ht="16.5" customHeight="1">
      <c r="A738" s="107"/>
      <c r="B738" s="138"/>
      <c r="C738" s="168"/>
      <c r="D738" s="195"/>
      <c r="E738" s="205"/>
      <c r="F738" s="122"/>
      <c r="G738" s="166"/>
      <c r="H738" s="22"/>
      <c r="I738" s="123"/>
      <c r="J738" s="11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</row>
    <row r="739" ht="16.5" customHeight="1">
      <c r="A739" s="107"/>
      <c r="B739" s="138"/>
      <c r="C739" s="168"/>
      <c r="D739" s="195"/>
      <c r="E739" s="205"/>
      <c r="F739" s="122"/>
      <c r="G739" s="166"/>
      <c r="H739" s="22"/>
      <c r="I739" s="123"/>
      <c r="J739" s="11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</row>
    <row r="740" ht="16.5" customHeight="1">
      <c r="A740" s="107"/>
      <c r="B740" s="138"/>
      <c r="C740" s="168"/>
      <c r="D740" s="195"/>
      <c r="E740" s="205"/>
      <c r="F740" s="122"/>
      <c r="G740" s="166"/>
      <c r="H740" s="22"/>
      <c r="I740" s="123"/>
      <c r="J740" s="11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</row>
    <row r="741" ht="16.5" customHeight="1">
      <c r="A741" s="107"/>
      <c r="B741" s="138"/>
      <c r="C741" s="168"/>
      <c r="D741" s="195"/>
      <c r="E741" s="205"/>
      <c r="F741" s="122"/>
      <c r="G741" s="166"/>
      <c r="H741" s="22"/>
      <c r="I741" s="123"/>
      <c r="J741" s="11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</row>
    <row r="742" ht="16.5" customHeight="1">
      <c r="A742" s="107"/>
      <c r="B742" s="138"/>
      <c r="C742" s="168"/>
      <c r="D742" s="195"/>
      <c r="E742" s="205"/>
      <c r="F742" s="122"/>
      <c r="G742" s="166"/>
      <c r="H742" s="22"/>
      <c r="I742" s="123"/>
      <c r="J742" s="11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</row>
    <row r="743" ht="16.5" customHeight="1">
      <c r="A743" s="107"/>
      <c r="B743" s="138"/>
      <c r="C743" s="168"/>
      <c r="D743" s="195"/>
      <c r="E743" s="205"/>
      <c r="F743" s="122"/>
      <c r="G743" s="166"/>
      <c r="H743" s="22"/>
      <c r="I743" s="123"/>
      <c r="J743" s="11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</row>
    <row r="744" ht="16.5" customHeight="1">
      <c r="A744" s="107"/>
      <c r="B744" s="138"/>
      <c r="C744" s="168"/>
      <c r="D744" s="195"/>
      <c r="E744" s="205"/>
      <c r="F744" s="122"/>
      <c r="G744" s="166"/>
      <c r="H744" s="22"/>
      <c r="I744" s="123"/>
      <c r="J744" s="11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</row>
    <row r="745" ht="16.5" customHeight="1">
      <c r="A745" s="107"/>
      <c r="B745" s="138"/>
      <c r="C745" s="168"/>
      <c r="D745" s="195"/>
      <c r="E745" s="205"/>
      <c r="F745" s="122"/>
      <c r="G745" s="166"/>
      <c r="H745" s="22"/>
      <c r="I745" s="123"/>
      <c r="J745" s="11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</row>
    <row r="746" ht="16.5" customHeight="1">
      <c r="A746" s="107"/>
      <c r="B746" s="138"/>
      <c r="C746" s="168"/>
      <c r="D746" s="195"/>
      <c r="E746" s="205"/>
      <c r="F746" s="122"/>
      <c r="G746" s="166"/>
      <c r="H746" s="22"/>
      <c r="I746" s="123"/>
      <c r="J746" s="11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</row>
    <row r="747" ht="16.5" customHeight="1">
      <c r="A747" s="107"/>
      <c r="B747" s="138"/>
      <c r="C747" s="168"/>
      <c r="D747" s="195"/>
      <c r="E747" s="205"/>
      <c r="F747" s="122"/>
      <c r="G747" s="166"/>
      <c r="H747" s="22"/>
      <c r="I747" s="123"/>
      <c r="J747" s="11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</row>
    <row r="748" ht="16.5" customHeight="1">
      <c r="A748" s="107"/>
      <c r="B748" s="138"/>
      <c r="C748" s="168"/>
      <c r="D748" s="195"/>
      <c r="E748" s="205"/>
      <c r="F748" s="122"/>
      <c r="G748" s="166"/>
      <c r="H748" s="22"/>
      <c r="I748" s="123"/>
      <c r="J748" s="11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</row>
    <row r="749" ht="16.5" customHeight="1">
      <c r="A749" s="107"/>
      <c r="B749" s="138"/>
      <c r="C749" s="168"/>
      <c r="D749" s="195"/>
      <c r="E749" s="205"/>
      <c r="F749" s="122"/>
      <c r="G749" s="166"/>
      <c r="H749" s="22"/>
      <c r="I749" s="123"/>
      <c r="J749" s="11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</row>
    <row r="750" ht="16.5" customHeight="1">
      <c r="A750" s="107"/>
      <c r="B750" s="138"/>
      <c r="C750" s="168"/>
      <c r="D750" s="195"/>
      <c r="E750" s="205"/>
      <c r="F750" s="122"/>
      <c r="G750" s="166"/>
      <c r="H750" s="22"/>
      <c r="I750" s="123"/>
      <c r="J750" s="11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</row>
    <row r="751" ht="16.5" customHeight="1">
      <c r="A751" s="107"/>
      <c r="B751" s="138"/>
      <c r="C751" s="168"/>
      <c r="D751" s="195"/>
      <c r="E751" s="205"/>
      <c r="F751" s="122"/>
      <c r="G751" s="166"/>
      <c r="H751" s="22"/>
      <c r="I751" s="123"/>
      <c r="J751" s="11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</row>
    <row r="752" ht="16.5" customHeight="1">
      <c r="A752" s="107"/>
      <c r="B752" s="138"/>
      <c r="C752" s="168"/>
      <c r="D752" s="195"/>
      <c r="E752" s="205"/>
      <c r="F752" s="122"/>
      <c r="G752" s="166"/>
      <c r="H752" s="22"/>
      <c r="I752" s="123"/>
      <c r="J752" s="11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</row>
    <row r="753" ht="16.5" customHeight="1">
      <c r="A753" s="107"/>
      <c r="B753" s="138"/>
      <c r="C753" s="168"/>
      <c r="D753" s="195"/>
      <c r="E753" s="205"/>
      <c r="F753" s="122"/>
      <c r="G753" s="166"/>
      <c r="H753" s="22"/>
      <c r="I753" s="123"/>
      <c r="J753" s="11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</row>
    <row r="754" ht="16.5" customHeight="1">
      <c r="A754" s="107"/>
      <c r="B754" s="138"/>
      <c r="C754" s="168"/>
      <c r="D754" s="195"/>
      <c r="E754" s="205"/>
      <c r="F754" s="122"/>
      <c r="G754" s="166"/>
      <c r="H754" s="22"/>
      <c r="I754" s="123"/>
      <c r="J754" s="11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</row>
    <row r="755" ht="16.5" customHeight="1">
      <c r="A755" s="107"/>
      <c r="B755" s="138"/>
      <c r="C755" s="168"/>
      <c r="D755" s="195"/>
      <c r="E755" s="205"/>
      <c r="F755" s="122"/>
      <c r="G755" s="166"/>
      <c r="H755" s="22"/>
      <c r="I755" s="123"/>
      <c r="J755" s="11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</row>
    <row r="756" ht="16.5" customHeight="1">
      <c r="A756" s="107"/>
      <c r="B756" s="138"/>
      <c r="C756" s="168"/>
      <c r="D756" s="195"/>
      <c r="E756" s="205"/>
      <c r="F756" s="122"/>
      <c r="G756" s="166"/>
      <c r="H756" s="22"/>
      <c r="I756" s="123"/>
      <c r="J756" s="11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</row>
    <row r="757" ht="16.5" customHeight="1">
      <c r="A757" s="107"/>
      <c r="B757" s="138"/>
      <c r="C757" s="168"/>
      <c r="D757" s="195"/>
      <c r="E757" s="205"/>
      <c r="F757" s="122"/>
      <c r="G757" s="166"/>
      <c r="H757" s="22"/>
      <c r="I757" s="123"/>
      <c r="J757" s="11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</row>
    <row r="758" ht="16.5" customHeight="1">
      <c r="A758" s="107"/>
      <c r="B758" s="138"/>
      <c r="C758" s="168"/>
      <c r="D758" s="195"/>
      <c r="E758" s="205"/>
      <c r="F758" s="122"/>
      <c r="G758" s="166"/>
      <c r="H758" s="22"/>
      <c r="I758" s="123"/>
      <c r="J758" s="11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</row>
    <row r="759" ht="16.5" customHeight="1">
      <c r="A759" s="107"/>
      <c r="B759" s="138"/>
      <c r="C759" s="168"/>
      <c r="D759" s="195"/>
      <c r="E759" s="205"/>
      <c r="F759" s="122"/>
      <c r="G759" s="166"/>
      <c r="H759" s="22"/>
      <c r="I759" s="123"/>
      <c r="J759" s="11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</row>
    <row r="760" ht="16.5" customHeight="1">
      <c r="A760" s="107"/>
      <c r="B760" s="138"/>
      <c r="C760" s="168"/>
      <c r="D760" s="195"/>
      <c r="E760" s="205"/>
      <c r="F760" s="122"/>
      <c r="G760" s="166"/>
      <c r="H760" s="22"/>
      <c r="I760" s="123"/>
      <c r="J760" s="11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</row>
    <row r="761" ht="16.5" customHeight="1">
      <c r="A761" s="107"/>
      <c r="B761" s="138"/>
      <c r="C761" s="168"/>
      <c r="D761" s="195"/>
      <c r="E761" s="205"/>
      <c r="F761" s="122"/>
      <c r="G761" s="166"/>
      <c r="H761" s="22"/>
      <c r="I761" s="123"/>
      <c r="J761" s="11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</row>
    <row r="762" ht="16.5" customHeight="1">
      <c r="A762" s="107"/>
      <c r="B762" s="138"/>
      <c r="C762" s="168"/>
      <c r="D762" s="195"/>
      <c r="E762" s="205"/>
      <c r="F762" s="122"/>
      <c r="G762" s="166"/>
      <c r="H762" s="22"/>
      <c r="I762" s="123"/>
      <c r="J762" s="11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</row>
    <row r="763" ht="16.5" customHeight="1">
      <c r="A763" s="107"/>
      <c r="B763" s="138"/>
      <c r="C763" s="168"/>
      <c r="D763" s="195"/>
      <c r="E763" s="205"/>
      <c r="F763" s="122"/>
      <c r="G763" s="166"/>
      <c r="H763" s="22"/>
      <c r="I763" s="123"/>
      <c r="J763" s="11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</row>
    <row r="764" ht="16.5" customHeight="1">
      <c r="A764" s="107"/>
      <c r="B764" s="138"/>
      <c r="C764" s="168"/>
      <c r="D764" s="195"/>
      <c r="E764" s="205"/>
      <c r="F764" s="122"/>
      <c r="G764" s="166"/>
      <c r="H764" s="22"/>
      <c r="I764" s="123"/>
      <c r="J764" s="11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</row>
    <row r="765" ht="16.5" customHeight="1">
      <c r="A765" s="107"/>
      <c r="B765" s="138"/>
      <c r="C765" s="168"/>
      <c r="D765" s="195"/>
      <c r="E765" s="205"/>
      <c r="F765" s="122"/>
      <c r="G765" s="166"/>
      <c r="H765" s="22"/>
      <c r="I765" s="123"/>
      <c r="J765" s="11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</row>
    <row r="766" ht="16.5" customHeight="1">
      <c r="A766" s="107"/>
      <c r="B766" s="138"/>
      <c r="C766" s="168"/>
      <c r="D766" s="195"/>
      <c r="E766" s="205"/>
      <c r="F766" s="122"/>
      <c r="G766" s="166"/>
      <c r="H766" s="22"/>
      <c r="I766" s="123"/>
      <c r="J766" s="11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</row>
    <row r="767" ht="16.5" customHeight="1">
      <c r="A767" s="107"/>
      <c r="B767" s="138"/>
      <c r="C767" s="168"/>
      <c r="D767" s="195"/>
      <c r="E767" s="205"/>
      <c r="F767" s="122"/>
      <c r="G767" s="166"/>
      <c r="H767" s="22"/>
      <c r="I767" s="123"/>
      <c r="J767" s="11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</row>
    <row r="768" ht="16.5" customHeight="1">
      <c r="A768" s="107"/>
      <c r="B768" s="138"/>
      <c r="C768" s="168"/>
      <c r="D768" s="195"/>
      <c r="E768" s="205"/>
      <c r="F768" s="122"/>
      <c r="G768" s="166"/>
      <c r="H768" s="22"/>
      <c r="I768" s="123"/>
      <c r="J768" s="11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</row>
    <row r="769" ht="16.5" customHeight="1">
      <c r="A769" s="107"/>
      <c r="B769" s="138"/>
      <c r="C769" s="168"/>
      <c r="D769" s="195"/>
      <c r="E769" s="205"/>
      <c r="F769" s="122"/>
      <c r="G769" s="166"/>
      <c r="H769" s="22"/>
      <c r="I769" s="123"/>
      <c r="J769" s="11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</row>
    <row r="770" ht="16.5" customHeight="1">
      <c r="A770" s="107"/>
      <c r="B770" s="138"/>
      <c r="C770" s="168"/>
      <c r="D770" s="195"/>
      <c r="E770" s="205"/>
      <c r="F770" s="122"/>
      <c r="G770" s="166"/>
      <c r="H770" s="22"/>
      <c r="I770" s="123"/>
      <c r="J770" s="11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</row>
    <row r="771" ht="16.5" customHeight="1">
      <c r="A771" s="107"/>
      <c r="B771" s="138"/>
      <c r="C771" s="168"/>
      <c r="D771" s="195"/>
      <c r="E771" s="205"/>
      <c r="F771" s="122"/>
      <c r="G771" s="166"/>
      <c r="H771" s="22"/>
      <c r="I771" s="123"/>
      <c r="J771" s="11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</row>
    <row r="772" ht="16.5" customHeight="1">
      <c r="A772" s="107"/>
      <c r="B772" s="138"/>
      <c r="C772" s="168"/>
      <c r="D772" s="195"/>
      <c r="E772" s="205"/>
      <c r="F772" s="122"/>
      <c r="G772" s="166"/>
      <c r="H772" s="22"/>
      <c r="I772" s="123"/>
      <c r="J772" s="11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</row>
    <row r="773" ht="16.5" customHeight="1">
      <c r="A773" s="107"/>
      <c r="B773" s="138"/>
      <c r="C773" s="168"/>
      <c r="D773" s="195"/>
      <c r="E773" s="205"/>
      <c r="F773" s="122"/>
      <c r="G773" s="166"/>
      <c r="H773" s="22"/>
      <c r="I773" s="123"/>
      <c r="J773" s="11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</row>
    <row r="774" ht="16.5" customHeight="1">
      <c r="A774" s="107"/>
      <c r="B774" s="138"/>
      <c r="C774" s="168"/>
      <c r="D774" s="195"/>
      <c r="E774" s="205"/>
      <c r="F774" s="122"/>
      <c r="G774" s="166"/>
      <c r="H774" s="22"/>
      <c r="I774" s="123"/>
      <c r="J774" s="11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</row>
    <row r="775" ht="16.5" customHeight="1">
      <c r="A775" s="107"/>
      <c r="B775" s="138"/>
      <c r="C775" s="168"/>
      <c r="D775" s="195"/>
      <c r="E775" s="205"/>
      <c r="F775" s="122"/>
      <c r="G775" s="166"/>
      <c r="H775" s="22"/>
      <c r="I775" s="123"/>
      <c r="J775" s="11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</row>
    <row r="776" ht="16.5" customHeight="1">
      <c r="A776" s="107"/>
      <c r="B776" s="138"/>
      <c r="C776" s="168"/>
      <c r="D776" s="195"/>
      <c r="E776" s="205"/>
      <c r="F776" s="122"/>
      <c r="G776" s="166"/>
      <c r="H776" s="22"/>
      <c r="I776" s="123"/>
      <c r="J776" s="11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</row>
    <row r="777" ht="16.5" customHeight="1">
      <c r="A777" s="107"/>
      <c r="B777" s="138"/>
      <c r="C777" s="168"/>
      <c r="D777" s="195"/>
      <c r="E777" s="205"/>
      <c r="F777" s="122"/>
      <c r="G777" s="166"/>
      <c r="H777" s="22"/>
      <c r="I777" s="123"/>
      <c r="J777" s="11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</row>
    <row r="778" ht="16.5" customHeight="1">
      <c r="A778" s="107"/>
      <c r="B778" s="138"/>
      <c r="C778" s="168"/>
      <c r="D778" s="195"/>
      <c r="E778" s="205"/>
      <c r="F778" s="122"/>
      <c r="G778" s="166"/>
      <c r="H778" s="22"/>
      <c r="I778" s="123"/>
      <c r="J778" s="11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</row>
    <row r="779" ht="16.5" customHeight="1">
      <c r="A779" s="107"/>
      <c r="B779" s="138"/>
      <c r="C779" s="168"/>
      <c r="D779" s="195"/>
      <c r="E779" s="205"/>
      <c r="F779" s="122"/>
      <c r="G779" s="166"/>
      <c r="H779" s="22"/>
      <c r="I779" s="123"/>
      <c r="J779" s="11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</row>
    <row r="780" ht="16.5" customHeight="1">
      <c r="A780" s="107"/>
      <c r="B780" s="138"/>
      <c r="C780" s="168"/>
      <c r="D780" s="195"/>
      <c r="E780" s="205"/>
      <c r="F780" s="122"/>
      <c r="G780" s="166"/>
      <c r="H780" s="22"/>
      <c r="I780" s="123"/>
      <c r="J780" s="11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</row>
    <row r="781" ht="16.5" customHeight="1">
      <c r="A781" s="107"/>
      <c r="B781" s="138"/>
      <c r="C781" s="168"/>
      <c r="D781" s="195"/>
      <c r="E781" s="205"/>
      <c r="F781" s="122"/>
      <c r="G781" s="166"/>
      <c r="H781" s="22"/>
      <c r="I781" s="123"/>
      <c r="J781" s="11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</row>
    <row r="782" ht="16.5" customHeight="1">
      <c r="A782" s="107"/>
      <c r="B782" s="138"/>
      <c r="C782" s="168"/>
      <c r="D782" s="195"/>
      <c r="E782" s="205"/>
      <c r="F782" s="122"/>
      <c r="G782" s="166"/>
      <c r="H782" s="22"/>
      <c r="I782" s="123"/>
      <c r="J782" s="11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</row>
    <row r="783" ht="16.5" customHeight="1">
      <c r="A783" s="107"/>
      <c r="B783" s="138"/>
      <c r="C783" s="168"/>
      <c r="D783" s="195"/>
      <c r="E783" s="205"/>
      <c r="F783" s="122"/>
      <c r="G783" s="166"/>
      <c r="H783" s="22"/>
      <c r="I783" s="123"/>
      <c r="J783" s="11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</row>
    <row r="784" ht="16.5" customHeight="1">
      <c r="A784" s="107"/>
      <c r="B784" s="138"/>
      <c r="C784" s="168"/>
      <c r="D784" s="195"/>
      <c r="E784" s="205"/>
      <c r="F784" s="122"/>
      <c r="G784" s="166"/>
      <c r="H784" s="22"/>
      <c r="I784" s="123"/>
      <c r="J784" s="11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</row>
    <row r="785" ht="16.5" customHeight="1">
      <c r="A785" s="107"/>
      <c r="B785" s="138"/>
      <c r="C785" s="168"/>
      <c r="D785" s="195"/>
      <c r="E785" s="205"/>
      <c r="F785" s="122"/>
      <c r="G785" s="166"/>
      <c r="H785" s="22"/>
      <c r="I785" s="123"/>
      <c r="J785" s="11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</row>
    <row r="786" ht="16.5" customHeight="1">
      <c r="A786" s="107"/>
      <c r="B786" s="138"/>
      <c r="C786" s="168"/>
      <c r="D786" s="195"/>
      <c r="E786" s="205"/>
      <c r="F786" s="122"/>
      <c r="G786" s="166"/>
      <c r="H786" s="22"/>
      <c r="I786" s="123"/>
      <c r="J786" s="11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</row>
    <row r="787" ht="16.5" customHeight="1">
      <c r="A787" s="107"/>
      <c r="B787" s="138"/>
      <c r="C787" s="168"/>
      <c r="D787" s="195"/>
      <c r="E787" s="205"/>
      <c r="F787" s="122"/>
      <c r="G787" s="166"/>
      <c r="H787" s="22"/>
      <c r="I787" s="123"/>
      <c r="J787" s="11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</row>
    <row r="788" ht="16.5" customHeight="1">
      <c r="A788" s="107"/>
      <c r="B788" s="138"/>
      <c r="C788" s="168"/>
      <c r="D788" s="195"/>
      <c r="E788" s="205"/>
      <c r="F788" s="122"/>
      <c r="G788" s="166"/>
      <c r="H788" s="22"/>
      <c r="I788" s="123"/>
      <c r="J788" s="11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</row>
    <row r="789" ht="16.5" customHeight="1">
      <c r="A789" s="107"/>
      <c r="B789" s="138"/>
      <c r="C789" s="168"/>
      <c r="D789" s="195"/>
      <c r="E789" s="205"/>
      <c r="F789" s="122"/>
      <c r="G789" s="166"/>
      <c r="H789" s="22"/>
      <c r="I789" s="123"/>
      <c r="J789" s="11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</row>
    <row r="790" ht="16.5" customHeight="1">
      <c r="A790" s="107"/>
      <c r="B790" s="138"/>
      <c r="C790" s="168"/>
      <c r="D790" s="195"/>
      <c r="E790" s="205"/>
      <c r="F790" s="122"/>
      <c r="G790" s="166"/>
      <c r="H790" s="22"/>
      <c r="I790" s="123"/>
      <c r="J790" s="11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</row>
    <row r="791" ht="16.5" customHeight="1">
      <c r="A791" s="107"/>
      <c r="B791" s="138"/>
      <c r="C791" s="168"/>
      <c r="D791" s="195"/>
      <c r="E791" s="205"/>
      <c r="F791" s="122"/>
      <c r="G791" s="166"/>
      <c r="H791" s="22"/>
      <c r="I791" s="123"/>
      <c r="J791" s="11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</row>
    <row r="792" ht="16.5" customHeight="1">
      <c r="A792" s="107"/>
      <c r="B792" s="138"/>
      <c r="C792" s="168"/>
      <c r="D792" s="195"/>
      <c r="E792" s="205"/>
      <c r="F792" s="122"/>
      <c r="G792" s="166"/>
      <c r="H792" s="22"/>
      <c r="I792" s="123"/>
      <c r="J792" s="11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</row>
    <row r="793" ht="16.5" customHeight="1">
      <c r="A793" s="107"/>
      <c r="B793" s="138"/>
      <c r="C793" s="168"/>
      <c r="D793" s="195"/>
      <c r="E793" s="205"/>
      <c r="F793" s="122"/>
      <c r="G793" s="166"/>
      <c r="H793" s="22"/>
      <c r="I793" s="123"/>
      <c r="J793" s="11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</row>
    <row r="794" ht="16.5" customHeight="1">
      <c r="A794" s="107"/>
      <c r="B794" s="138"/>
      <c r="C794" s="168"/>
      <c r="D794" s="195"/>
      <c r="E794" s="205"/>
      <c r="F794" s="122"/>
      <c r="G794" s="166"/>
      <c r="H794" s="22"/>
      <c r="I794" s="123"/>
      <c r="J794" s="11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</row>
    <row r="795" ht="16.5" customHeight="1">
      <c r="A795" s="107"/>
      <c r="B795" s="138"/>
      <c r="C795" s="168"/>
      <c r="D795" s="195"/>
      <c r="E795" s="205"/>
      <c r="F795" s="122"/>
      <c r="G795" s="166"/>
      <c r="H795" s="22"/>
      <c r="I795" s="123"/>
      <c r="J795" s="11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</row>
    <row r="796" ht="16.5" customHeight="1">
      <c r="A796" s="107"/>
      <c r="B796" s="138"/>
      <c r="C796" s="168"/>
      <c r="D796" s="195"/>
      <c r="E796" s="205"/>
      <c r="F796" s="122"/>
      <c r="G796" s="166"/>
      <c r="H796" s="22"/>
      <c r="I796" s="123"/>
      <c r="J796" s="11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</row>
    <row r="797" ht="16.5" customHeight="1">
      <c r="A797" s="107"/>
      <c r="B797" s="138"/>
      <c r="C797" s="168"/>
      <c r="D797" s="195"/>
      <c r="E797" s="205"/>
      <c r="F797" s="122"/>
      <c r="G797" s="166"/>
      <c r="H797" s="22"/>
      <c r="I797" s="123"/>
      <c r="J797" s="11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</row>
    <row r="798" ht="16.5" customHeight="1">
      <c r="A798" s="107"/>
      <c r="B798" s="138"/>
      <c r="C798" s="168"/>
      <c r="D798" s="195"/>
      <c r="E798" s="205"/>
      <c r="F798" s="122"/>
      <c r="G798" s="166"/>
      <c r="H798" s="22"/>
      <c r="I798" s="123"/>
      <c r="J798" s="11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</row>
    <row r="799" ht="16.5" customHeight="1">
      <c r="A799" s="107"/>
      <c r="B799" s="138"/>
      <c r="C799" s="168"/>
      <c r="D799" s="195"/>
      <c r="E799" s="205"/>
      <c r="F799" s="122"/>
      <c r="G799" s="166"/>
      <c r="H799" s="22"/>
      <c r="I799" s="123"/>
      <c r="J799" s="11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</row>
    <row r="800" ht="16.5" customHeight="1">
      <c r="A800" s="107"/>
      <c r="B800" s="138"/>
      <c r="C800" s="168"/>
      <c r="D800" s="195"/>
      <c r="E800" s="205"/>
      <c r="F800" s="122"/>
      <c r="G800" s="166"/>
      <c r="H800" s="22"/>
      <c r="I800" s="123"/>
      <c r="J800" s="11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</row>
    <row r="801" ht="16.5" customHeight="1">
      <c r="A801" s="107"/>
      <c r="B801" s="138"/>
      <c r="C801" s="168"/>
      <c r="D801" s="195"/>
      <c r="E801" s="205"/>
      <c r="F801" s="122"/>
      <c r="G801" s="166"/>
      <c r="H801" s="22"/>
      <c r="I801" s="123"/>
      <c r="J801" s="11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</row>
    <row r="802" ht="16.5" customHeight="1">
      <c r="A802" s="107"/>
      <c r="B802" s="138"/>
      <c r="C802" s="168"/>
      <c r="D802" s="195"/>
      <c r="E802" s="205"/>
      <c r="F802" s="122"/>
      <c r="G802" s="166"/>
      <c r="H802" s="22"/>
      <c r="I802" s="123"/>
      <c r="J802" s="11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</row>
    <row r="803" ht="16.5" customHeight="1">
      <c r="A803" s="107"/>
      <c r="B803" s="138"/>
      <c r="C803" s="168"/>
      <c r="D803" s="195"/>
      <c r="E803" s="205"/>
      <c r="F803" s="122"/>
      <c r="G803" s="166"/>
      <c r="H803" s="22"/>
      <c r="I803" s="123"/>
      <c r="J803" s="11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</row>
    <row r="804" ht="16.5" customHeight="1">
      <c r="A804" s="107"/>
      <c r="B804" s="138"/>
      <c r="C804" s="168"/>
      <c r="D804" s="195"/>
      <c r="E804" s="205"/>
      <c r="F804" s="122"/>
      <c r="G804" s="166"/>
      <c r="H804" s="22"/>
      <c r="I804" s="123"/>
      <c r="J804" s="11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</row>
    <row r="805" ht="16.5" customHeight="1">
      <c r="A805" s="107"/>
      <c r="B805" s="138"/>
      <c r="C805" s="168"/>
      <c r="D805" s="195"/>
      <c r="E805" s="205"/>
      <c r="F805" s="122"/>
      <c r="G805" s="166"/>
      <c r="H805" s="22"/>
      <c r="I805" s="123"/>
      <c r="J805" s="11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</row>
    <row r="806" ht="16.5" customHeight="1">
      <c r="A806" s="107"/>
      <c r="B806" s="138"/>
      <c r="C806" s="168"/>
      <c r="D806" s="195"/>
      <c r="E806" s="205"/>
      <c r="F806" s="122"/>
      <c r="G806" s="166"/>
      <c r="H806" s="22"/>
      <c r="I806" s="123"/>
      <c r="J806" s="11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</row>
    <row r="807" ht="16.5" customHeight="1">
      <c r="A807" s="107"/>
      <c r="B807" s="138"/>
      <c r="C807" s="168"/>
      <c r="D807" s="195"/>
      <c r="E807" s="205"/>
      <c r="F807" s="122"/>
      <c r="G807" s="166"/>
      <c r="H807" s="22"/>
      <c r="I807" s="123"/>
      <c r="J807" s="11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</row>
    <row r="808" ht="16.5" customHeight="1">
      <c r="A808" s="107"/>
      <c r="B808" s="138"/>
      <c r="C808" s="168"/>
      <c r="D808" s="195"/>
      <c r="E808" s="205"/>
      <c r="F808" s="122"/>
      <c r="G808" s="166"/>
      <c r="H808" s="22"/>
      <c r="I808" s="123"/>
      <c r="J808" s="11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</row>
    <row r="809" ht="16.5" customHeight="1">
      <c r="A809" s="107"/>
      <c r="B809" s="138"/>
      <c r="C809" s="168"/>
      <c r="D809" s="195"/>
      <c r="E809" s="205"/>
      <c r="F809" s="122"/>
      <c r="G809" s="166"/>
      <c r="H809" s="22"/>
      <c r="I809" s="123"/>
      <c r="J809" s="11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</row>
    <row r="810" ht="16.5" customHeight="1">
      <c r="A810" s="107"/>
      <c r="B810" s="138"/>
      <c r="C810" s="168"/>
      <c r="D810" s="195"/>
      <c r="E810" s="205"/>
      <c r="F810" s="122"/>
      <c r="G810" s="166"/>
      <c r="H810" s="22"/>
      <c r="I810" s="123"/>
      <c r="J810" s="11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</row>
    <row r="811" ht="16.5" customHeight="1">
      <c r="A811" s="107"/>
      <c r="B811" s="138"/>
      <c r="C811" s="168"/>
      <c r="D811" s="195"/>
      <c r="E811" s="205"/>
      <c r="F811" s="122"/>
      <c r="G811" s="166"/>
      <c r="H811" s="22"/>
      <c r="I811" s="123"/>
      <c r="J811" s="11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</row>
    <row r="812" ht="16.5" customHeight="1">
      <c r="A812" s="107"/>
      <c r="B812" s="138"/>
      <c r="C812" s="168"/>
      <c r="D812" s="195"/>
      <c r="E812" s="205"/>
      <c r="F812" s="122"/>
      <c r="G812" s="166"/>
      <c r="H812" s="22"/>
      <c r="I812" s="123"/>
      <c r="J812" s="11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</row>
    <row r="813" ht="16.5" customHeight="1">
      <c r="A813" s="107"/>
      <c r="B813" s="138"/>
      <c r="C813" s="168"/>
      <c r="D813" s="195"/>
      <c r="E813" s="205"/>
      <c r="F813" s="122"/>
      <c r="G813" s="166"/>
      <c r="H813" s="22"/>
      <c r="I813" s="123"/>
      <c r="J813" s="11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</row>
    <row r="814" ht="16.5" customHeight="1">
      <c r="A814" s="107"/>
      <c r="B814" s="138"/>
      <c r="C814" s="168"/>
      <c r="D814" s="195"/>
      <c r="E814" s="205"/>
      <c r="F814" s="122"/>
      <c r="G814" s="166"/>
      <c r="H814" s="22"/>
      <c r="I814" s="123"/>
      <c r="J814" s="11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</row>
    <row r="815" ht="16.5" customHeight="1">
      <c r="A815" s="107"/>
      <c r="B815" s="138"/>
      <c r="C815" s="168"/>
      <c r="D815" s="195"/>
      <c r="E815" s="205"/>
      <c r="F815" s="122"/>
      <c r="G815" s="166"/>
      <c r="H815" s="22"/>
      <c r="I815" s="123"/>
      <c r="J815" s="11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</row>
    <row r="816" ht="16.5" customHeight="1">
      <c r="A816" s="107"/>
      <c r="B816" s="138"/>
      <c r="C816" s="168"/>
      <c r="D816" s="195"/>
      <c r="E816" s="205"/>
      <c r="F816" s="122"/>
      <c r="G816" s="166"/>
      <c r="H816" s="22"/>
      <c r="I816" s="123"/>
      <c r="J816" s="11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</row>
    <row r="817" ht="16.5" customHeight="1">
      <c r="A817" s="107"/>
      <c r="B817" s="138"/>
      <c r="C817" s="168"/>
      <c r="D817" s="195"/>
      <c r="E817" s="205"/>
      <c r="F817" s="122"/>
      <c r="G817" s="166"/>
      <c r="H817" s="22"/>
      <c r="I817" s="123"/>
      <c r="J817" s="11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</row>
    <row r="818" ht="16.5" customHeight="1">
      <c r="A818" s="107"/>
      <c r="B818" s="138"/>
      <c r="C818" s="168"/>
      <c r="D818" s="195"/>
      <c r="E818" s="205"/>
      <c r="F818" s="122"/>
      <c r="G818" s="166"/>
      <c r="H818" s="22"/>
      <c r="I818" s="123"/>
      <c r="J818" s="11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</row>
    <row r="819" ht="16.5" customHeight="1">
      <c r="A819" s="107"/>
      <c r="B819" s="138"/>
      <c r="C819" s="168"/>
      <c r="D819" s="195"/>
      <c r="E819" s="205"/>
      <c r="F819" s="122"/>
      <c r="G819" s="166"/>
      <c r="H819" s="22"/>
      <c r="I819" s="123"/>
      <c r="J819" s="11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</row>
    <row r="820" ht="16.5" customHeight="1">
      <c r="A820" s="107"/>
      <c r="B820" s="138"/>
      <c r="C820" s="168"/>
      <c r="D820" s="195"/>
      <c r="E820" s="205"/>
      <c r="F820" s="122"/>
      <c r="G820" s="166"/>
      <c r="H820" s="22"/>
      <c r="I820" s="123"/>
      <c r="J820" s="11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</row>
    <row r="821" ht="16.5" customHeight="1">
      <c r="A821" s="107"/>
      <c r="B821" s="138"/>
      <c r="C821" s="168"/>
      <c r="D821" s="195"/>
      <c r="E821" s="205"/>
      <c r="F821" s="122"/>
      <c r="G821" s="166"/>
      <c r="H821" s="22"/>
      <c r="I821" s="123"/>
      <c r="J821" s="11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</row>
    <row r="822" ht="16.5" customHeight="1">
      <c r="A822" s="107"/>
      <c r="B822" s="138"/>
      <c r="C822" s="168"/>
      <c r="D822" s="195"/>
      <c r="E822" s="205"/>
      <c r="F822" s="122"/>
      <c r="G822" s="166"/>
      <c r="H822" s="22"/>
      <c r="I822" s="123"/>
      <c r="J822" s="11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</row>
    <row r="823" ht="16.5" customHeight="1">
      <c r="A823" s="107"/>
      <c r="B823" s="138"/>
      <c r="C823" s="168"/>
      <c r="D823" s="195"/>
      <c r="E823" s="205"/>
      <c r="F823" s="122"/>
      <c r="G823" s="166"/>
      <c r="H823" s="22"/>
      <c r="I823" s="123"/>
      <c r="J823" s="11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</row>
    <row r="824" ht="16.5" customHeight="1">
      <c r="A824" s="107"/>
      <c r="B824" s="138"/>
      <c r="C824" s="168"/>
      <c r="D824" s="195"/>
      <c r="E824" s="205"/>
      <c r="F824" s="122"/>
      <c r="G824" s="166"/>
      <c r="H824" s="22"/>
      <c r="I824" s="123"/>
      <c r="J824" s="11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</row>
    <row r="825" ht="16.5" customHeight="1">
      <c r="A825" s="107"/>
      <c r="B825" s="138"/>
      <c r="C825" s="168"/>
      <c r="D825" s="195"/>
      <c r="E825" s="205"/>
      <c r="F825" s="122"/>
      <c r="G825" s="166"/>
      <c r="H825" s="22"/>
      <c r="I825" s="123"/>
      <c r="J825" s="11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</row>
    <row r="826" ht="16.5" customHeight="1">
      <c r="A826" s="107"/>
      <c r="B826" s="138"/>
      <c r="C826" s="168"/>
      <c r="D826" s="195"/>
      <c r="E826" s="205"/>
      <c r="F826" s="122"/>
      <c r="G826" s="166"/>
      <c r="H826" s="22"/>
      <c r="I826" s="123"/>
      <c r="J826" s="11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</row>
    <row r="827" ht="16.5" customHeight="1">
      <c r="A827" s="107"/>
      <c r="B827" s="138"/>
      <c r="C827" s="168"/>
      <c r="D827" s="195"/>
      <c r="E827" s="205"/>
      <c r="F827" s="122"/>
      <c r="G827" s="166"/>
      <c r="H827" s="22"/>
      <c r="I827" s="123"/>
      <c r="J827" s="11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</row>
    <row r="828" ht="16.5" customHeight="1">
      <c r="A828" s="107"/>
      <c r="B828" s="138"/>
      <c r="C828" s="168"/>
      <c r="D828" s="195"/>
      <c r="E828" s="205"/>
      <c r="F828" s="122"/>
      <c r="G828" s="166"/>
      <c r="H828" s="22"/>
      <c r="I828" s="123"/>
      <c r="J828" s="11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</row>
    <row r="829" ht="16.5" customHeight="1">
      <c r="A829" s="107"/>
      <c r="B829" s="138"/>
      <c r="C829" s="168"/>
      <c r="D829" s="195"/>
      <c r="E829" s="205"/>
      <c r="F829" s="122"/>
      <c r="G829" s="166"/>
      <c r="H829" s="22"/>
      <c r="I829" s="123"/>
      <c r="J829" s="11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</row>
    <row r="830" ht="16.5" customHeight="1">
      <c r="A830" s="107"/>
      <c r="B830" s="138"/>
      <c r="C830" s="168"/>
      <c r="D830" s="195"/>
      <c r="E830" s="205"/>
      <c r="F830" s="122"/>
      <c r="G830" s="166"/>
      <c r="H830" s="22"/>
      <c r="I830" s="123"/>
      <c r="J830" s="11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</row>
    <row r="831" ht="16.5" customHeight="1">
      <c r="A831" s="107"/>
      <c r="B831" s="138"/>
      <c r="C831" s="168"/>
      <c r="D831" s="195"/>
      <c r="E831" s="205"/>
      <c r="F831" s="122"/>
      <c r="G831" s="166"/>
      <c r="H831" s="22"/>
      <c r="I831" s="123"/>
      <c r="J831" s="11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</row>
    <row r="832" ht="16.5" customHeight="1">
      <c r="A832" s="107"/>
      <c r="B832" s="138"/>
      <c r="C832" s="168"/>
      <c r="D832" s="195"/>
      <c r="E832" s="205"/>
      <c r="F832" s="122"/>
      <c r="G832" s="166"/>
      <c r="H832" s="22"/>
      <c r="I832" s="123"/>
      <c r="J832" s="11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</row>
    <row r="833" ht="16.5" customHeight="1">
      <c r="A833" s="107"/>
      <c r="B833" s="138"/>
      <c r="C833" s="168"/>
      <c r="D833" s="195"/>
      <c r="E833" s="205"/>
      <c r="F833" s="122"/>
      <c r="G833" s="166"/>
      <c r="H833" s="22"/>
      <c r="I833" s="123"/>
      <c r="J833" s="11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</row>
    <row r="834" ht="16.5" customHeight="1">
      <c r="A834" s="107"/>
      <c r="B834" s="138"/>
      <c r="C834" s="168"/>
      <c r="D834" s="195"/>
      <c r="E834" s="205"/>
      <c r="F834" s="122"/>
      <c r="G834" s="166"/>
      <c r="H834" s="22"/>
      <c r="I834" s="123"/>
      <c r="J834" s="11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</row>
    <row r="835" ht="16.5" customHeight="1">
      <c r="A835" s="107"/>
      <c r="B835" s="138"/>
      <c r="C835" s="168"/>
      <c r="D835" s="195"/>
      <c r="E835" s="205"/>
      <c r="F835" s="122"/>
      <c r="G835" s="166"/>
      <c r="H835" s="22"/>
      <c r="I835" s="123"/>
      <c r="J835" s="11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</row>
    <row r="836" ht="16.5" customHeight="1">
      <c r="A836" s="107"/>
      <c r="B836" s="138"/>
      <c r="C836" s="168"/>
      <c r="D836" s="195"/>
      <c r="E836" s="205"/>
      <c r="F836" s="122"/>
      <c r="G836" s="166"/>
      <c r="H836" s="22"/>
      <c r="I836" s="123"/>
      <c r="J836" s="11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</row>
    <row r="837" ht="16.5" customHeight="1">
      <c r="A837" s="107"/>
      <c r="B837" s="138"/>
      <c r="C837" s="168"/>
      <c r="D837" s="195"/>
      <c r="E837" s="205"/>
      <c r="F837" s="122"/>
      <c r="G837" s="166"/>
      <c r="H837" s="22"/>
      <c r="I837" s="123"/>
      <c r="J837" s="11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</row>
    <row r="838" ht="16.5" customHeight="1">
      <c r="A838" s="107"/>
      <c r="B838" s="138"/>
      <c r="C838" s="168"/>
      <c r="D838" s="195"/>
      <c r="E838" s="205"/>
      <c r="F838" s="122"/>
      <c r="G838" s="166"/>
      <c r="H838" s="22"/>
      <c r="I838" s="123"/>
      <c r="J838" s="11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</row>
    <row r="839" ht="16.5" customHeight="1">
      <c r="A839" s="107"/>
      <c r="B839" s="138"/>
      <c r="C839" s="168"/>
      <c r="D839" s="195"/>
      <c r="E839" s="205"/>
      <c r="F839" s="122"/>
      <c r="G839" s="166"/>
      <c r="H839" s="22"/>
      <c r="I839" s="123"/>
      <c r="J839" s="11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</row>
    <row r="840" ht="16.5" customHeight="1">
      <c r="A840" s="107"/>
      <c r="B840" s="138"/>
      <c r="C840" s="168"/>
      <c r="D840" s="195"/>
      <c r="E840" s="205"/>
      <c r="F840" s="122"/>
      <c r="G840" s="166"/>
      <c r="H840" s="22"/>
      <c r="I840" s="123"/>
      <c r="J840" s="11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</row>
    <row r="841" ht="16.5" customHeight="1">
      <c r="A841" s="107"/>
      <c r="B841" s="138"/>
      <c r="C841" s="168"/>
      <c r="D841" s="195"/>
      <c r="E841" s="205"/>
      <c r="F841" s="122"/>
      <c r="G841" s="166"/>
      <c r="H841" s="22"/>
      <c r="I841" s="123"/>
      <c r="J841" s="11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</row>
    <row r="842" ht="16.5" customHeight="1">
      <c r="A842" s="107"/>
      <c r="B842" s="138"/>
      <c r="C842" s="168"/>
      <c r="D842" s="195"/>
      <c r="E842" s="205"/>
      <c r="F842" s="122"/>
      <c r="G842" s="166"/>
      <c r="H842" s="22"/>
      <c r="I842" s="123"/>
      <c r="J842" s="11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</row>
    <row r="843" ht="16.5" customHeight="1">
      <c r="A843" s="107"/>
      <c r="B843" s="138"/>
      <c r="C843" s="168"/>
      <c r="D843" s="195"/>
      <c r="E843" s="205"/>
      <c r="F843" s="122"/>
      <c r="G843" s="166"/>
      <c r="H843" s="22"/>
      <c r="I843" s="123"/>
      <c r="J843" s="11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</row>
    <row r="844" ht="16.5" customHeight="1">
      <c r="A844" s="107"/>
      <c r="B844" s="138"/>
      <c r="C844" s="168"/>
      <c r="D844" s="195"/>
      <c r="E844" s="205"/>
      <c r="F844" s="122"/>
      <c r="G844" s="166"/>
      <c r="H844" s="22"/>
      <c r="I844" s="123"/>
      <c r="J844" s="11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</row>
    <row r="845" ht="16.5" customHeight="1">
      <c r="A845" s="107"/>
      <c r="B845" s="138"/>
      <c r="C845" s="168"/>
      <c r="D845" s="195"/>
      <c r="E845" s="205"/>
      <c r="F845" s="122"/>
      <c r="G845" s="166"/>
      <c r="H845" s="22"/>
      <c r="I845" s="123"/>
      <c r="J845" s="11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</row>
    <row r="846" ht="16.5" customHeight="1">
      <c r="A846" s="107"/>
      <c r="B846" s="138"/>
      <c r="C846" s="168"/>
      <c r="D846" s="195"/>
      <c r="E846" s="205"/>
      <c r="F846" s="122"/>
      <c r="G846" s="166"/>
      <c r="H846" s="22"/>
      <c r="I846" s="123"/>
      <c r="J846" s="11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</row>
    <row r="847" ht="16.5" customHeight="1">
      <c r="A847" s="107"/>
      <c r="B847" s="138"/>
      <c r="C847" s="168"/>
      <c r="D847" s="195"/>
      <c r="E847" s="205"/>
      <c r="F847" s="122"/>
      <c r="G847" s="166"/>
      <c r="H847" s="22"/>
      <c r="I847" s="123"/>
      <c r="J847" s="11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</row>
    <row r="848" ht="16.5" customHeight="1">
      <c r="A848" s="107"/>
      <c r="B848" s="138"/>
      <c r="C848" s="168"/>
      <c r="D848" s="195"/>
      <c r="E848" s="205"/>
      <c r="F848" s="122"/>
      <c r="G848" s="166"/>
      <c r="H848" s="22"/>
      <c r="I848" s="123"/>
      <c r="J848" s="11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</row>
    <row r="849" ht="16.5" customHeight="1">
      <c r="A849" s="107"/>
      <c r="B849" s="138"/>
      <c r="C849" s="168"/>
      <c r="D849" s="195"/>
      <c r="E849" s="205"/>
      <c r="F849" s="122"/>
      <c r="G849" s="166"/>
      <c r="H849" s="22"/>
      <c r="I849" s="123"/>
      <c r="J849" s="11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</row>
    <row r="850" ht="16.5" customHeight="1">
      <c r="A850" s="107"/>
      <c r="B850" s="138"/>
      <c r="C850" s="168"/>
      <c r="D850" s="195"/>
      <c r="E850" s="205"/>
      <c r="F850" s="122"/>
      <c r="G850" s="166"/>
      <c r="H850" s="22"/>
      <c r="I850" s="123"/>
      <c r="J850" s="11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</row>
    <row r="851" ht="16.5" customHeight="1">
      <c r="A851" s="107"/>
      <c r="B851" s="138"/>
      <c r="C851" s="168"/>
      <c r="D851" s="195"/>
      <c r="E851" s="205"/>
      <c r="F851" s="122"/>
      <c r="G851" s="166"/>
      <c r="H851" s="22"/>
      <c r="I851" s="123"/>
      <c r="J851" s="11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</row>
    <row r="852" ht="16.5" customHeight="1">
      <c r="A852" s="107"/>
      <c r="B852" s="138"/>
      <c r="C852" s="168"/>
      <c r="D852" s="195"/>
      <c r="E852" s="205"/>
      <c r="F852" s="122"/>
      <c r="G852" s="166"/>
      <c r="H852" s="22"/>
      <c r="I852" s="123"/>
      <c r="J852" s="11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</row>
    <row r="853" ht="16.5" customHeight="1">
      <c r="A853" s="107"/>
      <c r="B853" s="138"/>
      <c r="C853" s="168"/>
      <c r="D853" s="195"/>
      <c r="E853" s="205"/>
      <c r="F853" s="122"/>
      <c r="G853" s="166"/>
      <c r="H853" s="22"/>
      <c r="I853" s="123"/>
      <c r="J853" s="11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</row>
    <row r="854" ht="16.5" customHeight="1">
      <c r="A854" s="107"/>
      <c r="B854" s="138"/>
      <c r="C854" s="168"/>
      <c r="D854" s="195"/>
      <c r="E854" s="205"/>
      <c r="F854" s="122"/>
      <c r="G854" s="166"/>
      <c r="H854" s="22"/>
      <c r="I854" s="123"/>
      <c r="J854" s="11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</row>
    <row r="855" ht="16.5" customHeight="1">
      <c r="A855" s="107"/>
      <c r="B855" s="138"/>
      <c r="C855" s="168"/>
      <c r="D855" s="195"/>
      <c r="E855" s="205"/>
      <c r="F855" s="122"/>
      <c r="G855" s="166"/>
      <c r="H855" s="22"/>
      <c r="I855" s="123"/>
      <c r="J855" s="11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</row>
    <row r="856" ht="16.5" customHeight="1">
      <c r="A856" s="107"/>
      <c r="B856" s="138"/>
      <c r="C856" s="168"/>
      <c r="D856" s="195"/>
      <c r="E856" s="205"/>
      <c r="F856" s="122"/>
      <c r="G856" s="166"/>
      <c r="H856" s="22"/>
      <c r="I856" s="123"/>
      <c r="J856" s="11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</row>
    <row r="857" ht="16.5" customHeight="1">
      <c r="A857" s="107"/>
      <c r="B857" s="138"/>
      <c r="C857" s="168"/>
      <c r="D857" s="195"/>
      <c r="E857" s="205"/>
      <c r="F857" s="122"/>
      <c r="G857" s="166"/>
      <c r="H857" s="22"/>
      <c r="I857" s="123"/>
      <c r="J857" s="11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</row>
    <row r="858" ht="16.5" customHeight="1">
      <c r="A858" s="107"/>
      <c r="B858" s="138"/>
      <c r="C858" s="168"/>
      <c r="D858" s="195"/>
      <c r="E858" s="205"/>
      <c r="F858" s="122"/>
      <c r="G858" s="166"/>
      <c r="H858" s="22"/>
      <c r="I858" s="123"/>
      <c r="J858" s="11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</row>
    <row r="859" ht="16.5" customHeight="1">
      <c r="A859" s="107"/>
      <c r="B859" s="138"/>
      <c r="C859" s="168"/>
      <c r="D859" s="195"/>
      <c r="E859" s="205"/>
      <c r="F859" s="122"/>
      <c r="G859" s="166"/>
      <c r="H859" s="22"/>
      <c r="I859" s="123"/>
      <c r="J859" s="11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</row>
    <row r="860" ht="16.5" customHeight="1">
      <c r="A860" s="107"/>
      <c r="B860" s="138"/>
      <c r="C860" s="168"/>
      <c r="D860" s="195"/>
      <c r="E860" s="205"/>
      <c r="F860" s="122"/>
      <c r="G860" s="166"/>
      <c r="H860" s="22"/>
      <c r="I860" s="123"/>
      <c r="J860" s="11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</row>
    <row r="861" ht="16.5" customHeight="1">
      <c r="A861" s="107"/>
      <c r="B861" s="138"/>
      <c r="C861" s="168"/>
      <c r="D861" s="195"/>
      <c r="E861" s="205"/>
      <c r="F861" s="122"/>
      <c r="G861" s="166"/>
      <c r="H861" s="22"/>
      <c r="I861" s="123"/>
      <c r="J861" s="11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</row>
    <row r="862" ht="16.5" customHeight="1">
      <c r="A862" s="107"/>
      <c r="B862" s="138"/>
      <c r="C862" s="168"/>
      <c r="D862" s="195"/>
      <c r="E862" s="205"/>
      <c r="F862" s="122"/>
      <c r="G862" s="166"/>
      <c r="H862" s="22"/>
      <c r="I862" s="123"/>
      <c r="J862" s="11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</row>
    <row r="863" ht="16.5" customHeight="1">
      <c r="A863" s="107"/>
      <c r="B863" s="138"/>
      <c r="C863" s="168"/>
      <c r="D863" s="195"/>
      <c r="E863" s="205"/>
      <c r="F863" s="122"/>
      <c r="G863" s="166"/>
      <c r="H863" s="22"/>
      <c r="I863" s="123"/>
      <c r="J863" s="11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</row>
    <row r="864" ht="16.5" customHeight="1">
      <c r="A864" s="107"/>
      <c r="B864" s="138"/>
      <c r="C864" s="168"/>
      <c r="D864" s="195"/>
      <c r="E864" s="205"/>
      <c r="F864" s="122"/>
      <c r="G864" s="166"/>
      <c r="H864" s="22"/>
      <c r="I864" s="123"/>
      <c r="J864" s="11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</row>
    <row r="865" ht="16.5" customHeight="1">
      <c r="A865" s="107"/>
      <c r="B865" s="138"/>
      <c r="C865" s="168"/>
      <c r="D865" s="195"/>
      <c r="E865" s="205"/>
      <c r="F865" s="122"/>
      <c r="G865" s="166"/>
      <c r="H865" s="22"/>
      <c r="I865" s="123"/>
      <c r="J865" s="11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</row>
    <row r="866" ht="16.5" customHeight="1">
      <c r="A866" s="107"/>
      <c r="B866" s="138"/>
      <c r="C866" s="168"/>
      <c r="D866" s="195"/>
      <c r="E866" s="205"/>
      <c r="F866" s="122"/>
      <c r="G866" s="166"/>
      <c r="H866" s="22"/>
      <c r="I866" s="123"/>
      <c r="J866" s="11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</row>
    <row r="867" ht="16.5" customHeight="1">
      <c r="A867" s="107"/>
      <c r="B867" s="138"/>
      <c r="C867" s="168"/>
      <c r="D867" s="195"/>
      <c r="E867" s="205"/>
      <c r="F867" s="122"/>
      <c r="G867" s="166"/>
      <c r="H867" s="22"/>
      <c r="I867" s="123"/>
      <c r="J867" s="11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</row>
    <row r="868" ht="16.5" customHeight="1">
      <c r="A868" s="107"/>
      <c r="B868" s="138"/>
      <c r="C868" s="168"/>
      <c r="D868" s="195"/>
      <c r="E868" s="205"/>
      <c r="F868" s="122"/>
      <c r="G868" s="166"/>
      <c r="H868" s="22"/>
      <c r="I868" s="123"/>
      <c r="J868" s="11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</row>
    <row r="869" ht="16.5" customHeight="1">
      <c r="A869" s="107"/>
      <c r="B869" s="138"/>
      <c r="C869" s="168"/>
      <c r="D869" s="195"/>
      <c r="E869" s="205"/>
      <c r="F869" s="122"/>
      <c r="G869" s="166"/>
      <c r="H869" s="22"/>
      <c r="I869" s="123"/>
      <c r="J869" s="11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</row>
    <row r="870" ht="16.5" customHeight="1">
      <c r="A870" s="107"/>
      <c r="B870" s="138"/>
      <c r="C870" s="168"/>
      <c r="D870" s="195"/>
      <c r="E870" s="205"/>
      <c r="F870" s="122"/>
      <c r="G870" s="166"/>
      <c r="H870" s="22"/>
      <c r="I870" s="123"/>
      <c r="J870" s="11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</row>
    <row r="871" ht="16.5" customHeight="1">
      <c r="A871" s="107"/>
      <c r="B871" s="138"/>
      <c r="C871" s="168"/>
      <c r="D871" s="195"/>
      <c r="E871" s="205"/>
      <c r="F871" s="122"/>
      <c r="G871" s="166"/>
      <c r="H871" s="22"/>
      <c r="I871" s="123"/>
      <c r="J871" s="11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</row>
    <row r="872" ht="16.5" customHeight="1">
      <c r="A872" s="107"/>
      <c r="B872" s="138"/>
      <c r="C872" s="168"/>
      <c r="D872" s="195"/>
      <c r="E872" s="205"/>
      <c r="F872" s="122"/>
      <c r="G872" s="166"/>
      <c r="H872" s="22"/>
      <c r="I872" s="123"/>
      <c r="J872" s="11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</row>
    <row r="873" ht="16.5" customHeight="1">
      <c r="A873" s="107"/>
      <c r="B873" s="138"/>
      <c r="C873" s="168"/>
      <c r="D873" s="195"/>
      <c r="E873" s="205"/>
      <c r="F873" s="122"/>
      <c r="G873" s="166"/>
      <c r="H873" s="22"/>
      <c r="I873" s="123"/>
      <c r="J873" s="11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</row>
    <row r="874" ht="16.5" customHeight="1">
      <c r="A874" s="107"/>
      <c r="B874" s="138"/>
      <c r="C874" s="168"/>
      <c r="D874" s="195"/>
      <c r="E874" s="205"/>
      <c r="F874" s="122"/>
      <c r="G874" s="166"/>
      <c r="H874" s="22"/>
      <c r="I874" s="123"/>
      <c r="J874" s="11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</row>
    <row r="875" ht="16.5" customHeight="1">
      <c r="A875" s="107"/>
      <c r="B875" s="138"/>
      <c r="C875" s="168"/>
      <c r="D875" s="195"/>
      <c r="E875" s="205"/>
      <c r="F875" s="122"/>
      <c r="G875" s="166"/>
      <c r="H875" s="22"/>
      <c r="I875" s="123"/>
      <c r="J875" s="11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</row>
    <row r="876" ht="16.5" customHeight="1">
      <c r="A876" s="107"/>
      <c r="B876" s="138"/>
      <c r="C876" s="168"/>
      <c r="D876" s="195"/>
      <c r="E876" s="205"/>
      <c r="F876" s="122"/>
      <c r="G876" s="166"/>
      <c r="H876" s="22"/>
      <c r="I876" s="123"/>
      <c r="J876" s="11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</row>
    <row r="877" ht="16.5" customHeight="1">
      <c r="A877" s="107"/>
      <c r="B877" s="138"/>
      <c r="C877" s="168"/>
      <c r="D877" s="195"/>
      <c r="E877" s="205"/>
      <c r="F877" s="122"/>
      <c r="G877" s="166"/>
      <c r="H877" s="22"/>
      <c r="I877" s="123"/>
      <c r="J877" s="11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</row>
    <row r="878" ht="16.5" customHeight="1">
      <c r="A878" s="107"/>
      <c r="B878" s="138"/>
      <c r="C878" s="168"/>
      <c r="D878" s="195"/>
      <c r="E878" s="205"/>
      <c r="F878" s="122"/>
      <c r="G878" s="166"/>
      <c r="H878" s="22"/>
      <c r="I878" s="123"/>
      <c r="J878" s="11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</row>
    <row r="879" ht="16.5" customHeight="1">
      <c r="A879" s="107"/>
      <c r="B879" s="138"/>
      <c r="C879" s="168"/>
      <c r="D879" s="195"/>
      <c r="E879" s="205"/>
      <c r="F879" s="122"/>
      <c r="G879" s="166"/>
      <c r="H879" s="22"/>
      <c r="I879" s="123"/>
      <c r="J879" s="11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</row>
    <row r="880" ht="16.5" customHeight="1">
      <c r="A880" s="107"/>
      <c r="B880" s="138"/>
      <c r="C880" s="168"/>
      <c r="D880" s="195"/>
      <c r="E880" s="205"/>
      <c r="F880" s="122"/>
      <c r="G880" s="166"/>
      <c r="H880" s="22"/>
      <c r="I880" s="123"/>
      <c r="J880" s="11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</row>
    <row r="881" ht="16.5" customHeight="1">
      <c r="A881" s="107"/>
      <c r="B881" s="138"/>
      <c r="C881" s="168"/>
      <c r="D881" s="195"/>
      <c r="E881" s="205"/>
      <c r="F881" s="122"/>
      <c r="G881" s="166"/>
      <c r="H881" s="22"/>
      <c r="I881" s="123"/>
      <c r="J881" s="11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</row>
    <row r="882" ht="16.5" customHeight="1">
      <c r="A882" s="107"/>
      <c r="B882" s="138"/>
      <c r="C882" s="168"/>
      <c r="D882" s="195"/>
      <c r="E882" s="205"/>
      <c r="F882" s="122"/>
      <c r="G882" s="166"/>
      <c r="H882" s="22"/>
      <c r="I882" s="123"/>
      <c r="J882" s="11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</row>
    <row r="883" ht="16.5" customHeight="1">
      <c r="A883" s="107"/>
      <c r="B883" s="138"/>
      <c r="C883" s="168"/>
      <c r="D883" s="195"/>
      <c r="E883" s="205"/>
      <c r="F883" s="122"/>
      <c r="G883" s="166"/>
      <c r="H883" s="22"/>
      <c r="I883" s="123"/>
      <c r="J883" s="11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</row>
    <row r="884" ht="16.5" customHeight="1">
      <c r="A884" s="107"/>
      <c r="B884" s="138"/>
      <c r="C884" s="168"/>
      <c r="D884" s="195"/>
      <c r="E884" s="205"/>
      <c r="F884" s="122"/>
      <c r="G884" s="166"/>
      <c r="H884" s="22"/>
      <c r="I884" s="123"/>
      <c r="J884" s="11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</row>
    <row r="885" ht="16.5" customHeight="1">
      <c r="A885" s="107"/>
      <c r="B885" s="138"/>
      <c r="C885" s="168"/>
      <c r="D885" s="195"/>
      <c r="E885" s="205"/>
      <c r="F885" s="122"/>
      <c r="G885" s="166"/>
      <c r="H885" s="22"/>
      <c r="I885" s="123"/>
      <c r="J885" s="11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</row>
    <row r="886" ht="16.5" customHeight="1">
      <c r="A886" s="107"/>
      <c r="B886" s="138"/>
      <c r="C886" s="168"/>
      <c r="D886" s="195"/>
      <c r="E886" s="205"/>
      <c r="F886" s="122"/>
      <c r="G886" s="166"/>
      <c r="H886" s="22"/>
      <c r="I886" s="123"/>
      <c r="J886" s="11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</row>
    <row r="887" ht="16.5" customHeight="1">
      <c r="A887" s="107"/>
      <c r="B887" s="138"/>
      <c r="C887" s="168"/>
      <c r="D887" s="195"/>
      <c r="E887" s="205"/>
      <c r="F887" s="122"/>
      <c r="G887" s="166"/>
      <c r="H887" s="22"/>
      <c r="I887" s="123"/>
      <c r="J887" s="11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</row>
    <row r="888" ht="16.5" customHeight="1">
      <c r="A888" s="107"/>
      <c r="B888" s="138"/>
      <c r="C888" s="168"/>
      <c r="D888" s="195"/>
      <c r="E888" s="205"/>
      <c r="F888" s="122"/>
      <c r="G888" s="166"/>
      <c r="H888" s="22"/>
      <c r="I888" s="123"/>
      <c r="J888" s="11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</row>
    <row r="889" ht="16.5" customHeight="1">
      <c r="A889" s="107"/>
      <c r="B889" s="138"/>
      <c r="C889" s="168"/>
      <c r="D889" s="195"/>
      <c r="E889" s="205"/>
      <c r="F889" s="122"/>
      <c r="G889" s="166"/>
      <c r="H889" s="22"/>
      <c r="I889" s="123"/>
      <c r="J889" s="11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</row>
    <row r="890" ht="16.5" customHeight="1">
      <c r="A890" s="107"/>
      <c r="B890" s="138"/>
      <c r="C890" s="168"/>
      <c r="D890" s="195"/>
      <c r="E890" s="205"/>
      <c r="F890" s="122"/>
      <c r="G890" s="166"/>
      <c r="H890" s="22"/>
      <c r="I890" s="123"/>
      <c r="J890" s="11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</row>
    <row r="891" ht="16.5" customHeight="1">
      <c r="A891" s="107"/>
      <c r="B891" s="138"/>
      <c r="C891" s="168"/>
      <c r="D891" s="195"/>
      <c r="E891" s="205"/>
      <c r="F891" s="122"/>
      <c r="G891" s="166"/>
      <c r="H891" s="22"/>
      <c r="I891" s="123"/>
      <c r="J891" s="11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</row>
    <row r="892" ht="16.5" customHeight="1">
      <c r="A892" s="107"/>
      <c r="B892" s="138"/>
      <c r="C892" s="168"/>
      <c r="D892" s="195"/>
      <c r="E892" s="205"/>
      <c r="F892" s="122"/>
      <c r="G892" s="166"/>
      <c r="H892" s="22"/>
      <c r="I892" s="123"/>
      <c r="J892" s="11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</row>
    <row r="893" ht="16.5" customHeight="1">
      <c r="A893" s="107"/>
      <c r="B893" s="138"/>
      <c r="C893" s="168"/>
      <c r="D893" s="195"/>
      <c r="E893" s="205"/>
      <c r="F893" s="122"/>
      <c r="G893" s="166"/>
      <c r="H893" s="22"/>
      <c r="I893" s="123"/>
      <c r="J893" s="11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</row>
    <row r="894" ht="16.5" customHeight="1">
      <c r="A894" s="107"/>
      <c r="B894" s="138"/>
      <c r="C894" s="168"/>
      <c r="D894" s="195"/>
      <c r="E894" s="205"/>
      <c r="F894" s="122"/>
      <c r="G894" s="166"/>
      <c r="H894" s="22"/>
      <c r="I894" s="123"/>
      <c r="J894" s="11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</row>
    <row r="895" ht="16.5" customHeight="1">
      <c r="A895" s="107"/>
      <c r="B895" s="138"/>
      <c r="C895" s="168"/>
      <c r="D895" s="195"/>
      <c r="E895" s="205"/>
      <c r="F895" s="122"/>
      <c r="G895" s="166"/>
      <c r="H895" s="22"/>
      <c r="I895" s="123"/>
      <c r="J895" s="11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</row>
    <row r="896" ht="16.5" customHeight="1">
      <c r="A896" s="107"/>
      <c r="B896" s="138"/>
      <c r="C896" s="168"/>
      <c r="D896" s="195"/>
      <c r="E896" s="205"/>
      <c r="F896" s="122"/>
      <c r="G896" s="166"/>
      <c r="H896" s="22"/>
      <c r="I896" s="123"/>
      <c r="J896" s="11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</row>
    <row r="897" ht="16.5" customHeight="1">
      <c r="A897" s="107"/>
      <c r="B897" s="138"/>
      <c r="C897" s="168"/>
      <c r="D897" s="195"/>
      <c r="E897" s="205"/>
      <c r="F897" s="122"/>
      <c r="G897" s="166"/>
      <c r="H897" s="22"/>
      <c r="I897" s="123"/>
      <c r="J897" s="11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</row>
    <row r="898" ht="16.5" customHeight="1">
      <c r="A898" s="107"/>
      <c r="B898" s="138"/>
      <c r="C898" s="168"/>
      <c r="D898" s="195"/>
      <c r="E898" s="205"/>
      <c r="F898" s="122"/>
      <c r="G898" s="166"/>
      <c r="H898" s="22"/>
      <c r="I898" s="123"/>
      <c r="J898" s="11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</row>
    <row r="899" ht="16.5" customHeight="1">
      <c r="A899" s="107"/>
      <c r="B899" s="138"/>
      <c r="C899" s="168"/>
      <c r="D899" s="195"/>
      <c r="E899" s="205"/>
      <c r="F899" s="122"/>
      <c r="G899" s="166"/>
      <c r="H899" s="22"/>
      <c r="I899" s="123"/>
      <c r="J899" s="11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</row>
    <row r="900" ht="16.5" customHeight="1">
      <c r="A900" s="107"/>
      <c r="B900" s="138"/>
      <c r="C900" s="168"/>
      <c r="D900" s="195"/>
      <c r="E900" s="205"/>
      <c r="F900" s="122"/>
      <c r="G900" s="166"/>
      <c r="H900" s="22"/>
      <c r="I900" s="123"/>
      <c r="J900" s="11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</row>
    <row r="901" ht="16.5" customHeight="1">
      <c r="A901" s="107"/>
      <c r="B901" s="138"/>
      <c r="C901" s="168"/>
      <c r="D901" s="195"/>
      <c r="E901" s="205"/>
      <c r="F901" s="122"/>
      <c r="G901" s="166"/>
      <c r="H901" s="22"/>
      <c r="I901" s="123"/>
      <c r="J901" s="11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</row>
    <row r="902" ht="16.5" customHeight="1">
      <c r="A902" s="107"/>
      <c r="B902" s="138"/>
      <c r="C902" s="168"/>
      <c r="D902" s="195"/>
      <c r="E902" s="205"/>
      <c r="F902" s="122"/>
      <c r="G902" s="166"/>
      <c r="H902" s="22"/>
      <c r="I902" s="123"/>
      <c r="J902" s="11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</row>
    <row r="903" ht="16.5" customHeight="1">
      <c r="A903" s="107"/>
      <c r="B903" s="138"/>
      <c r="C903" s="168"/>
      <c r="D903" s="195"/>
      <c r="E903" s="205"/>
      <c r="F903" s="122"/>
      <c r="G903" s="166"/>
      <c r="H903" s="22"/>
      <c r="I903" s="123"/>
      <c r="J903" s="11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</row>
    <row r="904" ht="16.5" customHeight="1">
      <c r="A904" s="107"/>
      <c r="B904" s="138"/>
      <c r="C904" s="168"/>
      <c r="D904" s="195"/>
      <c r="E904" s="205"/>
      <c r="F904" s="122"/>
      <c r="G904" s="166"/>
      <c r="H904" s="22"/>
      <c r="I904" s="123"/>
      <c r="J904" s="11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</row>
    <row r="905" ht="16.5" customHeight="1">
      <c r="A905" s="107"/>
      <c r="B905" s="138"/>
      <c r="C905" s="168"/>
      <c r="D905" s="195"/>
      <c r="E905" s="205"/>
      <c r="F905" s="122"/>
      <c r="G905" s="166"/>
      <c r="H905" s="22"/>
      <c r="I905" s="123"/>
      <c r="J905" s="11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</row>
    <row r="906" ht="16.5" customHeight="1">
      <c r="A906" s="107"/>
      <c r="B906" s="138"/>
      <c r="C906" s="168"/>
      <c r="D906" s="195"/>
      <c r="E906" s="205"/>
      <c r="F906" s="122"/>
      <c r="G906" s="166"/>
      <c r="H906" s="22"/>
      <c r="I906" s="123"/>
      <c r="J906" s="11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</row>
    <row r="907" ht="16.5" customHeight="1">
      <c r="A907" s="107"/>
      <c r="B907" s="138"/>
      <c r="C907" s="168"/>
      <c r="D907" s="195"/>
      <c r="E907" s="205"/>
      <c r="F907" s="122"/>
      <c r="G907" s="166"/>
      <c r="H907" s="22"/>
      <c r="I907" s="123"/>
      <c r="J907" s="11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</row>
    <row r="908" ht="16.5" customHeight="1">
      <c r="A908" s="107"/>
      <c r="B908" s="138"/>
      <c r="C908" s="168"/>
      <c r="D908" s="195"/>
      <c r="E908" s="205"/>
      <c r="F908" s="122"/>
      <c r="G908" s="166"/>
      <c r="H908" s="22"/>
      <c r="I908" s="123"/>
      <c r="J908" s="11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</row>
    <row r="909" ht="16.5" customHeight="1">
      <c r="A909" s="107"/>
      <c r="B909" s="138"/>
      <c r="C909" s="168"/>
      <c r="D909" s="195"/>
      <c r="E909" s="205"/>
      <c r="F909" s="122"/>
      <c r="G909" s="166"/>
      <c r="H909" s="22"/>
      <c r="I909" s="123"/>
      <c r="J909" s="11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</row>
    <row r="910" ht="16.5" customHeight="1">
      <c r="A910" s="107"/>
      <c r="B910" s="138"/>
      <c r="C910" s="168"/>
      <c r="D910" s="195"/>
      <c r="E910" s="205"/>
      <c r="F910" s="122"/>
      <c r="G910" s="166"/>
      <c r="H910" s="22"/>
      <c r="I910" s="123"/>
      <c r="J910" s="11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</row>
    <row r="911" ht="16.5" customHeight="1">
      <c r="A911" s="107"/>
      <c r="B911" s="138"/>
      <c r="C911" s="168"/>
      <c r="D911" s="195"/>
      <c r="E911" s="205"/>
      <c r="F911" s="122"/>
      <c r="G911" s="166"/>
      <c r="H911" s="22"/>
      <c r="I911" s="123"/>
      <c r="J911" s="11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</row>
    <row r="912" ht="16.5" customHeight="1">
      <c r="A912" s="107"/>
      <c r="B912" s="138"/>
      <c r="C912" s="168"/>
      <c r="D912" s="195"/>
      <c r="E912" s="205"/>
      <c r="F912" s="122"/>
      <c r="G912" s="166"/>
      <c r="H912" s="22"/>
      <c r="I912" s="123"/>
      <c r="J912" s="11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</row>
    <row r="913" ht="16.5" customHeight="1">
      <c r="A913" s="107"/>
      <c r="B913" s="138"/>
      <c r="C913" s="168"/>
      <c r="D913" s="195"/>
      <c r="E913" s="205"/>
      <c r="F913" s="122"/>
      <c r="G913" s="166"/>
      <c r="H913" s="22"/>
      <c r="I913" s="123"/>
      <c r="J913" s="11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</row>
    <row r="914" ht="16.5" customHeight="1">
      <c r="A914" s="107"/>
      <c r="B914" s="138"/>
      <c r="C914" s="168"/>
      <c r="D914" s="195"/>
      <c r="E914" s="205"/>
      <c r="F914" s="122"/>
      <c r="G914" s="166"/>
      <c r="H914" s="22"/>
      <c r="I914" s="123"/>
      <c r="J914" s="11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</row>
    <row r="915" ht="16.5" customHeight="1">
      <c r="A915" s="107"/>
      <c r="B915" s="138"/>
      <c r="C915" s="168"/>
      <c r="D915" s="195"/>
      <c r="E915" s="205"/>
      <c r="F915" s="122"/>
      <c r="G915" s="166"/>
      <c r="H915" s="22"/>
      <c r="I915" s="123"/>
      <c r="J915" s="11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</row>
    <row r="916" ht="16.5" customHeight="1">
      <c r="A916" s="107"/>
      <c r="B916" s="138"/>
      <c r="C916" s="168"/>
      <c r="D916" s="195"/>
      <c r="E916" s="205"/>
      <c r="F916" s="122"/>
      <c r="G916" s="166"/>
      <c r="H916" s="22"/>
      <c r="I916" s="123"/>
      <c r="J916" s="11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</row>
    <row r="917" ht="16.5" customHeight="1">
      <c r="A917" s="107"/>
      <c r="B917" s="138"/>
      <c r="C917" s="168"/>
      <c r="D917" s="195"/>
      <c r="E917" s="205"/>
      <c r="F917" s="122"/>
      <c r="G917" s="166"/>
      <c r="H917" s="22"/>
      <c r="I917" s="123"/>
      <c r="J917" s="11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</row>
    <row r="918" ht="16.5" customHeight="1">
      <c r="A918" s="107"/>
      <c r="B918" s="138"/>
      <c r="C918" s="168"/>
      <c r="D918" s="195"/>
      <c r="E918" s="205"/>
      <c r="F918" s="122"/>
      <c r="G918" s="166"/>
      <c r="H918" s="22"/>
      <c r="I918" s="123"/>
      <c r="J918" s="11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</row>
    <row r="919" ht="16.5" customHeight="1">
      <c r="A919" s="107"/>
      <c r="B919" s="138"/>
      <c r="C919" s="168"/>
      <c r="D919" s="195"/>
      <c r="E919" s="205"/>
      <c r="F919" s="122"/>
      <c r="G919" s="166"/>
      <c r="H919" s="22"/>
      <c r="I919" s="123"/>
      <c r="J919" s="11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</row>
    <row r="920" ht="16.5" customHeight="1">
      <c r="A920" s="107"/>
      <c r="B920" s="138"/>
      <c r="C920" s="168"/>
      <c r="D920" s="195"/>
      <c r="E920" s="205"/>
      <c r="F920" s="122"/>
      <c r="G920" s="166"/>
      <c r="H920" s="22"/>
      <c r="I920" s="123"/>
      <c r="J920" s="11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</row>
    <row r="921" ht="16.5" customHeight="1">
      <c r="A921" s="107"/>
      <c r="B921" s="138"/>
      <c r="C921" s="168"/>
      <c r="D921" s="195"/>
      <c r="E921" s="205"/>
      <c r="F921" s="122"/>
      <c r="G921" s="166"/>
      <c r="H921" s="22"/>
      <c r="I921" s="123"/>
      <c r="J921" s="11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</row>
    <row r="922" ht="16.5" customHeight="1">
      <c r="A922" s="107"/>
      <c r="B922" s="138"/>
      <c r="C922" s="168"/>
      <c r="D922" s="195"/>
      <c r="E922" s="205"/>
      <c r="F922" s="122"/>
      <c r="G922" s="166"/>
      <c r="H922" s="22"/>
      <c r="I922" s="123"/>
      <c r="J922" s="11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</row>
    <row r="923" ht="16.5" customHeight="1">
      <c r="A923" s="107"/>
      <c r="B923" s="138"/>
      <c r="C923" s="168"/>
      <c r="D923" s="195"/>
      <c r="E923" s="205"/>
      <c r="F923" s="122"/>
      <c r="G923" s="166"/>
      <c r="H923" s="22"/>
      <c r="I923" s="123"/>
      <c r="J923" s="11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</row>
    <row r="924" ht="16.5" customHeight="1">
      <c r="A924" s="107"/>
      <c r="B924" s="138"/>
      <c r="C924" s="168"/>
      <c r="D924" s="195"/>
      <c r="E924" s="205"/>
      <c r="F924" s="122"/>
      <c r="G924" s="166"/>
      <c r="H924" s="22"/>
      <c r="I924" s="123"/>
      <c r="J924" s="11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</row>
    <row r="925" ht="16.5" customHeight="1">
      <c r="A925" s="107"/>
      <c r="B925" s="138"/>
      <c r="C925" s="168"/>
      <c r="D925" s="195"/>
      <c r="E925" s="205"/>
      <c r="F925" s="122"/>
      <c r="G925" s="166"/>
      <c r="H925" s="22"/>
      <c r="I925" s="123"/>
      <c r="J925" s="11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</row>
    <row r="926" ht="16.5" customHeight="1">
      <c r="A926" s="107"/>
      <c r="B926" s="138"/>
      <c r="C926" s="168"/>
      <c r="D926" s="195"/>
      <c r="E926" s="205"/>
      <c r="F926" s="122"/>
      <c r="G926" s="166"/>
      <c r="H926" s="22"/>
      <c r="I926" s="123"/>
      <c r="J926" s="11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</row>
    <row r="927" ht="16.5" customHeight="1">
      <c r="A927" s="107"/>
      <c r="B927" s="138"/>
      <c r="C927" s="168"/>
      <c r="D927" s="195"/>
      <c r="E927" s="205"/>
      <c r="F927" s="122"/>
      <c r="G927" s="166"/>
      <c r="H927" s="22"/>
      <c r="I927" s="123"/>
      <c r="J927" s="11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</row>
    <row r="928" ht="16.5" customHeight="1">
      <c r="A928" s="107"/>
      <c r="B928" s="138"/>
      <c r="C928" s="168"/>
      <c r="D928" s="195"/>
      <c r="E928" s="205"/>
      <c r="F928" s="122"/>
      <c r="G928" s="166"/>
      <c r="H928" s="22"/>
      <c r="I928" s="123"/>
      <c r="J928" s="11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</row>
    <row r="929" ht="16.5" customHeight="1">
      <c r="A929" s="107"/>
      <c r="B929" s="138"/>
      <c r="C929" s="168"/>
      <c r="D929" s="195"/>
      <c r="E929" s="205"/>
      <c r="F929" s="122"/>
      <c r="G929" s="166"/>
      <c r="H929" s="22"/>
      <c r="I929" s="123"/>
      <c r="J929" s="11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</row>
    <row r="930" ht="16.5" customHeight="1">
      <c r="A930" s="107"/>
      <c r="B930" s="138"/>
      <c r="C930" s="168"/>
      <c r="D930" s="195"/>
      <c r="E930" s="205"/>
      <c r="F930" s="122"/>
      <c r="G930" s="166"/>
      <c r="H930" s="22"/>
      <c r="I930" s="123"/>
      <c r="J930" s="11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</row>
    <row r="931" ht="16.5" customHeight="1">
      <c r="A931" s="107"/>
      <c r="B931" s="138"/>
      <c r="C931" s="168"/>
      <c r="D931" s="195"/>
      <c r="E931" s="205"/>
      <c r="F931" s="122"/>
      <c r="G931" s="166"/>
      <c r="H931" s="22"/>
      <c r="I931" s="123"/>
      <c r="J931" s="11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</row>
    <row r="932" ht="16.5" customHeight="1">
      <c r="A932" s="107"/>
      <c r="B932" s="138"/>
      <c r="C932" s="168"/>
      <c r="D932" s="195"/>
      <c r="E932" s="205"/>
      <c r="F932" s="122"/>
      <c r="G932" s="166"/>
      <c r="H932" s="22"/>
      <c r="I932" s="123"/>
      <c r="J932" s="11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</row>
    <row r="933" ht="16.5" customHeight="1">
      <c r="A933" s="107"/>
      <c r="B933" s="138"/>
      <c r="C933" s="168"/>
      <c r="D933" s="195"/>
      <c r="E933" s="205"/>
      <c r="F933" s="122"/>
      <c r="G933" s="166"/>
      <c r="H933" s="22"/>
      <c r="I933" s="123"/>
      <c r="J933" s="11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</row>
    <row r="934" ht="16.5" customHeight="1">
      <c r="A934" s="107"/>
      <c r="B934" s="138"/>
      <c r="C934" s="168"/>
      <c r="D934" s="195"/>
      <c r="E934" s="205"/>
      <c r="F934" s="122"/>
      <c r="G934" s="166"/>
      <c r="H934" s="22"/>
      <c r="I934" s="123"/>
      <c r="J934" s="11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</row>
    <row r="935" ht="16.5" customHeight="1">
      <c r="A935" s="107"/>
      <c r="B935" s="138"/>
      <c r="C935" s="168"/>
      <c r="D935" s="195"/>
      <c r="E935" s="205"/>
      <c r="F935" s="122"/>
      <c r="G935" s="166"/>
      <c r="H935" s="22"/>
      <c r="I935" s="123"/>
      <c r="J935" s="11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</row>
    <row r="936" ht="16.5" customHeight="1">
      <c r="A936" s="107"/>
      <c r="B936" s="138"/>
      <c r="C936" s="168"/>
      <c r="D936" s="195"/>
      <c r="E936" s="205"/>
      <c r="F936" s="122"/>
      <c r="G936" s="166"/>
      <c r="H936" s="22"/>
      <c r="I936" s="123"/>
      <c r="J936" s="11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</row>
    <row r="937" ht="16.5" customHeight="1">
      <c r="A937" s="107"/>
      <c r="B937" s="138"/>
      <c r="C937" s="168"/>
      <c r="D937" s="195"/>
      <c r="E937" s="205"/>
      <c r="F937" s="122"/>
      <c r="G937" s="166"/>
      <c r="H937" s="22"/>
      <c r="I937" s="123"/>
      <c r="J937" s="11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</row>
    <row r="938" ht="16.5" customHeight="1">
      <c r="A938" s="107"/>
      <c r="B938" s="138"/>
      <c r="C938" s="168"/>
      <c r="D938" s="195"/>
      <c r="E938" s="205"/>
      <c r="F938" s="122"/>
      <c r="G938" s="166"/>
      <c r="H938" s="22"/>
      <c r="I938" s="123"/>
      <c r="J938" s="11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</row>
    <row r="939" ht="16.5" customHeight="1">
      <c r="A939" s="107"/>
      <c r="B939" s="138"/>
      <c r="C939" s="168"/>
      <c r="D939" s="195"/>
      <c r="E939" s="205"/>
      <c r="F939" s="122"/>
      <c r="G939" s="166"/>
      <c r="H939" s="22"/>
      <c r="I939" s="123"/>
      <c r="J939" s="11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</row>
    <row r="940" ht="16.5" customHeight="1">
      <c r="A940" s="107"/>
      <c r="B940" s="138"/>
      <c r="C940" s="168"/>
      <c r="D940" s="195"/>
      <c r="E940" s="205"/>
      <c r="F940" s="122"/>
      <c r="G940" s="166"/>
      <c r="H940" s="22"/>
      <c r="I940" s="123"/>
      <c r="J940" s="11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</row>
    <row r="941" ht="16.5" customHeight="1">
      <c r="A941" s="107"/>
      <c r="B941" s="138"/>
      <c r="C941" s="168"/>
      <c r="D941" s="195"/>
      <c r="E941" s="205"/>
      <c r="F941" s="122"/>
      <c r="G941" s="166"/>
      <c r="H941" s="22"/>
      <c r="I941" s="123"/>
      <c r="J941" s="11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</row>
    <row r="942" ht="16.5" customHeight="1">
      <c r="A942" s="107"/>
      <c r="B942" s="138"/>
      <c r="C942" s="168"/>
      <c r="D942" s="195"/>
      <c r="E942" s="205"/>
      <c r="F942" s="122"/>
      <c r="G942" s="166"/>
      <c r="H942" s="22"/>
      <c r="I942" s="123"/>
      <c r="J942" s="11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</row>
    <row r="943" ht="16.5" customHeight="1">
      <c r="A943" s="107"/>
      <c r="B943" s="138"/>
      <c r="C943" s="168"/>
      <c r="D943" s="195"/>
      <c r="E943" s="205"/>
      <c r="F943" s="122"/>
      <c r="G943" s="166"/>
      <c r="H943" s="22"/>
      <c r="I943" s="123"/>
      <c r="J943" s="11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</row>
    <row r="944" ht="16.5" customHeight="1">
      <c r="A944" s="107"/>
      <c r="B944" s="138"/>
      <c r="C944" s="168"/>
      <c r="D944" s="195"/>
      <c r="E944" s="205"/>
      <c r="F944" s="122"/>
      <c r="G944" s="166"/>
      <c r="H944" s="22"/>
      <c r="I944" s="123"/>
      <c r="J944" s="11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</row>
    <row r="945" ht="16.5" customHeight="1">
      <c r="A945" s="107"/>
      <c r="B945" s="138"/>
      <c r="C945" s="168"/>
      <c r="D945" s="195"/>
      <c r="E945" s="205"/>
      <c r="F945" s="122"/>
      <c r="G945" s="166"/>
      <c r="H945" s="22"/>
      <c r="I945" s="123"/>
      <c r="J945" s="11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</row>
    <row r="946" ht="16.5" customHeight="1">
      <c r="A946" s="107"/>
      <c r="B946" s="138"/>
      <c r="C946" s="168"/>
      <c r="D946" s="195"/>
      <c r="E946" s="205"/>
      <c r="F946" s="122"/>
      <c r="G946" s="166"/>
      <c r="H946" s="22"/>
      <c r="I946" s="123"/>
      <c r="J946" s="11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</row>
    <row r="947" ht="16.5" customHeight="1">
      <c r="A947" s="107"/>
      <c r="B947" s="138"/>
      <c r="C947" s="168"/>
      <c r="D947" s="195"/>
      <c r="E947" s="205"/>
      <c r="F947" s="122"/>
      <c r="G947" s="166"/>
      <c r="H947" s="22"/>
      <c r="I947" s="123"/>
      <c r="J947" s="11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</row>
    <row r="948" ht="16.5" customHeight="1">
      <c r="A948" s="107"/>
      <c r="B948" s="138"/>
      <c r="C948" s="168"/>
      <c r="D948" s="195"/>
      <c r="E948" s="205"/>
      <c r="F948" s="122"/>
      <c r="G948" s="166"/>
      <c r="H948" s="22"/>
      <c r="I948" s="123"/>
      <c r="J948" s="11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</row>
    <row r="949" ht="16.5" customHeight="1">
      <c r="A949" s="107"/>
      <c r="B949" s="138"/>
      <c r="C949" s="168"/>
      <c r="D949" s="195"/>
      <c r="E949" s="205"/>
      <c r="F949" s="122"/>
      <c r="G949" s="166"/>
      <c r="H949" s="22"/>
      <c r="I949" s="123"/>
      <c r="J949" s="11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</row>
    <row r="950" ht="16.5" customHeight="1">
      <c r="A950" s="107"/>
      <c r="B950" s="138"/>
      <c r="C950" s="168"/>
      <c r="D950" s="195"/>
      <c r="E950" s="205"/>
      <c r="F950" s="122"/>
      <c r="G950" s="166"/>
      <c r="H950" s="22"/>
      <c r="I950" s="123"/>
      <c r="J950" s="11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</row>
    <row r="951" ht="16.5" customHeight="1">
      <c r="A951" s="107"/>
      <c r="B951" s="138"/>
      <c r="C951" s="168"/>
      <c r="D951" s="195"/>
      <c r="E951" s="205"/>
      <c r="F951" s="122"/>
      <c r="G951" s="166"/>
      <c r="H951" s="22"/>
      <c r="I951" s="123"/>
      <c r="J951" s="11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</row>
    <row r="952" ht="16.5" customHeight="1">
      <c r="A952" s="107"/>
      <c r="B952" s="138"/>
      <c r="C952" s="168"/>
      <c r="D952" s="195"/>
      <c r="E952" s="205"/>
      <c r="F952" s="122"/>
      <c r="G952" s="166"/>
      <c r="H952" s="22"/>
      <c r="I952" s="123"/>
      <c r="J952" s="11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</row>
    <row r="953" ht="16.5" customHeight="1">
      <c r="A953" s="107"/>
      <c r="B953" s="138"/>
      <c r="C953" s="168"/>
      <c r="D953" s="195"/>
      <c r="E953" s="205"/>
      <c r="F953" s="122"/>
      <c r="G953" s="166"/>
      <c r="H953" s="22"/>
      <c r="I953" s="123"/>
      <c r="J953" s="11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</row>
    <row r="954" ht="16.5" customHeight="1">
      <c r="A954" s="107"/>
      <c r="B954" s="138"/>
      <c r="C954" s="168"/>
      <c r="D954" s="195"/>
      <c r="E954" s="205"/>
      <c r="F954" s="122"/>
      <c r="G954" s="166"/>
      <c r="H954" s="22"/>
      <c r="I954" s="123"/>
      <c r="J954" s="11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</row>
    <row r="955" ht="16.5" customHeight="1">
      <c r="A955" s="107"/>
      <c r="B955" s="138"/>
      <c r="C955" s="168"/>
      <c r="D955" s="195"/>
      <c r="E955" s="205"/>
      <c r="F955" s="122"/>
      <c r="G955" s="166"/>
      <c r="H955" s="22"/>
      <c r="I955" s="123"/>
      <c r="J955" s="11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</row>
    <row r="956" ht="16.5" customHeight="1">
      <c r="A956" s="107"/>
      <c r="B956" s="138"/>
      <c r="C956" s="168"/>
      <c r="D956" s="195"/>
      <c r="E956" s="205"/>
      <c r="F956" s="122"/>
      <c r="G956" s="166"/>
      <c r="H956" s="22"/>
      <c r="I956" s="123"/>
      <c r="J956" s="11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</row>
    <row r="957" ht="16.5" customHeight="1">
      <c r="A957" s="107"/>
      <c r="B957" s="138"/>
      <c r="C957" s="168"/>
      <c r="D957" s="195"/>
      <c r="E957" s="205"/>
      <c r="F957" s="122"/>
      <c r="G957" s="166"/>
      <c r="H957" s="22"/>
      <c r="I957" s="123"/>
      <c r="J957" s="11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</row>
    <row r="958" ht="16.5" customHeight="1">
      <c r="A958" s="107"/>
      <c r="B958" s="138"/>
      <c r="C958" s="168"/>
      <c r="D958" s="195"/>
      <c r="E958" s="205"/>
      <c r="F958" s="122"/>
      <c r="G958" s="166"/>
      <c r="H958" s="22"/>
      <c r="I958" s="123"/>
      <c r="J958" s="11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</row>
    <row r="959" ht="16.5" customHeight="1">
      <c r="A959" s="107"/>
      <c r="B959" s="138"/>
      <c r="C959" s="168"/>
      <c r="D959" s="195"/>
      <c r="E959" s="205"/>
      <c r="F959" s="122"/>
      <c r="G959" s="166"/>
      <c r="H959" s="22"/>
      <c r="I959" s="123"/>
      <c r="J959" s="11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</row>
    <row r="960" ht="16.5" customHeight="1">
      <c r="A960" s="107"/>
      <c r="B960" s="138"/>
      <c r="C960" s="168"/>
      <c r="D960" s="195"/>
      <c r="E960" s="205"/>
      <c r="F960" s="122"/>
      <c r="G960" s="166"/>
      <c r="H960" s="22"/>
      <c r="I960" s="123"/>
      <c r="J960" s="11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</row>
    <row r="961" ht="16.5" customHeight="1">
      <c r="A961" s="107"/>
      <c r="B961" s="138"/>
      <c r="C961" s="168"/>
      <c r="D961" s="195"/>
      <c r="E961" s="205"/>
      <c r="F961" s="122"/>
      <c r="G961" s="166"/>
      <c r="H961" s="22"/>
      <c r="I961" s="123"/>
      <c r="J961" s="11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</row>
    <row r="962" ht="16.5" customHeight="1">
      <c r="A962" s="107"/>
      <c r="B962" s="138"/>
      <c r="C962" s="168"/>
      <c r="D962" s="195"/>
      <c r="E962" s="205"/>
      <c r="F962" s="122"/>
      <c r="G962" s="166"/>
      <c r="H962" s="22"/>
      <c r="I962" s="123"/>
      <c r="J962" s="11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</row>
    <row r="963" ht="16.5" customHeight="1">
      <c r="A963" s="107"/>
      <c r="B963" s="138"/>
      <c r="C963" s="168"/>
      <c r="D963" s="195"/>
      <c r="E963" s="205"/>
      <c r="F963" s="122"/>
      <c r="G963" s="166"/>
      <c r="H963" s="22"/>
      <c r="I963" s="123"/>
      <c r="J963" s="11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</row>
    <row r="964" ht="16.5" customHeight="1">
      <c r="A964" s="107"/>
      <c r="B964" s="138"/>
      <c r="C964" s="168"/>
      <c r="D964" s="195"/>
      <c r="E964" s="205"/>
      <c r="F964" s="122"/>
      <c r="G964" s="166"/>
      <c r="H964" s="22"/>
      <c r="I964" s="123"/>
      <c r="J964" s="11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</row>
    <row r="965" ht="16.5" customHeight="1">
      <c r="A965" s="107"/>
      <c r="B965" s="138"/>
      <c r="C965" s="168"/>
      <c r="D965" s="195"/>
      <c r="E965" s="205"/>
      <c r="F965" s="122"/>
      <c r="G965" s="166"/>
      <c r="H965" s="22"/>
      <c r="I965" s="123"/>
      <c r="J965" s="11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</row>
    <row r="966" ht="16.5" customHeight="1">
      <c r="A966" s="107"/>
      <c r="B966" s="138"/>
      <c r="C966" s="168"/>
      <c r="D966" s="195"/>
      <c r="E966" s="205"/>
      <c r="F966" s="122"/>
      <c r="G966" s="166"/>
      <c r="H966" s="22"/>
      <c r="I966" s="123"/>
      <c r="J966" s="11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</row>
    <row r="967" ht="16.5" customHeight="1">
      <c r="A967" s="107"/>
      <c r="B967" s="138"/>
      <c r="C967" s="168"/>
      <c r="D967" s="195"/>
      <c r="E967" s="205"/>
      <c r="F967" s="122"/>
      <c r="G967" s="166"/>
      <c r="H967" s="22"/>
      <c r="I967" s="123"/>
      <c r="J967" s="11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</row>
    <row r="968" ht="16.5" customHeight="1">
      <c r="A968" s="107"/>
      <c r="B968" s="138"/>
      <c r="C968" s="168"/>
      <c r="D968" s="195"/>
      <c r="E968" s="205"/>
      <c r="F968" s="122"/>
      <c r="G968" s="166"/>
      <c r="H968" s="22"/>
      <c r="I968" s="123"/>
      <c r="J968" s="11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</row>
    <row r="969" ht="16.5" customHeight="1">
      <c r="A969" s="107"/>
      <c r="B969" s="138"/>
      <c r="C969" s="168"/>
      <c r="D969" s="195"/>
      <c r="E969" s="205"/>
      <c r="F969" s="122"/>
      <c r="G969" s="166"/>
      <c r="H969" s="22"/>
      <c r="I969" s="123"/>
      <c r="J969" s="11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</row>
    <row r="970" ht="16.5" customHeight="1">
      <c r="A970" s="107"/>
      <c r="B970" s="138"/>
      <c r="C970" s="168"/>
      <c r="D970" s="195"/>
      <c r="E970" s="205"/>
      <c r="F970" s="122"/>
      <c r="G970" s="166"/>
      <c r="H970" s="22"/>
      <c r="I970" s="123"/>
      <c r="J970" s="11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</row>
    <row r="971" ht="16.5" customHeight="1">
      <c r="A971" s="107"/>
      <c r="B971" s="138"/>
      <c r="C971" s="168"/>
      <c r="D971" s="195"/>
      <c r="E971" s="205"/>
      <c r="F971" s="122"/>
      <c r="G971" s="166"/>
      <c r="H971" s="22"/>
      <c r="I971" s="123"/>
      <c r="J971" s="11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</row>
    <row r="972" ht="16.5" customHeight="1">
      <c r="A972" s="107"/>
      <c r="B972" s="138"/>
      <c r="C972" s="168"/>
      <c r="D972" s="195"/>
      <c r="E972" s="205"/>
      <c r="F972" s="122"/>
      <c r="G972" s="166"/>
      <c r="H972" s="22"/>
      <c r="I972" s="123"/>
      <c r="J972" s="11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</row>
    <row r="973" ht="16.5" customHeight="1">
      <c r="A973" s="107"/>
      <c r="B973" s="138"/>
      <c r="C973" s="168"/>
      <c r="D973" s="195"/>
      <c r="E973" s="205"/>
      <c r="F973" s="122"/>
      <c r="G973" s="166"/>
      <c r="H973" s="22"/>
      <c r="I973" s="123"/>
      <c r="J973" s="11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</row>
    <row r="974" ht="16.5" customHeight="1">
      <c r="A974" s="107"/>
      <c r="B974" s="138"/>
      <c r="C974" s="168"/>
      <c r="D974" s="195"/>
      <c r="E974" s="205"/>
      <c r="F974" s="122"/>
      <c r="G974" s="166"/>
      <c r="H974" s="22"/>
      <c r="I974" s="123"/>
      <c r="J974" s="11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</row>
    <row r="975" ht="16.5" customHeight="1">
      <c r="A975" s="107"/>
      <c r="B975" s="138"/>
      <c r="C975" s="168"/>
      <c r="D975" s="195"/>
      <c r="E975" s="205"/>
      <c r="F975" s="122"/>
      <c r="G975" s="166"/>
      <c r="H975" s="22"/>
      <c r="I975" s="123"/>
      <c r="J975" s="11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</row>
    <row r="976" ht="16.5" customHeight="1">
      <c r="A976" s="107"/>
      <c r="B976" s="138"/>
      <c r="C976" s="168"/>
      <c r="D976" s="195"/>
      <c r="E976" s="205"/>
      <c r="F976" s="122"/>
      <c r="G976" s="166"/>
      <c r="H976" s="22"/>
      <c r="I976" s="123"/>
      <c r="J976" s="11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</row>
    <row r="977" ht="16.5" customHeight="1">
      <c r="A977" s="107"/>
      <c r="B977" s="138"/>
      <c r="C977" s="168"/>
      <c r="D977" s="195"/>
      <c r="E977" s="205"/>
      <c r="F977" s="122"/>
      <c r="G977" s="166"/>
      <c r="H977" s="22"/>
      <c r="I977" s="123"/>
      <c r="J977" s="11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</row>
    <row r="978" ht="16.5" customHeight="1">
      <c r="A978" s="107"/>
      <c r="B978" s="138"/>
      <c r="C978" s="168"/>
      <c r="D978" s="195"/>
      <c r="E978" s="205"/>
      <c r="F978" s="122"/>
      <c r="G978" s="166"/>
      <c r="H978" s="22"/>
      <c r="I978" s="123"/>
      <c r="J978" s="11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</row>
    <row r="979" ht="16.5" customHeight="1">
      <c r="A979" s="107"/>
      <c r="B979" s="138"/>
      <c r="C979" s="168"/>
      <c r="D979" s="195"/>
      <c r="E979" s="205"/>
      <c r="F979" s="122"/>
      <c r="G979" s="166"/>
      <c r="H979" s="22"/>
      <c r="I979" s="123"/>
      <c r="J979" s="11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</row>
    <row r="980" ht="16.5" customHeight="1">
      <c r="A980" s="107"/>
      <c r="B980" s="138"/>
      <c r="C980" s="168"/>
      <c r="D980" s="195"/>
      <c r="E980" s="205"/>
      <c r="F980" s="122"/>
      <c r="G980" s="166"/>
      <c r="H980" s="22"/>
      <c r="I980" s="123"/>
      <c r="J980" s="11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</row>
    <row r="981" ht="16.5" customHeight="1">
      <c r="A981" s="107"/>
      <c r="B981" s="138"/>
      <c r="C981" s="168"/>
      <c r="D981" s="195"/>
      <c r="E981" s="205"/>
      <c r="F981" s="122"/>
      <c r="G981" s="166"/>
      <c r="H981" s="22"/>
      <c r="I981" s="123"/>
      <c r="J981" s="11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</row>
    <row r="982" ht="16.5" customHeight="1">
      <c r="A982" s="107"/>
      <c r="B982" s="138"/>
      <c r="C982" s="168"/>
      <c r="D982" s="195"/>
      <c r="E982" s="205"/>
      <c r="F982" s="122"/>
      <c r="G982" s="166"/>
      <c r="H982" s="22"/>
      <c r="I982" s="123"/>
      <c r="J982" s="11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</row>
    <row r="983" ht="16.5" customHeight="1">
      <c r="A983" s="107"/>
      <c r="B983" s="138"/>
      <c r="C983" s="168"/>
      <c r="D983" s="195"/>
      <c r="E983" s="205"/>
      <c r="F983" s="122"/>
      <c r="G983" s="166"/>
      <c r="H983" s="22"/>
      <c r="I983" s="123"/>
      <c r="J983" s="11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</row>
    <row r="984" ht="16.5" customHeight="1">
      <c r="A984" s="107"/>
      <c r="B984" s="138"/>
      <c r="C984" s="168"/>
      <c r="D984" s="195"/>
      <c r="E984" s="205"/>
      <c r="F984" s="122"/>
      <c r="G984" s="166"/>
      <c r="H984" s="22"/>
      <c r="I984" s="123"/>
      <c r="J984" s="11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</row>
    <row r="985" ht="16.5" customHeight="1">
      <c r="A985" s="107"/>
      <c r="B985" s="138"/>
      <c r="C985" s="168"/>
      <c r="D985" s="195"/>
      <c r="E985" s="205"/>
      <c r="F985" s="122"/>
      <c r="G985" s="166"/>
      <c r="H985" s="22"/>
      <c r="I985" s="123"/>
      <c r="J985" s="11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</row>
    <row r="986" ht="16.5" customHeight="1">
      <c r="A986" s="107"/>
      <c r="B986" s="138"/>
      <c r="C986" s="168"/>
      <c r="D986" s="195"/>
      <c r="E986" s="205"/>
      <c r="F986" s="122"/>
      <c r="G986" s="166"/>
      <c r="H986" s="22"/>
      <c r="I986" s="123"/>
      <c r="J986" s="11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</row>
    <row r="987" ht="16.5" customHeight="1">
      <c r="A987" s="107"/>
      <c r="B987" s="138"/>
      <c r="C987" s="168"/>
      <c r="D987" s="195"/>
      <c r="E987" s="205"/>
      <c r="F987" s="122"/>
      <c r="G987" s="166"/>
      <c r="H987" s="22"/>
      <c r="I987" s="123"/>
      <c r="J987" s="11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</row>
    <row r="988" ht="16.5" customHeight="1">
      <c r="A988" s="107"/>
      <c r="B988" s="138"/>
      <c r="C988" s="168"/>
      <c r="D988" s="195"/>
      <c r="E988" s="205"/>
      <c r="F988" s="122"/>
      <c r="G988" s="166"/>
      <c r="H988" s="22"/>
      <c r="I988" s="123"/>
      <c r="J988" s="11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</row>
    <row r="989" ht="16.5" customHeight="1">
      <c r="A989" s="107"/>
      <c r="B989" s="138"/>
      <c r="C989" s="168"/>
      <c r="D989" s="195"/>
      <c r="E989" s="205"/>
      <c r="F989" s="122"/>
      <c r="G989" s="166"/>
      <c r="H989" s="22"/>
      <c r="I989" s="123"/>
      <c r="J989" s="11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</row>
    <row r="990" ht="16.5" customHeight="1">
      <c r="A990" s="107"/>
      <c r="B990" s="138"/>
      <c r="C990" s="168"/>
      <c r="D990" s="195"/>
      <c r="E990" s="205"/>
      <c r="F990" s="122"/>
      <c r="G990" s="166"/>
      <c r="H990" s="22"/>
      <c r="I990" s="123"/>
      <c r="J990" s="11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</row>
    <row r="991" ht="16.5" customHeight="1">
      <c r="A991" s="107"/>
      <c r="B991" s="138"/>
      <c r="C991" s="168"/>
      <c r="D991" s="195"/>
      <c r="E991" s="205"/>
      <c r="F991" s="122"/>
      <c r="G991" s="166"/>
      <c r="H991" s="22"/>
      <c r="I991" s="123"/>
      <c r="J991" s="11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</row>
    <row r="992" ht="16.5" customHeight="1">
      <c r="A992" s="107"/>
      <c r="B992" s="138"/>
      <c r="C992" s="168"/>
      <c r="D992" s="195"/>
      <c r="E992" s="205"/>
      <c r="F992" s="122"/>
      <c r="G992" s="166"/>
      <c r="H992" s="22"/>
      <c r="I992" s="123"/>
      <c r="J992" s="11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</row>
    <row r="993" ht="16.5" customHeight="1">
      <c r="A993" s="107"/>
      <c r="B993" s="138"/>
      <c r="C993" s="168"/>
      <c r="D993" s="195"/>
      <c r="E993" s="205"/>
      <c r="F993" s="122"/>
      <c r="G993" s="166"/>
      <c r="H993" s="22"/>
      <c r="I993" s="123"/>
      <c r="J993" s="11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</row>
    <row r="994" ht="16.5" customHeight="1">
      <c r="A994" s="107"/>
      <c r="B994" s="138"/>
      <c r="C994" s="168"/>
      <c r="D994" s="195"/>
      <c r="E994" s="205"/>
      <c r="F994" s="122"/>
      <c r="G994" s="166"/>
      <c r="H994" s="22"/>
      <c r="I994" s="123"/>
      <c r="J994" s="11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</row>
    <row r="995" ht="16.5" customHeight="1">
      <c r="A995" s="107"/>
      <c r="B995" s="138"/>
      <c r="C995" s="168"/>
      <c r="D995" s="195"/>
      <c r="E995" s="205"/>
      <c r="F995" s="122"/>
      <c r="G995" s="166"/>
      <c r="H995" s="22"/>
      <c r="I995" s="123"/>
      <c r="J995" s="11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</row>
    <row r="996" ht="16.5" customHeight="1">
      <c r="A996" s="107"/>
      <c r="B996" s="138"/>
      <c r="C996" s="168"/>
      <c r="D996" s="195"/>
      <c r="E996" s="205"/>
      <c r="F996" s="122"/>
      <c r="G996" s="166"/>
      <c r="H996" s="22"/>
      <c r="I996" s="123"/>
      <c r="J996" s="11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</row>
    <row r="997" ht="16.5" customHeight="1">
      <c r="A997" s="107"/>
      <c r="B997" s="138"/>
      <c r="C997" s="168"/>
      <c r="D997" s="195"/>
      <c r="E997" s="205"/>
      <c r="F997" s="122"/>
      <c r="G997" s="166"/>
      <c r="H997" s="22"/>
      <c r="I997" s="123"/>
      <c r="J997" s="11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</row>
    <row r="998" ht="16.5" customHeight="1">
      <c r="A998" s="107"/>
      <c r="B998" s="138"/>
      <c r="C998" s="168"/>
      <c r="D998" s="195"/>
      <c r="E998" s="205"/>
      <c r="F998" s="122"/>
      <c r="G998" s="166"/>
      <c r="H998" s="22"/>
      <c r="I998" s="123"/>
      <c r="J998" s="11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</row>
    <row r="999" ht="16.5" customHeight="1">
      <c r="A999" s="107"/>
      <c r="B999" s="138"/>
      <c r="C999" s="168"/>
      <c r="D999" s="195"/>
      <c r="E999" s="205"/>
      <c r="F999" s="122"/>
      <c r="G999" s="166"/>
      <c r="H999" s="22"/>
      <c r="I999" s="123"/>
      <c r="J999" s="11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</row>
    <row r="1000" ht="16.5" customHeight="1">
      <c r="A1000" s="107"/>
      <c r="B1000" s="138"/>
      <c r="C1000" s="168"/>
      <c r="D1000" s="195"/>
      <c r="E1000" s="205"/>
      <c r="F1000" s="122"/>
      <c r="G1000" s="166"/>
      <c r="H1000" s="22"/>
      <c r="I1000" s="123"/>
      <c r="J1000" s="11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</row>
    <row r="1001" ht="16.5" customHeight="1">
      <c r="A1001" s="107"/>
      <c r="B1001" s="138"/>
      <c r="C1001" s="168"/>
      <c r="D1001" s="195"/>
      <c r="E1001" s="205"/>
      <c r="F1001" s="122"/>
      <c r="G1001" s="166"/>
      <c r="H1001" s="22"/>
      <c r="I1001" s="123"/>
      <c r="J1001" s="11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  <c r="AA1001" s="31"/>
    </row>
    <row r="1002" ht="16.5" customHeight="1">
      <c r="A1002" s="107"/>
      <c r="B1002" s="138"/>
      <c r="C1002" s="168"/>
      <c r="D1002" s="195"/>
      <c r="E1002" s="205"/>
      <c r="F1002" s="122"/>
      <c r="G1002" s="166"/>
      <c r="H1002" s="22"/>
      <c r="I1002" s="123"/>
      <c r="J1002" s="11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  <c r="AA1002" s="31"/>
    </row>
    <row r="1003" ht="16.5" customHeight="1">
      <c r="A1003" s="107"/>
      <c r="B1003" s="138"/>
      <c r="C1003" s="168"/>
      <c r="D1003" s="195"/>
      <c r="E1003" s="205"/>
      <c r="F1003" s="122"/>
      <c r="G1003" s="166"/>
      <c r="H1003" s="22"/>
      <c r="I1003" s="123"/>
      <c r="J1003" s="111"/>
      <c r="K1003" s="31"/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  <c r="AA1003" s="31"/>
    </row>
    <row r="1004" ht="16.5" customHeight="1">
      <c r="A1004" s="107"/>
      <c r="B1004" s="138"/>
      <c r="C1004" s="168"/>
      <c r="D1004" s="195"/>
      <c r="E1004" s="205"/>
      <c r="F1004" s="122"/>
      <c r="G1004" s="166"/>
      <c r="H1004" s="22"/>
      <c r="I1004" s="123"/>
      <c r="J1004" s="111"/>
      <c r="K1004" s="31"/>
      <c r="L1004" s="31"/>
      <c r="M1004" s="31"/>
      <c r="N1004" s="31"/>
      <c r="O1004" s="31"/>
      <c r="P1004" s="31"/>
      <c r="Q1004" s="31"/>
      <c r="R1004" s="31"/>
      <c r="S1004" s="31"/>
      <c r="T1004" s="31"/>
      <c r="U1004" s="31"/>
      <c r="V1004" s="31"/>
      <c r="W1004" s="31"/>
      <c r="X1004" s="31"/>
      <c r="Y1004" s="31"/>
      <c r="Z1004" s="31"/>
      <c r="AA1004" s="31"/>
    </row>
    <row r="1005" ht="16.5" customHeight="1">
      <c r="A1005" s="107"/>
      <c r="B1005" s="138"/>
      <c r="C1005" s="168"/>
      <c r="D1005" s="195"/>
      <c r="E1005" s="205"/>
      <c r="F1005" s="122"/>
      <c r="G1005" s="166"/>
      <c r="H1005" s="22"/>
      <c r="I1005" s="123"/>
      <c r="J1005" s="111"/>
      <c r="K1005" s="31"/>
      <c r="L1005" s="31"/>
      <c r="M1005" s="31"/>
      <c r="N1005" s="31"/>
      <c r="O1005" s="31"/>
      <c r="P1005" s="31"/>
      <c r="Q1005" s="31"/>
      <c r="R1005" s="31"/>
      <c r="S1005" s="31"/>
      <c r="T1005" s="31"/>
      <c r="U1005" s="31"/>
      <c r="V1005" s="31"/>
      <c r="W1005" s="31"/>
      <c r="X1005" s="31"/>
      <c r="Y1005" s="31"/>
      <c r="Z1005" s="31"/>
      <c r="AA1005" s="31"/>
    </row>
    <row r="1006" ht="16.5" customHeight="1">
      <c r="A1006" s="107"/>
      <c r="B1006" s="138"/>
      <c r="C1006" s="168"/>
      <c r="D1006" s="195"/>
      <c r="E1006" s="205"/>
      <c r="F1006" s="122"/>
      <c r="G1006" s="166"/>
      <c r="H1006" s="22"/>
      <c r="I1006" s="123"/>
      <c r="J1006" s="111"/>
      <c r="K1006" s="31"/>
      <c r="L1006" s="31"/>
      <c r="M1006" s="31"/>
      <c r="N1006" s="31"/>
      <c r="O1006" s="31"/>
      <c r="P1006" s="31"/>
      <c r="Q1006" s="31"/>
      <c r="R1006" s="31"/>
      <c r="S1006" s="31"/>
      <c r="T1006" s="31"/>
      <c r="U1006" s="31"/>
      <c r="V1006" s="31"/>
      <c r="W1006" s="31"/>
      <c r="X1006" s="31"/>
      <c r="Y1006" s="31"/>
      <c r="Z1006" s="31"/>
      <c r="AA1006" s="31"/>
    </row>
    <row r="1007" ht="16.5" customHeight="1">
      <c r="A1007" s="107"/>
      <c r="B1007" s="138"/>
      <c r="C1007" s="168"/>
      <c r="D1007" s="195"/>
      <c r="E1007" s="205"/>
      <c r="F1007" s="122"/>
      <c r="G1007" s="166"/>
      <c r="H1007" s="22"/>
      <c r="I1007" s="123"/>
      <c r="J1007" s="111"/>
      <c r="K1007" s="31"/>
      <c r="L1007" s="31"/>
      <c r="M1007" s="31"/>
      <c r="N1007" s="31"/>
      <c r="O1007" s="31"/>
      <c r="P1007" s="31"/>
      <c r="Q1007" s="31"/>
      <c r="R1007" s="31"/>
      <c r="S1007" s="31"/>
      <c r="T1007" s="31"/>
      <c r="U1007" s="31"/>
      <c r="V1007" s="31"/>
      <c r="W1007" s="31"/>
      <c r="X1007" s="31"/>
      <c r="Y1007" s="31"/>
      <c r="Z1007" s="31"/>
      <c r="AA1007" s="31"/>
    </row>
    <row r="1008" ht="16.5" customHeight="1">
      <c r="A1008" s="107"/>
      <c r="B1008" s="138"/>
      <c r="C1008" s="168"/>
      <c r="D1008" s="195"/>
      <c r="E1008" s="205"/>
      <c r="F1008" s="122"/>
      <c r="G1008" s="166"/>
      <c r="H1008" s="22"/>
      <c r="I1008" s="123"/>
      <c r="J1008" s="111"/>
      <c r="K1008" s="31"/>
      <c r="L1008" s="31"/>
      <c r="M1008" s="31"/>
      <c r="N1008" s="31"/>
      <c r="O1008" s="31"/>
      <c r="P1008" s="31"/>
      <c r="Q1008" s="31"/>
      <c r="R1008" s="31"/>
      <c r="S1008" s="31"/>
      <c r="T1008" s="31"/>
      <c r="U1008" s="31"/>
      <c r="V1008" s="31"/>
      <c r="W1008" s="31"/>
      <c r="X1008" s="31"/>
      <c r="Y1008" s="31"/>
      <c r="Z1008" s="31"/>
      <c r="AA1008" s="31"/>
    </row>
    <row r="1009" ht="16.5" customHeight="1">
      <c r="A1009" s="107"/>
      <c r="B1009" s="138"/>
      <c r="C1009" s="168"/>
      <c r="D1009" s="195"/>
      <c r="E1009" s="205"/>
      <c r="F1009" s="122"/>
      <c r="G1009" s="166"/>
      <c r="H1009" s="22"/>
      <c r="I1009" s="123"/>
      <c r="J1009" s="111"/>
      <c r="K1009" s="31"/>
      <c r="L1009" s="31"/>
      <c r="M1009" s="31"/>
      <c r="N1009" s="31"/>
      <c r="O1009" s="31"/>
      <c r="P1009" s="31"/>
      <c r="Q1009" s="31"/>
      <c r="R1009" s="31"/>
      <c r="S1009" s="31"/>
      <c r="T1009" s="31"/>
      <c r="U1009" s="31"/>
      <c r="V1009" s="31"/>
      <c r="W1009" s="31"/>
      <c r="X1009" s="31"/>
      <c r="Y1009" s="31"/>
      <c r="Z1009" s="31"/>
      <c r="AA1009" s="31"/>
    </row>
    <row r="1010" ht="16.5" customHeight="1">
      <c r="A1010" s="107"/>
      <c r="B1010" s="138"/>
      <c r="C1010" s="168"/>
      <c r="D1010" s="195"/>
      <c r="E1010" s="205"/>
      <c r="F1010" s="122"/>
      <c r="G1010" s="166"/>
      <c r="H1010" s="22"/>
      <c r="I1010" s="123"/>
      <c r="J1010" s="111"/>
      <c r="K1010" s="31"/>
      <c r="L1010" s="31"/>
      <c r="M1010" s="31"/>
      <c r="N1010" s="31"/>
      <c r="O1010" s="31"/>
      <c r="P1010" s="31"/>
      <c r="Q1010" s="31"/>
      <c r="R1010" s="31"/>
      <c r="S1010" s="31"/>
      <c r="T1010" s="31"/>
      <c r="U1010" s="31"/>
      <c r="V1010" s="31"/>
      <c r="W1010" s="31"/>
      <c r="X1010" s="31"/>
      <c r="Y1010" s="31"/>
      <c r="Z1010" s="31"/>
      <c r="AA1010" s="31"/>
    </row>
    <row r="1011" ht="16.5" customHeight="1">
      <c r="A1011" s="107"/>
      <c r="B1011" s="138"/>
      <c r="C1011" s="168"/>
      <c r="D1011" s="195"/>
      <c r="E1011" s="205"/>
      <c r="F1011" s="122"/>
      <c r="G1011" s="166"/>
      <c r="H1011" s="22"/>
      <c r="I1011" s="123"/>
      <c r="J1011" s="111"/>
      <c r="K1011" s="31"/>
      <c r="L1011" s="31"/>
      <c r="M1011" s="31"/>
      <c r="N1011" s="31"/>
      <c r="O1011" s="31"/>
      <c r="P1011" s="31"/>
      <c r="Q1011" s="31"/>
      <c r="R1011" s="31"/>
      <c r="S1011" s="31"/>
      <c r="T1011" s="31"/>
      <c r="U1011" s="31"/>
      <c r="V1011" s="31"/>
      <c r="W1011" s="31"/>
      <c r="X1011" s="31"/>
      <c r="Y1011" s="31"/>
      <c r="Z1011" s="31"/>
      <c r="AA1011" s="31"/>
    </row>
    <row r="1012" ht="16.5" customHeight="1">
      <c r="A1012" s="107"/>
      <c r="B1012" s="138"/>
      <c r="C1012" s="168"/>
      <c r="D1012" s="195"/>
      <c r="E1012" s="205"/>
      <c r="F1012" s="122"/>
      <c r="G1012" s="166"/>
      <c r="H1012" s="22"/>
      <c r="I1012" s="123"/>
      <c r="J1012" s="111"/>
      <c r="K1012" s="31"/>
      <c r="L1012" s="31"/>
      <c r="M1012" s="31"/>
      <c r="N1012" s="31"/>
      <c r="O1012" s="31"/>
      <c r="P1012" s="31"/>
      <c r="Q1012" s="31"/>
      <c r="R1012" s="31"/>
      <c r="S1012" s="31"/>
      <c r="T1012" s="31"/>
      <c r="U1012" s="31"/>
      <c r="V1012" s="31"/>
      <c r="W1012" s="31"/>
      <c r="X1012" s="31"/>
      <c r="Y1012" s="31"/>
      <c r="Z1012" s="31"/>
      <c r="AA1012" s="31"/>
    </row>
    <row r="1013" ht="16.5" customHeight="1">
      <c r="A1013" s="107"/>
      <c r="B1013" s="138"/>
      <c r="C1013" s="168"/>
      <c r="D1013" s="195"/>
      <c r="E1013" s="205"/>
      <c r="F1013" s="122"/>
      <c r="G1013" s="166"/>
      <c r="H1013" s="22"/>
      <c r="I1013" s="123"/>
      <c r="J1013" s="111"/>
      <c r="K1013" s="31"/>
      <c r="L1013" s="31"/>
      <c r="M1013" s="31"/>
      <c r="N1013" s="31"/>
      <c r="O1013" s="31"/>
      <c r="P1013" s="31"/>
      <c r="Q1013" s="31"/>
      <c r="R1013" s="31"/>
      <c r="S1013" s="31"/>
      <c r="T1013" s="31"/>
      <c r="U1013" s="31"/>
      <c r="V1013" s="31"/>
      <c r="W1013" s="31"/>
      <c r="X1013" s="31"/>
      <c r="Y1013" s="31"/>
      <c r="Z1013" s="31"/>
      <c r="AA1013" s="31"/>
    </row>
    <row r="1014" ht="16.5" customHeight="1">
      <c r="A1014" s="107"/>
      <c r="B1014" s="138"/>
      <c r="C1014" s="168"/>
      <c r="D1014" s="195"/>
      <c r="E1014" s="205"/>
      <c r="F1014" s="122"/>
      <c r="G1014" s="166"/>
      <c r="H1014" s="22"/>
      <c r="I1014" s="123"/>
      <c r="J1014" s="111"/>
      <c r="K1014" s="31"/>
      <c r="L1014" s="31"/>
      <c r="M1014" s="31"/>
      <c r="N1014" s="31"/>
      <c r="O1014" s="31"/>
      <c r="P1014" s="31"/>
      <c r="Q1014" s="31"/>
      <c r="R1014" s="31"/>
      <c r="S1014" s="31"/>
      <c r="T1014" s="31"/>
      <c r="U1014" s="31"/>
      <c r="V1014" s="31"/>
      <c r="W1014" s="31"/>
      <c r="X1014" s="31"/>
      <c r="Y1014" s="31"/>
      <c r="Z1014" s="31"/>
      <c r="AA1014" s="31"/>
    </row>
    <row r="1015" ht="16.5" customHeight="1">
      <c r="A1015" s="107"/>
      <c r="B1015" s="138"/>
      <c r="C1015" s="168"/>
      <c r="D1015" s="195"/>
      <c r="E1015" s="205"/>
      <c r="F1015" s="122"/>
      <c r="G1015" s="166"/>
      <c r="H1015" s="22"/>
      <c r="I1015" s="123"/>
      <c r="J1015" s="111"/>
      <c r="K1015" s="31"/>
      <c r="L1015" s="31"/>
      <c r="M1015" s="31"/>
      <c r="N1015" s="31"/>
      <c r="O1015" s="31"/>
      <c r="P1015" s="31"/>
      <c r="Q1015" s="31"/>
      <c r="R1015" s="31"/>
      <c r="S1015" s="31"/>
      <c r="T1015" s="31"/>
      <c r="U1015" s="31"/>
      <c r="V1015" s="31"/>
      <c r="W1015" s="31"/>
      <c r="X1015" s="31"/>
      <c r="Y1015" s="31"/>
      <c r="Z1015" s="31"/>
      <c r="AA1015" s="31"/>
    </row>
    <row r="1016" ht="16.5" customHeight="1">
      <c r="A1016" s="107"/>
      <c r="B1016" s="138"/>
      <c r="C1016" s="168"/>
      <c r="D1016" s="195"/>
      <c r="E1016" s="205"/>
      <c r="F1016" s="122"/>
      <c r="G1016" s="166"/>
      <c r="H1016" s="22"/>
      <c r="I1016" s="123"/>
      <c r="J1016" s="111"/>
      <c r="K1016" s="31"/>
      <c r="L1016" s="31"/>
      <c r="M1016" s="31"/>
      <c r="N1016" s="31"/>
      <c r="O1016" s="31"/>
      <c r="P1016" s="31"/>
      <c r="Q1016" s="31"/>
      <c r="R1016" s="31"/>
      <c r="S1016" s="31"/>
      <c r="T1016" s="31"/>
      <c r="U1016" s="31"/>
      <c r="V1016" s="31"/>
      <c r="W1016" s="31"/>
      <c r="X1016" s="31"/>
      <c r="Y1016" s="31"/>
      <c r="Z1016" s="31"/>
      <c r="AA1016" s="31"/>
    </row>
    <row r="1017" ht="16.5" customHeight="1">
      <c r="A1017" s="107"/>
      <c r="B1017" s="138"/>
      <c r="C1017" s="168"/>
      <c r="D1017" s="195"/>
      <c r="E1017" s="205"/>
      <c r="F1017" s="122"/>
      <c r="G1017" s="166"/>
      <c r="H1017" s="22"/>
      <c r="I1017" s="123"/>
      <c r="J1017" s="111"/>
      <c r="K1017" s="31"/>
      <c r="L1017" s="31"/>
      <c r="M1017" s="31"/>
      <c r="N1017" s="31"/>
      <c r="O1017" s="31"/>
      <c r="P1017" s="31"/>
      <c r="Q1017" s="31"/>
      <c r="R1017" s="31"/>
      <c r="S1017" s="31"/>
      <c r="T1017" s="31"/>
      <c r="U1017" s="31"/>
      <c r="V1017" s="31"/>
      <c r="W1017" s="31"/>
      <c r="X1017" s="31"/>
      <c r="Y1017" s="31"/>
      <c r="Z1017" s="31"/>
      <c r="AA1017" s="31"/>
    </row>
    <row r="1018" ht="16.5" customHeight="1">
      <c r="A1018" s="107"/>
      <c r="B1018" s="138"/>
      <c r="C1018" s="168"/>
      <c r="D1018" s="195"/>
      <c r="E1018" s="205"/>
      <c r="F1018" s="122"/>
      <c r="G1018" s="166"/>
      <c r="H1018" s="22"/>
      <c r="I1018" s="123"/>
      <c r="J1018" s="111"/>
      <c r="K1018" s="31"/>
      <c r="L1018" s="31"/>
      <c r="M1018" s="31"/>
      <c r="N1018" s="31"/>
      <c r="O1018" s="31"/>
      <c r="P1018" s="31"/>
      <c r="Q1018" s="31"/>
      <c r="R1018" s="31"/>
      <c r="S1018" s="31"/>
      <c r="T1018" s="31"/>
      <c r="U1018" s="31"/>
      <c r="V1018" s="31"/>
      <c r="W1018" s="31"/>
      <c r="X1018" s="31"/>
      <c r="Y1018" s="31"/>
      <c r="Z1018" s="31"/>
      <c r="AA1018" s="31"/>
    </row>
    <row r="1019" ht="16.5" customHeight="1">
      <c r="A1019" s="107"/>
      <c r="B1019" s="138"/>
      <c r="C1019" s="168"/>
      <c r="D1019" s="195"/>
      <c r="E1019" s="205"/>
      <c r="F1019" s="122"/>
      <c r="G1019" s="166"/>
      <c r="H1019" s="22"/>
      <c r="I1019" s="123"/>
      <c r="J1019" s="111"/>
      <c r="K1019" s="31"/>
      <c r="L1019" s="31"/>
      <c r="M1019" s="31"/>
      <c r="N1019" s="31"/>
      <c r="O1019" s="31"/>
      <c r="P1019" s="31"/>
      <c r="Q1019" s="31"/>
      <c r="R1019" s="31"/>
      <c r="S1019" s="31"/>
      <c r="T1019" s="31"/>
      <c r="U1019" s="31"/>
      <c r="V1019" s="31"/>
      <c r="W1019" s="31"/>
      <c r="X1019" s="31"/>
      <c r="Y1019" s="31"/>
      <c r="Z1019" s="31"/>
      <c r="AA1019" s="31"/>
    </row>
    <row r="1020" ht="16.5" customHeight="1">
      <c r="A1020" s="107"/>
      <c r="B1020" s="138"/>
      <c r="C1020" s="168"/>
      <c r="D1020" s="195"/>
      <c r="E1020" s="205"/>
      <c r="F1020" s="122"/>
      <c r="G1020" s="166"/>
      <c r="H1020" s="22"/>
      <c r="I1020" s="123"/>
      <c r="J1020" s="111"/>
      <c r="K1020" s="31"/>
      <c r="L1020" s="31"/>
      <c r="M1020" s="31"/>
      <c r="N1020" s="31"/>
      <c r="O1020" s="31"/>
      <c r="P1020" s="31"/>
      <c r="Q1020" s="31"/>
      <c r="R1020" s="31"/>
      <c r="S1020" s="31"/>
      <c r="T1020" s="31"/>
      <c r="U1020" s="31"/>
      <c r="V1020" s="31"/>
      <c r="W1020" s="31"/>
      <c r="X1020" s="31"/>
      <c r="Y1020" s="31"/>
      <c r="Z1020" s="31"/>
      <c r="AA1020" s="31"/>
    </row>
    <row r="1021" ht="16.5" customHeight="1">
      <c r="A1021" s="107"/>
      <c r="B1021" s="138"/>
      <c r="C1021" s="168"/>
      <c r="D1021" s="195"/>
      <c r="E1021" s="205"/>
      <c r="F1021" s="122"/>
      <c r="G1021" s="166"/>
      <c r="H1021" s="22"/>
      <c r="I1021" s="123"/>
      <c r="J1021" s="111"/>
      <c r="K1021" s="31"/>
      <c r="L1021" s="31"/>
      <c r="M1021" s="31"/>
      <c r="N1021" s="31"/>
      <c r="O1021" s="31"/>
      <c r="P1021" s="31"/>
      <c r="Q1021" s="31"/>
      <c r="R1021" s="31"/>
      <c r="S1021" s="31"/>
      <c r="T1021" s="31"/>
      <c r="U1021" s="31"/>
      <c r="V1021" s="31"/>
      <c r="W1021" s="31"/>
      <c r="X1021" s="31"/>
      <c r="Y1021" s="31"/>
      <c r="Z1021" s="31"/>
      <c r="AA1021" s="31"/>
    </row>
    <row r="1022" ht="16.5" customHeight="1">
      <c r="A1022" s="107"/>
      <c r="B1022" s="138"/>
      <c r="C1022" s="168"/>
      <c r="D1022" s="195"/>
      <c r="E1022" s="205"/>
      <c r="F1022" s="122"/>
      <c r="G1022" s="166"/>
      <c r="H1022" s="22"/>
      <c r="I1022" s="123"/>
      <c r="J1022" s="111"/>
      <c r="K1022" s="31"/>
      <c r="L1022" s="31"/>
      <c r="M1022" s="31"/>
      <c r="N1022" s="31"/>
      <c r="O1022" s="31"/>
      <c r="P1022" s="31"/>
      <c r="Q1022" s="31"/>
      <c r="R1022" s="31"/>
      <c r="S1022" s="31"/>
      <c r="T1022" s="31"/>
      <c r="U1022" s="31"/>
      <c r="V1022" s="31"/>
      <c r="W1022" s="31"/>
      <c r="X1022" s="31"/>
      <c r="Y1022" s="31"/>
      <c r="Z1022" s="31"/>
      <c r="AA1022" s="31"/>
    </row>
    <row r="1023" ht="16.5" customHeight="1">
      <c r="A1023" s="107"/>
      <c r="B1023" s="138"/>
      <c r="C1023" s="168"/>
      <c r="D1023" s="195"/>
      <c r="E1023" s="205"/>
      <c r="F1023" s="122"/>
      <c r="G1023" s="166"/>
      <c r="H1023" s="22"/>
      <c r="I1023" s="123"/>
      <c r="J1023" s="111"/>
      <c r="K1023" s="31"/>
      <c r="L1023" s="31"/>
      <c r="M1023" s="31"/>
      <c r="N1023" s="31"/>
      <c r="O1023" s="31"/>
      <c r="P1023" s="31"/>
      <c r="Q1023" s="31"/>
      <c r="R1023" s="31"/>
      <c r="S1023" s="31"/>
      <c r="T1023" s="31"/>
      <c r="U1023" s="31"/>
      <c r="V1023" s="31"/>
      <c r="W1023" s="31"/>
      <c r="X1023" s="31"/>
      <c r="Y1023" s="31"/>
      <c r="Z1023" s="31"/>
      <c r="AA1023" s="31"/>
    </row>
    <row r="1024" ht="16.5" customHeight="1">
      <c r="A1024" s="107"/>
      <c r="B1024" s="138"/>
      <c r="C1024" s="168"/>
      <c r="D1024" s="195"/>
      <c r="E1024" s="205"/>
      <c r="F1024" s="122"/>
      <c r="G1024" s="166"/>
      <c r="H1024" s="22"/>
      <c r="I1024" s="123"/>
      <c r="J1024" s="111"/>
      <c r="K1024" s="31"/>
      <c r="L1024" s="31"/>
      <c r="M1024" s="31"/>
      <c r="N1024" s="31"/>
      <c r="O1024" s="31"/>
      <c r="P1024" s="31"/>
      <c r="Q1024" s="31"/>
      <c r="R1024" s="31"/>
      <c r="S1024" s="31"/>
      <c r="T1024" s="31"/>
      <c r="U1024" s="31"/>
      <c r="V1024" s="31"/>
      <c r="W1024" s="31"/>
      <c r="X1024" s="31"/>
      <c r="Y1024" s="31"/>
      <c r="Z1024" s="31"/>
      <c r="AA1024" s="31"/>
    </row>
    <row r="1025" ht="16.5" customHeight="1">
      <c r="A1025" s="107"/>
      <c r="B1025" s="138"/>
      <c r="C1025" s="168"/>
      <c r="D1025" s="195"/>
      <c r="E1025" s="205"/>
      <c r="F1025" s="122"/>
      <c r="G1025" s="166"/>
      <c r="H1025" s="22"/>
      <c r="I1025" s="123"/>
      <c r="J1025" s="111"/>
      <c r="K1025" s="31"/>
      <c r="L1025" s="31"/>
      <c r="M1025" s="31"/>
      <c r="N1025" s="31"/>
      <c r="O1025" s="31"/>
      <c r="P1025" s="31"/>
      <c r="Q1025" s="31"/>
      <c r="R1025" s="31"/>
      <c r="S1025" s="31"/>
      <c r="T1025" s="31"/>
      <c r="U1025" s="31"/>
      <c r="V1025" s="31"/>
      <c r="W1025" s="31"/>
      <c r="X1025" s="31"/>
      <c r="Y1025" s="31"/>
      <c r="Z1025" s="31"/>
      <c r="AA1025" s="31"/>
    </row>
    <row r="1026" ht="16.5" customHeight="1">
      <c r="A1026" s="107"/>
      <c r="B1026" s="138"/>
      <c r="C1026" s="168"/>
      <c r="D1026" s="195"/>
      <c r="E1026" s="205"/>
      <c r="F1026" s="122"/>
      <c r="G1026" s="166"/>
      <c r="H1026" s="22"/>
      <c r="I1026" s="123"/>
      <c r="J1026" s="111"/>
      <c r="K1026" s="31"/>
      <c r="L1026" s="31"/>
      <c r="M1026" s="31"/>
      <c r="N1026" s="31"/>
      <c r="O1026" s="31"/>
      <c r="P1026" s="31"/>
      <c r="Q1026" s="31"/>
      <c r="R1026" s="31"/>
      <c r="S1026" s="31"/>
      <c r="T1026" s="31"/>
      <c r="U1026" s="31"/>
      <c r="V1026" s="31"/>
      <c r="W1026" s="31"/>
      <c r="X1026" s="31"/>
      <c r="Y1026" s="31"/>
      <c r="Z1026" s="31"/>
      <c r="AA1026" s="31"/>
    </row>
    <row r="1027" ht="16.5" customHeight="1">
      <c r="A1027" s="107"/>
      <c r="B1027" s="138"/>
      <c r="C1027" s="168"/>
      <c r="D1027" s="195"/>
      <c r="E1027" s="205"/>
      <c r="F1027" s="122"/>
      <c r="G1027" s="166"/>
      <c r="H1027" s="22"/>
      <c r="I1027" s="123"/>
      <c r="J1027" s="111"/>
      <c r="K1027" s="31"/>
      <c r="L1027" s="31"/>
      <c r="M1027" s="31"/>
      <c r="N1027" s="31"/>
      <c r="O1027" s="31"/>
      <c r="P1027" s="31"/>
      <c r="Q1027" s="31"/>
      <c r="R1027" s="31"/>
      <c r="S1027" s="31"/>
      <c r="T1027" s="31"/>
      <c r="U1027" s="31"/>
      <c r="V1027" s="31"/>
      <c r="W1027" s="31"/>
      <c r="X1027" s="31"/>
      <c r="Y1027" s="31"/>
      <c r="Z1027" s="31"/>
      <c r="AA1027" s="31"/>
    </row>
    <row r="1028" ht="16.5" customHeight="1">
      <c r="A1028" s="107"/>
      <c r="B1028" s="138"/>
      <c r="C1028" s="168"/>
      <c r="D1028" s="195"/>
      <c r="E1028" s="205"/>
      <c r="F1028" s="122"/>
      <c r="G1028" s="166"/>
      <c r="H1028" s="22"/>
      <c r="I1028" s="123"/>
      <c r="J1028" s="111"/>
      <c r="K1028" s="31"/>
      <c r="L1028" s="31"/>
      <c r="M1028" s="31"/>
      <c r="N1028" s="31"/>
      <c r="O1028" s="31"/>
      <c r="P1028" s="31"/>
      <c r="Q1028" s="31"/>
      <c r="R1028" s="31"/>
      <c r="S1028" s="31"/>
      <c r="T1028" s="31"/>
      <c r="U1028" s="31"/>
      <c r="V1028" s="31"/>
      <c r="W1028" s="31"/>
      <c r="X1028" s="31"/>
      <c r="Y1028" s="31"/>
      <c r="Z1028" s="31"/>
      <c r="AA1028" s="31"/>
    </row>
    <row r="1029" ht="16.5" customHeight="1">
      <c r="A1029" s="107"/>
      <c r="B1029" s="138"/>
      <c r="C1029" s="168"/>
      <c r="D1029" s="195"/>
      <c r="E1029" s="205"/>
      <c r="F1029" s="122"/>
      <c r="G1029" s="166"/>
      <c r="H1029" s="22"/>
      <c r="I1029" s="123"/>
      <c r="J1029" s="111"/>
      <c r="K1029" s="31"/>
      <c r="L1029" s="31"/>
      <c r="M1029" s="31"/>
      <c r="N1029" s="31"/>
      <c r="O1029" s="31"/>
      <c r="P1029" s="31"/>
      <c r="Q1029" s="31"/>
      <c r="R1029" s="31"/>
      <c r="S1029" s="31"/>
      <c r="T1029" s="31"/>
      <c r="U1029" s="31"/>
      <c r="V1029" s="31"/>
      <c r="W1029" s="31"/>
      <c r="X1029" s="31"/>
      <c r="Y1029" s="31"/>
      <c r="Z1029" s="31"/>
      <c r="AA1029" s="31"/>
    </row>
    <row r="1030" ht="16.5" customHeight="1">
      <c r="A1030" s="107"/>
      <c r="B1030" s="138"/>
      <c r="C1030" s="168"/>
      <c r="D1030" s="195"/>
      <c r="E1030" s="205"/>
      <c r="F1030" s="122"/>
      <c r="G1030" s="166"/>
      <c r="H1030" s="22"/>
      <c r="I1030" s="123"/>
      <c r="J1030" s="111"/>
      <c r="K1030" s="31"/>
      <c r="L1030" s="31"/>
      <c r="M1030" s="31"/>
      <c r="N1030" s="31"/>
      <c r="O1030" s="31"/>
      <c r="P1030" s="31"/>
      <c r="Q1030" s="31"/>
      <c r="R1030" s="31"/>
      <c r="S1030" s="31"/>
      <c r="T1030" s="31"/>
      <c r="U1030" s="31"/>
      <c r="V1030" s="31"/>
      <c r="W1030" s="31"/>
      <c r="X1030" s="31"/>
      <c r="Y1030" s="31"/>
      <c r="Z1030" s="31"/>
      <c r="AA1030" s="31"/>
    </row>
    <row r="1031" ht="16.5" customHeight="1">
      <c r="A1031" s="107"/>
      <c r="B1031" s="138"/>
      <c r="C1031" s="168"/>
      <c r="D1031" s="195"/>
      <c r="E1031" s="205"/>
      <c r="F1031" s="122"/>
      <c r="G1031" s="166"/>
      <c r="H1031" s="22"/>
      <c r="I1031" s="123"/>
      <c r="J1031" s="111"/>
      <c r="K1031" s="31"/>
      <c r="L1031" s="31"/>
      <c r="M1031" s="31"/>
      <c r="N1031" s="31"/>
      <c r="O1031" s="31"/>
      <c r="P1031" s="31"/>
      <c r="Q1031" s="31"/>
      <c r="R1031" s="31"/>
      <c r="S1031" s="31"/>
      <c r="T1031" s="31"/>
      <c r="U1031" s="31"/>
      <c r="V1031" s="31"/>
      <c r="W1031" s="31"/>
      <c r="X1031" s="31"/>
      <c r="Y1031" s="31"/>
      <c r="Z1031" s="31"/>
      <c r="AA1031" s="31"/>
    </row>
    <row r="1032" ht="16.5" customHeight="1">
      <c r="A1032" s="107"/>
      <c r="B1032" s="138"/>
      <c r="C1032" s="168"/>
      <c r="D1032" s="195"/>
      <c r="E1032" s="205"/>
      <c r="F1032" s="122"/>
      <c r="G1032" s="166"/>
      <c r="H1032" s="22"/>
      <c r="I1032" s="123"/>
      <c r="J1032" s="111"/>
      <c r="K1032" s="31"/>
      <c r="L1032" s="31"/>
      <c r="M1032" s="31"/>
      <c r="N1032" s="31"/>
      <c r="O1032" s="31"/>
      <c r="P1032" s="31"/>
      <c r="Q1032" s="31"/>
      <c r="R1032" s="31"/>
      <c r="S1032" s="31"/>
      <c r="T1032" s="31"/>
      <c r="U1032" s="31"/>
      <c r="V1032" s="31"/>
      <c r="W1032" s="31"/>
      <c r="X1032" s="31"/>
      <c r="Y1032" s="31"/>
      <c r="Z1032" s="31"/>
      <c r="AA1032" s="31"/>
    </row>
    <row r="1033" ht="16.5" customHeight="1">
      <c r="A1033" s="107"/>
      <c r="B1033" s="138"/>
      <c r="C1033" s="168"/>
      <c r="D1033" s="195"/>
      <c r="E1033" s="205"/>
      <c r="F1033" s="122"/>
      <c r="G1033" s="166"/>
      <c r="H1033" s="22"/>
      <c r="I1033" s="123"/>
      <c r="J1033" s="111"/>
      <c r="K1033" s="31"/>
      <c r="L1033" s="31"/>
      <c r="M1033" s="31"/>
      <c r="N1033" s="31"/>
      <c r="O1033" s="31"/>
      <c r="P1033" s="31"/>
      <c r="Q1033" s="31"/>
      <c r="R1033" s="31"/>
      <c r="S1033" s="31"/>
      <c r="T1033" s="31"/>
      <c r="U1033" s="31"/>
      <c r="V1033" s="31"/>
      <c r="W1033" s="31"/>
      <c r="X1033" s="31"/>
      <c r="Y1033" s="31"/>
      <c r="Z1033" s="31"/>
      <c r="AA1033" s="31"/>
    </row>
    <row r="1034" ht="16.5" customHeight="1">
      <c r="A1034" s="107"/>
      <c r="B1034" s="138"/>
      <c r="C1034" s="168"/>
      <c r="D1034" s="195"/>
      <c r="E1034" s="205"/>
      <c r="F1034" s="122"/>
      <c r="G1034" s="166"/>
      <c r="H1034" s="22"/>
      <c r="I1034" s="123"/>
      <c r="J1034" s="111"/>
      <c r="K1034" s="31"/>
      <c r="L1034" s="31"/>
      <c r="M1034" s="31"/>
      <c r="N1034" s="31"/>
      <c r="O1034" s="31"/>
      <c r="P1034" s="31"/>
      <c r="Q1034" s="31"/>
      <c r="R1034" s="31"/>
      <c r="S1034" s="31"/>
      <c r="T1034" s="31"/>
      <c r="U1034" s="31"/>
      <c r="V1034" s="31"/>
      <c r="W1034" s="31"/>
      <c r="X1034" s="31"/>
      <c r="Y1034" s="31"/>
      <c r="Z1034" s="31"/>
      <c r="AA1034" s="31"/>
    </row>
    <row r="1035" ht="16.5" customHeight="1">
      <c r="A1035" s="107"/>
      <c r="B1035" s="138"/>
      <c r="C1035" s="168"/>
      <c r="D1035" s="195"/>
      <c r="E1035" s="205"/>
      <c r="F1035" s="122"/>
      <c r="G1035" s="166"/>
      <c r="H1035" s="22"/>
      <c r="I1035" s="123"/>
      <c r="J1035" s="111"/>
      <c r="K1035" s="31"/>
      <c r="L1035" s="31"/>
      <c r="M1035" s="31"/>
      <c r="N1035" s="31"/>
      <c r="O1035" s="31"/>
      <c r="P1035" s="31"/>
      <c r="Q1035" s="31"/>
      <c r="R1035" s="31"/>
      <c r="S1035" s="31"/>
      <c r="T1035" s="31"/>
      <c r="U1035" s="31"/>
      <c r="V1035" s="31"/>
      <c r="W1035" s="31"/>
      <c r="X1035" s="31"/>
      <c r="Y1035" s="31"/>
      <c r="Z1035" s="31"/>
      <c r="AA1035" s="31"/>
    </row>
    <row r="1036" ht="16.5" customHeight="1">
      <c r="A1036" s="107"/>
      <c r="B1036" s="138"/>
      <c r="C1036" s="168"/>
      <c r="D1036" s="195"/>
      <c r="E1036" s="205"/>
      <c r="F1036" s="122"/>
      <c r="G1036" s="166"/>
      <c r="H1036" s="22"/>
      <c r="I1036" s="123"/>
      <c r="J1036" s="111"/>
      <c r="K1036" s="31"/>
      <c r="L1036" s="31"/>
      <c r="M1036" s="31"/>
      <c r="N1036" s="31"/>
      <c r="O1036" s="31"/>
      <c r="P1036" s="31"/>
      <c r="Q1036" s="31"/>
      <c r="R1036" s="31"/>
      <c r="S1036" s="31"/>
      <c r="T1036" s="31"/>
      <c r="U1036" s="31"/>
      <c r="V1036" s="31"/>
      <c r="W1036" s="31"/>
      <c r="X1036" s="31"/>
      <c r="Y1036" s="31"/>
      <c r="Z1036" s="31"/>
      <c r="AA1036" s="31"/>
    </row>
    <row r="1037" ht="16.5" customHeight="1">
      <c r="A1037" s="107"/>
      <c r="B1037" s="138"/>
      <c r="C1037" s="168"/>
      <c r="D1037" s="195"/>
      <c r="E1037" s="205"/>
      <c r="F1037" s="122"/>
      <c r="G1037" s="166"/>
      <c r="H1037" s="22"/>
      <c r="I1037" s="123"/>
      <c r="J1037" s="111"/>
      <c r="K1037" s="31"/>
      <c r="L1037" s="31"/>
      <c r="M1037" s="31"/>
      <c r="N1037" s="31"/>
      <c r="O1037" s="31"/>
      <c r="P1037" s="31"/>
      <c r="Q1037" s="31"/>
      <c r="R1037" s="31"/>
      <c r="S1037" s="31"/>
      <c r="T1037" s="31"/>
      <c r="U1037" s="31"/>
      <c r="V1037" s="31"/>
      <c r="W1037" s="31"/>
      <c r="X1037" s="31"/>
      <c r="Y1037" s="31"/>
      <c r="Z1037" s="31"/>
      <c r="AA1037" s="31"/>
    </row>
    <row r="1038" ht="16.5" customHeight="1">
      <c r="A1038" s="107"/>
      <c r="B1038" s="138"/>
      <c r="C1038" s="168"/>
      <c r="D1038" s="195"/>
      <c r="E1038" s="205"/>
      <c r="F1038" s="122"/>
      <c r="G1038" s="166"/>
      <c r="H1038" s="22"/>
      <c r="I1038" s="123"/>
      <c r="J1038" s="111"/>
      <c r="K1038" s="31"/>
      <c r="L1038" s="31"/>
      <c r="M1038" s="31"/>
      <c r="N1038" s="31"/>
      <c r="O1038" s="31"/>
      <c r="P1038" s="31"/>
      <c r="Q1038" s="31"/>
      <c r="R1038" s="31"/>
      <c r="S1038" s="31"/>
      <c r="T1038" s="31"/>
      <c r="U1038" s="31"/>
      <c r="V1038" s="31"/>
      <c r="W1038" s="31"/>
      <c r="X1038" s="31"/>
      <c r="Y1038" s="31"/>
      <c r="Z1038" s="31"/>
      <c r="AA1038" s="31"/>
    </row>
    <row r="1039" ht="16.5" customHeight="1">
      <c r="A1039" s="107"/>
      <c r="B1039" s="138"/>
      <c r="C1039" s="168"/>
      <c r="D1039" s="195"/>
      <c r="E1039" s="205"/>
      <c r="F1039" s="122"/>
      <c r="G1039" s="166"/>
      <c r="H1039" s="22"/>
      <c r="I1039" s="123"/>
      <c r="J1039" s="111"/>
      <c r="K1039" s="31"/>
      <c r="L1039" s="31"/>
      <c r="M1039" s="31"/>
      <c r="N1039" s="31"/>
      <c r="O1039" s="31"/>
      <c r="P1039" s="31"/>
      <c r="Q1039" s="31"/>
      <c r="R1039" s="31"/>
      <c r="S1039" s="31"/>
      <c r="T1039" s="31"/>
      <c r="U1039" s="31"/>
      <c r="V1039" s="31"/>
      <c r="W1039" s="31"/>
      <c r="X1039" s="31"/>
      <c r="Y1039" s="31"/>
      <c r="Z1039" s="31"/>
      <c r="AA1039" s="31"/>
    </row>
    <row r="1040" ht="16.5" customHeight="1">
      <c r="A1040" s="107"/>
      <c r="B1040" s="138"/>
      <c r="C1040" s="168"/>
      <c r="D1040" s="195"/>
      <c r="E1040" s="205"/>
      <c r="F1040" s="122"/>
      <c r="G1040" s="166"/>
      <c r="H1040" s="22"/>
      <c r="I1040" s="123"/>
      <c r="J1040" s="111"/>
      <c r="K1040" s="31"/>
      <c r="L1040" s="31"/>
      <c r="M1040" s="31"/>
      <c r="N1040" s="31"/>
      <c r="O1040" s="31"/>
      <c r="P1040" s="31"/>
      <c r="Q1040" s="31"/>
      <c r="R1040" s="31"/>
      <c r="S1040" s="31"/>
      <c r="T1040" s="31"/>
      <c r="U1040" s="31"/>
      <c r="V1040" s="31"/>
      <c r="W1040" s="31"/>
      <c r="X1040" s="31"/>
      <c r="Y1040" s="31"/>
      <c r="Z1040" s="31"/>
      <c r="AA1040" s="31"/>
    </row>
    <row r="1041" ht="16.5" customHeight="1">
      <c r="A1041" s="107"/>
      <c r="B1041" s="138"/>
      <c r="C1041" s="168"/>
      <c r="D1041" s="195"/>
      <c r="E1041" s="205"/>
      <c r="F1041" s="122"/>
      <c r="G1041" s="166"/>
      <c r="H1041" s="22"/>
      <c r="I1041" s="123"/>
      <c r="J1041" s="111"/>
      <c r="K1041" s="31"/>
      <c r="L1041" s="31"/>
      <c r="M1041" s="31"/>
      <c r="N1041" s="31"/>
      <c r="O1041" s="31"/>
      <c r="P1041" s="31"/>
      <c r="Q1041" s="31"/>
      <c r="R1041" s="31"/>
      <c r="S1041" s="31"/>
      <c r="T1041" s="31"/>
      <c r="U1041" s="31"/>
      <c r="V1041" s="31"/>
      <c r="W1041" s="31"/>
      <c r="X1041" s="31"/>
      <c r="Y1041" s="31"/>
      <c r="Z1041" s="31"/>
      <c r="AA1041" s="31"/>
    </row>
    <row r="1042" ht="16.5" customHeight="1">
      <c r="A1042" s="107"/>
      <c r="B1042" s="138"/>
      <c r="C1042" s="168"/>
      <c r="D1042" s="195"/>
      <c r="E1042" s="205"/>
      <c r="F1042" s="122"/>
      <c r="G1042" s="166"/>
      <c r="H1042" s="22"/>
      <c r="I1042" s="123"/>
      <c r="J1042" s="111"/>
      <c r="K1042" s="31"/>
      <c r="L1042" s="31"/>
      <c r="M1042" s="31"/>
      <c r="N1042" s="31"/>
      <c r="O1042" s="31"/>
      <c r="P1042" s="31"/>
      <c r="Q1042" s="31"/>
      <c r="R1042" s="31"/>
      <c r="S1042" s="31"/>
      <c r="T1042" s="31"/>
      <c r="U1042" s="31"/>
      <c r="V1042" s="31"/>
      <c r="W1042" s="31"/>
      <c r="X1042" s="31"/>
      <c r="Y1042" s="31"/>
      <c r="Z1042" s="31"/>
      <c r="AA1042" s="31"/>
    </row>
    <row r="1043" ht="16.5" customHeight="1">
      <c r="A1043" s="107"/>
      <c r="B1043" s="138"/>
      <c r="C1043" s="168"/>
      <c r="D1043" s="195"/>
      <c r="E1043" s="205"/>
      <c r="F1043" s="122"/>
      <c r="G1043" s="166"/>
      <c r="H1043" s="22"/>
      <c r="I1043" s="123"/>
      <c r="J1043" s="111"/>
      <c r="K1043" s="31"/>
      <c r="L1043" s="31"/>
      <c r="M1043" s="31"/>
      <c r="N1043" s="31"/>
      <c r="O1043" s="31"/>
      <c r="P1043" s="31"/>
      <c r="Q1043" s="31"/>
      <c r="R1043" s="31"/>
      <c r="S1043" s="31"/>
      <c r="T1043" s="31"/>
      <c r="U1043" s="31"/>
      <c r="V1043" s="31"/>
      <c r="W1043" s="31"/>
      <c r="X1043" s="31"/>
      <c r="Y1043" s="31"/>
      <c r="Z1043" s="31"/>
      <c r="AA1043" s="31"/>
    </row>
    <row r="1044" ht="16.5" customHeight="1">
      <c r="A1044" s="107"/>
      <c r="B1044" s="138"/>
      <c r="C1044" s="168"/>
      <c r="D1044" s="195"/>
      <c r="E1044" s="205"/>
      <c r="F1044" s="122"/>
      <c r="G1044" s="166"/>
      <c r="H1044" s="22"/>
      <c r="I1044" s="123"/>
      <c r="J1044" s="111"/>
      <c r="K1044" s="31"/>
      <c r="L1044" s="31"/>
      <c r="M1044" s="31"/>
      <c r="N1044" s="31"/>
      <c r="O1044" s="31"/>
      <c r="P1044" s="31"/>
      <c r="Q1044" s="31"/>
      <c r="R1044" s="31"/>
      <c r="S1044" s="31"/>
      <c r="T1044" s="31"/>
      <c r="U1044" s="31"/>
      <c r="V1044" s="31"/>
      <c r="W1044" s="31"/>
      <c r="X1044" s="31"/>
      <c r="Y1044" s="31"/>
      <c r="Z1044" s="31"/>
      <c r="AA1044" s="31"/>
    </row>
    <row r="1045" ht="16.5" customHeight="1">
      <c r="A1045" s="107"/>
      <c r="B1045" s="138"/>
      <c r="C1045" s="168"/>
      <c r="D1045" s="195"/>
      <c r="E1045" s="205"/>
      <c r="F1045" s="122"/>
      <c r="G1045" s="166"/>
      <c r="H1045" s="22"/>
      <c r="I1045" s="123"/>
      <c r="J1045" s="111"/>
      <c r="K1045" s="31"/>
      <c r="L1045" s="31"/>
      <c r="M1045" s="31"/>
      <c r="N1045" s="31"/>
      <c r="O1045" s="31"/>
      <c r="P1045" s="31"/>
      <c r="Q1045" s="31"/>
      <c r="R1045" s="31"/>
      <c r="S1045" s="31"/>
      <c r="T1045" s="31"/>
      <c r="U1045" s="31"/>
      <c r="V1045" s="31"/>
      <c r="W1045" s="31"/>
      <c r="X1045" s="31"/>
      <c r="Y1045" s="31"/>
      <c r="Z1045" s="31"/>
      <c r="AA1045" s="31"/>
    </row>
    <row r="1046" ht="16.5" customHeight="1">
      <c r="A1046" s="107"/>
      <c r="B1046" s="138"/>
      <c r="C1046" s="168"/>
      <c r="D1046" s="195"/>
      <c r="E1046" s="205"/>
      <c r="F1046" s="122"/>
      <c r="G1046" s="166"/>
      <c r="H1046" s="22"/>
      <c r="I1046" s="123"/>
      <c r="J1046" s="111"/>
      <c r="K1046" s="31"/>
      <c r="L1046" s="31"/>
      <c r="M1046" s="31"/>
      <c r="N1046" s="31"/>
      <c r="O1046" s="31"/>
      <c r="P1046" s="31"/>
      <c r="Q1046" s="31"/>
      <c r="R1046" s="31"/>
      <c r="S1046" s="31"/>
      <c r="T1046" s="31"/>
      <c r="U1046" s="31"/>
      <c r="V1046" s="31"/>
      <c r="W1046" s="31"/>
      <c r="X1046" s="31"/>
      <c r="Y1046" s="31"/>
      <c r="Z1046" s="31"/>
      <c r="AA1046" s="31"/>
    </row>
    <row r="1047" ht="16.5" customHeight="1">
      <c r="A1047" s="107"/>
      <c r="B1047" s="138"/>
      <c r="C1047" s="168"/>
      <c r="D1047" s="195"/>
      <c r="E1047" s="205"/>
      <c r="F1047" s="122"/>
      <c r="G1047" s="166"/>
      <c r="H1047" s="22"/>
      <c r="I1047" s="123"/>
      <c r="J1047" s="111"/>
      <c r="K1047" s="31"/>
      <c r="L1047" s="31"/>
      <c r="M1047" s="31"/>
      <c r="N1047" s="31"/>
      <c r="O1047" s="31"/>
      <c r="P1047" s="31"/>
      <c r="Q1047" s="31"/>
      <c r="R1047" s="31"/>
      <c r="S1047" s="31"/>
      <c r="T1047" s="31"/>
      <c r="U1047" s="31"/>
      <c r="V1047" s="31"/>
      <c r="W1047" s="31"/>
      <c r="X1047" s="31"/>
      <c r="Y1047" s="31"/>
      <c r="Z1047" s="31"/>
      <c r="AA1047" s="31"/>
    </row>
    <row r="1048" ht="16.5" customHeight="1">
      <c r="A1048" s="107"/>
      <c r="B1048" s="138"/>
      <c r="C1048" s="168"/>
      <c r="D1048" s="195"/>
      <c r="E1048" s="205"/>
      <c r="F1048" s="122"/>
      <c r="G1048" s="166"/>
      <c r="H1048" s="22"/>
      <c r="I1048" s="123"/>
      <c r="J1048" s="111"/>
      <c r="K1048" s="31"/>
      <c r="L1048" s="31"/>
      <c r="M1048" s="31"/>
      <c r="N1048" s="31"/>
      <c r="O1048" s="31"/>
      <c r="P1048" s="31"/>
      <c r="Q1048" s="31"/>
      <c r="R1048" s="31"/>
      <c r="S1048" s="31"/>
      <c r="T1048" s="31"/>
      <c r="U1048" s="31"/>
      <c r="V1048" s="31"/>
      <c r="W1048" s="31"/>
      <c r="X1048" s="31"/>
      <c r="Y1048" s="31"/>
      <c r="Z1048" s="31"/>
      <c r="AA1048" s="31"/>
    </row>
    <row r="1049" ht="16.5" customHeight="1">
      <c r="A1049" s="107"/>
      <c r="B1049" s="138"/>
      <c r="C1049" s="168"/>
      <c r="D1049" s="195"/>
      <c r="E1049" s="205"/>
      <c r="F1049" s="122"/>
      <c r="G1049" s="166"/>
      <c r="H1049" s="22"/>
      <c r="I1049" s="123"/>
      <c r="J1049" s="111"/>
      <c r="K1049" s="31"/>
      <c r="L1049" s="31"/>
      <c r="M1049" s="31"/>
      <c r="N1049" s="31"/>
      <c r="O1049" s="31"/>
      <c r="P1049" s="31"/>
      <c r="Q1049" s="31"/>
      <c r="R1049" s="31"/>
      <c r="S1049" s="31"/>
      <c r="T1049" s="31"/>
      <c r="U1049" s="31"/>
      <c r="V1049" s="31"/>
      <c r="W1049" s="31"/>
      <c r="X1049" s="31"/>
      <c r="Y1049" s="31"/>
      <c r="Z1049" s="31"/>
      <c r="AA1049" s="31"/>
    </row>
    <row r="1050" ht="16.5" customHeight="1">
      <c r="A1050" s="107"/>
      <c r="B1050" s="138"/>
      <c r="C1050" s="168"/>
      <c r="D1050" s="195"/>
      <c r="E1050" s="205"/>
      <c r="F1050" s="122"/>
      <c r="G1050" s="166"/>
      <c r="H1050" s="22"/>
      <c r="I1050" s="123"/>
      <c r="J1050" s="111"/>
      <c r="K1050" s="31"/>
      <c r="L1050" s="31"/>
      <c r="M1050" s="31"/>
      <c r="N1050" s="31"/>
      <c r="O1050" s="31"/>
      <c r="P1050" s="31"/>
      <c r="Q1050" s="31"/>
      <c r="R1050" s="31"/>
      <c r="S1050" s="31"/>
      <c r="T1050" s="31"/>
      <c r="U1050" s="31"/>
      <c r="V1050" s="31"/>
      <c r="W1050" s="31"/>
      <c r="X1050" s="31"/>
      <c r="Y1050" s="31"/>
      <c r="Z1050" s="31"/>
      <c r="AA1050" s="31"/>
    </row>
    <row r="1051" ht="16.5" customHeight="1">
      <c r="A1051" s="107"/>
      <c r="B1051" s="138"/>
      <c r="C1051" s="168"/>
      <c r="D1051" s="195"/>
      <c r="E1051" s="205"/>
      <c r="F1051" s="122"/>
      <c r="G1051" s="166"/>
      <c r="H1051" s="22"/>
      <c r="I1051" s="123"/>
      <c r="J1051" s="111"/>
      <c r="K1051" s="31"/>
      <c r="L1051" s="31"/>
      <c r="M1051" s="31"/>
      <c r="N1051" s="31"/>
      <c r="O1051" s="31"/>
      <c r="P1051" s="31"/>
      <c r="Q1051" s="31"/>
      <c r="R1051" s="31"/>
      <c r="S1051" s="31"/>
      <c r="T1051" s="31"/>
      <c r="U1051" s="31"/>
      <c r="V1051" s="31"/>
      <c r="W1051" s="31"/>
      <c r="X1051" s="31"/>
      <c r="Y1051" s="31"/>
      <c r="Z1051" s="31"/>
      <c r="AA1051" s="31"/>
    </row>
    <row r="1052" ht="16.5" customHeight="1">
      <c r="A1052" s="107"/>
      <c r="B1052" s="138"/>
      <c r="C1052" s="168"/>
      <c r="D1052" s="195"/>
      <c r="E1052" s="205"/>
      <c r="F1052" s="122"/>
      <c r="G1052" s="166"/>
      <c r="H1052" s="22"/>
      <c r="I1052" s="123"/>
      <c r="J1052" s="111"/>
      <c r="K1052" s="31"/>
      <c r="L1052" s="31"/>
      <c r="M1052" s="31"/>
      <c r="N1052" s="31"/>
      <c r="O1052" s="31"/>
      <c r="P1052" s="31"/>
      <c r="Q1052" s="31"/>
      <c r="R1052" s="31"/>
      <c r="S1052" s="31"/>
      <c r="T1052" s="31"/>
      <c r="U1052" s="31"/>
      <c r="V1052" s="31"/>
      <c r="W1052" s="31"/>
      <c r="X1052" s="31"/>
      <c r="Y1052" s="31"/>
      <c r="Z1052" s="31"/>
      <c r="AA1052" s="31"/>
    </row>
    <row r="1053" ht="16.5" customHeight="1">
      <c r="A1053" s="107"/>
      <c r="B1053" s="138"/>
      <c r="C1053" s="168"/>
      <c r="D1053" s="195"/>
      <c r="E1053" s="205"/>
      <c r="F1053" s="122"/>
      <c r="G1053" s="166"/>
      <c r="H1053" s="22"/>
      <c r="I1053" s="123"/>
      <c r="J1053" s="111"/>
      <c r="K1053" s="31"/>
      <c r="L1053" s="31"/>
      <c r="M1053" s="31"/>
      <c r="N1053" s="31"/>
      <c r="O1053" s="31"/>
      <c r="P1053" s="31"/>
      <c r="Q1053" s="31"/>
      <c r="R1053" s="31"/>
      <c r="S1053" s="31"/>
      <c r="T1053" s="31"/>
      <c r="U1053" s="31"/>
      <c r="V1053" s="31"/>
      <c r="W1053" s="31"/>
      <c r="X1053" s="31"/>
      <c r="Y1053" s="31"/>
      <c r="Z1053" s="31"/>
      <c r="AA1053" s="31"/>
    </row>
    <row r="1054" ht="16.5" customHeight="1">
      <c r="A1054" s="107"/>
      <c r="B1054" s="138"/>
      <c r="C1054" s="168"/>
      <c r="D1054" s="195"/>
      <c r="E1054" s="205"/>
      <c r="F1054" s="122"/>
      <c r="G1054" s="166"/>
      <c r="H1054" s="22"/>
      <c r="I1054" s="123"/>
      <c r="J1054" s="111"/>
      <c r="K1054" s="31"/>
      <c r="L1054" s="31"/>
      <c r="M1054" s="31"/>
      <c r="N1054" s="31"/>
      <c r="O1054" s="31"/>
      <c r="P1054" s="31"/>
      <c r="Q1054" s="31"/>
      <c r="R1054" s="31"/>
      <c r="S1054" s="31"/>
      <c r="T1054" s="31"/>
      <c r="U1054" s="31"/>
      <c r="V1054" s="31"/>
      <c r="W1054" s="31"/>
      <c r="X1054" s="31"/>
      <c r="Y1054" s="31"/>
      <c r="Z1054" s="31"/>
      <c r="AA1054" s="31"/>
    </row>
    <row r="1055" ht="16.5" customHeight="1">
      <c r="A1055" s="107"/>
      <c r="B1055" s="138"/>
      <c r="C1055" s="168"/>
      <c r="D1055" s="195"/>
      <c r="E1055" s="205"/>
      <c r="F1055" s="122"/>
      <c r="G1055" s="166"/>
      <c r="H1055" s="22"/>
      <c r="I1055" s="123"/>
      <c r="J1055" s="111"/>
      <c r="K1055" s="31"/>
      <c r="L1055" s="31"/>
      <c r="M1055" s="31"/>
      <c r="N1055" s="31"/>
      <c r="O1055" s="31"/>
      <c r="P1055" s="31"/>
      <c r="Q1055" s="31"/>
      <c r="R1055" s="31"/>
      <c r="S1055" s="31"/>
      <c r="T1055" s="31"/>
      <c r="U1055" s="31"/>
      <c r="V1055" s="31"/>
      <c r="W1055" s="31"/>
      <c r="X1055" s="31"/>
      <c r="Y1055" s="31"/>
      <c r="Z1055" s="31"/>
      <c r="AA1055" s="31"/>
    </row>
    <row r="1056" ht="16.5" customHeight="1">
      <c r="A1056" s="107"/>
      <c r="B1056" s="138"/>
      <c r="C1056" s="168"/>
      <c r="D1056" s="195"/>
      <c r="E1056" s="205"/>
      <c r="F1056" s="122"/>
      <c r="G1056" s="166"/>
      <c r="H1056" s="22"/>
      <c r="I1056" s="123"/>
      <c r="J1056" s="111"/>
      <c r="K1056" s="31"/>
      <c r="L1056" s="31"/>
      <c r="M1056" s="31"/>
      <c r="N1056" s="31"/>
      <c r="O1056" s="31"/>
      <c r="P1056" s="31"/>
      <c r="Q1056" s="31"/>
      <c r="R1056" s="31"/>
      <c r="S1056" s="31"/>
      <c r="T1056" s="31"/>
      <c r="U1056" s="31"/>
      <c r="V1056" s="31"/>
      <c r="W1056" s="31"/>
      <c r="X1056" s="31"/>
      <c r="Y1056" s="31"/>
      <c r="Z1056" s="31"/>
      <c r="AA1056" s="31"/>
    </row>
    <row r="1057" ht="16.5" customHeight="1">
      <c r="A1057" s="107"/>
      <c r="B1057" s="138"/>
      <c r="C1057" s="168"/>
      <c r="D1057" s="195"/>
      <c r="E1057" s="205"/>
      <c r="F1057" s="122"/>
      <c r="G1057" s="166"/>
      <c r="H1057" s="22"/>
      <c r="I1057" s="123"/>
      <c r="J1057" s="111"/>
      <c r="K1057" s="31"/>
      <c r="L1057" s="31"/>
      <c r="M1057" s="31"/>
      <c r="N1057" s="31"/>
      <c r="O1057" s="31"/>
      <c r="P1057" s="31"/>
      <c r="Q1057" s="31"/>
      <c r="R1057" s="31"/>
      <c r="S1057" s="31"/>
      <c r="T1057" s="31"/>
      <c r="U1057" s="31"/>
      <c r="V1057" s="31"/>
      <c r="W1057" s="31"/>
      <c r="X1057" s="31"/>
      <c r="Y1057" s="31"/>
      <c r="Z1057" s="31"/>
      <c r="AA1057" s="31"/>
    </row>
    <row r="1058" ht="16.5" customHeight="1">
      <c r="A1058" s="107"/>
      <c r="B1058" s="138"/>
      <c r="C1058" s="168"/>
      <c r="D1058" s="195"/>
      <c r="E1058" s="205"/>
      <c r="F1058" s="122"/>
      <c r="G1058" s="166"/>
      <c r="H1058" s="22"/>
      <c r="I1058" s="123"/>
      <c r="J1058" s="111"/>
      <c r="K1058" s="31"/>
      <c r="L1058" s="31"/>
      <c r="M1058" s="31"/>
      <c r="N1058" s="31"/>
      <c r="O1058" s="31"/>
      <c r="P1058" s="31"/>
      <c r="Q1058" s="31"/>
      <c r="R1058" s="31"/>
      <c r="S1058" s="31"/>
      <c r="T1058" s="31"/>
      <c r="U1058" s="31"/>
      <c r="V1058" s="31"/>
      <c r="W1058" s="31"/>
      <c r="X1058" s="31"/>
      <c r="Y1058" s="31"/>
      <c r="Z1058" s="31"/>
      <c r="AA1058" s="31"/>
    </row>
    <row r="1059" ht="16.5" customHeight="1">
      <c r="A1059" s="107"/>
      <c r="B1059" s="138"/>
      <c r="C1059" s="168"/>
      <c r="D1059" s="195"/>
      <c r="E1059" s="205"/>
      <c r="F1059" s="122"/>
      <c r="G1059" s="166"/>
      <c r="H1059" s="22"/>
      <c r="I1059" s="123"/>
      <c r="J1059" s="111"/>
      <c r="K1059" s="31"/>
      <c r="L1059" s="31"/>
      <c r="M1059" s="31"/>
      <c r="N1059" s="31"/>
      <c r="O1059" s="31"/>
      <c r="P1059" s="31"/>
      <c r="Q1059" s="31"/>
      <c r="R1059" s="31"/>
      <c r="S1059" s="31"/>
      <c r="T1059" s="31"/>
      <c r="U1059" s="31"/>
      <c r="V1059" s="31"/>
      <c r="W1059" s="31"/>
      <c r="X1059" s="31"/>
      <c r="Y1059" s="31"/>
      <c r="Z1059" s="31"/>
      <c r="AA1059" s="31"/>
    </row>
    <row r="1060" ht="16.5" customHeight="1">
      <c r="A1060" s="107"/>
      <c r="B1060" s="138"/>
      <c r="C1060" s="168"/>
      <c r="D1060" s="195"/>
      <c r="E1060" s="205"/>
      <c r="F1060" s="122"/>
      <c r="G1060" s="166"/>
      <c r="H1060" s="22"/>
      <c r="I1060" s="123"/>
      <c r="J1060" s="111"/>
      <c r="K1060" s="31"/>
      <c r="L1060" s="31"/>
      <c r="M1060" s="31"/>
      <c r="N1060" s="31"/>
      <c r="O1060" s="31"/>
      <c r="P1060" s="31"/>
      <c r="Q1060" s="31"/>
      <c r="R1060" s="31"/>
      <c r="S1060" s="31"/>
      <c r="T1060" s="31"/>
      <c r="U1060" s="31"/>
      <c r="V1060" s="31"/>
      <c r="W1060" s="31"/>
      <c r="X1060" s="31"/>
      <c r="Y1060" s="31"/>
      <c r="Z1060" s="31"/>
      <c r="AA1060" s="31"/>
    </row>
    <row r="1061" ht="16.5" customHeight="1">
      <c r="A1061" s="107"/>
      <c r="B1061" s="138"/>
      <c r="C1061" s="168"/>
      <c r="D1061" s="195"/>
      <c r="E1061" s="205"/>
      <c r="F1061" s="122"/>
      <c r="G1061" s="166"/>
      <c r="H1061" s="22"/>
      <c r="I1061" s="123"/>
      <c r="J1061" s="111"/>
      <c r="K1061" s="31"/>
      <c r="L1061" s="31"/>
      <c r="M1061" s="31"/>
      <c r="N1061" s="31"/>
      <c r="O1061" s="31"/>
      <c r="P1061" s="31"/>
      <c r="Q1061" s="31"/>
      <c r="R1061" s="31"/>
      <c r="S1061" s="31"/>
      <c r="T1061" s="31"/>
      <c r="U1061" s="31"/>
      <c r="V1061" s="31"/>
      <c r="W1061" s="31"/>
      <c r="X1061" s="31"/>
      <c r="Y1061" s="31"/>
      <c r="Z1061" s="31"/>
      <c r="AA1061" s="31"/>
    </row>
    <row r="1062" ht="16.5" customHeight="1">
      <c r="A1062" s="107"/>
      <c r="B1062" s="138"/>
      <c r="C1062" s="168"/>
      <c r="D1062" s="195"/>
      <c r="E1062" s="205"/>
      <c r="F1062" s="122"/>
      <c r="G1062" s="166"/>
      <c r="H1062" s="22"/>
      <c r="I1062" s="123"/>
      <c r="J1062" s="111"/>
      <c r="K1062" s="31"/>
      <c r="L1062" s="31"/>
      <c r="M1062" s="31"/>
      <c r="N1062" s="31"/>
      <c r="O1062" s="31"/>
      <c r="P1062" s="31"/>
      <c r="Q1062" s="31"/>
      <c r="R1062" s="31"/>
      <c r="S1062" s="31"/>
      <c r="T1062" s="31"/>
      <c r="U1062" s="31"/>
      <c r="V1062" s="31"/>
      <c r="W1062" s="31"/>
      <c r="X1062" s="31"/>
      <c r="Y1062" s="31"/>
      <c r="Z1062" s="31"/>
      <c r="AA1062" s="31"/>
    </row>
    <row r="1063" ht="16.5" customHeight="1">
      <c r="A1063" s="107"/>
      <c r="B1063" s="138"/>
      <c r="C1063" s="168"/>
      <c r="D1063" s="195"/>
      <c r="E1063" s="205"/>
      <c r="F1063" s="122"/>
      <c r="G1063" s="166"/>
      <c r="H1063" s="22"/>
      <c r="I1063" s="123"/>
      <c r="J1063" s="111"/>
      <c r="K1063" s="31"/>
      <c r="L1063" s="31"/>
      <c r="M1063" s="31"/>
      <c r="N1063" s="31"/>
      <c r="O1063" s="31"/>
      <c r="P1063" s="31"/>
      <c r="Q1063" s="31"/>
      <c r="R1063" s="31"/>
      <c r="S1063" s="31"/>
      <c r="T1063" s="31"/>
      <c r="U1063" s="31"/>
      <c r="V1063" s="31"/>
      <c r="W1063" s="31"/>
      <c r="X1063" s="31"/>
      <c r="Y1063" s="31"/>
      <c r="Z1063" s="31"/>
      <c r="AA1063" s="31"/>
    </row>
    <row r="1064" ht="16.5" customHeight="1">
      <c r="A1064" s="107"/>
      <c r="B1064" s="138"/>
      <c r="C1064" s="168"/>
      <c r="D1064" s="195"/>
      <c r="E1064" s="205"/>
      <c r="F1064" s="122"/>
      <c r="G1064" s="166"/>
      <c r="H1064" s="22"/>
      <c r="I1064" s="123"/>
      <c r="J1064" s="111"/>
      <c r="K1064" s="31"/>
      <c r="L1064" s="31"/>
      <c r="M1064" s="31"/>
      <c r="N1064" s="31"/>
      <c r="O1064" s="31"/>
      <c r="P1064" s="31"/>
      <c r="Q1064" s="31"/>
      <c r="R1064" s="31"/>
      <c r="S1064" s="31"/>
      <c r="T1064" s="31"/>
      <c r="U1064" s="31"/>
      <c r="V1064" s="31"/>
      <c r="W1064" s="31"/>
      <c r="X1064" s="31"/>
      <c r="Y1064" s="31"/>
      <c r="Z1064" s="31"/>
      <c r="AA1064" s="31"/>
    </row>
    <row r="1065" ht="16.5" customHeight="1">
      <c r="A1065" s="107"/>
      <c r="B1065" s="138"/>
      <c r="C1065" s="168"/>
      <c r="D1065" s="195"/>
      <c r="E1065" s="205"/>
      <c r="F1065" s="122"/>
      <c r="G1065" s="166"/>
      <c r="H1065" s="22"/>
      <c r="I1065" s="123"/>
      <c r="J1065" s="111"/>
      <c r="K1065" s="31"/>
      <c r="L1065" s="31"/>
      <c r="M1065" s="31"/>
      <c r="N1065" s="31"/>
      <c r="O1065" s="31"/>
      <c r="P1065" s="31"/>
      <c r="Q1065" s="31"/>
      <c r="R1065" s="31"/>
      <c r="S1065" s="31"/>
      <c r="T1065" s="31"/>
      <c r="U1065" s="31"/>
      <c r="V1065" s="31"/>
      <c r="W1065" s="31"/>
      <c r="X1065" s="31"/>
      <c r="Y1065" s="31"/>
      <c r="Z1065" s="31"/>
      <c r="AA1065" s="31"/>
    </row>
    <row r="1066" ht="16.5" customHeight="1">
      <c r="A1066" s="107"/>
      <c r="B1066" s="138"/>
      <c r="C1066" s="168"/>
      <c r="D1066" s="195"/>
      <c r="E1066" s="205"/>
      <c r="F1066" s="122"/>
      <c r="G1066" s="166"/>
      <c r="H1066" s="22"/>
      <c r="I1066" s="123"/>
      <c r="J1066" s="111"/>
      <c r="K1066" s="31"/>
      <c r="L1066" s="31"/>
      <c r="M1066" s="31"/>
      <c r="N1066" s="31"/>
      <c r="O1066" s="31"/>
      <c r="P1066" s="31"/>
      <c r="Q1066" s="31"/>
      <c r="R1066" s="31"/>
      <c r="S1066" s="31"/>
      <c r="T1066" s="31"/>
      <c r="U1066" s="31"/>
      <c r="V1066" s="31"/>
      <c r="W1066" s="31"/>
      <c r="X1066" s="31"/>
      <c r="Y1066" s="31"/>
      <c r="Z1066" s="31"/>
      <c r="AA1066" s="31"/>
    </row>
    <row r="1067" ht="16.5" customHeight="1">
      <c r="A1067" s="107"/>
      <c r="B1067" s="138"/>
      <c r="C1067" s="168"/>
      <c r="D1067" s="195"/>
      <c r="E1067" s="205"/>
      <c r="F1067" s="122"/>
      <c r="G1067" s="166"/>
      <c r="H1067" s="22"/>
      <c r="I1067" s="123"/>
      <c r="J1067" s="111"/>
      <c r="K1067" s="31"/>
      <c r="L1067" s="31"/>
      <c r="M1067" s="31"/>
      <c r="N1067" s="31"/>
      <c r="O1067" s="31"/>
      <c r="P1067" s="31"/>
      <c r="Q1067" s="31"/>
      <c r="R1067" s="31"/>
      <c r="S1067" s="31"/>
      <c r="T1067" s="31"/>
      <c r="U1067" s="31"/>
      <c r="V1067" s="31"/>
      <c r="W1067" s="31"/>
      <c r="X1067" s="31"/>
      <c r="Y1067" s="31"/>
      <c r="Z1067" s="31"/>
      <c r="AA1067" s="31"/>
    </row>
    <row r="1068" ht="16.5" customHeight="1">
      <c r="A1068" s="107"/>
      <c r="B1068" s="138"/>
      <c r="C1068" s="168"/>
      <c r="D1068" s="195"/>
      <c r="E1068" s="205"/>
      <c r="F1068" s="122"/>
      <c r="G1068" s="166"/>
      <c r="H1068" s="22"/>
      <c r="I1068" s="123"/>
      <c r="J1068" s="111"/>
      <c r="K1068" s="31"/>
      <c r="L1068" s="31"/>
      <c r="M1068" s="31"/>
      <c r="N1068" s="31"/>
      <c r="O1068" s="31"/>
      <c r="P1068" s="31"/>
      <c r="Q1068" s="31"/>
      <c r="R1068" s="31"/>
      <c r="S1068" s="31"/>
      <c r="T1068" s="31"/>
      <c r="U1068" s="31"/>
      <c r="V1068" s="31"/>
      <c r="W1068" s="31"/>
      <c r="X1068" s="31"/>
      <c r="Y1068" s="31"/>
      <c r="Z1068" s="31"/>
      <c r="AA1068" s="31"/>
    </row>
    <row r="1069" ht="16.5" customHeight="1">
      <c r="A1069" s="107"/>
      <c r="B1069" s="138"/>
      <c r="C1069" s="168"/>
      <c r="D1069" s="195"/>
      <c r="E1069" s="205"/>
      <c r="F1069" s="122"/>
      <c r="G1069" s="166"/>
      <c r="H1069" s="22"/>
      <c r="I1069" s="123"/>
      <c r="J1069" s="111"/>
      <c r="K1069" s="31"/>
      <c r="L1069" s="31"/>
      <c r="M1069" s="31"/>
      <c r="N1069" s="31"/>
      <c r="O1069" s="31"/>
      <c r="P1069" s="31"/>
      <c r="Q1069" s="31"/>
      <c r="R1069" s="31"/>
      <c r="S1069" s="31"/>
      <c r="T1069" s="31"/>
      <c r="U1069" s="31"/>
      <c r="V1069" s="31"/>
      <c r="W1069" s="31"/>
      <c r="X1069" s="31"/>
      <c r="Y1069" s="31"/>
      <c r="Z1069" s="31"/>
      <c r="AA1069" s="31"/>
    </row>
    <row r="1070" ht="16.5" customHeight="1">
      <c r="A1070" s="107"/>
      <c r="B1070" s="138"/>
      <c r="C1070" s="168"/>
      <c r="D1070" s="195"/>
      <c r="E1070" s="205"/>
      <c r="F1070" s="122"/>
      <c r="G1070" s="166"/>
      <c r="H1070" s="22"/>
      <c r="I1070" s="123"/>
      <c r="J1070" s="111"/>
      <c r="K1070" s="31"/>
      <c r="L1070" s="31"/>
      <c r="M1070" s="31"/>
      <c r="N1070" s="31"/>
      <c r="O1070" s="31"/>
      <c r="P1070" s="31"/>
      <c r="Q1070" s="31"/>
      <c r="R1070" s="31"/>
      <c r="S1070" s="31"/>
      <c r="T1070" s="31"/>
      <c r="U1070" s="31"/>
      <c r="V1070" s="31"/>
      <c r="W1070" s="31"/>
      <c r="X1070" s="31"/>
      <c r="Y1070" s="31"/>
      <c r="Z1070" s="31"/>
      <c r="AA1070" s="31"/>
    </row>
    <row r="1071" ht="16.5" customHeight="1">
      <c r="A1071" s="107"/>
      <c r="B1071" s="138"/>
      <c r="C1071" s="168"/>
      <c r="D1071" s="195"/>
      <c r="E1071" s="205"/>
      <c r="F1071" s="122"/>
      <c r="G1071" s="166"/>
      <c r="H1071" s="22"/>
      <c r="I1071" s="123"/>
      <c r="J1071" s="111"/>
      <c r="K1071" s="31"/>
      <c r="L1071" s="31"/>
      <c r="M1071" s="31"/>
      <c r="N1071" s="31"/>
      <c r="O1071" s="31"/>
      <c r="P1071" s="31"/>
      <c r="Q1071" s="31"/>
      <c r="R1071" s="31"/>
      <c r="S1071" s="31"/>
      <c r="T1071" s="31"/>
      <c r="U1071" s="31"/>
      <c r="V1071" s="31"/>
      <c r="W1071" s="31"/>
      <c r="X1071" s="31"/>
      <c r="Y1071" s="31"/>
      <c r="Z1071" s="31"/>
      <c r="AA1071" s="31"/>
    </row>
  </sheetData>
  <mergeCells count="1">
    <mergeCell ref="A1:G1"/>
  </mergeCells>
  <dataValidations>
    <dataValidation type="list" allowBlank="1" sqref="I3:I1071">
      <formula1>"CHECKED (OK),CHECKED  (NOT OK)"</formula1>
    </dataValidation>
  </dataValidations>
  <drawing r:id="rId1"/>
  <tableParts count="2">
    <tablePart r:id="rId4"/>
    <tablePart r:id="rId5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88"/>
    <col customWidth="1" min="2" max="2" width="9.63"/>
    <col customWidth="1" min="3" max="3" width="24.75"/>
    <col customWidth="1" min="4" max="4" width="33.0"/>
    <col customWidth="1" min="5" max="5" width="7.63"/>
    <col customWidth="1" min="6" max="6" width="9.0"/>
    <col customWidth="1" min="7" max="7" width="30.0"/>
    <col customWidth="1" min="8" max="8" width="7.13"/>
    <col customWidth="1" min="9" max="9" width="14.75"/>
    <col customWidth="1" min="10" max="10" width="49.0"/>
  </cols>
  <sheetData>
    <row r="1">
      <c r="A1" s="182" t="s">
        <v>869</v>
      </c>
      <c r="H1" s="111"/>
      <c r="I1" s="31"/>
      <c r="J1" s="112" t="s">
        <v>870</v>
      </c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>
      <c r="A2" s="106" t="s">
        <v>1</v>
      </c>
      <c r="B2" s="137" t="s">
        <v>11</v>
      </c>
      <c r="C2" s="106" t="s">
        <v>12</v>
      </c>
      <c r="D2" s="114" t="s">
        <v>13</v>
      </c>
      <c r="E2" s="115" t="s">
        <v>15</v>
      </c>
      <c r="F2" s="183" t="s">
        <v>5</v>
      </c>
      <c r="G2" s="106" t="s">
        <v>646</v>
      </c>
      <c r="H2" s="116"/>
      <c r="I2" s="118" t="s">
        <v>6</v>
      </c>
      <c r="J2" s="119" t="s">
        <v>7</v>
      </c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>
      <c r="A3" s="107">
        <v>1.0</v>
      </c>
      <c r="B3" s="206">
        <v>1009608.0</v>
      </c>
      <c r="C3" s="168" t="str">
        <f>vlookup(B3,'Crew Data'!C:G,5,0)</f>
        <v>Nattira Modthong</v>
      </c>
      <c r="D3" s="121" t="s">
        <v>871</v>
      </c>
      <c r="E3" s="198">
        <f>IFERROR(__xludf.DUMMYFUNCTION("IFERROR(SUM(
  ARRAYFORMULA(
    DATEVALUE(TRIM(MID(SPLIT(D3,CHAR(10)), FIND(""-"",SPLIT(D3,CHAR(10)))+1, 50))) 
  -
    DATEVALUE(TRIM(LEFT(SPLIT(D3,CHAR(10)), FIND(""-"",SPLIT(D3,CHAR(10)))-1)))
  + 1
)
),1)"),2.0)</f>
        <v>2</v>
      </c>
      <c r="F3" s="122">
        <f t="shared" ref="F3:F91" si="1">E3*400</f>
        <v>800</v>
      </c>
      <c r="G3" s="28" t="str">
        <f t="array" ref="G3">XLOOKUP(B3,Sheet68!A:A,Sheet68!AB:AB,0)</f>
        <v>nattiram@airasia.com</v>
      </c>
      <c r="H3" s="22">
        <f t="shared" ref="H3:H91" si="2">COUNTIF(B:B,B3)</f>
        <v>1</v>
      </c>
      <c r="I3" s="123" t="s">
        <v>20</v>
      </c>
      <c r="J3" s="123" t="s">
        <v>872</v>
      </c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>
      <c r="A4" s="107">
        <v>2.0</v>
      </c>
      <c r="B4" s="206">
        <v>1017653.0</v>
      </c>
      <c r="C4" s="168" t="str">
        <f>vlookup(B4,'Crew Data'!C:G,5,0)</f>
        <v>Wachiraphon Lakbun</v>
      </c>
      <c r="D4" s="121" t="s">
        <v>873</v>
      </c>
      <c r="E4" s="198">
        <f>IFERROR(__xludf.DUMMYFUNCTION("IFERROR(SUM(
  ARRAYFORMULA(
    DATEVALUE(TRIM(MID(SPLIT(D4,CHAR(10)), FIND(""-"",SPLIT(D4,CHAR(10)))+1, 50))) 
  -
    DATEVALUE(TRIM(LEFT(SPLIT(D4,CHAR(10)), FIND(""-"",SPLIT(D4,CHAR(10)))-1)))
  + 1
)
),1)"),13.0)</f>
        <v>13</v>
      </c>
      <c r="F4" s="122">
        <f t="shared" si="1"/>
        <v>5200</v>
      </c>
      <c r="G4" s="28" t="str">
        <f t="array" ref="G4">XLOOKUP(B4,Sheet68!A:A,Sheet68!AB:AB,0)</f>
        <v>wachiraphonl@airasia.com</v>
      </c>
      <c r="H4" s="22">
        <f t="shared" si="2"/>
        <v>1</v>
      </c>
      <c r="I4" s="123" t="s">
        <v>20</v>
      </c>
      <c r="J4" s="123" t="s">
        <v>872</v>
      </c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</row>
    <row r="5">
      <c r="A5" s="107">
        <v>3.0</v>
      </c>
      <c r="B5" s="206">
        <v>1015406.0</v>
      </c>
      <c r="C5" s="168" t="str">
        <f>vlookup(B5,'Crew Data'!C:G,5,0)</f>
        <v>Perati Ardwong</v>
      </c>
      <c r="D5" s="121" t="s">
        <v>874</v>
      </c>
      <c r="E5" s="198">
        <f>IFERROR(__xludf.DUMMYFUNCTION("IFERROR(SUM(
  ARRAYFORMULA(
    DATEVALUE(TRIM(MID(SPLIT(D5,CHAR(10)), FIND(""-"",SPLIT(D5,CHAR(10)))+1, 50))) 
  -
    DATEVALUE(TRIM(LEFT(SPLIT(D5,CHAR(10)), FIND(""-"",SPLIT(D5,CHAR(10)))-1)))
  + 1
)
),1)"),2.0)</f>
        <v>2</v>
      </c>
      <c r="F5" s="122">
        <f t="shared" si="1"/>
        <v>800</v>
      </c>
      <c r="G5" s="28" t="str">
        <f t="array" ref="G5">XLOOKUP(B5,Sheet68!A:A,Sheet68!AB:AB,0)</f>
        <v>peratia@airasia.com</v>
      </c>
      <c r="H5" s="22">
        <f t="shared" si="2"/>
        <v>1</v>
      </c>
      <c r="I5" s="123" t="s">
        <v>20</v>
      </c>
      <c r="J5" s="123" t="s">
        <v>872</v>
      </c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>
      <c r="A6" s="107">
        <v>4.0</v>
      </c>
      <c r="B6" s="206">
        <v>1012907.0</v>
      </c>
      <c r="C6" s="168" t="str">
        <f>vlookup(B6,'Crew Data'!C:G,5,0)</f>
        <v>Thiranuch Chantavarin</v>
      </c>
      <c r="D6" s="121" t="s">
        <v>820</v>
      </c>
      <c r="E6" s="198">
        <f>IFERROR(__xludf.DUMMYFUNCTION("IFERROR(SUM(
  ARRAYFORMULA(
    DATEVALUE(TRIM(MID(SPLIT(D6,CHAR(10)), FIND(""-"",SPLIT(D6,CHAR(10)))+1, 50))) 
  -
    DATEVALUE(TRIM(LEFT(SPLIT(D6,CHAR(10)), FIND(""-"",SPLIT(D6,CHAR(10)))-1)))
  + 1
)
),1)"),2.0)</f>
        <v>2</v>
      </c>
      <c r="F6" s="122">
        <f t="shared" si="1"/>
        <v>800</v>
      </c>
      <c r="G6" s="28" t="str">
        <f t="array" ref="G6">XLOOKUP(B6,Sheet68!A:A,Sheet68!AB:AB,0)</f>
        <v>thiranuchc@airasia.com</v>
      </c>
      <c r="H6" s="22">
        <f t="shared" si="2"/>
        <v>1</v>
      </c>
      <c r="I6" s="123" t="s">
        <v>20</v>
      </c>
      <c r="J6" s="123" t="s">
        <v>872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>
      <c r="A7" s="107">
        <v>5.0</v>
      </c>
      <c r="B7" s="206">
        <v>1039106.0</v>
      </c>
      <c r="C7" s="168" t="str">
        <f>vlookup(B7,'Crew Data'!C:G,5,0)</f>
        <v>Thunyalak Kaewchiangwang</v>
      </c>
      <c r="D7" s="121" t="s">
        <v>875</v>
      </c>
      <c r="E7" s="198">
        <f>IFERROR(__xludf.DUMMYFUNCTION("IFERROR(SUM(
  ARRAYFORMULA(
    DATEVALUE(TRIM(MID(SPLIT(D7,CHAR(10)), FIND(""-"",SPLIT(D7,CHAR(10)))+1, 50))) 
  -
    DATEVALUE(TRIM(LEFT(SPLIT(D7,CHAR(10)), FIND(""-"",SPLIT(D7,CHAR(10)))-1)))
  + 1
)
),1)"),2.0)</f>
        <v>2</v>
      </c>
      <c r="F7" s="122">
        <f t="shared" si="1"/>
        <v>800</v>
      </c>
      <c r="G7" s="28" t="str">
        <f t="array" ref="G7">XLOOKUP(B7,Sheet68!A:A,Sheet68!AB:AB,0)</f>
        <v>thunyalakkaewchiang@airasia.com</v>
      </c>
      <c r="H7" s="22">
        <f t="shared" si="2"/>
        <v>1</v>
      </c>
      <c r="I7" s="123" t="s">
        <v>20</v>
      </c>
      <c r="J7" s="123" t="s">
        <v>699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>
      <c r="A8" s="107">
        <v>6.0</v>
      </c>
      <c r="B8" s="206">
        <v>1001615.0</v>
      </c>
      <c r="C8" s="168" t="str">
        <f>vlookup(B8,'Crew Data'!C:G,5,0)</f>
        <v>Sansanee Chittiboonruan</v>
      </c>
      <c r="D8" s="121" t="s">
        <v>876</v>
      </c>
      <c r="E8" s="198">
        <f>IFERROR(__xludf.DUMMYFUNCTION("IFERROR(SUM(
  ARRAYFORMULA(
    DATEVALUE(TRIM(MID(SPLIT(D8,CHAR(10)), FIND(""-"",SPLIT(D8,CHAR(10)))+1, 50))) 
  -
    DATEVALUE(TRIM(LEFT(SPLIT(D8,CHAR(10)), FIND(""-"",SPLIT(D8,CHAR(10)))-1)))
  + 1
)
),1)"),2.0)</f>
        <v>2</v>
      </c>
      <c r="F8" s="122">
        <f t="shared" si="1"/>
        <v>800</v>
      </c>
      <c r="G8" s="28" t="str">
        <f t="array" ref="G8">XLOOKUP(B8,Sheet68!A:A,Sheet68!AB:AB,0)</f>
        <v>sansaneec@airasia.com</v>
      </c>
      <c r="H8" s="22">
        <f t="shared" si="2"/>
        <v>1</v>
      </c>
      <c r="I8" s="123" t="s">
        <v>20</v>
      </c>
      <c r="J8" s="123" t="s">
        <v>872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>
      <c r="A9" s="107">
        <v>7.0</v>
      </c>
      <c r="B9" s="206">
        <v>1018553.0</v>
      </c>
      <c r="C9" s="168" t="str">
        <f>vlookup(B9,'Crew Data'!C:G,5,0)</f>
        <v>Kawisara Klinkesorn</v>
      </c>
      <c r="D9" s="121" t="s">
        <v>877</v>
      </c>
      <c r="E9" s="198">
        <f>IFERROR(__xludf.DUMMYFUNCTION("IFERROR(SUM(
  ARRAYFORMULA(
    DATEVALUE(TRIM(MID(SPLIT(D9,CHAR(10)), FIND(""-"",SPLIT(D9,CHAR(10)))+1, 50))) 
  -
    DATEVALUE(TRIM(LEFT(SPLIT(D9,CHAR(10)), FIND(""-"",SPLIT(D9,CHAR(10)))-1)))
  + 1
)
),1)"),2.0)</f>
        <v>2</v>
      </c>
      <c r="F9" s="122">
        <f t="shared" si="1"/>
        <v>800</v>
      </c>
      <c r="G9" s="28" t="str">
        <f t="array" ref="G9">XLOOKUP(B9,Sheet68!A:A,Sheet68!AB:AB,0)</f>
        <v>kawisarak@airasia.com</v>
      </c>
      <c r="H9" s="22">
        <f t="shared" si="2"/>
        <v>1</v>
      </c>
      <c r="I9" s="123" t="s">
        <v>20</v>
      </c>
      <c r="J9" s="123" t="s">
        <v>872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>
      <c r="A10" s="107">
        <v>8.0</v>
      </c>
      <c r="B10" s="206">
        <v>1040336.0</v>
      </c>
      <c r="C10" s="168" t="str">
        <f>vlookup(B10,'Crew Data'!C:G,5,0)</f>
        <v>Patcharapan Suwanmanee</v>
      </c>
      <c r="D10" s="125">
        <v>46054.0</v>
      </c>
      <c r="E10" s="198">
        <f>IFERROR(__xludf.DUMMYFUNCTION("IFERROR(SUM(
  ARRAYFORMULA(
    DATEVALUE(TRIM(MID(SPLIT(D10,CHAR(10)), FIND(""-"",SPLIT(D10,CHAR(10)))+1, 50))) 
  -
    DATEVALUE(TRIM(LEFT(SPLIT(D10,CHAR(10)), FIND(""-"",SPLIT(D10,CHAR(10)))-1)))
  + 1
)
),1)"),1.0)</f>
        <v>1</v>
      </c>
      <c r="F10" s="122">
        <f t="shared" si="1"/>
        <v>400</v>
      </c>
      <c r="G10" s="28" t="str">
        <f t="array" ref="G10">XLOOKUP(B10,Sheet68!A:A,Sheet68!AB:AB,0)</f>
        <v>patcharapansuwanman@airasia.com</v>
      </c>
      <c r="H10" s="22">
        <f t="shared" si="2"/>
        <v>1</v>
      </c>
      <c r="I10" s="123" t="s">
        <v>20</v>
      </c>
      <c r="J10" s="123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>
      <c r="A11" s="107">
        <v>9.0</v>
      </c>
      <c r="B11" s="206">
        <v>1008991.0</v>
      </c>
      <c r="C11" s="168" t="str">
        <f>vlookup(B11,'Crew Data'!C:G,5,0)</f>
        <v>Premkamon Changsuwan</v>
      </c>
      <c r="D11" s="125">
        <v>46054.0</v>
      </c>
      <c r="E11" s="198">
        <f>IFERROR(__xludf.DUMMYFUNCTION("IFERROR(SUM(
  ARRAYFORMULA(
    DATEVALUE(TRIM(MID(SPLIT(D11,CHAR(10)), FIND(""-"",SPLIT(D11,CHAR(10)))+1, 50))) 
  -
    DATEVALUE(TRIM(LEFT(SPLIT(D11,CHAR(10)), FIND(""-"",SPLIT(D11,CHAR(10)))-1)))
  + 1
)
),1)"),1.0)</f>
        <v>1</v>
      </c>
      <c r="F11" s="122">
        <f t="shared" si="1"/>
        <v>400</v>
      </c>
      <c r="G11" s="28" t="str">
        <f t="array" ref="G11">XLOOKUP(B11,Sheet68!A:A,Sheet68!AB:AB,0)</f>
        <v>premkamonc@airasia.com</v>
      </c>
      <c r="H11" s="22">
        <f t="shared" si="2"/>
        <v>1</v>
      </c>
      <c r="I11" s="123" t="s">
        <v>20</v>
      </c>
      <c r="J11" s="123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>
      <c r="A12" s="107">
        <v>10.0</v>
      </c>
      <c r="B12" s="206">
        <v>1022989.0</v>
      </c>
      <c r="C12" s="168" t="str">
        <f>vlookup(B12,'Crew Data'!C:G,5,0)</f>
        <v>Peeranat Chavitranurak</v>
      </c>
      <c r="D12" s="121" t="s">
        <v>878</v>
      </c>
      <c r="E12" s="198">
        <f>IFERROR(__xludf.DUMMYFUNCTION("IFERROR(SUM(
  ARRAYFORMULA(
    DATEVALUE(TRIM(MID(SPLIT(D12,CHAR(10)), FIND(""-"",SPLIT(D12,CHAR(10)))+1, 50))) 
  -
    DATEVALUE(TRIM(LEFT(SPLIT(D12,CHAR(10)), FIND(""-"",SPLIT(D12,CHAR(10)))-1)))
  + 1
)
),1)"),2.0)</f>
        <v>2</v>
      </c>
      <c r="F12" s="122">
        <f t="shared" si="1"/>
        <v>800</v>
      </c>
      <c r="G12" s="28" t="str">
        <f t="array" ref="G12">XLOOKUP(B12,Sheet68!A:A,Sheet68!AB:AB,0)</f>
        <v>peeranatchavitranur@airasia.com</v>
      </c>
      <c r="H12" s="22">
        <f t="shared" si="2"/>
        <v>1</v>
      </c>
      <c r="I12" s="123" t="s">
        <v>20</v>
      </c>
      <c r="J12" s="123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>
      <c r="A13" s="107">
        <v>11.0</v>
      </c>
      <c r="B13" s="206">
        <v>1005304.0</v>
      </c>
      <c r="C13" s="168" t="str">
        <f>vlookup(B13,'Crew Data'!C:G,5,0)</f>
        <v>Pongpon Buasalee</v>
      </c>
      <c r="D13" s="121" t="s">
        <v>879</v>
      </c>
      <c r="E13" s="198">
        <f>IFERROR(__xludf.DUMMYFUNCTION("IFERROR(SUM(
  ARRAYFORMULA(
    DATEVALUE(TRIM(MID(SPLIT(D13,CHAR(10)), FIND(""-"",SPLIT(D13,CHAR(10)))+1, 50))) 
  -
    DATEVALUE(TRIM(LEFT(SPLIT(D13,CHAR(10)), FIND(""-"",SPLIT(D13,CHAR(10)))-1)))
  + 1
)
),1)"),2.0)</f>
        <v>2</v>
      </c>
      <c r="F13" s="122">
        <f t="shared" si="1"/>
        <v>800</v>
      </c>
      <c r="G13" s="28" t="str">
        <f t="array" ref="G13">XLOOKUP(B13,Sheet68!A:A,Sheet68!AB:AB,0)</f>
        <v>pongponb@airasia.com</v>
      </c>
      <c r="H13" s="22">
        <f t="shared" si="2"/>
        <v>1</v>
      </c>
      <c r="I13" s="123" t="s">
        <v>20</v>
      </c>
      <c r="J13" s="123"/>
      <c r="K13" s="31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>
      <c r="A14" s="107">
        <v>12.0</v>
      </c>
      <c r="B14" s="206">
        <v>1001139.0</v>
      </c>
      <c r="C14" s="168" t="str">
        <f>vlookup(B14,'Crew Data'!C:G,5,0)</f>
        <v>Lalada Thiengthip</v>
      </c>
      <c r="D14" s="121" t="s">
        <v>880</v>
      </c>
      <c r="E14" s="198">
        <f>IFERROR(__xludf.DUMMYFUNCTION("IFERROR(SUM(
  ARRAYFORMULA(
    DATEVALUE(TRIM(MID(SPLIT(D14,CHAR(10)), FIND(""-"",SPLIT(D14,CHAR(10)))+1, 50))) 
  -
    DATEVALUE(TRIM(LEFT(SPLIT(D14,CHAR(10)), FIND(""-"",SPLIT(D14,CHAR(10)))-1)))
  + 1
)
),1)"),2.0)</f>
        <v>2</v>
      </c>
      <c r="F14" s="122">
        <f t="shared" si="1"/>
        <v>800</v>
      </c>
      <c r="G14" s="28" t="str">
        <f t="array" ref="G14">XLOOKUP(B14,Sheet68!A:A,Sheet68!AB:AB,0)</f>
        <v>laladat@airasia.com</v>
      </c>
      <c r="H14" s="22">
        <f t="shared" si="2"/>
        <v>1</v>
      </c>
      <c r="I14" s="123" t="s">
        <v>20</v>
      </c>
      <c r="J14" s="123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>
      <c r="A15" s="107">
        <v>13.0</v>
      </c>
      <c r="B15" s="206">
        <v>1023582.0</v>
      </c>
      <c r="C15" s="168" t="str">
        <f>vlookup(B15,'Crew Data'!C:G,5,0)</f>
        <v>Rawiwan Chailerst</v>
      </c>
      <c r="D15" s="121" t="s">
        <v>881</v>
      </c>
      <c r="E15" s="198">
        <f>IFERROR(__xludf.DUMMYFUNCTION("IFERROR(SUM(
  ARRAYFORMULA(
    DATEVALUE(TRIM(MID(SPLIT(D15,CHAR(10)), FIND(""-"",SPLIT(D15,CHAR(10)))+1, 50))) 
  -
    DATEVALUE(TRIM(LEFT(SPLIT(D15,CHAR(10)), FIND(""-"",SPLIT(D15,CHAR(10)))-1)))
  + 1
)
),1)"),2.0)</f>
        <v>2</v>
      </c>
      <c r="F15" s="122">
        <f t="shared" si="1"/>
        <v>800</v>
      </c>
      <c r="G15" s="28" t="str">
        <f t="array" ref="G15">XLOOKUP(B15,Sheet68!A:A,Sheet68!AB:AB,0)</f>
        <v>rawiwanchailerst@airasia.com</v>
      </c>
      <c r="H15" s="22">
        <f t="shared" si="2"/>
        <v>1</v>
      </c>
      <c r="I15" s="123" t="s">
        <v>20</v>
      </c>
      <c r="J15" s="123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>
      <c r="A16" s="107">
        <v>14.0</v>
      </c>
      <c r="B16" s="206">
        <v>1005819.0</v>
      </c>
      <c r="C16" s="168" t="str">
        <f>vlookup(B16,'Crew Data'!C:G,5,0)</f>
        <v>Nerisa Chakornpaibool</v>
      </c>
      <c r="D16" s="121" t="s">
        <v>882</v>
      </c>
      <c r="E16" s="198">
        <f>IFERROR(__xludf.DUMMYFUNCTION("IFERROR(SUM(
  ARRAYFORMULA(
    DATEVALUE(TRIM(MID(SPLIT(D16,CHAR(10)), FIND(""-"",SPLIT(D16,CHAR(10)))+1, 50))) 
  -
    DATEVALUE(TRIM(LEFT(SPLIT(D16,CHAR(10)), FIND(""-"",SPLIT(D16,CHAR(10)))-1)))
  + 1
)
),1)"),2.0)</f>
        <v>2</v>
      </c>
      <c r="F16" s="122">
        <f t="shared" si="1"/>
        <v>800</v>
      </c>
      <c r="G16" s="28" t="str">
        <f t="array" ref="G16">XLOOKUP(B16,Sheet68!A:A,Sheet68!AB:AB,0)</f>
        <v>nerisac@airasia.com</v>
      </c>
      <c r="H16" s="22">
        <f t="shared" si="2"/>
        <v>1</v>
      </c>
      <c r="I16" s="123" t="s">
        <v>20</v>
      </c>
      <c r="J16" s="123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</row>
    <row r="17">
      <c r="A17" s="107">
        <v>15.0</v>
      </c>
      <c r="B17" s="206">
        <v>1011844.0</v>
      </c>
      <c r="C17" s="168" t="str">
        <f>vlookup(B17,'Crew Data'!C:G,5,0)</f>
        <v>Thanyaporn Vaivattana</v>
      </c>
      <c r="D17" s="121" t="s">
        <v>881</v>
      </c>
      <c r="E17" s="198">
        <f>IFERROR(__xludf.DUMMYFUNCTION("IFERROR(SUM(
  ARRAYFORMULA(
    DATEVALUE(TRIM(MID(SPLIT(D17,CHAR(10)), FIND(""-"",SPLIT(D17,CHAR(10)))+1, 50))) 
  -
    DATEVALUE(TRIM(LEFT(SPLIT(D17,CHAR(10)), FIND(""-"",SPLIT(D17,CHAR(10)))-1)))
  + 1
)
),1)"),2.0)</f>
        <v>2</v>
      </c>
      <c r="F17" s="122">
        <f t="shared" si="1"/>
        <v>800</v>
      </c>
      <c r="G17" s="28" t="str">
        <f t="array" ref="G17">XLOOKUP(B17,Sheet68!A:A,Sheet68!AB:AB,0)</f>
        <v>thanyapornv@airasia.com</v>
      </c>
      <c r="H17" s="22">
        <f t="shared" si="2"/>
        <v>1</v>
      </c>
      <c r="I17" s="123" t="s">
        <v>20</v>
      </c>
      <c r="J17" s="123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</row>
    <row r="18">
      <c r="A18" s="107">
        <v>16.0</v>
      </c>
      <c r="B18" s="206">
        <v>1007262.0</v>
      </c>
      <c r="C18" s="168" t="str">
        <f>vlookup(B18,'Crew Data'!C:G,5,0)</f>
        <v> Kaeokumchai</v>
      </c>
      <c r="D18" s="121" t="s">
        <v>880</v>
      </c>
      <c r="E18" s="198">
        <f>IFERROR(__xludf.DUMMYFUNCTION("IFERROR(SUM(
  ARRAYFORMULA(
    DATEVALUE(TRIM(MID(SPLIT(D18,CHAR(10)), FIND(""-"",SPLIT(D18,CHAR(10)))+1, 50))) 
  -
    DATEVALUE(TRIM(LEFT(SPLIT(D18,CHAR(10)), FIND(""-"",SPLIT(D18,CHAR(10)))-1)))
  + 1
)
),1)"),2.0)</f>
        <v>2</v>
      </c>
      <c r="F18" s="122">
        <f t="shared" si="1"/>
        <v>800</v>
      </c>
      <c r="G18" s="28" t="str">
        <f t="array" ref="G18">XLOOKUP(B18,Sheet68!A:A,Sheet68!AB:AB,0)</f>
        <v>k@airasia.com</v>
      </c>
      <c r="H18" s="22">
        <f t="shared" si="2"/>
        <v>1</v>
      </c>
      <c r="I18" s="123" t="s">
        <v>20</v>
      </c>
      <c r="J18" s="123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</row>
    <row r="19">
      <c r="A19" s="107">
        <v>17.0</v>
      </c>
      <c r="B19" s="206">
        <v>1007001.0</v>
      </c>
      <c r="C19" s="168" t="str">
        <f>vlookup(B19,'Crew Data'!C:G,5,0)</f>
        <v>Phakrapee Fuengprang</v>
      </c>
      <c r="D19" s="121" t="s">
        <v>881</v>
      </c>
      <c r="E19" s="198">
        <f>IFERROR(__xludf.DUMMYFUNCTION("IFERROR(SUM(
  ARRAYFORMULA(
    DATEVALUE(TRIM(MID(SPLIT(D19,CHAR(10)), FIND(""-"",SPLIT(D19,CHAR(10)))+1, 50))) 
  -
    DATEVALUE(TRIM(LEFT(SPLIT(D19,CHAR(10)), FIND(""-"",SPLIT(D19,CHAR(10)))-1)))
  + 1
)
),1)"),2.0)</f>
        <v>2</v>
      </c>
      <c r="F19" s="122">
        <f t="shared" si="1"/>
        <v>800</v>
      </c>
      <c r="G19" s="28" t="str">
        <f t="array" ref="G19">XLOOKUP(B19,Sheet68!A:A,Sheet68!AB:AB,0)</f>
        <v>phakrapeef@airasia.com</v>
      </c>
      <c r="H19" s="22">
        <f t="shared" si="2"/>
        <v>1</v>
      </c>
      <c r="I19" s="123" t="s">
        <v>20</v>
      </c>
      <c r="J19" s="123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</row>
    <row r="20">
      <c r="A20" s="107">
        <v>18.0</v>
      </c>
      <c r="B20" s="206">
        <v>1002273.0</v>
      </c>
      <c r="C20" s="168" t="str">
        <f>vlookup(B20,'Crew Data'!C:G,5,0)</f>
        <v>Sirion Kwanchai</v>
      </c>
      <c r="D20" s="121" t="s">
        <v>883</v>
      </c>
      <c r="E20" s="198">
        <f>IFERROR(__xludf.DUMMYFUNCTION("IFERROR(SUM(
  ARRAYFORMULA(
    DATEVALUE(TRIM(MID(SPLIT(D20,CHAR(10)), FIND(""-"",SPLIT(D20,CHAR(10)))+1, 50))) 
  -
    DATEVALUE(TRIM(LEFT(SPLIT(D20,CHAR(10)), FIND(""-"",SPLIT(D20,CHAR(10)))-1)))
  + 1
)
),1)"),5.0)</f>
        <v>5</v>
      </c>
      <c r="F20" s="122">
        <f t="shared" si="1"/>
        <v>2000</v>
      </c>
      <c r="G20" s="28" t="str">
        <f t="array" ref="G20">XLOOKUP(B20,Sheet68!A:A,Sheet68!AB:AB,0)</f>
        <v>sirionk@airasia.com</v>
      </c>
      <c r="H20" s="22">
        <f t="shared" si="2"/>
        <v>1</v>
      </c>
      <c r="I20" s="123" t="s">
        <v>20</v>
      </c>
      <c r="J20" s="123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</row>
    <row r="21">
      <c r="A21" s="107">
        <v>19.0</v>
      </c>
      <c r="B21" s="206">
        <v>1009434.0</v>
      </c>
      <c r="C21" s="168" t="str">
        <f>vlookup(B21,'Crew Data'!C:G,5,0)</f>
        <v>Wanpiya Kaewyok</v>
      </c>
      <c r="D21" s="125">
        <v>46055.0</v>
      </c>
      <c r="E21" s="198">
        <f>IFERROR(__xludf.DUMMYFUNCTION("IFERROR(SUM(
  ARRAYFORMULA(
    DATEVALUE(TRIM(MID(SPLIT(D21,CHAR(10)), FIND(""-"",SPLIT(D21,CHAR(10)))+1, 50))) 
  -
    DATEVALUE(TRIM(LEFT(SPLIT(D21,CHAR(10)), FIND(""-"",SPLIT(D21,CHAR(10)))-1)))
  + 1
)
),1)"),1.0)</f>
        <v>1</v>
      </c>
      <c r="F21" s="122">
        <f t="shared" si="1"/>
        <v>400</v>
      </c>
      <c r="G21" s="28" t="str">
        <f t="array" ref="G21">XLOOKUP(B21,Sheet68!A:A,Sheet68!AB:AB,0)</f>
        <v>wanpiyak@airasia.com</v>
      </c>
      <c r="H21" s="22">
        <f t="shared" si="2"/>
        <v>1</v>
      </c>
      <c r="I21" s="123" t="s">
        <v>20</v>
      </c>
      <c r="J21" s="123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</row>
    <row r="22">
      <c r="A22" s="107">
        <v>20.0</v>
      </c>
      <c r="B22" s="206">
        <v>1022212.0</v>
      </c>
      <c r="C22" s="168" t="str">
        <f>vlookup(B22,'Crew Data'!C:G,5,0)</f>
        <v>Patcharamon Vipatanawin</v>
      </c>
      <c r="D22" s="121" t="s">
        <v>884</v>
      </c>
      <c r="E22" s="198">
        <f>IFERROR(__xludf.DUMMYFUNCTION("IFERROR(SUM(
  ARRAYFORMULA(
    DATEVALUE(TRIM(MID(SPLIT(D22,CHAR(10)), FIND(""-"",SPLIT(D22,CHAR(10)))+1, 50))) 
  -
    DATEVALUE(TRIM(LEFT(SPLIT(D22,CHAR(10)), FIND(""-"",SPLIT(D22,CHAR(10)))-1)))
  + 1
)
),1)"),2.0)</f>
        <v>2</v>
      </c>
      <c r="F22" s="122">
        <f t="shared" si="1"/>
        <v>800</v>
      </c>
      <c r="G22" s="28" t="str">
        <f t="array" ref="G22">XLOOKUP(B22,Sheet68!A:A,Sheet68!AB:AB,0)</f>
        <v>patcharamonvipatana@airasia.com</v>
      </c>
      <c r="H22" s="22">
        <f t="shared" si="2"/>
        <v>1</v>
      </c>
      <c r="I22" s="123" t="s">
        <v>20</v>
      </c>
      <c r="J22" s="123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>
      <c r="A23" s="107">
        <v>21.0</v>
      </c>
      <c r="B23" s="206">
        <v>1043872.0</v>
      </c>
      <c r="C23" s="168" t="str">
        <f>vlookup(B23,'Crew Data'!C:G,5,0)</f>
        <v>Phatreeya Chanurai</v>
      </c>
      <c r="D23" s="121" t="s">
        <v>885</v>
      </c>
      <c r="E23" s="198">
        <f>IFERROR(__xludf.DUMMYFUNCTION("IFERROR(SUM(
  ARRAYFORMULA(
    DATEVALUE(TRIM(MID(SPLIT(D23,CHAR(10)), FIND(""-"",SPLIT(D23,CHAR(10)))+1, 50))) 
  -
    DATEVALUE(TRIM(LEFT(SPLIT(D23,CHAR(10)), FIND(""-"",SPLIT(D23,CHAR(10)))-1)))
  + 1
)
),1)"),2.0)</f>
        <v>2</v>
      </c>
      <c r="F23" s="122">
        <f t="shared" si="1"/>
        <v>800</v>
      </c>
      <c r="G23" s="28" t="str">
        <f t="array" ref="G23">XLOOKUP(B23,Sheet68!A:A,Sheet68!AB:AB,0)</f>
        <v>phatreeyacha@airasia.com</v>
      </c>
      <c r="H23" s="22">
        <f t="shared" si="2"/>
        <v>1</v>
      </c>
      <c r="I23" s="123" t="s">
        <v>20</v>
      </c>
      <c r="J23" s="123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>
      <c r="A24" s="107">
        <v>22.0</v>
      </c>
      <c r="B24" s="206">
        <v>1002370.0</v>
      </c>
      <c r="C24" s="168" t="str">
        <f>vlookup(B24,'Crew Data'!C:G,5,0)</f>
        <v>Napaphat Yuktanan</v>
      </c>
      <c r="D24" s="121" t="s">
        <v>886</v>
      </c>
      <c r="E24" s="198">
        <f>IFERROR(__xludf.DUMMYFUNCTION("IFERROR(SUM(
  ARRAYFORMULA(
    DATEVALUE(TRIM(MID(SPLIT(D24,CHAR(10)), FIND(""-"",SPLIT(D24,CHAR(10)))+1, 50))) 
  -
    DATEVALUE(TRIM(LEFT(SPLIT(D24,CHAR(10)), FIND(""-"",SPLIT(D24,CHAR(10)))-1)))
  + 1
)
),1)"),2.0)</f>
        <v>2</v>
      </c>
      <c r="F24" s="122">
        <f t="shared" si="1"/>
        <v>800</v>
      </c>
      <c r="G24" s="28" t="str">
        <f t="array" ref="G24">XLOOKUP(B24,Sheet68!A:A,Sheet68!AB:AB,0)</f>
        <v>napaphaty@airasia.com</v>
      </c>
      <c r="H24" s="22">
        <f t="shared" si="2"/>
        <v>1</v>
      </c>
      <c r="I24" s="123" t="s">
        <v>20</v>
      </c>
      <c r="J24" s="123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>
      <c r="A25" s="107">
        <v>23.0</v>
      </c>
      <c r="B25" s="206">
        <v>1022660.0</v>
      </c>
      <c r="C25" s="168" t="str">
        <f>vlookup(B25,'Crew Data'!C:G,5,0)</f>
        <v>Ketjiya Sriamonsak</v>
      </c>
      <c r="D25" s="121" t="s">
        <v>887</v>
      </c>
      <c r="E25" s="198">
        <f>IFERROR(__xludf.DUMMYFUNCTION("IFERROR(SUM(
  ARRAYFORMULA(
    DATEVALUE(TRIM(MID(SPLIT(D25,CHAR(10)), FIND(""-"",SPLIT(D25,CHAR(10)))+1, 50))) 
  -
    DATEVALUE(TRIM(LEFT(SPLIT(D25,CHAR(10)), FIND(""-"",SPLIT(D25,CHAR(10)))-1)))
  + 1
)
),1)"),2.0)</f>
        <v>2</v>
      </c>
      <c r="F25" s="122">
        <f t="shared" si="1"/>
        <v>800</v>
      </c>
      <c r="G25" s="28" t="str">
        <f t="array" ref="G25">XLOOKUP(B25,Sheet68!A:A,Sheet68!AB:AB,0)</f>
        <v>ketjiyasriamonsak@airasia.com</v>
      </c>
      <c r="H25" s="22">
        <f t="shared" si="2"/>
        <v>1</v>
      </c>
      <c r="I25" s="123" t="s">
        <v>20</v>
      </c>
      <c r="J25" s="123"/>
      <c r="K25" s="31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>
      <c r="A26" s="107">
        <v>24.0</v>
      </c>
      <c r="B26" s="206">
        <v>1011320.0</v>
      </c>
      <c r="C26" s="168" t="str">
        <f>vlookup(B26,'Crew Data'!C:G,5,0)</f>
        <v>Sudhat Bunnag</v>
      </c>
      <c r="D26" s="121" t="s">
        <v>888</v>
      </c>
      <c r="E26" s="198">
        <f>IFERROR(__xludf.DUMMYFUNCTION("IFERROR(SUM(
  ARRAYFORMULA(
    DATEVALUE(TRIM(MID(SPLIT(D26,CHAR(10)), FIND(""-"",SPLIT(D26,CHAR(10)))+1, 50))) 
  -
    DATEVALUE(TRIM(LEFT(SPLIT(D26,CHAR(10)), FIND(""-"",SPLIT(D26,CHAR(10)))-1)))
  + 1
)
),1)"),6.0)</f>
        <v>6</v>
      </c>
      <c r="F26" s="122">
        <f t="shared" si="1"/>
        <v>2400</v>
      </c>
      <c r="G26" s="28" t="str">
        <f t="array" ref="G26">XLOOKUP(B26,Sheet68!A:A,Sheet68!AB:AB,0)</f>
        <v>sudhatu@airasia.com</v>
      </c>
      <c r="H26" s="22">
        <f t="shared" si="2"/>
        <v>1</v>
      </c>
      <c r="I26" s="123" t="s">
        <v>20</v>
      </c>
      <c r="J26" s="123"/>
      <c r="K26" s="31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>
      <c r="A27" s="107">
        <v>25.0</v>
      </c>
      <c r="B27" s="206">
        <v>1039128.0</v>
      </c>
      <c r="C27" s="168" t="str">
        <f>vlookup(B27,'Crew Data'!C:G,5,0)</f>
        <v>Jiratip Pimpa</v>
      </c>
      <c r="D27" s="121" t="s">
        <v>884</v>
      </c>
      <c r="E27" s="198">
        <f>IFERROR(__xludf.DUMMYFUNCTION("IFERROR(SUM(
  ARRAYFORMULA(
    DATEVALUE(TRIM(MID(SPLIT(D27,CHAR(10)), FIND(""-"",SPLIT(D27,CHAR(10)))+1, 50))) 
  -
    DATEVALUE(TRIM(LEFT(SPLIT(D27,CHAR(10)), FIND(""-"",SPLIT(D27,CHAR(10)))-1)))
  + 1
)
),1)"),2.0)</f>
        <v>2</v>
      </c>
      <c r="F27" s="122">
        <f t="shared" si="1"/>
        <v>800</v>
      </c>
      <c r="G27" s="28" t="str">
        <f t="array" ref="G27">XLOOKUP(B27,Sheet68!A:A,Sheet68!AB:AB,0)</f>
        <v>jiratippimpa@airasia.com</v>
      </c>
      <c r="H27" s="22">
        <f t="shared" si="2"/>
        <v>1</v>
      </c>
      <c r="I27" s="123" t="s">
        <v>20</v>
      </c>
      <c r="J27" s="123"/>
      <c r="K27" s="31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>
      <c r="A28" s="107">
        <v>26.0</v>
      </c>
      <c r="B28" s="206">
        <v>1003055.0</v>
      </c>
      <c r="C28" s="168" t="str">
        <f>vlookup(B28,'Crew Data'!C:G,5,0)</f>
        <v>Pachara Nonthapak</v>
      </c>
      <c r="D28" s="121" t="s">
        <v>878</v>
      </c>
      <c r="E28" s="198">
        <f>IFERROR(__xludf.DUMMYFUNCTION("IFERROR(SUM(
  ARRAYFORMULA(
    DATEVALUE(TRIM(MID(SPLIT(D28,CHAR(10)), FIND(""-"",SPLIT(D28,CHAR(10)))+1, 50))) 
  -
    DATEVALUE(TRIM(LEFT(SPLIT(D28,CHAR(10)), FIND(""-"",SPLIT(D28,CHAR(10)))-1)))
  + 1
)
),1)"),2.0)</f>
        <v>2</v>
      </c>
      <c r="F28" s="122">
        <f t="shared" si="1"/>
        <v>800</v>
      </c>
      <c r="G28" s="28" t="str">
        <f t="array" ref="G28">XLOOKUP(B28,Sheet68!A:A,Sheet68!AB:AB,0)</f>
        <v>pacharan@airasia.com</v>
      </c>
      <c r="H28" s="22">
        <f t="shared" si="2"/>
        <v>1</v>
      </c>
      <c r="I28" s="123" t="s">
        <v>20</v>
      </c>
      <c r="J28" s="123"/>
      <c r="K28" s="31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>
      <c r="A29" s="107">
        <v>27.0</v>
      </c>
      <c r="B29" s="206">
        <v>1018531.0</v>
      </c>
      <c r="C29" s="168" t="str">
        <f>vlookup(B29,'Crew Data'!C:G,5,0)</f>
        <v>Chawit Donsawee</v>
      </c>
      <c r="D29" s="121" t="s">
        <v>889</v>
      </c>
      <c r="E29" s="198">
        <f>IFERROR(__xludf.DUMMYFUNCTION("IFERROR(SUM(
  ARRAYFORMULA(
    DATEVALUE(TRIM(MID(SPLIT(D29,CHAR(10)), FIND(""-"",SPLIT(D29,CHAR(10)))+1, 50))) 
  -
    DATEVALUE(TRIM(LEFT(SPLIT(D29,CHAR(10)), FIND(""-"",SPLIT(D29,CHAR(10)))-1)))
  + 1
)
),1)"),2.0)</f>
        <v>2</v>
      </c>
      <c r="F29" s="122">
        <f t="shared" si="1"/>
        <v>800</v>
      </c>
      <c r="G29" s="28" t="str">
        <f t="array" ref="G29">XLOOKUP(B29,Sheet68!A:A,Sheet68!AB:AB,0)</f>
        <v>chawitdonsawee@airasia.com</v>
      </c>
      <c r="H29" s="22">
        <f t="shared" si="2"/>
        <v>1</v>
      </c>
      <c r="I29" s="123" t="s">
        <v>20</v>
      </c>
      <c r="J29" s="123"/>
      <c r="K29" s="31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>
      <c r="A30" s="107">
        <v>28.0</v>
      </c>
      <c r="B30" s="206">
        <v>1001319.0</v>
      </c>
      <c r="C30" s="168" t="str">
        <f>vlookup(B30,'Crew Data'!C:G,5,0)</f>
        <v>Wipat Lurkasemsuk</v>
      </c>
      <c r="D30" s="121" t="s">
        <v>890</v>
      </c>
      <c r="E30" s="198">
        <f>IFERROR(__xludf.DUMMYFUNCTION("IFERROR(SUM(
  ARRAYFORMULA(
    DATEVALUE(TRIM(MID(SPLIT(D30,CHAR(10)), FIND(""-"",SPLIT(D30,CHAR(10)))+1, 50))) 
  -
    DATEVALUE(TRIM(LEFT(SPLIT(D30,CHAR(10)), FIND(""-"",SPLIT(D30,CHAR(10)))-1)))
  + 1
)
),1)"),2.0)</f>
        <v>2</v>
      </c>
      <c r="F30" s="122">
        <f t="shared" si="1"/>
        <v>800</v>
      </c>
      <c r="G30" s="28" t="str">
        <f t="array" ref="G30">XLOOKUP(B30,Sheet68!A:A,Sheet68!AB:AB,0)</f>
        <v>wipatl@airasia.com</v>
      </c>
      <c r="H30" s="22">
        <f t="shared" si="2"/>
        <v>1</v>
      </c>
      <c r="I30" s="123" t="s">
        <v>20</v>
      </c>
      <c r="J30" s="123"/>
      <c r="K30" s="31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</row>
    <row r="31">
      <c r="A31" s="107">
        <v>29.0</v>
      </c>
      <c r="B31" s="206">
        <v>1002207.0</v>
      </c>
      <c r="C31" s="168" t="str">
        <f>vlookup(B31,'Crew Data'!C:G,5,0)</f>
        <v>Phakaon Chaiwong</v>
      </c>
      <c r="D31" s="121" t="s">
        <v>890</v>
      </c>
      <c r="E31" s="198">
        <f>IFERROR(__xludf.DUMMYFUNCTION("IFERROR(SUM(
  ARRAYFORMULA(
    DATEVALUE(TRIM(MID(SPLIT(D31,CHAR(10)), FIND(""-"",SPLIT(D31,CHAR(10)))+1, 50))) 
  -
    DATEVALUE(TRIM(LEFT(SPLIT(D31,CHAR(10)), FIND(""-"",SPLIT(D31,CHAR(10)))-1)))
  + 1
)
),1)"),2.0)</f>
        <v>2</v>
      </c>
      <c r="F31" s="122">
        <f t="shared" si="1"/>
        <v>800</v>
      </c>
      <c r="G31" s="28" t="str">
        <f t="array" ref="G31">XLOOKUP(B31,Sheet68!A:A,Sheet68!AB:AB,0)</f>
        <v>phakaonc@airasia.com</v>
      </c>
      <c r="H31" s="22">
        <f t="shared" si="2"/>
        <v>1</v>
      </c>
      <c r="I31" s="123" t="s">
        <v>20</v>
      </c>
      <c r="J31" s="123"/>
      <c r="K31" s="31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>
      <c r="A32" s="107">
        <v>30.0</v>
      </c>
      <c r="B32" s="206">
        <v>1007340.0</v>
      </c>
      <c r="C32" s="168" t="str">
        <f>vlookup(B32,'Crew Data'!C:G,5,0)</f>
        <v>Patpapada Vadtanawat</v>
      </c>
      <c r="D32" s="121" t="s">
        <v>891</v>
      </c>
      <c r="E32" s="198">
        <f>IFERROR(__xludf.DUMMYFUNCTION("IFERROR(SUM(
  ARRAYFORMULA(
    DATEVALUE(TRIM(MID(SPLIT(D32,CHAR(10)), FIND(""-"",SPLIT(D32,CHAR(10)))+1, 50))) 
  -
    DATEVALUE(TRIM(LEFT(SPLIT(D32,CHAR(10)), FIND(""-"",SPLIT(D32,CHAR(10)))-1)))
  + 1
)
),1)"),6.0)</f>
        <v>6</v>
      </c>
      <c r="F32" s="122">
        <f t="shared" si="1"/>
        <v>2400</v>
      </c>
      <c r="G32" s="28" t="str">
        <f t="array" ref="G32">XLOOKUP(B32,Sheet68!A:A,Sheet68!AB:AB,0)</f>
        <v>patpapadav@airasia.com</v>
      </c>
      <c r="H32" s="22">
        <f t="shared" si="2"/>
        <v>1</v>
      </c>
      <c r="I32" s="123" t="s">
        <v>20</v>
      </c>
      <c r="J32" s="123"/>
      <c r="K32" s="31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>
      <c r="A33" s="107">
        <v>31.0</v>
      </c>
      <c r="B33" s="206">
        <v>1040505.0</v>
      </c>
      <c r="C33" s="168" t="str">
        <f>vlookup(B33,'Crew Data'!C:G,5,0)</f>
        <v>Atchamaporn Pimrin</v>
      </c>
      <c r="D33" s="121" t="s">
        <v>881</v>
      </c>
      <c r="E33" s="198">
        <f>IFERROR(__xludf.DUMMYFUNCTION("IFERROR(SUM(
  ARRAYFORMULA(
    DATEVALUE(TRIM(MID(SPLIT(D33,CHAR(10)), FIND(""-"",SPLIT(D33,CHAR(10)))+1, 50))) 
  -
    DATEVALUE(TRIM(LEFT(SPLIT(D33,CHAR(10)), FIND(""-"",SPLIT(D33,CHAR(10)))-1)))
  + 1
)
),1)"),2.0)</f>
        <v>2</v>
      </c>
      <c r="F33" s="122">
        <f t="shared" si="1"/>
        <v>800</v>
      </c>
      <c r="G33" s="28" t="str">
        <f t="array" ref="G33">XLOOKUP(B33,Sheet68!A:A,Sheet68!AB:AB,0)</f>
        <v>atchamapornpimrin@airasia.com</v>
      </c>
      <c r="H33" s="22">
        <f t="shared" si="2"/>
        <v>1</v>
      </c>
      <c r="I33" s="123" t="s">
        <v>20</v>
      </c>
      <c r="J33" s="123"/>
      <c r="K33" s="31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</row>
    <row r="34">
      <c r="A34" s="107">
        <v>32.0</v>
      </c>
      <c r="B34" s="206">
        <v>1007153.0</v>
      </c>
      <c r="C34" s="168" t="str">
        <f>vlookup(B34,'Crew Data'!C:G,5,0)</f>
        <v>Pannathat Chuchuaisuwan</v>
      </c>
      <c r="D34" s="121" t="s">
        <v>892</v>
      </c>
      <c r="E34" s="198">
        <f>IFERROR(__xludf.DUMMYFUNCTION("IFERROR(SUM(
  ARRAYFORMULA(
    DATEVALUE(TRIM(MID(SPLIT(D34,CHAR(10)), FIND(""-"",SPLIT(D34,CHAR(10)))+1, 50))) 
  -
    DATEVALUE(TRIM(LEFT(SPLIT(D34,CHAR(10)), FIND(""-"",SPLIT(D34,CHAR(10)))-1)))
  + 1
)
),1)"),2.0)</f>
        <v>2</v>
      </c>
      <c r="F34" s="122">
        <f t="shared" si="1"/>
        <v>800</v>
      </c>
      <c r="G34" s="28" t="str">
        <f t="array" ref="G34">XLOOKUP(B34,Sheet68!A:A,Sheet68!AB:AB,0)</f>
        <v>pannathatc@airasia.com</v>
      </c>
      <c r="H34" s="22">
        <f t="shared" si="2"/>
        <v>1</v>
      </c>
      <c r="I34" s="123" t="s">
        <v>20</v>
      </c>
      <c r="J34" s="123"/>
      <c r="K34" s="31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</row>
    <row r="35">
      <c r="A35" s="107">
        <v>33.0</v>
      </c>
      <c r="B35" s="206">
        <v>1000736.0</v>
      </c>
      <c r="C35" s="168" t="str">
        <f>vlookup(B35,'Crew Data'!C:G,5,0)</f>
        <v>Ekkachai Moolla</v>
      </c>
      <c r="D35" s="121" t="s">
        <v>890</v>
      </c>
      <c r="E35" s="198">
        <f>IFERROR(__xludf.DUMMYFUNCTION("IFERROR(SUM(
  ARRAYFORMULA(
    DATEVALUE(TRIM(MID(SPLIT(D35,CHAR(10)), FIND(""-"",SPLIT(D35,CHAR(10)))+1, 50))) 
  -
    DATEVALUE(TRIM(LEFT(SPLIT(D35,CHAR(10)), FIND(""-"",SPLIT(D35,CHAR(10)))-1)))
  + 1
)
),1)"),2.0)</f>
        <v>2</v>
      </c>
      <c r="F35" s="122">
        <f t="shared" si="1"/>
        <v>800</v>
      </c>
      <c r="G35" s="28" t="str">
        <f t="array" ref="G35">XLOOKUP(B35,Sheet68!A:A,Sheet68!AB:AB,0)</f>
        <v>ekkachaim@airasia.com</v>
      </c>
      <c r="H35" s="22">
        <f t="shared" si="2"/>
        <v>1</v>
      </c>
      <c r="I35" s="123" t="s">
        <v>20</v>
      </c>
      <c r="J35" s="123"/>
      <c r="K35" s="31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</row>
    <row r="36">
      <c r="A36" s="107">
        <v>34.0</v>
      </c>
      <c r="B36" s="206">
        <v>1010731.0</v>
      </c>
      <c r="C36" s="168" t="str">
        <f>vlookup(B36,'Crew Data'!C:G,5,0)</f>
        <v>Samatikan Boonket</v>
      </c>
      <c r="D36" s="121" t="s">
        <v>880</v>
      </c>
      <c r="E36" s="198">
        <f>IFERROR(__xludf.DUMMYFUNCTION("IFERROR(SUM(
  ARRAYFORMULA(
    DATEVALUE(TRIM(MID(SPLIT(D36,CHAR(10)), FIND(""-"",SPLIT(D36,CHAR(10)))+1, 50))) 
  -
    DATEVALUE(TRIM(LEFT(SPLIT(D36,CHAR(10)), FIND(""-"",SPLIT(D36,CHAR(10)))-1)))
  + 1
)
),1)"),2.0)</f>
        <v>2</v>
      </c>
      <c r="F36" s="122">
        <f t="shared" si="1"/>
        <v>800</v>
      </c>
      <c r="G36" s="28" t="str">
        <f t="array" ref="G36">XLOOKUP(B36,Sheet68!A:A,Sheet68!AB:AB,0)</f>
        <v>samatikanb@airasia.com</v>
      </c>
      <c r="H36" s="22">
        <f t="shared" si="2"/>
        <v>1</v>
      </c>
      <c r="I36" s="123" t="s">
        <v>20</v>
      </c>
      <c r="J36" s="111"/>
      <c r="K36" s="31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</row>
    <row r="37">
      <c r="A37" s="107">
        <v>35.0</v>
      </c>
      <c r="B37" s="206">
        <v>1006850.0</v>
      </c>
      <c r="C37" s="168" t="str">
        <f>vlookup(B37,'Crew Data'!C:G,5,0)</f>
        <v>Tanapat Srimuang</v>
      </c>
      <c r="D37" s="121" t="s">
        <v>886</v>
      </c>
      <c r="E37" s="198">
        <f>IFERROR(__xludf.DUMMYFUNCTION("IFERROR(SUM(
  ARRAYFORMULA(
    DATEVALUE(TRIM(MID(SPLIT(D37,CHAR(10)), FIND(""-"",SPLIT(D37,CHAR(10)))+1, 50))) 
  -
    DATEVALUE(TRIM(LEFT(SPLIT(D37,CHAR(10)), FIND(""-"",SPLIT(D37,CHAR(10)))-1)))
  + 1
)
),1)"),2.0)</f>
        <v>2</v>
      </c>
      <c r="F37" s="122">
        <f t="shared" si="1"/>
        <v>800</v>
      </c>
      <c r="G37" s="28" t="str">
        <f t="array" ref="G37">XLOOKUP(B37,Sheet68!A:A,Sheet68!AB:AB,0)</f>
        <v>tanapatr@airasia.com</v>
      </c>
      <c r="H37" s="22">
        <f t="shared" si="2"/>
        <v>1</v>
      </c>
      <c r="I37" s="123" t="s">
        <v>20</v>
      </c>
      <c r="J37" s="111"/>
      <c r="K37" s="31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>
      <c r="A38" s="107">
        <v>36.0</v>
      </c>
      <c r="B38" s="206">
        <v>1012850.0</v>
      </c>
      <c r="C38" s="168" t="str">
        <f>vlookup(B38,'Crew Data'!C:G,5,0)</f>
        <v>Chanagun Phanturat</v>
      </c>
      <c r="D38" s="121" t="s">
        <v>893</v>
      </c>
      <c r="E38" s="198">
        <f>IFERROR(__xludf.DUMMYFUNCTION("IFERROR(SUM(
  ARRAYFORMULA(
    DATEVALUE(TRIM(MID(SPLIT(D38,CHAR(10)), FIND(""-"",SPLIT(D38,CHAR(10)))+1, 50))) 
  -
    DATEVALUE(TRIM(LEFT(SPLIT(D38,CHAR(10)), FIND(""-"",SPLIT(D38,CHAR(10)))-1)))
  + 1
)
),1)"),2.0)</f>
        <v>2</v>
      </c>
      <c r="F38" s="122">
        <f t="shared" si="1"/>
        <v>800</v>
      </c>
      <c r="G38" s="28" t="str">
        <f t="array" ref="G38">XLOOKUP(B38,Sheet68!A:A,Sheet68!AB:AB,0)</f>
        <v>chanagunp@airasia.com</v>
      </c>
      <c r="H38" s="22">
        <f t="shared" si="2"/>
        <v>1</v>
      </c>
      <c r="I38" s="123" t="s">
        <v>20</v>
      </c>
      <c r="J38" s="111"/>
      <c r="K38" s="31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>
      <c r="A39" s="107">
        <v>37.0</v>
      </c>
      <c r="B39" s="206">
        <v>1009770.0</v>
      </c>
      <c r="C39" s="168" t="str">
        <f>vlookup(B39,'Crew Data'!C:G,5,0)</f>
        <v>Wuttiphat Akenoot</v>
      </c>
      <c r="D39" s="121" t="s">
        <v>894</v>
      </c>
      <c r="E39" s="198">
        <f>IFERROR(__xludf.DUMMYFUNCTION("IFERROR(SUM(
  ARRAYFORMULA(
    DATEVALUE(TRIM(MID(SPLIT(D39,CHAR(10)), FIND(""-"",SPLIT(D39,CHAR(10)))+1, 50))) 
  -
    DATEVALUE(TRIM(LEFT(SPLIT(D39,CHAR(10)), FIND(""-"",SPLIT(D39,CHAR(10)))-1)))
  + 1
)
),1)"),2.0)</f>
        <v>2</v>
      </c>
      <c r="F39" s="122">
        <f t="shared" si="1"/>
        <v>800</v>
      </c>
      <c r="G39" s="28" t="str">
        <f t="array" ref="G39">XLOOKUP(B39,Sheet68!A:A,Sheet68!AB:AB,0)</f>
        <v>wuttiphata@airasia.com</v>
      </c>
      <c r="H39" s="22">
        <f t="shared" si="2"/>
        <v>1</v>
      </c>
      <c r="I39" s="123" t="s">
        <v>20</v>
      </c>
      <c r="J39" s="111"/>
      <c r="K39" s="31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</row>
    <row r="40">
      <c r="A40" s="107">
        <v>38.0</v>
      </c>
      <c r="B40" s="206">
        <v>1005306.0</v>
      </c>
      <c r="C40" s="168" t="str">
        <f>vlookup(B40,'Crew Data'!C:G,5,0)</f>
        <v>Sirirat Kaewduangkhae</v>
      </c>
      <c r="D40" s="121" t="s">
        <v>894</v>
      </c>
      <c r="E40" s="198">
        <f>IFERROR(__xludf.DUMMYFUNCTION("IFERROR(SUM(
  ARRAYFORMULA(
    DATEVALUE(TRIM(MID(SPLIT(D40,CHAR(10)), FIND(""-"",SPLIT(D40,CHAR(10)))+1, 50))) 
  -
    DATEVALUE(TRIM(LEFT(SPLIT(D40,CHAR(10)), FIND(""-"",SPLIT(D40,CHAR(10)))-1)))
  + 1
)
),1)"),2.0)</f>
        <v>2</v>
      </c>
      <c r="F40" s="122">
        <f t="shared" si="1"/>
        <v>800</v>
      </c>
      <c r="G40" s="28" t="str">
        <f t="array" ref="G40">XLOOKUP(B40,Sheet68!A:A,Sheet68!AB:AB,0)</f>
        <v>sirirata@airasia.com</v>
      </c>
      <c r="H40" s="22">
        <f t="shared" si="2"/>
        <v>1</v>
      </c>
      <c r="I40" s="123" t="s">
        <v>20</v>
      </c>
      <c r="J40" s="111"/>
      <c r="K40" s="31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>
      <c r="A41" s="107">
        <v>39.0</v>
      </c>
      <c r="B41" s="206">
        <v>1004318.0</v>
      </c>
      <c r="C41" s="168" t="str">
        <f>vlookup(B41,'Crew Data'!C:G,5,0)</f>
        <v>Nattapong Kao-Ngampanich</v>
      </c>
      <c r="D41" s="121" t="s">
        <v>895</v>
      </c>
      <c r="E41" s="198">
        <f>IFERROR(__xludf.DUMMYFUNCTION("IFERROR(SUM(
  ARRAYFORMULA(
    DATEVALUE(TRIM(MID(SPLIT(D41,CHAR(10)), FIND(""-"",SPLIT(D41,CHAR(10)))+1, 50))) 
  -
    DATEVALUE(TRIM(LEFT(SPLIT(D41,CHAR(10)), FIND(""-"",SPLIT(D41,CHAR(10)))-1)))
  + 1
)
),1)"),5.0)</f>
        <v>5</v>
      </c>
      <c r="F41" s="122">
        <f t="shared" si="1"/>
        <v>2000</v>
      </c>
      <c r="G41" s="28" t="str">
        <f t="array" ref="G41">XLOOKUP(B41,Sheet68!A:A,Sheet68!AB:AB,0)</f>
        <v>nattaponga@airasia.com</v>
      </c>
      <c r="H41" s="22">
        <f t="shared" si="2"/>
        <v>1</v>
      </c>
      <c r="I41" s="123" t="s">
        <v>20</v>
      </c>
      <c r="J41" s="111"/>
      <c r="K41" s="31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</row>
    <row r="42">
      <c r="A42" s="107">
        <v>40.0</v>
      </c>
      <c r="B42" s="206">
        <v>1004213.0</v>
      </c>
      <c r="C42" s="168" t="str">
        <f>vlookup(B42,'Crew Data'!C:G,5,0)</f>
        <v>Worapada Suetrongmunkong</v>
      </c>
      <c r="D42" s="121" t="s">
        <v>896</v>
      </c>
      <c r="E42" s="198">
        <f>IFERROR(__xludf.DUMMYFUNCTION("IFERROR(SUM(
  ARRAYFORMULA(
    DATEVALUE(TRIM(MID(SPLIT(D42,CHAR(10)), FIND(""-"",SPLIT(D42,CHAR(10)))+1, 50))) 
  -
    DATEVALUE(TRIM(LEFT(SPLIT(D42,CHAR(10)), FIND(""-"",SPLIT(D42,CHAR(10)))-1)))
  + 1
)
),1)"),4.0)</f>
        <v>4</v>
      </c>
      <c r="F42" s="122">
        <f t="shared" si="1"/>
        <v>1600</v>
      </c>
      <c r="G42" s="28" t="str">
        <f t="array" ref="G42">XLOOKUP(B42,Sheet68!A:A,Sheet68!AB:AB,0)</f>
        <v>worapadas@airasia.com</v>
      </c>
      <c r="H42" s="22">
        <f t="shared" si="2"/>
        <v>1</v>
      </c>
      <c r="I42" s="123" t="s">
        <v>20</v>
      </c>
      <c r="J42" s="111"/>
      <c r="K42" s="31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</row>
    <row r="43">
      <c r="A43" s="107">
        <v>41.0</v>
      </c>
      <c r="B43" s="206">
        <v>1043861.0</v>
      </c>
      <c r="C43" s="168" t="str">
        <f>vlookup(B43,'Crew Data'!C:G,5,0)</f>
        <v>Chonkaseam Borisuth</v>
      </c>
      <c r="D43" s="121" t="s">
        <v>897</v>
      </c>
      <c r="E43" s="198">
        <f>IFERROR(__xludf.DUMMYFUNCTION("IFERROR(SUM(
  ARRAYFORMULA(
    DATEVALUE(TRIM(MID(SPLIT(D43,CHAR(10)), FIND(""-"",SPLIT(D43,CHAR(10)))+1, 50))) 
  -
    DATEVALUE(TRIM(LEFT(SPLIT(D43,CHAR(10)), FIND(""-"",SPLIT(D43,CHAR(10)))-1)))
  + 1
)
),1)"),6.0)</f>
        <v>6</v>
      </c>
      <c r="F43" s="122">
        <f t="shared" si="1"/>
        <v>2400</v>
      </c>
      <c r="G43" s="28" t="str">
        <f t="array" ref="G43">XLOOKUP(B43,Sheet68!A:A,Sheet68!AB:AB,0)</f>
        <v>chonkaseambor@airasia.com</v>
      </c>
      <c r="H43" s="22">
        <f t="shared" si="2"/>
        <v>1</v>
      </c>
      <c r="I43" s="123" t="s">
        <v>20</v>
      </c>
      <c r="J43" s="111"/>
      <c r="K43" s="31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</row>
    <row r="44">
      <c r="A44" s="107">
        <v>42.0</v>
      </c>
      <c r="B44" s="206">
        <v>1012256.0</v>
      </c>
      <c r="C44" s="168" t="str">
        <f>vlookup(B44,'Crew Data'!C:G,5,0)</f>
        <v>Sarayut Ungsaichue</v>
      </c>
      <c r="D44" s="121" t="s">
        <v>898</v>
      </c>
      <c r="E44" s="198">
        <f>IFERROR(__xludf.DUMMYFUNCTION("IFERROR(SUM(
  ARRAYFORMULA(
    DATEVALUE(TRIM(MID(SPLIT(D44,CHAR(10)), FIND(""-"",SPLIT(D44,CHAR(10)))+1, 50))) 
  -
    DATEVALUE(TRIM(LEFT(SPLIT(D44,CHAR(10)), FIND(""-"",SPLIT(D44,CHAR(10)))-1)))
  + 1
)
),1)"),6.0)</f>
        <v>6</v>
      </c>
      <c r="F44" s="122">
        <f t="shared" si="1"/>
        <v>2400</v>
      </c>
      <c r="G44" s="28" t="str">
        <f t="array" ref="G44">XLOOKUP(B44,Sheet68!A:A,Sheet68!AB:AB,0)</f>
        <v>sarayutu@airasia.com</v>
      </c>
      <c r="H44" s="22">
        <f t="shared" si="2"/>
        <v>1</v>
      </c>
      <c r="I44" s="123" t="s">
        <v>20</v>
      </c>
      <c r="J44" s="111"/>
      <c r="K44" s="31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</row>
    <row r="45">
      <c r="A45" s="107">
        <v>43.0</v>
      </c>
      <c r="B45" s="206">
        <v>1004294.0</v>
      </c>
      <c r="C45" s="168" t="str">
        <f>vlookup(B45,'Crew Data'!C:G,5,0)</f>
        <v>Kawinwat Pringplert</v>
      </c>
      <c r="D45" s="121" t="s">
        <v>899</v>
      </c>
      <c r="E45" s="198">
        <f>IFERROR(__xludf.DUMMYFUNCTION("IFERROR(SUM(
  ARRAYFORMULA(
    DATEVALUE(TRIM(MID(SPLIT(D45,CHAR(10)), FIND(""-"",SPLIT(D45,CHAR(10)))+1, 50))) 
  -
    DATEVALUE(TRIM(LEFT(SPLIT(D45,CHAR(10)), FIND(""-"",SPLIT(D45,CHAR(10)))-1)))
  + 1
)
),1)"),2.0)</f>
        <v>2</v>
      </c>
      <c r="F45" s="122">
        <f t="shared" si="1"/>
        <v>800</v>
      </c>
      <c r="G45" s="28" t="str">
        <f t="array" ref="G45">XLOOKUP(B45,Sheet68!A:A,Sheet68!AB:AB,0)</f>
        <v>kawinwatp@airasia.com</v>
      </c>
      <c r="H45" s="22">
        <f t="shared" si="2"/>
        <v>1</v>
      </c>
      <c r="I45" s="123" t="s">
        <v>20</v>
      </c>
      <c r="J45" s="111"/>
      <c r="K45" s="31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</row>
    <row r="46">
      <c r="A46" s="107">
        <v>44.0</v>
      </c>
      <c r="B46" s="206">
        <v>1018791.0</v>
      </c>
      <c r="C46" s="168" t="str">
        <f>vlookup(B46,'Crew Data'!C:G,5,0)</f>
        <v>Kitdanai Tiantanawit</v>
      </c>
      <c r="D46" s="121" t="s">
        <v>900</v>
      </c>
      <c r="E46" s="198">
        <f>IFERROR(__xludf.DUMMYFUNCTION("IFERROR(SUM(
  ARRAYFORMULA(
    DATEVALUE(TRIM(MID(SPLIT(D46,CHAR(10)), FIND(""-"",SPLIT(D46,CHAR(10)))+1, 50))) 
  -
    DATEVALUE(TRIM(LEFT(SPLIT(D46,CHAR(10)), FIND(""-"",SPLIT(D46,CHAR(10)))-1)))
  + 1
)
),1)"),4.0)</f>
        <v>4</v>
      </c>
      <c r="F46" s="122">
        <f t="shared" si="1"/>
        <v>1600</v>
      </c>
      <c r="G46" s="28" t="str">
        <f t="array" ref="G46">XLOOKUP(B46,Sheet68!A:A,Sheet68!AB:AB,0)</f>
        <v>kitdanait@airasia.com</v>
      </c>
      <c r="H46" s="22">
        <f t="shared" si="2"/>
        <v>1</v>
      </c>
      <c r="I46" s="123" t="s">
        <v>20</v>
      </c>
      <c r="J46" s="111"/>
      <c r="K46" s="31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</row>
    <row r="47">
      <c r="A47" s="107">
        <v>45.0</v>
      </c>
      <c r="B47" s="206">
        <v>1003384.0</v>
      </c>
      <c r="C47" s="168" t="str">
        <f>vlookup(B47,'Crew Data'!C:G,5,0)</f>
        <v>Chatchaya Bhoocharyarth</v>
      </c>
      <c r="D47" s="121" t="s">
        <v>893</v>
      </c>
      <c r="E47" s="198">
        <f>IFERROR(__xludf.DUMMYFUNCTION("IFERROR(SUM(
  ARRAYFORMULA(
    DATEVALUE(TRIM(MID(SPLIT(D47,CHAR(10)), FIND(""-"",SPLIT(D47,CHAR(10)))+1, 50))) 
  -
    DATEVALUE(TRIM(LEFT(SPLIT(D47,CHAR(10)), FIND(""-"",SPLIT(D47,CHAR(10)))-1)))
  + 1
)
),1)"),2.0)</f>
        <v>2</v>
      </c>
      <c r="F47" s="122">
        <f t="shared" si="1"/>
        <v>800</v>
      </c>
      <c r="G47" s="28" t="str">
        <f t="array" ref="G47">XLOOKUP(B47,Sheet68!A:A,Sheet68!AB:AB,0)</f>
        <v>chatchayab@airasia.com</v>
      </c>
      <c r="H47" s="22">
        <f t="shared" si="2"/>
        <v>1</v>
      </c>
      <c r="I47" s="123" t="s">
        <v>20</v>
      </c>
      <c r="J47" s="111"/>
      <c r="K47" s="31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</row>
    <row r="48">
      <c r="A48" s="107">
        <v>46.0</v>
      </c>
      <c r="B48" s="206">
        <v>1004531.0</v>
      </c>
      <c r="C48" s="168" t="str">
        <f>vlookup(B48,'Crew Data'!C:G,5,0)</f>
        <v>Nattakan Kanokpantarakorn </v>
      </c>
      <c r="D48" s="121" t="s">
        <v>893</v>
      </c>
      <c r="E48" s="198">
        <f>IFERROR(__xludf.DUMMYFUNCTION("IFERROR(SUM(
  ARRAYFORMULA(
    DATEVALUE(TRIM(MID(SPLIT(D48,CHAR(10)), FIND(""-"",SPLIT(D48,CHAR(10)))+1, 50))) 
  -
    DATEVALUE(TRIM(LEFT(SPLIT(D48,CHAR(10)), FIND(""-"",SPLIT(D48,CHAR(10)))-1)))
  + 1
)
),1)"),2.0)</f>
        <v>2</v>
      </c>
      <c r="F48" s="122">
        <f t="shared" si="1"/>
        <v>800</v>
      </c>
      <c r="G48" s="28" t="str">
        <f t="array" ref="G48">XLOOKUP(B48,Sheet68!A:A,Sheet68!AB:AB,0)</f>
        <v>nattakankan@airasia.com</v>
      </c>
      <c r="H48" s="22">
        <f t="shared" si="2"/>
        <v>1</v>
      </c>
      <c r="I48" s="123" t="s">
        <v>20</v>
      </c>
      <c r="J48" s="111"/>
      <c r="K48" s="31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</row>
    <row r="49">
      <c r="A49" s="107">
        <v>47.0</v>
      </c>
      <c r="B49" s="206">
        <v>1007194.0</v>
      </c>
      <c r="C49" s="168" t="str">
        <f>vlookup(B49,'Crew Data'!C:G,5,0)</f>
        <v>Arparatt Pengya</v>
      </c>
      <c r="D49" s="121" t="s">
        <v>894</v>
      </c>
      <c r="E49" s="198">
        <f>IFERROR(__xludf.DUMMYFUNCTION("IFERROR(SUM(
  ARRAYFORMULA(
    DATEVALUE(TRIM(MID(SPLIT(D49,CHAR(10)), FIND(""-"",SPLIT(D49,CHAR(10)))+1, 50))) 
  -
    DATEVALUE(TRIM(LEFT(SPLIT(D49,CHAR(10)), FIND(""-"",SPLIT(D49,CHAR(10)))-1)))
  + 1
)
),1)"),2.0)</f>
        <v>2</v>
      </c>
      <c r="F49" s="122">
        <f t="shared" si="1"/>
        <v>800</v>
      </c>
      <c r="G49" s="28" t="str">
        <f t="array" ref="G49">XLOOKUP(B49,Sheet68!A:A,Sheet68!AB:AB,0)</f>
        <v>arparattp@airasia.com</v>
      </c>
      <c r="H49" s="22">
        <f t="shared" si="2"/>
        <v>1</v>
      </c>
      <c r="I49" s="123" t="s">
        <v>20</v>
      </c>
      <c r="J49" s="111"/>
      <c r="K49" s="31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</row>
    <row r="50">
      <c r="A50" s="107">
        <v>48.0</v>
      </c>
      <c r="B50" s="206">
        <v>1015412.0</v>
      </c>
      <c r="C50" s="168" t="str">
        <f>vlookup(B50,'Crew Data'!C:G,5,0)</f>
        <v>Sitthiphath Ratanaborvornsethi</v>
      </c>
      <c r="D50" s="121" t="s">
        <v>894</v>
      </c>
      <c r="E50" s="198">
        <f>IFERROR(__xludf.DUMMYFUNCTION("IFERROR(SUM(
  ARRAYFORMULA(
    DATEVALUE(TRIM(MID(SPLIT(D50,CHAR(10)), FIND(""-"",SPLIT(D50,CHAR(10)))+1, 50))) 
  -
    DATEVALUE(TRIM(LEFT(SPLIT(D50,CHAR(10)), FIND(""-"",SPLIT(D50,CHAR(10)))-1)))
  + 1
)
),1)"),2.0)</f>
        <v>2</v>
      </c>
      <c r="F50" s="122">
        <f t="shared" si="1"/>
        <v>800</v>
      </c>
      <c r="G50" s="28" t="str">
        <f t="array" ref="G50">XLOOKUP(B50,Sheet68!A:A,Sheet68!AB:AB,0)</f>
        <v>sitthiphathr@airasia.com</v>
      </c>
      <c r="H50" s="22">
        <f t="shared" si="2"/>
        <v>1</v>
      </c>
      <c r="I50" s="123" t="s">
        <v>20</v>
      </c>
      <c r="J50" s="111"/>
      <c r="K50" s="31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</row>
    <row r="51">
      <c r="A51" s="107">
        <v>49.0</v>
      </c>
      <c r="B51" s="206">
        <v>1006835.0</v>
      </c>
      <c r="C51" s="168" t="str">
        <f>vlookup(B51,'Crew Data'!C:G,5,0)</f>
        <v>Ketsaraporn Borvornmongkolsak</v>
      </c>
      <c r="D51" s="121" t="s">
        <v>901</v>
      </c>
      <c r="E51" s="198">
        <f>IFERROR(__xludf.DUMMYFUNCTION("IFERROR(SUM(
  ARRAYFORMULA(
    DATEVALUE(TRIM(MID(SPLIT(D51,CHAR(10)), FIND(""-"",SPLIT(D51,CHAR(10)))+1, 50))) 
  -
    DATEVALUE(TRIM(LEFT(SPLIT(D51,CHAR(10)), FIND(""-"",SPLIT(D51,CHAR(10)))-1)))
  + 1
)
),1)"),2.0)</f>
        <v>2</v>
      </c>
      <c r="F51" s="122">
        <f t="shared" si="1"/>
        <v>800</v>
      </c>
      <c r="G51" s="28" t="str">
        <f t="array" ref="G51">XLOOKUP(B51,Sheet68!A:A,Sheet68!AB:AB,0)</f>
        <v>ketsarapornb@airasia.com</v>
      </c>
      <c r="H51" s="22">
        <f t="shared" si="2"/>
        <v>1</v>
      </c>
      <c r="I51" s="123" t="s">
        <v>20</v>
      </c>
      <c r="J51" s="111"/>
      <c r="K51" s="31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</row>
    <row r="52">
      <c r="A52" s="107">
        <v>50.0</v>
      </c>
      <c r="B52" s="206">
        <v>1039924.0</v>
      </c>
      <c r="C52" s="168" t="str">
        <f>vlookup(B52,'Crew Data'!C:G,5,0)</f>
        <v>Pornkamol Tonsakulwong</v>
      </c>
      <c r="D52" s="121" t="s">
        <v>902</v>
      </c>
      <c r="E52" s="198">
        <f>IFERROR(__xludf.DUMMYFUNCTION("IFERROR(SUM(
  ARRAYFORMULA(
    DATEVALUE(TRIM(MID(SPLIT(D52,CHAR(10)), FIND(""-"",SPLIT(D52,CHAR(10)))+1, 50))) 
  -
    DATEVALUE(TRIM(LEFT(SPLIT(D52,CHAR(10)), FIND(""-"",SPLIT(D52,CHAR(10)))-1)))
  + 1
)
),1)"),2.0)</f>
        <v>2</v>
      </c>
      <c r="F52" s="122">
        <f t="shared" si="1"/>
        <v>800</v>
      </c>
      <c r="G52" s="28" t="str">
        <f t="array" ref="G52">XLOOKUP(B52,Sheet68!A:A,Sheet68!AB:AB,0)</f>
        <v>pornkamoltonsakulwo@airasia.com</v>
      </c>
      <c r="H52" s="22">
        <f t="shared" si="2"/>
        <v>1</v>
      </c>
      <c r="I52" s="123" t="s">
        <v>20</v>
      </c>
      <c r="J52" s="111"/>
      <c r="K52" s="31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</row>
    <row r="53">
      <c r="A53" s="107">
        <v>51.0</v>
      </c>
      <c r="B53" s="206">
        <v>1006855.0</v>
      </c>
      <c r="C53" s="168" t="str">
        <f>vlookup(B53,'Crew Data'!C:G,5,0)</f>
        <v>Theeraphon Porisutkun</v>
      </c>
      <c r="D53" s="121" t="s">
        <v>903</v>
      </c>
      <c r="E53" s="198">
        <f>IFERROR(__xludf.DUMMYFUNCTION("IFERROR(SUM(
  ARRAYFORMULA(
    DATEVALUE(TRIM(MID(SPLIT(D53,CHAR(10)), FIND(""-"",SPLIT(D53,CHAR(10)))+1, 50))) 
  -
    DATEVALUE(TRIM(LEFT(SPLIT(D53,CHAR(10)), FIND(""-"",SPLIT(D53,CHAR(10)))-1)))
  + 1
)
),1)"),2.0)</f>
        <v>2</v>
      </c>
      <c r="F53" s="122">
        <f t="shared" si="1"/>
        <v>800</v>
      </c>
      <c r="G53" s="28" t="str">
        <f t="array" ref="G53">XLOOKUP(B53,Sheet68!A:A,Sheet68!AB:AB,0)</f>
        <v>theeraphonp@airasia.com</v>
      </c>
      <c r="H53" s="22">
        <f t="shared" si="2"/>
        <v>1</v>
      </c>
      <c r="I53" s="123" t="s">
        <v>20</v>
      </c>
      <c r="J53" s="111"/>
      <c r="K53" s="31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</row>
    <row r="54">
      <c r="A54" s="107">
        <v>52.0</v>
      </c>
      <c r="B54" s="206">
        <v>1008754.0</v>
      </c>
      <c r="C54" s="168" t="str">
        <f>vlookup(B54,'Crew Data'!C:G,5,0)</f>
        <v>Pimlapas Tanapatpongsapas</v>
      </c>
      <c r="D54" s="121" t="s">
        <v>904</v>
      </c>
      <c r="E54" s="198">
        <f>IFERROR(__xludf.DUMMYFUNCTION("IFERROR(SUM(
  ARRAYFORMULA(
    DATEVALUE(TRIM(MID(SPLIT(D54,CHAR(10)), FIND(""-"",SPLIT(D54,CHAR(10)))+1, 50))) 
  -
    DATEVALUE(TRIM(LEFT(SPLIT(D54,CHAR(10)), FIND(""-"",SPLIT(D54,CHAR(10)))-1)))
  + 1
)
),1)"),2.0)</f>
        <v>2</v>
      </c>
      <c r="F54" s="122">
        <f t="shared" si="1"/>
        <v>800</v>
      </c>
      <c r="G54" s="28" t="str">
        <f t="array" ref="G54">XLOOKUP(B54,Sheet68!A:A,Sheet68!AB:AB,0)</f>
        <v>pimlapasa@airasia.com</v>
      </c>
      <c r="H54" s="22">
        <f t="shared" si="2"/>
        <v>1</v>
      </c>
      <c r="I54" s="123" t="s">
        <v>20</v>
      </c>
      <c r="J54" s="123"/>
      <c r="K54" s="31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</row>
    <row r="55">
      <c r="A55" s="107">
        <v>53.0</v>
      </c>
      <c r="B55" s="206">
        <v>1003302.0</v>
      </c>
      <c r="C55" s="168" t="str">
        <f>vlookup(B55,'Crew Data'!C:G,5,0)</f>
        <v>Panwad Thongkham</v>
      </c>
      <c r="D55" s="121" t="s">
        <v>885</v>
      </c>
      <c r="E55" s="198">
        <f>IFERROR(__xludf.DUMMYFUNCTION("IFERROR(SUM(
  ARRAYFORMULA(
    DATEVALUE(TRIM(MID(SPLIT(D55,CHAR(10)), FIND(""-"",SPLIT(D55,CHAR(10)))+1, 50))) 
  -
    DATEVALUE(TRIM(LEFT(SPLIT(D55,CHAR(10)), FIND(""-"",SPLIT(D55,CHAR(10)))-1)))
  + 1
)
),1)"),2.0)</f>
        <v>2</v>
      </c>
      <c r="F55" s="122">
        <f t="shared" si="1"/>
        <v>800</v>
      </c>
      <c r="G55" s="28" t="str">
        <f t="array" ref="G55">XLOOKUP(B55,Sheet68!A:A,Sheet68!AB:AB,0)</f>
        <v>panwadt@airasia.com</v>
      </c>
      <c r="H55" s="22">
        <f t="shared" si="2"/>
        <v>1</v>
      </c>
      <c r="I55" s="123" t="s">
        <v>20</v>
      </c>
      <c r="J55" s="123"/>
      <c r="K55" s="31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</row>
    <row r="56">
      <c r="A56" s="107">
        <v>54.0</v>
      </c>
      <c r="B56" s="206">
        <v>1007266.0</v>
      </c>
      <c r="C56" s="168" t="str">
        <f>vlookup(B56,'Crew Data'!C:G,5,0)</f>
        <v>Nattayanee Junnont</v>
      </c>
      <c r="D56" s="121" t="s">
        <v>887</v>
      </c>
      <c r="E56" s="198">
        <f>IFERROR(__xludf.DUMMYFUNCTION("IFERROR(SUM(
  ARRAYFORMULA(
    DATEVALUE(TRIM(MID(SPLIT(D56,CHAR(10)), FIND(""-"",SPLIT(D56,CHAR(10)))+1, 50))) 
  -
    DATEVALUE(TRIM(LEFT(SPLIT(D56,CHAR(10)), FIND(""-"",SPLIT(D56,CHAR(10)))-1)))
  + 1
)
),1)"),2.0)</f>
        <v>2</v>
      </c>
      <c r="F56" s="122">
        <f t="shared" si="1"/>
        <v>800</v>
      </c>
      <c r="G56" s="28" t="str">
        <f t="array" ref="G56">XLOOKUP(B56,Sheet68!A:A,Sheet68!AB:AB,0)</f>
        <v>nattayaneej@airasia.com</v>
      </c>
      <c r="H56" s="22">
        <f t="shared" si="2"/>
        <v>1</v>
      </c>
      <c r="I56" s="123" t="s">
        <v>20</v>
      </c>
      <c r="J56" s="111"/>
      <c r="K56" s="31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</row>
    <row r="57">
      <c r="A57" s="107">
        <v>55.0</v>
      </c>
      <c r="B57" s="206">
        <v>1001273.0</v>
      </c>
      <c r="C57" s="168" t="str">
        <f>vlookup(B57,'Crew Data'!C:G,5,0)</f>
        <v>Chidchanok Seesorn</v>
      </c>
      <c r="D57" s="121" t="s">
        <v>905</v>
      </c>
      <c r="E57" s="198">
        <f>IFERROR(__xludf.DUMMYFUNCTION("IFERROR(SUM(
  ARRAYFORMULA(
    DATEVALUE(TRIM(MID(SPLIT(D57,CHAR(10)), FIND(""-"",SPLIT(D57,CHAR(10)))+1, 50))) 
  -
    DATEVALUE(TRIM(LEFT(SPLIT(D57,CHAR(10)), FIND(""-"",SPLIT(D57,CHAR(10)))-1)))
  + 1
)
),1)"),2.0)</f>
        <v>2</v>
      </c>
      <c r="F57" s="122">
        <f t="shared" si="1"/>
        <v>800</v>
      </c>
      <c r="G57" s="28" t="str">
        <f t="array" ref="G57">XLOOKUP(B57,Sheet68!A:A,Sheet68!AB:AB,0)</f>
        <v>chidchanoks@airasia.com</v>
      </c>
      <c r="H57" s="22">
        <f t="shared" si="2"/>
        <v>1</v>
      </c>
      <c r="I57" s="123" t="s">
        <v>20</v>
      </c>
      <c r="J57" s="111"/>
      <c r="K57" s="31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</row>
    <row r="58">
      <c r="A58" s="107">
        <v>56.0</v>
      </c>
      <c r="B58" s="206">
        <v>1009816.0</v>
      </c>
      <c r="C58" s="168" t="str">
        <f>vlookup(B58,'Crew Data'!C:G,5,0)</f>
        <v>Patteya Nukong</v>
      </c>
      <c r="D58" s="121" t="s">
        <v>906</v>
      </c>
      <c r="E58" s="198">
        <f>IFERROR(__xludf.DUMMYFUNCTION("IFERROR(SUM(
  ARRAYFORMULA(
    DATEVALUE(TRIM(MID(SPLIT(D58,CHAR(10)), FIND(""-"",SPLIT(D58,CHAR(10)))+1, 50))) 
  -
    DATEVALUE(TRIM(LEFT(SPLIT(D58,CHAR(10)), FIND(""-"",SPLIT(D58,CHAR(10)))-1)))
  + 1
)
),1)"),2.0)</f>
        <v>2</v>
      </c>
      <c r="F58" s="122">
        <f t="shared" si="1"/>
        <v>800</v>
      </c>
      <c r="G58" s="28" t="str">
        <f t="array" ref="G58">XLOOKUP(B58,Sheet68!A:A,Sheet68!AB:AB,0)</f>
        <v>patteyan@airasia.com</v>
      </c>
      <c r="H58" s="22">
        <f t="shared" si="2"/>
        <v>1</v>
      </c>
      <c r="I58" s="123" t="s">
        <v>20</v>
      </c>
      <c r="J58" s="111"/>
      <c r="K58" s="31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</row>
    <row r="59">
      <c r="A59" s="107">
        <v>57.0</v>
      </c>
      <c r="B59" s="206">
        <v>1026187.0</v>
      </c>
      <c r="C59" s="168" t="str">
        <f>vlookup(B59,'Crew Data'!C:G,5,0)</f>
        <v>Nutnicha Pitsuwan</v>
      </c>
      <c r="D59" s="121" t="s">
        <v>907</v>
      </c>
      <c r="E59" s="198">
        <f>IFERROR(__xludf.DUMMYFUNCTION("IFERROR(SUM(
  ARRAYFORMULA(
    DATEVALUE(TRIM(MID(SPLIT(D59,CHAR(10)), FIND(""-"",SPLIT(D59,CHAR(10)))+1, 50))) 
  -
    DATEVALUE(TRIM(LEFT(SPLIT(D59,CHAR(10)), FIND(""-"",SPLIT(D59,CHAR(10)))-1)))
  + 1
)
),1)"),2.0)</f>
        <v>2</v>
      </c>
      <c r="F59" s="122">
        <f t="shared" si="1"/>
        <v>800</v>
      </c>
      <c r="G59" s="28" t="str">
        <f t="array" ref="G59">XLOOKUP(B59,Sheet68!A:A,Sheet68!AB:AB,0)</f>
        <v>nutnichapitsuwan@airasia.com</v>
      </c>
      <c r="H59" s="22">
        <f t="shared" si="2"/>
        <v>1</v>
      </c>
      <c r="I59" s="123" t="s">
        <v>20</v>
      </c>
      <c r="J59" s="111"/>
      <c r="K59" s="31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</row>
    <row r="60">
      <c r="A60" s="107">
        <v>58.0</v>
      </c>
      <c r="B60" s="206">
        <v>1011083.0</v>
      </c>
      <c r="C60" s="168" t="str">
        <f>vlookup(B60,'Crew Data'!C:G,5,0)</f>
        <v>Wanliya Choosiri</v>
      </c>
      <c r="D60" s="121" t="s">
        <v>879</v>
      </c>
      <c r="E60" s="198">
        <f>IFERROR(__xludf.DUMMYFUNCTION("IFERROR(SUM(
  ARRAYFORMULA(
    DATEVALUE(TRIM(MID(SPLIT(D60,CHAR(10)), FIND(""-"",SPLIT(D60,CHAR(10)))+1, 50))) 
  -
    DATEVALUE(TRIM(LEFT(SPLIT(D60,CHAR(10)), FIND(""-"",SPLIT(D60,CHAR(10)))-1)))
  + 1
)
),1)"),2.0)</f>
        <v>2</v>
      </c>
      <c r="F60" s="122">
        <f t="shared" si="1"/>
        <v>800</v>
      </c>
      <c r="G60" s="28" t="str">
        <f t="array" ref="G60">XLOOKUP(B60,Sheet68!A:A,Sheet68!AB:AB,0)</f>
        <v>wanliyac@airasia.com</v>
      </c>
      <c r="H60" s="22">
        <f t="shared" si="2"/>
        <v>1</v>
      </c>
      <c r="I60" s="123" t="s">
        <v>20</v>
      </c>
      <c r="J60" s="111"/>
      <c r="K60" s="31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</row>
    <row r="61">
      <c r="A61" s="107">
        <v>59.0</v>
      </c>
      <c r="B61" s="206">
        <v>1039104.0</v>
      </c>
      <c r="C61" s="168" t="str">
        <f>vlookup(B61,'Crew Data'!C:G,5,0)</f>
        <v>Dusitta Porananon</v>
      </c>
      <c r="D61" s="121" t="s">
        <v>899</v>
      </c>
      <c r="E61" s="198">
        <f>IFERROR(__xludf.DUMMYFUNCTION("IFERROR(SUM(
  ARRAYFORMULA(
    DATEVALUE(TRIM(MID(SPLIT(D61,CHAR(10)), FIND(""-"",SPLIT(D61,CHAR(10)))+1, 50))) 
  -
    DATEVALUE(TRIM(LEFT(SPLIT(D61,CHAR(10)), FIND(""-"",SPLIT(D61,CHAR(10)))-1)))
  + 1
)
),1)"),2.0)</f>
        <v>2</v>
      </c>
      <c r="F61" s="122">
        <f t="shared" si="1"/>
        <v>800</v>
      </c>
      <c r="G61" s="28" t="str">
        <f t="array" ref="G61">XLOOKUP(B61,Sheet68!A:A,Sheet68!AB:AB,0)</f>
        <v>dusittaporananon@airasia.com</v>
      </c>
      <c r="H61" s="22">
        <f t="shared" si="2"/>
        <v>1</v>
      </c>
      <c r="I61" s="123" t="s">
        <v>20</v>
      </c>
      <c r="J61" s="111"/>
      <c r="K61" s="31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</row>
    <row r="62">
      <c r="A62" s="107">
        <v>60.0</v>
      </c>
      <c r="B62" s="206">
        <v>1043894.0</v>
      </c>
      <c r="C62" s="168" t="str">
        <f>vlookup(B62,'Crew Data'!C:G,5,0)</f>
        <v>Thantheera Prueksasilp</v>
      </c>
      <c r="D62" s="121" t="s">
        <v>901</v>
      </c>
      <c r="E62" s="198">
        <f>IFERROR(__xludf.DUMMYFUNCTION("IFERROR(SUM(
  ARRAYFORMULA(
    DATEVALUE(TRIM(MID(SPLIT(D62,CHAR(10)), FIND(""-"",SPLIT(D62,CHAR(10)))+1, 50))) 
  -
    DATEVALUE(TRIM(LEFT(SPLIT(D62,CHAR(10)), FIND(""-"",SPLIT(D62,CHAR(10)))-1)))
  + 1
)
),1)"),2.0)</f>
        <v>2</v>
      </c>
      <c r="F62" s="122">
        <f t="shared" si="1"/>
        <v>800</v>
      </c>
      <c r="G62" s="28" t="str">
        <f t="array" ref="G62">XLOOKUP(B62,Sheet68!A:A,Sheet68!AB:AB,0)</f>
        <v>thantheerapru@airasia.com</v>
      </c>
      <c r="H62" s="22">
        <f t="shared" si="2"/>
        <v>1</v>
      </c>
      <c r="I62" s="123" t="s">
        <v>20</v>
      </c>
      <c r="J62" s="111"/>
      <c r="K62" s="31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</row>
    <row r="63">
      <c r="A63" s="107">
        <v>61.0</v>
      </c>
      <c r="B63" s="206">
        <v>1022222.0</v>
      </c>
      <c r="C63" s="168" t="str">
        <f>vlookup(B63,'Crew Data'!C:G,5,0)</f>
        <v>Songboon Kiatchaweepan</v>
      </c>
      <c r="D63" s="121" t="s">
        <v>893</v>
      </c>
      <c r="E63" s="198">
        <f>IFERROR(__xludf.DUMMYFUNCTION("IFERROR(SUM(
  ARRAYFORMULA(
    DATEVALUE(TRIM(MID(SPLIT(D63,CHAR(10)), FIND(""-"",SPLIT(D63,CHAR(10)))+1, 50))) 
  -
    DATEVALUE(TRIM(LEFT(SPLIT(D63,CHAR(10)), FIND(""-"",SPLIT(D63,CHAR(10)))-1)))
  + 1
)
),1)"),2.0)</f>
        <v>2</v>
      </c>
      <c r="F63" s="122">
        <f t="shared" si="1"/>
        <v>800</v>
      </c>
      <c r="G63" s="28" t="str">
        <f t="array" ref="G63">XLOOKUP(B63,Sheet68!A:A,Sheet68!AB:AB,0)</f>
        <v>songboonkiatchaweep@airasia.com</v>
      </c>
      <c r="H63" s="22">
        <f t="shared" si="2"/>
        <v>1</v>
      </c>
      <c r="I63" s="123" t="s">
        <v>20</v>
      </c>
      <c r="J63" s="111"/>
      <c r="K63" s="31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</row>
    <row r="64">
      <c r="A64" s="107">
        <v>62.0</v>
      </c>
      <c r="B64" s="206">
        <v>1010805.0</v>
      </c>
      <c r="C64" s="168" t="str">
        <f>vlookup(B64,'Crew Data'!C:G,5,0)</f>
        <v>Tipparada Chiewsamran</v>
      </c>
      <c r="D64" s="121" t="s">
        <v>908</v>
      </c>
      <c r="E64" s="198">
        <f>IFERROR(__xludf.DUMMYFUNCTION("IFERROR(SUM(
  ARRAYFORMULA(
    DATEVALUE(TRIM(MID(SPLIT(D64,CHAR(10)), FIND(""-"",SPLIT(D64,CHAR(10)))+1, 50))) 
  -
    DATEVALUE(TRIM(LEFT(SPLIT(D64,CHAR(10)), FIND(""-"",SPLIT(D64,CHAR(10)))-1)))
  + 1
)
),1)"),6.0)</f>
        <v>6</v>
      </c>
      <c r="F64" s="122">
        <f t="shared" si="1"/>
        <v>2400</v>
      </c>
      <c r="G64" s="28" t="str">
        <f t="array" ref="G64">XLOOKUP(B64,Sheet68!A:A,Sheet68!AB:AB,0)</f>
        <v>tipparadac@airasia.com</v>
      </c>
      <c r="H64" s="22">
        <f t="shared" si="2"/>
        <v>1</v>
      </c>
      <c r="I64" s="123" t="s">
        <v>20</v>
      </c>
      <c r="J64" s="111"/>
      <c r="K64" s="31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</row>
    <row r="65">
      <c r="A65" s="107">
        <v>63.0</v>
      </c>
      <c r="B65" s="206">
        <v>1003418.0</v>
      </c>
      <c r="C65" s="168" t="str">
        <f>vlookup(B65,'Crew Data'!C:G,5,0)</f>
        <v>Chiravitch Kittiphongsathaporn</v>
      </c>
      <c r="D65" s="121" t="s">
        <v>909</v>
      </c>
      <c r="E65" s="198">
        <f>IFERROR(__xludf.DUMMYFUNCTION("IFERROR(SUM(
  ARRAYFORMULA(
    DATEVALUE(TRIM(MID(SPLIT(D65,CHAR(10)), FIND(""-"",SPLIT(D65,CHAR(10)))+1, 50))) 
  -
    DATEVALUE(TRIM(LEFT(SPLIT(D65,CHAR(10)), FIND(""-"",SPLIT(D65,CHAR(10)))-1)))
  + 1
)
),1)"),4.0)</f>
        <v>4</v>
      </c>
      <c r="F65" s="122">
        <f t="shared" si="1"/>
        <v>1600</v>
      </c>
      <c r="G65" s="28" t="str">
        <f t="array" ref="G65">XLOOKUP(B65,Sheet68!A:A,Sheet68!AB:AB,0)</f>
        <v>chiravitchk@airasia.com</v>
      </c>
      <c r="H65" s="22">
        <f t="shared" si="2"/>
        <v>1</v>
      </c>
      <c r="I65" s="123" t="s">
        <v>20</v>
      </c>
      <c r="J65" s="111"/>
      <c r="K65" s="31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</row>
    <row r="66">
      <c r="A66" s="107">
        <v>64.0</v>
      </c>
      <c r="B66" s="206">
        <v>1006745.0</v>
      </c>
      <c r="C66" s="168" t="str">
        <f>vlookup(B66,'Crew Data'!C:G,5,0)</f>
        <v>Peerapop Sompranon</v>
      </c>
      <c r="D66" s="121" t="s">
        <v>881</v>
      </c>
      <c r="E66" s="198">
        <f>IFERROR(__xludf.DUMMYFUNCTION("IFERROR(SUM(
  ARRAYFORMULA(
    DATEVALUE(TRIM(MID(SPLIT(D66,CHAR(10)), FIND(""-"",SPLIT(D66,CHAR(10)))+1, 50))) 
  -
    DATEVALUE(TRIM(LEFT(SPLIT(D66,CHAR(10)), FIND(""-"",SPLIT(D66,CHAR(10)))-1)))
  + 1
)
),1)"),2.0)</f>
        <v>2</v>
      </c>
      <c r="F66" s="122">
        <f t="shared" si="1"/>
        <v>800</v>
      </c>
      <c r="G66" s="28" t="str">
        <f t="array" ref="G66">XLOOKUP(B66,Sheet68!A:A,Sheet68!AB:AB,0)</f>
        <v>peerapops@airasia.com</v>
      </c>
      <c r="H66" s="22">
        <f t="shared" si="2"/>
        <v>1</v>
      </c>
      <c r="I66" s="123" t="s">
        <v>20</v>
      </c>
      <c r="J66" s="111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</row>
    <row r="67">
      <c r="A67" s="107">
        <v>65.0</v>
      </c>
      <c r="B67" s="206">
        <v>1007325.0</v>
      </c>
      <c r="C67" s="168" t="str">
        <f>vlookup(B67,'Crew Data'!C:G,5,0)</f>
        <v>Supattra Waswilai</v>
      </c>
      <c r="D67" s="121" t="s">
        <v>881</v>
      </c>
      <c r="E67" s="198">
        <f>IFERROR(__xludf.DUMMYFUNCTION("IFERROR(SUM(
  ARRAYFORMULA(
    DATEVALUE(TRIM(MID(SPLIT(D67,CHAR(10)), FIND(""-"",SPLIT(D67,CHAR(10)))+1, 50))) 
  -
    DATEVALUE(TRIM(LEFT(SPLIT(D67,CHAR(10)), FIND(""-"",SPLIT(D67,CHAR(10)))-1)))
  + 1
)
),1)"),2.0)</f>
        <v>2</v>
      </c>
      <c r="F67" s="122">
        <f t="shared" si="1"/>
        <v>800</v>
      </c>
      <c r="G67" s="28" t="str">
        <f t="array" ref="G67">XLOOKUP(B67,Sheet68!A:A,Sheet68!AB:AB,0)</f>
        <v>supattraw@airasia.com</v>
      </c>
      <c r="H67" s="22">
        <f t="shared" si="2"/>
        <v>1</v>
      </c>
      <c r="I67" s="123" t="s">
        <v>20</v>
      </c>
      <c r="J67" s="111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</row>
    <row r="68">
      <c r="A68" s="107">
        <v>66.0</v>
      </c>
      <c r="B68" s="206">
        <v>1001395.0</v>
      </c>
      <c r="C68" s="168" t="str">
        <f>vlookup(B68,'Crew Data'!C:G,5,0)</f>
        <v>Phadsawan Inthaphun</v>
      </c>
      <c r="D68" s="121" t="s">
        <v>881</v>
      </c>
      <c r="E68" s="198">
        <f>IFERROR(__xludf.DUMMYFUNCTION("IFERROR(SUM(
  ARRAYFORMULA(
    DATEVALUE(TRIM(MID(SPLIT(D68,CHAR(10)), FIND(""-"",SPLIT(D68,CHAR(10)))+1, 50))) 
  -
    DATEVALUE(TRIM(LEFT(SPLIT(D68,CHAR(10)), FIND(""-"",SPLIT(D68,CHAR(10)))-1)))
  + 1
)
),1)"),2.0)</f>
        <v>2</v>
      </c>
      <c r="F68" s="122">
        <f t="shared" si="1"/>
        <v>800</v>
      </c>
      <c r="G68" s="28" t="str">
        <f t="array" ref="G68">XLOOKUP(B68,Sheet68!A:A,Sheet68!AB:AB,0)</f>
        <v>phadsawani@airasia.com</v>
      </c>
      <c r="H68" s="22">
        <f t="shared" si="2"/>
        <v>1</v>
      </c>
      <c r="I68" s="123" t="s">
        <v>20</v>
      </c>
      <c r="J68" s="111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</row>
    <row r="69">
      <c r="A69" s="107">
        <v>67.0</v>
      </c>
      <c r="B69" s="206">
        <v>1009011.0</v>
      </c>
      <c r="C69" s="168" t="str">
        <f>vlookup(B69,'Crew Data'!C:G,5,0)</f>
        <v>Weerayos Rungudomsinsakul</v>
      </c>
      <c r="D69" s="121" t="s">
        <v>890</v>
      </c>
      <c r="E69" s="198">
        <f>IFERROR(__xludf.DUMMYFUNCTION("IFERROR(SUM(
  ARRAYFORMULA(
    DATEVALUE(TRIM(MID(SPLIT(D69,CHAR(10)), FIND(""-"",SPLIT(D69,CHAR(10)))+1, 50))) 
  -
    DATEVALUE(TRIM(LEFT(SPLIT(D69,CHAR(10)), FIND(""-"",SPLIT(D69,CHAR(10)))-1)))
  + 1
)
),1)"),2.0)</f>
        <v>2</v>
      </c>
      <c r="F69" s="122">
        <f t="shared" si="1"/>
        <v>800</v>
      </c>
      <c r="G69" s="28" t="str">
        <f t="array" ref="G69">XLOOKUP(B69,Sheet68!A:A,Sheet68!AB:AB,0)</f>
        <v>weerayosr@airasia.com</v>
      </c>
      <c r="H69" s="22">
        <f t="shared" si="2"/>
        <v>1</v>
      </c>
      <c r="I69" s="123" t="s">
        <v>20</v>
      </c>
      <c r="J69" s="111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</row>
    <row r="70">
      <c r="A70" s="107">
        <v>68.0</v>
      </c>
      <c r="B70" s="206">
        <v>1018803.0</v>
      </c>
      <c r="C70" s="168" t="str">
        <f>vlookup(B70,'Crew Data'!C:G,5,0)</f>
        <v>Natthaphon Poosomchit</v>
      </c>
      <c r="D70" s="121" t="s">
        <v>906</v>
      </c>
      <c r="E70" s="198">
        <f>IFERROR(__xludf.DUMMYFUNCTION("IFERROR(SUM(
  ARRAYFORMULA(
    DATEVALUE(TRIM(MID(SPLIT(D70,CHAR(10)), FIND(""-"",SPLIT(D70,CHAR(10)))+1, 50))) 
  -
    DATEVALUE(TRIM(LEFT(SPLIT(D70,CHAR(10)), FIND(""-"",SPLIT(D70,CHAR(10)))-1)))
  + 1
)
),1)"),2.0)</f>
        <v>2</v>
      </c>
      <c r="F70" s="122">
        <f t="shared" si="1"/>
        <v>800</v>
      </c>
      <c r="G70" s="28" t="str">
        <f t="array" ref="G70">XLOOKUP(B70,Sheet68!A:A,Sheet68!AB:AB,0)</f>
        <v>natthaphonm@airasia.com</v>
      </c>
      <c r="H70" s="22">
        <f t="shared" si="2"/>
        <v>1</v>
      </c>
      <c r="I70" s="123" t="s">
        <v>20</v>
      </c>
      <c r="J70" s="111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</row>
    <row r="71">
      <c r="A71" s="107">
        <v>69.0</v>
      </c>
      <c r="B71" s="206">
        <v>1016214.0</v>
      </c>
      <c r="C71" s="168" t="str">
        <f>vlookup(B71,'Crew Data'!C:G,5,0)</f>
        <v>Passakorn Porncharoon</v>
      </c>
      <c r="D71" s="121" t="s">
        <v>906</v>
      </c>
      <c r="E71" s="198">
        <f>IFERROR(__xludf.DUMMYFUNCTION("IFERROR(SUM(
  ARRAYFORMULA(
    DATEVALUE(TRIM(MID(SPLIT(D71,CHAR(10)), FIND(""-"",SPLIT(D71,CHAR(10)))+1, 50))) 
  -
    DATEVALUE(TRIM(LEFT(SPLIT(D71,CHAR(10)), FIND(""-"",SPLIT(D71,CHAR(10)))-1)))
  + 1
)
),1)"),2.0)</f>
        <v>2</v>
      </c>
      <c r="F71" s="122">
        <f t="shared" si="1"/>
        <v>800</v>
      </c>
      <c r="G71" s="28" t="str">
        <f t="array" ref="G71">XLOOKUP(B71,Sheet68!A:A,Sheet68!AB:AB,0)</f>
        <v>passakornp@airasia.com</v>
      </c>
      <c r="H71" s="22">
        <f t="shared" si="2"/>
        <v>1</v>
      </c>
      <c r="I71" s="123" t="s">
        <v>20</v>
      </c>
      <c r="J71" s="111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</row>
    <row r="72">
      <c r="A72" s="107">
        <v>70.0</v>
      </c>
      <c r="B72" s="206">
        <v>1008372.0</v>
      </c>
      <c r="C72" s="168" t="str">
        <f>vlookup(B72,'Crew Data'!C:G,5,0)</f>
        <v>Sirinya Maydan</v>
      </c>
      <c r="D72" s="121" t="s">
        <v>910</v>
      </c>
      <c r="E72" s="198">
        <f>IFERROR(__xludf.DUMMYFUNCTION("IFERROR(SUM(
  ARRAYFORMULA(
    DATEVALUE(TRIM(MID(SPLIT(D72,CHAR(10)), FIND(""-"",SPLIT(D72,CHAR(10)))+1, 50))) 
  -
    DATEVALUE(TRIM(LEFT(SPLIT(D72,CHAR(10)), FIND(""-"",SPLIT(D72,CHAR(10)))-1)))
  + 1
)
),1)"),8.0)</f>
        <v>8</v>
      </c>
      <c r="F72" s="122">
        <f t="shared" si="1"/>
        <v>3200</v>
      </c>
      <c r="G72" s="28" t="str">
        <f t="array" ref="G72">XLOOKUP(B72,Sheet68!A:A,Sheet68!AB:AB,0)</f>
        <v>sirinyam@airasia.com</v>
      </c>
      <c r="H72" s="22">
        <f t="shared" si="2"/>
        <v>1</v>
      </c>
      <c r="I72" s="123" t="s">
        <v>20</v>
      </c>
      <c r="J72" s="111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</row>
    <row r="73">
      <c r="A73" s="107">
        <v>71.0</v>
      </c>
      <c r="B73" s="206">
        <v>1022666.0</v>
      </c>
      <c r="C73" s="168" t="str">
        <f>vlookup(B73,'Crew Data'!C:G,5,0)</f>
        <v>Suchanart Thongsongsom</v>
      </c>
      <c r="D73" s="121" t="s">
        <v>889</v>
      </c>
      <c r="E73" s="198">
        <f>IFERROR(__xludf.DUMMYFUNCTION("IFERROR(SUM(
  ARRAYFORMULA(
    DATEVALUE(TRIM(MID(SPLIT(D73,CHAR(10)), FIND(""-"",SPLIT(D73,CHAR(10)))+1, 50))) 
  -
    DATEVALUE(TRIM(LEFT(SPLIT(D73,CHAR(10)), FIND(""-"",SPLIT(D73,CHAR(10)))-1)))
  + 1
)
),1)"),2.0)</f>
        <v>2</v>
      </c>
      <c r="F73" s="122">
        <f t="shared" si="1"/>
        <v>800</v>
      </c>
      <c r="G73" s="28" t="str">
        <f t="array" ref="G73">XLOOKUP(B73,Sheet68!A:A,Sheet68!AB:AB,0)</f>
        <v>suchanartthongsongs@airasia.com</v>
      </c>
      <c r="H73" s="22">
        <f t="shared" si="2"/>
        <v>1</v>
      </c>
      <c r="I73" s="123" t="s">
        <v>20</v>
      </c>
      <c r="J73" s="111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</row>
    <row r="74">
      <c r="A74" s="107">
        <v>72.0</v>
      </c>
      <c r="B74" s="206">
        <v>1014241.0</v>
      </c>
      <c r="C74" s="168" t="str">
        <f>vlookup(B74,'Crew Data'!C:G,5,0)</f>
        <v>Kittima Khongnukool</v>
      </c>
      <c r="D74" s="121" t="s">
        <v>911</v>
      </c>
      <c r="E74" s="198">
        <f>IFERROR(__xludf.DUMMYFUNCTION("IFERROR(SUM(
  ARRAYFORMULA(
    DATEVALUE(TRIM(MID(SPLIT(D74,CHAR(10)), FIND(""-"",SPLIT(D74,CHAR(10)))+1, 50))) 
  -
    DATEVALUE(TRIM(LEFT(SPLIT(D74,CHAR(10)), FIND(""-"",SPLIT(D74,CHAR(10)))-1)))
  + 1
)
),1)"),2.0)</f>
        <v>2</v>
      </c>
      <c r="F74" s="122">
        <f t="shared" si="1"/>
        <v>800</v>
      </c>
      <c r="G74" s="28" t="str">
        <f t="array" ref="G74">XLOOKUP(B74,Sheet68!A:A,Sheet68!AB:AB,0)</f>
        <v>kittimah@airasia.com</v>
      </c>
      <c r="H74" s="22">
        <f t="shared" si="2"/>
        <v>1</v>
      </c>
      <c r="I74" s="123" t="s">
        <v>20</v>
      </c>
      <c r="J74" s="111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</row>
    <row r="75">
      <c r="A75" s="107">
        <v>73.0</v>
      </c>
      <c r="B75" s="206">
        <v>1002729.0</v>
      </c>
      <c r="C75" s="168" t="str">
        <f>vlookup(B75,'Crew Data'!C:G,5,0)</f>
        <v>Raywat Sakulsom</v>
      </c>
      <c r="D75" s="121" t="s">
        <v>879</v>
      </c>
      <c r="E75" s="198">
        <f>IFERROR(__xludf.DUMMYFUNCTION("IFERROR(SUM(
  ARRAYFORMULA(
    DATEVALUE(TRIM(MID(SPLIT(D75,CHAR(10)), FIND(""-"",SPLIT(D75,CHAR(10)))+1, 50))) 
  -
    DATEVALUE(TRIM(LEFT(SPLIT(D75,CHAR(10)), FIND(""-"",SPLIT(D75,CHAR(10)))-1)))
  + 1
)
),1)"),2.0)</f>
        <v>2</v>
      </c>
      <c r="F75" s="122">
        <f t="shared" si="1"/>
        <v>800</v>
      </c>
      <c r="G75" s="28" t="str">
        <f t="array" ref="G75">XLOOKUP(B75,Sheet68!A:A,Sheet68!AB:AB,0)</f>
        <v>raywats@airasia.com</v>
      </c>
      <c r="H75" s="22">
        <f t="shared" si="2"/>
        <v>1</v>
      </c>
      <c r="I75" s="180" t="s">
        <v>20</v>
      </c>
      <c r="J75" s="111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</row>
    <row r="76">
      <c r="A76" s="107">
        <v>74.0</v>
      </c>
      <c r="B76" s="206">
        <v>1001837.0</v>
      </c>
      <c r="C76" s="168" t="str">
        <f>vlookup(B76,'Crew Data'!C:G,5,0)</f>
        <v>Taralan Jareemuk</v>
      </c>
      <c r="D76" s="121" t="s">
        <v>912</v>
      </c>
      <c r="E76" s="198">
        <f>IFERROR(__xludf.DUMMYFUNCTION("IFERROR(SUM(
  ARRAYFORMULA(
    DATEVALUE(TRIM(MID(SPLIT(D76,CHAR(10)), FIND(""-"",SPLIT(D76,CHAR(10)))+1, 50))) 
  -
    DATEVALUE(TRIM(LEFT(SPLIT(D76,CHAR(10)), FIND(""-"",SPLIT(D76,CHAR(10)))-1)))
  + 1
)
),1)"),8.0)</f>
        <v>8</v>
      </c>
      <c r="F76" s="122">
        <f t="shared" si="1"/>
        <v>3200</v>
      </c>
      <c r="G76" s="28" t="str">
        <f t="array" ref="G76">XLOOKUP(B76,Sheet68!A:A,Sheet68!AB:AB,0)</f>
        <v>taralanj@airasia.com</v>
      </c>
      <c r="H76" s="22">
        <f t="shared" si="2"/>
        <v>1</v>
      </c>
      <c r="I76" s="123" t="s">
        <v>20</v>
      </c>
      <c r="J76" s="111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</row>
    <row r="77">
      <c r="A77" s="107">
        <v>75.0</v>
      </c>
      <c r="B77" s="206">
        <v>1021945.0</v>
      </c>
      <c r="C77" s="168" t="str">
        <f>vlookup(B77,'Crew Data'!C:G,5,0)</f>
        <v>Pornpimon Sakulpan</v>
      </c>
      <c r="D77" s="121" t="s">
        <v>913</v>
      </c>
      <c r="E77" s="198">
        <f>IFERROR(__xludf.DUMMYFUNCTION("IFERROR(SUM(
  ARRAYFORMULA(
    DATEVALUE(TRIM(MID(SPLIT(D77,CHAR(10)), FIND(""-"",SPLIT(D77,CHAR(10)))+1, 50))) 
  -
    DATEVALUE(TRIM(LEFT(SPLIT(D77,CHAR(10)), FIND(""-"",SPLIT(D77,CHAR(10)))-1)))
  + 1
)
),1)"),2.0)</f>
        <v>2</v>
      </c>
      <c r="F77" s="122">
        <f t="shared" si="1"/>
        <v>800</v>
      </c>
      <c r="G77" s="28" t="str">
        <f t="array" ref="G77">XLOOKUP(B77,Sheet68!A:A,Sheet68!AB:AB,0)</f>
        <v>pornpimons@airasia.com</v>
      </c>
      <c r="H77" s="22">
        <f t="shared" si="2"/>
        <v>1</v>
      </c>
      <c r="I77" s="123" t="s">
        <v>20</v>
      </c>
      <c r="J77" s="111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</row>
    <row r="78">
      <c r="A78" s="107">
        <v>76.0</v>
      </c>
      <c r="B78" s="206">
        <v>1004029.0</v>
      </c>
      <c r="C78" s="168" t="str">
        <f>vlookup(B78,'Crew Data'!C:G,5,0)</f>
        <v>Ketsara Ketsakul</v>
      </c>
      <c r="D78" s="121" t="s">
        <v>899</v>
      </c>
      <c r="E78" s="198">
        <f>IFERROR(__xludf.DUMMYFUNCTION("IFERROR(SUM(
  ARRAYFORMULA(
    DATEVALUE(TRIM(MID(SPLIT(D78,CHAR(10)), FIND(""-"",SPLIT(D78,CHAR(10)))+1, 50))) 
  -
    DATEVALUE(TRIM(LEFT(SPLIT(D78,CHAR(10)), FIND(""-"",SPLIT(D78,CHAR(10)))-1)))
  + 1
)
),1)"),2.0)</f>
        <v>2</v>
      </c>
      <c r="F78" s="122">
        <f t="shared" si="1"/>
        <v>800</v>
      </c>
      <c r="G78" s="28" t="str">
        <f t="array" ref="G78">XLOOKUP(B78,Sheet68!A:A,Sheet68!AB:AB,0)</f>
        <v>ketsarak@airasia.com</v>
      </c>
      <c r="H78" s="22">
        <f t="shared" si="2"/>
        <v>1</v>
      </c>
      <c r="I78" s="123" t="s">
        <v>20</v>
      </c>
      <c r="J78" s="111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</row>
    <row r="79">
      <c r="A79" s="107">
        <v>77.0</v>
      </c>
      <c r="B79" s="206">
        <v>1001317.0</v>
      </c>
      <c r="C79" s="168" t="str">
        <f>vlookup(B79,'Crew Data'!C:G,5,0)</f>
        <v>Umaporn Charnond</v>
      </c>
      <c r="D79" s="121" t="s">
        <v>914</v>
      </c>
      <c r="E79" s="198">
        <f>IFERROR(__xludf.DUMMYFUNCTION("IFERROR(SUM(
  ARRAYFORMULA(
    DATEVALUE(TRIM(MID(SPLIT(D79,CHAR(10)), FIND(""-"",SPLIT(D79,CHAR(10)))+1, 50))) 
  -
    DATEVALUE(TRIM(LEFT(SPLIT(D79,CHAR(10)), FIND(""-"",SPLIT(D79,CHAR(10)))-1)))
  + 1
)
),1)"),6.0)</f>
        <v>6</v>
      </c>
      <c r="F79" s="122">
        <f t="shared" si="1"/>
        <v>2400</v>
      </c>
      <c r="G79" s="28" t="str">
        <f t="array" ref="G79">XLOOKUP(B79,Sheet68!A:A,Sheet68!AB:AB,0)</f>
        <v>umapornc@airasia.com</v>
      </c>
      <c r="H79" s="22">
        <f t="shared" si="2"/>
        <v>1</v>
      </c>
      <c r="I79" s="123" t="s">
        <v>20</v>
      </c>
      <c r="J79" s="111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</row>
    <row r="80">
      <c r="A80" s="107">
        <v>78.0</v>
      </c>
      <c r="B80" s="206">
        <v>1014262.0</v>
      </c>
      <c r="C80" s="168" t="str">
        <f>vlookup(B80,'Crew Data'!C:G,5,0)</f>
        <v>Wongsakorn Chumniwatesa</v>
      </c>
      <c r="D80" s="121" t="s">
        <v>901</v>
      </c>
      <c r="E80" s="198">
        <f>IFERROR(__xludf.DUMMYFUNCTION("IFERROR(SUM(
  ARRAYFORMULA(
    DATEVALUE(TRIM(MID(SPLIT(D80,CHAR(10)), FIND(""-"",SPLIT(D80,CHAR(10)))+1, 50))) 
  -
    DATEVALUE(TRIM(LEFT(SPLIT(D80,CHAR(10)), FIND(""-"",SPLIT(D80,CHAR(10)))-1)))
  + 1
)
),1)"),2.0)</f>
        <v>2</v>
      </c>
      <c r="F80" s="122">
        <f t="shared" si="1"/>
        <v>800</v>
      </c>
      <c r="G80" s="28" t="str">
        <f t="array" ref="G80">XLOOKUP(B80,Sheet68!A:A,Sheet68!AB:AB,0)</f>
        <v>wongsakornchumniwat@airasia.com</v>
      </c>
      <c r="H80" s="22">
        <f t="shared" si="2"/>
        <v>1</v>
      </c>
      <c r="I80" s="123" t="s">
        <v>20</v>
      </c>
      <c r="J80" s="111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</row>
    <row r="81">
      <c r="A81" s="107">
        <v>79.0</v>
      </c>
      <c r="B81" s="206">
        <v>1005769.0</v>
      </c>
      <c r="C81" s="168" t="str">
        <f>vlookup(B81,'Crew Data'!C:G,5,0)</f>
        <v>Thanicha Noodee</v>
      </c>
      <c r="D81" s="121" t="s">
        <v>915</v>
      </c>
      <c r="E81" s="198">
        <f>IFERROR(__xludf.DUMMYFUNCTION("IFERROR(SUM(
  ARRAYFORMULA(
    DATEVALUE(TRIM(MID(SPLIT(D81,CHAR(10)), FIND(""-"",SPLIT(D81,CHAR(10)))+1, 50))) 
  -
    DATEVALUE(TRIM(LEFT(SPLIT(D81,CHAR(10)), FIND(""-"",SPLIT(D81,CHAR(10)))-1)))
  + 1
)
),1)"),2.0)</f>
        <v>2</v>
      </c>
      <c r="F81" s="122">
        <f t="shared" si="1"/>
        <v>800</v>
      </c>
      <c r="G81" s="28" t="str">
        <f t="array" ref="G81">XLOOKUP(B81,Sheet68!A:A,Sheet68!AB:AB,0)</f>
        <v>thanichan@airasia.com</v>
      </c>
      <c r="H81" s="22">
        <f t="shared" si="2"/>
        <v>1</v>
      </c>
      <c r="I81" s="123" t="s">
        <v>20</v>
      </c>
      <c r="J81" s="111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</row>
    <row r="82">
      <c r="A82" s="107">
        <v>80.0</v>
      </c>
      <c r="B82" s="206">
        <v>1025307.0</v>
      </c>
      <c r="C82" s="168" t="str">
        <f>vlookup(B82,'Crew Data'!C:G,5,0)</f>
        <v>Krisada Kerdsuwan</v>
      </c>
      <c r="D82" s="121" t="s">
        <v>916</v>
      </c>
      <c r="E82" s="198">
        <f>IFERROR(__xludf.DUMMYFUNCTION("IFERROR(SUM(
  ARRAYFORMULA(
    DATEVALUE(TRIM(MID(SPLIT(D82,CHAR(10)), FIND(""-"",SPLIT(D82,CHAR(10)))+1, 50))) 
  -
    DATEVALUE(TRIM(LEFT(SPLIT(D82,CHAR(10)), FIND(""-"",SPLIT(D82,CHAR(10)))-1)))
  + 1
)
),1)"),28.0)</f>
        <v>28</v>
      </c>
      <c r="F82" s="122">
        <f t="shared" si="1"/>
        <v>11200</v>
      </c>
      <c r="G82" s="28" t="str">
        <f t="array" ref="G82">XLOOKUP(B82,Sheet68!A:A,Sheet68!AB:AB,0)</f>
        <v>krisadakerdsuwan@airasia.com</v>
      </c>
      <c r="H82" s="22">
        <f t="shared" si="2"/>
        <v>1</v>
      </c>
      <c r="I82" s="123" t="s">
        <v>20</v>
      </c>
      <c r="J82" s="111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</row>
    <row r="83">
      <c r="A83" s="107">
        <v>81.0</v>
      </c>
      <c r="B83" s="206">
        <v>1012989.0</v>
      </c>
      <c r="C83" s="168" t="str">
        <f>vlookup(B83,'Crew Data'!C:G,5,0)</f>
        <v>Kitibodee Harnkunthamart</v>
      </c>
      <c r="D83" s="121" t="s">
        <v>917</v>
      </c>
      <c r="E83" s="198">
        <f>IFERROR(__xludf.DUMMYFUNCTION("IFERROR(SUM(
  ARRAYFORMULA(
    DATEVALUE(TRIM(MID(SPLIT(D83,CHAR(10)), FIND(""-"",SPLIT(D83,CHAR(10)))+1, 50))) 
  -
    DATEVALUE(TRIM(LEFT(SPLIT(D83,CHAR(10)), FIND(""-"",SPLIT(D83,CHAR(10)))-1)))
  + 1
)
),1)"),5.0)</f>
        <v>5</v>
      </c>
      <c r="F83" s="122">
        <f t="shared" si="1"/>
        <v>2000</v>
      </c>
      <c r="G83" s="28" t="str">
        <f t="array" ref="G83">XLOOKUP(B83,Sheet68!A:A,Sheet68!AB:AB,0)</f>
        <v>kitibodeea@airasia.com</v>
      </c>
      <c r="H83" s="22">
        <f t="shared" si="2"/>
        <v>1</v>
      </c>
      <c r="I83" s="123" t="s">
        <v>20</v>
      </c>
      <c r="J83" s="111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</row>
    <row r="84">
      <c r="A84" s="107">
        <v>82.0</v>
      </c>
      <c r="B84" s="206">
        <v>1011065.0</v>
      </c>
      <c r="C84" s="168" t="str">
        <f>vlookup(B84,'Crew Data'!C:G,5,0)</f>
        <v>Krittapak Chuchuaisuwan</v>
      </c>
      <c r="D84" s="121" t="s">
        <v>918</v>
      </c>
      <c r="E84" s="198">
        <f>IFERROR(__xludf.DUMMYFUNCTION("IFERROR(SUM(
  ARRAYFORMULA(
    DATEVALUE(TRIM(MID(SPLIT(D84,CHAR(10)), FIND(""-"",SPLIT(D84,CHAR(10)))+1, 50))) 
  -
    DATEVALUE(TRIM(LEFT(SPLIT(D84,CHAR(10)), FIND(""-"",SPLIT(D84,CHAR(10)))-1)))
  + 1
)
),1)"),6.0)</f>
        <v>6</v>
      </c>
      <c r="F84" s="122">
        <f t="shared" si="1"/>
        <v>2400</v>
      </c>
      <c r="G84" s="28" t="str">
        <f t="array" ref="G84">XLOOKUP(B84,Sheet68!A:A,Sheet68!AB:AB,0)</f>
        <v>krittapakc@airasia.com</v>
      </c>
      <c r="H84" s="22">
        <f t="shared" si="2"/>
        <v>1</v>
      </c>
      <c r="I84" s="123" t="s">
        <v>20</v>
      </c>
      <c r="J84" s="111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</row>
    <row r="85">
      <c r="A85" s="107">
        <v>83.0</v>
      </c>
      <c r="B85" s="206">
        <v>1009672.0</v>
      </c>
      <c r="C85" s="168" t="str">
        <f>vlookup(B85,'Crew Data'!C:G,5,0)</f>
        <v>Sujarinee Sukhon</v>
      </c>
      <c r="D85" s="121" t="s">
        <v>878</v>
      </c>
      <c r="E85" s="198">
        <f>IFERROR(__xludf.DUMMYFUNCTION("IFERROR(SUM(
  ARRAYFORMULA(
    DATEVALUE(TRIM(MID(SPLIT(D85,CHAR(10)), FIND(""-"",SPLIT(D85,CHAR(10)))+1, 50))) 
  -
    DATEVALUE(TRIM(LEFT(SPLIT(D85,CHAR(10)), FIND(""-"",SPLIT(D85,CHAR(10)))-1)))
  + 1
)
),1)"),2.0)</f>
        <v>2</v>
      </c>
      <c r="F85" s="122">
        <f t="shared" si="1"/>
        <v>800</v>
      </c>
      <c r="G85" s="28" t="str">
        <f t="array" ref="G85">XLOOKUP(B85,Sheet68!A:A,Sheet68!AB:AB,0)</f>
        <v>sujarinees@airasia.com</v>
      </c>
      <c r="H85" s="22">
        <f t="shared" si="2"/>
        <v>1</v>
      </c>
      <c r="I85" s="123" t="s">
        <v>20</v>
      </c>
      <c r="J85" s="111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</row>
    <row r="86">
      <c r="A86" s="107">
        <v>84.0</v>
      </c>
      <c r="B86" s="206">
        <v>1025310.0</v>
      </c>
      <c r="C86" s="168" t="str">
        <f>vlookup(B86,'Crew Data'!C:G,5,0)</f>
        <v>Nitinan Sakunchokjaroen</v>
      </c>
      <c r="D86" s="121" t="s">
        <v>884</v>
      </c>
      <c r="E86" s="198">
        <f>IFERROR(__xludf.DUMMYFUNCTION("IFERROR(SUM(
  ARRAYFORMULA(
    DATEVALUE(TRIM(MID(SPLIT(D86,CHAR(10)), FIND(""-"",SPLIT(D86,CHAR(10)))+1, 50))) 
  -
    DATEVALUE(TRIM(LEFT(SPLIT(D86,CHAR(10)), FIND(""-"",SPLIT(D86,CHAR(10)))-1)))
  + 1
)
),1)"),2.0)</f>
        <v>2</v>
      </c>
      <c r="F86" s="122">
        <f t="shared" si="1"/>
        <v>800</v>
      </c>
      <c r="G86" s="28" t="str">
        <f t="array" ref="G86">XLOOKUP(B86,Sheet68!A:A,Sheet68!AB:AB,0)</f>
        <v>nitinansakunchokjar@airasia.com</v>
      </c>
      <c r="H86" s="22">
        <f t="shared" si="2"/>
        <v>1</v>
      </c>
      <c r="I86" s="123" t="s">
        <v>20</v>
      </c>
      <c r="J86" s="111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</row>
    <row r="87">
      <c r="A87" s="107">
        <v>85.0</v>
      </c>
      <c r="B87" s="206">
        <v>1017651.0</v>
      </c>
      <c r="C87" s="168" t="str">
        <f>vlookup(B87,'Crew Data'!C:G,5,0)</f>
        <v>Usana Saepua</v>
      </c>
      <c r="D87" s="121" t="s">
        <v>919</v>
      </c>
      <c r="E87" s="198">
        <f>IFERROR(__xludf.DUMMYFUNCTION("IFERROR(SUM(
  ARRAYFORMULA(
    DATEVALUE(TRIM(MID(SPLIT(D87,CHAR(10)), FIND(""-"",SPLIT(D87,CHAR(10)))+1, 50))) 
  -
    DATEVALUE(TRIM(LEFT(SPLIT(D87,CHAR(10)), FIND(""-"",SPLIT(D87,CHAR(10)))-1)))
  + 1
)
),1)"),5.0)</f>
        <v>5</v>
      </c>
      <c r="F87" s="122">
        <f t="shared" si="1"/>
        <v>2000</v>
      </c>
      <c r="G87" s="28" t="str">
        <f t="array" ref="G87">XLOOKUP(B87,Sheet68!A:A,Sheet68!AB:AB,0)</f>
        <v>usanas@airasia.com</v>
      </c>
      <c r="H87" s="22">
        <f t="shared" si="2"/>
        <v>1</v>
      </c>
      <c r="I87" s="123" t="s">
        <v>20</v>
      </c>
      <c r="J87" s="111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</row>
    <row r="88">
      <c r="A88" s="107">
        <v>86.0</v>
      </c>
      <c r="B88" s="206">
        <v>1011830.0</v>
      </c>
      <c r="C88" s="168" t="str">
        <f>vlookup(B88,'Crew Data'!C:G,5,0)</f>
        <v>Rathaphon Pratheappornsak</v>
      </c>
      <c r="D88" s="125">
        <v>46081.0</v>
      </c>
      <c r="E88" s="198">
        <f>IFERROR(__xludf.DUMMYFUNCTION("IFERROR(SUM(
  ARRAYFORMULA(
    DATEVALUE(TRIM(MID(SPLIT(D88,CHAR(10)), FIND(""-"",SPLIT(D88,CHAR(10)))+1, 50))) 
  -
    DATEVALUE(TRIM(LEFT(SPLIT(D88,CHAR(10)), FIND(""-"",SPLIT(D88,CHAR(10)))-1)))
  + 1
)
),1)"),1.0)</f>
        <v>1</v>
      </c>
      <c r="F88" s="122">
        <f t="shared" si="1"/>
        <v>400</v>
      </c>
      <c r="G88" s="28" t="str">
        <f t="array" ref="G88">XLOOKUP(B88,Sheet68!A:A,Sheet68!AB:AB,0)</f>
        <v>rathaphonp@airasia.com</v>
      </c>
      <c r="H88" s="22">
        <f t="shared" si="2"/>
        <v>1</v>
      </c>
      <c r="I88" s="123" t="s">
        <v>20</v>
      </c>
      <c r="J88" s="111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</row>
    <row r="89">
      <c r="A89" s="107">
        <v>87.0</v>
      </c>
      <c r="B89" s="206">
        <v>1001209.0</v>
      </c>
      <c r="C89" s="168" t="str">
        <f>vlookup(B89,'Crew Data'!C:G,5,0)</f>
        <v>Chadchaya Sinloy</v>
      </c>
      <c r="D89" s="125">
        <v>46081.0</v>
      </c>
      <c r="E89" s="198">
        <f>IFERROR(__xludf.DUMMYFUNCTION("IFERROR(SUM(
  ARRAYFORMULA(
    DATEVALUE(TRIM(MID(SPLIT(D89,CHAR(10)), FIND(""-"",SPLIT(D89,CHAR(10)))+1, 50))) 
  -
    DATEVALUE(TRIM(LEFT(SPLIT(D89,CHAR(10)), FIND(""-"",SPLIT(D89,CHAR(10)))-1)))
  + 1
)
),1)"),1.0)</f>
        <v>1</v>
      </c>
      <c r="F89" s="122">
        <f t="shared" si="1"/>
        <v>400</v>
      </c>
      <c r="G89" s="28" t="str">
        <f t="array" ref="G89">XLOOKUP(B89,Sheet68!A:A,Sheet68!AB:AB,0)</f>
        <v>chadchayas@airasia.com</v>
      </c>
      <c r="H89" s="22">
        <f t="shared" si="2"/>
        <v>1</v>
      </c>
      <c r="I89" s="123" t="s">
        <v>20</v>
      </c>
      <c r="J89" s="111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</row>
    <row r="90">
      <c r="A90" s="107">
        <v>88.0</v>
      </c>
      <c r="B90" s="206">
        <v>1043876.0</v>
      </c>
      <c r="C90" s="168" t="str">
        <f>vlookup(B90,'Crew Data'!C:G,5,0)</f>
        <v>phan Kawashima</v>
      </c>
      <c r="D90" s="125">
        <v>45974.0</v>
      </c>
      <c r="E90" s="198">
        <f>IFERROR(__xludf.DUMMYFUNCTION("IFERROR(SUM(
  ARRAYFORMULA(
    DATEVALUE(TRIM(MID(SPLIT(D90,CHAR(10)), FIND(""-"",SPLIT(D90,CHAR(10)))+1, 50))) 
  -
    DATEVALUE(TRIM(LEFT(SPLIT(D90,CHAR(10)), FIND(""-"",SPLIT(D90,CHAR(10)))-1)))
  + 1
)
),1)"),1.0)</f>
        <v>1</v>
      </c>
      <c r="F90" s="122">
        <f t="shared" si="1"/>
        <v>400</v>
      </c>
      <c r="G90" s="28" t="str">
        <f t="array" ref="G90">XLOOKUP(B90,Sheet68!A:A,Sheet68!AB:AB,0)</f>
        <v>phankaw@airasia.com</v>
      </c>
      <c r="H90" s="22">
        <f t="shared" si="2"/>
        <v>1</v>
      </c>
      <c r="I90" s="123" t="s">
        <v>20</v>
      </c>
      <c r="J90" s="123" t="s">
        <v>699</v>
      </c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</row>
    <row r="91">
      <c r="A91" s="107">
        <v>89.0</v>
      </c>
      <c r="B91" s="206">
        <v>1040341.0</v>
      </c>
      <c r="C91" s="168" t="str">
        <f>vlookup(B91,'Crew Data'!C:G,5,0)</f>
        <v>Adipa Nilachart</v>
      </c>
      <c r="D91" s="121" t="s">
        <v>920</v>
      </c>
      <c r="E91" s="198">
        <f>IFERROR(__xludf.DUMMYFUNCTION("IFERROR(SUM(
  ARRAYFORMULA(
    DATEVALUE(TRIM(MID(SPLIT(D91,CHAR(10)), FIND(""-"",SPLIT(D91,CHAR(10)))+1, 50))) 
  -
    DATEVALUE(TRIM(LEFT(SPLIT(D91,CHAR(10)), FIND(""-"",SPLIT(D91,CHAR(10)))-1)))
  + 1
)
),1)"),12.0)</f>
        <v>12</v>
      </c>
      <c r="F91" s="122">
        <f t="shared" si="1"/>
        <v>4800</v>
      </c>
      <c r="G91" s="28" t="str">
        <f t="array" ref="G91">XLOOKUP(B91,Sheet68!A:A,Sheet68!AB:AB,0)</f>
        <v>adipanilachart@airasia.com</v>
      </c>
      <c r="H91" s="22">
        <f t="shared" si="2"/>
        <v>1</v>
      </c>
      <c r="I91" s="123" t="s">
        <v>20</v>
      </c>
      <c r="J91" s="111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</row>
  </sheetData>
  <mergeCells count="1">
    <mergeCell ref="A1:G1"/>
  </mergeCells>
  <dataValidations>
    <dataValidation type="list" allowBlank="1" sqref="I3:I91">
      <formula1>"CHECKED (OK),CHECKED  (NOT OK)"</formula1>
    </dataValidation>
  </dataValidations>
  <drawing r:id="rId1"/>
  <tableParts count="2">
    <tablePart r:id="rId4"/>
    <tablePart r:id="rId5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88"/>
    <col customWidth="1" min="2" max="2" width="9.63"/>
    <col customWidth="1" min="3" max="3" width="24.75"/>
    <col customWidth="1" min="4" max="4" width="33.0"/>
    <col customWidth="1" min="5" max="5" width="7.63"/>
    <col customWidth="1" min="6" max="6" width="9.0"/>
    <col customWidth="1" min="7" max="7" width="28.63"/>
    <col customWidth="1" min="8" max="8" width="7.13"/>
    <col customWidth="1" min="9" max="9" width="14.75"/>
    <col customWidth="1" min="10" max="10" width="49.0"/>
  </cols>
  <sheetData>
    <row r="1">
      <c r="A1" s="207" t="s">
        <v>921</v>
      </c>
      <c r="H1" s="208"/>
      <c r="I1" s="209"/>
      <c r="J1" s="210" t="s">
        <v>922</v>
      </c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  <c r="AA1" s="208"/>
    </row>
    <row r="2">
      <c r="A2" s="211" t="s">
        <v>1</v>
      </c>
      <c r="B2" s="211" t="s">
        <v>11</v>
      </c>
      <c r="C2" s="211" t="s">
        <v>12</v>
      </c>
      <c r="D2" s="212" t="s">
        <v>13</v>
      </c>
      <c r="E2" s="213" t="s">
        <v>15</v>
      </c>
      <c r="F2" s="214" t="s">
        <v>5</v>
      </c>
      <c r="G2" s="211" t="s">
        <v>646</v>
      </c>
      <c r="H2" s="215"/>
      <c r="I2" s="216" t="s">
        <v>6</v>
      </c>
      <c r="J2" s="217" t="s">
        <v>7</v>
      </c>
      <c r="K2" s="208"/>
      <c r="L2" s="208"/>
      <c r="M2" s="208"/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8"/>
      <c r="AA2" s="208"/>
    </row>
    <row r="3">
      <c r="A3" s="218">
        <v>1.0</v>
      </c>
      <c r="B3" s="219">
        <v>1005824.0</v>
      </c>
      <c r="C3" s="220" t="str">
        <f>vlookup(B3,'Crew Data'!C:G,5,0)</f>
        <v>Panchita Swangarom</v>
      </c>
      <c r="D3" s="221" t="s">
        <v>923</v>
      </c>
      <c r="E3" s="222">
        <f>IFERROR(__xludf.DUMMYFUNCTION("IFERROR(SUM(
  ARRAYFORMULA(
    DATEVALUE(TRIM(MID(SPLIT(D3,CHAR(10)), FIND(""-"",SPLIT(D3,CHAR(10)))+1, 50))) 
  -
    DATEVALUE(TRIM(LEFT(SPLIT(D3,CHAR(10)), FIND(""-"",SPLIT(D3,CHAR(10)))-1)))
  + 1
)
),1)"),4.0)</f>
        <v>4</v>
      </c>
      <c r="F3" s="223">
        <f t="shared" ref="F3:F106" si="1">E3*400</f>
        <v>1600</v>
      </c>
      <c r="G3" s="208" t="str">
        <f t="array" ref="G3">XLOOKUP(B3,Sheet68!A:A,Sheet68!AB:AB,0)</f>
        <v>panchitas@airasia.com</v>
      </c>
      <c r="H3" s="223">
        <f t="shared" ref="H3:H106" si="2">COUNTIF(B:B,B3)</f>
        <v>1</v>
      </c>
      <c r="I3" s="224" t="s">
        <v>20</v>
      </c>
      <c r="J3" s="224" t="s">
        <v>872</v>
      </c>
      <c r="K3" s="208"/>
      <c r="L3" s="208"/>
      <c r="M3" s="208"/>
      <c r="N3" s="208"/>
      <c r="O3" s="208"/>
      <c r="P3" s="208"/>
      <c r="Q3" s="208"/>
      <c r="R3" s="208"/>
      <c r="S3" s="208"/>
      <c r="T3" s="208"/>
      <c r="U3" s="208"/>
      <c r="V3" s="208"/>
      <c r="W3" s="208"/>
      <c r="X3" s="208"/>
      <c r="Y3" s="208"/>
      <c r="Z3" s="208"/>
      <c r="AA3" s="208"/>
    </row>
    <row r="4">
      <c r="A4" s="218">
        <v>2.0</v>
      </c>
      <c r="B4" s="219">
        <v>1001822.0</v>
      </c>
      <c r="C4" s="220" t="str">
        <f>vlookup(B4,'Crew Data'!C:G,5,0)</f>
        <v>Wilasinee Natenopparat</v>
      </c>
      <c r="D4" s="221" t="s">
        <v>906</v>
      </c>
      <c r="E4" s="222">
        <f>IFERROR(__xludf.DUMMYFUNCTION("IFERROR(SUM(
  ARRAYFORMULA(
    DATEVALUE(TRIM(MID(SPLIT(D4,CHAR(10)), FIND(""-"",SPLIT(D4,CHAR(10)))+1, 50))) 
  -
    DATEVALUE(TRIM(LEFT(SPLIT(D4,CHAR(10)), FIND(""-"",SPLIT(D4,CHAR(10)))-1)))
  + 1
)
),1)"),2.0)</f>
        <v>2</v>
      </c>
      <c r="F4" s="223">
        <f t="shared" si="1"/>
        <v>800</v>
      </c>
      <c r="G4" s="209" t="str">
        <f t="array" ref="G4">XLOOKUP(B4,Sheet68!A:A,Sheet68!AB:AB,0)</f>
        <v>wilasineen@airasia.com</v>
      </c>
      <c r="H4" s="223">
        <f t="shared" si="2"/>
        <v>1</v>
      </c>
      <c r="I4" s="224" t="s">
        <v>20</v>
      </c>
      <c r="J4" s="224" t="s">
        <v>349</v>
      </c>
      <c r="K4" s="208"/>
      <c r="L4" s="208"/>
      <c r="M4" s="208"/>
      <c r="N4" s="208"/>
      <c r="O4" s="208"/>
      <c r="P4" s="208"/>
      <c r="Q4" s="208"/>
      <c r="R4" s="208"/>
      <c r="S4" s="208"/>
      <c r="T4" s="208"/>
      <c r="U4" s="208"/>
      <c r="V4" s="208"/>
      <c r="W4" s="208"/>
      <c r="X4" s="208"/>
      <c r="Y4" s="208"/>
      <c r="Z4" s="208"/>
      <c r="AA4" s="208"/>
    </row>
    <row r="5">
      <c r="A5" s="218">
        <v>3.0</v>
      </c>
      <c r="B5" s="219">
        <v>1027465.0</v>
      </c>
      <c r="C5" s="220" t="str">
        <f>vlookup(B5,'Crew Data'!C:G,5,0)</f>
        <v>Jiraporn Khongpan</v>
      </c>
      <c r="D5" s="221" t="s">
        <v>924</v>
      </c>
      <c r="E5" s="222">
        <f>IFERROR(__xludf.DUMMYFUNCTION("IFERROR(SUM(
  ARRAYFORMULA(
    DATEVALUE(TRIM(MID(SPLIT(D5,CHAR(10)), FIND(""-"",SPLIT(D5,CHAR(10)))+1, 50))) 
  -
    DATEVALUE(TRIM(LEFT(SPLIT(D5,CHAR(10)), FIND(""-"",SPLIT(D5,CHAR(10)))-1)))
  + 1
)
),1)"),2.0)</f>
        <v>2</v>
      </c>
      <c r="F5" s="223">
        <f t="shared" si="1"/>
        <v>800</v>
      </c>
      <c r="G5" s="209" t="str">
        <f t="array" ref="G5">XLOOKUP(B5,Sheet68!A:A,Sheet68!AB:AB,0)</f>
        <v>jirapornkhongpan@airasia.com</v>
      </c>
      <c r="H5" s="223">
        <f t="shared" si="2"/>
        <v>1</v>
      </c>
      <c r="I5" s="224" t="s">
        <v>20</v>
      </c>
      <c r="J5" s="224"/>
      <c r="K5" s="208"/>
      <c r="L5" s="208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8"/>
      <c r="X5" s="208"/>
      <c r="Y5" s="208"/>
      <c r="Z5" s="208"/>
      <c r="AA5" s="208"/>
    </row>
    <row r="6">
      <c r="A6" s="218">
        <v>4.0</v>
      </c>
      <c r="B6" s="219">
        <v>1007009.0</v>
      </c>
      <c r="C6" s="220" t="str">
        <f>vlookup(B6,'Crew Data'!C:G,5,0)</f>
        <v>Busayarat Pongratanakul</v>
      </c>
      <c r="D6" s="221" t="s">
        <v>925</v>
      </c>
      <c r="E6" s="222">
        <f>IFERROR(__xludf.DUMMYFUNCTION("IFERROR(SUM(
  ARRAYFORMULA(
    DATEVALUE(TRIM(MID(SPLIT(D6,CHAR(10)), FIND(""-"",SPLIT(D6,CHAR(10)))+1, 50))) 
  -
    DATEVALUE(TRIM(LEFT(SPLIT(D6,CHAR(10)), FIND(""-"",SPLIT(D6,CHAR(10)))-1)))
  + 1
)
),1)"),2.0)</f>
        <v>2</v>
      </c>
      <c r="F6" s="223">
        <f t="shared" si="1"/>
        <v>800</v>
      </c>
      <c r="G6" s="209" t="str">
        <f t="array" ref="G6">XLOOKUP(B6,Sheet68!A:A,Sheet68!AB:AB,0)</f>
        <v>busayaratp@airasia.com</v>
      </c>
      <c r="H6" s="223">
        <f t="shared" si="2"/>
        <v>1</v>
      </c>
      <c r="I6" s="224" t="s">
        <v>20</v>
      </c>
      <c r="J6" s="224"/>
      <c r="K6" s="208"/>
      <c r="L6" s="208"/>
      <c r="M6" s="208"/>
      <c r="N6" s="208"/>
      <c r="O6" s="208"/>
      <c r="P6" s="208"/>
      <c r="Q6" s="208"/>
      <c r="R6" s="208"/>
      <c r="S6" s="208"/>
      <c r="T6" s="208"/>
      <c r="U6" s="208"/>
      <c r="V6" s="208"/>
      <c r="W6" s="208"/>
      <c r="X6" s="208"/>
      <c r="Y6" s="208"/>
      <c r="Z6" s="208"/>
      <c r="AA6" s="208"/>
    </row>
    <row r="7">
      <c r="A7" s="218">
        <v>5.0</v>
      </c>
      <c r="B7" s="219">
        <v>1009326.0</v>
      </c>
      <c r="C7" s="220" t="str">
        <f>vlookup(B7,'Crew Data'!C:G,5,0)</f>
        <v>Thanarat Wintachai</v>
      </c>
      <c r="D7" s="221" t="s">
        <v>924</v>
      </c>
      <c r="E7" s="222">
        <f>IFERROR(__xludf.DUMMYFUNCTION("IFERROR(SUM(
  ARRAYFORMULA(
    DATEVALUE(TRIM(MID(SPLIT(D7,CHAR(10)), FIND(""-"",SPLIT(D7,CHAR(10)))+1, 50))) 
  -
    DATEVALUE(TRIM(LEFT(SPLIT(D7,CHAR(10)), FIND(""-"",SPLIT(D7,CHAR(10)))-1)))
  + 1
)
),1)"),2.0)</f>
        <v>2</v>
      </c>
      <c r="F7" s="223">
        <f t="shared" si="1"/>
        <v>800</v>
      </c>
      <c r="G7" s="209" t="str">
        <f t="array" ref="G7">XLOOKUP(B7,Sheet68!A:A,Sheet68!AB:AB,0)</f>
        <v>thanaratw@airasia.com</v>
      </c>
      <c r="H7" s="223">
        <f t="shared" si="2"/>
        <v>1</v>
      </c>
      <c r="I7" s="224" t="s">
        <v>20</v>
      </c>
      <c r="J7" s="224"/>
      <c r="K7" s="208"/>
      <c r="L7" s="208"/>
      <c r="M7" s="208"/>
      <c r="N7" s="208"/>
      <c r="O7" s="208"/>
      <c r="P7" s="208"/>
      <c r="Q7" s="208"/>
      <c r="R7" s="208"/>
      <c r="S7" s="208"/>
      <c r="T7" s="208"/>
      <c r="U7" s="208"/>
      <c r="V7" s="208"/>
      <c r="W7" s="208"/>
      <c r="X7" s="208"/>
      <c r="Y7" s="208"/>
      <c r="Z7" s="208"/>
      <c r="AA7" s="208"/>
    </row>
    <row r="8" ht="43.5" customHeight="1">
      <c r="A8" s="218">
        <v>6.0</v>
      </c>
      <c r="B8" s="219">
        <v>1004863.0</v>
      </c>
      <c r="C8" s="220" t="str">
        <f>vlookup(B8,'Crew Data'!C:G,5,0)</f>
        <v>Sirirat Sirikul</v>
      </c>
      <c r="D8" s="221" t="s">
        <v>881</v>
      </c>
      <c r="E8" s="222">
        <f>IFERROR(__xludf.DUMMYFUNCTION("IFERROR(SUM(
  ARRAYFORMULA(
    DATEVALUE(TRIM(MID(SPLIT(D8,CHAR(10)), FIND(""-"",SPLIT(D8,CHAR(10)))+1, 50))) 
  -
    DATEVALUE(TRIM(LEFT(SPLIT(D8,CHAR(10)), FIND(""-"",SPLIT(D8,CHAR(10)))-1)))
  + 1
)
),1)"),2.0)</f>
        <v>2</v>
      </c>
      <c r="F8" s="223">
        <f t="shared" si="1"/>
        <v>800</v>
      </c>
      <c r="G8" s="209" t="str">
        <f t="array" ref="G8">XLOOKUP(B8,Sheet68!A:A,Sheet68!AB:AB,0)</f>
        <v>sirirati@airasia.com</v>
      </c>
      <c r="H8" s="223">
        <f t="shared" si="2"/>
        <v>1</v>
      </c>
      <c r="I8" s="224" t="s">
        <v>20</v>
      </c>
      <c r="J8" s="224" t="s">
        <v>349</v>
      </c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</row>
    <row r="9">
      <c r="A9" s="218">
        <v>7.0</v>
      </c>
      <c r="B9" s="219">
        <v>1025323.0</v>
      </c>
      <c r="C9" s="220" t="str">
        <f>vlookup(B9,'Crew Data'!C:G,5,0)</f>
        <v>Jariya Tangmahamek</v>
      </c>
      <c r="D9" s="221" t="s">
        <v>926</v>
      </c>
      <c r="E9" s="222">
        <f>IFERROR(__xludf.DUMMYFUNCTION("IFERROR(SUM(
  ARRAYFORMULA(
    DATEVALUE(TRIM(MID(SPLIT(D9,CHAR(10)), FIND(""-"",SPLIT(D9,CHAR(10)))+1, 50))) 
  -
    DATEVALUE(TRIM(LEFT(SPLIT(D9,CHAR(10)), FIND(""-"",SPLIT(D9,CHAR(10)))-1)))
  + 1
)
),1)"),2.0)</f>
        <v>2</v>
      </c>
      <c r="F9" s="223">
        <f t="shared" si="1"/>
        <v>800</v>
      </c>
      <c r="G9" s="209" t="str">
        <f t="array" ref="G9">XLOOKUP(B9,Sheet68!A:A,Sheet68!AB:AB,0)</f>
        <v>jariyatangmahamek@airasia.com</v>
      </c>
      <c r="H9" s="223">
        <f t="shared" si="2"/>
        <v>1</v>
      </c>
      <c r="I9" s="224" t="s">
        <v>20</v>
      </c>
      <c r="J9" s="224" t="s">
        <v>349</v>
      </c>
      <c r="K9" s="208"/>
      <c r="L9" s="208"/>
      <c r="M9" s="208"/>
      <c r="N9" s="208"/>
      <c r="O9" s="208"/>
      <c r="P9" s="208"/>
      <c r="Q9" s="208"/>
      <c r="R9" s="208"/>
      <c r="S9" s="208"/>
      <c r="T9" s="208"/>
      <c r="U9" s="208"/>
      <c r="V9" s="208"/>
      <c r="W9" s="208"/>
      <c r="X9" s="208"/>
      <c r="Y9" s="208"/>
      <c r="Z9" s="208"/>
      <c r="AA9" s="208"/>
    </row>
    <row r="10">
      <c r="A10" s="218">
        <v>8.0</v>
      </c>
      <c r="B10" s="219">
        <v>1003385.0</v>
      </c>
      <c r="C10" s="220" t="str">
        <f>vlookup(B10,'Crew Data'!C:G,5,0)</f>
        <v>Jaruma Jantarapap</v>
      </c>
      <c r="D10" s="221" t="s">
        <v>927</v>
      </c>
      <c r="E10" s="222">
        <f>IFERROR(__xludf.DUMMYFUNCTION("IFERROR(SUM(
  ARRAYFORMULA(
    DATEVALUE(TRIM(MID(SPLIT(D10,CHAR(10)), FIND(""-"",SPLIT(D10,CHAR(10)))+1, 50))) 
  -
    DATEVALUE(TRIM(LEFT(SPLIT(D10,CHAR(10)), FIND(""-"",SPLIT(D10,CHAR(10)))-1)))
  + 1
)
),1)"),4.0)</f>
        <v>4</v>
      </c>
      <c r="F10" s="223">
        <f t="shared" si="1"/>
        <v>1600</v>
      </c>
      <c r="G10" s="209" t="str">
        <f t="array" ref="G10">XLOOKUP(B10,Sheet68!A:A,Sheet68!AB:AB,0)</f>
        <v>jarumaj@airasia.com</v>
      </c>
      <c r="H10" s="223">
        <f t="shared" si="2"/>
        <v>1</v>
      </c>
      <c r="I10" s="224" t="s">
        <v>20</v>
      </c>
      <c r="J10" s="224" t="s">
        <v>349</v>
      </c>
      <c r="K10" s="208"/>
      <c r="L10" s="208"/>
      <c r="M10" s="208"/>
      <c r="N10" s="208"/>
      <c r="O10" s="208"/>
      <c r="P10" s="208"/>
      <c r="Q10" s="208"/>
      <c r="R10" s="208"/>
      <c r="S10" s="208"/>
      <c r="T10" s="208"/>
      <c r="U10" s="208"/>
      <c r="V10" s="208"/>
      <c r="W10" s="208"/>
      <c r="X10" s="208"/>
      <c r="Y10" s="208"/>
      <c r="Z10" s="208"/>
      <c r="AA10" s="208"/>
    </row>
    <row r="11">
      <c r="A11" s="218">
        <v>9.0</v>
      </c>
      <c r="B11" s="219">
        <v>1040341.0</v>
      </c>
      <c r="C11" s="220" t="str">
        <f>vlookup(B11,'Crew Data'!C:G,5,0)</f>
        <v>Adipa Nilachart</v>
      </c>
      <c r="D11" s="221" t="s">
        <v>928</v>
      </c>
      <c r="E11" s="222">
        <f>IFERROR(__xludf.DUMMYFUNCTION("IFERROR(SUM(
  ARRAYFORMULA(
    DATEVALUE(TRIM(MID(SPLIT(D11,CHAR(10)), FIND(""-"",SPLIT(D11,CHAR(10)))+1, 50))) 
  -
    DATEVALUE(TRIM(LEFT(SPLIT(D11,CHAR(10)), FIND(""-"",SPLIT(D11,CHAR(10)))-1)))
  + 1
)
),1)"),8.0)</f>
        <v>8</v>
      </c>
      <c r="F11" s="223">
        <f t="shared" si="1"/>
        <v>3200</v>
      </c>
      <c r="G11" s="209" t="str">
        <f t="array" ref="G11">XLOOKUP(B11,Sheet68!A:A,Sheet68!AB:AB,0)</f>
        <v>adipanilachart@airasia.com</v>
      </c>
      <c r="H11" s="223">
        <f t="shared" si="2"/>
        <v>1</v>
      </c>
      <c r="I11" s="224" t="s">
        <v>20</v>
      </c>
      <c r="J11" s="224" t="s">
        <v>929</v>
      </c>
      <c r="K11" s="208"/>
      <c r="L11" s="208"/>
      <c r="M11" s="208"/>
      <c r="N11" s="208"/>
      <c r="O11" s="208"/>
      <c r="P11" s="208"/>
      <c r="Q11" s="208"/>
      <c r="R11" s="208"/>
      <c r="S11" s="208"/>
      <c r="T11" s="208"/>
      <c r="U11" s="208"/>
      <c r="V11" s="208"/>
      <c r="W11" s="208"/>
      <c r="X11" s="208"/>
      <c r="Y11" s="208"/>
      <c r="Z11" s="208"/>
      <c r="AA11" s="208"/>
    </row>
    <row r="12">
      <c r="A12" s="218">
        <v>10.0</v>
      </c>
      <c r="B12" s="219">
        <v>1002119.0</v>
      </c>
      <c r="C12" s="220" t="str">
        <f>vlookup(B12,'Crew Data'!C:G,5,0)</f>
        <v>Phoonkuan Kumkeaw</v>
      </c>
      <c r="D12" s="221" t="s">
        <v>913</v>
      </c>
      <c r="E12" s="222">
        <f>IFERROR(__xludf.DUMMYFUNCTION("IFERROR(SUM(
  ARRAYFORMULA(
    DATEVALUE(TRIM(MID(SPLIT(D12,CHAR(10)), FIND(""-"",SPLIT(D12,CHAR(10)))+1, 50))) 
  -
    DATEVALUE(TRIM(LEFT(SPLIT(D12,CHAR(10)), FIND(""-"",SPLIT(D12,CHAR(10)))-1)))
  + 1
)
),1)"),2.0)</f>
        <v>2</v>
      </c>
      <c r="F12" s="223">
        <f t="shared" si="1"/>
        <v>800</v>
      </c>
      <c r="G12" s="209" t="str">
        <f t="array" ref="G12">XLOOKUP(B12,Sheet68!A:A,Sheet68!AB:AB,0)</f>
        <v>phoonkwank@airasia.com</v>
      </c>
      <c r="H12" s="223">
        <f t="shared" si="2"/>
        <v>1</v>
      </c>
      <c r="I12" s="224" t="s">
        <v>20</v>
      </c>
      <c r="J12" s="224" t="s">
        <v>349</v>
      </c>
      <c r="K12" s="208"/>
      <c r="L12" s="208"/>
      <c r="M12" s="208"/>
      <c r="N12" s="208"/>
      <c r="O12" s="208"/>
      <c r="P12" s="208"/>
      <c r="Q12" s="208"/>
      <c r="R12" s="208"/>
      <c r="S12" s="208"/>
      <c r="T12" s="208"/>
      <c r="U12" s="208"/>
      <c r="V12" s="208"/>
      <c r="W12" s="208"/>
      <c r="X12" s="208"/>
      <c r="Y12" s="208"/>
      <c r="Z12" s="208"/>
      <c r="AA12" s="208"/>
    </row>
    <row r="13">
      <c r="A13" s="218">
        <v>11.0</v>
      </c>
      <c r="B13" s="219">
        <v>1046092.0</v>
      </c>
      <c r="C13" s="220" t="str">
        <f>vlookup(B13,'Crew Data'!C:G,5,0)</f>
        <v>Naphatcha Wongpanich</v>
      </c>
      <c r="D13" s="221" t="s">
        <v>907</v>
      </c>
      <c r="E13" s="222">
        <f>IFERROR(__xludf.DUMMYFUNCTION("IFERROR(SUM(
  ARRAYFORMULA(
    DATEVALUE(TRIM(MID(SPLIT(D13,CHAR(10)), FIND(""-"",SPLIT(D13,CHAR(10)))+1, 50))) 
  -
    DATEVALUE(TRIM(LEFT(SPLIT(D13,CHAR(10)), FIND(""-"",SPLIT(D13,CHAR(10)))-1)))
  + 1
)
),1)"),2.0)</f>
        <v>2</v>
      </c>
      <c r="F13" s="223">
        <f t="shared" si="1"/>
        <v>800</v>
      </c>
      <c r="G13" s="209" t="str">
        <f t="array" ref="G13">XLOOKUP(B13,Sheet68!A:A,Sheet68!AB:AB,0)</f>
        <v>naphatchawon@airasia.com</v>
      </c>
      <c r="H13" s="223">
        <f t="shared" si="2"/>
        <v>1</v>
      </c>
      <c r="I13" s="224" t="s">
        <v>20</v>
      </c>
      <c r="J13" s="224" t="s">
        <v>349</v>
      </c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</row>
    <row r="14">
      <c r="A14" s="218">
        <v>12.0</v>
      </c>
      <c r="B14" s="219">
        <v>1017657.0</v>
      </c>
      <c r="C14" s="220" t="str">
        <f>vlookup(B14,'Crew Data'!C:G,5,0)</f>
        <v>Yanakorn Charnfun</v>
      </c>
      <c r="D14" s="221" t="s">
        <v>892</v>
      </c>
      <c r="E14" s="222">
        <f>IFERROR(__xludf.DUMMYFUNCTION("IFERROR(SUM(
  ARRAYFORMULA(
    DATEVALUE(TRIM(MID(SPLIT(D14,CHAR(10)), FIND(""-"",SPLIT(D14,CHAR(10)))+1, 50))) 
  -
    DATEVALUE(TRIM(LEFT(SPLIT(D14,CHAR(10)), FIND(""-"",SPLIT(D14,CHAR(10)))-1)))
  + 1
)
),1)"),2.0)</f>
        <v>2</v>
      </c>
      <c r="F14" s="223">
        <f t="shared" si="1"/>
        <v>800</v>
      </c>
      <c r="G14" s="209" t="str">
        <f t="array" ref="G14">XLOOKUP(B14,Sheet68!A:A,Sheet68!AB:AB,0)</f>
        <v>yanakornc@airasia.com</v>
      </c>
      <c r="H14" s="223">
        <f t="shared" si="2"/>
        <v>1</v>
      </c>
      <c r="I14" s="224" t="s">
        <v>20</v>
      </c>
      <c r="J14" s="224" t="s">
        <v>349</v>
      </c>
      <c r="K14" s="208"/>
      <c r="L14" s="208"/>
      <c r="M14" s="208"/>
      <c r="N14" s="208"/>
      <c r="O14" s="208"/>
      <c r="P14" s="208"/>
      <c r="Q14" s="208"/>
      <c r="R14" s="208"/>
      <c r="S14" s="208"/>
      <c r="T14" s="208"/>
      <c r="U14" s="208"/>
      <c r="V14" s="208"/>
      <c r="W14" s="208"/>
      <c r="X14" s="208"/>
      <c r="Y14" s="208"/>
      <c r="Z14" s="208"/>
      <c r="AA14" s="208"/>
    </row>
    <row r="15">
      <c r="A15" s="218">
        <v>13.0</v>
      </c>
      <c r="B15" s="219">
        <v>1043862.0</v>
      </c>
      <c r="C15" s="220" t="str">
        <f>vlookup(B15,'Crew Data'!C:G,5,0)</f>
        <v>Pansita Jansavang</v>
      </c>
      <c r="D15" s="221" t="s">
        <v>925</v>
      </c>
      <c r="E15" s="222">
        <f>IFERROR(__xludf.DUMMYFUNCTION("IFERROR(SUM(
  ARRAYFORMULA(
    DATEVALUE(TRIM(MID(SPLIT(D15,CHAR(10)), FIND(""-"",SPLIT(D15,CHAR(10)))+1, 50))) 
  -
    DATEVALUE(TRIM(LEFT(SPLIT(D15,CHAR(10)), FIND(""-"",SPLIT(D15,CHAR(10)))-1)))
  + 1
)
),1)"),2.0)</f>
        <v>2</v>
      </c>
      <c r="F15" s="223">
        <f t="shared" si="1"/>
        <v>800</v>
      </c>
      <c r="G15" s="209" t="str">
        <f t="array" ref="G15">XLOOKUP(B15,Sheet68!A:A,Sheet68!AB:AB,0)</f>
        <v>pansitajan@airasia.com</v>
      </c>
      <c r="H15" s="223">
        <f t="shared" si="2"/>
        <v>1</v>
      </c>
      <c r="I15" s="224" t="s">
        <v>20</v>
      </c>
      <c r="J15" s="224"/>
      <c r="K15" s="208"/>
      <c r="L15" s="208"/>
      <c r="M15" s="208"/>
      <c r="N15" s="208"/>
      <c r="O15" s="208"/>
      <c r="P15" s="208"/>
      <c r="Q15" s="208"/>
      <c r="R15" s="208"/>
      <c r="S15" s="208"/>
      <c r="T15" s="208"/>
      <c r="U15" s="208"/>
      <c r="V15" s="208"/>
      <c r="W15" s="208"/>
      <c r="X15" s="208"/>
      <c r="Y15" s="208"/>
      <c r="Z15" s="208"/>
      <c r="AA15" s="208"/>
    </row>
    <row r="16">
      <c r="A16" s="218">
        <v>14.0</v>
      </c>
      <c r="B16" s="219">
        <v>1001209.0</v>
      </c>
      <c r="C16" s="220" t="str">
        <f>vlookup(B16,'Crew Data'!C:G,5,0)</f>
        <v>Chadchaya Sinloy</v>
      </c>
      <c r="D16" s="225">
        <v>46082.0</v>
      </c>
      <c r="E16" s="222">
        <f>IFERROR(__xludf.DUMMYFUNCTION("IFERROR(SUM(
  ARRAYFORMULA(
    DATEVALUE(TRIM(MID(SPLIT(D16,CHAR(10)), FIND(""-"",SPLIT(D16,CHAR(10)))+1, 50))) 
  -
    DATEVALUE(TRIM(LEFT(SPLIT(D16,CHAR(10)), FIND(""-"",SPLIT(D16,CHAR(10)))-1)))
  + 1
)
),1)"),1.0)</f>
        <v>1</v>
      </c>
      <c r="F16" s="223">
        <f t="shared" si="1"/>
        <v>400</v>
      </c>
      <c r="G16" s="209" t="str">
        <f t="array" ref="G16">XLOOKUP(B16,Sheet68!A:A,Sheet68!AB:AB,0)</f>
        <v>chadchayas@airasia.com</v>
      </c>
      <c r="H16" s="223">
        <f t="shared" si="2"/>
        <v>1</v>
      </c>
      <c r="I16" s="224" t="s">
        <v>20</v>
      </c>
      <c r="J16" s="224"/>
      <c r="K16" s="208"/>
      <c r="L16" s="208"/>
      <c r="M16" s="208"/>
      <c r="N16" s="208"/>
      <c r="O16" s="208"/>
      <c r="P16" s="208"/>
      <c r="Q16" s="208"/>
      <c r="R16" s="208"/>
      <c r="S16" s="208"/>
      <c r="T16" s="208"/>
      <c r="U16" s="208"/>
      <c r="V16" s="208"/>
      <c r="W16" s="208"/>
      <c r="X16" s="208"/>
      <c r="Y16" s="208"/>
      <c r="Z16" s="208"/>
      <c r="AA16" s="208"/>
    </row>
    <row r="17">
      <c r="A17" s="218">
        <v>15.0</v>
      </c>
      <c r="B17" s="219">
        <v>1000735.0</v>
      </c>
      <c r="C17" s="220" t="str">
        <f>vlookup(B17,'Crew Data'!C:G,5,0)</f>
        <v>Darunee Duangdara</v>
      </c>
      <c r="D17" s="221" t="s">
        <v>925</v>
      </c>
      <c r="E17" s="222">
        <f>IFERROR(__xludf.DUMMYFUNCTION("IFERROR(SUM(
  ARRAYFORMULA(
    DATEVALUE(TRIM(MID(SPLIT(D17,CHAR(10)), FIND(""-"",SPLIT(D17,CHAR(10)))+1, 50))) 
  -
    DATEVALUE(TRIM(LEFT(SPLIT(D17,CHAR(10)), FIND(""-"",SPLIT(D17,CHAR(10)))-1)))
  + 1
)
),1)"),2.0)</f>
        <v>2</v>
      </c>
      <c r="F17" s="223">
        <f t="shared" si="1"/>
        <v>800</v>
      </c>
      <c r="G17" s="209" t="str">
        <f t="array" ref="G17">XLOOKUP(B17,Sheet68!A:A,Sheet68!AB:AB,0)</f>
        <v>daruneed@airasia.com</v>
      </c>
      <c r="H17" s="223">
        <f t="shared" si="2"/>
        <v>1</v>
      </c>
      <c r="I17" s="224" t="s">
        <v>20</v>
      </c>
      <c r="J17" s="224"/>
      <c r="K17" s="208"/>
      <c r="L17" s="208"/>
      <c r="M17" s="208"/>
      <c r="N17" s="208"/>
      <c r="O17" s="208"/>
      <c r="P17" s="208"/>
      <c r="Q17" s="208"/>
      <c r="R17" s="208"/>
      <c r="S17" s="208"/>
      <c r="T17" s="208"/>
      <c r="U17" s="208"/>
      <c r="V17" s="208"/>
      <c r="W17" s="208"/>
      <c r="X17" s="208"/>
      <c r="Y17" s="208"/>
      <c r="Z17" s="208"/>
      <c r="AA17" s="208"/>
    </row>
    <row r="18">
      <c r="A18" s="218">
        <v>16.0</v>
      </c>
      <c r="B18" s="219">
        <v>1040869.0</v>
      </c>
      <c r="C18" s="220" t="str">
        <f>vlookup(B18,'Crew Data'!C:G,5,0)</f>
        <v>Natachon Boonpradit</v>
      </c>
      <c r="D18" s="221" t="s">
        <v>930</v>
      </c>
      <c r="E18" s="222">
        <f>IFERROR(__xludf.DUMMYFUNCTION("IFERROR(SUM(
  ARRAYFORMULA(
    DATEVALUE(TRIM(MID(SPLIT(D18,CHAR(10)), FIND(""-"",SPLIT(D18,CHAR(10)))+1, 50))) 
  -
    DATEVALUE(TRIM(LEFT(SPLIT(D18,CHAR(10)), FIND(""-"",SPLIT(D18,CHAR(10)))-1)))
  + 1
)
),1)"),2.0)</f>
        <v>2</v>
      </c>
      <c r="F18" s="223">
        <f t="shared" si="1"/>
        <v>800</v>
      </c>
      <c r="G18" s="209" t="str">
        <f t="array" ref="G18">XLOOKUP(B18,Sheet68!A:A,Sheet68!AB:AB,0)</f>
        <v>natachonboonpradit@airasia.com</v>
      </c>
      <c r="H18" s="223">
        <f t="shared" si="2"/>
        <v>1</v>
      </c>
      <c r="I18" s="224" t="s">
        <v>20</v>
      </c>
      <c r="J18" s="224"/>
      <c r="K18" s="208"/>
      <c r="L18" s="208"/>
      <c r="M18" s="208"/>
      <c r="N18" s="208"/>
      <c r="O18" s="208"/>
      <c r="P18" s="208"/>
      <c r="Q18" s="208"/>
      <c r="R18" s="208"/>
      <c r="S18" s="208"/>
      <c r="T18" s="208"/>
      <c r="U18" s="208"/>
      <c r="V18" s="208"/>
      <c r="W18" s="208"/>
      <c r="X18" s="208"/>
      <c r="Y18" s="208"/>
      <c r="Z18" s="208"/>
      <c r="AA18" s="208"/>
    </row>
    <row r="19">
      <c r="A19" s="218">
        <v>17.0</v>
      </c>
      <c r="B19" s="219">
        <v>1012158.0</v>
      </c>
      <c r="C19" s="220" t="str">
        <f>vlookup(B19,'Crew Data'!C:G,5,0)</f>
        <v>Itthipong Khanthonglor</v>
      </c>
      <c r="D19" s="221" t="s">
        <v>925</v>
      </c>
      <c r="E19" s="222">
        <f>IFERROR(__xludf.DUMMYFUNCTION("IFERROR(SUM(
  ARRAYFORMULA(
    DATEVALUE(TRIM(MID(SPLIT(D19,CHAR(10)), FIND(""-"",SPLIT(D19,CHAR(10)))+1, 50))) 
  -
    DATEVALUE(TRIM(LEFT(SPLIT(D19,CHAR(10)), FIND(""-"",SPLIT(D19,CHAR(10)))-1)))
  + 1
)
),1)"),2.0)</f>
        <v>2</v>
      </c>
      <c r="F19" s="223">
        <f t="shared" si="1"/>
        <v>800</v>
      </c>
      <c r="G19" s="209" t="str">
        <f t="array" ref="G19">XLOOKUP(B19,Sheet68!A:A,Sheet68!AB:AB,0)</f>
        <v>itthipongk@airasia.com</v>
      </c>
      <c r="H19" s="223">
        <f t="shared" si="2"/>
        <v>1</v>
      </c>
      <c r="I19" s="224" t="s">
        <v>20</v>
      </c>
      <c r="J19" s="224"/>
      <c r="K19" s="208"/>
      <c r="L19" s="208"/>
      <c r="M19" s="208"/>
      <c r="N19" s="208"/>
      <c r="O19" s="208"/>
      <c r="P19" s="208"/>
      <c r="Q19" s="208"/>
      <c r="R19" s="208"/>
      <c r="S19" s="208"/>
      <c r="T19" s="208"/>
      <c r="U19" s="208"/>
      <c r="V19" s="208"/>
      <c r="W19" s="208"/>
      <c r="X19" s="208"/>
      <c r="Y19" s="208"/>
      <c r="Z19" s="208"/>
      <c r="AA19" s="208"/>
    </row>
    <row r="20">
      <c r="A20" s="218">
        <v>18.0</v>
      </c>
      <c r="B20" s="219">
        <v>1046112.0</v>
      </c>
      <c r="C20" s="220" t="str">
        <f>vlookup(B20,'Crew Data'!C:G,5,0)</f>
        <v>Norachai Sangketkit</v>
      </c>
      <c r="D20" s="221" t="s">
        <v>931</v>
      </c>
      <c r="E20" s="222">
        <f>IFERROR(__xludf.DUMMYFUNCTION("IFERROR(SUM(
  ARRAYFORMULA(
    DATEVALUE(TRIM(MID(SPLIT(D20,CHAR(10)), FIND(""-"",SPLIT(D20,CHAR(10)))+1, 50))) 
  -
    DATEVALUE(TRIM(LEFT(SPLIT(D20,CHAR(10)), FIND(""-"",SPLIT(D20,CHAR(10)))-1)))
  + 1
)
),1)"),2.0)</f>
        <v>2</v>
      </c>
      <c r="F20" s="223">
        <f t="shared" si="1"/>
        <v>800</v>
      </c>
      <c r="G20" s="208" t="str">
        <f t="array" ref="G20">XLOOKUP(B20,Sheet68!A:A,Sheet68!AB:AB,0)</f>
        <v>norachaisan@airasia.com</v>
      </c>
      <c r="H20" s="223">
        <f t="shared" si="2"/>
        <v>1</v>
      </c>
      <c r="I20" s="224" t="s">
        <v>20</v>
      </c>
      <c r="J20" s="224"/>
      <c r="K20" s="208"/>
      <c r="L20" s="208"/>
      <c r="M20" s="208"/>
      <c r="N20" s="208"/>
      <c r="O20" s="208"/>
      <c r="P20" s="208"/>
      <c r="Q20" s="208"/>
      <c r="R20" s="208"/>
      <c r="S20" s="208"/>
      <c r="T20" s="208"/>
      <c r="U20" s="208"/>
      <c r="V20" s="208"/>
      <c r="W20" s="208"/>
      <c r="X20" s="208"/>
      <c r="Y20" s="208"/>
      <c r="Z20" s="208"/>
      <c r="AA20" s="208"/>
    </row>
    <row r="21">
      <c r="A21" s="218">
        <v>19.0</v>
      </c>
      <c r="B21" s="219">
        <v>1015091.0</v>
      </c>
      <c r="C21" s="220" t="str">
        <f>vlookup(B21,'Crew Data'!C:G,5,0)</f>
        <v>Nutpattra Kokanutaporn </v>
      </c>
      <c r="D21" s="221" t="s">
        <v>932</v>
      </c>
      <c r="E21" s="222">
        <f>IFERROR(__xludf.DUMMYFUNCTION("IFERROR(SUM(
  ARRAYFORMULA(
    DATEVALUE(TRIM(MID(SPLIT(D21,CHAR(10)), FIND(""-"",SPLIT(D21,CHAR(10)))+1, 50))) 
  -
    DATEVALUE(TRIM(LEFT(SPLIT(D21,CHAR(10)), FIND(""-"",SPLIT(D21,CHAR(10)))-1)))
  + 1
)
),1)"),2.0)</f>
        <v>2</v>
      </c>
      <c r="F21" s="223">
        <f t="shared" si="1"/>
        <v>800</v>
      </c>
      <c r="G21" s="209" t="str">
        <f t="array" ref="G21">XLOOKUP(B21,Sheet68!A:A,Sheet68!AB:AB,0)</f>
        <v>nutpattrak@airasia.com</v>
      </c>
      <c r="H21" s="223">
        <f t="shared" si="2"/>
        <v>1</v>
      </c>
      <c r="I21" s="224" t="s">
        <v>20</v>
      </c>
      <c r="J21" s="224"/>
      <c r="K21" s="208"/>
      <c r="L21" s="208"/>
      <c r="M21" s="208"/>
      <c r="N21" s="208"/>
      <c r="O21" s="208"/>
      <c r="P21" s="208"/>
      <c r="Q21" s="208"/>
      <c r="R21" s="208"/>
      <c r="S21" s="208"/>
      <c r="T21" s="208"/>
      <c r="U21" s="208"/>
      <c r="V21" s="208"/>
      <c r="W21" s="208"/>
      <c r="X21" s="208"/>
      <c r="Y21" s="208"/>
      <c r="Z21" s="208"/>
      <c r="AA21" s="208"/>
    </row>
    <row r="22">
      <c r="A22" s="218">
        <v>20.0</v>
      </c>
      <c r="B22" s="219">
        <v>1003368.0</v>
      </c>
      <c r="C22" s="220" t="str">
        <f>vlookup(B22,'Crew Data'!C:G,5,0)</f>
        <v>Woradaluck Lerdthanapaijit</v>
      </c>
      <c r="D22" s="221" t="s">
        <v>930</v>
      </c>
      <c r="E22" s="222">
        <f>IFERROR(__xludf.DUMMYFUNCTION("IFERROR(SUM(
  ARRAYFORMULA(
    DATEVALUE(TRIM(MID(SPLIT(D22,CHAR(10)), FIND(""-"",SPLIT(D22,CHAR(10)))+1, 50))) 
  -
    DATEVALUE(TRIM(LEFT(SPLIT(D22,CHAR(10)), FIND(""-"",SPLIT(D22,CHAR(10)))-1)))
  + 1
)
),1)"),2.0)</f>
        <v>2</v>
      </c>
      <c r="F22" s="223">
        <f t="shared" si="1"/>
        <v>800</v>
      </c>
      <c r="G22" s="209" t="str">
        <f t="array" ref="G22">XLOOKUP(B22,Sheet68!A:A,Sheet68!AB:AB,0)</f>
        <v>woradaluckl@airasia.com</v>
      </c>
      <c r="H22" s="223">
        <f t="shared" si="2"/>
        <v>1</v>
      </c>
      <c r="I22" s="224" t="s">
        <v>20</v>
      </c>
      <c r="J22" s="224"/>
      <c r="K22" s="208"/>
      <c r="L22" s="208"/>
      <c r="M22" s="208"/>
      <c r="N22" s="208"/>
      <c r="O22" s="208"/>
      <c r="P22" s="208"/>
      <c r="Q22" s="208"/>
      <c r="R22" s="208"/>
      <c r="S22" s="208"/>
      <c r="T22" s="208"/>
      <c r="U22" s="208"/>
      <c r="V22" s="208"/>
      <c r="W22" s="208"/>
      <c r="X22" s="208"/>
      <c r="Y22" s="208"/>
      <c r="Z22" s="208"/>
      <c r="AA22" s="208"/>
    </row>
    <row r="23">
      <c r="A23" s="218">
        <v>21.0</v>
      </c>
      <c r="B23" s="219">
        <v>1023591.0</v>
      </c>
      <c r="C23" s="220" t="str">
        <f>vlookup(B23,'Crew Data'!C:G,5,0)</f>
        <v>Jittanan Piromsri</v>
      </c>
      <c r="D23" s="221" t="s">
        <v>930</v>
      </c>
      <c r="E23" s="222">
        <f>IFERROR(__xludf.DUMMYFUNCTION("IFERROR(SUM(
  ARRAYFORMULA(
    DATEVALUE(TRIM(MID(SPLIT(D23,CHAR(10)), FIND(""-"",SPLIT(D23,CHAR(10)))+1, 50))) 
  -
    DATEVALUE(TRIM(LEFT(SPLIT(D23,CHAR(10)), FIND(""-"",SPLIT(D23,CHAR(10)))-1)))
  + 1
)
),1)"),2.0)</f>
        <v>2</v>
      </c>
      <c r="F23" s="223">
        <f t="shared" si="1"/>
        <v>800</v>
      </c>
      <c r="G23" s="209" t="str">
        <f t="array" ref="G23">XLOOKUP(B23,Sheet68!A:A,Sheet68!AB:AB,0)</f>
        <v>jittananpiromsri@airasia.com</v>
      </c>
      <c r="H23" s="223">
        <f t="shared" si="2"/>
        <v>1</v>
      </c>
      <c r="I23" s="224" t="s">
        <v>20</v>
      </c>
      <c r="J23" s="224"/>
      <c r="K23" s="208"/>
      <c r="L23" s="208"/>
      <c r="M23" s="208"/>
      <c r="N23" s="208"/>
      <c r="O23" s="208"/>
      <c r="P23" s="208"/>
      <c r="Q23" s="208"/>
      <c r="R23" s="208"/>
      <c r="S23" s="208"/>
      <c r="T23" s="208"/>
      <c r="U23" s="208"/>
      <c r="V23" s="208"/>
      <c r="W23" s="208"/>
      <c r="X23" s="208"/>
      <c r="Y23" s="208"/>
      <c r="Z23" s="208"/>
      <c r="AA23" s="208"/>
    </row>
    <row r="24">
      <c r="A24" s="218">
        <v>22.0</v>
      </c>
      <c r="B24" s="219">
        <v>1025202.0</v>
      </c>
      <c r="C24" s="220" t="str">
        <f>vlookup(B24,'Crew Data'!C:G,5,0)</f>
        <v>Kamonnut Kucharoenphisan</v>
      </c>
      <c r="D24" s="221" t="s">
        <v>932</v>
      </c>
      <c r="E24" s="222">
        <f>IFERROR(__xludf.DUMMYFUNCTION("IFERROR(SUM(
  ARRAYFORMULA(
    DATEVALUE(TRIM(MID(SPLIT(D24,CHAR(10)), FIND(""-"",SPLIT(D24,CHAR(10)))+1, 50))) 
  -
    DATEVALUE(TRIM(LEFT(SPLIT(D24,CHAR(10)), FIND(""-"",SPLIT(D24,CHAR(10)))-1)))
  + 1
)
),1)"),2.0)</f>
        <v>2</v>
      </c>
      <c r="F24" s="223">
        <f t="shared" si="1"/>
        <v>800</v>
      </c>
      <c r="G24" s="209" t="str">
        <f t="array" ref="G24">XLOOKUP(B24,Sheet68!A:A,Sheet68!AB:AB,0)</f>
        <v>kamonnutkucharoenph@airasia.com</v>
      </c>
      <c r="H24" s="223">
        <f t="shared" si="2"/>
        <v>1</v>
      </c>
      <c r="I24" s="224" t="s">
        <v>20</v>
      </c>
      <c r="J24" s="224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</row>
    <row r="25">
      <c r="A25" s="218">
        <v>23.0</v>
      </c>
      <c r="B25" s="219">
        <v>1026213.0</v>
      </c>
      <c r="C25" s="220" t="str">
        <f>vlookup(B25,'Crew Data'!C:G,5,0)</f>
        <v>Yossapon Pankham</v>
      </c>
      <c r="D25" s="221" t="s">
        <v>933</v>
      </c>
      <c r="E25" s="222">
        <f>IFERROR(__xludf.DUMMYFUNCTION("IFERROR(SUM(
  ARRAYFORMULA(
    DATEVALUE(TRIM(MID(SPLIT(D25,CHAR(10)), FIND(""-"",SPLIT(D25,CHAR(10)))+1, 50))) 
  -
    DATEVALUE(TRIM(LEFT(SPLIT(D25,CHAR(10)), FIND(""-"",SPLIT(D25,CHAR(10)))-1)))
  + 1
)
),1)"),2.0)</f>
        <v>2</v>
      </c>
      <c r="F25" s="223">
        <f t="shared" si="1"/>
        <v>800</v>
      </c>
      <c r="G25" s="209" t="str">
        <f t="array" ref="G25">XLOOKUP(B25,Sheet68!A:A,Sheet68!AB:AB,0)</f>
        <v>yossaponpankham@airasia.com</v>
      </c>
      <c r="H25" s="223">
        <f t="shared" si="2"/>
        <v>1</v>
      </c>
      <c r="I25" s="224" t="s">
        <v>20</v>
      </c>
      <c r="J25" s="224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Y25" s="208"/>
      <c r="Z25" s="208"/>
      <c r="AA25" s="208"/>
    </row>
    <row r="26">
      <c r="A26" s="218">
        <v>24.0</v>
      </c>
      <c r="B26" s="219">
        <v>1026015.0</v>
      </c>
      <c r="C26" s="220" t="str">
        <f>vlookup(B26,'Crew Data'!C:G,5,0)</f>
        <v>Thanissa Intharit</v>
      </c>
      <c r="D26" s="221" t="s">
        <v>930</v>
      </c>
      <c r="E26" s="222">
        <f>IFERROR(__xludf.DUMMYFUNCTION("IFERROR(SUM(
  ARRAYFORMULA(
    DATEVALUE(TRIM(MID(SPLIT(D26,CHAR(10)), FIND(""-"",SPLIT(D26,CHAR(10)))+1, 50))) 
  -
    DATEVALUE(TRIM(LEFT(SPLIT(D26,CHAR(10)), FIND(""-"",SPLIT(D26,CHAR(10)))-1)))
  + 1
)
),1)"),2.0)</f>
        <v>2</v>
      </c>
      <c r="F26" s="223">
        <f t="shared" si="1"/>
        <v>800</v>
      </c>
      <c r="G26" s="209" t="str">
        <f t="array" ref="G26">XLOOKUP(B26,Sheet68!A:A,Sheet68!AB:AB,0)</f>
        <v>thanissaintharit@airasia.com</v>
      </c>
      <c r="H26" s="223">
        <f t="shared" si="2"/>
        <v>1</v>
      </c>
      <c r="I26" s="224" t="s">
        <v>20</v>
      </c>
      <c r="J26" s="224"/>
      <c r="K26" s="208"/>
      <c r="L26" s="208"/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  <c r="AA26" s="208"/>
    </row>
    <row r="27">
      <c r="A27" s="218">
        <v>25.0</v>
      </c>
      <c r="B27" s="226">
        <v>1023775.0</v>
      </c>
      <c r="C27" s="220" t="str">
        <f>vlookup(B27,'Crew Data'!C:G,5,0)</f>
        <v>Apichaya Intaraudom</v>
      </c>
      <c r="D27" s="221" t="s">
        <v>934</v>
      </c>
      <c r="E27" s="222">
        <f>IFERROR(__xludf.DUMMYFUNCTION("IFERROR(SUM(
  ARRAYFORMULA(
    DATEVALUE(TRIM(MID(SPLIT(D27,CHAR(10)), FIND(""-"",SPLIT(D27,CHAR(10)))+1, 50))) 
  -
    DATEVALUE(TRIM(LEFT(SPLIT(D27,CHAR(10)), FIND(""-"",SPLIT(D27,CHAR(10)))-1)))
  + 1
)
),1)"),2.0)</f>
        <v>2</v>
      </c>
      <c r="F27" s="223">
        <f t="shared" si="1"/>
        <v>800</v>
      </c>
      <c r="G27" s="209" t="str">
        <f t="array" ref="G27">XLOOKUP(B27,Sheet68!A:A,Sheet68!AB:AB,0)</f>
        <v>apichayaintaraudom@airasia.com</v>
      </c>
      <c r="H27" s="223">
        <f t="shared" si="2"/>
        <v>1</v>
      </c>
      <c r="I27" s="224" t="s">
        <v>20</v>
      </c>
      <c r="J27" s="224"/>
      <c r="K27" s="208"/>
      <c r="L27" s="208"/>
      <c r="M27" s="208"/>
      <c r="N27" s="208"/>
      <c r="O27" s="208"/>
      <c r="P27" s="208"/>
      <c r="Q27" s="208"/>
      <c r="R27" s="208"/>
      <c r="S27" s="208"/>
      <c r="T27" s="208"/>
      <c r="U27" s="208"/>
      <c r="V27" s="208"/>
      <c r="W27" s="208"/>
      <c r="X27" s="208"/>
      <c r="Y27" s="208"/>
      <c r="Z27" s="208"/>
      <c r="AA27" s="208"/>
    </row>
    <row r="28">
      <c r="A28" s="218">
        <v>26.0</v>
      </c>
      <c r="B28" s="226">
        <v>1040524.0</v>
      </c>
      <c r="C28" s="220" t="str">
        <f>vlookup(B28,'Crew Data'!C:G,5,0)</f>
        <v>Vipassara Cheepsaritdiphong</v>
      </c>
      <c r="D28" s="221" t="s">
        <v>934</v>
      </c>
      <c r="E28" s="222">
        <f>IFERROR(__xludf.DUMMYFUNCTION("IFERROR(SUM(
  ARRAYFORMULA(
    DATEVALUE(TRIM(MID(SPLIT(D28,CHAR(10)), FIND(""-"",SPLIT(D28,CHAR(10)))+1, 50))) 
  -
    DATEVALUE(TRIM(LEFT(SPLIT(D28,CHAR(10)), FIND(""-"",SPLIT(D28,CHAR(10)))-1)))
  + 1
)
),1)"),2.0)</f>
        <v>2</v>
      </c>
      <c r="F28" s="223">
        <f t="shared" si="1"/>
        <v>800</v>
      </c>
      <c r="G28" s="209" t="str">
        <f t="array" ref="G28">XLOOKUP(B28,Sheet68!A:A,Sheet68!AB:AB,0)</f>
        <v>vipassaracheepsarit@airasia.com</v>
      </c>
      <c r="H28" s="223">
        <f t="shared" si="2"/>
        <v>1</v>
      </c>
      <c r="I28" s="224" t="s">
        <v>20</v>
      </c>
      <c r="J28" s="224"/>
      <c r="K28" s="208"/>
      <c r="L28" s="208"/>
      <c r="M28" s="208"/>
      <c r="N28" s="208"/>
      <c r="O28" s="208"/>
      <c r="P28" s="208"/>
      <c r="Q28" s="208"/>
      <c r="R28" s="208"/>
      <c r="S28" s="208"/>
      <c r="T28" s="208"/>
      <c r="U28" s="208"/>
      <c r="V28" s="208"/>
      <c r="W28" s="208"/>
      <c r="X28" s="208"/>
      <c r="Y28" s="208"/>
      <c r="Z28" s="208"/>
      <c r="AA28" s="208"/>
    </row>
    <row r="29">
      <c r="A29" s="218">
        <v>27.0</v>
      </c>
      <c r="B29" s="226">
        <v>1022212.0</v>
      </c>
      <c r="C29" s="220" t="str">
        <f>vlookup(B29,'Crew Data'!C:G,5,0)</f>
        <v>Patcharamon Vipatanawin</v>
      </c>
      <c r="D29" s="221" t="s">
        <v>935</v>
      </c>
      <c r="E29" s="222">
        <f>IFERROR(__xludf.DUMMYFUNCTION("IFERROR(SUM(
  ARRAYFORMULA(
    DATEVALUE(TRIM(MID(SPLIT(D29,CHAR(10)), FIND(""-"",SPLIT(D29,CHAR(10)))+1, 50))) 
  -
    DATEVALUE(TRIM(LEFT(SPLIT(D29,CHAR(10)), FIND(""-"",SPLIT(D29,CHAR(10)))-1)))
  + 1
)
),1)"),2.0)</f>
        <v>2</v>
      </c>
      <c r="F29" s="223">
        <f t="shared" si="1"/>
        <v>800</v>
      </c>
      <c r="G29" s="209" t="str">
        <f t="array" ref="G29">XLOOKUP(B29,Sheet68!A:A,Sheet68!AB:AB,0)</f>
        <v>patcharamonvipatana@airasia.com</v>
      </c>
      <c r="H29" s="223">
        <f t="shared" si="2"/>
        <v>1</v>
      </c>
      <c r="I29" s="224" t="s">
        <v>20</v>
      </c>
      <c r="J29" s="224"/>
      <c r="K29" s="208"/>
      <c r="L29" s="208"/>
      <c r="M29" s="208"/>
      <c r="N29" s="208"/>
      <c r="O29" s="208"/>
      <c r="P29" s="208"/>
      <c r="Q29" s="208"/>
      <c r="R29" s="208"/>
      <c r="S29" s="208"/>
      <c r="T29" s="208"/>
      <c r="U29" s="208"/>
      <c r="V29" s="208"/>
      <c r="W29" s="208"/>
      <c r="X29" s="208"/>
      <c r="Y29" s="208"/>
      <c r="Z29" s="208"/>
      <c r="AA29" s="208"/>
    </row>
    <row r="30">
      <c r="A30" s="218">
        <v>28.0</v>
      </c>
      <c r="B30" s="226">
        <v>1046104.0</v>
      </c>
      <c r="C30" s="220" t="str">
        <f>vlookup(B30,'Crew Data'!C:G,5,0)</f>
        <v>Swiththame Wongwacharanon</v>
      </c>
      <c r="D30" s="221" t="s">
        <v>936</v>
      </c>
      <c r="E30" s="222">
        <f>IFERROR(__xludf.DUMMYFUNCTION("IFERROR(SUM(
  ARRAYFORMULA(
    DATEVALUE(TRIM(MID(SPLIT(D30,CHAR(10)), FIND(""-"",SPLIT(D30,CHAR(10)))+1, 50))) 
  -
    DATEVALUE(TRIM(LEFT(SPLIT(D30,CHAR(10)), FIND(""-"",SPLIT(D30,CHAR(10)))-1)))
  + 1
)
),1)"),2.0)</f>
        <v>2</v>
      </c>
      <c r="F30" s="223">
        <f t="shared" si="1"/>
        <v>800</v>
      </c>
      <c r="G30" s="209" t="str">
        <f t="array" ref="G30">XLOOKUP(B30,Sheet68!A:A,Sheet68!AB:AB,0)</f>
        <v>swiththamewon@airasia.com</v>
      </c>
      <c r="H30" s="223">
        <f t="shared" si="2"/>
        <v>1</v>
      </c>
      <c r="I30" s="224" t="s">
        <v>20</v>
      </c>
      <c r="J30" s="224"/>
      <c r="K30" s="208"/>
      <c r="L30" s="208"/>
      <c r="M30" s="208"/>
      <c r="N30" s="208"/>
      <c r="O30" s="208"/>
      <c r="P30" s="208"/>
      <c r="Q30" s="208"/>
      <c r="R30" s="208"/>
      <c r="S30" s="208"/>
      <c r="T30" s="208"/>
      <c r="U30" s="208"/>
      <c r="V30" s="208"/>
      <c r="W30" s="208"/>
      <c r="X30" s="208"/>
      <c r="Y30" s="208"/>
      <c r="Z30" s="208"/>
      <c r="AA30" s="208"/>
    </row>
    <row r="31">
      <c r="A31" s="218">
        <v>29.0</v>
      </c>
      <c r="B31" s="219">
        <v>1011830.0</v>
      </c>
      <c r="C31" s="220" t="str">
        <f>vlookup(B31,'Crew Data'!C:G,5,0)</f>
        <v>Rathaphon Pratheappornsak</v>
      </c>
      <c r="D31" s="225">
        <v>46082.0</v>
      </c>
      <c r="E31" s="222">
        <f>IFERROR(__xludf.DUMMYFUNCTION("IFERROR(SUM(
  ARRAYFORMULA(
    DATEVALUE(TRIM(MID(SPLIT(D31,CHAR(10)), FIND(""-"",SPLIT(D31,CHAR(10)))+1, 50))) 
  -
    DATEVALUE(TRIM(LEFT(SPLIT(D31,CHAR(10)), FIND(""-"",SPLIT(D31,CHAR(10)))-1)))
  + 1
)
),1)"),1.0)</f>
        <v>1</v>
      </c>
      <c r="F31" s="223">
        <f t="shared" si="1"/>
        <v>400</v>
      </c>
      <c r="G31" s="209" t="str">
        <f t="array" ref="G31">XLOOKUP(B31,Sheet68!A:A,Sheet68!AB:AB,0)</f>
        <v>rathaphonp@airasia.com</v>
      </c>
      <c r="H31" s="223">
        <f t="shared" si="2"/>
        <v>1</v>
      </c>
      <c r="I31" s="224" t="s">
        <v>20</v>
      </c>
      <c r="J31" s="224"/>
      <c r="K31" s="208"/>
      <c r="L31" s="208"/>
      <c r="M31" s="208"/>
      <c r="N31" s="208"/>
      <c r="O31" s="208"/>
      <c r="P31" s="208"/>
      <c r="Q31" s="208"/>
      <c r="R31" s="208"/>
      <c r="S31" s="208"/>
      <c r="T31" s="208"/>
      <c r="U31" s="208"/>
      <c r="V31" s="208"/>
      <c r="W31" s="208"/>
      <c r="X31" s="208"/>
      <c r="Y31" s="208"/>
      <c r="Z31" s="208"/>
      <c r="AA31" s="208"/>
    </row>
    <row r="32">
      <c r="A32" s="218">
        <v>30.0</v>
      </c>
      <c r="B32" s="219">
        <v>1046107.0</v>
      </c>
      <c r="C32" s="220" t="str">
        <f>vlookup(B32,'Crew Data'!C:G,5,0)</f>
        <v>Warantorn Sitthiyos</v>
      </c>
      <c r="D32" s="221" t="s">
        <v>936</v>
      </c>
      <c r="E32" s="222">
        <f>IFERROR(__xludf.DUMMYFUNCTION("IFERROR(SUM(
  ARRAYFORMULA(
    DATEVALUE(TRIM(MID(SPLIT(D32,CHAR(10)), FIND(""-"",SPLIT(D32,CHAR(10)))+1, 50))) 
  -
    DATEVALUE(TRIM(LEFT(SPLIT(D32,CHAR(10)), FIND(""-"",SPLIT(D32,CHAR(10)))-1)))
  + 1
)
),1)"),2.0)</f>
        <v>2</v>
      </c>
      <c r="F32" s="223">
        <f t="shared" si="1"/>
        <v>800</v>
      </c>
      <c r="G32" s="209" t="str">
        <f t="array" ref="G32">XLOOKUP(B32,Sheet68!A:A,Sheet68!AB:AB,0)</f>
        <v>warantornsit@airasia.com</v>
      </c>
      <c r="H32" s="223">
        <f t="shared" si="2"/>
        <v>1</v>
      </c>
      <c r="I32" s="224" t="s">
        <v>20</v>
      </c>
      <c r="J32" s="224"/>
      <c r="K32" s="208"/>
      <c r="L32" s="208"/>
      <c r="M32" s="208"/>
      <c r="N32" s="208"/>
      <c r="O32" s="208"/>
      <c r="P32" s="208"/>
      <c r="Q32" s="208"/>
      <c r="R32" s="208"/>
      <c r="S32" s="208"/>
      <c r="T32" s="208"/>
      <c r="U32" s="208"/>
      <c r="V32" s="208"/>
      <c r="W32" s="208"/>
      <c r="X32" s="208"/>
      <c r="Y32" s="208"/>
      <c r="Z32" s="208"/>
      <c r="AA32" s="208"/>
    </row>
    <row r="33">
      <c r="A33" s="218">
        <v>31.0</v>
      </c>
      <c r="B33" s="219">
        <v>1007022.0</v>
      </c>
      <c r="C33" s="220" t="str">
        <f>vlookup(B33,'Crew Data'!C:G,5,0)</f>
        <v>Waroot Chanpueak</v>
      </c>
      <c r="D33" s="221" t="s">
        <v>933</v>
      </c>
      <c r="E33" s="222">
        <f>IFERROR(__xludf.DUMMYFUNCTION("IFERROR(SUM(
  ARRAYFORMULA(
    DATEVALUE(TRIM(MID(SPLIT(D33,CHAR(10)), FIND(""-"",SPLIT(D33,CHAR(10)))+1, 50))) 
  -
    DATEVALUE(TRIM(LEFT(SPLIT(D33,CHAR(10)), FIND(""-"",SPLIT(D33,CHAR(10)))-1)))
  + 1
)
),1)"),2.0)</f>
        <v>2</v>
      </c>
      <c r="F33" s="223">
        <f t="shared" si="1"/>
        <v>800</v>
      </c>
      <c r="G33" s="209" t="str">
        <f t="array" ref="G33">XLOOKUP(B33,Sheet68!A:A,Sheet68!AB:AB,0)</f>
        <v>warootc@airasia.com</v>
      </c>
      <c r="H33" s="223">
        <f t="shared" si="2"/>
        <v>1</v>
      </c>
      <c r="I33" s="224" t="s">
        <v>20</v>
      </c>
      <c r="J33" s="224"/>
      <c r="K33" s="208"/>
      <c r="L33" s="208"/>
      <c r="M33" s="208"/>
      <c r="N33" s="208"/>
      <c r="O33" s="208"/>
      <c r="P33" s="208"/>
      <c r="Q33" s="208"/>
      <c r="R33" s="208"/>
      <c r="S33" s="208"/>
      <c r="T33" s="208"/>
      <c r="U33" s="208"/>
      <c r="V33" s="208"/>
      <c r="W33" s="208"/>
      <c r="X33" s="208"/>
      <c r="Y33" s="208"/>
      <c r="Z33" s="208"/>
      <c r="AA33" s="208"/>
    </row>
    <row r="34">
      <c r="A34" s="218">
        <v>32.0</v>
      </c>
      <c r="B34" s="219">
        <v>1004318.0</v>
      </c>
      <c r="C34" s="220" t="str">
        <f>vlookup(B34,'Crew Data'!C:G,5,0)</f>
        <v>Nattapong Kao-Ngampanich</v>
      </c>
      <c r="D34" s="221" t="s">
        <v>937</v>
      </c>
      <c r="E34" s="222">
        <f>IFERROR(__xludf.DUMMYFUNCTION("IFERROR(SUM(
  ARRAYFORMULA(
    DATEVALUE(TRIM(MID(SPLIT(D34,CHAR(10)), FIND(""-"",SPLIT(D34,CHAR(10)))+1, 50))) 
  -
    DATEVALUE(TRIM(LEFT(SPLIT(D34,CHAR(10)), FIND(""-"",SPLIT(D34,CHAR(10)))-1)))
  + 1
)
),1)"),6.0)</f>
        <v>6</v>
      </c>
      <c r="F34" s="223">
        <f t="shared" si="1"/>
        <v>2400</v>
      </c>
      <c r="G34" s="209" t="str">
        <f t="array" ref="G34">XLOOKUP(B34,Sheet68!A:A,Sheet68!AB:AB,0)</f>
        <v>nattaponga@airasia.com</v>
      </c>
      <c r="H34" s="223">
        <f t="shared" si="2"/>
        <v>1</v>
      </c>
      <c r="I34" s="224" t="s">
        <v>20</v>
      </c>
      <c r="J34" s="224"/>
      <c r="K34" s="208"/>
      <c r="L34" s="208"/>
      <c r="M34" s="208"/>
      <c r="N34" s="208"/>
      <c r="O34" s="208"/>
      <c r="P34" s="208"/>
      <c r="Q34" s="208"/>
      <c r="R34" s="208"/>
      <c r="S34" s="208"/>
      <c r="T34" s="208"/>
      <c r="U34" s="208"/>
      <c r="V34" s="208"/>
      <c r="W34" s="208"/>
      <c r="X34" s="208"/>
      <c r="Y34" s="208"/>
      <c r="Z34" s="208"/>
      <c r="AA34" s="208"/>
    </row>
    <row r="35">
      <c r="A35" s="218">
        <v>33.0</v>
      </c>
      <c r="B35" s="219">
        <v>1004034.0</v>
      </c>
      <c r="C35" s="220" t="str">
        <f>vlookup(B35,'Crew Data'!C:G,5,0)</f>
        <v>Monthon Siribunnakul</v>
      </c>
      <c r="D35" s="221" t="s">
        <v>938</v>
      </c>
      <c r="E35" s="222">
        <f>IFERROR(__xludf.DUMMYFUNCTION("IFERROR(SUM(
  ARRAYFORMULA(
    DATEVALUE(TRIM(MID(SPLIT(D35,CHAR(10)), FIND(""-"",SPLIT(D35,CHAR(10)))+1, 50))) 
  -
    DATEVALUE(TRIM(LEFT(SPLIT(D35,CHAR(10)), FIND(""-"",SPLIT(D35,CHAR(10)))-1)))
  + 1
)
),1)"),6.0)</f>
        <v>6</v>
      </c>
      <c r="F35" s="223">
        <f t="shared" si="1"/>
        <v>2400</v>
      </c>
      <c r="G35" s="209" t="str">
        <f t="array" ref="G35">XLOOKUP(B35,Sheet68!A:A,Sheet68!AB:AB,0)</f>
        <v>monthons@airasia.com</v>
      </c>
      <c r="H35" s="223">
        <f t="shared" si="2"/>
        <v>1</v>
      </c>
      <c r="I35" s="224" t="s">
        <v>20</v>
      </c>
      <c r="J35" s="224"/>
      <c r="K35" s="208"/>
      <c r="L35" s="208"/>
      <c r="M35" s="208"/>
      <c r="N35" s="208"/>
      <c r="O35" s="208"/>
      <c r="P35" s="208"/>
      <c r="Q35" s="208"/>
      <c r="R35" s="208"/>
      <c r="S35" s="208"/>
      <c r="T35" s="208"/>
      <c r="U35" s="208"/>
      <c r="V35" s="208"/>
      <c r="W35" s="208"/>
      <c r="X35" s="208"/>
      <c r="Y35" s="208"/>
      <c r="Z35" s="208"/>
      <c r="AA35" s="208"/>
    </row>
    <row r="36">
      <c r="A36" s="218">
        <v>34.0</v>
      </c>
      <c r="B36" s="219">
        <v>1025545.0</v>
      </c>
      <c r="C36" s="220" t="str">
        <f>vlookup(B36,'Crew Data'!C:G,5,0)</f>
        <v>Pattanan Joompadong</v>
      </c>
      <c r="D36" s="221" t="s">
        <v>935</v>
      </c>
      <c r="E36" s="222">
        <f>IFERROR(__xludf.DUMMYFUNCTION("IFERROR(SUM(
  ARRAYFORMULA(
    DATEVALUE(TRIM(MID(SPLIT(D36,CHAR(10)), FIND(""-"",SPLIT(D36,CHAR(10)))+1, 50))) 
  -
    DATEVALUE(TRIM(LEFT(SPLIT(D36,CHAR(10)), FIND(""-"",SPLIT(D36,CHAR(10)))-1)))
  + 1
)
),1)"),2.0)</f>
        <v>2</v>
      </c>
      <c r="F36" s="223">
        <f t="shared" si="1"/>
        <v>800</v>
      </c>
      <c r="G36" s="209" t="str">
        <f t="array" ref="G36">XLOOKUP(B36,Sheet68!A:A,Sheet68!AB:AB,0)</f>
        <v>pattananjoompadong@airasia.com</v>
      </c>
      <c r="H36" s="223">
        <f t="shared" si="2"/>
        <v>1</v>
      </c>
      <c r="I36" s="224" t="s">
        <v>20</v>
      </c>
      <c r="J36" s="208"/>
      <c r="K36" s="208"/>
      <c r="L36" s="208"/>
      <c r="M36" s="208"/>
      <c r="N36" s="208"/>
      <c r="O36" s="208"/>
      <c r="P36" s="208"/>
      <c r="Q36" s="208"/>
      <c r="R36" s="208"/>
      <c r="S36" s="208"/>
      <c r="T36" s="208"/>
      <c r="U36" s="208"/>
      <c r="V36" s="208"/>
      <c r="W36" s="208"/>
      <c r="X36" s="208"/>
      <c r="Y36" s="208"/>
      <c r="Z36" s="208"/>
      <c r="AA36" s="208"/>
    </row>
    <row r="37">
      <c r="A37" s="218">
        <v>35.0</v>
      </c>
      <c r="B37" s="219">
        <v>1001054.0</v>
      </c>
      <c r="C37" s="220" t="str">
        <f>vlookup(B37,'Crew Data'!C:G,5,0)</f>
        <v>Wipa Totsaporn</v>
      </c>
      <c r="D37" s="221" t="s">
        <v>939</v>
      </c>
      <c r="E37" s="222">
        <f>IFERROR(__xludf.DUMMYFUNCTION("IFERROR(SUM(
  ARRAYFORMULA(
    DATEVALUE(TRIM(MID(SPLIT(D37,CHAR(10)), FIND(""-"",SPLIT(D37,CHAR(10)))+1, 50))) 
  -
    DATEVALUE(TRIM(LEFT(SPLIT(D37,CHAR(10)), FIND(""-"",SPLIT(D37,CHAR(10)))-1)))
  + 1
)
),1)"),2.0)</f>
        <v>2</v>
      </c>
      <c r="F37" s="223">
        <f t="shared" si="1"/>
        <v>800</v>
      </c>
      <c r="G37" s="209" t="str">
        <f t="array" ref="G37">XLOOKUP(B37,Sheet68!A:A,Sheet68!AB:AB,0)</f>
        <v>wipat@airasia.com</v>
      </c>
      <c r="H37" s="223">
        <f t="shared" si="2"/>
        <v>1</v>
      </c>
      <c r="I37" s="224" t="s">
        <v>20</v>
      </c>
      <c r="J37" s="208"/>
      <c r="K37" s="208"/>
      <c r="L37" s="208"/>
      <c r="M37" s="208"/>
      <c r="N37" s="208"/>
      <c r="O37" s="208"/>
      <c r="P37" s="208"/>
      <c r="Q37" s="208"/>
      <c r="R37" s="208"/>
      <c r="S37" s="208"/>
      <c r="T37" s="208"/>
      <c r="U37" s="208"/>
      <c r="V37" s="208"/>
      <c r="W37" s="208"/>
      <c r="X37" s="208"/>
      <c r="Y37" s="208"/>
      <c r="Z37" s="208"/>
      <c r="AA37" s="208"/>
    </row>
    <row r="38">
      <c r="A38" s="218">
        <v>36.0</v>
      </c>
      <c r="B38" s="219">
        <v>1010851.0</v>
      </c>
      <c r="C38" s="220" t="str">
        <f>vlookup(B38,'Crew Data'!C:G,5,0)</f>
        <v>Tanyathorn Wilaisaranan</v>
      </c>
      <c r="D38" s="221" t="s">
        <v>940</v>
      </c>
      <c r="E38" s="222">
        <f>IFERROR(__xludf.DUMMYFUNCTION("IFERROR(SUM(
  ARRAYFORMULA(
    DATEVALUE(TRIM(MID(SPLIT(D38,CHAR(10)), FIND(""-"",SPLIT(D38,CHAR(10)))+1, 50))) 
  -
    DATEVALUE(TRIM(LEFT(SPLIT(D38,CHAR(10)), FIND(""-"",SPLIT(D38,CHAR(10)))-1)))
  + 1
)
),1)"),6.0)</f>
        <v>6</v>
      </c>
      <c r="F38" s="223">
        <f t="shared" si="1"/>
        <v>2400</v>
      </c>
      <c r="G38" s="209" t="str">
        <f t="array" ref="G38">XLOOKUP(B38,Sheet68!A:A,Sheet68!AB:AB,0)</f>
        <v>tanyathornw@airasia.com</v>
      </c>
      <c r="H38" s="223">
        <f t="shared" si="2"/>
        <v>1</v>
      </c>
      <c r="I38" s="224" t="s">
        <v>20</v>
      </c>
      <c r="J38" s="208"/>
      <c r="K38" s="208"/>
      <c r="L38" s="208"/>
      <c r="M38" s="208"/>
      <c r="N38" s="208"/>
      <c r="O38" s="208"/>
      <c r="P38" s="208"/>
      <c r="Q38" s="208"/>
      <c r="R38" s="208"/>
      <c r="S38" s="208"/>
      <c r="T38" s="208"/>
      <c r="U38" s="208"/>
      <c r="V38" s="208"/>
      <c r="W38" s="208"/>
      <c r="X38" s="208"/>
      <c r="Y38" s="208"/>
      <c r="Z38" s="208"/>
      <c r="AA38" s="208"/>
    </row>
    <row r="39">
      <c r="A39" s="218">
        <v>37.0</v>
      </c>
      <c r="B39" s="219">
        <v>1026187.0</v>
      </c>
      <c r="C39" s="220" t="str">
        <f>vlookup(B39,'Crew Data'!C:G,5,0)</f>
        <v>Nutnicha Pitsuwan</v>
      </c>
      <c r="D39" s="221" t="s">
        <v>941</v>
      </c>
      <c r="E39" s="222">
        <f>IFERROR(__xludf.DUMMYFUNCTION("IFERROR(SUM(
  ARRAYFORMULA(
    DATEVALUE(TRIM(MID(SPLIT(D39,CHAR(10)), FIND(""-"",SPLIT(D39,CHAR(10)))+1, 50))) 
  -
    DATEVALUE(TRIM(LEFT(SPLIT(D39,CHAR(10)), FIND(""-"",SPLIT(D39,CHAR(10)))-1)))
  + 1
)
),1)"),11.0)</f>
        <v>11</v>
      </c>
      <c r="F39" s="223">
        <f t="shared" si="1"/>
        <v>4400</v>
      </c>
      <c r="G39" s="209" t="str">
        <f t="array" ref="G39">XLOOKUP(B39,Sheet68!A:A,Sheet68!AB:AB,0)</f>
        <v>nutnichapitsuwan@airasia.com</v>
      </c>
      <c r="H39" s="223">
        <f t="shared" si="2"/>
        <v>1</v>
      </c>
      <c r="I39" s="224" t="s">
        <v>20</v>
      </c>
      <c r="J39" s="208"/>
      <c r="K39" s="208"/>
      <c r="L39" s="208"/>
      <c r="M39" s="208"/>
      <c r="N39" s="208"/>
      <c r="O39" s="208"/>
      <c r="P39" s="208"/>
      <c r="Q39" s="208"/>
      <c r="R39" s="208"/>
      <c r="S39" s="208"/>
      <c r="T39" s="208"/>
      <c r="U39" s="208"/>
      <c r="V39" s="208"/>
      <c r="W39" s="208"/>
      <c r="X39" s="208"/>
      <c r="Y39" s="208"/>
      <c r="Z39" s="208"/>
      <c r="AA39" s="208"/>
    </row>
    <row r="40">
      <c r="A40" s="218">
        <v>38.0</v>
      </c>
      <c r="B40" s="219">
        <v>1018789.0</v>
      </c>
      <c r="C40" s="220" t="str">
        <f>vlookup(B40,'Crew Data'!C:G,5,0)</f>
        <v>Jaruwan Junjitjingjai</v>
      </c>
      <c r="D40" s="221" t="s">
        <v>939</v>
      </c>
      <c r="E40" s="222">
        <f>IFERROR(__xludf.DUMMYFUNCTION("IFERROR(SUM(
  ARRAYFORMULA(
    DATEVALUE(TRIM(MID(SPLIT(D40,CHAR(10)), FIND(""-"",SPLIT(D40,CHAR(10)))+1, 50))) 
  -
    DATEVALUE(TRIM(LEFT(SPLIT(D40,CHAR(10)), FIND(""-"",SPLIT(D40,CHAR(10)))-1)))
  + 1
)
),1)"),2.0)</f>
        <v>2</v>
      </c>
      <c r="F40" s="223">
        <f t="shared" si="1"/>
        <v>800</v>
      </c>
      <c r="G40" s="209" t="str">
        <f t="array" ref="G40">XLOOKUP(B40,Sheet68!A:A,Sheet68!AB:AB,0)</f>
        <v>jaruwanu@airasia.com</v>
      </c>
      <c r="H40" s="223">
        <f t="shared" si="2"/>
        <v>1</v>
      </c>
      <c r="I40" s="224" t="s">
        <v>20</v>
      </c>
      <c r="J40" s="208"/>
      <c r="K40" s="208"/>
      <c r="L40" s="208"/>
      <c r="M40" s="208"/>
      <c r="N40" s="208"/>
      <c r="O40" s="208"/>
      <c r="P40" s="208"/>
      <c r="Q40" s="208"/>
      <c r="R40" s="208"/>
      <c r="S40" s="208"/>
      <c r="T40" s="208"/>
      <c r="U40" s="208"/>
      <c r="V40" s="208"/>
      <c r="W40" s="208"/>
      <c r="X40" s="208"/>
      <c r="Y40" s="208"/>
      <c r="Z40" s="208"/>
      <c r="AA40" s="208"/>
    </row>
    <row r="41">
      <c r="A41" s="218">
        <v>39.0</v>
      </c>
      <c r="B41" s="219">
        <v>1017645.0</v>
      </c>
      <c r="C41" s="220" t="str">
        <f>vlookup(B41,'Crew Data'!C:G,5,0)</f>
        <v>Nattida Palasak</v>
      </c>
      <c r="D41" s="221" t="s">
        <v>942</v>
      </c>
      <c r="E41" s="222">
        <f>IFERROR(__xludf.DUMMYFUNCTION("IFERROR(SUM(
  ARRAYFORMULA(
    DATEVALUE(TRIM(MID(SPLIT(D41,CHAR(10)), FIND(""-"",SPLIT(D41,CHAR(10)))+1, 50))) 
  -
    DATEVALUE(TRIM(LEFT(SPLIT(D41,CHAR(10)), FIND(""-"",SPLIT(D41,CHAR(10)))-1)))
  + 1
)
),1)"),2.0)</f>
        <v>2</v>
      </c>
      <c r="F41" s="223">
        <f t="shared" si="1"/>
        <v>800</v>
      </c>
      <c r="G41" s="209" t="str">
        <f t="array" ref="G41">XLOOKUP(B41,Sheet68!A:A,Sheet68!AB:AB,0)</f>
        <v>nattidap@airasia.com</v>
      </c>
      <c r="H41" s="223">
        <f t="shared" si="2"/>
        <v>1</v>
      </c>
      <c r="I41" s="224" t="s">
        <v>20</v>
      </c>
      <c r="J41" s="208"/>
      <c r="K41" s="208"/>
      <c r="L41" s="208"/>
      <c r="M41" s="208"/>
      <c r="N41" s="208"/>
      <c r="O41" s="208"/>
      <c r="P41" s="208"/>
      <c r="Q41" s="208"/>
      <c r="R41" s="208"/>
      <c r="S41" s="208"/>
      <c r="T41" s="208"/>
      <c r="U41" s="208"/>
      <c r="V41" s="208"/>
      <c r="W41" s="208"/>
      <c r="X41" s="208"/>
      <c r="Y41" s="208"/>
      <c r="Z41" s="208"/>
      <c r="AA41" s="208"/>
    </row>
    <row r="42">
      <c r="A42" s="218">
        <v>40.0</v>
      </c>
      <c r="B42" s="219">
        <v>1004375.0</v>
      </c>
      <c r="C42" s="220" t="str">
        <f>vlookup(B42,'Crew Data'!C:G,5,0)</f>
        <v>Arpakorn Kultangwattana</v>
      </c>
      <c r="D42" s="221" t="s">
        <v>935</v>
      </c>
      <c r="E42" s="222">
        <f>IFERROR(__xludf.DUMMYFUNCTION("IFERROR(SUM(
  ARRAYFORMULA(
    DATEVALUE(TRIM(MID(SPLIT(D42,CHAR(10)), FIND(""-"",SPLIT(D42,CHAR(10)))+1, 50))) 
  -
    DATEVALUE(TRIM(LEFT(SPLIT(D42,CHAR(10)), FIND(""-"",SPLIT(D42,CHAR(10)))-1)))
  + 1
)
),1)"),2.0)</f>
        <v>2</v>
      </c>
      <c r="F42" s="223">
        <f t="shared" si="1"/>
        <v>800</v>
      </c>
      <c r="G42" s="209" t="str">
        <f t="array" ref="G42">XLOOKUP(B42,Sheet68!A:A,Sheet68!AB:AB,0)</f>
        <v>arpakornk@airasia.com</v>
      </c>
      <c r="H42" s="223">
        <f t="shared" si="2"/>
        <v>1</v>
      </c>
      <c r="I42" s="224" t="s">
        <v>20</v>
      </c>
      <c r="J42" s="208"/>
      <c r="K42" s="208"/>
      <c r="L42" s="208"/>
      <c r="M42" s="208"/>
      <c r="N42" s="208"/>
      <c r="O42" s="208"/>
      <c r="P42" s="208"/>
      <c r="Q42" s="208"/>
      <c r="R42" s="208"/>
      <c r="S42" s="208"/>
      <c r="T42" s="208"/>
      <c r="U42" s="208"/>
      <c r="V42" s="208"/>
      <c r="W42" s="208"/>
      <c r="X42" s="208"/>
      <c r="Y42" s="208"/>
      <c r="Z42" s="208"/>
      <c r="AA42" s="208"/>
    </row>
    <row r="43">
      <c r="A43" s="218">
        <v>41.0</v>
      </c>
      <c r="B43" s="219">
        <v>1029036.0</v>
      </c>
      <c r="C43" s="220" t="str">
        <f>vlookup(B43,'Crew Data'!C:G,5,0)</f>
        <v>Sornsawan Meksung</v>
      </c>
      <c r="D43" s="221" t="s">
        <v>943</v>
      </c>
      <c r="E43" s="222">
        <f>IFERROR(__xludf.DUMMYFUNCTION("IFERROR(SUM(
  ARRAYFORMULA(
    DATEVALUE(TRIM(MID(SPLIT(D43,CHAR(10)), FIND(""-"",SPLIT(D43,CHAR(10)))+1, 50))) 
  -
    DATEVALUE(TRIM(LEFT(SPLIT(D43,CHAR(10)), FIND(""-"",SPLIT(D43,CHAR(10)))-1)))
  + 1
)
),1)"),2.0)</f>
        <v>2</v>
      </c>
      <c r="F43" s="223">
        <f t="shared" si="1"/>
        <v>800</v>
      </c>
      <c r="G43" s="209" t="str">
        <f t="array" ref="G43">XLOOKUP(B43,Sheet68!A:A,Sheet68!AB:AB,0)</f>
        <v>sornsawanmeksung@airasia.com</v>
      </c>
      <c r="H43" s="223">
        <f t="shared" si="2"/>
        <v>1</v>
      </c>
      <c r="I43" s="224" t="s">
        <v>20</v>
      </c>
      <c r="J43" s="208"/>
      <c r="K43" s="208"/>
      <c r="L43" s="208"/>
      <c r="M43" s="208"/>
      <c r="N43" s="208"/>
      <c r="O43" s="208"/>
      <c r="P43" s="208"/>
      <c r="Q43" s="208"/>
      <c r="R43" s="208"/>
      <c r="S43" s="208"/>
      <c r="T43" s="208"/>
      <c r="U43" s="208"/>
      <c r="V43" s="208"/>
      <c r="W43" s="208"/>
      <c r="X43" s="208"/>
      <c r="Y43" s="208"/>
      <c r="Z43" s="208"/>
      <c r="AA43" s="208"/>
    </row>
    <row r="44">
      <c r="A44" s="218">
        <v>42.0</v>
      </c>
      <c r="B44" s="219">
        <v>1011513.0</v>
      </c>
      <c r="C44" s="220" t="str">
        <f>vlookup(B44,'Crew Data'!C:G,5,0)</f>
        <v>Rawitnat Marayat</v>
      </c>
      <c r="D44" s="221" t="s">
        <v>944</v>
      </c>
      <c r="E44" s="222">
        <f>IFERROR(__xludf.DUMMYFUNCTION("IFERROR(SUM(
  ARRAYFORMULA(
    DATEVALUE(TRIM(MID(SPLIT(D44,CHAR(10)), FIND(""-"",SPLIT(D44,CHAR(10)))+1, 50))) 
  -
    DATEVALUE(TRIM(LEFT(SPLIT(D44,CHAR(10)), FIND(""-"",SPLIT(D44,CHAR(10)))-1)))
  + 1
)
),1)"),2.0)</f>
        <v>2</v>
      </c>
      <c r="F44" s="223">
        <f t="shared" si="1"/>
        <v>800</v>
      </c>
      <c r="G44" s="209" t="str">
        <f t="array" ref="G44">XLOOKUP(B44,Sheet68!A:A,Sheet68!AB:AB,0)</f>
        <v>rawitnatm@airasia.com</v>
      </c>
      <c r="H44" s="223">
        <f t="shared" si="2"/>
        <v>1</v>
      </c>
      <c r="I44" s="224" t="s">
        <v>20</v>
      </c>
      <c r="J44" s="208"/>
      <c r="K44" s="208"/>
      <c r="L44" s="208"/>
      <c r="M44" s="208"/>
      <c r="N44" s="208"/>
      <c r="O44" s="208"/>
      <c r="P44" s="208"/>
      <c r="Q44" s="208"/>
      <c r="R44" s="208"/>
      <c r="S44" s="208"/>
      <c r="T44" s="208"/>
      <c r="U44" s="208"/>
      <c r="V44" s="208"/>
      <c r="W44" s="208"/>
      <c r="X44" s="208"/>
      <c r="Y44" s="208"/>
      <c r="Z44" s="208"/>
      <c r="AA44" s="208"/>
    </row>
    <row r="45">
      <c r="A45" s="218">
        <v>43.0</v>
      </c>
      <c r="B45" s="219">
        <v>1012362.0</v>
      </c>
      <c r="C45" s="220" t="str">
        <f>vlookup(B45,'Crew Data'!C:G,5,0)</f>
        <v>Patcharagorn Chankhong</v>
      </c>
      <c r="D45" s="221" t="s">
        <v>931</v>
      </c>
      <c r="E45" s="222">
        <f>IFERROR(__xludf.DUMMYFUNCTION("IFERROR(SUM(
  ARRAYFORMULA(
    DATEVALUE(TRIM(MID(SPLIT(D45,CHAR(10)), FIND(""-"",SPLIT(D45,CHAR(10)))+1, 50))) 
  -
    DATEVALUE(TRIM(LEFT(SPLIT(D45,CHAR(10)), FIND(""-"",SPLIT(D45,CHAR(10)))-1)))
  + 1
)
),1)"),2.0)</f>
        <v>2</v>
      </c>
      <c r="F45" s="223">
        <f t="shared" si="1"/>
        <v>800</v>
      </c>
      <c r="G45" s="209" t="str">
        <f t="array" ref="G45">XLOOKUP(B45,Sheet68!A:A,Sheet68!AB:AB,0)</f>
        <v>patcharagornc@airasia.com</v>
      </c>
      <c r="H45" s="223">
        <f t="shared" si="2"/>
        <v>1</v>
      </c>
      <c r="I45" s="224" t="s">
        <v>20</v>
      </c>
      <c r="J45" s="208"/>
      <c r="K45" s="208"/>
      <c r="L45" s="208"/>
      <c r="M45" s="208"/>
      <c r="N45" s="208"/>
      <c r="O45" s="208"/>
      <c r="P45" s="208"/>
      <c r="Q45" s="208"/>
      <c r="R45" s="208"/>
      <c r="S45" s="208"/>
      <c r="T45" s="208"/>
      <c r="U45" s="208"/>
      <c r="V45" s="208"/>
      <c r="W45" s="208"/>
      <c r="X45" s="208"/>
      <c r="Y45" s="208"/>
      <c r="Z45" s="208"/>
      <c r="AA45" s="208"/>
    </row>
    <row r="46">
      <c r="A46" s="218">
        <v>44.0</v>
      </c>
      <c r="B46" s="219">
        <v>1009799.0</v>
      </c>
      <c r="C46" s="220" t="str">
        <f>vlookup(B46,'Crew Data'!C:G,5,0)</f>
        <v>Kittirat Aujsri</v>
      </c>
      <c r="D46" s="221" t="s">
        <v>945</v>
      </c>
      <c r="E46" s="222">
        <f>IFERROR(__xludf.DUMMYFUNCTION("IFERROR(SUM(
  ARRAYFORMULA(
    DATEVALUE(TRIM(MID(SPLIT(D46,CHAR(10)), FIND(""-"",SPLIT(D46,CHAR(10)))+1, 50))) 
  -
    DATEVALUE(TRIM(LEFT(SPLIT(D46,CHAR(10)), FIND(""-"",SPLIT(D46,CHAR(10)))-1)))
  + 1
)
),1)"),5.0)</f>
        <v>5</v>
      </c>
      <c r="F46" s="223">
        <f t="shared" si="1"/>
        <v>2000</v>
      </c>
      <c r="G46" s="209" t="str">
        <f t="array" ref="G46">XLOOKUP(B46,Sheet68!A:A,Sheet68!AB:AB,0)</f>
        <v>kittirata@airasia.com</v>
      </c>
      <c r="H46" s="223">
        <f t="shared" si="2"/>
        <v>1</v>
      </c>
      <c r="I46" s="224" t="s">
        <v>20</v>
      </c>
      <c r="J46" s="208"/>
      <c r="K46" s="208"/>
      <c r="L46" s="208"/>
      <c r="M46" s="208"/>
      <c r="N46" s="208"/>
      <c r="O46" s="208"/>
      <c r="P46" s="208"/>
      <c r="Q46" s="208"/>
      <c r="R46" s="208"/>
      <c r="S46" s="208"/>
      <c r="T46" s="208"/>
      <c r="U46" s="208"/>
      <c r="V46" s="208"/>
      <c r="W46" s="208"/>
      <c r="X46" s="208"/>
      <c r="Y46" s="208"/>
      <c r="Z46" s="208"/>
      <c r="AA46" s="208"/>
    </row>
    <row r="47">
      <c r="A47" s="218">
        <v>45.0</v>
      </c>
      <c r="B47" s="219">
        <v>1017639.0</v>
      </c>
      <c r="C47" s="220" t="str">
        <f>vlookup(B47,'Crew Data'!C:G,5,0)</f>
        <v>Dhanupol Sagulsukhmongkol</v>
      </c>
      <c r="D47" s="221" t="s">
        <v>934</v>
      </c>
      <c r="E47" s="222">
        <f>IFERROR(__xludf.DUMMYFUNCTION("IFERROR(SUM(
  ARRAYFORMULA(
    DATEVALUE(TRIM(MID(SPLIT(D47,CHAR(10)), FIND(""-"",SPLIT(D47,CHAR(10)))+1, 50))) 
  -
    DATEVALUE(TRIM(LEFT(SPLIT(D47,CHAR(10)), FIND(""-"",SPLIT(D47,CHAR(10)))-1)))
  + 1
)
),1)"),2.0)</f>
        <v>2</v>
      </c>
      <c r="F47" s="223">
        <f t="shared" si="1"/>
        <v>800</v>
      </c>
      <c r="G47" s="209" t="str">
        <f t="array" ref="G47">XLOOKUP(B47,Sheet68!A:A,Sheet68!AB:AB,0)</f>
        <v>dhanupols@airasia.com</v>
      </c>
      <c r="H47" s="223">
        <f t="shared" si="2"/>
        <v>1</v>
      </c>
      <c r="I47" s="224" t="s">
        <v>20</v>
      </c>
      <c r="J47" s="208"/>
      <c r="K47" s="208"/>
      <c r="L47" s="208"/>
      <c r="M47" s="208"/>
      <c r="N47" s="208"/>
      <c r="O47" s="208"/>
      <c r="P47" s="208"/>
      <c r="Q47" s="208"/>
      <c r="R47" s="208"/>
      <c r="S47" s="208"/>
      <c r="T47" s="208"/>
      <c r="U47" s="208"/>
      <c r="V47" s="208"/>
      <c r="W47" s="208"/>
      <c r="X47" s="208"/>
      <c r="Y47" s="208"/>
      <c r="Z47" s="208"/>
      <c r="AA47" s="208"/>
    </row>
    <row r="48">
      <c r="A48" s="218">
        <v>46.0</v>
      </c>
      <c r="B48" s="219">
        <v>1044233.0</v>
      </c>
      <c r="C48" s="220" t="str">
        <f>vlookup(B48,'Crew Data'!C:G,5,0)</f>
        <v>Lalana Lertussawachai</v>
      </c>
      <c r="D48" s="221" t="s">
        <v>946</v>
      </c>
      <c r="E48" s="222">
        <f>IFERROR(__xludf.DUMMYFUNCTION("IFERROR(SUM(
  ARRAYFORMULA(
    DATEVALUE(TRIM(MID(SPLIT(D48,CHAR(10)), FIND(""-"",SPLIT(D48,CHAR(10)))+1, 50))) 
  -
    DATEVALUE(TRIM(LEFT(SPLIT(D48,CHAR(10)), FIND(""-"",SPLIT(D48,CHAR(10)))-1)))
  + 1
)
),1)"),4.0)</f>
        <v>4</v>
      </c>
      <c r="F48" s="223">
        <f t="shared" si="1"/>
        <v>1600</v>
      </c>
      <c r="G48" s="209" t="str">
        <f t="array" ref="G48">XLOOKUP(B48,Sheet68!A:A,Sheet68!AB:AB,0)</f>
        <v>lalanaler@airasia.com</v>
      </c>
      <c r="H48" s="223">
        <f t="shared" si="2"/>
        <v>1</v>
      </c>
      <c r="I48" s="224" t="s">
        <v>20</v>
      </c>
      <c r="J48" s="208"/>
      <c r="K48" s="208"/>
      <c r="L48" s="208"/>
      <c r="M48" s="208"/>
      <c r="N48" s="208"/>
      <c r="O48" s="208"/>
      <c r="P48" s="208"/>
      <c r="Q48" s="208"/>
      <c r="R48" s="208"/>
      <c r="S48" s="208"/>
      <c r="T48" s="208"/>
      <c r="U48" s="208"/>
      <c r="V48" s="208"/>
      <c r="W48" s="208"/>
      <c r="X48" s="208"/>
      <c r="Y48" s="208"/>
      <c r="Z48" s="208"/>
      <c r="AA48" s="208"/>
    </row>
    <row r="49">
      <c r="A49" s="218">
        <v>47.0</v>
      </c>
      <c r="B49" s="219">
        <v>1008894.0</v>
      </c>
      <c r="C49" s="220" t="str">
        <f>vlookup(B49,'Crew Data'!C:G,5,0)</f>
        <v>Piyaphong Hongsiri</v>
      </c>
      <c r="D49" s="221" t="s">
        <v>944</v>
      </c>
      <c r="E49" s="222">
        <f>IFERROR(__xludf.DUMMYFUNCTION("IFERROR(SUM(
  ARRAYFORMULA(
    DATEVALUE(TRIM(MID(SPLIT(D49,CHAR(10)), FIND(""-"",SPLIT(D49,CHAR(10)))+1, 50))) 
  -
    DATEVALUE(TRIM(LEFT(SPLIT(D49,CHAR(10)), FIND(""-"",SPLIT(D49,CHAR(10)))-1)))
  + 1
)
),1)"),2.0)</f>
        <v>2</v>
      </c>
      <c r="F49" s="223">
        <f t="shared" si="1"/>
        <v>800</v>
      </c>
      <c r="G49" s="209" t="str">
        <f t="array" ref="G49">XLOOKUP(B49,Sheet68!A:A,Sheet68!AB:AB,0)</f>
        <v>piyaphongh@airasia.com</v>
      </c>
      <c r="H49" s="223">
        <f t="shared" si="2"/>
        <v>1</v>
      </c>
      <c r="I49" s="224" t="s">
        <v>20</v>
      </c>
      <c r="J49" s="208"/>
      <c r="K49" s="208"/>
      <c r="L49" s="208"/>
      <c r="M49" s="208"/>
      <c r="N49" s="208"/>
      <c r="O49" s="208"/>
      <c r="P49" s="208"/>
      <c r="Q49" s="208"/>
      <c r="R49" s="208"/>
      <c r="S49" s="208"/>
      <c r="T49" s="208"/>
      <c r="U49" s="208"/>
      <c r="V49" s="208"/>
      <c r="W49" s="208"/>
      <c r="X49" s="208"/>
      <c r="Y49" s="208"/>
      <c r="Z49" s="208"/>
      <c r="AA49" s="208"/>
    </row>
    <row r="50">
      <c r="A50" s="218">
        <v>48.0</v>
      </c>
      <c r="B50" s="219">
        <v>1022223.0</v>
      </c>
      <c r="C50" s="220" t="str">
        <f>vlookup(B50,'Crew Data'!C:G,5,0)</f>
        <v>Nantapak Benjasiriporn</v>
      </c>
      <c r="D50" s="221" t="s">
        <v>947</v>
      </c>
      <c r="E50" s="222">
        <f>IFERROR(__xludf.DUMMYFUNCTION("IFERROR(SUM(
  ARRAYFORMULA(
    DATEVALUE(TRIM(MID(SPLIT(D50,CHAR(10)), FIND(""-"",SPLIT(D50,CHAR(10)))+1, 50))) 
  -
    DATEVALUE(TRIM(LEFT(SPLIT(D50,CHAR(10)), FIND(""-"",SPLIT(D50,CHAR(10)))-1)))
  + 1
)
),1)"),2.0)</f>
        <v>2</v>
      </c>
      <c r="F50" s="223">
        <f t="shared" si="1"/>
        <v>800</v>
      </c>
      <c r="G50" s="209" t="str">
        <f t="array" ref="G50">XLOOKUP(B50,Sheet68!A:A,Sheet68!AB:AB,0)</f>
        <v>nantapakbenjasiripo@airasia.com</v>
      </c>
      <c r="H50" s="223">
        <f t="shared" si="2"/>
        <v>1</v>
      </c>
      <c r="I50" s="224" t="s">
        <v>20</v>
      </c>
      <c r="J50" s="208"/>
      <c r="K50" s="208"/>
      <c r="L50" s="208"/>
      <c r="M50" s="208"/>
      <c r="N50" s="208"/>
      <c r="O50" s="208"/>
      <c r="P50" s="208"/>
      <c r="Q50" s="208"/>
      <c r="R50" s="208"/>
      <c r="S50" s="208"/>
      <c r="T50" s="208"/>
      <c r="U50" s="208"/>
      <c r="V50" s="208"/>
      <c r="W50" s="208"/>
      <c r="X50" s="208"/>
      <c r="Y50" s="208"/>
      <c r="Z50" s="208"/>
      <c r="AA50" s="208"/>
    </row>
    <row r="51">
      <c r="A51" s="218">
        <v>49.0</v>
      </c>
      <c r="B51" s="219">
        <v>1017653.0</v>
      </c>
      <c r="C51" s="220" t="str">
        <f>vlookup(B51,'Crew Data'!C:G,5,0)</f>
        <v>Wachiraphon Lakbun</v>
      </c>
      <c r="D51" s="221" t="s">
        <v>948</v>
      </c>
      <c r="E51" s="222">
        <f>IFERROR(__xludf.DUMMYFUNCTION("IFERROR(SUM(
  ARRAYFORMULA(
    DATEVALUE(TRIM(MID(SPLIT(D51,CHAR(10)), FIND(""-"",SPLIT(D51,CHAR(10)))+1, 50))) 
  -
    DATEVALUE(TRIM(LEFT(SPLIT(D51,CHAR(10)), FIND(""-"",SPLIT(D51,CHAR(10)))-1)))
  + 1
)
),1)"),2.0)</f>
        <v>2</v>
      </c>
      <c r="F51" s="223">
        <f t="shared" si="1"/>
        <v>800</v>
      </c>
      <c r="G51" s="209" t="str">
        <f t="array" ref="G51">XLOOKUP(B51,Sheet68!A:A,Sheet68!AB:AB,0)</f>
        <v>wachiraphonl@airasia.com</v>
      </c>
      <c r="H51" s="223">
        <f t="shared" si="2"/>
        <v>1</v>
      </c>
      <c r="I51" s="224" t="s">
        <v>20</v>
      </c>
      <c r="J51" s="208"/>
      <c r="K51" s="208"/>
      <c r="L51" s="208"/>
      <c r="M51" s="208"/>
      <c r="N51" s="208"/>
      <c r="O51" s="208"/>
      <c r="P51" s="208"/>
      <c r="Q51" s="208"/>
      <c r="R51" s="208"/>
      <c r="S51" s="208"/>
      <c r="T51" s="208"/>
      <c r="U51" s="208"/>
      <c r="V51" s="208"/>
      <c r="W51" s="208"/>
      <c r="X51" s="208"/>
      <c r="Y51" s="208"/>
      <c r="Z51" s="208"/>
      <c r="AA51" s="208"/>
    </row>
    <row r="52">
      <c r="A52" s="218">
        <v>50.0</v>
      </c>
      <c r="B52" s="219">
        <v>1012680.0</v>
      </c>
      <c r="C52" s="220" t="str">
        <f>vlookup(B52,'Crew Data'!C:G,5,0)</f>
        <v>Wiracha Chamsoongnern</v>
      </c>
      <c r="D52" s="221" t="s">
        <v>949</v>
      </c>
      <c r="E52" s="222">
        <f>IFERROR(__xludf.DUMMYFUNCTION("IFERROR(SUM(
  ARRAYFORMULA(
    DATEVALUE(TRIM(MID(SPLIT(D52,CHAR(10)), FIND(""-"",SPLIT(D52,CHAR(10)))+1, 50))) 
  -
    DATEVALUE(TRIM(LEFT(SPLIT(D52,CHAR(10)), FIND(""-"",SPLIT(D52,CHAR(10)))-1)))
  + 1
)
),1)"),2.0)</f>
        <v>2</v>
      </c>
      <c r="F52" s="223">
        <f t="shared" si="1"/>
        <v>800</v>
      </c>
      <c r="G52" s="209" t="str">
        <f t="array" ref="G52">XLOOKUP(B52,Sheet68!A:A,Sheet68!AB:AB,0)</f>
        <v>wirachac@airasia.com</v>
      </c>
      <c r="H52" s="223">
        <f t="shared" si="2"/>
        <v>1</v>
      </c>
      <c r="I52" s="224" t="s">
        <v>20</v>
      </c>
      <c r="J52" s="224"/>
      <c r="K52" s="208"/>
      <c r="L52" s="208"/>
      <c r="M52" s="208"/>
      <c r="N52" s="208"/>
      <c r="O52" s="208"/>
      <c r="P52" s="208"/>
      <c r="Q52" s="208"/>
      <c r="R52" s="208"/>
      <c r="S52" s="208"/>
      <c r="T52" s="208"/>
      <c r="U52" s="208"/>
      <c r="V52" s="208"/>
      <c r="W52" s="208"/>
      <c r="X52" s="208"/>
      <c r="Y52" s="208"/>
      <c r="Z52" s="208"/>
      <c r="AA52" s="208"/>
    </row>
    <row r="53">
      <c r="A53" s="218">
        <v>51.0</v>
      </c>
      <c r="B53" s="219">
        <v>1027515.0</v>
      </c>
      <c r="C53" s="220" t="str">
        <f>vlookup(B53,'Crew Data'!C:G,5,0)</f>
        <v>Kantaporn Dechchu</v>
      </c>
      <c r="D53" s="221" t="s">
        <v>950</v>
      </c>
      <c r="E53" s="222">
        <f>IFERROR(__xludf.DUMMYFUNCTION("IFERROR(SUM(
  ARRAYFORMULA(
    DATEVALUE(TRIM(MID(SPLIT(D53,CHAR(10)), FIND(""-"",SPLIT(D53,CHAR(10)))+1, 50))) 
  -
    DATEVALUE(TRIM(LEFT(SPLIT(D53,CHAR(10)), FIND(""-"",SPLIT(D53,CHAR(10)))-1)))
  + 1
)
),1)"),6.0)</f>
        <v>6</v>
      </c>
      <c r="F53" s="223">
        <f t="shared" si="1"/>
        <v>2400</v>
      </c>
      <c r="G53" s="209" t="str">
        <f t="array" ref="G53">XLOOKUP(B53,Sheet68!A:A,Sheet68!AB:AB,0)</f>
        <v>kantaporndechchu@airasia.com</v>
      </c>
      <c r="H53" s="223">
        <f t="shared" si="2"/>
        <v>1</v>
      </c>
      <c r="I53" s="224" t="s">
        <v>20</v>
      </c>
      <c r="J53" s="224"/>
      <c r="K53" s="208"/>
      <c r="L53" s="208"/>
      <c r="M53" s="208"/>
      <c r="N53" s="208"/>
      <c r="O53" s="208"/>
      <c r="P53" s="208"/>
      <c r="Q53" s="208"/>
      <c r="R53" s="208"/>
      <c r="S53" s="208"/>
      <c r="T53" s="208"/>
      <c r="U53" s="208"/>
      <c r="V53" s="208"/>
      <c r="W53" s="208"/>
      <c r="X53" s="208"/>
      <c r="Y53" s="208"/>
      <c r="Z53" s="208"/>
      <c r="AA53" s="208"/>
    </row>
    <row r="54">
      <c r="A54" s="218">
        <v>52.0</v>
      </c>
      <c r="B54" s="219">
        <v>1013018.0</v>
      </c>
      <c r="C54" s="220" t="str">
        <f>vlookup(B54,'Crew Data'!C:G,5,0)</f>
        <v>Panuwat Warunyaporn</v>
      </c>
      <c r="D54" s="221" t="s">
        <v>951</v>
      </c>
      <c r="E54" s="222">
        <f>IFERROR(__xludf.DUMMYFUNCTION("IFERROR(SUM(
  ARRAYFORMULA(
    DATEVALUE(TRIM(MID(SPLIT(D54,CHAR(10)), FIND(""-"",SPLIT(D54,CHAR(10)))+1, 50))) 
  -
    DATEVALUE(TRIM(LEFT(SPLIT(D54,CHAR(10)), FIND(""-"",SPLIT(D54,CHAR(10)))-1)))
  + 1
)
),1)"),2.0)</f>
        <v>2</v>
      </c>
      <c r="F54" s="223">
        <f t="shared" si="1"/>
        <v>800</v>
      </c>
      <c r="G54" s="209" t="str">
        <f t="array" ref="G54">XLOOKUP(B54,Sheet68!A:A,Sheet68!AB:AB,0)</f>
        <v>panuwatw@airasia.com</v>
      </c>
      <c r="H54" s="223">
        <f t="shared" si="2"/>
        <v>1</v>
      </c>
      <c r="I54" s="224" t="s">
        <v>20</v>
      </c>
      <c r="J54" s="208"/>
      <c r="K54" s="208"/>
      <c r="L54" s="208"/>
      <c r="M54" s="208"/>
      <c r="N54" s="208"/>
      <c r="O54" s="208"/>
      <c r="P54" s="208"/>
      <c r="Q54" s="208"/>
      <c r="R54" s="208"/>
      <c r="S54" s="208"/>
      <c r="T54" s="208"/>
      <c r="U54" s="208"/>
      <c r="V54" s="208"/>
      <c r="W54" s="208"/>
      <c r="X54" s="208"/>
      <c r="Y54" s="208"/>
      <c r="Z54" s="208"/>
      <c r="AA54" s="208"/>
    </row>
    <row r="55">
      <c r="A55" s="218">
        <v>53.0</v>
      </c>
      <c r="B55" s="219">
        <v>1019549.0</v>
      </c>
      <c r="C55" s="220" t="str">
        <f>vlookup(B55,'Crew Data'!C:G,5,0)</f>
        <v>Phuriwat Chaitulyavate </v>
      </c>
      <c r="D55" s="221" t="s">
        <v>951</v>
      </c>
      <c r="E55" s="222">
        <f>IFERROR(__xludf.DUMMYFUNCTION("IFERROR(SUM(
  ARRAYFORMULA(
    DATEVALUE(TRIM(MID(SPLIT(D55,CHAR(10)), FIND(""-"",SPLIT(D55,CHAR(10)))+1, 50))) 
  -
    DATEVALUE(TRIM(LEFT(SPLIT(D55,CHAR(10)), FIND(""-"",SPLIT(D55,CHAR(10)))-1)))
  + 1
)
),1)"),2.0)</f>
        <v>2</v>
      </c>
      <c r="F55" s="223">
        <f t="shared" si="1"/>
        <v>800</v>
      </c>
      <c r="G55" s="209" t="str">
        <f t="array" ref="G55">XLOOKUP(B55,Sheet68!A:A,Sheet68!AB:AB,0)</f>
        <v>phuriwatc@airasia.com</v>
      </c>
      <c r="H55" s="223">
        <f t="shared" si="2"/>
        <v>1</v>
      </c>
      <c r="I55" s="224" t="s">
        <v>20</v>
      </c>
      <c r="J55" s="208"/>
      <c r="K55" s="208"/>
      <c r="L55" s="208"/>
      <c r="M55" s="208"/>
      <c r="N55" s="208"/>
      <c r="O55" s="208"/>
      <c r="P55" s="208"/>
      <c r="Q55" s="208"/>
      <c r="R55" s="208"/>
      <c r="S55" s="208"/>
      <c r="T55" s="208"/>
      <c r="U55" s="208"/>
      <c r="V55" s="208"/>
      <c r="W55" s="208"/>
      <c r="X55" s="208"/>
      <c r="Y55" s="208"/>
      <c r="Z55" s="208"/>
      <c r="AA55" s="208"/>
    </row>
    <row r="56">
      <c r="A56" s="218">
        <v>54.0</v>
      </c>
      <c r="B56" s="219">
        <v>1001286.0</v>
      </c>
      <c r="C56" s="220" t="str">
        <f>vlookup(B56,'Crew Data'!C:G,5,0)</f>
        <v>Sirinart Auypornbusyakom</v>
      </c>
      <c r="D56" s="221" t="s">
        <v>952</v>
      </c>
      <c r="E56" s="222">
        <f>IFERROR(__xludf.DUMMYFUNCTION("IFERROR(SUM(
  ARRAYFORMULA(
    DATEVALUE(TRIM(MID(SPLIT(D56,CHAR(10)), FIND(""-"",SPLIT(D56,CHAR(10)))+1, 50))) 
  -
    DATEVALUE(TRIM(LEFT(SPLIT(D56,CHAR(10)), FIND(""-"",SPLIT(D56,CHAR(10)))-1)))
  + 1
)
),1)"),2.0)</f>
        <v>2</v>
      </c>
      <c r="F56" s="223">
        <f t="shared" si="1"/>
        <v>800</v>
      </c>
      <c r="G56" s="209" t="str">
        <f t="array" ref="G56">XLOOKUP(B56,Sheet68!A:A,Sheet68!AB:AB,0)</f>
        <v>sirinarta@airasia.com</v>
      </c>
      <c r="H56" s="223">
        <f t="shared" si="2"/>
        <v>1</v>
      </c>
      <c r="I56" s="224" t="s">
        <v>20</v>
      </c>
      <c r="J56" s="208"/>
      <c r="K56" s="208"/>
      <c r="L56" s="208"/>
      <c r="M56" s="208"/>
      <c r="N56" s="208"/>
      <c r="O56" s="208"/>
      <c r="P56" s="208"/>
      <c r="Q56" s="208"/>
      <c r="R56" s="208"/>
      <c r="S56" s="208"/>
      <c r="T56" s="208"/>
      <c r="U56" s="208"/>
      <c r="V56" s="208"/>
      <c r="W56" s="208"/>
      <c r="X56" s="208"/>
      <c r="Y56" s="208"/>
      <c r="Z56" s="208"/>
      <c r="AA56" s="208"/>
    </row>
    <row r="57">
      <c r="A57" s="218">
        <v>55.0</v>
      </c>
      <c r="B57" s="219">
        <v>1008372.0</v>
      </c>
      <c r="C57" s="220" t="str">
        <f>vlookup(B57,'Crew Data'!C:G,5,0)</f>
        <v>Sirinya Maydan</v>
      </c>
      <c r="D57" s="221" t="s">
        <v>953</v>
      </c>
      <c r="E57" s="222">
        <f>IFERROR(__xludf.DUMMYFUNCTION("IFERROR(SUM(
  ARRAYFORMULA(
    DATEVALUE(TRIM(MID(SPLIT(D57,CHAR(10)), FIND(""-"",SPLIT(D57,CHAR(10)))+1, 50))) 
  -
    DATEVALUE(TRIM(LEFT(SPLIT(D57,CHAR(10)), FIND(""-"",SPLIT(D57,CHAR(10)))-1)))
  + 1
)
),1)"),6.0)</f>
        <v>6</v>
      </c>
      <c r="F57" s="223">
        <f t="shared" si="1"/>
        <v>2400</v>
      </c>
      <c r="G57" s="209" t="str">
        <f t="array" ref="G57">XLOOKUP(B57,Sheet68!A:A,Sheet68!AB:AB,0)</f>
        <v>sirinyam@airasia.com</v>
      </c>
      <c r="H57" s="223">
        <f t="shared" si="2"/>
        <v>1</v>
      </c>
      <c r="I57" s="224" t="s">
        <v>20</v>
      </c>
      <c r="J57" s="208"/>
      <c r="K57" s="208"/>
      <c r="L57" s="208"/>
      <c r="M57" s="208"/>
      <c r="N57" s="208"/>
      <c r="O57" s="208"/>
      <c r="P57" s="208"/>
      <c r="Q57" s="208"/>
      <c r="R57" s="208"/>
      <c r="S57" s="208"/>
      <c r="T57" s="208"/>
      <c r="U57" s="208"/>
      <c r="V57" s="208"/>
      <c r="W57" s="208"/>
      <c r="X57" s="208"/>
      <c r="Y57" s="208"/>
      <c r="Z57" s="208"/>
      <c r="AA57" s="208"/>
    </row>
    <row r="58">
      <c r="A58" s="218">
        <v>56.0</v>
      </c>
      <c r="B58" s="219">
        <v>1011321.0</v>
      </c>
      <c r="C58" s="220" t="str">
        <f>vlookup(B58,'Crew Data'!C:G,5,0)</f>
        <v>Tasaneewan Buri</v>
      </c>
      <c r="D58" s="221" t="s">
        <v>954</v>
      </c>
      <c r="E58" s="222">
        <f>IFERROR(__xludf.DUMMYFUNCTION("IFERROR(SUM(
  ARRAYFORMULA(
    DATEVALUE(TRIM(MID(SPLIT(D58,CHAR(10)), FIND(""-"",SPLIT(D58,CHAR(10)))+1, 50))) 
  -
    DATEVALUE(TRIM(LEFT(SPLIT(D58,CHAR(10)), FIND(""-"",SPLIT(D58,CHAR(10)))-1)))
  + 1
)
),1)"),2.0)</f>
        <v>2</v>
      </c>
      <c r="F58" s="223">
        <f t="shared" si="1"/>
        <v>800</v>
      </c>
      <c r="G58" s="209" t="str">
        <f t="array" ref="G58">XLOOKUP(B58,Sheet68!A:A,Sheet68!AB:AB,0)</f>
        <v>tasaneewanb@airasia.com</v>
      </c>
      <c r="H58" s="223">
        <f t="shared" si="2"/>
        <v>1</v>
      </c>
      <c r="I58" s="224" t="s">
        <v>20</v>
      </c>
      <c r="J58" s="208"/>
      <c r="K58" s="208"/>
      <c r="L58" s="208"/>
      <c r="M58" s="208"/>
      <c r="N58" s="208"/>
      <c r="O58" s="208"/>
      <c r="P58" s="208"/>
      <c r="Q58" s="208"/>
      <c r="R58" s="208"/>
      <c r="S58" s="208"/>
      <c r="T58" s="208"/>
      <c r="U58" s="208"/>
      <c r="V58" s="208"/>
      <c r="W58" s="208"/>
      <c r="X58" s="208"/>
      <c r="Y58" s="208"/>
      <c r="Z58" s="208"/>
      <c r="AA58" s="208"/>
    </row>
    <row r="59">
      <c r="A59" s="218">
        <v>57.0</v>
      </c>
      <c r="B59" s="219">
        <v>1011312.0</v>
      </c>
      <c r="C59" s="220" t="str">
        <f>vlookup(B59,'Crew Data'!C:G,5,0)</f>
        <v>Patchara Penpaijit</v>
      </c>
      <c r="D59" s="221" t="s">
        <v>942</v>
      </c>
      <c r="E59" s="222">
        <f>IFERROR(__xludf.DUMMYFUNCTION("IFERROR(SUM(
  ARRAYFORMULA(
    DATEVALUE(TRIM(MID(SPLIT(D59,CHAR(10)), FIND(""-"",SPLIT(D59,CHAR(10)))+1, 50))) 
  -
    DATEVALUE(TRIM(LEFT(SPLIT(D59,CHAR(10)), FIND(""-"",SPLIT(D59,CHAR(10)))-1)))
  + 1
)
),1)"),2.0)</f>
        <v>2</v>
      </c>
      <c r="F59" s="223">
        <f t="shared" si="1"/>
        <v>800</v>
      </c>
      <c r="G59" s="209" t="str">
        <f t="array" ref="G59">XLOOKUP(B59,Sheet68!A:A,Sheet68!AB:AB,0)</f>
        <v>patcharae@airasia.com</v>
      </c>
      <c r="H59" s="223">
        <f t="shared" si="2"/>
        <v>1</v>
      </c>
      <c r="I59" s="224" t="s">
        <v>20</v>
      </c>
      <c r="J59" s="208"/>
      <c r="K59" s="208"/>
      <c r="L59" s="208"/>
      <c r="M59" s="208"/>
      <c r="N59" s="208"/>
      <c r="O59" s="208"/>
      <c r="P59" s="208"/>
      <c r="Q59" s="208"/>
      <c r="R59" s="208"/>
      <c r="S59" s="208"/>
      <c r="T59" s="208"/>
      <c r="U59" s="208"/>
      <c r="V59" s="208"/>
      <c r="W59" s="208"/>
      <c r="X59" s="208"/>
      <c r="Y59" s="208"/>
      <c r="Z59" s="208"/>
      <c r="AA59" s="208"/>
    </row>
    <row r="60">
      <c r="A60" s="218">
        <v>58.0</v>
      </c>
      <c r="B60" s="219">
        <v>1011307.0</v>
      </c>
      <c r="C60" s="220" t="str">
        <f>vlookup(B60,'Crew Data'!C:G,5,0)</f>
        <v>Munnanicha Sarakong</v>
      </c>
      <c r="D60" s="225">
        <v>46082.0</v>
      </c>
      <c r="E60" s="222">
        <f>IFERROR(__xludf.DUMMYFUNCTION("IFERROR(SUM(
  ARRAYFORMULA(
    DATEVALUE(TRIM(MID(SPLIT(D60,CHAR(10)), FIND(""-"",SPLIT(D60,CHAR(10)))+1, 50))) 
  -
    DATEVALUE(TRIM(LEFT(SPLIT(D60,CHAR(10)), FIND(""-"",SPLIT(D60,CHAR(10)))-1)))
  + 1
)
),1)"),1.0)</f>
        <v>1</v>
      </c>
      <c r="F60" s="223">
        <f t="shared" si="1"/>
        <v>400</v>
      </c>
      <c r="G60" s="209" t="str">
        <f t="array" ref="G60">XLOOKUP(B60,Sheet68!A:A,Sheet68!AB:AB,0)</f>
        <v>munnanichas@airasia.com</v>
      </c>
      <c r="H60" s="223">
        <f t="shared" si="2"/>
        <v>1</v>
      </c>
      <c r="I60" s="224" t="s">
        <v>20</v>
      </c>
      <c r="J60" s="208"/>
      <c r="K60" s="208"/>
      <c r="L60" s="208"/>
      <c r="M60" s="208"/>
      <c r="N60" s="208"/>
      <c r="O60" s="208"/>
      <c r="P60" s="208"/>
      <c r="Q60" s="208"/>
      <c r="R60" s="208"/>
      <c r="S60" s="208"/>
      <c r="T60" s="208"/>
      <c r="U60" s="208"/>
      <c r="V60" s="208"/>
      <c r="W60" s="208"/>
      <c r="X60" s="208"/>
      <c r="Y60" s="208"/>
      <c r="Z60" s="208"/>
      <c r="AA60" s="208"/>
    </row>
    <row r="61">
      <c r="A61" s="218">
        <v>59.0</v>
      </c>
      <c r="B61" s="219">
        <v>1046111.0</v>
      </c>
      <c r="C61" s="220" t="str">
        <f>vlookup(B61,'Crew Data'!C:G,5,0)</f>
        <v>Chayanin Ratchusanti</v>
      </c>
      <c r="D61" s="221" t="s">
        <v>954</v>
      </c>
      <c r="E61" s="222">
        <f>IFERROR(__xludf.DUMMYFUNCTION("IFERROR(SUM(
  ARRAYFORMULA(
    DATEVALUE(TRIM(MID(SPLIT(D61,CHAR(10)), FIND(""-"",SPLIT(D61,CHAR(10)))+1, 50))) 
  -
    DATEVALUE(TRIM(LEFT(SPLIT(D61,CHAR(10)), FIND(""-"",SPLIT(D61,CHAR(10)))-1)))
  + 1
)
),1)"),2.0)</f>
        <v>2</v>
      </c>
      <c r="F61" s="223">
        <f t="shared" si="1"/>
        <v>800</v>
      </c>
      <c r="G61" s="209" t="str">
        <f t="array" ref="G61">XLOOKUP(B61,Sheet68!A:A,Sheet68!AB:AB,0)</f>
        <v>chayaninrat@airasia.com</v>
      </c>
      <c r="H61" s="223">
        <f t="shared" si="2"/>
        <v>1</v>
      </c>
      <c r="I61" s="224" t="s">
        <v>20</v>
      </c>
      <c r="J61" s="208"/>
      <c r="K61" s="208"/>
      <c r="L61" s="208"/>
      <c r="M61" s="208"/>
      <c r="N61" s="208"/>
      <c r="O61" s="208"/>
      <c r="P61" s="208"/>
      <c r="Q61" s="208"/>
      <c r="R61" s="208"/>
      <c r="S61" s="208"/>
      <c r="T61" s="208"/>
      <c r="U61" s="208"/>
      <c r="V61" s="208"/>
      <c r="W61" s="208"/>
      <c r="X61" s="208"/>
      <c r="Y61" s="208"/>
      <c r="Z61" s="208"/>
      <c r="AA61" s="208"/>
    </row>
    <row r="62">
      <c r="A62" s="218">
        <v>60.0</v>
      </c>
      <c r="B62" s="219">
        <v>1004213.0</v>
      </c>
      <c r="C62" s="220" t="str">
        <f>vlookup(B62,'Crew Data'!C:G,5,0)</f>
        <v>Worapada Suetrongmunkong</v>
      </c>
      <c r="D62" s="221" t="s">
        <v>955</v>
      </c>
      <c r="E62" s="222">
        <f>IFERROR(__xludf.DUMMYFUNCTION("IFERROR(SUM(
  ARRAYFORMULA(
    DATEVALUE(TRIM(MID(SPLIT(D62,CHAR(10)), FIND(""-"",SPLIT(D62,CHAR(10)))+1, 50))) 
  -
    DATEVALUE(TRIM(LEFT(SPLIT(D62,CHAR(10)), FIND(""-"",SPLIT(D62,CHAR(10)))-1)))
  + 1
)
),1)"),6.0)</f>
        <v>6</v>
      </c>
      <c r="F62" s="223">
        <f t="shared" si="1"/>
        <v>2400</v>
      </c>
      <c r="G62" s="209" t="str">
        <f t="array" ref="G62">XLOOKUP(B62,Sheet68!A:A,Sheet68!AB:AB,0)</f>
        <v>worapadas@airasia.com</v>
      </c>
      <c r="H62" s="223">
        <f t="shared" si="2"/>
        <v>1</v>
      </c>
      <c r="I62" s="224" t="s">
        <v>20</v>
      </c>
      <c r="J62" s="208"/>
      <c r="K62" s="208"/>
      <c r="L62" s="208"/>
      <c r="M62" s="208"/>
      <c r="N62" s="208"/>
      <c r="O62" s="208"/>
      <c r="P62" s="208"/>
      <c r="Q62" s="208"/>
      <c r="R62" s="208"/>
      <c r="S62" s="208"/>
      <c r="T62" s="208"/>
      <c r="U62" s="208"/>
      <c r="V62" s="208"/>
      <c r="W62" s="208"/>
      <c r="X62" s="208"/>
      <c r="Y62" s="208"/>
      <c r="Z62" s="208"/>
      <c r="AA62" s="208"/>
    </row>
    <row r="63">
      <c r="A63" s="218">
        <v>61.0</v>
      </c>
      <c r="B63" s="219">
        <v>1017935.0</v>
      </c>
      <c r="C63" s="220" t="str">
        <f>vlookup(B63,'Crew Data'!C:G,5,0)</f>
        <v>Supitcha Chansiri</v>
      </c>
      <c r="D63" s="221" t="s">
        <v>943</v>
      </c>
      <c r="E63" s="222">
        <f>IFERROR(__xludf.DUMMYFUNCTION("IFERROR(SUM(
  ARRAYFORMULA(
    DATEVALUE(TRIM(MID(SPLIT(D63,CHAR(10)), FIND(""-"",SPLIT(D63,CHAR(10)))+1, 50))) 
  -
    DATEVALUE(TRIM(LEFT(SPLIT(D63,CHAR(10)), FIND(""-"",SPLIT(D63,CHAR(10)))-1)))
  + 1
)
),1)"),2.0)</f>
        <v>2</v>
      </c>
      <c r="F63" s="223">
        <f t="shared" si="1"/>
        <v>800</v>
      </c>
      <c r="G63" s="209" t="str">
        <f t="array" ref="G63">XLOOKUP(B63,Sheet68!A:A,Sheet68!AB:AB,0)</f>
        <v>supitchac@airasia.com</v>
      </c>
      <c r="H63" s="223">
        <f t="shared" si="2"/>
        <v>1</v>
      </c>
      <c r="I63" s="224" t="s">
        <v>20</v>
      </c>
      <c r="J63" s="208"/>
      <c r="K63" s="208"/>
      <c r="L63" s="208"/>
      <c r="M63" s="208"/>
      <c r="N63" s="208"/>
      <c r="O63" s="208"/>
      <c r="P63" s="208"/>
      <c r="Q63" s="208"/>
      <c r="R63" s="208"/>
      <c r="S63" s="208"/>
      <c r="T63" s="208"/>
      <c r="U63" s="208"/>
      <c r="V63" s="208"/>
      <c r="W63" s="208"/>
      <c r="X63" s="208"/>
      <c r="Y63" s="208"/>
      <c r="Z63" s="208"/>
      <c r="AA63" s="208"/>
    </row>
    <row r="64">
      <c r="A64" s="218">
        <v>62.0</v>
      </c>
      <c r="B64" s="219">
        <v>1001216.0</v>
      </c>
      <c r="C64" s="220" t="str">
        <f>vlookup(B64,'Crew Data'!C:G,5,0)</f>
        <v>Waraporn Siripaiwan</v>
      </c>
      <c r="D64" s="221" t="s">
        <v>939</v>
      </c>
      <c r="E64" s="222">
        <f>IFERROR(__xludf.DUMMYFUNCTION("IFERROR(SUM(
  ARRAYFORMULA(
    DATEVALUE(TRIM(MID(SPLIT(D64,CHAR(10)), FIND(""-"",SPLIT(D64,CHAR(10)))+1, 50))) 
  -
    DATEVALUE(TRIM(LEFT(SPLIT(D64,CHAR(10)), FIND(""-"",SPLIT(D64,CHAR(10)))-1)))
  + 1
)
),1)"),2.0)</f>
        <v>2</v>
      </c>
      <c r="F64" s="223">
        <f t="shared" si="1"/>
        <v>800</v>
      </c>
      <c r="G64" s="209" t="str">
        <f t="array" ref="G64">XLOOKUP(B64,Sheet68!A:A,Sheet68!AB:AB,0)</f>
        <v>waraporns@airasia.com</v>
      </c>
      <c r="H64" s="223">
        <f t="shared" si="2"/>
        <v>1</v>
      </c>
      <c r="I64" s="224" t="s">
        <v>20</v>
      </c>
      <c r="J64" s="208"/>
      <c r="K64" s="208"/>
      <c r="L64" s="208"/>
      <c r="M64" s="208"/>
      <c r="N64" s="208"/>
      <c r="O64" s="208"/>
      <c r="P64" s="208"/>
      <c r="Q64" s="208"/>
      <c r="R64" s="208"/>
      <c r="S64" s="208"/>
      <c r="T64" s="208"/>
      <c r="U64" s="208"/>
      <c r="V64" s="208"/>
      <c r="W64" s="208"/>
      <c r="X64" s="208"/>
      <c r="Y64" s="208"/>
      <c r="Z64" s="208"/>
      <c r="AA64" s="208"/>
    </row>
    <row r="65">
      <c r="A65" s="218">
        <v>63.0</v>
      </c>
      <c r="B65" s="219">
        <v>1043861.0</v>
      </c>
      <c r="C65" s="220" t="str">
        <f>vlookup(B65,'Crew Data'!C:G,5,0)</f>
        <v>Chonkaseam Borisuth</v>
      </c>
      <c r="D65" s="221" t="s">
        <v>956</v>
      </c>
      <c r="E65" s="222">
        <f>IFERROR(__xludf.DUMMYFUNCTION("IFERROR(SUM(
  ARRAYFORMULA(
    DATEVALUE(TRIM(MID(SPLIT(D65,CHAR(10)), FIND(""-"",SPLIT(D65,CHAR(10)))+1, 50))) 
  -
    DATEVALUE(TRIM(LEFT(SPLIT(D65,CHAR(10)), FIND(""-"",SPLIT(D65,CHAR(10)))-1)))
  + 1
)
),1)"),4.0)</f>
        <v>4</v>
      </c>
      <c r="F65" s="223">
        <f t="shared" si="1"/>
        <v>1600</v>
      </c>
      <c r="G65" s="209" t="str">
        <f t="array" ref="G65">XLOOKUP(B65,Sheet68!A:A,Sheet68!AB:AB,0)</f>
        <v>chonkaseambor@airasia.com</v>
      </c>
      <c r="H65" s="223">
        <f t="shared" si="2"/>
        <v>1</v>
      </c>
      <c r="I65" s="224" t="s">
        <v>20</v>
      </c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</row>
    <row r="66">
      <c r="A66" s="218">
        <v>64.0</v>
      </c>
      <c r="B66" s="219">
        <v>1015406.0</v>
      </c>
      <c r="C66" s="220" t="str">
        <f>vlookup(B66,'Crew Data'!C:G,5,0)</f>
        <v>Perati Ardwong</v>
      </c>
      <c r="D66" s="221" t="s">
        <v>939</v>
      </c>
      <c r="E66" s="222">
        <f>IFERROR(__xludf.DUMMYFUNCTION("IFERROR(SUM(
  ARRAYFORMULA(
    DATEVALUE(TRIM(MID(SPLIT(D66,CHAR(10)), FIND(""-"",SPLIT(D66,CHAR(10)))+1, 50))) 
  -
    DATEVALUE(TRIM(LEFT(SPLIT(D66,CHAR(10)), FIND(""-"",SPLIT(D66,CHAR(10)))-1)))
  + 1
)
),1)"),2.0)</f>
        <v>2</v>
      </c>
      <c r="F66" s="223">
        <f t="shared" si="1"/>
        <v>800</v>
      </c>
      <c r="G66" s="209" t="str">
        <f t="array" ref="G66">XLOOKUP(B66,Sheet68!A:A,Sheet68!AB:AB,0)</f>
        <v>peratia@airasia.com</v>
      </c>
      <c r="H66" s="223">
        <f t="shared" si="2"/>
        <v>1</v>
      </c>
      <c r="I66" s="224" t="s">
        <v>20</v>
      </c>
      <c r="J66" s="208"/>
      <c r="K66" s="208"/>
      <c r="L66" s="208"/>
      <c r="M66" s="208"/>
      <c r="N66" s="208"/>
      <c r="O66" s="208"/>
      <c r="P66" s="208"/>
      <c r="Q66" s="208"/>
      <c r="R66" s="208"/>
      <c r="S66" s="208"/>
      <c r="T66" s="208"/>
      <c r="U66" s="208"/>
      <c r="V66" s="208"/>
      <c r="W66" s="208"/>
      <c r="X66" s="208"/>
      <c r="Y66" s="208"/>
      <c r="Z66" s="208"/>
      <c r="AA66" s="208"/>
    </row>
    <row r="67">
      <c r="A67" s="218">
        <v>65.0</v>
      </c>
      <c r="B67" s="219">
        <v>1001738.0</v>
      </c>
      <c r="C67" s="220" t="str">
        <f>vlookup(B67,'Crew Data'!C:G,5,0)</f>
        <v>Nannaphat Poolklai</v>
      </c>
      <c r="D67" s="221" t="s">
        <v>951</v>
      </c>
      <c r="E67" s="222">
        <f>IFERROR(__xludf.DUMMYFUNCTION("IFERROR(SUM(
  ARRAYFORMULA(
    DATEVALUE(TRIM(MID(SPLIT(D67,CHAR(10)), FIND(""-"",SPLIT(D67,CHAR(10)))+1, 50))) 
  -
    DATEVALUE(TRIM(LEFT(SPLIT(D67,CHAR(10)), FIND(""-"",SPLIT(D67,CHAR(10)))-1)))
  + 1
)
),1)"),2.0)</f>
        <v>2</v>
      </c>
      <c r="F67" s="223">
        <f t="shared" si="1"/>
        <v>800</v>
      </c>
      <c r="G67" s="209" t="str">
        <f t="array" ref="G67">XLOOKUP(B67,Sheet68!A:A,Sheet68!AB:AB,0)</f>
        <v>nannaphatpoolklai@airasia.com</v>
      </c>
      <c r="H67" s="223">
        <f t="shared" si="2"/>
        <v>1</v>
      </c>
      <c r="I67" s="224" t="s">
        <v>20</v>
      </c>
      <c r="J67" s="208"/>
      <c r="K67" s="208"/>
      <c r="L67" s="208"/>
      <c r="M67" s="208"/>
      <c r="N67" s="208"/>
      <c r="O67" s="208"/>
      <c r="P67" s="208"/>
      <c r="Q67" s="208"/>
      <c r="R67" s="208"/>
      <c r="S67" s="208"/>
      <c r="T67" s="208"/>
      <c r="U67" s="208"/>
      <c r="V67" s="208"/>
      <c r="W67" s="208"/>
      <c r="X67" s="208"/>
      <c r="Y67" s="208"/>
      <c r="Z67" s="208"/>
      <c r="AA67" s="208"/>
    </row>
    <row r="68">
      <c r="A68" s="218">
        <v>66.0</v>
      </c>
      <c r="B68" s="219">
        <v>1013048.0</v>
      </c>
      <c r="C68" s="220" t="str">
        <f>vlookup(B68,'Crew Data'!C:G,5,0)</f>
        <v>Thanchanok Srisawang</v>
      </c>
      <c r="D68" s="221" t="s">
        <v>957</v>
      </c>
      <c r="E68" s="222">
        <f>IFERROR(__xludf.DUMMYFUNCTION("IFERROR(SUM(
  ARRAYFORMULA(
    DATEVALUE(TRIM(MID(SPLIT(D68,CHAR(10)), FIND(""-"",SPLIT(D68,CHAR(10)))+1, 50))) 
  -
    DATEVALUE(TRIM(LEFT(SPLIT(D68,CHAR(10)), FIND(""-"",SPLIT(D68,CHAR(10)))-1)))
  + 1
)
),1)"),2.0)</f>
        <v>2</v>
      </c>
      <c r="F68" s="223">
        <f t="shared" si="1"/>
        <v>800</v>
      </c>
      <c r="G68" s="209" t="str">
        <f t="array" ref="G68">XLOOKUP(B68,Sheet68!A:A,Sheet68!AB:AB,0)</f>
        <v>thanchanoks@airasia.com</v>
      </c>
      <c r="H68" s="223">
        <f t="shared" si="2"/>
        <v>1</v>
      </c>
      <c r="I68" s="224" t="s">
        <v>20</v>
      </c>
      <c r="J68" s="208"/>
      <c r="K68" s="208"/>
      <c r="L68" s="208"/>
      <c r="M68" s="208"/>
      <c r="N68" s="208"/>
      <c r="O68" s="208"/>
      <c r="P68" s="208"/>
      <c r="Q68" s="208"/>
      <c r="R68" s="208"/>
      <c r="S68" s="208"/>
      <c r="T68" s="208"/>
      <c r="U68" s="208"/>
      <c r="V68" s="208"/>
      <c r="W68" s="208"/>
      <c r="X68" s="208"/>
      <c r="Y68" s="208"/>
      <c r="Z68" s="208"/>
      <c r="AA68" s="208"/>
    </row>
    <row r="69">
      <c r="A69" s="218">
        <v>67.0</v>
      </c>
      <c r="B69" s="219">
        <v>1007016.0</v>
      </c>
      <c r="C69" s="220" t="str">
        <f>vlookup(B69,'Crew Data'!C:G,5,0)</f>
        <v>Sathita Pongsomran</v>
      </c>
      <c r="D69" s="221" t="s">
        <v>958</v>
      </c>
      <c r="E69" s="222">
        <f>IFERROR(__xludf.DUMMYFUNCTION("IFERROR(SUM(
  ARRAYFORMULA(
    DATEVALUE(TRIM(MID(SPLIT(D69,CHAR(10)), FIND(""-"",SPLIT(D69,CHAR(10)))+1, 50))) 
  -
    DATEVALUE(TRIM(LEFT(SPLIT(D69,CHAR(10)), FIND(""-"",SPLIT(D69,CHAR(10)))-1)))
  + 1
)
),1)"),5.0)</f>
        <v>5</v>
      </c>
      <c r="F69" s="223">
        <f t="shared" si="1"/>
        <v>2000</v>
      </c>
      <c r="G69" s="209" t="str">
        <f t="array" ref="G69">XLOOKUP(B69,Sheet68!A:A,Sheet68!AB:AB,0)</f>
        <v>sathitap@airasia.com</v>
      </c>
      <c r="H69" s="223">
        <f t="shared" si="2"/>
        <v>1</v>
      </c>
      <c r="I69" s="224" t="s">
        <v>20</v>
      </c>
      <c r="J69" s="208"/>
      <c r="K69" s="208"/>
      <c r="L69" s="208"/>
      <c r="M69" s="208"/>
      <c r="N69" s="208"/>
      <c r="O69" s="208"/>
      <c r="P69" s="208"/>
      <c r="Q69" s="208"/>
      <c r="R69" s="208"/>
      <c r="S69" s="208"/>
      <c r="T69" s="208"/>
      <c r="U69" s="208"/>
      <c r="V69" s="208"/>
      <c r="W69" s="208"/>
      <c r="X69" s="208"/>
      <c r="Y69" s="208"/>
      <c r="Z69" s="208"/>
      <c r="AA69" s="208"/>
    </row>
    <row r="70">
      <c r="A70" s="218">
        <v>68.0</v>
      </c>
      <c r="B70" s="219">
        <v>1012359.0</v>
      </c>
      <c r="C70" s="220" t="str">
        <f>vlookup(B70,'Crew Data'!C:G,5,0)</f>
        <v>Kotchakon Kanchanamethakul</v>
      </c>
      <c r="D70" s="221" t="s">
        <v>959</v>
      </c>
      <c r="E70" s="222">
        <f>IFERROR(__xludf.DUMMYFUNCTION("IFERROR(SUM(
  ARRAYFORMULA(
    DATEVALUE(TRIM(MID(SPLIT(D70,CHAR(10)), FIND(""-"",SPLIT(D70,CHAR(10)))+1, 50))) 
  -
    DATEVALUE(TRIM(LEFT(SPLIT(D70,CHAR(10)), FIND(""-"",SPLIT(D70,CHAR(10)))-1)))
  + 1
)
),1)"),12.0)</f>
        <v>12</v>
      </c>
      <c r="F70" s="223">
        <f t="shared" si="1"/>
        <v>4800</v>
      </c>
      <c r="G70" s="209" t="str">
        <f t="array" ref="G70">XLOOKUP(B70,Sheet68!A:A,Sheet68!AB:AB,0)</f>
        <v>kotchakonk@airasia.com</v>
      </c>
      <c r="H70" s="223">
        <f t="shared" si="2"/>
        <v>1</v>
      </c>
      <c r="I70" s="224" t="s">
        <v>20</v>
      </c>
      <c r="J70" s="208"/>
      <c r="K70" s="208"/>
      <c r="L70" s="208"/>
      <c r="M70" s="208"/>
      <c r="N70" s="208"/>
      <c r="O70" s="208"/>
      <c r="P70" s="208"/>
      <c r="Q70" s="208"/>
      <c r="R70" s="208"/>
      <c r="S70" s="208"/>
      <c r="T70" s="208"/>
      <c r="U70" s="208"/>
      <c r="V70" s="208"/>
      <c r="W70" s="208"/>
      <c r="X70" s="208"/>
      <c r="Y70" s="208"/>
      <c r="Z70" s="208"/>
      <c r="AA70" s="208"/>
    </row>
    <row r="71">
      <c r="A71" s="218">
        <v>69.0</v>
      </c>
      <c r="B71" s="219">
        <v>1012256.0</v>
      </c>
      <c r="C71" s="220" t="str">
        <f>vlookup(B71,'Crew Data'!C:G,5,0)</f>
        <v>Sarayut Ungsaichue</v>
      </c>
      <c r="D71" s="221" t="s">
        <v>960</v>
      </c>
      <c r="E71" s="222">
        <f>IFERROR(__xludf.DUMMYFUNCTION("IFERROR(SUM(
  ARRAYFORMULA(
    DATEVALUE(TRIM(MID(SPLIT(D71,CHAR(10)), FIND(""-"",SPLIT(D71,CHAR(10)))+1, 50))) 
  -
    DATEVALUE(TRIM(LEFT(SPLIT(D71,CHAR(10)), FIND(""-"",SPLIT(D71,CHAR(10)))-1)))
  + 1
)
),1)"),6.0)</f>
        <v>6</v>
      </c>
      <c r="F71" s="223">
        <f t="shared" si="1"/>
        <v>2400</v>
      </c>
      <c r="G71" s="209" t="str">
        <f t="array" ref="G71">XLOOKUP(B71,Sheet68!A:A,Sheet68!AB:AB,0)</f>
        <v>sarayutu@airasia.com</v>
      </c>
      <c r="H71" s="223">
        <f t="shared" si="2"/>
        <v>1</v>
      </c>
      <c r="I71" s="224" t="s">
        <v>20</v>
      </c>
      <c r="J71" s="208"/>
      <c r="K71" s="208"/>
      <c r="L71" s="208"/>
      <c r="M71" s="208"/>
      <c r="N71" s="208"/>
      <c r="O71" s="208"/>
      <c r="P71" s="208"/>
      <c r="Q71" s="208"/>
      <c r="R71" s="208"/>
      <c r="S71" s="208"/>
      <c r="T71" s="208"/>
      <c r="U71" s="208"/>
      <c r="V71" s="208"/>
      <c r="W71" s="208"/>
      <c r="X71" s="208"/>
      <c r="Y71" s="208"/>
      <c r="Z71" s="208"/>
      <c r="AA71" s="208"/>
    </row>
    <row r="72">
      <c r="A72" s="218">
        <v>70.0</v>
      </c>
      <c r="B72" s="226">
        <v>1017564.0</v>
      </c>
      <c r="C72" s="220" t="str">
        <f>vlookup(B72,'Crew Data'!C:G,5,0)</f>
        <v>Atchara Rungrot</v>
      </c>
      <c r="D72" s="221" t="s">
        <v>961</v>
      </c>
      <c r="E72" s="222">
        <f>IFERROR(__xludf.DUMMYFUNCTION("IFERROR(SUM(
  ARRAYFORMULA(
    DATEVALUE(TRIM(MID(SPLIT(D72,CHAR(10)), FIND(""-"",SPLIT(D72,CHAR(10)))+1, 50))) 
  -
    DATEVALUE(TRIM(LEFT(SPLIT(D72,CHAR(10)), FIND(""-"",SPLIT(D72,CHAR(10)))-1)))
  + 1
)
),1)"),2.0)</f>
        <v>2</v>
      </c>
      <c r="F72" s="223">
        <f t="shared" si="1"/>
        <v>800</v>
      </c>
      <c r="G72" s="209" t="str">
        <f t="array" ref="G72">XLOOKUP(B72,Sheet68!A:A,Sheet68!AB:AB,0)</f>
        <v>atcharar@airasia.com</v>
      </c>
      <c r="H72" s="223">
        <f t="shared" si="2"/>
        <v>1</v>
      </c>
      <c r="I72" s="227" t="s">
        <v>20</v>
      </c>
      <c r="J72" s="208"/>
      <c r="K72" s="208"/>
      <c r="L72" s="208"/>
      <c r="M72" s="208"/>
      <c r="N72" s="208"/>
      <c r="O72" s="208"/>
      <c r="P72" s="208"/>
      <c r="Q72" s="208"/>
      <c r="R72" s="208"/>
      <c r="S72" s="208"/>
      <c r="T72" s="208"/>
      <c r="U72" s="208"/>
      <c r="V72" s="208"/>
      <c r="W72" s="208"/>
      <c r="X72" s="208"/>
      <c r="Y72" s="208"/>
      <c r="Z72" s="208"/>
      <c r="AA72" s="208"/>
    </row>
    <row r="73">
      <c r="A73" s="218">
        <v>71.0</v>
      </c>
      <c r="B73" s="226">
        <v>1004748.0</v>
      </c>
      <c r="C73" s="220" t="str">
        <f>vlookup(B73,'Crew Data'!C:G,5,0)</f>
        <v>Chirapha Khlaikhlueng</v>
      </c>
      <c r="D73" s="221" t="s">
        <v>962</v>
      </c>
      <c r="E73" s="222">
        <f>IFERROR(__xludf.DUMMYFUNCTION("IFERROR(SUM(
  ARRAYFORMULA(
    DATEVALUE(TRIM(MID(SPLIT(D73,CHAR(10)), FIND(""-"",SPLIT(D73,CHAR(10)))+1, 50))) 
  -
    DATEVALUE(TRIM(LEFT(SPLIT(D73,CHAR(10)), FIND(""-"",SPLIT(D73,CHAR(10)))-1)))
  + 1
)
),1)"),2.0)</f>
        <v>2</v>
      </c>
      <c r="F73" s="223">
        <f t="shared" si="1"/>
        <v>800</v>
      </c>
      <c r="G73" s="209" t="str">
        <f t="array" ref="G73">XLOOKUP(B73,Sheet68!A:A,Sheet68!AB:AB,0)</f>
        <v>chiraphak@airasia.com</v>
      </c>
      <c r="H73" s="223">
        <f t="shared" si="2"/>
        <v>1</v>
      </c>
      <c r="I73" s="224" t="s">
        <v>20</v>
      </c>
      <c r="J73" s="208"/>
      <c r="K73" s="208"/>
      <c r="L73" s="208"/>
      <c r="M73" s="208"/>
      <c r="N73" s="208"/>
      <c r="O73" s="208"/>
      <c r="P73" s="208"/>
      <c r="Q73" s="208"/>
      <c r="R73" s="208"/>
      <c r="S73" s="208"/>
      <c r="T73" s="208"/>
      <c r="U73" s="208"/>
      <c r="V73" s="208"/>
      <c r="W73" s="208"/>
      <c r="X73" s="208"/>
      <c r="Y73" s="208"/>
      <c r="Z73" s="208"/>
      <c r="AA73" s="208"/>
    </row>
    <row r="74">
      <c r="A74" s="218">
        <v>72.0</v>
      </c>
      <c r="B74" s="219">
        <v>1022222.0</v>
      </c>
      <c r="C74" s="220" t="str">
        <f>vlookup(B74,'Crew Data'!C:G,5,0)</f>
        <v>Songboon Kiatchaweepan</v>
      </c>
      <c r="D74" s="221" t="s">
        <v>963</v>
      </c>
      <c r="E74" s="222">
        <f>IFERROR(__xludf.DUMMYFUNCTION("IFERROR(SUM(
  ARRAYFORMULA(
    DATEVALUE(TRIM(MID(SPLIT(D74,CHAR(10)), FIND(""-"",SPLIT(D74,CHAR(10)))+1, 50))) 
  -
    DATEVALUE(TRIM(LEFT(SPLIT(D74,CHAR(10)), FIND(""-"",SPLIT(D74,CHAR(10)))-1)))
  + 1
)
),1)"),4.0)</f>
        <v>4</v>
      </c>
      <c r="F74" s="223">
        <f t="shared" si="1"/>
        <v>1600</v>
      </c>
      <c r="G74" s="209" t="str">
        <f t="array" ref="G74">XLOOKUP(B74,Sheet68!A:A,Sheet68!AB:AB,0)</f>
        <v>songboonkiatchaweep@airasia.com</v>
      </c>
      <c r="H74" s="223">
        <f t="shared" si="2"/>
        <v>1</v>
      </c>
      <c r="I74" s="224" t="s">
        <v>20</v>
      </c>
      <c r="J74" s="208"/>
      <c r="K74" s="208"/>
      <c r="L74" s="208"/>
      <c r="M74" s="208"/>
      <c r="N74" s="208"/>
      <c r="O74" s="208"/>
      <c r="P74" s="208"/>
      <c r="Q74" s="208"/>
      <c r="R74" s="208"/>
      <c r="S74" s="208"/>
      <c r="T74" s="208"/>
      <c r="U74" s="208"/>
      <c r="V74" s="208"/>
      <c r="W74" s="208"/>
      <c r="X74" s="208"/>
      <c r="Y74" s="208"/>
      <c r="Z74" s="208"/>
      <c r="AA74" s="208"/>
    </row>
    <row r="75">
      <c r="A75" s="218">
        <v>73.0</v>
      </c>
      <c r="B75" s="219">
        <v>1012053.0</v>
      </c>
      <c r="C75" s="220" t="str">
        <f>vlookup(B75,'Crew Data'!C:G,5,0)</f>
        <v>Nawapol Songpool</v>
      </c>
      <c r="D75" s="221" t="s">
        <v>948</v>
      </c>
      <c r="E75" s="222">
        <f>IFERROR(__xludf.DUMMYFUNCTION("IFERROR(SUM(
  ARRAYFORMULA(
    DATEVALUE(TRIM(MID(SPLIT(D75,CHAR(10)), FIND(""-"",SPLIT(D75,CHAR(10)))+1, 50))) 
  -
    DATEVALUE(TRIM(LEFT(SPLIT(D75,CHAR(10)), FIND(""-"",SPLIT(D75,CHAR(10)))-1)))
  + 1
)
),1)"),2.0)</f>
        <v>2</v>
      </c>
      <c r="F75" s="223">
        <f t="shared" si="1"/>
        <v>800</v>
      </c>
      <c r="G75" s="209" t="str">
        <f t="array" ref="G75">XLOOKUP(B75,Sheet68!A:A,Sheet68!AB:AB,0)</f>
        <v>nawapols@airasia.com</v>
      </c>
      <c r="H75" s="223">
        <f t="shared" si="2"/>
        <v>1</v>
      </c>
      <c r="I75" s="224" t="s">
        <v>20</v>
      </c>
      <c r="J75" s="208"/>
      <c r="K75" s="208"/>
      <c r="L75" s="208"/>
      <c r="M75" s="208"/>
      <c r="N75" s="208"/>
      <c r="O75" s="208"/>
      <c r="P75" s="208"/>
      <c r="Q75" s="208"/>
      <c r="R75" s="208"/>
      <c r="S75" s="208"/>
      <c r="T75" s="208"/>
      <c r="U75" s="208"/>
      <c r="V75" s="208"/>
      <c r="W75" s="208"/>
      <c r="X75" s="208"/>
      <c r="Y75" s="208"/>
      <c r="Z75" s="208"/>
      <c r="AA75" s="208"/>
    </row>
    <row r="76">
      <c r="A76" s="218">
        <v>74.0</v>
      </c>
      <c r="B76" s="219">
        <v>1011310.0</v>
      </c>
      <c r="C76" s="220" t="str">
        <f>vlookup(B76,'Crew Data'!C:G,5,0)</f>
        <v>Nicha Manapradit</v>
      </c>
      <c r="D76" s="221" t="s">
        <v>932</v>
      </c>
      <c r="E76" s="222">
        <f>IFERROR(__xludf.DUMMYFUNCTION("IFERROR(SUM(
  ARRAYFORMULA(
    DATEVALUE(TRIM(MID(SPLIT(D76,CHAR(10)), FIND(""-"",SPLIT(D76,CHAR(10)))+1, 50))) 
  -
    DATEVALUE(TRIM(LEFT(SPLIT(D76,CHAR(10)), FIND(""-"",SPLIT(D76,CHAR(10)))-1)))
  + 1
)
),1)"),2.0)</f>
        <v>2</v>
      </c>
      <c r="F76" s="223">
        <f t="shared" si="1"/>
        <v>800</v>
      </c>
      <c r="G76" s="209" t="str">
        <f t="array" ref="G76">XLOOKUP(B76,Sheet68!A:A,Sheet68!AB:AB,0)</f>
        <v>nicham@airasia.com</v>
      </c>
      <c r="H76" s="223">
        <f t="shared" si="2"/>
        <v>1</v>
      </c>
      <c r="I76" s="224" t="s">
        <v>20</v>
      </c>
      <c r="J76" s="208"/>
      <c r="K76" s="208"/>
      <c r="L76" s="208"/>
      <c r="M76" s="208"/>
      <c r="N76" s="208"/>
      <c r="O76" s="208"/>
      <c r="P76" s="208"/>
      <c r="Q76" s="208"/>
      <c r="R76" s="208"/>
      <c r="S76" s="208"/>
      <c r="T76" s="208"/>
      <c r="U76" s="208"/>
      <c r="V76" s="208"/>
      <c r="W76" s="208"/>
      <c r="X76" s="208"/>
      <c r="Y76" s="208"/>
      <c r="Z76" s="208"/>
      <c r="AA76" s="208"/>
    </row>
    <row r="77">
      <c r="A77" s="218">
        <v>75.0</v>
      </c>
      <c r="B77" s="219">
        <v>1013184.0</v>
      </c>
      <c r="C77" s="220" t="str">
        <f>vlookup(B77,'Crew Data'!C:G,5,0)</f>
        <v>Pinnarat Mawinthon</v>
      </c>
      <c r="D77" s="221" t="s">
        <v>958</v>
      </c>
      <c r="E77" s="222">
        <f>IFERROR(__xludf.DUMMYFUNCTION("IFERROR(SUM(
  ARRAYFORMULA(
    DATEVALUE(TRIM(MID(SPLIT(D77,CHAR(10)), FIND(""-"",SPLIT(D77,CHAR(10)))+1, 50))) 
  -
    DATEVALUE(TRIM(LEFT(SPLIT(D77,CHAR(10)), FIND(""-"",SPLIT(D77,CHAR(10)))-1)))
  + 1
)
),1)"),5.0)</f>
        <v>5</v>
      </c>
      <c r="F77" s="223">
        <f t="shared" si="1"/>
        <v>2000</v>
      </c>
      <c r="G77" s="209" t="str">
        <f t="array" ref="G77">XLOOKUP(B77,Sheet68!A:A,Sheet68!AB:AB,0)</f>
        <v>pinnaratm@airasia.com</v>
      </c>
      <c r="H77" s="223">
        <f t="shared" si="2"/>
        <v>1</v>
      </c>
      <c r="I77" s="224" t="s">
        <v>20</v>
      </c>
      <c r="J77" s="208"/>
      <c r="K77" s="208"/>
      <c r="L77" s="208"/>
      <c r="M77" s="208"/>
      <c r="N77" s="208"/>
      <c r="O77" s="208"/>
      <c r="P77" s="208"/>
      <c r="Q77" s="208"/>
      <c r="R77" s="208"/>
      <c r="S77" s="208"/>
      <c r="T77" s="208"/>
      <c r="U77" s="208"/>
      <c r="V77" s="208"/>
      <c r="W77" s="208"/>
      <c r="X77" s="208"/>
      <c r="Y77" s="208"/>
      <c r="Z77" s="208"/>
      <c r="AA77" s="208"/>
    </row>
    <row r="78">
      <c r="A78" s="218">
        <v>76.0</v>
      </c>
      <c r="B78" s="219">
        <v>1007340.0</v>
      </c>
      <c r="C78" s="220" t="str">
        <f>vlookup(B78,'Crew Data'!C:G,5,0)</f>
        <v>Patpapada Vadtanawat</v>
      </c>
      <c r="D78" s="221" t="s">
        <v>964</v>
      </c>
      <c r="E78" s="222">
        <f>IFERROR(__xludf.DUMMYFUNCTION("IFERROR(SUM(
  ARRAYFORMULA(
    DATEVALUE(TRIM(MID(SPLIT(D78,CHAR(10)), FIND(""-"",SPLIT(D78,CHAR(10)))+1, 50))) 
  -
    DATEVALUE(TRIM(LEFT(SPLIT(D78,CHAR(10)), FIND(""-"",SPLIT(D78,CHAR(10)))-1)))
  + 1
)
),1)"),5.0)</f>
        <v>5</v>
      </c>
      <c r="F78" s="223">
        <f t="shared" si="1"/>
        <v>2000</v>
      </c>
      <c r="G78" s="209" t="str">
        <f t="array" ref="G78">XLOOKUP(B78,Sheet68!A:A,Sheet68!AB:AB,0)</f>
        <v>patpapadav@airasia.com</v>
      </c>
      <c r="H78" s="223">
        <f t="shared" si="2"/>
        <v>1</v>
      </c>
      <c r="I78" s="224" t="s">
        <v>20</v>
      </c>
      <c r="J78" s="208"/>
      <c r="K78" s="208"/>
      <c r="L78" s="208"/>
      <c r="M78" s="208"/>
      <c r="N78" s="208"/>
      <c r="O78" s="208"/>
      <c r="P78" s="208"/>
      <c r="Q78" s="208"/>
      <c r="R78" s="208"/>
      <c r="S78" s="208"/>
      <c r="T78" s="208"/>
      <c r="U78" s="208"/>
      <c r="V78" s="208"/>
      <c r="W78" s="208"/>
      <c r="X78" s="208"/>
      <c r="Y78" s="208"/>
      <c r="Z78" s="208"/>
      <c r="AA78" s="208"/>
    </row>
    <row r="79">
      <c r="A79" s="218">
        <v>77.0</v>
      </c>
      <c r="B79" s="219">
        <v>1003302.0</v>
      </c>
      <c r="C79" s="220" t="str">
        <f>vlookup(B79,'Crew Data'!C:G,5,0)</f>
        <v>Panwad Thongkham</v>
      </c>
      <c r="D79" s="221" t="s">
        <v>965</v>
      </c>
      <c r="E79" s="222">
        <f>IFERROR(__xludf.DUMMYFUNCTION("IFERROR(SUM(
  ARRAYFORMULA(
    DATEVALUE(TRIM(MID(SPLIT(D79,CHAR(10)), FIND(""-"",SPLIT(D79,CHAR(10)))+1, 50))) 
  -
    DATEVALUE(TRIM(LEFT(SPLIT(D79,CHAR(10)), FIND(""-"",SPLIT(D79,CHAR(10)))-1)))
  + 1
)
),1)"),4.0)</f>
        <v>4</v>
      </c>
      <c r="F79" s="223">
        <f t="shared" si="1"/>
        <v>1600</v>
      </c>
      <c r="G79" s="209" t="str">
        <f t="array" ref="G79">XLOOKUP(B79,Sheet68!A:A,Sheet68!AB:AB,0)</f>
        <v>panwadt@airasia.com</v>
      </c>
      <c r="H79" s="223">
        <f t="shared" si="2"/>
        <v>1</v>
      </c>
      <c r="I79" s="224" t="s">
        <v>20</v>
      </c>
      <c r="J79" s="208"/>
      <c r="K79" s="208"/>
      <c r="L79" s="208"/>
      <c r="M79" s="208"/>
      <c r="N79" s="208"/>
      <c r="O79" s="208"/>
      <c r="P79" s="208"/>
      <c r="Q79" s="208"/>
      <c r="R79" s="208"/>
      <c r="S79" s="208"/>
      <c r="T79" s="208"/>
      <c r="U79" s="208"/>
      <c r="V79" s="208"/>
      <c r="W79" s="208"/>
      <c r="X79" s="208"/>
      <c r="Y79" s="208"/>
      <c r="Z79" s="208"/>
      <c r="AA79" s="208"/>
    </row>
    <row r="80">
      <c r="A80" s="218">
        <v>78.0</v>
      </c>
      <c r="B80" s="219">
        <v>1040342.0</v>
      </c>
      <c r="C80" s="220" t="str">
        <f>vlookup(B80,'Crew Data'!C:G,5,0)</f>
        <v>Areeya Taleb</v>
      </c>
      <c r="D80" s="221" t="s">
        <v>966</v>
      </c>
      <c r="E80" s="222">
        <f>IFERROR(__xludf.DUMMYFUNCTION("IFERROR(SUM(
  ARRAYFORMULA(
    DATEVALUE(TRIM(MID(SPLIT(D80,CHAR(10)), FIND(""-"",SPLIT(D80,CHAR(10)))+1, 50))) 
  -
    DATEVALUE(TRIM(LEFT(SPLIT(D80,CHAR(10)), FIND(""-"",SPLIT(D80,CHAR(10)))-1)))
  + 1
)
),1)"),6.0)</f>
        <v>6</v>
      </c>
      <c r="F80" s="223">
        <f t="shared" si="1"/>
        <v>2400</v>
      </c>
      <c r="G80" s="209" t="str">
        <f t="array" ref="G80">XLOOKUP(B80,Sheet68!A:A,Sheet68!AB:AB,0)</f>
        <v>areeyataleb@airasia.com</v>
      </c>
      <c r="H80" s="223">
        <f t="shared" si="2"/>
        <v>1</v>
      </c>
      <c r="I80" s="224" t="s">
        <v>20</v>
      </c>
      <c r="J80" s="208"/>
      <c r="K80" s="208"/>
      <c r="L80" s="208"/>
      <c r="M80" s="208"/>
      <c r="N80" s="208"/>
      <c r="O80" s="208"/>
      <c r="P80" s="208"/>
      <c r="Q80" s="208"/>
      <c r="R80" s="208"/>
      <c r="S80" s="208"/>
      <c r="T80" s="208"/>
      <c r="U80" s="208"/>
      <c r="V80" s="208"/>
      <c r="W80" s="208"/>
      <c r="X80" s="208"/>
      <c r="Y80" s="208"/>
      <c r="Z80" s="208"/>
      <c r="AA80" s="208"/>
    </row>
    <row r="81">
      <c r="A81" s="218">
        <v>79.0</v>
      </c>
      <c r="B81" s="226">
        <v>1011730.0</v>
      </c>
      <c r="C81" s="220" t="str">
        <f>vlookup(B81,'Crew Data'!C:G,5,0)</f>
        <v>Keitiyot Chaisurisri</v>
      </c>
      <c r="D81" s="221" t="s">
        <v>957</v>
      </c>
      <c r="E81" s="222">
        <f>IFERROR(__xludf.DUMMYFUNCTION("IFERROR(SUM(
  ARRAYFORMULA(
    DATEVALUE(TRIM(MID(SPLIT(D81,CHAR(10)), FIND(""-"",SPLIT(D81,CHAR(10)))+1, 50))) 
  -
    DATEVALUE(TRIM(LEFT(SPLIT(D81,CHAR(10)), FIND(""-"",SPLIT(D81,CHAR(10)))-1)))
  + 1
)
),1)"),2.0)</f>
        <v>2</v>
      </c>
      <c r="F81" s="223">
        <f t="shared" si="1"/>
        <v>800</v>
      </c>
      <c r="G81" s="209" t="str">
        <f t="array" ref="G81">XLOOKUP(B81,Sheet68!A:A,Sheet68!AB:AB,0)</f>
        <v>keitiyotc@airasia.com</v>
      </c>
      <c r="H81" s="223">
        <f t="shared" si="2"/>
        <v>1</v>
      </c>
      <c r="I81" s="224" t="s">
        <v>20</v>
      </c>
      <c r="J81" s="208"/>
      <c r="K81" s="208"/>
      <c r="L81" s="208"/>
      <c r="M81" s="208"/>
      <c r="N81" s="208"/>
      <c r="O81" s="208"/>
      <c r="P81" s="208"/>
      <c r="Q81" s="208"/>
      <c r="R81" s="208"/>
      <c r="S81" s="208"/>
      <c r="T81" s="208"/>
      <c r="U81" s="208"/>
      <c r="V81" s="208"/>
      <c r="W81" s="208"/>
      <c r="X81" s="208"/>
      <c r="Y81" s="208"/>
      <c r="Z81" s="208"/>
      <c r="AA81" s="208"/>
    </row>
    <row r="82">
      <c r="A82" s="218">
        <v>80.0</v>
      </c>
      <c r="B82" s="226">
        <v>1013190.0</v>
      </c>
      <c r="C82" s="220" t="str">
        <f>vlookup(B82,'Crew Data'!C:G,5,0)</f>
        <v>Thamonwan Chokumpornpan</v>
      </c>
      <c r="D82" s="221" t="s">
        <v>967</v>
      </c>
      <c r="E82" s="222">
        <f>IFERROR(__xludf.DUMMYFUNCTION("IFERROR(SUM(
  ARRAYFORMULA(
    DATEVALUE(TRIM(MID(SPLIT(D82,CHAR(10)), FIND(""-"",SPLIT(D82,CHAR(10)))+1, 50))) 
  -
    DATEVALUE(TRIM(LEFT(SPLIT(D82,CHAR(10)), FIND(""-"",SPLIT(D82,CHAR(10)))-1)))
  + 1
)
),1)"),2.0)</f>
        <v>2</v>
      </c>
      <c r="F82" s="223">
        <f t="shared" si="1"/>
        <v>800</v>
      </c>
      <c r="G82" s="209" t="str">
        <f t="array" ref="G82">XLOOKUP(B82,Sheet68!A:A,Sheet68!AB:AB,0)</f>
        <v>thamonwanh@airasia.com</v>
      </c>
      <c r="H82" s="223">
        <f t="shared" si="2"/>
        <v>1</v>
      </c>
      <c r="I82" s="224" t="s">
        <v>20</v>
      </c>
      <c r="J82" s="208"/>
      <c r="K82" s="208"/>
      <c r="L82" s="208"/>
      <c r="M82" s="208"/>
      <c r="N82" s="208"/>
      <c r="O82" s="208"/>
      <c r="P82" s="208"/>
      <c r="Q82" s="208"/>
      <c r="R82" s="208"/>
      <c r="S82" s="208"/>
      <c r="T82" s="208"/>
      <c r="U82" s="208"/>
      <c r="V82" s="208"/>
      <c r="W82" s="208"/>
      <c r="X82" s="208"/>
      <c r="Y82" s="208"/>
      <c r="Z82" s="208"/>
      <c r="AA82" s="208"/>
    </row>
    <row r="83">
      <c r="A83" s="218">
        <v>81.0</v>
      </c>
      <c r="B83" s="219">
        <v>1043869.0</v>
      </c>
      <c r="C83" s="220" t="str">
        <f>vlookup(B83,'Crew Data'!C:G,5,0)</f>
        <v>Jaturong Phomhom</v>
      </c>
      <c r="D83" s="221" t="s">
        <v>934</v>
      </c>
      <c r="E83" s="222">
        <f>IFERROR(__xludf.DUMMYFUNCTION("IFERROR(SUM(
  ARRAYFORMULA(
    DATEVALUE(TRIM(MID(SPLIT(D83,CHAR(10)), FIND(""-"",SPLIT(D83,CHAR(10)))+1, 50))) 
  -
    DATEVALUE(TRIM(LEFT(SPLIT(D83,CHAR(10)), FIND(""-"",SPLIT(D83,CHAR(10)))-1)))
  + 1
)
),1)"),2.0)</f>
        <v>2</v>
      </c>
      <c r="F83" s="223">
        <f t="shared" si="1"/>
        <v>800</v>
      </c>
      <c r="G83" s="209" t="str">
        <f t="array" ref="G83">XLOOKUP(B83,Sheet68!A:A,Sheet68!AB:AB,0)</f>
        <v>jaturongpho@airasia.com</v>
      </c>
      <c r="H83" s="223">
        <f t="shared" si="2"/>
        <v>1</v>
      </c>
      <c r="I83" s="224" t="s">
        <v>20</v>
      </c>
      <c r="J83" s="208"/>
      <c r="K83" s="208"/>
      <c r="L83" s="208"/>
      <c r="M83" s="208"/>
      <c r="N83" s="208"/>
      <c r="O83" s="208"/>
      <c r="P83" s="208"/>
      <c r="Q83" s="208"/>
      <c r="R83" s="208"/>
      <c r="S83" s="208"/>
      <c r="T83" s="208"/>
      <c r="U83" s="208"/>
      <c r="V83" s="208"/>
      <c r="W83" s="208"/>
      <c r="X83" s="208"/>
      <c r="Y83" s="208"/>
      <c r="Z83" s="208"/>
      <c r="AA83" s="208"/>
    </row>
    <row r="84">
      <c r="A84" s="218">
        <v>82.0</v>
      </c>
      <c r="B84" s="219">
        <v>1018531.0</v>
      </c>
      <c r="C84" s="220" t="str">
        <f>vlookup(B84,'Crew Data'!C:G,5,0)</f>
        <v>Chawit Donsawee</v>
      </c>
      <c r="D84" s="228" t="s">
        <v>968</v>
      </c>
      <c r="E84" s="222">
        <f>IFERROR(__xludf.DUMMYFUNCTION("IFERROR(SUM(
  ARRAYFORMULA(
    DATEVALUE(TRIM(MID(SPLIT(D84,CHAR(10)), FIND(""-"",SPLIT(D84,CHAR(10)))+1, 50))) 
  -
    DATEVALUE(TRIM(LEFT(SPLIT(D84,CHAR(10)), FIND(""-"",SPLIT(D84,CHAR(10)))-1)))
  + 1
)
),1)"),7.0)</f>
        <v>7</v>
      </c>
      <c r="F84" s="223">
        <f t="shared" si="1"/>
        <v>2800</v>
      </c>
      <c r="G84" s="209" t="str">
        <f t="array" ref="G84">XLOOKUP(B84,Sheet68!A:A,Sheet68!AB:AB,0)</f>
        <v>chawitdonsawee@airasia.com</v>
      </c>
      <c r="H84" s="223">
        <f t="shared" si="2"/>
        <v>1</v>
      </c>
      <c r="I84" s="224" t="s">
        <v>20</v>
      </c>
      <c r="J84" s="208"/>
      <c r="K84" s="208"/>
      <c r="L84" s="208"/>
      <c r="M84" s="208"/>
      <c r="N84" s="208"/>
      <c r="O84" s="208"/>
      <c r="P84" s="208"/>
      <c r="Q84" s="208"/>
      <c r="R84" s="208"/>
      <c r="S84" s="208"/>
      <c r="T84" s="208"/>
      <c r="U84" s="208"/>
      <c r="V84" s="208"/>
      <c r="W84" s="208"/>
      <c r="X84" s="208"/>
      <c r="Y84" s="208"/>
      <c r="Z84" s="208"/>
      <c r="AA84" s="208"/>
    </row>
    <row r="85">
      <c r="A85" s="218">
        <v>83.0</v>
      </c>
      <c r="B85" s="226">
        <v>1040505.0</v>
      </c>
      <c r="C85" s="220" t="str">
        <f>vlookup(B85,'Crew Data'!C:G,5,0)</f>
        <v>Atchamaporn Pimrin</v>
      </c>
      <c r="D85" s="221" t="s">
        <v>969</v>
      </c>
      <c r="E85" s="222">
        <f>IFERROR(__xludf.DUMMYFUNCTION("IFERROR(SUM(
  ARRAYFORMULA(
    DATEVALUE(TRIM(MID(SPLIT(D85,CHAR(10)), FIND(""-"",SPLIT(D85,CHAR(10)))+1, 50))) 
  -
    DATEVALUE(TRIM(LEFT(SPLIT(D85,CHAR(10)), FIND(""-"",SPLIT(D85,CHAR(10)))-1)))
  + 1
)
),1)"),2.0)</f>
        <v>2</v>
      </c>
      <c r="F85" s="223">
        <f t="shared" si="1"/>
        <v>800</v>
      </c>
      <c r="G85" s="209" t="str">
        <f t="array" ref="G85">XLOOKUP(B85,Sheet68!A:A,Sheet68!AB:AB,0)</f>
        <v>atchamapornpimrin@airasia.com</v>
      </c>
      <c r="H85" s="223">
        <f t="shared" si="2"/>
        <v>1</v>
      </c>
      <c r="I85" s="224" t="s">
        <v>20</v>
      </c>
      <c r="J85" s="208"/>
      <c r="K85" s="208"/>
      <c r="L85" s="208"/>
      <c r="M85" s="208"/>
      <c r="N85" s="208"/>
      <c r="O85" s="208"/>
      <c r="P85" s="208"/>
      <c r="Q85" s="208"/>
      <c r="R85" s="208"/>
      <c r="S85" s="208"/>
      <c r="T85" s="208"/>
      <c r="U85" s="208"/>
      <c r="V85" s="208"/>
      <c r="W85" s="208"/>
      <c r="X85" s="208"/>
      <c r="Y85" s="208"/>
      <c r="Z85" s="208"/>
      <c r="AA85" s="208"/>
    </row>
    <row r="86">
      <c r="A86" s="218">
        <v>84.0</v>
      </c>
      <c r="B86" s="226">
        <v>1012989.0</v>
      </c>
      <c r="C86" s="220" t="str">
        <f>vlookup(B86,'Crew Data'!C:G,5,0)</f>
        <v>Kitibodee Harnkunthamart</v>
      </c>
      <c r="D86" s="221" t="s">
        <v>954</v>
      </c>
      <c r="E86" s="222">
        <f>IFERROR(__xludf.DUMMYFUNCTION("IFERROR(SUM(
  ARRAYFORMULA(
    DATEVALUE(TRIM(MID(SPLIT(D86,CHAR(10)), FIND(""-"",SPLIT(D86,CHAR(10)))+1, 50))) 
  -
    DATEVALUE(TRIM(LEFT(SPLIT(D86,CHAR(10)), FIND(""-"",SPLIT(D86,CHAR(10)))-1)))
  + 1
)
),1)"),2.0)</f>
        <v>2</v>
      </c>
      <c r="F86" s="223">
        <f t="shared" si="1"/>
        <v>800</v>
      </c>
      <c r="G86" s="209" t="str">
        <f t="array" ref="G86">XLOOKUP(B86,Sheet68!A:A,Sheet68!AB:AB,0)</f>
        <v>kitibodeea@airasia.com</v>
      </c>
      <c r="H86" s="223">
        <f t="shared" si="2"/>
        <v>1</v>
      </c>
      <c r="I86" s="224" t="s">
        <v>20</v>
      </c>
      <c r="J86" s="208"/>
      <c r="K86" s="208"/>
      <c r="L86" s="208"/>
      <c r="M86" s="208"/>
      <c r="N86" s="208"/>
      <c r="O86" s="208"/>
      <c r="P86" s="208"/>
      <c r="Q86" s="208"/>
      <c r="R86" s="208"/>
      <c r="S86" s="208"/>
      <c r="T86" s="208"/>
      <c r="U86" s="208"/>
      <c r="V86" s="208"/>
      <c r="W86" s="208"/>
      <c r="X86" s="208"/>
      <c r="Y86" s="208"/>
      <c r="Z86" s="208"/>
      <c r="AA86" s="208"/>
    </row>
    <row r="87">
      <c r="A87" s="218">
        <v>85.0</v>
      </c>
      <c r="B87" s="219">
        <v>1001837.0</v>
      </c>
      <c r="C87" s="220" t="str">
        <f>vlookup(B87,'Crew Data'!C:G,5,0)</f>
        <v>Taralan Jareemuk</v>
      </c>
      <c r="D87" s="221" t="s">
        <v>950</v>
      </c>
      <c r="E87" s="222">
        <f>IFERROR(__xludf.DUMMYFUNCTION("IFERROR(SUM(
  ARRAYFORMULA(
    DATEVALUE(TRIM(MID(SPLIT(D87,CHAR(10)), FIND(""-"",SPLIT(D87,CHAR(10)))+1, 50))) 
  -
    DATEVALUE(TRIM(LEFT(SPLIT(D87,CHAR(10)), FIND(""-"",SPLIT(D87,CHAR(10)))-1)))
  + 1
)
),1)"),6.0)</f>
        <v>6</v>
      </c>
      <c r="F87" s="223">
        <f t="shared" si="1"/>
        <v>2400</v>
      </c>
      <c r="G87" s="209" t="str">
        <f t="array" ref="G87">XLOOKUP(B87,Sheet68!A:A,Sheet68!AB:AB,0)</f>
        <v>taralanj@airasia.com</v>
      </c>
      <c r="H87" s="223">
        <f t="shared" si="2"/>
        <v>1</v>
      </c>
      <c r="I87" s="224" t="s">
        <v>20</v>
      </c>
      <c r="J87" s="209"/>
      <c r="K87" s="208"/>
      <c r="L87" s="208"/>
      <c r="M87" s="208"/>
      <c r="N87" s="208"/>
      <c r="O87" s="208"/>
      <c r="P87" s="208"/>
      <c r="Q87" s="208"/>
      <c r="R87" s="208"/>
      <c r="S87" s="208"/>
      <c r="T87" s="208"/>
      <c r="U87" s="208"/>
      <c r="V87" s="208"/>
      <c r="W87" s="208"/>
      <c r="X87" s="208"/>
      <c r="Y87" s="208"/>
      <c r="Z87" s="208"/>
      <c r="AA87" s="208"/>
    </row>
    <row r="88">
      <c r="A88" s="218">
        <v>86.0</v>
      </c>
      <c r="B88" s="219">
        <v>1001787.0</v>
      </c>
      <c r="C88" s="220" t="str">
        <f>vlookup(B88,'Crew Data'!C:G,5,0)</f>
        <v>Porntippa Markpoon</v>
      </c>
      <c r="D88" s="221" t="s">
        <v>970</v>
      </c>
      <c r="E88" s="222">
        <f>IFERROR(__xludf.DUMMYFUNCTION("IFERROR(SUM(
  ARRAYFORMULA(
    DATEVALUE(TRIM(MID(SPLIT(D88,CHAR(10)), FIND(""-"",SPLIT(D88,CHAR(10)))+1, 50))) 
  -
    DATEVALUE(TRIM(LEFT(SPLIT(D88,CHAR(10)), FIND(""-"",SPLIT(D88,CHAR(10)))-1)))
  + 1
)
),1)"),7.0)</f>
        <v>7</v>
      </c>
      <c r="F88" s="223">
        <f t="shared" si="1"/>
        <v>2800</v>
      </c>
      <c r="G88" s="209" t="str">
        <f t="array" ref="G88">XLOOKUP(B88,Sheet68!A:A,Sheet68!AB:AB,0)</f>
        <v>porntippam@airasia.com</v>
      </c>
      <c r="H88" s="223">
        <f t="shared" si="2"/>
        <v>1</v>
      </c>
      <c r="I88" s="224" t="s">
        <v>20</v>
      </c>
      <c r="J88" s="208"/>
      <c r="K88" s="208"/>
      <c r="L88" s="208"/>
      <c r="M88" s="208"/>
      <c r="N88" s="208"/>
      <c r="O88" s="208"/>
      <c r="P88" s="208"/>
      <c r="Q88" s="208"/>
      <c r="R88" s="208"/>
      <c r="S88" s="208"/>
      <c r="T88" s="208"/>
      <c r="U88" s="208"/>
      <c r="V88" s="208"/>
      <c r="W88" s="208"/>
      <c r="X88" s="208"/>
      <c r="Y88" s="208"/>
      <c r="Z88" s="208"/>
      <c r="AA88" s="208"/>
    </row>
    <row r="89">
      <c r="A89" s="218">
        <v>87.0</v>
      </c>
      <c r="B89" s="219">
        <v>1040507.0</v>
      </c>
      <c r="C89" s="220" t="str">
        <f>vlookup(B89,'Crew Data'!C:G,5,0)</f>
        <v>Jenine Satiranon</v>
      </c>
      <c r="D89" s="221" t="s">
        <v>969</v>
      </c>
      <c r="E89" s="222">
        <f>IFERROR(__xludf.DUMMYFUNCTION("IFERROR(SUM(
  ARRAYFORMULA(
    DATEVALUE(TRIM(MID(SPLIT(D89,CHAR(10)), FIND(""-"",SPLIT(D89,CHAR(10)))+1, 50))) 
  -
    DATEVALUE(TRIM(LEFT(SPLIT(D89,CHAR(10)), FIND(""-"",SPLIT(D89,CHAR(10)))-1)))
  + 1
)
),1)"),2.0)</f>
        <v>2</v>
      </c>
      <c r="F89" s="223">
        <f t="shared" si="1"/>
        <v>800</v>
      </c>
      <c r="G89" s="209" t="str">
        <f t="array" ref="G89">XLOOKUP(B89,Sheet68!A:A,Sheet68!AB:AB,0)</f>
        <v>jeninesatiranon@airasia.com</v>
      </c>
      <c r="H89" s="223">
        <f t="shared" si="2"/>
        <v>1</v>
      </c>
      <c r="I89" s="224" t="s">
        <v>20</v>
      </c>
      <c r="J89" s="208"/>
      <c r="K89" s="208"/>
      <c r="L89" s="208"/>
      <c r="M89" s="208"/>
      <c r="N89" s="208"/>
      <c r="O89" s="208"/>
      <c r="P89" s="208"/>
      <c r="Q89" s="208"/>
      <c r="R89" s="208"/>
      <c r="S89" s="208"/>
      <c r="T89" s="208"/>
      <c r="U89" s="208"/>
      <c r="V89" s="208"/>
      <c r="W89" s="208"/>
      <c r="X89" s="208"/>
      <c r="Y89" s="208"/>
      <c r="Z89" s="208"/>
      <c r="AA89" s="208"/>
    </row>
    <row r="90">
      <c r="A90" s="218">
        <v>88.0</v>
      </c>
      <c r="B90" s="219">
        <v>1002146.0</v>
      </c>
      <c r="C90" s="220" t="str">
        <f>vlookup(B90,'Crew Data'!C:G,5,0)</f>
        <v>Romrawee Choeikeewong</v>
      </c>
      <c r="D90" s="221" t="s">
        <v>971</v>
      </c>
      <c r="E90" s="222">
        <f>IFERROR(__xludf.DUMMYFUNCTION("IFERROR(SUM(
  ARRAYFORMULA(
    DATEVALUE(TRIM(MID(SPLIT(D90,CHAR(10)), FIND(""-"",SPLIT(D90,CHAR(10)))+1, 50))) 
  -
    DATEVALUE(TRIM(LEFT(SPLIT(D90,CHAR(10)), FIND(""-"",SPLIT(D90,CHAR(10)))-1)))
  + 1
)
),1)"),2.0)</f>
        <v>2</v>
      </c>
      <c r="F90" s="223">
        <f t="shared" si="1"/>
        <v>800</v>
      </c>
      <c r="G90" s="209" t="str">
        <f t="array" ref="G90">XLOOKUP(B90,Sheet68!A:A,Sheet68!AB:AB,0)</f>
        <v>romraweec@airasia.com</v>
      </c>
      <c r="H90" s="223">
        <f t="shared" si="2"/>
        <v>1</v>
      </c>
      <c r="I90" s="224" t="s">
        <v>20</v>
      </c>
      <c r="J90" s="224" t="s">
        <v>349</v>
      </c>
      <c r="K90" s="208"/>
      <c r="L90" s="208"/>
      <c r="M90" s="208"/>
      <c r="N90" s="208"/>
      <c r="O90" s="208"/>
      <c r="P90" s="208"/>
      <c r="Q90" s="208"/>
      <c r="R90" s="208"/>
      <c r="S90" s="208"/>
      <c r="T90" s="208"/>
      <c r="U90" s="208"/>
      <c r="V90" s="208"/>
      <c r="W90" s="208"/>
      <c r="X90" s="208"/>
      <c r="Y90" s="208"/>
      <c r="Z90" s="208"/>
      <c r="AA90" s="208"/>
    </row>
    <row r="91" ht="17.25" customHeight="1">
      <c r="A91" s="218">
        <v>89.0</v>
      </c>
      <c r="B91" s="219">
        <v>1002909.0</v>
      </c>
      <c r="C91" s="220" t="str">
        <f>vlookup(B91,'Crew Data'!C:G,5,0)</f>
        <v>Panodpol Yensuong</v>
      </c>
      <c r="D91" s="221" t="s">
        <v>972</v>
      </c>
      <c r="E91" s="222">
        <f>IFERROR(__xludf.DUMMYFUNCTION("IFERROR(SUM(
  ARRAYFORMULA(
    DATEVALUE(TRIM(MID(SPLIT(D91,CHAR(10)), FIND(""-"",SPLIT(D91,CHAR(10)))+1, 50))) 
  -
    DATEVALUE(TRIM(LEFT(SPLIT(D91,CHAR(10)), FIND(""-"",SPLIT(D91,CHAR(10)))-1)))
  + 1
)
),1)"),4.0)</f>
        <v>4</v>
      </c>
      <c r="F91" s="223">
        <f t="shared" si="1"/>
        <v>1600</v>
      </c>
      <c r="G91" s="209" t="str">
        <f t="array" ref="G91">XLOOKUP(B91,Sheet68!A:A,Sheet68!AB:AB,0)</f>
        <v>panodpoly@airasia.com</v>
      </c>
      <c r="H91" s="223">
        <f t="shared" si="2"/>
        <v>1</v>
      </c>
      <c r="I91" s="224" t="s">
        <v>20</v>
      </c>
      <c r="J91" s="208"/>
      <c r="K91" s="208"/>
      <c r="L91" s="208"/>
      <c r="M91" s="208"/>
      <c r="N91" s="208"/>
      <c r="O91" s="208"/>
      <c r="P91" s="208"/>
      <c r="Q91" s="208"/>
      <c r="R91" s="208"/>
      <c r="S91" s="208"/>
      <c r="T91" s="208"/>
      <c r="U91" s="208"/>
      <c r="V91" s="208"/>
      <c r="W91" s="208"/>
      <c r="X91" s="208"/>
      <c r="Y91" s="208"/>
      <c r="Z91" s="208"/>
      <c r="AA91" s="208"/>
    </row>
    <row r="92" ht="16.5" customHeight="1">
      <c r="A92" s="218">
        <v>90.0</v>
      </c>
      <c r="B92" s="219">
        <v>1005051.0</v>
      </c>
      <c r="C92" s="220" t="str">
        <f>vlookup(B92,'Crew Data'!C:G,5,0)</f>
        <v>Upatcha Chaikaew</v>
      </c>
      <c r="D92" s="221" t="s">
        <v>973</v>
      </c>
      <c r="E92" s="222">
        <f>IFERROR(__xludf.DUMMYFUNCTION("IFERROR(SUM(
  ARRAYFORMULA(
    DATEVALUE(TRIM(MID(SPLIT(D92,CHAR(10)), FIND(""-"",SPLIT(D92,CHAR(10)))+1, 50))) 
  -
    DATEVALUE(TRIM(LEFT(SPLIT(D92,CHAR(10)), FIND(""-"",SPLIT(D92,CHAR(10)))-1)))
  + 1
)
),1)"),4.0)</f>
        <v>4</v>
      </c>
      <c r="F92" s="223">
        <f t="shared" si="1"/>
        <v>1600</v>
      </c>
      <c r="G92" s="209" t="str">
        <f t="array" ref="G92">XLOOKUP(B92,Sheet68!A:A,Sheet68!AB:AB,0)</f>
        <v>upatchac@airasia.com</v>
      </c>
      <c r="H92" s="223">
        <f t="shared" si="2"/>
        <v>1</v>
      </c>
      <c r="I92" s="224" t="s">
        <v>20</v>
      </c>
      <c r="J92" s="208"/>
      <c r="K92" s="208"/>
      <c r="L92" s="208"/>
      <c r="M92" s="208"/>
      <c r="N92" s="208"/>
      <c r="O92" s="208"/>
      <c r="P92" s="208"/>
      <c r="Q92" s="208"/>
      <c r="R92" s="208"/>
      <c r="S92" s="208"/>
      <c r="T92" s="208"/>
      <c r="U92" s="208"/>
      <c r="V92" s="208"/>
      <c r="W92" s="208"/>
      <c r="X92" s="208"/>
      <c r="Y92" s="208"/>
      <c r="Z92" s="208"/>
      <c r="AA92" s="208"/>
    </row>
    <row r="93" ht="16.5" customHeight="1">
      <c r="A93" s="218">
        <v>91.0</v>
      </c>
      <c r="B93" s="219">
        <v>1025307.0</v>
      </c>
      <c r="C93" s="220" t="str">
        <f>vlookup(B93,'Crew Data'!C:G,5,0)</f>
        <v>Krisada Kerdsuwan</v>
      </c>
      <c r="D93" s="221" t="s">
        <v>974</v>
      </c>
      <c r="E93" s="222">
        <f>IFERROR(__xludf.DUMMYFUNCTION("IFERROR(SUM(
  ARRAYFORMULA(
    DATEVALUE(TRIM(MID(SPLIT(D93,CHAR(10)), FIND(""-"",SPLIT(D93,CHAR(10)))+1, 50))) 
  -
    DATEVALUE(TRIM(LEFT(SPLIT(D93,CHAR(10)), FIND(""-"",SPLIT(D93,CHAR(10)))-1)))
  + 1
)
),1)"),6.0)</f>
        <v>6</v>
      </c>
      <c r="F93" s="223">
        <f t="shared" si="1"/>
        <v>2400</v>
      </c>
      <c r="G93" s="209" t="str">
        <f t="array" ref="G93">XLOOKUP(B93,Sheet68!A:A,Sheet68!AB:AB,0)</f>
        <v>krisadakerdsuwan@airasia.com</v>
      </c>
      <c r="H93" s="223">
        <f t="shared" si="2"/>
        <v>1</v>
      </c>
      <c r="I93" s="224" t="s">
        <v>20</v>
      </c>
      <c r="J93" s="208"/>
      <c r="K93" s="208"/>
      <c r="L93" s="208"/>
      <c r="M93" s="208"/>
      <c r="N93" s="208"/>
      <c r="O93" s="208"/>
      <c r="P93" s="208"/>
      <c r="Q93" s="208"/>
      <c r="R93" s="208"/>
      <c r="S93" s="208"/>
      <c r="T93" s="208"/>
      <c r="U93" s="208"/>
      <c r="V93" s="208"/>
      <c r="W93" s="208"/>
      <c r="X93" s="208"/>
      <c r="Y93" s="208"/>
      <c r="Z93" s="208"/>
      <c r="AA93" s="208"/>
    </row>
    <row r="94" ht="16.5" customHeight="1">
      <c r="A94" s="218">
        <v>92.0</v>
      </c>
      <c r="B94" s="219">
        <v>1044234.0</v>
      </c>
      <c r="C94" s="220" t="str">
        <f>vlookup(B94,'Crew Data'!C:G,5,0)</f>
        <v>Adipa Charoenthongtrakul</v>
      </c>
      <c r="D94" s="221" t="s">
        <v>939</v>
      </c>
      <c r="E94" s="222">
        <f>IFERROR(__xludf.DUMMYFUNCTION("IFERROR(SUM(
  ARRAYFORMULA(
    DATEVALUE(TRIM(MID(SPLIT(D94,CHAR(10)), FIND(""-"",SPLIT(D94,CHAR(10)))+1, 50))) 
  -
    DATEVALUE(TRIM(LEFT(SPLIT(D94,CHAR(10)), FIND(""-"",SPLIT(D94,CHAR(10)))-1)))
  + 1
)
),1)"),2.0)</f>
        <v>2</v>
      </c>
      <c r="F94" s="223">
        <f t="shared" si="1"/>
        <v>800</v>
      </c>
      <c r="G94" s="209" t="str">
        <f t="array" ref="G94">XLOOKUP(B94,Sheet68!A:A,Sheet68!AB:AB,0)</f>
        <v>adipacha@airasia.com</v>
      </c>
      <c r="H94" s="223">
        <f t="shared" si="2"/>
        <v>1</v>
      </c>
      <c r="I94" s="224" t="s">
        <v>20</v>
      </c>
      <c r="J94" s="208"/>
      <c r="K94" s="208"/>
      <c r="L94" s="208"/>
      <c r="M94" s="208"/>
      <c r="N94" s="208"/>
      <c r="O94" s="208"/>
      <c r="P94" s="208"/>
      <c r="Q94" s="208"/>
      <c r="R94" s="208"/>
      <c r="S94" s="208"/>
      <c r="T94" s="208"/>
      <c r="U94" s="208"/>
      <c r="V94" s="208"/>
      <c r="W94" s="208"/>
      <c r="X94" s="208"/>
      <c r="Y94" s="208"/>
      <c r="Z94" s="208"/>
      <c r="AA94" s="208"/>
    </row>
    <row r="95" ht="16.5" customHeight="1">
      <c r="A95" s="218">
        <v>93.0</v>
      </c>
      <c r="B95" s="219">
        <v>1000486.0</v>
      </c>
      <c r="C95" s="220" t="str">
        <f>vlookup(B95,'Crew Data'!C:G,5,0)</f>
        <v>Ratthinan Wasupornwiboon</v>
      </c>
      <c r="D95" s="221" t="s">
        <v>939</v>
      </c>
      <c r="E95" s="222">
        <f>IFERROR(__xludf.DUMMYFUNCTION("IFERROR(SUM(
  ARRAYFORMULA(
    DATEVALUE(TRIM(MID(SPLIT(D95,CHAR(10)), FIND(""-"",SPLIT(D95,CHAR(10)))+1, 50))) 
  -
    DATEVALUE(TRIM(LEFT(SPLIT(D95,CHAR(10)), FIND(""-"",SPLIT(D95,CHAR(10)))-1)))
  + 1
)
),1)"),2.0)</f>
        <v>2</v>
      </c>
      <c r="F95" s="223">
        <f t="shared" si="1"/>
        <v>800</v>
      </c>
      <c r="G95" s="209" t="str">
        <f t="array" ref="G95">XLOOKUP(B95,Sheet68!A:A,Sheet68!AB:AB,0)</f>
        <v>ratthinanw@airasia.com</v>
      </c>
      <c r="H95" s="223">
        <f t="shared" si="2"/>
        <v>1</v>
      </c>
      <c r="I95" s="224" t="s">
        <v>20</v>
      </c>
      <c r="J95" s="208"/>
      <c r="K95" s="208"/>
      <c r="L95" s="208"/>
      <c r="M95" s="208"/>
      <c r="N95" s="208"/>
      <c r="O95" s="208"/>
      <c r="P95" s="208"/>
      <c r="Q95" s="208"/>
      <c r="R95" s="208"/>
      <c r="S95" s="208"/>
      <c r="T95" s="208"/>
      <c r="U95" s="208"/>
      <c r="V95" s="208"/>
      <c r="W95" s="208"/>
      <c r="X95" s="208"/>
      <c r="Y95" s="208"/>
      <c r="Z95" s="208"/>
      <c r="AA95" s="208"/>
    </row>
    <row r="96" ht="16.5" customHeight="1">
      <c r="A96" s="218">
        <v>94.0</v>
      </c>
      <c r="B96" s="219">
        <v>1019297.0</v>
      </c>
      <c r="C96" s="220" t="str">
        <f>vlookup(B96,'Crew Data'!C:G,5,0)</f>
        <v>Norramon Nakkara</v>
      </c>
      <c r="D96" s="221" t="s">
        <v>939</v>
      </c>
      <c r="E96" s="222">
        <f>IFERROR(__xludf.DUMMYFUNCTION("IFERROR(SUM(
  ARRAYFORMULA(
    DATEVALUE(TRIM(MID(SPLIT(D96,CHAR(10)), FIND(""-"",SPLIT(D96,CHAR(10)))+1, 50))) 
  -
    DATEVALUE(TRIM(LEFT(SPLIT(D96,CHAR(10)), FIND(""-"",SPLIT(D96,CHAR(10)))-1)))
  + 1
)
),1)"),2.0)</f>
        <v>2</v>
      </c>
      <c r="F96" s="223">
        <f t="shared" si="1"/>
        <v>800</v>
      </c>
      <c r="G96" s="209" t="str">
        <f t="array" ref="G96">XLOOKUP(B96,Sheet68!A:A,Sheet68!AB:AB,0)</f>
        <v>norramonn@airasia.com</v>
      </c>
      <c r="H96" s="223">
        <f t="shared" si="2"/>
        <v>1</v>
      </c>
      <c r="I96" s="224" t="s">
        <v>20</v>
      </c>
      <c r="J96" s="208"/>
      <c r="K96" s="208"/>
      <c r="L96" s="208"/>
      <c r="M96" s="208"/>
      <c r="N96" s="208"/>
      <c r="O96" s="208"/>
      <c r="P96" s="208"/>
      <c r="Q96" s="208"/>
      <c r="R96" s="208"/>
      <c r="S96" s="208"/>
      <c r="T96" s="208"/>
      <c r="U96" s="208"/>
      <c r="V96" s="208"/>
      <c r="W96" s="208"/>
      <c r="X96" s="208"/>
      <c r="Y96" s="208"/>
      <c r="Z96" s="208"/>
      <c r="AA96" s="208"/>
    </row>
    <row r="97" ht="42.75" customHeight="1">
      <c r="A97" s="218">
        <v>95.0</v>
      </c>
      <c r="B97" s="219">
        <v>1012369.0</v>
      </c>
      <c r="C97" s="220" t="str">
        <f>vlookup(B97,'Crew Data'!C:G,5,0)</f>
        <v>Savitree Sukprakop</v>
      </c>
      <c r="D97" s="221" t="s">
        <v>939</v>
      </c>
      <c r="E97" s="222">
        <f>IFERROR(__xludf.DUMMYFUNCTION("IFERROR(SUM(
  ARRAYFORMULA(
    DATEVALUE(TRIM(MID(SPLIT(D97,CHAR(10)), FIND(""-"",SPLIT(D97,CHAR(10)))+1, 50))) 
  -
    DATEVALUE(TRIM(LEFT(SPLIT(D97,CHAR(10)), FIND(""-"",SPLIT(D97,CHAR(10)))-1)))
  + 1
)
),1)"),2.0)</f>
        <v>2</v>
      </c>
      <c r="F97" s="223">
        <f t="shared" si="1"/>
        <v>800</v>
      </c>
      <c r="G97" s="209" t="str">
        <f t="array" ref="G97">XLOOKUP(B97,Sheet68!A:A,Sheet68!AB:AB,0)</f>
        <v>savitrees@airasia.com</v>
      </c>
      <c r="H97" s="223">
        <f t="shared" si="2"/>
        <v>1</v>
      </c>
      <c r="I97" s="224" t="s">
        <v>20</v>
      </c>
      <c r="J97" s="208"/>
      <c r="K97" s="208"/>
      <c r="L97" s="208"/>
      <c r="M97" s="208"/>
      <c r="N97" s="208"/>
      <c r="O97" s="208"/>
      <c r="P97" s="208"/>
      <c r="Q97" s="208"/>
      <c r="R97" s="208"/>
      <c r="S97" s="208"/>
      <c r="T97" s="208"/>
      <c r="U97" s="208"/>
      <c r="V97" s="208"/>
      <c r="W97" s="208"/>
      <c r="X97" s="208"/>
      <c r="Y97" s="208"/>
      <c r="Z97" s="208"/>
      <c r="AA97" s="208"/>
    </row>
    <row r="98" ht="16.5" customHeight="1">
      <c r="A98" s="218">
        <v>96.0</v>
      </c>
      <c r="B98" s="219">
        <v>1040352.0</v>
      </c>
      <c r="C98" s="220" t="str">
        <f>vlookup(B98,'Crew Data'!C:G,5,0)</f>
        <v>Jaksananapa Yingprayoon</v>
      </c>
      <c r="D98" s="221" t="s">
        <v>975</v>
      </c>
      <c r="E98" s="222">
        <f>IFERROR(__xludf.DUMMYFUNCTION("IFERROR(SUM(
  ARRAYFORMULA(
    DATEVALUE(TRIM(MID(SPLIT(D98,CHAR(10)), FIND(""-"",SPLIT(D98,CHAR(10)))+1, 50))) 
  -
    DATEVALUE(TRIM(LEFT(SPLIT(D98,CHAR(10)), FIND(""-"",SPLIT(D98,CHAR(10)))-1)))
  + 1
)
),1)"),4.0)</f>
        <v>4</v>
      </c>
      <c r="F98" s="223">
        <f t="shared" si="1"/>
        <v>1600</v>
      </c>
      <c r="G98" s="209" t="str">
        <f t="array" ref="G98">XLOOKUP(B98,Sheet68!A:A,Sheet68!AB:AB,0)</f>
        <v>jaksananapayingpray@airasia.com</v>
      </c>
      <c r="H98" s="223">
        <f t="shared" si="2"/>
        <v>1</v>
      </c>
      <c r="I98" s="224" t="s">
        <v>20</v>
      </c>
      <c r="J98" s="208"/>
      <c r="K98" s="208"/>
      <c r="L98" s="208"/>
      <c r="M98" s="208"/>
      <c r="N98" s="208"/>
      <c r="O98" s="208"/>
      <c r="P98" s="208"/>
      <c r="Q98" s="208"/>
      <c r="R98" s="208"/>
      <c r="S98" s="208"/>
      <c r="T98" s="208"/>
      <c r="U98" s="208"/>
      <c r="V98" s="208"/>
      <c r="W98" s="208"/>
      <c r="X98" s="208"/>
      <c r="Y98" s="208"/>
      <c r="Z98" s="208"/>
      <c r="AA98" s="208"/>
    </row>
    <row r="99" ht="16.5" customHeight="1">
      <c r="A99" s="218">
        <v>97.0</v>
      </c>
      <c r="B99" s="219">
        <v>1025319.0</v>
      </c>
      <c r="C99" s="220" t="str">
        <f>vlookup(B99,'Crew Data'!C:G,5,0)</f>
        <v>Phongsakron Saepan</v>
      </c>
      <c r="D99" s="221" t="s">
        <v>939</v>
      </c>
      <c r="E99" s="222">
        <f>IFERROR(__xludf.DUMMYFUNCTION("IFERROR(SUM(
  ARRAYFORMULA(
    DATEVALUE(TRIM(MID(SPLIT(D99,CHAR(10)), FIND(""-"",SPLIT(D99,CHAR(10)))+1, 50))) 
  -
    DATEVALUE(TRIM(LEFT(SPLIT(D99,CHAR(10)), FIND(""-"",SPLIT(D99,CHAR(10)))-1)))
  + 1
)
),1)"),2.0)</f>
        <v>2</v>
      </c>
      <c r="F99" s="223">
        <f t="shared" si="1"/>
        <v>800</v>
      </c>
      <c r="G99" s="209" t="str">
        <f t="array" ref="G99">XLOOKUP(B99,Sheet68!A:A,Sheet68!AB:AB,0)</f>
        <v>phongsakronsaepan@airasia.com</v>
      </c>
      <c r="H99" s="223">
        <f t="shared" si="2"/>
        <v>1</v>
      </c>
      <c r="I99" s="224" t="s">
        <v>20</v>
      </c>
      <c r="J99" s="208"/>
      <c r="K99" s="208"/>
      <c r="L99" s="208"/>
      <c r="M99" s="208"/>
      <c r="N99" s="208"/>
      <c r="O99" s="208"/>
      <c r="P99" s="208"/>
      <c r="Q99" s="208"/>
      <c r="R99" s="208"/>
      <c r="S99" s="208"/>
      <c r="T99" s="208"/>
      <c r="U99" s="208"/>
      <c r="V99" s="208"/>
      <c r="W99" s="208"/>
      <c r="X99" s="208"/>
      <c r="Y99" s="208"/>
      <c r="Z99" s="208"/>
      <c r="AA99" s="208"/>
    </row>
    <row r="100" ht="30.75" customHeight="1">
      <c r="A100" s="218">
        <v>98.0</v>
      </c>
      <c r="B100" s="219">
        <v>1040813.0</v>
      </c>
      <c r="C100" s="220" t="str">
        <f>vlookup(B100,'Crew Data'!C:G,5,0)</f>
        <v>Areeyaporn Korajak</v>
      </c>
      <c r="D100" s="221" t="s">
        <v>939</v>
      </c>
      <c r="E100" s="222">
        <f>IFERROR(__xludf.DUMMYFUNCTION("IFERROR(SUM(
  ARRAYFORMULA(
    DATEVALUE(TRIM(MID(SPLIT(D100,CHAR(10)), FIND(""-"",SPLIT(D100,CHAR(10)))+1, 50))) 
  -
    DATEVALUE(TRIM(LEFT(SPLIT(D100,CHAR(10)), FIND(""-"",SPLIT(D100,CHAR(10)))-1)))
  + 1
)
),1)"),2.0)</f>
        <v>2</v>
      </c>
      <c r="F100" s="223">
        <f t="shared" si="1"/>
        <v>800</v>
      </c>
      <c r="G100" s="209" t="str">
        <f t="array" ref="G100">XLOOKUP(B100,Sheet68!A:A,Sheet68!AB:AB,0)</f>
        <v>areeyapornk@airasia.com</v>
      </c>
      <c r="H100" s="223">
        <f t="shared" si="2"/>
        <v>1</v>
      </c>
      <c r="I100" s="224" t="s">
        <v>20</v>
      </c>
      <c r="J100" s="208"/>
      <c r="K100" s="208"/>
      <c r="L100" s="208"/>
      <c r="M100" s="208"/>
      <c r="N100" s="208"/>
      <c r="O100" s="208"/>
      <c r="P100" s="208"/>
      <c r="Q100" s="208"/>
      <c r="R100" s="208"/>
      <c r="S100" s="208"/>
      <c r="T100" s="208"/>
      <c r="U100" s="208"/>
      <c r="V100" s="208"/>
      <c r="W100" s="208"/>
      <c r="X100" s="208"/>
      <c r="Y100" s="208"/>
      <c r="Z100" s="208"/>
      <c r="AA100" s="208"/>
    </row>
    <row r="101" ht="16.5" customHeight="1">
      <c r="A101" s="218">
        <v>99.0</v>
      </c>
      <c r="B101" s="219">
        <v>1044862.0</v>
      </c>
      <c r="C101" s="220" t="str">
        <f>vlookup(B101,'Crew Data'!C:G,5,0)</f>
        <v>Suriwassa Sukphon</v>
      </c>
      <c r="D101" s="221" t="s">
        <v>976</v>
      </c>
      <c r="E101" s="222">
        <f>IFERROR(__xludf.DUMMYFUNCTION("IFERROR(SUM(
  ARRAYFORMULA(
    DATEVALUE(TRIM(MID(SPLIT(D101,CHAR(10)), FIND(""-"",SPLIT(D101,CHAR(10)))+1, 50))) 
  -
    DATEVALUE(TRIM(LEFT(SPLIT(D101,CHAR(10)), FIND(""-"",SPLIT(D101,CHAR(10)))-1)))
  + 1
)
),1)"),2.0)</f>
        <v>2</v>
      </c>
      <c r="F101" s="223">
        <f t="shared" si="1"/>
        <v>800</v>
      </c>
      <c r="G101" s="209" t="str">
        <f t="array" ref="G101">XLOOKUP(B101,Sheet68!A:A,Sheet68!AB:AB,0)</f>
        <v>suriwassasuk@airasia.com</v>
      </c>
      <c r="H101" s="223">
        <f t="shared" si="2"/>
        <v>1</v>
      </c>
      <c r="I101" s="224" t="s">
        <v>20</v>
      </c>
      <c r="J101" s="208"/>
      <c r="K101" s="208"/>
      <c r="L101" s="208"/>
      <c r="M101" s="208"/>
      <c r="N101" s="208"/>
      <c r="O101" s="208"/>
      <c r="P101" s="208"/>
      <c r="Q101" s="208"/>
      <c r="R101" s="208"/>
      <c r="S101" s="208"/>
      <c r="T101" s="208"/>
      <c r="U101" s="208"/>
      <c r="V101" s="208"/>
      <c r="W101" s="208"/>
      <c r="X101" s="208"/>
      <c r="Y101" s="208"/>
      <c r="Z101" s="208"/>
      <c r="AA101" s="208"/>
    </row>
    <row r="102" ht="16.5" customHeight="1">
      <c r="A102" s="218">
        <v>100.0</v>
      </c>
      <c r="B102" s="219">
        <v>1005741.0</v>
      </c>
      <c r="C102" s="220" t="str">
        <f>vlookup(B102,'Crew Data'!C:G,5,0)</f>
        <v>Chanyawat Ruchiratheekhakul</v>
      </c>
      <c r="D102" s="221" t="s">
        <v>977</v>
      </c>
      <c r="E102" s="222">
        <f>IFERROR(__xludf.DUMMYFUNCTION("IFERROR(SUM(
  ARRAYFORMULA(
    DATEVALUE(TRIM(MID(SPLIT(D102,CHAR(10)), FIND(""-"",SPLIT(D102,CHAR(10)))+1, 50))) 
  -
    DATEVALUE(TRIM(LEFT(SPLIT(D102,CHAR(10)), FIND(""-"",SPLIT(D102,CHAR(10)))-1)))
  + 1
)
),1)"),6.0)</f>
        <v>6</v>
      </c>
      <c r="F102" s="223">
        <f t="shared" si="1"/>
        <v>2400</v>
      </c>
      <c r="G102" s="209" t="str">
        <f t="array" ref="G102">XLOOKUP(B102,Sheet68!A:A,Sheet68!AB:AB,0)</f>
        <v>chanyawatr@airasia.com</v>
      </c>
      <c r="H102" s="223">
        <f t="shared" si="2"/>
        <v>1</v>
      </c>
      <c r="I102" s="224" t="s">
        <v>20</v>
      </c>
      <c r="J102" s="208"/>
      <c r="K102" s="208"/>
      <c r="L102" s="208"/>
      <c r="M102" s="208"/>
      <c r="N102" s="208"/>
      <c r="O102" s="208"/>
      <c r="P102" s="208"/>
      <c r="Q102" s="208"/>
      <c r="R102" s="208"/>
      <c r="S102" s="208"/>
      <c r="T102" s="208"/>
      <c r="U102" s="208"/>
      <c r="V102" s="208"/>
      <c r="W102" s="208"/>
      <c r="X102" s="208"/>
      <c r="Y102" s="208"/>
      <c r="Z102" s="208"/>
      <c r="AA102" s="208"/>
    </row>
    <row r="103" ht="16.5" customHeight="1">
      <c r="A103" s="218">
        <v>101.0</v>
      </c>
      <c r="B103" s="219">
        <v>1025310.0</v>
      </c>
      <c r="C103" s="220" t="str">
        <f>vlookup(B103,'Crew Data'!C:G,5,0)</f>
        <v>Nitinan Sakunchokjaroen</v>
      </c>
      <c r="D103" s="221" t="s">
        <v>978</v>
      </c>
      <c r="E103" s="222">
        <f>IFERROR(__xludf.DUMMYFUNCTION("IFERROR(SUM(
  ARRAYFORMULA(
    DATEVALUE(TRIM(MID(SPLIT(D103,CHAR(10)), FIND(""-"",SPLIT(D103,CHAR(10)))+1, 50))) 
  -
    DATEVALUE(TRIM(LEFT(SPLIT(D103,CHAR(10)), FIND(""-"",SPLIT(D103,CHAR(10)))-1)))
  + 1
)
),1)"),3.0)</f>
        <v>3</v>
      </c>
      <c r="F103" s="223">
        <f t="shared" si="1"/>
        <v>1200</v>
      </c>
      <c r="G103" s="209" t="str">
        <f t="array" ref="G103">XLOOKUP(B103,Sheet68!A:A,Sheet68!AB:AB,0)</f>
        <v>nitinansakunchokjar@airasia.com</v>
      </c>
      <c r="H103" s="223">
        <f t="shared" si="2"/>
        <v>1</v>
      </c>
      <c r="I103" s="224" t="s">
        <v>20</v>
      </c>
      <c r="J103" s="208"/>
      <c r="K103" s="208"/>
      <c r="L103" s="208"/>
      <c r="M103" s="208"/>
      <c r="N103" s="208"/>
      <c r="O103" s="208"/>
      <c r="P103" s="208"/>
      <c r="Q103" s="208"/>
      <c r="R103" s="208"/>
      <c r="S103" s="208"/>
      <c r="T103" s="208"/>
      <c r="U103" s="208"/>
      <c r="V103" s="208"/>
      <c r="W103" s="208"/>
      <c r="X103" s="208"/>
      <c r="Y103" s="208"/>
      <c r="Z103" s="208"/>
      <c r="AA103" s="208"/>
    </row>
    <row r="104" ht="16.5" customHeight="1">
      <c r="A104" s="218">
        <v>102.0</v>
      </c>
      <c r="B104" s="219">
        <v>1017651.0</v>
      </c>
      <c r="C104" s="220" t="str">
        <f>vlookup(B104,'Crew Data'!C:G,5,0)</f>
        <v>Usana Saepua</v>
      </c>
      <c r="D104" s="221" t="s">
        <v>931</v>
      </c>
      <c r="E104" s="222">
        <f>IFERROR(__xludf.DUMMYFUNCTION("IFERROR(SUM(
  ARRAYFORMULA(
    DATEVALUE(TRIM(MID(SPLIT(D104,CHAR(10)), FIND(""-"",SPLIT(D104,CHAR(10)))+1, 50))) 
  -
    DATEVALUE(TRIM(LEFT(SPLIT(D104,CHAR(10)), FIND(""-"",SPLIT(D104,CHAR(10)))-1)))
  + 1
)
),1)"),2.0)</f>
        <v>2</v>
      </c>
      <c r="F104" s="223">
        <f t="shared" si="1"/>
        <v>800</v>
      </c>
      <c r="G104" s="209" t="str">
        <f t="array" ref="G104">XLOOKUP(B104,Sheet68!A:A,Sheet68!AB:AB,0)</f>
        <v>usanas@airasia.com</v>
      </c>
      <c r="H104" s="223">
        <f t="shared" si="2"/>
        <v>1</v>
      </c>
      <c r="I104" s="224" t="s">
        <v>20</v>
      </c>
      <c r="J104" s="208"/>
      <c r="K104" s="208"/>
      <c r="L104" s="208"/>
      <c r="M104" s="208"/>
      <c r="N104" s="208"/>
      <c r="O104" s="208"/>
      <c r="P104" s="208"/>
      <c r="Q104" s="208"/>
      <c r="R104" s="208"/>
      <c r="S104" s="208"/>
      <c r="T104" s="208"/>
      <c r="U104" s="208"/>
      <c r="V104" s="208"/>
      <c r="W104" s="208"/>
      <c r="X104" s="208"/>
      <c r="Y104" s="208"/>
      <c r="Z104" s="208"/>
      <c r="AA104" s="208"/>
    </row>
    <row r="105" ht="16.5" customHeight="1">
      <c r="A105" s="218">
        <v>103.0</v>
      </c>
      <c r="B105" s="219">
        <v>1005303.0</v>
      </c>
      <c r="C105" s="220" t="str">
        <f>vlookup(B105,'Crew Data'!C:G,5,0)</f>
        <v>Piyathida Jaikla</v>
      </c>
      <c r="D105" s="225">
        <v>46082.0</v>
      </c>
      <c r="E105" s="222">
        <f>IFERROR(__xludf.DUMMYFUNCTION("IFERROR(SUM(
  ARRAYFORMULA(
    DATEVALUE(TRIM(MID(SPLIT(D105,CHAR(10)), FIND(""-"",SPLIT(D105,CHAR(10)))+1, 50))) 
  -
    DATEVALUE(TRIM(LEFT(SPLIT(D105,CHAR(10)), FIND(""-"",SPLIT(D105,CHAR(10)))-1)))
  + 1
)
),1)"),1.0)</f>
        <v>1</v>
      </c>
      <c r="F105" s="223">
        <f t="shared" si="1"/>
        <v>400</v>
      </c>
      <c r="G105" s="209" t="str">
        <f t="array" ref="G105">XLOOKUP(B105,Sheet68!A:A,Sheet68!AB:AB,0)</f>
        <v>piyathidaj@airasia.com</v>
      </c>
      <c r="H105" s="223">
        <f t="shared" si="2"/>
        <v>1</v>
      </c>
      <c r="I105" s="224" t="s">
        <v>20</v>
      </c>
      <c r="J105" s="208"/>
      <c r="K105" s="208"/>
      <c r="L105" s="208"/>
      <c r="M105" s="208"/>
      <c r="N105" s="208"/>
      <c r="O105" s="208"/>
      <c r="P105" s="208"/>
      <c r="Q105" s="208"/>
      <c r="R105" s="208"/>
      <c r="S105" s="208"/>
      <c r="T105" s="208"/>
      <c r="U105" s="208"/>
      <c r="V105" s="208"/>
      <c r="W105" s="208"/>
      <c r="X105" s="208"/>
      <c r="Y105" s="208"/>
      <c r="Z105" s="208"/>
      <c r="AA105" s="208"/>
    </row>
    <row r="106" ht="16.5" customHeight="1">
      <c r="A106" s="218">
        <v>104.0</v>
      </c>
      <c r="B106" s="219">
        <v>1004950.0</v>
      </c>
      <c r="C106" s="220" t="str">
        <f>vlookup(B106,'Crew Data'!C:G,5,0)</f>
        <v>Sirirat Phummarin</v>
      </c>
      <c r="D106" s="221" t="s">
        <v>939</v>
      </c>
      <c r="E106" s="222">
        <f>IFERROR(__xludf.DUMMYFUNCTION("IFERROR(SUM(
  ARRAYFORMULA(
    DATEVALUE(TRIM(MID(SPLIT(D106,CHAR(10)), FIND(""-"",SPLIT(D106,CHAR(10)))+1, 50))) 
  -
    DATEVALUE(TRIM(LEFT(SPLIT(D106,CHAR(10)), FIND(""-"",SPLIT(D106,CHAR(10)))-1)))
  + 1
)
),1)"),2.0)</f>
        <v>2</v>
      </c>
      <c r="F106" s="223">
        <f t="shared" si="1"/>
        <v>800</v>
      </c>
      <c r="G106" s="209" t="str">
        <f t="array" ref="G106">XLOOKUP(B106,Sheet68!A:A,Sheet68!AB:AB,0)</f>
        <v>siriratp@airasia.com</v>
      </c>
      <c r="H106" s="223">
        <f t="shared" si="2"/>
        <v>1</v>
      </c>
      <c r="I106" s="224" t="s">
        <v>20</v>
      </c>
      <c r="J106" s="208"/>
      <c r="K106" s="208"/>
      <c r="L106" s="208"/>
      <c r="M106" s="208"/>
      <c r="N106" s="208"/>
      <c r="O106" s="208"/>
      <c r="P106" s="208"/>
      <c r="Q106" s="208"/>
      <c r="R106" s="208"/>
      <c r="S106" s="208"/>
      <c r="T106" s="208"/>
      <c r="U106" s="208"/>
      <c r="V106" s="208"/>
      <c r="W106" s="208"/>
      <c r="X106" s="208"/>
      <c r="Y106" s="208"/>
      <c r="Z106" s="208"/>
      <c r="AA106" s="208"/>
    </row>
  </sheetData>
  <mergeCells count="1">
    <mergeCell ref="A1:G1"/>
  </mergeCells>
  <dataValidations>
    <dataValidation type="list" allowBlank="1" sqref="I3:I106">
      <formula1>"CHECKED (OK),CHECKED  (NOT OK)"</formula1>
    </dataValidation>
  </dataValidations>
  <drawing r:id="rId1"/>
  <tableParts count="3">
    <tablePart r:id="rId5"/>
    <tablePart r:id="rId6"/>
    <tablePart r:id="rId7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88"/>
    <col customWidth="1" min="2" max="2" width="9.63"/>
    <col customWidth="1" min="3" max="3" width="24.75"/>
    <col customWidth="1" min="4" max="4" width="33.0"/>
    <col customWidth="1" min="5" max="5" width="7.63"/>
    <col customWidth="1" min="6" max="6" width="9.0"/>
    <col customWidth="1" min="7" max="7" width="28.63"/>
    <col customWidth="1" min="8" max="8" width="7.13"/>
    <col customWidth="1" min="9" max="9" width="14.75"/>
    <col customWidth="1" min="10" max="10" width="49.0"/>
  </cols>
  <sheetData>
    <row r="1">
      <c r="A1" s="229" t="s">
        <v>979</v>
      </c>
      <c r="H1" s="230"/>
      <c r="I1" s="231"/>
      <c r="J1" s="232" t="s">
        <v>980</v>
      </c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>
      <c r="A2" s="233" t="s">
        <v>1</v>
      </c>
      <c r="B2" s="233" t="s">
        <v>11</v>
      </c>
      <c r="C2" s="233" t="s">
        <v>12</v>
      </c>
      <c r="D2" s="234" t="s">
        <v>13</v>
      </c>
      <c r="E2" s="235" t="s">
        <v>15</v>
      </c>
      <c r="F2" s="236" t="s">
        <v>5</v>
      </c>
      <c r="G2" s="233" t="s">
        <v>646</v>
      </c>
      <c r="H2" s="237"/>
      <c r="I2" s="238" t="s">
        <v>6</v>
      </c>
      <c r="J2" s="239" t="s">
        <v>7</v>
      </c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>
      <c r="A3" s="240">
        <v>1.0</v>
      </c>
      <c r="B3" s="241">
        <v>1007181.0</v>
      </c>
      <c r="C3" s="242" t="str">
        <f>vlookup(B3,'Crew Data'!C:G,5,0)</f>
        <v>Warisara Sutta</v>
      </c>
      <c r="D3" s="243" t="s">
        <v>981</v>
      </c>
      <c r="E3" s="244">
        <f>IFERROR(__xludf.DUMMYFUNCTION("IFERROR(SUM(
  ARRAYFORMULA(
    DATEVALUE(TRIM(MID(SPLIT(D3,CHAR(10)), FIND(""-"",SPLIT(D3,CHAR(10)))+1, 50))) 
  -
    DATEVALUE(TRIM(LEFT(SPLIT(D3,CHAR(10)), FIND(""-"",SPLIT(D3,CHAR(10)))-1)))
  + 1
)
),1)"),4.0)</f>
        <v>4</v>
      </c>
      <c r="F3" s="245">
        <f t="shared" ref="F3:F17" si="1">E3*400</f>
        <v>1600</v>
      </c>
      <c r="G3" s="230" t="str">
        <f t="array" ref="G3">iferror(XLOOKUP(B3,'New Crew data'!C:C,'New Crew data'!AD:AD),)</f>
        <v>warisaras@airasia.com</v>
      </c>
      <c r="H3" s="245">
        <f t="shared" ref="H3:H17" si="2">COUNTIF(B:B,B3)</f>
        <v>1</v>
      </c>
      <c r="I3" s="246" t="s">
        <v>20</v>
      </c>
      <c r="J3" s="246" t="s">
        <v>370</v>
      </c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>
      <c r="A4" s="240">
        <v>2.0</v>
      </c>
      <c r="B4" s="240">
        <v>1014666.0</v>
      </c>
      <c r="C4" s="242" t="str">
        <f>vlookup(B4,'Crew Data'!C:G,5,0)</f>
        <v>Kanatsanan Wichitthararak</v>
      </c>
      <c r="D4" s="243" t="s">
        <v>982</v>
      </c>
      <c r="E4" s="244">
        <f>IFERROR(__xludf.DUMMYFUNCTION("IFERROR(SUM(
  ARRAYFORMULA(
    DATEVALUE(TRIM(MID(SPLIT(D4,CHAR(10)), FIND(""-"",SPLIT(D4,CHAR(10)))+1, 50))) 
  -
    DATEVALUE(TRIM(LEFT(SPLIT(D4,CHAR(10)), FIND(""-"",SPLIT(D4,CHAR(10)))-1)))
  + 1
)
),1)"),7.0)</f>
        <v>7</v>
      </c>
      <c r="F4" s="245">
        <f t="shared" si="1"/>
        <v>2800</v>
      </c>
      <c r="G4" s="230" t="str">
        <f t="array" ref="G4">iferror(XLOOKUP(B4,'New Crew data'!C:C,'New Crew data'!AD:AD),)</f>
        <v>kanatsananw@airasia.com</v>
      </c>
      <c r="H4" s="245">
        <f t="shared" si="2"/>
        <v>1</v>
      </c>
      <c r="I4" s="246" t="s">
        <v>20</v>
      </c>
      <c r="J4" s="246" t="s">
        <v>370</v>
      </c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</row>
    <row r="5">
      <c r="A5" s="240">
        <v>3.0</v>
      </c>
      <c r="B5" s="241">
        <v>1018532.0</v>
      </c>
      <c r="C5" s="242" t="str">
        <f>vlookup(B5,'Crew Data'!C:G,5,0)</f>
        <v>Kantachet Boonserm</v>
      </c>
      <c r="D5" s="243" t="s">
        <v>983</v>
      </c>
      <c r="E5" s="244">
        <f>IFERROR(__xludf.DUMMYFUNCTION("IFERROR(SUM(
  ARRAYFORMULA(
    DATEVALUE(TRIM(MID(SPLIT(D5,CHAR(10)), FIND(""-"",SPLIT(D5,CHAR(10)))+1, 50))) 
  -
    DATEVALUE(TRIM(LEFT(SPLIT(D5,CHAR(10)), FIND(""-"",SPLIT(D5,CHAR(10)))-1)))
  + 1
)
),1)"),10.0)</f>
        <v>10</v>
      </c>
      <c r="F5" s="245">
        <f t="shared" si="1"/>
        <v>4000</v>
      </c>
      <c r="G5" s="230" t="str">
        <f t="array" ref="G5">iferror(XLOOKUP(B5,'New Crew data'!C:C,'New Crew data'!AD:AD),)</f>
        <v>kantachetb@airasia.com</v>
      </c>
      <c r="H5" s="245">
        <f t="shared" si="2"/>
        <v>1</v>
      </c>
      <c r="I5" s="246" t="s">
        <v>20</v>
      </c>
      <c r="J5" s="246" t="s">
        <v>984</v>
      </c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>
      <c r="A6" s="240">
        <v>4.0</v>
      </c>
      <c r="B6" s="241">
        <v>1019306.0</v>
      </c>
      <c r="C6" s="242" t="str">
        <f>vlookup(B6,'Crew Data'!C:G,5,0)</f>
        <v>Tanyatorn Leenawong</v>
      </c>
      <c r="D6" s="243" t="s">
        <v>952</v>
      </c>
      <c r="E6" s="244">
        <f>IFERROR(__xludf.DUMMYFUNCTION("IFERROR(SUM(
  ARRAYFORMULA(
    DATEVALUE(TRIM(MID(SPLIT(D6,CHAR(10)), FIND(""-"",SPLIT(D6,CHAR(10)))+1, 50))) 
  -
    DATEVALUE(TRIM(LEFT(SPLIT(D6,CHAR(10)), FIND(""-"",SPLIT(D6,CHAR(10)))-1)))
  + 1
)
),1)"),2.0)</f>
        <v>2</v>
      </c>
      <c r="F6" s="245">
        <f t="shared" si="1"/>
        <v>800</v>
      </c>
      <c r="G6" s="230" t="str">
        <f t="array" ref="G6">iferror(XLOOKUP(B6,'New Crew data'!C:C,'New Crew data'!AD:AD),)</f>
        <v>tanyatornl@airasia.com</v>
      </c>
      <c r="H6" s="245">
        <f t="shared" si="2"/>
        <v>1</v>
      </c>
      <c r="I6" s="246" t="s">
        <v>20</v>
      </c>
      <c r="J6" s="246" t="s">
        <v>370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>
      <c r="A7" s="240">
        <v>5.0</v>
      </c>
      <c r="B7" s="240">
        <v>1015093.0</v>
      </c>
      <c r="C7" s="242" t="str">
        <f>vlookup(B7,'Crew Data'!C:G,5,0)</f>
        <v>Sampan Simpalipan</v>
      </c>
      <c r="D7" s="243" t="s">
        <v>985</v>
      </c>
      <c r="E7" s="244">
        <f>IFERROR(__xludf.DUMMYFUNCTION("IFERROR(SUM(
  ARRAYFORMULA(
    DATEVALUE(TRIM(MID(SPLIT(D7,CHAR(10)), FIND(""-"",SPLIT(D7,CHAR(10)))+1, 50))) 
  -
    DATEVALUE(TRIM(LEFT(SPLIT(D7,CHAR(10)), FIND(""-"",SPLIT(D7,CHAR(10)))-1)))
  + 1
)
),1)"),7.0)</f>
        <v>7</v>
      </c>
      <c r="F7" s="245">
        <f t="shared" si="1"/>
        <v>2800</v>
      </c>
      <c r="G7" s="230" t="str">
        <f t="array" ref="G7">iferror(XLOOKUP(B7,'New Crew data'!C:C,'New Crew data'!AD:AD),)</f>
        <v>sampans@airasia.com</v>
      </c>
      <c r="H7" s="245">
        <f t="shared" si="2"/>
        <v>1</v>
      </c>
      <c r="I7" s="246" t="s">
        <v>20</v>
      </c>
      <c r="J7" s="246" t="s">
        <v>370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 ht="20.25" customHeight="1">
      <c r="A8" s="240">
        <v>6.0</v>
      </c>
      <c r="B8" s="241">
        <v>1009260.0</v>
      </c>
      <c r="C8" s="242" t="str">
        <f>vlookup(B8,'Crew Data'!C:G,5,0)</f>
        <v>Wilasinee Tirapanumpai</v>
      </c>
      <c r="D8" s="243" t="s">
        <v>947</v>
      </c>
      <c r="E8" s="244">
        <f>IFERROR(__xludf.DUMMYFUNCTION("IFERROR(SUM(
  ARRAYFORMULA(
    DATEVALUE(TRIM(MID(SPLIT(D8,CHAR(10)), FIND(""-"",SPLIT(D8,CHAR(10)))+1, 50))) 
  -
    DATEVALUE(TRIM(LEFT(SPLIT(D8,CHAR(10)), FIND(""-"",SPLIT(D8,CHAR(10)))-1)))
  + 1
)
),1)"),2.0)</f>
        <v>2</v>
      </c>
      <c r="F8" s="245">
        <f t="shared" si="1"/>
        <v>800</v>
      </c>
      <c r="G8" s="230" t="str">
        <f t="array" ref="G8">iferror(XLOOKUP(B8,'New Crew data'!C:C,'New Crew data'!AD:AD),)</f>
        <v>wilasineet@airasia.com</v>
      </c>
      <c r="H8" s="245">
        <f t="shared" si="2"/>
        <v>1</v>
      </c>
      <c r="I8" s="246" t="s">
        <v>20</v>
      </c>
      <c r="J8" s="246" t="s">
        <v>370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>
      <c r="A9" s="240">
        <v>7.0</v>
      </c>
      <c r="B9" s="241">
        <v>1043895.0</v>
      </c>
      <c r="C9" s="242" t="str">
        <f>vlookup(B9,'Crew Data'!C:G,5,0)</f>
        <v>Sawaros Phanichvibul</v>
      </c>
      <c r="D9" s="243" t="s">
        <v>961</v>
      </c>
      <c r="E9" s="244">
        <f>IFERROR(__xludf.DUMMYFUNCTION("IFERROR(SUM(
  ARRAYFORMULA(
    DATEVALUE(TRIM(MID(SPLIT(D9,CHAR(10)), FIND(""-"",SPLIT(D9,CHAR(10)))+1, 50))) 
  -
    DATEVALUE(TRIM(LEFT(SPLIT(D9,CHAR(10)), FIND(""-"",SPLIT(D9,CHAR(10)))-1)))
  + 1
)
),1)"),2.0)</f>
        <v>2</v>
      </c>
      <c r="F9" s="245">
        <f t="shared" si="1"/>
        <v>800</v>
      </c>
      <c r="G9" s="230" t="str">
        <f t="array" ref="G9">iferror(XLOOKUP(B9,'New Crew data'!C:C,'New Crew data'!AD:AD),)</f>
        <v>sawarospha@airasia.com</v>
      </c>
      <c r="H9" s="245">
        <f t="shared" si="2"/>
        <v>1</v>
      </c>
      <c r="I9" s="246" t="s">
        <v>20</v>
      </c>
      <c r="J9" s="246" t="s">
        <v>370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>
      <c r="A10" s="240">
        <v>8.0</v>
      </c>
      <c r="B10" s="247">
        <v>1011320.0</v>
      </c>
      <c r="C10" s="242" t="str">
        <f>vlookup(B10,'Crew Data'!C:G,5,0)</f>
        <v>Sudhat Bunnag</v>
      </c>
      <c r="D10" s="243" t="s">
        <v>977</v>
      </c>
      <c r="E10" s="244">
        <f>IFERROR(__xludf.DUMMYFUNCTION("IFERROR(SUM(
  ARRAYFORMULA(
    DATEVALUE(TRIM(MID(SPLIT(D10,CHAR(10)), FIND(""-"",SPLIT(D10,CHAR(10)))+1, 50))) 
  -
    DATEVALUE(TRIM(LEFT(SPLIT(D10,CHAR(10)), FIND(""-"",SPLIT(D10,CHAR(10)))-1)))
  + 1
)
),1)"),6.0)</f>
        <v>6</v>
      </c>
      <c r="F10" s="245">
        <f t="shared" si="1"/>
        <v>2400</v>
      </c>
      <c r="G10" s="230" t="str">
        <f t="array" ref="G10">iferror(XLOOKUP(B10,'New Crew data'!C:C,'New Crew data'!AD:AD),)</f>
        <v>sudhatu@airasia.com</v>
      </c>
      <c r="H10" s="245">
        <f t="shared" si="2"/>
        <v>1</v>
      </c>
      <c r="I10" s="246" t="s">
        <v>20</v>
      </c>
      <c r="J10" s="246" t="s">
        <v>370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>
      <c r="A11" s="240">
        <v>9.0</v>
      </c>
      <c r="B11" s="241">
        <v>1006992.0</v>
      </c>
      <c r="C11" s="242" t="str">
        <f>vlookup(B11,'Crew Data'!C:G,5,0)</f>
        <v>Danupon Chuenmongkol</v>
      </c>
      <c r="D11" s="243" t="s">
        <v>986</v>
      </c>
      <c r="E11" s="244">
        <f>IFERROR(__xludf.DUMMYFUNCTION("IFERROR(SUM(
  ARRAYFORMULA(
    DATEVALUE(TRIM(MID(SPLIT(D11,CHAR(10)), FIND(""-"",SPLIT(D11,CHAR(10)))+1, 50))) 
  -
    DATEVALUE(TRIM(LEFT(SPLIT(D11,CHAR(10)), FIND(""-"",SPLIT(D11,CHAR(10)))-1)))
  + 1
)
),1)"),10.0)</f>
        <v>10</v>
      </c>
      <c r="F11" s="245">
        <f t="shared" si="1"/>
        <v>4000</v>
      </c>
      <c r="G11" s="230" t="str">
        <f t="array" ref="G11">iferror(XLOOKUP(B11,'New Crew data'!C:C,'New Crew data'!AD:AD),)</f>
        <v>danuponc@airasia.com</v>
      </c>
      <c r="H11" s="245">
        <f t="shared" si="2"/>
        <v>1</v>
      </c>
      <c r="I11" s="246" t="s">
        <v>20</v>
      </c>
      <c r="J11" s="246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>
      <c r="A12" s="240">
        <v>10.0</v>
      </c>
      <c r="B12" s="241">
        <v>1004530.0</v>
      </c>
      <c r="C12" s="242" t="str">
        <f>vlookup(B12,'Crew Data'!C:G,5,0)</f>
        <v>Nadlada Sutham</v>
      </c>
      <c r="D12" s="243" t="s">
        <v>987</v>
      </c>
      <c r="E12" s="244">
        <f>IFERROR(__xludf.DUMMYFUNCTION("IFERROR(SUM(
  ARRAYFORMULA(
    DATEVALUE(TRIM(MID(SPLIT(D12,CHAR(10)), FIND(""-"",SPLIT(D12,CHAR(10)))+1, 50))) 
  -
    DATEVALUE(TRIM(LEFT(SPLIT(D12,CHAR(10)), FIND(""-"",SPLIT(D12,CHAR(10)))-1)))
  + 1
)
),1)"),6.0)</f>
        <v>6</v>
      </c>
      <c r="F12" s="245">
        <f t="shared" si="1"/>
        <v>2400</v>
      </c>
      <c r="G12" s="230" t="str">
        <f t="array" ref="G12">iferror(XLOOKUP(B12,'New Crew data'!C:C,'New Crew data'!AD:AD),)</f>
        <v>nadladas@airasia.com</v>
      </c>
      <c r="H12" s="245">
        <f t="shared" si="2"/>
        <v>1</v>
      </c>
      <c r="I12" s="246" t="s">
        <v>20</v>
      </c>
      <c r="J12" s="246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>
      <c r="A13" s="240">
        <v>11.0</v>
      </c>
      <c r="B13" s="241">
        <v>1004863.0</v>
      </c>
      <c r="C13" s="242" t="str">
        <f>vlookup(B13,'Crew Data'!C:G,5,0)</f>
        <v>Sirirat Sirikul</v>
      </c>
      <c r="D13" s="243" t="s">
        <v>988</v>
      </c>
      <c r="E13" s="244">
        <f>IFERROR(__xludf.DUMMYFUNCTION("IFERROR(SUM(
  ARRAYFORMULA(
    DATEVALUE(TRIM(MID(SPLIT(D13,CHAR(10)), FIND(""-"",SPLIT(D13,CHAR(10)))+1, 50))) 
  -
    DATEVALUE(TRIM(LEFT(SPLIT(D13,CHAR(10)), FIND(""-"",SPLIT(D13,CHAR(10)))-1)))
  + 1
)
),1)"),5.0)</f>
        <v>5</v>
      </c>
      <c r="F13" s="245">
        <f t="shared" si="1"/>
        <v>2000</v>
      </c>
      <c r="G13" s="230" t="str">
        <f t="array" ref="G13">iferror(XLOOKUP(B13,'New Crew data'!C:C,'New Crew data'!AD:AD),)</f>
        <v>sirirati@airasia.com</v>
      </c>
      <c r="H13" s="245">
        <f t="shared" si="2"/>
        <v>1</v>
      </c>
      <c r="I13" s="246" t="s">
        <v>20</v>
      </c>
      <c r="J13" s="246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>
      <c r="A14" s="240">
        <v>12.0</v>
      </c>
      <c r="B14" s="241">
        <v>1005762.0</v>
      </c>
      <c r="C14" s="242" t="str">
        <f>vlookup(B14,'Crew Data'!C:G,5,0)</f>
        <v>Photchara Srisuk</v>
      </c>
      <c r="D14" s="243" t="s">
        <v>989</v>
      </c>
      <c r="E14" s="244">
        <f>IFERROR(__xludf.DUMMYFUNCTION("IFERROR(SUM(
  ARRAYFORMULA(
    DATEVALUE(TRIM(MID(SPLIT(D14,CHAR(10)), FIND(""-"",SPLIT(D14,CHAR(10)))+1, 50))) 
  -
    DATEVALUE(TRIM(LEFT(SPLIT(D14,CHAR(10)), FIND(""-"",SPLIT(D14,CHAR(10)))-1)))
  + 1
)
),1)"),5.0)</f>
        <v>5</v>
      </c>
      <c r="F14" s="245">
        <f t="shared" si="1"/>
        <v>2000</v>
      </c>
      <c r="G14" s="230" t="str">
        <f t="array" ref="G14">iferror(XLOOKUP(B14,'New Crew data'!C:C,'New Crew data'!AD:AD),)</f>
        <v>photcharas@airasia.com</v>
      </c>
      <c r="H14" s="245">
        <f t="shared" si="2"/>
        <v>1</v>
      </c>
      <c r="I14" s="246" t="s">
        <v>20</v>
      </c>
      <c r="J14" s="246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>
      <c r="A15" s="240">
        <v>13.0</v>
      </c>
      <c r="B15" s="248">
        <v>1013184.0</v>
      </c>
      <c r="C15" s="242" t="str">
        <f>vlookup(B15,'Crew Data'!C:G,5,0)</f>
        <v>Pinnarat Mawinthon</v>
      </c>
      <c r="D15" s="243" t="s">
        <v>990</v>
      </c>
      <c r="E15" s="244">
        <f>IFERROR(__xludf.DUMMYFUNCTION("IFERROR(SUM(
  ARRAYFORMULA(
    DATEVALUE(TRIM(MID(SPLIT(D15,CHAR(10)), FIND(""-"",SPLIT(D15,CHAR(10)))+1, 50))) 
  -
    DATEVALUE(TRIM(LEFT(SPLIT(D15,CHAR(10)), FIND(""-"",SPLIT(D15,CHAR(10)))-1)))
  + 1
)
),1)"),24.0)</f>
        <v>24</v>
      </c>
      <c r="F15" s="245">
        <f t="shared" si="1"/>
        <v>9600</v>
      </c>
      <c r="G15" s="230" t="str">
        <f t="array" ref="G15">iferror(XLOOKUP(B15,'New Crew data'!C:C,'New Crew data'!AD:AD),)</f>
        <v>pinnaratm@airasia.com</v>
      </c>
      <c r="H15" s="245">
        <f t="shared" si="2"/>
        <v>1</v>
      </c>
      <c r="I15" s="246" t="s">
        <v>20</v>
      </c>
      <c r="J15" s="246" t="s">
        <v>349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>
      <c r="A16" s="240">
        <v>14.0</v>
      </c>
      <c r="B16" s="248">
        <v>1007339.0</v>
      </c>
      <c r="C16" s="242" t="str">
        <f>vlookup(B16,'Crew Data'!C:G,5,0)</f>
        <v>Chanicha Songkrit</v>
      </c>
      <c r="D16" s="243" t="s">
        <v>946</v>
      </c>
      <c r="E16" s="244">
        <f>IFERROR(__xludf.DUMMYFUNCTION("IFERROR(SUM(
  ARRAYFORMULA(
    DATEVALUE(TRIM(MID(SPLIT(D16,CHAR(10)), FIND(""-"",SPLIT(D16,CHAR(10)))+1, 50))) 
  -
    DATEVALUE(TRIM(LEFT(SPLIT(D16,CHAR(10)), FIND(""-"",SPLIT(D16,CHAR(10)))-1)))
  + 1
)
),1)"),4.0)</f>
        <v>4</v>
      </c>
      <c r="F16" s="245">
        <f t="shared" si="1"/>
        <v>1600</v>
      </c>
      <c r="G16" s="230" t="str">
        <f t="array" ref="G16">iferror(XLOOKUP(B16,'New Crew data'!C:C,'New Crew data'!AD:AD),)</f>
        <v>chanichas@airasia.com</v>
      </c>
      <c r="H16" s="245">
        <f t="shared" si="2"/>
        <v>1</v>
      </c>
      <c r="I16" s="246" t="s">
        <v>20</v>
      </c>
      <c r="J16" s="246" t="s">
        <v>370</v>
      </c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</row>
    <row r="17">
      <c r="A17" s="240">
        <v>15.0</v>
      </c>
      <c r="B17" s="248">
        <v>1044217.0</v>
      </c>
      <c r="C17" s="242" t="str">
        <f>vlookup(B17,'Crew Data'!C:G,5,0)</f>
        <v>Tanayaporn Sombatboriboon</v>
      </c>
      <c r="D17" s="243" t="s">
        <v>949</v>
      </c>
      <c r="E17" s="244">
        <f>IFERROR(__xludf.DUMMYFUNCTION("IFERROR(SUM(
  ARRAYFORMULA(
    DATEVALUE(TRIM(MID(SPLIT(D17,CHAR(10)), FIND(""-"",SPLIT(D17,CHAR(10)))+1, 50))) 
  -
    DATEVALUE(TRIM(LEFT(SPLIT(D17,CHAR(10)), FIND(""-"",SPLIT(D17,CHAR(10)))-1)))
  + 1
)
),1)"),2.0)</f>
        <v>2</v>
      </c>
      <c r="F17" s="245">
        <f t="shared" si="1"/>
        <v>800</v>
      </c>
      <c r="G17" s="230" t="str">
        <f t="array" ref="G17">iferror(XLOOKUP(B17,'New Crew data'!C:C,'New Crew data'!AD:AD),)</f>
        <v>tanayapornsom@airasia.com</v>
      </c>
      <c r="H17" s="245">
        <f t="shared" si="2"/>
        <v>1</v>
      </c>
      <c r="I17" s="246" t="s">
        <v>20</v>
      </c>
      <c r="J17" s="246" t="s">
        <v>370</v>
      </c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</row>
  </sheetData>
  <mergeCells count="1">
    <mergeCell ref="A1:G1"/>
  </mergeCells>
  <dataValidations>
    <dataValidation type="list" allowBlank="1" sqref="I3:I17">
      <formula1>"CHECKED (OK),CHECKED  (NOT OK)"</formula1>
    </dataValidation>
  </dataValidations>
  <drawing r:id="rId1"/>
  <tableParts count="1">
    <tablePart r:id="rId3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t="str">
        <f>IFERROR(__xludf.DUMMYFUNCTION("IMPORTRANGE(""https://docs.google.com/spreadsheets/d/1mjARqxqic6swTCIrvlefIcbTXKfzscQXizcudD61xDk/edit?gid=0#gid=0"",""Crew Data!a:ad"")"),"")</f>
        <v/>
      </c>
      <c r="B1">
        <f>IFERROR(__xludf.DUMMYFUNCTION("""COMPUTED_VALUE"""),2.0)</f>
        <v>2</v>
      </c>
      <c r="C1" s="142">
        <f>IFERROR(__xludf.DUMMYFUNCTION("""COMPUTED_VALUE"""),3.0)</f>
        <v>3</v>
      </c>
      <c r="D1">
        <f>IFERROR(__xludf.DUMMYFUNCTION("""COMPUTED_VALUE"""),4.0)</f>
        <v>4</v>
      </c>
      <c r="E1" s="142">
        <f>IFERROR(__xludf.DUMMYFUNCTION("""COMPUTED_VALUE"""),5.0)</f>
        <v>5</v>
      </c>
      <c r="F1">
        <f>IFERROR(__xludf.DUMMYFUNCTION("""COMPUTED_VALUE"""),6.0)</f>
        <v>6</v>
      </c>
      <c r="H1">
        <f>IFERROR(__xludf.DUMMYFUNCTION("""COMPUTED_VALUE"""),8.0)</f>
        <v>8</v>
      </c>
      <c r="I1" s="142">
        <f>IFERROR(__xludf.DUMMYFUNCTION("""COMPUTED_VALUE"""),9.0)</f>
        <v>9</v>
      </c>
      <c r="J1">
        <f>IFERROR(__xludf.DUMMYFUNCTION("""COMPUTED_VALUE"""),10.0)</f>
        <v>10</v>
      </c>
      <c r="K1" s="142">
        <f>IFERROR(__xludf.DUMMYFUNCTION("""COMPUTED_VALUE"""),11.0)</f>
        <v>11</v>
      </c>
      <c r="L1">
        <f>IFERROR(__xludf.DUMMYFUNCTION("""COMPUTED_VALUE"""),12.0)</f>
        <v>12</v>
      </c>
      <c r="M1" s="142">
        <f>IFERROR(__xludf.DUMMYFUNCTION("""COMPUTED_VALUE"""),13.0)</f>
        <v>13</v>
      </c>
      <c r="N1">
        <f>IFERROR(__xludf.DUMMYFUNCTION("""COMPUTED_VALUE"""),14.0)</f>
        <v>14</v>
      </c>
      <c r="O1" s="142">
        <f>IFERROR(__xludf.DUMMYFUNCTION("""COMPUTED_VALUE"""),15.0)</f>
        <v>15</v>
      </c>
      <c r="P1">
        <f>IFERROR(__xludf.DUMMYFUNCTION("""COMPUTED_VALUE"""),16.0)</f>
        <v>16</v>
      </c>
      <c r="Q1" s="142">
        <f>IFERROR(__xludf.DUMMYFUNCTION("""COMPUTED_VALUE"""),17.0)</f>
        <v>17</v>
      </c>
      <c r="R1">
        <f>IFERROR(__xludf.DUMMYFUNCTION("""COMPUTED_VALUE"""),18.0)</f>
        <v>18</v>
      </c>
      <c r="S1" s="142">
        <f>IFERROR(__xludf.DUMMYFUNCTION("""COMPUTED_VALUE"""),19.0)</f>
        <v>19</v>
      </c>
      <c r="T1">
        <f>IFERROR(__xludf.DUMMYFUNCTION("""COMPUTED_VALUE"""),20.0)</f>
        <v>20</v>
      </c>
      <c r="U1" s="142">
        <f>IFERROR(__xludf.DUMMYFUNCTION("""COMPUTED_VALUE"""),21.0)</f>
        <v>21</v>
      </c>
      <c r="V1">
        <f>IFERROR(__xludf.DUMMYFUNCTION("""COMPUTED_VALUE"""),22.0)</f>
        <v>22</v>
      </c>
      <c r="W1" s="142">
        <f>IFERROR(__xludf.DUMMYFUNCTION("""COMPUTED_VALUE"""),23.0)</f>
        <v>23</v>
      </c>
      <c r="X1">
        <f>IFERROR(__xludf.DUMMYFUNCTION("""COMPUTED_VALUE"""),24.0)</f>
        <v>24</v>
      </c>
      <c r="Y1" s="142">
        <f>IFERROR(__xludf.DUMMYFUNCTION("""COMPUTED_VALUE"""),25.0)</f>
        <v>25</v>
      </c>
      <c r="Z1">
        <f>IFERROR(__xludf.DUMMYFUNCTION("""COMPUTED_VALUE"""),26.0)</f>
        <v>26</v>
      </c>
      <c r="AA1" s="142">
        <f>IFERROR(__xludf.DUMMYFUNCTION("""COMPUTED_VALUE"""),27.0)</f>
        <v>27</v>
      </c>
      <c r="AB1">
        <f>IFERROR(__xludf.DUMMYFUNCTION("""COMPUTED_VALUE"""),28.0)</f>
        <v>28</v>
      </c>
      <c r="AC1" s="142">
        <f>IFERROR(__xludf.DUMMYFUNCTION("""COMPUTED_VALUE"""),29.0)</f>
        <v>29</v>
      </c>
      <c r="AD1">
        <f>IFERROR(__xludf.DUMMYFUNCTION("""COMPUTED_VALUE"""),30.0)</f>
        <v>30</v>
      </c>
    </row>
    <row r="2">
      <c r="D2" t="str">
        <f>IFERROR(__xludf.DUMMYFUNCTION("""COMPUTED_VALUE"""),"ณ ปัจจุบันรายงานวันที่")</f>
        <v>ณ ปัจจุบันรายงานวันที่</v>
      </c>
      <c r="F2" s="143">
        <f>IFERROR(__xludf.DUMMYFUNCTION("""COMPUTED_VALUE"""),46166.0)</f>
        <v>46166</v>
      </c>
      <c r="L2" s="144">
        <f>IFERROR(__xludf.DUMMYFUNCTION("""COMPUTED_VALUE"""),46166.0)</f>
        <v>46166</v>
      </c>
      <c r="M2" s="143">
        <f>IFERROR(__xludf.DUMMYFUNCTION("""COMPUTED_VALUE"""),46166.0)</f>
        <v>46166</v>
      </c>
    </row>
    <row r="4">
      <c r="A4" s="142" t="str">
        <f>IFERROR(__xludf.DUMMYFUNCTION("""COMPUTED_VALUE"""),"Batch")</f>
        <v>Batch</v>
      </c>
      <c r="B4" t="str">
        <f>IFERROR(__xludf.DUMMYFUNCTION("""COMPUTED_VALUE"""),"Old ID")</f>
        <v>Old ID</v>
      </c>
      <c r="C4" t="str">
        <f>IFERROR(__xludf.DUMMYFUNCTION("""COMPUTED_VALUE"""),"New ID")</f>
        <v>New ID</v>
      </c>
      <c r="D4" t="str">
        <f>IFERROR(__xludf.DUMMYFUNCTION("""COMPUTED_VALUE"""),"Person
PrefixEng")</f>
        <v>Person
PrefixEng</v>
      </c>
      <c r="E4" t="str">
        <f>IFERROR(__xludf.DUMMYFUNCTION("""COMPUTED_VALUE"""),"PersonFNameEng")</f>
        <v>PersonFNameEng</v>
      </c>
      <c r="F4" t="str">
        <f>IFERROR(__xludf.DUMMYFUNCTION("""COMPUTED_VALUE"""),"PersonLNameEng")</f>
        <v>PersonLNameEng</v>
      </c>
      <c r="G4" t="str">
        <f>IFERROR(__xludf.DUMMYFUNCTION("""COMPUTED_VALUE"""),"FullNameENG")</f>
        <v>FullNameENG</v>
      </c>
      <c r="H4" t="str">
        <f>IFERROR(__xludf.DUMMYFUNCTION("""COMPUTED_VALUE"""),"PersonPrefix")</f>
        <v>PersonPrefix</v>
      </c>
      <c r="I4" t="str">
        <f>IFERROR(__xludf.DUMMYFUNCTION("""COMPUTED_VALUE"""),"PersonFNameThai")</f>
        <v>PersonFNameThai</v>
      </c>
      <c r="J4" t="str">
        <f>IFERROR(__xludf.DUMMYFUNCTION("""COMPUTED_VALUE"""),"PersonLNameThai")</f>
        <v>PersonLNameThai</v>
      </c>
      <c r="K4" t="str">
        <f>IFERROR(__xludf.DUMMYFUNCTION("""COMPUTED_VALUE"""),"FullNameTHA")</f>
        <v>FullNameTHA</v>
      </c>
      <c r="L4" t="str">
        <f>IFERROR(__xludf.DUMMYFUNCTION("""COMPUTED_VALUE"""),"Nick Name")</f>
        <v>Nick Name</v>
      </c>
      <c r="M4" t="str">
        <f>IFERROR(__xludf.DUMMYFUNCTION("""COMPUTED_VALUE"""),"Position")</f>
        <v>Position</v>
      </c>
      <c r="N4" t="str">
        <f>IFERROR(__xludf.DUMMYFUNCTION("""COMPUTED_VALUE"""),"Base")</f>
        <v>Base</v>
      </c>
      <c r="O4" s="145" t="str">
        <f>IFERROR(__xludf.DUMMYFUNCTION("""COMPUTED_VALUE"""),"NEW HOME")</f>
        <v>NEW HOME</v>
      </c>
      <c r="P4" t="str">
        <f>IFERROR(__xludf.DUMMYFUNCTION("""COMPUTED_VALUE"""),"WorkStatus")</f>
        <v>WorkStatus</v>
      </c>
      <c r="Q4" t="str">
        <f>IFERROR(__xludf.DUMMYFUNCTION("""COMPUTED_VALUE"""),"Special Title")</f>
        <v>Special Title</v>
      </c>
      <c r="R4" t="str">
        <f>IFERROR(__xludf.DUMMYFUNCTION("""COMPUTED_VALUE"""),"DOB")</f>
        <v>DOB</v>
      </c>
      <c r="S4" s="146" t="str">
        <f>IFERROR(__xludf.DUMMYFUNCTION("""COMPUTED_VALUE"""),"PrimaryContact")</f>
        <v>PrimaryContact</v>
      </c>
      <c r="T4" s="147" t="str">
        <f>IFERROR(__xludf.DUMMYFUNCTION("""COMPUTED_VALUE"""),"SocialSecurityID")</f>
        <v>SocialSecurityID</v>
      </c>
      <c r="U4" t="str">
        <f>IFERROR(__xludf.DUMMYFUNCTION("""COMPUTED_VALUE"""),"Passport")</f>
        <v>Passport</v>
      </c>
      <c r="V4" s="148" t="str">
        <f>IFERROR(__xludf.DUMMYFUNCTION("""COMPUTED_VALUE"""),"IssueDate")</f>
        <v>IssueDate</v>
      </c>
      <c r="W4" s="148" t="str">
        <f>IFERROR(__xludf.DUMMYFUNCTION("""COMPUTED_VALUE"""),"ExpiryDate")</f>
        <v>ExpiryDate</v>
      </c>
      <c r="X4" t="str">
        <f>IFERROR(__xludf.DUMMYFUNCTION("""COMPUTED_VALUE"""),"6 Months Exp. Alert")</f>
        <v>6 Months Exp. Alert</v>
      </c>
      <c r="Y4" t="str">
        <f>IFERROR(__xludf.DUMMYFUNCTION("""COMPUTED_VALUE"""),"Alert Passport")</f>
        <v>Alert Passport</v>
      </c>
      <c r="Z4" t="str">
        <f>IFERROR(__xludf.DUMMYFUNCTION("""COMPUTED_VALUE"""),"PlaceOfBirth")</f>
        <v>PlaceOfBirth</v>
      </c>
      <c r="AA4" t="str">
        <f>IFERROR(__xludf.DUMMYFUNCTION("""COMPUTED_VALUE"""),"Living Area")</f>
        <v>Living Area</v>
      </c>
      <c r="AB4" t="str">
        <f>IFERROR(__xludf.DUMMYFUNCTION("""COMPUTED_VALUE"""),"EmergencyCall")</f>
        <v>EmergencyCall</v>
      </c>
      <c r="AC4" t="str">
        <f>IFERROR(__xludf.DUMMYFUNCTION("""COMPUTED_VALUE"""),"PersonContact")</f>
        <v>PersonContact</v>
      </c>
      <c r="AD4" t="str">
        <f>IFERROR(__xludf.DUMMYFUNCTION("""COMPUTED_VALUE"""),"EmailAddress")</f>
        <v>EmailAddress</v>
      </c>
    </row>
    <row r="5">
      <c r="A5" s="142">
        <f>IFERROR(__xludf.DUMMYFUNCTION("""COMPUTED_VALUE"""),1.0)</f>
        <v>1</v>
      </c>
      <c r="B5" t="str">
        <f>IFERROR(__xludf.DUMMYFUNCTION("""COMPUTED_VALUE"""),"TAA0025")</f>
        <v>TAA0025</v>
      </c>
      <c r="C5">
        <f>IFERROR(__xludf.DUMMYFUNCTION("""COMPUTED_VALUE"""),1000224.0)</f>
        <v>1000224</v>
      </c>
      <c r="D5" t="str">
        <f>IFERROR(__xludf.DUMMYFUNCTION("""COMPUTED_VALUE"""),"Mrs.")</f>
        <v>Mrs.</v>
      </c>
      <c r="E5" t="str">
        <f>IFERROR(__xludf.DUMMYFUNCTION("""COMPUTED_VALUE"""),"Angkhana")</f>
        <v>Angkhana</v>
      </c>
      <c r="F5" t="str">
        <f>IFERROR(__xludf.DUMMYFUNCTION("""COMPUTED_VALUE"""),"Juraiphong")</f>
        <v>Juraiphong</v>
      </c>
      <c r="G5" t="str">
        <f>IFERROR(__xludf.DUMMYFUNCTION("""COMPUTED_VALUE"""),"Angkhana Juraiphong")</f>
        <v>Angkhana Juraiphong</v>
      </c>
      <c r="H5" t="str">
        <f>IFERROR(__xludf.DUMMYFUNCTION("""COMPUTED_VALUE"""),"นางสาว")</f>
        <v>นางสาว</v>
      </c>
      <c r="I5" t="str">
        <f>IFERROR(__xludf.DUMMYFUNCTION("""COMPUTED_VALUE"""),"อังคนา")</f>
        <v>อังคนา</v>
      </c>
      <c r="J5" t="str">
        <f>IFERROR(__xludf.DUMMYFUNCTION("""COMPUTED_VALUE"""),"จุไรพงศ์")</f>
        <v>จุไรพงศ์</v>
      </c>
      <c r="K5" t="str">
        <f>IFERROR(__xludf.DUMMYFUNCTION("""COMPUTED_VALUE"""),"อังคนา จุไรพงศ์")</f>
        <v>อังคนา จุไรพงศ์</v>
      </c>
      <c r="L5" t="str">
        <f>IFERROR(__xludf.DUMMYFUNCTION("""COMPUTED_VALUE"""),"Poo")</f>
        <v>Poo</v>
      </c>
      <c r="M5" t="str">
        <f>IFERROR(__xludf.DUMMYFUNCTION("""COMPUTED_VALUE"""),"Senior Cabin Crew")</f>
        <v>Senior Cabin Crew</v>
      </c>
      <c r="N5" t="str">
        <f>IFERROR(__xludf.DUMMYFUNCTION("""COMPUTED_VALUE"""),"DMK")</f>
        <v>DMK</v>
      </c>
      <c r="O5" s="145" t="str">
        <f>IFERROR(__xludf.DUMMYFUNCTION("""COMPUTED_VALUE"""),"Namfon Home")</f>
        <v>Namfon Home</v>
      </c>
      <c r="P5" t="str">
        <f>IFERROR(__xludf.DUMMYFUNCTION("""COMPUTED_VALUE"""),"Active")</f>
        <v>Active</v>
      </c>
      <c r="Q5" t="str">
        <f>IFERROR(__xludf.DUMMYFUNCTION("""COMPUTED_VALUE"""),"SCC Line Checker 2025")</f>
        <v>SCC Line Checker 2025</v>
      </c>
      <c r="R5" s="143">
        <f>IFERROR(__xludf.DUMMYFUNCTION("""COMPUTED_VALUE"""),28406.0)</f>
        <v>28406</v>
      </c>
      <c r="S5" s="146" t="str">
        <f>IFERROR(__xludf.DUMMYFUNCTION("""COMPUTED_VALUE"""),"087 785 3961")</f>
        <v>087 785 3961</v>
      </c>
      <c r="T5" s="147" t="str">
        <f>IFERROR(__xludf.DUMMYFUNCTION("""COMPUTED_VALUE"""),"3500900-60-5464")</f>
        <v>3500900-60-5464</v>
      </c>
      <c r="U5" t="str">
        <f>IFERROR(__xludf.DUMMYFUNCTION("""COMPUTED_VALUE"""),"AC2669861")</f>
        <v>AC2669861</v>
      </c>
      <c r="V5" s="148">
        <f>IFERROR(__xludf.DUMMYFUNCTION("""COMPUTED_VALUE"""),45035.0)</f>
        <v>45035</v>
      </c>
      <c r="W5" s="148">
        <f>IFERROR(__xludf.DUMMYFUNCTION("""COMPUTED_VALUE"""),48687.0)</f>
        <v>48687</v>
      </c>
      <c r="X5" s="149">
        <f>IFERROR(__xludf.DUMMYFUNCTION("""COMPUTED_VALUE"""),48505.0)</f>
        <v>48505</v>
      </c>
      <c r="Y5" t="str">
        <f>IFERROR(__xludf.DUMMYFUNCTION("""COMPUTED_VALUE"""),"ปลอดภัย")</f>
        <v>ปลอดภัย</v>
      </c>
      <c r="Z5" t="str">
        <f>IFERROR(__xludf.DUMMYFUNCTION("""COMPUTED_VALUE"""),"Chiang Mai Province")</f>
        <v>Chiang Mai Province</v>
      </c>
      <c r="AA5" t="str">
        <f>IFERROR(__xludf.DUMMYFUNCTION("""COMPUTED_VALUE"""),"ลาดปลาเค้า")</f>
        <v>ลาดปลาเค้า</v>
      </c>
      <c r="AB5" t="str">
        <f>IFERROR(__xludf.DUMMYFUNCTION("""COMPUTED_VALUE"""),"087 779 9981")</f>
        <v>087 779 9981</v>
      </c>
      <c r="AC5" t="str">
        <f>IFERROR(__xludf.DUMMYFUNCTION("""COMPUTED_VALUE"""),"สามี")</f>
        <v>สามี</v>
      </c>
      <c r="AD5" t="str">
        <f>IFERROR(__xludf.DUMMYFUNCTION("""COMPUTED_VALUE"""),"angkhanaj@airasia.com")</f>
        <v>angkhanaj@airasia.com</v>
      </c>
    </row>
    <row r="6">
      <c r="A6" s="142">
        <f>IFERROR(__xludf.DUMMYFUNCTION("""COMPUTED_VALUE"""),1.0)</f>
        <v>1</v>
      </c>
      <c r="B6" t="str">
        <f>IFERROR(__xludf.DUMMYFUNCTION("""COMPUTED_VALUE"""),"TAA0042")</f>
        <v>TAA0042</v>
      </c>
      <c r="C6">
        <f>IFERROR(__xludf.DUMMYFUNCTION("""COMPUTED_VALUE"""),1000229.0)</f>
        <v>1000229</v>
      </c>
      <c r="D6" t="str">
        <f>IFERROR(__xludf.DUMMYFUNCTION("""COMPUTED_VALUE"""),"Ms.")</f>
        <v>Ms.</v>
      </c>
      <c r="E6" t="str">
        <f>IFERROR(__xludf.DUMMYFUNCTION("""COMPUTED_VALUE"""),"Kunyarpast (Thalatchanan)")</f>
        <v>Kunyarpast (Thalatchanan)</v>
      </c>
      <c r="F6" t="str">
        <f>IFERROR(__xludf.DUMMYFUNCTION("""COMPUTED_VALUE"""),"Toyingsirikul")</f>
        <v>Toyingsirikul</v>
      </c>
      <c r="G6" t="str">
        <f>IFERROR(__xludf.DUMMYFUNCTION("""COMPUTED_VALUE"""),"Kunyarpast Toyingsirikul")</f>
        <v>Kunyarpast Toyingsirikul</v>
      </c>
      <c r="H6" t="str">
        <f>IFERROR(__xludf.DUMMYFUNCTION("""COMPUTED_VALUE"""),"นางสาว")</f>
        <v>นางสาว</v>
      </c>
      <c r="I6" t="str">
        <f>IFERROR(__xludf.DUMMYFUNCTION("""COMPUTED_VALUE"""),"กัญภัสสร์ (ถลัชนันท์)")</f>
        <v>กัญภัสสร์ (ถลัชนันท์)</v>
      </c>
      <c r="J6" t="str">
        <f>IFERROR(__xludf.DUMMYFUNCTION("""COMPUTED_VALUE""")," โตยิ่งสิริกุล")</f>
        <v> โตยิ่งสิริกุล</v>
      </c>
      <c r="K6" t="str">
        <f>IFERROR(__xludf.DUMMYFUNCTION("""COMPUTED_VALUE"""),"กัญภัสสร์ โตยิ่งสิริกุล")</f>
        <v>กัญภัสสร์ โตยิ่งสิริกุล</v>
      </c>
      <c r="L6" t="str">
        <f>IFERROR(__xludf.DUMMYFUNCTION("""COMPUTED_VALUE"""),"TookTa")</f>
        <v>TookTa</v>
      </c>
      <c r="M6" t="str">
        <f>IFERROR(__xludf.DUMMYFUNCTION("""COMPUTED_VALUE"""),"Cabin Crew Engagement Lead")</f>
        <v>Cabin Crew Engagement Lead</v>
      </c>
      <c r="N6" t="str">
        <f>IFERROR(__xludf.DUMMYFUNCTION("""COMPUTED_VALUE"""),"DMK")</f>
        <v>DMK</v>
      </c>
      <c r="O6" s="145" t="str">
        <f>IFERROR(__xludf.DUMMYFUNCTION("""COMPUTED_VALUE"""),"Ward Monitor")</f>
        <v>Ward Monitor</v>
      </c>
      <c r="P6" t="str">
        <f>IFERROR(__xludf.DUMMYFUNCTION("""COMPUTED_VALUE"""),"CCEL")</f>
        <v>CCEL</v>
      </c>
      <c r="R6" s="143">
        <f>IFERROR(__xludf.DUMMYFUNCTION("""COMPUTED_VALUE"""),28401.0)</f>
        <v>28401</v>
      </c>
      <c r="S6" s="146">
        <f>IFERROR(__xludf.DUMMYFUNCTION("""COMPUTED_VALUE"""),8.19004442E8)</f>
        <v>819004442</v>
      </c>
      <c r="T6" s="147" t="str">
        <f>IFERROR(__xludf.DUMMYFUNCTION("""COMPUTED_VALUE"""),"3101500-08-2451")</f>
        <v>3101500-08-2451</v>
      </c>
      <c r="U6" t="str">
        <f>IFERROR(__xludf.DUMMYFUNCTION("""COMPUTED_VALUE"""),"AD09607741")</f>
        <v>AD09607741</v>
      </c>
      <c r="V6" s="148">
        <f>IFERROR(__xludf.DUMMYFUNCTION("""COMPUTED_VALUE"""),44936.0)</f>
        <v>44936</v>
      </c>
      <c r="W6" s="148">
        <f>IFERROR(__xludf.DUMMYFUNCTION("""COMPUTED_VALUE"""),48588.0)</f>
        <v>48588</v>
      </c>
      <c r="X6" s="149">
        <f>IFERROR(__xludf.DUMMYFUNCTION("""COMPUTED_VALUE"""),48404.0)</f>
        <v>48404</v>
      </c>
      <c r="Y6" t="str">
        <f>IFERROR(__xludf.DUMMYFUNCTION("""COMPUTED_VALUE"""),"ปลอดภัย")</f>
        <v>ปลอดภัย</v>
      </c>
      <c r="Z6" t="str">
        <f>IFERROR(__xludf.DUMMYFUNCTION("""COMPUTED_VALUE"""),"Bangkok")</f>
        <v>Bangkok</v>
      </c>
      <c r="AA6" t="str">
        <f>IFERROR(__xludf.DUMMYFUNCTION("""COMPUTED_VALUE"""),"ดอนเมือง")</f>
        <v>ดอนเมือง</v>
      </c>
      <c r="AB6" t="str">
        <f>IFERROR(__xludf.DUMMYFUNCTION("""COMPUTED_VALUE"""),"081 401 6213")</f>
        <v>081 401 6213</v>
      </c>
      <c r="AC6" t="str">
        <f>IFERROR(__xludf.DUMMYFUNCTION("""COMPUTED_VALUE"""),"พ่อ")</f>
        <v>พ่อ</v>
      </c>
      <c r="AD6" t="str">
        <f>IFERROR(__xludf.DUMMYFUNCTION("""COMPUTED_VALUE"""),"kanyarpastt@airasia.com")</f>
        <v>kanyarpastt@airasia.com</v>
      </c>
    </row>
    <row r="7">
      <c r="AD7" t="str">
        <f>IFERROR(__xludf.DUMMYFUNCTION("""COMPUTED_VALUE"""),"")</f>
        <v/>
      </c>
    </row>
    <row r="8">
      <c r="A8" s="142">
        <f>IFERROR(__xludf.DUMMYFUNCTION("""COMPUTED_VALUE"""),2.0)</f>
        <v>2</v>
      </c>
      <c r="B8" t="str">
        <f>IFERROR(__xludf.DUMMYFUNCTION("""COMPUTED_VALUE"""),"TAA0055")</f>
        <v>TAA0055</v>
      </c>
      <c r="C8">
        <f>IFERROR(__xludf.DUMMYFUNCTION("""COMPUTED_VALUE"""),1000233.0)</f>
        <v>1000233</v>
      </c>
      <c r="D8" t="str">
        <f>IFERROR(__xludf.DUMMYFUNCTION("""COMPUTED_VALUE"""),"Ms.")</f>
        <v>Ms.</v>
      </c>
      <c r="E8" t="str">
        <f>IFERROR(__xludf.DUMMYFUNCTION("""COMPUTED_VALUE"""),"Rawiga")</f>
        <v>Rawiga</v>
      </c>
      <c r="F8" t="str">
        <f>IFERROR(__xludf.DUMMYFUNCTION("""COMPUTED_VALUE"""),"Kuawong")</f>
        <v>Kuawong</v>
      </c>
      <c r="G8" t="str">
        <f>IFERROR(__xludf.DUMMYFUNCTION("""COMPUTED_VALUE"""),"Rawiga Kuawong")</f>
        <v>Rawiga Kuawong</v>
      </c>
      <c r="H8" t="str">
        <f>IFERROR(__xludf.DUMMYFUNCTION("""COMPUTED_VALUE"""),"นางสาว")</f>
        <v>นางสาว</v>
      </c>
      <c r="I8" t="str">
        <f>IFERROR(__xludf.DUMMYFUNCTION("""COMPUTED_VALUE"""),"รวิกา")</f>
        <v>รวิกา</v>
      </c>
      <c r="J8" t="str">
        <f>IFERROR(__xludf.DUMMYFUNCTION("""COMPUTED_VALUE"""),"กัววงศ์")</f>
        <v>กัววงศ์</v>
      </c>
      <c r="K8" t="str">
        <f>IFERROR(__xludf.DUMMYFUNCTION("""COMPUTED_VALUE"""),"รวิกา กัววงศ์")</f>
        <v>รวิกา กัววงศ์</v>
      </c>
      <c r="L8" t="str">
        <f>IFERROR(__xludf.DUMMYFUNCTION("""COMPUTED_VALUE"""),"Aof")</f>
        <v>Aof</v>
      </c>
      <c r="M8" t="str">
        <f>IFERROR(__xludf.DUMMYFUNCTION("""COMPUTED_VALUE"""),"Senior Cabin Crew")</f>
        <v>Senior Cabin Crew</v>
      </c>
      <c r="N8" t="str">
        <f>IFERROR(__xludf.DUMMYFUNCTION("""COMPUTED_VALUE"""),"DMK")</f>
        <v>DMK</v>
      </c>
      <c r="O8" s="145" t="str">
        <f>IFERROR(__xludf.DUMMYFUNCTION("""COMPUTED_VALUE"""),"Kor Home")</f>
        <v>Kor Home</v>
      </c>
      <c r="P8" t="str">
        <f>IFERROR(__xludf.DUMMYFUNCTION("""COMPUTED_VALUE"""),"Active")</f>
        <v>Active</v>
      </c>
      <c r="Q8" t="str">
        <f>IFERROR(__xludf.DUMMYFUNCTION("""COMPUTED_VALUE"""),"SCC Line Checker 2025")</f>
        <v>SCC Line Checker 2025</v>
      </c>
      <c r="R8" s="143">
        <f>IFERROR(__xludf.DUMMYFUNCTION("""COMPUTED_VALUE"""),27377.0)</f>
        <v>27377</v>
      </c>
      <c r="S8" s="146" t="str">
        <f>IFERROR(__xludf.DUMMYFUNCTION("""COMPUTED_VALUE"""),"089 585 6556")</f>
        <v>089 585 6556</v>
      </c>
      <c r="T8" s="147" t="str">
        <f>IFERROR(__xludf.DUMMYFUNCTION("""COMPUTED_VALUE"""),"3101600-62-7491")</f>
        <v>3101600-62-7491</v>
      </c>
      <c r="U8" t="str">
        <f>IFERROR(__xludf.DUMMYFUNCTION("""COMPUTED_VALUE"""),"AC5654915")</f>
        <v>AC5654915</v>
      </c>
      <c r="V8" s="148">
        <f>IFERROR(__xludf.DUMMYFUNCTION("""COMPUTED_VALUE"""),45176.0)</f>
        <v>45176</v>
      </c>
      <c r="W8" s="148">
        <f>IFERROR(__xludf.DUMMYFUNCTION("""COMPUTED_VALUE"""),48828.0)</f>
        <v>48828</v>
      </c>
      <c r="X8" s="149">
        <f>IFERROR(__xludf.DUMMYFUNCTION("""COMPUTED_VALUE"""),48644.0)</f>
        <v>48644</v>
      </c>
      <c r="Y8" t="str">
        <f>IFERROR(__xludf.DUMMYFUNCTION("""COMPUTED_VALUE"""),"ปลอดภัย")</f>
        <v>ปลอดภัย</v>
      </c>
      <c r="Z8" t="str">
        <f>IFERROR(__xludf.DUMMYFUNCTION("""COMPUTED_VALUE"""),"Bangkok")</f>
        <v>Bangkok</v>
      </c>
      <c r="AA8" t="str">
        <f>IFERROR(__xludf.DUMMYFUNCTION("""COMPUTED_VALUE"""),"ภูเก็ต")</f>
        <v>ภูเก็ต</v>
      </c>
      <c r="AB8" t="str">
        <f>IFERROR(__xludf.DUMMYFUNCTION("""COMPUTED_VALUE"""),"! Update !")</f>
        <v>! Update !</v>
      </c>
      <c r="AC8" t="str">
        <f>IFERROR(__xludf.DUMMYFUNCTION("""COMPUTED_VALUE"""),"! Update !")</f>
        <v>! Update !</v>
      </c>
      <c r="AD8" t="str">
        <f>IFERROR(__xludf.DUMMYFUNCTION("""COMPUTED_VALUE"""),"rawigak@airasia.com")</f>
        <v>rawigak@airasia.com</v>
      </c>
    </row>
    <row r="9">
      <c r="A9" s="142">
        <f>IFERROR(__xludf.DUMMYFUNCTION("""COMPUTED_VALUE"""),2.0)</f>
        <v>2</v>
      </c>
      <c r="B9" t="str">
        <f>IFERROR(__xludf.DUMMYFUNCTION("""COMPUTED_VALUE"""),"TAA0076")</f>
        <v>TAA0076</v>
      </c>
      <c r="C9">
        <f>IFERROR(__xludf.DUMMYFUNCTION("""COMPUTED_VALUE"""),1000240.0)</f>
        <v>1000240</v>
      </c>
      <c r="D9" t="str">
        <f>IFERROR(__xludf.DUMMYFUNCTION("""COMPUTED_VALUE"""),"Mr.")</f>
        <v>Mr.</v>
      </c>
      <c r="E9" t="str">
        <f>IFERROR(__xludf.DUMMYFUNCTION("""COMPUTED_VALUE"""),"Thanisorn")</f>
        <v>Thanisorn</v>
      </c>
      <c r="F9" t="str">
        <f>IFERROR(__xludf.DUMMYFUNCTION("""COMPUTED_VALUE"""),"Lenavat")</f>
        <v>Lenavat</v>
      </c>
      <c r="G9" t="str">
        <f>IFERROR(__xludf.DUMMYFUNCTION("""COMPUTED_VALUE"""),"Thanisorn Lenavat")</f>
        <v>Thanisorn Lenavat</v>
      </c>
      <c r="H9" t="str">
        <f>IFERROR(__xludf.DUMMYFUNCTION("""COMPUTED_VALUE"""),"นาย")</f>
        <v>นาย</v>
      </c>
      <c r="I9" t="str">
        <f>IFERROR(__xludf.DUMMYFUNCTION("""COMPUTED_VALUE"""),"ธนิสร")</f>
        <v>ธนิสร</v>
      </c>
      <c r="J9" t="str">
        <f>IFERROR(__xludf.DUMMYFUNCTION("""COMPUTED_VALUE"""),"ลีนะวัต")</f>
        <v>ลีนะวัต</v>
      </c>
      <c r="K9" t="str">
        <f>IFERROR(__xludf.DUMMYFUNCTION("""COMPUTED_VALUE"""),"ธนิสร ลีนะวัต")</f>
        <v>ธนิสร ลีนะวัต</v>
      </c>
      <c r="L9" t="str">
        <f>IFERROR(__xludf.DUMMYFUNCTION("""COMPUTED_VALUE"""),"Um")</f>
        <v>Um</v>
      </c>
      <c r="M9" t="str">
        <f>IFERROR(__xludf.DUMMYFUNCTION("""COMPUTED_VALUE"""),"Cabin Crew Engagement Lead")</f>
        <v>Cabin Crew Engagement Lead</v>
      </c>
      <c r="N9" t="str">
        <f>IFERROR(__xludf.DUMMYFUNCTION("""COMPUTED_VALUE"""),"DMK")</f>
        <v>DMK</v>
      </c>
      <c r="O9" s="145" t="str">
        <f>IFERROR(__xludf.DUMMYFUNCTION("""COMPUTED_VALUE"""),"Ward Monitor")</f>
        <v>Ward Monitor</v>
      </c>
      <c r="P9" t="str">
        <f>IFERROR(__xludf.DUMMYFUNCTION("""COMPUTED_VALUE"""),"CCEL")</f>
        <v>CCEL</v>
      </c>
      <c r="R9" s="143">
        <f>IFERROR(__xludf.DUMMYFUNCTION("""COMPUTED_VALUE"""),29005.0)</f>
        <v>29005</v>
      </c>
      <c r="S9" s="146" t="str">
        <f>IFERROR(__xludf.DUMMYFUNCTION("""COMPUTED_VALUE"""),"094 798 9241")</f>
        <v>094 798 9241</v>
      </c>
      <c r="T9" s="147" t="str">
        <f>IFERROR(__xludf.DUMMYFUNCTION("""COMPUTED_VALUE"""),"3100903-50-7165")</f>
        <v>3100903-50-7165</v>
      </c>
      <c r="U9" t="str">
        <f>IFERROR(__xludf.DUMMYFUNCTION("""COMPUTED_VALUE"""),"AC2253555")</f>
        <v>AC2253555</v>
      </c>
      <c r="V9" s="148">
        <f>IFERROR(__xludf.DUMMYFUNCTION("""COMPUTED_VALUE"""),44307.0)</f>
        <v>44307</v>
      </c>
      <c r="W9" s="148">
        <f>IFERROR(__xludf.DUMMYFUNCTION("""COMPUTED_VALUE"""),47958.0)</f>
        <v>47958</v>
      </c>
      <c r="X9" s="149">
        <f>IFERROR(__xludf.DUMMYFUNCTION("""COMPUTED_VALUE"""),47776.0)</f>
        <v>47776</v>
      </c>
      <c r="Y9" t="str">
        <f>IFERROR(__xludf.DUMMYFUNCTION("""COMPUTED_VALUE"""),"ปลอดภัย")</f>
        <v>ปลอดภัย</v>
      </c>
      <c r="Z9" t="str">
        <f>IFERROR(__xludf.DUMMYFUNCTION("""COMPUTED_VALUE"""),"Chiang Mai Province")</f>
        <v>Chiang Mai Province</v>
      </c>
      <c r="AA9" t="str">
        <f>IFERROR(__xludf.DUMMYFUNCTION("""COMPUTED_VALUE"""),"บางนา")</f>
        <v>บางนา</v>
      </c>
      <c r="AB9" t="str">
        <f>IFERROR(__xludf.DUMMYFUNCTION("""COMPUTED_VALUE"""),"02 396 1599")</f>
        <v>02 396 1599</v>
      </c>
      <c r="AC9" t="str">
        <f>IFERROR(__xludf.DUMMYFUNCTION("""COMPUTED_VALUE"""),"บ้าน")</f>
        <v>บ้าน</v>
      </c>
      <c r="AD9" t="str">
        <f>IFERROR(__xludf.DUMMYFUNCTION("""COMPUTED_VALUE"""),"thanisornl@airasia.com")</f>
        <v>thanisornl@airasia.com</v>
      </c>
    </row>
    <row r="10">
      <c r="I10" t="str">
        <f>IFERROR(__xludf.DUMMYFUNCTION("""COMPUTED_VALUE"""),"F")</f>
        <v>F</v>
      </c>
      <c r="AD10" t="str">
        <f>IFERROR(__xludf.DUMMYFUNCTION("""COMPUTED_VALUE"""),"")</f>
        <v/>
      </c>
    </row>
    <row r="11">
      <c r="A11" s="142">
        <f>IFERROR(__xludf.DUMMYFUNCTION("""COMPUTED_VALUE"""),3.0)</f>
        <v>3</v>
      </c>
      <c r="B11" t="str">
        <f>IFERROR(__xludf.DUMMYFUNCTION("""COMPUTED_VALUE"""),"TAA0263")</f>
        <v>TAA0263</v>
      </c>
      <c r="C11">
        <f>IFERROR(__xludf.DUMMYFUNCTION("""COMPUTED_VALUE"""),1000369.0)</f>
        <v>1000369</v>
      </c>
      <c r="D11" t="str">
        <f>IFERROR(__xludf.DUMMYFUNCTION("""COMPUTED_VALUE"""),"Ms.")</f>
        <v>Ms.</v>
      </c>
      <c r="E11" t="str">
        <f>IFERROR(__xludf.DUMMYFUNCTION("""COMPUTED_VALUE"""),"Bussayarangsri")</f>
        <v>Bussayarangsri</v>
      </c>
      <c r="F11" t="str">
        <f>IFERROR(__xludf.DUMMYFUNCTION("""COMPUTED_VALUE"""),"Saringkaphaiboon")</f>
        <v>Saringkaphaiboon</v>
      </c>
      <c r="G11" t="str">
        <f>IFERROR(__xludf.DUMMYFUNCTION("""COMPUTED_VALUE"""),"Bussayarangsri Saringkaphaiboon")</f>
        <v>Bussayarangsri Saringkaphaiboon</v>
      </c>
      <c r="H11" t="str">
        <f>IFERROR(__xludf.DUMMYFUNCTION("""COMPUTED_VALUE"""),"นางสาว")</f>
        <v>นางสาว</v>
      </c>
      <c r="I11" t="str">
        <f>IFERROR(__xludf.DUMMYFUNCTION("""COMPUTED_VALUE"""),"บุษยรังษี")</f>
        <v>บุษยรังษี</v>
      </c>
      <c r="J11" t="str">
        <f>IFERROR(__xludf.DUMMYFUNCTION("""COMPUTED_VALUE"""),"ศฤงฆไพบูลย์")</f>
        <v>ศฤงฆไพบูลย์</v>
      </c>
      <c r="K11" t="str">
        <f>IFERROR(__xludf.DUMMYFUNCTION("""COMPUTED_VALUE"""),"บุษยรังษี ศฤงฆไพบูลย์")</f>
        <v>บุษยรังษี ศฤงฆไพบูลย์</v>
      </c>
      <c r="L11" t="str">
        <f>IFERROR(__xludf.DUMMYFUNCTION("""COMPUTED_VALUE"""),"Phueng")</f>
        <v>Phueng</v>
      </c>
      <c r="M11" t="str">
        <f>IFERROR(__xludf.DUMMYFUNCTION("""COMPUTED_VALUE"""),"Senior Cabin Crew")</f>
        <v>Senior Cabin Crew</v>
      </c>
      <c r="N11" t="str">
        <f>IFERROR(__xludf.DUMMYFUNCTION("""COMPUTED_VALUE"""),"DMK")</f>
        <v>DMK</v>
      </c>
      <c r="O11" s="145" t="str">
        <f>IFERROR(__xludf.DUMMYFUNCTION("""COMPUTED_VALUE"""),"Por+ Home")</f>
        <v>Por+ Home</v>
      </c>
      <c r="P11" t="str">
        <f>IFERROR(__xludf.DUMMYFUNCTION("""COMPUTED_VALUE"""),"Active")</f>
        <v>Active</v>
      </c>
      <c r="Q11" t="str">
        <f>IFERROR(__xludf.DUMMYFUNCTION("""COMPUTED_VALUE"""),"SCC Line Checker 2025")</f>
        <v>SCC Line Checker 2025</v>
      </c>
      <c r="R11" s="143">
        <f>IFERROR(__xludf.DUMMYFUNCTION("""COMPUTED_VALUE"""),24946.0)</f>
        <v>24946</v>
      </c>
      <c r="S11" s="146" t="str">
        <f>IFERROR(__xludf.DUMMYFUNCTION("""COMPUTED_VALUE"""),"081 867 8441")</f>
        <v>081 867 8441</v>
      </c>
      <c r="T11" s="147" t="str">
        <f>IFERROR(__xludf.DUMMYFUNCTION("""COMPUTED_VALUE"""),"3101900-42-5975")</f>
        <v>3101900-42-5975</v>
      </c>
      <c r="U11" t="str">
        <f>IFERROR(__xludf.DUMMYFUNCTION("""COMPUTED_VALUE"""),"AD1745030")</f>
        <v>AD1745030</v>
      </c>
      <c r="V11" s="148">
        <f>IFERROR(__xludf.DUMMYFUNCTION("""COMPUTED_VALUE"""),45439.0)</f>
        <v>45439</v>
      </c>
      <c r="W11" s="148">
        <f>IFERROR(__xludf.DUMMYFUNCTION("""COMPUTED_VALUE"""),49090.0)</f>
        <v>49090</v>
      </c>
      <c r="X11" s="149">
        <f>IFERROR(__xludf.DUMMYFUNCTION("""COMPUTED_VALUE"""),48909.0)</f>
        <v>48909</v>
      </c>
      <c r="Y11" t="str">
        <f>IFERROR(__xludf.DUMMYFUNCTION("""COMPUTED_VALUE"""),"ปลอดภัย")</f>
        <v>ปลอดภัย</v>
      </c>
      <c r="Z11" t="str">
        <f>IFERROR(__xludf.DUMMYFUNCTION("""COMPUTED_VALUE"""),"Bangkok")</f>
        <v>Bangkok</v>
      </c>
      <c r="AA11" t="str">
        <f>IFERROR(__xludf.DUMMYFUNCTION("""COMPUTED_VALUE"""),"ตลิ่งชัน")</f>
        <v>ตลิ่งชัน</v>
      </c>
      <c r="AB11" t="str">
        <f>IFERROR(__xludf.DUMMYFUNCTION("""COMPUTED_VALUE"""),"081 867 8408")</f>
        <v>081 867 8408</v>
      </c>
      <c r="AC11" t="str">
        <f>IFERROR(__xludf.DUMMYFUNCTION("""COMPUTED_VALUE"""),"-")</f>
        <v>-</v>
      </c>
      <c r="AD11" t="str">
        <f>IFERROR(__xludf.DUMMYFUNCTION("""COMPUTED_VALUE"""),"bussayarangsris@airasia.com")</f>
        <v>bussayarangsris@airasia.com</v>
      </c>
    </row>
    <row r="12">
      <c r="A12" s="142">
        <f>IFERROR(__xludf.DUMMYFUNCTION("""COMPUTED_VALUE"""),3.0)</f>
        <v>3</v>
      </c>
      <c r="B12" t="str">
        <f>IFERROR(__xludf.DUMMYFUNCTION("""COMPUTED_VALUE"""),"TAA0266")</f>
        <v>TAA0266</v>
      </c>
      <c r="C12">
        <f>IFERROR(__xludf.DUMMYFUNCTION("""COMPUTED_VALUE"""),1000374.0)</f>
        <v>1000374</v>
      </c>
      <c r="D12" t="str">
        <f>IFERROR(__xludf.DUMMYFUNCTION("""COMPUTED_VALUE"""),"Ms.")</f>
        <v>Ms.</v>
      </c>
      <c r="E12" t="str">
        <f>IFERROR(__xludf.DUMMYFUNCTION("""COMPUTED_VALUE"""),"Onwijit")</f>
        <v>Onwijit</v>
      </c>
      <c r="F12" t="str">
        <f>IFERROR(__xludf.DUMMYFUNCTION("""COMPUTED_VALUE"""),"Rinthaphol")</f>
        <v>Rinthaphol</v>
      </c>
      <c r="G12" t="str">
        <f>IFERROR(__xludf.DUMMYFUNCTION("""COMPUTED_VALUE"""),"Onwijit Rinthaphol")</f>
        <v>Onwijit Rinthaphol</v>
      </c>
      <c r="H12" t="str">
        <f>IFERROR(__xludf.DUMMYFUNCTION("""COMPUTED_VALUE"""),"นางสาว")</f>
        <v>นางสาว</v>
      </c>
      <c r="I12" t="str">
        <f>IFERROR(__xludf.DUMMYFUNCTION("""COMPUTED_VALUE"""),"อรวิจิตร")</f>
        <v>อรวิจิตร</v>
      </c>
      <c r="J12" t="str">
        <f>IFERROR(__xludf.DUMMYFUNCTION("""COMPUTED_VALUE"""),"รินทพล")</f>
        <v>รินทพล</v>
      </c>
      <c r="K12" t="str">
        <f>IFERROR(__xludf.DUMMYFUNCTION("""COMPUTED_VALUE"""),"อรวิจิตร รินทพล")</f>
        <v>อรวิจิตร รินทพล</v>
      </c>
      <c r="L12" t="str">
        <f>IFERROR(__xludf.DUMMYFUNCTION("""COMPUTED_VALUE"""),"Aon")</f>
        <v>Aon</v>
      </c>
      <c r="M12" t="str">
        <f>IFERROR(__xludf.DUMMYFUNCTION("""COMPUTED_VALUE"""),"Senior Cabin Crew")</f>
        <v>Senior Cabin Crew</v>
      </c>
      <c r="N12" t="str">
        <f>IFERROR(__xludf.DUMMYFUNCTION("""COMPUTED_VALUE"""),"DMK")</f>
        <v>DMK</v>
      </c>
      <c r="O12" s="145" t="str">
        <f>IFERROR(__xludf.DUMMYFUNCTION("""COMPUTED_VALUE"""),"Por+ Home")</f>
        <v>Por+ Home</v>
      </c>
      <c r="P12" t="str">
        <f>IFERROR(__xludf.DUMMYFUNCTION("""COMPUTED_VALUE"""),"Active")</f>
        <v>Active</v>
      </c>
      <c r="R12" s="143">
        <f>IFERROR(__xludf.DUMMYFUNCTION("""COMPUTED_VALUE"""),28680.0)</f>
        <v>28680</v>
      </c>
      <c r="S12" s="146" t="str">
        <f>IFERROR(__xludf.DUMMYFUNCTION("""COMPUTED_VALUE"""),"081 205 1896")</f>
        <v>081 205 1896</v>
      </c>
      <c r="T12" s="147" t="str">
        <f>IFERROR(__xludf.DUMMYFUNCTION("""COMPUTED_VALUE"""),"3120101-71-5971")</f>
        <v>3120101-71-5971</v>
      </c>
      <c r="U12" t="str">
        <f>IFERROR(__xludf.DUMMYFUNCTION("""COMPUTED_VALUE"""),"AC3440289")</f>
        <v>AC3440289</v>
      </c>
      <c r="V12" s="148">
        <f>IFERROR(__xludf.DUMMYFUNCTION("""COMPUTED_VALUE"""),44739.0)</f>
        <v>44739</v>
      </c>
      <c r="W12" s="148">
        <f>IFERROR(__xludf.DUMMYFUNCTION("""COMPUTED_VALUE"""),48391.0)</f>
        <v>48391</v>
      </c>
      <c r="X12" s="149">
        <f>IFERROR(__xludf.DUMMYFUNCTION("""COMPUTED_VALUE"""),48208.0)</f>
        <v>48208</v>
      </c>
      <c r="Y12" t="str">
        <f>IFERROR(__xludf.DUMMYFUNCTION("""COMPUTED_VALUE"""),"ปลอดภัย")</f>
        <v>ปลอดภัย</v>
      </c>
      <c r="Z12" t="str">
        <f>IFERROR(__xludf.DUMMYFUNCTION("""COMPUTED_VALUE"""),"Bangkok")</f>
        <v>Bangkok</v>
      </c>
      <c r="AA12" t="str">
        <f>IFERROR(__xludf.DUMMYFUNCTION("""COMPUTED_VALUE"""),"บางพลี")</f>
        <v>บางพลี</v>
      </c>
      <c r="AB12" t="str">
        <f>IFERROR(__xludf.DUMMYFUNCTION("""COMPUTED_VALUE"""),"02 987 5045")</f>
        <v>02 987 5045</v>
      </c>
      <c r="AC12" t="str">
        <f>IFERROR(__xludf.DUMMYFUNCTION("""COMPUTED_VALUE"""),"บ้าน")</f>
        <v>บ้าน</v>
      </c>
      <c r="AD12" t="str">
        <f>IFERROR(__xludf.DUMMYFUNCTION("""COMPUTED_VALUE"""),"onwijitr@airasia.com")</f>
        <v>onwijitr@airasia.com</v>
      </c>
    </row>
    <row r="13">
      <c r="AD13" t="str">
        <f>IFERROR(__xludf.DUMMYFUNCTION("""COMPUTED_VALUE"""),"")</f>
        <v/>
      </c>
    </row>
    <row r="14">
      <c r="A14" s="142">
        <f>IFERROR(__xludf.DUMMYFUNCTION("""COMPUTED_VALUE"""),4.0)</f>
        <v>4</v>
      </c>
      <c r="B14" t="str">
        <f>IFERROR(__xludf.DUMMYFUNCTION("""COMPUTED_VALUE"""),"TAA0366")</f>
        <v>TAA0366</v>
      </c>
      <c r="C14">
        <f>IFERROR(__xludf.DUMMYFUNCTION("""COMPUTED_VALUE"""),1000429.0)</f>
        <v>1000429</v>
      </c>
      <c r="D14" t="str">
        <f>IFERROR(__xludf.DUMMYFUNCTION("""COMPUTED_VALUE"""),"Ms.")</f>
        <v>Ms.</v>
      </c>
      <c r="E14" t="str">
        <f>IFERROR(__xludf.DUMMYFUNCTION("""COMPUTED_VALUE"""),"Thatchada")</f>
        <v>Thatchada</v>
      </c>
      <c r="F14" t="str">
        <f>IFERROR(__xludf.DUMMYFUNCTION("""COMPUTED_VALUE"""),"Sakulthep")</f>
        <v>Sakulthep</v>
      </c>
      <c r="G14" t="str">
        <f>IFERROR(__xludf.DUMMYFUNCTION("""COMPUTED_VALUE"""),"Thatchada Sakulthep")</f>
        <v>Thatchada Sakulthep</v>
      </c>
      <c r="H14" t="str">
        <f>IFERROR(__xludf.DUMMYFUNCTION("""COMPUTED_VALUE"""),"นางสาว")</f>
        <v>นางสาว</v>
      </c>
      <c r="I14" t="str">
        <f>IFERROR(__xludf.DUMMYFUNCTION("""COMPUTED_VALUE"""),"ธัชดา")</f>
        <v>ธัชดา</v>
      </c>
      <c r="J14" t="str">
        <f>IFERROR(__xludf.DUMMYFUNCTION("""COMPUTED_VALUE"""),"สกุลเทพ")</f>
        <v>สกุลเทพ</v>
      </c>
      <c r="K14" t="str">
        <f>IFERROR(__xludf.DUMMYFUNCTION("""COMPUTED_VALUE"""),"ธัชดา สกุลเทพ")</f>
        <v>ธัชดา สกุลเทพ</v>
      </c>
      <c r="L14" t="str">
        <f>IFERROR(__xludf.DUMMYFUNCTION("""COMPUTED_VALUE"""),"Jah")</f>
        <v>Jah</v>
      </c>
      <c r="M14" t="str">
        <f>IFERROR(__xludf.DUMMYFUNCTION("""COMPUTED_VALUE"""),"Senior Cabin Crew - HKT")</f>
        <v>Senior Cabin Crew - HKT</v>
      </c>
      <c r="N14" t="str">
        <f>IFERROR(__xludf.DUMMYFUNCTION("""COMPUTED_VALUE"""),"HKT")</f>
        <v>HKT</v>
      </c>
      <c r="O14" s="145" t="str">
        <f>IFERROR(__xludf.DUMMYFUNCTION("""COMPUTED_VALUE"""),"Kor Home")</f>
        <v>Kor Home</v>
      </c>
      <c r="P14" t="str">
        <f>IFERROR(__xludf.DUMMYFUNCTION("""COMPUTED_VALUE"""),"Active")</f>
        <v>Active</v>
      </c>
      <c r="R14" s="143">
        <f>IFERROR(__xludf.DUMMYFUNCTION("""COMPUTED_VALUE"""),29270.0)</f>
        <v>29270</v>
      </c>
      <c r="S14" s="146" t="str">
        <f>IFERROR(__xludf.DUMMYFUNCTION("""COMPUTED_VALUE"""),"081 424 6593")</f>
        <v>081 424 6593</v>
      </c>
      <c r="T14" s="147" t="str">
        <f>IFERROR(__xludf.DUMMYFUNCTION("""COMPUTED_VALUE"""),"3830100-30-8462")</f>
        <v>3830100-30-8462</v>
      </c>
      <c r="U14" t="str">
        <f>IFERROR(__xludf.DUMMYFUNCTION("""COMPUTED_VALUE"""),"AC7682414")</f>
        <v>AC7682414</v>
      </c>
      <c r="V14" s="148">
        <f>IFERROR(__xludf.DUMMYFUNCTION("""COMPUTED_VALUE"""),45817.0)</f>
        <v>45817</v>
      </c>
      <c r="W14" s="148">
        <f>IFERROR(__xludf.DUMMYFUNCTION("""COMPUTED_VALUE"""),49468.0)</f>
        <v>49468</v>
      </c>
      <c r="X14" s="149">
        <f>IFERROR(__xludf.DUMMYFUNCTION("""COMPUTED_VALUE"""),49286.0)</f>
        <v>49286</v>
      </c>
      <c r="Y14" t="str">
        <f>IFERROR(__xludf.DUMMYFUNCTION("""COMPUTED_VALUE"""),"ปลอดภัย")</f>
        <v>ปลอดภัย</v>
      </c>
      <c r="Z14" t="str">
        <f>IFERROR(__xludf.DUMMYFUNCTION("""COMPUTED_VALUE"""),"Bangkok")</f>
        <v>Bangkok</v>
      </c>
      <c r="AA14" t="str">
        <f>IFERROR(__xludf.DUMMYFUNCTION("""COMPUTED_VALUE"""),"ลำลูกกา")</f>
        <v>ลำลูกกา</v>
      </c>
      <c r="AB14" t="str">
        <f>IFERROR(__xludf.DUMMYFUNCTION("""COMPUTED_VALUE"""),"086 993 9131")</f>
        <v>086 993 9131</v>
      </c>
      <c r="AC14" t="str">
        <f>IFERROR(__xludf.DUMMYFUNCTION("""COMPUTED_VALUE"""),"น้อง")</f>
        <v>น้อง</v>
      </c>
      <c r="AD14" t="str">
        <f>IFERROR(__xludf.DUMMYFUNCTION("""COMPUTED_VALUE"""),"thatchadas@airasia.com")</f>
        <v>thatchadas@airasia.com</v>
      </c>
    </row>
    <row r="15">
      <c r="AD15" t="str">
        <f>IFERROR(__xludf.DUMMYFUNCTION("""COMPUTED_VALUE"""),"")</f>
        <v/>
      </c>
    </row>
    <row r="16">
      <c r="A16" s="142">
        <f>IFERROR(__xludf.DUMMYFUNCTION("""COMPUTED_VALUE"""),5.0)</f>
        <v>5</v>
      </c>
      <c r="B16" t="str">
        <f>IFERROR(__xludf.DUMMYFUNCTION("""COMPUTED_VALUE"""),"TAA0506")</f>
        <v>TAA0506</v>
      </c>
      <c r="C16">
        <f>IFERROR(__xludf.DUMMYFUNCTION("""COMPUTED_VALUE"""),1000539.0)</f>
        <v>1000539</v>
      </c>
      <c r="D16" t="str">
        <f>IFERROR(__xludf.DUMMYFUNCTION("""COMPUTED_VALUE"""),"Ms.")</f>
        <v>Ms.</v>
      </c>
      <c r="E16" t="str">
        <f>IFERROR(__xludf.DUMMYFUNCTION("""COMPUTED_VALUE"""),"Nuttakarn")</f>
        <v>Nuttakarn</v>
      </c>
      <c r="F16" t="str">
        <f>IFERROR(__xludf.DUMMYFUNCTION("""COMPUTED_VALUE"""),"Sirasarun")</f>
        <v>Sirasarun</v>
      </c>
      <c r="G16" t="str">
        <f>IFERROR(__xludf.DUMMYFUNCTION("""COMPUTED_VALUE"""),"Nuttakarn Sirasarun")</f>
        <v>Nuttakarn Sirasarun</v>
      </c>
      <c r="H16" t="str">
        <f>IFERROR(__xludf.DUMMYFUNCTION("""COMPUTED_VALUE"""),"นางสาว")</f>
        <v>นางสาว</v>
      </c>
      <c r="I16" t="str">
        <f>IFERROR(__xludf.DUMMYFUNCTION("""COMPUTED_VALUE"""),"ณัฐกานต์")</f>
        <v>ณัฐกานต์</v>
      </c>
      <c r="J16" t="str">
        <f>IFERROR(__xludf.DUMMYFUNCTION("""COMPUTED_VALUE"""),"ศิรศรัณย์")</f>
        <v>ศิรศรัณย์</v>
      </c>
      <c r="K16" t="str">
        <f>IFERROR(__xludf.DUMMYFUNCTION("""COMPUTED_VALUE"""),"ณัฐกานต์ ศิรศรัณย์")</f>
        <v>ณัฐกานต์ ศิรศรัณย์</v>
      </c>
      <c r="L16" t="str">
        <f>IFERROR(__xludf.DUMMYFUNCTION("""COMPUTED_VALUE"""),"Pat")</f>
        <v>Pat</v>
      </c>
      <c r="M16" t="str">
        <f>IFERROR(__xludf.DUMMYFUNCTION("""COMPUTED_VALUE"""),"Senior Cabin Crew")</f>
        <v>Senior Cabin Crew</v>
      </c>
      <c r="N16" t="str">
        <f>IFERROR(__xludf.DUMMYFUNCTION("""COMPUTED_VALUE"""),"DMK")</f>
        <v>DMK</v>
      </c>
      <c r="O16" s="145" t="str">
        <f>IFERROR(__xludf.DUMMYFUNCTION("""COMPUTED_VALUE"""),"Por+ Home")</f>
        <v>Por+ Home</v>
      </c>
      <c r="P16" t="str">
        <f>IFERROR(__xludf.DUMMYFUNCTION("""COMPUTED_VALUE"""),"Active")</f>
        <v>Active</v>
      </c>
      <c r="R16" s="143">
        <f>IFERROR(__xludf.DUMMYFUNCTION("""COMPUTED_VALUE"""),28380.0)</f>
        <v>28380</v>
      </c>
      <c r="S16" s="146" t="str">
        <f>IFERROR(__xludf.DUMMYFUNCTION("""COMPUTED_VALUE"""),"081 257 9557")</f>
        <v>081 257 9557</v>
      </c>
      <c r="T16" s="147" t="str">
        <f>IFERROR(__xludf.DUMMYFUNCTION("""COMPUTED_VALUE"""),"3100502-39-1689")</f>
        <v>3100502-39-1689</v>
      </c>
      <c r="U16" t="str">
        <f>IFERROR(__xludf.DUMMYFUNCTION("""COMPUTED_VALUE"""),"AD0607552")</f>
        <v>AD0607552</v>
      </c>
      <c r="V16" s="148">
        <f>IFERROR(__xludf.DUMMYFUNCTION("""COMPUTED_VALUE"""),44932.0)</f>
        <v>44932</v>
      </c>
      <c r="W16" s="148">
        <f>IFERROR(__xludf.DUMMYFUNCTION("""COMPUTED_VALUE"""),48584.0)</f>
        <v>48584</v>
      </c>
      <c r="X16" s="149">
        <f>IFERROR(__xludf.DUMMYFUNCTION("""COMPUTED_VALUE"""),48400.0)</f>
        <v>48400</v>
      </c>
      <c r="Y16" t="str">
        <f>IFERROR(__xludf.DUMMYFUNCTION("""COMPUTED_VALUE"""),"ปลอดภัย")</f>
        <v>ปลอดภัย</v>
      </c>
      <c r="Z16" t="str">
        <f>IFERROR(__xludf.DUMMYFUNCTION("""COMPUTED_VALUE"""),"Bangkok")</f>
        <v>Bangkok</v>
      </c>
      <c r="AA16" t="str">
        <f>IFERROR(__xludf.DUMMYFUNCTION("""COMPUTED_VALUE"""),"ลาดพร้าว")</f>
        <v>ลาดพร้าว</v>
      </c>
      <c r="AB16" t="str">
        <f>IFERROR(__xludf.DUMMYFUNCTION("""COMPUTED_VALUE"""),"084 323 4883")</f>
        <v>084 323 4883</v>
      </c>
      <c r="AC16" t="str">
        <f>IFERROR(__xludf.DUMMYFUNCTION("""COMPUTED_VALUE"""),"สามี")</f>
        <v>สามี</v>
      </c>
      <c r="AD16" t="str">
        <f>IFERROR(__xludf.DUMMYFUNCTION("""COMPUTED_VALUE"""),"nuttakarns@airasia.com")</f>
        <v>nuttakarns@airasia.com</v>
      </c>
    </row>
    <row r="17">
      <c r="AD17" t="str">
        <f>IFERROR(__xludf.DUMMYFUNCTION("""COMPUTED_VALUE"""),"")</f>
        <v/>
      </c>
    </row>
    <row r="18">
      <c r="A18" s="142">
        <f>IFERROR(__xludf.DUMMYFUNCTION("""COMPUTED_VALUE"""),6.0)</f>
        <v>6</v>
      </c>
      <c r="B18" t="str">
        <f>IFERROR(__xludf.DUMMYFUNCTION("""COMPUTED_VALUE"""),"TAA0617")</f>
        <v>TAA0617</v>
      </c>
      <c r="C18">
        <f>IFERROR(__xludf.DUMMYFUNCTION("""COMPUTED_VALUE"""),1000636.0)</f>
        <v>1000636</v>
      </c>
      <c r="D18" t="str">
        <f>IFERROR(__xludf.DUMMYFUNCTION("""COMPUTED_VALUE"""),"Ms.")</f>
        <v>Ms.</v>
      </c>
      <c r="E18" t="str">
        <f>IFERROR(__xludf.DUMMYFUNCTION("""COMPUTED_VALUE"""),"Phitsita")</f>
        <v>Phitsita</v>
      </c>
      <c r="F18" t="str">
        <f>IFERROR(__xludf.DUMMYFUNCTION("""COMPUTED_VALUE"""),"Tungasvasti")</f>
        <v>Tungasvasti</v>
      </c>
      <c r="G18" t="str">
        <f>IFERROR(__xludf.DUMMYFUNCTION("""COMPUTED_VALUE"""),"Phitsita Tungasvasti")</f>
        <v>Phitsita Tungasvasti</v>
      </c>
      <c r="H18" t="str">
        <f>IFERROR(__xludf.DUMMYFUNCTION("""COMPUTED_VALUE"""),"นางสาว")</f>
        <v>นางสาว</v>
      </c>
      <c r="I18" t="str">
        <f>IFERROR(__xludf.DUMMYFUNCTION("""COMPUTED_VALUE"""),"พิชญ์สิตา")</f>
        <v>พิชญ์สิตา</v>
      </c>
      <c r="J18" t="str">
        <f>IFERROR(__xludf.DUMMYFUNCTION("""COMPUTED_VALUE"""),"ตุงคสวัสดิ์")</f>
        <v>ตุงคสวัสดิ์</v>
      </c>
      <c r="K18" t="str">
        <f>IFERROR(__xludf.DUMMYFUNCTION("""COMPUTED_VALUE"""),"พิชญ์สิตา ตุงคสวัสดิ์")</f>
        <v>พิชญ์สิตา ตุงคสวัสดิ์</v>
      </c>
      <c r="L18" t="str">
        <f>IFERROR(__xludf.DUMMYFUNCTION("""COMPUTED_VALUE"""),"Gade")</f>
        <v>Gade</v>
      </c>
      <c r="M18" t="str">
        <f>IFERROR(__xludf.DUMMYFUNCTION("""COMPUTED_VALUE"""),"Senior Cabin Crew - HKT")</f>
        <v>Senior Cabin Crew - HKT</v>
      </c>
      <c r="N18" t="str">
        <f>IFERROR(__xludf.DUMMYFUNCTION("""COMPUTED_VALUE"""),"HKT")</f>
        <v>HKT</v>
      </c>
      <c r="O18" s="145" t="str">
        <f>IFERROR(__xludf.DUMMYFUNCTION("""COMPUTED_VALUE"""),"Kor Home")</f>
        <v>Kor Home</v>
      </c>
      <c r="P18" t="str">
        <f>IFERROR(__xludf.DUMMYFUNCTION("""COMPUTED_VALUE"""),"MATL")</f>
        <v>MATL</v>
      </c>
      <c r="R18" s="143">
        <f>IFERROR(__xludf.DUMMYFUNCTION("""COMPUTED_VALUE"""),28629.0)</f>
        <v>28629</v>
      </c>
      <c r="S18" s="146" t="str">
        <f>IFERROR(__xludf.DUMMYFUNCTION("""COMPUTED_VALUE"""),"086 545 3263")</f>
        <v>086 545 3263</v>
      </c>
      <c r="T18" s="147" t="str">
        <f>IFERROR(__xludf.DUMMYFUNCTION("""COMPUTED_VALUE"""),"3580400-03-0209")</f>
        <v>3580400-03-0209</v>
      </c>
      <c r="U18" t="str">
        <f>IFERROR(__xludf.DUMMYFUNCTION("""COMPUTED_VALUE"""),"AC2829131")</f>
        <v>AC2829131</v>
      </c>
      <c r="V18" s="148">
        <f>IFERROR(__xludf.DUMMYFUNCTION("""COMPUTED_VALUE"""),44519.0)</f>
        <v>44519</v>
      </c>
      <c r="W18" s="148">
        <f>IFERROR(__xludf.DUMMYFUNCTION("""COMPUTED_VALUE"""),48170.0)</f>
        <v>48170</v>
      </c>
      <c r="X18" s="149">
        <f>IFERROR(__xludf.DUMMYFUNCTION("""COMPUTED_VALUE"""),47986.0)</f>
        <v>47986</v>
      </c>
      <c r="Y18" t="str">
        <f>IFERROR(__xludf.DUMMYFUNCTION("""COMPUTED_VALUE"""),"ปลอดภัย")</f>
        <v>ปลอดภัย</v>
      </c>
      <c r="Z18" t="str">
        <f>IFERROR(__xludf.DUMMYFUNCTION("""COMPUTED_VALUE"""),"Mae Hong Son Province")</f>
        <v>Mae Hong Son Province</v>
      </c>
      <c r="AA18" t="str">
        <f>IFERROR(__xludf.DUMMYFUNCTION("""COMPUTED_VALUE"""),"บางกะปิ")</f>
        <v>บางกะปิ</v>
      </c>
      <c r="AB18" t="str">
        <f>IFERROR(__xludf.DUMMYFUNCTION("""COMPUTED_VALUE"""),"082 550 5553")</f>
        <v>082 550 5553</v>
      </c>
      <c r="AC18" t="str">
        <f>IFERROR(__xludf.DUMMYFUNCTION("""COMPUTED_VALUE"""),"แฟน")</f>
        <v>แฟน</v>
      </c>
      <c r="AD18" t="str">
        <f>IFERROR(__xludf.DUMMYFUNCTION("""COMPUTED_VALUE"""),"phitsitat@airasia.com")</f>
        <v>phitsitat@airasia.com</v>
      </c>
    </row>
    <row r="19">
      <c r="AD19" t="str">
        <f>IFERROR(__xludf.DUMMYFUNCTION("""COMPUTED_VALUE"""),"")</f>
        <v/>
      </c>
    </row>
    <row r="20">
      <c r="A20" s="142">
        <f>IFERROR(__xludf.DUMMYFUNCTION("""COMPUTED_VALUE"""),7.0)</f>
        <v>7</v>
      </c>
      <c r="B20" t="str">
        <f>IFERROR(__xludf.DUMMYFUNCTION("""COMPUTED_VALUE"""),"TAA0681")</f>
        <v>TAA0681</v>
      </c>
      <c r="C20">
        <f>IFERROR(__xludf.DUMMYFUNCTION("""COMPUTED_VALUE"""),1000675.0)</f>
        <v>1000675</v>
      </c>
      <c r="D20" t="str">
        <f>IFERROR(__xludf.DUMMYFUNCTION("""COMPUTED_VALUE"""),"Ms.")</f>
        <v>Ms.</v>
      </c>
      <c r="E20" t="str">
        <f>IFERROR(__xludf.DUMMYFUNCTION("""COMPUTED_VALUE"""),"Sivaporn")</f>
        <v>Sivaporn</v>
      </c>
      <c r="F20" t="str">
        <f>IFERROR(__xludf.DUMMYFUNCTION("""COMPUTED_VALUE"""),"Limkanokrat")</f>
        <v>Limkanokrat</v>
      </c>
      <c r="G20" t="str">
        <f>IFERROR(__xludf.DUMMYFUNCTION("""COMPUTED_VALUE"""),"Sivaporn Limkanokrat")</f>
        <v>Sivaporn Limkanokrat</v>
      </c>
      <c r="H20" t="str">
        <f>IFERROR(__xludf.DUMMYFUNCTION("""COMPUTED_VALUE"""),"นางสาว")</f>
        <v>นางสาว</v>
      </c>
      <c r="I20" t="str">
        <f>IFERROR(__xludf.DUMMYFUNCTION("""COMPUTED_VALUE"""),"ศิวาพร")</f>
        <v>ศิวาพร</v>
      </c>
      <c r="J20" t="str">
        <f>IFERROR(__xludf.DUMMYFUNCTION("""COMPUTED_VALUE"""),"ลิ่มกนกรัตน์")</f>
        <v>ลิ่มกนกรัตน์</v>
      </c>
      <c r="K20" t="str">
        <f>IFERROR(__xludf.DUMMYFUNCTION("""COMPUTED_VALUE"""),"ศิวาพร ลิ่มกนกรัตน์")</f>
        <v>ศิวาพร ลิ่มกนกรัตน์</v>
      </c>
      <c r="L20" t="str">
        <f>IFERROR(__xludf.DUMMYFUNCTION("""COMPUTED_VALUE"""),"Earn")</f>
        <v>Earn</v>
      </c>
      <c r="M20" t="str">
        <f>IFERROR(__xludf.DUMMYFUNCTION("""COMPUTED_VALUE"""),"Senior Cabin Crew")</f>
        <v>Senior Cabin Crew</v>
      </c>
      <c r="N20" t="str">
        <f>IFERROR(__xludf.DUMMYFUNCTION("""COMPUTED_VALUE"""),"DMK")</f>
        <v>DMK</v>
      </c>
      <c r="O20" s="145" t="str">
        <f>IFERROR(__xludf.DUMMYFUNCTION("""COMPUTED_VALUE"""),"Um Home")</f>
        <v>Um Home</v>
      </c>
      <c r="P20" t="str">
        <f>IFERROR(__xludf.DUMMYFUNCTION("""COMPUTED_VALUE"""),"Active")</f>
        <v>Active</v>
      </c>
      <c r="R20" s="143">
        <f>IFERROR(__xludf.DUMMYFUNCTION("""COMPUTED_VALUE"""),29150.0)</f>
        <v>29150</v>
      </c>
      <c r="S20" s="146" t="str">
        <f>IFERROR(__xludf.DUMMYFUNCTION("""COMPUTED_VALUE"""),"090 974 5040")</f>
        <v>090 974 5040</v>
      </c>
      <c r="T20" s="147" t="str">
        <f>IFERROR(__xludf.DUMMYFUNCTION("""COMPUTED_VALUE"""),"3100602-25-9154")</f>
        <v>3100602-25-9154</v>
      </c>
      <c r="U20" t="str">
        <f>IFERROR(__xludf.DUMMYFUNCTION("""COMPUTED_VALUE"""),"AC6813709")</f>
        <v>AC6813709</v>
      </c>
      <c r="V20" s="148">
        <f>IFERROR(__xludf.DUMMYFUNCTION("""COMPUTED_VALUE"""),45449.0)</f>
        <v>45449</v>
      </c>
      <c r="W20" s="148">
        <f>IFERROR(__xludf.DUMMYFUNCTION("""COMPUTED_VALUE"""),49100.0)</f>
        <v>49100</v>
      </c>
      <c r="X20" s="149">
        <f>IFERROR(__xludf.DUMMYFUNCTION("""COMPUTED_VALUE"""),48918.0)</f>
        <v>48918</v>
      </c>
      <c r="Y20" t="str">
        <f>IFERROR(__xludf.DUMMYFUNCTION("""COMPUTED_VALUE"""),"ปลอดภัย")</f>
        <v>ปลอดภัย</v>
      </c>
      <c r="Z20" t="str">
        <f>IFERROR(__xludf.DUMMYFUNCTION("""COMPUTED_VALUE"""),"Bangkok")</f>
        <v>Bangkok</v>
      </c>
      <c r="AA20" t="str">
        <f>IFERROR(__xludf.DUMMYFUNCTION("""COMPUTED_VALUE"""),"นนทบุรี บางบัวทอง")</f>
        <v>นนทบุรี บางบัวทอง</v>
      </c>
      <c r="AB20" t="str">
        <f>IFERROR(__xludf.DUMMYFUNCTION("""COMPUTED_VALUE"""),"02 7327010 9 # 602")</f>
        <v>02 7327010 9 # 602</v>
      </c>
      <c r="AC20" t="str">
        <f>IFERROR(__xludf.DUMMYFUNCTION("""COMPUTED_VALUE"""),"หอพัก")</f>
        <v>หอพัก</v>
      </c>
      <c r="AD20" t="str">
        <f>IFERROR(__xludf.DUMMYFUNCTION("""COMPUTED_VALUE"""),"sivapornl@airasia.com")</f>
        <v>sivapornl@airasia.com</v>
      </c>
    </row>
    <row r="21">
      <c r="A21" s="142">
        <f>IFERROR(__xludf.DUMMYFUNCTION("""COMPUTED_VALUE"""),7.0)</f>
        <v>7</v>
      </c>
      <c r="B21" t="str">
        <f>IFERROR(__xludf.DUMMYFUNCTION("""COMPUTED_VALUE"""),"TAA0689")</f>
        <v>TAA0689</v>
      </c>
      <c r="C21">
        <f>IFERROR(__xludf.DUMMYFUNCTION("""COMPUTED_VALUE"""),1000678.0)</f>
        <v>1000678</v>
      </c>
      <c r="D21" t="str">
        <f>IFERROR(__xludf.DUMMYFUNCTION("""COMPUTED_VALUE"""),"Mr.")</f>
        <v>Mr.</v>
      </c>
      <c r="E21" t="str">
        <f>IFERROR(__xludf.DUMMYFUNCTION("""COMPUTED_VALUE"""),"Theppakorn")</f>
        <v>Theppakorn</v>
      </c>
      <c r="F21" t="str">
        <f>IFERROR(__xludf.DUMMYFUNCTION("""COMPUTED_VALUE"""),"Chaichana")</f>
        <v>Chaichana</v>
      </c>
      <c r="G21" t="str">
        <f>IFERROR(__xludf.DUMMYFUNCTION("""COMPUTED_VALUE"""),"Theppakorn Chaichana")</f>
        <v>Theppakorn Chaichana</v>
      </c>
      <c r="H21" t="str">
        <f>IFERROR(__xludf.DUMMYFUNCTION("""COMPUTED_VALUE"""),"นาย")</f>
        <v>นาย</v>
      </c>
      <c r="I21" t="str">
        <f>IFERROR(__xludf.DUMMYFUNCTION("""COMPUTED_VALUE"""),"เทพกร")</f>
        <v>เทพกร</v>
      </c>
      <c r="J21" t="str">
        <f>IFERROR(__xludf.DUMMYFUNCTION("""COMPUTED_VALUE"""),"ไชยชนะ")</f>
        <v>ไชยชนะ</v>
      </c>
      <c r="K21" t="str">
        <f>IFERROR(__xludf.DUMMYFUNCTION("""COMPUTED_VALUE"""),"เทพกร ไชยชนะ")</f>
        <v>เทพกร ไชยชนะ</v>
      </c>
      <c r="L21" t="str">
        <f>IFERROR(__xludf.DUMMYFUNCTION("""COMPUTED_VALUE"""),"Tom")</f>
        <v>Tom</v>
      </c>
      <c r="M21" t="str">
        <f>IFERROR(__xludf.DUMMYFUNCTION("""COMPUTED_VALUE"""),"Senior Cabin Crew - CNX")</f>
        <v>Senior Cabin Crew - CNX</v>
      </c>
      <c r="N21" t="str">
        <f>IFERROR(__xludf.DUMMYFUNCTION("""COMPUTED_VALUE"""),"CNX")</f>
        <v>CNX</v>
      </c>
      <c r="O21" s="145" t="str">
        <f>IFERROR(__xludf.DUMMYFUNCTION("""COMPUTED_VALUE"""),"Up Home")</f>
        <v>Up Home</v>
      </c>
      <c r="P21" t="str">
        <f>IFERROR(__xludf.DUMMYFUNCTION("""COMPUTED_VALUE"""),"Active")</f>
        <v>Active</v>
      </c>
      <c r="R21" s="143">
        <f>IFERROR(__xludf.DUMMYFUNCTION("""COMPUTED_VALUE"""),28357.0)</f>
        <v>28357</v>
      </c>
      <c r="S21" s="146" t="str">
        <f>IFERROR(__xludf.DUMMYFUNCTION("""COMPUTED_VALUE"""),"063 140 6781")</f>
        <v>063 140 6781</v>
      </c>
      <c r="T21" s="147" t="str">
        <f>IFERROR(__xludf.DUMMYFUNCTION("""COMPUTED_VALUE"""),"3930300-14-8026")</f>
        <v>3930300-14-8026</v>
      </c>
      <c r="U21" t="str">
        <f>IFERROR(__xludf.DUMMYFUNCTION("""COMPUTED_VALUE"""),"AC3633126")</f>
        <v>AC3633126</v>
      </c>
      <c r="V21" s="148">
        <f>IFERROR(__xludf.DUMMYFUNCTION("""COMPUTED_VALUE"""),44760.0)</f>
        <v>44760</v>
      </c>
      <c r="W21" s="148">
        <f>IFERROR(__xludf.DUMMYFUNCTION("""COMPUTED_VALUE"""),48412.0)</f>
        <v>48412</v>
      </c>
      <c r="X21" s="149">
        <f>IFERROR(__xludf.DUMMYFUNCTION("""COMPUTED_VALUE"""),48230.0)</f>
        <v>48230</v>
      </c>
      <c r="Y21" t="str">
        <f>IFERROR(__xludf.DUMMYFUNCTION("""COMPUTED_VALUE"""),"ปลอดภัย")</f>
        <v>ปลอดภัย</v>
      </c>
      <c r="Z21" t="str">
        <f>IFERROR(__xludf.DUMMYFUNCTION("""COMPUTED_VALUE"""),"Phatthalung Province")</f>
        <v>Phatthalung Province</v>
      </c>
      <c r="AA21" t="str">
        <f>IFERROR(__xludf.DUMMYFUNCTION("""COMPUTED_VALUE"""),"ภูเก็ต")</f>
        <v>ภูเก็ต</v>
      </c>
      <c r="AB21" t="str">
        <f>IFERROR(__xludf.DUMMYFUNCTION("""COMPUTED_VALUE"""),"086 296 5120 / 02 721 1327")</f>
        <v>086 296 5120 / 02 721 1327</v>
      </c>
      <c r="AC21" t="str">
        <f>IFERROR(__xludf.DUMMYFUNCTION("""COMPUTED_VALUE"""),"พี่สาว")</f>
        <v>พี่สาว</v>
      </c>
      <c r="AD21" t="str">
        <f>IFERROR(__xludf.DUMMYFUNCTION("""COMPUTED_VALUE"""),"theppakornc@airasia.com")</f>
        <v>theppakornc@airasia.com</v>
      </c>
    </row>
    <row r="22">
      <c r="F22" t="str">
        <f>IFERROR(__xludf.DUMMYFUNCTION("""COMPUTED_VALUE""")," ")</f>
        <v> </v>
      </c>
      <c r="AD22" t="str">
        <f>IFERROR(__xludf.DUMMYFUNCTION("""COMPUTED_VALUE"""),"")</f>
        <v/>
      </c>
    </row>
    <row r="23">
      <c r="A23" s="142">
        <f>IFERROR(__xludf.DUMMYFUNCTION("""COMPUTED_VALUE"""),8.0)</f>
        <v>8</v>
      </c>
      <c r="B23" t="str">
        <f>IFERROR(__xludf.DUMMYFUNCTION("""COMPUTED_VALUE"""),"TAA0719")</f>
        <v>TAA0719</v>
      </c>
      <c r="C23">
        <f>IFERROR(__xludf.DUMMYFUNCTION("""COMPUTED_VALUE"""),1000705.0)</f>
        <v>1000705</v>
      </c>
      <c r="D23" t="str">
        <f>IFERROR(__xludf.DUMMYFUNCTION("""COMPUTED_VALUE"""),"Ms.")</f>
        <v>Ms.</v>
      </c>
      <c r="E23" t="str">
        <f>IFERROR(__xludf.DUMMYFUNCTION("""COMPUTED_VALUE"""),"Avisada")</f>
        <v>Avisada</v>
      </c>
      <c r="F23" t="str">
        <f>IFERROR(__xludf.DUMMYFUNCTION("""COMPUTED_VALUE"""),"Jirunyakul")</f>
        <v>Jirunyakul</v>
      </c>
      <c r="G23" t="str">
        <f>IFERROR(__xludf.DUMMYFUNCTION("""COMPUTED_VALUE"""),"Avisada Jirunyakul")</f>
        <v>Avisada Jirunyakul</v>
      </c>
      <c r="H23" t="str">
        <f>IFERROR(__xludf.DUMMYFUNCTION("""COMPUTED_VALUE"""),"นางสาว")</f>
        <v>นางสาว</v>
      </c>
      <c r="I23" t="str">
        <f>IFERROR(__xludf.DUMMYFUNCTION("""COMPUTED_VALUE"""),"อาวิษฎา")</f>
        <v>อาวิษฎา</v>
      </c>
      <c r="J23" t="str">
        <f>IFERROR(__xludf.DUMMYFUNCTION("""COMPUTED_VALUE"""),"จิรัญญกุล")</f>
        <v>จิรัญญกุล</v>
      </c>
      <c r="K23" t="str">
        <f>IFERROR(__xludf.DUMMYFUNCTION("""COMPUTED_VALUE"""),"อาวิษฎา จิรัญญกุล")</f>
        <v>อาวิษฎา จิรัญญกุล</v>
      </c>
      <c r="L23" t="str">
        <f>IFERROR(__xludf.DUMMYFUNCTION("""COMPUTED_VALUE"""),"Ae (Avy)")</f>
        <v>Ae (Avy)</v>
      </c>
      <c r="M23" t="str">
        <f>IFERROR(__xludf.DUMMYFUNCTION("""COMPUTED_VALUE"""),"Senior Cabin Crew - BKK")</f>
        <v>Senior Cabin Crew - BKK</v>
      </c>
      <c r="N23" t="str">
        <f>IFERROR(__xludf.DUMMYFUNCTION("""COMPUTED_VALUE"""),"BKK")</f>
        <v>BKK</v>
      </c>
      <c r="O23" s="145" t="str">
        <f>IFERROR(__xludf.DUMMYFUNCTION("""COMPUTED_VALUE"""),"Nhui Home")</f>
        <v>Nhui Home</v>
      </c>
      <c r="P23" t="str">
        <f>IFERROR(__xludf.DUMMYFUNCTION("""COMPUTED_VALUE"""),"Active")</f>
        <v>Active</v>
      </c>
      <c r="Q23" t="str">
        <f>IFERROR(__xludf.DUMMYFUNCTION("""COMPUTED_VALUE"""),"Chinese Speaking")</f>
        <v>Chinese Speaking</v>
      </c>
      <c r="R23" s="143">
        <f>IFERROR(__xludf.DUMMYFUNCTION("""COMPUTED_VALUE"""),26107.0)</f>
        <v>26107</v>
      </c>
      <c r="S23" s="146" t="str">
        <f>IFERROR(__xludf.DUMMYFUNCTION("""COMPUTED_VALUE"""),"084 265 5962")</f>
        <v>084 265 5962</v>
      </c>
      <c r="T23" s="147" t="str">
        <f>IFERROR(__xludf.DUMMYFUNCTION("""COMPUTED_VALUE"""),"3100400-12-7389")</f>
        <v>3100400-12-7389</v>
      </c>
      <c r="U23" t="str">
        <f>IFERROR(__xludf.DUMMYFUNCTION("""COMPUTED_VALUE"""),"AC6240752")</f>
        <v>AC6240752</v>
      </c>
      <c r="V23" s="148">
        <f>IFERROR(__xludf.DUMMYFUNCTION("""COMPUTED_VALUE"""),45307.0)</f>
        <v>45307</v>
      </c>
      <c r="W23" s="150">
        <f>IFERROR(__xludf.DUMMYFUNCTION("""COMPUTED_VALUE"""),48959.0)</f>
        <v>48959</v>
      </c>
      <c r="X23" s="149">
        <f>IFERROR(__xludf.DUMMYFUNCTION("""COMPUTED_VALUE"""),48775.0)</f>
        <v>48775</v>
      </c>
      <c r="Y23" t="str">
        <f>IFERROR(__xludf.DUMMYFUNCTION("""COMPUTED_VALUE"""),"ปลอดภัย")</f>
        <v>ปลอดภัย</v>
      </c>
      <c r="Z23" t="str">
        <f>IFERROR(__xludf.DUMMYFUNCTION("""COMPUTED_VALUE"""),"Bangkok")</f>
        <v>Bangkok</v>
      </c>
      <c r="AA23" t="str">
        <f>IFERROR(__xludf.DUMMYFUNCTION("""COMPUTED_VALUE"""),"ลาดกระบัง")</f>
        <v>ลาดกระบัง</v>
      </c>
      <c r="AB23" t="str">
        <f>IFERROR(__xludf.DUMMYFUNCTION("""COMPUTED_VALUE"""),"081 909 1016")</f>
        <v>081 909 1016</v>
      </c>
      <c r="AC23" t="str">
        <f>IFERROR(__xludf.DUMMYFUNCTION("""COMPUTED_VALUE"""),"ยาย")</f>
        <v>ยาย</v>
      </c>
      <c r="AD23" t="str">
        <f>IFERROR(__xludf.DUMMYFUNCTION("""COMPUTED_VALUE"""),"avisadaj@airasia.com")</f>
        <v>avisadaj@airasia.com</v>
      </c>
    </row>
    <row r="24">
      <c r="A24" s="142">
        <f>IFERROR(__xludf.DUMMYFUNCTION("""COMPUTED_VALUE"""),8.0)</f>
        <v>8</v>
      </c>
      <c r="B24" t="str">
        <f>IFERROR(__xludf.DUMMYFUNCTION("""COMPUTED_VALUE"""),"TAA0720")</f>
        <v>TAA0720</v>
      </c>
      <c r="C24">
        <f>IFERROR(__xludf.DUMMYFUNCTION("""COMPUTED_VALUE"""),1000707.0)</f>
        <v>1000707</v>
      </c>
      <c r="D24" t="str">
        <f>IFERROR(__xludf.DUMMYFUNCTION("""COMPUTED_VALUE"""),"Ms.")</f>
        <v>Ms.</v>
      </c>
      <c r="E24" t="str">
        <f>IFERROR(__xludf.DUMMYFUNCTION("""COMPUTED_VALUE"""),"Lucksnara (Anchalee)")</f>
        <v>Lucksnara (Anchalee)</v>
      </c>
      <c r="F24" t="str">
        <f>IFERROR(__xludf.DUMMYFUNCTION("""COMPUTED_VALUE"""),"Sothiratviroj (Wongdama)")</f>
        <v>Sothiratviroj (Wongdama)</v>
      </c>
      <c r="G24" t="str">
        <f>IFERROR(__xludf.DUMMYFUNCTION("""COMPUTED_VALUE"""),"Lucksnara Sothiratviroj")</f>
        <v>Lucksnara Sothiratviroj</v>
      </c>
      <c r="H24" t="str">
        <f>IFERROR(__xludf.DUMMYFUNCTION("""COMPUTED_VALUE"""),"นางสาว")</f>
        <v>นางสาว</v>
      </c>
      <c r="I24" t="str">
        <f>IFERROR(__xludf.DUMMYFUNCTION("""COMPUTED_VALUE"""),"ลักษณ์นารา")</f>
        <v>ลักษณ์นารา</v>
      </c>
      <c r="J24" t="str">
        <f>IFERROR(__xludf.DUMMYFUNCTION("""COMPUTED_VALUE"""),"โสตถิรัตน์วิโรจน์")</f>
        <v>โสตถิรัตน์วิโรจน์</v>
      </c>
      <c r="K24" t="str">
        <f>IFERROR(__xludf.DUMMYFUNCTION("""COMPUTED_VALUE"""),"ลักษณ์นารา โสตถิรัตน์วิโรจน์")</f>
        <v>ลักษณ์นารา โสตถิรัตน์วิโรจน์</v>
      </c>
      <c r="L24" t="str">
        <f>IFERROR(__xludf.DUMMYFUNCTION("""COMPUTED_VALUE"""),"Yui")</f>
        <v>Yui</v>
      </c>
      <c r="M24" t="str">
        <f>IFERROR(__xludf.DUMMYFUNCTION("""COMPUTED_VALUE"""),"Senior Cabin Crew - BKK")</f>
        <v>Senior Cabin Crew - BKK</v>
      </c>
      <c r="N24" t="str">
        <f>IFERROR(__xludf.DUMMYFUNCTION("""COMPUTED_VALUE"""),"BKK")</f>
        <v>BKK</v>
      </c>
      <c r="O24" s="145" t="str">
        <f>IFERROR(__xludf.DUMMYFUNCTION("""COMPUTED_VALUE"""),"Nhui Home")</f>
        <v>Nhui Home</v>
      </c>
      <c r="P24" t="str">
        <f>IFERROR(__xludf.DUMMYFUNCTION("""COMPUTED_VALUE"""),"Active")</f>
        <v>Active</v>
      </c>
      <c r="Q24" t="str">
        <f>IFERROR(__xludf.DUMMYFUNCTION("""COMPUTED_VALUE"""),"Chinese Speaking")</f>
        <v>Chinese Speaking</v>
      </c>
      <c r="R24" s="143">
        <f>IFERROR(__xludf.DUMMYFUNCTION("""COMPUTED_VALUE"""),29579.0)</f>
        <v>29579</v>
      </c>
      <c r="S24" s="146" t="str">
        <f>IFERROR(__xludf.DUMMYFUNCTION("""COMPUTED_VALUE"""),"089 812 3599")</f>
        <v>089 812 3599</v>
      </c>
      <c r="T24" s="147" t="str">
        <f>IFERROR(__xludf.DUMMYFUNCTION("""COMPUTED_VALUE"""),"3100904-92-7206")</f>
        <v>3100904-92-7206</v>
      </c>
      <c r="U24" t="str">
        <f>IFERROR(__xludf.DUMMYFUNCTION("""COMPUTED_VALUE"""),"AC3084523")</f>
        <v>AC3084523</v>
      </c>
      <c r="V24" s="148">
        <f>IFERROR(__xludf.DUMMYFUNCTION("""COMPUTED_VALUE"""),44686.0)</f>
        <v>44686</v>
      </c>
      <c r="W24" s="148">
        <f>IFERROR(__xludf.DUMMYFUNCTION("""COMPUTED_VALUE"""),48338.0)</f>
        <v>48338</v>
      </c>
      <c r="X24" s="149">
        <f>IFERROR(__xludf.DUMMYFUNCTION("""COMPUTED_VALUE"""),48156.0)</f>
        <v>48156</v>
      </c>
      <c r="Y24" t="str">
        <f>IFERROR(__xludf.DUMMYFUNCTION("""COMPUTED_VALUE"""),"ปลอดภัย")</f>
        <v>ปลอดภัย</v>
      </c>
      <c r="Z24" t="str">
        <f>IFERROR(__xludf.DUMMYFUNCTION("""COMPUTED_VALUE"""),"Bangkok")</f>
        <v>Bangkok</v>
      </c>
      <c r="AA24" t="str">
        <f>IFERROR(__xludf.DUMMYFUNCTION("""COMPUTED_VALUE"""),"ลาดกระบัง")</f>
        <v>ลาดกระบัง</v>
      </c>
      <c r="AB24" t="str">
        <f>IFERROR(__xludf.DUMMYFUNCTION("""COMPUTED_VALUE"""),"! Update !")</f>
        <v>! Update !</v>
      </c>
      <c r="AC24" t="str">
        <f>IFERROR(__xludf.DUMMYFUNCTION("""COMPUTED_VALUE"""),"! Update !")</f>
        <v>! Update !</v>
      </c>
      <c r="AD24" t="str">
        <f>IFERROR(__xludf.DUMMYFUNCTION("""COMPUTED_VALUE"""),"lucksnaras@airasia.com")</f>
        <v>lucksnaras@airasia.com</v>
      </c>
    </row>
    <row r="25">
      <c r="A25" s="142">
        <f>IFERROR(__xludf.DUMMYFUNCTION("""COMPUTED_VALUE"""),8.0)</f>
        <v>8</v>
      </c>
      <c r="B25" t="str">
        <f>IFERROR(__xludf.DUMMYFUNCTION("""COMPUTED_VALUE"""),"TAA0722")</f>
        <v>TAA0722</v>
      </c>
      <c r="C25">
        <f>IFERROR(__xludf.DUMMYFUNCTION("""COMPUTED_VALUE"""),1000708.0)</f>
        <v>1000708</v>
      </c>
      <c r="D25" t="str">
        <f>IFERROR(__xludf.DUMMYFUNCTION("""COMPUTED_VALUE"""),"Ms.")</f>
        <v>Ms.</v>
      </c>
      <c r="E25" t="str">
        <f>IFERROR(__xludf.DUMMYFUNCTION("""COMPUTED_VALUE"""),"Panatda")</f>
        <v>Panatda</v>
      </c>
      <c r="F25" t="str">
        <f>IFERROR(__xludf.DUMMYFUNCTION("""COMPUTED_VALUE"""),"Nawakitwiboon")</f>
        <v>Nawakitwiboon</v>
      </c>
      <c r="G25" t="str">
        <f>IFERROR(__xludf.DUMMYFUNCTION("""COMPUTED_VALUE"""),"Panatda Nawakitwiboon")</f>
        <v>Panatda Nawakitwiboon</v>
      </c>
      <c r="H25" t="str">
        <f>IFERROR(__xludf.DUMMYFUNCTION("""COMPUTED_VALUE"""),"นางสาว")</f>
        <v>นางสาว</v>
      </c>
      <c r="I25" t="str">
        <f>IFERROR(__xludf.DUMMYFUNCTION("""COMPUTED_VALUE"""),"ปนัดดา")</f>
        <v>ปนัดดา</v>
      </c>
      <c r="J25" t="str">
        <f>IFERROR(__xludf.DUMMYFUNCTION("""COMPUTED_VALUE"""),"นวกิจวิบูลย์")</f>
        <v>นวกิจวิบูลย์</v>
      </c>
      <c r="K25" t="str">
        <f>IFERROR(__xludf.DUMMYFUNCTION("""COMPUTED_VALUE"""),"ปนัดดา นวกิจวิบูลย์")</f>
        <v>ปนัดดา นวกิจวิบูลย์</v>
      </c>
      <c r="L25" t="str">
        <f>IFERROR(__xludf.DUMMYFUNCTION("""COMPUTED_VALUE"""),"Hiang")</f>
        <v>Hiang</v>
      </c>
      <c r="M25" t="str">
        <f>IFERROR(__xludf.DUMMYFUNCTION("""COMPUTED_VALUE"""),"Senior Cabin Crew - BKK")</f>
        <v>Senior Cabin Crew - BKK</v>
      </c>
      <c r="N25" t="str">
        <f>IFERROR(__xludf.DUMMYFUNCTION("""COMPUTED_VALUE"""),"BKK")</f>
        <v>BKK</v>
      </c>
      <c r="O25" s="145" t="str">
        <f>IFERROR(__xludf.DUMMYFUNCTION("""COMPUTED_VALUE"""),"Nhui Home")</f>
        <v>Nhui Home</v>
      </c>
      <c r="P25" t="str">
        <f>IFERROR(__xludf.DUMMYFUNCTION("""COMPUTED_VALUE"""),"Active/V/DMK")</f>
        <v>Active/V/DMK</v>
      </c>
      <c r="Q25" t="str">
        <f>IFERROR(__xludf.DUMMYFUNCTION("""COMPUTED_VALUE"""),"Chinese Speaking")</f>
        <v>Chinese Speaking</v>
      </c>
      <c r="R25" s="143">
        <f>IFERROR(__xludf.DUMMYFUNCTION("""COMPUTED_VALUE"""),29671.0)</f>
        <v>29671</v>
      </c>
      <c r="S25" s="146" t="str">
        <f>IFERROR(__xludf.DUMMYFUNCTION("""COMPUTED_VALUE"""),"086 832 3883")</f>
        <v>086 832 3883</v>
      </c>
      <c r="T25" s="147" t="str">
        <f>IFERROR(__xludf.DUMMYFUNCTION("""COMPUTED_VALUE"""),"3100600-84-8217")</f>
        <v>3100600-84-8217</v>
      </c>
      <c r="U25" t="str">
        <f>IFERROR(__xludf.DUMMYFUNCTION("""COMPUTED_VALUE"""),"AC2663244")</f>
        <v>AC2663244</v>
      </c>
      <c r="V25" s="148">
        <f>IFERROR(__xludf.DUMMYFUNCTION("""COMPUTED_VALUE"""),44571.0)</f>
        <v>44571</v>
      </c>
      <c r="W25" s="148">
        <f>IFERROR(__xludf.DUMMYFUNCTION("""COMPUTED_VALUE"""),48222.0)</f>
        <v>48222</v>
      </c>
      <c r="X25" s="149">
        <f>IFERROR(__xludf.DUMMYFUNCTION("""COMPUTED_VALUE"""),48038.0)</f>
        <v>48038</v>
      </c>
      <c r="Y25" t="str">
        <f>IFERROR(__xludf.DUMMYFUNCTION("""COMPUTED_VALUE"""),"ปลอดภัย")</f>
        <v>ปลอดภัย</v>
      </c>
      <c r="Z25" t="str">
        <f>IFERROR(__xludf.DUMMYFUNCTION("""COMPUTED_VALUE"""),"Bangkok")</f>
        <v>Bangkok</v>
      </c>
      <c r="AA25" t="str">
        <f>IFERROR(__xludf.DUMMYFUNCTION("""COMPUTED_VALUE"""),"สะพานสูง")</f>
        <v>สะพานสูง</v>
      </c>
      <c r="AB25" t="str">
        <f>IFERROR(__xludf.DUMMYFUNCTION("""COMPUTED_VALUE"""),"084 111 3030")</f>
        <v>084 111 3030</v>
      </c>
      <c r="AC25" t="str">
        <f>IFERROR(__xludf.DUMMYFUNCTION("""COMPUTED_VALUE"""),"เพื่อน")</f>
        <v>เพื่อน</v>
      </c>
      <c r="AD25" t="str">
        <f>IFERROR(__xludf.DUMMYFUNCTION("""COMPUTED_VALUE"""),"panatdan@airasia.com")</f>
        <v>panatdan@airasia.com</v>
      </c>
    </row>
    <row r="26">
      <c r="A26" s="142">
        <f>IFERROR(__xludf.DUMMYFUNCTION("""COMPUTED_VALUE"""),8.0)</f>
        <v>8</v>
      </c>
      <c r="B26" t="str">
        <f>IFERROR(__xludf.DUMMYFUNCTION("""COMPUTED_VALUE"""),"TAA0724")</f>
        <v>TAA0724</v>
      </c>
      <c r="C26">
        <f>IFERROR(__xludf.DUMMYFUNCTION("""COMPUTED_VALUE"""),1000709.0)</f>
        <v>1000709</v>
      </c>
      <c r="D26" t="str">
        <f>IFERROR(__xludf.DUMMYFUNCTION("""COMPUTED_VALUE"""),"Mrs.")</f>
        <v>Mrs.</v>
      </c>
      <c r="E26" t="str">
        <f>IFERROR(__xludf.DUMMYFUNCTION("""COMPUTED_VALUE"""),"Preeyaorn")</f>
        <v>Preeyaorn</v>
      </c>
      <c r="F26" t="str">
        <f>IFERROR(__xludf.DUMMYFUNCTION("""COMPUTED_VALUE"""),"Robrou (Ingavanija)")</f>
        <v>Robrou (Ingavanija)</v>
      </c>
      <c r="G26" t="str">
        <f>IFERROR(__xludf.DUMMYFUNCTION("""COMPUTED_VALUE"""),"Preeyaorn Robrou")</f>
        <v>Preeyaorn Robrou</v>
      </c>
      <c r="H26" t="str">
        <f>IFERROR(__xludf.DUMMYFUNCTION("""COMPUTED_VALUE"""),"นาง")</f>
        <v>นาง</v>
      </c>
      <c r="I26" t="str">
        <f>IFERROR(__xludf.DUMMYFUNCTION("""COMPUTED_VALUE"""),"ปรียาอร")</f>
        <v>ปรียาอร</v>
      </c>
      <c r="J26" t="str">
        <f>IFERROR(__xludf.DUMMYFUNCTION("""COMPUTED_VALUE"""),"รอบรู้")</f>
        <v>รอบรู้</v>
      </c>
      <c r="K26" t="str">
        <f>IFERROR(__xludf.DUMMYFUNCTION("""COMPUTED_VALUE"""),"ปรียาอร รอบรู้")</f>
        <v>ปรียาอร รอบรู้</v>
      </c>
      <c r="L26" t="str">
        <f>IFERROR(__xludf.DUMMYFUNCTION("""COMPUTED_VALUE"""),"เหม้ย")</f>
        <v>เหม้ย</v>
      </c>
      <c r="M26" t="str">
        <f>IFERROR(__xludf.DUMMYFUNCTION("""COMPUTED_VALUE"""),"Senior Cabin Crew - BKK")</f>
        <v>Senior Cabin Crew - BKK</v>
      </c>
      <c r="N26" t="str">
        <f>IFERROR(__xludf.DUMMYFUNCTION("""COMPUTED_VALUE"""),"BKK")</f>
        <v>BKK</v>
      </c>
      <c r="O26" s="145" t="str">
        <f>IFERROR(__xludf.DUMMYFUNCTION("""COMPUTED_VALUE"""),"Nhui Home")</f>
        <v>Nhui Home</v>
      </c>
      <c r="P26" t="str">
        <f>IFERROR(__xludf.DUMMYFUNCTION("""COMPUTED_VALUE"""),"Active")</f>
        <v>Active</v>
      </c>
      <c r="Q26" t="str">
        <f>IFERROR(__xludf.DUMMYFUNCTION("""COMPUTED_VALUE"""),"Chinese Speaking")</f>
        <v>Chinese Speaking</v>
      </c>
      <c r="R26" s="143">
        <f>IFERROR(__xludf.DUMMYFUNCTION("""COMPUTED_VALUE"""),30424.0)</f>
        <v>30424</v>
      </c>
      <c r="S26" s="146" t="str">
        <f>IFERROR(__xludf.DUMMYFUNCTION("""COMPUTED_VALUE"""),"081 732 8932")</f>
        <v>081 732 8932</v>
      </c>
      <c r="T26" s="147" t="str">
        <f>IFERROR(__xludf.DUMMYFUNCTION("""COMPUTED_VALUE"""),"3101501-49-3641")</f>
        <v>3101501-49-3641</v>
      </c>
      <c r="U26" t="str">
        <f>IFERROR(__xludf.DUMMYFUNCTION("""COMPUTED_VALUE"""),"AC2368643")</f>
        <v>AC2368643</v>
      </c>
      <c r="V26" s="148">
        <f>IFERROR(__xludf.DUMMYFUNCTION("""COMPUTED_VALUE"""),44287.0)</f>
        <v>44287</v>
      </c>
      <c r="W26" s="148">
        <f>IFERROR(__xludf.DUMMYFUNCTION("""COMPUTED_VALUE"""),47938.0)</f>
        <v>47938</v>
      </c>
      <c r="X26" s="149">
        <f>IFERROR(__xludf.DUMMYFUNCTION("""COMPUTED_VALUE"""),47756.0)</f>
        <v>47756</v>
      </c>
      <c r="Y26" t="str">
        <f>IFERROR(__xludf.DUMMYFUNCTION("""COMPUTED_VALUE"""),"ปลอดภัย")</f>
        <v>ปลอดภัย</v>
      </c>
      <c r="Z26" t="str">
        <f>IFERROR(__xludf.DUMMYFUNCTION("""COMPUTED_VALUE"""),"Bangkok")</f>
        <v>Bangkok</v>
      </c>
      <c r="AA26" t="str">
        <f>IFERROR(__xludf.DUMMYFUNCTION("""COMPUTED_VALUE"""),"ชลบุรี")</f>
        <v>ชลบุรี</v>
      </c>
      <c r="AB26" t="str">
        <f>IFERROR(__xludf.DUMMYFUNCTION("""COMPUTED_VALUE"""),"02 466 7024")</f>
        <v>02 466 7024</v>
      </c>
      <c r="AC26" t="str">
        <f>IFERROR(__xludf.DUMMYFUNCTION("""COMPUTED_VALUE"""),"บ้าน")</f>
        <v>บ้าน</v>
      </c>
      <c r="AD26" t="str">
        <f>IFERROR(__xludf.DUMMYFUNCTION("""COMPUTED_VALUE"""),"preeyaornr@airasia.com")</f>
        <v>preeyaornr@airasia.com</v>
      </c>
    </row>
    <row r="27">
      <c r="AD27" t="str">
        <f>IFERROR(__xludf.DUMMYFUNCTION("""COMPUTED_VALUE"""),"")</f>
        <v/>
      </c>
    </row>
    <row r="28">
      <c r="A28" s="142">
        <f>IFERROR(__xludf.DUMMYFUNCTION("""COMPUTED_VALUE"""),9.0)</f>
        <v>9</v>
      </c>
      <c r="B28" t="str">
        <f>IFERROR(__xludf.DUMMYFUNCTION("""COMPUTED_VALUE"""),"TAA0754")</f>
        <v>TAA0754</v>
      </c>
      <c r="C28">
        <f>IFERROR(__xludf.DUMMYFUNCTION("""COMPUTED_VALUE"""),1000735.0)</f>
        <v>1000735</v>
      </c>
      <c r="D28" t="str">
        <f>IFERROR(__xludf.DUMMYFUNCTION("""COMPUTED_VALUE"""),"Ms.")</f>
        <v>Ms.</v>
      </c>
      <c r="E28" t="str">
        <f>IFERROR(__xludf.DUMMYFUNCTION("""COMPUTED_VALUE"""),"Darunee")</f>
        <v>Darunee</v>
      </c>
      <c r="F28" t="str">
        <f>IFERROR(__xludf.DUMMYFUNCTION("""COMPUTED_VALUE"""),"Duangdara")</f>
        <v>Duangdara</v>
      </c>
      <c r="G28" t="str">
        <f>IFERROR(__xludf.DUMMYFUNCTION("""COMPUTED_VALUE"""),"Darunee Duangdara")</f>
        <v>Darunee Duangdara</v>
      </c>
      <c r="H28" t="str">
        <f>IFERROR(__xludf.DUMMYFUNCTION("""COMPUTED_VALUE"""),"นางสาว")</f>
        <v>นางสาว</v>
      </c>
      <c r="I28" t="str">
        <f>IFERROR(__xludf.DUMMYFUNCTION("""COMPUTED_VALUE"""),"ดรุณี")</f>
        <v>ดรุณี</v>
      </c>
      <c r="J28" t="str">
        <f>IFERROR(__xludf.DUMMYFUNCTION("""COMPUTED_VALUE"""),"ดวงดารา")</f>
        <v>ดวงดารา</v>
      </c>
      <c r="K28" t="str">
        <f>IFERROR(__xludf.DUMMYFUNCTION("""COMPUTED_VALUE"""),"ดรุณี ดวงดารา")</f>
        <v>ดรุณี ดวงดารา</v>
      </c>
      <c r="L28" t="str">
        <f>IFERROR(__xludf.DUMMYFUNCTION("""COMPUTED_VALUE"""),"Tom")</f>
        <v>Tom</v>
      </c>
      <c r="M28" t="str">
        <f>IFERROR(__xludf.DUMMYFUNCTION("""COMPUTED_VALUE"""),"Senior Cabin Crew")</f>
        <v>Senior Cabin Crew</v>
      </c>
      <c r="N28" t="str">
        <f>IFERROR(__xludf.DUMMYFUNCTION("""COMPUTED_VALUE"""),"DMK")</f>
        <v>DMK</v>
      </c>
      <c r="O28" s="145" t="str">
        <f>IFERROR(__xludf.DUMMYFUNCTION("""COMPUTED_VALUE"""),"Namfon Home")</f>
        <v>Namfon Home</v>
      </c>
      <c r="P28" t="str">
        <f>IFERROR(__xludf.DUMMYFUNCTION("""COMPUTED_VALUE"""),"Active")</f>
        <v>Active</v>
      </c>
      <c r="R28" s="143">
        <f>IFERROR(__xludf.DUMMYFUNCTION("""COMPUTED_VALUE"""),29567.0)</f>
        <v>29567</v>
      </c>
      <c r="S28" s="146" t="str">
        <f>IFERROR(__xludf.DUMMYFUNCTION("""COMPUTED_VALUE"""),"089 792 3957")</f>
        <v>089 792 3957</v>
      </c>
      <c r="T28" s="147" t="str">
        <f>IFERROR(__xludf.DUMMYFUNCTION("""COMPUTED_VALUE"""),"5102000-06-4442")</f>
        <v>5102000-06-4442</v>
      </c>
      <c r="U28" t="str">
        <f>IFERROR(__xludf.DUMMYFUNCTION("""COMPUTED_VALUE"""),"AC3752628")</f>
        <v>AC3752628</v>
      </c>
      <c r="V28" s="148">
        <f>IFERROR(__xludf.DUMMYFUNCTION("""COMPUTED_VALUE"""),44781.0)</f>
        <v>44781</v>
      </c>
      <c r="W28" s="148">
        <f>IFERROR(__xludf.DUMMYFUNCTION("""COMPUTED_VALUE"""),48433.0)</f>
        <v>48433</v>
      </c>
      <c r="X28" s="149">
        <f>IFERROR(__xludf.DUMMYFUNCTION("""COMPUTED_VALUE"""),48251.0)</f>
        <v>48251</v>
      </c>
      <c r="Y28" t="str">
        <f>IFERROR(__xludf.DUMMYFUNCTION("""COMPUTED_VALUE"""),"ปลอดภัย")</f>
        <v>ปลอดภัย</v>
      </c>
      <c r="Z28" t="str">
        <f>IFERROR(__xludf.DUMMYFUNCTION("""COMPUTED_VALUE"""),"Bangkok")</f>
        <v>Bangkok</v>
      </c>
      <c r="AA28" t="str">
        <f>IFERROR(__xludf.DUMMYFUNCTION("""COMPUTED_VALUE"""),"สายไหม")</f>
        <v>สายไหม</v>
      </c>
      <c r="AB28" t="str">
        <f>IFERROR(__xludf.DUMMYFUNCTION("""COMPUTED_VALUE"""),"02 281 4243")</f>
        <v>02 281 4243</v>
      </c>
      <c r="AC28" t="str">
        <f>IFERROR(__xludf.DUMMYFUNCTION("""COMPUTED_VALUE"""),"บ้าน")</f>
        <v>บ้าน</v>
      </c>
      <c r="AD28" t="str">
        <f>IFERROR(__xludf.DUMMYFUNCTION("""COMPUTED_VALUE"""),"daruneed@airasia.com")</f>
        <v>daruneed@airasia.com</v>
      </c>
    </row>
    <row r="29">
      <c r="A29" s="142">
        <f>IFERROR(__xludf.DUMMYFUNCTION("""COMPUTED_VALUE"""),9.0)</f>
        <v>9</v>
      </c>
      <c r="B29" t="str">
        <f>IFERROR(__xludf.DUMMYFUNCTION("""COMPUTED_VALUE"""),"TAA0760")</f>
        <v>TAA0760</v>
      </c>
      <c r="C29">
        <f>IFERROR(__xludf.DUMMYFUNCTION("""COMPUTED_VALUE"""),1000736.0)</f>
        <v>1000736</v>
      </c>
      <c r="D29" t="str">
        <f>IFERROR(__xludf.DUMMYFUNCTION("""COMPUTED_VALUE"""),"Mr.")</f>
        <v>Mr.</v>
      </c>
      <c r="E29" t="str">
        <f>IFERROR(__xludf.DUMMYFUNCTION("""COMPUTED_VALUE"""),"Ekkachai")</f>
        <v>Ekkachai</v>
      </c>
      <c r="F29" t="str">
        <f>IFERROR(__xludf.DUMMYFUNCTION("""COMPUTED_VALUE"""),"Moolla")</f>
        <v>Moolla</v>
      </c>
      <c r="G29" t="str">
        <f>IFERROR(__xludf.DUMMYFUNCTION("""COMPUTED_VALUE"""),"Ekkachai Moolla")</f>
        <v>Ekkachai Moolla</v>
      </c>
      <c r="H29" t="str">
        <f>IFERROR(__xludf.DUMMYFUNCTION("""COMPUTED_VALUE"""),"นาย")</f>
        <v>นาย</v>
      </c>
      <c r="I29" t="str">
        <f>IFERROR(__xludf.DUMMYFUNCTION("""COMPUTED_VALUE"""),"เอกชัย")</f>
        <v>เอกชัย</v>
      </c>
      <c r="J29" t="str">
        <f>IFERROR(__xludf.DUMMYFUNCTION("""COMPUTED_VALUE"""),"มูลหล้า")</f>
        <v>มูลหล้า</v>
      </c>
      <c r="K29" t="str">
        <f>IFERROR(__xludf.DUMMYFUNCTION("""COMPUTED_VALUE"""),"เอกชัย มูลหล้า")</f>
        <v>เอกชัย มูลหล้า</v>
      </c>
      <c r="L29" t="str">
        <f>IFERROR(__xludf.DUMMYFUNCTION("""COMPUTED_VALUE"""),"Ake (Akeky)")</f>
        <v>Ake (Akeky)</v>
      </c>
      <c r="M29" t="str">
        <f>IFERROR(__xludf.DUMMYFUNCTION("""COMPUTED_VALUE"""),"Senior Cabin Crew")</f>
        <v>Senior Cabin Crew</v>
      </c>
      <c r="N29" t="str">
        <f>IFERROR(__xludf.DUMMYFUNCTION("""COMPUTED_VALUE"""),"DMK")</f>
        <v>DMK</v>
      </c>
      <c r="O29" s="145" t="str">
        <f>IFERROR(__xludf.DUMMYFUNCTION("""COMPUTED_VALUE"""),"Kor Home")</f>
        <v>Kor Home</v>
      </c>
      <c r="P29" t="str">
        <f>IFERROR(__xludf.DUMMYFUNCTION("""COMPUTED_VALUE"""),"Active")</f>
        <v>Active</v>
      </c>
      <c r="R29" s="143">
        <f>IFERROR(__xludf.DUMMYFUNCTION("""COMPUTED_VALUE"""),28680.0)</f>
        <v>28680</v>
      </c>
      <c r="S29" s="146" t="str">
        <f>IFERROR(__xludf.DUMMYFUNCTION("""COMPUTED_VALUE"""),"093-578-8717")</f>
        <v>093-578-8717</v>
      </c>
      <c r="T29" s="147" t="str">
        <f>IFERROR(__xludf.DUMMYFUNCTION("""COMPUTED_VALUE"""),"3420800-18-9605")</f>
        <v>3420800-18-9605</v>
      </c>
      <c r="U29" t="str">
        <f>IFERROR(__xludf.DUMMYFUNCTION("""COMPUTED_VALUE"""),"AC2601358")</f>
        <v>AC2601358</v>
      </c>
      <c r="V29" s="148">
        <f>IFERROR(__xludf.DUMMYFUNCTION("""COMPUTED_VALUE"""),44898.0)</f>
        <v>44898</v>
      </c>
      <c r="W29" s="148">
        <f>IFERROR(__xludf.DUMMYFUNCTION("""COMPUTED_VALUE"""),48184.0)</f>
        <v>48184</v>
      </c>
      <c r="X29" s="149">
        <f>IFERROR(__xludf.DUMMYFUNCTION("""COMPUTED_VALUE"""),48001.0)</f>
        <v>48001</v>
      </c>
      <c r="Y29" t="str">
        <f>IFERROR(__xludf.DUMMYFUNCTION("""COMPUTED_VALUE"""),"ปลอดภัย")</f>
        <v>ปลอดภัย</v>
      </c>
      <c r="Z29" t="str">
        <f>IFERROR(__xludf.DUMMYFUNCTION("""COMPUTED_VALUE"""),"Loei Province")</f>
        <v>Loei Province</v>
      </c>
      <c r="AA29" t="str">
        <f>IFERROR(__xludf.DUMMYFUNCTION("""COMPUTED_VALUE"""),"จตุจักร")</f>
        <v>จตุจักร</v>
      </c>
      <c r="AB29" t="str">
        <f>IFERROR(__xludf.DUMMYFUNCTION("""COMPUTED_VALUE"""),"02 938 2587")</f>
        <v>02 938 2587</v>
      </c>
      <c r="AC29" t="str">
        <f>IFERROR(__xludf.DUMMYFUNCTION("""COMPUTED_VALUE"""),"บ้าน")</f>
        <v>บ้าน</v>
      </c>
      <c r="AD29" t="str">
        <f>IFERROR(__xludf.DUMMYFUNCTION("""COMPUTED_VALUE"""),"ekkachaim@airasia.com")</f>
        <v>ekkachaim@airasia.com</v>
      </c>
    </row>
    <row r="30">
      <c r="A30" s="142">
        <f>IFERROR(__xludf.DUMMYFUNCTION("""COMPUTED_VALUE"""),9.0)</f>
        <v>9</v>
      </c>
      <c r="B30" t="str">
        <f>IFERROR(__xludf.DUMMYFUNCTION("""COMPUTED_VALUE"""),"TAA0758")</f>
        <v>TAA0758</v>
      </c>
      <c r="C30">
        <f>IFERROR(__xludf.DUMMYFUNCTION("""COMPUTED_VALUE"""),1000737.0)</f>
        <v>1000737</v>
      </c>
      <c r="D30" t="str">
        <f>IFERROR(__xludf.DUMMYFUNCTION("""COMPUTED_VALUE"""),"Mr.")</f>
        <v>Mr.</v>
      </c>
      <c r="E30" t="str">
        <f>IFERROR(__xludf.DUMMYFUNCTION("""COMPUTED_VALUE"""),"Pathomporn")</f>
        <v>Pathomporn</v>
      </c>
      <c r="F30" t="str">
        <f>IFERROR(__xludf.DUMMYFUNCTION("""COMPUTED_VALUE"""),"Sukanthong")</f>
        <v>Sukanthong</v>
      </c>
      <c r="G30" t="str">
        <f>IFERROR(__xludf.DUMMYFUNCTION("""COMPUTED_VALUE"""),"Pathomporn Sukanthong")</f>
        <v>Pathomporn Sukanthong</v>
      </c>
      <c r="H30" t="str">
        <f>IFERROR(__xludf.DUMMYFUNCTION("""COMPUTED_VALUE"""),"นาย")</f>
        <v>นาย</v>
      </c>
      <c r="I30" t="str">
        <f>IFERROR(__xludf.DUMMYFUNCTION("""COMPUTED_VALUE"""),"ปฐมพร")</f>
        <v>ปฐมพร</v>
      </c>
      <c r="J30" t="str">
        <f>IFERROR(__xludf.DUMMYFUNCTION("""COMPUTED_VALUE"""),"สุขันทอง")</f>
        <v>สุขันทอง</v>
      </c>
      <c r="K30" t="str">
        <f>IFERROR(__xludf.DUMMYFUNCTION("""COMPUTED_VALUE"""),"ปฐมพร สุขันทอง")</f>
        <v>ปฐมพร สุขันทอง</v>
      </c>
      <c r="L30" t="str">
        <f>IFERROR(__xludf.DUMMYFUNCTION("""COMPUTED_VALUE"""),"Jacky")</f>
        <v>Jacky</v>
      </c>
      <c r="M30" t="str">
        <f>IFERROR(__xludf.DUMMYFUNCTION("""COMPUTED_VALUE"""),"Senior Cabin Crew")</f>
        <v>Senior Cabin Crew</v>
      </c>
      <c r="N30" t="str">
        <f>IFERROR(__xludf.DUMMYFUNCTION("""COMPUTED_VALUE"""),"DMK")</f>
        <v>DMK</v>
      </c>
      <c r="O30" s="145" t="str">
        <f>IFERROR(__xludf.DUMMYFUNCTION("""COMPUTED_VALUE"""),"Por+ Home")</f>
        <v>Por+ Home</v>
      </c>
      <c r="P30" t="str">
        <f>IFERROR(__xludf.DUMMYFUNCTION("""COMPUTED_VALUE"""),"Active")</f>
        <v>Active</v>
      </c>
      <c r="R30" s="143">
        <f>IFERROR(__xludf.DUMMYFUNCTION("""COMPUTED_VALUE"""),30221.0)</f>
        <v>30221</v>
      </c>
      <c r="S30" s="146" t="str">
        <f>IFERROR(__xludf.DUMMYFUNCTION("""COMPUTED_VALUE"""),"095-997-8946")</f>
        <v>095-997-8946</v>
      </c>
      <c r="T30" s="147" t="str">
        <f>IFERROR(__xludf.DUMMYFUNCTION("""COMPUTED_VALUE"""),"3100602-80-6511")</f>
        <v>3100602-80-6511</v>
      </c>
      <c r="U30" t="str">
        <f>IFERROR(__xludf.DUMMYFUNCTION("""COMPUTED_VALUE"""),"AC2961992")</f>
        <v>AC2961992</v>
      </c>
      <c r="V30" s="148">
        <f>IFERROR(__xludf.DUMMYFUNCTION("""COMPUTED_VALUE"""),44641.0)</f>
        <v>44641</v>
      </c>
      <c r="W30" s="148">
        <f>IFERROR(__xludf.DUMMYFUNCTION("""COMPUTED_VALUE"""),48293.0)</f>
        <v>48293</v>
      </c>
      <c r="X30" s="149">
        <f>IFERROR(__xludf.DUMMYFUNCTION("""COMPUTED_VALUE"""),48111.0)</f>
        <v>48111</v>
      </c>
      <c r="Y30" t="str">
        <f>IFERROR(__xludf.DUMMYFUNCTION("""COMPUTED_VALUE"""),"ปลอดภัย")</f>
        <v>ปลอดภัย</v>
      </c>
      <c r="Z30" t="str">
        <f>IFERROR(__xludf.DUMMYFUNCTION("""COMPUTED_VALUE"""),"Bangkok")</f>
        <v>Bangkok</v>
      </c>
      <c r="AA30" t="str">
        <f>IFERROR(__xludf.DUMMYFUNCTION("""COMPUTED_VALUE"""),"วังทองหลาง")</f>
        <v>วังทองหลาง</v>
      </c>
      <c r="AB30" t="str">
        <f>IFERROR(__xludf.DUMMYFUNCTION("""COMPUTED_VALUE"""),"081 336 7954")</f>
        <v>081 336 7954</v>
      </c>
      <c r="AC30" t="str">
        <f>IFERROR(__xludf.DUMMYFUNCTION("""COMPUTED_VALUE"""),"แม่")</f>
        <v>แม่</v>
      </c>
      <c r="AD30" t="str">
        <f>IFERROR(__xludf.DUMMYFUNCTION("""COMPUTED_VALUE"""),"pathomporns@airasia.com")</f>
        <v>pathomporns@airasia.com</v>
      </c>
    </row>
    <row r="31">
      <c r="A31" s="142">
        <f>IFERROR(__xludf.DUMMYFUNCTION("""COMPUTED_VALUE"""),9.0)</f>
        <v>9</v>
      </c>
      <c r="B31" t="str">
        <f>IFERROR(__xludf.DUMMYFUNCTION("""COMPUTED_VALUE"""),"TAA0761")</f>
        <v>TAA0761</v>
      </c>
      <c r="C31">
        <f>IFERROR(__xludf.DUMMYFUNCTION("""COMPUTED_VALUE"""),1000738.0)</f>
        <v>1000738</v>
      </c>
      <c r="D31" t="str">
        <f>IFERROR(__xludf.DUMMYFUNCTION("""COMPUTED_VALUE"""),"Mr.")</f>
        <v>Mr.</v>
      </c>
      <c r="E31" t="str">
        <f>IFERROR(__xludf.DUMMYFUNCTION("""COMPUTED_VALUE"""),"Sompoach")</f>
        <v>Sompoach</v>
      </c>
      <c r="F31" t="str">
        <f>IFERROR(__xludf.DUMMYFUNCTION("""COMPUTED_VALUE"""),"Tahsu")</f>
        <v>Tahsu</v>
      </c>
      <c r="G31" t="str">
        <f>IFERROR(__xludf.DUMMYFUNCTION("""COMPUTED_VALUE"""),"Sompoach Tahsu")</f>
        <v>Sompoach Tahsu</v>
      </c>
      <c r="H31" t="str">
        <f>IFERROR(__xludf.DUMMYFUNCTION("""COMPUTED_VALUE"""),"นาย")</f>
        <v>นาย</v>
      </c>
      <c r="I31" t="str">
        <f>IFERROR(__xludf.DUMMYFUNCTION("""COMPUTED_VALUE"""),"สมโภช")</f>
        <v>สมโภช</v>
      </c>
      <c r="J31" t="str">
        <f>IFERROR(__xludf.DUMMYFUNCTION("""COMPUTED_VALUE"""),"ต๊ะสุ")</f>
        <v>ต๊ะสุ</v>
      </c>
      <c r="K31" t="str">
        <f>IFERROR(__xludf.DUMMYFUNCTION("""COMPUTED_VALUE"""),"สมโภช ต๊ะสุ")</f>
        <v>สมโภช ต๊ะสุ</v>
      </c>
      <c r="L31" t="str">
        <f>IFERROR(__xludf.DUMMYFUNCTION("""COMPUTED_VALUE"""),"Tah")</f>
        <v>Tah</v>
      </c>
      <c r="M31" t="str">
        <f>IFERROR(__xludf.DUMMYFUNCTION("""COMPUTED_VALUE"""),"Senior Cabin Crew - CNX")</f>
        <v>Senior Cabin Crew - CNX</v>
      </c>
      <c r="N31" t="str">
        <f>IFERROR(__xludf.DUMMYFUNCTION("""COMPUTED_VALUE"""),"CNX")</f>
        <v>CNX</v>
      </c>
      <c r="O31" s="145" t="str">
        <f>IFERROR(__xludf.DUMMYFUNCTION("""COMPUTED_VALUE"""),"Up Home")</f>
        <v>Up Home</v>
      </c>
      <c r="P31" t="str">
        <f>IFERROR(__xludf.DUMMYFUNCTION("""COMPUTED_VALUE"""),"Active")</f>
        <v>Active</v>
      </c>
      <c r="R31" s="143">
        <f>IFERROR(__xludf.DUMMYFUNCTION("""COMPUTED_VALUE"""),29128.0)</f>
        <v>29128</v>
      </c>
      <c r="S31" s="146" t="str">
        <f>IFERROR(__xludf.DUMMYFUNCTION("""COMPUTED_VALUE"""),"083-017-2462")</f>
        <v>083-017-2462</v>
      </c>
      <c r="T31" s="147" t="str">
        <f>IFERROR(__xludf.DUMMYFUNCTION("""COMPUTED_VALUE"""),"3630600-03-2034")</f>
        <v>3630600-03-2034</v>
      </c>
      <c r="U31" t="str">
        <f>IFERROR(__xludf.DUMMYFUNCTION("""COMPUTED_VALUE"""),"AC5943984")</f>
        <v>AC5943984</v>
      </c>
      <c r="V31" s="148">
        <f>IFERROR(__xludf.DUMMYFUNCTION("""COMPUTED_VALUE"""),45245.0)</f>
        <v>45245</v>
      </c>
      <c r="W31" s="148">
        <f>IFERROR(__xludf.DUMMYFUNCTION("""COMPUTED_VALUE"""),48897.0)</f>
        <v>48897</v>
      </c>
      <c r="X31" s="149">
        <f>IFERROR(__xludf.DUMMYFUNCTION("""COMPUTED_VALUE"""),48713.0)</f>
        <v>48713</v>
      </c>
      <c r="Y31" t="str">
        <f>IFERROR(__xludf.DUMMYFUNCTION("""COMPUTED_VALUE"""),"ปลอดภัย")</f>
        <v>ปลอดภัย</v>
      </c>
      <c r="Z31" t="str">
        <f>IFERROR(__xludf.DUMMYFUNCTION("""COMPUTED_VALUE"""),"Tak Province")</f>
        <v>Tak Province</v>
      </c>
      <c r="AA31" t="str">
        <f>IFERROR(__xludf.DUMMYFUNCTION("""COMPUTED_VALUE"""),"ชิดลม")</f>
        <v>ชิดลม</v>
      </c>
      <c r="AB31" t="str">
        <f>IFERROR(__xludf.DUMMYFUNCTION("""COMPUTED_VALUE"""),"087 851 6060")</f>
        <v>087 851 6060</v>
      </c>
      <c r="AC31" t="str">
        <f>IFERROR(__xludf.DUMMYFUNCTION("""COMPUTED_VALUE"""),"พ่อ")</f>
        <v>พ่อ</v>
      </c>
      <c r="AD31" t="str">
        <f>IFERROR(__xludf.DUMMYFUNCTION("""COMPUTED_VALUE"""),"sompoacht@airasia.com")</f>
        <v>sompoacht@airasia.com</v>
      </c>
    </row>
    <row r="32">
      <c r="AD32" t="str">
        <f>IFERROR(__xludf.DUMMYFUNCTION("""COMPUTED_VALUE"""),"")</f>
        <v/>
      </c>
    </row>
    <row r="33">
      <c r="A33" s="142">
        <f>IFERROR(__xludf.DUMMYFUNCTION("""COMPUTED_VALUE"""),11.0)</f>
        <v>11</v>
      </c>
      <c r="B33" t="str">
        <f>IFERROR(__xludf.DUMMYFUNCTION("""COMPUTED_VALUE"""),"TAA1098")</f>
        <v>TAA1098</v>
      </c>
      <c r="C33">
        <f>IFERROR(__xludf.DUMMYFUNCTION("""COMPUTED_VALUE"""),1001082.0)</f>
        <v>1001082</v>
      </c>
      <c r="D33" t="str">
        <f>IFERROR(__xludf.DUMMYFUNCTION("""COMPUTED_VALUE"""),"Mr.")</f>
        <v>Mr.</v>
      </c>
      <c r="E33" t="str">
        <f>IFERROR(__xludf.DUMMYFUNCTION("""COMPUTED_VALUE"""),"Pobsaran")</f>
        <v>Pobsaran</v>
      </c>
      <c r="F33" t="str">
        <f>IFERROR(__xludf.DUMMYFUNCTION("""COMPUTED_VALUE"""),"Chantaratim")</f>
        <v>Chantaratim</v>
      </c>
      <c r="G33" t="str">
        <f>IFERROR(__xludf.DUMMYFUNCTION("""COMPUTED_VALUE"""),"Pobsaran Chantaratim")</f>
        <v>Pobsaran Chantaratim</v>
      </c>
      <c r="H33" t="str">
        <f>IFERROR(__xludf.DUMMYFUNCTION("""COMPUTED_VALUE"""),"นาย")</f>
        <v>นาย</v>
      </c>
      <c r="I33" t="str">
        <f>IFERROR(__xludf.DUMMYFUNCTION("""COMPUTED_VALUE"""),"ภพศรันย์")</f>
        <v>ภพศรันย์</v>
      </c>
      <c r="J33" t="str">
        <f>IFERROR(__xludf.DUMMYFUNCTION("""COMPUTED_VALUE"""),"จันทรทิม")</f>
        <v>จันทรทิม</v>
      </c>
      <c r="K33" t="str">
        <f>IFERROR(__xludf.DUMMYFUNCTION("""COMPUTED_VALUE"""),"ภพศรันย์ จันทรทิม")</f>
        <v>ภพศรันย์ จันทรทิม</v>
      </c>
      <c r="L33" t="str">
        <f>IFERROR(__xludf.DUMMYFUNCTION("""COMPUTED_VALUE"""),"Pob")</f>
        <v>Pob</v>
      </c>
      <c r="M33" t="str">
        <f>IFERROR(__xludf.DUMMYFUNCTION("""COMPUTED_VALUE"""),"Senior Cabin Crew")</f>
        <v>Senior Cabin Crew</v>
      </c>
      <c r="N33" t="str">
        <f>IFERROR(__xludf.DUMMYFUNCTION("""COMPUTED_VALUE"""),"DMK")</f>
        <v>DMK</v>
      </c>
      <c r="O33" s="145" t="str">
        <f>IFERROR(__xludf.DUMMYFUNCTION("""COMPUTED_VALUE"""),"Namfon Home")</f>
        <v>Namfon Home</v>
      </c>
      <c r="P33" t="str">
        <f>IFERROR(__xludf.DUMMYFUNCTION("""COMPUTED_VALUE"""),"Active")</f>
        <v>Active</v>
      </c>
      <c r="R33" s="143">
        <f>IFERROR(__xludf.DUMMYFUNCTION("""COMPUTED_VALUE"""),29045.0)</f>
        <v>29045</v>
      </c>
      <c r="S33" s="146" t="str">
        <f>IFERROR(__xludf.DUMMYFUNCTION("""COMPUTED_VALUE"""),"083 686 3270")</f>
        <v>083 686 3270</v>
      </c>
      <c r="T33" s="147" t="str">
        <f>IFERROR(__xludf.DUMMYFUNCTION("""COMPUTED_VALUE"""),"3149900-45-3020")</f>
        <v>3149900-45-3020</v>
      </c>
      <c r="U33" t="str">
        <f>IFERROR(__xludf.DUMMYFUNCTION("""COMPUTED_VALUE"""),"AD2125784")</f>
        <v>AD2125784</v>
      </c>
      <c r="V33" s="148">
        <f>IFERROR(__xludf.DUMMYFUNCTION("""COMPUTED_VALUE"""),45755.0)</f>
        <v>45755</v>
      </c>
      <c r="W33" s="148">
        <f>IFERROR(__xludf.DUMMYFUNCTION("""COMPUTED_VALUE"""),49406.0)</f>
        <v>49406</v>
      </c>
      <c r="X33" s="149">
        <f>IFERROR(__xludf.DUMMYFUNCTION("""COMPUTED_VALUE"""),49224.0)</f>
        <v>49224</v>
      </c>
      <c r="Y33" t="str">
        <f>IFERROR(__xludf.DUMMYFUNCTION("""COMPUTED_VALUE"""),"ปลอดภัย")</f>
        <v>ปลอดภัย</v>
      </c>
      <c r="Z33" t="str">
        <f>IFERROR(__xludf.DUMMYFUNCTION("""COMPUTED_VALUE"""),"Bangkok")</f>
        <v>Bangkok</v>
      </c>
      <c r="AA33" t="str">
        <f>IFERROR(__xludf.DUMMYFUNCTION("""COMPUTED_VALUE"""),"แจ้งวัฒนะ")</f>
        <v>แจ้งวัฒนะ</v>
      </c>
      <c r="AB33" t="str">
        <f>IFERROR(__xludf.DUMMYFUNCTION("""COMPUTED_VALUE"""),"081 306 6449")</f>
        <v>081 306 6449</v>
      </c>
      <c r="AC33" t="str">
        <f>IFERROR(__xludf.DUMMYFUNCTION("""COMPUTED_VALUE"""),"พ่อ")</f>
        <v>พ่อ</v>
      </c>
      <c r="AD33" t="str">
        <f>IFERROR(__xludf.DUMMYFUNCTION("""COMPUTED_VALUE"""),"pobsaranc@airasia.com")</f>
        <v>pobsaranc@airasia.com</v>
      </c>
    </row>
    <row r="34">
      <c r="A34" s="142">
        <f>IFERROR(__xludf.DUMMYFUNCTION("""COMPUTED_VALUE"""),11.0)</f>
        <v>11</v>
      </c>
      <c r="B34" t="str">
        <f>IFERROR(__xludf.DUMMYFUNCTION("""COMPUTED_VALUE"""),"TAA1102")</f>
        <v>TAA1102</v>
      </c>
      <c r="C34">
        <f>IFERROR(__xludf.DUMMYFUNCTION("""COMPUTED_VALUE"""),1001083.0)</f>
        <v>1001083</v>
      </c>
      <c r="D34" t="str">
        <f>IFERROR(__xludf.DUMMYFUNCTION("""COMPUTED_VALUE"""),"Ms.")</f>
        <v>Ms.</v>
      </c>
      <c r="E34" t="str">
        <f>IFERROR(__xludf.DUMMYFUNCTION("""COMPUTED_VALUE"""),"Patchteerat (Pongsupa)")</f>
        <v>Patchteerat (Pongsupa)</v>
      </c>
      <c r="F34" t="str">
        <f>IFERROR(__xludf.DUMMYFUNCTION("""COMPUTED_VALUE"""),"Pongsamart")</f>
        <v>Pongsamart</v>
      </c>
      <c r="G34" t="str">
        <f>IFERROR(__xludf.DUMMYFUNCTION("""COMPUTED_VALUE"""),"Patchteerat Pongsamart")</f>
        <v>Patchteerat Pongsamart</v>
      </c>
      <c r="H34" t="str">
        <f>IFERROR(__xludf.DUMMYFUNCTION("""COMPUTED_VALUE"""),"นางสาว")</f>
        <v>นางสาว</v>
      </c>
      <c r="I34" t="str">
        <f>IFERROR(__xludf.DUMMYFUNCTION("""COMPUTED_VALUE"""),"พัชร์ธีรัตน์ (พงษ์สุภา)")</f>
        <v>พัชร์ธีรัตน์ (พงษ์สุภา)</v>
      </c>
      <c r="J34" t="str">
        <f>IFERROR(__xludf.DUMMYFUNCTION("""COMPUTED_VALUE"""),"พงษ์สามารถ")</f>
        <v>พงษ์สามารถ</v>
      </c>
      <c r="K34" t="str">
        <f>IFERROR(__xludf.DUMMYFUNCTION("""COMPUTED_VALUE"""),"พัชร์ธีรัตน์ พงษ์สามารถ")</f>
        <v>พัชร์ธีรัตน์ พงษ์สามารถ</v>
      </c>
      <c r="L34" t="str">
        <f>IFERROR(__xludf.DUMMYFUNCTION("""COMPUTED_VALUE"""),"Pat")</f>
        <v>Pat</v>
      </c>
      <c r="M34" t="str">
        <f>IFERROR(__xludf.DUMMYFUNCTION("""COMPUTED_VALUE"""),"Senior Cabin Crew")</f>
        <v>Senior Cabin Crew</v>
      </c>
      <c r="N34" t="str">
        <f>IFERROR(__xludf.DUMMYFUNCTION("""COMPUTED_VALUE"""),"DMK")</f>
        <v>DMK</v>
      </c>
      <c r="O34" s="145" t="str">
        <f>IFERROR(__xludf.DUMMYFUNCTION("""COMPUTED_VALUE"""),"Por+ Home")</f>
        <v>Por+ Home</v>
      </c>
      <c r="P34" t="str">
        <f>IFERROR(__xludf.DUMMYFUNCTION("""COMPUTED_VALUE"""),"Active")</f>
        <v>Active</v>
      </c>
      <c r="R34" s="143">
        <f>IFERROR(__xludf.DUMMYFUNCTION("""COMPUTED_VALUE"""),30530.0)</f>
        <v>30530</v>
      </c>
      <c r="S34" s="146" t="str">
        <f>IFERROR(__xludf.DUMMYFUNCTION("""COMPUTED_VALUE"""),"090-699-4298")</f>
        <v>090-699-4298</v>
      </c>
      <c r="T34" s="147">
        <f>IFERROR(__xludf.DUMMYFUNCTION("""COMPUTED_VALUE"""),3.100503476173E12)</f>
        <v>3100503476173</v>
      </c>
      <c r="U34" t="str">
        <f>IFERROR(__xludf.DUMMYFUNCTION("""COMPUTED_VALUE"""),"AC8176860")</f>
        <v>AC8176860</v>
      </c>
      <c r="V34" s="148">
        <f>IFERROR(__xludf.DUMMYFUNCTION("""COMPUTED_VALUE"""),46006.0)</f>
        <v>46006</v>
      </c>
      <c r="W34" s="148">
        <f>IFERROR(__xludf.DUMMYFUNCTION("""COMPUTED_VALUE"""),49657.0)</f>
        <v>49657</v>
      </c>
      <c r="X34" s="149">
        <f>IFERROR(__xludf.DUMMYFUNCTION("""COMPUTED_VALUE"""),49474.0)</f>
        <v>49474</v>
      </c>
      <c r="Y34" t="str">
        <f>IFERROR(__xludf.DUMMYFUNCTION("""COMPUTED_VALUE"""),"ปลอดภัย")</f>
        <v>ปลอดภัย</v>
      </c>
      <c r="Z34" t="str">
        <f>IFERROR(__xludf.DUMMYFUNCTION("""COMPUTED_VALUE"""),"Bangkok")</f>
        <v>Bangkok</v>
      </c>
      <c r="AA34" t="str">
        <f>IFERROR(__xludf.DUMMYFUNCTION("""COMPUTED_VALUE"""),"บางเขน")</f>
        <v>บางเขน</v>
      </c>
      <c r="AB34" t="str">
        <f>IFERROR(__xludf.DUMMYFUNCTION("""COMPUTED_VALUE"""),"086 577 6144")</f>
        <v>086 577 6144</v>
      </c>
      <c r="AC34" t="str">
        <f>IFERROR(__xludf.DUMMYFUNCTION("""COMPUTED_VALUE"""),"แม่")</f>
        <v>แม่</v>
      </c>
      <c r="AD34" t="str">
        <f>IFERROR(__xludf.DUMMYFUNCTION("""COMPUTED_VALUE"""),"patchteeratpong@airasia.com")</f>
        <v>patchteeratpong@airasia.com</v>
      </c>
    </row>
    <row r="35">
      <c r="A35" s="142">
        <f>IFERROR(__xludf.DUMMYFUNCTION("""COMPUTED_VALUE"""),11.0)</f>
        <v>11</v>
      </c>
      <c r="B35" t="str">
        <f>IFERROR(__xludf.DUMMYFUNCTION("""COMPUTED_VALUE"""),"TAA1104")</f>
        <v>TAA1104</v>
      </c>
      <c r="C35">
        <f>IFERROR(__xludf.DUMMYFUNCTION("""COMPUTED_VALUE"""),1001084.0)</f>
        <v>1001084</v>
      </c>
      <c r="D35" t="str">
        <f>IFERROR(__xludf.DUMMYFUNCTION("""COMPUTED_VALUE"""),"Ms.")</f>
        <v>Ms.</v>
      </c>
      <c r="E35" t="str">
        <f>IFERROR(__xludf.DUMMYFUNCTION("""COMPUTED_VALUE"""),"Sowapan")</f>
        <v>Sowapan</v>
      </c>
      <c r="F35" t="str">
        <f>IFERROR(__xludf.DUMMYFUNCTION("""COMPUTED_VALUE"""),"Chartwuthanon")</f>
        <v>Chartwuthanon</v>
      </c>
      <c r="G35" t="str">
        <f>IFERROR(__xludf.DUMMYFUNCTION("""COMPUTED_VALUE"""),"Sowapan Chartwuthanon")</f>
        <v>Sowapan Chartwuthanon</v>
      </c>
      <c r="H35" t="str">
        <f>IFERROR(__xludf.DUMMYFUNCTION("""COMPUTED_VALUE"""),"นางสาว")</f>
        <v>นางสาว</v>
      </c>
      <c r="I35" t="str">
        <f>IFERROR(__xludf.DUMMYFUNCTION("""COMPUTED_VALUE"""),"โสวพันธุ์")</f>
        <v>โสวพันธุ์</v>
      </c>
      <c r="J35" t="str">
        <f>IFERROR(__xludf.DUMMYFUNCTION("""COMPUTED_VALUE"""),"ชาติวุฒานนท์")</f>
        <v>ชาติวุฒานนท์</v>
      </c>
      <c r="K35" t="str">
        <f>IFERROR(__xludf.DUMMYFUNCTION("""COMPUTED_VALUE"""),"โสวพันธุ์ ชาติวุฒานนท์")</f>
        <v>โสวพันธุ์ ชาติวุฒานนท์</v>
      </c>
      <c r="L35" t="str">
        <f>IFERROR(__xludf.DUMMYFUNCTION("""COMPUTED_VALUE"""),"JJ")</f>
        <v>JJ</v>
      </c>
      <c r="M35" t="str">
        <f>IFERROR(__xludf.DUMMYFUNCTION("""COMPUTED_VALUE"""),"Senior Cabin Crew - CNX")</f>
        <v>Senior Cabin Crew - CNX</v>
      </c>
      <c r="N35" t="str">
        <f>IFERROR(__xludf.DUMMYFUNCTION("""COMPUTED_VALUE"""),"CNX")</f>
        <v>CNX</v>
      </c>
      <c r="O35" s="145" t="str">
        <f>IFERROR(__xludf.DUMMYFUNCTION("""COMPUTED_VALUE"""),"Up Home")</f>
        <v>Up Home</v>
      </c>
      <c r="P35" t="str">
        <f>IFERROR(__xludf.DUMMYFUNCTION("""COMPUTED_VALUE"""),"Active")</f>
        <v>Active</v>
      </c>
      <c r="R35" s="143">
        <f>IFERROR(__xludf.DUMMYFUNCTION("""COMPUTED_VALUE"""),28882.0)</f>
        <v>28882</v>
      </c>
      <c r="S35" s="146" t="str">
        <f>IFERROR(__xludf.DUMMYFUNCTION("""COMPUTED_VALUE"""),"063 260 6277 ")</f>
        <v>063 260 6277 </v>
      </c>
      <c r="T35" s="147" t="str">
        <f>IFERROR(__xludf.DUMMYFUNCTION("""COMPUTED_VALUE"""),"3569900-21-0743")</f>
        <v>3569900-21-0743</v>
      </c>
      <c r="U35" t="str">
        <f>IFERROR(__xludf.DUMMYFUNCTION("""COMPUTED_VALUE"""),"AC5396117")</f>
        <v>AC5396117</v>
      </c>
      <c r="V35" s="148">
        <f>IFERROR(__xludf.DUMMYFUNCTION("""COMPUTED_VALUE"""),45147.0)</f>
        <v>45147</v>
      </c>
      <c r="W35" s="148">
        <f>IFERROR(__xludf.DUMMYFUNCTION("""COMPUTED_VALUE"""),48799.0)</f>
        <v>48799</v>
      </c>
      <c r="X35" s="149">
        <f>IFERROR(__xludf.DUMMYFUNCTION("""COMPUTED_VALUE"""),48618.0)</f>
        <v>48618</v>
      </c>
      <c r="Y35" t="str">
        <f>IFERROR(__xludf.DUMMYFUNCTION("""COMPUTED_VALUE"""),"ปลอดภัย")</f>
        <v>ปลอดภัย</v>
      </c>
      <c r="Z35" t="str">
        <f>IFERROR(__xludf.DUMMYFUNCTION("""COMPUTED_VALUE"""),"Prachuap Khiri Khan Province")</f>
        <v>Prachuap Khiri Khan Province</v>
      </c>
      <c r="AA35" t="str">
        <f>IFERROR(__xludf.DUMMYFUNCTION("""COMPUTED_VALUE"""),"ลาดกระบัง")</f>
        <v>ลาดกระบัง</v>
      </c>
      <c r="AB35" t="str">
        <f>IFERROR(__xludf.DUMMYFUNCTION("""COMPUTED_VALUE"""),"084 1506513")</f>
        <v>084 1506513</v>
      </c>
      <c r="AC35" t="str">
        <f>IFERROR(__xludf.DUMMYFUNCTION("""COMPUTED_VALUE"""),"ไม่ระบุ")</f>
        <v>ไม่ระบุ</v>
      </c>
      <c r="AD35" t="str">
        <f>IFERROR(__xludf.DUMMYFUNCTION("""COMPUTED_VALUE"""),"sowapanc@airasia.com")</f>
        <v>sowapanc@airasia.com</v>
      </c>
    </row>
    <row r="36">
      <c r="AD36" t="str">
        <f>IFERROR(__xludf.DUMMYFUNCTION("""COMPUTED_VALUE"""),"")</f>
        <v/>
      </c>
    </row>
    <row r="37">
      <c r="A37" s="142">
        <f>IFERROR(__xludf.DUMMYFUNCTION("""COMPUTED_VALUE"""),12.0)</f>
        <v>12</v>
      </c>
      <c r="B37" t="str">
        <f>IFERROR(__xludf.DUMMYFUNCTION("""COMPUTED_VALUE"""),"TAA1139")</f>
        <v>TAA1139</v>
      </c>
      <c r="C37">
        <f>IFERROR(__xludf.DUMMYFUNCTION("""COMPUTED_VALUE"""),1001122.0)</f>
        <v>1001122</v>
      </c>
      <c r="D37" t="str">
        <f>IFERROR(__xludf.DUMMYFUNCTION("""COMPUTED_VALUE"""),"Ms.")</f>
        <v>Ms.</v>
      </c>
      <c r="E37" t="str">
        <f>IFERROR(__xludf.DUMMYFUNCTION("""COMPUTED_VALUE"""),"Supanya")</f>
        <v>Supanya</v>
      </c>
      <c r="F37" t="str">
        <f>IFERROR(__xludf.DUMMYFUNCTION("""COMPUTED_VALUE"""),"Kareepet")</f>
        <v>Kareepet</v>
      </c>
      <c r="G37" t="str">
        <f>IFERROR(__xludf.DUMMYFUNCTION("""COMPUTED_VALUE"""),"Supanya Kareepet")</f>
        <v>Supanya Kareepet</v>
      </c>
      <c r="H37" t="str">
        <f>IFERROR(__xludf.DUMMYFUNCTION("""COMPUTED_VALUE"""),"นางสาว")</f>
        <v>นางสาว</v>
      </c>
      <c r="I37" t="str">
        <f>IFERROR(__xludf.DUMMYFUNCTION("""COMPUTED_VALUE"""),"สุปัญญา")</f>
        <v>สุปัญญา</v>
      </c>
      <c r="J37" t="str">
        <f>IFERROR(__xludf.DUMMYFUNCTION("""COMPUTED_VALUE"""),"การีเพ็ชร์")</f>
        <v>การีเพ็ชร์</v>
      </c>
      <c r="K37" t="str">
        <f>IFERROR(__xludf.DUMMYFUNCTION("""COMPUTED_VALUE"""),"สุปัญญา การีเพ็ชร์")</f>
        <v>สุปัญญา การีเพ็ชร์</v>
      </c>
      <c r="L37" t="str">
        <f>IFERROR(__xludf.DUMMYFUNCTION("""COMPUTED_VALUE"""),"Cartoon")</f>
        <v>Cartoon</v>
      </c>
      <c r="M37" t="str">
        <f>IFERROR(__xludf.DUMMYFUNCTION("""COMPUTED_VALUE"""),"Senior Cabin Crew - BKK")</f>
        <v>Senior Cabin Crew - BKK</v>
      </c>
      <c r="N37" t="str">
        <f>IFERROR(__xludf.DUMMYFUNCTION("""COMPUTED_VALUE"""),"BKK")</f>
        <v>BKK</v>
      </c>
      <c r="O37" s="145" t="str">
        <f>IFERROR(__xludf.DUMMYFUNCTION("""COMPUTED_VALUE"""),"Nhui Home")</f>
        <v>Nhui Home</v>
      </c>
      <c r="P37" t="str">
        <f>IFERROR(__xludf.DUMMYFUNCTION("""COMPUTED_VALUE"""),"Active")</f>
        <v>Active</v>
      </c>
      <c r="R37" s="143">
        <f>IFERROR(__xludf.DUMMYFUNCTION("""COMPUTED_VALUE"""),30408.0)</f>
        <v>30408</v>
      </c>
      <c r="S37" s="146" t="str">
        <f>IFERROR(__xludf.DUMMYFUNCTION("""COMPUTED_VALUE"""),"082-295-5636")</f>
        <v>082-295-5636</v>
      </c>
      <c r="T37" s="147" t="str">
        <f>IFERROR(__xludf.DUMMYFUNCTION("""COMPUTED_VALUE"""),"3101500-63-4437")</f>
        <v>3101500-63-4437</v>
      </c>
      <c r="U37" t="str">
        <f>IFERROR(__xludf.DUMMYFUNCTION("""COMPUTED_VALUE"""),"AC3160549")</f>
        <v>AC3160549</v>
      </c>
      <c r="V37" s="148">
        <f>IFERROR(__xludf.DUMMYFUNCTION("""COMPUTED_VALUE"""),44700.0)</f>
        <v>44700</v>
      </c>
      <c r="W37" s="148">
        <f>IFERROR(__xludf.DUMMYFUNCTION("""COMPUTED_VALUE"""),48352.0)</f>
        <v>48352</v>
      </c>
      <c r="X37" s="149">
        <f>IFERROR(__xludf.DUMMYFUNCTION("""COMPUTED_VALUE"""),48170.0)</f>
        <v>48170</v>
      </c>
      <c r="Y37" t="str">
        <f>IFERROR(__xludf.DUMMYFUNCTION("""COMPUTED_VALUE"""),"ปลอดภัย")</f>
        <v>ปลอดภัย</v>
      </c>
      <c r="Z37" t="str">
        <f>IFERROR(__xludf.DUMMYFUNCTION("""COMPUTED_VALUE"""),"Bangkok")</f>
        <v>Bangkok</v>
      </c>
      <c r="AA37" t="str">
        <f>IFERROR(__xludf.DUMMYFUNCTION("""COMPUTED_VALUE"""),"บางเสาธง")</f>
        <v>บางเสาธง</v>
      </c>
      <c r="AB37" t="str">
        <f>IFERROR(__xludf.DUMMYFUNCTION("""COMPUTED_VALUE"""),"085 812 4258")</f>
        <v>085 812 4258</v>
      </c>
      <c r="AC37" t="str">
        <f>IFERROR(__xludf.DUMMYFUNCTION("""COMPUTED_VALUE"""),"แฟน")</f>
        <v>แฟน</v>
      </c>
      <c r="AD37" t="str">
        <f>IFERROR(__xludf.DUMMYFUNCTION("""COMPUTED_VALUE"""),"supanyak@airasia.com")</f>
        <v>supanyak@airasia.com</v>
      </c>
    </row>
    <row r="38">
      <c r="A38" s="142">
        <f>IFERROR(__xludf.DUMMYFUNCTION("""COMPUTED_VALUE"""),12.0)</f>
        <v>12</v>
      </c>
      <c r="B38" t="str">
        <f>IFERROR(__xludf.DUMMYFUNCTION("""COMPUTED_VALUE"""),"TAA1137")</f>
        <v>TAA1137</v>
      </c>
      <c r="C38">
        <f>IFERROR(__xludf.DUMMYFUNCTION("""COMPUTED_VALUE"""),1001124.0)</f>
        <v>1001124</v>
      </c>
      <c r="D38" t="str">
        <f>IFERROR(__xludf.DUMMYFUNCTION("""COMPUTED_VALUE"""),"Ms.")</f>
        <v>Ms.</v>
      </c>
      <c r="E38" t="str">
        <f>IFERROR(__xludf.DUMMYFUNCTION("""COMPUTED_VALUE"""),"Worapanit")</f>
        <v>Worapanit</v>
      </c>
      <c r="F38" t="str">
        <f>IFERROR(__xludf.DUMMYFUNCTION("""COMPUTED_VALUE"""),"Puangwong")</f>
        <v>Puangwong</v>
      </c>
      <c r="G38" t="str">
        <f>IFERROR(__xludf.DUMMYFUNCTION("""COMPUTED_VALUE"""),"Worapanit Puangwong")</f>
        <v>Worapanit Puangwong</v>
      </c>
      <c r="H38" t="str">
        <f>IFERROR(__xludf.DUMMYFUNCTION("""COMPUTED_VALUE"""),"นางสาว")</f>
        <v>นางสาว</v>
      </c>
      <c r="I38" t="str">
        <f>IFERROR(__xludf.DUMMYFUNCTION("""COMPUTED_VALUE"""),"วรพนิต")</f>
        <v>วรพนิต</v>
      </c>
      <c r="J38" t="str">
        <f>IFERROR(__xludf.DUMMYFUNCTION("""COMPUTED_VALUE"""),"พวงวงศ์")</f>
        <v>พวงวงศ์</v>
      </c>
      <c r="K38" t="str">
        <f>IFERROR(__xludf.DUMMYFUNCTION("""COMPUTED_VALUE"""),"วรพนิต พวงวงศ์")</f>
        <v>วรพนิต พวงวงศ์</v>
      </c>
      <c r="L38" t="str">
        <f>IFERROR(__xludf.DUMMYFUNCTION("""COMPUTED_VALUE"""),"Jane")</f>
        <v>Jane</v>
      </c>
      <c r="M38" t="str">
        <f>IFERROR(__xludf.DUMMYFUNCTION("""COMPUTED_VALUE"""),"Cabin Crew - CNX")</f>
        <v>Cabin Crew - CNX</v>
      </c>
      <c r="N38" t="str">
        <f>IFERROR(__xludf.DUMMYFUNCTION("""COMPUTED_VALUE"""),"CNX")</f>
        <v>CNX</v>
      </c>
      <c r="O38" s="145" t="str">
        <f>IFERROR(__xludf.DUMMYFUNCTION("""COMPUTED_VALUE"""),"Up Home")</f>
        <v>Up Home</v>
      </c>
      <c r="P38" t="str">
        <f>IFERROR(__xludf.DUMMYFUNCTION("""COMPUTED_VALUE"""),"Active")</f>
        <v>Active</v>
      </c>
      <c r="R38" s="143">
        <f>IFERROR(__xludf.DUMMYFUNCTION("""COMPUTED_VALUE"""),30333.0)</f>
        <v>30333</v>
      </c>
      <c r="S38" s="146" t="str">
        <f>IFERROR(__xludf.DUMMYFUNCTION("""COMPUTED_VALUE"""),"081-7415979")</f>
        <v>081-7415979</v>
      </c>
      <c r="T38" s="147" t="str">
        <f>IFERROR(__xludf.DUMMYFUNCTION("""COMPUTED_VALUE"""),"3509900-99-3837")</f>
        <v>3509900-99-3837</v>
      </c>
      <c r="U38" t="str">
        <f>IFERROR(__xludf.DUMMYFUNCTION("""COMPUTED_VALUE"""),"AC5213167")</f>
        <v>AC5213167</v>
      </c>
      <c r="V38" s="148">
        <f>IFERROR(__xludf.DUMMYFUNCTION("""COMPUTED_VALUE"""),45117.0)</f>
        <v>45117</v>
      </c>
      <c r="W38" s="148">
        <f>IFERROR(__xludf.DUMMYFUNCTION("""COMPUTED_VALUE"""),48769.0)</f>
        <v>48769</v>
      </c>
      <c r="X38" s="149">
        <f>IFERROR(__xludf.DUMMYFUNCTION("""COMPUTED_VALUE"""),48588.0)</f>
        <v>48588</v>
      </c>
      <c r="Y38" t="str">
        <f>IFERROR(__xludf.DUMMYFUNCTION("""COMPUTED_VALUE"""),"ปลอดภัย")</f>
        <v>ปลอดภัย</v>
      </c>
      <c r="Z38" t="str">
        <f>IFERROR(__xludf.DUMMYFUNCTION("""COMPUTED_VALUE"""),"Chiang Mai Province")</f>
        <v>Chiang Mai Province</v>
      </c>
      <c r="AA38" t="str">
        <f>IFERROR(__xludf.DUMMYFUNCTION("""COMPUTED_VALUE"""),"พระราม 3")</f>
        <v>พระราม 3</v>
      </c>
      <c r="AB38" t="str">
        <f>IFERROR(__xludf.DUMMYFUNCTION("""COMPUTED_VALUE"""),"089 667 3005")</f>
        <v>089 667 3005</v>
      </c>
      <c r="AC38" t="str">
        <f>IFERROR(__xludf.DUMMYFUNCTION("""COMPUTED_VALUE"""),"แฟน")</f>
        <v>แฟน</v>
      </c>
      <c r="AD38" t="str">
        <f>IFERROR(__xludf.DUMMYFUNCTION("""COMPUTED_VALUE"""),"worapanitp@airasia.com")</f>
        <v>worapanitp@airasia.com</v>
      </c>
    </row>
    <row r="39">
      <c r="AD39" t="str">
        <f>IFERROR(__xludf.DUMMYFUNCTION("""COMPUTED_VALUE"""),"")</f>
        <v/>
      </c>
    </row>
    <row r="40">
      <c r="A40" s="142">
        <f>IFERROR(__xludf.DUMMYFUNCTION("""COMPUTED_VALUE"""),13.0)</f>
        <v>13</v>
      </c>
      <c r="B40" t="str">
        <f>IFERROR(__xludf.DUMMYFUNCTION("""COMPUTED_VALUE"""),"TAA1244")</f>
        <v>TAA1244</v>
      </c>
      <c r="C40">
        <f>IFERROR(__xludf.DUMMYFUNCTION("""COMPUTED_VALUE"""),1001227.0)</f>
        <v>1001227</v>
      </c>
      <c r="D40" t="str">
        <f>IFERROR(__xludf.DUMMYFUNCTION("""COMPUTED_VALUE"""),"Ms.")</f>
        <v>Ms.</v>
      </c>
      <c r="E40" t="str">
        <f>IFERROR(__xludf.DUMMYFUNCTION("""COMPUTED_VALUE"""),"Dara")</f>
        <v>Dara</v>
      </c>
      <c r="F40" t="str">
        <f>IFERROR(__xludf.DUMMYFUNCTION("""COMPUTED_VALUE"""),"Nomanee")</f>
        <v>Nomanee</v>
      </c>
      <c r="G40" t="str">
        <f>IFERROR(__xludf.DUMMYFUNCTION("""COMPUTED_VALUE"""),"Dara Nomanee")</f>
        <v>Dara Nomanee</v>
      </c>
      <c r="H40" t="str">
        <f>IFERROR(__xludf.DUMMYFUNCTION("""COMPUTED_VALUE"""),"นางสาว")</f>
        <v>นางสาว</v>
      </c>
      <c r="I40" t="str">
        <f>IFERROR(__xludf.DUMMYFUNCTION("""COMPUTED_VALUE"""),"ดารา")</f>
        <v>ดารา</v>
      </c>
      <c r="J40" t="str">
        <f>IFERROR(__xludf.DUMMYFUNCTION("""COMPUTED_VALUE"""),"โนมณี")</f>
        <v>โนมณี</v>
      </c>
      <c r="K40" t="str">
        <f>IFERROR(__xludf.DUMMYFUNCTION("""COMPUTED_VALUE"""),"ดารา โนมณี")</f>
        <v>ดารา โนมณี</v>
      </c>
      <c r="L40" t="str">
        <f>IFERROR(__xludf.DUMMYFUNCTION("""COMPUTED_VALUE"""),"Aoi")</f>
        <v>Aoi</v>
      </c>
      <c r="M40" t="str">
        <f>IFERROR(__xludf.DUMMYFUNCTION("""COMPUTED_VALUE"""),"Senior Cabin Crew - BKK")</f>
        <v>Senior Cabin Crew - BKK</v>
      </c>
      <c r="N40" t="str">
        <f>IFERROR(__xludf.DUMMYFUNCTION("""COMPUTED_VALUE"""),"BKK")</f>
        <v>BKK</v>
      </c>
      <c r="O40" s="145" t="str">
        <f>IFERROR(__xludf.DUMMYFUNCTION("""COMPUTED_VALUE"""),"Nhui Home")</f>
        <v>Nhui Home</v>
      </c>
      <c r="P40" t="str">
        <f>IFERROR(__xludf.DUMMYFUNCTION("""COMPUTED_VALUE"""),"Active/V/DMK")</f>
        <v>Active/V/DMK</v>
      </c>
      <c r="R40" s="143">
        <f>IFERROR(__xludf.DUMMYFUNCTION("""COMPUTED_VALUE"""),30213.0)</f>
        <v>30213</v>
      </c>
      <c r="S40" s="146" t="str">
        <f>IFERROR(__xludf.DUMMYFUNCTION("""COMPUTED_VALUE"""),"062 690 9242")</f>
        <v>062 690 9242</v>
      </c>
      <c r="T40" s="147" t="str">
        <f>IFERROR(__xludf.DUMMYFUNCTION("""COMPUTED_VALUE"""),"3579900-37-7745")</f>
        <v>3579900-37-7745</v>
      </c>
      <c r="U40" t="str">
        <f>IFERROR(__xludf.DUMMYFUNCTION("""COMPUTED_VALUE"""),"AC5618896")</f>
        <v>AC5618896</v>
      </c>
      <c r="V40" s="148">
        <f>IFERROR(__xludf.DUMMYFUNCTION("""COMPUTED_VALUE"""),45170.0)</f>
        <v>45170</v>
      </c>
      <c r="W40" s="148">
        <f>IFERROR(__xludf.DUMMYFUNCTION("""COMPUTED_VALUE"""),48822.0)</f>
        <v>48822</v>
      </c>
      <c r="X40" s="149">
        <f>IFERROR(__xludf.DUMMYFUNCTION("""COMPUTED_VALUE"""),48638.0)</f>
        <v>48638</v>
      </c>
      <c r="Y40" t="str">
        <f>IFERROR(__xludf.DUMMYFUNCTION("""COMPUTED_VALUE"""),"ปลอดภัย")</f>
        <v>ปลอดภัย</v>
      </c>
      <c r="Z40" t="str">
        <f>IFERROR(__xludf.DUMMYFUNCTION("""COMPUTED_VALUE"""),"Chiang Rai Province")</f>
        <v>Chiang Rai Province</v>
      </c>
      <c r="AA40" t="str">
        <f>IFERROR(__xludf.DUMMYFUNCTION("""COMPUTED_VALUE"""),"เชียงใหม่")</f>
        <v>เชียงใหม่</v>
      </c>
      <c r="AB40" t="str">
        <f>IFERROR(__xludf.DUMMYFUNCTION("""COMPUTED_VALUE"""),"085 031 3313,0")</f>
        <v>085 031 3313,0</v>
      </c>
      <c r="AC40" t="str">
        <f>IFERROR(__xludf.DUMMYFUNCTION("""COMPUTED_VALUE"""),"ไม่ระบุ")</f>
        <v>ไม่ระบุ</v>
      </c>
      <c r="AD40" t="str">
        <f>IFERROR(__xludf.DUMMYFUNCTION("""COMPUTED_VALUE"""),"daran@airasia.com")</f>
        <v>daran@airasia.com</v>
      </c>
    </row>
    <row r="41">
      <c r="A41" s="142">
        <f>IFERROR(__xludf.DUMMYFUNCTION("""COMPUTED_VALUE"""),13.0)</f>
        <v>13</v>
      </c>
      <c r="B41" t="str">
        <f>IFERROR(__xludf.DUMMYFUNCTION("""COMPUTED_VALUE"""),"TAA1239")</f>
        <v>TAA1239</v>
      </c>
      <c r="C41">
        <f>IFERROR(__xludf.DUMMYFUNCTION("""COMPUTED_VALUE"""),1001230.0)</f>
        <v>1001230</v>
      </c>
      <c r="D41" t="str">
        <f>IFERROR(__xludf.DUMMYFUNCTION("""COMPUTED_VALUE"""),"Ms.")</f>
        <v>Ms.</v>
      </c>
      <c r="E41" t="str">
        <f>IFERROR(__xludf.DUMMYFUNCTION("""COMPUTED_VALUE"""),"Panithi")</f>
        <v>Panithi</v>
      </c>
      <c r="F41" t="str">
        <f>IFERROR(__xludf.DUMMYFUNCTION("""COMPUTED_VALUE"""),"Singlertsakul")</f>
        <v>Singlertsakul</v>
      </c>
      <c r="G41" t="str">
        <f>IFERROR(__xludf.DUMMYFUNCTION("""COMPUTED_VALUE"""),"Panithi Singlertsakul")</f>
        <v>Panithi Singlertsakul</v>
      </c>
      <c r="H41" t="str">
        <f>IFERROR(__xludf.DUMMYFUNCTION("""COMPUTED_VALUE"""),"นางสาว")</f>
        <v>นางสาว</v>
      </c>
      <c r="I41" t="str">
        <f>IFERROR(__xludf.DUMMYFUNCTION("""COMPUTED_VALUE"""),"ปณิธิ")</f>
        <v>ปณิธิ</v>
      </c>
      <c r="J41" t="str">
        <f>IFERROR(__xludf.DUMMYFUNCTION("""COMPUTED_VALUE"""),"สิงห์เลิศสกุล")</f>
        <v>สิงห์เลิศสกุล</v>
      </c>
      <c r="K41" t="str">
        <f>IFERROR(__xludf.DUMMYFUNCTION("""COMPUTED_VALUE"""),"ปณิธิ สิงห์เลิศสกุล")</f>
        <v>ปณิธิ สิงห์เลิศสกุล</v>
      </c>
      <c r="L41" t="str">
        <f>IFERROR(__xludf.DUMMYFUNCTION("""COMPUTED_VALUE"""),"Pla")</f>
        <v>Pla</v>
      </c>
      <c r="M41" t="str">
        <f>IFERROR(__xludf.DUMMYFUNCTION("""COMPUTED_VALUE"""),"Senior Cabin Crew")</f>
        <v>Senior Cabin Crew</v>
      </c>
      <c r="N41" t="str">
        <f>IFERROR(__xludf.DUMMYFUNCTION("""COMPUTED_VALUE"""),"DMK")</f>
        <v>DMK</v>
      </c>
      <c r="O41" s="145" t="str">
        <f>IFERROR(__xludf.DUMMYFUNCTION("""COMPUTED_VALUE"""),"Kor Home")</f>
        <v>Kor Home</v>
      </c>
      <c r="P41" t="str">
        <f>IFERROR(__xludf.DUMMYFUNCTION("""COMPUTED_VALUE"""),"Active")</f>
        <v>Active</v>
      </c>
      <c r="Q41" t="str">
        <f>IFERROR(__xludf.DUMMYFUNCTION("""COMPUTED_VALUE"""),"SCC Line Checker 2025")</f>
        <v>SCC Line Checker 2025</v>
      </c>
      <c r="R41" s="145" t="str">
        <f>IFERROR(__xludf.DUMMYFUNCTION("""COMPUTED_VALUE"""),"17 October 1980")</f>
        <v>17 October 1980</v>
      </c>
      <c r="S41" s="146" t="str">
        <f>IFERROR(__xludf.DUMMYFUNCTION("""COMPUTED_VALUE"""),"063 225 8792")</f>
        <v>063 225 8792</v>
      </c>
      <c r="T41" s="147" t="str">
        <f>IFERROR(__xludf.DUMMYFUNCTION("""COMPUTED_VALUE"""),"3102101-70-8152")</f>
        <v>3102101-70-8152</v>
      </c>
      <c r="U41" t="str">
        <f>IFERROR(__xludf.DUMMYFUNCTION("""COMPUTED_VALUE"""),"AC7920651")</f>
        <v>AC7920651</v>
      </c>
      <c r="V41" s="148">
        <f>IFERROR(__xludf.DUMMYFUNCTION("""COMPUTED_VALUE"""),45670.0)</f>
        <v>45670</v>
      </c>
      <c r="W41" s="148">
        <f>IFERROR(__xludf.DUMMYFUNCTION("""COMPUTED_VALUE"""),49321.0)</f>
        <v>49321</v>
      </c>
      <c r="X41" s="149">
        <f>IFERROR(__xludf.DUMMYFUNCTION("""COMPUTED_VALUE"""),49137.0)</f>
        <v>49137</v>
      </c>
      <c r="Y41" t="str">
        <f>IFERROR(__xludf.DUMMYFUNCTION("""COMPUTED_VALUE"""),"ปลอดภัย")</f>
        <v>ปลอดภัย</v>
      </c>
      <c r="Z41" t="str">
        <f>IFERROR(__xludf.DUMMYFUNCTION("""COMPUTED_VALUE"""),"Bangkok")</f>
        <v>Bangkok</v>
      </c>
      <c r="AD41" t="str">
        <f>IFERROR(__xludf.DUMMYFUNCTION("""COMPUTED_VALUE"""),"panithis@airasia.com")</f>
        <v>panithis@airasia.com</v>
      </c>
    </row>
    <row r="42">
      <c r="A42" s="142">
        <f>IFERROR(__xludf.DUMMYFUNCTION("""COMPUTED_VALUE"""),13.0)</f>
        <v>13</v>
      </c>
      <c r="B42" t="str">
        <f>IFERROR(__xludf.DUMMYFUNCTION("""COMPUTED_VALUE"""),"TAA1248")</f>
        <v>TAA1248</v>
      </c>
      <c r="C42">
        <f>IFERROR(__xludf.DUMMYFUNCTION("""COMPUTED_VALUE"""),1001231.0)</f>
        <v>1001231</v>
      </c>
      <c r="D42" t="str">
        <f>IFERROR(__xludf.DUMMYFUNCTION("""COMPUTED_VALUE"""),"Ms.")</f>
        <v>Ms.</v>
      </c>
      <c r="E42" t="str">
        <f>IFERROR(__xludf.DUMMYFUNCTION("""COMPUTED_VALUE"""),"Pattamavadee")</f>
        <v>Pattamavadee</v>
      </c>
      <c r="F42" t="str">
        <f>IFERROR(__xludf.DUMMYFUNCTION("""COMPUTED_VALUE"""),"Niyomvanich")</f>
        <v>Niyomvanich</v>
      </c>
      <c r="G42" t="str">
        <f>IFERROR(__xludf.DUMMYFUNCTION("""COMPUTED_VALUE"""),"Pattamavadee Niyomvanich")</f>
        <v>Pattamavadee Niyomvanich</v>
      </c>
      <c r="H42" t="str">
        <f>IFERROR(__xludf.DUMMYFUNCTION("""COMPUTED_VALUE"""),"นางสาว")</f>
        <v>นางสาว</v>
      </c>
      <c r="I42" t="str">
        <f>IFERROR(__xludf.DUMMYFUNCTION("""COMPUTED_VALUE"""),"ปัทมาวดี")</f>
        <v>ปัทมาวดี</v>
      </c>
      <c r="J42" t="str">
        <f>IFERROR(__xludf.DUMMYFUNCTION("""COMPUTED_VALUE"""),"นิยมวานิช")</f>
        <v>นิยมวานิช</v>
      </c>
      <c r="K42" t="str">
        <f>IFERROR(__xludf.DUMMYFUNCTION("""COMPUTED_VALUE"""),"ปัทมาวดี นิยมวานิช")</f>
        <v>ปัทมาวดี นิยมวานิช</v>
      </c>
      <c r="L42" t="str">
        <f>IFERROR(__xludf.DUMMYFUNCTION("""COMPUTED_VALUE"""),"LukPad")</f>
        <v>LukPad</v>
      </c>
      <c r="M42" t="str">
        <f>IFERROR(__xludf.DUMMYFUNCTION("""COMPUTED_VALUE"""),"Cabin Crew")</f>
        <v>Cabin Crew</v>
      </c>
      <c r="N42" t="str">
        <f>IFERROR(__xludf.DUMMYFUNCTION("""COMPUTED_VALUE"""),"DMK")</f>
        <v>DMK</v>
      </c>
      <c r="O42" s="145" t="str">
        <f>IFERROR(__xludf.DUMMYFUNCTION("""COMPUTED_VALUE"""),"Um Home")</f>
        <v>Um Home</v>
      </c>
      <c r="P42" t="str">
        <f>IFERROR(__xludf.DUMMYFUNCTION("""COMPUTED_VALUE"""),"V/LWP")</f>
        <v>V/LWP</v>
      </c>
      <c r="R42" s="143">
        <f>IFERROR(__xludf.DUMMYFUNCTION("""COMPUTED_VALUE"""),29979.0)</f>
        <v>29979</v>
      </c>
      <c r="S42" s="146" t="str">
        <f>IFERROR(__xludf.DUMMYFUNCTION("""COMPUTED_VALUE"""),"084 026 6678")</f>
        <v>084 026 6678</v>
      </c>
      <c r="T42" s="147" t="str">
        <f>IFERROR(__xludf.DUMMYFUNCTION("""COMPUTED_VALUE"""),"3100905-65-8331")</f>
        <v>3100905-65-8331</v>
      </c>
      <c r="U42" t="str">
        <f>IFERROR(__xludf.DUMMYFUNCTION("""COMPUTED_VALUE"""),"AC3894920")</f>
        <v>AC3894920</v>
      </c>
      <c r="V42" s="148">
        <f>IFERROR(__xludf.DUMMYFUNCTION("""COMPUTED_VALUE"""),44796.0)</f>
        <v>44796</v>
      </c>
      <c r="W42" s="148">
        <f>IFERROR(__xludf.DUMMYFUNCTION("""COMPUTED_VALUE"""),48448.0)</f>
        <v>48448</v>
      </c>
      <c r="X42" s="149">
        <f>IFERROR(__xludf.DUMMYFUNCTION("""COMPUTED_VALUE"""),48266.0)</f>
        <v>48266</v>
      </c>
      <c r="Y42" t="str">
        <f>IFERROR(__xludf.DUMMYFUNCTION("""COMPUTED_VALUE"""),"ปลอดภัย")</f>
        <v>ปลอดภัย</v>
      </c>
      <c r="Z42" t="str">
        <f>IFERROR(__xludf.DUMMYFUNCTION("""COMPUTED_VALUE"""),"Bangkok")</f>
        <v>Bangkok</v>
      </c>
      <c r="AA42" t="str">
        <f>IFERROR(__xludf.DUMMYFUNCTION("""COMPUTED_VALUE"""),"คันนายาว")</f>
        <v>คันนายาว</v>
      </c>
      <c r="AB42" t="str">
        <f>IFERROR(__xludf.DUMMYFUNCTION("""COMPUTED_VALUE"""),"081 844 6248")</f>
        <v>081 844 6248</v>
      </c>
      <c r="AC42" t="str">
        <f>IFERROR(__xludf.DUMMYFUNCTION("""COMPUTED_VALUE"""),"พ่อ")</f>
        <v>พ่อ</v>
      </c>
      <c r="AD42" t="str">
        <f>IFERROR(__xludf.DUMMYFUNCTION("""COMPUTED_VALUE"""),"pattamavadeen@airasia.com")</f>
        <v>pattamavadeen@airasia.com</v>
      </c>
    </row>
    <row r="43">
      <c r="A43" s="142">
        <f>IFERROR(__xludf.DUMMYFUNCTION("""COMPUTED_VALUE"""),13.0)</f>
        <v>13</v>
      </c>
      <c r="B43" t="str">
        <f>IFERROR(__xludf.DUMMYFUNCTION("""COMPUTED_VALUE"""),"TAA1237")</f>
        <v>TAA1237</v>
      </c>
      <c r="C43">
        <f>IFERROR(__xludf.DUMMYFUNCTION("""COMPUTED_VALUE"""),1001232.0)</f>
        <v>1001232</v>
      </c>
      <c r="D43" t="str">
        <f>IFERROR(__xludf.DUMMYFUNCTION("""COMPUTED_VALUE"""),"Ms.")</f>
        <v>Ms.</v>
      </c>
      <c r="E43" t="str">
        <f>IFERROR(__xludf.DUMMYFUNCTION("""COMPUTED_VALUE"""),"Pornchanun")</f>
        <v>Pornchanun</v>
      </c>
      <c r="F43" t="str">
        <f>IFERROR(__xludf.DUMMYFUNCTION("""COMPUTED_VALUE"""),"Sangmanee")</f>
        <v>Sangmanee</v>
      </c>
      <c r="G43" t="str">
        <f>IFERROR(__xludf.DUMMYFUNCTION("""COMPUTED_VALUE"""),"Pornchanun Sangmanee")</f>
        <v>Pornchanun Sangmanee</v>
      </c>
      <c r="H43" t="str">
        <f>IFERROR(__xludf.DUMMYFUNCTION("""COMPUTED_VALUE"""),"นางสาว")</f>
        <v>นางสาว</v>
      </c>
      <c r="I43" t="str">
        <f>IFERROR(__xludf.DUMMYFUNCTION("""COMPUTED_VALUE"""),"พรชนัน")</f>
        <v>พรชนัน</v>
      </c>
      <c r="J43" t="str">
        <f>IFERROR(__xludf.DUMMYFUNCTION("""COMPUTED_VALUE"""),"แสงมณี")</f>
        <v>แสงมณี</v>
      </c>
      <c r="K43" t="str">
        <f>IFERROR(__xludf.DUMMYFUNCTION("""COMPUTED_VALUE"""),"พรชนัน แสงมณี")</f>
        <v>พรชนัน แสงมณี</v>
      </c>
      <c r="L43" t="str">
        <f>IFERROR(__xludf.DUMMYFUNCTION("""COMPUTED_VALUE"""),"Nun")</f>
        <v>Nun</v>
      </c>
      <c r="M43" t="str">
        <f>IFERROR(__xludf.DUMMYFUNCTION("""COMPUTED_VALUE"""),"Senior Cabin Crew - CNX")</f>
        <v>Senior Cabin Crew - CNX</v>
      </c>
      <c r="N43" t="str">
        <f>IFERROR(__xludf.DUMMYFUNCTION("""COMPUTED_VALUE"""),"CNX")</f>
        <v>CNX</v>
      </c>
      <c r="O43" s="145" t="str">
        <f>IFERROR(__xludf.DUMMYFUNCTION("""COMPUTED_VALUE"""),"Up Home")</f>
        <v>Up Home</v>
      </c>
      <c r="P43" t="str">
        <f>IFERROR(__xludf.DUMMYFUNCTION("""COMPUTED_VALUE"""),"Active")</f>
        <v>Active</v>
      </c>
      <c r="R43" s="143">
        <f>IFERROR(__xludf.DUMMYFUNCTION("""COMPUTED_VALUE"""),29444.0)</f>
        <v>29444</v>
      </c>
      <c r="S43" s="146" t="str">
        <f>IFERROR(__xludf.DUMMYFUNCTION("""COMPUTED_VALUE"""),"081 174 7475")</f>
        <v>081 174 7475</v>
      </c>
      <c r="T43" s="147" t="str">
        <f>IFERROR(__xludf.DUMMYFUNCTION("""COMPUTED_VALUE"""),"5100200-03-7102")</f>
        <v>5100200-03-7102</v>
      </c>
      <c r="U43" t="str">
        <f>IFERROR(__xludf.DUMMYFUNCTION("""COMPUTED_VALUE"""),"AC6794312")</f>
        <v>AC6794312</v>
      </c>
      <c r="V43" s="148">
        <f>IFERROR(__xludf.DUMMYFUNCTION("""COMPUTED_VALUE"""),45426.0)</f>
        <v>45426</v>
      </c>
      <c r="W43" s="148">
        <f>IFERROR(__xludf.DUMMYFUNCTION("""COMPUTED_VALUE"""),49077.0)</f>
        <v>49077</v>
      </c>
      <c r="X43" s="149">
        <f>IFERROR(__xludf.DUMMYFUNCTION("""COMPUTED_VALUE"""),48896.0)</f>
        <v>48896</v>
      </c>
      <c r="Y43" t="str">
        <f>IFERROR(__xludf.DUMMYFUNCTION("""COMPUTED_VALUE"""),"ปลอดภัย")</f>
        <v>ปลอดภัย</v>
      </c>
      <c r="Z43" t="str">
        <f>IFERROR(__xludf.DUMMYFUNCTION("""COMPUTED_VALUE"""),"Bangkok")</f>
        <v>Bangkok</v>
      </c>
      <c r="AA43" t="str">
        <f>IFERROR(__xludf.DUMMYFUNCTION("""COMPUTED_VALUE"""),"ลาดกระบัง")</f>
        <v>ลาดกระบัง</v>
      </c>
      <c r="AB43" t="str">
        <f>IFERROR(__xludf.DUMMYFUNCTION("""COMPUTED_VALUE"""),"089 980 1383")</f>
        <v>089 980 1383</v>
      </c>
      <c r="AC43" t="str">
        <f>IFERROR(__xludf.DUMMYFUNCTION("""COMPUTED_VALUE"""),"แม่")</f>
        <v>แม่</v>
      </c>
      <c r="AD43" t="str">
        <f>IFERROR(__xludf.DUMMYFUNCTION("""COMPUTED_VALUE"""),"pornchanuns@airasia.com")</f>
        <v>pornchanuns@airasia.com</v>
      </c>
    </row>
    <row r="44">
      <c r="A44" s="142">
        <f>IFERROR(__xludf.DUMMYFUNCTION("""COMPUTED_VALUE"""),13.0)</f>
        <v>13</v>
      </c>
      <c r="B44" t="str">
        <f>IFERROR(__xludf.DUMMYFUNCTION("""COMPUTED_VALUE"""),"TAA1241")</f>
        <v>TAA1241</v>
      </c>
      <c r="C44">
        <f>IFERROR(__xludf.DUMMYFUNCTION("""COMPUTED_VALUE"""),1001234.0)</f>
        <v>1001234</v>
      </c>
      <c r="D44" t="str">
        <f>IFERROR(__xludf.DUMMYFUNCTION("""COMPUTED_VALUE"""),"Mrs.")</f>
        <v>Mrs.</v>
      </c>
      <c r="E44" t="str">
        <f>IFERROR(__xludf.DUMMYFUNCTION("""COMPUTED_VALUE"""),"Sirirat")</f>
        <v>Sirirat</v>
      </c>
      <c r="F44" t="str">
        <f>IFERROR(__xludf.DUMMYFUNCTION("""COMPUTED_VALUE"""),"Sanguanwong")</f>
        <v>Sanguanwong</v>
      </c>
      <c r="G44" t="str">
        <f>IFERROR(__xludf.DUMMYFUNCTION("""COMPUTED_VALUE"""),"Sirirat Sanguanwong")</f>
        <v>Sirirat Sanguanwong</v>
      </c>
      <c r="H44" t="str">
        <f>IFERROR(__xludf.DUMMYFUNCTION("""COMPUTED_VALUE"""),"นาง")</f>
        <v>นาง</v>
      </c>
      <c r="I44" t="str">
        <f>IFERROR(__xludf.DUMMYFUNCTION("""COMPUTED_VALUE"""),"ศิริรัตน์")</f>
        <v>ศิริรัตน์</v>
      </c>
      <c r="J44" t="str">
        <f>IFERROR(__xludf.DUMMYFUNCTION("""COMPUTED_VALUE"""),"สงวนวงศ์")</f>
        <v>สงวนวงศ์</v>
      </c>
      <c r="K44" t="str">
        <f>IFERROR(__xludf.DUMMYFUNCTION("""COMPUTED_VALUE"""),"ศิริรัตน์ สงวนวงศ์")</f>
        <v>ศิริรัตน์ สงวนวงศ์</v>
      </c>
      <c r="L44" t="str">
        <f>IFERROR(__xludf.DUMMYFUNCTION("""COMPUTED_VALUE"""),"Amp")</f>
        <v>Amp</v>
      </c>
      <c r="M44" t="str">
        <f>IFERROR(__xludf.DUMMYFUNCTION("""COMPUTED_VALUE"""),"Senior Cabin Crew")</f>
        <v>Senior Cabin Crew</v>
      </c>
      <c r="N44" t="str">
        <f>IFERROR(__xludf.DUMMYFUNCTION("""COMPUTED_VALUE"""),"DMK")</f>
        <v>DMK</v>
      </c>
      <c r="O44" s="145" t="str">
        <f>IFERROR(__xludf.DUMMYFUNCTION("""COMPUTED_VALUE"""),"Namfon Home")</f>
        <v>Namfon Home</v>
      </c>
      <c r="P44" t="str">
        <f>IFERROR(__xludf.DUMMYFUNCTION("""COMPUTED_VALUE"""),"Active")</f>
        <v>Active</v>
      </c>
      <c r="R44" s="145" t="str">
        <f>IFERROR(__xludf.DUMMYFUNCTION("""COMPUTED_VALUE"""),"3 December 1981")</f>
        <v>3 December 1981</v>
      </c>
      <c r="S44" s="146" t="str">
        <f>IFERROR(__xludf.DUMMYFUNCTION("""COMPUTED_VALUE"""),"084 077 7899")</f>
        <v>084 077 7899</v>
      </c>
      <c r="T44" s="147" t="str">
        <f>IFERROR(__xludf.DUMMYFUNCTION("""COMPUTED_VALUE"""),"3100501-49-0403")</f>
        <v>3100501-49-0403</v>
      </c>
      <c r="U44" t="str">
        <f>IFERROR(__xludf.DUMMYFUNCTION("""COMPUTED_VALUE"""),"AC4007184")</f>
        <v>AC4007184</v>
      </c>
      <c r="V44" s="148">
        <f>IFERROR(__xludf.DUMMYFUNCTION("""COMPUTED_VALUE"""),44813.0)</f>
        <v>44813</v>
      </c>
      <c r="W44" s="148">
        <f>IFERROR(__xludf.DUMMYFUNCTION("""COMPUTED_VALUE"""),48465.0)</f>
        <v>48465</v>
      </c>
      <c r="X44" s="149">
        <f>IFERROR(__xludf.DUMMYFUNCTION("""COMPUTED_VALUE"""),48281.0)</f>
        <v>48281</v>
      </c>
      <c r="Y44" t="str">
        <f>IFERROR(__xludf.DUMMYFUNCTION("""COMPUTED_VALUE"""),"ปลอดภัย")</f>
        <v>ปลอดภัย</v>
      </c>
      <c r="Z44" t="str">
        <f>IFERROR(__xludf.DUMMYFUNCTION("""COMPUTED_VALUE"""),"Bangkok")</f>
        <v>Bangkok</v>
      </c>
      <c r="AD44" t="str">
        <f>IFERROR(__xludf.DUMMYFUNCTION("""COMPUTED_VALUE"""),"sirirats@airasia.com")</f>
        <v>sirirats@airasia.com</v>
      </c>
    </row>
    <row r="45">
      <c r="A45" s="142">
        <f>IFERROR(__xludf.DUMMYFUNCTION("""COMPUTED_VALUE"""),13.0)</f>
        <v>13</v>
      </c>
      <c r="B45" t="str">
        <f>IFERROR(__xludf.DUMMYFUNCTION("""COMPUTED_VALUE"""),"TAA1238")</f>
        <v>TAA1238</v>
      </c>
      <c r="C45">
        <f>IFERROR(__xludf.DUMMYFUNCTION("""COMPUTED_VALUE"""),1001235.0)</f>
        <v>1001235</v>
      </c>
      <c r="D45" t="str">
        <f>IFERROR(__xludf.DUMMYFUNCTION("""COMPUTED_VALUE"""),"Ms.")</f>
        <v>Ms.</v>
      </c>
      <c r="E45" t="str">
        <f>IFERROR(__xludf.DUMMYFUNCTION("""COMPUTED_VALUE"""),"Suchada")</f>
        <v>Suchada</v>
      </c>
      <c r="F45" t="str">
        <f>IFERROR(__xludf.DUMMYFUNCTION("""COMPUTED_VALUE"""),"Samakee")</f>
        <v>Samakee</v>
      </c>
      <c r="G45" t="str">
        <f>IFERROR(__xludf.DUMMYFUNCTION("""COMPUTED_VALUE"""),"Suchada Samakee")</f>
        <v>Suchada Samakee</v>
      </c>
      <c r="H45" t="str">
        <f>IFERROR(__xludf.DUMMYFUNCTION("""COMPUTED_VALUE"""),"นางสาว")</f>
        <v>นางสาว</v>
      </c>
      <c r="I45" t="str">
        <f>IFERROR(__xludf.DUMMYFUNCTION("""COMPUTED_VALUE"""),"สุชาดา")</f>
        <v>สุชาดา</v>
      </c>
      <c r="J45" t="str">
        <f>IFERROR(__xludf.DUMMYFUNCTION("""COMPUTED_VALUE"""),"สามัคคี")</f>
        <v>สามัคคี</v>
      </c>
      <c r="K45" t="str">
        <f>IFERROR(__xludf.DUMMYFUNCTION("""COMPUTED_VALUE"""),"สุชาดา สามัคคี")</f>
        <v>สุชาดา สามัคคี</v>
      </c>
      <c r="L45" t="str">
        <f>IFERROR(__xludf.DUMMYFUNCTION("""COMPUTED_VALUE"""),"Poo")</f>
        <v>Poo</v>
      </c>
      <c r="M45" t="str">
        <f>IFERROR(__xludf.DUMMYFUNCTION("""COMPUTED_VALUE"""),"Senior Cabin Crew")</f>
        <v>Senior Cabin Crew</v>
      </c>
      <c r="N45" t="str">
        <f>IFERROR(__xludf.DUMMYFUNCTION("""COMPUTED_VALUE"""),"DMK")</f>
        <v>DMK</v>
      </c>
      <c r="O45" s="145" t="str">
        <f>IFERROR(__xludf.DUMMYFUNCTION("""COMPUTED_VALUE"""),"Toffy Home")</f>
        <v>Toffy Home</v>
      </c>
      <c r="P45" t="str">
        <f>IFERROR(__xludf.DUMMYFUNCTION("""COMPUTED_VALUE"""),"Active")</f>
        <v>Active</v>
      </c>
      <c r="R45" s="143">
        <f>IFERROR(__xludf.DUMMYFUNCTION("""COMPUTED_VALUE"""),28520.0)</f>
        <v>28520</v>
      </c>
      <c r="S45" s="146" t="str">
        <f>IFERROR(__xludf.DUMMYFUNCTION("""COMPUTED_VALUE"""),"081 440 9311")</f>
        <v>081 440 9311</v>
      </c>
      <c r="T45" s="147" t="str">
        <f>IFERROR(__xludf.DUMMYFUNCTION("""COMPUTED_VALUE"""),"3700700-28-5936")</f>
        <v>3700700-28-5936</v>
      </c>
      <c r="U45" t="str">
        <f>IFERROR(__xludf.DUMMYFUNCTION("""COMPUTED_VALUE"""),"AC4974396")</f>
        <v>AC4974396</v>
      </c>
      <c r="V45" s="148">
        <f>IFERROR(__xludf.DUMMYFUNCTION("""COMPUTED_VALUE"""),45078.0)</f>
        <v>45078</v>
      </c>
      <c r="W45" s="148">
        <f>IFERROR(__xludf.DUMMYFUNCTION("""COMPUTED_VALUE"""),48730.0)</f>
        <v>48730</v>
      </c>
      <c r="X45" s="149">
        <f>IFERROR(__xludf.DUMMYFUNCTION("""COMPUTED_VALUE"""),48548.0)</f>
        <v>48548</v>
      </c>
      <c r="Y45" t="str">
        <f>IFERROR(__xludf.DUMMYFUNCTION("""COMPUTED_VALUE"""),"ปลอดภัย")</f>
        <v>ปลอดภัย</v>
      </c>
      <c r="Z45" t="str">
        <f>IFERROR(__xludf.DUMMYFUNCTION("""COMPUTED_VALUE"""),"Ratchaburi Province")</f>
        <v>Ratchaburi Province</v>
      </c>
      <c r="AA45" t="str">
        <f>IFERROR(__xludf.DUMMYFUNCTION("""COMPUTED_VALUE"""),"จตุจักร")</f>
        <v>จตุจักร</v>
      </c>
      <c r="AB45" t="str">
        <f>IFERROR(__xludf.DUMMYFUNCTION("""COMPUTED_VALUE"""),"ow")</f>
        <v>ow</v>
      </c>
      <c r="AC45" t="str">
        <f>IFERROR(__xludf.DUMMYFUNCTION("""COMPUTED_VALUE"""),"พี่ชาย")</f>
        <v>พี่ชาย</v>
      </c>
      <c r="AD45" t="str">
        <f>IFERROR(__xludf.DUMMYFUNCTION("""COMPUTED_VALUE"""),"suchadas@airasia.com")</f>
        <v>suchadas@airasia.com</v>
      </c>
    </row>
    <row r="46">
      <c r="A46" s="142">
        <f>IFERROR(__xludf.DUMMYFUNCTION("""COMPUTED_VALUE"""),13.0)</f>
        <v>13</v>
      </c>
      <c r="B46" t="str">
        <f>IFERROR(__xludf.DUMMYFUNCTION("""COMPUTED_VALUE"""),"TAA1229")</f>
        <v>TAA1229</v>
      </c>
      <c r="C46">
        <f>IFERROR(__xludf.DUMMYFUNCTION("""COMPUTED_VALUE"""),1001238.0)</f>
        <v>1001238</v>
      </c>
      <c r="D46" t="str">
        <f>IFERROR(__xludf.DUMMYFUNCTION("""COMPUTED_VALUE"""),"Ms.")</f>
        <v>Ms.</v>
      </c>
      <c r="E46" t="str">
        <f>IFERROR(__xludf.DUMMYFUNCTION("""COMPUTED_VALUE"""),"Thanyaporn")</f>
        <v>Thanyaporn</v>
      </c>
      <c r="F46" t="str">
        <f>IFERROR(__xludf.DUMMYFUNCTION("""COMPUTED_VALUE"""),"Kemsatidanan")</f>
        <v>Kemsatidanan</v>
      </c>
      <c r="G46" t="str">
        <f>IFERROR(__xludf.DUMMYFUNCTION("""COMPUTED_VALUE"""),"Thanyaporn Kemsatidanan")</f>
        <v>Thanyaporn Kemsatidanan</v>
      </c>
      <c r="H46" t="str">
        <f>IFERROR(__xludf.DUMMYFUNCTION("""COMPUTED_VALUE"""),"นางสาว")</f>
        <v>นางสาว</v>
      </c>
      <c r="I46" t="str">
        <f>IFERROR(__xludf.DUMMYFUNCTION("""COMPUTED_VALUE"""),"ธันยพร")</f>
        <v>ธันยพร</v>
      </c>
      <c r="J46" t="str">
        <f>IFERROR(__xludf.DUMMYFUNCTION("""COMPUTED_VALUE"""),"เขมสถิตย์อนันต์")</f>
        <v>เขมสถิตย์อนันต์</v>
      </c>
      <c r="K46" t="str">
        <f>IFERROR(__xludf.DUMMYFUNCTION("""COMPUTED_VALUE"""),"ธันยพร เขมสถิตย์อนันต์")</f>
        <v>ธันยพร เขมสถิตย์อนันต์</v>
      </c>
      <c r="L46" t="str">
        <f>IFERROR(__xludf.DUMMYFUNCTION("""COMPUTED_VALUE"""),"Beer")</f>
        <v>Beer</v>
      </c>
      <c r="M46" t="str">
        <f>IFERROR(__xludf.DUMMYFUNCTION("""COMPUTED_VALUE"""),"Senior Cabin Crew - CNX")</f>
        <v>Senior Cabin Crew - CNX</v>
      </c>
      <c r="N46" t="str">
        <f>IFERROR(__xludf.DUMMYFUNCTION("""COMPUTED_VALUE"""),"CNX")</f>
        <v>CNX</v>
      </c>
      <c r="O46" s="145" t="str">
        <f>IFERROR(__xludf.DUMMYFUNCTION("""COMPUTED_VALUE"""),"Up Home")</f>
        <v>Up Home</v>
      </c>
      <c r="P46" t="str">
        <f>IFERROR(__xludf.DUMMYFUNCTION("""COMPUTED_VALUE"""),"Active")</f>
        <v>Active</v>
      </c>
      <c r="R46" s="143">
        <f>IFERROR(__xludf.DUMMYFUNCTION("""COMPUTED_VALUE"""),29486.0)</f>
        <v>29486</v>
      </c>
      <c r="S46" s="146">
        <f>IFERROR(__xludf.DUMMYFUNCTION("""COMPUTED_VALUE"""),9.66426659E8)</f>
        <v>966426659</v>
      </c>
      <c r="T46" s="147" t="str">
        <f>IFERROR(__xludf.DUMMYFUNCTION("""COMPUTED_VALUE"""),"3100600-43-1600")</f>
        <v>3100600-43-1600</v>
      </c>
      <c r="U46" t="str">
        <f>IFERROR(__xludf.DUMMYFUNCTION("""COMPUTED_VALUE"""),"AC2539923")</f>
        <v>AC2539923</v>
      </c>
      <c r="V46" s="148">
        <f>IFERROR(__xludf.DUMMYFUNCTION("""COMPUTED_VALUE"""),44642.0)</f>
        <v>44642</v>
      </c>
      <c r="W46" s="148">
        <f>IFERROR(__xludf.DUMMYFUNCTION("""COMPUTED_VALUE"""),48294.0)</f>
        <v>48294</v>
      </c>
      <c r="X46" s="149">
        <f>IFERROR(__xludf.DUMMYFUNCTION("""COMPUTED_VALUE"""),48112.0)</f>
        <v>48112</v>
      </c>
      <c r="Y46" t="str">
        <f>IFERROR(__xludf.DUMMYFUNCTION("""COMPUTED_VALUE"""),"ปลอดภัย")</f>
        <v>ปลอดภัย</v>
      </c>
      <c r="Z46" t="str">
        <f>IFERROR(__xludf.DUMMYFUNCTION("""COMPUTED_VALUE"""),"Bangkok")</f>
        <v>Bangkok</v>
      </c>
      <c r="AA46" t="str">
        <f>IFERROR(__xludf.DUMMYFUNCTION("""COMPUTED_VALUE"""),"เชียงใหม่")</f>
        <v>เชียงใหม่</v>
      </c>
      <c r="AB46" t="str">
        <f>IFERROR(__xludf.DUMMYFUNCTION("""COMPUTED_VALUE"""),"081 830 0149")</f>
        <v>081 830 0149</v>
      </c>
      <c r="AC46" t="str">
        <f>IFERROR(__xludf.DUMMYFUNCTION("""COMPUTED_VALUE"""),"พ่อ")</f>
        <v>พ่อ</v>
      </c>
      <c r="AD46" t="str">
        <f>IFERROR(__xludf.DUMMYFUNCTION("""COMPUTED_VALUE"""),"thanyapornk@airasia.com")</f>
        <v>thanyapornk@airasia.com</v>
      </c>
    </row>
    <row r="47">
      <c r="A47" s="142">
        <f>IFERROR(__xludf.DUMMYFUNCTION("""COMPUTED_VALUE"""),13.0)</f>
        <v>13</v>
      </c>
      <c r="B47" t="str">
        <f>IFERROR(__xludf.DUMMYFUNCTION("""COMPUTED_VALUE"""),"TAA1243")</f>
        <v>TAA1243</v>
      </c>
      <c r="C47">
        <f>IFERROR(__xludf.DUMMYFUNCTION("""COMPUTED_VALUE"""),1001239.0)</f>
        <v>1001239</v>
      </c>
      <c r="D47" t="str">
        <f>IFERROR(__xludf.DUMMYFUNCTION("""COMPUTED_VALUE"""),"Mrs.")</f>
        <v>Mrs.</v>
      </c>
      <c r="E47" t="str">
        <f>IFERROR(__xludf.DUMMYFUNCTION("""COMPUTED_VALUE"""),"Thitiya")</f>
        <v>Thitiya</v>
      </c>
      <c r="F47" t="str">
        <f>IFERROR(__xludf.DUMMYFUNCTION("""COMPUTED_VALUE"""),"Brigstock-Barron (Atsawarangsi)")</f>
        <v>Brigstock-Barron (Atsawarangsi)</v>
      </c>
      <c r="G47" t="str">
        <f>IFERROR(__xludf.DUMMYFUNCTION("""COMPUTED_VALUE"""),"Thitiya Brigstock-Barron")</f>
        <v>Thitiya Brigstock-Barron</v>
      </c>
      <c r="H47" t="str">
        <f>IFERROR(__xludf.DUMMYFUNCTION("""COMPUTED_VALUE"""),"นาง")</f>
        <v>นาง</v>
      </c>
      <c r="I47" t="str">
        <f>IFERROR(__xludf.DUMMYFUNCTION("""COMPUTED_VALUE"""),"ฐิติยา")</f>
        <v>ฐิติยา</v>
      </c>
      <c r="J47" t="str">
        <f>IFERROR(__xludf.DUMMYFUNCTION("""COMPUTED_VALUE"""),"บริจสต็อค บาร์รอน (อัศวรังษี)")</f>
        <v>บริจสต็อค บาร์รอน (อัศวรังษี)</v>
      </c>
      <c r="K47" t="str">
        <f>IFERROR(__xludf.DUMMYFUNCTION("""COMPUTED_VALUE"""),"ฐิติยา บริจสต็อค บาร์รอน")</f>
        <v>ฐิติยา บริจสต็อค บาร์รอน</v>
      </c>
      <c r="L47" t="str">
        <f>IFERROR(__xludf.DUMMYFUNCTION("""COMPUTED_VALUE"""),"BowBoh")</f>
        <v>BowBoh</v>
      </c>
      <c r="M47" t="str">
        <f>IFERROR(__xludf.DUMMYFUNCTION("""COMPUTED_VALUE"""),"Senior Cabin Crew - CNX")</f>
        <v>Senior Cabin Crew - CNX</v>
      </c>
      <c r="N47" t="str">
        <f>IFERROR(__xludf.DUMMYFUNCTION("""COMPUTED_VALUE"""),"CNX")</f>
        <v>CNX</v>
      </c>
      <c r="O47" s="145" t="str">
        <f>IFERROR(__xludf.DUMMYFUNCTION("""COMPUTED_VALUE"""),"Up Home")</f>
        <v>Up Home</v>
      </c>
      <c r="P47" t="str">
        <f>IFERROR(__xludf.DUMMYFUNCTION("""COMPUTED_VALUE"""),"Active")</f>
        <v>Active</v>
      </c>
      <c r="R47" s="143">
        <f>IFERROR(__xludf.DUMMYFUNCTION("""COMPUTED_VALUE"""),30675.0)</f>
        <v>30675</v>
      </c>
      <c r="S47" s="146" t="str">
        <f>IFERROR(__xludf.DUMMYFUNCTION("""COMPUTED_VALUE"""),"082 090 3336")</f>
        <v>082 090 3336</v>
      </c>
      <c r="T47" s="147" t="str">
        <f>IFERROR(__xludf.DUMMYFUNCTION("""COMPUTED_VALUE"""),"3149900-47-7301")</f>
        <v>3149900-47-7301</v>
      </c>
      <c r="U47" t="str">
        <f>IFERROR(__xludf.DUMMYFUNCTION("""COMPUTED_VALUE"""),"AD2090309")</f>
        <v>AD2090309</v>
      </c>
      <c r="V47" s="148">
        <f>IFERROR(__xludf.DUMMYFUNCTION("""COMPUTED_VALUE"""),45723.0)</f>
        <v>45723</v>
      </c>
      <c r="W47" s="148">
        <f>IFERROR(__xludf.DUMMYFUNCTION("""COMPUTED_VALUE"""),49374.0)</f>
        <v>49374</v>
      </c>
      <c r="X47" s="149">
        <f>IFERROR(__xludf.DUMMYFUNCTION("""COMPUTED_VALUE"""),49193.0)</f>
        <v>49193</v>
      </c>
      <c r="Y47" t="str">
        <f>IFERROR(__xludf.DUMMYFUNCTION("""COMPUTED_VALUE"""),"ปลอดภัย")</f>
        <v>ปลอดภัย</v>
      </c>
      <c r="Z47" t="str">
        <f>IFERROR(__xludf.DUMMYFUNCTION("""COMPUTED_VALUE"""),"Phra Nakhon Si Ayutthaya Province")</f>
        <v>Phra Nakhon Si Ayutthaya Province</v>
      </c>
      <c r="AA47" t="str">
        <f>IFERROR(__xludf.DUMMYFUNCTION("""COMPUTED_VALUE"""),"บางนา")</f>
        <v>บางนา</v>
      </c>
      <c r="AB47" t="str">
        <f>IFERROR(__xludf.DUMMYFUNCTION("""COMPUTED_VALUE"""),"089 809 7243")</f>
        <v>089 809 7243</v>
      </c>
      <c r="AC47" t="str">
        <f>IFERROR(__xludf.DUMMYFUNCTION("""COMPUTED_VALUE"""),"เพื่อน")</f>
        <v>เพื่อน</v>
      </c>
      <c r="AD47" t="str">
        <f>IFERROR(__xludf.DUMMYFUNCTION("""COMPUTED_VALUE"""),"thitiyab@airasia.com")</f>
        <v>thitiyab@airasia.com</v>
      </c>
    </row>
    <row r="48">
      <c r="AD48" t="str">
        <f>IFERROR(__xludf.DUMMYFUNCTION("""COMPUTED_VALUE"""),"")</f>
        <v/>
      </c>
    </row>
    <row r="49">
      <c r="A49" s="142">
        <f>IFERROR(__xludf.DUMMYFUNCTION("""COMPUTED_VALUE"""),14.0)</f>
        <v>14</v>
      </c>
      <c r="B49" t="str">
        <f>IFERROR(__xludf.DUMMYFUNCTION("""COMPUTED_VALUE"""),"TAA1310")</f>
        <v>TAA1310</v>
      </c>
      <c r="C49">
        <f>IFERROR(__xludf.DUMMYFUNCTION("""COMPUTED_VALUE"""),1001301.0)</f>
        <v>1001301</v>
      </c>
      <c r="D49" t="str">
        <f>IFERROR(__xludf.DUMMYFUNCTION("""COMPUTED_VALUE"""),"Mr.")</f>
        <v>Mr.</v>
      </c>
      <c r="E49" t="str">
        <f>IFERROR(__xludf.DUMMYFUNCTION("""COMPUTED_VALUE"""),"Burin")</f>
        <v>Burin</v>
      </c>
      <c r="F49" t="str">
        <f>IFERROR(__xludf.DUMMYFUNCTION("""COMPUTED_VALUE"""),"Buarapha")</f>
        <v>Buarapha</v>
      </c>
      <c r="G49" t="str">
        <f>IFERROR(__xludf.DUMMYFUNCTION("""COMPUTED_VALUE"""),"Burin Buarapha")</f>
        <v>Burin Buarapha</v>
      </c>
      <c r="H49" t="str">
        <f>IFERROR(__xludf.DUMMYFUNCTION("""COMPUTED_VALUE"""),"นาย")</f>
        <v>นาย</v>
      </c>
      <c r="I49" t="str">
        <f>IFERROR(__xludf.DUMMYFUNCTION("""COMPUTED_VALUE"""),"บุรินทร์")</f>
        <v>บุรินทร์</v>
      </c>
      <c r="J49" t="str">
        <f>IFERROR(__xludf.DUMMYFUNCTION("""COMPUTED_VALUE"""),"บัวระภา")</f>
        <v>บัวระภา</v>
      </c>
      <c r="K49" t="str">
        <f>IFERROR(__xludf.DUMMYFUNCTION("""COMPUTED_VALUE"""),"บุรินทร์ บัวระภา")</f>
        <v>บุรินทร์ บัวระภา</v>
      </c>
      <c r="L49" t="str">
        <f>IFERROR(__xludf.DUMMYFUNCTION("""COMPUTED_VALUE"""),"Ant (Tony)")</f>
        <v>Ant (Tony)</v>
      </c>
      <c r="M49" t="str">
        <f>IFERROR(__xludf.DUMMYFUNCTION("""COMPUTED_VALUE"""),"Senior Cabin Crew")</f>
        <v>Senior Cabin Crew</v>
      </c>
      <c r="N49" t="str">
        <f>IFERROR(__xludf.DUMMYFUNCTION("""COMPUTED_VALUE"""),"DMK")</f>
        <v>DMK</v>
      </c>
      <c r="O49" s="145" t="str">
        <f>IFERROR(__xludf.DUMMYFUNCTION("""COMPUTED_VALUE"""),"Um Home")</f>
        <v>Um Home</v>
      </c>
      <c r="P49" t="str">
        <f>IFERROR(__xludf.DUMMYFUNCTION("""COMPUTED_VALUE"""),"Active")</f>
        <v>Active</v>
      </c>
      <c r="R49" s="143">
        <f>IFERROR(__xludf.DUMMYFUNCTION("""COMPUTED_VALUE"""),29675.0)</f>
        <v>29675</v>
      </c>
      <c r="S49" s="146" t="str">
        <f>IFERROR(__xludf.DUMMYFUNCTION("""COMPUTED_VALUE"""),"085 840 6104")</f>
        <v>085 840 6104</v>
      </c>
      <c r="T49" s="147" t="str">
        <f>IFERROR(__xludf.DUMMYFUNCTION("""COMPUTED_VALUE"""),"3420900-40-8538")</f>
        <v>3420900-40-8538</v>
      </c>
      <c r="U49" t="str">
        <f>IFERROR(__xludf.DUMMYFUNCTION("""COMPUTED_VALUE"""),"AD18711375")</f>
        <v>AD18711375</v>
      </c>
      <c r="V49" s="149">
        <f>IFERROR(__xludf.DUMMYFUNCTION("""COMPUTED_VALUE"""),45476.0)</f>
        <v>45476</v>
      </c>
      <c r="W49" s="148">
        <f>IFERROR(__xludf.DUMMYFUNCTION("""COMPUTED_VALUE"""),47301.0)</f>
        <v>47301</v>
      </c>
      <c r="X49" s="149">
        <f>IFERROR(__xludf.DUMMYFUNCTION("""COMPUTED_VALUE"""),47120.0)</f>
        <v>47120</v>
      </c>
      <c r="Y49" t="str">
        <f>IFERROR(__xludf.DUMMYFUNCTION("""COMPUTED_VALUE"""),"ปลอดภัย")</f>
        <v>ปลอดภัย</v>
      </c>
      <c r="Z49" t="str">
        <f>IFERROR(__xludf.DUMMYFUNCTION("""COMPUTED_VALUE"""),"Loei Province")</f>
        <v>Loei Province</v>
      </c>
      <c r="AA49" t="str">
        <f>IFERROR(__xludf.DUMMYFUNCTION("""COMPUTED_VALUE"""),"บึงกุ่ม")</f>
        <v>บึงกุ่ม</v>
      </c>
      <c r="AB49" t="str">
        <f>IFERROR(__xludf.DUMMYFUNCTION("""COMPUTED_VALUE"""),"089 017 7664")</f>
        <v>089 017 7664</v>
      </c>
      <c r="AC49" t="str">
        <f>IFERROR(__xludf.DUMMYFUNCTION("""COMPUTED_VALUE"""),"เพื่อน")</f>
        <v>เพื่อน</v>
      </c>
      <c r="AD49" t="str">
        <f>IFERROR(__xludf.DUMMYFUNCTION("""COMPUTED_VALUE"""),"burinb@airasia.com")</f>
        <v>burinb@airasia.com</v>
      </c>
    </row>
    <row r="50">
      <c r="A50" s="142">
        <f>IFERROR(__xludf.DUMMYFUNCTION("""COMPUTED_VALUE"""),14.0)</f>
        <v>14</v>
      </c>
      <c r="B50" t="str">
        <f>IFERROR(__xludf.DUMMYFUNCTION("""COMPUTED_VALUE"""),"TAA1307")</f>
        <v>TAA1307</v>
      </c>
      <c r="C50">
        <f>IFERROR(__xludf.DUMMYFUNCTION("""COMPUTED_VALUE"""),1001303.0)</f>
        <v>1001303</v>
      </c>
      <c r="D50" t="str">
        <f>IFERROR(__xludf.DUMMYFUNCTION("""COMPUTED_VALUE"""),"Ms.")</f>
        <v>Ms.</v>
      </c>
      <c r="E50" t="str">
        <f>IFERROR(__xludf.DUMMYFUNCTION("""COMPUTED_VALUE"""),"Chindarat")</f>
        <v>Chindarat</v>
      </c>
      <c r="F50" t="str">
        <f>IFERROR(__xludf.DUMMYFUNCTION("""COMPUTED_VALUE"""),"Chintanasathien")</f>
        <v>Chintanasathien</v>
      </c>
      <c r="G50" t="str">
        <f>IFERROR(__xludf.DUMMYFUNCTION("""COMPUTED_VALUE"""),"Chindarat Chintanasathien")</f>
        <v>Chindarat Chintanasathien</v>
      </c>
      <c r="H50" t="str">
        <f>IFERROR(__xludf.DUMMYFUNCTION("""COMPUTED_VALUE"""),"นางสาว")</f>
        <v>นางสาว</v>
      </c>
      <c r="I50" t="str">
        <f>IFERROR(__xludf.DUMMYFUNCTION("""COMPUTED_VALUE"""),"จินดารัตน์")</f>
        <v>จินดารัตน์</v>
      </c>
      <c r="J50" t="str">
        <f>IFERROR(__xludf.DUMMYFUNCTION("""COMPUTED_VALUE"""),"จินตนเสฐียร")</f>
        <v>จินตนเสฐียร</v>
      </c>
      <c r="K50" t="str">
        <f>IFERROR(__xludf.DUMMYFUNCTION("""COMPUTED_VALUE"""),"จินดารัตน์ จินตนเสฐียร")</f>
        <v>จินดารัตน์ จินตนเสฐียร</v>
      </c>
      <c r="L50" t="str">
        <f>IFERROR(__xludf.DUMMYFUNCTION("""COMPUTED_VALUE"""),"DaDa")</f>
        <v>DaDa</v>
      </c>
      <c r="M50" t="str">
        <f>IFERROR(__xludf.DUMMYFUNCTION("""COMPUTED_VALUE"""),"Senior Cabin Crew")</f>
        <v>Senior Cabin Crew</v>
      </c>
      <c r="N50" t="str">
        <f>IFERROR(__xludf.DUMMYFUNCTION("""COMPUTED_VALUE"""),"DMK")</f>
        <v>DMK</v>
      </c>
      <c r="O50" s="145" t="str">
        <f>IFERROR(__xludf.DUMMYFUNCTION("""COMPUTED_VALUE"""),"Nhui Home")</f>
        <v>Nhui Home</v>
      </c>
      <c r="P50" t="str">
        <f>IFERROR(__xludf.DUMMYFUNCTION("""COMPUTED_VALUE"""),"Active")</f>
        <v>Active</v>
      </c>
      <c r="Q50" t="str">
        <f>IFERROR(__xludf.DUMMYFUNCTION("""COMPUTED_VALUE"""),"Chinese Speaking")</f>
        <v>Chinese Speaking</v>
      </c>
      <c r="R50" s="143">
        <f>IFERROR(__xludf.DUMMYFUNCTION("""COMPUTED_VALUE"""),30226.0)</f>
        <v>30226</v>
      </c>
      <c r="S50" s="146" t="str">
        <f>IFERROR(__xludf.DUMMYFUNCTION("""COMPUTED_VALUE"""),"086 324 4591")</f>
        <v>086 324 4591</v>
      </c>
      <c r="T50" s="147" t="str">
        <f>IFERROR(__xludf.DUMMYFUNCTION("""COMPUTED_VALUE"""),"3101300-28-9655")</f>
        <v>3101300-28-9655</v>
      </c>
      <c r="U50" t="str">
        <f>IFERROR(__xludf.DUMMYFUNCTION("""COMPUTED_VALUE"""),"AC7921706")</f>
        <v>AC7921706</v>
      </c>
      <c r="V50" s="148">
        <f>IFERROR(__xludf.DUMMYFUNCTION("""COMPUTED_VALUE"""),45673.0)</f>
        <v>45673</v>
      </c>
      <c r="W50" s="148">
        <f>IFERROR(__xludf.DUMMYFUNCTION("""COMPUTED_VALUE"""),49324.0)</f>
        <v>49324</v>
      </c>
      <c r="X50" s="149">
        <f>IFERROR(__xludf.DUMMYFUNCTION("""COMPUTED_VALUE"""),49140.0)</f>
        <v>49140</v>
      </c>
      <c r="Y50" t="str">
        <f>IFERROR(__xludf.DUMMYFUNCTION("""COMPUTED_VALUE"""),"ปลอดภัย")</f>
        <v>ปลอดภัย</v>
      </c>
      <c r="Z50" t="str">
        <f>IFERROR(__xludf.DUMMYFUNCTION("""COMPUTED_VALUE"""),"Bangkok")</f>
        <v>Bangkok</v>
      </c>
      <c r="AA50" t="str">
        <f>IFERROR(__xludf.DUMMYFUNCTION("""COMPUTED_VALUE"""),"สวนหลวง")</f>
        <v>สวนหลวง</v>
      </c>
      <c r="AB50" t="str">
        <f>IFERROR(__xludf.DUMMYFUNCTION("""COMPUTED_VALUE"""),"098 252 5041")</f>
        <v>098 252 5041</v>
      </c>
      <c r="AC50" t="str">
        <f>IFERROR(__xludf.DUMMYFUNCTION("""COMPUTED_VALUE"""),"ไม่ระบุ")</f>
        <v>ไม่ระบุ</v>
      </c>
      <c r="AD50" t="str">
        <f>IFERROR(__xludf.DUMMYFUNCTION("""COMPUTED_VALUE"""),"chindaratc@airasia.com")</f>
        <v>chindaratc@airasia.com</v>
      </c>
    </row>
    <row r="51">
      <c r="A51" s="142">
        <f>IFERROR(__xludf.DUMMYFUNCTION("""COMPUTED_VALUE"""),14.0)</f>
        <v>14</v>
      </c>
      <c r="B51" t="str">
        <f>IFERROR(__xludf.DUMMYFUNCTION("""COMPUTED_VALUE"""),"TAA1309")</f>
        <v>TAA1309</v>
      </c>
      <c r="C51">
        <f>IFERROR(__xludf.DUMMYFUNCTION("""COMPUTED_VALUE"""),1001308.0)</f>
        <v>1001308</v>
      </c>
      <c r="D51" t="str">
        <f>IFERROR(__xludf.DUMMYFUNCTION("""COMPUTED_VALUE"""),"Mr.")</f>
        <v>Mr.</v>
      </c>
      <c r="E51" t="str">
        <f>IFERROR(__xludf.DUMMYFUNCTION("""COMPUTED_VALUE"""),"Kittisak")</f>
        <v>Kittisak</v>
      </c>
      <c r="F51" t="str">
        <f>IFERROR(__xludf.DUMMYFUNCTION("""COMPUTED_VALUE"""),"Issaro")</f>
        <v>Issaro</v>
      </c>
      <c r="G51" t="str">
        <f>IFERROR(__xludf.DUMMYFUNCTION("""COMPUTED_VALUE"""),"Kittisak Issaro")</f>
        <v>Kittisak Issaro</v>
      </c>
      <c r="H51" t="str">
        <f>IFERROR(__xludf.DUMMYFUNCTION("""COMPUTED_VALUE"""),"นาย")</f>
        <v>นาย</v>
      </c>
      <c r="I51" t="str">
        <f>IFERROR(__xludf.DUMMYFUNCTION("""COMPUTED_VALUE"""),"กิตติศักดิ์")</f>
        <v>กิตติศักดิ์</v>
      </c>
      <c r="J51" t="str">
        <f>IFERROR(__xludf.DUMMYFUNCTION("""COMPUTED_VALUE"""),"อิสโร")</f>
        <v>อิสโร</v>
      </c>
      <c r="K51" t="str">
        <f>IFERROR(__xludf.DUMMYFUNCTION("""COMPUTED_VALUE"""),"กิตติศักดิ์ อิสโร")</f>
        <v>กิตติศักดิ์ อิสโร</v>
      </c>
      <c r="L51" t="str">
        <f>IFERROR(__xludf.DUMMYFUNCTION("""COMPUTED_VALUE"""),"Por")</f>
        <v>Por</v>
      </c>
      <c r="M51" t="str">
        <f>IFERROR(__xludf.DUMMYFUNCTION("""COMPUTED_VALUE"""),"Cabin Crew Engagement Lead")</f>
        <v>Cabin Crew Engagement Lead</v>
      </c>
      <c r="N51" t="str">
        <f>IFERROR(__xludf.DUMMYFUNCTION("""COMPUTED_VALUE"""),"DMK")</f>
        <v>DMK</v>
      </c>
      <c r="O51" s="145" t="str">
        <f>IFERROR(__xludf.DUMMYFUNCTION("""COMPUTED_VALUE"""),"Ward Monitor")</f>
        <v>Ward Monitor</v>
      </c>
      <c r="P51" t="str">
        <f>IFERROR(__xludf.DUMMYFUNCTION("""COMPUTED_VALUE"""),"CCEL")</f>
        <v>CCEL</v>
      </c>
      <c r="Q51" t="str">
        <f>IFERROR(__xludf.DUMMYFUNCTION("""COMPUTED_VALUE"""),"Chinese Speaking")</f>
        <v>Chinese Speaking</v>
      </c>
      <c r="R51" s="143">
        <f>IFERROR(__xludf.DUMMYFUNCTION("""COMPUTED_VALUE"""),30813.0)</f>
        <v>30813</v>
      </c>
      <c r="S51" s="146" t="str">
        <f>IFERROR(__xludf.DUMMYFUNCTION("""COMPUTED_VALUE"""),"062 569 8942")</f>
        <v>062 569 8942</v>
      </c>
      <c r="T51" s="147" t="str">
        <f>IFERROR(__xludf.DUMMYFUNCTION("""COMPUTED_VALUE"""),"1739900-01-5829")</f>
        <v>1739900-01-5829</v>
      </c>
      <c r="U51" t="str">
        <f>IFERROR(__xludf.DUMMYFUNCTION("""COMPUTED_VALUE"""),"AC47470200")</f>
        <v>AC47470200</v>
      </c>
      <c r="V51" s="148">
        <f>IFERROR(__xludf.DUMMYFUNCTION("""COMPUTED_VALUE"""),45596.0)</f>
        <v>45596</v>
      </c>
      <c r="W51" s="148">
        <f>IFERROR(__xludf.DUMMYFUNCTION("""COMPUTED_VALUE"""),49247.0)</f>
        <v>49247</v>
      </c>
      <c r="X51" s="149">
        <f>IFERROR(__xludf.DUMMYFUNCTION("""COMPUTED_VALUE"""),49064.0)</f>
        <v>49064</v>
      </c>
      <c r="Y51" t="str">
        <f>IFERROR(__xludf.DUMMYFUNCTION("""COMPUTED_VALUE"""),"ปลอดภัย")</f>
        <v>ปลอดภัย</v>
      </c>
      <c r="Z51" t="str">
        <f>IFERROR(__xludf.DUMMYFUNCTION("""COMPUTED_VALUE"""),"Nakhon Pathom Province")</f>
        <v>Nakhon Pathom Province</v>
      </c>
      <c r="AA51" t="str">
        <f>IFERROR(__xludf.DUMMYFUNCTION("""COMPUTED_VALUE"""),"สวนหลวง")</f>
        <v>สวนหลวง</v>
      </c>
      <c r="AB51" t="str">
        <f>IFERROR(__xludf.DUMMYFUNCTION("""COMPUTED_VALUE"""),"086 795 1527")</f>
        <v>086 795 1527</v>
      </c>
      <c r="AC51" t="str">
        <f>IFERROR(__xludf.DUMMYFUNCTION("""COMPUTED_VALUE"""),"พี่ี่สาว")</f>
        <v>พี่ี่สาว</v>
      </c>
      <c r="AD51" t="str">
        <f>IFERROR(__xludf.DUMMYFUNCTION("""COMPUTED_VALUE"""),"kittisaki@airasia.com")</f>
        <v>kittisaki@airasia.com</v>
      </c>
    </row>
    <row r="52">
      <c r="A52" s="142">
        <f>IFERROR(__xludf.DUMMYFUNCTION("""COMPUTED_VALUE"""),14.0)</f>
        <v>14</v>
      </c>
      <c r="B52" t="str">
        <f>IFERROR(__xludf.DUMMYFUNCTION("""COMPUTED_VALUE"""),"TAA1289")</f>
        <v>TAA1289</v>
      </c>
      <c r="C52">
        <f>IFERROR(__xludf.DUMMYFUNCTION("""COMPUTED_VALUE"""),1001312.0)</f>
        <v>1001312</v>
      </c>
      <c r="D52" t="str">
        <f>IFERROR(__xludf.DUMMYFUNCTION("""COMPUTED_VALUE"""),"Ms.")</f>
        <v>Ms.</v>
      </c>
      <c r="E52" t="str">
        <f>IFERROR(__xludf.DUMMYFUNCTION("""COMPUTED_VALUE"""),"Rattanapat")</f>
        <v>Rattanapat</v>
      </c>
      <c r="F52" t="str">
        <f>IFERROR(__xludf.DUMMYFUNCTION("""COMPUTED_VALUE"""),"Rattanaviroj")</f>
        <v>Rattanaviroj</v>
      </c>
      <c r="G52" t="str">
        <f>IFERROR(__xludf.DUMMYFUNCTION("""COMPUTED_VALUE"""),"Rattanapat Rattanaviroj")</f>
        <v>Rattanapat Rattanaviroj</v>
      </c>
      <c r="H52" t="str">
        <f>IFERROR(__xludf.DUMMYFUNCTION("""COMPUTED_VALUE"""),"นางสาว")</f>
        <v>นางสาว</v>
      </c>
      <c r="I52" t="str">
        <f>IFERROR(__xludf.DUMMYFUNCTION("""COMPUTED_VALUE"""),"รัตนพรรษ")</f>
        <v>รัตนพรรษ</v>
      </c>
      <c r="J52" t="str">
        <f>IFERROR(__xludf.DUMMYFUNCTION("""COMPUTED_VALUE"""),"รัตนวิโรจน์")</f>
        <v>รัตนวิโรจน์</v>
      </c>
      <c r="K52" t="str">
        <f>IFERROR(__xludf.DUMMYFUNCTION("""COMPUTED_VALUE"""),"รัตนพรรษ รัตนวิโรจน์")</f>
        <v>รัตนพรรษ รัตนวิโรจน์</v>
      </c>
      <c r="L52" t="str">
        <f>IFERROR(__xludf.DUMMYFUNCTION("""COMPUTED_VALUE"""),"Phueng")</f>
        <v>Phueng</v>
      </c>
      <c r="M52" t="str">
        <f>IFERROR(__xludf.DUMMYFUNCTION("""COMPUTED_VALUE"""),"Senior Cabin Crew")</f>
        <v>Senior Cabin Crew</v>
      </c>
      <c r="N52" t="str">
        <f>IFERROR(__xludf.DUMMYFUNCTION("""COMPUTED_VALUE"""),"DMK")</f>
        <v>DMK</v>
      </c>
      <c r="O52" s="145" t="str">
        <f>IFERROR(__xludf.DUMMYFUNCTION("""COMPUTED_VALUE"""),"Kor Home")</f>
        <v>Kor Home</v>
      </c>
      <c r="P52" t="str">
        <f>IFERROR(__xludf.DUMMYFUNCTION("""COMPUTED_VALUE"""),"Active")</f>
        <v>Active</v>
      </c>
      <c r="R52" s="143">
        <f>IFERROR(__xludf.DUMMYFUNCTION("""COMPUTED_VALUE"""),30298.0)</f>
        <v>30298</v>
      </c>
      <c r="S52" s="146" t="str">
        <f>IFERROR(__xludf.DUMMYFUNCTION("""COMPUTED_VALUE"""),"091 591 4462")</f>
        <v>091 591 4462</v>
      </c>
      <c r="T52" s="147" t="str">
        <f>IFERROR(__xludf.DUMMYFUNCTION("""COMPUTED_VALUE"""),"3101500-13-2121")</f>
        <v>3101500-13-2121</v>
      </c>
      <c r="U52" t="str">
        <f>IFERROR(__xludf.DUMMYFUNCTION("""COMPUTED_VALUE"""),"AC4307227")</f>
        <v>AC4307227</v>
      </c>
      <c r="V52" s="148">
        <f>IFERROR(__xludf.DUMMYFUNCTION("""COMPUTED_VALUE"""),44915.0)</f>
        <v>44915</v>
      </c>
      <c r="W52" s="148">
        <f>IFERROR(__xludf.DUMMYFUNCTION("""COMPUTED_VALUE"""),48567.0)</f>
        <v>48567</v>
      </c>
      <c r="X52" s="149">
        <f>IFERROR(__xludf.DUMMYFUNCTION("""COMPUTED_VALUE"""),48384.0)</f>
        <v>48384</v>
      </c>
      <c r="Y52" t="str">
        <f>IFERROR(__xludf.DUMMYFUNCTION("""COMPUTED_VALUE"""),"ปลอดภัย")</f>
        <v>ปลอดภัย</v>
      </c>
      <c r="Z52" t="str">
        <f>IFERROR(__xludf.DUMMYFUNCTION("""COMPUTED_VALUE"""),"Bangkok")</f>
        <v>Bangkok</v>
      </c>
      <c r="AA52" t="str">
        <f>IFERROR(__xludf.DUMMYFUNCTION("""COMPUTED_VALUE"""),"บางกะปิ")</f>
        <v>บางกะปิ</v>
      </c>
      <c r="AB52" t="str">
        <f>IFERROR(__xludf.DUMMYFUNCTION("""COMPUTED_VALUE"""),"02 424 1600")</f>
        <v>02 424 1600</v>
      </c>
      <c r="AC52" t="str">
        <f>IFERROR(__xludf.DUMMYFUNCTION("""COMPUTED_VALUE"""),"บ้าน")</f>
        <v>บ้าน</v>
      </c>
      <c r="AD52" t="str">
        <f>IFERROR(__xludf.DUMMYFUNCTION("""COMPUTED_VALUE"""),"rattanapatr@airasia.com")</f>
        <v>rattanapatr@airasia.com</v>
      </c>
    </row>
    <row r="53">
      <c r="A53" s="142">
        <f>IFERROR(__xludf.DUMMYFUNCTION("""COMPUTED_VALUE"""),14.0)</f>
        <v>14</v>
      </c>
      <c r="B53" t="str">
        <f>IFERROR(__xludf.DUMMYFUNCTION("""COMPUTED_VALUE"""),"TAA1297")</f>
        <v>TAA1297</v>
      </c>
      <c r="C53">
        <f>IFERROR(__xludf.DUMMYFUNCTION("""COMPUTED_VALUE"""),1001317.0)</f>
        <v>1001317</v>
      </c>
      <c r="D53" t="str">
        <f>IFERROR(__xludf.DUMMYFUNCTION("""COMPUTED_VALUE"""),"Ms.")</f>
        <v>Ms.</v>
      </c>
      <c r="E53" t="str">
        <f>IFERROR(__xludf.DUMMYFUNCTION("""COMPUTED_VALUE"""),"Umaporn")</f>
        <v>Umaporn</v>
      </c>
      <c r="F53" t="str">
        <f>IFERROR(__xludf.DUMMYFUNCTION("""COMPUTED_VALUE"""),"Charnond (Laosriwijit)")</f>
        <v>Charnond (Laosriwijit)</v>
      </c>
      <c r="G53" t="str">
        <f>IFERROR(__xludf.DUMMYFUNCTION("""COMPUTED_VALUE"""),"Umaporn Charnond")</f>
        <v>Umaporn Charnond</v>
      </c>
      <c r="H53" t="str">
        <f>IFERROR(__xludf.DUMMYFUNCTION("""COMPUTED_VALUE"""),"นางสาว")</f>
        <v>นางสาว</v>
      </c>
      <c r="I53" t="str">
        <f>IFERROR(__xludf.DUMMYFUNCTION("""COMPUTED_VALUE"""),"อุมาพร")</f>
        <v>อุมาพร</v>
      </c>
      <c r="J53" t="str">
        <f>IFERROR(__xludf.DUMMYFUNCTION("""COMPUTED_VALUE"""),"ชานนท์ (เหล่าศรีวิจิตร)")</f>
        <v>ชานนท์ (เหล่าศรีวิจิตร)</v>
      </c>
      <c r="K53" t="str">
        <f>IFERROR(__xludf.DUMMYFUNCTION("""COMPUTED_VALUE"""),"อุมาพร ชานนท์")</f>
        <v>อุมาพร ชานนท์</v>
      </c>
      <c r="L53" t="str">
        <f>IFERROR(__xludf.DUMMYFUNCTION("""COMPUTED_VALUE"""),"Yokz")</f>
        <v>Yokz</v>
      </c>
      <c r="M53" t="str">
        <f>IFERROR(__xludf.DUMMYFUNCTION("""COMPUTED_VALUE"""),"Senior Cabin Crew")</f>
        <v>Senior Cabin Crew</v>
      </c>
      <c r="N53" t="str">
        <f>IFERROR(__xludf.DUMMYFUNCTION("""COMPUTED_VALUE"""),"DMK")</f>
        <v>DMK</v>
      </c>
      <c r="O53" s="145" t="str">
        <f>IFERROR(__xludf.DUMMYFUNCTION("""COMPUTED_VALUE"""),"Um Home")</f>
        <v>Um Home</v>
      </c>
      <c r="P53" t="str">
        <f>IFERROR(__xludf.DUMMYFUNCTION("""COMPUTED_VALUE"""),"Active")</f>
        <v>Active</v>
      </c>
      <c r="Q53" t="str">
        <f>IFERROR(__xludf.DUMMYFUNCTION("""COMPUTED_VALUE"""),"Chinese Speaking")</f>
        <v>Chinese Speaking</v>
      </c>
      <c r="R53" s="143">
        <f>IFERROR(__xludf.DUMMYFUNCTION("""COMPUTED_VALUE"""),29546.0)</f>
        <v>29546</v>
      </c>
      <c r="S53" s="146" t="str">
        <f>IFERROR(__xludf.DUMMYFUNCTION("""COMPUTED_VALUE"""),"085 993 2323")</f>
        <v>085 993 2323</v>
      </c>
      <c r="T53" s="147" t="str">
        <f>IFERROR(__xludf.DUMMYFUNCTION("""COMPUTED_VALUE"""),"3220100-24-6888")</f>
        <v>3220100-24-6888</v>
      </c>
      <c r="U53" t="str">
        <f>IFERROR(__xludf.DUMMYFUNCTION("""COMPUTED_VALUE"""),"AC6633043")</f>
        <v>AC6633043</v>
      </c>
      <c r="V53" s="148">
        <f>IFERROR(__xludf.DUMMYFUNCTION("""COMPUTED_VALUE"""),45414.0)</f>
        <v>45414</v>
      </c>
      <c r="W53" s="148">
        <f>IFERROR(__xludf.DUMMYFUNCTION("""COMPUTED_VALUE"""),49065.0)</f>
        <v>49065</v>
      </c>
      <c r="X53" s="149">
        <f>IFERROR(__xludf.DUMMYFUNCTION("""COMPUTED_VALUE"""),48884.0)</f>
        <v>48884</v>
      </c>
      <c r="Y53" t="str">
        <f>IFERROR(__xludf.DUMMYFUNCTION("""COMPUTED_VALUE"""),"ปลอดภัย")</f>
        <v>ปลอดภัย</v>
      </c>
      <c r="Z53" t="str">
        <f>IFERROR(__xludf.DUMMYFUNCTION("""COMPUTED_VALUE"""),"Chanthaburi Province")</f>
        <v>Chanthaburi Province</v>
      </c>
      <c r="AA53" t="str">
        <f>IFERROR(__xludf.DUMMYFUNCTION("""COMPUTED_VALUE"""),"สวนหลวง")</f>
        <v>สวนหลวง</v>
      </c>
      <c r="AB53" t="str">
        <f>IFERROR(__xludf.DUMMYFUNCTION("""COMPUTED_VALUE"""),"! Update !")</f>
        <v>! Update !</v>
      </c>
      <c r="AC53" t="str">
        <f>IFERROR(__xludf.DUMMYFUNCTION("""COMPUTED_VALUE"""),"! Update !")</f>
        <v>! Update !</v>
      </c>
      <c r="AD53" t="str">
        <f>IFERROR(__xludf.DUMMYFUNCTION("""COMPUTED_VALUE"""),"umapornc@airasia.com")</f>
        <v>umapornc@airasia.com</v>
      </c>
    </row>
    <row r="54">
      <c r="A54" s="142">
        <f>IFERROR(__xludf.DUMMYFUNCTION("""COMPUTED_VALUE"""),14.0)</f>
        <v>14</v>
      </c>
      <c r="B54" t="str">
        <f>IFERROR(__xludf.DUMMYFUNCTION("""COMPUTED_VALUE"""),"TAA1303")</f>
        <v>TAA1303</v>
      </c>
      <c r="C54">
        <f>IFERROR(__xludf.DUMMYFUNCTION("""COMPUTED_VALUE"""),1001319.0)</f>
        <v>1001319</v>
      </c>
      <c r="D54" t="str">
        <f>IFERROR(__xludf.DUMMYFUNCTION("""COMPUTED_VALUE"""),"Mr.")</f>
        <v>Mr.</v>
      </c>
      <c r="E54" t="str">
        <f>IFERROR(__xludf.DUMMYFUNCTION("""COMPUTED_VALUE"""),"Wipat")</f>
        <v>Wipat</v>
      </c>
      <c r="F54" t="str">
        <f>IFERROR(__xludf.DUMMYFUNCTION("""COMPUTED_VALUE"""),"Lurkasemsuk")</f>
        <v>Lurkasemsuk</v>
      </c>
      <c r="G54" t="str">
        <f>IFERROR(__xludf.DUMMYFUNCTION("""COMPUTED_VALUE"""),"Wipat Lurkasemsuk")</f>
        <v>Wipat Lurkasemsuk</v>
      </c>
      <c r="H54" t="str">
        <f>IFERROR(__xludf.DUMMYFUNCTION("""COMPUTED_VALUE"""),"นาย")</f>
        <v>นาย</v>
      </c>
      <c r="I54" t="str">
        <f>IFERROR(__xludf.DUMMYFUNCTION("""COMPUTED_VALUE"""),"วิพัฒน์")</f>
        <v>วิพัฒน์</v>
      </c>
      <c r="J54" t="str">
        <f>IFERROR(__xludf.DUMMYFUNCTION("""COMPUTED_VALUE"""),"ลือเกษมสุข")</f>
        <v>ลือเกษมสุข</v>
      </c>
      <c r="K54" t="str">
        <f>IFERROR(__xludf.DUMMYFUNCTION("""COMPUTED_VALUE"""),"วิพัฒน์ ลือเกษมสุข")</f>
        <v>วิพัฒน์ ลือเกษมสุข</v>
      </c>
      <c r="L54" t="str">
        <f>IFERROR(__xludf.DUMMYFUNCTION("""COMPUTED_VALUE"""),"Kelly")</f>
        <v>Kelly</v>
      </c>
      <c r="M54" t="str">
        <f>IFERROR(__xludf.DUMMYFUNCTION("""COMPUTED_VALUE"""),"Senior Cabin Crew")</f>
        <v>Senior Cabin Crew</v>
      </c>
      <c r="N54" t="str">
        <f>IFERROR(__xludf.DUMMYFUNCTION("""COMPUTED_VALUE"""),"DMK")</f>
        <v>DMK</v>
      </c>
      <c r="O54" s="145" t="str">
        <f>IFERROR(__xludf.DUMMYFUNCTION("""COMPUTED_VALUE"""),"Um Home")</f>
        <v>Um Home</v>
      </c>
      <c r="P54" t="str">
        <f>IFERROR(__xludf.DUMMYFUNCTION("""COMPUTED_VALUE"""),"Active")</f>
        <v>Active</v>
      </c>
      <c r="R54" s="143">
        <f>IFERROR(__xludf.DUMMYFUNCTION("""COMPUTED_VALUE"""),29554.0)</f>
        <v>29554</v>
      </c>
      <c r="S54" s="146" t="str">
        <f>IFERROR(__xludf.DUMMYFUNCTION("""COMPUTED_VALUE"""),"084 641 1400")</f>
        <v>084 641 1400</v>
      </c>
      <c r="T54" s="147" t="str">
        <f>IFERROR(__xludf.DUMMYFUNCTION("""COMPUTED_VALUE"""),"5950500-00-1084")</f>
        <v>5950500-00-1084</v>
      </c>
      <c r="U54" t="str">
        <f>IFERROR(__xludf.DUMMYFUNCTION("""COMPUTED_VALUE"""),"AD1673882")</f>
        <v>AD1673882</v>
      </c>
      <c r="V54" s="148">
        <f>IFERROR(__xludf.DUMMYFUNCTION("""COMPUTED_VALUE"""),45328.0)</f>
        <v>45328</v>
      </c>
      <c r="W54" s="148">
        <f>IFERROR(__xludf.DUMMYFUNCTION("""COMPUTED_VALUE"""),48980.0)</f>
        <v>48980</v>
      </c>
      <c r="X54" s="149">
        <f>IFERROR(__xludf.DUMMYFUNCTION("""COMPUTED_VALUE"""),48796.0)</f>
        <v>48796</v>
      </c>
      <c r="Y54" t="str">
        <f>IFERROR(__xludf.DUMMYFUNCTION("""COMPUTED_VALUE"""),"ปลอดภัย")</f>
        <v>ปลอดภัย</v>
      </c>
      <c r="Z54" t="str">
        <f>IFERROR(__xludf.DUMMYFUNCTION("""COMPUTED_VALUE"""),"Yala Province")</f>
        <v>Yala Province</v>
      </c>
      <c r="AA54" t="str">
        <f>IFERROR(__xludf.DUMMYFUNCTION("""COMPUTED_VALUE"""),"สวนหลวง")</f>
        <v>สวนหลวง</v>
      </c>
      <c r="AB54" t="str">
        <f>IFERROR(__xludf.DUMMYFUNCTION("""COMPUTED_VALUE"""),"084 964 2098")</f>
        <v>084 964 2098</v>
      </c>
      <c r="AC54" t="str">
        <f>IFERROR(__xludf.DUMMYFUNCTION("""COMPUTED_VALUE"""),"พี่สาว")</f>
        <v>พี่สาว</v>
      </c>
      <c r="AD54" t="str">
        <f>IFERROR(__xludf.DUMMYFUNCTION("""COMPUTED_VALUE"""),"wipatl@airasia.com")</f>
        <v>wipatl@airasia.com</v>
      </c>
    </row>
    <row r="55">
      <c r="AD55" t="str">
        <f>IFERROR(__xludf.DUMMYFUNCTION("""COMPUTED_VALUE"""),"")</f>
        <v/>
      </c>
    </row>
    <row r="56">
      <c r="A56" s="142">
        <f>IFERROR(__xludf.DUMMYFUNCTION("""COMPUTED_VALUE"""),15.0)</f>
        <v>15</v>
      </c>
      <c r="B56" t="str">
        <f>IFERROR(__xludf.DUMMYFUNCTION("""COMPUTED_VALUE"""),"TAA1348")</f>
        <v>TAA1348</v>
      </c>
      <c r="C56">
        <f>IFERROR(__xludf.DUMMYFUNCTION("""COMPUTED_VALUE"""),1001391.0)</f>
        <v>1001391</v>
      </c>
      <c r="D56" t="str">
        <f>IFERROR(__xludf.DUMMYFUNCTION("""COMPUTED_VALUE"""),"Ms.")</f>
        <v>Ms.</v>
      </c>
      <c r="E56" t="str">
        <f>IFERROR(__xludf.DUMMYFUNCTION("""COMPUTED_VALUE"""),"Fontip")</f>
        <v>Fontip</v>
      </c>
      <c r="F56" t="str">
        <f>IFERROR(__xludf.DUMMYFUNCTION("""COMPUTED_VALUE"""),"Siriudomseth")</f>
        <v>Siriudomseth</v>
      </c>
      <c r="G56" t="str">
        <f>IFERROR(__xludf.DUMMYFUNCTION("""COMPUTED_VALUE"""),"Fontip Siriudomseth")</f>
        <v>Fontip Siriudomseth</v>
      </c>
      <c r="H56" t="str">
        <f>IFERROR(__xludf.DUMMYFUNCTION("""COMPUTED_VALUE"""),"นางสาว")</f>
        <v>นางสาว</v>
      </c>
      <c r="I56" t="str">
        <f>IFERROR(__xludf.DUMMYFUNCTION("""COMPUTED_VALUE"""),"ฝนทิพย์")</f>
        <v>ฝนทิพย์</v>
      </c>
      <c r="J56" t="str">
        <f>IFERROR(__xludf.DUMMYFUNCTION("""COMPUTED_VALUE"""),"ศิริอุดมเศรษฐ")</f>
        <v>ศิริอุดมเศรษฐ</v>
      </c>
      <c r="K56" t="str">
        <f>IFERROR(__xludf.DUMMYFUNCTION("""COMPUTED_VALUE"""),"ฝนทิพย์ ศิริอุดมเศรษฐ")</f>
        <v>ฝนทิพย์ ศิริอุดมเศรษฐ</v>
      </c>
      <c r="L56" t="str">
        <f>IFERROR(__xludf.DUMMYFUNCTION("""COMPUTED_VALUE"""),"Fon")</f>
        <v>Fon</v>
      </c>
      <c r="M56" t="str">
        <f>IFERROR(__xludf.DUMMYFUNCTION("""COMPUTED_VALUE"""),"Senior Cabin Crew - BKK")</f>
        <v>Senior Cabin Crew - BKK</v>
      </c>
      <c r="N56" t="str">
        <f>IFERROR(__xludf.DUMMYFUNCTION("""COMPUTED_VALUE"""),"BKK")</f>
        <v>BKK</v>
      </c>
      <c r="O56" s="145" t="str">
        <f>IFERROR(__xludf.DUMMYFUNCTION("""COMPUTED_VALUE"""),"Nhui Home")</f>
        <v>Nhui Home</v>
      </c>
      <c r="P56" t="str">
        <f>IFERROR(__xludf.DUMMYFUNCTION("""COMPUTED_VALUE"""),"Active")</f>
        <v>Active</v>
      </c>
      <c r="R56" s="143">
        <f>IFERROR(__xludf.DUMMYFUNCTION("""COMPUTED_VALUE"""),30609.0)</f>
        <v>30609</v>
      </c>
      <c r="S56" s="146" t="str">
        <f>IFERROR(__xludf.DUMMYFUNCTION("""COMPUTED_VALUE"""),"089 245 2326")</f>
        <v>089 245 2326</v>
      </c>
      <c r="T56" s="147" t="str">
        <f>IFERROR(__xludf.DUMMYFUNCTION("""COMPUTED_VALUE"""),"5101799-02-2544")</f>
        <v>5101799-02-2544</v>
      </c>
      <c r="U56" t="str">
        <f>IFERROR(__xludf.DUMMYFUNCTION("""COMPUTED_VALUE"""),"AC4602208")</f>
        <v>AC4602208</v>
      </c>
      <c r="V56" s="148">
        <f>IFERROR(__xludf.DUMMYFUNCTION("""COMPUTED_VALUE"""),44998.0)</f>
        <v>44998</v>
      </c>
      <c r="W56" s="148">
        <f>IFERROR(__xludf.DUMMYFUNCTION("""COMPUTED_VALUE"""),48650.0)</f>
        <v>48650</v>
      </c>
      <c r="X56" s="149">
        <f>IFERROR(__xludf.DUMMYFUNCTION("""COMPUTED_VALUE"""),48469.0)</f>
        <v>48469</v>
      </c>
      <c r="Y56" t="str">
        <f>IFERROR(__xludf.DUMMYFUNCTION("""COMPUTED_VALUE"""),"ปลอดภัย")</f>
        <v>ปลอดภัย</v>
      </c>
      <c r="Z56" t="str">
        <f>IFERROR(__xludf.DUMMYFUNCTION("""COMPUTED_VALUE"""),"Bangkok")</f>
        <v>Bangkok</v>
      </c>
      <c r="AA56" t="str">
        <f>IFERROR(__xludf.DUMMYFUNCTION("""COMPUTED_VALUE"""),"บางกะปิ")</f>
        <v>บางกะปิ</v>
      </c>
      <c r="AB56" t="str">
        <f>IFERROR(__xludf.DUMMYFUNCTION("""COMPUTED_VALUE"""),"081 843 6177")</f>
        <v>081 843 6177</v>
      </c>
      <c r="AC56" t="str">
        <f>IFERROR(__xludf.DUMMYFUNCTION("""COMPUTED_VALUE"""),"สามี")</f>
        <v>สามี</v>
      </c>
      <c r="AD56" t="str">
        <f>IFERROR(__xludf.DUMMYFUNCTION("""COMPUTED_VALUE"""),"fontips@airasia.com")</f>
        <v>fontips@airasia.com</v>
      </c>
    </row>
    <row r="57">
      <c r="A57" s="142">
        <f>IFERROR(__xludf.DUMMYFUNCTION("""COMPUTED_VALUE"""),15.0)</f>
        <v>15</v>
      </c>
      <c r="B57" t="str">
        <f>IFERROR(__xludf.DUMMYFUNCTION("""COMPUTED_VALUE"""),"TAA1355")</f>
        <v>TAA1355</v>
      </c>
      <c r="C57">
        <f>IFERROR(__xludf.DUMMYFUNCTION("""COMPUTED_VALUE"""),1001392.0)</f>
        <v>1001392</v>
      </c>
      <c r="D57" t="str">
        <f>IFERROR(__xludf.DUMMYFUNCTION("""COMPUTED_VALUE"""),"Ms.")</f>
        <v>Ms.</v>
      </c>
      <c r="E57" t="str">
        <f>IFERROR(__xludf.DUMMYFUNCTION("""COMPUTED_VALUE"""),"Hataitip")</f>
        <v>Hataitip</v>
      </c>
      <c r="F57" t="str">
        <f>IFERROR(__xludf.DUMMYFUNCTION("""COMPUTED_VALUE"""),"Chaichana")</f>
        <v>Chaichana</v>
      </c>
      <c r="G57" t="str">
        <f>IFERROR(__xludf.DUMMYFUNCTION("""COMPUTED_VALUE"""),"Hataitip Chaichana")</f>
        <v>Hataitip Chaichana</v>
      </c>
      <c r="H57" t="str">
        <f>IFERROR(__xludf.DUMMYFUNCTION("""COMPUTED_VALUE"""),"นางสาว")</f>
        <v>นางสาว</v>
      </c>
      <c r="I57" t="str">
        <f>IFERROR(__xludf.DUMMYFUNCTION("""COMPUTED_VALUE"""),"หทัยทิพย์")</f>
        <v>หทัยทิพย์</v>
      </c>
      <c r="J57" t="str">
        <f>IFERROR(__xludf.DUMMYFUNCTION("""COMPUTED_VALUE"""),"ชัยชนะ")</f>
        <v>ชัยชนะ</v>
      </c>
      <c r="K57" t="str">
        <f>IFERROR(__xludf.DUMMYFUNCTION("""COMPUTED_VALUE"""),"หทัยทิพย์ ชัยชนะ")</f>
        <v>หทัยทิพย์ ชัยชนะ</v>
      </c>
      <c r="L57" t="str">
        <f>IFERROR(__xludf.DUMMYFUNCTION("""COMPUTED_VALUE"""),"Noon")</f>
        <v>Noon</v>
      </c>
      <c r="M57" t="str">
        <f>IFERROR(__xludf.DUMMYFUNCTION("""COMPUTED_VALUE"""),"Senior Cabin Crew")</f>
        <v>Senior Cabin Crew</v>
      </c>
      <c r="N57" t="str">
        <f>IFERROR(__xludf.DUMMYFUNCTION("""COMPUTED_VALUE"""),"DMK")</f>
        <v>DMK</v>
      </c>
      <c r="O57" s="145" t="str">
        <f>IFERROR(__xludf.DUMMYFUNCTION("""COMPUTED_VALUE"""),"Um Home")</f>
        <v>Um Home</v>
      </c>
      <c r="P57" t="str">
        <f>IFERROR(__xludf.DUMMYFUNCTION("""COMPUTED_VALUE"""),"Active")</f>
        <v>Active</v>
      </c>
      <c r="R57" s="143">
        <f>IFERROR(__xludf.DUMMYFUNCTION("""COMPUTED_VALUE"""),31071.0)</f>
        <v>31071</v>
      </c>
      <c r="S57" s="146" t="str">
        <f>IFERROR(__xludf.DUMMYFUNCTION("""COMPUTED_VALUE"""),"094 646 2244")</f>
        <v>094 646 2244</v>
      </c>
      <c r="T57" s="147" t="str">
        <f>IFERROR(__xludf.DUMMYFUNCTION("""COMPUTED_VALUE"""),"1509900-15-2771")</f>
        <v>1509900-15-2771</v>
      </c>
      <c r="U57" t="str">
        <f>IFERROR(__xludf.DUMMYFUNCTION("""COMPUTED_VALUE"""),"AC6246980")</f>
        <v>AC6246980</v>
      </c>
      <c r="V57" s="150">
        <f>IFERROR(__xludf.DUMMYFUNCTION("""COMPUTED_VALUE"""),45309.0)</f>
        <v>45309</v>
      </c>
      <c r="W57" s="148">
        <f>IFERROR(__xludf.DUMMYFUNCTION("""COMPUTED_VALUE"""),48961.0)</f>
        <v>48961</v>
      </c>
      <c r="X57" s="149">
        <f>IFERROR(__xludf.DUMMYFUNCTION("""COMPUTED_VALUE"""),48777.0)</f>
        <v>48777</v>
      </c>
      <c r="Y57" t="str">
        <f>IFERROR(__xludf.DUMMYFUNCTION("""COMPUTED_VALUE"""),"ปลอดภัย")</f>
        <v>ปลอดภัย</v>
      </c>
      <c r="Z57" t="str">
        <f>IFERROR(__xludf.DUMMYFUNCTION("""COMPUTED_VALUE"""),"Chiang Mai Province")</f>
        <v>Chiang Mai Province</v>
      </c>
      <c r="AA57" t="str">
        <f>IFERROR(__xludf.DUMMYFUNCTION("""COMPUTED_VALUE"""),"บางกะปิ")</f>
        <v>บางกะปิ</v>
      </c>
      <c r="AB57" t="str">
        <f>IFERROR(__xludf.DUMMYFUNCTION("""COMPUTED_VALUE"""),"087 516 5665")</f>
        <v>087 516 5665</v>
      </c>
      <c r="AC57" t="str">
        <f>IFERROR(__xludf.DUMMYFUNCTION("""COMPUTED_VALUE"""),"สามี")</f>
        <v>สามี</v>
      </c>
      <c r="AD57" t="str">
        <f>IFERROR(__xludf.DUMMYFUNCTION("""COMPUTED_VALUE"""),"hataitipc@airasia.com")</f>
        <v>hataitipc@airasia.com</v>
      </c>
    </row>
    <row r="58">
      <c r="A58" s="142">
        <f>IFERROR(__xludf.DUMMYFUNCTION("""COMPUTED_VALUE"""),15.0)</f>
        <v>15</v>
      </c>
      <c r="B58" t="str">
        <f>IFERROR(__xludf.DUMMYFUNCTION("""COMPUTED_VALUE"""),"TAA1357")</f>
        <v>TAA1357</v>
      </c>
      <c r="C58">
        <f>IFERROR(__xludf.DUMMYFUNCTION("""COMPUTED_VALUE"""),1001393.0)</f>
        <v>1001393</v>
      </c>
      <c r="D58" t="str">
        <f>IFERROR(__xludf.DUMMYFUNCTION("""COMPUTED_VALUE"""),"Ms.")</f>
        <v>Ms.</v>
      </c>
      <c r="E58" t="str">
        <f>IFERROR(__xludf.DUMMYFUNCTION("""COMPUTED_VALUE"""),"Natthima")</f>
        <v>Natthima</v>
      </c>
      <c r="F58" t="str">
        <f>IFERROR(__xludf.DUMMYFUNCTION("""COMPUTED_VALUE"""),"Dolchalermkiat")</f>
        <v>Dolchalermkiat</v>
      </c>
      <c r="G58" t="str">
        <f>IFERROR(__xludf.DUMMYFUNCTION("""COMPUTED_VALUE"""),"Natthima Dolchalermkiat")</f>
        <v>Natthima Dolchalermkiat</v>
      </c>
      <c r="H58" t="str">
        <f>IFERROR(__xludf.DUMMYFUNCTION("""COMPUTED_VALUE"""),"นางสาว")</f>
        <v>นางสาว</v>
      </c>
      <c r="I58" t="str">
        <f>IFERROR(__xludf.DUMMYFUNCTION("""COMPUTED_VALUE"""),"ณัฏฐิมา")</f>
        <v>ณัฏฐิมา</v>
      </c>
      <c r="J58" t="str">
        <f>IFERROR(__xludf.DUMMYFUNCTION("""COMPUTED_VALUE"""),"ดลเฉลิมเกียรติ")</f>
        <v>ดลเฉลิมเกียรติ</v>
      </c>
      <c r="K58" t="str">
        <f>IFERROR(__xludf.DUMMYFUNCTION("""COMPUTED_VALUE"""),"ณัฏฐิมา ดลเฉลิมเกียรติ")</f>
        <v>ณัฏฐิมา ดลเฉลิมเกียรติ</v>
      </c>
      <c r="L58" t="str">
        <f>IFERROR(__xludf.DUMMYFUNCTION("""COMPUTED_VALUE"""),"June")</f>
        <v>June</v>
      </c>
      <c r="M58" t="str">
        <f>IFERROR(__xludf.DUMMYFUNCTION("""COMPUTED_VALUE"""),"Senior Cabin Crew")</f>
        <v>Senior Cabin Crew</v>
      </c>
      <c r="N58" t="str">
        <f>IFERROR(__xludf.DUMMYFUNCTION("""COMPUTED_VALUE"""),"DMK")</f>
        <v>DMK</v>
      </c>
      <c r="O58" s="145" t="str">
        <f>IFERROR(__xludf.DUMMYFUNCTION("""COMPUTED_VALUE"""),"Toffy Home")</f>
        <v>Toffy Home</v>
      </c>
      <c r="P58" t="str">
        <f>IFERROR(__xludf.DUMMYFUNCTION("""COMPUTED_VALUE"""),"Active")</f>
        <v>Active</v>
      </c>
      <c r="Q58" t="str">
        <f>IFERROR(__xludf.DUMMYFUNCTION("""COMPUTED_VALUE"""),"Chinese Speaking")</f>
        <v>Chinese Speaking</v>
      </c>
      <c r="R58" s="143">
        <f>IFERROR(__xludf.DUMMYFUNCTION("""COMPUTED_VALUE"""),30743.0)</f>
        <v>30743</v>
      </c>
      <c r="S58" s="146" t="str">
        <f>IFERROR(__xludf.DUMMYFUNCTION("""COMPUTED_VALUE"""),"085 826 9159")</f>
        <v>085 826 9159</v>
      </c>
      <c r="T58" s="147" t="str">
        <f>IFERROR(__xludf.DUMMYFUNCTION("""COMPUTED_VALUE"""),"1100400-01-6149")</f>
        <v>1100400-01-6149</v>
      </c>
      <c r="U58" t="str">
        <f>IFERROR(__xludf.DUMMYFUNCTION("""COMPUTED_VALUE"""),"AC6740504")</f>
        <v>AC6740504</v>
      </c>
      <c r="V58" s="148">
        <f>IFERROR(__xludf.DUMMYFUNCTION("""COMPUTED_VALUE"""),45420.0)</f>
        <v>45420</v>
      </c>
      <c r="W58" s="148">
        <f>IFERROR(__xludf.DUMMYFUNCTION("""COMPUTED_VALUE"""),49071.0)</f>
        <v>49071</v>
      </c>
      <c r="X58" s="149">
        <f>IFERROR(__xludf.DUMMYFUNCTION("""COMPUTED_VALUE"""),48890.0)</f>
        <v>48890</v>
      </c>
      <c r="Y58" t="str">
        <f>IFERROR(__xludf.DUMMYFUNCTION("""COMPUTED_VALUE"""),"ปลอดภัย")</f>
        <v>ปลอดภัย</v>
      </c>
      <c r="Z58" t="str">
        <f>IFERROR(__xludf.DUMMYFUNCTION("""COMPUTED_VALUE"""),"Bangkok")</f>
        <v>Bangkok</v>
      </c>
      <c r="AA58" t="str">
        <f>IFERROR(__xludf.DUMMYFUNCTION("""COMPUTED_VALUE"""),"สาธร")</f>
        <v>สาธร</v>
      </c>
      <c r="AB58" t="str">
        <f>IFERROR(__xludf.DUMMYFUNCTION("""COMPUTED_VALUE"""),"02 211 4252")</f>
        <v>02 211 4252</v>
      </c>
      <c r="AC58" t="str">
        <f>IFERROR(__xludf.DUMMYFUNCTION("""COMPUTED_VALUE"""),"แม่")</f>
        <v>แม่</v>
      </c>
      <c r="AD58" t="str">
        <f>IFERROR(__xludf.DUMMYFUNCTION("""COMPUTED_VALUE"""),"natthimad@airasia.com")</f>
        <v>natthimad@airasia.com</v>
      </c>
    </row>
    <row r="59">
      <c r="A59" s="142">
        <f>IFERROR(__xludf.DUMMYFUNCTION("""COMPUTED_VALUE"""),15.0)</f>
        <v>15</v>
      </c>
      <c r="B59" t="str">
        <f>IFERROR(__xludf.DUMMYFUNCTION("""COMPUTED_VALUE"""),"TAA1349")</f>
        <v>TAA1349</v>
      </c>
      <c r="C59">
        <f>IFERROR(__xludf.DUMMYFUNCTION("""COMPUTED_VALUE"""),1001394.0)</f>
        <v>1001394</v>
      </c>
      <c r="D59" t="str">
        <f>IFERROR(__xludf.DUMMYFUNCTION("""COMPUTED_VALUE"""),"Ms.")</f>
        <v>Ms.</v>
      </c>
      <c r="E59" t="str">
        <f>IFERROR(__xludf.DUMMYFUNCTION("""COMPUTED_VALUE"""),"Noppawan")</f>
        <v>Noppawan</v>
      </c>
      <c r="F59" t="str">
        <f>IFERROR(__xludf.DUMMYFUNCTION("""COMPUTED_VALUE"""),"Sangpiroon")</f>
        <v>Sangpiroon</v>
      </c>
      <c r="G59" t="str">
        <f>IFERROR(__xludf.DUMMYFUNCTION("""COMPUTED_VALUE"""),"Noppawan Sangpiroon")</f>
        <v>Noppawan Sangpiroon</v>
      </c>
      <c r="H59" t="str">
        <f>IFERROR(__xludf.DUMMYFUNCTION("""COMPUTED_VALUE"""),"นางสาว")</f>
        <v>นางสาว</v>
      </c>
      <c r="I59" t="str">
        <f>IFERROR(__xludf.DUMMYFUNCTION("""COMPUTED_VALUE"""),"นพวรรณ")</f>
        <v>นพวรรณ</v>
      </c>
      <c r="J59" t="str">
        <f>IFERROR(__xludf.DUMMYFUNCTION("""COMPUTED_VALUE"""),"แสงพิรุณ")</f>
        <v>แสงพิรุณ</v>
      </c>
      <c r="K59" t="str">
        <f>IFERROR(__xludf.DUMMYFUNCTION("""COMPUTED_VALUE"""),"นพวรรณ แสงพิรุณ")</f>
        <v>นพวรรณ แสงพิรุณ</v>
      </c>
      <c r="L59" t="str">
        <f>IFERROR(__xludf.DUMMYFUNCTION("""COMPUTED_VALUE"""),"Nui")</f>
        <v>Nui</v>
      </c>
      <c r="M59" t="str">
        <f>IFERROR(__xludf.DUMMYFUNCTION("""COMPUTED_VALUE"""),"Senior Cabin Crew")</f>
        <v>Senior Cabin Crew</v>
      </c>
      <c r="N59" t="str">
        <f>IFERROR(__xludf.DUMMYFUNCTION("""COMPUTED_VALUE"""),"DMK")</f>
        <v>DMK</v>
      </c>
      <c r="O59" s="145" t="str">
        <f>IFERROR(__xludf.DUMMYFUNCTION("""COMPUTED_VALUE"""),"Toffy Home")</f>
        <v>Toffy Home</v>
      </c>
      <c r="P59" t="str">
        <f>IFERROR(__xludf.DUMMYFUNCTION("""COMPUTED_VALUE"""),"Active")</f>
        <v>Active</v>
      </c>
      <c r="R59" s="143">
        <f>IFERROR(__xludf.DUMMYFUNCTION("""COMPUTED_VALUE"""),30627.0)</f>
        <v>30627</v>
      </c>
      <c r="S59" s="146" t="str">
        <f>IFERROR(__xludf.DUMMYFUNCTION("""COMPUTED_VALUE"""),"088 241 6944")</f>
        <v>088 241 6944</v>
      </c>
      <c r="T59" s="147" t="str">
        <f>IFERROR(__xludf.DUMMYFUNCTION("""COMPUTED_VALUE"""),"3100501-51-5431")</f>
        <v>3100501-51-5431</v>
      </c>
      <c r="U59" t="str">
        <f>IFERROR(__xludf.DUMMYFUNCTION("""COMPUTED_VALUE"""),"AD1845500")</f>
        <v>AD1845500</v>
      </c>
      <c r="V59" s="148">
        <f>IFERROR(__xludf.DUMMYFUNCTION("""COMPUTED_VALUE"""),45473.0)</f>
        <v>45473</v>
      </c>
      <c r="W59" s="148">
        <f>IFERROR(__xludf.DUMMYFUNCTION("""COMPUTED_VALUE"""),49124.0)</f>
        <v>49124</v>
      </c>
      <c r="X59" s="149">
        <f>IFERROR(__xludf.DUMMYFUNCTION("""COMPUTED_VALUE"""),48942.0)</f>
        <v>48942</v>
      </c>
      <c r="Y59" t="str">
        <f>IFERROR(__xludf.DUMMYFUNCTION("""COMPUTED_VALUE"""),"ปลอดภัย")</f>
        <v>ปลอดภัย</v>
      </c>
      <c r="Z59" t="str">
        <f>IFERROR(__xludf.DUMMYFUNCTION("""COMPUTED_VALUE"""),"Bangkok")</f>
        <v>Bangkok</v>
      </c>
      <c r="AA59" t="str">
        <f>IFERROR(__xludf.DUMMYFUNCTION("""COMPUTED_VALUE"""),"ลำลูกกา")</f>
        <v>ลำลูกกา</v>
      </c>
      <c r="AB59" t="str">
        <f>IFERROR(__xludf.DUMMYFUNCTION("""COMPUTED_VALUE"""),"081 668 8827")</f>
        <v>081 668 8827</v>
      </c>
      <c r="AC59" t="str">
        <f>IFERROR(__xludf.DUMMYFUNCTION("""COMPUTED_VALUE"""),"แม่")</f>
        <v>แม่</v>
      </c>
      <c r="AD59" t="str">
        <f>IFERROR(__xludf.DUMMYFUNCTION("""COMPUTED_VALUE"""),"noppawans@airasia.com")</f>
        <v>noppawans@airasia.com</v>
      </c>
    </row>
    <row r="60">
      <c r="A60" s="142">
        <f>IFERROR(__xludf.DUMMYFUNCTION("""COMPUTED_VALUE"""),15.0)</f>
        <v>15</v>
      </c>
      <c r="B60" t="str">
        <f>IFERROR(__xludf.DUMMYFUNCTION("""COMPUTED_VALUE"""),"TAA1354")</f>
        <v>TAA1354</v>
      </c>
      <c r="C60">
        <f>IFERROR(__xludf.DUMMYFUNCTION("""COMPUTED_VALUE"""),1001395.0)</f>
        <v>1001395</v>
      </c>
      <c r="D60" t="str">
        <f>IFERROR(__xludf.DUMMYFUNCTION("""COMPUTED_VALUE"""),"Ms.")</f>
        <v>Ms.</v>
      </c>
      <c r="E60" t="str">
        <f>IFERROR(__xludf.DUMMYFUNCTION("""COMPUTED_VALUE"""),"Phadsawan")</f>
        <v>Phadsawan</v>
      </c>
      <c r="F60" t="str">
        <f>IFERROR(__xludf.DUMMYFUNCTION("""COMPUTED_VALUE"""),"Inthaphun")</f>
        <v>Inthaphun</v>
      </c>
      <c r="G60" t="str">
        <f>IFERROR(__xludf.DUMMYFUNCTION("""COMPUTED_VALUE"""),"Phadsawan Inthaphun")</f>
        <v>Phadsawan Inthaphun</v>
      </c>
      <c r="H60" t="str">
        <f>IFERROR(__xludf.DUMMYFUNCTION("""COMPUTED_VALUE"""),"นางสาว")</f>
        <v>นางสาว</v>
      </c>
      <c r="I60" t="str">
        <f>IFERROR(__xludf.DUMMYFUNCTION("""COMPUTED_VALUE"""),"ภาสวรรณ")</f>
        <v>ภาสวรรณ</v>
      </c>
      <c r="J60" t="str">
        <f>IFERROR(__xludf.DUMMYFUNCTION("""COMPUTED_VALUE"""),"อินทพันธุ์")</f>
        <v>อินทพันธุ์</v>
      </c>
      <c r="K60" t="str">
        <f>IFERROR(__xludf.DUMMYFUNCTION("""COMPUTED_VALUE"""),"ภาสวรรณ อินทพันธุ์")</f>
        <v>ภาสวรรณ อินทพันธุ์</v>
      </c>
      <c r="L60" t="str">
        <f>IFERROR(__xludf.DUMMYFUNCTION("""COMPUTED_VALUE"""),"Yim")</f>
        <v>Yim</v>
      </c>
      <c r="M60" t="str">
        <f>IFERROR(__xludf.DUMMYFUNCTION("""COMPUTED_VALUE"""),"Cabin Crew - HKT")</f>
        <v>Cabin Crew - HKT</v>
      </c>
      <c r="N60" t="str">
        <f>IFERROR(__xludf.DUMMYFUNCTION("""COMPUTED_VALUE"""),"HKT")</f>
        <v>HKT</v>
      </c>
      <c r="O60" s="145" t="str">
        <f>IFERROR(__xludf.DUMMYFUNCTION("""COMPUTED_VALUE"""),"Kor Home")</f>
        <v>Kor Home</v>
      </c>
      <c r="P60" t="str">
        <f>IFERROR(__xludf.DUMMYFUNCTION("""COMPUTED_VALUE"""),"Active")</f>
        <v>Active</v>
      </c>
      <c r="R60" s="143">
        <f>IFERROR(__xludf.DUMMYFUNCTION("""COMPUTED_VALUE"""),30411.0)</f>
        <v>30411</v>
      </c>
      <c r="S60" s="146" t="str">
        <f>IFERROR(__xludf.DUMMYFUNCTION("""COMPUTED_VALUE"""),"085 241 6969")</f>
        <v>085 241 6969</v>
      </c>
      <c r="T60" s="147" t="str">
        <f>IFERROR(__xludf.DUMMYFUNCTION("""COMPUTED_VALUE"""),"3560600-33-6981")</f>
        <v>3560600-33-6981</v>
      </c>
      <c r="U60" t="str">
        <f>IFERROR(__xludf.DUMMYFUNCTION("""COMPUTED_VALUE"""),"AC4403277")</f>
        <v>AC4403277</v>
      </c>
      <c r="V60" s="148">
        <f>IFERROR(__xludf.DUMMYFUNCTION("""COMPUTED_VALUE"""),44944.0)</f>
        <v>44944</v>
      </c>
      <c r="W60" s="148">
        <f>IFERROR(__xludf.DUMMYFUNCTION("""COMPUTED_VALUE"""),48596.0)</f>
        <v>48596</v>
      </c>
      <c r="X60" s="149">
        <f>IFERROR(__xludf.DUMMYFUNCTION("""COMPUTED_VALUE"""),48412.0)</f>
        <v>48412</v>
      </c>
      <c r="Y60" t="str">
        <f>IFERROR(__xludf.DUMMYFUNCTION("""COMPUTED_VALUE"""),"ปลอดภัย")</f>
        <v>ปลอดภัย</v>
      </c>
      <c r="Z60" t="str">
        <f>IFERROR(__xludf.DUMMYFUNCTION("""COMPUTED_VALUE"""),"Phayao Province")</f>
        <v>Phayao Province</v>
      </c>
      <c r="AA60" t="str">
        <f>IFERROR(__xludf.DUMMYFUNCTION("""COMPUTED_VALUE"""),"ลาดพร้าว")</f>
        <v>ลาดพร้าว</v>
      </c>
      <c r="AB60" t="str">
        <f>IFERROR(__xludf.DUMMYFUNCTION("""COMPUTED_VALUE"""),"! Update !")</f>
        <v>! Update !</v>
      </c>
      <c r="AC60" t="str">
        <f>IFERROR(__xludf.DUMMYFUNCTION("""COMPUTED_VALUE"""),"! Update !")</f>
        <v>! Update !</v>
      </c>
      <c r="AD60" t="str">
        <f>IFERROR(__xludf.DUMMYFUNCTION("""COMPUTED_VALUE"""),"phadsawani@airasia.com")</f>
        <v>phadsawani@airasia.com</v>
      </c>
    </row>
    <row r="61">
      <c r="A61" s="142">
        <f>IFERROR(__xludf.DUMMYFUNCTION("""COMPUTED_VALUE"""),15.0)</f>
        <v>15</v>
      </c>
      <c r="B61" t="str">
        <f>IFERROR(__xludf.DUMMYFUNCTION("""COMPUTED_VALUE"""),"TAA1346")</f>
        <v>TAA1346</v>
      </c>
      <c r="C61">
        <f>IFERROR(__xludf.DUMMYFUNCTION("""COMPUTED_VALUE"""),1001397.0)</f>
        <v>1001397</v>
      </c>
      <c r="D61" t="str">
        <f>IFERROR(__xludf.DUMMYFUNCTION("""COMPUTED_VALUE"""),"Ms.")</f>
        <v>Ms.</v>
      </c>
      <c r="E61" t="str">
        <f>IFERROR(__xludf.DUMMYFUNCTION("""COMPUTED_VALUE"""),"Sukanya")</f>
        <v>Sukanya</v>
      </c>
      <c r="F61" t="str">
        <f>IFERROR(__xludf.DUMMYFUNCTION("""COMPUTED_VALUE"""),"Kareepet")</f>
        <v>Kareepet</v>
      </c>
      <c r="G61" t="str">
        <f>IFERROR(__xludf.DUMMYFUNCTION("""COMPUTED_VALUE"""),"Sukanya Kareepet")</f>
        <v>Sukanya Kareepet</v>
      </c>
      <c r="H61" t="str">
        <f>IFERROR(__xludf.DUMMYFUNCTION("""COMPUTED_VALUE"""),"นางสาว")</f>
        <v>นางสาว</v>
      </c>
      <c r="I61" t="str">
        <f>IFERROR(__xludf.DUMMYFUNCTION("""COMPUTED_VALUE"""),"สุกัญญา")</f>
        <v>สุกัญญา</v>
      </c>
      <c r="J61" t="str">
        <f>IFERROR(__xludf.DUMMYFUNCTION("""COMPUTED_VALUE"""),"การีเพ็ชร์")</f>
        <v>การีเพ็ชร์</v>
      </c>
      <c r="K61" t="str">
        <f>IFERROR(__xludf.DUMMYFUNCTION("""COMPUTED_VALUE"""),"สุกัญญา การีเพ็ชร์")</f>
        <v>สุกัญญา การีเพ็ชร์</v>
      </c>
      <c r="L61" t="str">
        <f>IFERROR(__xludf.DUMMYFUNCTION("""COMPUTED_VALUE"""),"Tua")</f>
        <v>Tua</v>
      </c>
      <c r="M61" t="str">
        <f>IFERROR(__xludf.DUMMYFUNCTION("""COMPUTED_VALUE"""),"Senior Cabin Crew")</f>
        <v>Senior Cabin Crew</v>
      </c>
      <c r="N61" t="str">
        <f>IFERROR(__xludf.DUMMYFUNCTION("""COMPUTED_VALUE"""),"DMK")</f>
        <v>DMK</v>
      </c>
      <c r="O61" s="145" t="str">
        <f>IFERROR(__xludf.DUMMYFUNCTION("""COMPUTED_VALUE"""),"Kor Home")</f>
        <v>Kor Home</v>
      </c>
      <c r="P61" t="str">
        <f>IFERROR(__xludf.DUMMYFUNCTION("""COMPUTED_VALUE"""),"Active")</f>
        <v>Active</v>
      </c>
      <c r="R61" s="143">
        <f>IFERROR(__xludf.DUMMYFUNCTION("""COMPUTED_VALUE"""),28426.0)</f>
        <v>28426</v>
      </c>
      <c r="S61" s="146" t="str">
        <f>IFERROR(__xludf.DUMMYFUNCTION("""COMPUTED_VALUE"""),"089 559 6545")</f>
        <v>089 559 6545</v>
      </c>
      <c r="T61" s="147" t="str">
        <f>IFERROR(__xludf.DUMMYFUNCTION("""COMPUTED_VALUE"""),"3101500-63-4411")</f>
        <v>3101500-63-4411</v>
      </c>
      <c r="U61" t="str">
        <f>IFERROR(__xludf.DUMMYFUNCTION("""COMPUTED_VALUE"""),"AC3160509")</f>
        <v>AC3160509</v>
      </c>
      <c r="V61" s="148">
        <f>IFERROR(__xludf.DUMMYFUNCTION("""COMPUTED_VALUE"""),44700.0)</f>
        <v>44700</v>
      </c>
      <c r="W61" s="148">
        <f>IFERROR(__xludf.DUMMYFUNCTION("""COMPUTED_VALUE"""),48352.0)</f>
        <v>48352</v>
      </c>
      <c r="X61" s="149">
        <f>IFERROR(__xludf.DUMMYFUNCTION("""COMPUTED_VALUE"""),48170.0)</f>
        <v>48170</v>
      </c>
      <c r="Y61" t="str">
        <f>IFERROR(__xludf.DUMMYFUNCTION("""COMPUTED_VALUE"""),"ปลอดภัย")</f>
        <v>ปลอดภัย</v>
      </c>
      <c r="Z61" t="str">
        <f>IFERROR(__xludf.DUMMYFUNCTION("""COMPUTED_VALUE"""),"Bangkok")</f>
        <v>Bangkok</v>
      </c>
      <c r="AA61" t="str">
        <f>IFERROR(__xludf.DUMMYFUNCTION("""COMPUTED_VALUE"""),"บางเสาธง")</f>
        <v>บางเสาธง</v>
      </c>
      <c r="AB61" t="str">
        <f>IFERROR(__xludf.DUMMYFUNCTION("""COMPUTED_VALUE"""),"083 887 3107")</f>
        <v>083 887 3107</v>
      </c>
      <c r="AC61" t="str">
        <f>IFERROR(__xludf.DUMMYFUNCTION("""COMPUTED_VALUE"""),"แม่")</f>
        <v>แม่</v>
      </c>
      <c r="AD61" t="str">
        <f>IFERROR(__xludf.DUMMYFUNCTION("""COMPUTED_VALUE"""),"sukanyak@airasia.com")</f>
        <v>sukanyak@airasia.com</v>
      </c>
    </row>
    <row r="62">
      <c r="AD62" t="str">
        <f>IFERROR(__xludf.DUMMYFUNCTION("""COMPUTED_VALUE"""),"")</f>
        <v/>
      </c>
    </row>
    <row r="63">
      <c r="A63" s="142">
        <f>IFERROR(__xludf.DUMMYFUNCTION("""COMPUTED_VALUE"""),16.0)</f>
        <v>16</v>
      </c>
      <c r="B63" t="str">
        <f>IFERROR(__xludf.DUMMYFUNCTION("""COMPUTED_VALUE"""),"TAA1448")</f>
        <v>TAA1448</v>
      </c>
      <c r="C63">
        <f>IFERROR(__xludf.DUMMYFUNCTION("""COMPUTED_VALUE"""),1001609.0)</f>
        <v>1001609</v>
      </c>
      <c r="D63" t="str">
        <f>IFERROR(__xludf.DUMMYFUNCTION("""COMPUTED_VALUE"""),"Ms.")</f>
        <v>Ms.</v>
      </c>
      <c r="E63" t="str">
        <f>IFERROR(__xludf.DUMMYFUNCTION("""COMPUTED_VALUE"""),"Kanya")</f>
        <v>Kanya</v>
      </c>
      <c r="F63" t="str">
        <f>IFERROR(__xludf.DUMMYFUNCTION("""COMPUTED_VALUE"""),"Vivattanatipa")</f>
        <v>Vivattanatipa</v>
      </c>
      <c r="G63" t="str">
        <f>IFERROR(__xludf.DUMMYFUNCTION("""COMPUTED_VALUE"""),"Kanya Vivattanatipa")</f>
        <v>Kanya Vivattanatipa</v>
      </c>
      <c r="H63" t="str">
        <f>IFERROR(__xludf.DUMMYFUNCTION("""COMPUTED_VALUE"""),"นางสาว")</f>
        <v>นางสาว</v>
      </c>
      <c r="I63" t="str">
        <f>IFERROR(__xludf.DUMMYFUNCTION("""COMPUTED_VALUE"""),"กัญญา")</f>
        <v>กัญญา</v>
      </c>
      <c r="J63" t="str">
        <f>IFERROR(__xludf.DUMMYFUNCTION("""COMPUTED_VALUE"""),"วิวัฒนทีปะ")</f>
        <v>วิวัฒนทีปะ</v>
      </c>
      <c r="K63" t="str">
        <f>IFERROR(__xludf.DUMMYFUNCTION("""COMPUTED_VALUE"""),"กัญญา วิวัฒนทีปะ")</f>
        <v>กัญญา วิวัฒนทีปะ</v>
      </c>
      <c r="L63" t="str">
        <f>IFERROR(__xludf.DUMMYFUNCTION("""COMPUTED_VALUE"""),"Kan")</f>
        <v>Kan</v>
      </c>
      <c r="M63" t="str">
        <f>IFERROR(__xludf.DUMMYFUNCTION("""COMPUTED_VALUE"""),"Senior Cabin Crew - BKK")</f>
        <v>Senior Cabin Crew - BKK</v>
      </c>
      <c r="N63" t="str">
        <f>IFERROR(__xludf.DUMMYFUNCTION("""COMPUTED_VALUE"""),"BKK")</f>
        <v>BKK</v>
      </c>
      <c r="O63" s="145" t="str">
        <f>IFERROR(__xludf.DUMMYFUNCTION("""COMPUTED_VALUE"""),"Nhui Home")</f>
        <v>Nhui Home</v>
      </c>
      <c r="P63" t="str">
        <f>IFERROR(__xludf.DUMMYFUNCTION("""COMPUTED_VALUE"""),"Active/V/DMK")</f>
        <v>Active/V/DMK</v>
      </c>
      <c r="Q63" t="str">
        <f>IFERROR(__xludf.DUMMYFUNCTION("""COMPUTED_VALUE"""),"Chinese Speaking")</f>
        <v>Chinese Speaking</v>
      </c>
      <c r="R63" s="143">
        <f>IFERROR(__xludf.DUMMYFUNCTION("""COMPUTED_VALUE"""),30040.0)</f>
        <v>30040</v>
      </c>
      <c r="S63" s="146" t="str">
        <f>IFERROR(__xludf.DUMMYFUNCTION("""COMPUTED_VALUE"""),"092 282 8959")</f>
        <v>092 282 8959</v>
      </c>
      <c r="T63" s="147" t="str">
        <f>IFERROR(__xludf.DUMMYFUNCTION("""COMPUTED_VALUE"""),"5100900-08-5631")</f>
        <v>5100900-08-5631</v>
      </c>
      <c r="U63" t="str">
        <f>IFERROR(__xludf.DUMMYFUNCTION("""COMPUTED_VALUE"""),"AC6207772")</f>
        <v>AC6207772</v>
      </c>
      <c r="V63" s="148">
        <f>IFERROR(__xludf.DUMMYFUNCTION("""COMPUTED_VALUE"""),45295.0)</f>
        <v>45295</v>
      </c>
      <c r="W63" s="148">
        <f>IFERROR(__xludf.DUMMYFUNCTION("""COMPUTED_VALUE"""),48947.0)</f>
        <v>48947</v>
      </c>
      <c r="X63" s="149">
        <f>IFERROR(__xludf.DUMMYFUNCTION("""COMPUTED_VALUE"""),48763.0)</f>
        <v>48763</v>
      </c>
      <c r="Y63" t="str">
        <f>IFERROR(__xludf.DUMMYFUNCTION("""COMPUTED_VALUE"""),"ปลอดภัย")</f>
        <v>ปลอดภัย</v>
      </c>
      <c r="Z63" t="str">
        <f>IFERROR(__xludf.DUMMYFUNCTION("""COMPUTED_VALUE"""),"Bangkok")</f>
        <v>Bangkok</v>
      </c>
      <c r="AA63" t="str">
        <f>IFERROR(__xludf.DUMMYFUNCTION("""COMPUTED_VALUE"""),"มีนบุรี")</f>
        <v>มีนบุรี</v>
      </c>
      <c r="AB63" t="str">
        <f>IFERROR(__xludf.DUMMYFUNCTION("""COMPUTED_VALUE"""),"02 517 0721")</f>
        <v>02 517 0721</v>
      </c>
      <c r="AC63" t="str">
        <f>IFERROR(__xludf.DUMMYFUNCTION("""COMPUTED_VALUE"""),"บ้าน")</f>
        <v>บ้าน</v>
      </c>
      <c r="AD63" t="str">
        <f>IFERROR(__xludf.DUMMYFUNCTION("""COMPUTED_VALUE"""),"kanyav@airasia.com")</f>
        <v>kanyav@airasia.com</v>
      </c>
    </row>
    <row r="64">
      <c r="A64" s="142">
        <f>IFERROR(__xludf.DUMMYFUNCTION("""COMPUTED_VALUE"""),16.0)</f>
        <v>16</v>
      </c>
      <c r="B64" t="str">
        <f>IFERROR(__xludf.DUMMYFUNCTION("""COMPUTED_VALUE"""),"TAA1439")</f>
        <v>TAA1439</v>
      </c>
      <c r="C64">
        <f>IFERROR(__xludf.DUMMYFUNCTION("""COMPUTED_VALUE"""),1001611.0)</f>
        <v>1001611</v>
      </c>
      <c r="D64" t="str">
        <f>IFERROR(__xludf.DUMMYFUNCTION("""COMPUTED_VALUE"""),"Mr.")</f>
        <v>Mr.</v>
      </c>
      <c r="E64" t="str">
        <f>IFERROR(__xludf.DUMMYFUNCTION("""COMPUTED_VALUE"""),"Nattaporl")</f>
        <v>Nattaporl</v>
      </c>
      <c r="F64" t="str">
        <f>IFERROR(__xludf.DUMMYFUNCTION("""COMPUTED_VALUE"""),"Suktalordcheep")</f>
        <v>Suktalordcheep</v>
      </c>
      <c r="G64" t="str">
        <f>IFERROR(__xludf.DUMMYFUNCTION("""COMPUTED_VALUE"""),"Nattaporl Suktalordcheep")</f>
        <v>Nattaporl Suktalordcheep</v>
      </c>
      <c r="H64" t="str">
        <f>IFERROR(__xludf.DUMMYFUNCTION("""COMPUTED_VALUE"""),"นาย")</f>
        <v>นาย</v>
      </c>
      <c r="I64" t="str">
        <f>IFERROR(__xludf.DUMMYFUNCTION("""COMPUTED_VALUE"""),"ณัฐพล")</f>
        <v>ณัฐพล</v>
      </c>
      <c r="J64" t="str">
        <f>IFERROR(__xludf.DUMMYFUNCTION("""COMPUTED_VALUE"""),"สุขตลอดชีพ")</f>
        <v>สุขตลอดชีพ</v>
      </c>
      <c r="K64" t="str">
        <f>IFERROR(__xludf.DUMMYFUNCTION("""COMPUTED_VALUE"""),"ณัฐพล สุขตลอดชีพ")</f>
        <v>ณัฐพล สุขตลอดชีพ</v>
      </c>
      <c r="L64" t="str">
        <f>IFERROR(__xludf.DUMMYFUNCTION("""COMPUTED_VALUE"""),"Champ")</f>
        <v>Champ</v>
      </c>
      <c r="M64" t="str">
        <f>IFERROR(__xludf.DUMMYFUNCTION("""COMPUTED_VALUE"""),"Cabin Crew")</f>
        <v>Cabin Crew</v>
      </c>
      <c r="N64" t="str">
        <f>IFERROR(__xludf.DUMMYFUNCTION("""COMPUTED_VALUE"""),"DMK")</f>
        <v>DMK</v>
      </c>
      <c r="O64" s="145" t="str">
        <f>IFERROR(__xludf.DUMMYFUNCTION("""COMPUTED_VALUE"""),"Nhui Home")</f>
        <v>Nhui Home</v>
      </c>
      <c r="P64" t="str">
        <f>IFERROR(__xludf.DUMMYFUNCTION("""COMPUTED_VALUE"""),"Active")</f>
        <v>Active</v>
      </c>
      <c r="R64" s="143">
        <f>IFERROR(__xludf.DUMMYFUNCTION("""COMPUTED_VALUE"""),29843.0)</f>
        <v>29843</v>
      </c>
      <c r="S64" s="146" t="str">
        <f>IFERROR(__xludf.DUMMYFUNCTION("""COMPUTED_VALUE"""),"081 937 1170")</f>
        <v>081 937 1170</v>
      </c>
      <c r="T64" s="147" t="str">
        <f>IFERROR(__xludf.DUMMYFUNCTION("""COMPUTED_VALUE"""),"3102001-72-4181")</f>
        <v>3102001-72-4181</v>
      </c>
      <c r="U64" t="str">
        <f>IFERROR(__xludf.DUMMYFUNCTION("""COMPUTED_VALUE"""),"AC5442039")</f>
        <v>AC5442039</v>
      </c>
      <c r="V64" s="148">
        <f>IFERROR(__xludf.DUMMYFUNCTION("""COMPUTED_VALUE"""),45132.0)</f>
        <v>45132</v>
      </c>
      <c r="W64" s="148">
        <f>IFERROR(__xludf.DUMMYFUNCTION("""COMPUTED_VALUE"""),48784.0)</f>
        <v>48784</v>
      </c>
      <c r="X64" s="149">
        <f>IFERROR(__xludf.DUMMYFUNCTION("""COMPUTED_VALUE"""),48603.0)</f>
        <v>48603</v>
      </c>
      <c r="Y64" t="str">
        <f>IFERROR(__xludf.DUMMYFUNCTION("""COMPUTED_VALUE"""),"ปลอดภัย")</f>
        <v>ปลอดภัย</v>
      </c>
      <c r="Z64" t="str">
        <f>IFERROR(__xludf.DUMMYFUNCTION("""COMPUTED_VALUE"""),"Bangkok")</f>
        <v>Bangkok</v>
      </c>
      <c r="AA64" t="str">
        <f>IFERROR(__xludf.DUMMYFUNCTION("""COMPUTED_VALUE"""),"ตลิ่งชัน")</f>
        <v>ตลิ่งชัน</v>
      </c>
      <c r="AB64" t="str">
        <f>IFERROR(__xludf.DUMMYFUNCTION("""COMPUTED_VALUE"""),"02 433 1847")</f>
        <v>02 433 1847</v>
      </c>
      <c r="AC64" t="str">
        <f>IFERROR(__xludf.DUMMYFUNCTION("""COMPUTED_VALUE"""),"บ้าน")</f>
        <v>บ้าน</v>
      </c>
      <c r="AD64" t="str">
        <f>IFERROR(__xludf.DUMMYFUNCTION("""COMPUTED_VALUE"""),"nattaporls@airasia.com")</f>
        <v>nattaporls@airasia.com</v>
      </c>
    </row>
    <row r="65">
      <c r="A65" s="142">
        <f>IFERROR(__xludf.DUMMYFUNCTION("""COMPUTED_VALUE"""),16.0)</f>
        <v>16</v>
      </c>
      <c r="B65" t="str">
        <f>IFERROR(__xludf.DUMMYFUNCTION("""COMPUTED_VALUE"""),"TAA1444")</f>
        <v>TAA1444</v>
      </c>
      <c r="C65">
        <f>IFERROR(__xludf.DUMMYFUNCTION("""COMPUTED_VALUE"""),1001614.0)</f>
        <v>1001614</v>
      </c>
      <c r="D65" t="str">
        <f>IFERROR(__xludf.DUMMYFUNCTION("""COMPUTED_VALUE"""),"Ms.")</f>
        <v>Ms.</v>
      </c>
      <c r="E65" t="str">
        <f>IFERROR(__xludf.DUMMYFUNCTION("""COMPUTED_VALUE"""),"Sanlaya")</f>
        <v>Sanlaya</v>
      </c>
      <c r="F65" t="str">
        <f>IFERROR(__xludf.DUMMYFUNCTION("""COMPUTED_VALUE"""),"Kanrarat")</f>
        <v>Kanrarat</v>
      </c>
      <c r="G65" t="str">
        <f>IFERROR(__xludf.DUMMYFUNCTION("""COMPUTED_VALUE"""),"Sanlaya Kanrarat")</f>
        <v>Sanlaya Kanrarat</v>
      </c>
      <c r="H65" t="str">
        <f>IFERROR(__xludf.DUMMYFUNCTION("""COMPUTED_VALUE"""),"นางสาว")</f>
        <v>นางสาว</v>
      </c>
      <c r="I65" t="str">
        <f>IFERROR(__xludf.DUMMYFUNCTION("""COMPUTED_VALUE"""),"ศัลยา")</f>
        <v>ศัลยา</v>
      </c>
      <c r="J65" t="str">
        <f>IFERROR(__xludf.DUMMYFUNCTION("""COMPUTED_VALUE"""),"กาฬรัตน์")</f>
        <v>กาฬรัตน์</v>
      </c>
      <c r="K65" t="str">
        <f>IFERROR(__xludf.DUMMYFUNCTION("""COMPUTED_VALUE"""),"ศัลยา กาฬรัตน์")</f>
        <v>ศัลยา กาฬรัตน์</v>
      </c>
      <c r="L65" t="str">
        <f>IFERROR(__xludf.DUMMYFUNCTION("""COMPUTED_VALUE"""),"Jan")</f>
        <v>Jan</v>
      </c>
      <c r="M65" t="str">
        <f>IFERROR(__xludf.DUMMYFUNCTION("""COMPUTED_VALUE"""),"Senior Cabin Crew")</f>
        <v>Senior Cabin Crew</v>
      </c>
      <c r="N65" t="str">
        <f>IFERROR(__xludf.DUMMYFUNCTION("""COMPUTED_VALUE"""),"DMK")</f>
        <v>DMK</v>
      </c>
      <c r="O65" s="145" t="str">
        <f>IFERROR(__xludf.DUMMYFUNCTION("""COMPUTED_VALUE"""),"Toffy Home")</f>
        <v>Toffy Home</v>
      </c>
      <c r="P65" t="str">
        <f>IFERROR(__xludf.DUMMYFUNCTION("""COMPUTED_VALUE"""),"Active")</f>
        <v>Active</v>
      </c>
      <c r="R65" s="143">
        <f>IFERROR(__xludf.DUMMYFUNCTION("""COMPUTED_VALUE"""),29442.0)</f>
        <v>29442</v>
      </c>
      <c r="S65" s="146" t="str">
        <f>IFERROR(__xludf.DUMMYFUNCTION("""COMPUTED_VALUE"""),"093 536 6451")</f>
        <v>093 536 6451</v>
      </c>
      <c r="T65" s="147" t="str">
        <f>IFERROR(__xludf.DUMMYFUNCTION("""COMPUTED_VALUE"""),"3659900-59-0014")</f>
        <v>3659900-59-0014</v>
      </c>
      <c r="U65" t="str">
        <f>IFERROR(__xludf.DUMMYFUNCTION("""COMPUTED_VALUE"""),"AC2612196")</f>
        <v>AC2612196</v>
      </c>
      <c r="V65" s="148">
        <f>IFERROR(__xludf.DUMMYFUNCTION("""COMPUTED_VALUE"""),44539.0)</f>
        <v>44539</v>
      </c>
      <c r="W65" s="148">
        <f>IFERROR(__xludf.DUMMYFUNCTION("""COMPUTED_VALUE"""),48190.0)</f>
        <v>48190</v>
      </c>
      <c r="X65" s="149">
        <f>IFERROR(__xludf.DUMMYFUNCTION("""COMPUTED_VALUE"""),48007.0)</f>
        <v>48007</v>
      </c>
      <c r="Y65" t="str">
        <f>IFERROR(__xludf.DUMMYFUNCTION("""COMPUTED_VALUE"""),"ปลอดภัย")</f>
        <v>ปลอดภัย</v>
      </c>
      <c r="Z65" t="str">
        <f>IFERROR(__xludf.DUMMYFUNCTION("""COMPUTED_VALUE"""),"Bangkok")</f>
        <v>Bangkok</v>
      </c>
      <c r="AA65" t="str">
        <f>IFERROR(__xludf.DUMMYFUNCTION("""COMPUTED_VALUE"""),"นนทบุรี ปากเกร็ด")</f>
        <v>นนทบุรี ปากเกร็ด</v>
      </c>
      <c r="AB65" t="str">
        <f>IFERROR(__xludf.DUMMYFUNCTION("""COMPUTED_VALUE"""),"087 656 4447")</f>
        <v>087 656 4447</v>
      </c>
      <c r="AC65" t="str">
        <f>IFERROR(__xludf.DUMMYFUNCTION("""COMPUTED_VALUE"""),"แฟน")</f>
        <v>แฟน</v>
      </c>
      <c r="AD65" t="str">
        <f>IFERROR(__xludf.DUMMYFUNCTION("""COMPUTED_VALUE"""),"sanlayak@airasia.com")</f>
        <v>sanlayak@airasia.com</v>
      </c>
    </row>
    <row r="66">
      <c r="A66" s="142">
        <f>IFERROR(__xludf.DUMMYFUNCTION("""COMPUTED_VALUE"""),16.0)</f>
        <v>16</v>
      </c>
      <c r="B66" t="str">
        <f>IFERROR(__xludf.DUMMYFUNCTION("""COMPUTED_VALUE"""),"TAA1446")</f>
        <v>TAA1446</v>
      </c>
      <c r="C66">
        <f>IFERROR(__xludf.DUMMYFUNCTION("""COMPUTED_VALUE"""),1001615.0)</f>
        <v>1001615</v>
      </c>
      <c r="D66" t="str">
        <f>IFERROR(__xludf.DUMMYFUNCTION("""COMPUTED_VALUE"""),"Ms.")</f>
        <v>Ms.</v>
      </c>
      <c r="E66" t="str">
        <f>IFERROR(__xludf.DUMMYFUNCTION("""COMPUTED_VALUE"""),"Sansanee")</f>
        <v>Sansanee</v>
      </c>
      <c r="F66" t="str">
        <f>IFERROR(__xludf.DUMMYFUNCTION("""COMPUTED_VALUE"""),"Chittiboonruan")</f>
        <v>Chittiboonruan</v>
      </c>
      <c r="G66" t="str">
        <f>IFERROR(__xludf.DUMMYFUNCTION("""COMPUTED_VALUE"""),"Sansanee Chittiboonruan")</f>
        <v>Sansanee Chittiboonruan</v>
      </c>
      <c r="H66" t="str">
        <f>IFERROR(__xludf.DUMMYFUNCTION("""COMPUTED_VALUE"""),"นางสาว")</f>
        <v>นางสาว</v>
      </c>
      <c r="I66" t="str">
        <f>IFERROR(__xludf.DUMMYFUNCTION("""COMPUTED_VALUE"""),"ศันษณีย์")</f>
        <v>ศันษณีย์</v>
      </c>
      <c r="J66" t="str">
        <f>IFERROR(__xludf.DUMMYFUNCTION("""COMPUTED_VALUE"""),"จิตติบุญเรือน")</f>
        <v>จิตติบุญเรือน</v>
      </c>
      <c r="K66" t="str">
        <f>IFERROR(__xludf.DUMMYFUNCTION("""COMPUTED_VALUE"""),"ศันษณีย์ จิตติบุญเรือน")</f>
        <v>ศันษณีย์ จิตติบุญเรือน</v>
      </c>
      <c r="L66" t="str">
        <f>IFERROR(__xludf.DUMMYFUNCTION("""COMPUTED_VALUE"""),"Yoo Yoo")</f>
        <v>Yoo Yoo</v>
      </c>
      <c r="M66" t="str">
        <f>IFERROR(__xludf.DUMMYFUNCTION("""COMPUTED_VALUE"""),"Senior Cabin Crew")</f>
        <v>Senior Cabin Crew</v>
      </c>
      <c r="N66" t="str">
        <f>IFERROR(__xludf.DUMMYFUNCTION("""COMPUTED_VALUE"""),"DMK")</f>
        <v>DMK</v>
      </c>
      <c r="O66" s="145" t="str">
        <f>IFERROR(__xludf.DUMMYFUNCTION("""COMPUTED_VALUE"""),"Namfon Home")</f>
        <v>Namfon Home</v>
      </c>
      <c r="P66" t="str">
        <f>IFERROR(__xludf.DUMMYFUNCTION("""COMPUTED_VALUE"""),"Active")</f>
        <v>Active</v>
      </c>
      <c r="R66" s="143">
        <f>IFERROR(__xludf.DUMMYFUNCTION("""COMPUTED_VALUE"""),29085.0)</f>
        <v>29085</v>
      </c>
      <c r="S66" s="146" t="str">
        <f>IFERROR(__xludf.DUMMYFUNCTION("""COMPUTED_VALUE"""),"085 659 5459")</f>
        <v>085 659 5459</v>
      </c>
      <c r="T66" s="147" t="str">
        <f>IFERROR(__xludf.DUMMYFUNCTION("""COMPUTED_VALUE"""),"3100600-77-8448")</f>
        <v>3100600-77-8448</v>
      </c>
      <c r="U66" t="str">
        <f>IFERROR(__xludf.DUMMYFUNCTION("""COMPUTED_VALUE"""),"AC4494462")</f>
        <v>AC4494462</v>
      </c>
      <c r="V66" s="148">
        <f>IFERROR(__xludf.DUMMYFUNCTION("""COMPUTED_VALUE"""),44998.0)</f>
        <v>44998</v>
      </c>
      <c r="W66" s="148">
        <f>IFERROR(__xludf.DUMMYFUNCTION("""COMPUTED_VALUE"""),48650.0)</f>
        <v>48650</v>
      </c>
      <c r="X66" s="149">
        <f>IFERROR(__xludf.DUMMYFUNCTION("""COMPUTED_VALUE"""),48469.0)</f>
        <v>48469</v>
      </c>
      <c r="Y66" t="str">
        <f>IFERROR(__xludf.DUMMYFUNCTION("""COMPUTED_VALUE"""),"ปลอดภัย")</f>
        <v>ปลอดภัย</v>
      </c>
      <c r="Z66" t="str">
        <f>IFERROR(__xludf.DUMMYFUNCTION("""COMPUTED_VALUE"""),"Bangkok")</f>
        <v>Bangkok</v>
      </c>
      <c r="AA66" t="str">
        <f>IFERROR(__xludf.DUMMYFUNCTION("""COMPUTED_VALUE"""),"วังทองหลาง")</f>
        <v>วังทองหลาง</v>
      </c>
      <c r="AB66" t="str">
        <f>IFERROR(__xludf.DUMMYFUNCTION("""COMPUTED_VALUE"""),"085 174 8798")</f>
        <v>085 174 8798</v>
      </c>
      <c r="AC66" t="str">
        <f>IFERROR(__xludf.DUMMYFUNCTION("""COMPUTED_VALUE"""),"ป้า")</f>
        <v>ป้า</v>
      </c>
      <c r="AD66" t="str">
        <f>IFERROR(__xludf.DUMMYFUNCTION("""COMPUTED_VALUE"""),"sansaneec@airasia.com")</f>
        <v>sansaneec@airasia.com</v>
      </c>
    </row>
    <row r="67">
      <c r="A67" s="142">
        <f>IFERROR(__xludf.DUMMYFUNCTION("""COMPUTED_VALUE"""),16.0)</f>
        <v>16</v>
      </c>
      <c r="B67" t="str">
        <f>IFERROR(__xludf.DUMMYFUNCTION("""COMPUTED_VALUE"""),"TAA1434")</f>
        <v>TAA1434</v>
      </c>
      <c r="C67">
        <f>IFERROR(__xludf.DUMMYFUNCTION("""COMPUTED_VALUE"""),1001616.0)</f>
        <v>1001616</v>
      </c>
      <c r="D67" t="str">
        <f>IFERROR(__xludf.DUMMYFUNCTION("""COMPUTED_VALUE"""),"Ms.")</f>
        <v>Ms.</v>
      </c>
      <c r="E67" t="str">
        <f>IFERROR(__xludf.DUMMYFUNCTION("""COMPUTED_VALUE"""),"Supaporn")</f>
        <v>Supaporn</v>
      </c>
      <c r="F67" t="str">
        <f>IFERROR(__xludf.DUMMYFUNCTION("""COMPUTED_VALUE"""),"Pringploed")</f>
        <v>Pringploed</v>
      </c>
      <c r="G67" t="str">
        <f>IFERROR(__xludf.DUMMYFUNCTION("""COMPUTED_VALUE"""),"Supaporn Pringploed")</f>
        <v>Supaporn Pringploed</v>
      </c>
      <c r="H67" t="str">
        <f>IFERROR(__xludf.DUMMYFUNCTION("""COMPUTED_VALUE"""),"นางสาว")</f>
        <v>นางสาว</v>
      </c>
      <c r="I67" t="str">
        <f>IFERROR(__xludf.DUMMYFUNCTION("""COMPUTED_VALUE"""),"สุภาพร")</f>
        <v>สุภาพร</v>
      </c>
      <c r="J67" t="str">
        <f>IFERROR(__xludf.DUMMYFUNCTION("""COMPUTED_VALUE"""),"พริ้งเพลิด")</f>
        <v>พริ้งเพลิด</v>
      </c>
      <c r="K67" t="str">
        <f>IFERROR(__xludf.DUMMYFUNCTION("""COMPUTED_VALUE"""),"สุภาพร พริ้งเพลิด")</f>
        <v>สุภาพร พริ้งเพลิด</v>
      </c>
      <c r="L67" t="str">
        <f>IFERROR(__xludf.DUMMYFUNCTION("""COMPUTED_VALUE"""),"Oil (Snail)")</f>
        <v>Oil (Snail)</v>
      </c>
      <c r="M67" t="str">
        <f>IFERROR(__xludf.DUMMYFUNCTION("""COMPUTED_VALUE"""),"Senior Cabin Crew - CNX")</f>
        <v>Senior Cabin Crew - CNX</v>
      </c>
      <c r="N67" t="str">
        <f>IFERROR(__xludf.DUMMYFUNCTION("""COMPUTED_VALUE"""),"CNX")</f>
        <v>CNX</v>
      </c>
      <c r="O67" s="145" t="str">
        <f>IFERROR(__xludf.DUMMYFUNCTION("""COMPUTED_VALUE"""),"Up Home")</f>
        <v>Up Home</v>
      </c>
      <c r="P67" t="str">
        <f>IFERROR(__xludf.DUMMYFUNCTION("""COMPUTED_VALUE"""),"Active")</f>
        <v>Active</v>
      </c>
      <c r="R67" s="143">
        <f>IFERROR(__xludf.DUMMYFUNCTION("""COMPUTED_VALUE"""),29738.0)</f>
        <v>29738</v>
      </c>
      <c r="S67" s="146" t="str">
        <f>IFERROR(__xludf.DUMMYFUNCTION("""COMPUTED_VALUE"""),"099 235 4246")</f>
        <v>099 235 4246</v>
      </c>
      <c r="T67" s="147" t="str">
        <f>IFERROR(__xludf.DUMMYFUNCTION("""COMPUTED_VALUE"""),"3559900-01-8389")</f>
        <v>3559900-01-8389</v>
      </c>
      <c r="U67" t="str">
        <f>IFERROR(__xludf.DUMMYFUNCTION("""COMPUTED_VALUE"""),"AD2075728")</f>
        <v>AD2075728</v>
      </c>
      <c r="V67" s="148">
        <f>IFERROR(__xludf.DUMMYFUNCTION("""COMPUTED_VALUE"""),45719.0)</f>
        <v>45719</v>
      </c>
      <c r="W67" s="148">
        <f>IFERROR(__xludf.DUMMYFUNCTION("""COMPUTED_VALUE"""),49370.0)</f>
        <v>49370</v>
      </c>
      <c r="X67" s="149">
        <f>IFERROR(__xludf.DUMMYFUNCTION("""COMPUTED_VALUE"""),49189.0)</f>
        <v>49189</v>
      </c>
      <c r="Y67" t="str">
        <f>IFERROR(__xludf.DUMMYFUNCTION("""COMPUTED_VALUE"""),"ปลอดภัย")</f>
        <v>ปลอดภัย</v>
      </c>
      <c r="Z67" t="str">
        <f>IFERROR(__xludf.DUMMYFUNCTION("""COMPUTED_VALUE"""),"Nan Province")</f>
        <v>Nan Province</v>
      </c>
      <c r="AA67" t="str">
        <f>IFERROR(__xludf.DUMMYFUNCTION("""COMPUTED_VALUE"""),"ดอนเมือง")</f>
        <v>ดอนเมือง</v>
      </c>
      <c r="AB67" t="str">
        <f>IFERROR(__xludf.DUMMYFUNCTION("""COMPUTED_VALUE"""),"02 929 5962")</f>
        <v>02 929 5962</v>
      </c>
      <c r="AC67" t="str">
        <f>IFERROR(__xludf.DUMMYFUNCTION("""COMPUTED_VALUE"""),"บ้าน")</f>
        <v>บ้าน</v>
      </c>
      <c r="AD67" t="str">
        <f>IFERROR(__xludf.DUMMYFUNCTION("""COMPUTED_VALUE"""),"supapornp@airasia.com")</f>
        <v>supapornp@airasia.com</v>
      </c>
    </row>
    <row r="68">
      <c r="A68" s="142">
        <f>IFERROR(__xludf.DUMMYFUNCTION("""COMPUTED_VALUE"""),16.0)</f>
        <v>16</v>
      </c>
      <c r="B68" t="str">
        <f>IFERROR(__xludf.DUMMYFUNCTION("""COMPUTED_VALUE"""),"TAA1433")</f>
        <v>TAA1433</v>
      </c>
      <c r="C68">
        <f>IFERROR(__xludf.DUMMYFUNCTION("""COMPUTED_VALUE"""),1001617.0)</f>
        <v>1001617</v>
      </c>
      <c r="D68" t="str">
        <f>IFERROR(__xludf.DUMMYFUNCTION("""COMPUTED_VALUE"""),"Ms.")</f>
        <v>Ms.</v>
      </c>
      <c r="E68" t="str">
        <f>IFERROR(__xludf.DUMMYFUNCTION("""COMPUTED_VALUE"""),"Suthida")</f>
        <v>Suthida</v>
      </c>
      <c r="F68" t="str">
        <f>IFERROR(__xludf.DUMMYFUNCTION("""COMPUTED_VALUE"""),"Tanakarn")</f>
        <v>Tanakarn</v>
      </c>
      <c r="G68" t="str">
        <f>IFERROR(__xludf.DUMMYFUNCTION("""COMPUTED_VALUE"""),"Suthida Tanakarn")</f>
        <v>Suthida Tanakarn</v>
      </c>
      <c r="H68" t="str">
        <f>IFERROR(__xludf.DUMMYFUNCTION("""COMPUTED_VALUE"""),"นางสาว")</f>
        <v>นางสาว</v>
      </c>
      <c r="I68" t="str">
        <f>IFERROR(__xludf.DUMMYFUNCTION("""COMPUTED_VALUE"""),"สุธิดา")</f>
        <v>สุธิดา</v>
      </c>
      <c r="J68" t="str">
        <f>IFERROR(__xludf.DUMMYFUNCTION("""COMPUTED_VALUE"""),"ธนกาญจน์")</f>
        <v>ธนกาญจน์</v>
      </c>
      <c r="K68" t="str">
        <f>IFERROR(__xludf.DUMMYFUNCTION("""COMPUTED_VALUE"""),"สุธิดา ธนกาญจน์")</f>
        <v>สุธิดา ธนกาญจน์</v>
      </c>
      <c r="L68" t="str">
        <f>IFERROR(__xludf.DUMMYFUNCTION("""COMPUTED_VALUE"""),"Toey")</f>
        <v>Toey</v>
      </c>
      <c r="M68" t="str">
        <f>IFERROR(__xludf.DUMMYFUNCTION("""COMPUTED_VALUE"""),"Cabin Crew")</f>
        <v>Cabin Crew</v>
      </c>
      <c r="N68" t="str">
        <f>IFERROR(__xludf.DUMMYFUNCTION("""COMPUTED_VALUE"""),"DMK")</f>
        <v>DMK</v>
      </c>
      <c r="O68" s="145" t="str">
        <f>IFERROR(__xludf.DUMMYFUNCTION("""COMPUTED_VALUE"""),"Toffy Home")</f>
        <v>Toffy Home</v>
      </c>
      <c r="P68" t="str">
        <f>IFERROR(__xludf.DUMMYFUNCTION("""COMPUTED_VALUE"""),"Active")</f>
        <v>Active</v>
      </c>
      <c r="R68" s="143">
        <f>IFERROR(__xludf.DUMMYFUNCTION("""COMPUTED_VALUE"""),29862.0)</f>
        <v>29862</v>
      </c>
      <c r="S68" s="146" t="str">
        <f>IFERROR(__xludf.DUMMYFUNCTION("""COMPUTED_VALUE"""),"098 464 0874")</f>
        <v>098 464 0874</v>
      </c>
      <c r="T68" s="147" t="str">
        <f>IFERROR(__xludf.DUMMYFUNCTION("""COMPUTED_VALUE"""),"3102200-44-2126")</f>
        <v>3102200-44-2126</v>
      </c>
      <c r="U68" t="str">
        <f>IFERROR(__xludf.DUMMYFUNCTION("""COMPUTED_VALUE"""),"AC6629704")</f>
        <v>AC6629704</v>
      </c>
      <c r="V68" s="148">
        <f>IFERROR(__xludf.DUMMYFUNCTION("""COMPUTED_VALUE"""),45411.0)</f>
        <v>45411</v>
      </c>
      <c r="W68" s="148">
        <f>IFERROR(__xludf.DUMMYFUNCTION("""COMPUTED_VALUE"""),49062.0)</f>
        <v>49062</v>
      </c>
      <c r="X68" s="149">
        <f>IFERROR(__xludf.DUMMYFUNCTION("""COMPUTED_VALUE"""),48880.0)</f>
        <v>48880</v>
      </c>
      <c r="Y68" t="str">
        <f>IFERROR(__xludf.DUMMYFUNCTION("""COMPUTED_VALUE"""),"ปลอดภัย")</f>
        <v>ปลอดภัย</v>
      </c>
      <c r="Z68" t="str">
        <f>IFERROR(__xludf.DUMMYFUNCTION("""COMPUTED_VALUE"""),"Bangkok")</f>
        <v>Bangkok</v>
      </c>
      <c r="AA68" t="str">
        <f>IFERROR(__xludf.DUMMYFUNCTION("""COMPUTED_VALUE"""),"วังทองหลาง")</f>
        <v>วังทองหลาง</v>
      </c>
      <c r="AB68" t="str">
        <f>IFERROR(__xludf.DUMMYFUNCTION("""COMPUTED_VALUE"""),"086 904 3333")</f>
        <v>086 904 3333</v>
      </c>
      <c r="AC68" t="str">
        <f>IFERROR(__xludf.DUMMYFUNCTION("""COMPUTED_VALUE"""),"เพื่อน")</f>
        <v>เพื่อน</v>
      </c>
      <c r="AD68" t="str">
        <f>IFERROR(__xludf.DUMMYFUNCTION("""COMPUTED_VALUE"""),"suthidat@airasia.com")</f>
        <v>suthidat@airasia.com</v>
      </c>
    </row>
    <row r="69">
      <c r="A69" s="142">
        <f>IFERROR(__xludf.DUMMYFUNCTION("""COMPUTED_VALUE"""),16.0)</f>
        <v>16</v>
      </c>
      <c r="B69" t="str">
        <f>IFERROR(__xludf.DUMMYFUNCTION("""COMPUTED_VALUE"""),"TAA1450")</f>
        <v>TAA1450</v>
      </c>
      <c r="C69">
        <f>IFERROR(__xludf.DUMMYFUNCTION("""COMPUTED_VALUE"""),1001622.0)</f>
        <v>1001622</v>
      </c>
      <c r="D69" t="str">
        <f>IFERROR(__xludf.DUMMYFUNCTION("""COMPUTED_VALUE"""),"Ms.")</f>
        <v>Ms.</v>
      </c>
      <c r="E69" t="str">
        <f>IFERROR(__xludf.DUMMYFUNCTION("""COMPUTED_VALUE"""),"Waraluck")</f>
        <v>Waraluck</v>
      </c>
      <c r="F69" t="str">
        <f>IFERROR(__xludf.DUMMYFUNCTION("""COMPUTED_VALUE"""),"Meksikarin")</f>
        <v>Meksikarin</v>
      </c>
      <c r="G69" t="str">
        <f>IFERROR(__xludf.DUMMYFUNCTION("""COMPUTED_VALUE"""),"Waraluck Meksikarin")</f>
        <v>Waraluck Meksikarin</v>
      </c>
      <c r="H69" t="str">
        <f>IFERROR(__xludf.DUMMYFUNCTION("""COMPUTED_VALUE"""),"นางสาว")</f>
        <v>นางสาว</v>
      </c>
      <c r="I69" t="str">
        <f>IFERROR(__xludf.DUMMYFUNCTION("""COMPUTED_VALUE"""),"วราลักษณ์")</f>
        <v>วราลักษณ์</v>
      </c>
      <c r="J69" t="str">
        <f>IFERROR(__xludf.DUMMYFUNCTION("""COMPUTED_VALUE"""),"เมฆศิขริน")</f>
        <v>เมฆศิขริน</v>
      </c>
      <c r="K69" t="str">
        <f>IFERROR(__xludf.DUMMYFUNCTION("""COMPUTED_VALUE"""),"วราลักษณ์ เมฆศิขริน")</f>
        <v>วราลักษณ์ เมฆศิขริน</v>
      </c>
      <c r="L69" t="str">
        <f>IFERROR(__xludf.DUMMYFUNCTION("""COMPUTED_VALUE"""),"Mickey")</f>
        <v>Mickey</v>
      </c>
      <c r="M69" t="str">
        <f>IFERROR(__xludf.DUMMYFUNCTION("""COMPUTED_VALUE"""),"Senior Cabin Crew - BKK")</f>
        <v>Senior Cabin Crew - BKK</v>
      </c>
      <c r="N69" t="str">
        <f>IFERROR(__xludf.DUMMYFUNCTION("""COMPUTED_VALUE"""),"BKK")</f>
        <v>BKK</v>
      </c>
      <c r="O69" s="145" t="str">
        <f>IFERROR(__xludf.DUMMYFUNCTION("""COMPUTED_VALUE"""),"Nhui Home")</f>
        <v>Nhui Home</v>
      </c>
      <c r="P69" t="str">
        <f>IFERROR(__xludf.DUMMYFUNCTION("""COMPUTED_VALUE"""),"Active")</f>
        <v>Active</v>
      </c>
      <c r="Q69" t="str">
        <f>IFERROR(__xludf.DUMMYFUNCTION("""COMPUTED_VALUE"""),"Chinese Speaking / SCC Line Checker 2025")</f>
        <v>Chinese Speaking / SCC Line Checker 2025</v>
      </c>
      <c r="R69" s="143">
        <f>IFERROR(__xludf.DUMMYFUNCTION("""COMPUTED_VALUE"""),28802.0)</f>
        <v>28802</v>
      </c>
      <c r="S69" s="146" t="str">
        <f>IFERROR(__xludf.DUMMYFUNCTION("""COMPUTED_VALUE"""),"093-4451556")</f>
        <v>093-4451556</v>
      </c>
      <c r="T69" s="147" t="str">
        <f>IFERROR(__xludf.DUMMYFUNCTION("""COMPUTED_VALUE"""),"3959900-17-2457")</f>
        <v>3959900-17-2457</v>
      </c>
      <c r="U69" t="str">
        <f>IFERROR(__xludf.DUMMYFUNCTION("""COMPUTED_VALUE"""),"AC5330759")</f>
        <v>AC5330759</v>
      </c>
      <c r="V69" s="148">
        <f>IFERROR(__xludf.DUMMYFUNCTION("""COMPUTED_VALUE"""),45125.0)</f>
        <v>45125</v>
      </c>
      <c r="W69" s="148">
        <f>IFERROR(__xludf.DUMMYFUNCTION("""COMPUTED_VALUE"""),48777.0)</f>
        <v>48777</v>
      </c>
      <c r="X69" s="149">
        <f>IFERROR(__xludf.DUMMYFUNCTION("""COMPUTED_VALUE"""),48596.0)</f>
        <v>48596</v>
      </c>
      <c r="Y69" t="str">
        <f>IFERROR(__xludf.DUMMYFUNCTION("""COMPUTED_VALUE"""),"ปลอดภัย")</f>
        <v>ปลอดภัย</v>
      </c>
      <c r="Z69" t="str">
        <f>IFERROR(__xludf.DUMMYFUNCTION("""COMPUTED_VALUE"""),"Yala Province")</f>
        <v>Yala Province</v>
      </c>
      <c r="AA69" t="str">
        <f>IFERROR(__xludf.DUMMYFUNCTION("""COMPUTED_VALUE"""),"บางขุนเทียน")</f>
        <v>บางขุนเทียน</v>
      </c>
      <c r="AB69" t="str">
        <f>IFERROR(__xludf.DUMMYFUNCTION("""COMPUTED_VALUE"""),"! Update !")</f>
        <v>! Update !</v>
      </c>
      <c r="AC69" t="str">
        <f>IFERROR(__xludf.DUMMYFUNCTION("""COMPUTED_VALUE"""),"! Update !")</f>
        <v>! Update !</v>
      </c>
      <c r="AD69" t="str">
        <f>IFERROR(__xludf.DUMMYFUNCTION("""COMPUTED_VALUE"""),"waraluckm@airasia.com")</f>
        <v>waraluckm@airasia.com</v>
      </c>
    </row>
    <row r="70">
      <c r="AD70" t="str">
        <f>IFERROR(__xludf.DUMMYFUNCTION("""COMPUTED_VALUE"""),"")</f>
        <v/>
      </c>
    </row>
    <row r="71">
      <c r="A71" s="142">
        <f>IFERROR(__xludf.DUMMYFUNCTION("""COMPUTED_VALUE"""),17.0)</f>
        <v>17</v>
      </c>
      <c r="B71" t="str">
        <f>IFERROR(__xludf.DUMMYFUNCTION("""COMPUTED_VALUE"""),"TAA1526")</f>
        <v>TAA1526</v>
      </c>
      <c r="C71">
        <f>IFERROR(__xludf.DUMMYFUNCTION("""COMPUTED_VALUE"""),1001684.0)</f>
        <v>1001684</v>
      </c>
      <c r="D71" t="str">
        <f>IFERROR(__xludf.DUMMYFUNCTION("""COMPUTED_VALUE"""),"Ms.")</f>
        <v>Ms.</v>
      </c>
      <c r="E71" t="str">
        <f>IFERROR(__xludf.DUMMYFUNCTION("""COMPUTED_VALUE"""),"Smita")</f>
        <v>Smita</v>
      </c>
      <c r="F71" t="str">
        <f>IFERROR(__xludf.DUMMYFUNCTION("""COMPUTED_VALUE"""),"Kittisastra")</f>
        <v>Kittisastra</v>
      </c>
      <c r="G71" t="str">
        <f>IFERROR(__xludf.DUMMYFUNCTION("""COMPUTED_VALUE"""),"Smita Kittisastra")</f>
        <v>Smita Kittisastra</v>
      </c>
      <c r="H71" t="str">
        <f>IFERROR(__xludf.DUMMYFUNCTION("""COMPUTED_VALUE"""),"นางสาว")</f>
        <v>นางสาว</v>
      </c>
      <c r="I71" t="str">
        <f>IFERROR(__xludf.DUMMYFUNCTION("""COMPUTED_VALUE"""),"สมิตา")</f>
        <v>สมิตา</v>
      </c>
      <c r="J71" t="str">
        <f>IFERROR(__xludf.DUMMYFUNCTION("""COMPUTED_VALUE"""),"กิตติศาสตรา")</f>
        <v>กิตติศาสตรา</v>
      </c>
      <c r="K71" t="str">
        <f>IFERROR(__xludf.DUMMYFUNCTION("""COMPUTED_VALUE"""),"สมิตา กิตติศาสตรา")</f>
        <v>สมิตา กิตติศาสตรา</v>
      </c>
      <c r="L71" t="str">
        <f>IFERROR(__xludf.DUMMYFUNCTION("""COMPUTED_VALUE"""),"NeNe")</f>
        <v>NeNe</v>
      </c>
      <c r="M71" t="str">
        <f>IFERROR(__xludf.DUMMYFUNCTION("""COMPUTED_VALUE"""),"Senior Cabin Crew")</f>
        <v>Senior Cabin Crew</v>
      </c>
      <c r="N71" t="str">
        <f>IFERROR(__xludf.DUMMYFUNCTION("""COMPUTED_VALUE"""),"DMK")</f>
        <v>DMK</v>
      </c>
      <c r="O71" s="145" t="str">
        <f>IFERROR(__xludf.DUMMYFUNCTION("""COMPUTED_VALUE"""),"Um Home")</f>
        <v>Um Home</v>
      </c>
      <c r="P71" t="str">
        <f>IFERROR(__xludf.DUMMYFUNCTION("""COMPUTED_VALUE"""),"Active")</f>
        <v>Active</v>
      </c>
      <c r="R71" s="143">
        <f>IFERROR(__xludf.DUMMYFUNCTION("""COMPUTED_VALUE"""),29554.0)</f>
        <v>29554</v>
      </c>
      <c r="S71" s="146" t="str">
        <f>IFERROR(__xludf.DUMMYFUNCTION("""COMPUTED_VALUE"""),"081 988 5188")</f>
        <v>081 988 5188</v>
      </c>
      <c r="T71" s="147" t="str">
        <f>IFERROR(__xludf.DUMMYFUNCTION("""COMPUTED_VALUE"""),"3229800-03-4521")</f>
        <v>3229800-03-4521</v>
      </c>
      <c r="U71" t="str">
        <f>IFERROR(__xludf.DUMMYFUNCTION("""COMPUTED_VALUE"""),"AC7832652")</f>
        <v>AC7832652</v>
      </c>
      <c r="V71" s="148">
        <f>IFERROR(__xludf.DUMMYFUNCTION("""COMPUTED_VALUE"""),45666.0)</f>
        <v>45666</v>
      </c>
      <c r="W71" s="148">
        <f>IFERROR(__xludf.DUMMYFUNCTION("""COMPUTED_VALUE"""),49317.0)</f>
        <v>49317</v>
      </c>
      <c r="X71" s="149">
        <f>IFERROR(__xludf.DUMMYFUNCTION("""COMPUTED_VALUE"""),49133.0)</f>
        <v>49133</v>
      </c>
      <c r="Y71" t="str">
        <f>IFERROR(__xludf.DUMMYFUNCTION("""COMPUTED_VALUE"""),"ปลอดภัย")</f>
        <v>ปลอดภัย</v>
      </c>
      <c r="Z71" t="str">
        <f>IFERROR(__xludf.DUMMYFUNCTION("""COMPUTED_VALUE"""),"Chanthaburi Province")</f>
        <v>Chanthaburi Province</v>
      </c>
      <c r="AA71" t="str">
        <f>IFERROR(__xludf.DUMMYFUNCTION("""COMPUTED_VALUE"""),"ประเวศ")</f>
        <v>ประเวศ</v>
      </c>
      <c r="AB71" t="str">
        <f>IFERROR(__xludf.DUMMYFUNCTION("""COMPUTED_VALUE"""),"02 967 7740")</f>
        <v>02 967 7740</v>
      </c>
      <c r="AC71" t="str">
        <f>IFERROR(__xludf.DUMMYFUNCTION("""COMPUTED_VALUE"""),"พี่สาว")</f>
        <v>พี่สาว</v>
      </c>
      <c r="AD71" t="str">
        <f>IFERROR(__xludf.DUMMYFUNCTION("""COMPUTED_VALUE"""),"smitak@airasia.com")</f>
        <v>smitak@airasia.com</v>
      </c>
    </row>
    <row r="72">
      <c r="A72" s="142">
        <f>IFERROR(__xludf.DUMMYFUNCTION("""COMPUTED_VALUE"""),17.0)</f>
        <v>17</v>
      </c>
      <c r="B72" t="str">
        <f>IFERROR(__xludf.DUMMYFUNCTION("""COMPUTED_VALUE"""),"TAA1525")</f>
        <v>TAA1525</v>
      </c>
      <c r="C72">
        <f>IFERROR(__xludf.DUMMYFUNCTION("""COMPUTED_VALUE"""),1001685.0)</f>
        <v>1001685</v>
      </c>
      <c r="D72" t="str">
        <f>IFERROR(__xludf.DUMMYFUNCTION("""COMPUTED_VALUE"""),"Ms.")</f>
        <v>Ms.</v>
      </c>
      <c r="E72" t="str">
        <f>IFERROR(__xludf.DUMMYFUNCTION("""COMPUTED_VALUE"""),"Waree")</f>
        <v>Waree</v>
      </c>
      <c r="F72" t="str">
        <f>IFERROR(__xludf.DUMMYFUNCTION("""COMPUTED_VALUE"""),"Nitikasetpan")</f>
        <v>Nitikasetpan</v>
      </c>
      <c r="G72" t="str">
        <f>IFERROR(__xludf.DUMMYFUNCTION("""COMPUTED_VALUE"""),"Waree Nitikasetpan")</f>
        <v>Waree Nitikasetpan</v>
      </c>
      <c r="H72" t="str">
        <f>IFERROR(__xludf.DUMMYFUNCTION("""COMPUTED_VALUE"""),"นางสาว")</f>
        <v>นางสาว</v>
      </c>
      <c r="I72" t="str">
        <f>IFERROR(__xludf.DUMMYFUNCTION("""COMPUTED_VALUE"""),"วารี")</f>
        <v>วารี</v>
      </c>
      <c r="J72" t="str">
        <f>IFERROR(__xludf.DUMMYFUNCTION("""COMPUTED_VALUE"""),"นิติเกษตรพันธุ์")</f>
        <v>นิติเกษตรพันธุ์</v>
      </c>
      <c r="K72" t="str">
        <f>IFERROR(__xludf.DUMMYFUNCTION("""COMPUTED_VALUE"""),"วารี นิติเกษตรพันธุ์")</f>
        <v>วารี นิติเกษตรพันธุ์</v>
      </c>
      <c r="L72" t="str">
        <f>IFERROR(__xludf.DUMMYFUNCTION("""COMPUTED_VALUE"""),"Wan")</f>
        <v>Wan</v>
      </c>
      <c r="M72" t="str">
        <f>IFERROR(__xludf.DUMMYFUNCTION("""COMPUTED_VALUE"""),"Senior Cabin Crew - BKK")</f>
        <v>Senior Cabin Crew - BKK</v>
      </c>
      <c r="N72" t="str">
        <f>IFERROR(__xludf.DUMMYFUNCTION("""COMPUTED_VALUE"""),"BKK")</f>
        <v>BKK</v>
      </c>
      <c r="O72" s="145" t="str">
        <f>IFERROR(__xludf.DUMMYFUNCTION("""COMPUTED_VALUE"""),"Nhui Home")</f>
        <v>Nhui Home</v>
      </c>
      <c r="P72" t="str">
        <f>IFERROR(__xludf.DUMMYFUNCTION("""COMPUTED_VALUE"""),"Active")</f>
        <v>Active</v>
      </c>
      <c r="R72" s="143">
        <f>IFERROR(__xludf.DUMMYFUNCTION("""COMPUTED_VALUE"""),30578.0)</f>
        <v>30578</v>
      </c>
      <c r="S72" s="146" t="str">
        <f>IFERROR(__xludf.DUMMYFUNCTION("""COMPUTED_VALUE"""),"062-395-5541")</f>
        <v>062-395-5541</v>
      </c>
      <c r="T72" s="147" t="str">
        <f>IFERROR(__xludf.DUMMYFUNCTION("""COMPUTED_VALUE"""),"3100901-00-1680")</f>
        <v>3100901-00-1680</v>
      </c>
      <c r="U72" t="str">
        <f>IFERROR(__xludf.DUMMYFUNCTION("""COMPUTED_VALUE"""),"AC8033834")</f>
        <v>AC8033834</v>
      </c>
      <c r="V72" s="148">
        <f>IFERROR(__xludf.DUMMYFUNCTION("""COMPUTED_VALUE"""),45705.0)</f>
        <v>45705</v>
      </c>
      <c r="W72" s="148">
        <f>IFERROR(__xludf.DUMMYFUNCTION("""COMPUTED_VALUE"""),49356.0)</f>
        <v>49356</v>
      </c>
      <c r="X72" s="149">
        <f>IFERROR(__xludf.DUMMYFUNCTION("""COMPUTED_VALUE"""),49172.0)</f>
        <v>49172</v>
      </c>
      <c r="Y72" t="str">
        <f>IFERROR(__xludf.DUMMYFUNCTION("""COMPUTED_VALUE"""),"ปลอดภัย")</f>
        <v>ปลอดภัย</v>
      </c>
      <c r="Z72" t="str">
        <f>IFERROR(__xludf.DUMMYFUNCTION("""COMPUTED_VALUE"""),"Bangkok")</f>
        <v>Bangkok</v>
      </c>
      <c r="AA72" t="str">
        <f>IFERROR(__xludf.DUMMYFUNCTION("""COMPUTED_VALUE"""),"ประเวศ")</f>
        <v>ประเวศ</v>
      </c>
      <c r="AB72" t="str">
        <f>IFERROR(__xludf.DUMMYFUNCTION("""COMPUTED_VALUE"""),"081 734 4453")</f>
        <v>081 734 4453</v>
      </c>
      <c r="AC72" t="str">
        <f>IFERROR(__xludf.DUMMYFUNCTION("""COMPUTED_VALUE"""),"น้องสาว")</f>
        <v>น้องสาว</v>
      </c>
      <c r="AD72" t="str">
        <f>IFERROR(__xludf.DUMMYFUNCTION("""COMPUTED_VALUE"""),"wareen@airasia.com")</f>
        <v>wareen@airasia.com</v>
      </c>
    </row>
    <row r="73">
      <c r="AD73" t="str">
        <f>IFERROR(__xludf.DUMMYFUNCTION("""COMPUTED_VALUE"""),"")</f>
        <v/>
      </c>
    </row>
    <row r="74">
      <c r="A74" s="142">
        <f>IFERROR(__xludf.DUMMYFUNCTION("""COMPUTED_VALUE"""),18.0)</f>
        <v>18</v>
      </c>
      <c r="B74" t="str">
        <f>IFERROR(__xludf.DUMMYFUNCTION("""COMPUTED_VALUE"""),"TAA1639")</f>
        <v>TAA1639</v>
      </c>
      <c r="C74">
        <f>IFERROR(__xludf.DUMMYFUNCTION("""COMPUTED_VALUE"""),1001818.0)</f>
        <v>1001818</v>
      </c>
      <c r="D74" t="str">
        <f>IFERROR(__xludf.DUMMYFUNCTION("""COMPUTED_VALUE"""),"Ms.")</f>
        <v>Ms.</v>
      </c>
      <c r="E74" t="str">
        <f>IFERROR(__xludf.DUMMYFUNCTION("""COMPUTED_VALUE"""),"Tanyapat (Nattakarn)")</f>
        <v>Tanyapat (Nattakarn)</v>
      </c>
      <c r="F74" t="str">
        <f>IFERROR(__xludf.DUMMYFUNCTION("""COMPUTED_VALUE"""),"Limthananat (Junlaprom)")</f>
        <v>Limthananat (Junlaprom)</v>
      </c>
      <c r="G74" t="str">
        <f>IFERROR(__xludf.DUMMYFUNCTION("""COMPUTED_VALUE"""),"Tanyapat Limthananat")</f>
        <v>Tanyapat Limthananat</v>
      </c>
      <c r="H74" t="str">
        <f>IFERROR(__xludf.DUMMYFUNCTION("""COMPUTED_VALUE"""),"นางสาว")</f>
        <v>นางสาว</v>
      </c>
      <c r="I74" t="str">
        <f>IFERROR(__xludf.DUMMYFUNCTION("""COMPUTED_VALUE"""),"ธัญญภัสร์ (ณัฐกานต์)")</f>
        <v>ธัญญภัสร์ (ณัฐกานต์)</v>
      </c>
      <c r="J74" t="str">
        <f>IFERROR(__xludf.DUMMYFUNCTION("""COMPUTED_VALUE"""),"ลิ้มธนาณัฏฐ์ (จุลพรหม)")</f>
        <v>ลิ้มธนาณัฏฐ์ (จุลพรหม)</v>
      </c>
      <c r="K74" t="str">
        <f>IFERROR(__xludf.DUMMYFUNCTION("""COMPUTED_VALUE"""),"ธัญญภัสร์ ลิ้มธนาณัฏฐ์")</f>
        <v>ธัญญภัสร์ ลิ้มธนาณัฏฐ์</v>
      </c>
      <c r="L74" t="str">
        <f>IFERROR(__xludf.DUMMYFUNCTION("""COMPUTED_VALUE"""),"Dao")</f>
        <v>Dao</v>
      </c>
      <c r="M74" t="str">
        <f>IFERROR(__xludf.DUMMYFUNCTION("""COMPUTED_VALUE"""),"Senior Cabin Crew")</f>
        <v>Senior Cabin Crew</v>
      </c>
      <c r="N74" t="str">
        <f>IFERROR(__xludf.DUMMYFUNCTION("""COMPUTED_VALUE"""),"DMK")</f>
        <v>DMK</v>
      </c>
      <c r="O74" s="145" t="str">
        <f>IFERROR(__xludf.DUMMYFUNCTION("""COMPUTED_VALUE"""),"Namfon Home")</f>
        <v>Namfon Home</v>
      </c>
      <c r="P74" t="str">
        <f>IFERROR(__xludf.DUMMYFUNCTION("""COMPUTED_VALUE"""),"Active")</f>
        <v>Active</v>
      </c>
      <c r="Q74" t="str">
        <f>IFERROR(__xludf.DUMMYFUNCTION("""COMPUTED_VALUE"""),"Chinese Speaking")</f>
        <v>Chinese Speaking</v>
      </c>
      <c r="R74" s="143">
        <f>IFERROR(__xludf.DUMMYFUNCTION("""COMPUTED_VALUE"""),30001.0)</f>
        <v>30001</v>
      </c>
      <c r="S74" s="146" t="str">
        <f>IFERROR(__xludf.DUMMYFUNCTION("""COMPUTED_VALUE"""),"092-615-2496")</f>
        <v>092-615-2496</v>
      </c>
      <c r="T74" s="147" t="str">
        <f>IFERROR(__xludf.DUMMYFUNCTION("""COMPUTED_VALUE"""),"3800700-36-2051")</f>
        <v>3800700-36-2051</v>
      </c>
      <c r="U74" t="str">
        <f>IFERROR(__xludf.DUMMYFUNCTION("""COMPUTED_VALUE"""),"AC6858296")</f>
        <v>AC6858296</v>
      </c>
      <c r="V74" s="148">
        <f>IFERROR(__xludf.DUMMYFUNCTION("""COMPUTED_VALUE"""),45463.0)</f>
        <v>45463</v>
      </c>
      <c r="W74" s="148">
        <f>IFERROR(__xludf.DUMMYFUNCTION("""COMPUTED_VALUE"""),49114.0)</f>
        <v>49114</v>
      </c>
      <c r="X74" s="149">
        <f>IFERROR(__xludf.DUMMYFUNCTION("""COMPUTED_VALUE"""),48932.0)</f>
        <v>48932</v>
      </c>
      <c r="Y74" t="str">
        <f>IFERROR(__xludf.DUMMYFUNCTION("""COMPUTED_VALUE"""),"ปลอดภัย")</f>
        <v>ปลอดภัย</v>
      </c>
      <c r="Z74" t="str">
        <f>IFERROR(__xludf.DUMMYFUNCTION("""COMPUTED_VALUE"""),"Nakhon Si Thammarat Province")</f>
        <v>Nakhon Si Thammarat Province</v>
      </c>
      <c r="AA74" t="str">
        <f>IFERROR(__xludf.DUMMYFUNCTION("""COMPUTED_VALUE"""),"ลาดกระบัง")</f>
        <v>ลาดกระบัง</v>
      </c>
      <c r="AB74" t="str">
        <f>IFERROR(__xludf.DUMMYFUNCTION("""COMPUTED_VALUE"""),"085 988 7382")</f>
        <v>085 988 7382</v>
      </c>
      <c r="AC74" t="str">
        <f>IFERROR(__xludf.DUMMYFUNCTION("""COMPUTED_VALUE"""),"พี่สาว")</f>
        <v>พี่สาว</v>
      </c>
      <c r="AD74" t="str">
        <f>IFERROR(__xludf.DUMMYFUNCTION("""COMPUTED_VALUE"""),"tanyapatl@airasia.com")</f>
        <v>tanyapatl@airasia.com</v>
      </c>
    </row>
    <row r="75">
      <c r="A75" s="142">
        <f>IFERROR(__xludf.DUMMYFUNCTION("""COMPUTED_VALUE"""),18.0)</f>
        <v>18</v>
      </c>
      <c r="B75" t="str">
        <f>IFERROR(__xludf.DUMMYFUNCTION("""COMPUTED_VALUE"""),"TAA1644")</f>
        <v>TAA1644</v>
      </c>
      <c r="C75">
        <f>IFERROR(__xludf.DUMMYFUNCTION("""COMPUTED_VALUE"""),1001822.0)</f>
        <v>1001822</v>
      </c>
      <c r="D75" t="str">
        <f>IFERROR(__xludf.DUMMYFUNCTION("""COMPUTED_VALUE"""),"Ms.")</f>
        <v>Ms.</v>
      </c>
      <c r="E75" t="str">
        <f>IFERROR(__xludf.DUMMYFUNCTION("""COMPUTED_VALUE"""),"Wilasinee")</f>
        <v>Wilasinee</v>
      </c>
      <c r="F75" t="str">
        <f>IFERROR(__xludf.DUMMYFUNCTION("""COMPUTED_VALUE"""),"Natenopparat")</f>
        <v>Natenopparat</v>
      </c>
      <c r="G75" t="str">
        <f>IFERROR(__xludf.DUMMYFUNCTION("""COMPUTED_VALUE"""),"Wilasinee Natenopparat")</f>
        <v>Wilasinee Natenopparat</v>
      </c>
      <c r="H75" t="str">
        <f>IFERROR(__xludf.DUMMYFUNCTION("""COMPUTED_VALUE"""),"นางสาว")</f>
        <v>นางสาว</v>
      </c>
      <c r="I75" t="str">
        <f>IFERROR(__xludf.DUMMYFUNCTION("""COMPUTED_VALUE"""),"วิลาสินี")</f>
        <v>วิลาสินี</v>
      </c>
      <c r="J75" t="str">
        <f>IFERROR(__xludf.DUMMYFUNCTION("""COMPUTED_VALUE"""),"เนตรนพรัตน์")</f>
        <v>เนตรนพรัตน์</v>
      </c>
      <c r="K75" t="str">
        <f>IFERROR(__xludf.DUMMYFUNCTION("""COMPUTED_VALUE"""),"วิลาสินี เนตรนพรัตน์")</f>
        <v>วิลาสินี เนตรนพรัตน์</v>
      </c>
      <c r="L75" t="str">
        <f>IFERROR(__xludf.DUMMYFUNCTION("""COMPUTED_VALUE"""),"Waan")</f>
        <v>Waan</v>
      </c>
      <c r="M75" t="str">
        <f>IFERROR(__xludf.DUMMYFUNCTION("""COMPUTED_VALUE"""),"Senior Cabin Crew")</f>
        <v>Senior Cabin Crew</v>
      </c>
      <c r="N75" t="str">
        <f>IFERROR(__xludf.DUMMYFUNCTION("""COMPUTED_VALUE"""),"DMK")</f>
        <v>DMK</v>
      </c>
      <c r="O75" s="145" t="str">
        <f>IFERROR(__xludf.DUMMYFUNCTION("""COMPUTED_VALUE"""),"Namfon Home")</f>
        <v>Namfon Home</v>
      </c>
      <c r="P75" t="str">
        <f>IFERROR(__xludf.DUMMYFUNCTION("""COMPUTED_VALUE"""),"Active")</f>
        <v>Active</v>
      </c>
      <c r="R75" s="143">
        <f>IFERROR(__xludf.DUMMYFUNCTION("""COMPUTED_VALUE"""),29630.0)</f>
        <v>29630</v>
      </c>
      <c r="S75" s="146" t="str">
        <f>IFERROR(__xludf.DUMMYFUNCTION("""COMPUTED_VALUE"""),"086 563 6264")</f>
        <v>086 563 6264</v>
      </c>
      <c r="T75" s="147" t="str">
        <f>IFERROR(__xludf.DUMMYFUNCTION("""COMPUTED_VALUE"""),"3570101-74-9571")</f>
        <v>3570101-74-9571</v>
      </c>
      <c r="U75" t="str">
        <f>IFERROR(__xludf.DUMMYFUNCTION("""COMPUTED_VALUE"""),"AC4869193")</f>
        <v>AC4869193</v>
      </c>
      <c r="V75" s="148">
        <f>IFERROR(__xludf.DUMMYFUNCTION("""COMPUTED_VALUE"""),45034.0)</f>
        <v>45034</v>
      </c>
      <c r="W75" s="148">
        <f>IFERROR(__xludf.DUMMYFUNCTION("""COMPUTED_VALUE"""),48686.0)</f>
        <v>48686</v>
      </c>
      <c r="X75" s="149">
        <f>IFERROR(__xludf.DUMMYFUNCTION("""COMPUTED_VALUE"""),48504.0)</f>
        <v>48504</v>
      </c>
      <c r="Y75" t="str">
        <f>IFERROR(__xludf.DUMMYFUNCTION("""COMPUTED_VALUE"""),"ปลอดภัย")</f>
        <v>ปลอดภัย</v>
      </c>
      <c r="Z75" t="str">
        <f>IFERROR(__xludf.DUMMYFUNCTION("""COMPUTED_VALUE"""),"Lampang Province")</f>
        <v>Lampang Province</v>
      </c>
      <c r="AA75" t="str">
        <f>IFERROR(__xludf.DUMMYFUNCTION("""COMPUTED_VALUE"""),"คันนายาว")</f>
        <v>คันนายาว</v>
      </c>
      <c r="AB75" t="str">
        <f>IFERROR(__xludf.DUMMYFUNCTION("""COMPUTED_VALUE"""),"081 279 9576")</f>
        <v>081 279 9576</v>
      </c>
      <c r="AC75" t="str">
        <f>IFERROR(__xludf.DUMMYFUNCTION("""COMPUTED_VALUE"""),"แฟน")</f>
        <v>แฟน</v>
      </c>
      <c r="AD75" t="str">
        <f>IFERROR(__xludf.DUMMYFUNCTION("""COMPUTED_VALUE"""),"wilasineen@airasia.com")</f>
        <v>wilasineen@airasia.com</v>
      </c>
    </row>
    <row r="76">
      <c r="AD76" t="str">
        <f>IFERROR(__xludf.DUMMYFUNCTION("""COMPUTED_VALUE"""),"")</f>
        <v/>
      </c>
    </row>
    <row r="77">
      <c r="A77" s="142">
        <f>IFERROR(__xludf.DUMMYFUNCTION("""COMPUTED_VALUE"""),19.0)</f>
        <v>19</v>
      </c>
      <c r="B77" t="str">
        <f>IFERROR(__xludf.DUMMYFUNCTION("""COMPUTED_VALUE"""),"TAA1722")</f>
        <v>TAA1722</v>
      </c>
      <c r="C77">
        <f>IFERROR(__xludf.DUMMYFUNCTION("""COMPUTED_VALUE"""),1000992.0)</f>
        <v>1000992</v>
      </c>
      <c r="D77" t="str">
        <f>IFERROR(__xludf.DUMMYFUNCTION("""COMPUTED_VALUE"""),"Ms.")</f>
        <v>Ms.</v>
      </c>
      <c r="E77" t="str">
        <f>IFERROR(__xludf.DUMMYFUNCTION("""COMPUTED_VALUE"""),"Sirinya")</f>
        <v>Sirinya</v>
      </c>
      <c r="F77" t="str">
        <f>IFERROR(__xludf.DUMMYFUNCTION("""COMPUTED_VALUE"""),"Wichaiya")</f>
        <v>Wichaiya</v>
      </c>
      <c r="G77" t="str">
        <f>IFERROR(__xludf.DUMMYFUNCTION("""COMPUTED_VALUE"""),"Sirinya Wichaiya")</f>
        <v>Sirinya Wichaiya</v>
      </c>
      <c r="H77" t="str">
        <f>IFERROR(__xludf.DUMMYFUNCTION("""COMPUTED_VALUE"""),"นางสาว")</f>
        <v>นางสาว</v>
      </c>
      <c r="I77" t="str">
        <f>IFERROR(__xludf.DUMMYFUNCTION("""COMPUTED_VALUE"""),"ศิริญญา")</f>
        <v>ศิริญญา</v>
      </c>
      <c r="J77" t="str">
        <f>IFERROR(__xludf.DUMMYFUNCTION("""COMPUTED_VALUE"""),"วิชัยยา")</f>
        <v>วิชัยยา</v>
      </c>
      <c r="K77" t="str">
        <f>IFERROR(__xludf.DUMMYFUNCTION("""COMPUTED_VALUE"""),"ศิริญญา วิชัยยา")</f>
        <v>ศิริญญา วิชัยยา</v>
      </c>
      <c r="L77" t="str">
        <f>IFERROR(__xludf.DUMMYFUNCTION("""COMPUTED_VALUE"""),"Gift")</f>
        <v>Gift</v>
      </c>
      <c r="M77" t="str">
        <f>IFERROR(__xludf.DUMMYFUNCTION("""COMPUTED_VALUE"""),"Senior Cabin Crew - CNX")</f>
        <v>Senior Cabin Crew - CNX</v>
      </c>
      <c r="N77" t="str">
        <f>IFERROR(__xludf.DUMMYFUNCTION("""COMPUTED_VALUE"""),"CNX")</f>
        <v>CNX</v>
      </c>
      <c r="O77" s="145" t="str">
        <f>IFERROR(__xludf.DUMMYFUNCTION("""COMPUTED_VALUE"""),"Up Home")</f>
        <v>Up Home</v>
      </c>
      <c r="P77" t="str">
        <f>IFERROR(__xludf.DUMMYFUNCTION("""COMPUTED_VALUE"""),"Active")</f>
        <v>Active</v>
      </c>
      <c r="R77" s="143">
        <f>IFERROR(__xludf.DUMMYFUNCTION("""COMPUTED_VALUE"""),29306.0)</f>
        <v>29306</v>
      </c>
      <c r="S77" s="146" t="str">
        <f>IFERROR(__xludf.DUMMYFUNCTION("""COMPUTED_VALUE"""),"094 635 4289")</f>
        <v>094 635 4289</v>
      </c>
      <c r="T77" s="147" t="str">
        <f>IFERROR(__xludf.DUMMYFUNCTION("""COMPUTED_VALUE"""),"3501300-16-1434")</f>
        <v>3501300-16-1434</v>
      </c>
      <c r="U77" t="str">
        <f>IFERROR(__xludf.DUMMYFUNCTION("""COMPUTED_VALUE"""),"AC6791520")</f>
        <v>AC6791520</v>
      </c>
      <c r="V77" s="148">
        <f>IFERROR(__xludf.DUMMYFUNCTION("""COMPUTED_VALUE"""),45420.0)</f>
        <v>45420</v>
      </c>
      <c r="W77" s="148">
        <f>IFERROR(__xludf.DUMMYFUNCTION("""COMPUTED_VALUE"""),49071.0)</f>
        <v>49071</v>
      </c>
      <c r="X77" s="149">
        <f>IFERROR(__xludf.DUMMYFUNCTION("""COMPUTED_VALUE"""),48890.0)</f>
        <v>48890</v>
      </c>
      <c r="Y77" t="str">
        <f>IFERROR(__xludf.DUMMYFUNCTION("""COMPUTED_VALUE"""),"ปลอดภัย")</f>
        <v>ปลอดภัย</v>
      </c>
      <c r="Z77" t="str">
        <f>IFERROR(__xludf.DUMMYFUNCTION("""COMPUTED_VALUE"""),"Chiang Mai Province")</f>
        <v>Chiang Mai Province</v>
      </c>
      <c r="AA77" t="str">
        <f>IFERROR(__xludf.DUMMYFUNCTION("""COMPUTED_VALUE"""),"เชียงใหม่")</f>
        <v>เชียงใหม่</v>
      </c>
      <c r="AB77" t="str">
        <f>IFERROR(__xludf.DUMMYFUNCTION("""COMPUTED_VALUE"""),"086 921 0769")</f>
        <v>086 921 0769</v>
      </c>
      <c r="AC77" t="str">
        <f>IFERROR(__xludf.DUMMYFUNCTION("""COMPUTED_VALUE"""),"แม่")</f>
        <v>แม่</v>
      </c>
      <c r="AD77" t="str">
        <f>IFERROR(__xludf.DUMMYFUNCTION("""COMPUTED_VALUE"""),"sirinyaw@airasia.com")</f>
        <v>sirinyaw@airasia.com</v>
      </c>
    </row>
    <row r="78">
      <c r="A78" s="142">
        <f>IFERROR(__xludf.DUMMYFUNCTION("""COMPUTED_VALUE"""),19.0)</f>
        <v>19</v>
      </c>
      <c r="B78" t="str">
        <f>IFERROR(__xludf.DUMMYFUNCTION("""COMPUTED_VALUE"""),"TAA1731")</f>
        <v>TAA1731</v>
      </c>
      <c r="C78">
        <f>IFERROR(__xludf.DUMMYFUNCTION("""COMPUTED_VALUE"""),1001914.0)</f>
        <v>1001914</v>
      </c>
      <c r="D78" t="str">
        <f>IFERROR(__xludf.DUMMYFUNCTION("""COMPUTED_VALUE"""),"Ms.")</f>
        <v>Ms.</v>
      </c>
      <c r="E78" t="str">
        <f>IFERROR(__xludf.DUMMYFUNCTION("""COMPUTED_VALUE"""),"Arthitaya")</f>
        <v>Arthitaya</v>
      </c>
      <c r="F78" t="str">
        <f>IFERROR(__xludf.DUMMYFUNCTION("""COMPUTED_VALUE"""),"Srisopon")</f>
        <v>Srisopon</v>
      </c>
      <c r="G78" t="str">
        <f>IFERROR(__xludf.DUMMYFUNCTION("""COMPUTED_VALUE"""),"Arthitaya Srisopon")</f>
        <v>Arthitaya Srisopon</v>
      </c>
      <c r="H78" t="str">
        <f>IFERROR(__xludf.DUMMYFUNCTION("""COMPUTED_VALUE"""),"นางสาว")</f>
        <v>นางสาว</v>
      </c>
      <c r="I78" t="str">
        <f>IFERROR(__xludf.DUMMYFUNCTION("""COMPUTED_VALUE"""),"อาทิตยา")</f>
        <v>อาทิตยา</v>
      </c>
      <c r="J78" t="str">
        <f>IFERROR(__xludf.DUMMYFUNCTION("""COMPUTED_VALUE"""),"ศรีโสภณ")</f>
        <v>ศรีโสภณ</v>
      </c>
      <c r="K78" t="str">
        <f>IFERROR(__xludf.DUMMYFUNCTION("""COMPUTED_VALUE"""),"อาทิตยา ศรีโสภณ")</f>
        <v>อาทิตยา ศรีโสภณ</v>
      </c>
      <c r="L78" t="str">
        <f>IFERROR(__xludf.DUMMYFUNCTION("""COMPUTED_VALUE"""),"Cartoon")</f>
        <v>Cartoon</v>
      </c>
      <c r="M78" t="str">
        <f>IFERROR(__xludf.DUMMYFUNCTION("""COMPUTED_VALUE"""),"Senior Cabin Crew")</f>
        <v>Senior Cabin Crew</v>
      </c>
      <c r="N78" t="str">
        <f>IFERROR(__xludf.DUMMYFUNCTION("""COMPUTED_VALUE"""),"DMK")</f>
        <v>DMK</v>
      </c>
      <c r="O78" s="145" t="str">
        <f>IFERROR(__xludf.DUMMYFUNCTION("""COMPUTED_VALUE"""),"Namfon Home")</f>
        <v>Namfon Home</v>
      </c>
      <c r="P78" t="str">
        <f>IFERROR(__xludf.DUMMYFUNCTION("""COMPUTED_VALUE"""),"Active")</f>
        <v>Active</v>
      </c>
      <c r="Q78" t="str">
        <f>IFERROR(__xludf.DUMMYFUNCTION("""COMPUTED_VALUE"""),"SCC Line Checker 2025")</f>
        <v>SCC Line Checker 2025</v>
      </c>
      <c r="R78" s="143">
        <f>IFERROR(__xludf.DUMMYFUNCTION("""COMPUTED_VALUE"""),31039.0)</f>
        <v>31039</v>
      </c>
      <c r="S78" s="146" t="str">
        <f>IFERROR(__xludf.DUMMYFUNCTION("""COMPUTED_VALUE"""),"089 7018814")</f>
        <v>089 7018814</v>
      </c>
      <c r="T78" s="147" t="str">
        <f>IFERROR(__xludf.DUMMYFUNCTION("""COMPUTED_VALUE"""),"1102000-16-5688")</f>
        <v>1102000-16-5688</v>
      </c>
      <c r="U78" t="str">
        <f>IFERROR(__xludf.DUMMYFUNCTION("""COMPUTED_VALUE"""),"AC6218508")</f>
        <v>AC6218508</v>
      </c>
      <c r="V78" s="148">
        <f>IFERROR(__xludf.DUMMYFUNCTION("""COMPUTED_VALUE"""),45296.0)</f>
        <v>45296</v>
      </c>
      <c r="W78" s="148">
        <f>IFERROR(__xludf.DUMMYFUNCTION("""COMPUTED_VALUE"""),48948.0)</f>
        <v>48948</v>
      </c>
      <c r="X78" s="149">
        <f>IFERROR(__xludf.DUMMYFUNCTION("""COMPUTED_VALUE"""),48764.0)</f>
        <v>48764</v>
      </c>
      <c r="Y78" t="str">
        <f>IFERROR(__xludf.DUMMYFUNCTION("""COMPUTED_VALUE"""),"ปลอดภัย")</f>
        <v>ปลอดภัย</v>
      </c>
      <c r="Z78" t="str">
        <f>IFERROR(__xludf.DUMMYFUNCTION("""COMPUTED_VALUE"""),"Bangkok")</f>
        <v>Bangkok</v>
      </c>
      <c r="AA78" t="str">
        <f>IFERROR(__xludf.DUMMYFUNCTION("""COMPUTED_VALUE"""),"รามคำแหง")</f>
        <v>รามคำแหง</v>
      </c>
      <c r="AB78" t="str">
        <f>IFERROR(__xludf.DUMMYFUNCTION("""COMPUTED_VALUE"""),"081 816 8743")</f>
        <v>081 816 8743</v>
      </c>
      <c r="AC78" t="str">
        <f>IFERROR(__xludf.DUMMYFUNCTION("""COMPUTED_VALUE"""),"แฟน")</f>
        <v>แฟน</v>
      </c>
      <c r="AD78" t="str">
        <f>IFERROR(__xludf.DUMMYFUNCTION("""COMPUTED_VALUE"""),"arthitayas@airasia.com")</f>
        <v>arthitayas@airasia.com</v>
      </c>
    </row>
    <row r="79">
      <c r="A79" s="142">
        <f>IFERROR(__xludf.DUMMYFUNCTION("""COMPUTED_VALUE"""),19.0)</f>
        <v>19</v>
      </c>
      <c r="B79" t="str">
        <f>IFERROR(__xludf.DUMMYFUNCTION("""COMPUTED_VALUE"""),"TAA1734")</f>
        <v>TAA1734</v>
      </c>
      <c r="C79">
        <f>IFERROR(__xludf.DUMMYFUNCTION("""COMPUTED_VALUE"""),1001917.0)</f>
        <v>1001917</v>
      </c>
      <c r="D79" t="str">
        <f>IFERROR(__xludf.DUMMYFUNCTION("""COMPUTED_VALUE"""),"Ms.")</f>
        <v>Ms.</v>
      </c>
      <c r="E79" t="str">
        <f>IFERROR(__xludf.DUMMYFUNCTION("""COMPUTED_VALUE"""),"Lakkana")</f>
        <v>Lakkana</v>
      </c>
      <c r="F79" t="str">
        <f>IFERROR(__xludf.DUMMYFUNCTION("""COMPUTED_VALUE"""),"Phongtong")</f>
        <v>Phongtong</v>
      </c>
      <c r="G79" t="str">
        <f>IFERROR(__xludf.DUMMYFUNCTION("""COMPUTED_VALUE"""),"Lakkana Phongtong")</f>
        <v>Lakkana Phongtong</v>
      </c>
      <c r="H79" t="str">
        <f>IFERROR(__xludf.DUMMYFUNCTION("""COMPUTED_VALUE"""),"นางสาว")</f>
        <v>นางสาว</v>
      </c>
      <c r="I79" t="str">
        <f>IFERROR(__xludf.DUMMYFUNCTION("""COMPUTED_VALUE"""),"ลักขณา")</f>
        <v>ลักขณา</v>
      </c>
      <c r="J79" t="str">
        <f>IFERROR(__xludf.DUMMYFUNCTION("""COMPUTED_VALUE"""),"พงษ์ทอง")</f>
        <v>พงษ์ทอง</v>
      </c>
      <c r="K79" t="str">
        <f>IFERROR(__xludf.DUMMYFUNCTION("""COMPUTED_VALUE"""),"ลักขณา พงษ์ทอง")</f>
        <v>ลักขณา พงษ์ทอง</v>
      </c>
      <c r="L79" t="str">
        <f>IFERROR(__xludf.DUMMYFUNCTION("""COMPUTED_VALUE"""),"Kook")</f>
        <v>Kook</v>
      </c>
      <c r="M79" t="str">
        <f>IFERROR(__xludf.DUMMYFUNCTION("""COMPUTED_VALUE"""),"Senior Cabin Crew - BKK")</f>
        <v>Senior Cabin Crew - BKK</v>
      </c>
      <c r="N79" t="str">
        <f>IFERROR(__xludf.DUMMYFUNCTION("""COMPUTED_VALUE"""),"BKK")</f>
        <v>BKK</v>
      </c>
      <c r="O79" s="145" t="str">
        <f>IFERROR(__xludf.DUMMYFUNCTION("""COMPUTED_VALUE"""),"Nhui Home")</f>
        <v>Nhui Home</v>
      </c>
      <c r="P79" t="str">
        <f>IFERROR(__xludf.DUMMYFUNCTION("""COMPUTED_VALUE"""),"Active")</f>
        <v>Active</v>
      </c>
      <c r="R79" s="143">
        <f>IFERROR(__xludf.DUMMYFUNCTION("""COMPUTED_VALUE"""),29887.0)</f>
        <v>29887</v>
      </c>
      <c r="S79" s="146" t="str">
        <f>IFERROR(__xludf.DUMMYFUNCTION("""COMPUTED_VALUE"""),"089 812 0044")</f>
        <v>089 812 0044</v>
      </c>
      <c r="T79" s="147" t="str">
        <f>IFERROR(__xludf.DUMMYFUNCTION("""COMPUTED_VALUE"""),"3101401-32-9539")</f>
        <v>3101401-32-9539</v>
      </c>
      <c r="U79" t="str">
        <f>IFERROR(__xludf.DUMMYFUNCTION("""COMPUTED_VALUE"""),"AC2927275")</f>
        <v>AC2927275</v>
      </c>
      <c r="V79" s="148">
        <f>IFERROR(__xludf.DUMMYFUNCTION("""COMPUTED_VALUE"""),44627.0)</f>
        <v>44627</v>
      </c>
      <c r="W79" s="148">
        <f>IFERROR(__xludf.DUMMYFUNCTION("""COMPUTED_VALUE"""),48279.0)</f>
        <v>48279</v>
      </c>
      <c r="X79" s="149">
        <f>IFERROR(__xludf.DUMMYFUNCTION("""COMPUTED_VALUE"""),48097.0)</f>
        <v>48097</v>
      </c>
      <c r="Y79" t="str">
        <f>IFERROR(__xludf.DUMMYFUNCTION("""COMPUTED_VALUE"""),"ปลอดภัย")</f>
        <v>ปลอดภัย</v>
      </c>
      <c r="Z79" t="str">
        <f>IFERROR(__xludf.DUMMYFUNCTION("""COMPUTED_VALUE"""),"Bangkok")</f>
        <v>Bangkok</v>
      </c>
      <c r="AA79" t="str">
        <f>IFERROR(__xludf.DUMMYFUNCTION("""COMPUTED_VALUE"""),"ประเวศ")</f>
        <v>ประเวศ</v>
      </c>
      <c r="AB79" t="str">
        <f>IFERROR(__xludf.DUMMYFUNCTION("""COMPUTED_VALUE"""),"081 817 3261")</f>
        <v>081 817 3261</v>
      </c>
      <c r="AC79" t="str">
        <f>IFERROR(__xludf.DUMMYFUNCTION("""COMPUTED_VALUE"""),"พี่")</f>
        <v>พี่</v>
      </c>
      <c r="AD79" t="str">
        <f>IFERROR(__xludf.DUMMYFUNCTION("""COMPUTED_VALUE"""),"lakkanap@airasia.com")</f>
        <v>lakkanap@airasia.com</v>
      </c>
    </row>
    <row r="80">
      <c r="A80" s="142">
        <f>IFERROR(__xludf.DUMMYFUNCTION("""COMPUTED_VALUE"""),19.0)</f>
        <v>19</v>
      </c>
      <c r="B80" t="str">
        <f>IFERROR(__xludf.DUMMYFUNCTION("""COMPUTED_VALUE"""),"TAA1735")</f>
        <v>TAA1735</v>
      </c>
      <c r="C80">
        <f>IFERROR(__xludf.DUMMYFUNCTION("""COMPUTED_VALUE"""),1001918.0)</f>
        <v>1001918</v>
      </c>
      <c r="D80" t="str">
        <f>IFERROR(__xludf.DUMMYFUNCTION("""COMPUTED_VALUE"""),"Ms.")</f>
        <v>Ms.</v>
      </c>
      <c r="E80" t="str">
        <f>IFERROR(__xludf.DUMMYFUNCTION("""COMPUTED_VALUE"""),"Mint")</f>
        <v>Mint</v>
      </c>
      <c r="F80" t="str">
        <f>IFERROR(__xludf.DUMMYFUNCTION("""COMPUTED_VALUE"""),"Jencheawcharn")</f>
        <v>Jencheawcharn</v>
      </c>
      <c r="G80" t="str">
        <f>IFERROR(__xludf.DUMMYFUNCTION("""COMPUTED_VALUE"""),"Mint Jencheawcharn")</f>
        <v>Mint Jencheawcharn</v>
      </c>
      <c r="H80" t="str">
        <f>IFERROR(__xludf.DUMMYFUNCTION("""COMPUTED_VALUE"""),"นางสาว")</f>
        <v>นางสาว</v>
      </c>
      <c r="I80" t="str">
        <f>IFERROR(__xludf.DUMMYFUNCTION("""COMPUTED_VALUE"""),"มินต์")</f>
        <v>มินต์</v>
      </c>
      <c r="J80" t="str">
        <f>IFERROR(__xludf.DUMMYFUNCTION("""COMPUTED_VALUE"""),"เจนเชี่ยวชาญ")</f>
        <v>เจนเชี่ยวชาญ</v>
      </c>
      <c r="K80" t="str">
        <f>IFERROR(__xludf.DUMMYFUNCTION("""COMPUTED_VALUE"""),"มินต์ เจนเชี่ยวชาญ")</f>
        <v>มินต์ เจนเชี่ยวชาญ</v>
      </c>
      <c r="L80" t="str">
        <f>IFERROR(__xludf.DUMMYFUNCTION("""COMPUTED_VALUE"""),"Mint")</f>
        <v>Mint</v>
      </c>
      <c r="M80" t="str">
        <f>IFERROR(__xludf.DUMMYFUNCTION("""COMPUTED_VALUE"""),"Senior Cabin Crew")</f>
        <v>Senior Cabin Crew</v>
      </c>
      <c r="N80" t="str">
        <f>IFERROR(__xludf.DUMMYFUNCTION("""COMPUTED_VALUE"""),"DMK")</f>
        <v>DMK</v>
      </c>
      <c r="O80" s="145" t="str">
        <f>IFERROR(__xludf.DUMMYFUNCTION("""COMPUTED_VALUE"""),"Um Home")</f>
        <v>Um Home</v>
      </c>
      <c r="P80" t="str">
        <f>IFERROR(__xludf.DUMMYFUNCTION("""COMPUTED_VALUE"""),"Active")</f>
        <v>Active</v>
      </c>
      <c r="Q80" t="str">
        <f>IFERROR(__xludf.DUMMYFUNCTION("""COMPUTED_VALUE"""),"SCC Line Checker 2025")</f>
        <v>SCC Line Checker 2025</v>
      </c>
      <c r="R80" s="143">
        <f>IFERROR(__xludf.DUMMYFUNCTION("""COMPUTED_VALUE"""),29488.0)</f>
        <v>29488</v>
      </c>
      <c r="S80" s="146" t="str">
        <f>IFERROR(__xludf.DUMMYFUNCTION("""COMPUTED_VALUE"""),"089 813 4798")</f>
        <v>089 813 4798</v>
      </c>
      <c r="T80" s="147" t="str">
        <f>IFERROR(__xludf.DUMMYFUNCTION("""COMPUTED_VALUE"""),"3100600-06-2442")</f>
        <v>3100600-06-2442</v>
      </c>
      <c r="U80" t="str">
        <f>IFERROR(__xludf.DUMMYFUNCTION("""COMPUTED_VALUE"""),"AC5654509")</f>
        <v>AC5654509</v>
      </c>
      <c r="V80" s="148">
        <f>IFERROR(__xludf.DUMMYFUNCTION("""COMPUTED_VALUE"""),45176.0)</f>
        <v>45176</v>
      </c>
      <c r="W80" s="148">
        <f>IFERROR(__xludf.DUMMYFUNCTION("""COMPUTED_VALUE"""),48828.0)</f>
        <v>48828</v>
      </c>
      <c r="X80" s="149">
        <f>IFERROR(__xludf.DUMMYFUNCTION("""COMPUTED_VALUE"""),48644.0)</f>
        <v>48644</v>
      </c>
      <c r="Y80" t="str">
        <f>IFERROR(__xludf.DUMMYFUNCTION("""COMPUTED_VALUE"""),"ปลอดภัย")</f>
        <v>ปลอดภัย</v>
      </c>
      <c r="Z80" t="str">
        <f>IFERROR(__xludf.DUMMYFUNCTION("""COMPUTED_VALUE"""),"Bangkok")</f>
        <v>Bangkok</v>
      </c>
      <c r="AA80" t="str">
        <f>IFERROR(__xludf.DUMMYFUNCTION("""COMPUTED_VALUE"""),"นิมิตรใหม่")</f>
        <v>นิมิตรใหม่</v>
      </c>
      <c r="AB80" t="str">
        <f>IFERROR(__xludf.DUMMYFUNCTION("""COMPUTED_VALUE"""),"081 721 0242")</f>
        <v>081 721 0242</v>
      </c>
      <c r="AC80" t="str">
        <f>IFERROR(__xludf.DUMMYFUNCTION("""COMPUTED_VALUE"""),"แม่")</f>
        <v>แม่</v>
      </c>
      <c r="AD80" t="str">
        <f>IFERROR(__xludf.DUMMYFUNCTION("""COMPUTED_VALUE"""),"mintj@airasia.com")</f>
        <v>mintj@airasia.com</v>
      </c>
    </row>
    <row r="81">
      <c r="A81" s="142">
        <f>IFERROR(__xludf.DUMMYFUNCTION("""COMPUTED_VALUE"""),19.0)</f>
        <v>19</v>
      </c>
      <c r="B81" t="str">
        <f>IFERROR(__xludf.DUMMYFUNCTION("""COMPUTED_VALUE"""),"TAA1717")</f>
        <v>TAA1717</v>
      </c>
      <c r="C81">
        <f>IFERROR(__xludf.DUMMYFUNCTION("""COMPUTED_VALUE"""),1001921.0)</f>
        <v>1001921</v>
      </c>
      <c r="D81" t="str">
        <f>IFERROR(__xludf.DUMMYFUNCTION("""COMPUTED_VALUE"""),"Ms.")</f>
        <v>Ms.</v>
      </c>
      <c r="E81" t="str">
        <f>IFERROR(__xludf.DUMMYFUNCTION("""COMPUTED_VALUE"""),"Preeyanuch")</f>
        <v>Preeyanuch</v>
      </c>
      <c r="F81" t="str">
        <f>IFERROR(__xludf.DUMMYFUNCTION("""COMPUTED_VALUE"""),"Yuwayongdee")</f>
        <v>Yuwayongdee</v>
      </c>
      <c r="G81" t="str">
        <f>IFERROR(__xludf.DUMMYFUNCTION("""COMPUTED_VALUE"""),"Preeyanuch Yuwayongdee")</f>
        <v>Preeyanuch Yuwayongdee</v>
      </c>
      <c r="H81" t="str">
        <f>IFERROR(__xludf.DUMMYFUNCTION("""COMPUTED_VALUE"""),"นางสาว")</f>
        <v>นางสาว</v>
      </c>
      <c r="I81" t="str">
        <f>IFERROR(__xludf.DUMMYFUNCTION("""COMPUTED_VALUE"""),"ปรียานุช")</f>
        <v>ปรียานุช</v>
      </c>
      <c r="J81" t="str">
        <f>IFERROR(__xludf.DUMMYFUNCTION("""COMPUTED_VALUE"""),"ยุวะยงดี")</f>
        <v>ยุวะยงดี</v>
      </c>
      <c r="K81" t="str">
        <f>IFERROR(__xludf.DUMMYFUNCTION("""COMPUTED_VALUE"""),"ปรียานุช ยุวะยงดี")</f>
        <v>ปรียานุช ยุวะยงดี</v>
      </c>
      <c r="L81" t="str">
        <f>IFERROR(__xludf.DUMMYFUNCTION("""COMPUTED_VALUE"""),"Nuch")</f>
        <v>Nuch</v>
      </c>
      <c r="M81" t="str">
        <f>IFERROR(__xludf.DUMMYFUNCTION("""COMPUTED_VALUE"""),"Senior Cabin Crew")</f>
        <v>Senior Cabin Crew</v>
      </c>
      <c r="N81" t="str">
        <f>IFERROR(__xludf.DUMMYFUNCTION("""COMPUTED_VALUE"""),"DMK")</f>
        <v>DMK</v>
      </c>
      <c r="O81" s="145" t="str">
        <f>IFERROR(__xludf.DUMMYFUNCTION("""COMPUTED_VALUE"""),"Um Home")</f>
        <v>Um Home</v>
      </c>
      <c r="P81" t="str">
        <f>IFERROR(__xludf.DUMMYFUNCTION("""COMPUTED_VALUE"""),"Active")</f>
        <v>Active</v>
      </c>
      <c r="R81" s="143">
        <f>IFERROR(__xludf.DUMMYFUNCTION("""COMPUTED_VALUE"""),31002.0)</f>
        <v>31002</v>
      </c>
      <c r="S81" s="146" t="str">
        <f>IFERROR(__xludf.DUMMYFUNCTION("""COMPUTED_VALUE"""),"088 649 2456")</f>
        <v>088 649 2456</v>
      </c>
      <c r="T81" s="147" t="str">
        <f>IFERROR(__xludf.DUMMYFUNCTION("""COMPUTED_VALUE"""),"1100400-06-5531")</f>
        <v>1100400-06-5531</v>
      </c>
      <c r="U81" t="str">
        <f>IFERROR(__xludf.DUMMYFUNCTION("""COMPUTED_VALUE"""),"AC2923912")</f>
        <v>AC2923912</v>
      </c>
      <c r="V81" s="148">
        <f>IFERROR(__xludf.DUMMYFUNCTION("""COMPUTED_VALUE"""),44627.0)</f>
        <v>44627</v>
      </c>
      <c r="W81" s="148">
        <f>IFERROR(__xludf.DUMMYFUNCTION("""COMPUTED_VALUE"""),48279.0)</f>
        <v>48279</v>
      </c>
      <c r="X81" s="149">
        <f>IFERROR(__xludf.DUMMYFUNCTION("""COMPUTED_VALUE"""),48097.0)</f>
        <v>48097</v>
      </c>
      <c r="Y81" t="str">
        <f>IFERROR(__xludf.DUMMYFUNCTION("""COMPUTED_VALUE"""),"ปลอดภัย")</f>
        <v>ปลอดภัย</v>
      </c>
      <c r="Z81" t="str">
        <f>IFERROR(__xludf.DUMMYFUNCTION("""COMPUTED_VALUE"""),"Bangkok")</f>
        <v>Bangkok</v>
      </c>
      <c r="AA81" t="str">
        <f>IFERROR(__xludf.DUMMYFUNCTION("""COMPUTED_VALUE"""),"ป้อมปราบศัตรูพ่าย")</f>
        <v>ป้อมปราบศัตรูพ่าย</v>
      </c>
      <c r="AB81" t="str">
        <f>IFERROR(__xludf.DUMMYFUNCTION("""COMPUTED_VALUE"""),"081 309 7011")</f>
        <v>081 309 7011</v>
      </c>
      <c r="AC81" t="str">
        <f>IFERROR(__xludf.DUMMYFUNCTION("""COMPUTED_VALUE"""),"แม่")</f>
        <v>แม่</v>
      </c>
      <c r="AD81" t="str">
        <f>IFERROR(__xludf.DUMMYFUNCTION("""COMPUTED_VALUE"""),"preeyanuchy@airasia.com")</f>
        <v>preeyanuchy@airasia.com</v>
      </c>
    </row>
    <row r="82">
      <c r="A82" s="142">
        <f>IFERROR(__xludf.DUMMYFUNCTION("""COMPUTED_VALUE"""),19.0)</f>
        <v>19</v>
      </c>
      <c r="B82" t="str">
        <f>IFERROR(__xludf.DUMMYFUNCTION("""COMPUTED_VALUE"""),"TAA1718")</f>
        <v>TAA1718</v>
      </c>
      <c r="C82">
        <f>IFERROR(__xludf.DUMMYFUNCTION("""COMPUTED_VALUE"""),1001922.0)</f>
        <v>1001922</v>
      </c>
      <c r="D82" t="str">
        <f>IFERROR(__xludf.DUMMYFUNCTION("""COMPUTED_VALUE"""),"Mrs.")</f>
        <v>Mrs.</v>
      </c>
      <c r="E82" t="str">
        <f>IFERROR(__xludf.DUMMYFUNCTION("""COMPUTED_VALUE"""),"Sirisinee")</f>
        <v>Sirisinee</v>
      </c>
      <c r="F82" t="str">
        <f>IFERROR(__xludf.DUMMYFUNCTION("""COMPUTED_VALUE"""),"Wongchanhan (Chaisuwankiree)")</f>
        <v>Wongchanhan (Chaisuwankiree)</v>
      </c>
      <c r="G82" t="str">
        <f>IFERROR(__xludf.DUMMYFUNCTION("""COMPUTED_VALUE"""),"Sirisinee Wongchanhan")</f>
        <v>Sirisinee Wongchanhan</v>
      </c>
      <c r="H82" t="str">
        <f>IFERROR(__xludf.DUMMYFUNCTION("""COMPUTED_VALUE"""),"นาง")</f>
        <v>นาง</v>
      </c>
      <c r="I82" t="str">
        <f>IFERROR(__xludf.DUMMYFUNCTION("""COMPUTED_VALUE"""),"สิริสินีษ์")</f>
        <v>สิริสินีษ์</v>
      </c>
      <c r="J82" t="str">
        <f>IFERROR(__xludf.DUMMYFUNCTION("""COMPUTED_VALUE"""),"วงษ์จันทร์หาญ (ฉายสุวรรณคีรี)")</f>
        <v>วงษ์จันทร์หาญ (ฉายสุวรรณคีรี)</v>
      </c>
      <c r="K82" t="str">
        <f>IFERROR(__xludf.DUMMYFUNCTION("""COMPUTED_VALUE"""),"สิริสินีษ์ วงษ์จันทร์หาญ")</f>
        <v>สิริสินีษ์ วงษ์จันทร์หาญ</v>
      </c>
      <c r="L82" t="str">
        <f>IFERROR(__xludf.DUMMYFUNCTION("""COMPUTED_VALUE"""),"Nam Fon")</f>
        <v>Nam Fon</v>
      </c>
      <c r="M82" t="str">
        <f>IFERROR(__xludf.DUMMYFUNCTION("""COMPUTED_VALUE"""),"Cabin Crew Engagement Lead")</f>
        <v>Cabin Crew Engagement Lead</v>
      </c>
      <c r="N82" t="str">
        <f>IFERROR(__xludf.DUMMYFUNCTION("""COMPUTED_VALUE"""),"DMK")</f>
        <v>DMK</v>
      </c>
      <c r="O82" s="145" t="str">
        <f>IFERROR(__xludf.DUMMYFUNCTION("""COMPUTED_VALUE"""),"Ward Monitor")</f>
        <v>Ward Monitor</v>
      </c>
      <c r="P82" t="str">
        <f>IFERROR(__xludf.DUMMYFUNCTION("""COMPUTED_VALUE"""),"CCEL")</f>
        <v>CCEL</v>
      </c>
      <c r="R82" s="143">
        <f>IFERROR(__xludf.DUMMYFUNCTION("""COMPUTED_VALUE"""),30948.0)</f>
        <v>30948</v>
      </c>
      <c r="S82" s="146" t="str">
        <f>IFERROR(__xludf.DUMMYFUNCTION("""COMPUTED_VALUE"""),"084 465 4542")</f>
        <v>084 465 4542</v>
      </c>
      <c r="T82" s="147" t="str">
        <f>IFERROR(__xludf.DUMMYFUNCTION("""COMPUTED_VALUE"""),"1100400-05-8364")</f>
        <v>1100400-05-8364</v>
      </c>
      <c r="U82" t="str">
        <f>IFERROR(__xludf.DUMMYFUNCTION("""COMPUTED_VALUE"""),"AD1952756")</f>
        <v>AD1952756</v>
      </c>
      <c r="V82" s="148">
        <f>IFERROR(__xludf.DUMMYFUNCTION("""COMPUTED_VALUE"""),45498.0)</f>
        <v>45498</v>
      </c>
      <c r="W82" s="148">
        <f>IFERROR(__xludf.DUMMYFUNCTION("""COMPUTED_VALUE"""),49149.0)</f>
        <v>49149</v>
      </c>
      <c r="X82" s="149">
        <f>IFERROR(__xludf.DUMMYFUNCTION("""COMPUTED_VALUE"""),48968.0)</f>
        <v>48968</v>
      </c>
      <c r="Y82" t="str">
        <f>IFERROR(__xludf.DUMMYFUNCTION("""COMPUTED_VALUE"""),"ปลอดภัย")</f>
        <v>ปลอดภัย</v>
      </c>
      <c r="Z82" t="str">
        <f>IFERROR(__xludf.DUMMYFUNCTION("""COMPUTED_VALUE"""),"Bangkok")</f>
        <v>Bangkok</v>
      </c>
      <c r="AA82" t="str">
        <f>IFERROR(__xludf.DUMMYFUNCTION("""COMPUTED_VALUE"""),"บางกะปิ")</f>
        <v>บางกะปิ</v>
      </c>
      <c r="AB82" t="str">
        <f>IFERROR(__xludf.DUMMYFUNCTION("""COMPUTED_VALUE"""),"089 691 4553")</f>
        <v>089 691 4553</v>
      </c>
      <c r="AC82" t="str">
        <f>IFERROR(__xludf.DUMMYFUNCTION("""COMPUTED_VALUE"""),"แม่")</f>
        <v>แม่</v>
      </c>
      <c r="AD82" t="str">
        <f>IFERROR(__xludf.DUMMYFUNCTION("""COMPUTED_VALUE"""),"sirisineew@airasia.com")</f>
        <v>sirisineew@airasia.com</v>
      </c>
    </row>
    <row r="83">
      <c r="AD83" t="str">
        <f>IFERROR(__xludf.DUMMYFUNCTION("""COMPUTED_VALUE"""),"")</f>
        <v/>
      </c>
    </row>
    <row r="84">
      <c r="A84" s="142">
        <f>IFERROR(__xludf.DUMMYFUNCTION("""COMPUTED_VALUE"""),20.0)</f>
        <v>20</v>
      </c>
      <c r="B84" t="str">
        <f>IFERROR(__xludf.DUMMYFUNCTION("""COMPUTED_VALUE"""),"TAA1252")</f>
        <v>TAA1252</v>
      </c>
      <c r="C84">
        <f>IFERROR(__xludf.DUMMYFUNCTION("""COMPUTED_VALUE"""),1001215.0)</f>
        <v>1001215</v>
      </c>
      <c r="D84" t="str">
        <f>IFERROR(__xludf.DUMMYFUNCTION("""COMPUTED_VALUE"""),"Ms.")</f>
        <v>Ms.</v>
      </c>
      <c r="E84" t="str">
        <f>IFERROR(__xludf.DUMMYFUNCTION("""COMPUTED_VALUE"""),"Sirikwan")</f>
        <v>Sirikwan</v>
      </c>
      <c r="F84" t="str">
        <f>IFERROR(__xludf.DUMMYFUNCTION("""COMPUTED_VALUE"""),"Boonwan (Larmungkun)")</f>
        <v>Boonwan (Larmungkun)</v>
      </c>
      <c r="G84" t="str">
        <f>IFERROR(__xludf.DUMMYFUNCTION("""COMPUTED_VALUE"""),"Sirikwan Boonwan")</f>
        <v>Sirikwan Boonwan</v>
      </c>
      <c r="H84" t="str">
        <f>IFERROR(__xludf.DUMMYFUNCTION("""COMPUTED_VALUE"""),"นางสาว")</f>
        <v>นางสาว</v>
      </c>
      <c r="I84" t="str">
        <f>IFERROR(__xludf.DUMMYFUNCTION("""COMPUTED_VALUE"""),"ศิริขวัญ")</f>
        <v>ศิริขวัญ</v>
      </c>
      <c r="J84" t="str">
        <f>IFERROR(__xludf.DUMMYFUNCTION("""COMPUTED_VALUE"""),"บุญวรรณ (หล้ามุงคุณ)")</f>
        <v>บุญวรรณ (หล้ามุงคุณ)</v>
      </c>
      <c r="K84" t="str">
        <f>IFERROR(__xludf.DUMMYFUNCTION("""COMPUTED_VALUE"""),"ศิริขวัญ บุญวรรณ")</f>
        <v>ศิริขวัญ บุญวรรณ</v>
      </c>
      <c r="L84" t="str">
        <f>IFERROR(__xludf.DUMMYFUNCTION("""COMPUTED_VALUE"""),"Nhui/หนุ่ย")</f>
        <v>Nhui/หนุ่ย</v>
      </c>
      <c r="M84" t="str">
        <f>IFERROR(__xludf.DUMMYFUNCTION("""COMPUTED_VALUE"""),"Cabin Crew Engagement Lead - BKK")</f>
        <v>Cabin Crew Engagement Lead - BKK</v>
      </c>
      <c r="N84" t="str">
        <f>IFERROR(__xludf.DUMMYFUNCTION("""COMPUTED_VALUE"""),"DMK")</f>
        <v>DMK</v>
      </c>
      <c r="O84" s="145" t="str">
        <f>IFERROR(__xludf.DUMMYFUNCTION("""COMPUTED_VALUE"""),"Ward Monitor")</f>
        <v>Ward Monitor</v>
      </c>
      <c r="P84" t="str">
        <f>IFERROR(__xludf.DUMMYFUNCTION("""COMPUTED_VALUE"""),"CCEL")</f>
        <v>CCEL</v>
      </c>
      <c r="R84" s="143">
        <f>IFERROR(__xludf.DUMMYFUNCTION("""COMPUTED_VALUE"""),30302.0)</f>
        <v>30302</v>
      </c>
      <c r="S84" s="146">
        <f>IFERROR(__xludf.DUMMYFUNCTION("""COMPUTED_VALUE"""),9.96210009E8)</f>
        <v>996210009</v>
      </c>
      <c r="T84" s="147" t="str">
        <f>IFERROR(__xludf.DUMMYFUNCTION("""COMPUTED_VALUE"""),"3480700-12-8973")</f>
        <v>3480700-12-8973</v>
      </c>
      <c r="U84" t="str">
        <f>IFERROR(__xludf.DUMMYFUNCTION("""COMPUTED_VALUE"""),"AD1298528")</f>
        <v>AD1298528</v>
      </c>
      <c r="V84" s="148">
        <f>IFERROR(__xludf.DUMMYFUNCTION("""COMPUTED_VALUE"""),45334.0)</f>
        <v>45334</v>
      </c>
      <c r="W84" s="148">
        <f>IFERROR(__xludf.DUMMYFUNCTION("""COMPUTED_VALUE"""),48986.0)</f>
        <v>48986</v>
      </c>
      <c r="X84" s="149">
        <f>IFERROR(__xludf.DUMMYFUNCTION("""COMPUTED_VALUE"""),48802.0)</f>
        <v>48802</v>
      </c>
      <c r="Y84" t="str">
        <f>IFERROR(__xludf.DUMMYFUNCTION("""COMPUTED_VALUE"""),"ปลอดภัย")</f>
        <v>ปลอดภัย</v>
      </c>
      <c r="Z84" t="str">
        <f>IFERROR(__xludf.DUMMYFUNCTION("""COMPUTED_VALUE"""),"Nakhon Phanom Province")</f>
        <v>Nakhon Phanom Province</v>
      </c>
      <c r="AA84" t="str">
        <f>IFERROR(__xludf.DUMMYFUNCTION("""COMPUTED_VALUE"""),"ลาดพร้าว")</f>
        <v>ลาดพร้าว</v>
      </c>
      <c r="AB84" t="str">
        <f>IFERROR(__xludf.DUMMYFUNCTION("""COMPUTED_VALUE"""),"087-8978978")</f>
        <v>087-8978978</v>
      </c>
      <c r="AC84" t="str">
        <f>IFERROR(__xludf.DUMMYFUNCTION("""COMPUTED_VALUE"""),"Mr.Witthaya Boonwan (สามี)")</f>
        <v>Mr.Witthaya Boonwan (สามี)</v>
      </c>
      <c r="AD84" t="str">
        <f>IFERROR(__xludf.DUMMYFUNCTION("""COMPUTED_VALUE"""),"sirikwanb@airasia.com")</f>
        <v>sirikwanb@airasia.com</v>
      </c>
    </row>
    <row r="85">
      <c r="A85" s="142">
        <f>IFERROR(__xludf.DUMMYFUNCTION("""COMPUTED_VALUE"""),20.0)</f>
        <v>20</v>
      </c>
      <c r="B85" t="str">
        <f>IFERROR(__xludf.DUMMYFUNCTION("""COMPUTED_VALUE"""),"TAA1548")</f>
        <v>TAA1548</v>
      </c>
      <c r="C85">
        <f>IFERROR(__xludf.DUMMYFUNCTION("""COMPUTED_VALUE"""),1001692.0)</f>
        <v>1001692</v>
      </c>
      <c r="D85" t="str">
        <f>IFERROR(__xludf.DUMMYFUNCTION("""COMPUTED_VALUE"""),"Ms.")</f>
        <v>Ms.</v>
      </c>
      <c r="E85" t="str">
        <f>IFERROR(__xludf.DUMMYFUNCTION("""COMPUTED_VALUE"""),"Noppawan")</f>
        <v>Noppawan</v>
      </c>
      <c r="F85" t="str">
        <f>IFERROR(__xludf.DUMMYFUNCTION("""COMPUTED_VALUE"""),"Tainvichit")</f>
        <v>Tainvichit</v>
      </c>
      <c r="G85" t="str">
        <f>IFERROR(__xludf.DUMMYFUNCTION("""COMPUTED_VALUE"""),"Noppawan Tainvichit")</f>
        <v>Noppawan Tainvichit</v>
      </c>
      <c r="H85" t="str">
        <f>IFERROR(__xludf.DUMMYFUNCTION("""COMPUTED_VALUE"""),"นางสาว")</f>
        <v>นางสาว</v>
      </c>
      <c r="I85" t="str">
        <f>IFERROR(__xludf.DUMMYFUNCTION("""COMPUTED_VALUE"""),"นพวรรณ")</f>
        <v>นพวรรณ</v>
      </c>
      <c r="J85" t="str">
        <f>IFERROR(__xludf.DUMMYFUNCTION("""COMPUTED_VALUE"""),"เทียนวิจิตร")</f>
        <v>เทียนวิจิตร</v>
      </c>
      <c r="K85" t="str">
        <f>IFERROR(__xludf.DUMMYFUNCTION("""COMPUTED_VALUE"""),"นพวรรณ เทียนวิจิตร")</f>
        <v>นพวรรณ เทียนวิจิตร</v>
      </c>
      <c r="L85" t="str">
        <f>IFERROR(__xludf.DUMMYFUNCTION("""COMPUTED_VALUE"""),"Prae")</f>
        <v>Prae</v>
      </c>
      <c r="M85" t="str">
        <f>IFERROR(__xludf.DUMMYFUNCTION("""COMPUTED_VALUE"""),"Senior Cabin Crew - CNX")</f>
        <v>Senior Cabin Crew - CNX</v>
      </c>
      <c r="N85" t="str">
        <f>IFERROR(__xludf.DUMMYFUNCTION("""COMPUTED_VALUE"""),"CNX")</f>
        <v>CNX</v>
      </c>
      <c r="O85" s="145" t="str">
        <f>IFERROR(__xludf.DUMMYFUNCTION("""COMPUTED_VALUE"""),"Up Home")</f>
        <v>Up Home</v>
      </c>
      <c r="P85" t="str">
        <f>IFERROR(__xludf.DUMMYFUNCTION("""COMPUTED_VALUE"""),"Active")</f>
        <v>Active</v>
      </c>
      <c r="R85" s="143">
        <f>IFERROR(__xludf.DUMMYFUNCTION("""COMPUTED_VALUE"""),32002.0)</f>
        <v>32002</v>
      </c>
      <c r="S85" s="146" t="str">
        <f>IFERROR(__xludf.DUMMYFUNCTION("""COMPUTED_VALUE"""),"094 463 2644")</f>
        <v>094 463 2644</v>
      </c>
      <c r="T85" s="147" t="str">
        <f>IFERROR(__xludf.DUMMYFUNCTION("""COMPUTED_VALUE"""),"1100800-06-7506")</f>
        <v>1100800-06-7506</v>
      </c>
      <c r="U85" t="str">
        <f>IFERROR(__xludf.DUMMYFUNCTION("""COMPUTED_VALUE"""),"AC4886218")</f>
        <v>AC4886218</v>
      </c>
      <c r="V85" s="148">
        <f>IFERROR(__xludf.DUMMYFUNCTION("""COMPUTED_VALUE"""),45040.0)</f>
        <v>45040</v>
      </c>
      <c r="W85" s="148">
        <f>IFERROR(__xludf.DUMMYFUNCTION("""COMPUTED_VALUE"""),48692.0)</f>
        <v>48692</v>
      </c>
      <c r="X85" s="149">
        <f>IFERROR(__xludf.DUMMYFUNCTION("""COMPUTED_VALUE"""),48510.0)</f>
        <v>48510</v>
      </c>
      <c r="Y85" t="str">
        <f>IFERROR(__xludf.DUMMYFUNCTION("""COMPUTED_VALUE"""),"ปลอดภัย")</f>
        <v>ปลอดภัย</v>
      </c>
      <c r="Z85" t="str">
        <f>IFERROR(__xludf.DUMMYFUNCTION("""COMPUTED_VALUE"""),"Bangkok")</f>
        <v>Bangkok</v>
      </c>
      <c r="AA85" t="str">
        <f>IFERROR(__xludf.DUMMYFUNCTION("""COMPUTED_VALUE"""),"จอมทอง")</f>
        <v>จอมทอง</v>
      </c>
      <c r="AB85" t="str">
        <f>IFERROR(__xludf.DUMMYFUNCTION("""COMPUTED_VALUE"""),"081 928 1321")</f>
        <v>081 928 1321</v>
      </c>
      <c r="AC85" t="str">
        <f>IFERROR(__xludf.DUMMYFUNCTION("""COMPUTED_VALUE"""),"แม่")</f>
        <v>แม่</v>
      </c>
      <c r="AD85" t="str">
        <f>IFERROR(__xludf.DUMMYFUNCTION("""COMPUTED_VALUE"""),"noppawant@airasia.com")</f>
        <v>noppawant@airasia.com</v>
      </c>
    </row>
    <row r="86">
      <c r="A86" s="142">
        <f>IFERROR(__xludf.DUMMYFUNCTION("""COMPUTED_VALUE"""),20.0)</f>
        <v>20</v>
      </c>
      <c r="B86" t="str">
        <f>IFERROR(__xludf.DUMMYFUNCTION("""COMPUTED_VALUE"""),"TAA1838")</f>
        <v>TAA1838</v>
      </c>
      <c r="C86">
        <f>IFERROR(__xludf.DUMMYFUNCTION("""COMPUTED_VALUE"""),1002065.0)</f>
        <v>1002065</v>
      </c>
      <c r="D86" t="str">
        <f>IFERROR(__xludf.DUMMYFUNCTION("""COMPUTED_VALUE"""),"Ms.")</f>
        <v>Ms.</v>
      </c>
      <c r="E86" t="str">
        <f>IFERROR(__xludf.DUMMYFUNCTION("""COMPUTED_VALUE"""),"Pattaramon")</f>
        <v>Pattaramon</v>
      </c>
      <c r="F86" t="str">
        <f>IFERROR(__xludf.DUMMYFUNCTION("""COMPUTED_VALUE"""),"Phunsook")</f>
        <v>Phunsook</v>
      </c>
      <c r="G86" t="str">
        <f>IFERROR(__xludf.DUMMYFUNCTION("""COMPUTED_VALUE"""),"Pattaramon Phunsook")</f>
        <v>Pattaramon Phunsook</v>
      </c>
      <c r="H86" t="str">
        <f>IFERROR(__xludf.DUMMYFUNCTION("""COMPUTED_VALUE"""),"นางสาว")</f>
        <v>นางสาว</v>
      </c>
      <c r="I86" t="str">
        <f>IFERROR(__xludf.DUMMYFUNCTION("""COMPUTED_VALUE"""),"ภัทรมน")</f>
        <v>ภัทรมน</v>
      </c>
      <c r="J86" t="str">
        <f>IFERROR(__xludf.DUMMYFUNCTION("""COMPUTED_VALUE"""),"พันธุ์สุข")</f>
        <v>พันธุ์สุข</v>
      </c>
      <c r="K86" t="str">
        <f>IFERROR(__xludf.DUMMYFUNCTION("""COMPUTED_VALUE"""),"ภัทรมน พันธุ์สุข")</f>
        <v>ภัทรมน พันธุ์สุข</v>
      </c>
      <c r="L86" t="str">
        <f>IFERROR(__xludf.DUMMYFUNCTION("""COMPUTED_VALUE"""),"Kra Tai")</f>
        <v>Kra Tai</v>
      </c>
      <c r="M86" t="str">
        <f>IFERROR(__xludf.DUMMYFUNCTION("""COMPUTED_VALUE"""),"Cabin Crew")</f>
        <v>Cabin Crew</v>
      </c>
      <c r="N86" t="str">
        <f>IFERROR(__xludf.DUMMYFUNCTION("""COMPUTED_VALUE"""),"DMK")</f>
        <v>DMK</v>
      </c>
      <c r="O86" s="145" t="str">
        <f>IFERROR(__xludf.DUMMYFUNCTION("""COMPUTED_VALUE"""),"Namfon Home")</f>
        <v>Namfon Home</v>
      </c>
      <c r="P86" t="str">
        <f>IFERROR(__xludf.DUMMYFUNCTION("""COMPUTED_VALUE"""),"Active")</f>
        <v>Active</v>
      </c>
      <c r="R86" s="143">
        <f>IFERROR(__xludf.DUMMYFUNCTION("""COMPUTED_VALUE"""),30585.0)</f>
        <v>30585</v>
      </c>
      <c r="S86" s="146" t="str">
        <f>IFERROR(__xludf.DUMMYFUNCTION("""COMPUTED_VALUE"""),"094 996 5924")</f>
        <v>094 996 5924</v>
      </c>
      <c r="T86" s="147" t="str">
        <f>IFERROR(__xludf.DUMMYFUNCTION("""COMPUTED_VALUE"""),"3100602-97-2420")</f>
        <v>3100602-97-2420</v>
      </c>
      <c r="U86" t="str">
        <f>IFERROR(__xludf.DUMMYFUNCTION("""COMPUTED_VALUE"""),"AD1299225")</f>
        <v>AD1299225</v>
      </c>
      <c r="V86" s="148">
        <f>IFERROR(__xludf.DUMMYFUNCTION("""COMPUTED_VALUE"""),45334.0)</f>
        <v>45334</v>
      </c>
      <c r="W86" s="148">
        <f>IFERROR(__xludf.DUMMYFUNCTION("""COMPUTED_VALUE"""),48986.0)</f>
        <v>48986</v>
      </c>
      <c r="X86" s="149">
        <f>IFERROR(__xludf.DUMMYFUNCTION("""COMPUTED_VALUE"""),48802.0)</f>
        <v>48802</v>
      </c>
      <c r="Y86" t="str">
        <f>IFERROR(__xludf.DUMMYFUNCTION("""COMPUTED_VALUE"""),"ปลอดภัย")</f>
        <v>ปลอดภัย</v>
      </c>
      <c r="Z86" t="str">
        <f>IFERROR(__xludf.DUMMYFUNCTION("""COMPUTED_VALUE"""),"Bangkok")</f>
        <v>Bangkok</v>
      </c>
      <c r="AA86" t="str">
        <f>IFERROR(__xludf.DUMMYFUNCTION("""COMPUTED_VALUE"""),"มีนบุรี")</f>
        <v>มีนบุรี</v>
      </c>
      <c r="AB86" t="str">
        <f>IFERROR(__xludf.DUMMYFUNCTION("""COMPUTED_VALUE"""),"089 001 0015")</f>
        <v>089 001 0015</v>
      </c>
      <c r="AC86" t="str">
        <f>IFERROR(__xludf.DUMMYFUNCTION("""COMPUTED_VALUE"""),"พี่")</f>
        <v>พี่</v>
      </c>
      <c r="AD86" t="str">
        <f>IFERROR(__xludf.DUMMYFUNCTION("""COMPUTED_VALUE"""),"pattaramonp@airasia.com")</f>
        <v>pattaramonp@airasia.com</v>
      </c>
    </row>
    <row r="87">
      <c r="AD87" t="str">
        <f>IFERROR(__xludf.DUMMYFUNCTION("""COMPUTED_VALUE"""),"")</f>
        <v/>
      </c>
    </row>
    <row r="88">
      <c r="A88" s="142">
        <f>IFERROR(__xludf.DUMMYFUNCTION("""COMPUTED_VALUE"""),21.0)</f>
        <v>21</v>
      </c>
      <c r="B88" t="str">
        <f>IFERROR(__xludf.DUMMYFUNCTION("""COMPUTED_VALUE"""),"TAA1864")</f>
        <v>TAA1864</v>
      </c>
      <c r="C88">
        <f>IFERROR(__xludf.DUMMYFUNCTION("""COMPUTED_VALUE"""),1002145.0)</f>
        <v>1002145</v>
      </c>
      <c r="D88" t="str">
        <f>IFERROR(__xludf.DUMMYFUNCTION("""COMPUTED_VALUE"""),"Ms.")</f>
        <v>Ms.</v>
      </c>
      <c r="E88" t="str">
        <f>IFERROR(__xludf.DUMMYFUNCTION("""COMPUTED_VALUE"""),"Panjapat")</f>
        <v>Panjapat</v>
      </c>
      <c r="F88" t="str">
        <f>IFERROR(__xludf.DUMMYFUNCTION("""COMPUTED_VALUE"""),"Intaraprasert")</f>
        <v>Intaraprasert</v>
      </c>
      <c r="G88" t="str">
        <f>IFERROR(__xludf.DUMMYFUNCTION("""COMPUTED_VALUE"""),"Panjapat Intaraprasert")</f>
        <v>Panjapat Intaraprasert</v>
      </c>
      <c r="H88" t="str">
        <f>IFERROR(__xludf.DUMMYFUNCTION("""COMPUTED_VALUE"""),"นางสาว")</f>
        <v>นางสาว</v>
      </c>
      <c r="I88" t="str">
        <f>IFERROR(__xludf.DUMMYFUNCTION("""COMPUTED_VALUE"""),"ปัญจพัชร")</f>
        <v>ปัญจพัชร</v>
      </c>
      <c r="J88" t="str">
        <f>IFERROR(__xludf.DUMMYFUNCTION("""COMPUTED_VALUE"""),"อินทร์ประเสริฐ")</f>
        <v>อินทร์ประเสริฐ</v>
      </c>
      <c r="K88" t="str">
        <f>IFERROR(__xludf.DUMMYFUNCTION("""COMPUTED_VALUE"""),"ปัญจพัชร อินทร์ประเสริฐ")</f>
        <v>ปัญจพัชร อินทร์ประเสริฐ</v>
      </c>
      <c r="L88" t="str">
        <f>IFERROR(__xludf.DUMMYFUNCTION("""COMPUTED_VALUE"""),"Tai")</f>
        <v>Tai</v>
      </c>
      <c r="M88" t="str">
        <f>IFERROR(__xludf.DUMMYFUNCTION("""COMPUTED_VALUE"""),"Senior Cabin Crew")</f>
        <v>Senior Cabin Crew</v>
      </c>
      <c r="N88" t="str">
        <f>IFERROR(__xludf.DUMMYFUNCTION("""COMPUTED_VALUE"""),"DMK")</f>
        <v>DMK</v>
      </c>
      <c r="O88" s="145" t="str">
        <f>IFERROR(__xludf.DUMMYFUNCTION("""COMPUTED_VALUE"""),"Namfon Home")</f>
        <v>Namfon Home</v>
      </c>
      <c r="P88" t="str">
        <f>IFERROR(__xludf.DUMMYFUNCTION("""COMPUTED_VALUE"""),"V/LWP")</f>
        <v>V/LWP</v>
      </c>
      <c r="R88" s="143">
        <f>IFERROR(__xludf.DUMMYFUNCTION("""COMPUTED_VALUE"""),30357.0)</f>
        <v>30357</v>
      </c>
      <c r="S88" s="146" t="str">
        <f>IFERROR(__xludf.DUMMYFUNCTION("""COMPUTED_VALUE"""),"063-6328956")</f>
        <v>063-6328956</v>
      </c>
      <c r="T88" s="147" t="str">
        <f>IFERROR(__xludf.DUMMYFUNCTION("""COMPUTED_VALUE"""),"3120101-33-4790")</f>
        <v>3120101-33-4790</v>
      </c>
      <c r="U88" t="str">
        <f>IFERROR(__xludf.DUMMYFUNCTION("""COMPUTED_VALUE"""),"AC3817774")</f>
        <v>AC3817774</v>
      </c>
      <c r="V88" s="148">
        <f>IFERROR(__xludf.DUMMYFUNCTION("""COMPUTED_VALUE"""),44820.0)</f>
        <v>44820</v>
      </c>
      <c r="W88" s="148">
        <f>IFERROR(__xludf.DUMMYFUNCTION("""COMPUTED_VALUE"""),48472.0)</f>
        <v>48472</v>
      </c>
      <c r="X88" s="149">
        <f>IFERROR(__xludf.DUMMYFUNCTION("""COMPUTED_VALUE"""),48288.0)</f>
        <v>48288</v>
      </c>
      <c r="Y88" t="str">
        <f>IFERROR(__xludf.DUMMYFUNCTION("""COMPUTED_VALUE"""),"ปลอดภัย")</f>
        <v>ปลอดภัย</v>
      </c>
      <c r="Z88" t="str">
        <f>IFERROR(__xludf.DUMMYFUNCTION("""COMPUTED_VALUE"""),"Nonthaburi")</f>
        <v>Nonthaburi</v>
      </c>
      <c r="AA88" t="str">
        <f>IFERROR(__xludf.DUMMYFUNCTION("""COMPUTED_VALUE"""),"นนทบุรี ปากเกร็ด")</f>
        <v>นนทบุรี ปากเกร็ด</v>
      </c>
      <c r="AB88" t="str">
        <f>IFERROR(__xludf.DUMMYFUNCTION("""COMPUTED_VALUE"""),"085 1673418")</f>
        <v>085 1673418</v>
      </c>
      <c r="AC88" t="str">
        <f>IFERROR(__xludf.DUMMYFUNCTION("""COMPUTED_VALUE"""),"ไม่ระบุ")</f>
        <v>ไม่ระบุ</v>
      </c>
      <c r="AD88" t="str">
        <f>IFERROR(__xludf.DUMMYFUNCTION("""COMPUTED_VALUE"""),"panjapati@airasia.com")</f>
        <v>panjapati@airasia.com</v>
      </c>
    </row>
    <row r="89">
      <c r="A89" s="142">
        <f>IFERROR(__xludf.DUMMYFUNCTION("""COMPUTED_VALUE"""),21.0)</f>
        <v>21</v>
      </c>
      <c r="B89" t="str">
        <f>IFERROR(__xludf.DUMMYFUNCTION("""COMPUTED_VALUE"""),"TAA1866")</f>
        <v>TAA1866</v>
      </c>
      <c r="C89">
        <f>IFERROR(__xludf.DUMMYFUNCTION("""COMPUTED_VALUE"""),1002146.0)</f>
        <v>1002146</v>
      </c>
      <c r="D89" t="str">
        <f>IFERROR(__xludf.DUMMYFUNCTION("""COMPUTED_VALUE"""),"Ms.")</f>
        <v>Ms.</v>
      </c>
      <c r="E89" t="str">
        <f>IFERROR(__xludf.DUMMYFUNCTION("""COMPUTED_VALUE"""),"Romrawee")</f>
        <v>Romrawee</v>
      </c>
      <c r="F89" t="str">
        <f>IFERROR(__xludf.DUMMYFUNCTION("""COMPUTED_VALUE"""),"Choeikeewong")</f>
        <v>Choeikeewong</v>
      </c>
      <c r="G89" t="str">
        <f>IFERROR(__xludf.DUMMYFUNCTION("""COMPUTED_VALUE"""),"Romrawee Choeikeewong")</f>
        <v>Romrawee Choeikeewong</v>
      </c>
      <c r="H89" t="str">
        <f>IFERROR(__xludf.DUMMYFUNCTION("""COMPUTED_VALUE"""),"นางสาว")</f>
        <v>นางสาว</v>
      </c>
      <c r="I89" t="str">
        <f>IFERROR(__xludf.DUMMYFUNCTION("""COMPUTED_VALUE"""),"รมย์รวี")</f>
        <v>รมย์รวี</v>
      </c>
      <c r="J89" t="str">
        <f>IFERROR(__xludf.DUMMYFUNCTION("""COMPUTED_VALUE"""),"เชยกีวงษ์")</f>
        <v>เชยกีวงษ์</v>
      </c>
      <c r="K89" t="str">
        <f>IFERROR(__xludf.DUMMYFUNCTION("""COMPUTED_VALUE"""),"รมย์รวี เชยกีวงษ์")</f>
        <v>รมย์รวี เชยกีวงษ์</v>
      </c>
      <c r="L89" t="str">
        <f>IFERROR(__xludf.DUMMYFUNCTION("""COMPUTED_VALUE"""),"Nong")</f>
        <v>Nong</v>
      </c>
      <c r="M89" t="str">
        <f>IFERROR(__xludf.DUMMYFUNCTION("""COMPUTED_VALUE"""),"Cabin Crew")</f>
        <v>Cabin Crew</v>
      </c>
      <c r="N89" t="str">
        <f>IFERROR(__xludf.DUMMYFUNCTION("""COMPUTED_VALUE"""),"DMK")</f>
        <v>DMK</v>
      </c>
      <c r="O89" s="145" t="str">
        <f>IFERROR(__xludf.DUMMYFUNCTION("""COMPUTED_VALUE"""),"Nhui Home")</f>
        <v>Nhui Home</v>
      </c>
      <c r="P89" t="str">
        <f>IFERROR(__xludf.DUMMYFUNCTION("""COMPUTED_VALUE"""),"Active")</f>
        <v>Active</v>
      </c>
      <c r="R89" s="143">
        <f>IFERROR(__xludf.DUMMYFUNCTION("""COMPUTED_VALUE"""),29926.0)</f>
        <v>29926</v>
      </c>
      <c r="S89" s="146" t="str">
        <f>IFERROR(__xludf.DUMMYFUNCTION("""COMPUTED_VALUE"""),"093 491 4636")</f>
        <v>093 491 4636</v>
      </c>
      <c r="T89" s="147" t="str">
        <f>IFERROR(__xludf.DUMMYFUNCTION("""COMPUTED_VALUE"""),"3130600-35-0812")</f>
        <v>3130600-35-0812</v>
      </c>
      <c r="U89" t="str">
        <f>IFERROR(__xludf.DUMMYFUNCTION("""COMPUTED_VALUE"""),"AD1206294")</f>
        <v>AD1206294</v>
      </c>
      <c r="V89" s="150">
        <f>IFERROR(__xludf.DUMMYFUNCTION("""COMPUTED_VALUE"""),45324.0)</f>
        <v>45324</v>
      </c>
      <c r="W89" s="148">
        <f>IFERROR(__xludf.DUMMYFUNCTION("""COMPUTED_VALUE"""),48976.0)</f>
        <v>48976</v>
      </c>
      <c r="X89" s="149">
        <f>IFERROR(__xludf.DUMMYFUNCTION("""COMPUTED_VALUE"""),48792.0)</f>
        <v>48792</v>
      </c>
      <c r="Y89" t="str">
        <f>IFERROR(__xludf.DUMMYFUNCTION("""COMPUTED_VALUE"""),"ปลอดภัย")</f>
        <v>ปลอดภัย</v>
      </c>
      <c r="Z89" t="str">
        <f>IFERROR(__xludf.DUMMYFUNCTION("""COMPUTED_VALUE"""),"Pathum Thani Province")</f>
        <v>Pathum Thani Province</v>
      </c>
      <c r="AA89" t="str">
        <f>IFERROR(__xludf.DUMMYFUNCTION("""COMPUTED_VALUE"""),"รังสิต")</f>
        <v>รังสิต</v>
      </c>
      <c r="AB89" t="str">
        <f>IFERROR(__xludf.DUMMYFUNCTION("""COMPUTED_VALUE"""),"089 498 9796")</f>
        <v>089 498 9796</v>
      </c>
      <c r="AC89" t="str">
        <f>IFERROR(__xludf.DUMMYFUNCTION("""COMPUTED_VALUE"""),"พ่อ")</f>
        <v>พ่อ</v>
      </c>
      <c r="AD89" t="str">
        <f>IFERROR(__xludf.DUMMYFUNCTION("""COMPUTED_VALUE"""),"romraweec@airasia.com")</f>
        <v>romraweec@airasia.com</v>
      </c>
    </row>
    <row r="90">
      <c r="AD90" t="str">
        <f>IFERROR(__xludf.DUMMYFUNCTION("""COMPUTED_VALUE"""),"")</f>
        <v/>
      </c>
    </row>
    <row r="91">
      <c r="A91" s="142">
        <f>IFERROR(__xludf.DUMMYFUNCTION("""COMPUTED_VALUE"""),22.0)</f>
        <v>22</v>
      </c>
      <c r="B91" t="str">
        <f>IFERROR(__xludf.DUMMYFUNCTION("""COMPUTED_VALUE"""),"TAA1928")</f>
        <v>TAA1928</v>
      </c>
      <c r="C91">
        <f>IFERROR(__xludf.DUMMYFUNCTION("""COMPUTED_VALUE"""),1002264.0)</f>
        <v>1002264</v>
      </c>
      <c r="D91" t="str">
        <f>IFERROR(__xludf.DUMMYFUNCTION("""COMPUTED_VALUE"""),"Ms.")</f>
        <v>Ms.</v>
      </c>
      <c r="E91" t="str">
        <f>IFERROR(__xludf.DUMMYFUNCTION("""COMPUTED_VALUE"""),"Anooradee")</f>
        <v>Anooradee</v>
      </c>
      <c r="F91" t="str">
        <f>IFERROR(__xludf.DUMMYFUNCTION("""COMPUTED_VALUE"""),"Wilairot (Puengklan)")</f>
        <v>Wilairot (Puengklan)</v>
      </c>
      <c r="G91" t="str">
        <f>IFERROR(__xludf.DUMMYFUNCTION("""COMPUTED_VALUE"""),"Anooradee Wilairot")</f>
        <v>Anooradee Wilairot</v>
      </c>
      <c r="H91" t="str">
        <f>IFERROR(__xludf.DUMMYFUNCTION("""COMPUTED_VALUE"""),"นางสาว")</f>
        <v>นางสาว</v>
      </c>
      <c r="I91" t="str">
        <f>IFERROR(__xludf.DUMMYFUNCTION("""COMPUTED_VALUE"""),"อนุรดี")</f>
        <v>อนุรดี</v>
      </c>
      <c r="J91" t="str">
        <f>IFERROR(__xludf.DUMMYFUNCTION("""COMPUTED_VALUE"""),"วิไลรส (พึ่งกลั่น)")</f>
        <v>วิไลรส (พึ่งกลั่น)</v>
      </c>
      <c r="K91" t="str">
        <f>IFERROR(__xludf.DUMMYFUNCTION("""COMPUTED_VALUE"""),"อนุรดี วิไลรส")</f>
        <v>อนุรดี วิไลรส</v>
      </c>
      <c r="L91" t="str">
        <f>IFERROR(__xludf.DUMMYFUNCTION("""COMPUTED_VALUE"""),"Mod")</f>
        <v>Mod</v>
      </c>
      <c r="M91" t="str">
        <f>IFERROR(__xludf.DUMMYFUNCTION("""COMPUTED_VALUE"""),"Senior Cabin Crew")</f>
        <v>Senior Cabin Crew</v>
      </c>
      <c r="N91" t="str">
        <f>IFERROR(__xludf.DUMMYFUNCTION("""COMPUTED_VALUE"""),"DMK")</f>
        <v>DMK</v>
      </c>
      <c r="O91" s="145" t="str">
        <f>IFERROR(__xludf.DUMMYFUNCTION("""COMPUTED_VALUE"""),"Toffy Home")</f>
        <v>Toffy Home</v>
      </c>
      <c r="P91" t="str">
        <f>IFERROR(__xludf.DUMMYFUNCTION("""COMPUTED_VALUE"""),"Active")</f>
        <v>Active</v>
      </c>
      <c r="R91" s="143">
        <f>IFERROR(__xludf.DUMMYFUNCTION("""COMPUTED_VALUE"""),30488.0)</f>
        <v>30488</v>
      </c>
      <c r="S91" s="146" t="str">
        <f>IFERROR(__xludf.DUMMYFUNCTION("""COMPUTED_VALUE"""),"085 969 9666")</f>
        <v>085 969 9666</v>
      </c>
      <c r="T91" s="147" t="str">
        <f>IFERROR(__xludf.DUMMYFUNCTION("""COMPUTED_VALUE"""),"3200400-03-3901")</f>
        <v>3200400-03-3901</v>
      </c>
      <c r="U91" t="str">
        <f>IFERROR(__xludf.DUMMYFUNCTION("""COMPUTED_VALUE"""),"AC2761431")</f>
        <v>AC2761431</v>
      </c>
      <c r="V91" s="148">
        <f>IFERROR(__xludf.DUMMYFUNCTION("""COMPUTED_VALUE"""),44494.0)</f>
        <v>44494</v>
      </c>
      <c r="W91" s="148">
        <f>IFERROR(__xludf.DUMMYFUNCTION("""COMPUTED_VALUE"""),48145.0)</f>
        <v>48145</v>
      </c>
      <c r="X91" s="149">
        <f>IFERROR(__xludf.DUMMYFUNCTION("""COMPUTED_VALUE"""),47962.0)</f>
        <v>47962</v>
      </c>
      <c r="Y91" t="str">
        <f>IFERROR(__xludf.DUMMYFUNCTION("""COMPUTED_VALUE"""),"ปลอดภัย")</f>
        <v>ปลอดภัย</v>
      </c>
      <c r="Z91" t="str">
        <f>IFERROR(__xludf.DUMMYFUNCTION("""COMPUTED_VALUE"""),"Chonburi Province")</f>
        <v>Chonburi Province</v>
      </c>
      <c r="AA91" t="str">
        <f>IFERROR(__xludf.DUMMYFUNCTION("""COMPUTED_VALUE"""),"บางพลี")</f>
        <v>บางพลี</v>
      </c>
      <c r="AB91" t="str">
        <f>IFERROR(__xludf.DUMMYFUNCTION("""COMPUTED_VALUE"""),"! Update !")</f>
        <v>! Update !</v>
      </c>
      <c r="AC91" t="str">
        <f>IFERROR(__xludf.DUMMYFUNCTION("""COMPUTED_VALUE"""),"! Update !")</f>
        <v>! Update !</v>
      </c>
      <c r="AD91" t="str">
        <f>IFERROR(__xludf.DUMMYFUNCTION("""COMPUTED_VALUE"""),"anooradeew@airasia.com")</f>
        <v>anooradeew@airasia.com</v>
      </c>
    </row>
    <row r="92">
      <c r="A92" s="142">
        <f>IFERROR(__xludf.DUMMYFUNCTION("""COMPUTED_VALUE"""),22.0)</f>
        <v>22</v>
      </c>
      <c r="B92" t="str">
        <f>IFERROR(__xludf.DUMMYFUNCTION("""COMPUTED_VALUE"""),"TAA1923")</f>
        <v>TAA1923</v>
      </c>
      <c r="C92">
        <f>IFERROR(__xludf.DUMMYFUNCTION("""COMPUTED_VALUE"""),1002265.0)</f>
        <v>1002265</v>
      </c>
      <c r="D92" t="str">
        <f>IFERROR(__xludf.DUMMYFUNCTION("""COMPUTED_VALUE"""),"Ms.")</f>
        <v>Ms.</v>
      </c>
      <c r="E92" t="str">
        <f>IFERROR(__xludf.DUMMYFUNCTION("""COMPUTED_VALUE"""),"Chokaew")</f>
        <v>Chokaew</v>
      </c>
      <c r="F92" t="str">
        <f>IFERROR(__xludf.DUMMYFUNCTION("""COMPUTED_VALUE"""),"Champangoen")</f>
        <v>Champangoen</v>
      </c>
      <c r="G92" t="str">
        <f>IFERROR(__xludf.DUMMYFUNCTION("""COMPUTED_VALUE"""),"Chokaew Champangoen")</f>
        <v>Chokaew Champangoen</v>
      </c>
      <c r="H92" t="str">
        <f>IFERROR(__xludf.DUMMYFUNCTION("""COMPUTED_VALUE"""),"นางสาว")</f>
        <v>นางสาว</v>
      </c>
      <c r="I92" t="str">
        <f>IFERROR(__xludf.DUMMYFUNCTION("""COMPUTED_VALUE"""),"ช่อแก้ว")</f>
        <v>ช่อแก้ว</v>
      </c>
      <c r="J92" t="str">
        <f>IFERROR(__xludf.DUMMYFUNCTION("""COMPUTED_VALUE"""),"จำปาเงิน")</f>
        <v>จำปาเงิน</v>
      </c>
      <c r="K92" t="str">
        <f>IFERROR(__xludf.DUMMYFUNCTION("""COMPUTED_VALUE"""),"ช่อแก้ว จำปาเงิน")</f>
        <v>ช่อแก้ว จำปาเงิน</v>
      </c>
      <c r="L92" t="str">
        <f>IFERROR(__xludf.DUMMYFUNCTION("""COMPUTED_VALUE"""),"Ann")</f>
        <v>Ann</v>
      </c>
      <c r="M92" t="str">
        <f>IFERROR(__xludf.DUMMYFUNCTION("""COMPUTED_VALUE"""),"Cabin Crew")</f>
        <v>Cabin Crew</v>
      </c>
      <c r="N92" t="str">
        <f>IFERROR(__xludf.DUMMYFUNCTION("""COMPUTED_VALUE"""),"DMK")</f>
        <v>DMK</v>
      </c>
      <c r="O92" s="145" t="str">
        <f>IFERROR(__xludf.DUMMYFUNCTION("""COMPUTED_VALUE"""),"Namfon Home")</f>
        <v>Namfon Home</v>
      </c>
      <c r="P92" t="str">
        <f>IFERROR(__xludf.DUMMYFUNCTION("""COMPUTED_VALUE"""),"Active")</f>
        <v>Active</v>
      </c>
      <c r="R92" s="143">
        <f>IFERROR(__xludf.DUMMYFUNCTION("""COMPUTED_VALUE"""),29812.0)</f>
        <v>29812</v>
      </c>
      <c r="S92" s="146" t="str">
        <f>IFERROR(__xludf.DUMMYFUNCTION("""COMPUTED_VALUE"""),"086 944 6593")</f>
        <v>086 944 6593</v>
      </c>
      <c r="T92" s="147" t="str">
        <f>IFERROR(__xludf.DUMMYFUNCTION("""COMPUTED_VALUE"""),"3720500-06-0329")</f>
        <v>3720500-06-0329</v>
      </c>
      <c r="U92" t="str">
        <f>IFERROR(__xludf.DUMMYFUNCTION("""COMPUTED_VALUE"""),"AC4793654")</f>
        <v>AC4793654</v>
      </c>
      <c r="V92" s="148">
        <f>IFERROR(__xludf.DUMMYFUNCTION("""COMPUTED_VALUE"""),45012.0)</f>
        <v>45012</v>
      </c>
      <c r="W92" s="148">
        <f>IFERROR(__xludf.DUMMYFUNCTION("""COMPUTED_VALUE"""),48664.0)</f>
        <v>48664</v>
      </c>
      <c r="X92" s="149">
        <f>IFERROR(__xludf.DUMMYFUNCTION("""COMPUTED_VALUE"""),48483.0)</f>
        <v>48483</v>
      </c>
      <c r="Y92" t="str">
        <f>IFERROR(__xludf.DUMMYFUNCTION("""COMPUTED_VALUE"""),"ปลอดภัย")</f>
        <v>ปลอดภัย</v>
      </c>
      <c r="Z92" t="str">
        <f>IFERROR(__xludf.DUMMYFUNCTION("""COMPUTED_VALUE"""),"Bangkok")</f>
        <v>Bangkok</v>
      </c>
      <c r="AA92" t="str">
        <f>IFERROR(__xludf.DUMMYFUNCTION("""COMPUTED_VALUE"""),"เจริญนคร")</f>
        <v>เจริญนคร</v>
      </c>
      <c r="AB92" t="str">
        <f>IFERROR(__xludf.DUMMYFUNCTION("""COMPUTED_VALUE"""),"087 596 5982")</f>
        <v>087 596 5982</v>
      </c>
      <c r="AC92" t="str">
        <f>IFERROR(__xludf.DUMMYFUNCTION("""COMPUTED_VALUE"""),"แฟน")</f>
        <v>แฟน</v>
      </c>
      <c r="AD92" t="str">
        <f>IFERROR(__xludf.DUMMYFUNCTION("""COMPUTED_VALUE"""),"chokaewc@airasia.com")</f>
        <v>chokaewc@airasia.com</v>
      </c>
    </row>
    <row r="93">
      <c r="A93" s="142">
        <f>IFERROR(__xludf.DUMMYFUNCTION("""COMPUTED_VALUE"""),22.0)</f>
        <v>22</v>
      </c>
      <c r="B93" t="str">
        <f>IFERROR(__xludf.DUMMYFUNCTION("""COMPUTED_VALUE"""),"TAA1936")</f>
        <v>TAA1936</v>
      </c>
      <c r="C93">
        <f>IFERROR(__xludf.DUMMYFUNCTION("""COMPUTED_VALUE"""),1002267.0)</f>
        <v>1002267</v>
      </c>
      <c r="D93" t="str">
        <f>IFERROR(__xludf.DUMMYFUNCTION("""COMPUTED_VALUE"""),"Ms.")</f>
        <v>Ms.</v>
      </c>
      <c r="E93" t="str">
        <f>IFERROR(__xludf.DUMMYFUNCTION("""COMPUTED_VALUE"""),"Doungporn")</f>
        <v>Doungporn</v>
      </c>
      <c r="F93" t="str">
        <f>IFERROR(__xludf.DUMMYFUNCTION("""COMPUTED_VALUE"""),"Satitkune")</f>
        <v>Satitkune</v>
      </c>
      <c r="G93" t="str">
        <f>IFERROR(__xludf.DUMMYFUNCTION("""COMPUTED_VALUE"""),"Doungporn Satitkune")</f>
        <v>Doungporn Satitkune</v>
      </c>
      <c r="H93" t="str">
        <f>IFERROR(__xludf.DUMMYFUNCTION("""COMPUTED_VALUE"""),"นางสาว")</f>
        <v>นางสาว</v>
      </c>
      <c r="I93" t="str">
        <f>IFERROR(__xludf.DUMMYFUNCTION("""COMPUTED_VALUE"""),"ดวงพร")</f>
        <v>ดวงพร</v>
      </c>
      <c r="J93" t="str">
        <f>IFERROR(__xludf.DUMMYFUNCTION("""COMPUTED_VALUE"""),"สาธิตคุณ")</f>
        <v>สาธิตคุณ</v>
      </c>
      <c r="K93" t="str">
        <f>IFERROR(__xludf.DUMMYFUNCTION("""COMPUTED_VALUE"""),"ดวงพร สาธิตคุณ")</f>
        <v>ดวงพร สาธิตคุณ</v>
      </c>
      <c r="L93" t="str">
        <f>IFERROR(__xludf.DUMMYFUNCTION("""COMPUTED_VALUE"""),"Som")</f>
        <v>Som</v>
      </c>
      <c r="M93" t="str">
        <f>IFERROR(__xludf.DUMMYFUNCTION("""COMPUTED_VALUE"""),"Senior Cabin Crew - BKK")</f>
        <v>Senior Cabin Crew - BKK</v>
      </c>
      <c r="N93" t="str">
        <f>IFERROR(__xludf.DUMMYFUNCTION("""COMPUTED_VALUE"""),"BKK")</f>
        <v>BKK</v>
      </c>
      <c r="O93" s="145" t="str">
        <f>IFERROR(__xludf.DUMMYFUNCTION("""COMPUTED_VALUE"""),"Nhui Home")</f>
        <v>Nhui Home</v>
      </c>
      <c r="P93" t="str">
        <f>IFERROR(__xludf.DUMMYFUNCTION("""COMPUTED_VALUE"""),"Active")</f>
        <v>Active</v>
      </c>
      <c r="Q93" t="str">
        <f>IFERROR(__xludf.DUMMYFUNCTION("""COMPUTED_VALUE"""),"SCC Line Checker 2025")</f>
        <v>SCC Line Checker 2025</v>
      </c>
      <c r="R93" s="143">
        <f>IFERROR(__xludf.DUMMYFUNCTION("""COMPUTED_VALUE"""),29157.0)</f>
        <v>29157</v>
      </c>
      <c r="S93" s="146" t="str">
        <f>IFERROR(__xludf.DUMMYFUNCTION("""COMPUTED_VALUE"""),"092 424 1962")</f>
        <v>092 424 1962</v>
      </c>
      <c r="T93" s="147" t="str">
        <f>IFERROR(__xludf.DUMMYFUNCTION("""COMPUTED_VALUE"""),"3100503-74-1781")</f>
        <v>3100503-74-1781</v>
      </c>
      <c r="U93" t="str">
        <f>IFERROR(__xludf.DUMMYFUNCTION("""COMPUTED_VALUE"""),"AD0561078")</f>
        <v>AD0561078</v>
      </c>
      <c r="V93" s="148">
        <f>IFERROR(__xludf.DUMMYFUNCTION("""COMPUTED_VALUE"""),44938.0)</f>
        <v>44938</v>
      </c>
      <c r="W93" s="148">
        <f>IFERROR(__xludf.DUMMYFUNCTION("""COMPUTED_VALUE"""),48590.0)</f>
        <v>48590</v>
      </c>
      <c r="X93" s="149">
        <f>IFERROR(__xludf.DUMMYFUNCTION("""COMPUTED_VALUE"""),48406.0)</f>
        <v>48406</v>
      </c>
      <c r="Y93" t="str">
        <f>IFERROR(__xludf.DUMMYFUNCTION("""COMPUTED_VALUE"""),"ปลอดภัย")</f>
        <v>ปลอดภัย</v>
      </c>
      <c r="Z93" t="str">
        <f>IFERROR(__xludf.DUMMYFUNCTION("""COMPUTED_VALUE"""),"Bangkok")</f>
        <v>Bangkok</v>
      </c>
      <c r="AA93" t="str">
        <f>IFERROR(__xludf.DUMMYFUNCTION("""COMPUTED_VALUE"""),"ร่มเกล้า")</f>
        <v>ร่มเกล้า</v>
      </c>
      <c r="AB93" t="str">
        <f>IFERROR(__xludf.DUMMYFUNCTION("""COMPUTED_VALUE"""),"084 881 5822")</f>
        <v>084 881 5822</v>
      </c>
      <c r="AC93" t="str">
        <f>IFERROR(__xludf.DUMMYFUNCTION("""COMPUTED_VALUE"""),"ไม่ระบุ")</f>
        <v>ไม่ระบุ</v>
      </c>
      <c r="AD93" t="str">
        <f>IFERROR(__xludf.DUMMYFUNCTION("""COMPUTED_VALUE"""),"doungporns@airasia.com")</f>
        <v>doungporns@airasia.com</v>
      </c>
    </row>
    <row r="94">
      <c r="A94" s="142">
        <f>IFERROR(__xludf.DUMMYFUNCTION("""COMPUTED_VALUE"""),22.0)</f>
        <v>22</v>
      </c>
      <c r="B94" t="str">
        <f>IFERROR(__xludf.DUMMYFUNCTION("""COMPUTED_VALUE"""),"TAA1937")</f>
        <v>TAA1937</v>
      </c>
      <c r="C94">
        <f>IFERROR(__xludf.DUMMYFUNCTION("""COMPUTED_VALUE"""),1002269.0)</f>
        <v>1002269</v>
      </c>
      <c r="D94" t="str">
        <f>IFERROR(__xludf.DUMMYFUNCTION("""COMPUTED_VALUE"""),"Ms.")</f>
        <v>Ms.</v>
      </c>
      <c r="E94" t="str">
        <f>IFERROR(__xludf.DUMMYFUNCTION("""COMPUTED_VALUE"""),"Khemaporn")</f>
        <v>Khemaporn</v>
      </c>
      <c r="F94" t="str">
        <f>IFERROR(__xludf.DUMMYFUNCTION("""COMPUTED_VALUE"""),"Chotepradit")</f>
        <v>Chotepradit</v>
      </c>
      <c r="G94" t="str">
        <f>IFERROR(__xludf.DUMMYFUNCTION("""COMPUTED_VALUE"""),"Khemaporn Chotepradit")</f>
        <v>Khemaporn Chotepradit</v>
      </c>
      <c r="H94" t="str">
        <f>IFERROR(__xludf.DUMMYFUNCTION("""COMPUTED_VALUE"""),"นางสาว")</f>
        <v>นางสาว</v>
      </c>
      <c r="I94" t="str">
        <f>IFERROR(__xludf.DUMMYFUNCTION("""COMPUTED_VALUE"""),"เขมพร")</f>
        <v>เขมพร</v>
      </c>
      <c r="J94" t="str">
        <f>IFERROR(__xludf.DUMMYFUNCTION("""COMPUTED_VALUE"""),"โชติประดิษฐ์")</f>
        <v>โชติประดิษฐ์</v>
      </c>
      <c r="K94" t="str">
        <f>IFERROR(__xludf.DUMMYFUNCTION("""COMPUTED_VALUE"""),"เขมพร โชติประดิษฐ์")</f>
        <v>เขมพร โชติประดิษฐ์</v>
      </c>
      <c r="L94" t="str">
        <f>IFERROR(__xludf.DUMMYFUNCTION("""COMPUTED_VALUE"""),"Salee")</f>
        <v>Salee</v>
      </c>
      <c r="M94" t="str">
        <f>IFERROR(__xludf.DUMMYFUNCTION("""COMPUTED_VALUE"""),"Senior Cabin Crew - BKK")</f>
        <v>Senior Cabin Crew - BKK</v>
      </c>
      <c r="N94" t="str">
        <f>IFERROR(__xludf.DUMMYFUNCTION("""COMPUTED_VALUE"""),"BKK")</f>
        <v>BKK</v>
      </c>
      <c r="O94" s="145" t="str">
        <f>IFERROR(__xludf.DUMMYFUNCTION("""COMPUTED_VALUE"""),"Nhui Home")</f>
        <v>Nhui Home</v>
      </c>
      <c r="P94" t="str">
        <f>IFERROR(__xludf.DUMMYFUNCTION("""COMPUTED_VALUE"""),"Active")</f>
        <v>Active</v>
      </c>
      <c r="R94" s="143">
        <f>IFERROR(__xludf.DUMMYFUNCTION("""COMPUTED_VALUE"""),30261.0)</f>
        <v>30261</v>
      </c>
      <c r="S94" s="146" t="str">
        <f>IFERROR(__xludf.DUMMYFUNCTION("""COMPUTED_VALUE"""),"092 593 9922")</f>
        <v>092 593 9922</v>
      </c>
      <c r="T94" s="147" t="str">
        <f>IFERROR(__xludf.DUMMYFUNCTION("""COMPUTED_VALUE"""),"3101202-19-4501")</f>
        <v>3101202-19-4501</v>
      </c>
      <c r="U94" t="str">
        <f>IFERROR(__xludf.DUMMYFUNCTION("""COMPUTED_VALUE"""),"AC2853404")</f>
        <v>AC2853404</v>
      </c>
      <c r="V94" s="148">
        <f>IFERROR(__xludf.DUMMYFUNCTION("""COMPUTED_VALUE"""),44530.0)</f>
        <v>44530</v>
      </c>
      <c r="W94" s="148">
        <f>IFERROR(__xludf.DUMMYFUNCTION("""COMPUTED_VALUE"""),48181.0)</f>
        <v>48181</v>
      </c>
      <c r="X94" s="149">
        <f>IFERROR(__xludf.DUMMYFUNCTION("""COMPUTED_VALUE"""),47997.0)</f>
        <v>47997</v>
      </c>
      <c r="Y94" t="str">
        <f>IFERROR(__xludf.DUMMYFUNCTION("""COMPUTED_VALUE"""),"ปลอดภัย")</f>
        <v>ปลอดภัย</v>
      </c>
      <c r="Z94" t="str">
        <f>IFERROR(__xludf.DUMMYFUNCTION("""COMPUTED_VALUE"""),"Bangkok")</f>
        <v>Bangkok</v>
      </c>
      <c r="AA94" t="str">
        <f>IFERROR(__xludf.DUMMYFUNCTION("""COMPUTED_VALUE"""),"ประเวศ")</f>
        <v>ประเวศ</v>
      </c>
      <c r="AB94" t="str">
        <f>IFERROR(__xludf.DUMMYFUNCTION("""COMPUTED_VALUE"""),"086 130 0663")</f>
        <v>086 130 0663</v>
      </c>
      <c r="AC94" t="str">
        <f>IFERROR(__xludf.DUMMYFUNCTION("""COMPUTED_VALUE"""),"แม่")</f>
        <v>แม่</v>
      </c>
      <c r="AD94" t="str">
        <f>IFERROR(__xludf.DUMMYFUNCTION("""COMPUTED_VALUE"""),"khemapornc@airasia.com")</f>
        <v>khemapornc@airasia.com</v>
      </c>
    </row>
    <row r="95">
      <c r="A95" s="142">
        <f>IFERROR(__xludf.DUMMYFUNCTION("""COMPUTED_VALUE"""),22.0)</f>
        <v>22</v>
      </c>
      <c r="B95" t="str">
        <f>IFERROR(__xludf.DUMMYFUNCTION("""COMPUTED_VALUE"""),"TAA1930")</f>
        <v>TAA1930</v>
      </c>
      <c r="C95">
        <f>IFERROR(__xludf.DUMMYFUNCTION("""COMPUTED_VALUE"""),1002271.0)</f>
        <v>1002271</v>
      </c>
      <c r="D95" t="str">
        <f>IFERROR(__xludf.DUMMYFUNCTION("""COMPUTED_VALUE"""),"Ms.")</f>
        <v>Ms.</v>
      </c>
      <c r="E95" t="str">
        <f>IFERROR(__xludf.DUMMYFUNCTION("""COMPUTED_VALUE"""),"Phaphasorn")</f>
        <v>Phaphasorn</v>
      </c>
      <c r="F95" t="str">
        <f>IFERROR(__xludf.DUMMYFUNCTION("""COMPUTED_VALUE"""),"Pawapootanont (Chaturatphatson)")</f>
        <v>Pawapootanont (Chaturatphatson)</v>
      </c>
      <c r="G95" t="str">
        <f>IFERROR(__xludf.DUMMYFUNCTION("""COMPUTED_VALUE"""),"Phaphasorn Pawapootanont")</f>
        <v>Phaphasorn Pawapootanont</v>
      </c>
      <c r="H95" t="str">
        <f>IFERROR(__xludf.DUMMYFUNCTION("""COMPUTED_VALUE"""),"นางสาว")</f>
        <v>นางสาว</v>
      </c>
      <c r="I95" t="str">
        <f>IFERROR(__xludf.DUMMYFUNCTION("""COMPUTED_VALUE"""),"พภัสสรณ์")</f>
        <v>พภัสสรณ์</v>
      </c>
      <c r="J95" t="str">
        <f>IFERROR(__xludf.DUMMYFUNCTION("""COMPUTED_VALUE"""),"ภวภูตานนท์ (จาตุรัตน์ภัสสร)")</f>
        <v>ภวภูตานนท์ (จาตุรัตน์ภัสสร)</v>
      </c>
      <c r="K95" t="str">
        <f>IFERROR(__xludf.DUMMYFUNCTION("""COMPUTED_VALUE"""),"พภัสสรณ์ ภวภูตานนท์")</f>
        <v>พภัสสรณ์ ภวภูตานนท์</v>
      </c>
      <c r="L95" t="str">
        <f>IFERROR(__xludf.DUMMYFUNCTION("""COMPUTED_VALUE"""),"Bow")</f>
        <v>Bow</v>
      </c>
      <c r="M95" t="str">
        <f>IFERROR(__xludf.DUMMYFUNCTION("""COMPUTED_VALUE"""),"Senior Cabin Crew")</f>
        <v>Senior Cabin Crew</v>
      </c>
      <c r="N95" t="str">
        <f>IFERROR(__xludf.DUMMYFUNCTION("""COMPUTED_VALUE"""),"DMK")</f>
        <v>DMK</v>
      </c>
      <c r="O95" s="145" t="str">
        <f>IFERROR(__xludf.DUMMYFUNCTION("""COMPUTED_VALUE"""),"Namfon Home")</f>
        <v>Namfon Home</v>
      </c>
      <c r="P95" t="str">
        <f>IFERROR(__xludf.DUMMYFUNCTION("""COMPUTED_VALUE"""),"Active")</f>
        <v>Active</v>
      </c>
      <c r="R95" s="143">
        <f>IFERROR(__xludf.DUMMYFUNCTION("""COMPUTED_VALUE"""),30943.0)</f>
        <v>30943</v>
      </c>
      <c r="S95" s="146" t="str">
        <f>IFERROR(__xludf.DUMMYFUNCTION("""COMPUTED_VALUE"""),"097 259 3636")</f>
        <v>097 259 3636</v>
      </c>
      <c r="T95" s="147" t="str">
        <f>IFERROR(__xludf.DUMMYFUNCTION("""COMPUTED_VALUE"""),"1101800-04-1273")</f>
        <v>1101800-04-1273</v>
      </c>
      <c r="U95" t="str">
        <f>IFERROR(__xludf.DUMMYFUNCTION("""COMPUTED_VALUE"""),"AC7590568")</f>
        <v>AC7590568</v>
      </c>
      <c r="V95" s="148">
        <f>IFERROR(__xludf.DUMMYFUNCTION("""COMPUTED_VALUE"""),45945.0)</f>
        <v>45945</v>
      </c>
      <c r="W95" s="148">
        <f>IFERROR(__xludf.DUMMYFUNCTION("""COMPUTED_VALUE"""),49231.0)</f>
        <v>49231</v>
      </c>
      <c r="X95" s="149">
        <f>IFERROR(__xludf.DUMMYFUNCTION("""COMPUTED_VALUE"""),49048.0)</f>
        <v>49048</v>
      </c>
      <c r="Y95" t="str">
        <f>IFERROR(__xludf.DUMMYFUNCTION("""COMPUTED_VALUE"""),"ปลอดภัย")</f>
        <v>ปลอดภัย</v>
      </c>
      <c r="Z95" t="str">
        <f>IFERROR(__xludf.DUMMYFUNCTION("""COMPUTED_VALUE"""),"Bangkok")</f>
        <v>Bangkok</v>
      </c>
      <c r="AA95" t="str">
        <f>IFERROR(__xludf.DUMMYFUNCTION("""COMPUTED_VALUE"""),"ลาดปลาเค้า")</f>
        <v>ลาดปลาเค้า</v>
      </c>
      <c r="AB95" t="str">
        <f>IFERROR(__xludf.DUMMYFUNCTION("""COMPUTED_VALUE"""),"081 834 1098")</f>
        <v>081 834 1098</v>
      </c>
      <c r="AC95" t="str">
        <f>IFERROR(__xludf.DUMMYFUNCTION("""COMPUTED_VALUE"""),"ไม่ระบุ")</f>
        <v>ไม่ระบุ</v>
      </c>
      <c r="AD95" t="str">
        <f>IFERROR(__xludf.DUMMYFUNCTION("""COMPUTED_VALUE"""),"phaphasornp@airasia.com")</f>
        <v>phaphasornp@airasia.com</v>
      </c>
    </row>
    <row r="96">
      <c r="A96" s="142">
        <f>IFERROR(__xludf.DUMMYFUNCTION("""COMPUTED_VALUE"""),22.0)</f>
        <v>22</v>
      </c>
      <c r="B96" t="str">
        <f>IFERROR(__xludf.DUMMYFUNCTION("""COMPUTED_VALUE"""),"TAA1934")</f>
        <v>TAA1934</v>
      </c>
      <c r="C96">
        <f>IFERROR(__xludf.DUMMYFUNCTION("""COMPUTED_VALUE"""),1002273.0)</f>
        <v>1002273</v>
      </c>
      <c r="D96" t="str">
        <f>IFERROR(__xludf.DUMMYFUNCTION("""COMPUTED_VALUE"""),"Ms.")</f>
        <v>Ms.</v>
      </c>
      <c r="E96" t="str">
        <f>IFERROR(__xludf.DUMMYFUNCTION("""COMPUTED_VALUE"""),"Sirion")</f>
        <v>Sirion</v>
      </c>
      <c r="F96" t="str">
        <f>IFERROR(__xludf.DUMMYFUNCTION("""COMPUTED_VALUE"""),"Kwanchai")</f>
        <v>Kwanchai</v>
      </c>
      <c r="G96" t="str">
        <f>IFERROR(__xludf.DUMMYFUNCTION("""COMPUTED_VALUE"""),"Sirion Kwanchai")</f>
        <v>Sirion Kwanchai</v>
      </c>
      <c r="H96" t="str">
        <f>IFERROR(__xludf.DUMMYFUNCTION("""COMPUTED_VALUE"""),"นางสาว")</f>
        <v>นางสาว</v>
      </c>
      <c r="I96" t="str">
        <f>IFERROR(__xludf.DUMMYFUNCTION("""COMPUTED_VALUE"""),"สิริอร")</f>
        <v>สิริอร</v>
      </c>
      <c r="J96" t="str">
        <f>IFERROR(__xludf.DUMMYFUNCTION("""COMPUTED_VALUE"""),"ขวัญชัย")</f>
        <v>ขวัญชัย</v>
      </c>
      <c r="K96" t="str">
        <f>IFERROR(__xludf.DUMMYFUNCTION("""COMPUTED_VALUE"""),"สิริอร ขวัญชัย")</f>
        <v>สิริอร ขวัญชัย</v>
      </c>
      <c r="L96" t="str">
        <f>IFERROR(__xludf.DUMMYFUNCTION("""COMPUTED_VALUE"""),"Ching Ching")</f>
        <v>Ching Ching</v>
      </c>
      <c r="M96" t="str">
        <f>IFERROR(__xludf.DUMMYFUNCTION("""COMPUTED_VALUE"""),"Senior Cabin Crew")</f>
        <v>Senior Cabin Crew</v>
      </c>
      <c r="N96" t="str">
        <f>IFERROR(__xludf.DUMMYFUNCTION("""COMPUTED_VALUE"""),"DMK")</f>
        <v>DMK</v>
      </c>
      <c r="O96" s="145" t="str">
        <f>IFERROR(__xludf.DUMMYFUNCTION("""COMPUTED_VALUE"""),"Kor Home")</f>
        <v>Kor Home</v>
      </c>
      <c r="P96" t="str">
        <f>IFERROR(__xludf.DUMMYFUNCTION("""COMPUTED_VALUE"""),"Active")</f>
        <v>Active</v>
      </c>
      <c r="Q96" t="str">
        <f>IFERROR(__xludf.DUMMYFUNCTION("""COMPUTED_VALUE"""),"Chinese Speaking")</f>
        <v>Chinese Speaking</v>
      </c>
      <c r="R96" s="143">
        <f>IFERROR(__xludf.DUMMYFUNCTION("""COMPUTED_VALUE"""),30865.0)</f>
        <v>30865</v>
      </c>
      <c r="S96" s="146" t="str">
        <f>IFERROR(__xludf.DUMMYFUNCTION("""COMPUTED_VALUE"""),"084 040 1262")</f>
        <v>084 040 1262</v>
      </c>
      <c r="T96" s="147" t="str">
        <f>IFERROR(__xludf.DUMMYFUNCTION("""COMPUTED_VALUE"""),"1909800-03-2282")</f>
        <v>1909800-03-2282</v>
      </c>
      <c r="U96" t="str">
        <f>IFERROR(__xludf.DUMMYFUNCTION("""COMPUTED_VALUE"""),"AC5723236")</f>
        <v>AC5723236</v>
      </c>
      <c r="V96" s="148">
        <f>IFERROR(__xludf.DUMMYFUNCTION("""COMPUTED_VALUE"""),45187.0)</f>
        <v>45187</v>
      </c>
      <c r="W96" s="148">
        <f>IFERROR(__xludf.DUMMYFUNCTION("""COMPUTED_VALUE"""),48839.0)</f>
        <v>48839</v>
      </c>
      <c r="X96" s="149">
        <f>IFERROR(__xludf.DUMMYFUNCTION("""COMPUTED_VALUE"""),48655.0)</f>
        <v>48655</v>
      </c>
      <c r="Y96" t="str">
        <f>IFERROR(__xludf.DUMMYFUNCTION("""COMPUTED_VALUE"""),"ปลอดภัย")</f>
        <v>ปลอดภัย</v>
      </c>
      <c r="Z96" t="str">
        <f>IFERROR(__xludf.DUMMYFUNCTION("""COMPUTED_VALUE"""),"Songkhla Province")</f>
        <v>Songkhla Province</v>
      </c>
      <c r="AA96" t="str">
        <f>IFERROR(__xludf.DUMMYFUNCTION("""COMPUTED_VALUE"""),"กิ่งแก้ว")</f>
        <v>กิ่งแก้ว</v>
      </c>
      <c r="AB96" t="str">
        <f>IFERROR(__xludf.DUMMYFUNCTION("""COMPUTED_VALUE"""),"081 4733275")</f>
        <v>081 4733275</v>
      </c>
      <c r="AC96" t="str">
        <f>IFERROR(__xludf.DUMMYFUNCTION("""COMPUTED_VALUE"""),"ไม่ระบุ")</f>
        <v>ไม่ระบุ</v>
      </c>
      <c r="AD96" t="str">
        <f>IFERROR(__xludf.DUMMYFUNCTION("""COMPUTED_VALUE"""),"sirionk@airasia.com")</f>
        <v>sirionk@airasia.com</v>
      </c>
    </row>
    <row r="97">
      <c r="AD97" t="str">
        <f>IFERROR(__xludf.DUMMYFUNCTION("""COMPUTED_VALUE"""),"")</f>
        <v/>
      </c>
    </row>
    <row r="98">
      <c r="A98" s="142">
        <f>IFERROR(__xludf.DUMMYFUNCTION("""COMPUTED_VALUE"""),23.0)</f>
        <v>23</v>
      </c>
      <c r="B98" t="str">
        <f>IFERROR(__xludf.DUMMYFUNCTION("""COMPUTED_VALUE"""),"TAA1255")</f>
        <v>TAA1255</v>
      </c>
      <c r="C98">
        <f>IFERROR(__xludf.DUMMYFUNCTION("""COMPUTED_VALUE"""),1001209.0)</f>
        <v>1001209</v>
      </c>
      <c r="D98" t="str">
        <f>IFERROR(__xludf.DUMMYFUNCTION("""COMPUTED_VALUE"""),"Ms.")</f>
        <v>Ms.</v>
      </c>
      <c r="E98" t="str">
        <f>IFERROR(__xludf.DUMMYFUNCTION("""COMPUTED_VALUE"""),"Chadchaya")</f>
        <v>Chadchaya</v>
      </c>
      <c r="F98" t="str">
        <f>IFERROR(__xludf.DUMMYFUNCTION("""COMPUTED_VALUE"""),"Sinloy")</f>
        <v>Sinloy</v>
      </c>
      <c r="G98" t="str">
        <f>IFERROR(__xludf.DUMMYFUNCTION("""COMPUTED_VALUE"""),"Chadchaya Sinloy")</f>
        <v>Chadchaya Sinloy</v>
      </c>
      <c r="H98" t="str">
        <f>IFERROR(__xludf.DUMMYFUNCTION("""COMPUTED_VALUE"""),"นางสาว")</f>
        <v>นางสาว</v>
      </c>
      <c r="I98" t="str">
        <f>IFERROR(__xludf.DUMMYFUNCTION("""COMPUTED_VALUE"""),"ชัชชญา")</f>
        <v>ชัชชญา</v>
      </c>
      <c r="J98" t="str">
        <f>IFERROR(__xludf.DUMMYFUNCTION("""COMPUTED_VALUE"""),"สินลอย")</f>
        <v>สินลอย</v>
      </c>
      <c r="K98" t="str">
        <f>IFERROR(__xludf.DUMMYFUNCTION("""COMPUTED_VALUE"""),"ชัชชญา สินลอย")</f>
        <v>ชัชชญา สินลอย</v>
      </c>
      <c r="L98" t="str">
        <f>IFERROR(__xludf.DUMMYFUNCTION("""COMPUTED_VALUE"""),"Tik")</f>
        <v>Tik</v>
      </c>
      <c r="M98" t="str">
        <f>IFERROR(__xludf.DUMMYFUNCTION("""COMPUTED_VALUE"""),"Cabin Crew")</f>
        <v>Cabin Crew</v>
      </c>
      <c r="N98" t="str">
        <f>IFERROR(__xludf.DUMMYFUNCTION("""COMPUTED_VALUE"""),"DMK")</f>
        <v>DMK</v>
      </c>
      <c r="O98" s="145" t="str">
        <f>IFERROR(__xludf.DUMMYFUNCTION("""COMPUTED_VALUE"""),"Por+ Home")</f>
        <v>Por+ Home</v>
      </c>
      <c r="P98" t="str">
        <f>IFERROR(__xludf.DUMMYFUNCTION("""COMPUTED_VALUE"""),"Active")</f>
        <v>Active</v>
      </c>
      <c r="R98" s="143">
        <f>IFERROR(__xludf.DUMMYFUNCTION("""COMPUTED_VALUE"""),28862.0)</f>
        <v>28862</v>
      </c>
      <c r="S98" s="146" t="str">
        <f>IFERROR(__xludf.DUMMYFUNCTION("""COMPUTED_VALUE"""),"082 956 4462")</f>
        <v>082 956 4462</v>
      </c>
      <c r="T98" s="147" t="str">
        <f>IFERROR(__xludf.DUMMYFUNCTION("""COMPUTED_VALUE"""),"3120600-61-0598")</f>
        <v>3120600-61-0598</v>
      </c>
      <c r="U98" t="str">
        <f>IFERROR(__xludf.DUMMYFUNCTION("""COMPUTED_VALUE"""),"AD1893581")</f>
        <v>AD1893581</v>
      </c>
      <c r="V98" s="148">
        <f>IFERROR(__xludf.DUMMYFUNCTION("""COMPUTED_VALUE"""),45488.0)</f>
        <v>45488</v>
      </c>
      <c r="W98" s="148">
        <f>IFERROR(__xludf.DUMMYFUNCTION("""COMPUTED_VALUE"""),49139.0)</f>
        <v>49139</v>
      </c>
      <c r="X98" s="149">
        <f>IFERROR(__xludf.DUMMYFUNCTION("""COMPUTED_VALUE"""),48958.0)</f>
        <v>48958</v>
      </c>
      <c r="Y98" t="str">
        <f>IFERROR(__xludf.DUMMYFUNCTION("""COMPUTED_VALUE"""),"ปลอดภัย")</f>
        <v>ปลอดภัย</v>
      </c>
      <c r="Z98" t="str">
        <f>IFERROR(__xludf.DUMMYFUNCTION("""COMPUTED_VALUE"""),"Nonthaburi Province")</f>
        <v>Nonthaburi Province</v>
      </c>
      <c r="AA98" t="str">
        <f>IFERROR(__xludf.DUMMYFUNCTION("""COMPUTED_VALUE"""),"นนทบุรี ปากเกร็ด")</f>
        <v>นนทบุรี ปากเกร็ด</v>
      </c>
      <c r="AB98" t="str">
        <f>IFERROR(__xludf.DUMMYFUNCTION("""COMPUTED_VALUE"""),"089 923 1818")</f>
        <v>089 923 1818</v>
      </c>
      <c r="AC98" t="str">
        <f>IFERROR(__xludf.DUMMYFUNCTION("""COMPUTED_VALUE"""),"พี่ชาย")</f>
        <v>พี่ชาย</v>
      </c>
      <c r="AD98" t="str">
        <f>IFERROR(__xludf.DUMMYFUNCTION("""COMPUTED_VALUE"""),"chadchayas@airasia.com")</f>
        <v>chadchayas@airasia.com</v>
      </c>
    </row>
    <row r="99">
      <c r="A99" s="142">
        <f>IFERROR(__xludf.DUMMYFUNCTION("""COMPUTED_VALUE"""),23.0)</f>
        <v>23</v>
      </c>
      <c r="B99" t="str">
        <f>IFERROR(__xludf.DUMMYFUNCTION("""COMPUTED_VALUE"""),"TAA1962")</f>
        <v>TAA1962</v>
      </c>
      <c r="C99">
        <f>IFERROR(__xludf.DUMMYFUNCTION("""COMPUTED_VALUE"""),1002363.0)</f>
        <v>1002363</v>
      </c>
      <c r="D99" t="str">
        <f>IFERROR(__xludf.DUMMYFUNCTION("""COMPUTED_VALUE"""),"Ms.")</f>
        <v>Ms.</v>
      </c>
      <c r="E99" t="str">
        <f>IFERROR(__xludf.DUMMYFUNCTION("""COMPUTED_VALUE"""),"Boondarika")</f>
        <v>Boondarika</v>
      </c>
      <c r="F99" t="str">
        <f>IFERROR(__xludf.DUMMYFUNCTION("""COMPUTED_VALUE"""),"Chaikarn")</f>
        <v>Chaikarn</v>
      </c>
      <c r="G99" t="str">
        <f>IFERROR(__xludf.DUMMYFUNCTION("""COMPUTED_VALUE"""),"Boondarika Chaikarn")</f>
        <v>Boondarika Chaikarn</v>
      </c>
      <c r="H99" t="str">
        <f>IFERROR(__xludf.DUMMYFUNCTION("""COMPUTED_VALUE"""),"นางสาว")</f>
        <v>นางสาว</v>
      </c>
      <c r="I99" t="str">
        <f>IFERROR(__xludf.DUMMYFUNCTION("""COMPUTED_VALUE"""),"บุณฑริกา")</f>
        <v>บุณฑริกา</v>
      </c>
      <c r="J99" t="str">
        <f>IFERROR(__xludf.DUMMYFUNCTION("""COMPUTED_VALUE"""),"ไชยกาฬ")</f>
        <v>ไชยกาฬ</v>
      </c>
      <c r="K99" t="str">
        <f>IFERROR(__xludf.DUMMYFUNCTION("""COMPUTED_VALUE"""),"บุณฑริกา ไชยกาฬ")</f>
        <v>บุณฑริกา ไชยกาฬ</v>
      </c>
      <c r="L99" t="str">
        <f>IFERROR(__xludf.DUMMYFUNCTION("""COMPUTED_VALUE"""),"Gift")</f>
        <v>Gift</v>
      </c>
      <c r="M99" t="str">
        <f>IFERROR(__xludf.DUMMYFUNCTION("""COMPUTED_VALUE"""),"Cabin Crew Engagement Lead")</f>
        <v>Cabin Crew Engagement Lead</v>
      </c>
      <c r="N99" t="str">
        <f>IFERROR(__xludf.DUMMYFUNCTION("""COMPUTED_VALUE"""),"DMK")</f>
        <v>DMK</v>
      </c>
      <c r="O99" s="145" t="str">
        <f>IFERROR(__xludf.DUMMYFUNCTION("""COMPUTED_VALUE"""),"CCD")</f>
        <v>CCD</v>
      </c>
      <c r="P99" t="str">
        <f>IFERROR(__xludf.DUMMYFUNCTION("""COMPUTED_VALUE"""),"CCEL")</f>
        <v>CCEL</v>
      </c>
      <c r="R99" s="143">
        <f>IFERROR(__xludf.DUMMYFUNCTION("""COMPUTED_VALUE"""),30247.0)</f>
        <v>30247</v>
      </c>
      <c r="S99" s="146" t="str">
        <f>IFERROR(__xludf.DUMMYFUNCTION("""COMPUTED_VALUE"""),"085 121 0079")</f>
        <v>085 121 0079</v>
      </c>
      <c r="T99" s="147" t="str">
        <f>IFERROR(__xludf.DUMMYFUNCTION("""COMPUTED_VALUE"""),"3930100-12-2414")</f>
        <v>3930100-12-2414</v>
      </c>
      <c r="U99" t="str">
        <f>IFERROR(__xludf.DUMMYFUNCTION("""COMPUTED_VALUE"""),"AC5775481")</f>
        <v>AC5775481</v>
      </c>
      <c r="V99" s="148">
        <f>IFERROR(__xludf.DUMMYFUNCTION("""COMPUTED_VALUE"""),45218.0)</f>
        <v>45218</v>
      </c>
      <c r="W99" s="148">
        <f>IFERROR(__xludf.DUMMYFUNCTION("""COMPUTED_VALUE"""),48870.0)</f>
        <v>48870</v>
      </c>
      <c r="X99" s="149">
        <f>IFERROR(__xludf.DUMMYFUNCTION("""COMPUTED_VALUE"""),48687.0)</f>
        <v>48687</v>
      </c>
      <c r="Y99" t="str">
        <f>IFERROR(__xludf.DUMMYFUNCTION("""COMPUTED_VALUE"""),"ปลอดภัย")</f>
        <v>ปลอดภัย</v>
      </c>
      <c r="Z99" t="str">
        <f>IFERROR(__xludf.DUMMYFUNCTION("""COMPUTED_VALUE"""),"Phatthalung Province")</f>
        <v>Phatthalung Province</v>
      </c>
      <c r="AA99" t="str">
        <f>IFERROR(__xludf.DUMMYFUNCTION("""COMPUTED_VALUE"""),"บางพลี")</f>
        <v>บางพลี</v>
      </c>
      <c r="AB99" t="str">
        <f>IFERROR(__xludf.DUMMYFUNCTION("""COMPUTED_VALUE"""),"085 121 0079")</f>
        <v>085 121 0079</v>
      </c>
      <c r="AC99" t="str">
        <f>IFERROR(__xludf.DUMMYFUNCTION("""COMPUTED_VALUE"""),"ไม่ระบุ")</f>
        <v>ไม่ระบุ</v>
      </c>
      <c r="AD99" t="str">
        <f>IFERROR(__xludf.DUMMYFUNCTION("""COMPUTED_VALUE"""),"boondarikac@airasia.com")</f>
        <v>boondarikac@airasia.com</v>
      </c>
    </row>
    <row r="100">
      <c r="A100" s="142">
        <f>IFERROR(__xludf.DUMMYFUNCTION("""COMPUTED_VALUE"""),23.0)</f>
        <v>23</v>
      </c>
      <c r="B100" t="str">
        <f>IFERROR(__xludf.DUMMYFUNCTION("""COMPUTED_VALUE"""),"TAA1960")</f>
        <v>TAA1960</v>
      </c>
      <c r="C100">
        <f>IFERROR(__xludf.DUMMYFUNCTION("""COMPUTED_VALUE"""),1002368.0)</f>
        <v>1002368</v>
      </c>
      <c r="D100" t="str">
        <f>IFERROR(__xludf.DUMMYFUNCTION("""COMPUTED_VALUE"""),"Mrs.")</f>
        <v>Mrs.</v>
      </c>
      <c r="E100" t="str">
        <f>IFERROR(__xludf.DUMMYFUNCTION("""COMPUTED_VALUE"""),"Krongjai")</f>
        <v>Krongjai</v>
      </c>
      <c r="F100" t="str">
        <f>IFERROR(__xludf.DUMMYFUNCTION("""COMPUTED_VALUE"""),"Jaturapattarakij")</f>
        <v>Jaturapattarakij</v>
      </c>
      <c r="G100" t="str">
        <f>IFERROR(__xludf.DUMMYFUNCTION("""COMPUTED_VALUE"""),"Krongjai Jaturapattarakij")</f>
        <v>Krongjai Jaturapattarakij</v>
      </c>
      <c r="H100" t="str">
        <f>IFERROR(__xludf.DUMMYFUNCTION("""COMPUTED_VALUE"""),"นาง")</f>
        <v>นาง</v>
      </c>
      <c r="I100" t="str">
        <f>IFERROR(__xludf.DUMMYFUNCTION("""COMPUTED_VALUE"""),"ครองใจ")</f>
        <v>ครองใจ</v>
      </c>
      <c r="J100" t="str">
        <f>IFERROR(__xludf.DUMMYFUNCTION("""COMPUTED_VALUE"""),"จตุรภัทรกิจ")</f>
        <v>จตุรภัทรกิจ</v>
      </c>
      <c r="K100" t="str">
        <f>IFERROR(__xludf.DUMMYFUNCTION("""COMPUTED_VALUE"""),"ครองใจ จตุรภัทรกิจ")</f>
        <v>ครองใจ จตุรภัทรกิจ</v>
      </c>
      <c r="L100" t="str">
        <f>IFERROR(__xludf.DUMMYFUNCTION("""COMPUTED_VALUE"""),"Nong")</f>
        <v>Nong</v>
      </c>
      <c r="M100" t="str">
        <f>IFERROR(__xludf.DUMMYFUNCTION("""COMPUTED_VALUE"""),"Senior Cabin Crew")</f>
        <v>Senior Cabin Crew</v>
      </c>
      <c r="N100" t="str">
        <f>IFERROR(__xludf.DUMMYFUNCTION("""COMPUTED_VALUE"""),"DMK")</f>
        <v>DMK</v>
      </c>
      <c r="O100" s="145" t="str">
        <f>IFERROR(__xludf.DUMMYFUNCTION("""COMPUTED_VALUE"""),"Kor Home")</f>
        <v>Kor Home</v>
      </c>
      <c r="P100" t="str">
        <f>IFERROR(__xludf.DUMMYFUNCTION("""COMPUTED_VALUE"""),"Active")</f>
        <v>Active</v>
      </c>
      <c r="R100" s="143">
        <f>IFERROR(__xludf.DUMMYFUNCTION("""COMPUTED_VALUE"""),28352.0)</f>
        <v>28352</v>
      </c>
      <c r="S100" s="146" t="str">
        <f>IFERROR(__xludf.DUMMYFUNCTION("""COMPUTED_VALUE"""),"062-394-9653")</f>
        <v>062-394-9653</v>
      </c>
      <c r="T100" s="147" t="str">
        <f>IFERROR(__xludf.DUMMYFUNCTION("""COMPUTED_VALUE"""),"3410102-58-1631")</f>
        <v>3410102-58-1631</v>
      </c>
      <c r="U100" t="str">
        <f>IFERROR(__xludf.DUMMYFUNCTION("""COMPUTED_VALUE"""),"AC2789607")</f>
        <v>AC2789607</v>
      </c>
      <c r="V100" s="148">
        <f>IFERROR(__xludf.DUMMYFUNCTION("""COMPUTED_VALUE"""),44503.0)</f>
        <v>44503</v>
      </c>
      <c r="W100" s="148">
        <f>IFERROR(__xludf.DUMMYFUNCTION("""COMPUTED_VALUE"""),48154.0)</f>
        <v>48154</v>
      </c>
      <c r="X100" s="149">
        <f>IFERROR(__xludf.DUMMYFUNCTION("""COMPUTED_VALUE"""),47970.0)</f>
        <v>47970</v>
      </c>
      <c r="Y100" t="str">
        <f>IFERROR(__xludf.DUMMYFUNCTION("""COMPUTED_VALUE"""),"ปลอดภัย")</f>
        <v>ปลอดภัย</v>
      </c>
      <c r="Z100" t="str">
        <f>IFERROR(__xludf.DUMMYFUNCTION("""COMPUTED_VALUE"""),"Udon Thani Province")</f>
        <v>Udon Thani Province</v>
      </c>
      <c r="AA100" t="str">
        <f>IFERROR(__xludf.DUMMYFUNCTION("""COMPUTED_VALUE"""),"บางพลี")</f>
        <v>บางพลี</v>
      </c>
      <c r="AB100" t="str">
        <f>IFERROR(__xludf.DUMMYFUNCTION("""COMPUTED_VALUE"""),"081 868 2824")</f>
        <v>081 868 2824</v>
      </c>
      <c r="AC100" t="str">
        <f>IFERROR(__xludf.DUMMYFUNCTION("""COMPUTED_VALUE"""),"สามี")</f>
        <v>สามี</v>
      </c>
      <c r="AD100" t="str">
        <f>IFERROR(__xludf.DUMMYFUNCTION("""COMPUTED_VALUE"""),"krongjaij@airasia.com")</f>
        <v>krongjaij@airasia.com</v>
      </c>
    </row>
    <row r="101">
      <c r="A101" s="142">
        <f>IFERROR(__xludf.DUMMYFUNCTION("""COMPUTED_VALUE"""),23.0)</f>
        <v>23</v>
      </c>
      <c r="B101" t="str">
        <f>IFERROR(__xludf.DUMMYFUNCTION("""COMPUTED_VALUE"""),"TAA1963")</f>
        <v>TAA1963</v>
      </c>
      <c r="C101">
        <f>IFERROR(__xludf.DUMMYFUNCTION("""COMPUTED_VALUE"""),1002370.0)</f>
        <v>1002370</v>
      </c>
      <c r="D101" t="str">
        <f>IFERROR(__xludf.DUMMYFUNCTION("""COMPUTED_VALUE"""),"Ms.")</f>
        <v>Ms.</v>
      </c>
      <c r="E101" t="str">
        <f>IFERROR(__xludf.DUMMYFUNCTION("""COMPUTED_VALUE"""),"Napaphat")</f>
        <v>Napaphat</v>
      </c>
      <c r="F101" t="str">
        <f>IFERROR(__xludf.DUMMYFUNCTION("""COMPUTED_VALUE"""),"Yuktanan")</f>
        <v>Yuktanan</v>
      </c>
      <c r="G101" t="str">
        <f>IFERROR(__xludf.DUMMYFUNCTION("""COMPUTED_VALUE"""),"Napaphat Yuktanan")</f>
        <v>Napaphat Yuktanan</v>
      </c>
      <c r="H101" t="str">
        <f>IFERROR(__xludf.DUMMYFUNCTION("""COMPUTED_VALUE"""),"นางสาว")</f>
        <v>นางสาว</v>
      </c>
      <c r="I101" t="str">
        <f>IFERROR(__xludf.DUMMYFUNCTION("""COMPUTED_VALUE"""),"ณปภัช")</f>
        <v>ณปภัช</v>
      </c>
      <c r="J101" t="str">
        <f>IFERROR(__xludf.DUMMYFUNCTION("""COMPUTED_VALUE"""),"ยุกตะนันท์")</f>
        <v>ยุกตะนันท์</v>
      </c>
      <c r="K101" t="str">
        <f>IFERROR(__xludf.DUMMYFUNCTION("""COMPUTED_VALUE"""),"ณปภัช ยุกตะนันท์")</f>
        <v>ณปภัช ยุกตะนันท์</v>
      </c>
      <c r="L101" t="str">
        <f>IFERROR(__xludf.DUMMYFUNCTION("""COMPUTED_VALUE"""),"Dao")</f>
        <v>Dao</v>
      </c>
      <c r="M101" t="str">
        <f>IFERROR(__xludf.DUMMYFUNCTION("""COMPUTED_VALUE"""),"Senior Cabin Crew")</f>
        <v>Senior Cabin Crew</v>
      </c>
      <c r="N101" t="str">
        <f>IFERROR(__xludf.DUMMYFUNCTION("""COMPUTED_VALUE"""),"DMK")</f>
        <v>DMK</v>
      </c>
      <c r="O101" s="145" t="str">
        <f>IFERROR(__xludf.DUMMYFUNCTION("""COMPUTED_VALUE"""),"Por+ Home")</f>
        <v>Por+ Home</v>
      </c>
      <c r="P101" t="str">
        <f>IFERROR(__xludf.DUMMYFUNCTION("""COMPUTED_VALUE"""),"Active")</f>
        <v>Active</v>
      </c>
      <c r="R101" s="143">
        <f>IFERROR(__xludf.DUMMYFUNCTION("""COMPUTED_VALUE"""),30204.0)</f>
        <v>30204</v>
      </c>
      <c r="S101" s="146" t="str">
        <f>IFERROR(__xludf.DUMMYFUNCTION("""COMPUTED_VALUE"""),"081 666 5814")</f>
        <v>081 666 5814</v>
      </c>
      <c r="T101" s="147" t="str">
        <f>IFERROR(__xludf.DUMMYFUNCTION("""COMPUTED_VALUE"""),"3120500-07-3698")</f>
        <v>3120500-07-3698</v>
      </c>
      <c r="U101" t="str">
        <f>IFERROR(__xludf.DUMMYFUNCTION("""COMPUTED_VALUE"""),"AD1699955")</f>
        <v>AD1699955</v>
      </c>
      <c r="V101" s="148">
        <f>IFERROR(__xludf.DUMMYFUNCTION("""COMPUTED_VALUE"""),45330.0)</f>
        <v>45330</v>
      </c>
      <c r="W101" s="148">
        <f>IFERROR(__xludf.DUMMYFUNCTION("""COMPUTED_VALUE"""),48982.0)</f>
        <v>48982</v>
      </c>
      <c r="X101" s="149">
        <f>IFERROR(__xludf.DUMMYFUNCTION("""COMPUTED_VALUE"""),48798.0)</f>
        <v>48798</v>
      </c>
      <c r="Y101" t="str">
        <f>IFERROR(__xludf.DUMMYFUNCTION("""COMPUTED_VALUE"""),"ปลอดภัย")</f>
        <v>ปลอดภัย</v>
      </c>
      <c r="Z101" t="str">
        <f>IFERROR(__xludf.DUMMYFUNCTION("""COMPUTED_VALUE"""),"Bangkok")</f>
        <v>Bangkok</v>
      </c>
      <c r="AA101" t="str">
        <f>IFERROR(__xludf.DUMMYFUNCTION("""COMPUTED_VALUE"""),"บึงกุ่ม")</f>
        <v>บึงกุ่ม</v>
      </c>
      <c r="AB101" t="str">
        <f>IFERROR(__xludf.DUMMYFUNCTION("""COMPUTED_VALUE"""),"081 583 6293")</f>
        <v>081 583 6293</v>
      </c>
      <c r="AC101" t="str">
        <f>IFERROR(__xludf.DUMMYFUNCTION("""COMPUTED_VALUE"""),"พ่อ")</f>
        <v>พ่อ</v>
      </c>
      <c r="AD101" t="str">
        <f>IFERROR(__xludf.DUMMYFUNCTION("""COMPUTED_VALUE"""),"napaphaty@airasia.com")</f>
        <v>napaphaty@airasia.com</v>
      </c>
    </row>
    <row r="102">
      <c r="A102" s="142">
        <f>IFERROR(__xludf.DUMMYFUNCTION("""COMPUTED_VALUE"""),23.0)</f>
        <v>23</v>
      </c>
      <c r="B102" t="str">
        <f>IFERROR(__xludf.DUMMYFUNCTION("""COMPUTED_VALUE"""),"TAA1969")</f>
        <v>TAA1969</v>
      </c>
      <c r="C102">
        <f>IFERROR(__xludf.DUMMYFUNCTION("""COMPUTED_VALUE"""),1002371.0)</f>
        <v>1002371</v>
      </c>
      <c r="D102" t="str">
        <f>IFERROR(__xludf.DUMMYFUNCTION("""COMPUTED_VALUE"""),"Ms.")</f>
        <v>Ms.</v>
      </c>
      <c r="E102" t="str">
        <f>IFERROR(__xludf.DUMMYFUNCTION("""COMPUTED_VALUE"""),"Nattee")</f>
        <v>Nattee</v>
      </c>
      <c r="F102" t="str">
        <f>IFERROR(__xludf.DUMMYFUNCTION("""COMPUTED_VALUE"""),"Kittivorachate")</f>
        <v>Kittivorachate</v>
      </c>
      <c r="G102" t="str">
        <f>IFERROR(__xludf.DUMMYFUNCTION("""COMPUTED_VALUE"""),"Nattee Kittivorachate")</f>
        <v>Nattee Kittivorachate</v>
      </c>
      <c r="H102" t="str">
        <f>IFERROR(__xludf.DUMMYFUNCTION("""COMPUTED_VALUE"""),"นางสาว")</f>
        <v>นางสาว</v>
      </c>
      <c r="I102" t="str">
        <f>IFERROR(__xludf.DUMMYFUNCTION("""COMPUTED_VALUE"""),"นัทที")</f>
        <v>นัทที</v>
      </c>
      <c r="J102" t="str">
        <f>IFERROR(__xludf.DUMMYFUNCTION("""COMPUTED_VALUE"""),"กิตติวรเชฏฐ์")</f>
        <v>กิตติวรเชฏฐ์</v>
      </c>
      <c r="K102" t="str">
        <f>IFERROR(__xludf.DUMMYFUNCTION("""COMPUTED_VALUE"""),"นัทที กิตติวรเชฏฐ์")</f>
        <v>นัทที กิตติวรเชฏฐ์</v>
      </c>
      <c r="L102" t="str">
        <f>IFERROR(__xludf.DUMMYFUNCTION("""COMPUTED_VALUE"""),"Fhan")</f>
        <v>Fhan</v>
      </c>
      <c r="M102" t="str">
        <f>IFERROR(__xludf.DUMMYFUNCTION("""COMPUTED_VALUE"""),"Cabin Crew - CNX")</f>
        <v>Cabin Crew - CNX</v>
      </c>
      <c r="N102" t="str">
        <f>IFERROR(__xludf.DUMMYFUNCTION("""COMPUTED_VALUE"""),"CNX")</f>
        <v>CNX</v>
      </c>
      <c r="O102" s="145" t="str">
        <f>IFERROR(__xludf.DUMMYFUNCTION("""COMPUTED_VALUE"""),"Up Home")</f>
        <v>Up Home</v>
      </c>
      <c r="P102" t="str">
        <f>IFERROR(__xludf.DUMMYFUNCTION("""COMPUTED_VALUE"""),"Active")</f>
        <v>Active</v>
      </c>
      <c r="Q102" t="str">
        <f>IFERROR(__xludf.DUMMYFUNCTION("""COMPUTED_VALUE"""),"Chinese Speaking")</f>
        <v>Chinese Speaking</v>
      </c>
      <c r="R102" s="143">
        <f>IFERROR(__xludf.DUMMYFUNCTION("""COMPUTED_VALUE"""),29801.0)</f>
        <v>29801</v>
      </c>
      <c r="S102" s="146" t="str">
        <f>IFERROR(__xludf.DUMMYFUNCTION("""COMPUTED_VALUE"""),"084 002 7547")</f>
        <v>084 002 7547</v>
      </c>
      <c r="T102" s="147" t="str">
        <f>IFERROR(__xludf.DUMMYFUNCTION("""COMPUTED_VALUE"""),"3509901-31-2949")</f>
        <v>3509901-31-2949</v>
      </c>
      <c r="U102" t="str">
        <f>IFERROR(__xludf.DUMMYFUNCTION("""COMPUTED_VALUE"""),"AD1248380")</f>
        <v>AD1248380</v>
      </c>
      <c r="V102" s="148">
        <f>IFERROR(__xludf.DUMMYFUNCTION("""COMPUTED_VALUE"""),45335.0)</f>
        <v>45335</v>
      </c>
      <c r="W102" s="148">
        <f>IFERROR(__xludf.DUMMYFUNCTION("""COMPUTED_VALUE"""),48987.0)</f>
        <v>48987</v>
      </c>
      <c r="X102" s="149">
        <f>IFERROR(__xludf.DUMMYFUNCTION("""COMPUTED_VALUE"""),48803.0)</f>
        <v>48803</v>
      </c>
      <c r="Y102" t="str">
        <f>IFERROR(__xludf.DUMMYFUNCTION("""COMPUTED_VALUE"""),"ปลอดภัย")</f>
        <v>ปลอดภัย</v>
      </c>
      <c r="Z102" t="str">
        <f>IFERROR(__xludf.DUMMYFUNCTION("""COMPUTED_VALUE"""),"Chiang Mai Province")</f>
        <v>Chiang Mai Province</v>
      </c>
      <c r="AA102" t="str">
        <f>IFERROR(__xludf.DUMMYFUNCTION("""COMPUTED_VALUE"""),"มีนบุรี")</f>
        <v>มีนบุรี</v>
      </c>
      <c r="AB102" t="str">
        <f>IFERROR(__xludf.DUMMYFUNCTION("""COMPUTED_VALUE"""),"086 627 2323")</f>
        <v>086 627 2323</v>
      </c>
      <c r="AC102" t="str">
        <f>IFERROR(__xludf.DUMMYFUNCTION("""COMPUTED_VALUE"""),"สามี")</f>
        <v>สามี</v>
      </c>
      <c r="AD102" t="str">
        <f>IFERROR(__xludf.DUMMYFUNCTION("""COMPUTED_VALUE"""),"natteek@airasia.com")</f>
        <v>natteek@airasia.com</v>
      </c>
    </row>
    <row r="103">
      <c r="A103" s="142">
        <f>IFERROR(__xludf.DUMMYFUNCTION("""COMPUTED_VALUE"""),23.0)</f>
        <v>23</v>
      </c>
      <c r="B103" t="str">
        <f>IFERROR(__xludf.DUMMYFUNCTION("""COMPUTED_VALUE"""),"TAA1964")</f>
        <v>TAA1964</v>
      </c>
      <c r="C103">
        <f>IFERROR(__xludf.DUMMYFUNCTION("""COMPUTED_VALUE"""),1002374.0)</f>
        <v>1002374</v>
      </c>
      <c r="D103" t="str">
        <f>IFERROR(__xludf.DUMMYFUNCTION("""COMPUTED_VALUE"""),"Ms.")</f>
        <v>Ms.</v>
      </c>
      <c r="E103" t="str">
        <f>IFERROR(__xludf.DUMMYFUNCTION("""COMPUTED_VALUE"""),"Sirilak")</f>
        <v>Sirilak</v>
      </c>
      <c r="F103" t="str">
        <f>IFERROR(__xludf.DUMMYFUNCTION("""COMPUTED_VALUE"""),"Sutanant")</f>
        <v>Sutanant</v>
      </c>
      <c r="G103" t="str">
        <f>IFERROR(__xludf.DUMMYFUNCTION("""COMPUTED_VALUE"""),"Sirilak Sutanant")</f>
        <v>Sirilak Sutanant</v>
      </c>
      <c r="H103" t="str">
        <f>IFERROR(__xludf.DUMMYFUNCTION("""COMPUTED_VALUE"""),"นางสาว")</f>
        <v>นางสาว</v>
      </c>
      <c r="I103" t="str">
        <f>IFERROR(__xludf.DUMMYFUNCTION("""COMPUTED_VALUE"""),"สิริลักษณ์")</f>
        <v>สิริลักษณ์</v>
      </c>
      <c r="J103" t="str">
        <f>IFERROR(__xludf.DUMMYFUNCTION("""COMPUTED_VALUE"""),"สูตรอนันต์")</f>
        <v>สูตรอนันต์</v>
      </c>
      <c r="K103" t="str">
        <f>IFERROR(__xludf.DUMMYFUNCTION("""COMPUTED_VALUE"""),"สิริลักษณ์ สูตรอนันต์")</f>
        <v>สิริลักษณ์ สูตรอนันต์</v>
      </c>
      <c r="L103" t="str">
        <f>IFERROR(__xludf.DUMMYFUNCTION("""COMPUTED_VALUE"""),"Mi")</f>
        <v>Mi</v>
      </c>
      <c r="M103" t="str">
        <f>IFERROR(__xludf.DUMMYFUNCTION("""COMPUTED_VALUE"""),"Senior Cabin Crew")</f>
        <v>Senior Cabin Crew</v>
      </c>
      <c r="N103" t="str">
        <f>IFERROR(__xludf.DUMMYFUNCTION("""COMPUTED_VALUE"""),"DMK")</f>
        <v>DMK</v>
      </c>
      <c r="O103" s="145" t="str">
        <f>IFERROR(__xludf.DUMMYFUNCTION("""COMPUTED_VALUE"""),"Um Home")</f>
        <v>Um Home</v>
      </c>
      <c r="P103" t="str">
        <f>IFERROR(__xludf.DUMMYFUNCTION("""COMPUTED_VALUE"""),"V/LWP")</f>
        <v>V/LWP</v>
      </c>
      <c r="R103" s="143">
        <f>IFERROR(__xludf.DUMMYFUNCTION("""COMPUTED_VALUE"""),30480.0)</f>
        <v>30480</v>
      </c>
      <c r="S103" s="146" t="str">
        <f>IFERROR(__xludf.DUMMYFUNCTION("""COMPUTED_VALUE"""),"085 140 1865")</f>
        <v>085 140 1865</v>
      </c>
      <c r="T103" s="147" t="str">
        <f>IFERROR(__xludf.DUMMYFUNCTION("""COMPUTED_VALUE"""),"3199900-23-1647")</f>
        <v>3199900-23-1647</v>
      </c>
      <c r="U103" t="str">
        <f>IFERROR(__xludf.DUMMYFUNCTION("""COMPUTED_VALUE"""),"AC2224193")</f>
        <v>AC2224193</v>
      </c>
      <c r="V103" s="148">
        <f>IFERROR(__xludf.DUMMYFUNCTION("""COMPUTED_VALUE"""),44273.0)</f>
        <v>44273</v>
      </c>
      <c r="W103" s="148">
        <f>IFERROR(__xludf.DUMMYFUNCTION("""COMPUTED_VALUE"""),47924.0)</f>
        <v>47924</v>
      </c>
      <c r="X103" s="149">
        <f>IFERROR(__xludf.DUMMYFUNCTION("""COMPUTED_VALUE"""),47743.0)</f>
        <v>47743</v>
      </c>
      <c r="Y103" t="str">
        <f>IFERROR(__xludf.DUMMYFUNCTION("""COMPUTED_VALUE"""),"ปลอดภัย")</f>
        <v>ปลอดภัย</v>
      </c>
      <c r="Z103" t="str">
        <f>IFERROR(__xludf.DUMMYFUNCTION("""COMPUTED_VALUE"""),"Saraburi Province")</f>
        <v>Saraburi Province</v>
      </c>
      <c r="AA103" t="str">
        <f>IFERROR(__xludf.DUMMYFUNCTION("""COMPUTED_VALUE"""),"บางแค")</f>
        <v>บางแค</v>
      </c>
      <c r="AB103" t="str">
        <f>IFERROR(__xludf.DUMMYFUNCTION("""COMPUTED_VALUE"""),"085 140 1865")</f>
        <v>085 140 1865</v>
      </c>
      <c r="AC103" t="str">
        <f>IFERROR(__xludf.DUMMYFUNCTION("""COMPUTED_VALUE"""),"ไม่ระบุ")</f>
        <v>ไม่ระบุ</v>
      </c>
      <c r="AD103" t="str">
        <f>IFERROR(__xludf.DUMMYFUNCTION("""COMPUTED_VALUE"""),"sirilaku@airasia.com")</f>
        <v>sirilaku@airasia.com</v>
      </c>
    </row>
    <row r="104">
      <c r="AD104" t="str">
        <f>IFERROR(__xludf.DUMMYFUNCTION("""COMPUTED_VALUE"""),"")</f>
        <v/>
      </c>
    </row>
    <row r="105">
      <c r="A105" s="142">
        <f>IFERROR(__xludf.DUMMYFUNCTION("""COMPUTED_VALUE"""),24.0)</f>
        <v>24</v>
      </c>
      <c r="B105" t="str">
        <f>IFERROR(__xludf.DUMMYFUNCTION("""COMPUTED_VALUE"""),"TAA2231")</f>
        <v>TAA2231</v>
      </c>
      <c r="C105">
        <f>IFERROR(__xludf.DUMMYFUNCTION("""COMPUTED_VALUE"""),1002909.0)</f>
        <v>1002909</v>
      </c>
      <c r="D105" t="str">
        <f>IFERROR(__xludf.DUMMYFUNCTION("""COMPUTED_VALUE"""),"Mr.")</f>
        <v>Mr.</v>
      </c>
      <c r="E105" t="str">
        <f>IFERROR(__xludf.DUMMYFUNCTION("""COMPUTED_VALUE"""),"Panodpol")</f>
        <v>Panodpol</v>
      </c>
      <c r="F105" t="str">
        <f>IFERROR(__xludf.DUMMYFUNCTION("""COMPUTED_VALUE"""),"Yensuong")</f>
        <v>Yensuong</v>
      </c>
      <c r="G105" t="str">
        <f>IFERROR(__xludf.DUMMYFUNCTION("""COMPUTED_VALUE"""),"Panodpol Yensuong")</f>
        <v>Panodpol Yensuong</v>
      </c>
      <c r="H105" t="str">
        <f>IFERROR(__xludf.DUMMYFUNCTION("""COMPUTED_VALUE"""),"นาย")</f>
        <v>นาย</v>
      </c>
      <c r="I105" t="str">
        <f>IFERROR(__xludf.DUMMYFUNCTION("""COMPUTED_VALUE"""),"ปณตพล")</f>
        <v>ปณตพล</v>
      </c>
      <c r="J105" t="str">
        <f>IFERROR(__xludf.DUMMYFUNCTION("""COMPUTED_VALUE"""),"เย็นทรวง")</f>
        <v>เย็นทรวง</v>
      </c>
      <c r="K105" t="str">
        <f>IFERROR(__xludf.DUMMYFUNCTION("""COMPUTED_VALUE"""),"ปณตพล เย็นทรวง")</f>
        <v>ปณตพล เย็นทรวง</v>
      </c>
      <c r="L105" t="str">
        <f>IFERROR(__xludf.DUMMYFUNCTION("""COMPUTED_VALUE"""),"Pol")</f>
        <v>Pol</v>
      </c>
      <c r="M105" t="str">
        <f>IFERROR(__xludf.DUMMYFUNCTION("""COMPUTED_VALUE"""),"Senior Cabin Crew")</f>
        <v>Senior Cabin Crew</v>
      </c>
      <c r="N105" t="str">
        <f>IFERROR(__xludf.DUMMYFUNCTION("""COMPUTED_VALUE"""),"DMK")</f>
        <v>DMK</v>
      </c>
      <c r="O105" s="145" t="str">
        <f>IFERROR(__xludf.DUMMYFUNCTION("""COMPUTED_VALUE"""),"Um Home")</f>
        <v>Um Home</v>
      </c>
      <c r="P105" t="str">
        <f>IFERROR(__xludf.DUMMYFUNCTION("""COMPUTED_VALUE"""),"Active")</f>
        <v>Active</v>
      </c>
      <c r="R105" s="143">
        <f>IFERROR(__xludf.DUMMYFUNCTION("""COMPUTED_VALUE"""),28408.0)</f>
        <v>28408</v>
      </c>
      <c r="S105" s="146" t="str">
        <f>IFERROR(__xludf.DUMMYFUNCTION("""COMPUTED_VALUE"""),"085 229 2995")</f>
        <v>085 229 2995</v>
      </c>
      <c r="T105" s="147" t="str">
        <f>IFERROR(__xludf.DUMMYFUNCTION("""COMPUTED_VALUE"""),"3100502-18-0165")</f>
        <v>3100502-18-0165</v>
      </c>
      <c r="U105" t="str">
        <f>IFERROR(__xludf.DUMMYFUNCTION("""COMPUTED_VALUE"""),"AC4359579")</f>
        <v>AC4359579</v>
      </c>
      <c r="V105" s="148">
        <f>IFERROR(__xludf.DUMMYFUNCTION("""COMPUTED_VALUE"""),44935.0)</f>
        <v>44935</v>
      </c>
      <c r="W105" s="148">
        <f>IFERROR(__xludf.DUMMYFUNCTION("""COMPUTED_VALUE"""),48587.0)</f>
        <v>48587</v>
      </c>
      <c r="X105" s="149">
        <f>IFERROR(__xludf.DUMMYFUNCTION("""COMPUTED_VALUE"""),48403.0)</f>
        <v>48403</v>
      </c>
      <c r="Y105" t="str">
        <f>IFERROR(__xludf.DUMMYFUNCTION("""COMPUTED_VALUE"""),"ปลอดภัย")</f>
        <v>ปลอดภัย</v>
      </c>
      <c r="Z105" t="str">
        <f>IFERROR(__xludf.DUMMYFUNCTION("""COMPUTED_VALUE"""),"Bangkok")</f>
        <v>Bangkok</v>
      </c>
      <c r="AA105" t="str">
        <f>IFERROR(__xludf.DUMMYFUNCTION("""COMPUTED_VALUE"""),"จตุจักร")</f>
        <v>จตุจักร</v>
      </c>
      <c r="AB105" t="str">
        <f>IFERROR(__xludf.DUMMYFUNCTION("""COMPUTED_VALUE"""),"087 985 6835")</f>
        <v>087 985 6835</v>
      </c>
      <c r="AC105" t="str">
        <f>IFERROR(__xludf.DUMMYFUNCTION("""COMPUTED_VALUE"""),"แม่")</f>
        <v>แม่</v>
      </c>
      <c r="AD105" t="str">
        <f>IFERROR(__xludf.DUMMYFUNCTION("""COMPUTED_VALUE"""),"panodpoly@airasia.com")</f>
        <v>panodpoly@airasia.com</v>
      </c>
    </row>
    <row r="106">
      <c r="A106" s="142">
        <f>IFERROR(__xludf.DUMMYFUNCTION("""COMPUTED_VALUE"""),24.0)</f>
        <v>24</v>
      </c>
      <c r="B106" t="str">
        <f>IFERROR(__xludf.DUMMYFUNCTION("""COMPUTED_VALUE"""),"TAA2236")</f>
        <v>TAA2236</v>
      </c>
      <c r="C106">
        <f>IFERROR(__xludf.DUMMYFUNCTION("""COMPUTED_VALUE"""),1002910.0)</f>
        <v>1002910</v>
      </c>
      <c r="D106" t="str">
        <f>IFERROR(__xludf.DUMMYFUNCTION("""COMPUTED_VALUE"""),"Ms.")</f>
        <v>Ms.</v>
      </c>
      <c r="E106" t="str">
        <f>IFERROR(__xludf.DUMMYFUNCTION("""COMPUTED_VALUE"""),"Patsita")</f>
        <v>Patsita</v>
      </c>
      <c r="F106" t="str">
        <f>IFERROR(__xludf.DUMMYFUNCTION("""COMPUTED_VALUE"""),"Patchararujirathchot")</f>
        <v>Patchararujirathchot</v>
      </c>
      <c r="G106" t="str">
        <f>IFERROR(__xludf.DUMMYFUNCTION("""COMPUTED_VALUE"""),"Patsita Patchararujirathchot")</f>
        <v>Patsita Patchararujirathchot</v>
      </c>
      <c r="H106" t="str">
        <f>IFERROR(__xludf.DUMMYFUNCTION("""COMPUTED_VALUE"""),"นางสาว")</f>
        <v>นางสาว</v>
      </c>
      <c r="I106" t="str">
        <f>IFERROR(__xludf.DUMMYFUNCTION("""COMPUTED_VALUE"""),"พัชร์สิตา")</f>
        <v>พัชร์สิตา</v>
      </c>
      <c r="J106" t="str">
        <f>IFERROR(__xludf.DUMMYFUNCTION("""COMPUTED_VALUE"""),"พัชรรุจิรัฐโชติ")</f>
        <v>พัชรรุจิรัฐโชติ</v>
      </c>
      <c r="K106" t="str">
        <f>IFERROR(__xludf.DUMMYFUNCTION("""COMPUTED_VALUE"""),"พัชร์สิตา พัชรรุจิรัฐโชติ")</f>
        <v>พัชร์สิตา พัชรรุจิรัฐโชติ</v>
      </c>
      <c r="L106" t="str">
        <f>IFERROR(__xludf.DUMMYFUNCTION("""COMPUTED_VALUE"""),"Lek")</f>
        <v>Lek</v>
      </c>
      <c r="M106" t="str">
        <f>IFERROR(__xludf.DUMMYFUNCTION("""COMPUTED_VALUE"""),"Senior Cabin Crew - CNX")</f>
        <v>Senior Cabin Crew - CNX</v>
      </c>
      <c r="N106" t="str">
        <f>IFERROR(__xludf.DUMMYFUNCTION("""COMPUTED_VALUE"""),"CNX")</f>
        <v>CNX</v>
      </c>
      <c r="O106" s="145" t="str">
        <f>IFERROR(__xludf.DUMMYFUNCTION("""COMPUTED_VALUE"""),"Up Home")</f>
        <v>Up Home</v>
      </c>
      <c r="P106" t="str">
        <f>IFERROR(__xludf.DUMMYFUNCTION("""COMPUTED_VALUE"""),"Active")</f>
        <v>Active</v>
      </c>
      <c r="R106" s="143">
        <f>IFERROR(__xludf.DUMMYFUNCTION("""COMPUTED_VALUE"""),30182.0)</f>
        <v>30182</v>
      </c>
      <c r="S106" s="146" t="str">
        <f>IFERROR(__xludf.DUMMYFUNCTION("""COMPUTED_VALUE"""),"086-659-2645")</f>
        <v>086-659-2645</v>
      </c>
      <c r="T106" s="147" t="str">
        <f>IFERROR(__xludf.DUMMYFUNCTION("""COMPUTED_VALUE"""),"3110300-34-0943")</f>
        <v>3110300-34-0943</v>
      </c>
      <c r="U106" t="str">
        <f>IFERROR(__xludf.DUMMYFUNCTION("""COMPUTED_VALUE"""),"AC2694877")</f>
        <v>AC2694877</v>
      </c>
      <c r="V106" s="148">
        <f>IFERROR(__xludf.DUMMYFUNCTION("""COMPUTED_VALUE"""),44585.0)</f>
        <v>44585</v>
      </c>
      <c r="W106" s="148">
        <f>IFERROR(__xludf.DUMMYFUNCTION("""COMPUTED_VALUE"""),48236.0)</f>
        <v>48236</v>
      </c>
      <c r="X106" s="149">
        <f>IFERROR(__xludf.DUMMYFUNCTION("""COMPUTED_VALUE"""),48052.0)</f>
        <v>48052</v>
      </c>
      <c r="Y106" t="str">
        <f>IFERROR(__xludf.DUMMYFUNCTION("""COMPUTED_VALUE"""),"ปลอดภัย")</f>
        <v>ปลอดภัย</v>
      </c>
      <c r="Z106" t="str">
        <f>IFERROR(__xludf.DUMMYFUNCTION("""COMPUTED_VALUE"""),"Bangkok")</f>
        <v>Bangkok</v>
      </c>
      <c r="AA106" t="str">
        <f>IFERROR(__xludf.DUMMYFUNCTION("""COMPUTED_VALUE"""),"อ่อนนุช")</f>
        <v>อ่อนนุช</v>
      </c>
      <c r="AB106" t="str">
        <f>IFERROR(__xludf.DUMMYFUNCTION("""COMPUTED_VALUE"""),"02 174 0236")</f>
        <v>02 174 0236</v>
      </c>
      <c r="AC106" t="str">
        <f>IFERROR(__xludf.DUMMYFUNCTION("""COMPUTED_VALUE"""),"พ่อ")</f>
        <v>พ่อ</v>
      </c>
      <c r="AD106" t="str">
        <f>IFERROR(__xludf.DUMMYFUNCTION("""COMPUTED_VALUE"""),"patsitap@airasia.com")</f>
        <v>patsitap@airasia.com</v>
      </c>
    </row>
    <row r="107">
      <c r="AD107" t="str">
        <f>IFERROR(__xludf.DUMMYFUNCTION("""COMPUTED_VALUE"""),"")</f>
        <v/>
      </c>
    </row>
    <row r="108">
      <c r="A108" s="142">
        <f>IFERROR(__xludf.DUMMYFUNCTION("""COMPUTED_VALUE"""),25.0)</f>
        <v>25</v>
      </c>
      <c r="B108" t="str">
        <f>IFERROR(__xludf.DUMMYFUNCTION("""COMPUTED_VALUE"""),"TAA1567")</f>
        <v>TAA1567</v>
      </c>
      <c r="C108">
        <f>IFERROR(__xludf.DUMMYFUNCTION("""COMPUTED_VALUE"""),1001236.0)</f>
        <v>1001236</v>
      </c>
      <c r="D108" t="str">
        <f>IFERROR(__xludf.DUMMYFUNCTION("""COMPUTED_VALUE"""),"Ms.")</f>
        <v>Ms.</v>
      </c>
      <c r="E108" t="str">
        <f>IFERROR(__xludf.DUMMYFUNCTION("""COMPUTED_VALUE"""),"Tananchakorn (Wassamon)")</f>
        <v>Tananchakorn (Wassamon)</v>
      </c>
      <c r="F108" t="str">
        <f>IFERROR(__xludf.DUMMYFUNCTION("""COMPUTED_VALUE"""),"Nonthapak")</f>
        <v>Nonthapak</v>
      </c>
      <c r="G108" t="str">
        <f>IFERROR(__xludf.DUMMYFUNCTION("""COMPUTED_VALUE"""),"Tananchakorn Nonthapak")</f>
        <v>Tananchakorn Nonthapak</v>
      </c>
      <c r="H108" t="str">
        <f>IFERROR(__xludf.DUMMYFUNCTION("""COMPUTED_VALUE"""),"นางสาว")</f>
        <v>นางสาว</v>
      </c>
      <c r="I108" t="str">
        <f>IFERROR(__xludf.DUMMYFUNCTION("""COMPUTED_VALUE"""),"ธนัญชกร(วรรษมน)")</f>
        <v>ธนัญชกร(วรรษมน)</v>
      </c>
      <c r="J108" t="str">
        <f>IFERROR(__xludf.DUMMYFUNCTION("""COMPUTED_VALUE"""),"นนทภักดิ์")</f>
        <v>นนทภักดิ์</v>
      </c>
      <c r="K108" t="str">
        <f>IFERROR(__xludf.DUMMYFUNCTION("""COMPUTED_VALUE"""),"ธนัญชกร นนทภักดิ์")</f>
        <v>ธนัญชกร นนทภักดิ์</v>
      </c>
      <c r="L108" t="str">
        <f>IFERROR(__xludf.DUMMYFUNCTION("""COMPUTED_VALUE"""),"Luk jan")</f>
        <v>Luk jan</v>
      </c>
      <c r="M108" t="str">
        <f>IFERROR(__xludf.DUMMYFUNCTION("""COMPUTED_VALUE"""),"Senior Cabin Crew")</f>
        <v>Senior Cabin Crew</v>
      </c>
      <c r="N108" t="str">
        <f>IFERROR(__xludf.DUMMYFUNCTION("""COMPUTED_VALUE"""),"DMK")</f>
        <v>DMK</v>
      </c>
      <c r="O108" s="145" t="str">
        <f>IFERROR(__xludf.DUMMYFUNCTION("""COMPUTED_VALUE"""),"Um Home")</f>
        <v>Um Home</v>
      </c>
      <c r="P108" t="str">
        <f>IFERROR(__xludf.DUMMYFUNCTION("""COMPUTED_VALUE"""),"Active")</f>
        <v>Active</v>
      </c>
      <c r="R108" s="143">
        <f>IFERROR(__xludf.DUMMYFUNCTION("""COMPUTED_VALUE"""),30648.0)</f>
        <v>30648</v>
      </c>
      <c r="S108" s="146" t="str">
        <f>IFERROR(__xludf.DUMMYFUNCTION("""COMPUTED_VALUE"""),"093 549 2651")</f>
        <v>093 549 2651</v>
      </c>
      <c r="T108" s="147" t="str">
        <f>IFERROR(__xludf.DUMMYFUNCTION("""COMPUTED_VALUE"""),"3809800-02-2110")</f>
        <v>3809800-02-2110</v>
      </c>
      <c r="U108" t="str">
        <f>IFERROR(__xludf.DUMMYFUNCTION("""COMPUTED_VALUE"""),"AC4962640")</f>
        <v>AC4962640</v>
      </c>
      <c r="V108" s="148">
        <f>IFERROR(__xludf.DUMMYFUNCTION("""COMPUTED_VALUE"""),45075.0)</f>
        <v>45075</v>
      </c>
      <c r="W108" s="148">
        <f>IFERROR(__xludf.DUMMYFUNCTION("""COMPUTED_VALUE"""),48727.0)</f>
        <v>48727</v>
      </c>
      <c r="X108" s="149">
        <f>IFERROR(__xludf.DUMMYFUNCTION("""COMPUTED_VALUE"""),48546.0)</f>
        <v>48546</v>
      </c>
      <c r="Y108" t="str">
        <f>IFERROR(__xludf.DUMMYFUNCTION("""COMPUTED_VALUE"""),"ปลอดภัย")</f>
        <v>ปลอดภัย</v>
      </c>
      <c r="Z108" t="str">
        <f>IFERROR(__xludf.DUMMYFUNCTION("""COMPUTED_VALUE"""),"Nakhon Si Thammarat Province")</f>
        <v>Nakhon Si Thammarat Province</v>
      </c>
      <c r="AA108" t="str">
        <f>IFERROR(__xludf.DUMMYFUNCTION("""COMPUTED_VALUE"""),"ฉะเชิงเทรา อำเภอเมือง")</f>
        <v>ฉะเชิงเทรา อำเภอเมือง</v>
      </c>
      <c r="AB108" t="str">
        <f>IFERROR(__xludf.DUMMYFUNCTION("""COMPUTED_VALUE"""),"086 538 9203")</f>
        <v>086 538 9203</v>
      </c>
      <c r="AC108" t="str">
        <f>IFERROR(__xludf.DUMMYFUNCTION("""COMPUTED_VALUE"""),"แม่")</f>
        <v>แม่</v>
      </c>
      <c r="AD108" t="str">
        <f>IFERROR(__xludf.DUMMYFUNCTION("""COMPUTED_VALUE"""),"tananchakornn@airasia.com")</f>
        <v>tananchakornn@airasia.com</v>
      </c>
    </row>
    <row r="109">
      <c r="A109" s="142">
        <f>IFERROR(__xludf.DUMMYFUNCTION("""COMPUTED_VALUE"""),25.0)</f>
        <v>25</v>
      </c>
      <c r="B109" t="str">
        <f>IFERROR(__xludf.DUMMYFUNCTION("""COMPUTED_VALUE"""),"TAA1564")</f>
        <v>TAA1564</v>
      </c>
      <c r="C109">
        <f>IFERROR(__xludf.DUMMYFUNCTION("""COMPUTED_VALUE"""),1001237.0)</f>
        <v>1001237</v>
      </c>
      <c r="D109" t="str">
        <f>IFERROR(__xludf.DUMMYFUNCTION("""COMPUTED_VALUE"""),"Mr.")</f>
        <v>Mr.</v>
      </c>
      <c r="E109" t="str">
        <f>IFERROR(__xludf.DUMMYFUNCTION("""COMPUTED_VALUE"""),"Thanawat")</f>
        <v>Thanawat</v>
      </c>
      <c r="F109" t="str">
        <f>IFERROR(__xludf.DUMMYFUNCTION("""COMPUTED_VALUE"""),"Srisurasub")</f>
        <v>Srisurasub</v>
      </c>
      <c r="G109" t="str">
        <f>IFERROR(__xludf.DUMMYFUNCTION("""COMPUTED_VALUE"""),"Thanawat Srisurasub")</f>
        <v>Thanawat Srisurasub</v>
      </c>
      <c r="H109" t="str">
        <f>IFERROR(__xludf.DUMMYFUNCTION("""COMPUTED_VALUE"""),"นาย")</f>
        <v>นาย</v>
      </c>
      <c r="I109" t="str">
        <f>IFERROR(__xludf.DUMMYFUNCTION("""COMPUTED_VALUE"""),"ธนวัฒน์")</f>
        <v>ธนวัฒน์</v>
      </c>
      <c r="J109" t="str">
        <f>IFERROR(__xludf.DUMMYFUNCTION("""COMPUTED_VALUE"""),"ศรีสุราทรัพย์")</f>
        <v>ศรีสุราทรัพย์</v>
      </c>
      <c r="K109" t="str">
        <f>IFERROR(__xludf.DUMMYFUNCTION("""COMPUTED_VALUE"""),"ธนวัฒน์ ศรีสุราทรัพย์")</f>
        <v>ธนวัฒน์ ศรีสุราทรัพย์</v>
      </c>
      <c r="L109" t="str">
        <f>IFERROR(__xludf.DUMMYFUNCTION("""COMPUTED_VALUE"""),"Top")</f>
        <v>Top</v>
      </c>
      <c r="M109" t="str">
        <f>IFERROR(__xludf.DUMMYFUNCTION("""COMPUTED_VALUE"""),"Cabin Crew Engagement Lead")</f>
        <v>Cabin Crew Engagement Lead</v>
      </c>
      <c r="N109" t="str">
        <f>IFERROR(__xludf.DUMMYFUNCTION("""COMPUTED_VALUE"""),"DMK")</f>
        <v>DMK</v>
      </c>
      <c r="O109" s="145" t="str">
        <f>IFERROR(__xludf.DUMMYFUNCTION("""COMPUTED_VALUE"""),"Ward Monitor")</f>
        <v>Ward Monitor</v>
      </c>
      <c r="P109" t="str">
        <f>IFERROR(__xludf.DUMMYFUNCTION("""COMPUTED_VALUE"""),"CCEL")</f>
        <v>CCEL</v>
      </c>
      <c r="R109" s="143">
        <f>IFERROR(__xludf.DUMMYFUNCTION("""COMPUTED_VALUE"""),30348.0)</f>
        <v>30348</v>
      </c>
      <c r="S109" s="146" t="str">
        <f>IFERROR(__xludf.DUMMYFUNCTION("""COMPUTED_VALUE"""),"086 901 9919")</f>
        <v>086 901 9919</v>
      </c>
      <c r="T109" s="147" t="str">
        <f>IFERROR(__xludf.DUMMYFUNCTION("""COMPUTED_VALUE"""),"3120100-63-8744")</f>
        <v>3120100-63-8744</v>
      </c>
      <c r="U109" t="str">
        <f>IFERROR(__xludf.DUMMYFUNCTION("""COMPUTED_VALUE"""),"C5618312")</f>
        <v>C5618312</v>
      </c>
      <c r="V109" s="148">
        <f>IFERROR(__xludf.DUMMYFUNCTION("""COMPUTED_VALUE"""),45168.0)</f>
        <v>45168</v>
      </c>
      <c r="W109" s="148">
        <f>IFERROR(__xludf.DUMMYFUNCTION("""COMPUTED_VALUE"""),48820.0)</f>
        <v>48820</v>
      </c>
      <c r="X109" s="149">
        <f>IFERROR(__xludf.DUMMYFUNCTION("""COMPUTED_VALUE"""),48638.0)</f>
        <v>48638</v>
      </c>
      <c r="Y109" t="str">
        <f>IFERROR(__xludf.DUMMYFUNCTION("""COMPUTED_VALUE"""),"ปลอดภัย")</f>
        <v>ปลอดภัย</v>
      </c>
      <c r="Z109" t="str">
        <f>IFERROR(__xludf.DUMMYFUNCTION("""COMPUTED_VALUE"""),"Bangkok")</f>
        <v>Bangkok</v>
      </c>
      <c r="AA109" t="str">
        <f>IFERROR(__xludf.DUMMYFUNCTION("""COMPUTED_VALUE"""),"นนทบุรี อำเภอเมือง")</f>
        <v>นนทบุรี อำเภอเมือง</v>
      </c>
      <c r="AB109" t="str">
        <f>IFERROR(__xludf.DUMMYFUNCTION("""COMPUTED_VALUE"""),"02 580 5027")</f>
        <v>02 580 5027</v>
      </c>
      <c r="AC109" t="str">
        <f>IFERROR(__xludf.DUMMYFUNCTION("""COMPUTED_VALUE"""),"ที่บ้าน")</f>
        <v>ที่บ้าน</v>
      </c>
      <c r="AD109" t="str">
        <f>IFERROR(__xludf.DUMMYFUNCTION("""COMPUTED_VALUE"""),"thanawats@airasia.com")</f>
        <v>thanawats@airasia.com</v>
      </c>
    </row>
    <row r="110">
      <c r="A110" s="142">
        <f>IFERROR(__xludf.DUMMYFUNCTION("""COMPUTED_VALUE"""),25.0)</f>
        <v>25</v>
      </c>
      <c r="B110" t="str">
        <f>IFERROR(__xludf.DUMMYFUNCTION("""COMPUTED_VALUE"""),"TAA2258")</f>
        <v>TAA2258</v>
      </c>
      <c r="C110">
        <f>IFERROR(__xludf.DUMMYFUNCTION("""COMPUTED_VALUE"""),1002980.0)</f>
        <v>1002980</v>
      </c>
      <c r="D110" t="str">
        <f>IFERROR(__xludf.DUMMYFUNCTION("""COMPUTED_VALUE"""),"Ms.")</f>
        <v>Ms.</v>
      </c>
      <c r="E110" t="str">
        <f>IFERROR(__xludf.DUMMYFUNCTION("""COMPUTED_VALUE"""),"Boontharig")</f>
        <v>Boontharig</v>
      </c>
      <c r="F110" t="str">
        <f>IFERROR(__xludf.DUMMYFUNCTION("""COMPUTED_VALUE"""),"Krairiksh")</f>
        <v>Krairiksh</v>
      </c>
      <c r="G110" t="str">
        <f>IFERROR(__xludf.DUMMYFUNCTION("""COMPUTED_VALUE"""),"Boontharig Krairiksh")</f>
        <v>Boontharig Krairiksh</v>
      </c>
      <c r="H110" t="str">
        <f>IFERROR(__xludf.DUMMYFUNCTION("""COMPUTED_VALUE"""),"นางสาว")</f>
        <v>นางสาว</v>
      </c>
      <c r="I110" t="str">
        <f>IFERROR(__xludf.DUMMYFUNCTION("""COMPUTED_VALUE"""),"บุณฑริก")</f>
        <v>บุณฑริก</v>
      </c>
      <c r="J110" t="str">
        <f>IFERROR(__xludf.DUMMYFUNCTION("""COMPUTED_VALUE"""),"ไกรฤกษ์")</f>
        <v>ไกรฤกษ์</v>
      </c>
      <c r="K110" t="str">
        <f>IFERROR(__xludf.DUMMYFUNCTION("""COMPUTED_VALUE"""),"บุณฑริก ไกรฤกษ์")</f>
        <v>บุณฑริก ไกรฤกษ์</v>
      </c>
      <c r="L110" t="str">
        <f>IFERROR(__xludf.DUMMYFUNCTION("""COMPUTED_VALUE"""),"Bua")</f>
        <v>Bua</v>
      </c>
      <c r="M110" t="str">
        <f>IFERROR(__xludf.DUMMYFUNCTION("""COMPUTED_VALUE"""),"Senior Cabin Crew")</f>
        <v>Senior Cabin Crew</v>
      </c>
      <c r="N110" t="str">
        <f>IFERROR(__xludf.DUMMYFUNCTION("""COMPUTED_VALUE"""),"DMK")</f>
        <v>DMK</v>
      </c>
      <c r="O110" s="145" t="str">
        <f>IFERROR(__xludf.DUMMYFUNCTION("""COMPUTED_VALUE"""),"Namfon Home")</f>
        <v>Namfon Home</v>
      </c>
      <c r="P110" t="str">
        <f>IFERROR(__xludf.DUMMYFUNCTION("""COMPUTED_VALUE"""),"Active")</f>
        <v>Active</v>
      </c>
      <c r="R110" s="143">
        <f>IFERROR(__xludf.DUMMYFUNCTION("""COMPUTED_VALUE"""),31553.0)</f>
        <v>31553</v>
      </c>
      <c r="S110" s="146" t="str">
        <f>IFERROR(__xludf.DUMMYFUNCTION("""COMPUTED_VALUE"""),"087 565 9542")</f>
        <v>087 565 9542</v>
      </c>
      <c r="T110" s="147" t="str">
        <f>IFERROR(__xludf.DUMMYFUNCTION("""COMPUTED_VALUE"""),"1101500-15-8973")</f>
        <v>1101500-15-8973</v>
      </c>
      <c r="U110" t="str">
        <f>IFERROR(__xludf.DUMMYFUNCTION("""COMPUTED_VALUE"""),"AC2785189")</f>
        <v>AC2785189</v>
      </c>
      <c r="V110" s="148">
        <f>IFERROR(__xludf.DUMMYFUNCTION("""COMPUTED_VALUE"""),44502.0)</f>
        <v>44502</v>
      </c>
      <c r="W110" s="148">
        <f>IFERROR(__xludf.DUMMYFUNCTION("""COMPUTED_VALUE"""),48153.0)</f>
        <v>48153</v>
      </c>
      <c r="X110" s="149">
        <f>IFERROR(__xludf.DUMMYFUNCTION("""COMPUTED_VALUE"""),47969.0)</f>
        <v>47969</v>
      </c>
      <c r="Y110" t="str">
        <f>IFERROR(__xludf.DUMMYFUNCTION("""COMPUTED_VALUE"""),"ปลอดภัย")</f>
        <v>ปลอดภัย</v>
      </c>
      <c r="Z110" t="str">
        <f>IFERROR(__xludf.DUMMYFUNCTION("""COMPUTED_VALUE"""),"Bangkok")</f>
        <v>Bangkok</v>
      </c>
      <c r="AA110" t="str">
        <f>IFERROR(__xludf.DUMMYFUNCTION("""COMPUTED_VALUE"""),"นนทบุรี")</f>
        <v>นนทบุรี</v>
      </c>
      <c r="AB110" t="str">
        <f>IFERROR(__xludf.DUMMYFUNCTION("""COMPUTED_VALUE"""),"02 961 6973")</f>
        <v>02 961 6973</v>
      </c>
      <c r="AC110" t="str">
        <f>IFERROR(__xludf.DUMMYFUNCTION("""COMPUTED_VALUE"""),"บ้าน")</f>
        <v>บ้าน</v>
      </c>
      <c r="AD110" t="str">
        <f>IFERROR(__xludf.DUMMYFUNCTION("""COMPUTED_VALUE"""),"boontharigk@airasia.com")</f>
        <v>boontharigk@airasia.com</v>
      </c>
    </row>
    <row r="111">
      <c r="A111" s="142">
        <f>IFERROR(__xludf.DUMMYFUNCTION("""COMPUTED_VALUE"""),25.0)</f>
        <v>25</v>
      </c>
      <c r="B111" t="str">
        <f>IFERROR(__xludf.DUMMYFUNCTION("""COMPUTED_VALUE"""),"TAA2256")</f>
        <v>TAA2256</v>
      </c>
      <c r="C111">
        <f>IFERROR(__xludf.DUMMYFUNCTION("""COMPUTED_VALUE"""),1002984.0)</f>
        <v>1002984</v>
      </c>
      <c r="D111" t="str">
        <f>IFERROR(__xludf.DUMMYFUNCTION("""COMPUTED_VALUE"""),"Ms.")</f>
        <v>Ms.</v>
      </c>
      <c r="E111" t="str">
        <f>IFERROR(__xludf.DUMMYFUNCTION("""COMPUTED_VALUE"""),"Praepailin")</f>
        <v>Praepailin</v>
      </c>
      <c r="F111" t="str">
        <f>IFERROR(__xludf.DUMMYFUNCTION("""COMPUTED_VALUE"""),"Luckanatin")</f>
        <v>Luckanatin</v>
      </c>
      <c r="G111" t="str">
        <f>IFERROR(__xludf.DUMMYFUNCTION("""COMPUTED_VALUE"""),"Praepailin Luckanatin")</f>
        <v>Praepailin Luckanatin</v>
      </c>
      <c r="H111" t="str">
        <f>IFERROR(__xludf.DUMMYFUNCTION("""COMPUTED_VALUE"""),"นางสาว")</f>
        <v>นางสาว</v>
      </c>
      <c r="I111" t="str">
        <f>IFERROR(__xludf.DUMMYFUNCTION("""COMPUTED_VALUE"""),"แพรไพลิน")</f>
        <v>แพรไพลิน</v>
      </c>
      <c r="J111" t="str">
        <f>IFERROR(__xludf.DUMMYFUNCTION("""COMPUTED_VALUE"""),"ลัคนทิน")</f>
        <v>ลัคนทิน</v>
      </c>
      <c r="K111" t="str">
        <f>IFERROR(__xludf.DUMMYFUNCTION("""COMPUTED_VALUE"""),"แพรไพลิน ลัคนทิน")</f>
        <v>แพรไพลิน ลัคนทิน</v>
      </c>
      <c r="L111" t="str">
        <f>IFERROR(__xludf.DUMMYFUNCTION("""COMPUTED_VALUE"""),"Yim")</f>
        <v>Yim</v>
      </c>
      <c r="M111" t="str">
        <f>IFERROR(__xludf.DUMMYFUNCTION("""COMPUTED_VALUE"""),"Senior Cabin Crew")</f>
        <v>Senior Cabin Crew</v>
      </c>
      <c r="N111" t="str">
        <f>IFERROR(__xludf.DUMMYFUNCTION("""COMPUTED_VALUE"""),"DMK")</f>
        <v>DMK</v>
      </c>
      <c r="O111" s="145" t="str">
        <f>IFERROR(__xludf.DUMMYFUNCTION("""COMPUTED_VALUE"""),"Toffy Home")</f>
        <v>Toffy Home</v>
      </c>
      <c r="P111" t="str">
        <f>IFERROR(__xludf.DUMMYFUNCTION("""COMPUTED_VALUE"""),"Active")</f>
        <v>Active</v>
      </c>
      <c r="R111" s="143">
        <f>IFERROR(__xludf.DUMMYFUNCTION("""COMPUTED_VALUE"""),30725.0)</f>
        <v>30725</v>
      </c>
      <c r="S111" s="146" t="str">
        <f>IFERROR(__xludf.DUMMYFUNCTION("""COMPUTED_VALUE"""),"089 183 9963")</f>
        <v>089 183 9963</v>
      </c>
      <c r="T111" s="147" t="str">
        <f>IFERROR(__xludf.DUMMYFUNCTION("""COMPUTED_VALUE"""),"1229900-01-0287")</f>
        <v>1229900-01-0287</v>
      </c>
      <c r="U111" t="str">
        <f>IFERROR(__xludf.DUMMYFUNCTION("""COMPUTED_VALUE"""),"AC7111385")</f>
        <v>AC7111385</v>
      </c>
      <c r="V111" s="148">
        <f>IFERROR(__xludf.DUMMYFUNCTION("""COMPUTED_VALUE"""),45608.0)</f>
        <v>45608</v>
      </c>
      <c r="W111" s="148">
        <f>IFERROR(__xludf.DUMMYFUNCTION("""COMPUTED_VALUE"""),49259.0)</f>
        <v>49259</v>
      </c>
      <c r="X111" s="149">
        <f>IFERROR(__xludf.DUMMYFUNCTION("""COMPUTED_VALUE"""),49075.0)</f>
        <v>49075</v>
      </c>
      <c r="Y111" t="str">
        <f>IFERROR(__xludf.DUMMYFUNCTION("""COMPUTED_VALUE"""),"ปลอดภัย")</f>
        <v>ปลอดภัย</v>
      </c>
      <c r="Z111" t="str">
        <f>IFERROR(__xludf.DUMMYFUNCTION("""COMPUTED_VALUE"""),"Chanthaburi Province")</f>
        <v>Chanthaburi Province</v>
      </c>
      <c r="AA111" t="str">
        <f>IFERROR(__xludf.DUMMYFUNCTION("""COMPUTED_VALUE"""),"ลาดกระบัง")</f>
        <v>ลาดกระบัง</v>
      </c>
      <c r="AB111" t="str">
        <f>IFERROR(__xludf.DUMMYFUNCTION("""COMPUTED_VALUE"""),"086 139 7813")</f>
        <v>086 139 7813</v>
      </c>
      <c r="AC111" t="str">
        <f>IFERROR(__xludf.DUMMYFUNCTION("""COMPUTED_VALUE"""),"แม่")</f>
        <v>แม่</v>
      </c>
      <c r="AD111" t="str">
        <f>IFERROR(__xludf.DUMMYFUNCTION("""COMPUTED_VALUE"""),"praepailinl@airasia.com")</f>
        <v>praepailinl@airasia.com</v>
      </c>
    </row>
    <row r="112">
      <c r="A112" s="142">
        <f>IFERROR(__xludf.DUMMYFUNCTION("""COMPUTED_VALUE"""),25.0)</f>
        <v>25</v>
      </c>
      <c r="B112" t="str">
        <f>IFERROR(__xludf.DUMMYFUNCTION("""COMPUTED_VALUE"""),"TAA2262")</f>
        <v>TAA2262</v>
      </c>
      <c r="C112">
        <f>IFERROR(__xludf.DUMMYFUNCTION("""COMPUTED_VALUE"""),1002986.0)</f>
        <v>1002986</v>
      </c>
      <c r="D112" t="str">
        <f>IFERROR(__xludf.DUMMYFUNCTION("""COMPUTED_VALUE"""),"Ms.")</f>
        <v>Ms.</v>
      </c>
      <c r="E112" t="str">
        <f>IFERROR(__xludf.DUMMYFUNCTION("""COMPUTED_VALUE"""),"Sirikhwan")</f>
        <v>Sirikhwan</v>
      </c>
      <c r="F112" t="str">
        <f>IFERROR(__xludf.DUMMYFUNCTION("""COMPUTED_VALUE"""),"Siringoen")</f>
        <v>Siringoen</v>
      </c>
      <c r="G112" t="str">
        <f>IFERROR(__xludf.DUMMYFUNCTION("""COMPUTED_VALUE"""),"Sirikhwan Siringoen")</f>
        <v>Sirikhwan Siringoen</v>
      </c>
      <c r="H112" t="str">
        <f>IFERROR(__xludf.DUMMYFUNCTION("""COMPUTED_VALUE"""),"นางสาว")</f>
        <v>นางสาว</v>
      </c>
      <c r="I112" t="str">
        <f>IFERROR(__xludf.DUMMYFUNCTION("""COMPUTED_VALUE"""),"ศิริขวัญ")</f>
        <v>ศิริขวัญ</v>
      </c>
      <c r="J112" t="str">
        <f>IFERROR(__xludf.DUMMYFUNCTION("""COMPUTED_VALUE"""),"ศิริเงิน")</f>
        <v>ศิริเงิน</v>
      </c>
      <c r="K112" t="str">
        <f>IFERROR(__xludf.DUMMYFUNCTION("""COMPUTED_VALUE"""),"ศิริขวัญ ศิริเงิน")</f>
        <v>ศิริขวัญ ศิริเงิน</v>
      </c>
      <c r="L112" t="str">
        <f>IFERROR(__xludf.DUMMYFUNCTION("""COMPUTED_VALUE"""),"Fon")</f>
        <v>Fon</v>
      </c>
      <c r="M112" t="str">
        <f>IFERROR(__xludf.DUMMYFUNCTION("""COMPUTED_VALUE"""),"Senior Cabin Crew")</f>
        <v>Senior Cabin Crew</v>
      </c>
      <c r="N112" t="str">
        <f>IFERROR(__xludf.DUMMYFUNCTION("""COMPUTED_VALUE"""),"DMK")</f>
        <v>DMK</v>
      </c>
      <c r="O112" s="145" t="str">
        <f>IFERROR(__xludf.DUMMYFUNCTION("""COMPUTED_VALUE"""),"Toffy Home")</f>
        <v>Toffy Home</v>
      </c>
      <c r="P112" t="str">
        <f>IFERROR(__xludf.DUMMYFUNCTION("""COMPUTED_VALUE"""),"Active")</f>
        <v>Active</v>
      </c>
      <c r="R112" s="143">
        <f>IFERROR(__xludf.DUMMYFUNCTION("""COMPUTED_VALUE"""),31260.0)</f>
        <v>31260</v>
      </c>
      <c r="S112" s="146" t="str">
        <f>IFERROR(__xludf.DUMMYFUNCTION("""COMPUTED_VALUE"""),"092 464 4553")</f>
        <v>092 464 4553</v>
      </c>
      <c r="T112" s="147" t="str">
        <f>IFERROR(__xludf.DUMMYFUNCTION("""COMPUTED_VALUE"""),"1100600-03-0978")</f>
        <v>1100600-03-0978</v>
      </c>
      <c r="U112" t="str">
        <f>IFERROR(__xludf.DUMMYFUNCTION("""COMPUTED_VALUE"""),"AC2322857")</f>
        <v>AC2322857</v>
      </c>
      <c r="V112" s="148">
        <f>IFERROR(__xludf.DUMMYFUNCTION("""COMPUTED_VALUE"""),44365.0)</f>
        <v>44365</v>
      </c>
      <c r="W112" s="148">
        <f>IFERROR(__xludf.DUMMYFUNCTION("""COMPUTED_VALUE"""),48016.0)</f>
        <v>48016</v>
      </c>
      <c r="X112" s="149">
        <f>IFERROR(__xludf.DUMMYFUNCTION("""COMPUTED_VALUE"""),47834.0)</f>
        <v>47834</v>
      </c>
      <c r="Y112" t="str">
        <f>IFERROR(__xludf.DUMMYFUNCTION("""COMPUTED_VALUE"""),"ปลอดภัย")</f>
        <v>ปลอดภัย</v>
      </c>
      <c r="Z112" t="str">
        <f>IFERROR(__xludf.DUMMYFUNCTION("""COMPUTED_VALUE"""),"Bangkok")</f>
        <v>Bangkok</v>
      </c>
      <c r="AA112" t="str">
        <f>IFERROR(__xludf.DUMMYFUNCTION("""COMPUTED_VALUE"""),"หนองจอก")</f>
        <v>หนองจอก</v>
      </c>
      <c r="AB112" t="str">
        <f>IFERROR(__xludf.DUMMYFUNCTION("""COMPUTED_VALUE"""),"! Update !")</f>
        <v>! Update !</v>
      </c>
      <c r="AC112" t="str">
        <f>IFERROR(__xludf.DUMMYFUNCTION("""COMPUTED_VALUE"""),"! Update !")</f>
        <v>! Update !</v>
      </c>
      <c r="AD112" t="str">
        <f>IFERROR(__xludf.DUMMYFUNCTION("""COMPUTED_VALUE"""),"sirikhwans@airasia.com")</f>
        <v>sirikhwans@airasia.com</v>
      </c>
    </row>
    <row r="113">
      <c r="A113" s="142">
        <f>IFERROR(__xludf.DUMMYFUNCTION("""COMPUTED_VALUE"""),25.0)</f>
        <v>25</v>
      </c>
      <c r="B113" t="str">
        <f>IFERROR(__xludf.DUMMYFUNCTION("""COMPUTED_VALUE"""),"TAA2263")</f>
        <v>TAA2263</v>
      </c>
      <c r="C113">
        <f>IFERROR(__xludf.DUMMYFUNCTION("""COMPUTED_VALUE"""),1002987.0)</f>
        <v>1002987</v>
      </c>
      <c r="D113" t="str">
        <f>IFERROR(__xludf.DUMMYFUNCTION("""COMPUTED_VALUE"""),"Mr.")</f>
        <v>Mr.</v>
      </c>
      <c r="E113" t="str">
        <f>IFERROR(__xludf.DUMMYFUNCTION("""COMPUTED_VALUE"""),"Thanet")</f>
        <v>Thanet</v>
      </c>
      <c r="F113" t="str">
        <f>IFERROR(__xludf.DUMMYFUNCTION("""COMPUTED_VALUE"""),"Ardhan")</f>
        <v>Ardhan</v>
      </c>
      <c r="G113" t="str">
        <f>IFERROR(__xludf.DUMMYFUNCTION("""COMPUTED_VALUE"""),"Thanet Ardhan")</f>
        <v>Thanet Ardhan</v>
      </c>
      <c r="H113" t="str">
        <f>IFERROR(__xludf.DUMMYFUNCTION("""COMPUTED_VALUE"""),"นาย")</f>
        <v>นาย</v>
      </c>
      <c r="I113" t="str">
        <f>IFERROR(__xludf.DUMMYFUNCTION("""COMPUTED_VALUE"""),"ธเนศ")</f>
        <v>ธเนศ</v>
      </c>
      <c r="J113" t="str">
        <f>IFERROR(__xludf.DUMMYFUNCTION("""COMPUTED_VALUE"""),"อาจหาญ")</f>
        <v>อาจหาญ</v>
      </c>
      <c r="K113" t="str">
        <f>IFERROR(__xludf.DUMMYFUNCTION("""COMPUTED_VALUE"""),"ธเนศ อาจหาญ")</f>
        <v>ธเนศ อาจหาญ</v>
      </c>
      <c r="L113" t="str">
        <f>IFERROR(__xludf.DUMMYFUNCTION("""COMPUTED_VALUE"""),"Boh")</f>
        <v>Boh</v>
      </c>
      <c r="M113" t="str">
        <f>IFERROR(__xludf.DUMMYFUNCTION("""COMPUTED_VALUE"""),"Senior Cabin Crew")</f>
        <v>Senior Cabin Crew</v>
      </c>
      <c r="N113" t="str">
        <f>IFERROR(__xludf.DUMMYFUNCTION("""COMPUTED_VALUE"""),"DMK")</f>
        <v>DMK</v>
      </c>
      <c r="O113" s="145" t="str">
        <f>IFERROR(__xludf.DUMMYFUNCTION("""COMPUTED_VALUE"""),"Kor Home")</f>
        <v>Kor Home</v>
      </c>
      <c r="P113" t="str">
        <f>IFERROR(__xludf.DUMMYFUNCTION("""COMPUTED_VALUE"""),"Active")</f>
        <v>Active</v>
      </c>
      <c r="Q113" t="str">
        <f>IFERROR(__xludf.DUMMYFUNCTION("""COMPUTED_VALUE"""),"Chinese Speaking")</f>
        <v>Chinese Speaking</v>
      </c>
      <c r="R113" s="143">
        <f>IFERROR(__xludf.DUMMYFUNCTION("""COMPUTED_VALUE"""),30716.0)</f>
        <v>30716</v>
      </c>
      <c r="S113" s="146" t="str">
        <f>IFERROR(__xludf.DUMMYFUNCTION("""COMPUTED_VALUE"""),"061 821 8176")</f>
        <v>061 821 8176</v>
      </c>
      <c r="T113" s="147" t="str">
        <f>IFERROR(__xludf.DUMMYFUNCTION("""COMPUTED_VALUE"""),"1490500-00-8102")</f>
        <v>1490500-00-8102</v>
      </c>
      <c r="U113" t="str">
        <f>IFERROR(__xludf.DUMMYFUNCTION("""COMPUTED_VALUE"""),"AC4274378")</f>
        <v>AC4274378</v>
      </c>
      <c r="V113" s="148">
        <f>IFERROR(__xludf.DUMMYFUNCTION("""COMPUTED_VALUE"""),44908.0)</f>
        <v>44908</v>
      </c>
      <c r="W113" s="148">
        <f>IFERROR(__xludf.DUMMYFUNCTION("""COMPUTED_VALUE"""),48560.0)</f>
        <v>48560</v>
      </c>
      <c r="X113" s="149">
        <f>IFERROR(__xludf.DUMMYFUNCTION("""COMPUTED_VALUE"""),48377.0)</f>
        <v>48377</v>
      </c>
      <c r="Y113" t="str">
        <f>IFERROR(__xludf.DUMMYFUNCTION("""COMPUTED_VALUE"""),"ปลอดภัย")</f>
        <v>ปลอดภัย</v>
      </c>
      <c r="Z113" t="str">
        <f>IFERROR(__xludf.DUMMYFUNCTION("""COMPUTED_VALUE"""),"Mukdahan Province")</f>
        <v>Mukdahan Province</v>
      </c>
      <c r="AA113" t="str">
        <f>IFERROR(__xludf.DUMMYFUNCTION("""COMPUTED_VALUE"""),"ห้วยขวาง")</f>
        <v>ห้วยขวาง</v>
      </c>
      <c r="AB113" t="str">
        <f>IFERROR(__xludf.DUMMYFUNCTION("""COMPUTED_VALUE"""),"082 118 8039")</f>
        <v>082 118 8039</v>
      </c>
      <c r="AC113" t="str">
        <f>IFERROR(__xludf.DUMMYFUNCTION("""COMPUTED_VALUE"""),"พ่อ")</f>
        <v>พ่อ</v>
      </c>
      <c r="AD113" t="str">
        <f>IFERROR(__xludf.DUMMYFUNCTION("""COMPUTED_VALUE"""),"thaneta@airasia.com")</f>
        <v>thaneta@airasia.com</v>
      </c>
    </row>
    <row r="114">
      <c r="AD114" t="str">
        <f>IFERROR(__xludf.DUMMYFUNCTION("""COMPUTED_VALUE"""),"")</f>
        <v/>
      </c>
    </row>
    <row r="115">
      <c r="A115" s="142">
        <f>IFERROR(__xludf.DUMMYFUNCTION("""COMPUTED_VALUE"""),26.0)</f>
        <v>26</v>
      </c>
      <c r="B115" t="str">
        <f>IFERROR(__xludf.DUMMYFUNCTION("""COMPUTED_VALUE"""),"TAA2289")</f>
        <v>TAA2289</v>
      </c>
      <c r="C115">
        <f>IFERROR(__xludf.DUMMYFUNCTION("""COMPUTED_VALUE"""),1003047.0)</f>
        <v>1003047</v>
      </c>
      <c r="D115" t="str">
        <f>IFERROR(__xludf.DUMMYFUNCTION("""COMPUTED_VALUE"""),"Ms.")</f>
        <v>Ms.</v>
      </c>
      <c r="E115" t="str">
        <f>IFERROR(__xludf.DUMMYFUNCTION("""COMPUTED_VALUE"""),"Mananpat (Alisa)")</f>
        <v>Mananpat (Alisa)</v>
      </c>
      <c r="F115" t="str">
        <f>IFERROR(__xludf.DUMMYFUNCTION("""COMPUTED_VALUE"""),"Dechanoppawit (Phiewkhao)")</f>
        <v>Dechanoppawit (Phiewkhao)</v>
      </c>
      <c r="G115" t="str">
        <f>IFERROR(__xludf.DUMMYFUNCTION("""COMPUTED_VALUE"""),"Mananpat Dechanoppawit")</f>
        <v>Mananpat Dechanoppawit</v>
      </c>
      <c r="H115" t="str">
        <f>IFERROR(__xludf.DUMMYFUNCTION("""COMPUTED_VALUE"""),"นางสาว")</f>
        <v>นางสาว</v>
      </c>
      <c r="I115" t="str">
        <f>IFERROR(__xludf.DUMMYFUNCTION("""COMPUTED_VALUE"""),"มนันพัทธ์ (อลิสา)")</f>
        <v>มนันพัทธ์ (อลิสา)</v>
      </c>
      <c r="J115" t="str">
        <f>IFERROR(__xludf.DUMMYFUNCTION("""COMPUTED_VALUE"""),"เดชะนพวิทย์ (ผิวขาว)")</f>
        <v>เดชะนพวิทย์ (ผิวขาว)</v>
      </c>
      <c r="K115" t="str">
        <f>IFERROR(__xludf.DUMMYFUNCTION("""COMPUTED_VALUE"""),"มนันพัทธ์ เดชะนพวิทย์")</f>
        <v>มนันพัทธ์ เดชะนพวิทย์</v>
      </c>
      <c r="L115" t="str">
        <f>IFERROR(__xludf.DUMMYFUNCTION("""COMPUTED_VALUE"""),"Sa")</f>
        <v>Sa</v>
      </c>
      <c r="M115" t="str">
        <f>IFERROR(__xludf.DUMMYFUNCTION("""COMPUTED_VALUE"""),"Senior Cabin Crew")</f>
        <v>Senior Cabin Crew</v>
      </c>
      <c r="N115" t="str">
        <f>IFERROR(__xludf.DUMMYFUNCTION("""COMPUTED_VALUE"""),"DMK")</f>
        <v>DMK</v>
      </c>
      <c r="O115" s="145" t="str">
        <f>IFERROR(__xludf.DUMMYFUNCTION("""COMPUTED_VALUE"""),"Por+ Home")</f>
        <v>Por+ Home</v>
      </c>
      <c r="P115" t="str">
        <f>IFERROR(__xludf.DUMMYFUNCTION("""COMPUTED_VALUE"""),"Active")</f>
        <v>Active</v>
      </c>
      <c r="R115" s="143">
        <f>IFERROR(__xludf.DUMMYFUNCTION("""COMPUTED_VALUE"""),30214.0)</f>
        <v>30214</v>
      </c>
      <c r="S115" s="146" t="str">
        <f>IFERROR(__xludf.DUMMYFUNCTION("""COMPUTED_VALUE"""),"091 5393626")</f>
        <v>091 5393626</v>
      </c>
      <c r="T115" s="147" t="str">
        <f>IFERROR(__xludf.DUMMYFUNCTION("""COMPUTED_VALUE"""),"3100502-56-1118")</f>
        <v>3100502-56-1118</v>
      </c>
      <c r="U115" t="str">
        <f>IFERROR(__xludf.DUMMYFUNCTION("""COMPUTED_VALUE"""),"AD0978978")</f>
        <v>AD0978978</v>
      </c>
      <c r="V115" s="148">
        <f>IFERROR(__xludf.DUMMYFUNCTION("""COMPUTED_VALUE"""),45041.0)</f>
        <v>45041</v>
      </c>
      <c r="W115" s="148">
        <f>IFERROR(__xludf.DUMMYFUNCTION("""COMPUTED_VALUE"""),48693.0)</f>
        <v>48693</v>
      </c>
      <c r="X115" s="149">
        <f>IFERROR(__xludf.DUMMYFUNCTION("""COMPUTED_VALUE"""),48511.0)</f>
        <v>48511</v>
      </c>
      <c r="Y115" t="str">
        <f>IFERROR(__xludf.DUMMYFUNCTION("""COMPUTED_VALUE"""),"ปลอดภัย")</f>
        <v>ปลอดภัย</v>
      </c>
      <c r="Z115" t="str">
        <f>IFERROR(__xludf.DUMMYFUNCTION("""COMPUTED_VALUE"""),"Bangkok")</f>
        <v>Bangkok</v>
      </c>
      <c r="AA115" t="str">
        <f>IFERROR(__xludf.DUMMYFUNCTION("""COMPUTED_VALUE"""),"บึงกุ่ม")</f>
        <v>บึงกุ่ม</v>
      </c>
      <c r="AB115" t="str">
        <f>IFERROR(__xludf.DUMMYFUNCTION("""COMPUTED_VALUE"""),"! Update !")</f>
        <v>! Update !</v>
      </c>
      <c r="AC115" t="str">
        <f>IFERROR(__xludf.DUMMYFUNCTION("""COMPUTED_VALUE"""),"! Update !")</f>
        <v>! Update !</v>
      </c>
      <c r="AD115" t="str">
        <f>IFERROR(__xludf.DUMMYFUNCTION("""COMPUTED_VALUE"""),"mananpatd@airasia.com")</f>
        <v>mananpatd@airasia.com</v>
      </c>
    </row>
    <row r="116">
      <c r="A116" s="142">
        <f>IFERROR(__xludf.DUMMYFUNCTION("""COMPUTED_VALUE"""),26.0)</f>
        <v>26</v>
      </c>
      <c r="B116" t="str">
        <f>IFERROR(__xludf.DUMMYFUNCTION("""COMPUTED_VALUE"""),"TAA2288")</f>
        <v>TAA2288</v>
      </c>
      <c r="C116">
        <f>IFERROR(__xludf.DUMMYFUNCTION("""COMPUTED_VALUE"""),1003054.0)</f>
        <v>1003054</v>
      </c>
      <c r="D116" t="str">
        <f>IFERROR(__xludf.DUMMYFUNCTION("""COMPUTED_VALUE"""),"Ms.")</f>
        <v>Ms.</v>
      </c>
      <c r="E116" t="str">
        <f>IFERROR(__xludf.DUMMYFUNCTION("""COMPUTED_VALUE"""),"Oraphin")</f>
        <v>Oraphin</v>
      </c>
      <c r="F116" t="str">
        <f>IFERROR(__xludf.DUMMYFUNCTION("""COMPUTED_VALUE"""),"Suwongjit")</f>
        <v>Suwongjit</v>
      </c>
      <c r="G116" t="str">
        <f>IFERROR(__xludf.DUMMYFUNCTION("""COMPUTED_VALUE"""),"Oraphin Suwongjit")</f>
        <v>Oraphin Suwongjit</v>
      </c>
      <c r="H116" t="str">
        <f>IFERROR(__xludf.DUMMYFUNCTION("""COMPUTED_VALUE"""),"นางสาว")</f>
        <v>นางสาว</v>
      </c>
      <c r="I116" t="str">
        <f>IFERROR(__xludf.DUMMYFUNCTION("""COMPUTED_VALUE"""),"อรพินท์")</f>
        <v>อรพินท์</v>
      </c>
      <c r="J116" t="str">
        <f>IFERROR(__xludf.DUMMYFUNCTION("""COMPUTED_VALUE"""),"สุวงษ์จิต")</f>
        <v>สุวงษ์จิต</v>
      </c>
      <c r="K116" t="str">
        <f>IFERROR(__xludf.DUMMYFUNCTION("""COMPUTED_VALUE"""),"อรพินท์ สุวงษ์จิต")</f>
        <v>อรพินท์ สุวงษ์จิต</v>
      </c>
      <c r="L116" t="str">
        <f>IFERROR(__xludf.DUMMYFUNCTION("""COMPUTED_VALUE"""),"Tick")</f>
        <v>Tick</v>
      </c>
      <c r="M116" t="str">
        <f>IFERROR(__xludf.DUMMYFUNCTION("""COMPUTED_VALUE"""),"Senior Cabin Crew")</f>
        <v>Senior Cabin Crew</v>
      </c>
      <c r="N116" t="str">
        <f>IFERROR(__xludf.DUMMYFUNCTION("""COMPUTED_VALUE"""),"DMK")</f>
        <v>DMK</v>
      </c>
      <c r="O116" s="145" t="str">
        <f>IFERROR(__xludf.DUMMYFUNCTION("""COMPUTED_VALUE"""),"Por+ Home")</f>
        <v>Por+ Home</v>
      </c>
      <c r="P116" t="str">
        <f>IFERROR(__xludf.DUMMYFUNCTION("""COMPUTED_VALUE"""),"Active")</f>
        <v>Active</v>
      </c>
      <c r="R116" s="143">
        <f>IFERROR(__xludf.DUMMYFUNCTION("""COMPUTED_VALUE"""),30794.0)</f>
        <v>30794</v>
      </c>
      <c r="S116" s="146" t="str">
        <f>IFERROR(__xludf.DUMMYFUNCTION("""COMPUTED_VALUE"""),"086 352 5591")</f>
        <v>086 352 5591</v>
      </c>
      <c r="T116" s="147" t="str">
        <f>IFERROR(__xludf.DUMMYFUNCTION("""COMPUTED_VALUE"""),"1719900-00-8938")</f>
        <v>1719900-00-8938</v>
      </c>
      <c r="U116" t="str">
        <f>IFERROR(__xludf.DUMMYFUNCTION("""COMPUTED_VALUE"""),"AC5812392")</f>
        <v>AC5812392</v>
      </c>
      <c r="V116" s="148">
        <f>IFERROR(__xludf.DUMMYFUNCTION("""COMPUTED_VALUE"""),45189.0)</f>
        <v>45189</v>
      </c>
      <c r="W116" s="148">
        <f>IFERROR(__xludf.DUMMYFUNCTION("""COMPUTED_VALUE"""),48841.0)</f>
        <v>48841</v>
      </c>
      <c r="X116" s="149">
        <f>IFERROR(__xludf.DUMMYFUNCTION("""COMPUTED_VALUE"""),48657.0)</f>
        <v>48657</v>
      </c>
      <c r="Y116" t="str">
        <f>IFERROR(__xludf.DUMMYFUNCTION("""COMPUTED_VALUE"""),"ปลอดภัย")</f>
        <v>ปลอดภัย</v>
      </c>
      <c r="Z116" t="str">
        <f>IFERROR(__xludf.DUMMYFUNCTION("""COMPUTED_VALUE"""),"Kanchanaburi Province")</f>
        <v>Kanchanaburi Province</v>
      </c>
      <c r="AA116" t="str">
        <f>IFERROR(__xludf.DUMMYFUNCTION("""COMPUTED_VALUE"""),"กิ่งแก้ว")</f>
        <v>กิ่งแก้ว</v>
      </c>
      <c r="AB116" t="str">
        <f>IFERROR(__xludf.DUMMYFUNCTION("""COMPUTED_VALUE"""),"083 078 5682")</f>
        <v>083 078 5682</v>
      </c>
      <c r="AC116" t="str">
        <f>IFERROR(__xludf.DUMMYFUNCTION("""COMPUTED_VALUE"""),"แฟน")</f>
        <v>แฟน</v>
      </c>
      <c r="AD116" t="str">
        <f>IFERROR(__xludf.DUMMYFUNCTION("""COMPUTED_VALUE"""),"oraphins@airasia.com")</f>
        <v>oraphins@airasia.com</v>
      </c>
    </row>
    <row r="117">
      <c r="A117" s="142">
        <f>IFERROR(__xludf.DUMMYFUNCTION("""COMPUTED_VALUE"""),26.0)</f>
        <v>26</v>
      </c>
      <c r="B117" t="str">
        <f>IFERROR(__xludf.DUMMYFUNCTION("""COMPUTED_VALUE"""),"TAA2296")</f>
        <v>TAA2296</v>
      </c>
      <c r="C117">
        <f>IFERROR(__xludf.DUMMYFUNCTION("""COMPUTED_VALUE"""),1003055.0)</f>
        <v>1003055</v>
      </c>
      <c r="D117" t="str">
        <f>IFERROR(__xludf.DUMMYFUNCTION("""COMPUTED_VALUE"""),"Mr.")</f>
        <v>Mr.</v>
      </c>
      <c r="E117" t="str">
        <f>IFERROR(__xludf.DUMMYFUNCTION("""COMPUTED_VALUE"""),"Pachara")</f>
        <v>Pachara</v>
      </c>
      <c r="F117" t="str">
        <f>IFERROR(__xludf.DUMMYFUNCTION("""COMPUTED_VALUE"""),"Nonthapak")</f>
        <v>Nonthapak</v>
      </c>
      <c r="G117" t="str">
        <f>IFERROR(__xludf.DUMMYFUNCTION("""COMPUTED_VALUE"""),"Pachara Nonthapak")</f>
        <v>Pachara Nonthapak</v>
      </c>
      <c r="H117" t="str">
        <f>IFERROR(__xludf.DUMMYFUNCTION("""COMPUTED_VALUE"""),"นาย")</f>
        <v>นาย</v>
      </c>
      <c r="I117" t="str">
        <f>IFERROR(__xludf.DUMMYFUNCTION("""COMPUTED_VALUE"""),"พชร")</f>
        <v>พชร</v>
      </c>
      <c r="J117" t="str">
        <f>IFERROR(__xludf.DUMMYFUNCTION("""COMPUTED_VALUE"""),"นนทภักดิ์")</f>
        <v>นนทภักดิ์</v>
      </c>
      <c r="K117" t="str">
        <f>IFERROR(__xludf.DUMMYFUNCTION("""COMPUTED_VALUE"""),"พชร นนทภักดิ์")</f>
        <v>พชร นนทภักดิ์</v>
      </c>
      <c r="L117" t="str">
        <f>IFERROR(__xludf.DUMMYFUNCTION("""COMPUTED_VALUE"""),"Petch")</f>
        <v>Petch</v>
      </c>
      <c r="M117" t="str">
        <f>IFERROR(__xludf.DUMMYFUNCTION("""COMPUTED_VALUE"""),"Senior Cabin Crew")</f>
        <v>Senior Cabin Crew</v>
      </c>
      <c r="N117" t="str">
        <f>IFERROR(__xludf.DUMMYFUNCTION("""COMPUTED_VALUE"""),"DMK")</f>
        <v>DMK</v>
      </c>
      <c r="O117" s="145" t="str">
        <f>IFERROR(__xludf.DUMMYFUNCTION("""COMPUTED_VALUE"""),"Namfon Home")</f>
        <v>Namfon Home</v>
      </c>
      <c r="P117" t="str">
        <f>IFERROR(__xludf.DUMMYFUNCTION("""COMPUTED_VALUE"""),"Active")</f>
        <v>Active</v>
      </c>
      <c r="Q117" t="str">
        <f>IFERROR(__xludf.DUMMYFUNCTION("""COMPUTED_VALUE"""),"SCC Line Checker 2025")</f>
        <v>SCC Line Checker 2025</v>
      </c>
      <c r="R117" s="143">
        <f>IFERROR(__xludf.DUMMYFUNCTION("""COMPUTED_VALUE"""),31313.0)</f>
        <v>31313</v>
      </c>
      <c r="S117" s="146" t="str">
        <f>IFERROR(__xludf.DUMMYFUNCTION("""COMPUTED_VALUE"""),"090 403 1524")</f>
        <v>090 403 1524</v>
      </c>
      <c r="T117" s="147" t="str">
        <f>IFERROR(__xludf.DUMMYFUNCTION("""COMPUTED_VALUE"""),"1809900-08-1367")</f>
        <v>1809900-08-1367</v>
      </c>
      <c r="U117" t="str">
        <f>IFERROR(__xludf.DUMMYFUNCTION("""COMPUTED_VALUE"""),"AC5191560")</f>
        <v>AC5191560</v>
      </c>
      <c r="V117" s="148">
        <f>IFERROR(__xludf.DUMMYFUNCTION("""COMPUTED_VALUE"""),45316.0)</f>
        <v>45316</v>
      </c>
      <c r="W117" s="148">
        <f>IFERROR(__xludf.DUMMYFUNCTION("""COMPUTED_VALUE"""),48968.0)</f>
        <v>48968</v>
      </c>
      <c r="X117" s="149">
        <f>IFERROR(__xludf.DUMMYFUNCTION("""COMPUTED_VALUE"""),48784.0)</f>
        <v>48784</v>
      </c>
      <c r="Y117" t="str">
        <f>IFERROR(__xludf.DUMMYFUNCTION("""COMPUTED_VALUE"""),"ปลอดภัย")</f>
        <v>ปลอดภัย</v>
      </c>
      <c r="Z117" t="str">
        <f>IFERROR(__xludf.DUMMYFUNCTION("""COMPUTED_VALUE"""),"Nakhon Si Thammarat Province")</f>
        <v>Nakhon Si Thammarat Province</v>
      </c>
      <c r="AA117" t="str">
        <f>IFERROR(__xludf.DUMMYFUNCTION("""COMPUTED_VALUE"""),"ฉะเชิงเทรา อำเภอเมือง")</f>
        <v>ฉะเชิงเทรา อำเภอเมือง</v>
      </c>
      <c r="AB117" t="str">
        <f>IFERROR(__xludf.DUMMYFUNCTION("""COMPUTED_VALUE"""),"086 538 9203")</f>
        <v>086 538 9203</v>
      </c>
      <c r="AC117" t="str">
        <f>IFERROR(__xludf.DUMMYFUNCTION("""COMPUTED_VALUE"""),"แม่")</f>
        <v>แม่</v>
      </c>
      <c r="AD117" t="str">
        <f>IFERROR(__xludf.DUMMYFUNCTION("""COMPUTED_VALUE"""),"pacharan@airasia.com")</f>
        <v>pacharan@airasia.com</v>
      </c>
    </row>
    <row r="118">
      <c r="AD118" t="str">
        <f>IFERROR(__xludf.DUMMYFUNCTION("""COMPUTED_VALUE"""),"")</f>
        <v/>
      </c>
    </row>
    <row r="119">
      <c r="A119" s="142">
        <f>IFERROR(__xludf.DUMMYFUNCTION("""COMPUTED_VALUE"""),27.0)</f>
        <v>27</v>
      </c>
      <c r="B119" t="str">
        <f>IFERROR(__xludf.DUMMYFUNCTION("""COMPUTED_VALUE"""),"TAA2342")</f>
        <v>TAA2342</v>
      </c>
      <c r="C119">
        <f>IFERROR(__xludf.DUMMYFUNCTION("""COMPUTED_VALUE"""),1003217.0)</f>
        <v>1003217</v>
      </c>
      <c r="D119" t="str">
        <f>IFERROR(__xludf.DUMMYFUNCTION("""COMPUTED_VALUE"""),"Mr.")</f>
        <v>Mr.</v>
      </c>
      <c r="E119" t="str">
        <f>IFERROR(__xludf.DUMMYFUNCTION("""COMPUTED_VALUE"""),"Athitkorn (Anucha)")</f>
        <v>Athitkorn (Anucha)</v>
      </c>
      <c r="F119" t="str">
        <f>IFERROR(__xludf.DUMMYFUNCTION("""COMPUTED_VALUE"""),"Pattaranonsawat  (Sansawat)")</f>
        <v>Pattaranonsawat  (Sansawat)</v>
      </c>
      <c r="G119" t="str">
        <f>IFERROR(__xludf.DUMMYFUNCTION("""COMPUTED_VALUE"""),"Athitkorn Pattaranonsawat")</f>
        <v>Athitkorn Pattaranonsawat</v>
      </c>
      <c r="H119" t="str">
        <f>IFERROR(__xludf.DUMMYFUNCTION("""COMPUTED_VALUE"""),"นาย")</f>
        <v>นาย</v>
      </c>
      <c r="I119" t="str">
        <f>IFERROR(__xludf.DUMMYFUNCTION("""COMPUTED_VALUE"""),"อธิษฐ์กร (อนุชา)")</f>
        <v>อธิษฐ์กร (อนุชา)</v>
      </c>
      <c r="J119" t="str">
        <f>IFERROR(__xludf.DUMMYFUNCTION("""COMPUTED_VALUE"""),"ภัทรนลสวัสดิ์ (แสนสวัสดิ์)")</f>
        <v>ภัทรนลสวัสดิ์ (แสนสวัสดิ์)</v>
      </c>
      <c r="K119" t="str">
        <f>IFERROR(__xludf.DUMMYFUNCTION("""COMPUTED_VALUE"""),"อธิษฐ์กร ภัทรนลสวัสดิ์")</f>
        <v>อธิษฐ์กร ภัทรนลสวัสดิ์</v>
      </c>
      <c r="L119" t="str">
        <f>IFERROR(__xludf.DUMMYFUNCTION("""COMPUTED_VALUE"""),"โอ๋ย")</f>
        <v>โอ๋ย</v>
      </c>
      <c r="M119" t="str">
        <f>IFERROR(__xludf.DUMMYFUNCTION("""COMPUTED_VALUE"""),"Senior Cabin Crew")</f>
        <v>Senior Cabin Crew</v>
      </c>
      <c r="N119" t="str">
        <f>IFERROR(__xludf.DUMMYFUNCTION("""COMPUTED_VALUE"""),"DMK")</f>
        <v>DMK</v>
      </c>
      <c r="O119" s="145" t="str">
        <f>IFERROR(__xludf.DUMMYFUNCTION("""COMPUTED_VALUE"""),"Toffy Home")</f>
        <v>Toffy Home</v>
      </c>
      <c r="P119" t="str">
        <f>IFERROR(__xludf.DUMMYFUNCTION("""COMPUTED_VALUE"""),"Active")</f>
        <v>Active</v>
      </c>
      <c r="R119" s="143">
        <f>IFERROR(__xludf.DUMMYFUNCTION("""COMPUTED_VALUE"""),31491.0)</f>
        <v>31491</v>
      </c>
      <c r="S119" s="146" t="str">
        <f>IFERROR(__xludf.DUMMYFUNCTION("""COMPUTED_VALUE"""),"086 515 6646")</f>
        <v>086 515 6646</v>
      </c>
      <c r="T119" s="147" t="str">
        <f>IFERROR(__xludf.DUMMYFUNCTION("""COMPUTED_VALUE"""),"1179900-05-6008")</f>
        <v>1179900-05-6008</v>
      </c>
      <c r="U119" t="str">
        <f>IFERROR(__xludf.DUMMYFUNCTION("""COMPUTED_VALUE"""),"AD0704545")</f>
        <v>AD0704545</v>
      </c>
      <c r="V119" s="148">
        <f>IFERROR(__xludf.DUMMYFUNCTION("""COMPUTED_VALUE"""),44956.0)</f>
        <v>44956</v>
      </c>
      <c r="W119" s="148">
        <f>IFERROR(__xludf.DUMMYFUNCTION("""COMPUTED_VALUE"""),48608.0)</f>
        <v>48608</v>
      </c>
      <c r="X119" s="149">
        <f>IFERROR(__xludf.DUMMYFUNCTION("""COMPUTED_VALUE"""),48424.0)</f>
        <v>48424</v>
      </c>
      <c r="Y119" t="str">
        <f>IFERROR(__xludf.DUMMYFUNCTION("""COMPUTED_VALUE"""),"ปลอดภัย")</f>
        <v>ปลอดภัย</v>
      </c>
      <c r="Z119" t="str">
        <f>IFERROR(__xludf.DUMMYFUNCTION("""COMPUTED_VALUE"""),"Sing Buri Province")</f>
        <v>Sing Buri Province</v>
      </c>
      <c r="AA119" t="str">
        <f>IFERROR(__xludf.DUMMYFUNCTION("""COMPUTED_VALUE"""),"นนทบุรี ปากเกร็ด")</f>
        <v>นนทบุรี ปากเกร็ด</v>
      </c>
      <c r="AB119" t="str">
        <f>IFERROR(__xludf.DUMMYFUNCTION("""COMPUTED_VALUE"""),"089 885 4939")</f>
        <v>089 885 4939</v>
      </c>
      <c r="AC119" t="str">
        <f>IFERROR(__xludf.DUMMYFUNCTION("""COMPUTED_VALUE"""),"แม่")</f>
        <v>แม่</v>
      </c>
      <c r="AD119" t="str">
        <f>IFERROR(__xludf.DUMMYFUNCTION("""COMPUTED_VALUE"""),"athitkornp@airasia.com")</f>
        <v>athitkornp@airasia.com</v>
      </c>
    </row>
    <row r="120">
      <c r="A120" s="142">
        <f>IFERROR(__xludf.DUMMYFUNCTION("""COMPUTED_VALUE"""),27.0)</f>
        <v>27</v>
      </c>
      <c r="B120" t="str">
        <f>IFERROR(__xludf.DUMMYFUNCTION("""COMPUTED_VALUE"""),"TAA2344")</f>
        <v>TAA2344</v>
      </c>
      <c r="C120">
        <f>IFERROR(__xludf.DUMMYFUNCTION("""COMPUTED_VALUE"""),1003220.0)</f>
        <v>1003220</v>
      </c>
      <c r="D120" t="str">
        <f>IFERROR(__xludf.DUMMYFUNCTION("""COMPUTED_VALUE"""),"Ms.")</f>
        <v>Ms.</v>
      </c>
      <c r="E120" t="str">
        <f>IFERROR(__xludf.DUMMYFUNCTION("""COMPUTED_VALUE"""),"Pathita")</f>
        <v>Pathita</v>
      </c>
      <c r="F120" t="str">
        <f>IFERROR(__xludf.DUMMYFUNCTION("""COMPUTED_VALUE"""),"Leepeeravitit")</f>
        <v>Leepeeravitit</v>
      </c>
      <c r="G120" t="str">
        <f>IFERROR(__xludf.DUMMYFUNCTION("""COMPUTED_VALUE"""),"Pathita Leepeeravitit")</f>
        <v>Pathita Leepeeravitit</v>
      </c>
      <c r="H120" t="str">
        <f>IFERROR(__xludf.DUMMYFUNCTION("""COMPUTED_VALUE"""),"นางสาว")</f>
        <v>นางสาว</v>
      </c>
      <c r="I120" t="str">
        <f>IFERROR(__xludf.DUMMYFUNCTION("""COMPUTED_VALUE"""),"ปทิตตา")</f>
        <v>ปทิตตา</v>
      </c>
      <c r="J120" t="str">
        <f>IFERROR(__xludf.DUMMYFUNCTION("""COMPUTED_VALUE"""),"ลีพีรวิทิต")</f>
        <v>ลีพีรวิทิต</v>
      </c>
      <c r="K120" t="str">
        <f>IFERROR(__xludf.DUMMYFUNCTION("""COMPUTED_VALUE"""),"ปทิตตา ลีพีรวิทิต")</f>
        <v>ปทิตตา ลีพีรวิทิต</v>
      </c>
      <c r="L120" t="str">
        <f>IFERROR(__xludf.DUMMYFUNCTION("""COMPUTED_VALUE"""),"PaiLin")</f>
        <v>PaiLin</v>
      </c>
      <c r="M120" t="str">
        <f>IFERROR(__xludf.DUMMYFUNCTION("""COMPUTED_VALUE"""),"Cabin Crew - BKK")</f>
        <v>Cabin Crew - BKK</v>
      </c>
      <c r="N120" t="str">
        <f>IFERROR(__xludf.DUMMYFUNCTION("""COMPUTED_VALUE"""),"BKK")</f>
        <v>BKK</v>
      </c>
      <c r="O120" s="145" t="str">
        <f>IFERROR(__xludf.DUMMYFUNCTION("""COMPUTED_VALUE"""),"Nhui Home")</f>
        <v>Nhui Home</v>
      </c>
      <c r="P120" t="str">
        <f>IFERROR(__xludf.DUMMYFUNCTION("""COMPUTED_VALUE"""),"Active")</f>
        <v>Active</v>
      </c>
      <c r="R120" s="143">
        <f>IFERROR(__xludf.DUMMYFUNCTION("""COMPUTED_VALUE"""),31051.0)</f>
        <v>31051</v>
      </c>
      <c r="S120" s="146" t="str">
        <f>IFERROR(__xludf.DUMMYFUNCTION("""COMPUTED_VALUE"""),"086 569 6363")</f>
        <v>086 569 6363</v>
      </c>
      <c r="T120" s="147" t="str">
        <f>IFERROR(__xludf.DUMMYFUNCTION("""COMPUTED_VALUE"""),"1100800-10-8890")</f>
        <v>1100800-10-8890</v>
      </c>
      <c r="U120" t="str">
        <f>IFERROR(__xludf.DUMMYFUNCTION("""COMPUTED_VALUE"""),"AD1527191")</f>
        <v>AD1527191</v>
      </c>
      <c r="V120" s="148">
        <f>IFERROR(__xludf.DUMMYFUNCTION("""COMPUTED_VALUE"""),45299.0)</f>
        <v>45299</v>
      </c>
      <c r="W120" s="148">
        <f>IFERROR(__xludf.DUMMYFUNCTION("""COMPUTED_VALUE"""),48951.0)</f>
        <v>48951</v>
      </c>
      <c r="X120" s="149">
        <f>IFERROR(__xludf.DUMMYFUNCTION("""COMPUTED_VALUE"""),48767.0)</f>
        <v>48767</v>
      </c>
      <c r="Y120" t="str">
        <f>IFERROR(__xludf.DUMMYFUNCTION("""COMPUTED_VALUE"""),"ปลอดภัย")</f>
        <v>ปลอดภัย</v>
      </c>
      <c r="Z120" t="str">
        <f>IFERROR(__xludf.DUMMYFUNCTION("""COMPUTED_VALUE"""),"Bangkok")</f>
        <v>Bangkok</v>
      </c>
      <c r="AA120" t="str">
        <f>IFERROR(__xludf.DUMMYFUNCTION("""COMPUTED_VALUE"""),"พระนคร")</f>
        <v>พระนคร</v>
      </c>
      <c r="AB120" t="str">
        <f>IFERROR(__xludf.DUMMYFUNCTION("""COMPUTED_VALUE"""),"086 701 2262")</f>
        <v>086 701 2262</v>
      </c>
      <c r="AC120" t="str">
        <f>IFERROR(__xludf.DUMMYFUNCTION("""COMPUTED_VALUE"""),"แม่")</f>
        <v>แม่</v>
      </c>
      <c r="AD120" t="str">
        <f>IFERROR(__xludf.DUMMYFUNCTION("""COMPUTED_VALUE"""),"pathital@airasia.com")</f>
        <v>pathital@airasia.com</v>
      </c>
    </row>
    <row r="121">
      <c r="A121" s="142">
        <f>IFERROR(__xludf.DUMMYFUNCTION("""COMPUTED_VALUE"""),27.0)</f>
        <v>27</v>
      </c>
      <c r="B121" t="str">
        <f>IFERROR(__xludf.DUMMYFUNCTION("""COMPUTED_VALUE"""),"TAA2340")</f>
        <v>TAA2340</v>
      </c>
      <c r="C121">
        <f>IFERROR(__xludf.DUMMYFUNCTION("""COMPUTED_VALUE"""),1003222.0)</f>
        <v>1003222</v>
      </c>
      <c r="D121" t="str">
        <f>IFERROR(__xludf.DUMMYFUNCTION("""COMPUTED_VALUE"""),"Ms.")</f>
        <v>Ms.</v>
      </c>
      <c r="E121" t="str">
        <f>IFERROR(__xludf.DUMMYFUNCTION("""COMPUTED_VALUE"""),"Ploy")</f>
        <v>Ploy</v>
      </c>
      <c r="F121" t="str">
        <f>IFERROR(__xludf.DUMMYFUNCTION("""COMPUTED_VALUE"""),"Tassanatarn")</f>
        <v>Tassanatarn</v>
      </c>
      <c r="G121" t="str">
        <f>IFERROR(__xludf.DUMMYFUNCTION("""COMPUTED_VALUE"""),"Ploy Tassanatarn")</f>
        <v>Ploy Tassanatarn</v>
      </c>
      <c r="H121" t="str">
        <f>IFERROR(__xludf.DUMMYFUNCTION("""COMPUTED_VALUE"""),"นางสาว")</f>
        <v>นางสาว</v>
      </c>
      <c r="I121" t="str">
        <f>IFERROR(__xludf.DUMMYFUNCTION("""COMPUTED_VALUE"""),"พลอย")</f>
        <v>พลอย</v>
      </c>
      <c r="J121" t="str">
        <f>IFERROR(__xludf.DUMMYFUNCTION("""COMPUTED_VALUE"""),"ทัศนะธาร")</f>
        <v>ทัศนะธาร</v>
      </c>
      <c r="K121" t="str">
        <f>IFERROR(__xludf.DUMMYFUNCTION("""COMPUTED_VALUE"""),"พลอย ทัศนะธาร")</f>
        <v>พลอย ทัศนะธาร</v>
      </c>
      <c r="L121" t="str">
        <f>IFERROR(__xludf.DUMMYFUNCTION("""COMPUTED_VALUE"""),"Ploy")</f>
        <v>Ploy</v>
      </c>
      <c r="M121" t="str">
        <f>IFERROR(__xludf.DUMMYFUNCTION("""COMPUTED_VALUE"""),"Senior Cabin Crew - CNX")</f>
        <v>Senior Cabin Crew - CNX</v>
      </c>
      <c r="N121" t="str">
        <f>IFERROR(__xludf.DUMMYFUNCTION("""COMPUTED_VALUE"""),"CNX")</f>
        <v>CNX</v>
      </c>
      <c r="O121" s="145" t="str">
        <f>IFERROR(__xludf.DUMMYFUNCTION("""COMPUTED_VALUE"""),"Up Home")</f>
        <v>Up Home</v>
      </c>
      <c r="P121" t="str">
        <f>IFERROR(__xludf.DUMMYFUNCTION("""COMPUTED_VALUE"""),"Active")</f>
        <v>Active</v>
      </c>
      <c r="R121" s="143">
        <f>IFERROR(__xludf.DUMMYFUNCTION("""COMPUTED_VALUE"""),31499.0)</f>
        <v>31499</v>
      </c>
      <c r="S121" s="146" t="str">
        <f>IFERROR(__xludf.DUMMYFUNCTION("""COMPUTED_VALUE"""),"082 523 9456")</f>
        <v>082 523 9456</v>
      </c>
      <c r="T121" s="147" t="str">
        <f>IFERROR(__xludf.DUMMYFUNCTION("""COMPUTED_VALUE"""),"1101400-60-6974")</f>
        <v>1101400-60-6974</v>
      </c>
      <c r="U121" t="str">
        <f>IFERROR(__xludf.DUMMYFUNCTION("""COMPUTED_VALUE"""),"AC4117986")</f>
        <v>AC4117986</v>
      </c>
      <c r="V121" s="148">
        <f>IFERROR(__xludf.DUMMYFUNCTION("""COMPUTED_VALUE"""),44841.0)</f>
        <v>44841</v>
      </c>
      <c r="W121" s="148">
        <f>IFERROR(__xludf.DUMMYFUNCTION("""COMPUTED_VALUE"""),48493.0)</f>
        <v>48493</v>
      </c>
      <c r="X121" s="149">
        <f>IFERROR(__xludf.DUMMYFUNCTION("""COMPUTED_VALUE"""),48310.0)</f>
        <v>48310</v>
      </c>
      <c r="Y121" t="str">
        <f>IFERROR(__xludf.DUMMYFUNCTION("""COMPUTED_VALUE"""),"ปลอดภัย")</f>
        <v>ปลอดภัย</v>
      </c>
      <c r="Z121" t="str">
        <f>IFERROR(__xludf.DUMMYFUNCTION("""COMPUTED_VALUE"""),"Bangkok")</f>
        <v>Bangkok</v>
      </c>
      <c r="AA121" t="str">
        <f>IFERROR(__xludf.DUMMYFUNCTION("""COMPUTED_VALUE"""),"เชียงใหม่")</f>
        <v>เชียงใหม่</v>
      </c>
      <c r="AB121" t="str">
        <f>IFERROR(__xludf.DUMMYFUNCTION("""COMPUTED_VALUE"""),"082 523 9456")</f>
        <v>082 523 9456</v>
      </c>
      <c r="AC121" t="str">
        <f>IFERROR(__xludf.DUMMYFUNCTION("""COMPUTED_VALUE"""),"ไม่ระบุ")</f>
        <v>ไม่ระบุ</v>
      </c>
      <c r="AD121" t="str">
        <f>IFERROR(__xludf.DUMMYFUNCTION("""COMPUTED_VALUE"""),"ployt@airasia.com")</f>
        <v>ployt@airasia.com</v>
      </c>
    </row>
    <row r="122">
      <c r="A122" s="142">
        <f>IFERROR(__xludf.DUMMYFUNCTION("""COMPUTED_VALUE"""),27.0)</f>
        <v>27</v>
      </c>
      <c r="B122" t="str">
        <f>IFERROR(__xludf.DUMMYFUNCTION("""COMPUTED_VALUE"""),"TAA2350")</f>
        <v>TAA2350</v>
      </c>
      <c r="C122">
        <f>IFERROR(__xludf.DUMMYFUNCTION("""COMPUTED_VALUE"""),1003224.0)</f>
        <v>1003224</v>
      </c>
      <c r="D122" t="str">
        <f>IFERROR(__xludf.DUMMYFUNCTION("""COMPUTED_VALUE"""),"Ms.")</f>
        <v>Ms.</v>
      </c>
      <c r="E122" t="str">
        <f>IFERROR(__xludf.DUMMYFUNCTION("""COMPUTED_VALUE"""),"Torpad")</f>
        <v>Torpad</v>
      </c>
      <c r="F122" t="str">
        <f>IFERROR(__xludf.DUMMYFUNCTION("""COMPUTED_VALUE"""),"Jansirigul")</f>
        <v>Jansirigul</v>
      </c>
      <c r="G122" t="str">
        <f>IFERROR(__xludf.DUMMYFUNCTION("""COMPUTED_VALUE"""),"Torpad Jansirigul")</f>
        <v>Torpad Jansirigul</v>
      </c>
      <c r="H122" t="str">
        <f>IFERROR(__xludf.DUMMYFUNCTION("""COMPUTED_VALUE"""),"นางสาว")</f>
        <v>นางสาว</v>
      </c>
      <c r="I122" t="str">
        <f>IFERROR(__xludf.DUMMYFUNCTION("""COMPUTED_VALUE"""),"ทอปัด")</f>
        <v>ทอปัด</v>
      </c>
      <c r="J122" t="str">
        <f>IFERROR(__xludf.DUMMYFUNCTION("""COMPUTED_VALUE"""),"จันทร์ศิริกุล")</f>
        <v>จันทร์ศิริกุล</v>
      </c>
      <c r="K122" t="str">
        <f>IFERROR(__xludf.DUMMYFUNCTION("""COMPUTED_VALUE"""),"ทอปัด จันทร์ศิริกุล")</f>
        <v>ทอปัด จันทร์ศิริกุล</v>
      </c>
      <c r="L122" t="str">
        <f>IFERROR(__xludf.DUMMYFUNCTION("""COMPUTED_VALUE"""),"Neng")</f>
        <v>Neng</v>
      </c>
      <c r="M122" t="str">
        <f>IFERROR(__xludf.DUMMYFUNCTION("""COMPUTED_VALUE"""),"Senior Cabin Crew")</f>
        <v>Senior Cabin Crew</v>
      </c>
      <c r="N122" t="str">
        <f>IFERROR(__xludf.DUMMYFUNCTION("""COMPUTED_VALUE"""),"DMK")</f>
        <v>DMK</v>
      </c>
      <c r="O122" s="145" t="str">
        <f>IFERROR(__xludf.DUMMYFUNCTION("""COMPUTED_VALUE"""),"Por+ Home")</f>
        <v>Por+ Home</v>
      </c>
      <c r="P122" t="str">
        <f>IFERROR(__xludf.DUMMYFUNCTION("""COMPUTED_VALUE"""),"Active")</f>
        <v>Active</v>
      </c>
      <c r="Q122" t="str">
        <f>IFERROR(__xludf.DUMMYFUNCTION("""COMPUTED_VALUE"""),"SCC Line Checker 2025")</f>
        <v>SCC Line Checker 2025</v>
      </c>
      <c r="R122" s="143">
        <f>IFERROR(__xludf.DUMMYFUNCTION("""COMPUTED_VALUE"""),29507.0)</f>
        <v>29507</v>
      </c>
      <c r="S122" s="146" t="str">
        <f>IFERROR(__xludf.DUMMYFUNCTION("""COMPUTED_VALUE"""),"085 623 5998")</f>
        <v>085 623 5998</v>
      </c>
      <c r="T122" s="147" t="str">
        <f>IFERROR(__xludf.DUMMYFUNCTION("""COMPUTED_VALUE"""),"3101403-18-6492")</f>
        <v>3101403-18-6492</v>
      </c>
      <c r="U122" t="str">
        <f>IFERROR(__xludf.DUMMYFUNCTION("""COMPUTED_VALUE"""),"AC4945279")</f>
        <v>AC4945279</v>
      </c>
      <c r="V122" s="148">
        <f>IFERROR(__xludf.DUMMYFUNCTION("""COMPUTED_VALUE"""),45065.0)</f>
        <v>45065</v>
      </c>
      <c r="W122" s="148">
        <f>IFERROR(__xludf.DUMMYFUNCTION("""COMPUTED_VALUE"""),48717.0)</f>
        <v>48717</v>
      </c>
      <c r="X122" s="149">
        <f>IFERROR(__xludf.DUMMYFUNCTION("""COMPUTED_VALUE"""),48536.0)</f>
        <v>48536</v>
      </c>
      <c r="Y122" t="str">
        <f>IFERROR(__xludf.DUMMYFUNCTION("""COMPUTED_VALUE"""),"ปลอดภัย")</f>
        <v>ปลอดภัย</v>
      </c>
      <c r="Z122" t="str">
        <f>IFERROR(__xludf.DUMMYFUNCTION("""COMPUTED_VALUE"""),"Bangkok")</f>
        <v>Bangkok</v>
      </c>
      <c r="AA122" t="str">
        <f>IFERROR(__xludf.DUMMYFUNCTION("""COMPUTED_VALUE"""),"บางเขน")</f>
        <v>บางเขน</v>
      </c>
      <c r="AB122" t="str">
        <f>IFERROR(__xludf.DUMMYFUNCTION("""COMPUTED_VALUE"""),"089 487 4828")</f>
        <v>089 487 4828</v>
      </c>
      <c r="AC122" t="str">
        <f>IFERROR(__xludf.DUMMYFUNCTION("""COMPUTED_VALUE"""),"พี่สาว")</f>
        <v>พี่สาว</v>
      </c>
      <c r="AD122" t="str">
        <f>IFERROR(__xludf.DUMMYFUNCTION("""COMPUTED_VALUE"""),"torpadj@airasia.com")</f>
        <v>torpadj@airasia.com</v>
      </c>
    </row>
    <row r="123">
      <c r="AD123" t="str">
        <f>IFERROR(__xludf.DUMMYFUNCTION("""COMPUTED_VALUE"""),"")</f>
        <v/>
      </c>
    </row>
    <row r="124">
      <c r="A124" s="142">
        <f>IFERROR(__xludf.DUMMYFUNCTION("""COMPUTED_VALUE"""),28.0)</f>
        <v>28</v>
      </c>
      <c r="B124" t="str">
        <f>IFERROR(__xludf.DUMMYFUNCTION("""COMPUTED_VALUE"""),"TAA0231")</f>
        <v>TAA0231</v>
      </c>
      <c r="C124">
        <f>IFERROR(__xludf.DUMMYFUNCTION("""COMPUTED_VALUE"""),1000341.0)</f>
        <v>1000341</v>
      </c>
      <c r="D124" t="str">
        <f>IFERROR(__xludf.DUMMYFUNCTION("""COMPUTED_VALUE"""),"Ms.")</f>
        <v>Ms.</v>
      </c>
      <c r="E124" t="str">
        <f>IFERROR(__xludf.DUMMYFUNCTION("""COMPUTED_VALUE"""),"Nawatthaphorn(Tananant) (Kamonchanok)")</f>
        <v>Nawatthaphorn(Tananant) (Kamonchanok)</v>
      </c>
      <c r="F124" t="str">
        <f>IFERROR(__xludf.DUMMYFUNCTION("""COMPUTED_VALUE"""),"Meechai(Juntarachota)")</f>
        <v>Meechai(Juntarachota)</v>
      </c>
      <c r="G124" t="str">
        <f>IFERROR(__xludf.DUMMYFUNCTION("""COMPUTED_VALUE"""),"Nawatthaphorn Meechai")</f>
        <v>Nawatthaphorn Meechai</v>
      </c>
      <c r="H124" t="str">
        <f>IFERROR(__xludf.DUMMYFUNCTION("""COMPUTED_VALUE"""),"นางสาว")</f>
        <v>นางสาว</v>
      </c>
      <c r="I124" t="str">
        <f>IFERROR(__xludf.DUMMYFUNCTION("""COMPUTED_VALUE"""),"นวัธภร(ธนนันท์)")</f>
        <v>นวัธภร(ธนนันท์)</v>
      </c>
      <c r="J124" t="str">
        <f>IFERROR(__xludf.DUMMYFUNCTION("""COMPUTED_VALUE"""),"มีชัย(จันทรโชตะ)")</f>
        <v>มีชัย(จันทรโชตะ)</v>
      </c>
      <c r="K124" t="str">
        <f>IFERROR(__xludf.DUMMYFUNCTION("""COMPUTED_VALUE"""),"นวัธภร มีชัย")</f>
        <v>นวัธภร มีชัย</v>
      </c>
      <c r="L124" t="str">
        <f>IFERROR(__xludf.DUMMYFUNCTION("""COMPUTED_VALUE"""),"Ung")</f>
        <v>Ung</v>
      </c>
      <c r="M124" t="str">
        <f>IFERROR(__xludf.DUMMYFUNCTION("""COMPUTED_VALUE"""),"Senior Cabin Crew - HKT")</f>
        <v>Senior Cabin Crew - HKT</v>
      </c>
      <c r="N124" t="str">
        <f>IFERROR(__xludf.DUMMYFUNCTION("""COMPUTED_VALUE"""),"HKT")</f>
        <v>HKT</v>
      </c>
      <c r="O124" s="145" t="str">
        <f>IFERROR(__xludf.DUMMYFUNCTION("""COMPUTED_VALUE"""),"Kor Home")</f>
        <v>Kor Home</v>
      </c>
      <c r="P124" t="str">
        <f>IFERROR(__xludf.DUMMYFUNCTION("""COMPUTED_VALUE"""),"Active/V/DMK")</f>
        <v>Active/V/DMK</v>
      </c>
      <c r="R124" s="143">
        <f>IFERROR(__xludf.DUMMYFUNCTION("""COMPUTED_VALUE"""),30194.0)</f>
        <v>30194</v>
      </c>
      <c r="S124" s="146" t="str">
        <f>IFERROR(__xludf.DUMMYFUNCTION("""COMPUTED_VALUE"""),"093-964-1946")</f>
        <v>093-964-1946</v>
      </c>
      <c r="T124" s="147" t="str">
        <f>IFERROR(__xludf.DUMMYFUNCTION("""COMPUTED_VALUE"""),"5839900-01-7254")</f>
        <v>5839900-01-7254</v>
      </c>
      <c r="U124" t="str">
        <f>IFERROR(__xludf.DUMMYFUNCTION("""COMPUTED_VALUE"""),"AC2753796")</f>
        <v>AC2753796</v>
      </c>
      <c r="V124" s="148">
        <f>IFERROR(__xludf.DUMMYFUNCTION("""COMPUTED_VALUE"""),44489.0)</f>
        <v>44489</v>
      </c>
      <c r="W124" s="148">
        <f>IFERROR(__xludf.DUMMYFUNCTION("""COMPUTED_VALUE"""),48140.0)</f>
        <v>48140</v>
      </c>
      <c r="X124" s="149">
        <f>IFERROR(__xludf.DUMMYFUNCTION("""COMPUTED_VALUE"""),47957.0)</f>
        <v>47957</v>
      </c>
      <c r="Y124" t="str">
        <f>IFERROR(__xludf.DUMMYFUNCTION("""COMPUTED_VALUE"""),"ปลอดภัย")</f>
        <v>ปลอดภัย</v>
      </c>
      <c r="Z124" t="str">
        <f>IFERROR(__xludf.DUMMYFUNCTION("""COMPUTED_VALUE"""),"Surat Thani Province")</f>
        <v>Surat Thani Province</v>
      </c>
      <c r="AA124" t="str">
        <f>IFERROR(__xludf.DUMMYFUNCTION("""COMPUTED_VALUE"""),"ภูเก็ต")</f>
        <v>ภูเก็ต</v>
      </c>
      <c r="AB124" t="str">
        <f>IFERROR(__xludf.DUMMYFUNCTION("""COMPUTED_VALUE"""),"! Update !")</f>
        <v>! Update !</v>
      </c>
      <c r="AC124" t="str">
        <f>IFERROR(__xludf.DUMMYFUNCTION("""COMPUTED_VALUE"""),"! Update !")</f>
        <v>! Update !</v>
      </c>
      <c r="AD124" t="str">
        <f>IFERROR(__xludf.DUMMYFUNCTION("""COMPUTED_VALUE"""),"nawatthaphornm@airasia.com")</f>
        <v>nawatthaphornm@airasia.com</v>
      </c>
    </row>
    <row r="125">
      <c r="A125" s="142">
        <f>IFERROR(__xludf.DUMMYFUNCTION("""COMPUTED_VALUE"""),28.0)</f>
        <v>28</v>
      </c>
      <c r="B125" t="str">
        <f>IFERROR(__xludf.DUMMYFUNCTION("""COMPUTED_VALUE"""),"TAA1780")</f>
        <v>TAA1780</v>
      </c>
      <c r="C125">
        <f>IFERROR(__xludf.DUMMYFUNCTION("""COMPUTED_VALUE"""),1001054.0)</f>
        <v>1001054</v>
      </c>
      <c r="D125" t="str">
        <f>IFERROR(__xludf.DUMMYFUNCTION("""COMPUTED_VALUE"""),"Ms.")</f>
        <v>Ms.</v>
      </c>
      <c r="E125" t="str">
        <f>IFERROR(__xludf.DUMMYFUNCTION("""COMPUTED_VALUE"""),"Wipa")</f>
        <v>Wipa</v>
      </c>
      <c r="F125" t="str">
        <f>IFERROR(__xludf.DUMMYFUNCTION("""COMPUTED_VALUE"""),"Totsaporn")</f>
        <v>Totsaporn</v>
      </c>
      <c r="G125" t="str">
        <f>IFERROR(__xludf.DUMMYFUNCTION("""COMPUTED_VALUE"""),"Wipa Totsaporn")</f>
        <v>Wipa Totsaporn</v>
      </c>
      <c r="H125" t="str">
        <f>IFERROR(__xludf.DUMMYFUNCTION("""COMPUTED_VALUE"""),"นางสาว")</f>
        <v>นางสาว</v>
      </c>
      <c r="I125" t="str">
        <f>IFERROR(__xludf.DUMMYFUNCTION("""COMPUTED_VALUE"""),"วิภา")</f>
        <v>วิภา</v>
      </c>
      <c r="J125" t="str">
        <f>IFERROR(__xludf.DUMMYFUNCTION("""COMPUTED_VALUE"""),"ทศพร")</f>
        <v>ทศพร</v>
      </c>
      <c r="K125" t="str">
        <f>IFERROR(__xludf.DUMMYFUNCTION("""COMPUTED_VALUE"""),"วิภา ทศพร")</f>
        <v>วิภา ทศพร</v>
      </c>
      <c r="L125" t="str">
        <f>IFERROR(__xludf.DUMMYFUNCTION("""COMPUTED_VALUE"""),"Pa")</f>
        <v>Pa</v>
      </c>
      <c r="M125" t="str">
        <f>IFERROR(__xludf.DUMMYFUNCTION("""COMPUTED_VALUE"""),"Senior Cabin Crew - HKT")</f>
        <v>Senior Cabin Crew - HKT</v>
      </c>
      <c r="N125" t="str">
        <f>IFERROR(__xludf.DUMMYFUNCTION("""COMPUTED_VALUE"""),"HKT")</f>
        <v>HKT</v>
      </c>
      <c r="O125" s="145" t="str">
        <f>IFERROR(__xludf.DUMMYFUNCTION("""COMPUTED_VALUE"""),"Kor Home")</f>
        <v>Kor Home</v>
      </c>
      <c r="P125" t="str">
        <f>IFERROR(__xludf.DUMMYFUNCTION("""COMPUTED_VALUE"""),"Active")</f>
        <v>Active</v>
      </c>
      <c r="R125" s="143">
        <f>IFERROR(__xludf.DUMMYFUNCTION("""COMPUTED_VALUE"""),30702.0)</f>
        <v>30702</v>
      </c>
      <c r="S125" s="146" t="str">
        <f>IFERROR(__xludf.DUMMYFUNCTION("""COMPUTED_VALUE"""),"093 539 4144")</f>
        <v>093 539 4144</v>
      </c>
      <c r="T125" s="147" t="str">
        <f>IFERROR(__xludf.DUMMYFUNCTION("""COMPUTED_VALUE"""),"3141500-16-0966")</f>
        <v>3141500-16-0966</v>
      </c>
      <c r="U125" t="str">
        <f>IFERROR(__xludf.DUMMYFUNCTION("""COMPUTED_VALUE"""),"AC6116292")</f>
        <v>AC6116292</v>
      </c>
      <c r="V125" s="148">
        <f>IFERROR(__xludf.DUMMYFUNCTION("""COMPUTED_VALUE"""),45274.0)</f>
        <v>45274</v>
      </c>
      <c r="W125" s="148">
        <f>IFERROR(__xludf.DUMMYFUNCTION("""COMPUTED_VALUE"""),48926.0)</f>
        <v>48926</v>
      </c>
      <c r="X125" s="149">
        <f>IFERROR(__xludf.DUMMYFUNCTION("""COMPUTED_VALUE"""),48743.0)</f>
        <v>48743</v>
      </c>
      <c r="Y125" t="str">
        <f>IFERROR(__xludf.DUMMYFUNCTION("""COMPUTED_VALUE"""),"ปลอดภัย")</f>
        <v>ปลอดภัย</v>
      </c>
      <c r="Z125" t="str">
        <f>IFERROR(__xludf.DUMMYFUNCTION("""COMPUTED_VALUE"""),"Ang Thong Province")</f>
        <v>Ang Thong Province</v>
      </c>
      <c r="AA125" t="str">
        <f>IFERROR(__xludf.DUMMYFUNCTION("""COMPUTED_VALUE"""),"ภูเก็ต")</f>
        <v>ภูเก็ต</v>
      </c>
      <c r="AB125" t="str">
        <f>IFERROR(__xludf.DUMMYFUNCTION("""COMPUTED_VALUE"""),"083 777 2138")</f>
        <v>083 777 2138</v>
      </c>
      <c r="AC125" t="str">
        <f>IFERROR(__xludf.DUMMYFUNCTION("""COMPUTED_VALUE"""),"เพื่อน")</f>
        <v>เพื่อน</v>
      </c>
      <c r="AD125" t="str">
        <f>IFERROR(__xludf.DUMMYFUNCTION("""COMPUTED_VALUE"""),"wipat@airasia.com")</f>
        <v>wipat@airasia.com</v>
      </c>
    </row>
    <row r="126">
      <c r="A126" s="142">
        <f>IFERROR(__xludf.DUMMYFUNCTION("""COMPUTED_VALUE"""),28.0)</f>
        <v>28</v>
      </c>
      <c r="B126" t="str">
        <f>IFERROR(__xludf.DUMMYFUNCTION("""COMPUTED_VALUE"""),"TAA1949")</f>
        <v>TAA1949</v>
      </c>
      <c r="C126">
        <f>IFERROR(__xludf.DUMMYFUNCTION("""COMPUTED_VALUE"""),1001934.0)</f>
        <v>1001934</v>
      </c>
      <c r="D126" t="str">
        <f>IFERROR(__xludf.DUMMYFUNCTION("""COMPUTED_VALUE"""),"Mr.")</f>
        <v>Mr.</v>
      </c>
      <c r="E126" t="str">
        <f>IFERROR(__xludf.DUMMYFUNCTION("""COMPUTED_VALUE"""),"Komet")</f>
        <v>Komet</v>
      </c>
      <c r="F126" t="str">
        <f>IFERROR(__xludf.DUMMYFUNCTION("""COMPUTED_VALUE"""),"Prasankan")</f>
        <v>Prasankan</v>
      </c>
      <c r="G126" t="str">
        <f>IFERROR(__xludf.DUMMYFUNCTION("""COMPUTED_VALUE"""),"Komet Prasankan")</f>
        <v>Komet Prasankan</v>
      </c>
      <c r="H126" t="str">
        <f>IFERROR(__xludf.DUMMYFUNCTION("""COMPUTED_VALUE"""),"นาย")</f>
        <v>นาย</v>
      </c>
      <c r="I126" t="str">
        <f>IFERROR(__xludf.DUMMYFUNCTION("""COMPUTED_VALUE"""),"โกเมศ")</f>
        <v>โกเมศ</v>
      </c>
      <c r="J126" t="str">
        <f>IFERROR(__xludf.DUMMYFUNCTION("""COMPUTED_VALUE"""),"ประสารการ")</f>
        <v>ประสารการ</v>
      </c>
      <c r="K126" t="str">
        <f>IFERROR(__xludf.DUMMYFUNCTION("""COMPUTED_VALUE"""),"โกเมศ ประสารการ")</f>
        <v>โกเมศ ประสารการ</v>
      </c>
      <c r="L126" t="str">
        <f>IFERROR(__xludf.DUMMYFUNCTION("""COMPUTED_VALUE"""),"Ake (KoKo)")</f>
        <v>Ake (KoKo)</v>
      </c>
      <c r="M126" t="str">
        <f>IFERROR(__xludf.DUMMYFUNCTION("""COMPUTED_VALUE"""),"Senior Cabin Crew - HKT")</f>
        <v>Senior Cabin Crew - HKT</v>
      </c>
      <c r="N126" t="str">
        <f>IFERROR(__xludf.DUMMYFUNCTION("""COMPUTED_VALUE"""),"HKT")</f>
        <v>HKT</v>
      </c>
      <c r="O126" s="145" t="str">
        <f>IFERROR(__xludf.DUMMYFUNCTION("""COMPUTED_VALUE"""),"Kor Home")</f>
        <v>Kor Home</v>
      </c>
      <c r="P126" t="str">
        <f>IFERROR(__xludf.DUMMYFUNCTION("""COMPUTED_VALUE"""),"Active")</f>
        <v>Active</v>
      </c>
      <c r="R126" s="143">
        <f>IFERROR(__xludf.DUMMYFUNCTION("""COMPUTED_VALUE"""),30929.0)</f>
        <v>30929</v>
      </c>
      <c r="S126" s="146" t="str">
        <f>IFERROR(__xludf.DUMMYFUNCTION("""COMPUTED_VALUE""")," ")</f>
        <v> </v>
      </c>
      <c r="T126" s="147" t="str">
        <f>IFERROR(__xludf.DUMMYFUNCTION("""COMPUTED_VALUE"""),"1820700-00-3267")</f>
        <v>1820700-00-3267</v>
      </c>
      <c r="U126" t="str">
        <f>IFERROR(__xludf.DUMMYFUNCTION("""COMPUTED_VALUE"""),"AC2453424")</f>
        <v>AC2453424</v>
      </c>
      <c r="V126" s="148">
        <f>IFERROR(__xludf.DUMMYFUNCTION("""COMPUTED_VALUE"""),44466.0)</f>
        <v>44466</v>
      </c>
      <c r="W126" s="148">
        <f>IFERROR(__xludf.DUMMYFUNCTION("""COMPUTED_VALUE"""),48117.0)</f>
        <v>48117</v>
      </c>
      <c r="X126" s="149">
        <f>IFERROR(__xludf.DUMMYFUNCTION("""COMPUTED_VALUE"""),47933.0)</f>
        <v>47933</v>
      </c>
      <c r="Y126" t="str">
        <f>IFERROR(__xludf.DUMMYFUNCTION("""COMPUTED_VALUE"""),"ปลอดภัย")</f>
        <v>ปลอดภัย</v>
      </c>
      <c r="Z126" t="str">
        <f>IFERROR(__xludf.DUMMYFUNCTION("""COMPUTED_VALUE"""),"Phang Nga Province")</f>
        <v>Phang Nga Province</v>
      </c>
      <c r="AA126" t="str">
        <f>IFERROR(__xludf.DUMMYFUNCTION("""COMPUTED_VALUE"""),"ภูเก็ต")</f>
        <v>ภูเก็ต</v>
      </c>
      <c r="AB126" t="str">
        <f>IFERROR(__xludf.DUMMYFUNCTION("""COMPUTED_VALUE"""),"081 9082878")</f>
        <v>081 9082878</v>
      </c>
      <c r="AC126" t="str">
        <f>IFERROR(__xludf.DUMMYFUNCTION("""COMPUTED_VALUE"""),"ไม่ระบุ")</f>
        <v>ไม่ระบุ</v>
      </c>
      <c r="AD126" t="str">
        <f>IFERROR(__xludf.DUMMYFUNCTION("""COMPUTED_VALUE"""),"kometp@airasia.com")</f>
        <v>kometp@airasia.com</v>
      </c>
    </row>
    <row r="127">
      <c r="A127" s="142">
        <f>IFERROR(__xludf.DUMMYFUNCTION("""COMPUTED_VALUE"""),28.0)</f>
        <v>28</v>
      </c>
      <c r="B127" t="str">
        <f>IFERROR(__xludf.DUMMYFUNCTION("""COMPUTED_VALUE"""),"TAA1993")</f>
        <v>TAA1993</v>
      </c>
      <c r="C127">
        <f>IFERROR(__xludf.DUMMYFUNCTION("""COMPUTED_VALUE"""),1002118.0)</f>
        <v>1002118</v>
      </c>
      <c r="D127" t="str">
        <f>IFERROR(__xludf.DUMMYFUNCTION("""COMPUTED_VALUE"""),"Ms.")</f>
        <v>Ms.</v>
      </c>
      <c r="E127" t="str">
        <f>IFERROR(__xludf.DUMMYFUNCTION("""COMPUTED_VALUE"""),"Sasimon")</f>
        <v>Sasimon</v>
      </c>
      <c r="F127" t="str">
        <f>IFERROR(__xludf.DUMMYFUNCTION("""COMPUTED_VALUE"""),"Jearapan")</f>
        <v>Jearapan</v>
      </c>
      <c r="G127" t="str">
        <f>IFERROR(__xludf.DUMMYFUNCTION("""COMPUTED_VALUE"""),"Sasimon Jearapan")</f>
        <v>Sasimon Jearapan</v>
      </c>
      <c r="H127" t="str">
        <f>IFERROR(__xludf.DUMMYFUNCTION("""COMPUTED_VALUE"""),"นางสาว")</f>
        <v>นางสาว</v>
      </c>
      <c r="I127" t="str">
        <f>IFERROR(__xludf.DUMMYFUNCTION("""COMPUTED_VALUE"""),"ศศิมนต์")</f>
        <v>ศศิมนต์</v>
      </c>
      <c r="J127" t="str">
        <f>IFERROR(__xludf.DUMMYFUNCTION("""COMPUTED_VALUE"""),"เจียรพันธุ์")</f>
        <v>เจียรพันธุ์</v>
      </c>
      <c r="K127" t="str">
        <f>IFERROR(__xludf.DUMMYFUNCTION("""COMPUTED_VALUE"""),"ศศิมนต์ เจียรพันธุ์")</f>
        <v>ศศิมนต์ เจียรพันธุ์</v>
      </c>
      <c r="L127" t="str">
        <f>IFERROR(__xludf.DUMMYFUNCTION("""COMPUTED_VALUE"""),"Fhun")</f>
        <v>Fhun</v>
      </c>
      <c r="M127" t="str">
        <f>IFERROR(__xludf.DUMMYFUNCTION("""COMPUTED_VALUE"""),"Senior Cabin Crew - HKT")</f>
        <v>Senior Cabin Crew - HKT</v>
      </c>
      <c r="N127" t="str">
        <f>IFERROR(__xludf.DUMMYFUNCTION("""COMPUTED_VALUE"""),"HKT")</f>
        <v>HKT</v>
      </c>
      <c r="O127" s="145" t="str">
        <f>IFERROR(__xludf.DUMMYFUNCTION("""COMPUTED_VALUE"""),"Kor Home")</f>
        <v>Kor Home</v>
      </c>
      <c r="P127" t="str">
        <f>IFERROR(__xludf.DUMMYFUNCTION("""COMPUTED_VALUE"""),"Active")</f>
        <v>Active</v>
      </c>
      <c r="R127" s="143">
        <f>IFERROR(__xludf.DUMMYFUNCTION("""COMPUTED_VALUE"""),31128.0)</f>
        <v>31128</v>
      </c>
      <c r="S127" s="146" t="str">
        <f>IFERROR(__xludf.DUMMYFUNCTION("""COMPUTED_VALUE"""),"083 992 5397")</f>
        <v>083 992 5397</v>
      </c>
      <c r="T127" s="147" t="str">
        <f>IFERROR(__xludf.DUMMYFUNCTION("""COMPUTED_VALUE"""),"1840100-03-6482")</f>
        <v>1840100-03-6482</v>
      </c>
      <c r="U127" t="str">
        <f>IFERROR(__xludf.DUMMYFUNCTION("""COMPUTED_VALUE"""),"AC3068826")</f>
        <v>AC3068826</v>
      </c>
      <c r="V127" s="148">
        <f>IFERROR(__xludf.DUMMYFUNCTION("""COMPUTED_VALUE"""),44684.0)</f>
        <v>44684</v>
      </c>
      <c r="W127" s="148">
        <f>IFERROR(__xludf.DUMMYFUNCTION("""COMPUTED_VALUE"""),48336.0)</f>
        <v>48336</v>
      </c>
      <c r="X127" s="149">
        <f>IFERROR(__xludf.DUMMYFUNCTION("""COMPUTED_VALUE"""),48154.0)</f>
        <v>48154</v>
      </c>
      <c r="Y127" t="str">
        <f>IFERROR(__xludf.DUMMYFUNCTION("""COMPUTED_VALUE"""),"ปลอดภัย")</f>
        <v>ปลอดภัย</v>
      </c>
      <c r="Z127" t="str">
        <f>IFERROR(__xludf.DUMMYFUNCTION("""COMPUTED_VALUE"""),"Surat Thani Province")</f>
        <v>Surat Thani Province</v>
      </c>
      <c r="AA127" t="str">
        <f>IFERROR(__xludf.DUMMYFUNCTION("""COMPUTED_VALUE"""),"ภูเก็ต")</f>
        <v>ภูเก็ต</v>
      </c>
      <c r="AB127" t="str">
        <f>IFERROR(__xludf.DUMMYFUNCTION("""COMPUTED_VALUE"""),"080 126 5500")</f>
        <v>080 126 5500</v>
      </c>
      <c r="AC127" t="str">
        <f>IFERROR(__xludf.DUMMYFUNCTION("""COMPUTED_VALUE"""),"ไม่ระบุ")</f>
        <v>ไม่ระบุ</v>
      </c>
      <c r="AD127" t="str">
        <f>IFERROR(__xludf.DUMMYFUNCTION("""COMPUTED_VALUE"""),"sasimonj@airasia.com")</f>
        <v>sasimonj@airasia.com</v>
      </c>
    </row>
    <row r="128">
      <c r="A128" s="142">
        <f>IFERROR(__xludf.DUMMYFUNCTION("""COMPUTED_VALUE"""),28.0)</f>
        <v>28</v>
      </c>
      <c r="B128" t="str">
        <f>IFERROR(__xludf.DUMMYFUNCTION("""COMPUTED_VALUE"""),"TAA2014")</f>
        <v>TAA2014</v>
      </c>
      <c r="C128">
        <f>IFERROR(__xludf.DUMMYFUNCTION("""COMPUTED_VALUE"""),1002119.0)</f>
        <v>1002119</v>
      </c>
      <c r="D128" t="str">
        <f>IFERROR(__xludf.DUMMYFUNCTION("""COMPUTED_VALUE"""),"Ms.")</f>
        <v>Ms.</v>
      </c>
      <c r="E128" t="str">
        <f>IFERROR(__xludf.DUMMYFUNCTION("""COMPUTED_VALUE"""),"Phoonkuan")</f>
        <v>Phoonkuan</v>
      </c>
      <c r="F128" t="str">
        <f>IFERROR(__xludf.DUMMYFUNCTION("""COMPUTED_VALUE"""),"Kumkeaw")</f>
        <v>Kumkeaw</v>
      </c>
      <c r="G128" t="str">
        <f>IFERROR(__xludf.DUMMYFUNCTION("""COMPUTED_VALUE"""),"Phoonkuan Kumkeaw")</f>
        <v>Phoonkuan Kumkeaw</v>
      </c>
      <c r="H128" t="str">
        <f>IFERROR(__xludf.DUMMYFUNCTION("""COMPUTED_VALUE"""),"นางสาว")</f>
        <v>นางสาว</v>
      </c>
      <c r="I128" t="str">
        <f>IFERROR(__xludf.DUMMYFUNCTION("""COMPUTED_VALUE"""),"พูนขวัญ")</f>
        <v>พูนขวัญ</v>
      </c>
      <c r="J128" t="str">
        <f>IFERROR(__xludf.DUMMYFUNCTION("""COMPUTED_VALUE"""),"กำแก้ว")</f>
        <v>กำแก้ว</v>
      </c>
      <c r="K128" t="str">
        <f>IFERROR(__xludf.DUMMYFUNCTION("""COMPUTED_VALUE"""),"พูนขวัญ กำแก้ว")</f>
        <v>พูนขวัญ กำแก้ว</v>
      </c>
      <c r="L128" t="str">
        <f>IFERROR(__xludf.DUMMYFUNCTION("""COMPUTED_VALUE"""),"Paan / ป่าน")</f>
        <v>Paan / ป่าน</v>
      </c>
      <c r="M128" t="str">
        <f>IFERROR(__xludf.DUMMYFUNCTION("""COMPUTED_VALUE"""),"Senior Cabin Crew")</f>
        <v>Senior Cabin Crew</v>
      </c>
      <c r="N128" t="str">
        <f>IFERROR(__xludf.DUMMYFUNCTION("""COMPUTED_VALUE"""),"DMK")</f>
        <v>DMK</v>
      </c>
      <c r="O128" s="145" t="str">
        <f>IFERROR(__xludf.DUMMYFUNCTION("""COMPUTED_VALUE"""),"Namfon Home")</f>
        <v>Namfon Home</v>
      </c>
      <c r="P128" t="str">
        <f>IFERROR(__xludf.DUMMYFUNCTION("""COMPUTED_VALUE"""),"Active")</f>
        <v>Active</v>
      </c>
      <c r="R128" s="143">
        <f>IFERROR(__xludf.DUMMYFUNCTION("""COMPUTED_VALUE"""),30437.0)</f>
        <v>30437</v>
      </c>
      <c r="S128" s="146" t="str">
        <f>IFERROR(__xludf.DUMMYFUNCTION("""COMPUTED_VALUE"""),"082 516 3088")</f>
        <v>082 516 3088</v>
      </c>
      <c r="T128" s="147" t="str">
        <f>IFERROR(__xludf.DUMMYFUNCTION("""COMPUTED_VALUE"""),"3341501-60-4203")</f>
        <v>3341501-60-4203</v>
      </c>
      <c r="U128" t="str">
        <f>IFERROR(__xludf.DUMMYFUNCTION("""COMPUTED_VALUE"""),"AC2440112")</f>
        <v>AC2440112</v>
      </c>
      <c r="V128" s="148">
        <f>IFERROR(__xludf.DUMMYFUNCTION("""COMPUTED_VALUE"""),44459.0)</f>
        <v>44459</v>
      </c>
      <c r="W128" s="148">
        <f>IFERROR(__xludf.DUMMYFUNCTION("""COMPUTED_VALUE"""),48110.0)</f>
        <v>48110</v>
      </c>
      <c r="X128" s="149">
        <f>IFERROR(__xludf.DUMMYFUNCTION("""COMPUTED_VALUE"""),47926.0)</f>
        <v>47926</v>
      </c>
      <c r="Y128" t="str">
        <f>IFERROR(__xludf.DUMMYFUNCTION("""COMPUTED_VALUE"""),"ปลอดภัย")</f>
        <v>ปลอดภัย</v>
      </c>
      <c r="Z128" t="str">
        <f>IFERROR(__xludf.DUMMYFUNCTION("""COMPUTED_VALUE"""),"Ubon Ratchathani Province")</f>
        <v>Ubon Ratchathani Province</v>
      </c>
      <c r="AA128" t="str">
        <f>IFERROR(__xludf.DUMMYFUNCTION("""COMPUTED_VALUE"""),"ภูเก็ต")</f>
        <v>ภูเก็ต</v>
      </c>
      <c r="AB128" t="str">
        <f>IFERROR(__xludf.DUMMYFUNCTION("""COMPUTED_VALUE"""),"082 5163088")</f>
        <v>082 5163088</v>
      </c>
      <c r="AC128" t="str">
        <f>IFERROR(__xludf.DUMMYFUNCTION("""COMPUTED_VALUE"""),"ไม่ระบุ")</f>
        <v>ไม่ระบุ</v>
      </c>
      <c r="AD128" t="str">
        <f>IFERROR(__xludf.DUMMYFUNCTION("""COMPUTED_VALUE"""),"phoonkwank@airasia.com")</f>
        <v>phoonkwank@airasia.com</v>
      </c>
    </row>
    <row r="129">
      <c r="A129" s="142">
        <f>IFERROR(__xludf.DUMMYFUNCTION("""COMPUTED_VALUE"""),28.0)</f>
        <v>28</v>
      </c>
      <c r="B129" t="str">
        <f>IFERROR(__xludf.DUMMYFUNCTION("""COMPUTED_VALUE"""),"TAA2061")</f>
        <v>TAA2061</v>
      </c>
      <c r="C129">
        <f>IFERROR(__xludf.DUMMYFUNCTION("""COMPUTED_VALUE"""),1002202.0)</f>
        <v>1002202</v>
      </c>
      <c r="D129" t="str">
        <f>IFERROR(__xludf.DUMMYFUNCTION("""COMPUTED_VALUE"""),"Ms.")</f>
        <v>Ms.</v>
      </c>
      <c r="E129" t="str">
        <f>IFERROR(__xludf.DUMMYFUNCTION("""COMPUTED_VALUE"""),"Nithipkan (Kanokan)")</f>
        <v>Nithipkan (Kanokan)</v>
      </c>
      <c r="F129" t="str">
        <f>IFERROR(__xludf.DUMMYFUNCTION("""COMPUTED_VALUE"""),"Damrongpongkhajorn (Nopparat)")</f>
        <v>Damrongpongkhajorn (Nopparat)</v>
      </c>
      <c r="G129" t="str">
        <f>IFERROR(__xludf.DUMMYFUNCTION("""COMPUTED_VALUE"""),"Nithipkan Damrongpongkhajorn")</f>
        <v>Nithipkan Damrongpongkhajorn</v>
      </c>
      <c r="H129" t="str">
        <f>IFERROR(__xludf.DUMMYFUNCTION("""COMPUTED_VALUE"""),"นางสาว")</f>
        <v>นางสาว</v>
      </c>
      <c r="I129" t="str">
        <f>IFERROR(__xludf.DUMMYFUNCTION("""COMPUTED_VALUE"""),"ณิธิปกาญจน์ (กนกกาญจน์)")</f>
        <v>ณิธิปกาญจน์ (กนกกาญจน์)</v>
      </c>
      <c r="J129" t="str">
        <f>IFERROR(__xludf.DUMMYFUNCTION("""COMPUTED_VALUE"""),"ดำรงค์พงศ์ขจร (นพรัตน์)")</f>
        <v>ดำรงค์พงศ์ขจร (นพรัตน์)</v>
      </c>
      <c r="K129" t="str">
        <f>IFERROR(__xludf.DUMMYFUNCTION("""COMPUTED_VALUE"""),"ณิธิปกาญจน์ ดำรงค์พงศ์ขจร")</f>
        <v>ณิธิปกาญจน์ ดำรงค์พงศ์ขจร</v>
      </c>
      <c r="L129" t="str">
        <f>IFERROR(__xludf.DUMMYFUNCTION("""COMPUTED_VALUE"""),"Sine")</f>
        <v>Sine</v>
      </c>
      <c r="M129" t="str">
        <f>IFERROR(__xludf.DUMMYFUNCTION("""COMPUTED_VALUE"""),"Senior Cabin Crew")</f>
        <v>Senior Cabin Crew</v>
      </c>
      <c r="N129" t="str">
        <f>IFERROR(__xludf.DUMMYFUNCTION("""COMPUTED_VALUE"""),"DMK")</f>
        <v>DMK</v>
      </c>
      <c r="O129" s="145" t="str">
        <f>IFERROR(__xludf.DUMMYFUNCTION("""COMPUTED_VALUE"""),"Por+ Home")</f>
        <v>Por+ Home</v>
      </c>
      <c r="P129" t="str">
        <f>IFERROR(__xludf.DUMMYFUNCTION("""COMPUTED_VALUE"""),"V/LWP")</f>
        <v>V/LWP</v>
      </c>
      <c r="R129" s="143">
        <f>IFERROR(__xludf.DUMMYFUNCTION("""COMPUTED_VALUE"""),31551.0)</f>
        <v>31551</v>
      </c>
      <c r="S129" s="146" t="str">
        <f>IFERROR(__xludf.DUMMYFUNCTION("""COMPUTED_VALUE"""),"061-649-8265")</f>
        <v>061-649-8265</v>
      </c>
      <c r="T129" s="147" t="str">
        <f>IFERROR(__xludf.DUMMYFUNCTION("""COMPUTED_VALUE"""),"1709800-05-3818")</f>
        <v>1709800-05-3818</v>
      </c>
      <c r="U129" t="str">
        <f>IFERROR(__xludf.DUMMYFUNCTION("""COMPUTED_VALUE"""),"AD1971476")</f>
        <v>AD1971476</v>
      </c>
      <c r="V129" s="148">
        <f>IFERROR(__xludf.DUMMYFUNCTION("""COMPUTED_VALUE"""),45503.0)</f>
        <v>45503</v>
      </c>
      <c r="W129" s="148">
        <f>IFERROR(__xludf.DUMMYFUNCTION("""COMPUTED_VALUE"""),49154.0)</f>
        <v>49154</v>
      </c>
      <c r="X129" s="149">
        <f>IFERROR(__xludf.DUMMYFUNCTION("""COMPUTED_VALUE"""),48973.0)</f>
        <v>48973</v>
      </c>
      <c r="Y129" t="str">
        <f>IFERROR(__xludf.DUMMYFUNCTION("""COMPUTED_VALUE"""),"ปลอดภัย")</f>
        <v>ปลอดภัย</v>
      </c>
      <c r="Z129" t="str">
        <f>IFERROR(__xludf.DUMMYFUNCTION("""COMPUTED_VALUE"""),"Ratchaburi Province")</f>
        <v>Ratchaburi Province</v>
      </c>
      <c r="AA129" t="str">
        <f>IFERROR(__xludf.DUMMYFUNCTION("""COMPUTED_VALUE"""),"ภูเก็ต")</f>
        <v>ภูเก็ต</v>
      </c>
      <c r="AB129" t="str">
        <f>IFERROR(__xludf.DUMMYFUNCTION("""COMPUTED_VALUE"""),"086 9859292")</f>
        <v>086 9859292</v>
      </c>
      <c r="AC129" t="str">
        <f>IFERROR(__xludf.DUMMYFUNCTION("""COMPUTED_VALUE"""),"ไม่ระบุ")</f>
        <v>ไม่ระบุ</v>
      </c>
      <c r="AD129" t="str">
        <f>IFERROR(__xludf.DUMMYFUNCTION("""COMPUTED_VALUE"""),"nithipkand@airasia.com")</f>
        <v>nithipkand@airasia.com</v>
      </c>
    </row>
    <row r="130">
      <c r="A130" s="142">
        <f>IFERROR(__xludf.DUMMYFUNCTION("""COMPUTED_VALUE"""),28.0)</f>
        <v>28</v>
      </c>
      <c r="B130" t="str">
        <f>IFERROR(__xludf.DUMMYFUNCTION("""COMPUTED_VALUE"""),"TAA2394")</f>
        <v>TAA2394</v>
      </c>
      <c r="C130">
        <f>IFERROR(__xludf.DUMMYFUNCTION("""COMPUTED_VALUE"""),1003365.0)</f>
        <v>1003365</v>
      </c>
      <c r="D130" t="str">
        <f>IFERROR(__xludf.DUMMYFUNCTION("""COMPUTED_VALUE"""),"Ms.")</f>
        <v>Ms.</v>
      </c>
      <c r="E130" t="str">
        <f>IFERROR(__xludf.DUMMYFUNCTION("""COMPUTED_VALUE"""),"Napatchol")</f>
        <v>Napatchol</v>
      </c>
      <c r="F130" t="str">
        <f>IFERROR(__xludf.DUMMYFUNCTION("""COMPUTED_VALUE"""),"Wongwuttito")</f>
        <v>Wongwuttito</v>
      </c>
      <c r="G130" t="str">
        <f>IFERROR(__xludf.DUMMYFUNCTION("""COMPUTED_VALUE"""),"Napatchol Wongwuttito")</f>
        <v>Napatchol Wongwuttito</v>
      </c>
      <c r="H130" t="str">
        <f>IFERROR(__xludf.DUMMYFUNCTION("""COMPUTED_VALUE"""),"นางสาว")</f>
        <v>นางสาว</v>
      </c>
      <c r="I130" t="str">
        <f>IFERROR(__xludf.DUMMYFUNCTION("""COMPUTED_VALUE"""),"นภัสชล")</f>
        <v>นภัสชล</v>
      </c>
      <c r="J130" t="str">
        <f>IFERROR(__xludf.DUMMYFUNCTION("""COMPUTED_VALUE"""),"วงศ์วุฒิโท")</f>
        <v>วงศ์วุฒิโท</v>
      </c>
      <c r="K130" t="str">
        <f>IFERROR(__xludf.DUMMYFUNCTION("""COMPUTED_VALUE"""),"นภัสชล วงศ์วุฒิโท")</f>
        <v>นภัสชล วงศ์วุฒิโท</v>
      </c>
      <c r="L130" t="str">
        <f>IFERROR(__xludf.DUMMYFUNCTION("""COMPUTED_VALUE"""),"Nam Khing")</f>
        <v>Nam Khing</v>
      </c>
      <c r="M130" t="str">
        <f>IFERROR(__xludf.DUMMYFUNCTION("""COMPUTED_VALUE"""),"Senior Cabin Crew - CNX")</f>
        <v>Senior Cabin Crew - CNX</v>
      </c>
      <c r="N130" t="str">
        <f>IFERROR(__xludf.DUMMYFUNCTION("""COMPUTED_VALUE"""),"CNX")</f>
        <v>CNX</v>
      </c>
      <c r="O130" s="145" t="str">
        <f>IFERROR(__xludf.DUMMYFUNCTION("""COMPUTED_VALUE"""),"Up Home")</f>
        <v>Up Home</v>
      </c>
      <c r="P130" t="str">
        <f>IFERROR(__xludf.DUMMYFUNCTION("""COMPUTED_VALUE"""),"Active")</f>
        <v>Active</v>
      </c>
      <c r="R130" s="143">
        <f>IFERROR(__xludf.DUMMYFUNCTION("""COMPUTED_VALUE"""),31352.0)</f>
        <v>31352</v>
      </c>
      <c r="S130" s="146" t="str">
        <f>IFERROR(__xludf.DUMMYFUNCTION("""COMPUTED_VALUE"""),"095 964 9954")</f>
        <v>095 964 9954</v>
      </c>
      <c r="T130" s="147" t="str">
        <f>IFERROR(__xludf.DUMMYFUNCTION("""COMPUTED_VALUE"""),"1460600-02-2336")</f>
        <v>1460600-02-2336</v>
      </c>
      <c r="U130" t="str">
        <f>IFERROR(__xludf.DUMMYFUNCTION("""COMPUTED_VALUE"""),"AC2424258")</f>
        <v>AC2424258</v>
      </c>
      <c r="V130" s="148">
        <f>IFERROR(__xludf.DUMMYFUNCTION("""COMPUTED_VALUE"""),44448.0)</f>
        <v>44448</v>
      </c>
      <c r="W130" s="148">
        <f>IFERROR(__xludf.DUMMYFUNCTION("""COMPUTED_VALUE"""),48099.0)</f>
        <v>48099</v>
      </c>
      <c r="X130" s="149">
        <f>IFERROR(__xludf.DUMMYFUNCTION("""COMPUTED_VALUE"""),47915.0)</f>
        <v>47915</v>
      </c>
      <c r="Y130" t="str">
        <f>IFERROR(__xludf.DUMMYFUNCTION("""COMPUTED_VALUE"""),"ปลอดภัย")</f>
        <v>ปลอดภัย</v>
      </c>
      <c r="Z130" t="str">
        <f>IFERROR(__xludf.DUMMYFUNCTION("""COMPUTED_VALUE"""),"Kalasin Province")</f>
        <v>Kalasin Province</v>
      </c>
      <c r="AA130" t="str">
        <f>IFERROR(__xludf.DUMMYFUNCTION("""COMPUTED_VALUE"""),"ภูเก็ต")</f>
        <v>ภูเก็ต</v>
      </c>
      <c r="AB130" t="str">
        <f>IFERROR(__xludf.DUMMYFUNCTION("""COMPUTED_VALUE"""),"087 430 0344")</f>
        <v>087 430 0344</v>
      </c>
      <c r="AC130" t="str">
        <f>IFERROR(__xludf.DUMMYFUNCTION("""COMPUTED_VALUE"""),"ไม่ระบุ")</f>
        <v>ไม่ระบุ</v>
      </c>
      <c r="AD130" t="str">
        <f>IFERROR(__xludf.DUMMYFUNCTION("""COMPUTED_VALUE"""),"napatcholw@airasia.com")</f>
        <v>napatcholw@airasia.com</v>
      </c>
    </row>
    <row r="131">
      <c r="A131" s="142">
        <f>IFERROR(__xludf.DUMMYFUNCTION("""COMPUTED_VALUE"""),28.0)</f>
        <v>28</v>
      </c>
      <c r="B131" t="str">
        <f>IFERROR(__xludf.DUMMYFUNCTION("""COMPUTED_VALUE"""),"TAA2403")</f>
        <v>TAA2403</v>
      </c>
      <c r="C131">
        <f>IFERROR(__xludf.DUMMYFUNCTION("""COMPUTED_VALUE"""),1003368.0)</f>
        <v>1003368</v>
      </c>
      <c r="D131" t="str">
        <f>IFERROR(__xludf.DUMMYFUNCTION("""COMPUTED_VALUE"""),"Ms.")</f>
        <v>Ms.</v>
      </c>
      <c r="E131" t="str">
        <f>IFERROR(__xludf.DUMMYFUNCTION("""COMPUTED_VALUE"""),"Woradaluck (Praewvarisa)")</f>
        <v>Woradaluck (Praewvarisa)</v>
      </c>
      <c r="F131" t="str">
        <f>IFERROR(__xludf.DUMMYFUNCTION("""COMPUTED_VALUE"""),"Lerdthanapaijit (Naiphongsri)")</f>
        <v>Lerdthanapaijit (Naiphongsri)</v>
      </c>
      <c r="G131" t="str">
        <f>IFERROR(__xludf.DUMMYFUNCTION("""COMPUTED_VALUE"""),"Woradaluck Lerdthanapaijit")</f>
        <v>Woradaluck Lerdthanapaijit</v>
      </c>
      <c r="H131" t="str">
        <f>IFERROR(__xludf.DUMMYFUNCTION("""COMPUTED_VALUE"""),"นางสาว")</f>
        <v>นางสาว</v>
      </c>
      <c r="I131" t="str">
        <f>IFERROR(__xludf.DUMMYFUNCTION("""COMPUTED_VALUE"""),"วรดาลักษณ์(แพรววริศา)")</f>
        <v>วรดาลักษณ์(แพรววริศา)</v>
      </c>
      <c r="J131" t="str">
        <f>IFERROR(__xludf.DUMMYFUNCTION("""COMPUTED_VALUE"""),"เลิศธนาไพจิตร (นัยผ่องศรี)")</f>
        <v>เลิศธนาไพจิตร (นัยผ่องศรี)</v>
      </c>
      <c r="K131" t="str">
        <f>IFERROR(__xludf.DUMMYFUNCTION("""COMPUTED_VALUE"""),"วรดาลักษณ์ เลิศธนาไพจิตร")</f>
        <v>วรดาลักษณ์ เลิศธนาไพจิตร</v>
      </c>
      <c r="L131" t="str">
        <f>IFERROR(__xludf.DUMMYFUNCTION("""COMPUTED_VALUE"""),"Prae")</f>
        <v>Prae</v>
      </c>
      <c r="M131" t="str">
        <f>IFERROR(__xludf.DUMMYFUNCTION("""COMPUTED_VALUE"""),"Senior Cabin Crew")</f>
        <v>Senior Cabin Crew</v>
      </c>
      <c r="N131" t="str">
        <f>IFERROR(__xludf.DUMMYFUNCTION("""COMPUTED_VALUE"""),"DMK")</f>
        <v>DMK</v>
      </c>
      <c r="O131" s="145" t="str">
        <f>IFERROR(__xludf.DUMMYFUNCTION("""COMPUTED_VALUE"""),"Up Home")</f>
        <v>Up Home</v>
      </c>
      <c r="P131" t="str">
        <f>IFERROR(__xludf.DUMMYFUNCTION("""COMPUTED_VALUE"""),"Active")</f>
        <v>Active</v>
      </c>
      <c r="R131" s="143">
        <f>IFERROR(__xludf.DUMMYFUNCTION("""COMPUTED_VALUE"""),31876.0)</f>
        <v>31876</v>
      </c>
      <c r="S131" s="146" t="str">
        <f>IFERROR(__xludf.DUMMYFUNCTION("""COMPUTED_VALUE"""),"089 741 5332")</f>
        <v>089 741 5332</v>
      </c>
      <c r="T131" s="147" t="str">
        <f>IFERROR(__xludf.DUMMYFUNCTION("""COMPUTED_VALUE"""),"1149900-10-5793")</f>
        <v>1149900-10-5793</v>
      </c>
      <c r="U131" t="str">
        <f>IFERROR(__xludf.DUMMYFUNCTION("""COMPUTED_VALUE"""),"AD1314264")</f>
        <v>AD1314264</v>
      </c>
      <c r="V131" s="148">
        <f>IFERROR(__xludf.DUMMYFUNCTION("""COMPUTED_VALUE"""),45337.0)</f>
        <v>45337</v>
      </c>
      <c r="W131" s="148">
        <f>IFERROR(__xludf.DUMMYFUNCTION("""COMPUTED_VALUE"""),48989.0)</f>
        <v>48989</v>
      </c>
      <c r="X131" s="149">
        <f>IFERROR(__xludf.DUMMYFUNCTION("""COMPUTED_VALUE"""),48805.0)</f>
        <v>48805</v>
      </c>
      <c r="Y131" t="str">
        <f>IFERROR(__xludf.DUMMYFUNCTION("""COMPUTED_VALUE"""),"ปลอดภัย")</f>
        <v>ปลอดภัย</v>
      </c>
      <c r="Z131" t="str">
        <f>IFERROR(__xludf.DUMMYFUNCTION("""COMPUTED_VALUE"""),"Phra Nakhon Si Ayutthaya Province")</f>
        <v>Phra Nakhon Si Ayutthaya Province</v>
      </c>
      <c r="AA131" t="str">
        <f>IFERROR(__xludf.DUMMYFUNCTION("""COMPUTED_VALUE"""),"ภูเก็ต")</f>
        <v>ภูเก็ต</v>
      </c>
      <c r="AB131" t="str">
        <f>IFERROR(__xludf.DUMMYFUNCTION("""COMPUTED_VALUE"""),"089 613 2144")</f>
        <v>089 613 2144</v>
      </c>
      <c r="AC131" t="str">
        <f>IFERROR(__xludf.DUMMYFUNCTION("""COMPUTED_VALUE"""),"แม่")</f>
        <v>แม่</v>
      </c>
      <c r="AD131" t="str">
        <f>IFERROR(__xludf.DUMMYFUNCTION("""COMPUTED_VALUE"""),"woradaluckl@airasia.com")</f>
        <v>woradaluckl@airasia.com</v>
      </c>
    </row>
    <row r="132">
      <c r="A132" s="142">
        <f>IFERROR(__xludf.DUMMYFUNCTION("""COMPUTED_VALUE"""),28.0)</f>
        <v>28</v>
      </c>
      <c r="B132" t="str">
        <f>IFERROR(__xludf.DUMMYFUNCTION("""COMPUTED_VALUE"""),"TAA2393")</f>
        <v>TAA2393</v>
      </c>
      <c r="C132">
        <f>IFERROR(__xludf.DUMMYFUNCTION("""COMPUTED_VALUE"""),1003369.0)</f>
        <v>1003369</v>
      </c>
      <c r="D132" t="str">
        <f>IFERROR(__xludf.DUMMYFUNCTION("""COMPUTED_VALUE"""),"Mr.")</f>
        <v>Mr.</v>
      </c>
      <c r="E132" t="str">
        <f>IFERROR(__xludf.DUMMYFUNCTION("""COMPUTED_VALUE"""),"Siwakorn")</f>
        <v>Siwakorn</v>
      </c>
      <c r="F132" t="str">
        <f>IFERROR(__xludf.DUMMYFUNCTION("""COMPUTED_VALUE"""),"Champasri")</f>
        <v>Champasri</v>
      </c>
      <c r="G132" t="str">
        <f>IFERROR(__xludf.DUMMYFUNCTION("""COMPUTED_VALUE"""),"Siwakorn Champasri")</f>
        <v>Siwakorn Champasri</v>
      </c>
      <c r="H132" t="str">
        <f>IFERROR(__xludf.DUMMYFUNCTION("""COMPUTED_VALUE"""),"นาย")</f>
        <v>นาย</v>
      </c>
      <c r="I132" t="str">
        <f>IFERROR(__xludf.DUMMYFUNCTION("""COMPUTED_VALUE"""),"ศิวกร")</f>
        <v>ศิวกร</v>
      </c>
      <c r="J132" t="str">
        <f>IFERROR(__xludf.DUMMYFUNCTION("""COMPUTED_VALUE"""),"จำปาศรี")</f>
        <v>จำปาศรี</v>
      </c>
      <c r="K132" t="str">
        <f>IFERROR(__xludf.DUMMYFUNCTION("""COMPUTED_VALUE"""),"ศิวกร จำปาศรี")</f>
        <v>ศิวกร จำปาศรี</v>
      </c>
      <c r="L132" t="str">
        <f>IFERROR(__xludf.DUMMYFUNCTION("""COMPUTED_VALUE"""),"Paul")</f>
        <v>Paul</v>
      </c>
      <c r="M132" t="str">
        <f>IFERROR(__xludf.DUMMYFUNCTION("""COMPUTED_VALUE"""),"Senior Cabin Crew - HKT")</f>
        <v>Senior Cabin Crew - HKT</v>
      </c>
      <c r="N132" t="str">
        <f>IFERROR(__xludf.DUMMYFUNCTION("""COMPUTED_VALUE"""),"HKT")</f>
        <v>HKT</v>
      </c>
      <c r="O132" s="145" t="str">
        <f>IFERROR(__xludf.DUMMYFUNCTION("""COMPUTED_VALUE"""),"Kor Home")</f>
        <v>Kor Home</v>
      </c>
      <c r="P132" t="str">
        <f>IFERROR(__xludf.DUMMYFUNCTION("""COMPUTED_VALUE"""),"Active")</f>
        <v>Active</v>
      </c>
      <c r="R132" s="143">
        <f>IFERROR(__xludf.DUMMYFUNCTION("""COMPUTED_VALUE"""),30924.0)</f>
        <v>30924</v>
      </c>
      <c r="S132" s="146" t="str">
        <f>IFERROR(__xludf.DUMMYFUNCTION("""COMPUTED_VALUE"""),"086 000 1433")</f>
        <v>086 000 1433</v>
      </c>
      <c r="T132" s="147" t="str">
        <f>IFERROR(__xludf.DUMMYFUNCTION("""COMPUTED_VALUE"""),"1959900-02-2203")</f>
        <v>1959900-02-2203</v>
      </c>
      <c r="U132" t="str">
        <f>IFERROR(__xludf.DUMMYFUNCTION("""COMPUTED_VALUE"""),"AC7216141")</f>
        <v>AC7216141</v>
      </c>
      <c r="V132" s="148">
        <f>IFERROR(__xludf.DUMMYFUNCTION("""COMPUTED_VALUE"""),45990.0)</f>
        <v>45990</v>
      </c>
      <c r="W132" s="148">
        <f>IFERROR(__xludf.DUMMYFUNCTION("""COMPUTED_VALUE"""),49276.0)</f>
        <v>49276</v>
      </c>
      <c r="X132" s="149">
        <f>IFERROR(__xludf.DUMMYFUNCTION("""COMPUTED_VALUE"""),49092.0)</f>
        <v>49092</v>
      </c>
      <c r="Y132" t="str">
        <f>IFERROR(__xludf.DUMMYFUNCTION("""COMPUTED_VALUE"""),"ปลอดภัย")</f>
        <v>ปลอดภัย</v>
      </c>
      <c r="Z132" t="str">
        <f>IFERROR(__xludf.DUMMYFUNCTION("""COMPUTED_VALUE"""),"Yala Province")</f>
        <v>Yala Province</v>
      </c>
      <c r="AA132" t="str">
        <f>IFERROR(__xludf.DUMMYFUNCTION("""COMPUTED_VALUE"""),"ภูเก็ต")</f>
        <v>ภูเก็ต</v>
      </c>
      <c r="AB132" t="str">
        <f>IFERROR(__xludf.DUMMYFUNCTION("""COMPUTED_VALUE"""),"081 990 1433")</f>
        <v>081 990 1433</v>
      </c>
      <c r="AC132" t="str">
        <f>IFERROR(__xludf.DUMMYFUNCTION("""COMPUTED_VALUE"""),"พ่อ")</f>
        <v>พ่อ</v>
      </c>
      <c r="AD132" t="str">
        <f>IFERROR(__xludf.DUMMYFUNCTION("""COMPUTED_VALUE"""),"siwakornc@airasia.com")</f>
        <v>siwakornc@airasia.com</v>
      </c>
    </row>
    <row r="133">
      <c r="AD133" t="str">
        <f>IFERROR(__xludf.DUMMYFUNCTION("""COMPUTED_VALUE"""),"")</f>
        <v/>
      </c>
    </row>
    <row r="134">
      <c r="A134" s="142">
        <f>IFERROR(__xludf.DUMMYFUNCTION("""COMPUTED_VALUE"""),29.0)</f>
        <v>29</v>
      </c>
      <c r="B134" t="str">
        <f>IFERROR(__xludf.DUMMYFUNCTION("""COMPUTED_VALUE"""),"TAA2422")</f>
        <v>TAA2422</v>
      </c>
      <c r="C134">
        <f>IFERROR(__xludf.DUMMYFUNCTION("""COMPUTED_VALUE"""),1003383.0)</f>
        <v>1003383</v>
      </c>
      <c r="D134" t="str">
        <f>IFERROR(__xludf.DUMMYFUNCTION("""COMPUTED_VALUE"""),"Ms.")</f>
        <v>Ms.</v>
      </c>
      <c r="E134" t="str">
        <f>IFERROR(__xludf.DUMMYFUNCTION("""COMPUTED_VALUE"""),"Amphika")</f>
        <v>Amphika</v>
      </c>
      <c r="F134" t="str">
        <f>IFERROR(__xludf.DUMMYFUNCTION("""COMPUTED_VALUE"""),"Sirawanadorn")</f>
        <v>Sirawanadorn</v>
      </c>
      <c r="G134" t="str">
        <f>IFERROR(__xludf.DUMMYFUNCTION("""COMPUTED_VALUE"""),"Amphika Sirawanadorn")</f>
        <v>Amphika Sirawanadorn</v>
      </c>
      <c r="H134" t="str">
        <f>IFERROR(__xludf.DUMMYFUNCTION("""COMPUTED_VALUE"""),"นางสาว")</f>
        <v>นางสาว</v>
      </c>
      <c r="I134" t="str">
        <f>IFERROR(__xludf.DUMMYFUNCTION("""COMPUTED_VALUE"""),"อัมพิกา")</f>
        <v>อัมพิกา</v>
      </c>
      <c r="J134" t="str">
        <f>IFERROR(__xludf.DUMMYFUNCTION("""COMPUTED_VALUE"""),"ศิระวนาดร")</f>
        <v>ศิระวนาดร</v>
      </c>
      <c r="K134" t="str">
        <f>IFERROR(__xludf.DUMMYFUNCTION("""COMPUTED_VALUE"""),"อัมพิกา ศิระวนาดร")</f>
        <v>อัมพิกา ศิระวนาดร</v>
      </c>
      <c r="L134" t="str">
        <f>IFERROR(__xludf.DUMMYFUNCTION("""COMPUTED_VALUE"""),"อัม")</f>
        <v>อัม</v>
      </c>
      <c r="M134" t="str">
        <f>IFERROR(__xludf.DUMMYFUNCTION("""COMPUTED_VALUE"""),"Senior Cabin Crew")</f>
        <v>Senior Cabin Crew</v>
      </c>
      <c r="N134" t="str">
        <f>IFERROR(__xludf.DUMMYFUNCTION("""COMPUTED_VALUE"""),"DMK")</f>
        <v>DMK</v>
      </c>
      <c r="O134" s="145" t="str">
        <f>IFERROR(__xludf.DUMMYFUNCTION("""COMPUTED_VALUE"""),"Por+ Home")</f>
        <v>Por+ Home</v>
      </c>
      <c r="P134" t="str">
        <f>IFERROR(__xludf.DUMMYFUNCTION("""COMPUTED_VALUE"""),"Active")</f>
        <v>Active</v>
      </c>
      <c r="R134" s="143">
        <f>IFERROR(__xludf.DUMMYFUNCTION("""COMPUTED_VALUE"""),29948.0)</f>
        <v>29948</v>
      </c>
      <c r="S134" s="146">
        <f>IFERROR(__xludf.DUMMYFUNCTION("""COMPUTED_VALUE"""),9.35633595E8)</f>
        <v>935633595</v>
      </c>
      <c r="T134" s="147" t="str">
        <f>IFERROR(__xludf.DUMMYFUNCTION("""COMPUTED_VALUE"""),"3101100-47-6656")</f>
        <v>3101100-47-6656</v>
      </c>
      <c r="U134" t="str">
        <f>IFERROR(__xludf.DUMMYFUNCTION("""COMPUTED_VALUE"""),"AC2264345")</f>
        <v>AC2264345</v>
      </c>
      <c r="V134" s="148">
        <f>IFERROR(__xludf.DUMMYFUNCTION("""COMPUTED_VALUE"""),44328.0)</f>
        <v>44328</v>
      </c>
      <c r="W134" s="148">
        <f>IFERROR(__xludf.DUMMYFUNCTION("""COMPUTED_VALUE"""),47979.0)</f>
        <v>47979</v>
      </c>
      <c r="X134" s="149">
        <f>IFERROR(__xludf.DUMMYFUNCTION("""COMPUTED_VALUE"""),47798.0)</f>
        <v>47798</v>
      </c>
      <c r="Y134" t="str">
        <f>IFERROR(__xludf.DUMMYFUNCTION("""COMPUTED_VALUE"""),"ปลอดภัย")</f>
        <v>ปลอดภัย</v>
      </c>
      <c r="Z134" t="str">
        <f>IFERROR(__xludf.DUMMYFUNCTION("""COMPUTED_VALUE"""),"Bangkok")</f>
        <v>Bangkok</v>
      </c>
      <c r="AA134" t="str">
        <f>IFERROR(__xludf.DUMMYFUNCTION("""COMPUTED_VALUE"""),"นนทบุรี อำเภอเมือง")</f>
        <v>นนทบุรี อำเภอเมือง</v>
      </c>
      <c r="AB134" t="str">
        <f>IFERROR(__xludf.DUMMYFUNCTION("""COMPUTED_VALUE"""),"081 490 6060")</f>
        <v>081 490 6060</v>
      </c>
      <c r="AC134" t="str">
        <f>IFERROR(__xludf.DUMMYFUNCTION("""COMPUTED_VALUE"""),"พี่สาว")</f>
        <v>พี่สาว</v>
      </c>
      <c r="AD134" t="str">
        <f>IFERROR(__xludf.DUMMYFUNCTION("""COMPUTED_VALUE"""),"amphikas@airasia.com")</f>
        <v>amphikas@airasia.com</v>
      </c>
    </row>
    <row r="135">
      <c r="A135" s="142">
        <f>IFERROR(__xludf.DUMMYFUNCTION("""COMPUTED_VALUE"""),29.0)</f>
        <v>29</v>
      </c>
      <c r="B135" t="str">
        <f>IFERROR(__xludf.DUMMYFUNCTION("""COMPUTED_VALUE"""),"TAA2428")</f>
        <v>TAA2428</v>
      </c>
      <c r="C135">
        <f>IFERROR(__xludf.DUMMYFUNCTION("""COMPUTED_VALUE"""),1003384.0)</f>
        <v>1003384</v>
      </c>
      <c r="D135" t="str">
        <f>IFERROR(__xludf.DUMMYFUNCTION("""COMPUTED_VALUE"""),"Ms.")</f>
        <v>Ms.</v>
      </c>
      <c r="E135" t="str">
        <f>IFERROR(__xludf.DUMMYFUNCTION("""COMPUTED_VALUE"""),"Chatchaya (Pimmpatthra)")</f>
        <v>Chatchaya (Pimmpatthra)</v>
      </c>
      <c r="F135" t="str">
        <f>IFERROR(__xludf.DUMMYFUNCTION("""COMPUTED_VALUE"""),"Bhoocharyarth(Rattanarangsri)")</f>
        <v>Bhoocharyarth(Rattanarangsri)</v>
      </c>
      <c r="G135" t="str">
        <f>IFERROR(__xludf.DUMMYFUNCTION("""COMPUTED_VALUE"""),"Chatchaya Bhoocharyarth")</f>
        <v>Chatchaya Bhoocharyarth</v>
      </c>
      <c r="H135" t="str">
        <f>IFERROR(__xludf.DUMMYFUNCTION("""COMPUTED_VALUE"""),"นางสาว")</f>
        <v>นางสาว</v>
      </c>
      <c r="I135" t="str">
        <f>IFERROR(__xludf.DUMMYFUNCTION("""COMPUTED_VALUE"""),"ชัชชญา(พิมพ์ภัทรา)")</f>
        <v>ชัชชญา(พิมพ์ภัทรา)</v>
      </c>
      <c r="J135" t="str">
        <f>IFERROR(__xludf.DUMMYFUNCTION("""COMPUTED_VALUE"""),"บูชาญาติ (รัตนรังสษี)")</f>
        <v>บูชาญาติ (รัตนรังสษี)</v>
      </c>
      <c r="K135" t="str">
        <f>IFERROR(__xludf.DUMMYFUNCTION("""COMPUTED_VALUE"""),"ชัชชญา บูชาญาติ")</f>
        <v>ชัชชญา บูชาญาติ</v>
      </c>
      <c r="L135" t="str">
        <f>IFERROR(__xludf.DUMMYFUNCTION("""COMPUTED_VALUE"""),"ฝน")</f>
        <v>ฝน</v>
      </c>
      <c r="M135" t="str">
        <f>IFERROR(__xludf.DUMMYFUNCTION("""COMPUTED_VALUE"""),"Senior Cabin Crew")</f>
        <v>Senior Cabin Crew</v>
      </c>
      <c r="N135" t="str">
        <f>IFERROR(__xludf.DUMMYFUNCTION("""COMPUTED_VALUE"""),"DMK")</f>
        <v>DMK</v>
      </c>
      <c r="O135" s="145" t="str">
        <f>IFERROR(__xludf.DUMMYFUNCTION("""COMPUTED_VALUE"""),"Kor Home")</f>
        <v>Kor Home</v>
      </c>
      <c r="P135" t="str">
        <f>IFERROR(__xludf.DUMMYFUNCTION("""COMPUTED_VALUE"""),"Active")</f>
        <v>Active</v>
      </c>
      <c r="R135" s="143">
        <f>IFERROR(__xludf.DUMMYFUNCTION("""COMPUTED_VALUE"""),29422.0)</f>
        <v>29422</v>
      </c>
      <c r="S135" s="146" t="str">
        <f>IFERROR(__xludf.DUMMYFUNCTION("""COMPUTED_VALUE"""),"093 519 6428")</f>
        <v>093 519 6428</v>
      </c>
      <c r="T135" s="147" t="str">
        <f>IFERROR(__xludf.DUMMYFUNCTION("""COMPUTED_VALUE"""),"3190800-07-8326")</f>
        <v>3190800-07-8326</v>
      </c>
      <c r="U135" t="str">
        <f>IFERROR(__xludf.DUMMYFUNCTION("""COMPUTED_VALUE"""),"AC4840620")</f>
        <v>AC4840620</v>
      </c>
      <c r="V135" s="148">
        <f>IFERROR(__xludf.DUMMYFUNCTION("""COMPUTED_VALUE"""),45020.0)</f>
        <v>45020</v>
      </c>
      <c r="W135" s="148">
        <f>IFERROR(__xludf.DUMMYFUNCTION("""COMPUTED_VALUE"""),48672.0)</f>
        <v>48672</v>
      </c>
      <c r="X135" s="149">
        <f>IFERROR(__xludf.DUMMYFUNCTION("""COMPUTED_VALUE"""),48490.0)</f>
        <v>48490</v>
      </c>
      <c r="Y135" t="str">
        <f>IFERROR(__xludf.DUMMYFUNCTION("""COMPUTED_VALUE"""),"ปลอดภัย")</f>
        <v>ปลอดภัย</v>
      </c>
      <c r="Z135" t="str">
        <f>IFERROR(__xludf.DUMMYFUNCTION("""COMPUTED_VALUE"""),"Saraburi Province")</f>
        <v>Saraburi Province</v>
      </c>
      <c r="AA135" t="str">
        <f>IFERROR(__xludf.DUMMYFUNCTION("""COMPUTED_VALUE"""),"ลาดกระบัง")</f>
        <v>ลาดกระบัง</v>
      </c>
      <c r="AB135" t="str">
        <f>IFERROR(__xludf.DUMMYFUNCTION("""COMPUTED_VALUE"""),"087 755 8590")</f>
        <v>087 755 8590</v>
      </c>
      <c r="AC135" t="str">
        <f>IFERROR(__xludf.DUMMYFUNCTION("""COMPUTED_VALUE"""),"ไม่ระบุ")</f>
        <v>ไม่ระบุ</v>
      </c>
      <c r="AD135" t="str">
        <f>IFERROR(__xludf.DUMMYFUNCTION("""COMPUTED_VALUE"""),"chatchayab@airasia.com")</f>
        <v>chatchayab@airasia.com</v>
      </c>
    </row>
    <row r="136">
      <c r="A136" s="142">
        <f>IFERROR(__xludf.DUMMYFUNCTION("""COMPUTED_VALUE"""),29.0)</f>
        <v>29</v>
      </c>
      <c r="B136" t="str">
        <f>IFERROR(__xludf.DUMMYFUNCTION("""COMPUTED_VALUE"""),"TAA2426")</f>
        <v>TAA2426</v>
      </c>
      <c r="C136">
        <f>IFERROR(__xludf.DUMMYFUNCTION("""COMPUTED_VALUE"""),1003385.0)</f>
        <v>1003385</v>
      </c>
      <c r="D136" t="str">
        <f>IFERROR(__xludf.DUMMYFUNCTION("""COMPUTED_VALUE"""),"Ms.")</f>
        <v>Ms.</v>
      </c>
      <c r="E136" t="str">
        <f>IFERROR(__xludf.DUMMYFUNCTION("""COMPUTED_VALUE"""),"Jaruma")</f>
        <v>Jaruma</v>
      </c>
      <c r="F136" t="str">
        <f>IFERROR(__xludf.DUMMYFUNCTION("""COMPUTED_VALUE"""),"Jantarapap")</f>
        <v>Jantarapap</v>
      </c>
      <c r="G136" t="str">
        <f>IFERROR(__xludf.DUMMYFUNCTION("""COMPUTED_VALUE"""),"Jaruma Jantarapap")</f>
        <v>Jaruma Jantarapap</v>
      </c>
      <c r="H136" t="str">
        <f>IFERROR(__xludf.DUMMYFUNCTION("""COMPUTED_VALUE"""),"นางสาว")</f>
        <v>นางสาว</v>
      </c>
      <c r="I136" t="str">
        <f>IFERROR(__xludf.DUMMYFUNCTION("""COMPUTED_VALUE"""),"จารุมา")</f>
        <v>จารุมา</v>
      </c>
      <c r="J136" t="str">
        <f>IFERROR(__xludf.DUMMYFUNCTION("""COMPUTED_VALUE"""),"จันทรภาพ")</f>
        <v>จันทรภาพ</v>
      </c>
      <c r="K136" t="str">
        <f>IFERROR(__xludf.DUMMYFUNCTION("""COMPUTED_VALUE"""),"จารุมา จันทรภาพ")</f>
        <v>จารุมา จันทรภาพ</v>
      </c>
      <c r="L136" t="str">
        <f>IFERROR(__xludf.DUMMYFUNCTION("""COMPUTED_VALUE"""),"จา")</f>
        <v>จา</v>
      </c>
      <c r="M136" t="str">
        <f>IFERROR(__xludf.DUMMYFUNCTION("""COMPUTED_VALUE"""),"Senior Cabin Crew")</f>
        <v>Senior Cabin Crew</v>
      </c>
      <c r="N136" t="str">
        <f>IFERROR(__xludf.DUMMYFUNCTION("""COMPUTED_VALUE"""),"DMK")</f>
        <v>DMK</v>
      </c>
      <c r="O136" s="145" t="str">
        <f>IFERROR(__xludf.DUMMYFUNCTION("""COMPUTED_VALUE"""),"Por+ Home")</f>
        <v>Por+ Home</v>
      </c>
      <c r="P136" t="str">
        <f>IFERROR(__xludf.DUMMYFUNCTION("""COMPUTED_VALUE"""),"Active")</f>
        <v>Active</v>
      </c>
      <c r="R136" s="143">
        <f>IFERROR(__xludf.DUMMYFUNCTION("""COMPUTED_VALUE"""),29569.0)</f>
        <v>29569</v>
      </c>
      <c r="S136" s="146" t="str">
        <f>IFERROR(__xludf.DUMMYFUNCTION("""COMPUTED_VALUE"""),"096 945 3664")</f>
        <v>096 945 3664</v>
      </c>
      <c r="T136" s="147" t="str">
        <f>IFERROR(__xludf.DUMMYFUNCTION("""COMPUTED_VALUE"""),"3610400-22-1747")</f>
        <v>3610400-22-1747</v>
      </c>
      <c r="U136" t="str">
        <f>IFERROR(__xludf.DUMMYFUNCTION("""COMPUTED_VALUE"""),"AC3618673")</f>
        <v>AC3618673</v>
      </c>
      <c r="V136" s="148">
        <f>IFERROR(__xludf.DUMMYFUNCTION("""COMPUTED_VALUE"""),44760.0)</f>
        <v>44760</v>
      </c>
      <c r="W136" s="148">
        <f>IFERROR(__xludf.DUMMYFUNCTION("""COMPUTED_VALUE"""),46585.0)</f>
        <v>46585</v>
      </c>
      <c r="X136" s="149">
        <f>IFERROR(__xludf.DUMMYFUNCTION("""COMPUTED_VALUE"""),46404.0)</f>
        <v>46404</v>
      </c>
      <c r="Y136" t="str">
        <f>IFERROR(__xludf.DUMMYFUNCTION("""COMPUTED_VALUE"""),"ปลอดภัย")</f>
        <v>ปลอดภัย</v>
      </c>
      <c r="Z136" t="str">
        <f>IFERROR(__xludf.DUMMYFUNCTION("""COMPUTED_VALUE"""),"Uthai Thani Province")</f>
        <v>Uthai Thani Province</v>
      </c>
      <c r="AA136" t="str">
        <f>IFERROR(__xludf.DUMMYFUNCTION("""COMPUTED_VALUE"""),"บางเขน")</f>
        <v>บางเขน</v>
      </c>
      <c r="AB136" t="str">
        <f>IFERROR(__xludf.DUMMYFUNCTION("""COMPUTED_VALUE"""),"086 755 1717")</f>
        <v>086 755 1717</v>
      </c>
      <c r="AC136" t="str">
        <f>IFERROR(__xludf.DUMMYFUNCTION("""COMPUTED_VALUE"""),"สามี")</f>
        <v>สามี</v>
      </c>
      <c r="AD136" t="str">
        <f>IFERROR(__xludf.DUMMYFUNCTION("""COMPUTED_VALUE"""),"jarumaj@airasia.com")</f>
        <v>jarumaj@airasia.com</v>
      </c>
    </row>
    <row r="137">
      <c r="A137" s="142">
        <f>IFERROR(__xludf.DUMMYFUNCTION("""COMPUTED_VALUE"""),29.0)</f>
        <v>29</v>
      </c>
      <c r="B137" t="str">
        <f>IFERROR(__xludf.DUMMYFUNCTION("""COMPUTED_VALUE"""),"TAA2423")</f>
        <v>TAA2423</v>
      </c>
      <c r="C137">
        <f>IFERROR(__xludf.DUMMYFUNCTION("""COMPUTED_VALUE"""),1003390.0)</f>
        <v>1003390</v>
      </c>
      <c r="D137" t="str">
        <f>IFERROR(__xludf.DUMMYFUNCTION("""COMPUTED_VALUE"""),"Ms.")</f>
        <v>Ms.</v>
      </c>
      <c r="E137" t="str">
        <f>IFERROR(__xludf.DUMMYFUNCTION("""COMPUTED_VALUE"""),"Pattaranit")</f>
        <v>Pattaranit</v>
      </c>
      <c r="F137" t="str">
        <f>IFERROR(__xludf.DUMMYFUNCTION("""COMPUTED_VALUE"""),"Trejareonwiwat")</f>
        <v>Trejareonwiwat</v>
      </c>
      <c r="G137" t="str">
        <f>IFERROR(__xludf.DUMMYFUNCTION("""COMPUTED_VALUE"""),"Pattaranit Trejareonwiwat")</f>
        <v>Pattaranit Trejareonwiwat</v>
      </c>
      <c r="H137" t="str">
        <f>IFERROR(__xludf.DUMMYFUNCTION("""COMPUTED_VALUE"""),"นางสาว")</f>
        <v>นางสาว</v>
      </c>
      <c r="I137" t="str">
        <f>IFERROR(__xludf.DUMMYFUNCTION("""COMPUTED_VALUE"""),"ภัทรนิธิ์")</f>
        <v>ภัทรนิธิ์</v>
      </c>
      <c r="J137" t="str">
        <f>IFERROR(__xludf.DUMMYFUNCTION("""COMPUTED_VALUE"""),"ตรีเจริญวิวัฒน์")</f>
        <v>ตรีเจริญวิวัฒน์</v>
      </c>
      <c r="K137" t="str">
        <f>IFERROR(__xludf.DUMMYFUNCTION("""COMPUTED_VALUE"""),"ภัทรนิธิ์ ตรีเจริญวิวัฒน์")</f>
        <v>ภัทรนิธิ์ ตรีเจริญวิวัฒน์</v>
      </c>
      <c r="L137" t="str">
        <f>IFERROR(__xludf.DUMMYFUNCTION("""COMPUTED_VALUE"""),"Jib")</f>
        <v>Jib</v>
      </c>
      <c r="M137" t="str">
        <f>IFERROR(__xludf.DUMMYFUNCTION("""COMPUTED_VALUE"""),"Senior Cabin Crew")</f>
        <v>Senior Cabin Crew</v>
      </c>
      <c r="N137" t="str">
        <f>IFERROR(__xludf.DUMMYFUNCTION("""COMPUTED_VALUE"""),"DMK")</f>
        <v>DMK</v>
      </c>
      <c r="O137" s="145" t="str">
        <f>IFERROR(__xludf.DUMMYFUNCTION("""COMPUTED_VALUE"""),"Nhui Home")</f>
        <v>Nhui Home</v>
      </c>
      <c r="P137" t="str">
        <f>IFERROR(__xludf.DUMMYFUNCTION("""COMPUTED_VALUE"""),"Active")</f>
        <v>Active</v>
      </c>
      <c r="R137" s="143">
        <f>IFERROR(__xludf.DUMMYFUNCTION("""COMPUTED_VALUE"""),31013.0)</f>
        <v>31013</v>
      </c>
      <c r="S137" s="146" t="str">
        <f>IFERROR(__xludf.DUMMYFUNCTION("""COMPUTED_VALUE"""),"086 802 8101")</f>
        <v>086 802 8101</v>
      </c>
      <c r="T137" s="147" t="str">
        <f>IFERROR(__xludf.DUMMYFUNCTION("""COMPUTED_VALUE"""),"1100600-01-7998")</f>
        <v>1100600-01-7998</v>
      </c>
      <c r="U137" t="str">
        <f>IFERROR(__xludf.DUMMYFUNCTION("""COMPUTED_VALUE"""),"AC5776748")</f>
        <v>AC5776748</v>
      </c>
      <c r="V137" s="148">
        <f>IFERROR(__xludf.DUMMYFUNCTION("""COMPUTED_VALUE"""),45223.0)</f>
        <v>45223</v>
      </c>
      <c r="W137" s="148">
        <f>IFERROR(__xludf.DUMMYFUNCTION("""COMPUTED_VALUE"""),48875.0)</f>
        <v>48875</v>
      </c>
      <c r="X137" s="149">
        <f>IFERROR(__xludf.DUMMYFUNCTION("""COMPUTED_VALUE"""),48692.0)</f>
        <v>48692</v>
      </c>
      <c r="Y137" t="str">
        <f>IFERROR(__xludf.DUMMYFUNCTION("""COMPUTED_VALUE"""),"ปลอดภัย")</f>
        <v>ปลอดภัย</v>
      </c>
      <c r="Z137" t="str">
        <f>IFERROR(__xludf.DUMMYFUNCTION("""COMPUTED_VALUE"""),"Bangkok")</f>
        <v>Bangkok</v>
      </c>
      <c r="AA137" t="str">
        <f>IFERROR(__xludf.DUMMYFUNCTION("""COMPUTED_VALUE"""),"lสะพานใหม่")</f>
        <v>lสะพานใหม่</v>
      </c>
      <c r="AB137" t="str">
        <f>IFERROR(__xludf.DUMMYFUNCTION("""COMPUTED_VALUE"""),"083 261 7778")</f>
        <v>083 261 7778</v>
      </c>
      <c r="AC137" t="str">
        <f>IFERROR(__xludf.DUMMYFUNCTION("""COMPUTED_VALUE"""),"พ่อ")</f>
        <v>พ่อ</v>
      </c>
      <c r="AD137" t="str">
        <f>IFERROR(__xludf.DUMMYFUNCTION("""COMPUTED_VALUE"""),"pattaranitt@airasia.com")</f>
        <v>pattaranitt@airasia.com</v>
      </c>
    </row>
    <row r="138">
      <c r="A138" s="142">
        <f>IFERROR(__xludf.DUMMYFUNCTION("""COMPUTED_VALUE"""),29.0)</f>
        <v>29</v>
      </c>
      <c r="B138" t="str">
        <f>IFERROR(__xludf.DUMMYFUNCTION("""COMPUTED_VALUE"""),"TAA2427")</f>
        <v>TAA2427</v>
      </c>
      <c r="C138">
        <f>IFERROR(__xludf.DUMMYFUNCTION("""COMPUTED_VALUE"""),1003392.0)</f>
        <v>1003392</v>
      </c>
      <c r="D138" t="str">
        <f>IFERROR(__xludf.DUMMYFUNCTION("""COMPUTED_VALUE"""),"Ms.")</f>
        <v>Ms.</v>
      </c>
      <c r="E138" t="str">
        <f>IFERROR(__xludf.DUMMYFUNCTION("""COMPUTED_VALUE"""),"Punnaphas (Amornret)")</f>
        <v>Punnaphas (Amornret)</v>
      </c>
      <c r="F138" t="str">
        <f>IFERROR(__xludf.DUMMYFUNCTION("""COMPUTED_VALUE"""),"Tawornpanmanee")</f>
        <v>Tawornpanmanee</v>
      </c>
      <c r="G138" t="str">
        <f>IFERROR(__xludf.DUMMYFUNCTION("""COMPUTED_VALUE"""),"Punnaphas Tawornpanmanee")</f>
        <v>Punnaphas Tawornpanmanee</v>
      </c>
      <c r="H138" t="str">
        <f>IFERROR(__xludf.DUMMYFUNCTION("""COMPUTED_VALUE"""),"นางสาว")</f>
        <v>นางสาว</v>
      </c>
      <c r="I138" t="str">
        <f>IFERROR(__xludf.DUMMYFUNCTION("""COMPUTED_VALUE"""),"ปุณณภัสสร์")</f>
        <v>ปุณณภัสสร์</v>
      </c>
      <c r="J138" t="str">
        <f>IFERROR(__xludf.DUMMYFUNCTION("""COMPUTED_VALUE"""),"ถาวรพันธุ์มณี")</f>
        <v>ถาวรพันธุ์มณี</v>
      </c>
      <c r="K138" t="str">
        <f>IFERROR(__xludf.DUMMYFUNCTION("""COMPUTED_VALUE"""),"ปุณณภัสสร์ ถาวรพันธุ์มณี")</f>
        <v>ปุณณภัสสร์ ถาวรพันธุ์มณี</v>
      </c>
      <c r="L138" t="str">
        <f>IFERROR(__xludf.DUMMYFUNCTION("""COMPUTED_VALUE"""),"Yin / หยิน")</f>
        <v>Yin / หยิน</v>
      </c>
      <c r="M138" t="str">
        <f>IFERROR(__xludf.DUMMYFUNCTION("""COMPUTED_VALUE"""),"Cabin Crew")</f>
        <v>Cabin Crew</v>
      </c>
      <c r="N138" t="str">
        <f>IFERROR(__xludf.DUMMYFUNCTION("""COMPUTED_VALUE"""),"DMK")</f>
        <v>DMK</v>
      </c>
      <c r="O138" s="145" t="str">
        <f>IFERROR(__xludf.DUMMYFUNCTION("""COMPUTED_VALUE"""),"Por+ Home")</f>
        <v>Por+ Home</v>
      </c>
      <c r="P138" t="str">
        <f>IFERROR(__xludf.DUMMYFUNCTION("""COMPUTED_VALUE"""),"Active")</f>
        <v>Active</v>
      </c>
      <c r="R138" s="143">
        <f>IFERROR(__xludf.DUMMYFUNCTION("""COMPUTED_VALUE"""),30509.0)</f>
        <v>30509</v>
      </c>
      <c r="S138" s="146" t="str">
        <f>IFERROR(__xludf.DUMMYFUNCTION("""COMPUTED_VALUE"""),"061 536 6441")</f>
        <v>061 536 6441</v>
      </c>
      <c r="T138" s="147" t="str">
        <f>IFERROR(__xludf.DUMMYFUNCTION("""COMPUTED_VALUE"""),"3102002-75-8861")</f>
        <v>3102002-75-8861</v>
      </c>
      <c r="U138" t="str">
        <f>IFERROR(__xludf.DUMMYFUNCTION("""COMPUTED_VALUE"""),"AC4381670")</f>
        <v>AC4381670</v>
      </c>
      <c r="V138" s="148">
        <f>IFERROR(__xludf.DUMMYFUNCTION("""COMPUTED_VALUE"""),44936.0)</f>
        <v>44936</v>
      </c>
      <c r="W138" s="148">
        <f>IFERROR(__xludf.DUMMYFUNCTION("""COMPUTED_VALUE"""),48588.0)</f>
        <v>48588</v>
      </c>
      <c r="X138" s="149">
        <f>IFERROR(__xludf.DUMMYFUNCTION("""COMPUTED_VALUE"""),48404.0)</f>
        <v>48404</v>
      </c>
      <c r="Y138" t="str">
        <f>IFERROR(__xludf.DUMMYFUNCTION("""COMPUTED_VALUE"""),"ปลอดภัย")</f>
        <v>ปลอดภัย</v>
      </c>
      <c r="Z138" t="str">
        <f>IFERROR(__xludf.DUMMYFUNCTION("""COMPUTED_VALUE"""),"Bangkok")</f>
        <v>Bangkok</v>
      </c>
      <c r="AA138" t="str">
        <f>IFERROR(__xludf.DUMMYFUNCTION("""COMPUTED_VALUE"""),"กรุงเทพ")</f>
        <v>กรุงเทพ</v>
      </c>
      <c r="AB138" t="str">
        <f>IFERROR(__xludf.DUMMYFUNCTION("""COMPUTED_VALUE"""),"086 756 9646")</f>
        <v>086 756 9646</v>
      </c>
      <c r="AC138" t="str">
        <f>IFERROR(__xludf.DUMMYFUNCTION("""COMPUTED_VALUE"""),"แม่")</f>
        <v>แม่</v>
      </c>
      <c r="AD138" t="str">
        <f>IFERROR(__xludf.DUMMYFUNCTION("""COMPUTED_VALUE"""),"punnaphast@airasia.com")</f>
        <v>punnaphast@airasia.com</v>
      </c>
    </row>
    <row r="139">
      <c r="A139" s="142">
        <f>IFERROR(__xludf.DUMMYFUNCTION("""COMPUTED_VALUE"""),29.0)</f>
        <v>29</v>
      </c>
      <c r="B139" t="str">
        <f>IFERROR(__xludf.DUMMYFUNCTION("""COMPUTED_VALUE"""),"TAA2399")</f>
        <v>TAA2399</v>
      </c>
      <c r="C139">
        <f>IFERROR(__xludf.DUMMYFUNCTION("""COMPUTED_VALUE"""),1003393.0)</f>
        <v>1003393</v>
      </c>
      <c r="D139" t="str">
        <f>IFERROR(__xludf.DUMMYFUNCTION("""COMPUTED_VALUE"""),"Ms.")</f>
        <v>Ms.</v>
      </c>
      <c r="E139" t="str">
        <f>IFERROR(__xludf.DUMMYFUNCTION("""COMPUTED_VALUE"""),"Rhodavalentine")</f>
        <v>Rhodavalentine</v>
      </c>
      <c r="F139" t="str">
        <f>IFERROR(__xludf.DUMMYFUNCTION("""COMPUTED_VALUE"""),"Tipayasoceniza")</f>
        <v>Tipayasoceniza</v>
      </c>
      <c r="G139" t="str">
        <f>IFERROR(__xludf.DUMMYFUNCTION("""COMPUTED_VALUE"""),"Rhodavalentine Tipayasoceniza")</f>
        <v>Rhodavalentine Tipayasoceniza</v>
      </c>
      <c r="H139" t="str">
        <f>IFERROR(__xludf.DUMMYFUNCTION("""COMPUTED_VALUE"""),"นางสาว")</f>
        <v>นางสาว</v>
      </c>
      <c r="I139" t="str">
        <f>IFERROR(__xludf.DUMMYFUNCTION("""COMPUTED_VALUE"""),"โรดาวาเลนไทน์")</f>
        <v>โรดาวาเลนไทน์</v>
      </c>
      <c r="J139" t="str">
        <f>IFERROR(__xludf.DUMMYFUNCTION("""COMPUTED_VALUE"""),"ทิพยโสเซนิซา")</f>
        <v>ทิพยโสเซนิซา</v>
      </c>
      <c r="K139" t="str">
        <f>IFERROR(__xludf.DUMMYFUNCTION("""COMPUTED_VALUE"""),"โรดาวาเลนไทน์ ทิพยโสเซนิซา")</f>
        <v>โรดาวาเลนไทน์ ทิพยโสเซนิซา</v>
      </c>
      <c r="L139" t="str">
        <f>IFERROR(__xludf.DUMMYFUNCTION("""COMPUTED_VALUE"""),"Rhoda")</f>
        <v>Rhoda</v>
      </c>
      <c r="M139" t="str">
        <f>IFERROR(__xludf.DUMMYFUNCTION("""COMPUTED_VALUE"""),"Senior Cabin Crew")</f>
        <v>Senior Cabin Crew</v>
      </c>
      <c r="N139" t="str">
        <f>IFERROR(__xludf.DUMMYFUNCTION("""COMPUTED_VALUE"""),"DMK")</f>
        <v>DMK</v>
      </c>
      <c r="O139" s="145" t="str">
        <f>IFERROR(__xludf.DUMMYFUNCTION("""COMPUTED_VALUE"""),"Por+ Home")</f>
        <v>Por+ Home</v>
      </c>
      <c r="P139" t="str">
        <f>IFERROR(__xludf.DUMMYFUNCTION("""COMPUTED_VALUE"""),"Active")</f>
        <v>Active</v>
      </c>
      <c r="R139" s="143">
        <f>IFERROR(__xludf.DUMMYFUNCTION("""COMPUTED_VALUE"""),29996.0)</f>
        <v>29996</v>
      </c>
      <c r="S139" s="146" t="str">
        <f>IFERROR(__xludf.DUMMYFUNCTION("""COMPUTED_VALUE"""),"089 669 2348")</f>
        <v>089 669 2348</v>
      </c>
      <c r="T139" s="147" t="str">
        <f>IFERROR(__xludf.DUMMYFUNCTION("""COMPUTED_VALUE"""),"5101800-04-6537")</f>
        <v>5101800-04-6537</v>
      </c>
      <c r="U139" t="str">
        <f>IFERROR(__xludf.DUMMYFUNCTION("""COMPUTED_VALUE"""),"AD1259828")</f>
        <v>AD1259828</v>
      </c>
      <c r="V139" s="148">
        <f>IFERROR(__xludf.DUMMYFUNCTION("""COMPUTED_VALUE"""),45196.0)</f>
        <v>45196</v>
      </c>
      <c r="W139" s="148">
        <f>IFERROR(__xludf.DUMMYFUNCTION("""COMPUTED_VALUE"""),48848.0)</f>
        <v>48848</v>
      </c>
      <c r="X139" s="149">
        <f>IFERROR(__xludf.DUMMYFUNCTION("""COMPUTED_VALUE"""),48664.0)</f>
        <v>48664</v>
      </c>
      <c r="Y139" t="str">
        <f>IFERROR(__xludf.DUMMYFUNCTION("""COMPUTED_VALUE"""),"ปลอดภัย")</f>
        <v>ปลอดภัย</v>
      </c>
      <c r="Z139" t="str">
        <f>IFERROR(__xludf.DUMMYFUNCTION("""COMPUTED_VALUE"""),"Philippines")</f>
        <v>Philippines</v>
      </c>
      <c r="AA139" t="str">
        <f>IFERROR(__xludf.DUMMYFUNCTION("""COMPUTED_VALUE"""),"ธนบุรี")</f>
        <v>ธนบุรี</v>
      </c>
      <c r="AB139" t="str">
        <f>IFERROR(__xludf.DUMMYFUNCTION("""COMPUTED_VALUE"""),"089 669 2348")</f>
        <v>089 669 2348</v>
      </c>
      <c r="AC139" t="str">
        <f>IFERROR(__xludf.DUMMYFUNCTION("""COMPUTED_VALUE"""),"ไม่ระบุ")</f>
        <v>ไม่ระบุ</v>
      </c>
      <c r="AD139" t="str">
        <f>IFERROR(__xludf.DUMMYFUNCTION("""COMPUTED_VALUE"""),"rhodavalentinet@airasia.com")</f>
        <v>rhodavalentinet@airasia.com</v>
      </c>
    </row>
    <row r="140">
      <c r="A140" s="142">
        <f>IFERROR(__xludf.DUMMYFUNCTION("""COMPUTED_VALUE"""),29.0)</f>
        <v>29</v>
      </c>
      <c r="B140" t="str">
        <f>IFERROR(__xludf.DUMMYFUNCTION("""COMPUTED_VALUE"""),"TAA2425")</f>
        <v>TAA2425</v>
      </c>
      <c r="C140">
        <f>IFERROR(__xludf.DUMMYFUNCTION("""COMPUTED_VALUE"""),1003397.0)</f>
        <v>1003397</v>
      </c>
      <c r="D140" t="str">
        <f>IFERROR(__xludf.DUMMYFUNCTION("""COMPUTED_VALUE"""),"Ms.")</f>
        <v>Ms.</v>
      </c>
      <c r="E140" t="str">
        <f>IFERROR(__xludf.DUMMYFUNCTION("""COMPUTED_VALUE"""),"Vallika")</f>
        <v>Vallika</v>
      </c>
      <c r="F140" t="str">
        <f>IFERROR(__xludf.DUMMYFUNCTION("""COMPUTED_VALUE"""),"Nichajaruspong")</f>
        <v>Nichajaruspong</v>
      </c>
      <c r="G140" t="str">
        <f>IFERROR(__xludf.DUMMYFUNCTION("""COMPUTED_VALUE"""),"Vallika Nichajaruspong")</f>
        <v>Vallika Nichajaruspong</v>
      </c>
      <c r="H140" t="str">
        <f>IFERROR(__xludf.DUMMYFUNCTION("""COMPUTED_VALUE"""),"นางสาว")</f>
        <v>นางสาว</v>
      </c>
      <c r="I140" t="str">
        <f>IFERROR(__xludf.DUMMYFUNCTION("""COMPUTED_VALUE"""),"วัลย์ลิกา")</f>
        <v>วัลย์ลิกา</v>
      </c>
      <c r="J140" t="str">
        <f>IFERROR(__xludf.DUMMYFUNCTION("""COMPUTED_VALUE"""),"นิชาจรัสพงศ์")</f>
        <v>นิชาจรัสพงศ์</v>
      </c>
      <c r="K140" t="str">
        <f>IFERROR(__xludf.DUMMYFUNCTION("""COMPUTED_VALUE"""),"วัลย์ลิกา นิชาจรัสพงศ์")</f>
        <v>วัลย์ลิกา นิชาจรัสพงศ์</v>
      </c>
      <c r="L140" t="str">
        <f>IFERROR(__xludf.DUMMYFUNCTION("""COMPUTED_VALUE"""),"ลูกตาล / Luktan")</f>
        <v>ลูกตาล / Luktan</v>
      </c>
      <c r="M140" t="str">
        <f>IFERROR(__xludf.DUMMYFUNCTION("""COMPUTED_VALUE"""),"Senior Cabin Crew")</f>
        <v>Senior Cabin Crew</v>
      </c>
      <c r="N140" t="str">
        <f>IFERROR(__xludf.DUMMYFUNCTION("""COMPUTED_VALUE"""),"DMK")</f>
        <v>DMK</v>
      </c>
      <c r="O140" s="145" t="str">
        <f>IFERROR(__xludf.DUMMYFUNCTION("""COMPUTED_VALUE"""),"Um Home")</f>
        <v>Um Home</v>
      </c>
      <c r="P140" t="str">
        <f>IFERROR(__xludf.DUMMYFUNCTION("""COMPUTED_VALUE"""),"Active")</f>
        <v>Active</v>
      </c>
      <c r="R140" s="143">
        <f>IFERROR(__xludf.DUMMYFUNCTION("""COMPUTED_VALUE"""),30294.0)</f>
        <v>30294</v>
      </c>
      <c r="S140" s="146" t="str">
        <f>IFERROR(__xludf.DUMMYFUNCTION("""COMPUTED_VALUE"""),"093 926 4963")</f>
        <v>093 926 4963</v>
      </c>
      <c r="T140" s="147" t="str">
        <f>IFERROR(__xludf.DUMMYFUNCTION("""COMPUTED_VALUE"""),"3102200-16-4746")</f>
        <v>3102200-16-4746</v>
      </c>
      <c r="U140" t="str">
        <f>IFERROR(__xludf.DUMMYFUNCTION("""COMPUTED_VALUE"""),"AC5980870")</f>
        <v>AC5980870</v>
      </c>
      <c r="V140" s="148">
        <f>IFERROR(__xludf.DUMMYFUNCTION("""COMPUTED_VALUE"""),45226.0)</f>
        <v>45226</v>
      </c>
      <c r="W140" s="148">
        <f>IFERROR(__xludf.DUMMYFUNCTION("""COMPUTED_VALUE"""),48878.0)</f>
        <v>48878</v>
      </c>
      <c r="X140" s="149">
        <f>IFERROR(__xludf.DUMMYFUNCTION("""COMPUTED_VALUE"""),48695.0)</f>
        <v>48695</v>
      </c>
      <c r="Y140" t="str">
        <f>IFERROR(__xludf.DUMMYFUNCTION("""COMPUTED_VALUE"""),"ปลอดภัย")</f>
        <v>ปลอดภัย</v>
      </c>
      <c r="Z140" t="str">
        <f>IFERROR(__xludf.DUMMYFUNCTION("""COMPUTED_VALUE"""),"Bangkok")</f>
        <v>Bangkok</v>
      </c>
      <c r="AA140" t="str">
        <f>IFERROR(__xludf.DUMMYFUNCTION("""COMPUTED_VALUE"""),"จอมทอง")</f>
        <v>จอมทอง</v>
      </c>
      <c r="AB140" t="str">
        <f>IFERROR(__xludf.DUMMYFUNCTION("""COMPUTED_VALUE"""),"081 552 2213")</f>
        <v>081 552 2213</v>
      </c>
      <c r="AC140" t="str">
        <f>IFERROR(__xludf.DUMMYFUNCTION("""COMPUTED_VALUE"""),"พี่สาว")</f>
        <v>พี่สาว</v>
      </c>
      <c r="AD140" t="str">
        <f>IFERROR(__xludf.DUMMYFUNCTION("""COMPUTED_VALUE"""),"vallikan@airasia.com")</f>
        <v>vallikan@airasia.com</v>
      </c>
    </row>
    <row r="141">
      <c r="A141" s="142">
        <f>IFERROR(__xludf.DUMMYFUNCTION("""COMPUTED_VALUE"""),29.0)</f>
        <v>29</v>
      </c>
      <c r="B141" t="str">
        <f>IFERROR(__xludf.DUMMYFUNCTION("""COMPUTED_VALUE"""),"TAA2388")</f>
        <v>TAA2388</v>
      </c>
      <c r="C141">
        <f>IFERROR(__xludf.DUMMYFUNCTION("""COMPUTED_VALUE"""),1003398.0)</f>
        <v>1003398</v>
      </c>
      <c r="D141" t="str">
        <f>IFERROR(__xludf.DUMMYFUNCTION("""COMPUTED_VALUE"""),"Ms.")</f>
        <v>Ms.</v>
      </c>
      <c r="E141" t="str">
        <f>IFERROR(__xludf.DUMMYFUNCTION("""COMPUTED_VALUE"""),"Netchaya (Varanthaya)")</f>
        <v>Netchaya (Varanthaya)</v>
      </c>
      <c r="F141" t="str">
        <f>IFERROR(__xludf.DUMMYFUNCTION("""COMPUTED_VALUE"""),"Namarsa")</f>
        <v>Namarsa</v>
      </c>
      <c r="G141" t="str">
        <f>IFERROR(__xludf.DUMMYFUNCTION("""COMPUTED_VALUE"""),"Netchaya Namarsa")</f>
        <v>Netchaya Namarsa</v>
      </c>
      <c r="H141" t="str">
        <f>IFERROR(__xludf.DUMMYFUNCTION("""COMPUTED_VALUE"""),"นางสาว")</f>
        <v>นางสาว</v>
      </c>
      <c r="I141" t="str">
        <f>IFERROR(__xludf.DUMMYFUNCTION("""COMPUTED_VALUE"""),"เณชาญา (วรัญธญา)")</f>
        <v>เณชาญา (วรัญธญา)</v>
      </c>
      <c r="J141" t="str">
        <f>IFERROR(__xludf.DUMMYFUNCTION("""COMPUTED_VALUE"""),"นามอาสา")</f>
        <v>นามอาสา</v>
      </c>
      <c r="K141" t="str">
        <f>IFERROR(__xludf.DUMMYFUNCTION("""COMPUTED_VALUE"""),"เณชาญา นามอาสา")</f>
        <v>เณชาญา นามอาสา</v>
      </c>
      <c r="L141" t="str">
        <f>IFERROR(__xludf.DUMMYFUNCTION("""COMPUTED_VALUE"""),"Fon")</f>
        <v>Fon</v>
      </c>
      <c r="M141" t="str">
        <f>IFERROR(__xludf.DUMMYFUNCTION("""COMPUTED_VALUE"""),"Senior Cabin Crew")</f>
        <v>Senior Cabin Crew</v>
      </c>
      <c r="N141" t="str">
        <f>IFERROR(__xludf.DUMMYFUNCTION("""COMPUTED_VALUE"""),"DMK")</f>
        <v>DMK</v>
      </c>
      <c r="O141" s="145" t="str">
        <f>IFERROR(__xludf.DUMMYFUNCTION("""COMPUTED_VALUE"""),"Um Home")</f>
        <v>Um Home</v>
      </c>
      <c r="P141" t="str">
        <f>IFERROR(__xludf.DUMMYFUNCTION("""COMPUTED_VALUE"""),"Active")</f>
        <v>Active</v>
      </c>
      <c r="R141" s="143">
        <f>IFERROR(__xludf.DUMMYFUNCTION("""COMPUTED_VALUE"""),30198.0)</f>
        <v>30198</v>
      </c>
      <c r="S141" s="146" t="str">
        <f>IFERROR(__xludf.DUMMYFUNCTION("""COMPUTED_VALUE"""),"093 581 8997")</f>
        <v>093 581 8997</v>
      </c>
      <c r="T141" s="147" t="str">
        <f>IFERROR(__xludf.DUMMYFUNCTION("""COMPUTED_VALUE"""),"3410102-50-8357")</f>
        <v>3410102-50-8357</v>
      </c>
      <c r="U141" t="str">
        <f>IFERROR(__xludf.DUMMYFUNCTION("""COMPUTED_VALUE"""),"AD2754333")</f>
        <v>AD2754333</v>
      </c>
      <c r="V141" s="148">
        <f>IFERROR(__xludf.DUMMYFUNCTION("""COMPUTED_VALUE"""),46104.0)</f>
        <v>46104</v>
      </c>
      <c r="W141" s="148">
        <f>IFERROR(__xludf.DUMMYFUNCTION("""COMPUTED_VALUE"""),47929.0)</f>
        <v>47929</v>
      </c>
      <c r="X141" s="149">
        <f>IFERROR(__xludf.DUMMYFUNCTION("""COMPUTED_VALUE"""),47748.0)</f>
        <v>47748</v>
      </c>
      <c r="Y141" t="str">
        <f>IFERROR(__xludf.DUMMYFUNCTION("""COMPUTED_VALUE"""),"ปลอดภัย")</f>
        <v>ปลอดภัย</v>
      </c>
      <c r="Z141" t="str">
        <f>IFERROR(__xludf.DUMMYFUNCTION("""COMPUTED_VALUE"""),"Udon Thani Province")</f>
        <v>Udon Thani Province</v>
      </c>
      <c r="AA141" t="str">
        <f>IFERROR(__xludf.DUMMYFUNCTION("""COMPUTED_VALUE"""),"บางพลี")</f>
        <v>บางพลี</v>
      </c>
      <c r="AB141" t="str">
        <f>IFERROR(__xludf.DUMMYFUNCTION("""COMPUTED_VALUE"""),"083 406 5024")</f>
        <v>083 406 5024</v>
      </c>
      <c r="AC141" t="str">
        <f>IFERROR(__xludf.DUMMYFUNCTION("""COMPUTED_VALUE"""),"แม่")</f>
        <v>แม่</v>
      </c>
      <c r="AD141" t="str">
        <f>IFERROR(__xludf.DUMMYFUNCTION("""COMPUTED_VALUE"""),"Netchayan@airasia.com")</f>
        <v>Netchayan@airasia.com</v>
      </c>
    </row>
    <row r="142">
      <c r="AD142" t="str">
        <f>IFERROR(__xludf.DUMMYFUNCTION("""COMPUTED_VALUE"""),"")</f>
        <v/>
      </c>
    </row>
    <row r="143">
      <c r="A143" s="142">
        <f>IFERROR(__xludf.DUMMYFUNCTION("""COMPUTED_VALUE"""),30.0)</f>
        <v>30</v>
      </c>
      <c r="B143" t="str">
        <f>IFERROR(__xludf.DUMMYFUNCTION("""COMPUTED_VALUE"""),"TAA0411")</f>
        <v>TAA0411</v>
      </c>
      <c r="C143">
        <f>IFERROR(__xludf.DUMMYFUNCTION("""COMPUTED_VALUE"""),1000451.0)</f>
        <v>1000451</v>
      </c>
      <c r="D143" t="str">
        <f>IFERROR(__xludf.DUMMYFUNCTION("""COMPUTED_VALUE"""),"Ms.")</f>
        <v>Ms.</v>
      </c>
      <c r="E143" t="str">
        <f>IFERROR(__xludf.DUMMYFUNCTION("""COMPUTED_VALUE"""),"Chutima")</f>
        <v>Chutima</v>
      </c>
      <c r="F143" t="str">
        <f>IFERROR(__xludf.DUMMYFUNCTION("""COMPUTED_VALUE"""),"Yuksen")</f>
        <v>Yuksen</v>
      </c>
      <c r="G143" t="str">
        <f>IFERROR(__xludf.DUMMYFUNCTION("""COMPUTED_VALUE"""),"Chutima Yuksen")</f>
        <v>Chutima Yuksen</v>
      </c>
      <c r="H143" t="str">
        <f>IFERROR(__xludf.DUMMYFUNCTION("""COMPUTED_VALUE"""),"นางสาว")</f>
        <v>นางสาว</v>
      </c>
      <c r="I143" t="str">
        <f>IFERROR(__xludf.DUMMYFUNCTION("""COMPUTED_VALUE"""),"ชุติมา")</f>
        <v>ชุติมา</v>
      </c>
      <c r="J143" t="str">
        <f>IFERROR(__xludf.DUMMYFUNCTION("""COMPUTED_VALUE"""),"ยุกเซ็น")</f>
        <v>ยุกเซ็น</v>
      </c>
      <c r="K143" t="str">
        <f>IFERROR(__xludf.DUMMYFUNCTION("""COMPUTED_VALUE"""),"ชุติมา ยุกเซ็น")</f>
        <v>ชุติมา ยุกเซ็น</v>
      </c>
      <c r="L143" t="str">
        <f>IFERROR(__xludf.DUMMYFUNCTION("""COMPUTED_VALUE"""),"Jah / จ๋า")</f>
        <v>Jah / จ๋า</v>
      </c>
      <c r="M143" t="str">
        <f>IFERROR(__xludf.DUMMYFUNCTION("""COMPUTED_VALUE"""),"Senior Cabin Crew")</f>
        <v>Senior Cabin Crew</v>
      </c>
      <c r="N143" t="str">
        <f>IFERROR(__xludf.DUMMYFUNCTION("""COMPUTED_VALUE"""),"DMK")</f>
        <v>DMK</v>
      </c>
      <c r="O143" s="145" t="str">
        <f>IFERROR(__xludf.DUMMYFUNCTION("""COMPUTED_VALUE"""),"Kor Home")</f>
        <v>Kor Home</v>
      </c>
      <c r="P143" t="str">
        <f>IFERROR(__xludf.DUMMYFUNCTION("""COMPUTED_VALUE"""),"MATL")</f>
        <v>MATL</v>
      </c>
      <c r="R143" s="143">
        <f>IFERROR(__xludf.DUMMYFUNCTION("""COMPUTED_VALUE"""),29912.0)</f>
        <v>29912</v>
      </c>
      <c r="S143" s="146" t="str">
        <f>IFERROR(__xludf.DUMMYFUNCTION("""COMPUTED_VALUE"""),"063 424 9915")</f>
        <v>063 424 9915</v>
      </c>
      <c r="T143" s="147" t="str">
        <f>IFERROR(__xludf.DUMMYFUNCTION("""COMPUTED_VALUE"""),"3920100-90-6610")</f>
        <v>3920100-90-6610</v>
      </c>
      <c r="U143" t="str">
        <f>IFERROR(__xludf.DUMMYFUNCTION("""COMPUTED_VALUE"""),"AD1880784")</f>
        <v>AD1880784</v>
      </c>
      <c r="V143" s="148">
        <f>IFERROR(__xludf.DUMMYFUNCTION("""COMPUTED_VALUE"""),45480.0)</f>
        <v>45480</v>
      </c>
      <c r="W143" s="148">
        <f>IFERROR(__xludf.DUMMYFUNCTION("""COMPUTED_VALUE"""),49131.0)</f>
        <v>49131</v>
      </c>
      <c r="X143" s="149">
        <f>IFERROR(__xludf.DUMMYFUNCTION("""COMPUTED_VALUE"""),48950.0)</f>
        <v>48950</v>
      </c>
      <c r="Y143" t="str">
        <f>IFERROR(__xludf.DUMMYFUNCTION("""COMPUTED_VALUE"""),"ปลอดภัย")</f>
        <v>ปลอดภัย</v>
      </c>
      <c r="Z143" t="str">
        <f>IFERROR(__xludf.DUMMYFUNCTION("""COMPUTED_VALUE"""),"Trang Province")</f>
        <v>Trang Province</v>
      </c>
      <c r="AA143" t="str">
        <f>IFERROR(__xludf.DUMMYFUNCTION("""COMPUTED_VALUE"""),"ภูเก็ต")</f>
        <v>ภูเก็ต</v>
      </c>
      <c r="AB143" t="str">
        <f>IFERROR(__xludf.DUMMYFUNCTION("""COMPUTED_VALUE"""),"! Update !")</f>
        <v>! Update !</v>
      </c>
      <c r="AC143" t="str">
        <f>IFERROR(__xludf.DUMMYFUNCTION("""COMPUTED_VALUE"""),"! Update !")</f>
        <v>! Update !</v>
      </c>
      <c r="AD143" t="str">
        <f>IFERROR(__xludf.DUMMYFUNCTION("""COMPUTED_VALUE"""),"chutimay@airasia.com")</f>
        <v>chutimay@airasia.com</v>
      </c>
    </row>
    <row r="144">
      <c r="A144" s="142">
        <f>IFERROR(__xludf.DUMMYFUNCTION("""COMPUTED_VALUE"""),30.0)</f>
        <v>30</v>
      </c>
      <c r="B144" t="str">
        <f>IFERROR(__xludf.DUMMYFUNCTION("""COMPUTED_VALUE"""),"TAA0716")</f>
        <v>TAA0716</v>
      </c>
      <c r="C144">
        <f>IFERROR(__xludf.DUMMYFUNCTION("""COMPUTED_VALUE"""),1000704.0)</f>
        <v>1000704</v>
      </c>
      <c r="D144" t="str">
        <f>IFERROR(__xludf.DUMMYFUNCTION("""COMPUTED_VALUE"""),"Ms.")</f>
        <v>Ms.</v>
      </c>
      <c r="E144" t="str">
        <f>IFERROR(__xludf.DUMMYFUNCTION("""COMPUTED_VALUE"""),"Wipawadee")</f>
        <v>Wipawadee</v>
      </c>
      <c r="F144" t="str">
        <f>IFERROR(__xludf.DUMMYFUNCTION("""COMPUTED_VALUE"""),"Karawattanaworrakul (Kunchol)")</f>
        <v>Karawattanaworrakul (Kunchol)</v>
      </c>
      <c r="G144" t="str">
        <f>IFERROR(__xludf.DUMMYFUNCTION("""COMPUTED_VALUE"""),"Wipawadee Karawattanaworrakul ")</f>
        <v>Wipawadee Karawattanaworrakul </v>
      </c>
      <c r="H144" t="str">
        <f>IFERROR(__xludf.DUMMYFUNCTION("""COMPUTED_VALUE"""),"นางสาว")</f>
        <v>นางสาว</v>
      </c>
      <c r="I144" t="str">
        <f>IFERROR(__xludf.DUMMYFUNCTION("""COMPUTED_VALUE"""),"วิภาวดี")</f>
        <v>วิภาวดี</v>
      </c>
      <c r="J144" t="str">
        <f>IFERROR(__xludf.DUMMYFUNCTION("""COMPUTED_VALUE"""),"คารวัฒนาวรกุล (คุณชล)")</f>
        <v>คารวัฒนาวรกุล (คุณชล)</v>
      </c>
      <c r="K144" t="str">
        <f>IFERROR(__xludf.DUMMYFUNCTION("""COMPUTED_VALUE"""),"วิภาวดี คารวัฒนาวรกุล")</f>
        <v>วิภาวดี คารวัฒนาวรกุล</v>
      </c>
      <c r="L144" t="str">
        <f>IFERROR(__xludf.DUMMYFUNCTION("""COMPUTED_VALUE"""),"Keaw")</f>
        <v>Keaw</v>
      </c>
      <c r="M144" t="str">
        <f>IFERROR(__xludf.DUMMYFUNCTION("""COMPUTED_VALUE"""),"Cabin Crew - HKT")</f>
        <v>Cabin Crew - HKT</v>
      </c>
      <c r="N144" t="str">
        <f>IFERROR(__xludf.DUMMYFUNCTION("""COMPUTED_VALUE"""),"HKT")</f>
        <v>HKT</v>
      </c>
      <c r="O144" s="145" t="str">
        <f>IFERROR(__xludf.DUMMYFUNCTION("""COMPUTED_VALUE"""),"Kor Home")</f>
        <v>Kor Home</v>
      </c>
      <c r="P144" t="str">
        <f>IFERROR(__xludf.DUMMYFUNCTION("""COMPUTED_VALUE"""),"Active")</f>
        <v>Active</v>
      </c>
      <c r="R144" s="143">
        <f>IFERROR(__xludf.DUMMYFUNCTION("""COMPUTED_VALUE"""),30581.0)</f>
        <v>30581</v>
      </c>
      <c r="S144" s="146" t="str">
        <f>IFERROR(__xludf.DUMMYFUNCTION("""COMPUTED_VALUE"""),"063 535 5493")</f>
        <v>063 535 5493</v>
      </c>
      <c r="T144" s="147" t="str">
        <f>IFERROR(__xludf.DUMMYFUNCTION("""COMPUTED_VALUE"""),"3800100-44-5672")</f>
        <v>3800100-44-5672</v>
      </c>
      <c r="U144" t="str">
        <f>IFERROR(__xludf.DUMMYFUNCTION("""COMPUTED_VALUE"""),"AD3188841")</f>
        <v>AD3188841</v>
      </c>
      <c r="V144" s="148">
        <f>IFERROR(__xludf.DUMMYFUNCTION("""COMPUTED_VALUE"""),46013.0)</f>
        <v>46013</v>
      </c>
      <c r="W144" s="148">
        <f>IFERROR(__xludf.DUMMYFUNCTION("""COMPUTED_VALUE"""),49664.0)</f>
        <v>49664</v>
      </c>
      <c r="X144" s="149">
        <f>IFERROR(__xludf.DUMMYFUNCTION("""COMPUTED_VALUE"""),49481.0)</f>
        <v>49481</v>
      </c>
      <c r="Y144" t="str">
        <f>IFERROR(__xludf.DUMMYFUNCTION("""COMPUTED_VALUE"""),"ปลอดภัย")</f>
        <v>ปลอดภัย</v>
      </c>
      <c r="Z144" t="str">
        <f>IFERROR(__xludf.DUMMYFUNCTION("""COMPUTED_VALUE"""),"Nakhon Si Thammarat Province")</f>
        <v>Nakhon Si Thammarat Province</v>
      </c>
      <c r="AA144" t="str">
        <f>IFERROR(__xludf.DUMMYFUNCTION("""COMPUTED_VALUE"""),"ภูเก็ต")</f>
        <v>ภูเก็ต</v>
      </c>
      <c r="AB144" t="str">
        <f>IFERROR(__xludf.DUMMYFUNCTION("""COMPUTED_VALUE"""),"089 469 4084")</f>
        <v>089 469 4084</v>
      </c>
      <c r="AC144" t="str">
        <f>IFERROR(__xludf.DUMMYFUNCTION("""COMPUTED_VALUE"""),"พ่อ")</f>
        <v>พ่อ</v>
      </c>
      <c r="AD144" t="str">
        <f>IFERROR(__xludf.DUMMYFUNCTION("""COMPUTED_VALUE"""),"wipawadeek@airasia.com")</f>
        <v>wipawadeek@airasia.com</v>
      </c>
    </row>
    <row r="145">
      <c r="AD145" t="str">
        <f>IFERROR(__xludf.DUMMYFUNCTION("""COMPUTED_VALUE"""),"")</f>
        <v/>
      </c>
    </row>
    <row r="146">
      <c r="A146" s="142">
        <f>IFERROR(__xludf.DUMMYFUNCTION("""COMPUTED_VALUE"""),31.0)</f>
        <v>31</v>
      </c>
      <c r="B146" t="str">
        <f>IFERROR(__xludf.DUMMYFUNCTION("""COMPUTED_VALUE"""),"TAA1905")</f>
        <v>TAA1905</v>
      </c>
      <c r="C146">
        <f>IFERROR(__xludf.DUMMYFUNCTION("""COMPUTED_VALUE"""),1001755.0)</f>
        <v>1001755</v>
      </c>
      <c r="D146" t="str">
        <f>IFERROR(__xludf.DUMMYFUNCTION("""COMPUTED_VALUE"""),"Ms.")</f>
        <v>Ms.</v>
      </c>
      <c r="E146" t="str">
        <f>IFERROR(__xludf.DUMMYFUNCTION("""COMPUTED_VALUE"""),"Chananpat (Sirirat)")</f>
        <v>Chananpat (Sirirat)</v>
      </c>
      <c r="F146" t="str">
        <f>IFERROR(__xludf.DUMMYFUNCTION("""COMPUTED_VALUE"""),"Sirivikornrat (Luemon)")</f>
        <v>Sirivikornrat (Luemon)</v>
      </c>
      <c r="G146" t="str">
        <f>IFERROR(__xludf.DUMMYFUNCTION("""COMPUTED_VALUE"""),"Chananpat Sirivikornrat")</f>
        <v>Chananpat Sirivikornrat</v>
      </c>
      <c r="H146" t="str">
        <f>IFERROR(__xludf.DUMMYFUNCTION("""COMPUTED_VALUE"""),"นางสาว")</f>
        <v>นางสาว</v>
      </c>
      <c r="I146" t="str">
        <f>IFERROR(__xludf.DUMMYFUNCTION("""COMPUTED_VALUE"""),"ชนัญพัทธ์ (สิริรัตน์)")</f>
        <v>ชนัญพัทธ์ (สิริรัตน์)</v>
      </c>
      <c r="J146" t="str">
        <f>IFERROR(__xludf.DUMMYFUNCTION("""COMPUTED_VALUE"""),"สิริวิกรรัตน์ (ลือมอญ)")</f>
        <v>สิริวิกรรัตน์ (ลือมอญ)</v>
      </c>
      <c r="K146" t="str">
        <f>IFERROR(__xludf.DUMMYFUNCTION("""COMPUTED_VALUE"""),"ชนัญพัทธ์ สิริวิกรรัตน์")</f>
        <v>ชนัญพัทธ์ สิริวิกรรัตน์</v>
      </c>
      <c r="L146" t="str">
        <f>IFERROR(__xludf.DUMMYFUNCTION("""COMPUTED_VALUE"""),"Som")</f>
        <v>Som</v>
      </c>
      <c r="M146" t="str">
        <f>IFERROR(__xludf.DUMMYFUNCTION("""COMPUTED_VALUE"""),"Senior Cabin Crew")</f>
        <v>Senior Cabin Crew</v>
      </c>
      <c r="N146" t="str">
        <f>IFERROR(__xludf.DUMMYFUNCTION("""COMPUTED_VALUE"""),"DMK")</f>
        <v>DMK</v>
      </c>
      <c r="O146" s="145" t="str">
        <f>IFERROR(__xludf.DUMMYFUNCTION("""COMPUTED_VALUE"""),"Nhui Home")</f>
        <v>Nhui Home</v>
      </c>
      <c r="P146" t="str">
        <f>IFERROR(__xludf.DUMMYFUNCTION("""COMPUTED_VALUE"""),"Active")</f>
        <v>Active</v>
      </c>
      <c r="R146" s="143">
        <f>IFERROR(__xludf.DUMMYFUNCTION("""COMPUTED_VALUE"""),30918.0)</f>
        <v>30918</v>
      </c>
      <c r="S146" s="146" t="str">
        <f>IFERROR(__xludf.DUMMYFUNCTION("""COMPUTED_VALUE"""),"092 619 5665")</f>
        <v>092 619 5665</v>
      </c>
      <c r="T146" s="147" t="str">
        <f>IFERROR(__xludf.DUMMYFUNCTION("""COMPUTED_VALUE"""),"1730600-01-1706")</f>
        <v>1730600-01-1706</v>
      </c>
      <c r="U146" t="str">
        <f>IFERROR(__xludf.DUMMYFUNCTION("""COMPUTED_VALUE"""),"AD0704950")</f>
        <v>AD0704950</v>
      </c>
      <c r="V146" s="148">
        <f>IFERROR(__xludf.DUMMYFUNCTION("""COMPUTED_VALUE"""),44957.0)</f>
        <v>44957</v>
      </c>
      <c r="W146" s="148">
        <f>IFERROR(__xludf.DUMMYFUNCTION("""COMPUTED_VALUE"""),48609.0)</f>
        <v>48609</v>
      </c>
      <c r="X146" s="149">
        <f>IFERROR(__xludf.DUMMYFUNCTION("""COMPUTED_VALUE"""),48425.0)</f>
        <v>48425</v>
      </c>
      <c r="Y146" t="str">
        <f>IFERROR(__xludf.DUMMYFUNCTION("""COMPUTED_VALUE"""),"ปลอดภัย")</f>
        <v>ปลอดภัย</v>
      </c>
      <c r="Z146" t="str">
        <f>IFERROR(__xludf.DUMMYFUNCTION("""COMPUTED_VALUE"""),"Nakhon Pathom Province")</f>
        <v>Nakhon Pathom Province</v>
      </c>
      <c r="AA146" t="str">
        <f>IFERROR(__xludf.DUMMYFUNCTION("""COMPUTED_VALUE"""),"บางเสาธง")</f>
        <v>บางเสาธง</v>
      </c>
      <c r="AB146" t="str">
        <f>IFERROR(__xludf.DUMMYFUNCTION("""COMPUTED_VALUE"""),"081 536 0274")</f>
        <v>081 536 0274</v>
      </c>
      <c r="AC146" t="str">
        <f>IFERROR(__xludf.DUMMYFUNCTION("""COMPUTED_VALUE"""),"แฟน")</f>
        <v>แฟน</v>
      </c>
      <c r="AD146" t="str">
        <f>IFERROR(__xludf.DUMMYFUNCTION("""COMPUTED_VALUE"""),"chananpats@airasia.com")</f>
        <v>chananpats@airasia.com</v>
      </c>
    </row>
    <row r="147">
      <c r="A147" s="142">
        <f>IFERROR(__xludf.DUMMYFUNCTION("""COMPUTED_VALUE"""),31.0)</f>
        <v>31</v>
      </c>
      <c r="B147" t="str">
        <f>IFERROR(__xludf.DUMMYFUNCTION("""COMPUTED_VALUE"""),"TAA2557")</f>
        <v>TAA2557</v>
      </c>
      <c r="C147">
        <f>IFERROR(__xludf.DUMMYFUNCTION("""COMPUTED_VALUE"""),1004029.0)</f>
        <v>1004029</v>
      </c>
      <c r="D147" t="str">
        <f>IFERROR(__xludf.DUMMYFUNCTION("""COMPUTED_VALUE"""),"Ms.")</f>
        <v>Ms.</v>
      </c>
      <c r="E147" t="str">
        <f>IFERROR(__xludf.DUMMYFUNCTION("""COMPUTED_VALUE"""),"Ketsara")</f>
        <v>Ketsara</v>
      </c>
      <c r="F147" t="str">
        <f>IFERROR(__xludf.DUMMYFUNCTION("""COMPUTED_VALUE"""),"Ketsakul")</f>
        <v>Ketsakul</v>
      </c>
      <c r="G147" t="str">
        <f>IFERROR(__xludf.DUMMYFUNCTION("""COMPUTED_VALUE"""),"Ketsara Ketsakul")</f>
        <v>Ketsara Ketsakul</v>
      </c>
      <c r="H147" t="str">
        <f>IFERROR(__xludf.DUMMYFUNCTION("""COMPUTED_VALUE"""),"นางสาว")</f>
        <v>นางสาว</v>
      </c>
      <c r="I147" t="str">
        <f>IFERROR(__xludf.DUMMYFUNCTION("""COMPUTED_VALUE"""),"เกษรา")</f>
        <v>เกษรา</v>
      </c>
      <c r="J147" t="str">
        <f>IFERROR(__xludf.DUMMYFUNCTION("""COMPUTED_VALUE"""),"เกตุสกุล")</f>
        <v>เกตุสกุล</v>
      </c>
      <c r="K147" t="str">
        <f>IFERROR(__xludf.DUMMYFUNCTION("""COMPUTED_VALUE"""),"เกษรา เกตุสกุล")</f>
        <v>เกษรา เกตุสกุล</v>
      </c>
      <c r="L147" t="str">
        <f>IFERROR(__xludf.DUMMYFUNCTION("""COMPUTED_VALUE"""),"Aum")</f>
        <v>Aum</v>
      </c>
      <c r="M147" t="str">
        <f>IFERROR(__xludf.DUMMYFUNCTION("""COMPUTED_VALUE"""),"Senior Cabin Crew")</f>
        <v>Senior Cabin Crew</v>
      </c>
      <c r="N147" t="str">
        <f>IFERROR(__xludf.DUMMYFUNCTION("""COMPUTED_VALUE"""),"DMK")</f>
        <v>DMK</v>
      </c>
      <c r="O147" s="145" t="str">
        <f>IFERROR(__xludf.DUMMYFUNCTION("""COMPUTED_VALUE"""),"Toffy Home")</f>
        <v>Toffy Home</v>
      </c>
      <c r="P147" t="str">
        <f>IFERROR(__xludf.DUMMYFUNCTION("""COMPUTED_VALUE"""),"Active")</f>
        <v>Active</v>
      </c>
      <c r="R147" s="143">
        <f>IFERROR(__xludf.DUMMYFUNCTION("""COMPUTED_VALUE"""),30737.0)</f>
        <v>30737</v>
      </c>
      <c r="S147" s="146" t="str">
        <f>IFERROR(__xludf.DUMMYFUNCTION("""COMPUTED_VALUE"""),"093 459 9951")</f>
        <v>093 459 9951</v>
      </c>
      <c r="T147" s="147" t="str">
        <f>IFERROR(__xludf.DUMMYFUNCTION("""COMPUTED_VALUE"""),"1100700-02-4228")</f>
        <v>1100700-02-4228</v>
      </c>
      <c r="U147" t="str">
        <f>IFERROR(__xludf.DUMMYFUNCTION("""COMPUTED_VALUE"""),"AD1336047")</f>
        <v>AD1336047</v>
      </c>
      <c r="V147" s="148">
        <f>IFERROR(__xludf.DUMMYFUNCTION("""COMPUTED_VALUE"""),45341.0)</f>
        <v>45341</v>
      </c>
      <c r="W147" s="148">
        <f>IFERROR(__xludf.DUMMYFUNCTION("""COMPUTED_VALUE"""),48993.0)</f>
        <v>48993</v>
      </c>
      <c r="X147" s="149">
        <f>IFERROR(__xludf.DUMMYFUNCTION("""COMPUTED_VALUE"""),48809.0)</f>
        <v>48809</v>
      </c>
      <c r="Y147" t="str">
        <f>IFERROR(__xludf.DUMMYFUNCTION("""COMPUTED_VALUE"""),"ปลอดภัย")</f>
        <v>ปลอดภัย</v>
      </c>
      <c r="Z147" t="str">
        <f>IFERROR(__xludf.DUMMYFUNCTION("""COMPUTED_VALUE"""),"Bangkok")</f>
        <v>Bangkok</v>
      </c>
      <c r="AA147" t="str">
        <f>IFERROR(__xludf.DUMMYFUNCTION("""COMPUTED_VALUE"""),"บางเขน")</f>
        <v>บางเขน</v>
      </c>
      <c r="AB147" t="str">
        <f>IFERROR(__xludf.DUMMYFUNCTION("""COMPUTED_VALUE"""),"! Update !")</f>
        <v>! Update !</v>
      </c>
      <c r="AC147" t="str">
        <f>IFERROR(__xludf.DUMMYFUNCTION("""COMPUTED_VALUE"""),"! Update !")</f>
        <v>! Update !</v>
      </c>
      <c r="AD147" t="str">
        <f>IFERROR(__xludf.DUMMYFUNCTION("""COMPUTED_VALUE"""),"ketsarak@airasia.com")</f>
        <v>ketsarak@airasia.com</v>
      </c>
    </row>
    <row r="148">
      <c r="A148" s="142">
        <f>IFERROR(__xludf.DUMMYFUNCTION("""COMPUTED_VALUE"""),31.0)</f>
        <v>31</v>
      </c>
      <c r="B148" t="str">
        <f>IFERROR(__xludf.DUMMYFUNCTION("""COMPUTED_VALUE"""),"TAA2560")</f>
        <v>TAA2560</v>
      </c>
      <c r="C148">
        <f>IFERROR(__xludf.DUMMYFUNCTION("""COMPUTED_VALUE"""),1004030.0)</f>
        <v>1004030</v>
      </c>
      <c r="D148" t="str">
        <f>IFERROR(__xludf.DUMMYFUNCTION("""COMPUTED_VALUE"""),"Ms.")</f>
        <v>Ms.</v>
      </c>
      <c r="E148" t="str">
        <f>IFERROR(__xludf.DUMMYFUNCTION("""COMPUTED_VALUE"""),"Kulpornpat")</f>
        <v>Kulpornpat</v>
      </c>
      <c r="F148" t="str">
        <f>IFERROR(__xludf.DUMMYFUNCTION("""COMPUTED_VALUE"""),"Srikulchaipat")</f>
        <v>Srikulchaipat</v>
      </c>
      <c r="G148" t="str">
        <f>IFERROR(__xludf.DUMMYFUNCTION("""COMPUTED_VALUE"""),"Kulpornpat Srikulchaipat")</f>
        <v>Kulpornpat Srikulchaipat</v>
      </c>
      <c r="H148" t="str">
        <f>IFERROR(__xludf.DUMMYFUNCTION("""COMPUTED_VALUE"""),"นางสาว")</f>
        <v>นางสาว</v>
      </c>
      <c r="I148" t="str">
        <f>IFERROR(__xludf.DUMMYFUNCTION("""COMPUTED_VALUE"""),"กุลพรภัสร์")</f>
        <v>กุลพรภัสร์</v>
      </c>
      <c r="J148" t="str">
        <f>IFERROR(__xludf.DUMMYFUNCTION("""COMPUTED_VALUE"""),"ศรีกุลชัยภัทร")</f>
        <v>ศรีกุลชัยภัทร</v>
      </c>
      <c r="K148" t="str">
        <f>IFERROR(__xludf.DUMMYFUNCTION("""COMPUTED_VALUE"""),"กุลพรภัสร์ ศรีกุลชัยภัทร")</f>
        <v>กุลพรภัสร์ ศรีกุลชัยภัทร</v>
      </c>
      <c r="L148" t="str">
        <f>IFERROR(__xludf.DUMMYFUNCTION("""COMPUTED_VALUE"""),"เฟิร์น")</f>
        <v>เฟิร์น</v>
      </c>
      <c r="M148" t="str">
        <f>IFERROR(__xludf.DUMMYFUNCTION("""COMPUTED_VALUE"""),"Senior Cabin Crew")</f>
        <v>Senior Cabin Crew</v>
      </c>
      <c r="N148" t="str">
        <f>IFERROR(__xludf.DUMMYFUNCTION("""COMPUTED_VALUE"""),"DMK")</f>
        <v>DMK</v>
      </c>
      <c r="O148" s="145" t="str">
        <f>IFERROR(__xludf.DUMMYFUNCTION("""COMPUTED_VALUE"""),"Toffy Home")</f>
        <v>Toffy Home</v>
      </c>
      <c r="P148" t="str">
        <f>IFERROR(__xludf.DUMMYFUNCTION("""COMPUTED_VALUE"""),"Active")</f>
        <v>Active</v>
      </c>
      <c r="R148" s="143">
        <f>IFERROR(__xludf.DUMMYFUNCTION("""COMPUTED_VALUE"""),31561.0)</f>
        <v>31561</v>
      </c>
      <c r="S148" s="146" t="str">
        <f>IFERROR(__xludf.DUMMYFUNCTION("""COMPUTED_VALUE"""),"086 999 2475")</f>
        <v>086 999 2475</v>
      </c>
      <c r="T148" s="147" t="str">
        <f>IFERROR(__xludf.DUMMYFUNCTION("""COMPUTED_VALUE"""),"1103670-00-9032")</f>
        <v>1103670-00-9032</v>
      </c>
      <c r="U148" t="str">
        <f>IFERROR(__xludf.DUMMYFUNCTION("""COMPUTED_VALUE"""),"AC5746091")</f>
        <v>AC5746091</v>
      </c>
      <c r="V148" s="148">
        <f>IFERROR(__xludf.DUMMYFUNCTION("""COMPUTED_VALUE"""),45198.0)</f>
        <v>45198</v>
      </c>
      <c r="W148" s="148">
        <f>IFERROR(__xludf.DUMMYFUNCTION("""COMPUTED_VALUE"""),48850.0)</f>
        <v>48850</v>
      </c>
      <c r="X148" s="149">
        <f>IFERROR(__xludf.DUMMYFUNCTION("""COMPUTED_VALUE"""),48666.0)</f>
        <v>48666</v>
      </c>
      <c r="Y148" t="str">
        <f>IFERROR(__xludf.DUMMYFUNCTION("""COMPUTED_VALUE"""),"ปลอดภัย")</f>
        <v>ปลอดภัย</v>
      </c>
      <c r="Z148" t="str">
        <f>IFERROR(__xludf.DUMMYFUNCTION("""COMPUTED_VALUE"""),"Bangkok")</f>
        <v>Bangkok</v>
      </c>
      <c r="AA148" t="str">
        <f>IFERROR(__xludf.DUMMYFUNCTION("""COMPUTED_VALUE"""),"หลักสี่")</f>
        <v>หลักสี่</v>
      </c>
      <c r="AB148" t="str">
        <f>IFERROR(__xludf.DUMMYFUNCTION("""COMPUTED_VALUE"""),"087 939 0099")</f>
        <v>087 939 0099</v>
      </c>
      <c r="AC148" t="str">
        <f>IFERROR(__xludf.DUMMYFUNCTION("""COMPUTED_VALUE"""),"พ่อ")</f>
        <v>พ่อ</v>
      </c>
      <c r="AD148" t="str">
        <f>IFERROR(__xludf.DUMMYFUNCTION("""COMPUTED_VALUE"""),"kulpornpats@airasia.com")</f>
        <v>kulpornpats@airasia.com</v>
      </c>
    </row>
    <row r="149">
      <c r="A149" s="142">
        <f>IFERROR(__xludf.DUMMYFUNCTION("""COMPUTED_VALUE"""),31.0)</f>
        <v>31</v>
      </c>
      <c r="B149" t="str">
        <f>IFERROR(__xludf.DUMMYFUNCTION("""COMPUTED_VALUE"""),"TAA2566")</f>
        <v>TAA2566</v>
      </c>
      <c r="C149">
        <f>IFERROR(__xludf.DUMMYFUNCTION("""COMPUTED_VALUE"""),1004034.0)</f>
        <v>1004034</v>
      </c>
      <c r="D149" t="str">
        <f>IFERROR(__xludf.DUMMYFUNCTION("""COMPUTED_VALUE"""),"Mr.")</f>
        <v>Mr.</v>
      </c>
      <c r="E149" t="str">
        <f>IFERROR(__xludf.DUMMYFUNCTION("""COMPUTED_VALUE"""),"Monthon")</f>
        <v>Monthon</v>
      </c>
      <c r="F149" t="str">
        <f>IFERROR(__xludf.DUMMYFUNCTION("""COMPUTED_VALUE"""),"Siribunnakul")</f>
        <v>Siribunnakul</v>
      </c>
      <c r="G149" t="str">
        <f>IFERROR(__xludf.DUMMYFUNCTION("""COMPUTED_VALUE"""),"Monthon Siribunnakul")</f>
        <v>Monthon Siribunnakul</v>
      </c>
      <c r="H149" t="str">
        <f>IFERROR(__xludf.DUMMYFUNCTION("""COMPUTED_VALUE"""),"นาย")</f>
        <v>นาย</v>
      </c>
      <c r="I149" t="str">
        <f>IFERROR(__xludf.DUMMYFUNCTION("""COMPUTED_VALUE"""),"มณฑล")</f>
        <v>มณฑล</v>
      </c>
      <c r="J149" t="str">
        <f>IFERROR(__xludf.DUMMYFUNCTION("""COMPUTED_VALUE"""),"ศิริบรรณากุล")</f>
        <v>ศิริบรรณากุล</v>
      </c>
      <c r="K149" t="str">
        <f>IFERROR(__xludf.DUMMYFUNCTION("""COMPUTED_VALUE"""),"มณฑล ศิริบรรณากุล")</f>
        <v>มณฑล ศิริบรรณากุล</v>
      </c>
      <c r="L149" t="str">
        <f>IFERROR(__xludf.DUMMYFUNCTION("""COMPUTED_VALUE"""),"Bank")</f>
        <v>Bank</v>
      </c>
      <c r="M149" t="str">
        <f>IFERROR(__xludf.DUMMYFUNCTION("""COMPUTED_VALUE"""),"Senior Cabin Crew")</f>
        <v>Senior Cabin Crew</v>
      </c>
      <c r="N149" t="str">
        <f>IFERROR(__xludf.DUMMYFUNCTION("""COMPUTED_VALUE"""),"DMK")</f>
        <v>DMK</v>
      </c>
      <c r="O149" s="145" t="str">
        <f>IFERROR(__xludf.DUMMYFUNCTION("""COMPUTED_VALUE"""),"Toffy Home")</f>
        <v>Toffy Home</v>
      </c>
      <c r="P149" t="str">
        <f>IFERROR(__xludf.DUMMYFUNCTION("""COMPUTED_VALUE"""),"Active")</f>
        <v>Active</v>
      </c>
      <c r="R149" s="143">
        <f>IFERROR(__xludf.DUMMYFUNCTION("""COMPUTED_VALUE"""),31588.0)</f>
        <v>31588</v>
      </c>
      <c r="S149" s="146" t="str">
        <f>IFERROR(__xludf.DUMMYFUNCTION("""COMPUTED_VALUE"""),"085 426 5456")</f>
        <v>085 426 5456</v>
      </c>
      <c r="T149" s="147" t="str">
        <f>IFERROR(__xludf.DUMMYFUNCTION("""COMPUTED_VALUE"""),"1100800-27-9937")</f>
        <v>1100800-27-9937</v>
      </c>
      <c r="U149" t="str">
        <f>IFERROR(__xludf.DUMMYFUNCTION("""COMPUTED_VALUE"""),"AC4452513")</f>
        <v>AC4452513</v>
      </c>
      <c r="V149" s="148">
        <f>IFERROR(__xludf.DUMMYFUNCTION("""COMPUTED_VALUE"""),44963.0)</f>
        <v>44963</v>
      </c>
      <c r="W149" s="148">
        <f>IFERROR(__xludf.DUMMYFUNCTION("""COMPUTED_VALUE"""),48615.0)</f>
        <v>48615</v>
      </c>
      <c r="X149" s="149">
        <f>IFERROR(__xludf.DUMMYFUNCTION("""COMPUTED_VALUE"""),48431.0)</f>
        <v>48431</v>
      </c>
      <c r="Y149" t="str">
        <f>IFERROR(__xludf.DUMMYFUNCTION("""COMPUTED_VALUE"""),"ปลอดภัย")</f>
        <v>ปลอดภัย</v>
      </c>
      <c r="Z149" t="str">
        <f>IFERROR(__xludf.DUMMYFUNCTION("""COMPUTED_VALUE"""),"Bangkok")</f>
        <v>Bangkok</v>
      </c>
      <c r="AA149" t="str">
        <f>IFERROR(__xludf.DUMMYFUNCTION("""COMPUTED_VALUE"""),"พระนคร")</f>
        <v>พระนคร</v>
      </c>
      <c r="AB149" t="str">
        <f>IFERROR(__xludf.DUMMYFUNCTION("""COMPUTED_VALUE"""),"081 841 1750")</f>
        <v>081 841 1750</v>
      </c>
      <c r="AC149" t="str">
        <f>IFERROR(__xludf.DUMMYFUNCTION("""COMPUTED_VALUE"""),"พ่อ")</f>
        <v>พ่อ</v>
      </c>
      <c r="AD149" t="str">
        <f>IFERROR(__xludf.DUMMYFUNCTION("""COMPUTED_VALUE"""),"monthons@airasia.com")</f>
        <v>monthons@airasia.com</v>
      </c>
    </row>
    <row r="150">
      <c r="A150" s="142">
        <f>IFERROR(__xludf.DUMMYFUNCTION("""COMPUTED_VALUE"""),31.0)</f>
        <v>31</v>
      </c>
      <c r="B150" t="str">
        <f>IFERROR(__xludf.DUMMYFUNCTION("""COMPUTED_VALUE"""),"TAA2561")</f>
        <v>TAA2561</v>
      </c>
      <c r="C150">
        <f>IFERROR(__xludf.DUMMYFUNCTION("""COMPUTED_VALUE"""),1004037.0)</f>
        <v>1004037</v>
      </c>
      <c r="D150" t="str">
        <f>IFERROR(__xludf.DUMMYFUNCTION("""COMPUTED_VALUE"""),"Ms.")</f>
        <v>Ms.</v>
      </c>
      <c r="E150" t="str">
        <f>IFERROR(__xludf.DUMMYFUNCTION("""COMPUTED_VALUE"""),"Phornchanit (Surangsri)")</f>
        <v>Phornchanit (Surangsri)</v>
      </c>
      <c r="F150" t="str">
        <f>IFERROR(__xludf.DUMMYFUNCTION("""COMPUTED_VALUE"""),"Rangsikul")</f>
        <v>Rangsikul</v>
      </c>
      <c r="G150" t="str">
        <f>IFERROR(__xludf.DUMMYFUNCTION("""COMPUTED_VALUE"""),"Phornchanit Rangsikul")</f>
        <v>Phornchanit Rangsikul</v>
      </c>
      <c r="H150" t="str">
        <f>IFERROR(__xludf.DUMMYFUNCTION("""COMPUTED_VALUE"""),"นางสาว")</f>
        <v>นางสาว</v>
      </c>
      <c r="I150" t="str">
        <f>IFERROR(__xludf.DUMMYFUNCTION("""COMPUTED_VALUE"""),"พรชนิตว์ (สุรังษี)")</f>
        <v>พรชนิตว์ (สุรังษี)</v>
      </c>
      <c r="J150" t="str">
        <f>IFERROR(__xludf.DUMMYFUNCTION("""COMPUTED_VALUE"""),"รังสิกุล")</f>
        <v>รังสิกุล</v>
      </c>
      <c r="K150" t="str">
        <f>IFERROR(__xludf.DUMMYFUNCTION("""COMPUTED_VALUE"""),"พรชนิตว์ รังสิกุล")</f>
        <v>พรชนิตว์ รังสิกุล</v>
      </c>
      <c r="L150" t="str">
        <f>IFERROR(__xludf.DUMMYFUNCTION("""COMPUTED_VALUE"""),"Noi")</f>
        <v>Noi</v>
      </c>
      <c r="M150" t="str">
        <f>IFERROR(__xludf.DUMMYFUNCTION("""COMPUTED_VALUE"""),"Senior Cabin Crew")</f>
        <v>Senior Cabin Crew</v>
      </c>
      <c r="N150" t="str">
        <f>IFERROR(__xludf.DUMMYFUNCTION("""COMPUTED_VALUE"""),"DMK")</f>
        <v>DMK</v>
      </c>
      <c r="O150" s="145" t="str">
        <f>IFERROR(__xludf.DUMMYFUNCTION("""COMPUTED_VALUE"""),"Toffy Home")</f>
        <v>Toffy Home</v>
      </c>
      <c r="P150" t="str">
        <f>IFERROR(__xludf.DUMMYFUNCTION("""COMPUTED_VALUE"""),"Active")</f>
        <v>Active</v>
      </c>
      <c r="R150" s="143">
        <f>IFERROR(__xludf.DUMMYFUNCTION("""COMPUTED_VALUE"""),30124.0)</f>
        <v>30124</v>
      </c>
      <c r="S150" s="146" t="str">
        <f>IFERROR(__xludf.DUMMYFUNCTION("""COMPUTED_VALUE"""),"091 979 2256")</f>
        <v>091 979 2256</v>
      </c>
      <c r="T150" s="147" t="str">
        <f>IFERROR(__xludf.DUMMYFUNCTION("""COMPUTED_VALUE"""),"5120100-05-7772")</f>
        <v>5120100-05-7772</v>
      </c>
      <c r="U150" t="str">
        <f>IFERROR(__xludf.DUMMYFUNCTION("""COMPUTED_VALUE"""),"AC3051851")</f>
        <v>AC3051851</v>
      </c>
      <c r="V150" s="148">
        <f>IFERROR(__xludf.DUMMYFUNCTION("""COMPUTED_VALUE"""),44683.0)</f>
        <v>44683</v>
      </c>
      <c r="W150" s="148">
        <f>IFERROR(__xludf.DUMMYFUNCTION("""COMPUTED_VALUE"""),48335.0)</f>
        <v>48335</v>
      </c>
      <c r="X150" s="149">
        <f>IFERROR(__xludf.DUMMYFUNCTION("""COMPUTED_VALUE"""),48153.0)</f>
        <v>48153</v>
      </c>
      <c r="Y150" t="str">
        <f>IFERROR(__xludf.DUMMYFUNCTION("""COMPUTED_VALUE"""),"ปลอดภัย")</f>
        <v>ปลอดภัย</v>
      </c>
      <c r="Z150" t="str">
        <f>IFERROR(__xludf.DUMMYFUNCTION("""COMPUTED_VALUE"""),"Bangkok")</f>
        <v>Bangkok</v>
      </c>
      <c r="AA150" t="str">
        <f>IFERROR(__xludf.DUMMYFUNCTION("""COMPUTED_VALUE"""),"นนทบุรี")</f>
        <v>นนทบุรี</v>
      </c>
      <c r="AB150" t="str">
        <f>IFERROR(__xludf.DUMMYFUNCTION("""COMPUTED_VALUE"""),"081 498 4352")</f>
        <v>081 498 4352</v>
      </c>
      <c r="AC150" t="str">
        <f>IFERROR(__xludf.DUMMYFUNCTION("""COMPUTED_VALUE"""),"แม่")</f>
        <v>แม่</v>
      </c>
      <c r="AD150" t="str">
        <f>IFERROR(__xludf.DUMMYFUNCTION("""COMPUTED_VALUE"""),"phornchanitr@airasia.com")</f>
        <v>phornchanitr@airasia.com</v>
      </c>
    </row>
    <row r="151">
      <c r="A151" s="142">
        <f>IFERROR(__xludf.DUMMYFUNCTION("""COMPUTED_VALUE"""),31.0)</f>
        <v>31</v>
      </c>
      <c r="B151" t="str">
        <f>IFERROR(__xludf.DUMMYFUNCTION("""COMPUTED_VALUE"""),"TAA2563")</f>
        <v>TAA2563</v>
      </c>
      <c r="C151">
        <f>IFERROR(__xludf.DUMMYFUNCTION("""COMPUTED_VALUE"""),1004038.0)</f>
        <v>1004038</v>
      </c>
      <c r="D151" t="str">
        <f>IFERROR(__xludf.DUMMYFUNCTION("""COMPUTED_VALUE"""),"Ms.")</f>
        <v>Ms.</v>
      </c>
      <c r="E151" t="str">
        <f>IFERROR(__xludf.DUMMYFUNCTION("""COMPUTED_VALUE"""),"Piracha")</f>
        <v>Piracha</v>
      </c>
      <c r="F151" t="str">
        <f>IFERROR(__xludf.DUMMYFUNCTION("""COMPUTED_VALUE"""),"Hongsakul")</f>
        <v>Hongsakul</v>
      </c>
      <c r="G151" t="str">
        <f>IFERROR(__xludf.DUMMYFUNCTION("""COMPUTED_VALUE"""),"Piracha Hongsakul")</f>
        <v>Piracha Hongsakul</v>
      </c>
      <c r="H151" t="str">
        <f>IFERROR(__xludf.DUMMYFUNCTION("""COMPUTED_VALUE"""),"นางสาว")</f>
        <v>นางสาว</v>
      </c>
      <c r="I151" t="str">
        <f>IFERROR(__xludf.DUMMYFUNCTION("""COMPUTED_VALUE"""),"พิรัชฌา")</f>
        <v>พิรัชฌา</v>
      </c>
      <c r="J151" t="str">
        <f>IFERROR(__xludf.DUMMYFUNCTION("""COMPUTED_VALUE"""),"หงสกุล")</f>
        <v>หงสกุล</v>
      </c>
      <c r="K151" t="str">
        <f>IFERROR(__xludf.DUMMYFUNCTION("""COMPUTED_VALUE"""),"พิรัชฌา หงสกุล")</f>
        <v>พิรัชฌา หงสกุล</v>
      </c>
      <c r="L151" t="str">
        <f>IFERROR(__xludf.DUMMYFUNCTION("""COMPUTED_VALUE"""),"Preaw")</f>
        <v>Preaw</v>
      </c>
      <c r="M151" t="str">
        <f>IFERROR(__xludf.DUMMYFUNCTION("""COMPUTED_VALUE"""),"Cabin Crew")</f>
        <v>Cabin Crew</v>
      </c>
      <c r="N151" t="str">
        <f>IFERROR(__xludf.DUMMYFUNCTION("""COMPUTED_VALUE"""),"DMK")</f>
        <v>DMK</v>
      </c>
      <c r="O151" s="145" t="str">
        <f>IFERROR(__xludf.DUMMYFUNCTION("""COMPUTED_VALUE"""),"Um Home")</f>
        <v>Um Home</v>
      </c>
      <c r="P151" t="str">
        <f>IFERROR(__xludf.DUMMYFUNCTION("""COMPUTED_VALUE"""),"V/LWP")</f>
        <v>V/LWP</v>
      </c>
      <c r="R151" s="143">
        <f>IFERROR(__xludf.DUMMYFUNCTION("""COMPUTED_VALUE"""),30637.0)</f>
        <v>30637</v>
      </c>
      <c r="S151" s="146" t="str">
        <f>IFERROR(__xludf.DUMMYFUNCTION("""COMPUTED_VALUE"""),"084 066 6693")</f>
        <v>084 066 6693</v>
      </c>
      <c r="T151" s="147" t="str">
        <f>IFERROR(__xludf.DUMMYFUNCTION("""COMPUTED_VALUE"""),"3100901-10-9383")</f>
        <v>3100901-10-9383</v>
      </c>
      <c r="U151" t="str">
        <f>IFERROR(__xludf.DUMMYFUNCTION("""COMPUTED_VALUE"""),"AC7427744")</f>
        <v>AC7427744</v>
      </c>
      <c r="V151" s="148">
        <f>IFERROR(__xludf.DUMMYFUNCTION("""COMPUTED_VALUE"""),45581.0)</f>
        <v>45581</v>
      </c>
      <c r="W151" s="148">
        <f>IFERROR(__xludf.DUMMYFUNCTION("""COMPUTED_VALUE"""),49232.0)</f>
        <v>49232</v>
      </c>
      <c r="X151" s="149">
        <f>IFERROR(__xludf.DUMMYFUNCTION("""COMPUTED_VALUE"""),49049.0)</f>
        <v>49049</v>
      </c>
      <c r="Y151" t="str">
        <f>IFERROR(__xludf.DUMMYFUNCTION("""COMPUTED_VALUE"""),"ปลอดภัย")</f>
        <v>ปลอดภัย</v>
      </c>
      <c r="Z151" t="str">
        <f>IFERROR(__xludf.DUMMYFUNCTION("""COMPUTED_VALUE"""),"Bangkok")</f>
        <v>Bangkok</v>
      </c>
      <c r="AA151" t="str">
        <f>IFERROR(__xludf.DUMMYFUNCTION("""COMPUTED_VALUE"""),"พุทธมณฑล")</f>
        <v>พุทธมณฑล</v>
      </c>
      <c r="AB151" t="str">
        <f>IFERROR(__xludf.DUMMYFUNCTION("""COMPUTED_VALUE"""),"084 0666693")</f>
        <v>084 0666693</v>
      </c>
      <c r="AC151" t="str">
        <f>IFERROR(__xludf.DUMMYFUNCTION("""COMPUTED_VALUE"""),"ไม่ระบุ")</f>
        <v>ไม่ระบุ</v>
      </c>
      <c r="AD151" t="str">
        <f>IFERROR(__xludf.DUMMYFUNCTION("""COMPUTED_VALUE"""),"pirachah@airasia.com")</f>
        <v>pirachah@airasia.com</v>
      </c>
    </row>
    <row r="152">
      <c r="A152" s="142">
        <f>IFERROR(__xludf.DUMMYFUNCTION("""COMPUTED_VALUE"""),31.0)</f>
        <v>31</v>
      </c>
      <c r="B152" t="str">
        <f>IFERROR(__xludf.DUMMYFUNCTION("""COMPUTED_VALUE"""),"TAA2551")</f>
        <v>TAA2551</v>
      </c>
      <c r="C152">
        <f>IFERROR(__xludf.DUMMYFUNCTION("""COMPUTED_VALUE"""),1004041.0)</f>
        <v>1004041</v>
      </c>
      <c r="D152" t="str">
        <f>IFERROR(__xludf.DUMMYFUNCTION("""COMPUTED_VALUE"""),"Ms.")</f>
        <v>Ms.</v>
      </c>
      <c r="E152" t="str">
        <f>IFERROR(__xludf.DUMMYFUNCTION("""COMPUTED_VALUE"""),"Sirima")</f>
        <v>Sirima</v>
      </c>
      <c r="F152" t="str">
        <f>IFERROR(__xludf.DUMMYFUNCTION("""COMPUTED_VALUE"""),"Yupongpitak (Imardoon)")</f>
        <v>Yupongpitak (Imardoon)</v>
      </c>
      <c r="G152" t="str">
        <f>IFERROR(__xludf.DUMMYFUNCTION("""COMPUTED_VALUE"""),"Sirima Yupongpitak")</f>
        <v>Sirima Yupongpitak</v>
      </c>
      <c r="H152" t="str">
        <f>IFERROR(__xludf.DUMMYFUNCTION("""COMPUTED_VALUE"""),"นางสาว")</f>
        <v>นางสาว</v>
      </c>
      <c r="I152" t="str">
        <f>IFERROR(__xludf.DUMMYFUNCTION("""COMPUTED_VALUE"""),"สิริมา")</f>
        <v>สิริมา</v>
      </c>
      <c r="J152" t="str">
        <f>IFERROR(__xludf.DUMMYFUNCTION("""COMPUTED_VALUE"""),"อยู่พงษ์พิทักษ์ (อิ่มอาดูร)")</f>
        <v>อยู่พงษ์พิทักษ์ (อิ่มอาดูร)</v>
      </c>
      <c r="K152" t="str">
        <f>IFERROR(__xludf.DUMMYFUNCTION("""COMPUTED_VALUE"""),"สิริมา อยู่พงษ์พิทักษ์")</f>
        <v>สิริมา อยู่พงษ์พิทักษ์</v>
      </c>
      <c r="L152" t="str">
        <f>IFERROR(__xludf.DUMMYFUNCTION("""COMPUTED_VALUE"""),"Toon")</f>
        <v>Toon</v>
      </c>
      <c r="M152" t="str">
        <f>IFERROR(__xludf.DUMMYFUNCTION("""COMPUTED_VALUE"""),"Senior Cabin Crew")</f>
        <v>Senior Cabin Crew</v>
      </c>
      <c r="N152" t="str">
        <f>IFERROR(__xludf.DUMMYFUNCTION("""COMPUTED_VALUE"""),"DMK")</f>
        <v>DMK</v>
      </c>
      <c r="O152" s="145" t="str">
        <f>IFERROR(__xludf.DUMMYFUNCTION("""COMPUTED_VALUE"""),"Um Home")</f>
        <v>Um Home</v>
      </c>
      <c r="P152" t="str">
        <f>IFERROR(__xludf.DUMMYFUNCTION("""COMPUTED_VALUE"""),"Active")</f>
        <v>Active</v>
      </c>
      <c r="R152" s="143">
        <f>IFERROR(__xludf.DUMMYFUNCTION("""COMPUTED_VALUE"""),31730.0)</f>
        <v>31730</v>
      </c>
      <c r="S152" s="146" t="str">
        <f>IFERROR(__xludf.DUMMYFUNCTION("""COMPUTED_VALUE"""),"084 115 2257")</f>
        <v>084 115 2257</v>
      </c>
      <c r="T152" s="147" t="str">
        <f>IFERROR(__xludf.DUMMYFUNCTION("""COMPUTED_VALUE"""),"1700400-09-2443")</f>
        <v>1700400-09-2443</v>
      </c>
      <c r="U152" t="str">
        <f>IFERROR(__xludf.DUMMYFUNCTION("""COMPUTED_VALUE"""),"AC6133457")</f>
        <v>AC6133457</v>
      </c>
      <c r="V152" s="148">
        <f>IFERROR(__xludf.DUMMYFUNCTION("""COMPUTED_VALUE"""),45652.0)</f>
        <v>45652</v>
      </c>
      <c r="W152" s="148">
        <f>IFERROR(__xludf.DUMMYFUNCTION("""COMPUTED_VALUE"""),48938.0)</f>
        <v>48938</v>
      </c>
      <c r="X152" s="149">
        <f>IFERROR(__xludf.DUMMYFUNCTION("""COMPUTED_VALUE"""),48755.0)</f>
        <v>48755</v>
      </c>
      <c r="Y152" t="str">
        <f>IFERROR(__xludf.DUMMYFUNCTION("""COMPUTED_VALUE"""),"ปลอดภัย")</f>
        <v>ปลอดภัย</v>
      </c>
      <c r="Z152" t="str">
        <f>IFERROR(__xludf.DUMMYFUNCTION("""COMPUTED_VALUE"""),"Ratchaburi Province")</f>
        <v>Ratchaburi Province</v>
      </c>
      <c r="AA152" t="str">
        <f>IFERROR(__xludf.DUMMYFUNCTION("""COMPUTED_VALUE"""),"หัวหมากก")</f>
        <v>หัวหมากก</v>
      </c>
      <c r="AB152" t="str">
        <f>IFERROR(__xludf.DUMMYFUNCTION("""COMPUTED_VALUE"""),"081 304 5576")</f>
        <v>081 304 5576</v>
      </c>
      <c r="AC152" t="str">
        <f>IFERROR(__xludf.DUMMYFUNCTION("""COMPUTED_VALUE"""),"พี่สาว")</f>
        <v>พี่สาว</v>
      </c>
      <c r="AD152" t="str">
        <f>IFERROR(__xludf.DUMMYFUNCTION("""COMPUTED_VALUE"""),"sirimay@airasia.com")</f>
        <v>sirimay@airasia.com</v>
      </c>
    </row>
    <row r="153">
      <c r="A153" s="142">
        <f>IFERROR(__xludf.DUMMYFUNCTION("""COMPUTED_VALUE"""),31.0)</f>
        <v>31</v>
      </c>
      <c r="B153" t="str">
        <f>IFERROR(__xludf.DUMMYFUNCTION("""COMPUTED_VALUE"""),"TAA2562")</f>
        <v>TAA2562</v>
      </c>
      <c r="C153">
        <f>IFERROR(__xludf.DUMMYFUNCTION("""COMPUTED_VALUE"""),1004045.0)</f>
        <v>1004045</v>
      </c>
      <c r="D153" t="str">
        <f>IFERROR(__xludf.DUMMYFUNCTION("""COMPUTED_VALUE"""),"Ms.")</f>
        <v>Ms.</v>
      </c>
      <c r="E153" t="str">
        <f>IFERROR(__xludf.DUMMYFUNCTION("""COMPUTED_VALUE"""),"Waraphorn")</f>
        <v>Waraphorn</v>
      </c>
      <c r="F153" t="str">
        <f>IFERROR(__xludf.DUMMYFUNCTION("""COMPUTED_VALUE"""),"Khunthong")</f>
        <v>Khunthong</v>
      </c>
      <c r="G153" t="str">
        <f>IFERROR(__xludf.DUMMYFUNCTION("""COMPUTED_VALUE"""),"Waraphorn Khunthong")</f>
        <v>Waraphorn Khunthong</v>
      </c>
      <c r="H153" t="str">
        <f>IFERROR(__xludf.DUMMYFUNCTION("""COMPUTED_VALUE"""),"นางสาว")</f>
        <v>นางสาว</v>
      </c>
      <c r="I153" t="str">
        <f>IFERROR(__xludf.DUMMYFUNCTION("""COMPUTED_VALUE"""),"วราภรณ์")</f>
        <v>วราภรณ์</v>
      </c>
      <c r="J153" t="str">
        <f>IFERROR(__xludf.DUMMYFUNCTION("""COMPUTED_VALUE"""),"ขุนทอง")</f>
        <v>ขุนทอง</v>
      </c>
      <c r="K153" t="str">
        <f>IFERROR(__xludf.DUMMYFUNCTION("""COMPUTED_VALUE"""),"วราภรณ์ ขุนทอง")</f>
        <v>วราภรณ์ ขุนทอง</v>
      </c>
      <c r="L153" t="str">
        <f>IFERROR(__xludf.DUMMYFUNCTION("""COMPUTED_VALUE"""),"Ou")</f>
        <v>Ou</v>
      </c>
      <c r="M153" t="str">
        <f>IFERROR(__xludf.DUMMYFUNCTION("""COMPUTED_VALUE"""),"Senior Cabin Crew")</f>
        <v>Senior Cabin Crew</v>
      </c>
      <c r="N153" t="str">
        <f>IFERROR(__xludf.DUMMYFUNCTION("""COMPUTED_VALUE"""),"DMK")</f>
        <v>DMK</v>
      </c>
      <c r="O153" s="145" t="str">
        <f>IFERROR(__xludf.DUMMYFUNCTION("""COMPUTED_VALUE"""),"Toffy Home")</f>
        <v>Toffy Home</v>
      </c>
      <c r="P153" t="str">
        <f>IFERROR(__xludf.DUMMYFUNCTION("""COMPUTED_VALUE"""),"Active")</f>
        <v>Active</v>
      </c>
      <c r="R153" s="143">
        <f>IFERROR(__xludf.DUMMYFUNCTION("""COMPUTED_VALUE"""),30936.0)</f>
        <v>30936</v>
      </c>
      <c r="S153" s="146" t="str">
        <f>IFERROR(__xludf.DUMMYFUNCTION("""COMPUTED_VALUE"""),"083 618 3461")</f>
        <v>083 618 3461</v>
      </c>
      <c r="T153" s="147" t="str">
        <f>IFERROR(__xludf.DUMMYFUNCTION("""COMPUTED_VALUE"""),"1489900-00-8264")</f>
        <v>1489900-00-8264</v>
      </c>
      <c r="U153" t="str">
        <f>IFERROR(__xludf.DUMMYFUNCTION("""COMPUTED_VALUE"""),"AC6095115")</f>
        <v>AC6095115</v>
      </c>
      <c r="V153" s="148">
        <f>IFERROR(__xludf.DUMMYFUNCTION("""COMPUTED_VALUE"""),45266.0)</f>
        <v>45266</v>
      </c>
      <c r="W153" s="148">
        <f>IFERROR(__xludf.DUMMYFUNCTION("""COMPUTED_VALUE"""),48918.0)</f>
        <v>48918</v>
      </c>
      <c r="X153" s="149">
        <f>IFERROR(__xludf.DUMMYFUNCTION("""COMPUTED_VALUE"""),48735.0)</f>
        <v>48735</v>
      </c>
      <c r="Y153" t="str">
        <f>IFERROR(__xludf.DUMMYFUNCTION("""COMPUTED_VALUE"""),"ปลอดภัย")</f>
        <v>ปลอดภัย</v>
      </c>
      <c r="Z153" t="str">
        <f>IFERROR(__xludf.DUMMYFUNCTION("""COMPUTED_VALUE"""),"Nakhon Pathom Province")</f>
        <v>Nakhon Pathom Province</v>
      </c>
      <c r="AA153" t="str">
        <f>IFERROR(__xludf.DUMMYFUNCTION("""COMPUTED_VALUE"""),"สุขุมวิท")</f>
        <v>สุขุมวิท</v>
      </c>
      <c r="AB153" t="str">
        <f>IFERROR(__xludf.DUMMYFUNCTION("""COMPUTED_VALUE"""),"083 6183461")</f>
        <v>083 6183461</v>
      </c>
      <c r="AC153" t="str">
        <f>IFERROR(__xludf.DUMMYFUNCTION("""COMPUTED_VALUE"""),"ไม่ระบุ")</f>
        <v>ไม่ระบุ</v>
      </c>
      <c r="AD153" t="str">
        <f>IFERROR(__xludf.DUMMYFUNCTION("""COMPUTED_VALUE"""),"waraphornk@airasia.com")</f>
        <v>waraphornk@airasia.com</v>
      </c>
    </row>
    <row r="154">
      <c r="AD154" t="str">
        <f>IFERROR(__xludf.DUMMYFUNCTION("""COMPUTED_VALUE"""),"")</f>
        <v/>
      </c>
    </row>
    <row r="155">
      <c r="A155" s="142">
        <f>IFERROR(__xludf.DUMMYFUNCTION("""COMPUTED_VALUE"""),32.0)</f>
        <v>32</v>
      </c>
      <c r="B155" t="str">
        <f>IFERROR(__xludf.DUMMYFUNCTION("""COMPUTED_VALUE"""),"TAA0291")</f>
        <v>TAA0291</v>
      </c>
      <c r="C155">
        <f>IFERROR(__xludf.DUMMYFUNCTION("""COMPUTED_VALUE"""),1000387.0)</f>
        <v>1000387</v>
      </c>
      <c r="D155" t="str">
        <f>IFERROR(__xludf.DUMMYFUNCTION("""COMPUTED_VALUE"""),"Mr.")</f>
        <v>Mr.</v>
      </c>
      <c r="E155" t="str">
        <f>IFERROR(__xludf.DUMMYFUNCTION("""COMPUTED_VALUE"""),"Phu-rit")</f>
        <v>Phu-rit</v>
      </c>
      <c r="F155" t="str">
        <f>IFERROR(__xludf.DUMMYFUNCTION("""COMPUTED_VALUE"""),"Punpeng")</f>
        <v>Punpeng</v>
      </c>
      <c r="G155" t="str">
        <f>IFERROR(__xludf.DUMMYFUNCTION("""COMPUTED_VALUE"""),"Phu-rit Punpeng")</f>
        <v>Phu-rit Punpeng</v>
      </c>
      <c r="H155" t="str">
        <f>IFERROR(__xludf.DUMMYFUNCTION("""COMPUTED_VALUE"""),"นาย")</f>
        <v>นาย</v>
      </c>
      <c r="I155" t="str">
        <f>IFERROR(__xludf.DUMMYFUNCTION("""COMPUTED_VALUE"""),"ภูริต")</f>
        <v>ภูริต</v>
      </c>
      <c r="J155" t="str">
        <f>IFERROR(__xludf.DUMMYFUNCTION("""COMPUTED_VALUE"""),"พันธุ์เพ็ง")</f>
        <v>พันธุ์เพ็ง</v>
      </c>
      <c r="K155" t="str">
        <f>IFERROR(__xludf.DUMMYFUNCTION("""COMPUTED_VALUE"""),"ภูริต พันธุ์เพ็ง")</f>
        <v>ภูริต พันธุ์เพ็ง</v>
      </c>
      <c r="L155" t="str">
        <f>IFERROR(__xludf.DUMMYFUNCTION("""COMPUTED_VALUE"""),"Mac")</f>
        <v>Mac</v>
      </c>
      <c r="M155" t="str">
        <f>IFERROR(__xludf.DUMMYFUNCTION("""COMPUTED_VALUE"""),"Senior Cabin Crew")</f>
        <v>Senior Cabin Crew</v>
      </c>
      <c r="N155" t="str">
        <f>IFERROR(__xludf.DUMMYFUNCTION("""COMPUTED_VALUE"""),"DMK")</f>
        <v>DMK</v>
      </c>
      <c r="O155" s="145" t="str">
        <f>IFERROR(__xludf.DUMMYFUNCTION("""COMPUTED_VALUE"""),"Namfon Home")</f>
        <v>Namfon Home</v>
      </c>
      <c r="P155" t="str">
        <f>IFERROR(__xludf.DUMMYFUNCTION("""COMPUTED_VALUE"""),"Active")</f>
        <v>Active</v>
      </c>
      <c r="R155" s="143">
        <f>IFERROR(__xludf.DUMMYFUNCTION("""COMPUTED_VALUE"""),29787.0)</f>
        <v>29787</v>
      </c>
      <c r="S155" s="146" t="str">
        <f>IFERROR(__xludf.DUMMYFUNCTION("""COMPUTED_VALUE"""),"065-329-4939")</f>
        <v>065-329-4939</v>
      </c>
      <c r="T155" s="147" t="str">
        <f>IFERROR(__xludf.DUMMYFUNCTION("""COMPUTED_VALUE"""),"3320100-09-2359")</f>
        <v>3320100-09-2359</v>
      </c>
      <c r="U155" t="str">
        <f>IFERROR(__xludf.DUMMYFUNCTION("""COMPUTED_VALUE"""),"AD1807334")</f>
        <v>AD1807334</v>
      </c>
      <c r="V155" s="148">
        <f>IFERROR(__xludf.DUMMYFUNCTION("""COMPUTED_VALUE"""),45461.0)</f>
        <v>45461</v>
      </c>
      <c r="W155" s="148">
        <f>IFERROR(__xludf.DUMMYFUNCTION("""COMPUTED_VALUE"""),47286.0)</f>
        <v>47286</v>
      </c>
      <c r="X155" s="149">
        <f>IFERROR(__xludf.DUMMYFUNCTION("""COMPUTED_VALUE"""),47104.0)</f>
        <v>47104</v>
      </c>
      <c r="Y155" t="str">
        <f>IFERROR(__xludf.DUMMYFUNCTION("""COMPUTED_VALUE"""),"ปลอดภัย")</f>
        <v>ปลอดภัย</v>
      </c>
      <c r="Z155" t="str">
        <f>IFERROR(__xludf.DUMMYFUNCTION("""COMPUTED_VALUE"""),"Chiang Rai Province")</f>
        <v>Chiang Rai Province</v>
      </c>
      <c r="AA155" t="str">
        <f>IFERROR(__xludf.DUMMYFUNCTION("""COMPUTED_VALUE"""),"ลาดกระบัง")</f>
        <v>ลาดกระบัง</v>
      </c>
      <c r="AB155" t="str">
        <f>IFERROR(__xludf.DUMMYFUNCTION("""COMPUTED_VALUE"""),"! Update !")</f>
        <v>! Update !</v>
      </c>
      <c r="AC155" t="str">
        <f>IFERROR(__xludf.DUMMYFUNCTION("""COMPUTED_VALUE"""),"! Update !")</f>
        <v>! Update !</v>
      </c>
      <c r="AD155" t="str">
        <f>IFERROR(__xludf.DUMMYFUNCTION("""COMPUTED_VALUE"""),"phu-ritp@airasia.com")</f>
        <v>phu-ritp@airasia.com</v>
      </c>
    </row>
    <row r="156">
      <c r="A156" s="142">
        <f>IFERROR(__xludf.DUMMYFUNCTION("""COMPUTED_VALUE"""),32.0)</f>
        <v>32</v>
      </c>
      <c r="B156" t="str">
        <f>IFERROR(__xludf.DUMMYFUNCTION("""COMPUTED_VALUE"""),"TAA0308")</f>
        <v>TAA0308</v>
      </c>
      <c r="C156">
        <f>IFERROR(__xludf.DUMMYFUNCTION("""COMPUTED_VALUE"""),1000397.0)</f>
        <v>1000397</v>
      </c>
      <c r="D156" t="str">
        <f>IFERROR(__xludf.DUMMYFUNCTION("""COMPUTED_VALUE"""),"Ms.")</f>
        <v>Ms.</v>
      </c>
      <c r="E156" t="str">
        <f>IFERROR(__xludf.DUMMYFUNCTION("""COMPUTED_VALUE"""),"Janwat")</f>
        <v>Janwat</v>
      </c>
      <c r="F156" t="str">
        <f>IFERROR(__xludf.DUMMYFUNCTION("""COMPUTED_VALUE"""),"Jiumjaroen")</f>
        <v>Jiumjaroen</v>
      </c>
      <c r="G156" t="str">
        <f>IFERROR(__xludf.DUMMYFUNCTION("""COMPUTED_VALUE"""),"Janwat Jiumjaroen")</f>
        <v>Janwat Jiumjaroen</v>
      </c>
      <c r="H156" t="str">
        <f>IFERROR(__xludf.DUMMYFUNCTION("""COMPUTED_VALUE"""),"นางสาว")</f>
        <v>นางสาว</v>
      </c>
      <c r="I156" t="str">
        <f>IFERROR(__xludf.DUMMYFUNCTION("""COMPUTED_VALUE"""),"จรรยวัตร")</f>
        <v>จรรยวัตร</v>
      </c>
      <c r="J156" t="str">
        <f>IFERROR(__xludf.DUMMYFUNCTION("""COMPUTED_VALUE"""),"เจียมเจริญ")</f>
        <v>เจียมเจริญ</v>
      </c>
      <c r="K156" t="str">
        <f>IFERROR(__xludf.DUMMYFUNCTION("""COMPUTED_VALUE"""),"จรรยวัตร เจียมเจริญ")</f>
        <v>จรรยวัตร เจียมเจริญ</v>
      </c>
      <c r="L156" t="str">
        <f>IFERROR(__xludf.DUMMYFUNCTION("""COMPUTED_VALUE"""),"Por")</f>
        <v>Por</v>
      </c>
      <c r="M156" t="str">
        <f>IFERROR(__xludf.DUMMYFUNCTION("""COMPUTED_VALUE"""),"Cabin Crew - CNX")</f>
        <v>Cabin Crew - CNX</v>
      </c>
      <c r="N156" t="str">
        <f>IFERROR(__xludf.DUMMYFUNCTION("""COMPUTED_VALUE"""),"CNX")</f>
        <v>CNX</v>
      </c>
      <c r="O156" s="145" t="str">
        <f>IFERROR(__xludf.DUMMYFUNCTION("""COMPUTED_VALUE"""),"Up Home")</f>
        <v>Up Home</v>
      </c>
      <c r="P156" t="str">
        <f>IFERROR(__xludf.DUMMYFUNCTION("""COMPUTED_VALUE"""),"Active")</f>
        <v>Active</v>
      </c>
      <c r="R156" s="143">
        <f>IFERROR(__xludf.DUMMYFUNCTION("""COMPUTED_VALUE"""),29220.0)</f>
        <v>29220</v>
      </c>
      <c r="S156" s="146" t="str">
        <f>IFERROR(__xludf.DUMMYFUNCTION("""COMPUTED_VALUE"""),"094-750-2662")</f>
        <v>094-750-2662</v>
      </c>
      <c r="T156" s="147" t="str">
        <f>IFERROR(__xludf.DUMMYFUNCTION("""COMPUTED_VALUE"""),"3589900-02-8741")</f>
        <v>3589900-02-8741</v>
      </c>
      <c r="U156" t="str">
        <f>IFERROR(__xludf.DUMMYFUNCTION("""COMPUTED_VALUE"""),"AD0184556")</f>
        <v>AD0184556</v>
      </c>
      <c r="V156" s="148">
        <f>IFERROR(__xludf.DUMMYFUNCTION("""COMPUTED_VALUE"""),44853.0)</f>
        <v>44853</v>
      </c>
      <c r="W156" s="148">
        <f>IFERROR(__xludf.DUMMYFUNCTION("""COMPUTED_VALUE"""),48505.0)</f>
        <v>48505</v>
      </c>
      <c r="X156" s="149">
        <f>IFERROR(__xludf.DUMMYFUNCTION("""COMPUTED_VALUE"""),48322.0)</f>
        <v>48322</v>
      </c>
      <c r="Y156" t="str">
        <f>IFERROR(__xludf.DUMMYFUNCTION("""COMPUTED_VALUE"""),"ปลอดภัย")</f>
        <v>ปลอดภัย</v>
      </c>
      <c r="Z156" t="str">
        <f>IFERROR(__xludf.DUMMYFUNCTION("""COMPUTED_VALUE"""),"Mae Hong Son Province")</f>
        <v>Mae Hong Son Province</v>
      </c>
      <c r="AA156" t="str">
        <f>IFERROR(__xludf.DUMMYFUNCTION("""COMPUTED_VALUE"""),"เชียงใหม่")</f>
        <v>เชียงใหม่</v>
      </c>
      <c r="AB156" t="str">
        <f>IFERROR(__xludf.DUMMYFUNCTION("""COMPUTED_VALUE"""),"081 973 7722")</f>
        <v>081 973 7722</v>
      </c>
      <c r="AC156" t="str">
        <f>IFERROR(__xludf.DUMMYFUNCTION("""COMPUTED_VALUE"""),"พ่อ")</f>
        <v>พ่อ</v>
      </c>
      <c r="AD156" t="str">
        <f>IFERROR(__xludf.DUMMYFUNCTION("""COMPUTED_VALUE"""),"janwatj@airasia.com")</f>
        <v>janwatj@airasia.com</v>
      </c>
    </row>
    <row r="157">
      <c r="A157" s="142">
        <f>IFERROR(__xludf.DUMMYFUNCTION("""COMPUTED_VALUE"""),32.0)</f>
        <v>32</v>
      </c>
      <c r="B157" t="str">
        <f>IFERROR(__xludf.DUMMYFUNCTION("""COMPUTED_VALUE"""),"TAA1562")</f>
        <v>TAA1562</v>
      </c>
      <c r="C157">
        <f>IFERROR(__xludf.DUMMYFUNCTION("""COMPUTED_VALUE"""),1001233.0)</f>
        <v>1001233</v>
      </c>
      <c r="D157" t="str">
        <f>IFERROR(__xludf.DUMMYFUNCTION("""COMPUTED_VALUE"""),"Ms.")</f>
        <v>Ms.</v>
      </c>
      <c r="E157" t="str">
        <f>IFERROR(__xludf.DUMMYFUNCTION("""COMPUTED_VALUE"""),"Sasithorn")</f>
        <v>Sasithorn</v>
      </c>
      <c r="F157" t="str">
        <f>IFERROR(__xludf.DUMMYFUNCTION("""COMPUTED_VALUE"""),"Wonglee")</f>
        <v>Wonglee</v>
      </c>
      <c r="G157" t="str">
        <f>IFERROR(__xludf.DUMMYFUNCTION("""COMPUTED_VALUE"""),"Sasithorn Wonglee")</f>
        <v>Sasithorn Wonglee</v>
      </c>
      <c r="H157" t="str">
        <f>IFERROR(__xludf.DUMMYFUNCTION("""COMPUTED_VALUE"""),"นางสาว")</f>
        <v>นางสาว</v>
      </c>
      <c r="I157" t="str">
        <f>IFERROR(__xludf.DUMMYFUNCTION("""COMPUTED_VALUE"""),"ศศิธร")</f>
        <v>ศศิธร</v>
      </c>
      <c r="J157" t="str">
        <f>IFERROR(__xludf.DUMMYFUNCTION("""COMPUTED_VALUE"""),"วงษ์ลี")</f>
        <v>วงษ์ลี</v>
      </c>
      <c r="K157" t="str">
        <f>IFERROR(__xludf.DUMMYFUNCTION("""COMPUTED_VALUE"""),"ศศิธร วงษ์ลี")</f>
        <v>ศศิธร วงษ์ลี</v>
      </c>
      <c r="L157" t="str">
        <f>IFERROR(__xludf.DUMMYFUNCTION("""COMPUTED_VALUE"""),"Petch")</f>
        <v>Petch</v>
      </c>
      <c r="M157" t="str">
        <f>IFERROR(__xludf.DUMMYFUNCTION("""COMPUTED_VALUE"""),"Cabin Crew")</f>
        <v>Cabin Crew</v>
      </c>
      <c r="N157" t="str">
        <f>IFERROR(__xludf.DUMMYFUNCTION("""COMPUTED_VALUE"""),"DMK")</f>
        <v>DMK</v>
      </c>
      <c r="O157" s="145" t="str">
        <f>IFERROR(__xludf.DUMMYFUNCTION("""COMPUTED_VALUE"""),"Kor Home")</f>
        <v>Kor Home</v>
      </c>
      <c r="P157" t="str">
        <f>IFERROR(__xludf.DUMMYFUNCTION("""COMPUTED_VALUE"""),"Active")</f>
        <v>Active</v>
      </c>
      <c r="R157" s="143">
        <f>IFERROR(__xludf.DUMMYFUNCTION("""COMPUTED_VALUE"""),30396.0)</f>
        <v>30396</v>
      </c>
      <c r="S157" s="146" t="str">
        <f>IFERROR(__xludf.DUMMYFUNCTION("""COMPUTED_VALUE"""),"097 956 6249")</f>
        <v>097 956 6249</v>
      </c>
      <c r="T157" s="147" t="str">
        <f>IFERROR(__xludf.DUMMYFUNCTION("""COMPUTED_VALUE"""),"3100603-22-2556")</f>
        <v>3100603-22-2556</v>
      </c>
      <c r="U157" t="str">
        <f>IFERROR(__xludf.DUMMYFUNCTION("""COMPUTED_VALUE"""),"AC8104871")</f>
        <v>AC8104871</v>
      </c>
      <c r="V157" s="148">
        <f>IFERROR(__xludf.DUMMYFUNCTION("""COMPUTED_VALUE"""),45720.0)</f>
        <v>45720</v>
      </c>
      <c r="W157" s="148">
        <f>IFERROR(__xludf.DUMMYFUNCTION("""COMPUTED_VALUE"""),49371.0)</f>
        <v>49371</v>
      </c>
      <c r="X157" s="149">
        <f>IFERROR(__xludf.DUMMYFUNCTION("""COMPUTED_VALUE"""),49190.0)</f>
        <v>49190</v>
      </c>
      <c r="Y157" t="str">
        <f>IFERROR(__xludf.DUMMYFUNCTION("""COMPUTED_VALUE"""),"ปลอดภัย")</f>
        <v>ปลอดภัย</v>
      </c>
      <c r="Z157" t="str">
        <f>IFERROR(__xludf.DUMMYFUNCTION("""COMPUTED_VALUE"""),"Bangkok")</f>
        <v>Bangkok</v>
      </c>
      <c r="AA157" t="str">
        <f>IFERROR(__xludf.DUMMYFUNCTION("""COMPUTED_VALUE"""),"สะพานสูง")</f>
        <v>สะพานสูง</v>
      </c>
      <c r="AB157" t="str">
        <f>IFERROR(__xludf.DUMMYFUNCTION("""COMPUTED_VALUE"""),"089 206 3210")</f>
        <v>089 206 3210</v>
      </c>
      <c r="AC157" t="str">
        <f>IFERROR(__xludf.DUMMYFUNCTION("""COMPUTED_VALUE"""),"พ่อ")</f>
        <v>พ่อ</v>
      </c>
      <c r="AD157" t="str">
        <f>IFERROR(__xludf.DUMMYFUNCTION("""COMPUTED_VALUE"""),"sasithornw@airasia.com")</f>
        <v>sasithornw@airasia.com</v>
      </c>
    </row>
    <row r="158">
      <c r="A158" s="142">
        <f>IFERROR(__xludf.DUMMYFUNCTION("""COMPUTED_VALUE"""),32.0)</f>
        <v>32</v>
      </c>
      <c r="B158" t="str">
        <f>IFERROR(__xludf.DUMMYFUNCTION("""COMPUTED_VALUE"""),"TAA1278")</f>
        <v>TAA1278</v>
      </c>
      <c r="C158">
        <f>IFERROR(__xludf.DUMMYFUNCTION("""COMPUTED_VALUE"""),1001286.0)</f>
        <v>1001286</v>
      </c>
      <c r="D158" t="str">
        <f>IFERROR(__xludf.DUMMYFUNCTION("""COMPUTED_VALUE"""),"Ms.")</f>
        <v>Ms.</v>
      </c>
      <c r="E158" t="str">
        <f>IFERROR(__xludf.DUMMYFUNCTION("""COMPUTED_VALUE"""),"Sirinart")</f>
        <v>Sirinart</v>
      </c>
      <c r="F158" t="str">
        <f>IFERROR(__xludf.DUMMYFUNCTION("""COMPUTED_VALUE"""),"Auypornbusyakom")</f>
        <v>Auypornbusyakom</v>
      </c>
      <c r="G158" t="str">
        <f>IFERROR(__xludf.DUMMYFUNCTION("""COMPUTED_VALUE"""),"Sirinart Auypornbusyakom")</f>
        <v>Sirinart Auypornbusyakom</v>
      </c>
      <c r="H158" t="str">
        <f>IFERROR(__xludf.DUMMYFUNCTION("""COMPUTED_VALUE"""),"นางสาว")</f>
        <v>นางสาว</v>
      </c>
      <c r="I158" t="str">
        <f>IFERROR(__xludf.DUMMYFUNCTION("""COMPUTED_VALUE"""),"ศิรินาถ")</f>
        <v>ศิรินาถ</v>
      </c>
      <c r="J158" t="str">
        <f>IFERROR(__xludf.DUMMYFUNCTION("""COMPUTED_VALUE"""),"อวยพรบุศยาคม")</f>
        <v>อวยพรบุศยาคม</v>
      </c>
      <c r="K158" t="str">
        <f>IFERROR(__xludf.DUMMYFUNCTION("""COMPUTED_VALUE"""),"ศิรินาถ อวยพรบุศยาคม")</f>
        <v>ศิรินาถ อวยพรบุศยาคม</v>
      </c>
      <c r="L158" t="str">
        <f>IFERROR(__xludf.DUMMYFUNCTION("""COMPUTED_VALUE"""),"Dao")</f>
        <v>Dao</v>
      </c>
      <c r="M158" t="str">
        <f>IFERROR(__xludf.DUMMYFUNCTION("""COMPUTED_VALUE"""),"Senior Cabin Crew")</f>
        <v>Senior Cabin Crew</v>
      </c>
      <c r="N158" t="str">
        <f>IFERROR(__xludf.DUMMYFUNCTION("""COMPUTED_VALUE"""),"DMK")</f>
        <v>DMK</v>
      </c>
      <c r="O158" s="145" t="str">
        <f>IFERROR(__xludf.DUMMYFUNCTION("""COMPUTED_VALUE"""),"Por+ Home")</f>
        <v>Por+ Home</v>
      </c>
      <c r="P158" t="str">
        <f>IFERROR(__xludf.DUMMYFUNCTION("""COMPUTED_VALUE"""),"Active")</f>
        <v>Active</v>
      </c>
      <c r="R158" s="143">
        <f>IFERROR(__xludf.DUMMYFUNCTION("""COMPUTED_VALUE"""),29211.0)</f>
        <v>29211</v>
      </c>
      <c r="S158" s="146" t="str">
        <f>IFERROR(__xludf.DUMMYFUNCTION("""COMPUTED_VALUE"""),"081 742 6664")</f>
        <v>081 742 6664</v>
      </c>
      <c r="T158" s="147" t="str">
        <f>IFERROR(__xludf.DUMMYFUNCTION("""COMPUTED_VALUE"""),"3102201-07-1768")</f>
        <v>3102201-07-1768</v>
      </c>
      <c r="U158" t="str">
        <f>IFERROR(__xludf.DUMMYFUNCTION("""COMPUTED_VALUE"""),"AD2128503")</f>
        <v>AD2128503</v>
      </c>
      <c r="V158" s="148">
        <f>IFERROR(__xludf.DUMMYFUNCTION("""COMPUTED_VALUE"""),45749.0)</f>
        <v>45749</v>
      </c>
      <c r="W158" s="148">
        <f>IFERROR(__xludf.DUMMYFUNCTION("""COMPUTED_VALUE"""),49400.0)</f>
        <v>49400</v>
      </c>
      <c r="X158" s="149">
        <f>IFERROR(__xludf.DUMMYFUNCTION("""COMPUTED_VALUE"""),49218.0)</f>
        <v>49218</v>
      </c>
      <c r="Y158" t="str">
        <f>IFERROR(__xludf.DUMMYFUNCTION("""COMPUTED_VALUE"""),"ปลอดภัย")</f>
        <v>ปลอดภัย</v>
      </c>
      <c r="Z158" t="str">
        <f>IFERROR(__xludf.DUMMYFUNCTION("""COMPUTED_VALUE"""),"Bangkok")</f>
        <v>Bangkok</v>
      </c>
      <c r="AA158" t="str">
        <f>IFERROR(__xludf.DUMMYFUNCTION("""COMPUTED_VALUE"""),"หลักสี่")</f>
        <v>หลักสี่</v>
      </c>
      <c r="AB158" t="str">
        <f>IFERROR(__xludf.DUMMYFUNCTION("""COMPUTED_VALUE"""),"089 894 8158")</f>
        <v>089 894 8158</v>
      </c>
      <c r="AC158" t="str">
        <f>IFERROR(__xludf.DUMMYFUNCTION("""COMPUTED_VALUE"""),"น้องสาว")</f>
        <v>น้องสาว</v>
      </c>
      <c r="AD158" t="str">
        <f>IFERROR(__xludf.DUMMYFUNCTION("""COMPUTED_VALUE"""),"sirinarta@airasia.com")</f>
        <v>sirinarta@airasia.com</v>
      </c>
    </row>
    <row r="159">
      <c r="A159" s="142">
        <f>IFERROR(__xludf.DUMMYFUNCTION("""COMPUTED_VALUE"""),32.0)</f>
        <v>32</v>
      </c>
      <c r="B159" t="str">
        <f>IFERROR(__xludf.DUMMYFUNCTION("""COMPUTED_VALUE"""),"TAA2655")</f>
        <v>TAA2655</v>
      </c>
      <c r="C159">
        <f>IFERROR(__xludf.DUMMYFUNCTION("""COMPUTED_VALUE"""),1004127.0)</f>
        <v>1004127</v>
      </c>
      <c r="D159" t="str">
        <f>IFERROR(__xludf.DUMMYFUNCTION("""COMPUTED_VALUE"""),"Ms.")</f>
        <v>Ms.</v>
      </c>
      <c r="E159" t="str">
        <f>IFERROR(__xludf.DUMMYFUNCTION("""COMPUTED_VALUE"""),"Thawinun")</f>
        <v>Thawinun</v>
      </c>
      <c r="F159" t="str">
        <f>IFERROR(__xludf.DUMMYFUNCTION("""COMPUTED_VALUE"""),"Arunnuntapanich")</f>
        <v>Arunnuntapanich</v>
      </c>
      <c r="G159" t="str">
        <f>IFERROR(__xludf.DUMMYFUNCTION("""COMPUTED_VALUE"""),"Thawinun Arunnuntapanich")</f>
        <v>Thawinun Arunnuntapanich</v>
      </c>
      <c r="H159" t="str">
        <f>IFERROR(__xludf.DUMMYFUNCTION("""COMPUTED_VALUE"""),"นางสาว")</f>
        <v>นางสาว</v>
      </c>
      <c r="I159" t="str">
        <f>IFERROR(__xludf.DUMMYFUNCTION("""COMPUTED_VALUE"""),"ทวินันท์")</f>
        <v>ทวินันท์</v>
      </c>
      <c r="J159" t="str">
        <f>IFERROR(__xludf.DUMMYFUNCTION("""COMPUTED_VALUE"""),"อรุณนันทพานิช")</f>
        <v>อรุณนันทพานิช</v>
      </c>
      <c r="K159" t="str">
        <f>IFERROR(__xludf.DUMMYFUNCTION("""COMPUTED_VALUE"""),"ทวินันท์ อรุณนันทพานิช")</f>
        <v>ทวินันท์ อรุณนันทพานิช</v>
      </c>
      <c r="L159" t="str">
        <f>IFERROR(__xludf.DUMMYFUNCTION("""COMPUTED_VALUE"""),"นุ่น")</f>
        <v>นุ่น</v>
      </c>
      <c r="M159" t="str">
        <f>IFERROR(__xludf.DUMMYFUNCTION("""COMPUTED_VALUE"""),"Senior Cabin Crew")</f>
        <v>Senior Cabin Crew</v>
      </c>
      <c r="N159" t="str">
        <f>IFERROR(__xludf.DUMMYFUNCTION("""COMPUTED_VALUE"""),"DMK")</f>
        <v>DMK</v>
      </c>
      <c r="O159" s="145" t="str">
        <f>IFERROR(__xludf.DUMMYFUNCTION("""COMPUTED_VALUE"""),"Um Home")</f>
        <v>Um Home</v>
      </c>
      <c r="P159" t="str">
        <f>IFERROR(__xludf.DUMMYFUNCTION("""COMPUTED_VALUE"""),"Active")</f>
        <v>Active</v>
      </c>
      <c r="R159" s="143">
        <f>IFERROR(__xludf.DUMMYFUNCTION("""COMPUTED_VALUE"""),31654.0)</f>
        <v>31654</v>
      </c>
      <c r="S159" s="146" t="str">
        <f>IFERROR(__xludf.DUMMYFUNCTION("""COMPUTED_VALUE"""),"086 895 8919")</f>
        <v>086 895 8919</v>
      </c>
      <c r="T159" s="147" t="str">
        <f>IFERROR(__xludf.DUMMYFUNCTION("""COMPUTED_VALUE"""),"1100800-29-9610")</f>
        <v>1100800-29-9610</v>
      </c>
      <c r="U159" t="str">
        <f>IFERROR(__xludf.DUMMYFUNCTION("""COMPUTED_VALUE"""),"AC5830939")</f>
        <v>AC5830939</v>
      </c>
      <c r="V159" s="148">
        <f>IFERROR(__xludf.DUMMYFUNCTION("""COMPUTED_VALUE"""),45194.0)</f>
        <v>45194</v>
      </c>
      <c r="W159" s="148">
        <f>IFERROR(__xludf.DUMMYFUNCTION("""COMPUTED_VALUE"""),48846.0)</f>
        <v>48846</v>
      </c>
      <c r="X159" s="149">
        <f>IFERROR(__xludf.DUMMYFUNCTION("""COMPUTED_VALUE"""),48662.0)</f>
        <v>48662</v>
      </c>
      <c r="Y159" t="str">
        <f>IFERROR(__xludf.DUMMYFUNCTION("""COMPUTED_VALUE"""),"ปลอดภัย")</f>
        <v>ปลอดภัย</v>
      </c>
      <c r="Z159" t="str">
        <f>IFERROR(__xludf.DUMMYFUNCTION("""COMPUTED_VALUE"""),"Bangkok")</f>
        <v>Bangkok</v>
      </c>
      <c r="AA159" t="str">
        <f>IFERROR(__xludf.DUMMYFUNCTION("""COMPUTED_VALUE"""),"จตุจักร")</f>
        <v>จตุจักร</v>
      </c>
      <c r="AB159" t="str">
        <f>IFERROR(__xludf.DUMMYFUNCTION("""COMPUTED_VALUE"""),"081 345 1809")</f>
        <v>081 345 1809</v>
      </c>
      <c r="AC159" t="str">
        <f>IFERROR(__xludf.DUMMYFUNCTION("""COMPUTED_VALUE"""),"พ่อ")</f>
        <v>พ่อ</v>
      </c>
      <c r="AD159" t="str">
        <f>IFERROR(__xludf.DUMMYFUNCTION("""COMPUTED_VALUE"""),"thawinuna@airasia.com")</f>
        <v>thawinuna@airasia.com</v>
      </c>
    </row>
    <row r="160">
      <c r="AD160" t="str">
        <f>IFERROR(__xludf.DUMMYFUNCTION("""COMPUTED_VALUE"""),"")</f>
        <v/>
      </c>
    </row>
    <row r="161">
      <c r="A161" s="142">
        <f>IFERROR(__xludf.DUMMYFUNCTION("""COMPUTED_VALUE"""),33.0)</f>
        <v>33</v>
      </c>
      <c r="B161" t="str">
        <f>IFERROR(__xludf.DUMMYFUNCTION("""COMPUTED_VALUE"""),"TAA2679")</f>
        <v>TAA2679</v>
      </c>
      <c r="C161">
        <f>IFERROR(__xludf.DUMMYFUNCTION("""COMPUTED_VALUE"""),1004196.0)</f>
        <v>1004196</v>
      </c>
      <c r="D161" t="str">
        <f>IFERROR(__xludf.DUMMYFUNCTION("""COMPUTED_VALUE"""),"Ms.")</f>
        <v>Ms.</v>
      </c>
      <c r="E161" t="str">
        <f>IFERROR(__xludf.DUMMYFUNCTION("""COMPUTED_VALUE"""),"Kanyarat")</f>
        <v>Kanyarat</v>
      </c>
      <c r="F161" t="str">
        <f>IFERROR(__xludf.DUMMYFUNCTION("""COMPUTED_VALUE"""),"Boonthanawat")</f>
        <v>Boonthanawat</v>
      </c>
      <c r="G161" t="str">
        <f>IFERROR(__xludf.DUMMYFUNCTION("""COMPUTED_VALUE"""),"Kanyarat Boonthanawat")</f>
        <v>Kanyarat Boonthanawat</v>
      </c>
      <c r="H161" t="str">
        <f>IFERROR(__xludf.DUMMYFUNCTION("""COMPUTED_VALUE"""),"นางสาว")</f>
        <v>นางสาว</v>
      </c>
      <c r="I161" t="str">
        <f>IFERROR(__xludf.DUMMYFUNCTION("""COMPUTED_VALUE"""),"กัญญารัตน์")</f>
        <v>กัญญารัตน์</v>
      </c>
      <c r="J161" t="str">
        <f>IFERROR(__xludf.DUMMYFUNCTION("""COMPUTED_VALUE"""),"บุญธนาวัฒน์")</f>
        <v>บุญธนาวัฒน์</v>
      </c>
      <c r="K161" t="str">
        <f>IFERROR(__xludf.DUMMYFUNCTION("""COMPUTED_VALUE"""),"กัญญารัตน์ บุญธนาวัฒน์")</f>
        <v>กัญญารัตน์ บุญธนาวัฒน์</v>
      </c>
      <c r="L161" t="str">
        <f>IFERROR(__xludf.DUMMYFUNCTION("""COMPUTED_VALUE"""),"ยิ้ม")</f>
        <v>ยิ้ม</v>
      </c>
      <c r="M161" t="str">
        <f>IFERROR(__xludf.DUMMYFUNCTION("""COMPUTED_VALUE"""),"Senior Cabin Crew - CNX")</f>
        <v>Senior Cabin Crew - CNX</v>
      </c>
      <c r="N161" t="str">
        <f>IFERROR(__xludf.DUMMYFUNCTION("""COMPUTED_VALUE"""),"CNX")</f>
        <v>CNX</v>
      </c>
      <c r="O161" s="145" t="str">
        <f>IFERROR(__xludf.DUMMYFUNCTION("""COMPUTED_VALUE"""),"Up Home")</f>
        <v>Up Home</v>
      </c>
      <c r="P161" t="str">
        <f>IFERROR(__xludf.DUMMYFUNCTION("""COMPUTED_VALUE"""),"Active")</f>
        <v>Active</v>
      </c>
      <c r="R161" s="143">
        <f>IFERROR(__xludf.DUMMYFUNCTION("""COMPUTED_VALUE"""),30198.0)</f>
        <v>30198</v>
      </c>
      <c r="S161" s="146" t="str">
        <f>IFERROR(__xludf.DUMMYFUNCTION("""COMPUTED_VALUE"""),"096 661 9295")</f>
        <v>096 661 9295</v>
      </c>
      <c r="T161" s="147" t="str">
        <f>IFERROR(__xludf.DUMMYFUNCTION("""COMPUTED_VALUE"""),"3510400-10-9255")</f>
        <v>3510400-10-9255</v>
      </c>
      <c r="U161" t="str">
        <f>IFERROR(__xludf.DUMMYFUNCTION("""COMPUTED_VALUE"""),"AC2438325")</f>
        <v>AC2438325</v>
      </c>
      <c r="V161" s="148">
        <f>IFERROR(__xludf.DUMMYFUNCTION("""COMPUTED_VALUE"""),44459.0)</f>
        <v>44459</v>
      </c>
      <c r="W161" s="148">
        <f>IFERROR(__xludf.DUMMYFUNCTION("""COMPUTED_VALUE"""),48110.0)</f>
        <v>48110</v>
      </c>
      <c r="X161" s="149">
        <f>IFERROR(__xludf.DUMMYFUNCTION("""COMPUTED_VALUE"""),47926.0)</f>
        <v>47926</v>
      </c>
      <c r="Y161" t="str">
        <f>IFERROR(__xludf.DUMMYFUNCTION("""COMPUTED_VALUE"""),"ปลอดภัย")</f>
        <v>ปลอดภัย</v>
      </c>
      <c r="Z161" t="str">
        <f>IFERROR(__xludf.DUMMYFUNCTION("""COMPUTED_VALUE"""),"Chiang Mai Province")</f>
        <v>Chiang Mai Province</v>
      </c>
      <c r="AA161" t="str">
        <f>IFERROR(__xludf.DUMMYFUNCTION("""COMPUTED_VALUE"""),"เชียงใหม่")</f>
        <v>เชียงใหม่</v>
      </c>
      <c r="AB161" t="str">
        <f>IFERROR(__xludf.DUMMYFUNCTION("""COMPUTED_VALUE"""),"085 244 9998")</f>
        <v>085 244 9998</v>
      </c>
      <c r="AC161" t="str">
        <f>IFERROR(__xludf.DUMMYFUNCTION("""COMPUTED_VALUE"""),"ไม่ระบุ")</f>
        <v>ไม่ระบุ</v>
      </c>
      <c r="AD161" t="str">
        <f>IFERROR(__xludf.DUMMYFUNCTION("""COMPUTED_VALUE"""),"kanyaratb@airasia.com")</f>
        <v>kanyaratb@airasia.com</v>
      </c>
    </row>
    <row r="162">
      <c r="A162" s="142">
        <f>IFERROR(__xludf.DUMMYFUNCTION("""COMPUTED_VALUE"""),33.0)</f>
        <v>33</v>
      </c>
      <c r="B162" t="str">
        <f>IFERROR(__xludf.DUMMYFUNCTION("""COMPUTED_VALUE"""),"TAA2685")</f>
        <v>TAA2685</v>
      </c>
      <c r="C162">
        <f>IFERROR(__xludf.DUMMYFUNCTION("""COMPUTED_VALUE"""),1004197.0)</f>
        <v>1004197</v>
      </c>
      <c r="D162" t="str">
        <f>IFERROR(__xludf.DUMMYFUNCTION("""COMPUTED_VALUE"""),"Ms.")</f>
        <v>Ms.</v>
      </c>
      <c r="E162" t="str">
        <f>IFERROR(__xludf.DUMMYFUNCTION("""COMPUTED_VALUE"""),"Kultharin")</f>
        <v>Kultharin</v>
      </c>
      <c r="F162" t="str">
        <f>IFERROR(__xludf.DUMMYFUNCTION("""COMPUTED_VALUE"""),"Kijbamrunglab")</f>
        <v>Kijbamrunglab</v>
      </c>
      <c r="G162" t="str">
        <f>IFERROR(__xludf.DUMMYFUNCTION("""COMPUTED_VALUE"""),"Kultharin Kijbamrunglab")</f>
        <v>Kultharin Kijbamrunglab</v>
      </c>
      <c r="H162" t="str">
        <f>IFERROR(__xludf.DUMMYFUNCTION("""COMPUTED_VALUE"""),"นางสาว")</f>
        <v>นางสาว</v>
      </c>
      <c r="I162" t="str">
        <f>IFERROR(__xludf.DUMMYFUNCTION("""COMPUTED_VALUE"""),"กุลธารินทร์")</f>
        <v>กุลธารินทร์</v>
      </c>
      <c r="J162" t="str">
        <f>IFERROR(__xludf.DUMMYFUNCTION("""COMPUTED_VALUE"""),"กิจบำรุงลาภ")</f>
        <v>กิจบำรุงลาภ</v>
      </c>
      <c r="K162" t="str">
        <f>IFERROR(__xludf.DUMMYFUNCTION("""COMPUTED_VALUE"""),"กุลธารินทร์ กิจบำรุงลาภ")</f>
        <v>กุลธารินทร์ กิจบำรุงลาภ</v>
      </c>
      <c r="L162" t="str">
        <f>IFERROR(__xludf.DUMMYFUNCTION("""COMPUTED_VALUE"""),"Yui")</f>
        <v>Yui</v>
      </c>
      <c r="M162" t="str">
        <f>IFERROR(__xludf.DUMMYFUNCTION("""COMPUTED_VALUE"""),"Senior Cabin Crew")</f>
        <v>Senior Cabin Crew</v>
      </c>
      <c r="N162" t="str">
        <f>IFERROR(__xludf.DUMMYFUNCTION("""COMPUTED_VALUE"""),"DMK")</f>
        <v>DMK</v>
      </c>
      <c r="O162" s="145" t="str">
        <f>IFERROR(__xludf.DUMMYFUNCTION("""COMPUTED_VALUE"""),"Toffy Home")</f>
        <v>Toffy Home</v>
      </c>
      <c r="P162" t="str">
        <f>IFERROR(__xludf.DUMMYFUNCTION("""COMPUTED_VALUE"""),"Active")</f>
        <v>Active</v>
      </c>
      <c r="R162" s="143">
        <f>IFERROR(__xludf.DUMMYFUNCTION("""COMPUTED_VALUE"""),30637.0)</f>
        <v>30637</v>
      </c>
      <c r="S162" s="146" t="str">
        <f>IFERROR(__xludf.DUMMYFUNCTION("""COMPUTED_VALUE"""),"088 974 6365")</f>
        <v>088 974 6365</v>
      </c>
      <c r="T162" s="147" t="str">
        <f>IFERROR(__xludf.DUMMYFUNCTION("""COMPUTED_VALUE"""),"3209900-24-6295")</f>
        <v>3209900-24-6295</v>
      </c>
      <c r="U162" t="str">
        <f>IFERROR(__xludf.DUMMYFUNCTION("""COMPUTED_VALUE"""),"AC6234317")</f>
        <v>AC6234317</v>
      </c>
      <c r="V162" s="148">
        <f>IFERROR(__xludf.DUMMYFUNCTION("""COMPUTED_VALUE"""),45302.0)</f>
        <v>45302</v>
      </c>
      <c r="W162" s="148">
        <f>IFERROR(__xludf.DUMMYFUNCTION("""COMPUTED_VALUE"""),48954.0)</f>
        <v>48954</v>
      </c>
      <c r="X162" s="149">
        <f>IFERROR(__xludf.DUMMYFUNCTION("""COMPUTED_VALUE"""),48770.0)</f>
        <v>48770</v>
      </c>
      <c r="Y162" t="str">
        <f>IFERROR(__xludf.DUMMYFUNCTION("""COMPUTED_VALUE"""),"ปลอดภัย")</f>
        <v>ปลอดภัย</v>
      </c>
      <c r="Z162" t="str">
        <f>IFERROR(__xludf.DUMMYFUNCTION("""COMPUTED_VALUE"""),"Chonburi Province")</f>
        <v>Chonburi Province</v>
      </c>
      <c r="AA162" t="str">
        <f>IFERROR(__xludf.DUMMYFUNCTION("""COMPUTED_VALUE"""),"วัฒนา")</f>
        <v>วัฒนา</v>
      </c>
      <c r="AB162" t="str">
        <f>IFERROR(__xludf.DUMMYFUNCTION("""COMPUTED_VALUE"""),"! Update !")</f>
        <v>! Update !</v>
      </c>
      <c r="AC162" t="str">
        <f>IFERROR(__xludf.DUMMYFUNCTION("""COMPUTED_VALUE"""),"! Update !")</f>
        <v>! Update !</v>
      </c>
      <c r="AD162" t="str">
        <f>IFERROR(__xludf.DUMMYFUNCTION("""COMPUTED_VALUE"""),"kultharink@airasia.com")</f>
        <v>kultharink@airasia.com</v>
      </c>
    </row>
    <row r="163">
      <c r="A163" s="142">
        <f>IFERROR(__xludf.DUMMYFUNCTION("""COMPUTED_VALUE"""),33.0)</f>
        <v>33</v>
      </c>
      <c r="B163" t="str">
        <f>IFERROR(__xludf.DUMMYFUNCTION("""COMPUTED_VALUE"""),"TAA2681")</f>
        <v>TAA2681</v>
      </c>
      <c r="C163">
        <f>IFERROR(__xludf.DUMMYFUNCTION("""COMPUTED_VALUE"""),1004200.0)</f>
        <v>1004200</v>
      </c>
      <c r="D163" t="str">
        <f>IFERROR(__xludf.DUMMYFUNCTION("""COMPUTED_VALUE"""),"Ms.")</f>
        <v>Ms.</v>
      </c>
      <c r="E163" t="str">
        <f>IFERROR(__xludf.DUMMYFUNCTION("""COMPUTED_VALUE"""),"Napasorn")</f>
        <v>Napasorn</v>
      </c>
      <c r="F163" t="str">
        <f>IFERROR(__xludf.DUMMYFUNCTION("""COMPUTED_VALUE"""),"Narkkaew")</f>
        <v>Narkkaew</v>
      </c>
      <c r="G163" t="str">
        <f>IFERROR(__xludf.DUMMYFUNCTION("""COMPUTED_VALUE"""),"Napasorn Narkkaew")</f>
        <v>Napasorn Narkkaew</v>
      </c>
      <c r="H163" t="str">
        <f>IFERROR(__xludf.DUMMYFUNCTION("""COMPUTED_VALUE"""),"นางสาว")</f>
        <v>นางสาว</v>
      </c>
      <c r="I163" t="str">
        <f>IFERROR(__xludf.DUMMYFUNCTION("""COMPUTED_VALUE"""),"นภัสสรณ์")</f>
        <v>นภัสสรณ์</v>
      </c>
      <c r="J163" t="str">
        <f>IFERROR(__xludf.DUMMYFUNCTION("""COMPUTED_VALUE"""),"นาคแก้ว")</f>
        <v>นาคแก้ว</v>
      </c>
      <c r="K163" t="str">
        <f>IFERROR(__xludf.DUMMYFUNCTION("""COMPUTED_VALUE"""),"นภัสสรณ์ นาคแก้ว")</f>
        <v>นภัสสรณ์ นาคแก้ว</v>
      </c>
      <c r="L163" t="str">
        <f>IFERROR(__xludf.DUMMYFUNCTION("""COMPUTED_VALUE"""),"ออม")</f>
        <v>ออม</v>
      </c>
      <c r="M163" t="str">
        <f>IFERROR(__xludf.DUMMYFUNCTION("""COMPUTED_VALUE"""),"Cabin Crew")</f>
        <v>Cabin Crew</v>
      </c>
      <c r="N163" t="str">
        <f>IFERROR(__xludf.DUMMYFUNCTION("""COMPUTED_VALUE"""),"DMK")</f>
        <v>DMK</v>
      </c>
      <c r="O163" s="145" t="str">
        <f>IFERROR(__xludf.DUMMYFUNCTION("""COMPUTED_VALUE"""),"Nhui Home")</f>
        <v>Nhui Home</v>
      </c>
      <c r="P163" t="str">
        <f>IFERROR(__xludf.DUMMYFUNCTION("""COMPUTED_VALUE"""),"V/LWP")</f>
        <v>V/LWP</v>
      </c>
      <c r="R163" s="143">
        <f>IFERROR(__xludf.DUMMYFUNCTION("""COMPUTED_VALUE"""),30718.0)</f>
        <v>30718</v>
      </c>
      <c r="S163" s="146" t="str">
        <f>IFERROR(__xludf.DUMMYFUNCTION("""COMPUTED_VALUE"""),"082 342 8554")</f>
        <v>082 342 8554</v>
      </c>
      <c r="T163" s="147" t="str">
        <f>IFERROR(__xludf.DUMMYFUNCTION("""COMPUTED_VALUE"""),"1101400-03-4661")</f>
        <v>1101400-03-4661</v>
      </c>
      <c r="U163" t="str">
        <f>IFERROR(__xludf.DUMMYFUNCTION("""COMPUTED_VALUE"""),"AC5014737")</f>
        <v>AC5014737</v>
      </c>
      <c r="V163" s="148">
        <f>IFERROR(__xludf.DUMMYFUNCTION("""COMPUTED_VALUE"""),45103.0)</f>
        <v>45103</v>
      </c>
      <c r="W163" s="148">
        <f>IFERROR(__xludf.DUMMYFUNCTION("""COMPUTED_VALUE"""),48755.0)</f>
        <v>48755</v>
      </c>
      <c r="X163" s="149">
        <f>IFERROR(__xludf.DUMMYFUNCTION("""COMPUTED_VALUE"""),48573.0)</f>
        <v>48573</v>
      </c>
      <c r="Y163" t="str">
        <f>IFERROR(__xludf.DUMMYFUNCTION("""COMPUTED_VALUE"""),"ปลอดภัย")</f>
        <v>ปลอดภัย</v>
      </c>
      <c r="Z163" t="str">
        <f>IFERROR(__xludf.DUMMYFUNCTION("""COMPUTED_VALUE"""),"Bangkok")</f>
        <v>Bangkok</v>
      </c>
      <c r="AA163" t="str">
        <f>IFERROR(__xludf.DUMMYFUNCTION("""COMPUTED_VALUE"""),"ดินแดง")</f>
        <v>ดินแดง</v>
      </c>
      <c r="AB163" t="str">
        <f>IFERROR(__xludf.DUMMYFUNCTION("""COMPUTED_VALUE"""),"! Update !")</f>
        <v>! Update !</v>
      </c>
      <c r="AC163" t="str">
        <f>IFERROR(__xludf.DUMMYFUNCTION("""COMPUTED_VALUE"""),"! Update !")</f>
        <v>! Update !</v>
      </c>
      <c r="AD163" t="str">
        <f>IFERROR(__xludf.DUMMYFUNCTION("""COMPUTED_VALUE"""),"napasornn@airasia.com")</f>
        <v>napasornn@airasia.com</v>
      </c>
    </row>
    <row r="164">
      <c r="A164" s="142">
        <f>IFERROR(__xludf.DUMMYFUNCTION("""COMPUTED_VALUE"""),33.0)</f>
        <v>33</v>
      </c>
      <c r="B164" t="str">
        <f>IFERROR(__xludf.DUMMYFUNCTION("""COMPUTED_VALUE"""),"TAA2684")</f>
        <v>TAA2684</v>
      </c>
      <c r="C164">
        <f>IFERROR(__xludf.DUMMYFUNCTION("""COMPUTED_VALUE"""),1004202.0)</f>
        <v>1004202</v>
      </c>
      <c r="D164" t="str">
        <f>IFERROR(__xludf.DUMMYFUNCTION("""COMPUTED_VALUE"""),"Ms.")</f>
        <v>Ms.</v>
      </c>
      <c r="E164" t="str">
        <f>IFERROR(__xludf.DUMMYFUNCTION("""COMPUTED_VALUE"""),"Patsachol")</f>
        <v>Patsachol</v>
      </c>
      <c r="F164" t="str">
        <f>IFERROR(__xludf.DUMMYFUNCTION("""COMPUTED_VALUE"""),"Intra")</f>
        <v>Intra</v>
      </c>
      <c r="G164" t="str">
        <f>IFERROR(__xludf.DUMMYFUNCTION("""COMPUTED_VALUE"""),"Patsachol Intra")</f>
        <v>Patsachol Intra</v>
      </c>
      <c r="H164" t="str">
        <f>IFERROR(__xludf.DUMMYFUNCTION("""COMPUTED_VALUE"""),"นางสาว")</f>
        <v>นางสาว</v>
      </c>
      <c r="I164" t="str">
        <f>IFERROR(__xludf.DUMMYFUNCTION("""COMPUTED_VALUE"""),"พรรษชล")</f>
        <v>พรรษชล</v>
      </c>
      <c r="J164" t="str">
        <f>IFERROR(__xludf.DUMMYFUNCTION("""COMPUTED_VALUE"""),"อินตรา")</f>
        <v>อินตรา</v>
      </c>
      <c r="K164" t="str">
        <f>IFERROR(__xludf.DUMMYFUNCTION("""COMPUTED_VALUE"""),"พรรษชล อินตรา")</f>
        <v>พรรษชล อินตรา</v>
      </c>
      <c r="L164" t="str">
        <f>IFERROR(__xludf.DUMMYFUNCTION("""COMPUTED_VALUE"""),"Peach")</f>
        <v>Peach</v>
      </c>
      <c r="M164" t="str">
        <f>IFERROR(__xludf.DUMMYFUNCTION("""COMPUTED_VALUE"""),"Cabin Crew")</f>
        <v>Cabin Crew</v>
      </c>
      <c r="N164" t="str">
        <f>IFERROR(__xludf.DUMMYFUNCTION("""COMPUTED_VALUE"""),"DMK")</f>
        <v>DMK</v>
      </c>
      <c r="O164" s="145" t="str">
        <f>IFERROR(__xludf.DUMMYFUNCTION("""COMPUTED_VALUE"""),"Por+ Home")</f>
        <v>Por+ Home</v>
      </c>
      <c r="P164" t="str">
        <f>IFERROR(__xludf.DUMMYFUNCTION("""COMPUTED_VALUE"""),"Active")</f>
        <v>Active</v>
      </c>
      <c r="R164" s="143">
        <f>IFERROR(__xludf.DUMMYFUNCTION("""COMPUTED_VALUE"""),30550.0)</f>
        <v>30550</v>
      </c>
      <c r="S164" s="146" t="str">
        <f>IFERROR(__xludf.DUMMYFUNCTION("""COMPUTED_VALUE"""),"089 989 9908")</f>
        <v>089 989 9908</v>
      </c>
      <c r="T164" s="147" t="str">
        <f>IFERROR(__xludf.DUMMYFUNCTION("""COMPUTED_VALUE"""),"3779800-26-9701")</f>
        <v>3779800-26-9701</v>
      </c>
      <c r="U164" t="str">
        <f>IFERROR(__xludf.DUMMYFUNCTION("""COMPUTED_VALUE"""),"AC4695652")</f>
        <v>AC4695652</v>
      </c>
      <c r="V164" s="148">
        <f>IFERROR(__xludf.DUMMYFUNCTION("""COMPUTED_VALUE"""),45005.0)</f>
        <v>45005</v>
      </c>
      <c r="W164" s="148">
        <f>IFERROR(__xludf.DUMMYFUNCTION("""COMPUTED_VALUE"""),48657.0)</f>
        <v>48657</v>
      </c>
      <c r="X164" s="149">
        <f>IFERROR(__xludf.DUMMYFUNCTION("""COMPUTED_VALUE"""),48476.0)</f>
        <v>48476</v>
      </c>
      <c r="Y164" t="str">
        <f>IFERROR(__xludf.DUMMYFUNCTION("""COMPUTED_VALUE"""),"ปลอดภัย")</f>
        <v>ปลอดภัย</v>
      </c>
      <c r="Z164" t="str">
        <f>IFERROR(__xludf.DUMMYFUNCTION("""COMPUTED_VALUE"""),"Bangkok")</f>
        <v>Bangkok</v>
      </c>
      <c r="AA164" t="str">
        <f>IFERROR(__xludf.DUMMYFUNCTION("""COMPUTED_VALUE"""),"สมุทรปราการ อำเภอเมือง")</f>
        <v>สมุทรปราการ อำเภอเมือง</v>
      </c>
      <c r="AB164" t="str">
        <f>IFERROR(__xludf.DUMMYFUNCTION("""COMPUTED_VALUE"""),"! Update !")</f>
        <v>! Update !</v>
      </c>
      <c r="AC164" t="str">
        <f>IFERROR(__xludf.DUMMYFUNCTION("""COMPUTED_VALUE"""),"! Update !")</f>
        <v>! Update !</v>
      </c>
      <c r="AD164" t="str">
        <f>IFERROR(__xludf.DUMMYFUNCTION("""COMPUTED_VALUE"""),"patsacholi@airasia.com")</f>
        <v>patsacholi@airasia.com</v>
      </c>
    </row>
    <row r="165">
      <c r="A165" s="142">
        <f>IFERROR(__xludf.DUMMYFUNCTION("""COMPUTED_VALUE"""),33.0)</f>
        <v>33</v>
      </c>
      <c r="B165" t="str">
        <f>IFERROR(__xludf.DUMMYFUNCTION("""COMPUTED_VALUE"""),"TAA2675")</f>
        <v>TAA2675</v>
      </c>
      <c r="C165">
        <f>IFERROR(__xludf.DUMMYFUNCTION("""COMPUTED_VALUE"""),1004203.0)</f>
        <v>1004203</v>
      </c>
      <c r="D165" t="str">
        <f>IFERROR(__xludf.DUMMYFUNCTION("""COMPUTED_VALUE"""),"Mrs.")</f>
        <v>Mrs.</v>
      </c>
      <c r="E165" t="str">
        <f>IFERROR(__xludf.DUMMYFUNCTION("""COMPUTED_VALUE"""),"Pavaran")</f>
        <v>Pavaran</v>
      </c>
      <c r="F165" t="str">
        <f>IFERROR(__xludf.DUMMYFUNCTION("""COMPUTED_VALUE"""),"Maneechai (Khonwai)")</f>
        <v>Maneechai (Khonwai)</v>
      </c>
      <c r="G165" t="str">
        <f>IFERROR(__xludf.DUMMYFUNCTION("""COMPUTED_VALUE"""),"Pavaran Maneechai")</f>
        <v>Pavaran Maneechai</v>
      </c>
      <c r="H165" t="str">
        <f>IFERROR(__xludf.DUMMYFUNCTION("""COMPUTED_VALUE"""),"นาง")</f>
        <v>นาง</v>
      </c>
      <c r="I165" t="str">
        <f>IFERROR(__xludf.DUMMYFUNCTION("""COMPUTED_VALUE"""),"ภวรัญชน์")</f>
        <v>ภวรัญชน์</v>
      </c>
      <c r="J165" t="str">
        <f>IFERROR(__xludf.DUMMYFUNCTION("""COMPUTED_VALUE"""),"มณีฉาย (คนไว)")</f>
        <v>มณีฉาย (คนไว)</v>
      </c>
      <c r="K165" t="str">
        <f>IFERROR(__xludf.DUMMYFUNCTION("""COMPUTED_VALUE"""),"ภวรัญชน์ มณีฉาย")</f>
        <v>ภวรัญชน์ มณีฉาย</v>
      </c>
      <c r="L165" t="str">
        <f>IFERROR(__xludf.DUMMYFUNCTION("""COMPUTED_VALUE"""),"Gift")</f>
        <v>Gift</v>
      </c>
      <c r="M165" t="str">
        <f>IFERROR(__xludf.DUMMYFUNCTION("""COMPUTED_VALUE"""),"Senior Cabin Crew")</f>
        <v>Senior Cabin Crew</v>
      </c>
      <c r="N165" t="str">
        <f>IFERROR(__xludf.DUMMYFUNCTION("""COMPUTED_VALUE"""),"DMK")</f>
        <v>DMK</v>
      </c>
      <c r="O165" s="145" t="str">
        <f>IFERROR(__xludf.DUMMYFUNCTION("""COMPUTED_VALUE"""),"Toffy Home")</f>
        <v>Toffy Home</v>
      </c>
      <c r="P165" t="str">
        <f>IFERROR(__xludf.DUMMYFUNCTION("""COMPUTED_VALUE"""),"Active")</f>
        <v>Active</v>
      </c>
      <c r="R165" s="143">
        <f>IFERROR(__xludf.DUMMYFUNCTION("""COMPUTED_VALUE"""),32349.0)</f>
        <v>32349</v>
      </c>
      <c r="S165" s="146" t="str">
        <f>IFERROR(__xludf.DUMMYFUNCTION("""COMPUTED_VALUE"""),"096-292-9155")</f>
        <v>096-292-9155</v>
      </c>
      <c r="T165" s="147" t="str">
        <f>IFERROR(__xludf.DUMMYFUNCTION("""COMPUTED_VALUE"""),"1100800-44-0584")</f>
        <v>1100800-44-0584</v>
      </c>
      <c r="U165" t="str">
        <f>IFERROR(__xludf.DUMMYFUNCTION("""COMPUTED_VALUE"""),"AD0177258")</f>
        <v>AD0177258</v>
      </c>
      <c r="V165" s="148">
        <f>IFERROR(__xludf.DUMMYFUNCTION("""COMPUTED_VALUE"""),44861.0)</f>
        <v>44861</v>
      </c>
      <c r="W165" s="148">
        <f>IFERROR(__xludf.DUMMYFUNCTION("""COMPUTED_VALUE"""),48513.0)</f>
        <v>48513</v>
      </c>
      <c r="X165" s="149">
        <f>IFERROR(__xludf.DUMMYFUNCTION("""COMPUTED_VALUE"""),48330.0)</f>
        <v>48330</v>
      </c>
      <c r="Y165" t="str">
        <f>IFERROR(__xludf.DUMMYFUNCTION("""COMPUTED_VALUE"""),"ปลอดภัย")</f>
        <v>ปลอดภัย</v>
      </c>
      <c r="Z165" t="str">
        <f>IFERROR(__xludf.DUMMYFUNCTION("""COMPUTED_VALUE"""),"Bangkok")</f>
        <v>Bangkok</v>
      </c>
      <c r="AA165" t="str">
        <f>IFERROR(__xludf.DUMMYFUNCTION("""COMPUTED_VALUE"""),"ดินแดง")</f>
        <v>ดินแดง</v>
      </c>
      <c r="AB165" t="str">
        <f>IFERROR(__xludf.DUMMYFUNCTION("""COMPUTED_VALUE"""),"! Update !")</f>
        <v>! Update !</v>
      </c>
      <c r="AC165" t="str">
        <f>IFERROR(__xludf.DUMMYFUNCTION("""COMPUTED_VALUE"""),"! Update !")</f>
        <v>! Update !</v>
      </c>
      <c r="AD165" t="str">
        <f>IFERROR(__xludf.DUMMYFUNCTION("""COMPUTED_VALUE"""),"pavaranm@airasia.com")</f>
        <v>pavaranm@airasia.com</v>
      </c>
    </row>
    <row r="166">
      <c r="A166" s="142">
        <f>IFERROR(__xludf.DUMMYFUNCTION("""COMPUTED_VALUE"""),33.0)</f>
        <v>33</v>
      </c>
      <c r="B166" t="str">
        <f>IFERROR(__xludf.DUMMYFUNCTION("""COMPUTED_VALUE"""),"TAA2683")</f>
        <v>TAA2683</v>
      </c>
      <c r="C166">
        <f>IFERROR(__xludf.DUMMYFUNCTION("""COMPUTED_VALUE"""),1004204.0)</f>
        <v>1004204</v>
      </c>
      <c r="D166" t="str">
        <f>IFERROR(__xludf.DUMMYFUNCTION("""COMPUTED_VALUE"""),"Ms.")</f>
        <v>Ms.</v>
      </c>
      <c r="E166" t="str">
        <f>IFERROR(__xludf.DUMMYFUNCTION("""COMPUTED_VALUE"""),"Phasita")</f>
        <v>Phasita</v>
      </c>
      <c r="F166" t="str">
        <f>IFERROR(__xludf.DUMMYFUNCTION("""COMPUTED_VALUE"""),"Khomdech")</f>
        <v>Khomdech</v>
      </c>
      <c r="G166" t="str">
        <f>IFERROR(__xludf.DUMMYFUNCTION("""COMPUTED_VALUE"""),"Phasita Khomdech")</f>
        <v>Phasita Khomdech</v>
      </c>
      <c r="H166" t="str">
        <f>IFERROR(__xludf.DUMMYFUNCTION("""COMPUTED_VALUE"""),"นางสาว")</f>
        <v>นางสาว</v>
      </c>
      <c r="I166" t="str">
        <f>IFERROR(__xludf.DUMMYFUNCTION("""COMPUTED_VALUE"""),"ภาสิตา")</f>
        <v>ภาสิตา</v>
      </c>
      <c r="J166" t="str">
        <f>IFERROR(__xludf.DUMMYFUNCTION("""COMPUTED_VALUE"""),"คมเดช")</f>
        <v>คมเดช</v>
      </c>
      <c r="K166" t="str">
        <f>IFERROR(__xludf.DUMMYFUNCTION("""COMPUTED_VALUE"""),"ภาสิตา คมเดช")</f>
        <v>ภาสิตา คมเดช</v>
      </c>
      <c r="L166" t="str">
        <f>IFERROR(__xludf.DUMMYFUNCTION("""COMPUTED_VALUE"""),"Jeab")</f>
        <v>Jeab</v>
      </c>
      <c r="M166" t="str">
        <f>IFERROR(__xludf.DUMMYFUNCTION("""COMPUTED_VALUE"""),"Senior Cabin Crew")</f>
        <v>Senior Cabin Crew</v>
      </c>
      <c r="N166" t="str">
        <f>IFERROR(__xludf.DUMMYFUNCTION("""COMPUTED_VALUE"""),"DMK")</f>
        <v>DMK</v>
      </c>
      <c r="O166" s="145" t="str">
        <f>IFERROR(__xludf.DUMMYFUNCTION("""COMPUTED_VALUE"""),"Um Home")</f>
        <v>Um Home</v>
      </c>
      <c r="P166" t="str">
        <f>IFERROR(__xludf.DUMMYFUNCTION("""COMPUTED_VALUE"""),"Active")</f>
        <v>Active</v>
      </c>
      <c r="R166" s="143">
        <f>IFERROR(__xludf.DUMMYFUNCTION("""COMPUTED_VALUE"""),29904.0)</f>
        <v>29904</v>
      </c>
      <c r="S166" s="146" t="str">
        <f>IFERROR(__xludf.DUMMYFUNCTION("""COMPUTED_VALUE"""),"081 905 7456")</f>
        <v>081 905 7456</v>
      </c>
      <c r="T166" s="147" t="str">
        <f>IFERROR(__xludf.DUMMYFUNCTION("""COMPUTED_VALUE"""),"3250200-07-1117")</f>
        <v>3250200-07-1117</v>
      </c>
      <c r="U166" t="str">
        <f>IFERROR(__xludf.DUMMYFUNCTION("""COMPUTED_VALUE"""),"AC7109760")</f>
        <v>AC7109760</v>
      </c>
      <c r="V166" s="148">
        <f>IFERROR(__xludf.DUMMYFUNCTION("""COMPUTED_VALUE"""),45608.0)</f>
        <v>45608</v>
      </c>
      <c r="W166" s="148">
        <f>IFERROR(__xludf.DUMMYFUNCTION("""COMPUTED_VALUE"""),49259.0)</f>
        <v>49259</v>
      </c>
      <c r="X166" s="149">
        <f>IFERROR(__xludf.DUMMYFUNCTION("""COMPUTED_VALUE"""),49075.0)</f>
        <v>49075</v>
      </c>
      <c r="Y166" t="str">
        <f>IFERROR(__xludf.DUMMYFUNCTION("""COMPUTED_VALUE"""),"ปลอดภัย")</f>
        <v>ปลอดภัย</v>
      </c>
      <c r="Z166" t="str">
        <f>IFERROR(__xludf.DUMMYFUNCTION("""COMPUTED_VALUE"""),"Prachinburi Province")</f>
        <v>Prachinburi Province</v>
      </c>
      <c r="AA166" t="str">
        <f>IFERROR(__xludf.DUMMYFUNCTION("""COMPUTED_VALUE"""),"สายไหม")</f>
        <v>สายไหม</v>
      </c>
      <c r="AB166" t="str">
        <f>IFERROR(__xludf.DUMMYFUNCTION("""COMPUTED_VALUE"""),"081 9057456")</f>
        <v>081 9057456</v>
      </c>
      <c r="AC166" t="str">
        <f>IFERROR(__xludf.DUMMYFUNCTION("""COMPUTED_VALUE"""),"ไม่ระบุ")</f>
        <v>ไม่ระบุ</v>
      </c>
      <c r="AD166" t="str">
        <f>IFERROR(__xludf.DUMMYFUNCTION("""COMPUTED_VALUE"""),"phasitak@airasia.com")</f>
        <v>phasitak@airasia.com</v>
      </c>
    </row>
    <row r="167">
      <c r="A167" s="142">
        <f>IFERROR(__xludf.DUMMYFUNCTION("""COMPUTED_VALUE"""),33.0)</f>
        <v>33</v>
      </c>
      <c r="B167" t="str">
        <f>IFERROR(__xludf.DUMMYFUNCTION("""COMPUTED_VALUE"""),"TAA2677")</f>
        <v>TAA2677</v>
      </c>
      <c r="C167">
        <f>IFERROR(__xludf.DUMMYFUNCTION("""COMPUTED_VALUE"""),1004205.0)</f>
        <v>1004205</v>
      </c>
      <c r="D167" t="str">
        <f>IFERROR(__xludf.DUMMYFUNCTION("""COMPUTED_VALUE"""),"Mrs.")</f>
        <v>Mrs.</v>
      </c>
      <c r="E167" t="str">
        <f>IFERROR(__xludf.DUMMYFUNCTION("""COMPUTED_VALUE"""),"Pimvaree")</f>
        <v>Pimvaree</v>
      </c>
      <c r="F167" t="str">
        <f>IFERROR(__xludf.DUMMYFUNCTION("""COMPUTED_VALUE"""),"Ko")</f>
        <v>Ko</v>
      </c>
      <c r="G167" t="str">
        <f>IFERROR(__xludf.DUMMYFUNCTION("""COMPUTED_VALUE"""),"Pimvaree Ko")</f>
        <v>Pimvaree Ko</v>
      </c>
      <c r="H167" t="str">
        <f>IFERROR(__xludf.DUMMYFUNCTION("""COMPUTED_VALUE"""),"นาง")</f>
        <v>นาง</v>
      </c>
      <c r="I167" t="str">
        <f>IFERROR(__xludf.DUMMYFUNCTION("""COMPUTED_VALUE"""),"พิมพ์วรีย์")</f>
        <v>พิมพ์วรีย์</v>
      </c>
      <c r="J167" t="str">
        <f>IFERROR(__xludf.DUMMYFUNCTION("""COMPUTED_VALUE"""),"โค")</f>
        <v>โค</v>
      </c>
      <c r="K167" t="str">
        <f>IFERROR(__xludf.DUMMYFUNCTION("""COMPUTED_VALUE"""),"พิมพ์วรีย์ โค")</f>
        <v>พิมพ์วรีย์ โค</v>
      </c>
      <c r="L167" t="str">
        <f>IFERROR(__xludf.DUMMYFUNCTION("""COMPUTED_VALUE"""),"Air")</f>
        <v>Air</v>
      </c>
      <c r="M167" t="str">
        <f>IFERROR(__xludf.DUMMYFUNCTION("""COMPUTED_VALUE"""),"Senior Cabin Crew - BKK")</f>
        <v>Senior Cabin Crew - BKK</v>
      </c>
      <c r="N167" t="str">
        <f>IFERROR(__xludf.DUMMYFUNCTION("""COMPUTED_VALUE"""),"BKK")</f>
        <v>BKK</v>
      </c>
      <c r="O167" s="145" t="str">
        <f>IFERROR(__xludf.DUMMYFUNCTION("""COMPUTED_VALUE"""),"Nhui Home")</f>
        <v>Nhui Home</v>
      </c>
      <c r="P167" t="str">
        <f>IFERROR(__xludf.DUMMYFUNCTION("""COMPUTED_VALUE"""),"V/LWP")</f>
        <v>V/LWP</v>
      </c>
      <c r="R167" s="143">
        <f>IFERROR(__xludf.DUMMYFUNCTION("""COMPUTED_VALUE"""),29939.0)</f>
        <v>29939</v>
      </c>
      <c r="S167" s="146" t="str">
        <f>IFERROR(__xludf.DUMMYFUNCTION("""COMPUTED_VALUE"""),"094 498 1829")</f>
        <v>094 498 1829</v>
      </c>
      <c r="T167" s="147" t="str">
        <f>IFERROR(__xludf.DUMMYFUNCTION("""COMPUTED_VALUE"""),"3419900-38-8004")</f>
        <v>3419900-38-8004</v>
      </c>
      <c r="U167" t="str">
        <f>IFERROR(__xludf.DUMMYFUNCTION("""COMPUTED_VALUE"""),"AC2919166")</f>
        <v>AC2919166</v>
      </c>
      <c r="V167" s="148">
        <f>IFERROR(__xludf.DUMMYFUNCTION("""COMPUTED_VALUE"""),44623.0)</f>
        <v>44623</v>
      </c>
      <c r="W167" s="148">
        <f>IFERROR(__xludf.DUMMYFUNCTION("""COMPUTED_VALUE"""),48275.0)</f>
        <v>48275</v>
      </c>
      <c r="X167" s="149">
        <f>IFERROR(__xludf.DUMMYFUNCTION("""COMPUTED_VALUE"""),48093.0)</f>
        <v>48093</v>
      </c>
      <c r="Y167" t="str">
        <f>IFERROR(__xludf.DUMMYFUNCTION("""COMPUTED_VALUE"""),"ปลอดภัย")</f>
        <v>ปลอดภัย</v>
      </c>
      <c r="Z167" t="str">
        <f>IFERROR(__xludf.DUMMYFUNCTION("""COMPUTED_VALUE"""),"Udon Thani Province")</f>
        <v>Udon Thani Province</v>
      </c>
      <c r="AA167" t="str">
        <f>IFERROR(__xludf.DUMMYFUNCTION("""COMPUTED_VALUE"""),"ศรีราชา")</f>
        <v>ศรีราชา</v>
      </c>
      <c r="AB167" t="str">
        <f>IFERROR(__xludf.DUMMYFUNCTION("""COMPUTED_VALUE"""),"038 049 063")</f>
        <v>038 049 063</v>
      </c>
      <c r="AC167" t="str">
        <f>IFERROR(__xludf.DUMMYFUNCTION("""COMPUTED_VALUE"""),"บ้าน")</f>
        <v>บ้าน</v>
      </c>
      <c r="AD167" t="str">
        <f>IFERROR(__xludf.DUMMYFUNCTION("""COMPUTED_VALUE"""),"pimvareek@airasia.com")</f>
        <v>pimvareek@airasia.com</v>
      </c>
    </row>
    <row r="168">
      <c r="A168" s="142">
        <f>IFERROR(__xludf.DUMMYFUNCTION("""COMPUTED_VALUE"""),33.0)</f>
        <v>33</v>
      </c>
      <c r="B168" t="str">
        <f>IFERROR(__xludf.DUMMYFUNCTION("""COMPUTED_VALUE"""),"TAA2692")</f>
        <v>TAA2692</v>
      </c>
      <c r="C168">
        <f>IFERROR(__xludf.DUMMYFUNCTION("""COMPUTED_VALUE"""),1004206.0)</f>
        <v>1004206</v>
      </c>
      <c r="D168" t="str">
        <f>IFERROR(__xludf.DUMMYFUNCTION("""COMPUTED_VALUE"""),"Ms.")</f>
        <v>Ms.</v>
      </c>
      <c r="E168" t="str">
        <f>IFERROR(__xludf.DUMMYFUNCTION("""COMPUTED_VALUE"""),"Pitikan")</f>
        <v>Pitikan</v>
      </c>
      <c r="F168" t="str">
        <f>IFERROR(__xludf.DUMMYFUNCTION("""COMPUTED_VALUE"""),"Siwapathomchai")</f>
        <v>Siwapathomchai</v>
      </c>
      <c r="G168" t="str">
        <f>IFERROR(__xludf.DUMMYFUNCTION("""COMPUTED_VALUE"""),"Pitikan Siwapathomchai")</f>
        <v>Pitikan Siwapathomchai</v>
      </c>
      <c r="H168" t="str">
        <f>IFERROR(__xludf.DUMMYFUNCTION("""COMPUTED_VALUE"""),"นางสาว")</f>
        <v>นางสาว</v>
      </c>
      <c r="I168" t="str">
        <f>IFERROR(__xludf.DUMMYFUNCTION("""COMPUTED_VALUE"""),"ปิติกาญจน์")</f>
        <v>ปิติกาญจน์</v>
      </c>
      <c r="J168" t="str">
        <f>IFERROR(__xludf.DUMMYFUNCTION("""COMPUTED_VALUE"""),"ศิวปฐมชัย")</f>
        <v>ศิวปฐมชัย</v>
      </c>
      <c r="K168" t="str">
        <f>IFERROR(__xludf.DUMMYFUNCTION("""COMPUTED_VALUE"""),"ปิติกาญจน์ ศิวปฐมชัย")</f>
        <v>ปิติกาญจน์ ศิวปฐมชัย</v>
      </c>
      <c r="L168" t="str">
        <f>IFERROR(__xludf.DUMMYFUNCTION("""COMPUTED_VALUE"""),"J J")</f>
        <v>J J</v>
      </c>
      <c r="M168" t="str">
        <f>IFERROR(__xludf.DUMMYFUNCTION("""COMPUTED_VALUE"""),"Senior Cabin Crew")</f>
        <v>Senior Cabin Crew</v>
      </c>
      <c r="N168" t="str">
        <f>IFERROR(__xludf.DUMMYFUNCTION("""COMPUTED_VALUE"""),"DMK")</f>
        <v>DMK</v>
      </c>
      <c r="O168" s="145" t="str">
        <f>IFERROR(__xludf.DUMMYFUNCTION("""COMPUTED_VALUE"""),"Toffy Home")</f>
        <v>Toffy Home</v>
      </c>
      <c r="P168" t="str">
        <f>IFERROR(__xludf.DUMMYFUNCTION("""COMPUTED_VALUE"""),"Active")</f>
        <v>Active</v>
      </c>
      <c r="R168" s="143">
        <f>IFERROR(__xludf.DUMMYFUNCTION("""COMPUTED_VALUE"""),29140.0)</f>
        <v>29140</v>
      </c>
      <c r="S168" s="146" t="str">
        <f>IFERROR(__xludf.DUMMYFUNCTION("""COMPUTED_VALUE"""),"063 539 2491")</f>
        <v>063 539 2491</v>
      </c>
      <c r="T168" s="147" t="str">
        <f>IFERROR(__xludf.DUMMYFUNCTION("""COMPUTED_VALUE"""),"3739900-09-8470")</f>
        <v>3739900-09-8470</v>
      </c>
      <c r="U168" t="str">
        <f>IFERROR(__xludf.DUMMYFUNCTION("""COMPUTED_VALUE"""),"AC8165260")</f>
        <v>AC8165260</v>
      </c>
      <c r="V168" s="148">
        <f>IFERROR(__xludf.DUMMYFUNCTION("""COMPUTED_VALUE"""),45945.0)</f>
        <v>45945</v>
      </c>
      <c r="W168" s="148">
        <f>IFERROR(__xludf.DUMMYFUNCTION("""COMPUTED_VALUE"""),49596.0)</f>
        <v>49596</v>
      </c>
      <c r="X168" s="149">
        <f>IFERROR(__xludf.DUMMYFUNCTION("""COMPUTED_VALUE"""),49413.0)</f>
        <v>49413</v>
      </c>
      <c r="Y168" t="str">
        <f>IFERROR(__xludf.DUMMYFUNCTION("""COMPUTED_VALUE"""),"ปลอดภัย")</f>
        <v>ปลอดภัย</v>
      </c>
      <c r="Z168" t="str">
        <f>IFERROR(__xludf.DUMMYFUNCTION("""COMPUTED_VALUE"""),"Nakhon Pathom Province")</f>
        <v>Nakhon Pathom Province</v>
      </c>
      <c r="AA168" t="str">
        <f>IFERROR(__xludf.DUMMYFUNCTION("""COMPUTED_VALUE"""),"สวนหลวง")</f>
        <v>สวนหลวง</v>
      </c>
      <c r="AB168" t="str">
        <f>IFERROR(__xludf.DUMMYFUNCTION("""COMPUTED_VALUE"""),"082 649 8104")</f>
        <v>082 649 8104</v>
      </c>
      <c r="AC168" t="str">
        <f>IFERROR(__xludf.DUMMYFUNCTION("""COMPUTED_VALUE"""),"ไม่ระบุ")</f>
        <v>ไม่ระบุ</v>
      </c>
      <c r="AD168" t="str">
        <f>IFERROR(__xludf.DUMMYFUNCTION("""COMPUTED_VALUE"""),"pitikans@airasia.com")</f>
        <v>pitikans@airasia.com</v>
      </c>
    </row>
    <row r="169">
      <c r="A169" s="142">
        <f>IFERROR(__xludf.DUMMYFUNCTION("""COMPUTED_VALUE"""),33.0)</f>
        <v>33</v>
      </c>
      <c r="B169" t="str">
        <f>IFERROR(__xludf.DUMMYFUNCTION("""COMPUTED_VALUE"""),"TAA2671")</f>
        <v>TAA2671</v>
      </c>
      <c r="C169">
        <f>IFERROR(__xludf.DUMMYFUNCTION("""COMPUTED_VALUE"""),1004211.0)</f>
        <v>1004211</v>
      </c>
      <c r="D169" t="str">
        <f>IFERROR(__xludf.DUMMYFUNCTION("""COMPUTED_VALUE"""),"Mr.")</f>
        <v>Mr.</v>
      </c>
      <c r="E169" t="str">
        <f>IFERROR(__xludf.DUMMYFUNCTION("""COMPUTED_VALUE"""),"Thanyawit")</f>
        <v>Thanyawit</v>
      </c>
      <c r="F169" t="str">
        <f>IFERROR(__xludf.DUMMYFUNCTION("""COMPUTED_VALUE"""),"Srichan")</f>
        <v>Srichan</v>
      </c>
      <c r="G169" t="str">
        <f>IFERROR(__xludf.DUMMYFUNCTION("""COMPUTED_VALUE"""),"Thanyawit Srichan")</f>
        <v>Thanyawit Srichan</v>
      </c>
      <c r="H169" t="str">
        <f>IFERROR(__xludf.DUMMYFUNCTION("""COMPUTED_VALUE"""),"นาย")</f>
        <v>นาย</v>
      </c>
      <c r="I169" t="str">
        <f>IFERROR(__xludf.DUMMYFUNCTION("""COMPUTED_VALUE"""),"ธัญวิทย์")</f>
        <v>ธัญวิทย์</v>
      </c>
      <c r="J169" t="str">
        <f>IFERROR(__xludf.DUMMYFUNCTION("""COMPUTED_VALUE"""),"ศรีจันทร์")</f>
        <v>ศรีจันทร์</v>
      </c>
      <c r="K169" t="str">
        <f>IFERROR(__xludf.DUMMYFUNCTION("""COMPUTED_VALUE"""),"ธัญวิทย์ ศรีจันทร์")</f>
        <v>ธัญวิทย์ ศรีจันทร์</v>
      </c>
      <c r="L169" t="str">
        <f>IFERROR(__xludf.DUMMYFUNCTION("""COMPUTED_VALUE"""),"Up Up")</f>
        <v>Up Up</v>
      </c>
      <c r="M169" t="str">
        <f>IFERROR(__xludf.DUMMYFUNCTION("""COMPUTED_VALUE"""),"Cabin Crew Engagement Lead-CNX")</f>
        <v>Cabin Crew Engagement Lead-CNX</v>
      </c>
      <c r="N169" t="str">
        <f>IFERROR(__xludf.DUMMYFUNCTION("""COMPUTED_VALUE"""),"CNX")</f>
        <v>CNX</v>
      </c>
      <c r="O169" s="145" t="str">
        <f>IFERROR(__xludf.DUMMYFUNCTION("""COMPUTED_VALUE"""),"Ward Monitor")</f>
        <v>Ward Monitor</v>
      </c>
      <c r="P169" t="str">
        <f>IFERROR(__xludf.DUMMYFUNCTION("""COMPUTED_VALUE"""),"CCEL")</f>
        <v>CCEL</v>
      </c>
      <c r="R169" s="143">
        <f>IFERROR(__xludf.DUMMYFUNCTION("""COMPUTED_VALUE"""),30975.0)</f>
        <v>30975</v>
      </c>
      <c r="S169" s="146" t="str">
        <f>IFERROR(__xludf.DUMMYFUNCTION("""COMPUTED_VALUE"""),"083 206 0595")</f>
        <v>083 206 0595</v>
      </c>
      <c r="T169" s="147" t="str">
        <f>IFERROR(__xludf.DUMMYFUNCTION("""COMPUTED_VALUE"""),"1560300-01-5643")</f>
        <v>1560300-01-5643</v>
      </c>
      <c r="U169" t="str">
        <f>IFERROR(__xludf.DUMMYFUNCTION("""COMPUTED_VALUE"""),"AD1376881")</f>
        <v>AD1376881</v>
      </c>
      <c r="V169" s="148">
        <f>IFERROR(__xludf.DUMMYFUNCTION("""COMPUTED_VALUE"""),45359.0)</f>
        <v>45359</v>
      </c>
      <c r="W169" s="148">
        <f>IFERROR(__xludf.DUMMYFUNCTION("""COMPUTED_VALUE"""),49010.0)</f>
        <v>49010</v>
      </c>
      <c r="X169" s="149">
        <f>IFERROR(__xludf.DUMMYFUNCTION("""COMPUTED_VALUE"""),48829.0)</f>
        <v>48829</v>
      </c>
      <c r="Y169" t="str">
        <f>IFERROR(__xludf.DUMMYFUNCTION("""COMPUTED_VALUE"""),"ปลอดภัย")</f>
        <v>ปลอดภัย</v>
      </c>
      <c r="Z169" t="str">
        <f>IFERROR(__xludf.DUMMYFUNCTION("""COMPUTED_VALUE"""),"Phayao Province")</f>
        <v>Phayao Province</v>
      </c>
      <c r="AA169" t="str">
        <f>IFERROR(__xludf.DUMMYFUNCTION("""COMPUTED_VALUE"""),"เชียงใหม่")</f>
        <v>เชียงใหม่</v>
      </c>
      <c r="AB169" t="str">
        <f>IFERROR(__xludf.DUMMYFUNCTION("""COMPUTED_VALUE"""),"! Update !")</f>
        <v>! Update !</v>
      </c>
      <c r="AC169" t="str">
        <f>IFERROR(__xludf.DUMMYFUNCTION("""COMPUTED_VALUE"""),"! Update !")</f>
        <v>! Update !</v>
      </c>
      <c r="AD169" t="str">
        <f>IFERROR(__xludf.DUMMYFUNCTION("""COMPUTED_VALUE"""),"thanyawits@airasia.com")</f>
        <v>thanyawits@airasia.com</v>
      </c>
    </row>
    <row r="170">
      <c r="A170" s="142">
        <f>IFERROR(__xludf.DUMMYFUNCTION("""COMPUTED_VALUE"""),33.0)</f>
        <v>33</v>
      </c>
      <c r="B170" t="str">
        <f>IFERROR(__xludf.DUMMYFUNCTION("""COMPUTED_VALUE"""),"TAA2678")</f>
        <v>TAA2678</v>
      </c>
      <c r="C170">
        <f>IFERROR(__xludf.DUMMYFUNCTION("""COMPUTED_VALUE"""),1004212.0)</f>
        <v>1004212</v>
      </c>
      <c r="D170" t="str">
        <f>IFERROR(__xludf.DUMMYFUNCTION("""COMPUTED_VALUE"""),"Mrs.")</f>
        <v>Mrs.</v>
      </c>
      <c r="E170" t="str">
        <f>IFERROR(__xludf.DUMMYFUNCTION("""COMPUTED_VALUE"""),"Varisa")</f>
        <v>Varisa</v>
      </c>
      <c r="F170" t="str">
        <f>IFERROR(__xludf.DUMMYFUNCTION("""COMPUTED_VALUE"""),"Nimkasai (Poonsawat)")</f>
        <v>Nimkasai (Poonsawat)</v>
      </c>
      <c r="G170" t="str">
        <f>IFERROR(__xludf.DUMMYFUNCTION("""COMPUTED_VALUE"""),"Varisa Nimkasai")</f>
        <v>Varisa Nimkasai</v>
      </c>
      <c r="H170" t="str">
        <f>IFERROR(__xludf.DUMMYFUNCTION("""COMPUTED_VALUE"""),"นางสาว")</f>
        <v>นางสาว</v>
      </c>
      <c r="I170" t="str">
        <f>IFERROR(__xludf.DUMMYFUNCTION("""COMPUTED_VALUE"""),"วริษา")</f>
        <v>วริษา</v>
      </c>
      <c r="J170" t="str">
        <f>IFERROR(__xludf.DUMMYFUNCTION("""COMPUTED_VALUE"""),"นิมคาสาย (พูลสวัสดิ์)")</f>
        <v>นิมคาสาย (พูลสวัสดิ์)</v>
      </c>
      <c r="K170" t="str">
        <f>IFERROR(__xludf.DUMMYFUNCTION("""COMPUTED_VALUE"""),"วริษา นิมคาสาย")</f>
        <v>วริษา นิมคาสาย</v>
      </c>
      <c r="L170" t="str">
        <f>IFERROR(__xludf.DUMMYFUNCTION("""COMPUTED_VALUE"""),"Can")</f>
        <v>Can</v>
      </c>
      <c r="M170" t="str">
        <f>IFERROR(__xludf.DUMMYFUNCTION("""COMPUTED_VALUE"""),"Senior Cabin Crew")</f>
        <v>Senior Cabin Crew</v>
      </c>
      <c r="N170" t="str">
        <f>IFERROR(__xludf.DUMMYFUNCTION("""COMPUTED_VALUE"""),"DMK")</f>
        <v>DMK</v>
      </c>
      <c r="O170" s="145" t="str">
        <f>IFERROR(__xludf.DUMMYFUNCTION("""COMPUTED_VALUE"""),"Kor Home")</f>
        <v>Kor Home</v>
      </c>
      <c r="P170" t="str">
        <f>IFERROR(__xludf.DUMMYFUNCTION("""COMPUTED_VALUE"""),"Active")</f>
        <v>Active</v>
      </c>
      <c r="R170" s="143">
        <f>IFERROR(__xludf.DUMMYFUNCTION("""COMPUTED_VALUE"""),30973.0)</f>
        <v>30973</v>
      </c>
      <c r="S170" s="146" t="str">
        <f>IFERROR(__xludf.DUMMYFUNCTION("""COMPUTED_VALUE"""),"081 918 4676")</f>
        <v>081 918 4676</v>
      </c>
      <c r="T170" s="147" t="str">
        <f>IFERROR(__xludf.DUMMYFUNCTION("""COMPUTED_VALUE"""),"1101700-00-6395")</f>
        <v>1101700-00-6395</v>
      </c>
      <c r="U170" t="str">
        <f>IFERROR(__xludf.DUMMYFUNCTION("""COMPUTED_VALUE"""),"AD1829599")</f>
        <v>AD1829599</v>
      </c>
      <c r="V170" s="148">
        <f>IFERROR(__xludf.DUMMYFUNCTION("""COMPUTED_VALUE"""),45466.0)</f>
        <v>45466</v>
      </c>
      <c r="W170" s="148">
        <f>IFERROR(__xludf.DUMMYFUNCTION("""COMPUTED_VALUE"""),49117.0)</f>
        <v>49117</v>
      </c>
      <c r="X170" s="149">
        <f>IFERROR(__xludf.DUMMYFUNCTION("""COMPUTED_VALUE"""),48935.0)</f>
        <v>48935</v>
      </c>
      <c r="Y170" t="str">
        <f>IFERROR(__xludf.DUMMYFUNCTION("""COMPUTED_VALUE"""),"ปลอดภัย")</f>
        <v>ปลอดภัย</v>
      </c>
      <c r="Z170" t="str">
        <f>IFERROR(__xludf.DUMMYFUNCTION("""COMPUTED_VALUE"""),"Bangkok")</f>
        <v>Bangkok</v>
      </c>
      <c r="AA170" t="str">
        <f>IFERROR(__xludf.DUMMYFUNCTION("""COMPUTED_VALUE"""),"บึงกุ่ม")</f>
        <v>บึงกุ่ม</v>
      </c>
      <c r="AB170" t="str">
        <f>IFERROR(__xludf.DUMMYFUNCTION("""COMPUTED_VALUE"""),"081 918 4676")</f>
        <v>081 918 4676</v>
      </c>
      <c r="AC170" t="str">
        <f>IFERROR(__xludf.DUMMYFUNCTION("""COMPUTED_VALUE"""),"ไม่ระบุ")</f>
        <v>ไม่ระบุ</v>
      </c>
      <c r="AD170" t="str">
        <f>IFERROR(__xludf.DUMMYFUNCTION("""COMPUTED_VALUE"""),"varisan@airasia.com")</f>
        <v>varisan@airasia.com</v>
      </c>
    </row>
    <row r="171">
      <c r="A171" s="142">
        <f>IFERROR(__xludf.DUMMYFUNCTION("""COMPUTED_VALUE"""),33.0)</f>
        <v>33</v>
      </c>
      <c r="B171" t="str">
        <f>IFERROR(__xludf.DUMMYFUNCTION("""COMPUTED_VALUE"""),"TAA2674")</f>
        <v>TAA2674</v>
      </c>
      <c r="C171">
        <f>IFERROR(__xludf.DUMMYFUNCTION("""COMPUTED_VALUE"""),1004213.0)</f>
        <v>1004213</v>
      </c>
      <c r="D171" t="str">
        <f>IFERROR(__xludf.DUMMYFUNCTION("""COMPUTED_VALUE"""),"Ms.")</f>
        <v>Ms.</v>
      </c>
      <c r="E171" t="str">
        <f>IFERROR(__xludf.DUMMYFUNCTION("""COMPUTED_VALUE"""),"Worapada")</f>
        <v>Worapada</v>
      </c>
      <c r="F171" t="str">
        <f>IFERROR(__xludf.DUMMYFUNCTION("""COMPUTED_VALUE"""),"Suetrongmunkong")</f>
        <v>Suetrongmunkong</v>
      </c>
      <c r="G171" t="str">
        <f>IFERROR(__xludf.DUMMYFUNCTION("""COMPUTED_VALUE"""),"Worapada Suetrongmunkong")</f>
        <v>Worapada Suetrongmunkong</v>
      </c>
      <c r="H171" t="str">
        <f>IFERROR(__xludf.DUMMYFUNCTION("""COMPUTED_VALUE"""),"นางสาว")</f>
        <v>นางสาว</v>
      </c>
      <c r="I171" t="str">
        <f>IFERROR(__xludf.DUMMYFUNCTION("""COMPUTED_VALUE"""),"วรภาดา")</f>
        <v>วรภาดา</v>
      </c>
      <c r="J171" t="str">
        <f>IFERROR(__xludf.DUMMYFUNCTION("""COMPUTED_VALUE"""),"ซื่อตรงมั่นคง")</f>
        <v>ซื่อตรงมั่นคง</v>
      </c>
      <c r="K171" t="str">
        <f>IFERROR(__xludf.DUMMYFUNCTION("""COMPUTED_VALUE"""),"วรภาดา ซื่อตรงมั่นคง")</f>
        <v>วรภาดา ซื่อตรงมั่นคง</v>
      </c>
      <c r="L171" t="str">
        <f>IFERROR(__xludf.DUMMYFUNCTION("""COMPUTED_VALUE"""),"Aiw")</f>
        <v>Aiw</v>
      </c>
      <c r="M171" t="str">
        <f>IFERROR(__xludf.DUMMYFUNCTION("""COMPUTED_VALUE"""),"Cabin Crew")</f>
        <v>Cabin Crew</v>
      </c>
      <c r="N171" t="str">
        <f>IFERROR(__xludf.DUMMYFUNCTION("""COMPUTED_VALUE"""),"DMK")</f>
        <v>DMK</v>
      </c>
      <c r="O171" s="145" t="str">
        <f>IFERROR(__xludf.DUMMYFUNCTION("""COMPUTED_VALUE"""),"Um Home")</f>
        <v>Um Home</v>
      </c>
      <c r="P171" t="str">
        <f>IFERROR(__xludf.DUMMYFUNCTION("""COMPUTED_VALUE"""),"Active")</f>
        <v>Active</v>
      </c>
      <c r="R171" s="143">
        <f>IFERROR(__xludf.DUMMYFUNCTION("""COMPUTED_VALUE"""),31234.0)</f>
        <v>31234</v>
      </c>
      <c r="S171" s="146" t="str">
        <f>IFERROR(__xludf.DUMMYFUNCTION("""COMPUTED_VALUE"""),"099 619 2246")</f>
        <v>099 619 2246</v>
      </c>
      <c r="T171" s="147" t="str">
        <f>IFERROR(__xludf.DUMMYFUNCTION("""COMPUTED_VALUE"""),"1100900-08-1861")</f>
        <v>1100900-08-1861</v>
      </c>
      <c r="U171" t="str">
        <f>IFERROR(__xludf.DUMMYFUNCTION("""COMPUTED_VALUE"""),"AC3806111")</f>
        <v>AC3806111</v>
      </c>
      <c r="V171" s="148">
        <f>IFERROR(__xludf.DUMMYFUNCTION("""COMPUTED_VALUE"""),44803.0)</f>
        <v>44803</v>
      </c>
      <c r="W171" s="148">
        <f>IFERROR(__xludf.DUMMYFUNCTION("""COMPUTED_VALUE"""),48455.0)</f>
        <v>48455</v>
      </c>
      <c r="X171" s="149">
        <f>IFERROR(__xludf.DUMMYFUNCTION("""COMPUTED_VALUE"""),48273.0)</f>
        <v>48273</v>
      </c>
      <c r="Y171" t="str">
        <f>IFERROR(__xludf.DUMMYFUNCTION("""COMPUTED_VALUE"""),"ปลอดภัย")</f>
        <v>ปลอดภัย</v>
      </c>
      <c r="Z171" t="str">
        <f>IFERROR(__xludf.DUMMYFUNCTION("""COMPUTED_VALUE"""),"Bangkok")</f>
        <v>Bangkok</v>
      </c>
      <c r="AA171" t="str">
        <f>IFERROR(__xludf.DUMMYFUNCTION("""COMPUTED_VALUE"""),"ดินแดง")</f>
        <v>ดินแดง</v>
      </c>
      <c r="AB171" t="str">
        <f>IFERROR(__xludf.DUMMYFUNCTION("""COMPUTED_VALUE"""),"085 2279266")</f>
        <v>085 2279266</v>
      </c>
      <c r="AC171" t="str">
        <f>IFERROR(__xludf.DUMMYFUNCTION("""COMPUTED_VALUE"""),"ไม่ระบุ")</f>
        <v>ไม่ระบุ</v>
      </c>
      <c r="AD171" t="str">
        <f>IFERROR(__xludf.DUMMYFUNCTION("""COMPUTED_VALUE"""),"worapadas@airasia.com")</f>
        <v>worapadas@airasia.com</v>
      </c>
    </row>
    <row r="172">
      <c r="AD172" t="str">
        <f>IFERROR(__xludf.DUMMYFUNCTION("""COMPUTED_VALUE"""),"")</f>
        <v/>
      </c>
    </row>
    <row r="173">
      <c r="A173" s="142">
        <f>IFERROR(__xludf.DUMMYFUNCTION("""COMPUTED_VALUE"""),34.0)</f>
        <v>34</v>
      </c>
      <c r="B173" t="str">
        <f>IFERROR(__xludf.DUMMYFUNCTION("""COMPUTED_VALUE"""),"TAA1698")</f>
        <v>TAA1698</v>
      </c>
      <c r="C173">
        <f>IFERROR(__xludf.DUMMYFUNCTION("""COMPUTED_VALUE"""),1001582.0)</f>
        <v>1001582</v>
      </c>
      <c r="D173" t="str">
        <f>IFERROR(__xludf.DUMMYFUNCTION("""COMPUTED_VALUE"""),"Ms.")</f>
        <v>Ms.</v>
      </c>
      <c r="E173" t="str">
        <f>IFERROR(__xludf.DUMMYFUNCTION("""COMPUTED_VALUE"""),"Waleerat")</f>
        <v>Waleerat</v>
      </c>
      <c r="F173" t="str">
        <f>IFERROR(__xludf.DUMMYFUNCTION("""COMPUTED_VALUE"""),"khumsap (Klayjam)")</f>
        <v>khumsap (Klayjam)</v>
      </c>
      <c r="G173" t="str">
        <f>IFERROR(__xludf.DUMMYFUNCTION("""COMPUTED_VALUE"""),"Waleerat khumsap")</f>
        <v>Waleerat khumsap</v>
      </c>
      <c r="H173" t="str">
        <f>IFERROR(__xludf.DUMMYFUNCTION("""COMPUTED_VALUE"""),"นางสาว")</f>
        <v>นางสาว</v>
      </c>
      <c r="I173" t="str">
        <f>IFERROR(__xludf.DUMMYFUNCTION("""COMPUTED_VALUE"""),"วลีรัตน์")</f>
        <v>วลีรัตน์</v>
      </c>
      <c r="J173" t="str">
        <f>IFERROR(__xludf.DUMMYFUNCTION("""COMPUTED_VALUE"""),"คุ้มทรัพย์ (คล้ายแจ่ม)")</f>
        <v>คุ้มทรัพย์ (คล้ายแจ่ม)</v>
      </c>
      <c r="K173" t="str">
        <f>IFERROR(__xludf.DUMMYFUNCTION("""COMPUTED_VALUE"""),"วลีรัตน์ คุ้มทรัพย์")</f>
        <v>วลีรัตน์ คุ้มทรัพย์</v>
      </c>
      <c r="L173" t="str">
        <f>IFERROR(__xludf.DUMMYFUNCTION("""COMPUTED_VALUE"""),"หนู")</f>
        <v>หนู</v>
      </c>
      <c r="M173" t="str">
        <f>IFERROR(__xludf.DUMMYFUNCTION("""COMPUTED_VALUE"""),"Senior Cabin Crew")</f>
        <v>Senior Cabin Crew</v>
      </c>
      <c r="N173" t="str">
        <f>IFERROR(__xludf.DUMMYFUNCTION("""COMPUTED_VALUE"""),"DMK")</f>
        <v>DMK</v>
      </c>
      <c r="O173" s="145" t="str">
        <f>IFERROR(__xludf.DUMMYFUNCTION("""COMPUTED_VALUE"""),"Toffy Home")</f>
        <v>Toffy Home</v>
      </c>
      <c r="P173" t="str">
        <f>IFERROR(__xludf.DUMMYFUNCTION("""COMPUTED_VALUE"""),"Active")</f>
        <v>Active</v>
      </c>
      <c r="R173" s="143">
        <f>IFERROR(__xludf.DUMMYFUNCTION("""COMPUTED_VALUE"""),28519.0)</f>
        <v>28519</v>
      </c>
      <c r="S173" s="146" t="str">
        <f>IFERROR(__xludf.DUMMYFUNCTION("""COMPUTED_VALUE"""),"091 779 6615")</f>
        <v>091 779 6615</v>
      </c>
      <c r="T173" s="147" t="str">
        <f>IFERROR(__xludf.DUMMYFUNCTION("""COMPUTED_VALUE"""),"3659900-74-5107")</f>
        <v>3659900-74-5107</v>
      </c>
      <c r="U173" t="str">
        <f>IFERROR(__xludf.DUMMYFUNCTION("""COMPUTED_VALUE"""),"AAC7785473")</f>
        <v>AAC7785473</v>
      </c>
      <c r="V173" s="148">
        <f>IFERROR(__xludf.DUMMYFUNCTION("""COMPUTED_VALUE"""),45650.0)</f>
        <v>45650</v>
      </c>
      <c r="W173" s="148">
        <f>IFERROR(__xludf.DUMMYFUNCTION("""COMPUTED_VALUE"""),49301.0)</f>
        <v>49301</v>
      </c>
      <c r="X173" s="149">
        <f>IFERROR(__xludf.DUMMYFUNCTION("""COMPUTED_VALUE"""),49118.0)</f>
        <v>49118</v>
      </c>
      <c r="Y173" t="str">
        <f>IFERROR(__xludf.DUMMYFUNCTION("""COMPUTED_VALUE"""),"ปลอดภัย")</f>
        <v>ปลอดภัย</v>
      </c>
      <c r="Z173" t="str">
        <f>IFERROR(__xludf.DUMMYFUNCTION("""COMPUTED_VALUE"""),"Phitsanulok Province")</f>
        <v>Phitsanulok Province</v>
      </c>
      <c r="AA173" t="str">
        <f>IFERROR(__xludf.DUMMYFUNCTION("""COMPUTED_VALUE"""),"สายไหม")</f>
        <v>สายไหม</v>
      </c>
      <c r="AB173" t="str">
        <f>IFERROR(__xludf.DUMMYFUNCTION("""COMPUTED_VALUE"""),"083 0182742")</f>
        <v>083 0182742</v>
      </c>
      <c r="AC173" t="str">
        <f>IFERROR(__xludf.DUMMYFUNCTION("""COMPUTED_VALUE"""),"ไม่ระบุ")</f>
        <v>ไม่ระบุ</v>
      </c>
      <c r="AD173" t="str">
        <f>IFERROR(__xludf.DUMMYFUNCTION("""COMPUTED_VALUE"""),"waleeratk@airasia.com")</f>
        <v>waleeratk@airasia.com</v>
      </c>
    </row>
    <row r="174">
      <c r="A174" s="142">
        <f>IFERROR(__xludf.DUMMYFUNCTION("""COMPUTED_VALUE"""),34.0)</f>
        <v>34</v>
      </c>
      <c r="B174" t="str">
        <f>IFERROR(__xludf.DUMMYFUNCTION("""COMPUTED_VALUE"""),"TAA2081")</f>
        <v>TAA2081</v>
      </c>
      <c r="C174">
        <f>IFERROR(__xludf.DUMMYFUNCTION("""COMPUTED_VALUE"""),1002251.0)</f>
        <v>1002251</v>
      </c>
      <c r="D174" t="str">
        <f>IFERROR(__xludf.DUMMYFUNCTION("""COMPUTED_VALUE"""),"Ms.")</f>
        <v>Ms.</v>
      </c>
      <c r="E174" t="str">
        <f>IFERROR(__xludf.DUMMYFUNCTION("""COMPUTED_VALUE"""),"Suthinee")</f>
        <v>Suthinee</v>
      </c>
      <c r="F174" t="str">
        <f>IFERROR(__xludf.DUMMYFUNCTION("""COMPUTED_VALUE"""),"Jeerawattanawong")</f>
        <v>Jeerawattanawong</v>
      </c>
      <c r="G174" t="str">
        <f>IFERROR(__xludf.DUMMYFUNCTION("""COMPUTED_VALUE"""),"Suthinee Jeerawattanawong")</f>
        <v>Suthinee Jeerawattanawong</v>
      </c>
      <c r="H174" t="str">
        <f>IFERROR(__xludf.DUMMYFUNCTION("""COMPUTED_VALUE"""),"นางสาว")</f>
        <v>นางสาว</v>
      </c>
      <c r="I174" t="str">
        <f>IFERROR(__xludf.DUMMYFUNCTION("""COMPUTED_VALUE"""),"สุธินี")</f>
        <v>สุธินี</v>
      </c>
      <c r="J174" t="str">
        <f>IFERROR(__xludf.DUMMYFUNCTION("""COMPUTED_VALUE"""),"จีระวัฒนาวงศ์")</f>
        <v>จีระวัฒนาวงศ์</v>
      </c>
      <c r="K174" t="str">
        <f>IFERROR(__xludf.DUMMYFUNCTION("""COMPUTED_VALUE"""),"สุธินี จีระวัฒนาวงศ์")</f>
        <v>สุธินี จีระวัฒนาวงศ์</v>
      </c>
      <c r="L174" t="str">
        <f>IFERROR(__xludf.DUMMYFUNCTION("""COMPUTED_VALUE"""),"หลิน")</f>
        <v>หลิน</v>
      </c>
      <c r="M174" t="str">
        <f>IFERROR(__xludf.DUMMYFUNCTION("""COMPUTED_VALUE"""),"Cabin Crew")</f>
        <v>Cabin Crew</v>
      </c>
      <c r="N174" t="str">
        <f>IFERROR(__xludf.DUMMYFUNCTION("""COMPUTED_VALUE"""),"DMK")</f>
        <v>DMK</v>
      </c>
      <c r="O174" s="145" t="str">
        <f>IFERROR(__xludf.DUMMYFUNCTION("""COMPUTED_VALUE"""),"Por+ Home")</f>
        <v>Por+ Home</v>
      </c>
      <c r="P174" t="str">
        <f>IFERROR(__xludf.DUMMYFUNCTION("""COMPUTED_VALUE"""),"V/LWP")</f>
        <v>V/LWP</v>
      </c>
      <c r="R174" s="143">
        <f>IFERROR(__xludf.DUMMYFUNCTION("""COMPUTED_VALUE"""),29890.0)</f>
        <v>29890</v>
      </c>
      <c r="S174" s="146" t="str">
        <f>IFERROR(__xludf.DUMMYFUNCTION("""COMPUTED_VALUE"""),"063 539 6242")</f>
        <v>063 539 6242</v>
      </c>
      <c r="T174" s="147" t="str">
        <f>IFERROR(__xludf.DUMMYFUNCTION("""COMPUTED_VALUE"""),"3101300-16-3350")</f>
        <v>3101300-16-3350</v>
      </c>
      <c r="U174" t="str">
        <f>IFERROR(__xludf.DUMMYFUNCTION("""COMPUTED_VALUE"""),"AC6165470")</f>
        <v>AC6165470</v>
      </c>
      <c r="V174" s="148">
        <f>IFERROR(__xludf.DUMMYFUNCTION("""COMPUTED_VALUE"""),45264.0)</f>
        <v>45264</v>
      </c>
      <c r="W174" s="148">
        <f>IFERROR(__xludf.DUMMYFUNCTION("""COMPUTED_VALUE"""),48916.0)</f>
        <v>48916</v>
      </c>
      <c r="X174" s="149">
        <f>IFERROR(__xludf.DUMMYFUNCTION("""COMPUTED_VALUE"""),48733.0)</f>
        <v>48733</v>
      </c>
      <c r="Y174" t="str">
        <f>IFERROR(__xludf.DUMMYFUNCTION("""COMPUTED_VALUE"""),"ปลอดภัย")</f>
        <v>ปลอดภัย</v>
      </c>
      <c r="Z174" t="str">
        <f>IFERROR(__xludf.DUMMYFUNCTION("""COMPUTED_VALUE"""),"Bangkok")</f>
        <v>Bangkok</v>
      </c>
      <c r="AA174" t="str">
        <f>IFERROR(__xludf.DUMMYFUNCTION("""COMPUTED_VALUE"""),"ภูเก็ต")</f>
        <v>ภูเก็ต</v>
      </c>
      <c r="AB174" t="str">
        <f>IFERROR(__xludf.DUMMYFUNCTION("""COMPUTED_VALUE"""),"081 6116334")</f>
        <v>081 6116334</v>
      </c>
      <c r="AC174" t="str">
        <f>IFERROR(__xludf.DUMMYFUNCTION("""COMPUTED_VALUE"""),"ไม่ระบุ")</f>
        <v>ไม่ระบุ</v>
      </c>
      <c r="AD174" t="str">
        <f>IFERROR(__xludf.DUMMYFUNCTION("""COMPUTED_VALUE"""),"suthineej@airasia.com")</f>
        <v>suthineej@airasia.com</v>
      </c>
    </row>
    <row r="175">
      <c r="A175" s="142">
        <f>IFERROR(__xludf.DUMMYFUNCTION("""COMPUTED_VALUE"""),34.0)</f>
        <v>34</v>
      </c>
      <c r="B175" t="str">
        <f>IFERROR(__xludf.DUMMYFUNCTION("""COMPUTED_VALUE"""),"TAA2576")</f>
        <v>TAA2576</v>
      </c>
      <c r="C175">
        <f>IFERROR(__xludf.DUMMYFUNCTION("""COMPUTED_VALUE"""),1003302.0)</f>
        <v>1003302</v>
      </c>
      <c r="D175" t="str">
        <f>IFERROR(__xludf.DUMMYFUNCTION("""COMPUTED_VALUE"""),"Ms.")</f>
        <v>Ms.</v>
      </c>
      <c r="E175" t="str">
        <f>IFERROR(__xludf.DUMMYFUNCTION("""COMPUTED_VALUE"""),"Panwad")</f>
        <v>Panwad</v>
      </c>
      <c r="F175" t="str">
        <f>IFERROR(__xludf.DUMMYFUNCTION("""COMPUTED_VALUE"""),"Thongkham (Pittayarak)")</f>
        <v>Thongkham (Pittayarak)</v>
      </c>
      <c r="G175" t="str">
        <f>IFERROR(__xludf.DUMMYFUNCTION("""COMPUTED_VALUE"""),"Panwad Thongkham")</f>
        <v>Panwad Thongkham</v>
      </c>
      <c r="H175" t="str">
        <f>IFERROR(__xludf.DUMMYFUNCTION("""COMPUTED_VALUE"""),"นางสาว")</f>
        <v>นางสาว</v>
      </c>
      <c r="I175" t="str">
        <f>IFERROR(__xludf.DUMMYFUNCTION("""COMPUTED_VALUE"""),"ปานวาด")</f>
        <v>ปานวาด</v>
      </c>
      <c r="J175" t="str">
        <f>IFERROR(__xludf.DUMMYFUNCTION("""COMPUTED_VALUE"""),"ทองคำ (พิทยารักษ์ฉ")</f>
        <v>ทองคำ (พิทยารักษ์ฉ</v>
      </c>
      <c r="K175" t="str">
        <f>IFERROR(__xludf.DUMMYFUNCTION("""COMPUTED_VALUE"""),"ปานวาด ทองคำ")</f>
        <v>ปานวาด ทองคำ</v>
      </c>
      <c r="L175" t="str">
        <f>IFERROR(__xludf.DUMMYFUNCTION("""COMPUTED_VALUE"""),"อุ๋ย")</f>
        <v>อุ๋ย</v>
      </c>
      <c r="M175" t="str">
        <f>IFERROR(__xludf.DUMMYFUNCTION("""COMPUTED_VALUE"""),"Senior Cabin Crew")</f>
        <v>Senior Cabin Crew</v>
      </c>
      <c r="N175" t="str">
        <f>IFERROR(__xludf.DUMMYFUNCTION("""COMPUTED_VALUE"""),"DMK")</f>
        <v>DMK</v>
      </c>
      <c r="O175" s="145" t="str">
        <f>IFERROR(__xludf.DUMMYFUNCTION("""COMPUTED_VALUE"""),"Um Home")</f>
        <v>Um Home</v>
      </c>
      <c r="P175" t="str">
        <f>IFERROR(__xludf.DUMMYFUNCTION("""COMPUTED_VALUE"""),"V/LWP")</f>
        <v>V/LWP</v>
      </c>
      <c r="R175" s="143">
        <f>IFERROR(__xludf.DUMMYFUNCTION("""COMPUTED_VALUE"""),30215.0)</f>
        <v>30215</v>
      </c>
      <c r="S175" s="146" t="str">
        <f>IFERROR(__xludf.DUMMYFUNCTION("""COMPUTED_VALUE"""),"081 372 6587")</f>
        <v>081 372 6587</v>
      </c>
      <c r="T175" s="147" t="str">
        <f>IFERROR(__xludf.DUMMYFUNCTION("""COMPUTED_VALUE"""),"3101501-12-4173")</f>
        <v>3101501-12-4173</v>
      </c>
      <c r="U175" t="str">
        <f>IFERROR(__xludf.DUMMYFUNCTION("""COMPUTED_VALUE"""),"AC2910587")</f>
        <v>AC2910587</v>
      </c>
      <c r="V175" s="148">
        <f>IFERROR(__xludf.DUMMYFUNCTION("""COMPUTED_VALUE"""),44620.0)</f>
        <v>44620</v>
      </c>
      <c r="W175" s="148">
        <f>IFERROR(__xludf.DUMMYFUNCTION("""COMPUTED_VALUE"""),48271.0)</f>
        <v>48271</v>
      </c>
      <c r="X175" s="149">
        <f>IFERROR(__xludf.DUMMYFUNCTION("""COMPUTED_VALUE"""),48087.0)</f>
        <v>48087</v>
      </c>
      <c r="Y175" t="str">
        <f>IFERROR(__xludf.DUMMYFUNCTION("""COMPUTED_VALUE"""),"ปลอดภัย")</f>
        <v>ปลอดภัย</v>
      </c>
      <c r="Z175" t="str">
        <f>IFERROR(__xludf.DUMMYFUNCTION("""COMPUTED_VALUE"""),"Bangkok")</f>
        <v>Bangkok</v>
      </c>
      <c r="AA175" t="str">
        <f>IFERROR(__xludf.DUMMYFUNCTION("""COMPUTED_VALUE"""),"ลาดกระบัง")</f>
        <v>ลาดกระบัง</v>
      </c>
      <c r="AB175" t="str">
        <f>IFERROR(__xludf.DUMMYFUNCTION("""COMPUTED_VALUE"""),"081 372 6587")</f>
        <v>081 372 6587</v>
      </c>
      <c r="AC175" t="str">
        <f>IFERROR(__xludf.DUMMYFUNCTION("""COMPUTED_VALUE"""),"ไม่ระบุ")</f>
        <v>ไม่ระบุ</v>
      </c>
      <c r="AD175" t="str">
        <f>IFERROR(__xludf.DUMMYFUNCTION("""COMPUTED_VALUE"""),"panwadt@airasia.com")</f>
        <v>panwadt@airasia.com</v>
      </c>
    </row>
    <row r="176">
      <c r="A176" s="142">
        <f>IFERROR(__xludf.DUMMYFUNCTION("""COMPUTED_VALUE"""),34.0)</f>
        <v>34</v>
      </c>
      <c r="B176" t="str">
        <f>IFERROR(__xludf.DUMMYFUNCTION("""COMPUTED_VALUE"""),"TAA2804")</f>
        <v>TAA2804</v>
      </c>
      <c r="C176">
        <f>IFERROR(__xludf.DUMMYFUNCTION("""COMPUTED_VALUE"""),1004444.0)</f>
        <v>1004444</v>
      </c>
      <c r="D176" t="str">
        <f>IFERROR(__xludf.DUMMYFUNCTION("""COMPUTED_VALUE"""),"Ms.")</f>
        <v>Ms.</v>
      </c>
      <c r="E176" t="str">
        <f>IFERROR(__xludf.DUMMYFUNCTION("""COMPUTED_VALUE"""),"Arisara")</f>
        <v>Arisara</v>
      </c>
      <c r="F176" t="str">
        <f>IFERROR(__xludf.DUMMYFUNCTION("""COMPUTED_VALUE"""),"Nenchatee")</f>
        <v>Nenchatee</v>
      </c>
      <c r="G176" t="str">
        <f>IFERROR(__xludf.DUMMYFUNCTION("""COMPUTED_VALUE"""),"Arisara Nenchatee")</f>
        <v>Arisara Nenchatee</v>
      </c>
      <c r="H176" t="str">
        <f>IFERROR(__xludf.DUMMYFUNCTION("""COMPUTED_VALUE"""),"นางสาว")</f>
        <v>นางสาว</v>
      </c>
      <c r="I176" t="str">
        <f>IFERROR(__xludf.DUMMYFUNCTION("""COMPUTED_VALUE"""),"อริสรา")</f>
        <v>อริสรา</v>
      </c>
      <c r="J176" t="str">
        <f>IFERROR(__xludf.DUMMYFUNCTION("""COMPUTED_VALUE"""),"เณรจาที")</f>
        <v>เณรจาที</v>
      </c>
      <c r="K176" t="str">
        <f>IFERROR(__xludf.DUMMYFUNCTION("""COMPUTED_VALUE"""),"อริสรา เณรจาที")</f>
        <v>อริสรา เณรจาที</v>
      </c>
      <c r="L176" t="str">
        <f>IFERROR(__xludf.DUMMYFUNCTION("""COMPUTED_VALUE"""),"โบ")</f>
        <v>โบ</v>
      </c>
      <c r="M176" t="str">
        <f>IFERROR(__xludf.DUMMYFUNCTION("""COMPUTED_VALUE"""),"Senior Cabin Crew")</f>
        <v>Senior Cabin Crew</v>
      </c>
      <c r="N176" t="str">
        <f>IFERROR(__xludf.DUMMYFUNCTION("""COMPUTED_VALUE"""),"DMK")</f>
        <v>DMK</v>
      </c>
      <c r="O176" s="145" t="str">
        <f>IFERROR(__xludf.DUMMYFUNCTION("""COMPUTED_VALUE"""),"Nhui Home")</f>
        <v>Nhui Home</v>
      </c>
      <c r="P176" t="str">
        <f>IFERROR(__xludf.DUMMYFUNCTION("""COMPUTED_VALUE"""),"Active")</f>
        <v>Active</v>
      </c>
      <c r="R176" s="143">
        <f>IFERROR(__xludf.DUMMYFUNCTION("""COMPUTED_VALUE"""),31239.0)</f>
        <v>31239</v>
      </c>
      <c r="S176" s="146" t="str">
        <f>IFERROR(__xludf.DUMMYFUNCTION("""COMPUTED_VALUE"""),"063-249-2897")</f>
        <v>063-249-2897</v>
      </c>
      <c r="T176" s="147" t="str">
        <f>IFERROR(__xludf.DUMMYFUNCTION("""COMPUTED_VALUE"""),"1720900-03-6470")</f>
        <v>1720900-03-6470</v>
      </c>
      <c r="U176" t="str">
        <f>IFERROR(__xludf.DUMMYFUNCTION("""COMPUTED_VALUE"""),"AC3862347")</f>
        <v>AC3862347</v>
      </c>
      <c r="V176" s="148">
        <f>IFERROR(__xludf.DUMMYFUNCTION("""COMPUTED_VALUE"""),44791.0)</f>
        <v>44791</v>
      </c>
      <c r="W176" s="148">
        <f>IFERROR(__xludf.DUMMYFUNCTION("""COMPUTED_VALUE"""),48443.0)</f>
        <v>48443</v>
      </c>
      <c r="X176" s="149">
        <f>IFERROR(__xludf.DUMMYFUNCTION("""COMPUTED_VALUE"""),48261.0)</f>
        <v>48261</v>
      </c>
      <c r="Y176" t="str">
        <f>IFERROR(__xludf.DUMMYFUNCTION("""COMPUTED_VALUE"""),"ปลอดภัย")</f>
        <v>ปลอดภัย</v>
      </c>
      <c r="Z176" t="str">
        <f>IFERROR(__xludf.DUMMYFUNCTION("""COMPUTED_VALUE"""),"Suphan Buri Province")</f>
        <v>Suphan Buri Province</v>
      </c>
      <c r="AA176" t="str">
        <f>IFERROR(__xludf.DUMMYFUNCTION("""COMPUTED_VALUE"""),"ลาดกระบัง")</f>
        <v>ลาดกระบัง</v>
      </c>
      <c r="AB176" t="str">
        <f>IFERROR(__xludf.DUMMYFUNCTION("""COMPUTED_VALUE"""),"085 6886681")</f>
        <v>085 6886681</v>
      </c>
      <c r="AC176" t="str">
        <f>IFERROR(__xludf.DUMMYFUNCTION("""COMPUTED_VALUE"""),"ไม่ระบุ")</f>
        <v>ไม่ระบุ</v>
      </c>
      <c r="AD176" t="str">
        <f>IFERROR(__xludf.DUMMYFUNCTION("""COMPUTED_VALUE"""),"arisaran@airasia.com")</f>
        <v>arisaran@airasia.com</v>
      </c>
    </row>
    <row r="177">
      <c r="A177" s="142">
        <f>IFERROR(__xludf.DUMMYFUNCTION("""COMPUTED_VALUE"""),34.0)</f>
        <v>34</v>
      </c>
      <c r="B177" t="str">
        <f>IFERROR(__xludf.DUMMYFUNCTION("""COMPUTED_VALUE"""),"TAA2798")</f>
        <v>TAA2798</v>
      </c>
      <c r="C177">
        <f>IFERROR(__xludf.DUMMYFUNCTION("""COMPUTED_VALUE"""),1004450.0)</f>
        <v>1004450</v>
      </c>
      <c r="D177" t="str">
        <f>IFERROR(__xludf.DUMMYFUNCTION("""COMPUTED_VALUE"""),"Ms.")</f>
        <v>Ms.</v>
      </c>
      <c r="E177" t="str">
        <f>IFERROR(__xludf.DUMMYFUNCTION("""COMPUTED_VALUE"""),"Suthathip")</f>
        <v>Suthathip</v>
      </c>
      <c r="F177" t="str">
        <f>IFERROR(__xludf.DUMMYFUNCTION("""COMPUTED_VALUE"""),"Choosen")</f>
        <v>Choosen</v>
      </c>
      <c r="G177" t="str">
        <f>IFERROR(__xludf.DUMMYFUNCTION("""COMPUTED_VALUE"""),"Suthathip Choosen")</f>
        <v>Suthathip Choosen</v>
      </c>
      <c r="H177" t="str">
        <f>IFERROR(__xludf.DUMMYFUNCTION("""COMPUTED_VALUE"""),"นางสาว")</f>
        <v>นางสาว</v>
      </c>
      <c r="I177" t="str">
        <f>IFERROR(__xludf.DUMMYFUNCTION("""COMPUTED_VALUE"""),"สุธาทิพย์")</f>
        <v>สุธาทิพย์</v>
      </c>
      <c r="J177" t="str">
        <f>IFERROR(__xludf.DUMMYFUNCTION("""COMPUTED_VALUE"""),"ชูเสน")</f>
        <v>ชูเสน</v>
      </c>
      <c r="K177" t="str">
        <f>IFERROR(__xludf.DUMMYFUNCTION("""COMPUTED_VALUE"""),"สุธาทิพย์ ชูเสน")</f>
        <v>สุธาทิพย์ ชูเสน</v>
      </c>
      <c r="L177" t="str">
        <f>IFERROR(__xludf.DUMMYFUNCTION("""COMPUTED_VALUE"""),"เอฟ")</f>
        <v>เอฟ</v>
      </c>
      <c r="M177" t="str">
        <f>IFERROR(__xludf.DUMMYFUNCTION("""COMPUTED_VALUE"""),"Senior Cabin Crew - BKK")</f>
        <v>Senior Cabin Crew - BKK</v>
      </c>
      <c r="N177" t="str">
        <f>IFERROR(__xludf.DUMMYFUNCTION("""COMPUTED_VALUE"""),"BKK")</f>
        <v>BKK</v>
      </c>
      <c r="O177" s="145" t="str">
        <f>IFERROR(__xludf.DUMMYFUNCTION("""COMPUTED_VALUE"""),"Nhui Home")</f>
        <v>Nhui Home</v>
      </c>
      <c r="P177" t="str">
        <f>IFERROR(__xludf.DUMMYFUNCTION("""COMPUTED_VALUE"""),"Active/V/DMK")</f>
        <v>Active/V/DMK</v>
      </c>
      <c r="R177" s="143">
        <f>IFERROR(__xludf.DUMMYFUNCTION("""COMPUTED_VALUE"""),32354.0)</f>
        <v>32354</v>
      </c>
      <c r="S177" s="146" t="str">
        <f>IFERROR(__xludf.DUMMYFUNCTION("""COMPUTED_VALUE"""),"061 939 4945")</f>
        <v>061 939 4945</v>
      </c>
      <c r="T177" s="147" t="str">
        <f>IFERROR(__xludf.DUMMYFUNCTION("""COMPUTED_VALUE"""),"1101401-36-7256")</f>
        <v>1101401-36-7256</v>
      </c>
      <c r="U177" t="str">
        <f>IFERROR(__xludf.DUMMYFUNCTION("""COMPUTED_VALUE"""),"AD2494743")</f>
        <v>AD2494743</v>
      </c>
      <c r="V177" s="148">
        <f>IFERROR(__xludf.DUMMYFUNCTION("""COMPUTED_VALUE"""),45950.0)</f>
        <v>45950</v>
      </c>
      <c r="W177" s="148">
        <f>IFERROR(__xludf.DUMMYFUNCTION("""COMPUTED_VALUE"""),47775.0)</f>
        <v>47775</v>
      </c>
      <c r="X177" s="149">
        <f>IFERROR(__xludf.DUMMYFUNCTION("""COMPUTED_VALUE"""),47592.0)</f>
        <v>47592</v>
      </c>
      <c r="Y177" t="str">
        <f>IFERROR(__xludf.DUMMYFUNCTION("""COMPUTED_VALUE"""),"ปลอดภัย")</f>
        <v>ปลอดภัย</v>
      </c>
      <c r="Z177" t="str">
        <f>IFERROR(__xludf.DUMMYFUNCTION("""COMPUTED_VALUE"""),"Bangkok")</f>
        <v>Bangkok</v>
      </c>
      <c r="AA177" t="str">
        <f>IFERROR(__xludf.DUMMYFUNCTION("""COMPUTED_VALUE"""),"ป้อมปราบศัตรูพ่าย")</f>
        <v>ป้อมปราบศัตรูพ่าย</v>
      </c>
      <c r="AB177" t="str">
        <f>IFERROR(__xludf.DUMMYFUNCTION("""COMPUTED_VALUE"""),"080 5505855")</f>
        <v>080 5505855</v>
      </c>
      <c r="AC177" t="str">
        <f>IFERROR(__xludf.DUMMYFUNCTION("""COMPUTED_VALUE"""),"ไม่ระบุ")</f>
        <v>ไม่ระบุ</v>
      </c>
      <c r="AD177" t="str">
        <f>IFERROR(__xludf.DUMMYFUNCTION("""COMPUTED_VALUE"""),"suthathipc@airasia.com")</f>
        <v>suthathipc@airasia.com</v>
      </c>
    </row>
    <row r="178">
      <c r="A178" s="142">
        <f>IFERROR(__xludf.DUMMYFUNCTION("""COMPUTED_VALUE"""),34.0)</f>
        <v>34</v>
      </c>
      <c r="B178" t="str">
        <f>IFERROR(__xludf.DUMMYFUNCTION("""COMPUTED_VALUE"""),"TAA2803")</f>
        <v>TAA2803</v>
      </c>
      <c r="C178">
        <f>IFERROR(__xludf.DUMMYFUNCTION("""COMPUTED_VALUE"""),1004452.0)</f>
        <v>1004452</v>
      </c>
      <c r="D178" t="str">
        <f>IFERROR(__xludf.DUMMYFUNCTION("""COMPUTED_VALUE"""),"Ms.")</f>
        <v>Ms.</v>
      </c>
      <c r="E178" t="str">
        <f>IFERROR(__xludf.DUMMYFUNCTION("""COMPUTED_VALUE"""),"Torsang")</f>
        <v>Torsang</v>
      </c>
      <c r="F178" t="str">
        <f>IFERROR(__xludf.DUMMYFUNCTION("""COMPUTED_VALUE"""),"Supachaiyakit")</f>
        <v>Supachaiyakit</v>
      </c>
      <c r="G178" t="str">
        <f>IFERROR(__xludf.DUMMYFUNCTION("""COMPUTED_VALUE"""),"Torsang Supachaiyakit")</f>
        <v>Torsang Supachaiyakit</v>
      </c>
      <c r="H178" t="str">
        <f>IFERROR(__xludf.DUMMYFUNCTION("""COMPUTED_VALUE"""),"นางสาว")</f>
        <v>นางสาว</v>
      </c>
      <c r="I178" t="str">
        <f>IFERROR(__xludf.DUMMYFUNCTION("""COMPUTED_VALUE"""),"ทอแสง")</f>
        <v>ทอแสง</v>
      </c>
      <c r="J178" t="str">
        <f>IFERROR(__xludf.DUMMYFUNCTION("""COMPUTED_VALUE"""),"สุภาไชยกิจ")</f>
        <v>สุภาไชยกิจ</v>
      </c>
      <c r="K178" t="str">
        <f>IFERROR(__xludf.DUMMYFUNCTION("""COMPUTED_VALUE"""),"ทอแสง สุภาไชยกิจ")</f>
        <v>ทอแสง สุภาไชยกิจ</v>
      </c>
      <c r="L178" t="str">
        <f>IFERROR(__xludf.DUMMYFUNCTION("""COMPUTED_VALUE"""),"แจ่ม")</f>
        <v>แจ่ม</v>
      </c>
      <c r="M178" t="str">
        <f>IFERROR(__xludf.DUMMYFUNCTION("""COMPUTED_VALUE"""),"Cabin Crew")</f>
        <v>Cabin Crew</v>
      </c>
      <c r="N178" t="str">
        <f>IFERROR(__xludf.DUMMYFUNCTION("""COMPUTED_VALUE"""),"DMK")</f>
        <v>DMK</v>
      </c>
      <c r="O178" s="145" t="str">
        <f>IFERROR(__xludf.DUMMYFUNCTION("""COMPUTED_VALUE"""),"Um Home")</f>
        <v>Um Home</v>
      </c>
      <c r="P178" t="str">
        <f>IFERROR(__xludf.DUMMYFUNCTION("""COMPUTED_VALUE"""),"Active")</f>
        <v>Active</v>
      </c>
      <c r="R178" s="143">
        <f>IFERROR(__xludf.DUMMYFUNCTION("""COMPUTED_VALUE"""),30841.0)</f>
        <v>30841</v>
      </c>
      <c r="S178" s="146" t="str">
        <f>IFERROR(__xludf.DUMMYFUNCTION("""COMPUTED_VALUE"""),"081 598 1253")</f>
        <v>081 598 1253</v>
      </c>
      <c r="T178" s="147" t="str">
        <f>IFERROR(__xludf.DUMMYFUNCTION("""COMPUTED_VALUE"""),"1739900-01-8941")</f>
        <v>1739900-01-8941</v>
      </c>
      <c r="U178" t="str">
        <f>IFERROR(__xludf.DUMMYFUNCTION("""COMPUTED_VALUE"""),"AC6967604")</f>
        <v>AC6967604</v>
      </c>
      <c r="V178" s="148">
        <f>IFERROR(__xludf.DUMMYFUNCTION("""COMPUTED_VALUE"""),45593.0)</f>
        <v>45593</v>
      </c>
      <c r="W178" s="148">
        <f>IFERROR(__xludf.DUMMYFUNCTION("""COMPUTED_VALUE"""),49244.0)</f>
        <v>49244</v>
      </c>
      <c r="X178" s="149">
        <f>IFERROR(__xludf.DUMMYFUNCTION("""COMPUTED_VALUE"""),49061.0)</f>
        <v>49061</v>
      </c>
      <c r="Y178" t="str">
        <f>IFERROR(__xludf.DUMMYFUNCTION("""COMPUTED_VALUE"""),"ปลอดภัย")</f>
        <v>ปลอดภัย</v>
      </c>
      <c r="Z178" t="str">
        <f>IFERROR(__xludf.DUMMYFUNCTION("""COMPUTED_VALUE"""),"Nakhon Pathom Province")</f>
        <v>Nakhon Pathom Province</v>
      </c>
      <c r="AA178" t="str">
        <f>IFERROR(__xludf.DUMMYFUNCTION("""COMPUTED_VALUE"""),"ดอนเมือง")</f>
        <v>ดอนเมือง</v>
      </c>
      <c r="AB178" t="str">
        <f>IFERROR(__xludf.DUMMYFUNCTION("""COMPUTED_VALUE"""),"081 5981253")</f>
        <v>081 5981253</v>
      </c>
      <c r="AC178" t="str">
        <f>IFERROR(__xludf.DUMMYFUNCTION("""COMPUTED_VALUE"""),"ไม่ระบุ")</f>
        <v>ไม่ระบุ</v>
      </c>
      <c r="AD178" t="str">
        <f>IFERROR(__xludf.DUMMYFUNCTION("""COMPUTED_VALUE"""),"torsangs@airasia.com")</f>
        <v>torsangs@airasia.com</v>
      </c>
    </row>
    <row r="179">
      <c r="AD179" t="str">
        <f>IFERROR(__xludf.DUMMYFUNCTION("""COMPUTED_VALUE"""),"")</f>
        <v/>
      </c>
    </row>
    <row r="180">
      <c r="A180" s="142">
        <f>IFERROR(__xludf.DUMMYFUNCTION("""COMPUTED_VALUE"""),35.0)</f>
        <v>35</v>
      </c>
      <c r="B180" t="str">
        <f>IFERROR(__xludf.DUMMYFUNCTION("""COMPUTED_VALUE"""),"TAA2080")</f>
        <v>TAA2080</v>
      </c>
      <c r="C180">
        <f>IFERROR(__xludf.DUMMYFUNCTION("""COMPUTED_VALUE"""),1002207.0)</f>
        <v>1002207</v>
      </c>
      <c r="D180" t="str">
        <f>IFERROR(__xludf.DUMMYFUNCTION("""COMPUTED_VALUE"""),"Ms.")</f>
        <v>Ms.</v>
      </c>
      <c r="E180" t="str">
        <f>IFERROR(__xludf.DUMMYFUNCTION("""COMPUTED_VALUE"""),"Phakaon")</f>
        <v>Phakaon</v>
      </c>
      <c r="F180" t="str">
        <f>IFERROR(__xludf.DUMMYFUNCTION("""COMPUTED_VALUE"""),"Chaiwong")</f>
        <v>Chaiwong</v>
      </c>
      <c r="G180" t="str">
        <f>IFERROR(__xludf.DUMMYFUNCTION("""COMPUTED_VALUE"""),"Phakaon Chaiwong")</f>
        <v>Phakaon Chaiwong</v>
      </c>
      <c r="H180" t="str">
        <f>IFERROR(__xludf.DUMMYFUNCTION("""COMPUTED_VALUE"""),"นางสาว")</f>
        <v>นางสาว</v>
      </c>
      <c r="I180" t="str">
        <f>IFERROR(__xludf.DUMMYFUNCTION("""COMPUTED_VALUE"""),"ภคอร")</f>
        <v>ภคอร</v>
      </c>
      <c r="J180" t="str">
        <f>IFERROR(__xludf.DUMMYFUNCTION("""COMPUTED_VALUE"""),"ไชยวงศ์")</f>
        <v>ไชยวงศ์</v>
      </c>
      <c r="K180" t="str">
        <f>IFERROR(__xludf.DUMMYFUNCTION("""COMPUTED_VALUE"""),"ภคอร ไชยวงศ์")</f>
        <v>ภคอร ไชยวงศ์</v>
      </c>
      <c r="L180" t="str">
        <f>IFERROR(__xludf.DUMMYFUNCTION("""COMPUTED_VALUE"""),"จ๋า")</f>
        <v>จ๋า</v>
      </c>
      <c r="M180" t="str">
        <f>IFERROR(__xludf.DUMMYFUNCTION("""COMPUTED_VALUE"""),"Cabin Crew")</f>
        <v>Cabin Crew</v>
      </c>
      <c r="N180" t="str">
        <f>IFERROR(__xludf.DUMMYFUNCTION("""COMPUTED_VALUE"""),"DMK")</f>
        <v>DMK</v>
      </c>
      <c r="O180" s="145" t="str">
        <f>IFERROR(__xludf.DUMMYFUNCTION("""COMPUTED_VALUE"""),"Toffy Home")</f>
        <v>Toffy Home</v>
      </c>
      <c r="P180" t="str">
        <f>IFERROR(__xludf.DUMMYFUNCTION("""COMPUTED_VALUE"""),"Active")</f>
        <v>Active</v>
      </c>
      <c r="R180" s="143">
        <f>IFERROR(__xludf.DUMMYFUNCTION("""COMPUTED_VALUE"""),30648.0)</f>
        <v>30648</v>
      </c>
      <c r="S180" s="146" t="str">
        <f>IFERROR(__xludf.DUMMYFUNCTION("""COMPUTED_VALUE"""),"062 245 6538")</f>
        <v>062 245 6538</v>
      </c>
      <c r="T180" s="147" t="str">
        <f>IFERROR(__xludf.DUMMYFUNCTION("""COMPUTED_VALUE"""),"3509901-12-0560")</f>
        <v>3509901-12-0560</v>
      </c>
      <c r="U180" t="str">
        <f>IFERROR(__xludf.DUMMYFUNCTION("""COMPUTED_VALUE"""),"AC2343114")</f>
        <v>AC2343114</v>
      </c>
      <c r="V180" s="148">
        <f>IFERROR(__xludf.DUMMYFUNCTION("""COMPUTED_VALUE"""),44385.0)</f>
        <v>44385</v>
      </c>
      <c r="W180" s="148">
        <f>IFERROR(__xludf.DUMMYFUNCTION("""COMPUTED_VALUE"""),48036.0)</f>
        <v>48036</v>
      </c>
      <c r="X180" s="149">
        <f>IFERROR(__xludf.DUMMYFUNCTION("""COMPUTED_VALUE"""),47855.0)</f>
        <v>47855</v>
      </c>
      <c r="Y180" t="str">
        <f>IFERROR(__xludf.DUMMYFUNCTION("""COMPUTED_VALUE"""),"ปลอดภัย")</f>
        <v>ปลอดภัย</v>
      </c>
      <c r="Z180" t="str">
        <f>IFERROR(__xludf.DUMMYFUNCTION("""COMPUTED_VALUE"""),"Bangkok")</f>
        <v>Bangkok</v>
      </c>
      <c r="AA180" t="str">
        <f>IFERROR(__xludf.DUMMYFUNCTION("""COMPUTED_VALUE"""),"บึงกุ่ม")</f>
        <v>บึงกุ่ม</v>
      </c>
      <c r="AB180" t="str">
        <f>IFERROR(__xludf.DUMMYFUNCTION("""COMPUTED_VALUE"""),"084 649 1991")</f>
        <v>084 649 1991</v>
      </c>
      <c r="AC180" t="str">
        <f>IFERROR(__xludf.DUMMYFUNCTION("""COMPUTED_VALUE"""),"ไม่ระบุ")</f>
        <v>ไม่ระบุ</v>
      </c>
      <c r="AD180" t="str">
        <f>IFERROR(__xludf.DUMMYFUNCTION("""COMPUTED_VALUE"""),"phakaonc@airasia.com")</f>
        <v>phakaonc@airasia.com</v>
      </c>
    </row>
    <row r="181">
      <c r="A181" s="142">
        <f>IFERROR(__xludf.DUMMYFUNCTION("""COMPUTED_VALUE"""),35.0)</f>
        <v>35</v>
      </c>
      <c r="B181" t="str">
        <f>IFERROR(__xludf.DUMMYFUNCTION("""COMPUTED_VALUE"""),"TAA2587")</f>
        <v>TAA2587</v>
      </c>
      <c r="C181">
        <f>IFERROR(__xludf.DUMMYFUNCTION("""COMPUTED_VALUE"""),1003137.0)</f>
        <v>1003137</v>
      </c>
      <c r="D181" t="str">
        <f>IFERROR(__xludf.DUMMYFUNCTION("""COMPUTED_VALUE"""),"Ms.")</f>
        <v>Ms.</v>
      </c>
      <c r="E181" t="str">
        <f>IFERROR(__xludf.DUMMYFUNCTION("""COMPUTED_VALUE"""),"Patcharamai(Tanatorn)")</f>
        <v>Patcharamai(Tanatorn)</v>
      </c>
      <c r="F181" t="str">
        <f>IFERROR(__xludf.DUMMYFUNCTION("""COMPUTED_VALUE"""),"Udomphol")</f>
        <v>Udomphol</v>
      </c>
      <c r="G181" t="str">
        <f>IFERROR(__xludf.DUMMYFUNCTION("""COMPUTED_VALUE"""),"Patcharamai Udomphol")</f>
        <v>Patcharamai Udomphol</v>
      </c>
      <c r="H181" t="str">
        <f>IFERROR(__xludf.DUMMYFUNCTION("""COMPUTED_VALUE"""),"นางสาว")</f>
        <v>นางสาว</v>
      </c>
      <c r="I181" t="str">
        <f>IFERROR(__xludf.DUMMYFUNCTION("""COMPUTED_VALUE"""),"พัชรมัย (ธนัทอร)")</f>
        <v>พัชรมัย (ธนัทอร)</v>
      </c>
      <c r="J181" t="str">
        <f>IFERROR(__xludf.DUMMYFUNCTION("""COMPUTED_VALUE"""),"อุดมผล")</f>
        <v>อุดมผล</v>
      </c>
      <c r="K181" t="str">
        <f>IFERROR(__xludf.DUMMYFUNCTION("""COMPUTED_VALUE"""),"พัชรมัย อุดมผล")</f>
        <v>พัชรมัย อุดมผล</v>
      </c>
      <c r="L181" t="str">
        <f>IFERROR(__xludf.DUMMYFUNCTION("""COMPUTED_VALUE"""),"น้ำมนต์")</f>
        <v>น้ำมนต์</v>
      </c>
      <c r="M181" t="str">
        <f>IFERROR(__xludf.DUMMYFUNCTION("""COMPUTED_VALUE"""),"Senior Cabin Crew")</f>
        <v>Senior Cabin Crew</v>
      </c>
      <c r="N181" t="str">
        <f>IFERROR(__xludf.DUMMYFUNCTION("""COMPUTED_VALUE"""),"DMK")</f>
        <v>DMK</v>
      </c>
      <c r="O181" s="145" t="str">
        <f>IFERROR(__xludf.DUMMYFUNCTION("""COMPUTED_VALUE"""),"Up Home")</f>
        <v>Up Home</v>
      </c>
      <c r="P181" t="str">
        <f>IFERROR(__xludf.DUMMYFUNCTION("""COMPUTED_VALUE"""),"Active")</f>
        <v>Active</v>
      </c>
      <c r="R181" s="143">
        <f>IFERROR(__xludf.DUMMYFUNCTION("""COMPUTED_VALUE"""),31908.0)</f>
        <v>31908</v>
      </c>
      <c r="S181" s="146" t="str">
        <f>IFERROR(__xludf.DUMMYFUNCTION("""COMPUTED_VALUE"""),"080-564-6365")</f>
        <v>080-564-6365</v>
      </c>
      <c r="T181" s="147" t="str">
        <f>IFERROR(__xludf.DUMMYFUNCTION("""COMPUTED_VALUE"""),"1101401-00-6636")</f>
        <v>1101401-00-6636</v>
      </c>
      <c r="U181" t="str">
        <f>IFERROR(__xludf.DUMMYFUNCTION("""COMPUTED_VALUE"""),"AC2479294")</f>
        <v>AC2479294</v>
      </c>
      <c r="V181" s="148">
        <f>IFERROR(__xludf.DUMMYFUNCTION("""COMPUTED_VALUE"""),44503.0)</f>
        <v>44503</v>
      </c>
      <c r="W181" s="148">
        <f>IFERROR(__xludf.DUMMYFUNCTION("""COMPUTED_VALUE"""),48154.0)</f>
        <v>48154</v>
      </c>
      <c r="X181" s="149">
        <f>IFERROR(__xludf.DUMMYFUNCTION("""COMPUTED_VALUE"""),47970.0)</f>
        <v>47970</v>
      </c>
      <c r="Y181" t="str">
        <f>IFERROR(__xludf.DUMMYFUNCTION("""COMPUTED_VALUE"""),"ปลอดภัย")</f>
        <v>ปลอดภัย</v>
      </c>
      <c r="Z181" t="str">
        <f>IFERROR(__xludf.DUMMYFUNCTION("""COMPUTED_VALUE"""),"Bangkok")</f>
        <v>Bangkok</v>
      </c>
      <c r="AA181" t="str">
        <f>IFERROR(__xludf.DUMMYFUNCTION("""COMPUTED_VALUE"""),"ลาดกระบัง")</f>
        <v>ลาดกระบัง</v>
      </c>
      <c r="AB181" t="str">
        <f>IFERROR(__xludf.DUMMYFUNCTION("""COMPUTED_VALUE"""),"! Update !")</f>
        <v>! Update !</v>
      </c>
      <c r="AC181" t="str">
        <f>IFERROR(__xludf.DUMMYFUNCTION("""COMPUTED_VALUE"""),"! Update !")</f>
        <v>! Update !</v>
      </c>
      <c r="AD181" t="str">
        <f>IFERROR(__xludf.DUMMYFUNCTION("""COMPUTED_VALUE"""),"patcharamaiu@airasia.com")</f>
        <v>patcharamaiu@airasia.com</v>
      </c>
    </row>
    <row r="182">
      <c r="A182" s="142">
        <f>IFERROR(__xludf.DUMMYFUNCTION("""COMPUTED_VALUE"""),35.0)</f>
        <v>35</v>
      </c>
      <c r="B182" t="str">
        <f>IFERROR(__xludf.DUMMYFUNCTION("""COMPUTED_VALUE"""),"TAA2466")</f>
        <v>TAA2466</v>
      </c>
      <c r="C182">
        <f>IFERROR(__xludf.DUMMYFUNCTION("""COMPUTED_VALUE"""),1003145.0)</f>
        <v>1003145</v>
      </c>
      <c r="D182" t="str">
        <f>IFERROR(__xludf.DUMMYFUNCTION("""COMPUTED_VALUE"""),"Ms.")</f>
        <v>Ms.</v>
      </c>
      <c r="E182" t="str">
        <f>IFERROR(__xludf.DUMMYFUNCTION("""COMPUTED_VALUE"""),"Nonglak")</f>
        <v>Nonglak</v>
      </c>
      <c r="F182" t="str">
        <f>IFERROR(__xludf.DUMMYFUNCTION("""COMPUTED_VALUE"""),"Srimuang")</f>
        <v>Srimuang</v>
      </c>
      <c r="G182" t="str">
        <f>IFERROR(__xludf.DUMMYFUNCTION("""COMPUTED_VALUE"""),"Nonglak Srimuang")</f>
        <v>Nonglak Srimuang</v>
      </c>
      <c r="H182" t="str">
        <f>IFERROR(__xludf.DUMMYFUNCTION("""COMPUTED_VALUE"""),"นางสาว")</f>
        <v>นางสาว</v>
      </c>
      <c r="I182" t="str">
        <f>IFERROR(__xludf.DUMMYFUNCTION("""COMPUTED_VALUE"""),"นงลักษณ์")</f>
        <v>นงลักษณ์</v>
      </c>
      <c r="J182" t="str">
        <f>IFERROR(__xludf.DUMMYFUNCTION("""COMPUTED_VALUE"""),"ศรีเมือง")</f>
        <v>ศรีเมือง</v>
      </c>
      <c r="K182" t="str">
        <f>IFERROR(__xludf.DUMMYFUNCTION("""COMPUTED_VALUE"""),"นงลักษณ์ ศรีเมือง")</f>
        <v>นงลักษณ์ ศรีเมือง</v>
      </c>
      <c r="L182" t="str">
        <f>IFERROR(__xludf.DUMMYFUNCTION("""COMPUTED_VALUE"""),"เมย์")</f>
        <v>เมย์</v>
      </c>
      <c r="M182" t="str">
        <f>IFERROR(__xludf.DUMMYFUNCTION("""COMPUTED_VALUE"""),"Senior Cabin Crew - BKK")</f>
        <v>Senior Cabin Crew - BKK</v>
      </c>
      <c r="N182" t="str">
        <f>IFERROR(__xludf.DUMMYFUNCTION("""COMPUTED_VALUE"""),"BKK")</f>
        <v>BKK</v>
      </c>
      <c r="O182" s="145" t="str">
        <f>IFERROR(__xludf.DUMMYFUNCTION("""COMPUTED_VALUE"""),"Nhui Home")</f>
        <v>Nhui Home</v>
      </c>
      <c r="P182" t="str">
        <f>IFERROR(__xludf.DUMMYFUNCTION("""COMPUTED_VALUE"""),"Active")</f>
        <v>Active</v>
      </c>
      <c r="Q182" t="str">
        <f>IFERROR(__xludf.DUMMYFUNCTION("""COMPUTED_VALUE"""),"SCC Line Checker 2025")</f>
        <v>SCC Line Checker 2025</v>
      </c>
      <c r="R182" s="143">
        <f>IFERROR(__xludf.DUMMYFUNCTION("""COMPUTED_VALUE"""),31964.0)</f>
        <v>31964</v>
      </c>
      <c r="S182" s="146" t="str">
        <f>IFERROR(__xludf.DUMMYFUNCTION("""COMPUTED_VALUE"""),"085 578 9966")</f>
        <v>085 578 9966</v>
      </c>
      <c r="T182" s="147" t="str">
        <f>IFERROR(__xludf.DUMMYFUNCTION("""COMPUTED_VALUE"""),"1800100-10-9269")</f>
        <v>1800100-10-9269</v>
      </c>
      <c r="U182" t="str">
        <f>IFERROR(__xludf.DUMMYFUNCTION("""COMPUTED_VALUE"""),"AC5263036")</f>
        <v>AC5263036</v>
      </c>
      <c r="V182" s="148">
        <f>IFERROR(__xludf.DUMMYFUNCTION("""COMPUTED_VALUE"""),45112.0)</f>
        <v>45112</v>
      </c>
      <c r="W182" s="148">
        <f>IFERROR(__xludf.DUMMYFUNCTION("""COMPUTED_VALUE"""),48764.0)</f>
        <v>48764</v>
      </c>
      <c r="X182" s="149">
        <f>IFERROR(__xludf.DUMMYFUNCTION("""COMPUTED_VALUE"""),48583.0)</f>
        <v>48583</v>
      </c>
      <c r="Y182" t="str">
        <f>IFERROR(__xludf.DUMMYFUNCTION("""COMPUTED_VALUE"""),"ปลอดภัย")</f>
        <v>ปลอดภัย</v>
      </c>
      <c r="Z182" t="str">
        <f>IFERROR(__xludf.DUMMYFUNCTION("""COMPUTED_VALUE"""),"Nakhon Si Thammarat Province")</f>
        <v>Nakhon Si Thammarat Province</v>
      </c>
      <c r="AA182" t="str">
        <f>IFERROR(__xludf.DUMMYFUNCTION("""COMPUTED_VALUE"""),"ลาดกระบัง")</f>
        <v>ลาดกระบัง</v>
      </c>
      <c r="AB182" t="str">
        <f>IFERROR(__xludf.DUMMYFUNCTION("""COMPUTED_VALUE"""),"080 089 0553")</f>
        <v>080 089 0553</v>
      </c>
      <c r="AC182" t="str">
        <f>IFERROR(__xludf.DUMMYFUNCTION("""COMPUTED_VALUE"""),"ไม่ระบุ")</f>
        <v>ไม่ระบุ</v>
      </c>
      <c r="AD182" t="str">
        <f>IFERROR(__xludf.DUMMYFUNCTION("""COMPUTED_VALUE"""),"nonglaks@airasia.com")</f>
        <v>nonglaks@airasia.com</v>
      </c>
    </row>
    <row r="183">
      <c r="A183" s="142">
        <f>IFERROR(__xludf.DUMMYFUNCTION("""COMPUTED_VALUE"""),35.0)</f>
        <v>35</v>
      </c>
      <c r="B183" t="str">
        <f>IFERROR(__xludf.DUMMYFUNCTION("""COMPUTED_VALUE"""),"TAA2659")</f>
        <v>TAA2659</v>
      </c>
      <c r="C183">
        <f>IFERROR(__xludf.DUMMYFUNCTION("""COMPUTED_VALUE"""),1003204.0)</f>
        <v>1003204</v>
      </c>
      <c r="D183" t="str">
        <f>IFERROR(__xludf.DUMMYFUNCTION("""COMPUTED_VALUE"""),"Ms.")</f>
        <v>Ms.</v>
      </c>
      <c r="E183" t="str">
        <f>IFERROR(__xludf.DUMMYFUNCTION("""COMPUTED_VALUE"""),"Padiporn")</f>
        <v>Padiporn</v>
      </c>
      <c r="F183" t="str">
        <f>IFERROR(__xludf.DUMMYFUNCTION("""COMPUTED_VALUE"""),"Phopeng")</f>
        <v>Phopeng</v>
      </c>
      <c r="G183" t="str">
        <f>IFERROR(__xludf.DUMMYFUNCTION("""COMPUTED_VALUE"""),"Padiporn Phopeng")</f>
        <v>Padiporn Phopeng</v>
      </c>
      <c r="H183" t="str">
        <f>IFERROR(__xludf.DUMMYFUNCTION("""COMPUTED_VALUE"""),"นางสาว")</f>
        <v>นางสาว</v>
      </c>
      <c r="I183" t="str">
        <f>IFERROR(__xludf.DUMMYFUNCTION("""COMPUTED_VALUE"""),"ปฎิภรณ์")</f>
        <v>ปฎิภรณ์</v>
      </c>
      <c r="J183" t="str">
        <f>IFERROR(__xludf.DUMMYFUNCTION("""COMPUTED_VALUE"""),"โพธิ์เพ็ง")</f>
        <v>โพธิ์เพ็ง</v>
      </c>
      <c r="K183" t="str">
        <f>IFERROR(__xludf.DUMMYFUNCTION("""COMPUTED_VALUE"""),"ปฎิภรณ์ โพธิ์เพ็ง")</f>
        <v>ปฎิภรณ์ โพธิ์เพ็ง</v>
      </c>
      <c r="L183" t="str">
        <f>IFERROR(__xludf.DUMMYFUNCTION("""COMPUTED_VALUE"""),"กิ๊ฟ")</f>
        <v>กิ๊ฟ</v>
      </c>
      <c r="M183" t="str">
        <f>IFERROR(__xludf.DUMMYFUNCTION("""COMPUTED_VALUE"""),"Senior Cabin Crew")</f>
        <v>Senior Cabin Crew</v>
      </c>
      <c r="N183" t="str">
        <f>IFERROR(__xludf.DUMMYFUNCTION("""COMPUTED_VALUE"""),"DMK")</f>
        <v>DMK</v>
      </c>
      <c r="O183" s="145" t="str">
        <f>IFERROR(__xludf.DUMMYFUNCTION("""COMPUTED_VALUE"""),"Um Home")</f>
        <v>Um Home</v>
      </c>
      <c r="P183" t="str">
        <f>IFERROR(__xludf.DUMMYFUNCTION("""COMPUTED_VALUE"""),"Active")</f>
        <v>Active</v>
      </c>
      <c r="R183" s="143">
        <f>IFERROR(__xludf.DUMMYFUNCTION("""COMPUTED_VALUE"""),31443.0)</f>
        <v>31443</v>
      </c>
      <c r="S183" s="146" t="str">
        <f>IFERROR(__xludf.DUMMYFUNCTION("""COMPUTED_VALUE"""),"089 214 2294")</f>
        <v>089 214 2294</v>
      </c>
      <c r="T183" s="147" t="str">
        <f>IFERROR(__xludf.DUMMYFUNCTION("""COMPUTED_VALUE"""),"1411990-00-0031")</f>
        <v>1411990-00-0031</v>
      </c>
      <c r="U183" t="str">
        <f>IFERROR(__xludf.DUMMYFUNCTION("""COMPUTED_VALUE"""),"AD1206294")</f>
        <v>AD1206294</v>
      </c>
      <c r="V183" s="148">
        <f>IFERROR(__xludf.DUMMYFUNCTION("""COMPUTED_VALUE"""),45690.0)</f>
        <v>45690</v>
      </c>
      <c r="W183" s="148">
        <f>IFERROR(__xludf.DUMMYFUNCTION("""COMPUTED_VALUE"""),48976.0)</f>
        <v>48976</v>
      </c>
      <c r="X183" s="149">
        <f>IFERROR(__xludf.DUMMYFUNCTION("""COMPUTED_VALUE"""),48792.0)</f>
        <v>48792</v>
      </c>
      <c r="Y183" t="str">
        <f>IFERROR(__xludf.DUMMYFUNCTION("""COMPUTED_VALUE"""),"ปลอดภัย")</f>
        <v>ปลอดภัย</v>
      </c>
      <c r="Z183" t="str">
        <f>IFERROR(__xludf.DUMMYFUNCTION("""COMPUTED_VALUE"""),"Uthai Thani Province")</f>
        <v>Uthai Thani Province</v>
      </c>
      <c r="AA183" t="str">
        <f>IFERROR(__xludf.DUMMYFUNCTION("""COMPUTED_VALUE"""),"ลาดกระบัง")</f>
        <v>ลาดกระบัง</v>
      </c>
      <c r="AB183" t="str">
        <f>IFERROR(__xludf.DUMMYFUNCTION("""COMPUTED_VALUE"""),"! Update !")</f>
        <v>! Update !</v>
      </c>
      <c r="AC183" t="str">
        <f>IFERROR(__xludf.DUMMYFUNCTION("""COMPUTED_VALUE"""),"! Update !")</f>
        <v>! Update !</v>
      </c>
      <c r="AD183" t="str">
        <f>IFERROR(__xludf.DUMMYFUNCTION("""COMPUTED_VALUE"""),"padipornp@airasia.com")</f>
        <v>padipornp@airasia.com</v>
      </c>
    </row>
    <row r="184">
      <c r="A184" s="142">
        <f>IFERROR(__xludf.DUMMYFUNCTION("""COMPUTED_VALUE"""),35.0)</f>
        <v>35</v>
      </c>
      <c r="B184" t="str">
        <f>IFERROR(__xludf.DUMMYFUNCTION("""COMPUTED_VALUE"""),"TAA2821")</f>
        <v>TAA2821</v>
      </c>
      <c r="C184">
        <f>IFERROR(__xludf.DUMMYFUNCTION("""COMPUTED_VALUE"""),1004530.0)</f>
        <v>1004530</v>
      </c>
      <c r="D184" t="str">
        <f>IFERROR(__xludf.DUMMYFUNCTION("""COMPUTED_VALUE"""),"Ms.")</f>
        <v>Ms.</v>
      </c>
      <c r="E184" t="str">
        <f>IFERROR(__xludf.DUMMYFUNCTION("""COMPUTED_VALUE"""),"Nadlada")</f>
        <v>Nadlada</v>
      </c>
      <c r="F184" t="str">
        <f>IFERROR(__xludf.DUMMYFUNCTION("""COMPUTED_VALUE"""),"Sutham")</f>
        <v>Sutham</v>
      </c>
      <c r="G184" t="str">
        <f>IFERROR(__xludf.DUMMYFUNCTION("""COMPUTED_VALUE"""),"Nadlada Sutham")</f>
        <v>Nadlada Sutham</v>
      </c>
      <c r="H184" t="str">
        <f>IFERROR(__xludf.DUMMYFUNCTION("""COMPUTED_VALUE"""),"นางสาว")</f>
        <v>นางสาว</v>
      </c>
      <c r="I184" t="str">
        <f>IFERROR(__xludf.DUMMYFUNCTION("""COMPUTED_VALUE"""),"นาฎลดา")</f>
        <v>นาฎลดา</v>
      </c>
      <c r="J184" t="str">
        <f>IFERROR(__xludf.DUMMYFUNCTION("""COMPUTED_VALUE"""),"สุธรรม")</f>
        <v>สุธรรม</v>
      </c>
      <c r="K184" t="str">
        <f>IFERROR(__xludf.DUMMYFUNCTION("""COMPUTED_VALUE"""),"นาฎลดา สุธรรม")</f>
        <v>นาฎลดา สุธรรม</v>
      </c>
      <c r="L184" t="str">
        <f>IFERROR(__xludf.DUMMYFUNCTION("""COMPUTED_VALUE"""),"จอย")</f>
        <v>จอย</v>
      </c>
      <c r="M184" t="str">
        <f>IFERROR(__xludf.DUMMYFUNCTION("""COMPUTED_VALUE"""),"Senior Cabin Crew - CNX")</f>
        <v>Senior Cabin Crew - CNX</v>
      </c>
      <c r="N184" t="str">
        <f>IFERROR(__xludf.DUMMYFUNCTION("""COMPUTED_VALUE"""),"CNX")</f>
        <v>CNX</v>
      </c>
      <c r="O184" s="145" t="str">
        <f>IFERROR(__xludf.DUMMYFUNCTION("""COMPUTED_VALUE"""),"Up Home")</f>
        <v>Up Home</v>
      </c>
      <c r="P184" t="str">
        <f>IFERROR(__xludf.DUMMYFUNCTION("""COMPUTED_VALUE"""),"Active")</f>
        <v>Active</v>
      </c>
      <c r="Q184" t="str">
        <f>IFERROR(__xludf.DUMMYFUNCTION("""COMPUTED_VALUE"""),"SCC Line Checker 2025")</f>
        <v>SCC Line Checker 2025</v>
      </c>
      <c r="R184" s="143">
        <f>IFERROR(__xludf.DUMMYFUNCTION("""COMPUTED_VALUE"""),30145.0)</f>
        <v>30145</v>
      </c>
      <c r="S184" s="146" t="str">
        <f>IFERROR(__xludf.DUMMYFUNCTION("""COMPUTED_VALUE"""),"081 664 6622")</f>
        <v>081 664 6622</v>
      </c>
      <c r="T184" s="147" t="str">
        <f>IFERROR(__xludf.DUMMYFUNCTION("""COMPUTED_VALUE"""),"3540600-39-3038")</f>
        <v>3540600-39-3038</v>
      </c>
      <c r="U184" t="str">
        <f>IFERROR(__xludf.DUMMYFUNCTION("""COMPUTED_VALUE"""),"AC2666336")</f>
        <v>AC2666336</v>
      </c>
      <c r="V184" s="148">
        <f>IFERROR(__xludf.DUMMYFUNCTION("""COMPUTED_VALUE"""),44572.0)</f>
        <v>44572</v>
      </c>
      <c r="W184" s="148">
        <f>IFERROR(__xludf.DUMMYFUNCTION("""COMPUTED_VALUE"""),48223.0)</f>
        <v>48223</v>
      </c>
      <c r="X184" s="149">
        <f>IFERROR(__xludf.DUMMYFUNCTION("""COMPUTED_VALUE"""),48039.0)</f>
        <v>48039</v>
      </c>
      <c r="Y184" t="str">
        <f>IFERROR(__xludf.DUMMYFUNCTION("""COMPUTED_VALUE"""),"ปลอดภัย")</f>
        <v>ปลอดภัย</v>
      </c>
      <c r="Z184" t="str">
        <f>IFERROR(__xludf.DUMMYFUNCTION("""COMPUTED_VALUE"""),"Phrae Province")</f>
        <v>Phrae Province</v>
      </c>
      <c r="AA184" t="str">
        <f>IFERROR(__xludf.DUMMYFUNCTION("""COMPUTED_VALUE"""),"ร่มเกล้า")</f>
        <v>ร่มเกล้า</v>
      </c>
      <c r="AB184" t="str">
        <f>IFERROR(__xludf.DUMMYFUNCTION("""COMPUTED_VALUE"""),"081 664 6622")</f>
        <v>081 664 6622</v>
      </c>
      <c r="AC184" t="str">
        <f>IFERROR(__xludf.DUMMYFUNCTION("""COMPUTED_VALUE"""),"ไม่ระบุ")</f>
        <v>ไม่ระบุ</v>
      </c>
      <c r="AD184" t="str">
        <f>IFERROR(__xludf.DUMMYFUNCTION("""COMPUTED_VALUE"""),"nadladas@airasia.com")</f>
        <v>nadladas@airasia.com</v>
      </c>
    </row>
    <row r="185">
      <c r="A185" s="142">
        <f>IFERROR(__xludf.DUMMYFUNCTION("""COMPUTED_VALUE"""),35.0)</f>
        <v>35</v>
      </c>
      <c r="B185" t="str">
        <f>IFERROR(__xludf.DUMMYFUNCTION("""COMPUTED_VALUE"""),"TAA2820")</f>
        <v>TAA2820</v>
      </c>
      <c r="C185">
        <f>IFERROR(__xludf.DUMMYFUNCTION("""COMPUTED_VALUE"""),1004531.0)</f>
        <v>1004531</v>
      </c>
      <c r="D185" t="str">
        <f>IFERROR(__xludf.DUMMYFUNCTION("""COMPUTED_VALUE"""),"Ms.")</f>
        <v>Ms.</v>
      </c>
      <c r="E185" t="str">
        <f>IFERROR(__xludf.DUMMYFUNCTION("""COMPUTED_VALUE"""),"Nattakan")</f>
        <v>Nattakan</v>
      </c>
      <c r="F185" t="str">
        <f>IFERROR(__xludf.DUMMYFUNCTION("""COMPUTED_VALUE"""),"Kanokpantarakorn (Meesat)")</f>
        <v>Kanokpantarakorn (Meesat)</v>
      </c>
      <c r="G185" t="str">
        <f>IFERROR(__xludf.DUMMYFUNCTION("""COMPUTED_VALUE"""),"Nattakan Kanokpantarakorn ")</f>
        <v>Nattakan Kanokpantarakorn </v>
      </c>
      <c r="H185" t="str">
        <f>IFERROR(__xludf.DUMMYFUNCTION("""COMPUTED_VALUE"""),"นางสาว")</f>
        <v>นางสาว</v>
      </c>
      <c r="I185" t="str">
        <f>IFERROR(__xludf.DUMMYFUNCTION("""COMPUTED_VALUE"""),"ณัฐกานต์")</f>
        <v>ณัฐกานต์</v>
      </c>
      <c r="J185" t="str">
        <f>IFERROR(__xludf.DUMMYFUNCTION("""COMPUTED_VALUE"""),"กนกพันธุ์ธรากร (มีสัตย์)")</f>
        <v>กนกพันธุ์ธรากร (มีสัตย์)</v>
      </c>
      <c r="K185" t="str">
        <f>IFERROR(__xludf.DUMMYFUNCTION("""COMPUTED_VALUE"""),"ณัฐกานต์ กนกพันธุ์ธรากร")</f>
        <v>ณัฐกานต์ กนกพันธุ์ธรากร</v>
      </c>
      <c r="L185" t="str">
        <f>IFERROR(__xludf.DUMMYFUNCTION("""COMPUTED_VALUE"""),"เอม")</f>
        <v>เอม</v>
      </c>
      <c r="M185" t="str">
        <f>IFERROR(__xludf.DUMMYFUNCTION("""COMPUTED_VALUE"""),"Cabin Crew")</f>
        <v>Cabin Crew</v>
      </c>
      <c r="N185" t="str">
        <f>IFERROR(__xludf.DUMMYFUNCTION("""COMPUTED_VALUE"""),"DMK")</f>
        <v>DMK</v>
      </c>
      <c r="O185" s="145" t="str">
        <f>IFERROR(__xludf.DUMMYFUNCTION("""COMPUTED_VALUE"""),"Up Home")</f>
        <v>Up Home</v>
      </c>
      <c r="P185" t="str">
        <f>IFERROR(__xludf.DUMMYFUNCTION("""COMPUTED_VALUE"""),"Active")</f>
        <v>Active</v>
      </c>
      <c r="R185" s="143">
        <f>IFERROR(__xludf.DUMMYFUNCTION("""COMPUTED_VALUE"""),32024.0)</f>
        <v>32024</v>
      </c>
      <c r="S185" s="146" t="str">
        <f>IFERROR(__xludf.DUMMYFUNCTION("""COMPUTED_VALUE"""),"081 882 3382")</f>
        <v>081 882 3382</v>
      </c>
      <c r="T185" s="147" t="str">
        <f>IFERROR(__xludf.DUMMYFUNCTION("""COMPUTED_VALUE"""),"1509900-52-2099")</f>
        <v>1509900-52-2099</v>
      </c>
      <c r="U185" t="str">
        <f>IFERROR(__xludf.DUMMYFUNCTION("""COMPUTED_VALUE"""),"AC7066904")</f>
        <v>AC7066904</v>
      </c>
      <c r="V185" s="148">
        <f>IFERROR(__xludf.DUMMYFUNCTION("""COMPUTED_VALUE"""),45545.0)</f>
        <v>45545</v>
      </c>
      <c r="W185" s="148">
        <f>IFERROR(__xludf.DUMMYFUNCTION("""COMPUTED_VALUE"""),49196.0)</f>
        <v>49196</v>
      </c>
      <c r="X185" s="149">
        <f>IFERROR(__xludf.DUMMYFUNCTION("""COMPUTED_VALUE"""),49012.0)</f>
        <v>49012</v>
      </c>
      <c r="Y185" t="str">
        <f>IFERROR(__xludf.DUMMYFUNCTION("""COMPUTED_VALUE"""),"ปลอดภัย")</f>
        <v>ปลอดภัย</v>
      </c>
      <c r="Z185" t="str">
        <f>IFERROR(__xludf.DUMMYFUNCTION("""COMPUTED_VALUE"""),"Chiang Mai Province")</f>
        <v>Chiang Mai Province</v>
      </c>
      <c r="AA185" t="str">
        <f>IFERROR(__xludf.DUMMYFUNCTION("""COMPUTED_VALUE"""),"บางนา")</f>
        <v>บางนา</v>
      </c>
      <c r="AB185" t="str">
        <f>IFERROR(__xludf.DUMMYFUNCTION("""COMPUTED_VALUE"""),"081 882 3382")</f>
        <v>081 882 3382</v>
      </c>
      <c r="AC185" t="str">
        <f>IFERROR(__xludf.DUMMYFUNCTION("""COMPUTED_VALUE"""),"ไม่ระบุ")</f>
        <v>ไม่ระบุ</v>
      </c>
      <c r="AD185" t="str">
        <f>IFERROR(__xludf.DUMMYFUNCTION("""COMPUTED_VALUE"""),"nattakankan@airasia.com")</f>
        <v>nattakankan@airasia.com</v>
      </c>
    </row>
    <row r="186">
      <c r="A186" s="142">
        <f>IFERROR(__xludf.DUMMYFUNCTION("""COMPUTED_VALUE"""),35.0)</f>
        <v>35</v>
      </c>
      <c r="B186" t="str">
        <f>IFERROR(__xludf.DUMMYFUNCTION("""COMPUTED_VALUE"""),"TAA2819")</f>
        <v>TAA2819</v>
      </c>
      <c r="C186">
        <f>IFERROR(__xludf.DUMMYFUNCTION("""COMPUTED_VALUE"""),1004532.0)</f>
        <v>1004532</v>
      </c>
      <c r="D186" t="str">
        <f>IFERROR(__xludf.DUMMYFUNCTION("""COMPUTED_VALUE"""),"Ms.")</f>
        <v>Ms.</v>
      </c>
      <c r="E186" t="str">
        <f>IFERROR(__xludf.DUMMYFUNCTION("""COMPUTED_VALUE"""),"Nichakan")</f>
        <v>Nichakan</v>
      </c>
      <c r="F186" t="str">
        <f>IFERROR(__xludf.DUMMYFUNCTION("""COMPUTED_VALUE"""),"Preeprem")</f>
        <v>Preeprem</v>
      </c>
      <c r="G186" t="str">
        <f>IFERROR(__xludf.DUMMYFUNCTION("""COMPUTED_VALUE"""),"Nichakan Preeprem")</f>
        <v>Nichakan Preeprem</v>
      </c>
      <c r="H186" t="str">
        <f>IFERROR(__xludf.DUMMYFUNCTION("""COMPUTED_VALUE"""),"นางสาว")</f>
        <v>นางสาว</v>
      </c>
      <c r="I186" t="str">
        <f>IFERROR(__xludf.DUMMYFUNCTION("""COMPUTED_VALUE"""),"ณิชกานต์")</f>
        <v>ณิชกานต์</v>
      </c>
      <c r="J186" t="str">
        <f>IFERROR(__xludf.DUMMYFUNCTION("""COMPUTED_VALUE"""),"ปรีเปรม")</f>
        <v>ปรีเปรม</v>
      </c>
      <c r="K186" t="str">
        <f>IFERROR(__xludf.DUMMYFUNCTION("""COMPUTED_VALUE"""),"ณิชกานต์ ปรีเปรม")</f>
        <v>ณิชกานต์ ปรีเปรม</v>
      </c>
      <c r="L186" t="str">
        <f>IFERROR(__xludf.DUMMYFUNCTION("""COMPUTED_VALUE"""),"ซี")</f>
        <v>ซี</v>
      </c>
      <c r="M186" t="str">
        <f>IFERROR(__xludf.DUMMYFUNCTION("""COMPUTED_VALUE"""),"Senior Cabin Crew")</f>
        <v>Senior Cabin Crew</v>
      </c>
      <c r="N186" t="str">
        <f>IFERROR(__xludf.DUMMYFUNCTION("""COMPUTED_VALUE"""),"DMK")</f>
        <v>DMK</v>
      </c>
      <c r="O186" s="145" t="str">
        <f>IFERROR(__xludf.DUMMYFUNCTION("""COMPUTED_VALUE"""),"Por+ Home")</f>
        <v>Por+ Home</v>
      </c>
      <c r="P186" t="str">
        <f>IFERROR(__xludf.DUMMYFUNCTION("""COMPUTED_VALUE"""),"Active")</f>
        <v>Active</v>
      </c>
      <c r="Q186" t="str">
        <f>IFERROR(__xludf.DUMMYFUNCTION("""COMPUTED_VALUE"""),"SCC Line Checker 2025")</f>
        <v>SCC Line Checker 2025</v>
      </c>
      <c r="R186" s="143">
        <f>IFERROR(__xludf.DUMMYFUNCTION("""COMPUTED_VALUE"""),30169.0)</f>
        <v>30169</v>
      </c>
      <c r="S186" s="146" t="str">
        <f>IFERROR(__xludf.DUMMYFUNCTION("""COMPUTED_VALUE"""),"091 429 6249")</f>
        <v>091 429 6249</v>
      </c>
      <c r="T186" s="147" t="str">
        <f>IFERROR(__xludf.DUMMYFUNCTION("""COMPUTED_VALUE"""),"3100502-92-2692")</f>
        <v>3100502-92-2692</v>
      </c>
      <c r="U186" t="str">
        <f>IFERROR(__xludf.DUMMYFUNCTION("""COMPUTED_VALUE"""),"AC5442033")</f>
        <v>AC5442033</v>
      </c>
      <c r="V186" s="148">
        <f>IFERROR(__xludf.DUMMYFUNCTION("""COMPUTED_VALUE"""),45132.0)</f>
        <v>45132</v>
      </c>
      <c r="W186" s="148">
        <f>IFERROR(__xludf.DUMMYFUNCTION("""COMPUTED_VALUE"""),48784.0)</f>
        <v>48784</v>
      </c>
      <c r="X186" s="149">
        <f>IFERROR(__xludf.DUMMYFUNCTION("""COMPUTED_VALUE"""),48603.0)</f>
        <v>48603</v>
      </c>
      <c r="Y186" t="str">
        <f>IFERROR(__xludf.DUMMYFUNCTION("""COMPUTED_VALUE"""),"ปลอดภัย")</f>
        <v>ปลอดภัย</v>
      </c>
      <c r="Z186" t="str">
        <f>IFERROR(__xludf.DUMMYFUNCTION("""COMPUTED_VALUE"""),"Bangkok")</f>
        <v>Bangkok</v>
      </c>
      <c r="AA186" t="str">
        <f>IFERROR(__xludf.DUMMYFUNCTION("""COMPUTED_VALUE"""),"BKK")</f>
        <v>BKK</v>
      </c>
      <c r="AB186" t="str">
        <f>IFERROR(__xludf.DUMMYFUNCTION("""COMPUTED_VALUE"""),"! Update !")</f>
        <v>! Update !</v>
      </c>
      <c r="AC186" t="str">
        <f>IFERROR(__xludf.DUMMYFUNCTION("""COMPUTED_VALUE"""),"! Update !")</f>
        <v>! Update !</v>
      </c>
      <c r="AD186" t="str">
        <f>IFERROR(__xludf.DUMMYFUNCTION("""COMPUTED_VALUE"""),"nichakanp@airasia.com")</f>
        <v>nichakanp@airasia.com</v>
      </c>
    </row>
    <row r="187">
      <c r="A187" s="142">
        <f>IFERROR(__xludf.DUMMYFUNCTION("""COMPUTED_VALUE"""),35.0)</f>
        <v>35</v>
      </c>
      <c r="B187" t="str">
        <f>IFERROR(__xludf.DUMMYFUNCTION("""COMPUTED_VALUE"""),"TAA2827")</f>
        <v>TAA2827</v>
      </c>
      <c r="C187">
        <f>IFERROR(__xludf.DUMMYFUNCTION("""COMPUTED_VALUE"""),1004534.0)</f>
        <v>1004534</v>
      </c>
      <c r="D187" t="str">
        <f>IFERROR(__xludf.DUMMYFUNCTION("""COMPUTED_VALUE"""),"Ms.")</f>
        <v>Ms.</v>
      </c>
      <c r="E187" t="str">
        <f>IFERROR(__xludf.DUMMYFUNCTION("""COMPUTED_VALUE"""),"Omjai")</f>
        <v>Omjai</v>
      </c>
      <c r="F187" t="str">
        <f>IFERROR(__xludf.DUMMYFUNCTION("""COMPUTED_VALUE"""),"Chuchaisangrat (Sangkaew)")</f>
        <v>Chuchaisangrat (Sangkaew)</v>
      </c>
      <c r="G187" t="str">
        <f>IFERROR(__xludf.DUMMYFUNCTION("""COMPUTED_VALUE"""),"Omjai Chuchaisangrat")</f>
        <v>Omjai Chuchaisangrat</v>
      </c>
      <c r="H187" t="str">
        <f>IFERROR(__xludf.DUMMYFUNCTION("""COMPUTED_VALUE"""),"นางสาว")</f>
        <v>นางสาว</v>
      </c>
      <c r="I187" t="str">
        <f>IFERROR(__xludf.DUMMYFUNCTION("""COMPUTED_VALUE"""),"ออมใจ")</f>
        <v>ออมใจ</v>
      </c>
      <c r="J187" t="str">
        <f>IFERROR(__xludf.DUMMYFUNCTION("""COMPUTED_VALUE"""),"แสงแก้ว")</f>
        <v>แสงแก้ว</v>
      </c>
      <c r="K187" t="str">
        <f>IFERROR(__xludf.DUMMYFUNCTION("""COMPUTED_VALUE"""),"ออมใจ แสงแก้ว")</f>
        <v>ออมใจ แสงแก้ว</v>
      </c>
      <c r="L187" t="str">
        <f>IFERROR(__xludf.DUMMYFUNCTION("""COMPUTED_VALUE"""),"ออม")</f>
        <v>ออม</v>
      </c>
      <c r="M187" t="str">
        <f>IFERROR(__xludf.DUMMYFUNCTION("""COMPUTED_VALUE"""),"Cabin Crew - BKK")</f>
        <v>Cabin Crew - BKK</v>
      </c>
      <c r="N187" t="str">
        <f>IFERROR(__xludf.DUMMYFUNCTION("""COMPUTED_VALUE"""),"BKK")</f>
        <v>BKK</v>
      </c>
      <c r="O187" s="145" t="str">
        <f>IFERROR(__xludf.DUMMYFUNCTION("""COMPUTED_VALUE"""),"Nhui Home")</f>
        <v>Nhui Home</v>
      </c>
      <c r="P187" t="str">
        <f>IFERROR(__xludf.DUMMYFUNCTION("""COMPUTED_VALUE"""),"Active")</f>
        <v>Active</v>
      </c>
      <c r="R187" s="143">
        <f>IFERROR(__xludf.DUMMYFUNCTION("""COMPUTED_VALUE"""),30904.0)</f>
        <v>30904</v>
      </c>
      <c r="S187" s="146" t="str">
        <f>IFERROR(__xludf.DUMMYFUNCTION("""COMPUTED_VALUE"""),"095 951 2814")</f>
        <v>095 951 2814</v>
      </c>
      <c r="T187" s="147" t="str">
        <f>IFERROR(__xludf.DUMMYFUNCTION("""COMPUTED_VALUE"""),"1101400-20-3403")</f>
        <v>1101400-20-3403</v>
      </c>
      <c r="U187" t="str">
        <f>IFERROR(__xludf.DUMMYFUNCTION("""COMPUTED_VALUE"""),"AC3160812")</f>
        <v>AC3160812</v>
      </c>
      <c r="V187" s="148">
        <f>IFERROR(__xludf.DUMMYFUNCTION("""COMPUTED_VALUE"""),44701.0)</f>
        <v>44701</v>
      </c>
      <c r="W187" s="148">
        <f>IFERROR(__xludf.DUMMYFUNCTION("""COMPUTED_VALUE"""),48353.0)</f>
        <v>48353</v>
      </c>
      <c r="X187" s="149">
        <f>IFERROR(__xludf.DUMMYFUNCTION("""COMPUTED_VALUE"""),48171.0)</f>
        <v>48171</v>
      </c>
      <c r="Y187" t="str">
        <f>IFERROR(__xludf.DUMMYFUNCTION("""COMPUTED_VALUE"""),"ปลอดภัย")</f>
        <v>ปลอดภัย</v>
      </c>
      <c r="Z187" t="str">
        <f>IFERROR(__xludf.DUMMYFUNCTION("""COMPUTED_VALUE"""),"Bangkok")</f>
        <v>Bangkok</v>
      </c>
      <c r="AA187" t="str">
        <f>IFERROR(__xludf.DUMMYFUNCTION("""COMPUTED_VALUE"""),"ประเวศ")</f>
        <v>ประเวศ</v>
      </c>
      <c r="AB187" t="str">
        <f>IFERROR(__xludf.DUMMYFUNCTION("""COMPUTED_VALUE"""),"081 3617312")</f>
        <v>081 3617312</v>
      </c>
      <c r="AC187" t="str">
        <f>IFERROR(__xludf.DUMMYFUNCTION("""COMPUTED_VALUE"""),"ไม่ระบุ")</f>
        <v>ไม่ระบุ</v>
      </c>
      <c r="AD187" t="str">
        <f>IFERROR(__xludf.DUMMYFUNCTION("""COMPUTED_VALUE"""),"omjaic@airasia.com")</f>
        <v>omjaic@airasia.com</v>
      </c>
    </row>
    <row r="188">
      <c r="A188" s="142">
        <f>IFERROR(__xludf.DUMMYFUNCTION("""COMPUTED_VALUE"""),35.0)</f>
        <v>35</v>
      </c>
      <c r="B188" t="str">
        <f>IFERROR(__xludf.DUMMYFUNCTION("""COMPUTED_VALUE"""),"TAA2832")</f>
        <v>TAA2832</v>
      </c>
      <c r="C188">
        <f>IFERROR(__xludf.DUMMYFUNCTION("""COMPUTED_VALUE"""),1004536.0)</f>
        <v>1004536</v>
      </c>
      <c r="D188" t="str">
        <f>IFERROR(__xludf.DUMMYFUNCTION("""COMPUTED_VALUE"""),"Mr.")</f>
        <v>Mr.</v>
      </c>
      <c r="E188" t="str">
        <f>IFERROR(__xludf.DUMMYFUNCTION("""COMPUTED_VALUE"""),"Rathawit (Chanin)")</f>
        <v>Rathawit (Chanin)</v>
      </c>
      <c r="F188" t="str">
        <f>IFERROR(__xludf.DUMMYFUNCTION("""COMPUTED_VALUE"""),"Vachirasittapong (Intrachot)")</f>
        <v>Vachirasittapong (Intrachot)</v>
      </c>
      <c r="G188" t="str">
        <f>IFERROR(__xludf.DUMMYFUNCTION("""COMPUTED_VALUE"""),"Rathawit Vachirasittapong")</f>
        <v>Rathawit Vachirasittapong</v>
      </c>
      <c r="H188" t="str">
        <f>IFERROR(__xludf.DUMMYFUNCTION("""COMPUTED_VALUE"""),"นาย")</f>
        <v>นาย</v>
      </c>
      <c r="I188" t="str">
        <f>IFERROR(__xludf.DUMMYFUNCTION("""COMPUTED_VALUE"""),"รัฐวิชญ์(ชนินทร์)")</f>
        <v>รัฐวิชญ์(ชนินทร์)</v>
      </c>
      <c r="J188" t="str">
        <f>IFERROR(__xludf.DUMMYFUNCTION("""COMPUTED_VALUE"""),"วชิระสิทธาพงศ์ (อินทโชติ)")</f>
        <v>วชิระสิทธาพงศ์ (อินทโชติ)</v>
      </c>
      <c r="K188" t="str">
        <f>IFERROR(__xludf.DUMMYFUNCTION("""COMPUTED_VALUE"""),"รัฐวิชญ์ วชิระสิทธาพงศ์")</f>
        <v>รัฐวิชญ์ วชิระสิทธาพงศ์</v>
      </c>
      <c r="L188" t="str">
        <f>IFERROR(__xludf.DUMMYFUNCTION("""COMPUTED_VALUE"""),"ไผ่")</f>
        <v>ไผ่</v>
      </c>
      <c r="M188" t="str">
        <f>IFERROR(__xludf.DUMMYFUNCTION("""COMPUTED_VALUE"""),"Cabin Crew")</f>
        <v>Cabin Crew</v>
      </c>
      <c r="N188" t="str">
        <f>IFERROR(__xludf.DUMMYFUNCTION("""COMPUTED_VALUE"""),"DMK")</f>
        <v>DMK</v>
      </c>
      <c r="O188" s="145" t="str">
        <f>IFERROR(__xludf.DUMMYFUNCTION("""COMPUTED_VALUE"""),"Kor Home")</f>
        <v>Kor Home</v>
      </c>
      <c r="P188" t="str">
        <f>IFERROR(__xludf.DUMMYFUNCTION("""COMPUTED_VALUE"""),"Active")</f>
        <v>Active</v>
      </c>
      <c r="R188" s="143">
        <f>IFERROR(__xludf.DUMMYFUNCTION("""COMPUTED_VALUE"""),29287.0)</f>
        <v>29287</v>
      </c>
      <c r="S188" s="146" t="str">
        <f>IFERROR(__xludf.DUMMYFUNCTION("""COMPUTED_VALUE"""),"092 623 9542")</f>
        <v>092 623 9542</v>
      </c>
      <c r="T188" s="147" t="str">
        <f>IFERROR(__xludf.DUMMYFUNCTION("""COMPUTED_VALUE"""),"3409901-09-2672")</f>
        <v>3409901-09-2672</v>
      </c>
      <c r="U188" t="str">
        <f>IFERROR(__xludf.DUMMYFUNCTION("""COMPUTED_VALUE"""),"AC4182624")</f>
        <v>AC4182624</v>
      </c>
      <c r="V188" s="148">
        <f>IFERROR(__xludf.DUMMYFUNCTION("""COMPUTED_VALUE"""),44888.0)</f>
        <v>44888</v>
      </c>
      <c r="W188" s="148">
        <f>IFERROR(__xludf.DUMMYFUNCTION("""COMPUTED_VALUE"""),48540.0)</f>
        <v>48540</v>
      </c>
      <c r="X188" s="149">
        <f>IFERROR(__xludf.DUMMYFUNCTION("""COMPUTED_VALUE"""),48356.0)</f>
        <v>48356</v>
      </c>
      <c r="Y188" t="str">
        <f>IFERROR(__xludf.DUMMYFUNCTION("""COMPUTED_VALUE"""),"ปลอดภัย")</f>
        <v>ปลอดภัย</v>
      </c>
      <c r="Z188" t="str">
        <f>IFERROR(__xludf.DUMMYFUNCTION("""COMPUTED_VALUE"""),"Khon Kaen Province")</f>
        <v>Khon Kaen Province</v>
      </c>
      <c r="AA188" t="str">
        <f>IFERROR(__xludf.DUMMYFUNCTION("""COMPUTED_VALUE"""),"บางนา")</f>
        <v>บางนา</v>
      </c>
      <c r="AB188" t="str">
        <f>IFERROR(__xludf.DUMMYFUNCTION("""COMPUTED_VALUE"""),"027320828 # 5643")</f>
        <v>027320828 # 5643</v>
      </c>
      <c r="AC188" t="str">
        <f>IFERROR(__xludf.DUMMYFUNCTION("""COMPUTED_VALUE"""),"หอพัก")</f>
        <v>หอพัก</v>
      </c>
      <c r="AD188" t="str">
        <f>IFERROR(__xludf.DUMMYFUNCTION("""COMPUTED_VALUE"""),"rathawitv@airasia.com")</f>
        <v>rathawitv@airasia.com</v>
      </c>
    </row>
    <row r="189">
      <c r="A189" s="142">
        <f>IFERROR(__xludf.DUMMYFUNCTION("""COMPUTED_VALUE"""),35.0)</f>
        <v>35</v>
      </c>
      <c r="B189" t="str">
        <f>IFERROR(__xludf.DUMMYFUNCTION("""COMPUTED_VALUE"""),"TAA2833")</f>
        <v>TAA2833</v>
      </c>
      <c r="C189">
        <f>IFERROR(__xludf.DUMMYFUNCTION("""COMPUTED_VALUE"""),1004538.0)</f>
        <v>1004538</v>
      </c>
      <c r="D189" t="str">
        <f>IFERROR(__xludf.DUMMYFUNCTION("""COMPUTED_VALUE"""),"Ms.")</f>
        <v>Ms.</v>
      </c>
      <c r="E189" t="str">
        <f>IFERROR(__xludf.DUMMYFUNCTION("""COMPUTED_VALUE"""),"Sasipa")</f>
        <v>Sasipa</v>
      </c>
      <c r="F189" t="str">
        <f>IFERROR(__xludf.DUMMYFUNCTION("""COMPUTED_VALUE"""),"Lertkiertdamrong (Priwun)")</f>
        <v>Lertkiertdamrong (Priwun)</v>
      </c>
      <c r="G189" t="str">
        <f>IFERROR(__xludf.DUMMYFUNCTION("""COMPUTED_VALUE"""),"Sasipa Lertkiertdamrong")</f>
        <v>Sasipa Lertkiertdamrong</v>
      </c>
      <c r="H189" t="str">
        <f>IFERROR(__xludf.DUMMYFUNCTION("""COMPUTED_VALUE"""),"นางสาว")</f>
        <v>นางสาว</v>
      </c>
      <c r="I189" t="str">
        <f>IFERROR(__xludf.DUMMYFUNCTION("""COMPUTED_VALUE"""),"ศศิภา")</f>
        <v>ศศิภา</v>
      </c>
      <c r="J189" t="str">
        <f>IFERROR(__xludf.DUMMYFUNCTION("""COMPUTED_VALUE"""),"เลิศเกียรติดำรงศ์ (ไพรวรรณ์)")</f>
        <v>เลิศเกียรติดำรงศ์ (ไพรวรรณ์)</v>
      </c>
      <c r="K189" t="str">
        <f>IFERROR(__xludf.DUMMYFUNCTION("""COMPUTED_VALUE"""),"ศศิภา เลิศเกียรติดำรงศ์")</f>
        <v>ศศิภา เลิศเกียรติดำรงศ์</v>
      </c>
      <c r="L189" t="str">
        <f>IFERROR(__xludf.DUMMYFUNCTION("""COMPUTED_VALUE"""),"นิก")</f>
        <v>นิก</v>
      </c>
      <c r="M189" t="str">
        <f>IFERROR(__xludf.DUMMYFUNCTION("""COMPUTED_VALUE"""),"Cabin Crew")</f>
        <v>Cabin Crew</v>
      </c>
      <c r="N189" t="str">
        <f>IFERROR(__xludf.DUMMYFUNCTION("""COMPUTED_VALUE"""),"DMK")</f>
        <v>DMK</v>
      </c>
      <c r="O189" s="145" t="str">
        <f>IFERROR(__xludf.DUMMYFUNCTION("""COMPUTED_VALUE"""),"Toffy Home")</f>
        <v>Toffy Home</v>
      </c>
      <c r="P189" t="str">
        <f>IFERROR(__xludf.DUMMYFUNCTION("""COMPUTED_VALUE"""),"Active")</f>
        <v>Active</v>
      </c>
      <c r="R189" s="143">
        <f>IFERROR(__xludf.DUMMYFUNCTION("""COMPUTED_VALUE"""),32060.0)</f>
        <v>32060</v>
      </c>
      <c r="S189" s="146" t="str">
        <f>IFERROR(__xludf.DUMMYFUNCTION("""COMPUTED_VALUE"""),"091 959 9535")</f>
        <v>091 959 9535</v>
      </c>
      <c r="T189" s="147" t="str">
        <f>IFERROR(__xludf.DUMMYFUNCTION("""COMPUTED_VALUE"""),"1160100-19-6567")</f>
        <v>1160100-19-6567</v>
      </c>
      <c r="U189" t="str">
        <f>IFERROR(__xludf.DUMMYFUNCTION("""COMPUTED_VALUE"""),"AD1268610")</f>
        <v>AD1268610</v>
      </c>
      <c r="V189" s="148">
        <f>IFERROR(__xludf.DUMMYFUNCTION("""COMPUTED_VALUE"""),45342.0)</f>
        <v>45342</v>
      </c>
      <c r="W189" s="148">
        <f>IFERROR(__xludf.DUMMYFUNCTION("""COMPUTED_VALUE"""),48994.0)</f>
        <v>48994</v>
      </c>
      <c r="X189" s="149">
        <f>IFERROR(__xludf.DUMMYFUNCTION("""COMPUTED_VALUE"""),48810.0)</f>
        <v>48810</v>
      </c>
      <c r="Y189" t="str">
        <f>IFERROR(__xludf.DUMMYFUNCTION("""COMPUTED_VALUE"""),"ปลอดภัย")</f>
        <v>ปลอดภัย</v>
      </c>
      <c r="Z189" t="str">
        <f>IFERROR(__xludf.DUMMYFUNCTION("""COMPUTED_VALUE"""),"Lopburi Province")</f>
        <v>Lopburi Province</v>
      </c>
      <c r="AA189" t="str">
        <f>IFERROR(__xludf.DUMMYFUNCTION("""COMPUTED_VALUE"""),"ลาดกระบัง")</f>
        <v>ลาดกระบัง</v>
      </c>
      <c r="AB189" t="str">
        <f>IFERROR(__xludf.DUMMYFUNCTION("""COMPUTED_VALUE"""),"089 059 2694")</f>
        <v>089 059 2694</v>
      </c>
      <c r="AC189" t="str">
        <f>IFERROR(__xludf.DUMMYFUNCTION("""COMPUTED_VALUE"""),"! Update !")</f>
        <v>! Update !</v>
      </c>
      <c r="AD189" t="str">
        <f>IFERROR(__xludf.DUMMYFUNCTION("""COMPUTED_VALUE"""),"sasipal@airasia.com")</f>
        <v>sasipal@airasia.com</v>
      </c>
    </row>
    <row r="190">
      <c r="A190" s="142">
        <f>IFERROR(__xludf.DUMMYFUNCTION("""COMPUTED_VALUE"""),35.0)</f>
        <v>35</v>
      </c>
      <c r="B190" t="str">
        <f>IFERROR(__xludf.DUMMYFUNCTION("""COMPUTED_VALUE"""),"TAA2828")</f>
        <v>TAA2828</v>
      </c>
      <c r="C190">
        <f>IFERROR(__xludf.DUMMYFUNCTION("""COMPUTED_VALUE"""),1004539.0)</f>
        <v>1004539</v>
      </c>
      <c r="D190" t="str">
        <f>IFERROR(__xludf.DUMMYFUNCTION("""COMPUTED_VALUE"""),"Mr.")</f>
        <v>Mr.</v>
      </c>
      <c r="E190" t="str">
        <f>IFERROR(__xludf.DUMMYFUNCTION("""COMPUTED_VALUE"""),"Sukit")</f>
        <v>Sukit</v>
      </c>
      <c r="F190" t="str">
        <f>IFERROR(__xludf.DUMMYFUNCTION("""COMPUTED_VALUE"""),"Runghiranyathep")</f>
        <v>Runghiranyathep</v>
      </c>
      <c r="G190" t="str">
        <f>IFERROR(__xludf.DUMMYFUNCTION("""COMPUTED_VALUE"""),"Sukit Runghiranyathep")</f>
        <v>Sukit Runghiranyathep</v>
      </c>
      <c r="H190" t="str">
        <f>IFERROR(__xludf.DUMMYFUNCTION("""COMPUTED_VALUE"""),"นาย")</f>
        <v>นาย</v>
      </c>
      <c r="I190" t="str">
        <f>IFERROR(__xludf.DUMMYFUNCTION("""COMPUTED_VALUE"""),"สุกิจ")</f>
        <v>สุกิจ</v>
      </c>
      <c r="J190" t="str">
        <f>IFERROR(__xludf.DUMMYFUNCTION("""COMPUTED_VALUE"""),"รุ่งหิรัญญาเทพ")</f>
        <v>รุ่งหิรัญญาเทพ</v>
      </c>
      <c r="K190" t="str">
        <f>IFERROR(__xludf.DUMMYFUNCTION("""COMPUTED_VALUE"""),"สุกิจ รุ่งหิรัญญาเทพ")</f>
        <v>สุกิจ รุ่งหิรัญญาเทพ</v>
      </c>
      <c r="L190" t="str">
        <f>IFERROR(__xludf.DUMMYFUNCTION("""COMPUTED_VALUE"""),"อาท")</f>
        <v>อาท</v>
      </c>
      <c r="M190" t="str">
        <f>IFERROR(__xludf.DUMMYFUNCTION("""COMPUTED_VALUE"""),"Cabin Crew")</f>
        <v>Cabin Crew</v>
      </c>
      <c r="N190" t="str">
        <f>IFERROR(__xludf.DUMMYFUNCTION("""COMPUTED_VALUE"""),"DMK")</f>
        <v>DMK</v>
      </c>
      <c r="O190" s="145" t="str">
        <f>IFERROR(__xludf.DUMMYFUNCTION("""COMPUTED_VALUE"""),"Toffy Home")</f>
        <v>Toffy Home</v>
      </c>
      <c r="P190" t="str">
        <f>IFERROR(__xludf.DUMMYFUNCTION("""COMPUTED_VALUE"""),"Active")</f>
        <v>Active</v>
      </c>
      <c r="R190" s="143">
        <f>IFERROR(__xludf.DUMMYFUNCTION("""COMPUTED_VALUE"""),31337.0)</f>
        <v>31337</v>
      </c>
      <c r="S190" s="146" t="str">
        <f>IFERROR(__xludf.DUMMYFUNCTION("""COMPUTED_VALUE"""),"062 229 9696")</f>
        <v>062 229 9696</v>
      </c>
      <c r="T190" s="147" t="str">
        <f>IFERROR(__xludf.DUMMYFUNCTION("""COMPUTED_VALUE"""),"1100599-00-2341")</f>
        <v>1100599-00-2341</v>
      </c>
      <c r="U190" t="str">
        <f>IFERROR(__xludf.DUMMYFUNCTION("""COMPUTED_VALUE"""),"AC2605347")</f>
        <v>AC2605347</v>
      </c>
      <c r="V190" s="148">
        <f>IFERROR(__xludf.DUMMYFUNCTION("""COMPUTED_VALUE"""),44533.0)</f>
        <v>44533</v>
      </c>
      <c r="W190" s="148">
        <f>IFERROR(__xludf.DUMMYFUNCTION("""COMPUTED_VALUE"""),48184.0)</f>
        <v>48184</v>
      </c>
      <c r="X190" s="149">
        <f>IFERROR(__xludf.DUMMYFUNCTION("""COMPUTED_VALUE"""),48001.0)</f>
        <v>48001</v>
      </c>
      <c r="Y190" t="str">
        <f>IFERROR(__xludf.DUMMYFUNCTION("""COMPUTED_VALUE"""),"ปลอดภัย")</f>
        <v>ปลอดภัย</v>
      </c>
      <c r="Z190" t="str">
        <f>IFERROR(__xludf.DUMMYFUNCTION("""COMPUTED_VALUE"""),"Bangkok")</f>
        <v>Bangkok</v>
      </c>
      <c r="AA190" t="str">
        <f>IFERROR(__xludf.DUMMYFUNCTION("""COMPUTED_VALUE"""),"งามวงศ์วาน")</f>
        <v>งามวงศ์วาน</v>
      </c>
      <c r="AB190" t="str">
        <f>IFERROR(__xludf.DUMMYFUNCTION("""COMPUTED_VALUE"""),"087 5155795")</f>
        <v>087 5155795</v>
      </c>
      <c r="AC190" t="str">
        <f>IFERROR(__xludf.DUMMYFUNCTION("""COMPUTED_VALUE"""),"ไม่ระบุ")</f>
        <v>ไม่ระบุ</v>
      </c>
      <c r="AD190" t="str">
        <f>IFERROR(__xludf.DUMMYFUNCTION("""COMPUTED_VALUE"""),"sukitr@airasia.com")</f>
        <v>sukitr@airasia.com</v>
      </c>
    </row>
    <row r="191">
      <c r="A191" s="142">
        <f>IFERROR(__xludf.DUMMYFUNCTION("""COMPUTED_VALUE"""),35.0)</f>
        <v>35</v>
      </c>
      <c r="B191" t="str">
        <f>IFERROR(__xludf.DUMMYFUNCTION("""COMPUTED_VALUE"""),"TAA2830")</f>
        <v>TAA2830</v>
      </c>
      <c r="C191">
        <f>IFERROR(__xludf.DUMMYFUNCTION("""COMPUTED_VALUE"""),1004540.0)</f>
        <v>1004540</v>
      </c>
      <c r="D191" t="str">
        <f>IFERROR(__xludf.DUMMYFUNCTION("""COMPUTED_VALUE"""),"Ms.")</f>
        <v>Ms.</v>
      </c>
      <c r="E191" t="str">
        <f>IFERROR(__xludf.DUMMYFUNCTION("""COMPUTED_VALUE"""),"Thitipa")</f>
        <v>Thitipa</v>
      </c>
      <c r="F191" t="str">
        <f>IFERROR(__xludf.DUMMYFUNCTION("""COMPUTED_VALUE"""),"Pinthusaksit")</f>
        <v>Pinthusaksit</v>
      </c>
      <c r="G191" t="str">
        <f>IFERROR(__xludf.DUMMYFUNCTION("""COMPUTED_VALUE"""),"Thitipa Pinthusaksit")</f>
        <v>Thitipa Pinthusaksit</v>
      </c>
      <c r="H191" t="str">
        <f>IFERROR(__xludf.DUMMYFUNCTION("""COMPUTED_VALUE"""),"นางสาว")</f>
        <v>นางสาว</v>
      </c>
      <c r="I191" t="str">
        <f>IFERROR(__xludf.DUMMYFUNCTION("""COMPUTED_VALUE"""),"ฐิติภาณ์")</f>
        <v>ฐิติภาณ์</v>
      </c>
      <c r="J191" t="str">
        <f>IFERROR(__xludf.DUMMYFUNCTION("""COMPUTED_VALUE"""),"พินทุศักดิ์สิทธิ์")</f>
        <v>พินทุศักดิ์สิทธิ์</v>
      </c>
      <c r="K191" t="str">
        <f>IFERROR(__xludf.DUMMYFUNCTION("""COMPUTED_VALUE"""),"ฐิติภาณ์ พินทุศักดิ์สิทธิ์")</f>
        <v>ฐิติภาณ์ พินทุศักดิ์สิทธิ์</v>
      </c>
      <c r="L191" t="str">
        <f>IFERROR(__xludf.DUMMYFUNCTION("""COMPUTED_VALUE"""),"แอร์")</f>
        <v>แอร์</v>
      </c>
      <c r="M191" t="str">
        <f>IFERROR(__xludf.DUMMYFUNCTION("""COMPUTED_VALUE"""),"Senior Cabin Crew - BKK")</f>
        <v>Senior Cabin Crew - BKK</v>
      </c>
      <c r="N191" t="str">
        <f>IFERROR(__xludf.DUMMYFUNCTION("""COMPUTED_VALUE"""),"BKK")</f>
        <v>BKK</v>
      </c>
      <c r="O191" s="145" t="str">
        <f>IFERROR(__xludf.DUMMYFUNCTION("""COMPUTED_VALUE"""),"Nhui Home")</f>
        <v>Nhui Home</v>
      </c>
      <c r="P191" t="str">
        <f>IFERROR(__xludf.DUMMYFUNCTION("""COMPUTED_VALUE"""),"Active")</f>
        <v>Active</v>
      </c>
      <c r="R191" s="143">
        <f>IFERROR(__xludf.DUMMYFUNCTION("""COMPUTED_VALUE"""),31128.0)</f>
        <v>31128</v>
      </c>
      <c r="S191" s="146" t="str">
        <f>IFERROR(__xludf.DUMMYFUNCTION("""COMPUTED_VALUE"""),"081 699 6871")</f>
        <v>081 699 6871</v>
      </c>
      <c r="T191" s="147" t="str">
        <f>IFERROR(__xludf.DUMMYFUNCTION("""COMPUTED_VALUE"""),"1101400-42-0358")</f>
        <v>1101400-42-0358</v>
      </c>
      <c r="U191" t="str">
        <f>IFERROR(__xludf.DUMMYFUNCTION("""COMPUTED_VALUE"""),"AC4551220")</f>
        <v>AC4551220</v>
      </c>
      <c r="V191" s="148">
        <f>IFERROR(__xludf.DUMMYFUNCTION("""COMPUTED_VALUE"""),44986.0)</f>
        <v>44986</v>
      </c>
      <c r="W191" s="148">
        <f>IFERROR(__xludf.DUMMYFUNCTION("""COMPUTED_VALUE"""),48638.0)</f>
        <v>48638</v>
      </c>
      <c r="X191" s="149">
        <f>IFERROR(__xludf.DUMMYFUNCTION("""COMPUTED_VALUE"""),48454.0)</f>
        <v>48454</v>
      </c>
      <c r="Y191" t="str">
        <f>IFERROR(__xludf.DUMMYFUNCTION("""COMPUTED_VALUE"""),"ปลอดภัย")</f>
        <v>ปลอดภัย</v>
      </c>
      <c r="Z191" t="str">
        <f>IFERROR(__xludf.DUMMYFUNCTION("""COMPUTED_VALUE"""),"Bangkok")</f>
        <v>Bangkok</v>
      </c>
      <c r="AA191" t="str">
        <f>IFERROR(__xludf.DUMMYFUNCTION("""COMPUTED_VALUE"""),"วังทองหลาง")</f>
        <v>วังทองหลาง</v>
      </c>
      <c r="AB191" t="str">
        <f>IFERROR(__xludf.DUMMYFUNCTION("""COMPUTED_VALUE"""),"081 6996871")</f>
        <v>081 6996871</v>
      </c>
      <c r="AC191" t="str">
        <f>IFERROR(__xludf.DUMMYFUNCTION("""COMPUTED_VALUE"""),"ไม่ระบุ")</f>
        <v>ไม่ระบุ</v>
      </c>
      <c r="AD191" t="str">
        <f>IFERROR(__xludf.DUMMYFUNCTION("""COMPUTED_VALUE"""),"thitipap@airasia.com")</f>
        <v>thitipap@airasia.com</v>
      </c>
    </row>
    <row r="192">
      <c r="A192" s="142">
        <f>IFERROR(__xludf.DUMMYFUNCTION("""COMPUTED_VALUE"""),35.0)</f>
        <v>35</v>
      </c>
      <c r="B192" t="str">
        <f>IFERROR(__xludf.DUMMYFUNCTION("""COMPUTED_VALUE"""),"TAA2826")</f>
        <v>TAA2826</v>
      </c>
      <c r="C192">
        <f>IFERROR(__xludf.DUMMYFUNCTION("""COMPUTED_VALUE"""),1004541.0)</f>
        <v>1004541</v>
      </c>
      <c r="D192" t="str">
        <f>IFERROR(__xludf.DUMMYFUNCTION("""COMPUTED_VALUE"""),"Ms.")</f>
        <v>Ms.</v>
      </c>
      <c r="E192" t="str">
        <f>IFERROR(__xludf.DUMMYFUNCTION("""COMPUTED_VALUE"""),"Varaporn")</f>
        <v>Varaporn</v>
      </c>
      <c r="F192" t="str">
        <f>IFERROR(__xludf.DUMMYFUNCTION("""COMPUTED_VALUE"""),"Rattanamahasalchai")</f>
        <v>Rattanamahasalchai</v>
      </c>
      <c r="G192" t="str">
        <f>IFERROR(__xludf.DUMMYFUNCTION("""COMPUTED_VALUE"""),"Varaporn Rattanamahasalchai")</f>
        <v>Varaporn Rattanamahasalchai</v>
      </c>
      <c r="H192" t="str">
        <f>IFERROR(__xludf.DUMMYFUNCTION("""COMPUTED_VALUE"""),"นางสาว")</f>
        <v>นางสาว</v>
      </c>
      <c r="I192" t="str">
        <f>IFERROR(__xludf.DUMMYFUNCTION("""COMPUTED_VALUE"""),"วราพร")</f>
        <v>วราพร</v>
      </c>
      <c r="J192" t="str">
        <f>IFERROR(__xludf.DUMMYFUNCTION("""COMPUTED_VALUE"""),"รัตนมหาศาลชัย")</f>
        <v>รัตนมหาศาลชัย</v>
      </c>
      <c r="K192" t="str">
        <f>IFERROR(__xludf.DUMMYFUNCTION("""COMPUTED_VALUE"""),"วราพร รัตนมหาศาลชัย")</f>
        <v>วราพร รัตนมหาศาลชัย</v>
      </c>
      <c r="L192" t="str">
        <f>IFERROR(__xludf.DUMMYFUNCTION("""COMPUTED_VALUE"""),"ยุ้ย")</f>
        <v>ยุ้ย</v>
      </c>
      <c r="M192" t="str">
        <f>IFERROR(__xludf.DUMMYFUNCTION("""COMPUTED_VALUE"""),"Cabin Crew")</f>
        <v>Cabin Crew</v>
      </c>
      <c r="N192" t="str">
        <f>IFERROR(__xludf.DUMMYFUNCTION("""COMPUTED_VALUE"""),"DMK")</f>
        <v>DMK</v>
      </c>
      <c r="O192" s="145" t="str">
        <f>IFERROR(__xludf.DUMMYFUNCTION("""COMPUTED_VALUE"""),"Kor Home")</f>
        <v>Kor Home</v>
      </c>
      <c r="P192" t="str">
        <f>IFERROR(__xludf.DUMMYFUNCTION("""COMPUTED_VALUE"""),"Active")</f>
        <v>Active</v>
      </c>
      <c r="R192" s="143">
        <f>IFERROR(__xludf.DUMMYFUNCTION("""COMPUTED_VALUE"""),31078.0)</f>
        <v>31078</v>
      </c>
      <c r="S192" s="146" t="str">
        <f>IFERROR(__xludf.DUMMYFUNCTION("""COMPUTED_VALUE"""),"092 415 1932")</f>
        <v>092 415 1932</v>
      </c>
      <c r="T192" s="147" t="str">
        <f>IFERROR(__xludf.DUMMYFUNCTION("""COMPUTED_VALUE"""),"1100400-07-8578")</f>
        <v>1100400-07-8578</v>
      </c>
      <c r="U192" t="str">
        <f>IFERROR(__xludf.DUMMYFUNCTION("""COMPUTED_VALUE"""),"AC2401666")</f>
        <v>AC2401666</v>
      </c>
      <c r="V192" s="148">
        <f>IFERROR(__xludf.DUMMYFUNCTION("""COMPUTED_VALUE"""),44433.0)</f>
        <v>44433</v>
      </c>
      <c r="W192" s="148">
        <f>IFERROR(__xludf.DUMMYFUNCTION("""COMPUTED_VALUE"""),48084.0)</f>
        <v>48084</v>
      </c>
      <c r="X192" s="149">
        <f>IFERROR(__xludf.DUMMYFUNCTION("""COMPUTED_VALUE"""),47903.0)</f>
        <v>47903</v>
      </c>
      <c r="Y192" t="str">
        <f>IFERROR(__xludf.DUMMYFUNCTION("""COMPUTED_VALUE"""),"ปลอดภัย")</f>
        <v>ปลอดภัย</v>
      </c>
      <c r="Z192" t="str">
        <f>IFERROR(__xludf.DUMMYFUNCTION("""COMPUTED_VALUE"""),"Bangkok")</f>
        <v>Bangkok</v>
      </c>
      <c r="AA192" t="str">
        <f>IFERROR(__xludf.DUMMYFUNCTION("""COMPUTED_VALUE"""),"บางรัก")</f>
        <v>บางรัก</v>
      </c>
      <c r="AB192" t="str">
        <f>IFERROR(__xludf.DUMMYFUNCTION("""COMPUTED_VALUE"""),"082 509 4248")</f>
        <v>082 509 4248</v>
      </c>
      <c r="AC192" t="str">
        <f>IFERROR(__xludf.DUMMYFUNCTION("""COMPUTED_VALUE"""),"ไม่ระบุ")</f>
        <v>ไม่ระบุ</v>
      </c>
      <c r="AD192" t="str">
        <f>IFERROR(__xludf.DUMMYFUNCTION("""COMPUTED_VALUE"""),"varapornr@airasia.com")</f>
        <v>varapornr@airasia.com</v>
      </c>
    </row>
    <row r="193">
      <c r="AD193" t="str">
        <f>IFERROR(__xludf.DUMMYFUNCTION("""COMPUTED_VALUE"""),"")</f>
        <v/>
      </c>
    </row>
    <row r="194">
      <c r="A194" s="142">
        <f>IFERROR(__xludf.DUMMYFUNCTION("""COMPUTED_VALUE"""),36.0)</f>
        <v>36</v>
      </c>
      <c r="B194" t="str">
        <f>IFERROR(__xludf.DUMMYFUNCTION("""COMPUTED_VALUE"""),"TAA2472")</f>
        <v>TAA2472</v>
      </c>
      <c r="C194">
        <f>IFERROR(__xludf.DUMMYFUNCTION("""COMPUTED_VALUE"""),1003172.0)</f>
        <v>1003172</v>
      </c>
      <c r="D194" t="str">
        <f>IFERROR(__xludf.DUMMYFUNCTION("""COMPUTED_VALUE"""),"Ms.")</f>
        <v>Ms.</v>
      </c>
      <c r="E194" t="str">
        <f>IFERROR(__xludf.DUMMYFUNCTION("""COMPUTED_VALUE"""),"Natthanit")</f>
        <v>Natthanit</v>
      </c>
      <c r="F194" t="str">
        <f>IFERROR(__xludf.DUMMYFUNCTION("""COMPUTED_VALUE"""),"Kaewchoochuen")</f>
        <v>Kaewchoochuen</v>
      </c>
      <c r="G194" t="str">
        <f>IFERROR(__xludf.DUMMYFUNCTION("""COMPUTED_VALUE"""),"Natthanit Kaewchoochuen")</f>
        <v>Natthanit Kaewchoochuen</v>
      </c>
      <c r="H194" t="str">
        <f>IFERROR(__xludf.DUMMYFUNCTION("""COMPUTED_VALUE"""),"นางสาว")</f>
        <v>นางสาว</v>
      </c>
      <c r="I194" t="str">
        <f>IFERROR(__xludf.DUMMYFUNCTION("""COMPUTED_VALUE"""),"ณัฎฐนิช")</f>
        <v>ณัฎฐนิช</v>
      </c>
      <c r="J194" t="str">
        <f>IFERROR(__xludf.DUMMYFUNCTION("""COMPUTED_VALUE"""),"แก้วชูชื่น")</f>
        <v>แก้วชูชื่น</v>
      </c>
      <c r="K194" t="str">
        <f>IFERROR(__xludf.DUMMYFUNCTION("""COMPUTED_VALUE"""),"ณัฎฐนิช แก้วชูชื่น")</f>
        <v>ณัฎฐนิช แก้วชูชื่น</v>
      </c>
      <c r="L194" t="str">
        <f>IFERROR(__xludf.DUMMYFUNCTION("""COMPUTED_VALUE"""),"หนิง")</f>
        <v>หนิง</v>
      </c>
      <c r="M194" t="str">
        <f>IFERROR(__xludf.DUMMYFUNCTION("""COMPUTED_VALUE"""),"Senior Cabin Crew")</f>
        <v>Senior Cabin Crew</v>
      </c>
      <c r="N194" t="str">
        <f>IFERROR(__xludf.DUMMYFUNCTION("""COMPUTED_VALUE"""),"DMK")</f>
        <v>DMK</v>
      </c>
      <c r="O194" s="145" t="str">
        <f>IFERROR(__xludf.DUMMYFUNCTION("""COMPUTED_VALUE"""),"Kor Home")</f>
        <v>Kor Home</v>
      </c>
      <c r="P194" t="str">
        <f>IFERROR(__xludf.DUMMYFUNCTION("""COMPUTED_VALUE"""),"Active")</f>
        <v>Active</v>
      </c>
      <c r="Q194" t="str">
        <f>IFERROR(__xludf.DUMMYFUNCTION("""COMPUTED_VALUE"""),"Chinese Speaking")</f>
        <v>Chinese Speaking</v>
      </c>
      <c r="R194" s="143">
        <f>IFERROR(__xludf.DUMMYFUNCTION("""COMPUTED_VALUE"""),31592.0)</f>
        <v>31592</v>
      </c>
      <c r="S194" s="146" t="str">
        <f>IFERROR(__xludf.DUMMYFUNCTION("""COMPUTED_VALUE"""),"061 693 6455")</f>
        <v>061 693 6455</v>
      </c>
      <c r="T194" s="147" t="str">
        <f>IFERROR(__xludf.DUMMYFUNCTION("""COMPUTED_VALUE"""),"1909800-15-0218")</f>
        <v>1909800-15-0218</v>
      </c>
      <c r="U194" t="str">
        <f>IFERROR(__xludf.DUMMYFUNCTION("""COMPUTED_VALUE"""),"AC3691243")</f>
        <v>AC3691243</v>
      </c>
      <c r="V194" s="148">
        <f>IFERROR(__xludf.DUMMYFUNCTION("""COMPUTED_VALUE"""),44769.0)</f>
        <v>44769</v>
      </c>
      <c r="W194" s="148">
        <f>IFERROR(__xludf.DUMMYFUNCTION("""COMPUTED_VALUE"""),48421.0)</f>
        <v>48421</v>
      </c>
      <c r="X194" s="149">
        <f>IFERROR(__xludf.DUMMYFUNCTION("""COMPUTED_VALUE"""),48239.0)</f>
        <v>48239</v>
      </c>
      <c r="Y194" t="str">
        <f>IFERROR(__xludf.DUMMYFUNCTION("""COMPUTED_VALUE"""),"ปลอดภัย")</f>
        <v>ปลอดภัย</v>
      </c>
      <c r="Z194" t="str">
        <f>IFERROR(__xludf.DUMMYFUNCTION("""COMPUTED_VALUE"""),"Songkhla Province")</f>
        <v>Songkhla Province</v>
      </c>
      <c r="AA194" t="str">
        <f>IFERROR(__xludf.DUMMYFUNCTION("""COMPUTED_VALUE"""),"บางกะปิ")</f>
        <v>บางกะปิ</v>
      </c>
      <c r="AB194" t="str">
        <f>IFERROR(__xludf.DUMMYFUNCTION("""COMPUTED_VALUE"""),"084 300 2644")</f>
        <v>084 300 2644</v>
      </c>
      <c r="AC194" t="str">
        <f>IFERROR(__xludf.DUMMYFUNCTION("""COMPUTED_VALUE"""),"ไม่ระบุ")</f>
        <v>ไม่ระบุ</v>
      </c>
      <c r="AD194" t="str">
        <f>IFERROR(__xludf.DUMMYFUNCTION("""COMPUTED_VALUE"""),"natthanitk@airasia.com")</f>
        <v>natthanitk@airasia.com</v>
      </c>
    </row>
    <row r="195">
      <c r="A195" s="142">
        <f>IFERROR(__xludf.DUMMYFUNCTION("""COMPUTED_VALUE"""),36.0)</f>
        <v>36</v>
      </c>
      <c r="B195" t="str">
        <f>IFERROR(__xludf.DUMMYFUNCTION("""COMPUTED_VALUE"""),"TAA2881")</f>
        <v>TAA2881</v>
      </c>
      <c r="C195">
        <f>IFERROR(__xludf.DUMMYFUNCTION("""COMPUTED_VALUE"""),1004569.0)</f>
        <v>1004569</v>
      </c>
      <c r="D195" t="str">
        <f>IFERROR(__xludf.DUMMYFUNCTION("""COMPUTED_VALUE"""),"Ms.")</f>
        <v>Ms.</v>
      </c>
      <c r="E195" t="str">
        <f>IFERROR(__xludf.DUMMYFUNCTION("""COMPUTED_VALUE"""),"Chutikul")</f>
        <v>Chutikul</v>
      </c>
      <c r="F195" t="str">
        <f>IFERROR(__xludf.DUMMYFUNCTION("""COMPUTED_VALUE"""),"Khruakham")</f>
        <v>Khruakham</v>
      </c>
      <c r="G195" t="str">
        <f>IFERROR(__xludf.DUMMYFUNCTION("""COMPUTED_VALUE"""),"Chutikul Khruakham")</f>
        <v>Chutikul Khruakham</v>
      </c>
      <c r="H195" t="str">
        <f>IFERROR(__xludf.DUMMYFUNCTION("""COMPUTED_VALUE"""),"นางสาว")</f>
        <v>นางสาว</v>
      </c>
      <c r="I195" t="str">
        <f>IFERROR(__xludf.DUMMYFUNCTION("""COMPUTED_VALUE"""),"จุติกุล")</f>
        <v>จุติกุล</v>
      </c>
      <c r="J195" t="str">
        <f>IFERROR(__xludf.DUMMYFUNCTION("""COMPUTED_VALUE"""),"เครือคำ")</f>
        <v>เครือคำ</v>
      </c>
      <c r="K195" t="str">
        <f>IFERROR(__xludf.DUMMYFUNCTION("""COMPUTED_VALUE"""),"จุติกุล เครือคำ")</f>
        <v>จุติกุล เครือคำ</v>
      </c>
      <c r="L195" t="str">
        <f>IFERROR(__xludf.DUMMYFUNCTION("""COMPUTED_VALUE"""),"แมงเม่า")</f>
        <v>แมงเม่า</v>
      </c>
      <c r="M195" t="str">
        <f>IFERROR(__xludf.DUMMYFUNCTION("""COMPUTED_VALUE"""),"Senior Cabin Crew")</f>
        <v>Senior Cabin Crew</v>
      </c>
      <c r="N195" t="str">
        <f>IFERROR(__xludf.DUMMYFUNCTION("""COMPUTED_VALUE"""),"DMK")</f>
        <v>DMK</v>
      </c>
      <c r="O195" s="145" t="str">
        <f>IFERROR(__xludf.DUMMYFUNCTION("""COMPUTED_VALUE"""),"Toffy Home")</f>
        <v>Toffy Home</v>
      </c>
      <c r="P195" t="str">
        <f>IFERROR(__xludf.DUMMYFUNCTION("""COMPUTED_VALUE"""),"Active")</f>
        <v>Active</v>
      </c>
      <c r="R195" s="143">
        <f>IFERROR(__xludf.DUMMYFUNCTION("""COMPUTED_VALUE"""),31430.0)</f>
        <v>31430</v>
      </c>
      <c r="S195" s="146" t="str">
        <f>IFERROR(__xludf.DUMMYFUNCTION("""COMPUTED_VALUE"""),"085 917 1613")</f>
        <v>085 917 1613</v>
      </c>
      <c r="T195" s="147" t="str">
        <f>IFERROR(__xludf.DUMMYFUNCTION("""COMPUTED_VALUE"""),"1470100-07-7531")</f>
        <v>1470100-07-7531</v>
      </c>
      <c r="U195" t="str">
        <f>IFERROR(__xludf.DUMMYFUNCTION("""COMPUTED_VALUE"""),"AD1096179")</f>
        <v>AD1096179</v>
      </c>
      <c r="V195" s="148">
        <f>IFERROR(__xludf.DUMMYFUNCTION("""COMPUTED_VALUE"""),45066.0)</f>
        <v>45066</v>
      </c>
      <c r="W195" s="148">
        <f>IFERROR(__xludf.DUMMYFUNCTION("""COMPUTED_VALUE"""),48718.0)</f>
        <v>48718</v>
      </c>
      <c r="X195" s="149">
        <f>IFERROR(__xludf.DUMMYFUNCTION("""COMPUTED_VALUE"""),48537.0)</f>
        <v>48537</v>
      </c>
      <c r="Y195" t="str">
        <f>IFERROR(__xludf.DUMMYFUNCTION("""COMPUTED_VALUE"""),"ปลอดภัย")</f>
        <v>ปลอดภัย</v>
      </c>
      <c r="Z195" t="str">
        <f>IFERROR(__xludf.DUMMYFUNCTION("""COMPUTED_VALUE"""),"Nakhon Phanom Province")</f>
        <v>Nakhon Phanom Province</v>
      </c>
      <c r="AA195" t="str">
        <f>IFERROR(__xludf.DUMMYFUNCTION("""COMPUTED_VALUE"""),"ลาดกระบัง")</f>
        <v>ลาดกระบัง</v>
      </c>
      <c r="AB195" t="str">
        <f>IFERROR(__xludf.DUMMYFUNCTION("""COMPUTED_VALUE"""),"089 4522788 /02 737 1997 #105")</f>
        <v>089 4522788 /02 737 1997 #105</v>
      </c>
      <c r="AC195" t="str">
        <f>IFERROR(__xludf.DUMMYFUNCTION("""COMPUTED_VALUE"""),"แม่ / หอพัก")</f>
        <v>แม่ / หอพัก</v>
      </c>
      <c r="AD195" t="str">
        <f>IFERROR(__xludf.DUMMYFUNCTION("""COMPUTED_VALUE"""),"chutikulk@airasia.com")</f>
        <v>chutikulk@airasia.com</v>
      </c>
    </row>
    <row r="196">
      <c r="A196" s="142">
        <f>IFERROR(__xludf.DUMMYFUNCTION("""COMPUTED_VALUE"""),36.0)</f>
        <v>36</v>
      </c>
      <c r="B196" t="str">
        <f>IFERROR(__xludf.DUMMYFUNCTION("""COMPUTED_VALUE"""),"TAA2868")</f>
        <v>TAA2868</v>
      </c>
      <c r="C196">
        <f>IFERROR(__xludf.DUMMYFUNCTION("""COMPUTED_VALUE"""),1004572.0)</f>
        <v>1004572</v>
      </c>
      <c r="D196" t="str">
        <f>IFERROR(__xludf.DUMMYFUNCTION("""COMPUTED_VALUE"""),"Ms.")</f>
        <v>Ms.</v>
      </c>
      <c r="E196" t="str">
        <f>IFERROR(__xludf.DUMMYFUNCTION("""COMPUTED_VALUE"""),"Kamolwan")</f>
        <v>Kamolwan</v>
      </c>
      <c r="F196" t="str">
        <f>IFERROR(__xludf.DUMMYFUNCTION("""COMPUTED_VALUE"""),"Khantidilokvongsa")</f>
        <v>Khantidilokvongsa</v>
      </c>
      <c r="G196" t="str">
        <f>IFERROR(__xludf.DUMMYFUNCTION("""COMPUTED_VALUE"""),"Kamolwan Khantidilokvongsa")</f>
        <v>Kamolwan Khantidilokvongsa</v>
      </c>
      <c r="H196" t="str">
        <f>IFERROR(__xludf.DUMMYFUNCTION("""COMPUTED_VALUE"""),"นางสาว")</f>
        <v>นางสาว</v>
      </c>
      <c r="I196" t="str">
        <f>IFERROR(__xludf.DUMMYFUNCTION("""COMPUTED_VALUE"""),"กมลวรรณ")</f>
        <v>กมลวรรณ</v>
      </c>
      <c r="J196" t="str">
        <f>IFERROR(__xludf.DUMMYFUNCTION("""COMPUTED_VALUE"""),"ขันติดิลกวงษา")</f>
        <v>ขันติดิลกวงษา</v>
      </c>
      <c r="K196" t="str">
        <f>IFERROR(__xludf.DUMMYFUNCTION("""COMPUTED_VALUE"""),"กมลวรรณ ขันติดิลกวงษา")</f>
        <v>กมลวรรณ ขันติดิลกวงษา</v>
      </c>
      <c r="L196" t="str">
        <f>IFERROR(__xludf.DUMMYFUNCTION("""COMPUTED_VALUE"""),"แนน")</f>
        <v>แนน</v>
      </c>
      <c r="M196" t="str">
        <f>IFERROR(__xludf.DUMMYFUNCTION("""COMPUTED_VALUE"""),"Cabin Crew - BKK")</f>
        <v>Cabin Crew - BKK</v>
      </c>
      <c r="N196" t="str">
        <f>IFERROR(__xludf.DUMMYFUNCTION("""COMPUTED_VALUE"""),"BKK")</f>
        <v>BKK</v>
      </c>
      <c r="O196" s="145" t="str">
        <f>IFERROR(__xludf.DUMMYFUNCTION("""COMPUTED_VALUE"""),"Nhui Home")</f>
        <v>Nhui Home</v>
      </c>
      <c r="P196" t="str">
        <f>IFERROR(__xludf.DUMMYFUNCTION("""COMPUTED_VALUE"""),"Active")</f>
        <v>Active</v>
      </c>
      <c r="R196" s="143">
        <f>IFERROR(__xludf.DUMMYFUNCTION("""COMPUTED_VALUE"""),30389.0)</f>
        <v>30389</v>
      </c>
      <c r="S196" s="146">
        <f>IFERROR(__xludf.DUMMYFUNCTION("""COMPUTED_VALUE"""),8.29632942E8)</f>
        <v>829632942</v>
      </c>
      <c r="T196" s="147" t="str">
        <f>IFERROR(__xludf.DUMMYFUNCTION("""COMPUTED_VALUE"""),"3100905-66-6899")</f>
        <v>3100905-66-6899</v>
      </c>
      <c r="U196" t="str">
        <f>IFERROR(__xludf.DUMMYFUNCTION("""COMPUTED_VALUE"""),"AC2880725")</f>
        <v>AC2880725</v>
      </c>
      <c r="V196" s="148">
        <f>IFERROR(__xludf.DUMMYFUNCTION("""COMPUTED_VALUE"""),44609.0)</f>
        <v>44609</v>
      </c>
      <c r="W196" s="148">
        <f>IFERROR(__xludf.DUMMYFUNCTION("""COMPUTED_VALUE"""),48260.0)</f>
        <v>48260</v>
      </c>
      <c r="X196" s="149">
        <f>IFERROR(__xludf.DUMMYFUNCTION("""COMPUTED_VALUE"""),48076.0)</f>
        <v>48076</v>
      </c>
      <c r="Y196" t="str">
        <f>IFERROR(__xludf.DUMMYFUNCTION("""COMPUTED_VALUE"""),"ปลอดภัย")</f>
        <v>ปลอดภัย</v>
      </c>
      <c r="Z196" t="str">
        <f>IFERROR(__xludf.DUMMYFUNCTION("""COMPUTED_VALUE"""),"Bangkok")</f>
        <v>Bangkok</v>
      </c>
      <c r="AA196" t="str">
        <f>IFERROR(__xludf.DUMMYFUNCTION("""COMPUTED_VALUE"""),"ประเวศ")</f>
        <v>ประเวศ</v>
      </c>
      <c r="AB196" t="str">
        <f>IFERROR(__xludf.DUMMYFUNCTION("""COMPUTED_VALUE"""),"02 7223380")</f>
        <v>02 7223380</v>
      </c>
      <c r="AC196" t="str">
        <f>IFERROR(__xludf.DUMMYFUNCTION("""COMPUTED_VALUE"""),"บ้าน")</f>
        <v>บ้าน</v>
      </c>
      <c r="AD196" t="str">
        <f>IFERROR(__xludf.DUMMYFUNCTION("""COMPUTED_VALUE"""),"kamolwank@airasia.com")</f>
        <v>kamolwank@airasia.com</v>
      </c>
    </row>
    <row r="197">
      <c r="A197" s="142">
        <f>IFERROR(__xludf.DUMMYFUNCTION("""COMPUTED_VALUE"""),36.0)</f>
        <v>36</v>
      </c>
      <c r="B197" t="str">
        <f>IFERROR(__xludf.DUMMYFUNCTION("""COMPUTED_VALUE"""),"TAA2879")</f>
        <v>TAA2879</v>
      </c>
      <c r="C197">
        <f>IFERROR(__xludf.DUMMYFUNCTION("""COMPUTED_VALUE"""),1004579.0)</f>
        <v>1004579</v>
      </c>
      <c r="D197" t="str">
        <f>IFERROR(__xludf.DUMMYFUNCTION("""COMPUTED_VALUE"""),"Ms.")</f>
        <v>Ms.</v>
      </c>
      <c r="E197" t="str">
        <f>IFERROR(__xludf.DUMMYFUNCTION("""COMPUTED_VALUE"""),"Sanisara")</f>
        <v>Sanisara</v>
      </c>
      <c r="F197" t="str">
        <f>IFERROR(__xludf.DUMMYFUNCTION("""COMPUTED_VALUE"""),"Wongwejsawat")</f>
        <v>Wongwejsawat</v>
      </c>
      <c r="G197" t="str">
        <f>IFERROR(__xludf.DUMMYFUNCTION("""COMPUTED_VALUE"""),"Sanisara Wongwejsawat")</f>
        <v>Sanisara Wongwejsawat</v>
      </c>
      <c r="H197" t="str">
        <f>IFERROR(__xludf.DUMMYFUNCTION("""COMPUTED_VALUE"""),"นางสาว")</f>
        <v>นางสาว</v>
      </c>
      <c r="I197" t="str">
        <f>IFERROR(__xludf.DUMMYFUNCTION("""COMPUTED_VALUE"""),"ศนิศรา")</f>
        <v>ศนิศรา</v>
      </c>
      <c r="J197" t="str">
        <f>IFERROR(__xludf.DUMMYFUNCTION("""COMPUTED_VALUE"""),"วงศ์เวชสวัสดิ์")</f>
        <v>วงศ์เวชสวัสดิ์</v>
      </c>
      <c r="K197" t="str">
        <f>IFERROR(__xludf.DUMMYFUNCTION("""COMPUTED_VALUE"""),"ศนิศรา วงศ์เวชสวัสดิ์")</f>
        <v>ศนิศรา วงศ์เวชสวัสดิ์</v>
      </c>
      <c r="L197" t="str">
        <f>IFERROR(__xludf.DUMMYFUNCTION("""COMPUTED_VALUE"""),"เปอร์")</f>
        <v>เปอร์</v>
      </c>
      <c r="M197" t="str">
        <f>IFERROR(__xludf.DUMMYFUNCTION("""COMPUTED_VALUE"""),"Cabin Crew")</f>
        <v>Cabin Crew</v>
      </c>
      <c r="N197" t="str">
        <f>IFERROR(__xludf.DUMMYFUNCTION("""COMPUTED_VALUE"""),"DMK")</f>
        <v>DMK</v>
      </c>
      <c r="O197" s="145" t="str">
        <f>IFERROR(__xludf.DUMMYFUNCTION("""COMPUTED_VALUE"""),"Up Home")</f>
        <v>Up Home</v>
      </c>
      <c r="P197" t="str">
        <f>IFERROR(__xludf.DUMMYFUNCTION("""COMPUTED_VALUE"""),"Active")</f>
        <v>Active</v>
      </c>
      <c r="R197" s="143">
        <f>IFERROR(__xludf.DUMMYFUNCTION("""COMPUTED_VALUE"""),31647.0)</f>
        <v>31647</v>
      </c>
      <c r="S197" s="146" t="str">
        <f>IFERROR(__xludf.DUMMYFUNCTION("""COMPUTED_VALUE""")," 061-995-5629")</f>
        <v> 061-995-5629</v>
      </c>
      <c r="T197" s="147" t="str">
        <f>IFERROR(__xludf.DUMMYFUNCTION("""COMPUTED_VALUE"""),"1101400-74-6598")</f>
        <v>1101400-74-6598</v>
      </c>
      <c r="U197" t="str">
        <f>IFERROR(__xludf.DUMMYFUNCTION("""COMPUTED_VALUE"""),"AC5192084")</f>
        <v>AC5192084</v>
      </c>
      <c r="V197" s="148">
        <f>IFERROR(__xludf.DUMMYFUNCTION("""COMPUTED_VALUE"""),45321.0)</f>
        <v>45321</v>
      </c>
      <c r="W197" s="148">
        <f>IFERROR(__xludf.DUMMYFUNCTION("""COMPUTED_VALUE"""),48973.0)</f>
        <v>48973</v>
      </c>
      <c r="X197" s="149">
        <f>IFERROR(__xludf.DUMMYFUNCTION("""COMPUTED_VALUE"""),48789.0)</f>
        <v>48789</v>
      </c>
      <c r="Y197" t="str">
        <f>IFERROR(__xludf.DUMMYFUNCTION("""COMPUTED_VALUE"""),"ปลอดภัย")</f>
        <v>ปลอดภัย</v>
      </c>
      <c r="Z197" t="str">
        <f>IFERROR(__xludf.DUMMYFUNCTION("""COMPUTED_VALUE"""),"Bangkok")</f>
        <v>Bangkok</v>
      </c>
      <c r="AA197" t="str">
        <f>IFERROR(__xludf.DUMMYFUNCTION("""COMPUTED_VALUE"""),"งามวงศ์วาน")</f>
        <v>งามวงศ์วาน</v>
      </c>
      <c r="AB197" t="str">
        <f>IFERROR(__xludf.DUMMYFUNCTION("""COMPUTED_VALUE"""),"02 952 3401")</f>
        <v>02 952 3401</v>
      </c>
      <c r="AC197" t="str">
        <f>IFERROR(__xludf.DUMMYFUNCTION("""COMPUTED_VALUE"""),"บ้าน")</f>
        <v>บ้าน</v>
      </c>
      <c r="AD197" t="str">
        <f>IFERROR(__xludf.DUMMYFUNCTION("""COMPUTED_VALUE"""),"sanisaraw@airasia.com")</f>
        <v>sanisaraw@airasia.com</v>
      </c>
    </row>
    <row r="198">
      <c r="A198" s="142">
        <f>IFERROR(__xludf.DUMMYFUNCTION("""COMPUTED_VALUE"""),36.0)</f>
        <v>36</v>
      </c>
      <c r="B198" t="str">
        <f>IFERROR(__xludf.DUMMYFUNCTION("""COMPUTED_VALUE"""),"TAA2860")</f>
        <v>TAA2860</v>
      </c>
      <c r="C198">
        <f>IFERROR(__xludf.DUMMYFUNCTION("""COMPUTED_VALUE"""),1004583.0)</f>
        <v>1004583</v>
      </c>
      <c r="D198" t="str">
        <f>IFERROR(__xludf.DUMMYFUNCTION("""COMPUTED_VALUE"""),"Ms.")</f>
        <v>Ms.</v>
      </c>
      <c r="E198" t="str">
        <f>IFERROR(__xludf.DUMMYFUNCTION("""COMPUTED_VALUE"""),"Suphanun")</f>
        <v>Suphanun</v>
      </c>
      <c r="F198" t="str">
        <f>IFERROR(__xludf.DUMMYFUNCTION("""COMPUTED_VALUE"""),"Yotpunya")</f>
        <v>Yotpunya</v>
      </c>
      <c r="G198" t="str">
        <f>IFERROR(__xludf.DUMMYFUNCTION("""COMPUTED_VALUE"""),"Suphanun Yotpunya")</f>
        <v>Suphanun Yotpunya</v>
      </c>
      <c r="H198" t="str">
        <f>IFERROR(__xludf.DUMMYFUNCTION("""COMPUTED_VALUE"""),"นางสาว")</f>
        <v>นางสาว</v>
      </c>
      <c r="I198" t="str">
        <f>IFERROR(__xludf.DUMMYFUNCTION("""COMPUTED_VALUE"""),"สุภานัน")</f>
        <v>สุภานัน</v>
      </c>
      <c r="J198" t="str">
        <f>IFERROR(__xludf.DUMMYFUNCTION("""COMPUTED_VALUE"""),"ยศปัญญา")</f>
        <v>ยศปัญญา</v>
      </c>
      <c r="K198" t="str">
        <f>IFERROR(__xludf.DUMMYFUNCTION("""COMPUTED_VALUE"""),"สุภานัน ยศปัญญา")</f>
        <v>สุภานัน ยศปัญญา</v>
      </c>
      <c r="L198" t="str">
        <f>IFERROR(__xludf.DUMMYFUNCTION("""COMPUTED_VALUE"""),"กุ๊ก")</f>
        <v>กุ๊ก</v>
      </c>
      <c r="M198" t="str">
        <f>IFERROR(__xludf.DUMMYFUNCTION("""COMPUTED_VALUE"""),"Senior Cabin Crew")</f>
        <v>Senior Cabin Crew</v>
      </c>
      <c r="N198" t="str">
        <f>IFERROR(__xludf.DUMMYFUNCTION("""COMPUTED_VALUE"""),"DMK")</f>
        <v>DMK</v>
      </c>
      <c r="O198" s="145" t="str">
        <f>IFERROR(__xludf.DUMMYFUNCTION("""COMPUTED_VALUE"""),"Up Home")</f>
        <v>Up Home</v>
      </c>
      <c r="P198" t="str">
        <f>IFERROR(__xludf.DUMMYFUNCTION("""COMPUTED_VALUE"""),"Active")</f>
        <v>Active</v>
      </c>
      <c r="R198" s="143">
        <f>IFERROR(__xludf.DUMMYFUNCTION("""COMPUTED_VALUE"""),31556.0)</f>
        <v>31556</v>
      </c>
      <c r="S198" s="146" t="str">
        <f>IFERROR(__xludf.DUMMYFUNCTION("""COMPUTED_VALUE"""),"093 519 6428")</f>
        <v>093 519 6428</v>
      </c>
      <c r="T198" s="147" t="str">
        <f>IFERROR(__xludf.DUMMYFUNCTION("""COMPUTED_VALUE"""),"1679900-10-3541")</f>
        <v>1679900-10-3541</v>
      </c>
      <c r="U198" t="str">
        <f>IFERROR(__xludf.DUMMYFUNCTION("""COMPUTED_VALUE"""),"AC3016507")</f>
        <v>AC3016507</v>
      </c>
      <c r="V198" s="148">
        <f>IFERROR(__xludf.DUMMYFUNCTION("""COMPUTED_VALUE"""),44673.0)</f>
        <v>44673</v>
      </c>
      <c r="W198" s="148">
        <f>IFERROR(__xludf.DUMMYFUNCTION("""COMPUTED_VALUE"""),48325.0)</f>
        <v>48325</v>
      </c>
      <c r="X198" s="149">
        <f>IFERROR(__xludf.DUMMYFUNCTION("""COMPUTED_VALUE"""),48142.0)</f>
        <v>48142</v>
      </c>
      <c r="Y198" t="str">
        <f>IFERROR(__xludf.DUMMYFUNCTION("""COMPUTED_VALUE"""),"ปลอดภัย")</f>
        <v>ปลอดภัย</v>
      </c>
      <c r="Z198" t="str">
        <f>IFERROR(__xludf.DUMMYFUNCTION("""COMPUTED_VALUE"""),"Phetchabun Province")</f>
        <v>Phetchabun Province</v>
      </c>
      <c r="AA198" t="str">
        <f>IFERROR(__xludf.DUMMYFUNCTION("""COMPUTED_VALUE"""),"ดินแดง")</f>
        <v>ดินแดง</v>
      </c>
      <c r="AB198" t="str">
        <f>IFERROR(__xludf.DUMMYFUNCTION("""COMPUTED_VALUE"""),"085 5563616")</f>
        <v>085 5563616</v>
      </c>
      <c r="AC198" t="str">
        <f>IFERROR(__xludf.DUMMYFUNCTION("""COMPUTED_VALUE"""),"ไม่ระบุ")</f>
        <v>ไม่ระบุ</v>
      </c>
      <c r="AD198" t="str">
        <f>IFERROR(__xludf.DUMMYFUNCTION("""COMPUTED_VALUE"""),"suphanuny@airasia.com")</f>
        <v>suphanuny@airasia.com</v>
      </c>
    </row>
    <row r="199">
      <c r="AD199" t="str">
        <f>IFERROR(__xludf.DUMMYFUNCTION("""COMPUTED_VALUE"""),"")</f>
        <v/>
      </c>
    </row>
    <row r="200">
      <c r="A200" s="142">
        <f>IFERROR(__xludf.DUMMYFUNCTION("""COMPUTED_VALUE"""),37.0)</f>
        <v>37</v>
      </c>
      <c r="B200" t="str">
        <f>IFERROR(__xludf.DUMMYFUNCTION("""COMPUTED_VALUE"""),"TAA2972")</f>
        <v>TAA2972</v>
      </c>
      <c r="C200">
        <f>IFERROR(__xludf.DUMMYFUNCTION("""COMPUTED_VALUE"""),1004744.0)</f>
        <v>1004744</v>
      </c>
      <c r="D200" t="str">
        <f>IFERROR(__xludf.DUMMYFUNCTION("""COMPUTED_VALUE"""),"Ms.")</f>
        <v>Ms.</v>
      </c>
      <c r="E200" t="str">
        <f>IFERROR(__xludf.DUMMYFUNCTION("""COMPUTED_VALUE"""),"Amornrat")</f>
        <v>Amornrat</v>
      </c>
      <c r="F200" t="str">
        <f>IFERROR(__xludf.DUMMYFUNCTION("""COMPUTED_VALUE"""),"Wattanawongkajon")</f>
        <v>Wattanawongkajon</v>
      </c>
      <c r="G200" t="str">
        <f>IFERROR(__xludf.DUMMYFUNCTION("""COMPUTED_VALUE"""),"Amornrat Wattanawongkajon")</f>
        <v>Amornrat Wattanawongkajon</v>
      </c>
      <c r="H200" t="str">
        <f>IFERROR(__xludf.DUMMYFUNCTION("""COMPUTED_VALUE"""),"นางสาว")</f>
        <v>นางสาว</v>
      </c>
      <c r="I200" t="str">
        <f>IFERROR(__xludf.DUMMYFUNCTION("""COMPUTED_VALUE"""),"อมรรัตน์")</f>
        <v>อมรรัตน์</v>
      </c>
      <c r="J200" t="str">
        <f>IFERROR(__xludf.DUMMYFUNCTION("""COMPUTED_VALUE"""),"วัฒนะวงศ์ขจร")</f>
        <v>วัฒนะวงศ์ขจร</v>
      </c>
      <c r="K200" t="str">
        <f>IFERROR(__xludf.DUMMYFUNCTION("""COMPUTED_VALUE"""),"อมรรัตน์ วัฒนะวงศ์ขจร")</f>
        <v>อมรรัตน์ วัฒนะวงศ์ขจร</v>
      </c>
      <c r="L200" t="str">
        <f>IFERROR(__xludf.DUMMYFUNCTION("""COMPUTED_VALUE"""),"นุช")</f>
        <v>นุช</v>
      </c>
      <c r="M200" t="str">
        <f>IFERROR(__xludf.DUMMYFUNCTION("""COMPUTED_VALUE"""),"Cabin Crew Checker")</f>
        <v>Cabin Crew Checker</v>
      </c>
      <c r="N200" t="str">
        <f>IFERROR(__xludf.DUMMYFUNCTION("""COMPUTED_VALUE"""),"DMK")</f>
        <v>DMK</v>
      </c>
      <c r="O200" s="145" t="str">
        <f>IFERROR(__xludf.DUMMYFUNCTION("""COMPUTED_VALUE"""),"CCD")</f>
        <v>CCD</v>
      </c>
      <c r="P200" t="str">
        <f>IFERROR(__xludf.DUMMYFUNCTION("""COMPUTED_VALUE"""),"Checker")</f>
        <v>Checker</v>
      </c>
      <c r="Q200" t="str">
        <f>IFERROR(__xludf.DUMMYFUNCTION("""COMPUTED_VALUE"""),"Chinese Speaking")</f>
        <v>Chinese Speaking</v>
      </c>
      <c r="R200" s="143">
        <f>IFERROR(__xludf.DUMMYFUNCTION("""COMPUTED_VALUE"""),31795.0)</f>
        <v>31795</v>
      </c>
      <c r="S200" s="146" t="str">
        <f>IFERROR(__xludf.DUMMYFUNCTION("""COMPUTED_VALUE"""),"062 461 9616")</f>
        <v>062 461 9616</v>
      </c>
      <c r="T200" s="147" t="str">
        <f>IFERROR(__xludf.DUMMYFUNCTION("""COMPUTED_VALUE"""),"1839900-10-8770")</f>
        <v>1839900-10-8770</v>
      </c>
      <c r="U200" t="str">
        <f>IFERROR(__xludf.DUMMYFUNCTION("""COMPUTED_VALUE"""),"AC4542947")</f>
        <v>AC4542947</v>
      </c>
      <c r="V200" s="148">
        <f>IFERROR(__xludf.DUMMYFUNCTION("""COMPUTED_VALUE"""),43451.0)</f>
        <v>43451</v>
      </c>
      <c r="W200" s="148">
        <f>IFERROR(__xludf.DUMMYFUNCTION("""COMPUTED_VALUE"""),48929.0)</f>
        <v>48929</v>
      </c>
      <c r="X200" s="149">
        <f>IFERROR(__xludf.DUMMYFUNCTION("""COMPUTED_VALUE"""),48746.0)</f>
        <v>48746</v>
      </c>
      <c r="Y200" t="str">
        <f>IFERROR(__xludf.DUMMYFUNCTION("""COMPUTED_VALUE"""),"ปลอดภัย")</f>
        <v>ปลอดภัย</v>
      </c>
      <c r="Z200" t="str">
        <f>IFERROR(__xludf.DUMMYFUNCTION("""COMPUTED_VALUE"""),"Phuket Province")</f>
        <v>Phuket Province</v>
      </c>
      <c r="AA200" t="str">
        <f>IFERROR(__xludf.DUMMYFUNCTION("""COMPUTED_VALUE"""),"ภูเก็ต")</f>
        <v>ภูเก็ต</v>
      </c>
      <c r="AB200" t="str">
        <f>IFERROR(__xludf.DUMMYFUNCTION("""COMPUTED_VALUE"""),"! Update !")</f>
        <v>! Update !</v>
      </c>
      <c r="AC200" t="str">
        <f>IFERROR(__xludf.DUMMYFUNCTION("""COMPUTED_VALUE"""),"! Update !")</f>
        <v>! Update !</v>
      </c>
      <c r="AD200" t="str">
        <f>IFERROR(__xludf.DUMMYFUNCTION("""COMPUTED_VALUE"""),"amornratw@airasia.com")</f>
        <v>amornratw@airasia.com</v>
      </c>
    </row>
    <row r="201">
      <c r="A201" s="142">
        <f>IFERROR(__xludf.DUMMYFUNCTION("""COMPUTED_VALUE"""),37.0)</f>
        <v>37</v>
      </c>
      <c r="B201" t="str">
        <f>IFERROR(__xludf.DUMMYFUNCTION("""COMPUTED_VALUE"""),"TAA2970")</f>
        <v>TAA2970</v>
      </c>
      <c r="C201">
        <f>IFERROR(__xludf.DUMMYFUNCTION("""COMPUTED_VALUE"""),1004745.0)</f>
        <v>1004745</v>
      </c>
      <c r="D201" t="str">
        <f>IFERROR(__xludf.DUMMYFUNCTION("""COMPUTED_VALUE"""),"Ms.")</f>
        <v>Ms.</v>
      </c>
      <c r="E201" t="str">
        <f>IFERROR(__xludf.DUMMYFUNCTION("""COMPUTED_VALUE"""),"Angsumalin")</f>
        <v>Angsumalin</v>
      </c>
      <c r="F201" t="str">
        <f>IFERROR(__xludf.DUMMYFUNCTION("""COMPUTED_VALUE"""),"Arayachutinan")</f>
        <v>Arayachutinan</v>
      </c>
      <c r="G201" t="str">
        <f>IFERROR(__xludf.DUMMYFUNCTION("""COMPUTED_VALUE"""),"Angsumalin Arayachutinan")</f>
        <v>Angsumalin Arayachutinan</v>
      </c>
      <c r="H201" t="str">
        <f>IFERROR(__xludf.DUMMYFUNCTION("""COMPUTED_VALUE"""),"นางสาว")</f>
        <v>นางสาว</v>
      </c>
      <c r="I201" t="str">
        <f>IFERROR(__xludf.DUMMYFUNCTION("""COMPUTED_VALUE"""),"อังศุมาลิน")</f>
        <v>อังศุมาลิน</v>
      </c>
      <c r="J201" t="str">
        <f>IFERROR(__xludf.DUMMYFUNCTION("""COMPUTED_VALUE"""),"อารยะชุตินันท์")</f>
        <v>อารยะชุตินันท์</v>
      </c>
      <c r="K201" t="str">
        <f>IFERROR(__xludf.DUMMYFUNCTION("""COMPUTED_VALUE"""),"อังศุมาลิน อารยะชุตินันท์")</f>
        <v>อังศุมาลิน อารยะชุตินันท์</v>
      </c>
      <c r="L201" t="str">
        <f>IFERROR(__xludf.DUMMYFUNCTION("""COMPUTED_VALUE"""),"อัง")</f>
        <v>อัง</v>
      </c>
      <c r="M201" t="str">
        <f>IFERROR(__xludf.DUMMYFUNCTION("""COMPUTED_VALUE"""),"Senior Cabin Crew - CNX")</f>
        <v>Senior Cabin Crew - CNX</v>
      </c>
      <c r="N201" t="str">
        <f>IFERROR(__xludf.DUMMYFUNCTION("""COMPUTED_VALUE"""),"CNX")</f>
        <v>CNX</v>
      </c>
      <c r="O201" s="145" t="str">
        <f>IFERROR(__xludf.DUMMYFUNCTION("""COMPUTED_VALUE"""),"Up Home")</f>
        <v>Up Home</v>
      </c>
      <c r="P201" t="str">
        <f>IFERROR(__xludf.DUMMYFUNCTION("""COMPUTED_VALUE"""),"Active")</f>
        <v>Active</v>
      </c>
      <c r="Q201" t="str">
        <f>IFERROR(__xludf.DUMMYFUNCTION("""COMPUTED_VALUE"""),"Chinese Speaking")</f>
        <v>Chinese Speaking</v>
      </c>
      <c r="R201" s="143">
        <f>IFERROR(__xludf.DUMMYFUNCTION("""COMPUTED_VALUE"""),31568.0)</f>
        <v>31568</v>
      </c>
      <c r="S201" s="146" t="str">
        <f>IFERROR(__xludf.DUMMYFUNCTION("""COMPUTED_VALUE"""),"080 495 1059")</f>
        <v>080 495 1059</v>
      </c>
      <c r="T201" s="147" t="str">
        <f>IFERROR(__xludf.DUMMYFUNCTION("""COMPUTED_VALUE"""),"8500986-00-0524")</f>
        <v>8500986-00-0524</v>
      </c>
      <c r="U201" t="str">
        <f>IFERROR(__xludf.DUMMYFUNCTION("""COMPUTED_VALUE"""),"AC4880551")</f>
        <v>AC4880551</v>
      </c>
      <c r="V201" s="148">
        <f>IFERROR(__xludf.DUMMYFUNCTION("""COMPUTED_VALUE"""),45036.0)</f>
        <v>45036</v>
      </c>
      <c r="W201" s="148">
        <f>IFERROR(__xludf.DUMMYFUNCTION("""COMPUTED_VALUE"""),48688.0)</f>
        <v>48688</v>
      </c>
      <c r="X201" s="149">
        <f>IFERROR(__xludf.DUMMYFUNCTION("""COMPUTED_VALUE"""),48506.0)</f>
        <v>48506</v>
      </c>
      <c r="Y201" t="str">
        <f>IFERROR(__xludf.DUMMYFUNCTION("""COMPUTED_VALUE"""),"ปลอดภัย")</f>
        <v>ปลอดภัย</v>
      </c>
      <c r="Z201" t="str">
        <f>IFERROR(__xludf.DUMMYFUNCTION("""COMPUTED_VALUE"""),"Chiang Mai Province")</f>
        <v>Chiang Mai Province</v>
      </c>
      <c r="AA201" t="str">
        <f>IFERROR(__xludf.DUMMYFUNCTION("""COMPUTED_VALUE"""),"ลาดกระบัง")</f>
        <v>ลาดกระบัง</v>
      </c>
      <c r="AB201" t="str">
        <f>IFERROR(__xludf.DUMMYFUNCTION("""COMPUTED_VALUE"""),"084 222 7273")</f>
        <v>084 222 7273</v>
      </c>
      <c r="AC201" t="str">
        <f>IFERROR(__xludf.DUMMYFUNCTION("""COMPUTED_VALUE"""),"ไม่ระบุ")</f>
        <v>ไม่ระบุ</v>
      </c>
      <c r="AD201" t="str">
        <f>IFERROR(__xludf.DUMMYFUNCTION("""COMPUTED_VALUE"""),"angsumalina@airasia.com")</f>
        <v>angsumalina@airasia.com</v>
      </c>
    </row>
    <row r="202">
      <c r="A202" s="142">
        <f>IFERROR(__xludf.DUMMYFUNCTION("""COMPUTED_VALUE"""),37.0)</f>
        <v>37</v>
      </c>
      <c r="B202" t="str">
        <f>IFERROR(__xludf.DUMMYFUNCTION("""COMPUTED_VALUE"""),"TAA2974")</f>
        <v>TAA2974</v>
      </c>
      <c r="C202">
        <f>IFERROR(__xludf.DUMMYFUNCTION("""COMPUTED_VALUE"""),1004748.0)</f>
        <v>1004748</v>
      </c>
      <c r="D202" t="str">
        <f>IFERROR(__xludf.DUMMYFUNCTION("""COMPUTED_VALUE"""),"Ms.")</f>
        <v>Ms.</v>
      </c>
      <c r="E202" t="str">
        <f>IFERROR(__xludf.DUMMYFUNCTION("""COMPUTED_VALUE"""),"Chirapha")</f>
        <v>Chirapha</v>
      </c>
      <c r="F202" t="str">
        <f>IFERROR(__xludf.DUMMYFUNCTION("""COMPUTED_VALUE"""),"Khlaikhlueng")</f>
        <v>Khlaikhlueng</v>
      </c>
      <c r="G202" t="str">
        <f>IFERROR(__xludf.DUMMYFUNCTION("""COMPUTED_VALUE"""),"Chirapha Khlaikhlueng")</f>
        <v>Chirapha Khlaikhlueng</v>
      </c>
      <c r="H202" t="str">
        <f>IFERROR(__xludf.DUMMYFUNCTION("""COMPUTED_VALUE"""),"นางสาว")</f>
        <v>นางสาว</v>
      </c>
      <c r="I202" t="str">
        <f>IFERROR(__xludf.DUMMYFUNCTION("""COMPUTED_VALUE"""),"จีราภา")</f>
        <v>จีราภา</v>
      </c>
      <c r="J202" t="str">
        <f>IFERROR(__xludf.DUMMYFUNCTION("""COMPUTED_VALUE"""),"คล้ายคลึง")</f>
        <v>คล้ายคลึง</v>
      </c>
      <c r="K202" t="str">
        <f>IFERROR(__xludf.DUMMYFUNCTION("""COMPUTED_VALUE"""),"จีราภา คล้ายคลึง")</f>
        <v>จีราภา คล้ายคลึง</v>
      </c>
      <c r="L202" t="str">
        <f>IFERROR(__xludf.DUMMYFUNCTION("""COMPUTED_VALUE"""),"ต๊ะ")</f>
        <v>ต๊ะ</v>
      </c>
      <c r="M202" t="str">
        <f>IFERROR(__xludf.DUMMYFUNCTION("""COMPUTED_VALUE"""),"Senior Cabin Crew")</f>
        <v>Senior Cabin Crew</v>
      </c>
      <c r="N202" t="str">
        <f>IFERROR(__xludf.DUMMYFUNCTION("""COMPUTED_VALUE"""),"DMK")</f>
        <v>DMK</v>
      </c>
      <c r="O202" s="145" t="str">
        <f>IFERROR(__xludf.DUMMYFUNCTION("""COMPUTED_VALUE"""),"Up Home")</f>
        <v>Up Home</v>
      </c>
      <c r="P202" t="str">
        <f>IFERROR(__xludf.DUMMYFUNCTION("""COMPUTED_VALUE"""),"Active")</f>
        <v>Active</v>
      </c>
      <c r="Q202" t="str">
        <f>IFERROR(__xludf.DUMMYFUNCTION("""COMPUTED_VALUE"""),"Chinese Speaking")</f>
        <v>Chinese Speaking</v>
      </c>
      <c r="R202" s="143">
        <f>IFERROR(__xludf.DUMMYFUNCTION("""COMPUTED_VALUE"""),30850.0)</f>
        <v>30850</v>
      </c>
      <c r="S202" s="146" t="str">
        <f>IFERROR(__xludf.DUMMYFUNCTION("""COMPUTED_VALUE"""),"087 826 2262")</f>
        <v>087 826 2262</v>
      </c>
      <c r="T202" s="147" t="str">
        <f>IFERROR(__xludf.DUMMYFUNCTION("""COMPUTED_VALUE"""),"1659900-02-6376")</f>
        <v>1659900-02-6376</v>
      </c>
      <c r="U202" t="str">
        <f>IFERROR(__xludf.DUMMYFUNCTION("""COMPUTED_VALUE"""),"AC4319972")</f>
        <v>AC4319972</v>
      </c>
      <c r="V202" s="148">
        <f>IFERROR(__xludf.DUMMYFUNCTION("""COMPUTED_VALUE"""),44929.0)</f>
        <v>44929</v>
      </c>
      <c r="W202" s="148">
        <f>IFERROR(__xludf.DUMMYFUNCTION("""COMPUTED_VALUE"""),48581.0)</f>
        <v>48581</v>
      </c>
      <c r="X202" s="149">
        <f>IFERROR(__xludf.DUMMYFUNCTION("""COMPUTED_VALUE"""),48397.0)</f>
        <v>48397</v>
      </c>
      <c r="Y202" t="str">
        <f>IFERROR(__xludf.DUMMYFUNCTION("""COMPUTED_VALUE"""),"ปลอดภัย")</f>
        <v>ปลอดภัย</v>
      </c>
      <c r="Z202" t="str">
        <f>IFERROR(__xludf.DUMMYFUNCTION("""COMPUTED_VALUE"""),"Phitsanulok Province")</f>
        <v>Phitsanulok Province</v>
      </c>
      <c r="AA202" t="str">
        <f>IFERROR(__xludf.DUMMYFUNCTION("""COMPUTED_VALUE"""),"บางกะปิ")</f>
        <v>บางกะปิ</v>
      </c>
      <c r="AB202" t="str">
        <f>IFERROR(__xludf.DUMMYFUNCTION("""COMPUTED_VALUE"""),"! Update !")</f>
        <v>! Update !</v>
      </c>
      <c r="AC202" t="str">
        <f>IFERROR(__xludf.DUMMYFUNCTION("""COMPUTED_VALUE"""),"! Update !")</f>
        <v>! Update !</v>
      </c>
      <c r="AD202" t="str">
        <f>IFERROR(__xludf.DUMMYFUNCTION("""COMPUTED_VALUE"""),"chiraphak@airasia.com")</f>
        <v>chiraphak@airasia.com</v>
      </c>
    </row>
    <row r="203">
      <c r="A203" s="142">
        <f>IFERROR(__xludf.DUMMYFUNCTION("""COMPUTED_VALUE"""),37.0)</f>
        <v>37</v>
      </c>
      <c r="B203" t="str">
        <f>IFERROR(__xludf.DUMMYFUNCTION("""COMPUTED_VALUE"""),"TAA2964")</f>
        <v>TAA2964</v>
      </c>
      <c r="C203">
        <f>IFERROR(__xludf.DUMMYFUNCTION("""COMPUTED_VALUE"""),1004751.0)</f>
        <v>1004751</v>
      </c>
      <c r="D203" t="str">
        <f>IFERROR(__xludf.DUMMYFUNCTION("""COMPUTED_VALUE"""),"Ms.")</f>
        <v>Ms.</v>
      </c>
      <c r="E203" t="str">
        <f>IFERROR(__xludf.DUMMYFUNCTION("""COMPUTED_VALUE"""),"Manichaya")</f>
        <v>Manichaya</v>
      </c>
      <c r="F203" t="str">
        <f>IFERROR(__xludf.DUMMYFUNCTION("""COMPUTED_VALUE"""),"Samai")</f>
        <v>Samai</v>
      </c>
      <c r="G203" t="str">
        <f>IFERROR(__xludf.DUMMYFUNCTION("""COMPUTED_VALUE"""),"Manichaya Samai")</f>
        <v>Manichaya Samai</v>
      </c>
      <c r="H203" t="str">
        <f>IFERROR(__xludf.DUMMYFUNCTION("""COMPUTED_VALUE"""),"นางสาว")</f>
        <v>นางสาว</v>
      </c>
      <c r="I203" t="str">
        <f>IFERROR(__xludf.DUMMYFUNCTION("""COMPUTED_VALUE"""),"มณิชญา")</f>
        <v>มณิชญา</v>
      </c>
      <c r="J203" t="str">
        <f>IFERROR(__xludf.DUMMYFUNCTION("""COMPUTED_VALUE"""),"สมัย")</f>
        <v>สมัย</v>
      </c>
      <c r="K203" t="str">
        <f>IFERROR(__xludf.DUMMYFUNCTION("""COMPUTED_VALUE"""),"มณิชญา สมัย")</f>
        <v>มณิชญา สมัย</v>
      </c>
      <c r="L203" t="str">
        <f>IFERROR(__xludf.DUMMYFUNCTION("""COMPUTED_VALUE"""),"เอื้อย")</f>
        <v>เอื้อย</v>
      </c>
      <c r="M203" t="str">
        <f>IFERROR(__xludf.DUMMYFUNCTION("""COMPUTED_VALUE"""),"Senior Cabin Crew - BKK")</f>
        <v>Senior Cabin Crew - BKK</v>
      </c>
      <c r="N203" t="str">
        <f>IFERROR(__xludf.DUMMYFUNCTION("""COMPUTED_VALUE"""),"BKK")</f>
        <v>BKK</v>
      </c>
      <c r="O203" s="145" t="str">
        <f>IFERROR(__xludf.DUMMYFUNCTION("""COMPUTED_VALUE"""),"Nhui Home")</f>
        <v>Nhui Home</v>
      </c>
      <c r="P203" t="str">
        <f>IFERROR(__xludf.DUMMYFUNCTION("""COMPUTED_VALUE"""),"Active")</f>
        <v>Active</v>
      </c>
      <c r="R203" s="143">
        <f>IFERROR(__xludf.DUMMYFUNCTION("""COMPUTED_VALUE"""),31162.0)</f>
        <v>31162</v>
      </c>
      <c r="S203" s="146" t="str">
        <f>IFERROR(__xludf.DUMMYFUNCTION("""COMPUTED_VALUE"""),"088 426 2426")</f>
        <v>088 426 2426</v>
      </c>
      <c r="T203" s="147" t="str">
        <f>IFERROR(__xludf.DUMMYFUNCTION("""COMPUTED_VALUE"""),"1101400-45-2225")</f>
        <v>1101400-45-2225</v>
      </c>
      <c r="U203" t="str">
        <f>IFERROR(__xludf.DUMMYFUNCTION("""COMPUTED_VALUE"""),"AD1647523")</f>
        <v>AD1647523</v>
      </c>
      <c r="V203" s="148">
        <f>IFERROR(__xludf.DUMMYFUNCTION("""COMPUTED_VALUE"""),45320.0)</f>
        <v>45320</v>
      </c>
      <c r="W203" s="148">
        <f>IFERROR(__xludf.DUMMYFUNCTION("""COMPUTED_VALUE"""),48972.0)</f>
        <v>48972</v>
      </c>
      <c r="X203" s="149">
        <f>IFERROR(__xludf.DUMMYFUNCTION("""COMPUTED_VALUE"""),48788.0)</f>
        <v>48788</v>
      </c>
      <c r="Y203" t="str">
        <f>IFERROR(__xludf.DUMMYFUNCTION("""COMPUTED_VALUE"""),"ปลอดภัย")</f>
        <v>ปลอดภัย</v>
      </c>
      <c r="Z203" t="str">
        <f>IFERROR(__xludf.DUMMYFUNCTION("""COMPUTED_VALUE"""),"Bangkok")</f>
        <v>Bangkok</v>
      </c>
      <c r="AA203" t="str">
        <f>IFERROR(__xludf.DUMMYFUNCTION("""COMPUTED_VALUE"""),"สุขาภิบาล3")</f>
        <v>สุขาภิบาล3</v>
      </c>
      <c r="AB203" t="str">
        <f>IFERROR(__xludf.DUMMYFUNCTION("""COMPUTED_VALUE"""),"02 728 0448")</f>
        <v>02 728 0448</v>
      </c>
      <c r="AC203" t="str">
        <f>IFERROR(__xludf.DUMMYFUNCTION("""COMPUTED_VALUE"""),"บ้าน")</f>
        <v>บ้าน</v>
      </c>
      <c r="AD203" t="str">
        <f>IFERROR(__xludf.DUMMYFUNCTION("""COMPUTED_VALUE"""),"manichayas@airasia.com")</f>
        <v>manichayas@airasia.com</v>
      </c>
    </row>
    <row r="204">
      <c r="A204" s="142">
        <f>IFERROR(__xludf.DUMMYFUNCTION("""COMPUTED_VALUE"""),37.0)</f>
        <v>37</v>
      </c>
      <c r="B204" t="str">
        <f>IFERROR(__xludf.DUMMYFUNCTION("""COMPUTED_VALUE"""),"TAA2976")</f>
        <v>TAA2976</v>
      </c>
      <c r="C204">
        <f>IFERROR(__xludf.DUMMYFUNCTION("""COMPUTED_VALUE"""),1004754.0)</f>
        <v>1004754</v>
      </c>
      <c r="D204" t="str">
        <f>IFERROR(__xludf.DUMMYFUNCTION("""COMPUTED_VALUE"""),"Ms.")</f>
        <v>Ms.</v>
      </c>
      <c r="E204" t="str">
        <f>IFERROR(__xludf.DUMMYFUNCTION("""COMPUTED_VALUE"""),"Nantida")</f>
        <v>Nantida</v>
      </c>
      <c r="F204" t="str">
        <f>IFERROR(__xludf.DUMMYFUNCTION("""COMPUTED_VALUE"""),"Sae-Tan")</f>
        <v>Sae-Tan</v>
      </c>
      <c r="G204" t="str">
        <f>IFERROR(__xludf.DUMMYFUNCTION("""COMPUTED_VALUE"""),"Nantida Sae-Tan")</f>
        <v>Nantida Sae-Tan</v>
      </c>
      <c r="H204" t="str">
        <f>IFERROR(__xludf.DUMMYFUNCTION("""COMPUTED_VALUE"""),"นางสาว")</f>
        <v>นางสาว</v>
      </c>
      <c r="I204" t="str">
        <f>IFERROR(__xludf.DUMMYFUNCTION("""COMPUTED_VALUE"""),"นันทิดา")</f>
        <v>นันทิดา</v>
      </c>
      <c r="J204" t="str">
        <f>IFERROR(__xludf.DUMMYFUNCTION("""COMPUTED_VALUE"""),"แซ่ตัน")</f>
        <v>แซ่ตัน</v>
      </c>
      <c r="K204" t="str">
        <f>IFERROR(__xludf.DUMMYFUNCTION("""COMPUTED_VALUE"""),"นันทิดา แซ่ตัน")</f>
        <v>นันทิดา แซ่ตัน</v>
      </c>
      <c r="L204" t="str">
        <f>IFERROR(__xludf.DUMMYFUNCTION("""COMPUTED_VALUE"""),"ปิ่น")</f>
        <v>ปิ่น</v>
      </c>
      <c r="M204" t="str">
        <f>IFERROR(__xludf.DUMMYFUNCTION("""COMPUTED_VALUE"""),"Cabin Crew - HKT")</f>
        <v>Cabin Crew - HKT</v>
      </c>
      <c r="N204" t="str">
        <f>IFERROR(__xludf.DUMMYFUNCTION("""COMPUTED_VALUE"""),"HKT")</f>
        <v>HKT</v>
      </c>
      <c r="O204" s="145" t="str">
        <f>IFERROR(__xludf.DUMMYFUNCTION("""COMPUTED_VALUE"""),"Kor Home")</f>
        <v>Kor Home</v>
      </c>
      <c r="P204" t="str">
        <f>IFERROR(__xludf.DUMMYFUNCTION("""COMPUTED_VALUE"""),"Active/V/DMK")</f>
        <v>Active/V/DMK</v>
      </c>
      <c r="Q204" t="str">
        <f>IFERROR(__xludf.DUMMYFUNCTION("""COMPUTED_VALUE"""),"Chinese Speaking")</f>
        <v>Chinese Speaking</v>
      </c>
      <c r="R204" s="143">
        <f>IFERROR(__xludf.DUMMYFUNCTION("""COMPUTED_VALUE"""),31823.0)</f>
        <v>31823</v>
      </c>
      <c r="S204" s="146" t="str">
        <f>IFERROR(__xludf.DUMMYFUNCTION("""COMPUTED_VALUE"""),"097 918 5636")</f>
        <v>097 918 5636</v>
      </c>
      <c r="T204" s="147" t="str">
        <f>IFERROR(__xludf.DUMMYFUNCTION("""COMPUTED_VALUE"""),"1839900-11-0863")</f>
        <v>1839900-11-0863</v>
      </c>
      <c r="U204" t="str">
        <f>IFERROR(__xludf.DUMMYFUNCTION("""COMPUTED_VALUE"""),"AC3439320")</f>
        <v>AC3439320</v>
      </c>
      <c r="V204" s="148">
        <f>IFERROR(__xludf.DUMMYFUNCTION("""COMPUTED_VALUE"""),44733.0)</f>
        <v>44733</v>
      </c>
      <c r="W204" s="148">
        <f>IFERROR(__xludf.DUMMYFUNCTION("""COMPUTED_VALUE"""),48385.0)</f>
        <v>48385</v>
      </c>
      <c r="X204" s="149">
        <f>IFERROR(__xludf.DUMMYFUNCTION("""COMPUTED_VALUE"""),48202.0)</f>
        <v>48202</v>
      </c>
      <c r="Y204" t="str">
        <f>IFERROR(__xludf.DUMMYFUNCTION("""COMPUTED_VALUE"""),"ปลอดภัย")</f>
        <v>ปลอดภัย</v>
      </c>
      <c r="Z204" t="str">
        <f>IFERROR(__xludf.DUMMYFUNCTION("""COMPUTED_VALUE"""),"Phuket Province")</f>
        <v>Phuket Province</v>
      </c>
      <c r="AA204" t="str">
        <f>IFERROR(__xludf.DUMMYFUNCTION("""COMPUTED_VALUE"""),"ภูเก็ต")</f>
        <v>ภูเก็ต</v>
      </c>
      <c r="AB204" t="str">
        <f>IFERROR(__xludf.DUMMYFUNCTION("""COMPUTED_VALUE"""),"! Update !")</f>
        <v>! Update !</v>
      </c>
      <c r="AC204" t="str">
        <f>IFERROR(__xludf.DUMMYFUNCTION("""COMPUTED_VALUE"""),"ไม่ระบุ")</f>
        <v>ไม่ระบุ</v>
      </c>
      <c r="AD204" t="str">
        <f>IFERROR(__xludf.DUMMYFUNCTION("""COMPUTED_VALUE"""),"nantidas@airasia.com")</f>
        <v>nantidas@airasia.com</v>
      </c>
    </row>
    <row r="205">
      <c r="A205" s="142">
        <f>IFERROR(__xludf.DUMMYFUNCTION("""COMPUTED_VALUE"""),37.0)</f>
        <v>37</v>
      </c>
      <c r="B205" t="str">
        <f>IFERROR(__xludf.DUMMYFUNCTION("""COMPUTED_VALUE"""),"TAA2963")</f>
        <v>TAA2963</v>
      </c>
      <c r="C205">
        <f>IFERROR(__xludf.DUMMYFUNCTION("""COMPUTED_VALUE"""),1004755.0)</f>
        <v>1004755</v>
      </c>
      <c r="D205" t="str">
        <f>IFERROR(__xludf.DUMMYFUNCTION("""COMPUTED_VALUE"""),"Ms.")</f>
        <v>Ms.</v>
      </c>
      <c r="E205" t="str">
        <f>IFERROR(__xludf.DUMMYFUNCTION("""COMPUTED_VALUE"""),"Nichapha")</f>
        <v>Nichapha</v>
      </c>
      <c r="F205" t="str">
        <f>IFERROR(__xludf.DUMMYFUNCTION("""COMPUTED_VALUE"""),"Ariyakulnimit")</f>
        <v>Ariyakulnimit</v>
      </c>
      <c r="G205" t="str">
        <f>IFERROR(__xludf.DUMMYFUNCTION("""COMPUTED_VALUE"""),"Nichapha Ariyakulnimit")</f>
        <v>Nichapha Ariyakulnimit</v>
      </c>
      <c r="H205" t="str">
        <f>IFERROR(__xludf.DUMMYFUNCTION("""COMPUTED_VALUE"""),"นางสาว")</f>
        <v>นางสาว</v>
      </c>
      <c r="I205" t="str">
        <f>IFERROR(__xludf.DUMMYFUNCTION("""COMPUTED_VALUE"""),"ณิชาภา")</f>
        <v>ณิชาภา</v>
      </c>
      <c r="J205" t="str">
        <f>IFERROR(__xludf.DUMMYFUNCTION("""COMPUTED_VALUE"""),"อริยกุลนิมิต")</f>
        <v>อริยกุลนิมิต</v>
      </c>
      <c r="K205" t="str">
        <f>IFERROR(__xludf.DUMMYFUNCTION("""COMPUTED_VALUE"""),"ณิชาภา อริยกุลนิมิต")</f>
        <v>ณิชาภา อริยกุลนิมิต</v>
      </c>
      <c r="L205" t="str">
        <f>IFERROR(__xludf.DUMMYFUNCTION("""COMPUTED_VALUE"""),"อีฟ")</f>
        <v>อีฟ</v>
      </c>
      <c r="M205" t="str">
        <f>IFERROR(__xludf.DUMMYFUNCTION("""COMPUTED_VALUE"""),"Senior Cabin Crew")</f>
        <v>Senior Cabin Crew</v>
      </c>
      <c r="N205" t="str">
        <f>IFERROR(__xludf.DUMMYFUNCTION("""COMPUTED_VALUE"""),"DMK")</f>
        <v>DMK</v>
      </c>
      <c r="O205" s="145" t="str">
        <f>IFERROR(__xludf.DUMMYFUNCTION("""COMPUTED_VALUE"""),"Por+ Home")</f>
        <v>Por+ Home</v>
      </c>
      <c r="P205" t="str">
        <f>IFERROR(__xludf.DUMMYFUNCTION("""COMPUTED_VALUE"""),"Active")</f>
        <v>Active</v>
      </c>
      <c r="R205" s="143">
        <f>IFERROR(__xludf.DUMMYFUNCTION("""COMPUTED_VALUE"""),30696.0)</f>
        <v>30696</v>
      </c>
      <c r="S205" s="146" t="str">
        <f>IFERROR(__xludf.DUMMYFUNCTION("""COMPUTED_VALUE"""),"085 370 5199")</f>
        <v>085 370 5199</v>
      </c>
      <c r="T205" s="147" t="str">
        <f>IFERROR(__xludf.DUMMYFUNCTION("""COMPUTED_VALUE"""),"1901000-00-1491")</f>
        <v>1901000-00-1491</v>
      </c>
      <c r="U205" t="str">
        <f>IFERROR(__xludf.DUMMYFUNCTION("""COMPUTED_VALUE"""),"AC2757915")</f>
        <v>AC2757915</v>
      </c>
      <c r="V205" s="148">
        <f>IFERROR(__xludf.DUMMYFUNCTION("""COMPUTED_VALUE"""),44494.0)</f>
        <v>44494</v>
      </c>
      <c r="W205" s="148">
        <f>IFERROR(__xludf.DUMMYFUNCTION("""COMPUTED_VALUE"""),48145.0)</f>
        <v>48145</v>
      </c>
      <c r="X205" s="149">
        <f>IFERROR(__xludf.DUMMYFUNCTION("""COMPUTED_VALUE"""),47962.0)</f>
        <v>47962</v>
      </c>
      <c r="Y205" t="str">
        <f>IFERROR(__xludf.DUMMYFUNCTION("""COMPUTED_VALUE"""),"ปลอดภัย")</f>
        <v>ปลอดภัย</v>
      </c>
      <c r="Z205" t="str">
        <f>IFERROR(__xludf.DUMMYFUNCTION("""COMPUTED_VALUE"""),"Songkhla Province")</f>
        <v>Songkhla Province</v>
      </c>
      <c r="AA205" t="str">
        <f>IFERROR(__xludf.DUMMYFUNCTION("""COMPUTED_VALUE"""),"บางกะปิ")</f>
        <v>บางกะปิ</v>
      </c>
      <c r="AB205" t="str">
        <f>IFERROR(__xludf.DUMMYFUNCTION("""COMPUTED_VALUE"""),"085 370 5199")</f>
        <v>085 370 5199</v>
      </c>
      <c r="AC205" t="str">
        <f>IFERROR(__xludf.DUMMYFUNCTION("""COMPUTED_VALUE"""),"ไม่ระบุ")</f>
        <v>ไม่ระบุ</v>
      </c>
      <c r="AD205" t="str">
        <f>IFERROR(__xludf.DUMMYFUNCTION("""COMPUTED_VALUE"""),"nichaphaa@airasia.com")</f>
        <v>nichaphaa@airasia.com</v>
      </c>
    </row>
    <row r="206">
      <c r="A206" s="142">
        <f>IFERROR(__xludf.DUMMYFUNCTION("""COMPUTED_VALUE"""),37.0)</f>
        <v>37</v>
      </c>
      <c r="B206" t="str">
        <f>IFERROR(__xludf.DUMMYFUNCTION("""COMPUTED_VALUE"""),"TAA2967")</f>
        <v>TAA2967</v>
      </c>
      <c r="C206">
        <f>IFERROR(__xludf.DUMMYFUNCTION("""COMPUTED_VALUE"""),1004757.0)</f>
        <v>1004757</v>
      </c>
      <c r="D206" t="str">
        <f>IFERROR(__xludf.DUMMYFUNCTION("""COMPUTED_VALUE"""),"Ms.")</f>
        <v>Ms.</v>
      </c>
      <c r="E206" t="str">
        <f>IFERROR(__xludf.DUMMYFUNCTION("""COMPUTED_VALUE"""),"Pimwaree")</f>
        <v>Pimwaree</v>
      </c>
      <c r="F206" t="str">
        <f>IFERROR(__xludf.DUMMYFUNCTION("""COMPUTED_VALUE"""),"Makmee")</f>
        <v>Makmee</v>
      </c>
      <c r="G206" t="str">
        <f>IFERROR(__xludf.DUMMYFUNCTION("""COMPUTED_VALUE"""),"Pimwaree Makmee")</f>
        <v>Pimwaree Makmee</v>
      </c>
      <c r="H206" t="str">
        <f>IFERROR(__xludf.DUMMYFUNCTION("""COMPUTED_VALUE"""),"นางสาว")</f>
        <v>นางสาว</v>
      </c>
      <c r="I206" t="str">
        <f>IFERROR(__xludf.DUMMYFUNCTION("""COMPUTED_VALUE"""),"พิมพ์วรีย์")</f>
        <v>พิมพ์วรีย์</v>
      </c>
      <c r="J206" t="str">
        <f>IFERROR(__xludf.DUMMYFUNCTION("""COMPUTED_VALUE"""),"มากมี")</f>
        <v>มากมี</v>
      </c>
      <c r="K206" t="str">
        <f>IFERROR(__xludf.DUMMYFUNCTION("""COMPUTED_VALUE"""),"พิมพ์วรีย์ มากมี")</f>
        <v>พิมพ์วรีย์ มากมี</v>
      </c>
      <c r="L206" t="str">
        <f>IFERROR(__xludf.DUMMYFUNCTION("""COMPUTED_VALUE"""),"วิว")</f>
        <v>วิว</v>
      </c>
      <c r="M206" t="str">
        <f>IFERROR(__xludf.DUMMYFUNCTION("""COMPUTED_VALUE"""),"Cabin Crew")</f>
        <v>Cabin Crew</v>
      </c>
      <c r="N206" t="str">
        <f>IFERROR(__xludf.DUMMYFUNCTION("""COMPUTED_VALUE"""),"DMK")</f>
        <v>DMK</v>
      </c>
      <c r="O206" s="145" t="str">
        <f>IFERROR(__xludf.DUMMYFUNCTION("""COMPUTED_VALUE"""),"Kor Home")</f>
        <v>Kor Home</v>
      </c>
      <c r="P206" t="str">
        <f>IFERROR(__xludf.DUMMYFUNCTION("""COMPUTED_VALUE"""),"Active")</f>
        <v>Active</v>
      </c>
      <c r="Q206" t="str">
        <f>IFERROR(__xludf.DUMMYFUNCTION("""COMPUTED_VALUE"""),"Chinese Speaking")</f>
        <v>Chinese Speaking</v>
      </c>
      <c r="R206" s="143">
        <f>IFERROR(__xludf.DUMMYFUNCTION("""COMPUTED_VALUE"""),31757.0)</f>
        <v>31757</v>
      </c>
      <c r="S206" s="146" t="str">
        <f>IFERROR(__xludf.DUMMYFUNCTION("""COMPUTED_VALUE"""),"086 169 5859")</f>
        <v>086 169 5859</v>
      </c>
      <c r="T206" s="147" t="str">
        <f>IFERROR(__xludf.DUMMYFUNCTION("""COMPUTED_VALUE"""),"1709900-25-7059")</f>
        <v>1709900-25-7059</v>
      </c>
      <c r="U206" t="str">
        <f>IFERROR(__xludf.DUMMYFUNCTION("""COMPUTED_VALUE"""),"AC2290713")</f>
        <v>AC2290713</v>
      </c>
      <c r="V206" s="148">
        <f>IFERROR(__xludf.DUMMYFUNCTION("""COMPUTED_VALUE"""),44343.0)</f>
        <v>44343</v>
      </c>
      <c r="W206" s="148">
        <f>IFERROR(__xludf.DUMMYFUNCTION("""COMPUTED_VALUE"""),47994.0)</f>
        <v>47994</v>
      </c>
      <c r="X206" s="149">
        <f>IFERROR(__xludf.DUMMYFUNCTION("""COMPUTED_VALUE"""),47813.0)</f>
        <v>47813</v>
      </c>
      <c r="Y206" t="str">
        <f>IFERROR(__xludf.DUMMYFUNCTION("""COMPUTED_VALUE"""),"ปลอดภัย")</f>
        <v>ปลอดภัย</v>
      </c>
      <c r="Z206" t="str">
        <f>IFERROR(__xludf.DUMMYFUNCTION("""COMPUTED_VALUE"""),"Ratchaburi Province")</f>
        <v>Ratchaburi Province</v>
      </c>
      <c r="AA206" t="str">
        <f>IFERROR(__xludf.DUMMYFUNCTION("""COMPUTED_VALUE"""),"ลาดกระบัง")</f>
        <v>ลาดกระบัง</v>
      </c>
      <c r="AB206" t="str">
        <f>IFERROR(__xludf.DUMMYFUNCTION("""COMPUTED_VALUE"""),"086 169 5859")</f>
        <v>086 169 5859</v>
      </c>
      <c r="AC206" t="str">
        <f>IFERROR(__xludf.DUMMYFUNCTION("""COMPUTED_VALUE"""),"ไม่ระบุ")</f>
        <v>ไม่ระบุ</v>
      </c>
      <c r="AD206" t="str">
        <f>IFERROR(__xludf.DUMMYFUNCTION("""COMPUTED_VALUE"""),"pimwareem@airasia.com")</f>
        <v>pimwareem@airasia.com</v>
      </c>
    </row>
    <row r="207">
      <c r="A207" s="142">
        <f>IFERROR(__xludf.DUMMYFUNCTION("""COMPUTED_VALUE"""),37.0)</f>
        <v>37</v>
      </c>
      <c r="B207" t="str">
        <f>IFERROR(__xludf.DUMMYFUNCTION("""COMPUTED_VALUE"""),"TAA2971")</f>
        <v>TAA2971</v>
      </c>
      <c r="C207">
        <f>IFERROR(__xludf.DUMMYFUNCTION("""COMPUTED_VALUE"""),1004762.0)</f>
        <v>1004762</v>
      </c>
      <c r="D207" t="str">
        <f>IFERROR(__xludf.DUMMYFUNCTION("""COMPUTED_VALUE"""),"Ms.")</f>
        <v>Ms.</v>
      </c>
      <c r="E207" t="str">
        <f>IFERROR(__xludf.DUMMYFUNCTION("""COMPUTED_VALUE"""),"Thiprutai")</f>
        <v>Thiprutai</v>
      </c>
      <c r="F207" t="str">
        <f>IFERROR(__xludf.DUMMYFUNCTION("""COMPUTED_VALUE"""),"Dechpakdee")</f>
        <v>Dechpakdee</v>
      </c>
      <c r="G207" t="str">
        <f>IFERROR(__xludf.DUMMYFUNCTION("""COMPUTED_VALUE"""),"Thiprutai Dechpakdee")</f>
        <v>Thiprutai Dechpakdee</v>
      </c>
      <c r="H207" t="str">
        <f>IFERROR(__xludf.DUMMYFUNCTION("""COMPUTED_VALUE"""),"นางสาว")</f>
        <v>นางสาว</v>
      </c>
      <c r="I207" t="str">
        <f>IFERROR(__xludf.DUMMYFUNCTION("""COMPUTED_VALUE"""),"ทิพย์ฤทัย")</f>
        <v>ทิพย์ฤทัย</v>
      </c>
      <c r="J207" t="str">
        <f>IFERROR(__xludf.DUMMYFUNCTION("""COMPUTED_VALUE"""),"เดชภักดี")</f>
        <v>เดชภักดี</v>
      </c>
      <c r="K207" t="str">
        <f>IFERROR(__xludf.DUMMYFUNCTION("""COMPUTED_VALUE"""),"ทิพย์ฤทัย เดชภักดี")</f>
        <v>ทิพย์ฤทัย เดชภักดี</v>
      </c>
      <c r="L207" t="str">
        <f>IFERROR(__xludf.DUMMYFUNCTION("""COMPUTED_VALUE"""),"แพรว")</f>
        <v>แพรว</v>
      </c>
      <c r="M207" t="str">
        <f>IFERROR(__xludf.DUMMYFUNCTION("""COMPUTED_VALUE"""),"Senior Cabin Crew - HKT")</f>
        <v>Senior Cabin Crew - HKT</v>
      </c>
      <c r="N207" t="str">
        <f>IFERROR(__xludf.DUMMYFUNCTION("""COMPUTED_VALUE"""),"HKT")</f>
        <v>HKT</v>
      </c>
      <c r="O207" s="145" t="str">
        <f>IFERROR(__xludf.DUMMYFUNCTION("""COMPUTED_VALUE"""),"Kor Home")</f>
        <v>Kor Home</v>
      </c>
      <c r="P207" t="str">
        <f>IFERROR(__xludf.DUMMYFUNCTION("""COMPUTED_VALUE"""),"Active")</f>
        <v>Active</v>
      </c>
      <c r="Q207" t="str">
        <f>IFERROR(__xludf.DUMMYFUNCTION("""COMPUTED_VALUE"""),"Chinese Speaking")</f>
        <v>Chinese Speaking</v>
      </c>
      <c r="R207" s="143">
        <f>IFERROR(__xludf.DUMMYFUNCTION("""COMPUTED_VALUE"""),32635.0)</f>
        <v>32635</v>
      </c>
      <c r="S207" s="146" t="str">
        <f>IFERROR(__xludf.DUMMYFUNCTION("""COMPUTED_VALUE"""),"086 343 9344")</f>
        <v>086 343 9344</v>
      </c>
      <c r="T207" s="147" t="str">
        <f>IFERROR(__xludf.DUMMYFUNCTION("""COMPUTED_VALUE"""),"1929900-18-5871")</f>
        <v>1929900-18-5871</v>
      </c>
      <c r="U207" t="str">
        <f>IFERROR(__xludf.DUMMYFUNCTION("""COMPUTED_VALUE"""),"AC7980971")</f>
        <v>AC7980971</v>
      </c>
      <c r="V207" s="148">
        <f>IFERROR(__xludf.DUMMYFUNCTION("""COMPUTED_VALUE"""),45691.0)</f>
        <v>45691</v>
      </c>
      <c r="W207" s="148">
        <f>IFERROR(__xludf.DUMMYFUNCTION("""COMPUTED_VALUE"""),49342.0)</f>
        <v>49342</v>
      </c>
      <c r="X207" s="149">
        <f>IFERROR(__xludf.DUMMYFUNCTION("""COMPUTED_VALUE"""),49158.0)</f>
        <v>49158</v>
      </c>
      <c r="Y207" t="str">
        <f>IFERROR(__xludf.DUMMYFUNCTION("""COMPUTED_VALUE"""),"ปลอดภัย")</f>
        <v>ปลอดภัย</v>
      </c>
      <c r="Z207" t="str">
        <f>IFERROR(__xludf.DUMMYFUNCTION("""COMPUTED_VALUE"""),"Trang Province")</f>
        <v>Trang Province</v>
      </c>
      <c r="AA207" t="str">
        <f>IFERROR(__xludf.DUMMYFUNCTION("""COMPUTED_VALUE"""),"ภูเก็ต")</f>
        <v>ภูเก็ต</v>
      </c>
      <c r="AB207" t="str">
        <f>IFERROR(__xludf.DUMMYFUNCTION("""COMPUTED_VALUE"""),"087 334 6931")</f>
        <v>087 334 6931</v>
      </c>
      <c r="AC207" t="str">
        <f>IFERROR(__xludf.DUMMYFUNCTION("""COMPUTED_VALUE"""),"ไม่ระบุ")</f>
        <v>ไม่ระบุ</v>
      </c>
      <c r="AD207" t="str">
        <f>IFERROR(__xludf.DUMMYFUNCTION("""COMPUTED_VALUE"""),"thiprutaid@airasia.com")</f>
        <v>thiprutaid@airasia.com</v>
      </c>
    </row>
    <row r="208">
      <c r="A208" s="142">
        <f>IFERROR(__xludf.DUMMYFUNCTION("""COMPUTED_VALUE"""),37.0)</f>
        <v>37</v>
      </c>
      <c r="B208" t="str">
        <f>IFERROR(__xludf.DUMMYFUNCTION("""COMPUTED_VALUE"""),"TAA2965")</f>
        <v>TAA2965</v>
      </c>
      <c r="C208">
        <f>IFERROR(__xludf.DUMMYFUNCTION("""COMPUTED_VALUE"""),1004764.0)</f>
        <v>1004764</v>
      </c>
      <c r="D208" t="str">
        <f>IFERROR(__xludf.DUMMYFUNCTION("""COMPUTED_VALUE"""),"Ms.")</f>
        <v>Ms.</v>
      </c>
      <c r="E208" t="str">
        <f>IFERROR(__xludf.DUMMYFUNCTION("""COMPUTED_VALUE"""),"Wakulnatt (Awatsara)")</f>
        <v>Wakulnatt (Awatsara)</v>
      </c>
      <c r="F208" t="str">
        <f>IFERROR(__xludf.DUMMYFUNCTION("""COMPUTED_VALUE"""),"Santipiyakul")</f>
        <v>Santipiyakul</v>
      </c>
      <c r="G208" t="str">
        <f>IFERROR(__xludf.DUMMYFUNCTION("""COMPUTED_VALUE"""),"Wakulnatt Santipiyakul")</f>
        <v>Wakulnatt Santipiyakul</v>
      </c>
      <c r="H208" t="str">
        <f>IFERROR(__xludf.DUMMYFUNCTION("""COMPUTED_VALUE"""),"นางสาว")</f>
        <v>นางสาว</v>
      </c>
      <c r="I208" t="str">
        <f>IFERROR(__xludf.DUMMYFUNCTION("""COMPUTED_VALUE"""),"วกุลณัฏฐ์ (อวัสรา)")</f>
        <v>วกุลณัฏฐ์ (อวัสรา)</v>
      </c>
      <c r="J208" t="str">
        <f>IFERROR(__xludf.DUMMYFUNCTION("""COMPUTED_VALUE"""),"สันติปิยกุล")</f>
        <v>สันติปิยกุล</v>
      </c>
      <c r="K208" t="str">
        <f>IFERROR(__xludf.DUMMYFUNCTION("""COMPUTED_VALUE"""),"วกุลณัฏฐ์ สันติปิยกุล")</f>
        <v>วกุลณัฏฐ์ สันติปิยกุล</v>
      </c>
      <c r="L208" t="str">
        <f>IFERROR(__xludf.DUMMYFUNCTION("""COMPUTED_VALUE"""),"ไหม")</f>
        <v>ไหม</v>
      </c>
      <c r="M208" t="str">
        <f>IFERROR(__xludf.DUMMYFUNCTION("""COMPUTED_VALUE"""),"Senior Cabin Crew - CNX")</f>
        <v>Senior Cabin Crew - CNX</v>
      </c>
      <c r="N208" s="145" t="str">
        <f>IFERROR(__xludf.DUMMYFUNCTION("""COMPUTED_VALUE"""),"CNX")</f>
        <v>CNX</v>
      </c>
      <c r="O208" s="145" t="str">
        <f>IFERROR(__xludf.DUMMYFUNCTION("""COMPUTED_VALUE"""),"Up Home")</f>
        <v>Up Home</v>
      </c>
      <c r="P208" t="str">
        <f>IFERROR(__xludf.DUMMYFUNCTION("""COMPUTED_VALUE"""),"Active")</f>
        <v>Active</v>
      </c>
      <c r="R208" s="143">
        <f>IFERROR(__xludf.DUMMYFUNCTION("""COMPUTED_VALUE"""),32092.0)</f>
        <v>32092</v>
      </c>
      <c r="S208" s="146" t="str">
        <f>IFERROR(__xludf.DUMMYFUNCTION("""COMPUTED_VALUE"""),"080 464 9922")</f>
        <v>080 464 9922</v>
      </c>
      <c r="T208" s="147" t="str">
        <f>IFERROR(__xludf.DUMMYFUNCTION("""COMPUTED_VALUE"""),"1909800-24-6436")</f>
        <v>1909800-24-6436</v>
      </c>
      <c r="U208" t="str">
        <f>IFERROR(__xludf.DUMMYFUNCTION("""COMPUTED_VALUE"""),"AC2296758")</f>
        <v>AC2296758</v>
      </c>
      <c r="V208" s="148">
        <f>IFERROR(__xludf.DUMMYFUNCTION("""COMPUTED_VALUE"""),44347.0)</f>
        <v>44347</v>
      </c>
      <c r="W208" s="148">
        <f>IFERROR(__xludf.DUMMYFUNCTION("""COMPUTED_VALUE"""),47998.0)</f>
        <v>47998</v>
      </c>
      <c r="X208" s="149">
        <f>IFERROR(__xludf.DUMMYFUNCTION("""COMPUTED_VALUE"""),47817.0)</f>
        <v>47817</v>
      </c>
      <c r="Y208" t="str">
        <f>IFERROR(__xludf.DUMMYFUNCTION("""COMPUTED_VALUE"""),"ปลอดภัย")</f>
        <v>ปลอดภัย</v>
      </c>
      <c r="Z208" t="str">
        <f>IFERROR(__xludf.DUMMYFUNCTION("""COMPUTED_VALUE"""),"Songkhla Province")</f>
        <v>Songkhla Province</v>
      </c>
      <c r="AA208" t="str">
        <f>IFERROR(__xludf.DUMMYFUNCTION("""COMPUTED_VALUE"""),"สุขาภิบาล3")</f>
        <v>สุขาภิบาล3</v>
      </c>
      <c r="AB208" t="str">
        <f>IFERROR(__xludf.DUMMYFUNCTION("""COMPUTED_VALUE"""),"086 297 7118")</f>
        <v>086 297 7118</v>
      </c>
      <c r="AC208" t="str">
        <f>IFERROR(__xludf.DUMMYFUNCTION("""COMPUTED_VALUE"""),"แม่")</f>
        <v>แม่</v>
      </c>
      <c r="AD208" t="str">
        <f>IFERROR(__xludf.DUMMYFUNCTION("""COMPUTED_VALUE"""),"wakulnatts@airasia.com")</f>
        <v>wakulnatts@airasia.com</v>
      </c>
    </row>
    <row r="209">
      <c r="A209" s="142">
        <f>IFERROR(__xludf.DUMMYFUNCTION("""COMPUTED_VALUE"""),37.0)</f>
        <v>37</v>
      </c>
      <c r="B209" t="str">
        <f>IFERROR(__xludf.DUMMYFUNCTION("""COMPUTED_VALUE"""),"TAA2968")</f>
        <v>TAA2968</v>
      </c>
      <c r="C209">
        <f>IFERROR(__xludf.DUMMYFUNCTION("""COMPUTED_VALUE"""),1004765.0)</f>
        <v>1004765</v>
      </c>
      <c r="D209" t="str">
        <f>IFERROR(__xludf.DUMMYFUNCTION("""COMPUTED_VALUE"""),"Ms.")</f>
        <v>Ms.</v>
      </c>
      <c r="E209" t="str">
        <f>IFERROR(__xludf.DUMMYFUNCTION("""COMPUTED_VALUE"""),"Wasinee")</f>
        <v>Wasinee</v>
      </c>
      <c r="F209" t="str">
        <f>IFERROR(__xludf.DUMMYFUNCTION("""COMPUTED_VALUE"""),"Leeopas")</f>
        <v>Leeopas</v>
      </c>
      <c r="G209" t="str">
        <f>IFERROR(__xludf.DUMMYFUNCTION("""COMPUTED_VALUE"""),"Wasinee Leeopas")</f>
        <v>Wasinee Leeopas</v>
      </c>
      <c r="H209" t="str">
        <f>IFERROR(__xludf.DUMMYFUNCTION("""COMPUTED_VALUE"""),"นางสาว")</f>
        <v>นางสาว</v>
      </c>
      <c r="I209" t="str">
        <f>IFERROR(__xludf.DUMMYFUNCTION("""COMPUTED_VALUE"""),"วศินี")</f>
        <v>วศินี</v>
      </c>
      <c r="J209" t="str">
        <f>IFERROR(__xludf.DUMMYFUNCTION("""COMPUTED_VALUE"""),"ลีโอภาส")</f>
        <v>ลีโอภาส</v>
      </c>
      <c r="K209" t="str">
        <f>IFERROR(__xludf.DUMMYFUNCTION("""COMPUTED_VALUE"""),"วศินี ลีโอภาส")</f>
        <v>วศินี ลีโอภาส</v>
      </c>
      <c r="L209" t="str">
        <f>IFERROR(__xludf.DUMMYFUNCTION("""COMPUTED_VALUE"""),"เกด")</f>
        <v>เกด</v>
      </c>
      <c r="M209" t="str">
        <f>IFERROR(__xludf.DUMMYFUNCTION("""COMPUTED_VALUE"""),"Cabin Crew")</f>
        <v>Cabin Crew</v>
      </c>
      <c r="N209" t="str">
        <f>IFERROR(__xludf.DUMMYFUNCTION("""COMPUTED_VALUE"""),"DMK")</f>
        <v>DMK</v>
      </c>
      <c r="O209" s="145" t="str">
        <f>IFERROR(__xludf.DUMMYFUNCTION("""COMPUTED_VALUE"""),"Up Home")</f>
        <v>Up Home</v>
      </c>
      <c r="P209" t="str">
        <f>IFERROR(__xludf.DUMMYFUNCTION("""COMPUTED_VALUE"""),"Active")</f>
        <v>Active</v>
      </c>
      <c r="Q209" t="str">
        <f>IFERROR(__xludf.DUMMYFUNCTION("""COMPUTED_VALUE"""),"Chinese Speaking")</f>
        <v>Chinese Speaking</v>
      </c>
      <c r="R209" s="143">
        <f>IFERROR(__xludf.DUMMYFUNCTION("""COMPUTED_VALUE"""),30930.0)</f>
        <v>30930</v>
      </c>
      <c r="S209" s="146" t="str">
        <f>IFERROR(__xludf.DUMMYFUNCTION("""COMPUTED_VALUE"""),"089 495 9694")</f>
        <v>089 495 9694</v>
      </c>
      <c r="T209" s="147" t="str">
        <f>IFERROR(__xludf.DUMMYFUNCTION("""COMPUTED_VALUE"""),"1909800-04-2849")</f>
        <v>1909800-04-2849</v>
      </c>
      <c r="U209" t="str">
        <f>IFERROR(__xludf.DUMMYFUNCTION("""COMPUTED_VALUE"""),"AC2946864")</f>
        <v>AC2946864</v>
      </c>
      <c r="V209" s="148">
        <f>IFERROR(__xludf.DUMMYFUNCTION("""COMPUTED_VALUE"""),44636.0)</f>
        <v>44636</v>
      </c>
      <c r="W209" s="148">
        <f>IFERROR(__xludf.DUMMYFUNCTION("""COMPUTED_VALUE"""),48288.0)</f>
        <v>48288</v>
      </c>
      <c r="X209" s="149">
        <f>IFERROR(__xludf.DUMMYFUNCTION("""COMPUTED_VALUE"""),48106.0)</f>
        <v>48106</v>
      </c>
      <c r="Y209" t="str">
        <f>IFERROR(__xludf.DUMMYFUNCTION("""COMPUTED_VALUE"""),"ปลอดภัย")</f>
        <v>ปลอดภัย</v>
      </c>
      <c r="Z209" t="str">
        <f>IFERROR(__xludf.DUMMYFUNCTION("""COMPUTED_VALUE"""),"Songkhla Province")</f>
        <v>Songkhla Province</v>
      </c>
      <c r="AA209" t="str">
        <f>IFERROR(__xludf.DUMMYFUNCTION("""COMPUTED_VALUE"""),"ลาดกระบัง")</f>
        <v>ลาดกระบัง</v>
      </c>
      <c r="AB209" t="str">
        <f>IFERROR(__xludf.DUMMYFUNCTION("""COMPUTED_VALUE"""),"081 415 0050")</f>
        <v>081 415 0050</v>
      </c>
      <c r="AC209" t="str">
        <f>IFERROR(__xludf.DUMMYFUNCTION("""COMPUTED_VALUE"""),"พ่อ")</f>
        <v>พ่อ</v>
      </c>
      <c r="AD209" t="str">
        <f>IFERROR(__xludf.DUMMYFUNCTION("""COMPUTED_VALUE"""),"wasineel@airasia.com")</f>
        <v>wasineel@airasia.com</v>
      </c>
    </row>
    <row r="210">
      <c r="A210" s="142">
        <f>IFERROR(__xludf.DUMMYFUNCTION("""COMPUTED_VALUE"""),37.0)</f>
        <v>37</v>
      </c>
      <c r="B210" t="str">
        <f>IFERROR(__xludf.DUMMYFUNCTION("""COMPUTED_VALUE"""),"TAA2966")</f>
        <v>TAA2966</v>
      </c>
      <c r="C210">
        <f>IFERROR(__xludf.DUMMYFUNCTION("""COMPUTED_VALUE"""),1004766.0)</f>
        <v>1004766</v>
      </c>
      <c r="D210" t="str">
        <f>IFERROR(__xludf.DUMMYFUNCTION("""COMPUTED_VALUE"""),"Ms.")</f>
        <v>Ms.</v>
      </c>
      <c r="E210" t="str">
        <f>IFERROR(__xludf.DUMMYFUNCTION("""COMPUTED_VALUE"""),"Wijittra")</f>
        <v>Wijittra</v>
      </c>
      <c r="F210" t="str">
        <f>IFERROR(__xludf.DUMMYFUNCTION("""COMPUTED_VALUE"""),"Tapon")</f>
        <v>Tapon</v>
      </c>
      <c r="G210" t="str">
        <f>IFERROR(__xludf.DUMMYFUNCTION("""COMPUTED_VALUE"""),"Wijittra Tapon")</f>
        <v>Wijittra Tapon</v>
      </c>
      <c r="H210" t="str">
        <f>IFERROR(__xludf.DUMMYFUNCTION("""COMPUTED_VALUE"""),"นางสาว")</f>
        <v>นางสาว</v>
      </c>
      <c r="I210" t="str">
        <f>IFERROR(__xludf.DUMMYFUNCTION("""COMPUTED_VALUE"""),"วิจิตรา")</f>
        <v>วิจิตรา</v>
      </c>
      <c r="J210" t="str">
        <f>IFERROR(__xludf.DUMMYFUNCTION("""COMPUTED_VALUE"""),"ทะปน")</f>
        <v>ทะปน</v>
      </c>
      <c r="K210" t="str">
        <f>IFERROR(__xludf.DUMMYFUNCTION("""COMPUTED_VALUE"""),"วิจิตรา ทะปน")</f>
        <v>วิจิตรา ทะปน</v>
      </c>
      <c r="L210" t="str">
        <f>IFERROR(__xludf.DUMMYFUNCTION("""COMPUTED_VALUE"""),"แอนนา")</f>
        <v>แอนนา</v>
      </c>
      <c r="M210" t="str">
        <f>IFERROR(__xludf.DUMMYFUNCTION("""COMPUTED_VALUE"""),"Cabin Crew - CNX")</f>
        <v>Cabin Crew - CNX</v>
      </c>
      <c r="N210" t="str">
        <f>IFERROR(__xludf.DUMMYFUNCTION("""COMPUTED_VALUE"""),"CNX")</f>
        <v>CNX</v>
      </c>
      <c r="O210" s="145" t="str">
        <f>IFERROR(__xludf.DUMMYFUNCTION("""COMPUTED_VALUE"""),"Up Home")</f>
        <v>Up Home</v>
      </c>
      <c r="P210" t="str">
        <f>IFERROR(__xludf.DUMMYFUNCTION("""COMPUTED_VALUE"""),"Active")</f>
        <v>Active</v>
      </c>
      <c r="R210" s="143">
        <f>IFERROR(__xludf.DUMMYFUNCTION("""COMPUTED_VALUE"""),32014.0)</f>
        <v>32014</v>
      </c>
      <c r="S210" s="146" t="str">
        <f>IFERROR(__xludf.DUMMYFUNCTION("""COMPUTED_VALUE"""),"092 459 9191")</f>
        <v>092 459 9191</v>
      </c>
      <c r="T210" s="147" t="str">
        <f>IFERROR(__xludf.DUMMYFUNCTION("""COMPUTED_VALUE"""),"1560100-11-5521")</f>
        <v>1560100-11-5521</v>
      </c>
      <c r="U210" t="str">
        <f>IFERROR(__xludf.DUMMYFUNCTION("""COMPUTED_VALUE"""),"AC4351829")</f>
        <v>AC4351829</v>
      </c>
      <c r="V210" s="148">
        <f>IFERROR(__xludf.DUMMYFUNCTION("""COMPUTED_VALUE"""),44932.0)</f>
        <v>44932</v>
      </c>
      <c r="W210" s="148">
        <f>IFERROR(__xludf.DUMMYFUNCTION("""COMPUTED_VALUE"""),48584.0)</f>
        <v>48584</v>
      </c>
      <c r="X210" s="149">
        <f>IFERROR(__xludf.DUMMYFUNCTION("""COMPUTED_VALUE"""),48400.0)</f>
        <v>48400</v>
      </c>
      <c r="Y210" t="str">
        <f>IFERROR(__xludf.DUMMYFUNCTION("""COMPUTED_VALUE"""),"ปลอดภัย")</f>
        <v>ปลอดภัย</v>
      </c>
      <c r="Z210" t="str">
        <f>IFERROR(__xludf.DUMMYFUNCTION("""COMPUTED_VALUE"""),"Phayao Province")</f>
        <v>Phayao Province</v>
      </c>
      <c r="AA210" t="str">
        <f>IFERROR(__xludf.DUMMYFUNCTION("""COMPUTED_VALUE"""),"ลาดกระบัง")</f>
        <v>ลาดกระบัง</v>
      </c>
      <c r="AB210" t="str">
        <f>IFERROR(__xludf.DUMMYFUNCTION("""COMPUTED_VALUE"""),"054 427959")</f>
        <v>054 427959</v>
      </c>
      <c r="AC210" t="str">
        <f>IFERROR(__xludf.DUMMYFUNCTION("""COMPUTED_VALUE"""),"บ้าน")</f>
        <v>บ้าน</v>
      </c>
      <c r="AD210" t="str">
        <f>IFERROR(__xludf.DUMMYFUNCTION("""COMPUTED_VALUE"""),"wijittrat@airasia.com")</f>
        <v>wijittrat@airasia.com</v>
      </c>
    </row>
    <row r="211">
      <c r="AD211" t="str">
        <f>IFERROR(__xludf.DUMMYFUNCTION("""COMPUTED_VALUE"""),"")</f>
        <v/>
      </c>
    </row>
    <row r="212">
      <c r="A212" s="142">
        <f>IFERROR(__xludf.DUMMYFUNCTION("""COMPUTED_VALUE"""),38.0)</f>
        <v>38</v>
      </c>
      <c r="B212" t="str">
        <f>IFERROR(__xludf.DUMMYFUNCTION("""COMPUTED_VALUE"""),"TAA3008")</f>
        <v>TAA3008</v>
      </c>
      <c r="C212">
        <f>IFERROR(__xludf.DUMMYFUNCTION("""COMPUTED_VALUE"""),1004839.0)</f>
        <v>1004839</v>
      </c>
      <c r="D212" t="str">
        <f>IFERROR(__xludf.DUMMYFUNCTION("""COMPUTED_VALUE"""),"Ms.")</f>
        <v>Ms.</v>
      </c>
      <c r="E212" t="str">
        <f>IFERROR(__xludf.DUMMYFUNCTION("""COMPUTED_VALUE"""),"Jutarat")</f>
        <v>Jutarat</v>
      </c>
      <c r="F212" t="str">
        <f>IFERROR(__xludf.DUMMYFUNCTION("""COMPUTED_VALUE"""),"Permpornsri")</f>
        <v>Permpornsri</v>
      </c>
      <c r="G212" t="str">
        <f>IFERROR(__xludf.DUMMYFUNCTION("""COMPUTED_VALUE"""),"Jutarat Permpornsri")</f>
        <v>Jutarat Permpornsri</v>
      </c>
      <c r="H212" t="str">
        <f>IFERROR(__xludf.DUMMYFUNCTION("""COMPUTED_VALUE"""),"นางสาว")</f>
        <v>นางสาว</v>
      </c>
      <c r="I212" t="str">
        <f>IFERROR(__xludf.DUMMYFUNCTION("""COMPUTED_VALUE"""),"จุฑารัตน์")</f>
        <v>จุฑารัตน์</v>
      </c>
      <c r="J212" t="str">
        <f>IFERROR(__xludf.DUMMYFUNCTION("""COMPUTED_VALUE"""),"เพิ่มพรศรี")</f>
        <v>เพิ่มพรศรี</v>
      </c>
      <c r="K212" t="str">
        <f>IFERROR(__xludf.DUMMYFUNCTION("""COMPUTED_VALUE"""),"จุฑารัตน์ เพิ่มพรศรี")</f>
        <v>จุฑารัตน์ เพิ่มพรศรี</v>
      </c>
      <c r="L212" t="str">
        <f>IFERROR(__xludf.DUMMYFUNCTION("""COMPUTED_VALUE"""),"Ju")</f>
        <v>Ju</v>
      </c>
      <c r="M212" t="str">
        <f>IFERROR(__xludf.DUMMYFUNCTION("""COMPUTED_VALUE"""),"Senior Cabin Crew")</f>
        <v>Senior Cabin Crew</v>
      </c>
      <c r="N212" t="str">
        <f>IFERROR(__xludf.DUMMYFUNCTION("""COMPUTED_VALUE"""),"DMK")</f>
        <v>DMK</v>
      </c>
      <c r="O212" s="145" t="str">
        <f>IFERROR(__xludf.DUMMYFUNCTION("""COMPUTED_VALUE"""),"Por+ Home")</f>
        <v>Por+ Home</v>
      </c>
      <c r="P212" t="str">
        <f>IFERROR(__xludf.DUMMYFUNCTION("""COMPUTED_VALUE"""),"Active")</f>
        <v>Active</v>
      </c>
      <c r="R212" s="143">
        <f>IFERROR(__xludf.DUMMYFUNCTION("""COMPUTED_VALUE"""),31678.0)</f>
        <v>31678</v>
      </c>
      <c r="S212" s="146" t="str">
        <f>IFERROR(__xludf.DUMMYFUNCTION("""COMPUTED_VALUE"""),"093 495 6645")</f>
        <v>093 495 6645</v>
      </c>
      <c r="T212" s="147" t="str">
        <f>IFERROR(__xludf.DUMMYFUNCTION("""COMPUTED_VALUE"""),"1309900-23-6675")</f>
        <v>1309900-23-6675</v>
      </c>
      <c r="U212" t="str">
        <f>IFERROR(__xludf.DUMMYFUNCTION("""COMPUTED_VALUE"""),"AC3303774")</f>
        <v>AC3303774</v>
      </c>
      <c r="V212" s="148">
        <f>IFERROR(__xludf.DUMMYFUNCTION("""COMPUTED_VALUE"""),44720.0)</f>
        <v>44720</v>
      </c>
      <c r="W212" s="148">
        <f>IFERROR(__xludf.DUMMYFUNCTION("""COMPUTED_VALUE"""),48372.0)</f>
        <v>48372</v>
      </c>
      <c r="X212" s="149">
        <f>IFERROR(__xludf.DUMMYFUNCTION("""COMPUTED_VALUE"""),48189.0)</f>
        <v>48189</v>
      </c>
      <c r="Y212" t="str">
        <f>IFERROR(__xludf.DUMMYFUNCTION("""COMPUTED_VALUE"""),"ปลอดภัย")</f>
        <v>ปลอดภัย</v>
      </c>
      <c r="Z212" t="str">
        <f>IFERROR(__xludf.DUMMYFUNCTION("""COMPUTED_VALUE"""),"Nakhon Ratchasima Province")</f>
        <v>Nakhon Ratchasima Province</v>
      </c>
      <c r="AA212" t="str">
        <f>IFERROR(__xludf.DUMMYFUNCTION("""COMPUTED_VALUE"""),"คลอง")</f>
        <v>คลอง</v>
      </c>
      <c r="AB212" t="str">
        <f>IFERROR(__xludf.DUMMYFUNCTION("""COMPUTED_VALUE"""),"086 9020070")</f>
        <v>086 9020070</v>
      </c>
      <c r="AC212" t="str">
        <f>IFERROR(__xludf.DUMMYFUNCTION("""COMPUTED_VALUE"""),"ไม่ระบุ")</f>
        <v>ไม่ระบุ</v>
      </c>
      <c r="AD212" t="str">
        <f>IFERROR(__xludf.DUMMYFUNCTION("""COMPUTED_VALUE"""),"jutaratp@airasia.com")</f>
        <v>jutaratp@airasia.com</v>
      </c>
    </row>
    <row r="213">
      <c r="A213" s="142">
        <f>IFERROR(__xludf.DUMMYFUNCTION("""COMPUTED_VALUE"""),38.0)</f>
        <v>38</v>
      </c>
      <c r="B213" t="str">
        <f>IFERROR(__xludf.DUMMYFUNCTION("""COMPUTED_VALUE"""),"TAA3002")</f>
        <v>TAA3002</v>
      </c>
      <c r="C213">
        <f>IFERROR(__xludf.DUMMYFUNCTION("""COMPUTED_VALUE"""),1004850.0)</f>
        <v>1004850</v>
      </c>
      <c r="D213" t="str">
        <f>IFERROR(__xludf.DUMMYFUNCTION("""COMPUTED_VALUE"""),"Ms.")</f>
        <v>Ms.</v>
      </c>
      <c r="E213" t="str">
        <f>IFERROR(__xludf.DUMMYFUNCTION("""COMPUTED_VALUE"""),"Nantawan")</f>
        <v>Nantawan</v>
      </c>
      <c r="F213" t="str">
        <f>IFERROR(__xludf.DUMMYFUNCTION("""COMPUTED_VALUE"""),"Siripanich")</f>
        <v>Siripanich</v>
      </c>
      <c r="G213" t="str">
        <f>IFERROR(__xludf.DUMMYFUNCTION("""COMPUTED_VALUE"""),"Nantawan Siripanich")</f>
        <v>Nantawan Siripanich</v>
      </c>
      <c r="H213" t="str">
        <f>IFERROR(__xludf.DUMMYFUNCTION("""COMPUTED_VALUE"""),"นางสาว")</f>
        <v>นางสาว</v>
      </c>
      <c r="I213" t="str">
        <f>IFERROR(__xludf.DUMMYFUNCTION("""COMPUTED_VALUE"""),"นันทวัน")</f>
        <v>นันทวัน</v>
      </c>
      <c r="J213" t="str">
        <f>IFERROR(__xludf.DUMMYFUNCTION("""COMPUTED_VALUE"""),"ศิริพานิช")</f>
        <v>ศิริพานิช</v>
      </c>
      <c r="K213" t="str">
        <f>IFERROR(__xludf.DUMMYFUNCTION("""COMPUTED_VALUE"""),"นันทวัน ศิริพานิช")</f>
        <v>นันทวัน ศิริพานิช</v>
      </c>
      <c r="L213" t="str">
        <f>IFERROR(__xludf.DUMMYFUNCTION("""COMPUTED_VALUE"""),"ไหม")</f>
        <v>ไหม</v>
      </c>
      <c r="M213" t="str">
        <f>IFERROR(__xludf.DUMMYFUNCTION("""COMPUTED_VALUE"""),"Senior Cabin Crew")</f>
        <v>Senior Cabin Crew</v>
      </c>
      <c r="N213" t="str">
        <f>IFERROR(__xludf.DUMMYFUNCTION("""COMPUTED_VALUE"""),"DMK")</f>
        <v>DMK</v>
      </c>
      <c r="O213" s="145" t="str">
        <f>IFERROR(__xludf.DUMMYFUNCTION("""COMPUTED_VALUE"""),"Um Home")</f>
        <v>Um Home</v>
      </c>
      <c r="P213" t="str">
        <f>IFERROR(__xludf.DUMMYFUNCTION("""COMPUTED_VALUE"""),"Active")</f>
        <v>Active</v>
      </c>
      <c r="R213" s="143">
        <f>IFERROR(__xludf.DUMMYFUNCTION("""COMPUTED_VALUE"""),31087.0)</f>
        <v>31087</v>
      </c>
      <c r="S213" s="146" t="str">
        <f>IFERROR(__xludf.DUMMYFUNCTION("""COMPUTED_VALUE"""),"095 661 7956")</f>
        <v>095 661 7956</v>
      </c>
      <c r="T213" s="147" t="str">
        <f>IFERROR(__xludf.DUMMYFUNCTION("""COMPUTED_VALUE"""),"1229900-03-7649")</f>
        <v>1229900-03-7649</v>
      </c>
      <c r="U213" t="str">
        <f>IFERROR(__xludf.DUMMYFUNCTION("""COMPUTED_VALUE"""),"AC2934038")</f>
        <v>AC2934038</v>
      </c>
      <c r="V213" s="148">
        <f>IFERROR(__xludf.DUMMYFUNCTION("""COMPUTED_VALUE"""),44629.0)</f>
        <v>44629</v>
      </c>
      <c r="W213" s="148">
        <f>IFERROR(__xludf.DUMMYFUNCTION("""COMPUTED_VALUE"""),48281.0)</f>
        <v>48281</v>
      </c>
      <c r="X213" s="149">
        <f>IFERROR(__xludf.DUMMYFUNCTION("""COMPUTED_VALUE"""),48099.0)</f>
        <v>48099</v>
      </c>
      <c r="Y213" t="str">
        <f>IFERROR(__xludf.DUMMYFUNCTION("""COMPUTED_VALUE"""),"ปลอดภัย")</f>
        <v>ปลอดภัย</v>
      </c>
      <c r="Z213" t="str">
        <f>IFERROR(__xludf.DUMMYFUNCTION("""COMPUTED_VALUE"""),"Chanthaburi Province")</f>
        <v>Chanthaburi Province</v>
      </c>
      <c r="AA213" t="str">
        <f>IFERROR(__xludf.DUMMYFUNCTION("""COMPUTED_VALUE"""),"บางเขน")</f>
        <v>บางเขน</v>
      </c>
      <c r="AB213" t="str">
        <f>IFERROR(__xludf.DUMMYFUNCTION("""COMPUTED_VALUE"""),"087 985 8639")</f>
        <v>087 985 8639</v>
      </c>
      <c r="AC213" t="str">
        <f>IFERROR(__xludf.DUMMYFUNCTION("""COMPUTED_VALUE"""),"ไม่ระบุ")</f>
        <v>ไม่ระบุ</v>
      </c>
      <c r="AD213" t="str">
        <f>IFERROR(__xludf.DUMMYFUNCTION("""COMPUTED_VALUE"""),"nantawans@airasia.com")</f>
        <v>nantawans@airasia.com</v>
      </c>
    </row>
    <row r="214">
      <c r="A214" s="142">
        <f>IFERROR(__xludf.DUMMYFUNCTION("""COMPUTED_VALUE"""),38.0)</f>
        <v>38</v>
      </c>
      <c r="B214" t="str">
        <f>IFERROR(__xludf.DUMMYFUNCTION("""COMPUTED_VALUE"""),"TAA2999")</f>
        <v>TAA2999</v>
      </c>
      <c r="C214">
        <f>IFERROR(__xludf.DUMMYFUNCTION("""COMPUTED_VALUE"""),1004861.0)</f>
        <v>1004861</v>
      </c>
      <c r="D214" t="str">
        <f>IFERROR(__xludf.DUMMYFUNCTION("""COMPUTED_VALUE"""),"Ms.")</f>
        <v>Ms.</v>
      </c>
      <c r="E214" t="str">
        <f>IFERROR(__xludf.DUMMYFUNCTION("""COMPUTED_VALUE"""),"Seenzipunk (Sasipim)")</f>
        <v>Seenzipunk (Sasipim)</v>
      </c>
      <c r="F214" t="str">
        <f>IFERROR(__xludf.DUMMYFUNCTION("""COMPUTED_VALUE"""),"Boonnin")</f>
        <v>Boonnin</v>
      </c>
      <c r="G214" t="str">
        <f>IFERROR(__xludf.DUMMYFUNCTION("""COMPUTED_VALUE"""),"Seenzipunk Boonnin")</f>
        <v>Seenzipunk Boonnin</v>
      </c>
      <c r="H214" t="str">
        <f>IFERROR(__xludf.DUMMYFUNCTION("""COMPUTED_VALUE"""),"นางสาว")</f>
        <v>นางสาว</v>
      </c>
      <c r="I214" t="str">
        <f>IFERROR(__xludf.DUMMYFUNCTION("""COMPUTED_VALUE"""),"ศิณศิปางค์(ศศิพิมพ์)")</f>
        <v>ศิณศิปางค์(ศศิพิมพ์)</v>
      </c>
      <c r="J214" t="str">
        <f>IFERROR(__xludf.DUMMYFUNCTION("""COMPUTED_VALUE"""),"บุญนิล")</f>
        <v>บุญนิล</v>
      </c>
      <c r="K214" t="str">
        <f>IFERROR(__xludf.DUMMYFUNCTION("""COMPUTED_VALUE"""),"ศิณศิปางค์ บุญนิล")</f>
        <v>ศิณศิปางค์ บุญนิล</v>
      </c>
      <c r="L214" t="str">
        <f>IFERROR(__xludf.DUMMYFUNCTION("""COMPUTED_VALUE"""),"Mint")</f>
        <v>Mint</v>
      </c>
      <c r="M214" t="str">
        <f>IFERROR(__xludf.DUMMYFUNCTION("""COMPUTED_VALUE"""),"Cabin Crew")</f>
        <v>Cabin Crew</v>
      </c>
      <c r="N214" t="str">
        <f>IFERROR(__xludf.DUMMYFUNCTION("""COMPUTED_VALUE"""),"DMK")</f>
        <v>DMK</v>
      </c>
      <c r="O214" s="145" t="str">
        <f>IFERROR(__xludf.DUMMYFUNCTION("""COMPUTED_VALUE"""),"Um Home")</f>
        <v>Um Home</v>
      </c>
      <c r="P214" t="str">
        <f>IFERROR(__xludf.DUMMYFUNCTION("""COMPUTED_VALUE"""),"LWPH")</f>
        <v>LWPH</v>
      </c>
      <c r="R214" s="143">
        <f>IFERROR(__xludf.DUMMYFUNCTION("""COMPUTED_VALUE"""),30568.0)</f>
        <v>30568</v>
      </c>
      <c r="S214" s="146" t="str">
        <f>IFERROR(__xludf.DUMMYFUNCTION("""COMPUTED_VALUE"""),"09-4546-4542")</f>
        <v>09-4546-4542</v>
      </c>
      <c r="T214" s="147" t="str">
        <f>IFERROR(__xludf.DUMMYFUNCTION("""COMPUTED_VALUE"""),"3100600-94-4437")</f>
        <v>3100600-94-4437</v>
      </c>
      <c r="U214" t="str">
        <f>IFERROR(__xludf.DUMMYFUNCTION("""COMPUTED_VALUE"""),"AD0009797")</f>
        <v>AD0009797</v>
      </c>
      <c r="V214" s="148">
        <f>IFERROR(__xludf.DUMMYFUNCTION("""COMPUTED_VALUE"""),44851.0)</f>
        <v>44851</v>
      </c>
      <c r="W214" s="148">
        <f>IFERROR(__xludf.DUMMYFUNCTION("""COMPUTED_VALUE"""),48503.0)</f>
        <v>48503</v>
      </c>
      <c r="X214" s="149">
        <f>IFERROR(__xludf.DUMMYFUNCTION("""COMPUTED_VALUE"""),48320.0)</f>
        <v>48320</v>
      </c>
      <c r="Y214" t="str">
        <f>IFERROR(__xludf.DUMMYFUNCTION("""COMPUTED_VALUE"""),"ปลอดภัย")</f>
        <v>ปลอดภัย</v>
      </c>
      <c r="Z214" t="str">
        <f>IFERROR(__xludf.DUMMYFUNCTION("""COMPUTED_VALUE"""),"Bangkok")</f>
        <v>Bangkok</v>
      </c>
      <c r="AA214" t="str">
        <f>IFERROR(__xludf.DUMMYFUNCTION("""COMPUTED_VALUE"""),"นนทบุรี ปากเกร็ด")</f>
        <v>นนทบุรี ปากเกร็ด</v>
      </c>
      <c r="AB214" t="str">
        <f>IFERROR(__xludf.DUMMYFUNCTION("""COMPUTED_VALUE"""),"086 1010770")</f>
        <v>086 1010770</v>
      </c>
      <c r="AC214" t="str">
        <f>IFERROR(__xludf.DUMMYFUNCTION("""COMPUTED_VALUE"""),"ไม่ระบุ")</f>
        <v>ไม่ระบุ</v>
      </c>
      <c r="AD214" t="str">
        <f>IFERROR(__xludf.DUMMYFUNCTION("""COMPUTED_VALUE"""),"seenzipunkb@airasia.com")</f>
        <v>seenzipunkb@airasia.com</v>
      </c>
    </row>
    <row r="215">
      <c r="A215" s="142">
        <f>IFERROR(__xludf.DUMMYFUNCTION("""COMPUTED_VALUE"""),38.0)</f>
        <v>38</v>
      </c>
      <c r="B215" t="str">
        <f>IFERROR(__xludf.DUMMYFUNCTION("""COMPUTED_VALUE"""),"TAA3010")</f>
        <v>TAA3010</v>
      </c>
      <c r="C215">
        <f>IFERROR(__xludf.DUMMYFUNCTION("""COMPUTED_VALUE"""),1004863.0)</f>
        <v>1004863</v>
      </c>
      <c r="D215" t="str">
        <f>IFERROR(__xludf.DUMMYFUNCTION("""COMPUTED_VALUE"""),"Ms.")</f>
        <v>Ms.</v>
      </c>
      <c r="E215" t="str">
        <f>IFERROR(__xludf.DUMMYFUNCTION("""COMPUTED_VALUE"""),"Sirirat")</f>
        <v>Sirirat</v>
      </c>
      <c r="F215" t="str">
        <f>IFERROR(__xludf.DUMMYFUNCTION("""COMPUTED_VALUE"""),"Sirikul")</f>
        <v>Sirikul</v>
      </c>
      <c r="G215" t="str">
        <f>IFERROR(__xludf.DUMMYFUNCTION("""COMPUTED_VALUE"""),"Sirirat Sirikul")</f>
        <v>Sirirat Sirikul</v>
      </c>
      <c r="H215" t="str">
        <f>IFERROR(__xludf.DUMMYFUNCTION("""COMPUTED_VALUE"""),"นางสาว")</f>
        <v>นางสาว</v>
      </c>
      <c r="I215" t="str">
        <f>IFERROR(__xludf.DUMMYFUNCTION("""COMPUTED_VALUE"""),"ศิริรัตน์")</f>
        <v>ศิริรัตน์</v>
      </c>
      <c r="J215" t="str">
        <f>IFERROR(__xludf.DUMMYFUNCTION("""COMPUTED_VALUE"""),"ศิริกุล")</f>
        <v>ศิริกุล</v>
      </c>
      <c r="K215" t="str">
        <f>IFERROR(__xludf.DUMMYFUNCTION("""COMPUTED_VALUE"""),"ศิริรัตน์ ศิริกุล")</f>
        <v>ศิริรัตน์ ศิริกุล</v>
      </c>
      <c r="L215" t="str">
        <f>IFERROR(__xludf.DUMMYFUNCTION("""COMPUTED_VALUE"""),"Bee")</f>
        <v>Bee</v>
      </c>
      <c r="M215" t="str">
        <f>IFERROR(__xludf.DUMMYFUNCTION("""COMPUTED_VALUE"""),"Senior Cabin Crew - CNX")</f>
        <v>Senior Cabin Crew - CNX</v>
      </c>
      <c r="N215" t="str">
        <f>IFERROR(__xludf.DUMMYFUNCTION("""COMPUTED_VALUE"""),"CNX")</f>
        <v>CNX</v>
      </c>
      <c r="O215" s="145" t="str">
        <f>IFERROR(__xludf.DUMMYFUNCTION("""COMPUTED_VALUE"""),"Up Home")</f>
        <v>Up Home</v>
      </c>
      <c r="P215" t="str">
        <f>IFERROR(__xludf.DUMMYFUNCTION("""COMPUTED_VALUE"""),"Active")</f>
        <v>Active</v>
      </c>
      <c r="Q215" t="str">
        <f>IFERROR(__xludf.DUMMYFUNCTION("""COMPUTED_VALUE"""),"SCC Line Checker 2025")</f>
        <v>SCC Line Checker 2025</v>
      </c>
      <c r="R215" s="143">
        <f>IFERROR(__xludf.DUMMYFUNCTION("""COMPUTED_VALUE"""),30995.0)</f>
        <v>30995</v>
      </c>
      <c r="S215" s="146">
        <f>IFERROR(__xludf.DUMMYFUNCTION("""COMPUTED_VALUE"""),6.5641629E8)</f>
        <v>656416290</v>
      </c>
      <c r="T215" s="147" t="str">
        <f>IFERROR(__xludf.DUMMYFUNCTION("""COMPUTED_VALUE"""),"1100500-02-3635")</f>
        <v>1100500-02-3635</v>
      </c>
      <c r="U215" t="str">
        <f>IFERROR(__xludf.DUMMYFUNCTION("""COMPUTED_VALUE"""),"AD1220165")</f>
        <v>AD1220165</v>
      </c>
      <c r="V215" s="148">
        <f>IFERROR(__xludf.DUMMYFUNCTION("""COMPUTED_VALUE"""),45328.0)</f>
        <v>45328</v>
      </c>
      <c r="W215" s="148">
        <f>IFERROR(__xludf.DUMMYFUNCTION("""COMPUTED_VALUE"""),48980.0)</f>
        <v>48980</v>
      </c>
      <c r="X215" s="149">
        <f>IFERROR(__xludf.DUMMYFUNCTION("""COMPUTED_VALUE"""),48796.0)</f>
        <v>48796</v>
      </c>
      <c r="Y215" t="str">
        <f>IFERROR(__xludf.DUMMYFUNCTION("""COMPUTED_VALUE"""),"ปลอดภัย")</f>
        <v>ปลอดภัย</v>
      </c>
      <c r="Z215" t="str">
        <f>IFERROR(__xludf.DUMMYFUNCTION("""COMPUTED_VALUE"""),"Bangkok")</f>
        <v>Bangkok</v>
      </c>
      <c r="AA215" t="str">
        <f>IFERROR(__xludf.DUMMYFUNCTION("""COMPUTED_VALUE"""),"ดอนเมือง")</f>
        <v>ดอนเมือง</v>
      </c>
      <c r="AB215" t="str">
        <f>IFERROR(__xludf.DUMMYFUNCTION("""COMPUTED_VALUE"""),"084 007 5554")</f>
        <v>084 007 5554</v>
      </c>
      <c r="AC215" t="str">
        <f>IFERROR(__xludf.DUMMYFUNCTION("""COMPUTED_VALUE"""),"ไม่ระบุ")</f>
        <v>ไม่ระบุ</v>
      </c>
      <c r="AD215" t="str">
        <f>IFERROR(__xludf.DUMMYFUNCTION("""COMPUTED_VALUE"""),"sirirati@airasia.com")</f>
        <v>sirirati@airasia.com</v>
      </c>
    </row>
    <row r="216">
      <c r="AD216" t="str">
        <f>IFERROR(__xludf.DUMMYFUNCTION("""COMPUTED_VALUE"""),"")</f>
        <v/>
      </c>
    </row>
    <row r="217">
      <c r="A217" s="142">
        <f>IFERROR(__xludf.DUMMYFUNCTION("""COMPUTED_VALUE"""),39.0)</f>
        <v>39</v>
      </c>
      <c r="B217" t="str">
        <f>IFERROR(__xludf.DUMMYFUNCTION("""COMPUTED_VALUE"""),"TAA0461")</f>
        <v>TAA0461</v>
      </c>
      <c r="C217">
        <f>IFERROR(__xludf.DUMMYFUNCTION("""COMPUTED_VALUE"""),1000486.0)</f>
        <v>1000486</v>
      </c>
      <c r="D217" t="str">
        <f>IFERROR(__xludf.DUMMYFUNCTION("""COMPUTED_VALUE"""),"Ms.")</f>
        <v>Ms.</v>
      </c>
      <c r="E217" t="str">
        <f>IFERROR(__xludf.DUMMYFUNCTION("""COMPUTED_VALUE"""),"Ratthinan")</f>
        <v>Ratthinan</v>
      </c>
      <c r="F217" t="str">
        <f>IFERROR(__xludf.DUMMYFUNCTION("""COMPUTED_VALUE"""),"Wasupornwiboon")</f>
        <v>Wasupornwiboon</v>
      </c>
      <c r="G217" t="str">
        <f>IFERROR(__xludf.DUMMYFUNCTION("""COMPUTED_VALUE"""),"Ratthinan Wasupornwiboon")</f>
        <v>Ratthinan Wasupornwiboon</v>
      </c>
      <c r="H217" t="str">
        <f>IFERROR(__xludf.DUMMYFUNCTION("""COMPUTED_VALUE"""),"นางสาว")</f>
        <v>นางสาว</v>
      </c>
      <c r="I217" t="str">
        <f>IFERROR(__xludf.DUMMYFUNCTION("""COMPUTED_VALUE"""),"รัตตินันท์")</f>
        <v>รัตตินันท์</v>
      </c>
      <c r="J217" t="str">
        <f>IFERROR(__xludf.DUMMYFUNCTION("""COMPUTED_VALUE"""),"วสุพรวิบูลย์")</f>
        <v>วสุพรวิบูลย์</v>
      </c>
      <c r="K217" t="str">
        <f>IFERROR(__xludf.DUMMYFUNCTION("""COMPUTED_VALUE"""),"รัตตินันท์ วสุพรวิบูลย์")</f>
        <v>รัตตินันท์ วสุพรวิบูลย์</v>
      </c>
      <c r="L217" t="str">
        <f>IFERROR(__xludf.DUMMYFUNCTION("""COMPUTED_VALUE"""),"ฝน")</f>
        <v>ฝน</v>
      </c>
      <c r="M217" t="str">
        <f>IFERROR(__xludf.DUMMYFUNCTION("""COMPUTED_VALUE"""),"Senior Cabin Crew")</f>
        <v>Senior Cabin Crew</v>
      </c>
      <c r="N217" t="str">
        <f>IFERROR(__xludf.DUMMYFUNCTION("""COMPUTED_VALUE"""),"DMK")</f>
        <v>DMK</v>
      </c>
      <c r="O217" s="145" t="str">
        <f>IFERROR(__xludf.DUMMYFUNCTION("""COMPUTED_VALUE"""),"Kor Home")</f>
        <v>Kor Home</v>
      </c>
      <c r="P217" t="str">
        <f>IFERROR(__xludf.DUMMYFUNCTION("""COMPUTED_VALUE"""),"Active")</f>
        <v>Active</v>
      </c>
      <c r="Q217" t="str">
        <f>IFERROR(__xludf.DUMMYFUNCTION("""COMPUTED_VALUE"""),"SCC Line Checker 2025")</f>
        <v>SCC Line Checker 2025</v>
      </c>
      <c r="R217" s="143">
        <f>IFERROR(__xludf.DUMMYFUNCTION("""COMPUTED_VALUE"""),29274.0)</f>
        <v>29274</v>
      </c>
      <c r="S217" s="146" t="str">
        <f>IFERROR(__xludf.DUMMYFUNCTION("""COMPUTED_VALUE"""),"086 648 1715")</f>
        <v>086 648 1715</v>
      </c>
      <c r="T217" s="147" t="str">
        <f>IFERROR(__xludf.DUMMYFUNCTION("""COMPUTED_VALUE"""),"3340701-09-6260")</f>
        <v>3340701-09-6260</v>
      </c>
      <c r="U217" t="str">
        <f>IFERROR(__xludf.DUMMYFUNCTION("""COMPUTED_VALUE"""),"AC2737501")</f>
        <v>AC2737501</v>
      </c>
      <c r="V217" s="148">
        <f>IFERROR(__xludf.DUMMYFUNCTION("""COMPUTED_VALUE"""),44484.0)</f>
        <v>44484</v>
      </c>
      <c r="W217" s="148">
        <f>IFERROR(__xludf.DUMMYFUNCTION("""COMPUTED_VALUE"""),48135.0)</f>
        <v>48135</v>
      </c>
      <c r="X217" s="149">
        <f>IFERROR(__xludf.DUMMYFUNCTION("""COMPUTED_VALUE"""),47952.0)</f>
        <v>47952</v>
      </c>
      <c r="Y217" t="str">
        <f>IFERROR(__xludf.DUMMYFUNCTION("""COMPUTED_VALUE"""),"ปลอดภัย")</f>
        <v>ปลอดภัย</v>
      </c>
      <c r="Z217" t="str">
        <f>IFERROR(__xludf.DUMMYFUNCTION("""COMPUTED_VALUE"""),"Ubon Ratchathani Province")</f>
        <v>Ubon Ratchathani Province</v>
      </c>
      <c r="AA217" t="str">
        <f>IFERROR(__xludf.DUMMYFUNCTION("""COMPUTED_VALUE"""),"นวมินทร์")</f>
        <v>นวมินทร์</v>
      </c>
      <c r="AB217" t="str">
        <f>IFERROR(__xludf.DUMMYFUNCTION("""COMPUTED_VALUE"""),"081 902 4748")</f>
        <v>081 902 4748</v>
      </c>
      <c r="AC217" t="str">
        <f>IFERROR(__xludf.DUMMYFUNCTION("""COMPUTED_VALUE"""),"น้อง")</f>
        <v>น้อง</v>
      </c>
      <c r="AD217" t="str">
        <f>IFERROR(__xludf.DUMMYFUNCTION("""COMPUTED_VALUE"""),"ratthinanw@airasia.com")</f>
        <v>ratthinanw@airasia.com</v>
      </c>
    </row>
    <row r="218">
      <c r="A218" s="142">
        <f>IFERROR(__xludf.DUMMYFUNCTION("""COMPUTED_VALUE"""),39.0)</f>
        <v>39</v>
      </c>
      <c r="B218" t="str">
        <f>IFERROR(__xludf.DUMMYFUNCTION("""COMPUTED_VALUE"""),"TAA2610")</f>
        <v>TAA2610</v>
      </c>
      <c r="C218">
        <f>IFERROR(__xludf.DUMMYFUNCTION("""COMPUTED_VALUE"""),1003340.0)</f>
        <v>1003340</v>
      </c>
      <c r="D218" t="str">
        <f>IFERROR(__xludf.DUMMYFUNCTION("""COMPUTED_VALUE"""),"Ms.")</f>
        <v>Ms.</v>
      </c>
      <c r="E218" t="str">
        <f>IFERROR(__xludf.DUMMYFUNCTION("""COMPUTED_VALUE"""),"Dararat")</f>
        <v>Dararat</v>
      </c>
      <c r="F218" t="str">
        <f>IFERROR(__xludf.DUMMYFUNCTION("""COMPUTED_VALUE"""),"Kataecha")</f>
        <v>Kataecha</v>
      </c>
      <c r="G218" t="str">
        <f>IFERROR(__xludf.DUMMYFUNCTION("""COMPUTED_VALUE"""),"Dararat Kataecha")</f>
        <v>Dararat Kataecha</v>
      </c>
      <c r="H218" t="str">
        <f>IFERROR(__xludf.DUMMYFUNCTION("""COMPUTED_VALUE"""),"นางสาว")</f>
        <v>นางสาว</v>
      </c>
      <c r="I218" t="str">
        <f>IFERROR(__xludf.DUMMYFUNCTION("""COMPUTED_VALUE"""),"ดารารัตน์")</f>
        <v>ดารารัตน์</v>
      </c>
      <c r="J218" t="str">
        <f>IFERROR(__xludf.DUMMYFUNCTION("""COMPUTED_VALUE"""),"กาเตชะ")</f>
        <v>กาเตชะ</v>
      </c>
      <c r="K218" t="str">
        <f>IFERROR(__xludf.DUMMYFUNCTION("""COMPUTED_VALUE"""),"ดารารัตน์ กาเตชะ")</f>
        <v>ดารารัตน์ กาเตชะ</v>
      </c>
      <c r="L218" t="str">
        <f>IFERROR(__xludf.DUMMYFUNCTION("""COMPUTED_VALUE"""),"หนู")</f>
        <v>หนู</v>
      </c>
      <c r="M218" t="str">
        <f>IFERROR(__xludf.DUMMYFUNCTION("""COMPUTED_VALUE"""),"Cabin Crew - CNX")</f>
        <v>Cabin Crew - CNX</v>
      </c>
      <c r="N218" t="str">
        <f>IFERROR(__xludf.DUMMYFUNCTION("""COMPUTED_VALUE"""),"CNX")</f>
        <v>CNX</v>
      </c>
      <c r="O218" s="145" t="str">
        <f>IFERROR(__xludf.DUMMYFUNCTION("""COMPUTED_VALUE"""),"Up Home")</f>
        <v>Up Home</v>
      </c>
      <c r="P218" t="str">
        <f>IFERROR(__xludf.DUMMYFUNCTION("""COMPUTED_VALUE"""),"Active")</f>
        <v>Active</v>
      </c>
      <c r="R218" s="143">
        <f>IFERROR(__xludf.DUMMYFUNCTION("""COMPUTED_VALUE"""),30240.0)</f>
        <v>30240</v>
      </c>
      <c r="S218" s="146" t="str">
        <f>IFERROR(__xludf.DUMMYFUNCTION("""COMPUTED_VALUE"""),"093 224 1465")</f>
        <v>093 224 1465</v>
      </c>
      <c r="T218" s="147" t="str">
        <f>IFERROR(__xludf.DUMMYFUNCTION("""COMPUTED_VALUE"""),"3220400-54-3179")</f>
        <v>3220400-54-3179</v>
      </c>
      <c r="U218" t="str">
        <f>IFERROR(__xludf.DUMMYFUNCTION("""COMPUTED_VALUE"""),"AC6977335")</f>
        <v>AC6977335</v>
      </c>
      <c r="V218" s="148">
        <f>IFERROR(__xludf.DUMMYFUNCTION("""COMPUTED_VALUE"""),45601.0)</f>
        <v>45601</v>
      </c>
      <c r="W218" s="148">
        <f>IFERROR(__xludf.DUMMYFUNCTION("""COMPUTED_VALUE"""),49252.0)</f>
        <v>49252</v>
      </c>
      <c r="X218" s="149">
        <f>IFERROR(__xludf.DUMMYFUNCTION("""COMPUTED_VALUE"""),49068.0)</f>
        <v>49068</v>
      </c>
      <c r="Y218" t="str">
        <f>IFERROR(__xludf.DUMMYFUNCTION("""COMPUTED_VALUE"""),"ปลอดภัย")</f>
        <v>ปลอดภัย</v>
      </c>
      <c r="Z218" t="str">
        <f>IFERROR(__xludf.DUMMYFUNCTION("""COMPUTED_VALUE"""),"Chanthaburi Province")</f>
        <v>Chanthaburi Province</v>
      </c>
      <c r="AA218" t="str">
        <f>IFERROR(__xludf.DUMMYFUNCTION("""COMPUTED_VALUE"""),"ลาดกระบัง")</f>
        <v>ลาดกระบัง</v>
      </c>
      <c r="AB218" t="str">
        <f>IFERROR(__xludf.DUMMYFUNCTION("""COMPUTED_VALUE"""),"086 659 5247")</f>
        <v>086 659 5247</v>
      </c>
      <c r="AC218" t="str">
        <f>IFERROR(__xludf.DUMMYFUNCTION("""COMPUTED_VALUE"""),"ญาติ")</f>
        <v>ญาติ</v>
      </c>
      <c r="AD218" t="str">
        <f>IFERROR(__xludf.DUMMYFUNCTION("""COMPUTED_VALUE"""),"dararatk@airasia.com")</f>
        <v>dararatk@airasia.com</v>
      </c>
    </row>
    <row r="219">
      <c r="A219" s="142">
        <f>IFERROR(__xludf.DUMMYFUNCTION("""COMPUTED_VALUE"""),39.0)</f>
        <v>39</v>
      </c>
      <c r="B219" t="str">
        <f>IFERROR(__xludf.DUMMYFUNCTION("""COMPUTED_VALUE"""),"TAA2793")</f>
        <v>TAA2793</v>
      </c>
      <c r="C219">
        <f>IFERROR(__xludf.DUMMYFUNCTION("""COMPUTED_VALUE"""),1004047.0)</f>
        <v>1004047</v>
      </c>
      <c r="D219" t="str">
        <f>IFERROR(__xludf.DUMMYFUNCTION("""COMPUTED_VALUE"""),"Ms.")</f>
        <v>Ms.</v>
      </c>
      <c r="E219" t="str">
        <f>IFERROR(__xludf.DUMMYFUNCTION("""COMPUTED_VALUE"""),"Sunisa")</f>
        <v>Sunisa</v>
      </c>
      <c r="F219" t="str">
        <f>IFERROR(__xludf.DUMMYFUNCTION("""COMPUTED_VALUE"""),"Panhirun")</f>
        <v>Panhirun</v>
      </c>
      <c r="G219" t="str">
        <f>IFERROR(__xludf.DUMMYFUNCTION("""COMPUTED_VALUE"""),"Sunisa Panhirun")</f>
        <v>Sunisa Panhirun</v>
      </c>
      <c r="H219" t="str">
        <f>IFERROR(__xludf.DUMMYFUNCTION("""COMPUTED_VALUE"""),"นางสาว")</f>
        <v>นางสาว</v>
      </c>
      <c r="I219" t="str">
        <f>IFERROR(__xludf.DUMMYFUNCTION("""COMPUTED_VALUE"""),"นางสาว")</f>
        <v>นางสาว</v>
      </c>
      <c r="J219" t="str">
        <f>IFERROR(__xludf.DUMMYFUNCTION("""COMPUTED_VALUE"""),"ปานหิรัญ")</f>
        <v>ปานหิรัญ</v>
      </c>
      <c r="K219" t="str">
        <f>IFERROR(__xludf.DUMMYFUNCTION("""COMPUTED_VALUE"""),"สุนิสา ปานหิรัญ")</f>
        <v>สุนิสา ปานหิรัญ</v>
      </c>
      <c r="L219" t="str">
        <f>IFERROR(__xludf.DUMMYFUNCTION("""COMPUTED_VALUE"""),"เมย์เม่ร์")</f>
        <v>เมย์เม่ร์</v>
      </c>
      <c r="M219" t="str">
        <f>IFERROR(__xludf.DUMMYFUNCTION("""COMPUTED_VALUE"""),"Senior Cabin Crew")</f>
        <v>Senior Cabin Crew</v>
      </c>
      <c r="N219" t="str">
        <f>IFERROR(__xludf.DUMMYFUNCTION("""COMPUTED_VALUE"""),"DMK")</f>
        <v>DMK</v>
      </c>
      <c r="O219" s="145" t="str">
        <f>IFERROR(__xludf.DUMMYFUNCTION("""COMPUTED_VALUE"""),"Namfon Home")</f>
        <v>Namfon Home</v>
      </c>
      <c r="P219" t="str">
        <f>IFERROR(__xludf.DUMMYFUNCTION("""COMPUTED_VALUE"""),"Active")</f>
        <v>Active</v>
      </c>
      <c r="Q219" t="str">
        <f>IFERROR(__xludf.DUMMYFUNCTION("""COMPUTED_VALUE"""),"SCC Line Checker 2025")</f>
        <v>SCC Line Checker 2025</v>
      </c>
      <c r="R219" s="143">
        <f>IFERROR(__xludf.DUMMYFUNCTION("""COMPUTED_VALUE"""),32057.0)</f>
        <v>32057</v>
      </c>
      <c r="S219" s="146" t="str">
        <f>IFERROR(__xludf.DUMMYFUNCTION("""COMPUTED_VALUE"""),"083 018 1469")</f>
        <v>083 018 1469</v>
      </c>
      <c r="T219" s="147" t="str">
        <f>IFERROR(__xludf.DUMMYFUNCTION("""COMPUTED_VALUE"""),"1101401-12-2512")</f>
        <v>1101401-12-2512</v>
      </c>
      <c r="U219" t="str">
        <f>IFERROR(__xludf.DUMMYFUNCTION("""COMPUTED_VALUE"""),"AC7069641")</f>
        <v>AC7069641</v>
      </c>
      <c r="V219" s="148">
        <f>IFERROR(__xludf.DUMMYFUNCTION("""COMPUTED_VALUE"""),45546.0)</f>
        <v>45546</v>
      </c>
      <c r="W219" s="148">
        <f>IFERROR(__xludf.DUMMYFUNCTION("""COMPUTED_VALUE"""),49197.0)</f>
        <v>49197</v>
      </c>
      <c r="X219" s="149">
        <f>IFERROR(__xludf.DUMMYFUNCTION("""COMPUTED_VALUE"""),49013.0)</f>
        <v>49013</v>
      </c>
      <c r="Y219" t="str">
        <f>IFERROR(__xludf.DUMMYFUNCTION("""COMPUTED_VALUE"""),"ปลอดภัย")</f>
        <v>ปลอดภัย</v>
      </c>
      <c r="Z219" t="str">
        <f>IFERROR(__xludf.DUMMYFUNCTION("""COMPUTED_VALUE"""),"Bangkok")</f>
        <v>Bangkok</v>
      </c>
      <c r="AA219" t="str">
        <f>IFERROR(__xludf.DUMMYFUNCTION("""COMPUTED_VALUE"""),"นวมินทร์")</f>
        <v>นวมินทร์</v>
      </c>
      <c r="AB219" t="str">
        <f>IFERROR(__xludf.DUMMYFUNCTION("""COMPUTED_VALUE"""),"084 014 6639")</f>
        <v>084 014 6639</v>
      </c>
      <c r="AC219" t="str">
        <f>IFERROR(__xludf.DUMMYFUNCTION("""COMPUTED_VALUE"""),"พ่อ")</f>
        <v>พ่อ</v>
      </c>
      <c r="AD219" t="str">
        <f>IFERROR(__xludf.DUMMYFUNCTION("""COMPUTED_VALUE"""),"sunisan@airasia.com")</f>
        <v>sunisan@airasia.com</v>
      </c>
    </row>
    <row r="220">
      <c r="A220" s="142">
        <f>IFERROR(__xludf.DUMMYFUNCTION("""COMPUTED_VALUE"""),39.0)</f>
        <v>39</v>
      </c>
      <c r="B220" t="str">
        <f>IFERROR(__xludf.DUMMYFUNCTION("""COMPUTED_VALUE"""),"TAA3189")</f>
        <v>TAA3189</v>
      </c>
      <c r="C220">
        <f>IFERROR(__xludf.DUMMYFUNCTION("""COMPUTED_VALUE"""),1005278.0)</f>
        <v>1005278</v>
      </c>
      <c r="D220" t="str">
        <f>IFERROR(__xludf.DUMMYFUNCTION("""COMPUTED_VALUE"""),"Ms.")</f>
        <v>Ms.</v>
      </c>
      <c r="E220" t="str">
        <f>IFERROR(__xludf.DUMMYFUNCTION("""COMPUTED_VALUE"""),"Benjama")</f>
        <v>Benjama</v>
      </c>
      <c r="F220" t="str">
        <f>IFERROR(__xludf.DUMMYFUNCTION("""COMPUTED_VALUE"""),"Keyata")</f>
        <v>Keyata</v>
      </c>
      <c r="G220" t="str">
        <f>IFERROR(__xludf.DUMMYFUNCTION("""COMPUTED_VALUE"""),"Benjama Keyata")</f>
        <v>Benjama Keyata</v>
      </c>
      <c r="H220" t="str">
        <f>IFERROR(__xludf.DUMMYFUNCTION("""COMPUTED_VALUE"""),"นางสาว")</f>
        <v>นางสาว</v>
      </c>
      <c r="I220" t="str">
        <f>IFERROR(__xludf.DUMMYFUNCTION("""COMPUTED_VALUE"""),"เบญจมา")</f>
        <v>เบญจมา</v>
      </c>
      <c r="J220" t="str">
        <f>IFERROR(__xludf.DUMMYFUNCTION("""COMPUTED_VALUE"""),"เขยะตา")</f>
        <v>เขยะตา</v>
      </c>
      <c r="K220" t="str">
        <f>IFERROR(__xludf.DUMMYFUNCTION("""COMPUTED_VALUE"""),"เบญจมา เขยะตา")</f>
        <v>เบญจมา เขยะตา</v>
      </c>
      <c r="L220" t="str">
        <f>IFERROR(__xludf.DUMMYFUNCTION("""COMPUTED_VALUE"""),"เมย์")</f>
        <v>เมย์</v>
      </c>
      <c r="M220" t="str">
        <f>IFERROR(__xludf.DUMMYFUNCTION("""COMPUTED_VALUE"""),"Cabin Crew")</f>
        <v>Cabin Crew</v>
      </c>
      <c r="N220" t="str">
        <f>IFERROR(__xludf.DUMMYFUNCTION("""COMPUTED_VALUE"""),"DMK")</f>
        <v>DMK</v>
      </c>
      <c r="O220" s="145" t="str">
        <f>IFERROR(__xludf.DUMMYFUNCTION("""COMPUTED_VALUE"""),"Por+ Home")</f>
        <v>Por+ Home</v>
      </c>
      <c r="P220" t="str">
        <f>IFERROR(__xludf.DUMMYFUNCTION("""COMPUTED_VALUE"""),"LWPH")</f>
        <v>LWPH</v>
      </c>
      <c r="R220" s="143">
        <f>IFERROR(__xludf.DUMMYFUNCTION("""COMPUTED_VALUE"""),31156.0)</f>
        <v>31156</v>
      </c>
      <c r="S220" s="146" t="str">
        <f>IFERROR(__xludf.DUMMYFUNCTION("""COMPUTED_VALUE"""),"089 528 2727")</f>
        <v>089 528 2727</v>
      </c>
      <c r="T220" s="147" t="str">
        <f>IFERROR(__xludf.DUMMYFUNCTION("""COMPUTED_VALUE"""),"1739900-05-6797")</f>
        <v>1739900-05-6797</v>
      </c>
      <c r="U220" t="str">
        <f>IFERROR(__xludf.DUMMYFUNCTION("""COMPUTED_VALUE"""),"AC4426034")</f>
        <v>AC4426034</v>
      </c>
      <c r="V220" s="148">
        <f>IFERROR(__xludf.DUMMYFUNCTION("""COMPUTED_VALUE"""),44958.0)</f>
        <v>44958</v>
      </c>
      <c r="W220" s="148">
        <f>IFERROR(__xludf.DUMMYFUNCTION("""COMPUTED_VALUE"""),48610.0)</f>
        <v>48610</v>
      </c>
      <c r="X220" s="149">
        <f>IFERROR(__xludf.DUMMYFUNCTION("""COMPUTED_VALUE"""),48426.0)</f>
        <v>48426</v>
      </c>
      <c r="Y220" t="str">
        <f>IFERROR(__xludf.DUMMYFUNCTION("""COMPUTED_VALUE"""),"ปลอดภัย")</f>
        <v>ปลอดภัย</v>
      </c>
      <c r="Z220" t="str">
        <f>IFERROR(__xludf.DUMMYFUNCTION("""COMPUTED_VALUE"""),"Nakhon Pathom Province")</f>
        <v>Nakhon Pathom Province</v>
      </c>
      <c r="AA220" t="str">
        <f>IFERROR(__xludf.DUMMYFUNCTION("""COMPUTED_VALUE"""),"-")</f>
        <v>-</v>
      </c>
      <c r="AB220" t="str">
        <f>IFERROR(__xludf.DUMMYFUNCTION("""COMPUTED_VALUE"""),"086 318 7766")</f>
        <v>086 318 7766</v>
      </c>
      <c r="AC220" t="str">
        <f>IFERROR(__xludf.DUMMYFUNCTION("""COMPUTED_VALUE"""),"ญาติ")</f>
        <v>ญาติ</v>
      </c>
      <c r="AD220" t="str">
        <f>IFERROR(__xludf.DUMMYFUNCTION("""COMPUTED_VALUE"""),"benjamak@airasia.com")</f>
        <v>benjamak@airasia.com</v>
      </c>
    </row>
    <row r="221">
      <c r="A221" s="142">
        <f>IFERROR(__xludf.DUMMYFUNCTION("""COMPUTED_VALUE"""),39.0)</f>
        <v>39</v>
      </c>
      <c r="B221" t="str">
        <f>IFERROR(__xludf.DUMMYFUNCTION("""COMPUTED_VALUE"""),"TAA3176")</f>
        <v>TAA3176</v>
      </c>
      <c r="C221">
        <f>IFERROR(__xludf.DUMMYFUNCTION("""COMPUTED_VALUE"""),1005280.0)</f>
        <v>1005280</v>
      </c>
      <c r="D221" t="str">
        <f>IFERROR(__xludf.DUMMYFUNCTION("""COMPUTED_VALUE"""),"Ms.")</f>
        <v>Ms.</v>
      </c>
      <c r="E221" t="str">
        <f>IFERROR(__xludf.DUMMYFUNCTION("""COMPUTED_VALUE"""),"Napaporn")</f>
        <v>Napaporn</v>
      </c>
      <c r="F221" t="str">
        <f>IFERROR(__xludf.DUMMYFUNCTION("""COMPUTED_VALUE"""),"Termthanaporn")</f>
        <v>Termthanaporn</v>
      </c>
      <c r="G221" t="str">
        <f>IFERROR(__xludf.DUMMYFUNCTION("""COMPUTED_VALUE"""),"Napaporn Termthanaporn")</f>
        <v>Napaporn Termthanaporn</v>
      </c>
      <c r="H221" t="str">
        <f>IFERROR(__xludf.DUMMYFUNCTION("""COMPUTED_VALUE"""),"นางสาว")</f>
        <v>นางสาว</v>
      </c>
      <c r="I221" t="str">
        <f>IFERROR(__xludf.DUMMYFUNCTION("""COMPUTED_VALUE"""),"นภาพร")</f>
        <v>นภาพร</v>
      </c>
      <c r="J221" t="str">
        <f>IFERROR(__xludf.DUMMYFUNCTION("""COMPUTED_VALUE"""),"เติมธนาภรณ์")</f>
        <v>เติมธนาภรณ์</v>
      </c>
      <c r="K221" t="str">
        <f>IFERROR(__xludf.DUMMYFUNCTION("""COMPUTED_VALUE"""),"นภาพร เติมธนาภรณ์")</f>
        <v>นภาพร เติมธนาภรณ์</v>
      </c>
      <c r="L221" t="str">
        <f>IFERROR(__xludf.DUMMYFUNCTION("""COMPUTED_VALUE"""),"หนู")</f>
        <v>หนู</v>
      </c>
      <c r="M221" t="str">
        <f>IFERROR(__xludf.DUMMYFUNCTION("""COMPUTED_VALUE"""),"Cabin Crew")</f>
        <v>Cabin Crew</v>
      </c>
      <c r="N221" t="str">
        <f>IFERROR(__xludf.DUMMYFUNCTION("""COMPUTED_VALUE"""),"DMK")</f>
        <v>DMK</v>
      </c>
      <c r="O221" s="145" t="str">
        <f>IFERROR(__xludf.DUMMYFUNCTION("""COMPUTED_VALUE"""),"Por+ Home")</f>
        <v>Por+ Home</v>
      </c>
      <c r="P221" t="str">
        <f>IFERROR(__xludf.DUMMYFUNCTION("""COMPUTED_VALUE"""),"Active")</f>
        <v>Active</v>
      </c>
      <c r="R221" s="143">
        <f>IFERROR(__xludf.DUMMYFUNCTION("""COMPUTED_VALUE"""),31973.0)</f>
        <v>31973</v>
      </c>
      <c r="S221" s="146" t="str">
        <f>IFERROR(__xludf.DUMMYFUNCTION("""COMPUTED_VALUE"""),"084 550 0462")</f>
        <v>084 550 0462</v>
      </c>
      <c r="T221" s="147" t="str">
        <f>IFERROR(__xludf.DUMMYFUNCTION("""COMPUTED_VALUE"""),"1101500-22-8386")</f>
        <v>1101500-22-8386</v>
      </c>
      <c r="U221" t="str">
        <f>IFERROR(__xludf.DUMMYFUNCTION("""COMPUTED_VALUE"""),"AC3240503")</f>
        <v>AC3240503</v>
      </c>
      <c r="V221" s="148">
        <f>IFERROR(__xludf.DUMMYFUNCTION("""COMPUTED_VALUE"""),44711.0)</f>
        <v>44711</v>
      </c>
      <c r="W221" s="148">
        <f>IFERROR(__xludf.DUMMYFUNCTION("""COMPUTED_VALUE"""),48363.0)</f>
        <v>48363</v>
      </c>
      <c r="X221" s="149">
        <f>IFERROR(__xludf.DUMMYFUNCTION("""COMPUTED_VALUE"""),48181.0)</f>
        <v>48181</v>
      </c>
      <c r="Y221" t="str">
        <f>IFERROR(__xludf.DUMMYFUNCTION("""COMPUTED_VALUE"""),"ปลอดภัย")</f>
        <v>ปลอดภัย</v>
      </c>
      <c r="Z221" t="str">
        <f>IFERROR(__xludf.DUMMYFUNCTION("""COMPUTED_VALUE"""),"Bangkok")</f>
        <v>Bangkok</v>
      </c>
      <c r="AA221" t="str">
        <f>IFERROR(__xludf.DUMMYFUNCTION("""COMPUTED_VALUE"""),"จอมทอง")</f>
        <v>จอมทอง</v>
      </c>
      <c r="AB221" t="str">
        <f>IFERROR(__xludf.DUMMYFUNCTION("""COMPUTED_VALUE"""),"086 773 3551")</f>
        <v>086 773 3551</v>
      </c>
      <c r="AC221" t="str">
        <f>IFERROR(__xludf.DUMMYFUNCTION("""COMPUTED_VALUE"""),"ญาติ")</f>
        <v>ญาติ</v>
      </c>
      <c r="AD221" t="str">
        <f>IFERROR(__xludf.DUMMYFUNCTION("""COMPUTED_VALUE"""),"napapornt@airasia.com")</f>
        <v>napapornt@airasia.com</v>
      </c>
    </row>
    <row r="222">
      <c r="A222" s="142">
        <f>IFERROR(__xludf.DUMMYFUNCTION("""COMPUTED_VALUE"""),39.0)</f>
        <v>39</v>
      </c>
      <c r="B222" t="str">
        <f>IFERROR(__xludf.DUMMYFUNCTION("""COMPUTED_VALUE"""),"TAA3180")</f>
        <v>TAA3180</v>
      </c>
      <c r="C222">
        <f>IFERROR(__xludf.DUMMYFUNCTION("""COMPUTED_VALUE"""),1005287.0)</f>
        <v>1005287</v>
      </c>
      <c r="D222" t="str">
        <f>IFERROR(__xludf.DUMMYFUNCTION("""COMPUTED_VALUE"""),"Ms.")</f>
        <v>Ms.</v>
      </c>
      <c r="E222" t="str">
        <f>IFERROR(__xludf.DUMMYFUNCTION("""COMPUTED_VALUE"""),"Thanawan")</f>
        <v>Thanawan</v>
      </c>
      <c r="F222" t="str">
        <f>IFERROR(__xludf.DUMMYFUNCTION("""COMPUTED_VALUE"""),"Seemakul")</f>
        <v>Seemakul</v>
      </c>
      <c r="G222" t="str">
        <f>IFERROR(__xludf.DUMMYFUNCTION("""COMPUTED_VALUE"""),"Thanawan Seemakul")</f>
        <v>Thanawan Seemakul</v>
      </c>
      <c r="H222" t="str">
        <f>IFERROR(__xludf.DUMMYFUNCTION("""COMPUTED_VALUE"""),"นางสาว")</f>
        <v>นางสาว</v>
      </c>
      <c r="I222" t="str">
        <f>IFERROR(__xludf.DUMMYFUNCTION("""COMPUTED_VALUE"""),"ธนาวรรณ")</f>
        <v>ธนาวรรณ</v>
      </c>
      <c r="J222" t="str">
        <f>IFERROR(__xludf.DUMMYFUNCTION("""COMPUTED_VALUE"""),"สีมากุล")</f>
        <v>สีมากุล</v>
      </c>
      <c r="K222" t="str">
        <f>IFERROR(__xludf.DUMMYFUNCTION("""COMPUTED_VALUE"""),"ธนาวรรณ สีมากุล")</f>
        <v>ธนาวรรณ สีมากุล</v>
      </c>
      <c r="L222" t="str">
        <f>IFERROR(__xludf.DUMMYFUNCTION("""COMPUTED_VALUE"""),"ไตเติ้ล")</f>
        <v>ไตเติ้ล</v>
      </c>
      <c r="M222" t="str">
        <f>IFERROR(__xludf.DUMMYFUNCTION("""COMPUTED_VALUE"""),"Cabin Crew")</f>
        <v>Cabin Crew</v>
      </c>
      <c r="N222" t="str">
        <f>IFERROR(__xludf.DUMMYFUNCTION("""COMPUTED_VALUE"""),"DMK")</f>
        <v>DMK</v>
      </c>
      <c r="O222" s="145" t="str">
        <f>IFERROR(__xludf.DUMMYFUNCTION("""COMPUTED_VALUE"""),"Por+ Home")</f>
        <v>Por+ Home</v>
      </c>
      <c r="P222" t="str">
        <f>IFERROR(__xludf.DUMMYFUNCTION("""COMPUTED_VALUE"""),"Active")</f>
        <v>Active</v>
      </c>
      <c r="R222" s="143">
        <f>IFERROR(__xludf.DUMMYFUNCTION("""COMPUTED_VALUE"""),32042.0)</f>
        <v>32042</v>
      </c>
      <c r="S222" s="146" t="str">
        <f>IFERROR(__xludf.DUMMYFUNCTION("""COMPUTED_VALUE"""),"080 480 1490")</f>
        <v>080 480 1490</v>
      </c>
      <c r="T222" s="147" t="str">
        <f>IFERROR(__xludf.DUMMYFUNCTION("""COMPUTED_VALUE"""),"1309900-32-7468")</f>
        <v>1309900-32-7468</v>
      </c>
      <c r="U222" t="str">
        <f>IFERROR(__xludf.DUMMYFUNCTION("""COMPUTED_VALUE"""),"AC6606253")</f>
        <v>AC6606253</v>
      </c>
      <c r="V222" s="148">
        <f>IFERROR(__xludf.DUMMYFUNCTION("""COMPUTED_VALUE"""),45399.0)</f>
        <v>45399</v>
      </c>
      <c r="W222" s="148">
        <f>IFERROR(__xludf.DUMMYFUNCTION("""COMPUTED_VALUE"""),49050.0)</f>
        <v>49050</v>
      </c>
      <c r="X222" s="149">
        <f>IFERROR(__xludf.DUMMYFUNCTION("""COMPUTED_VALUE"""),48868.0)</f>
        <v>48868</v>
      </c>
      <c r="Y222" t="str">
        <f>IFERROR(__xludf.DUMMYFUNCTION("""COMPUTED_VALUE"""),"ปลอดภัย")</f>
        <v>ปลอดภัย</v>
      </c>
      <c r="Z222" t="str">
        <f>IFERROR(__xludf.DUMMYFUNCTION("""COMPUTED_VALUE"""),"Nakhon Ratchasima Province")</f>
        <v>Nakhon Ratchasima Province</v>
      </c>
      <c r="AA222" t="str">
        <f>IFERROR(__xludf.DUMMYFUNCTION("""COMPUTED_VALUE"""),"ลาดกระบัง")</f>
        <v>ลาดกระบัง</v>
      </c>
      <c r="AB222" t="str">
        <f>IFERROR(__xludf.DUMMYFUNCTION("""COMPUTED_VALUE"""),"087 776 1901")</f>
        <v>087 776 1901</v>
      </c>
      <c r="AC222" t="str">
        <f>IFERROR(__xludf.DUMMYFUNCTION("""COMPUTED_VALUE"""),"แม่")</f>
        <v>แม่</v>
      </c>
      <c r="AD222" t="str">
        <f>IFERROR(__xludf.DUMMYFUNCTION("""COMPUTED_VALUE"""),"thanawans@airasia.com")</f>
        <v>thanawans@airasia.com</v>
      </c>
    </row>
    <row r="223">
      <c r="A223" s="142">
        <f>IFERROR(__xludf.DUMMYFUNCTION("""COMPUTED_VALUE"""),39.0)</f>
        <v>39</v>
      </c>
      <c r="B223" t="str">
        <f>IFERROR(__xludf.DUMMYFUNCTION("""COMPUTED_VALUE"""),"TAA3190")</f>
        <v>TAA3190</v>
      </c>
      <c r="C223">
        <f>IFERROR(__xludf.DUMMYFUNCTION("""COMPUTED_VALUE"""),1005288.0)</f>
        <v>1005288</v>
      </c>
      <c r="D223" t="str">
        <f>IFERROR(__xludf.DUMMYFUNCTION("""COMPUTED_VALUE"""),"Ms.")</f>
        <v>Ms.</v>
      </c>
      <c r="E223" t="str">
        <f>IFERROR(__xludf.DUMMYFUNCTION("""COMPUTED_VALUE"""),"Thidarat")</f>
        <v>Thidarat</v>
      </c>
      <c r="F223" t="str">
        <f>IFERROR(__xludf.DUMMYFUNCTION("""COMPUTED_VALUE"""),"Potarin")</f>
        <v>Potarin</v>
      </c>
      <c r="G223" t="str">
        <f>IFERROR(__xludf.DUMMYFUNCTION("""COMPUTED_VALUE"""),"Thidarat Potarin")</f>
        <v>Thidarat Potarin</v>
      </c>
      <c r="H223" t="str">
        <f>IFERROR(__xludf.DUMMYFUNCTION("""COMPUTED_VALUE"""),"นางสาว")</f>
        <v>นางสาว</v>
      </c>
      <c r="I223" t="str">
        <f>IFERROR(__xludf.DUMMYFUNCTION("""COMPUTED_VALUE"""),"ธิดารัตน์")</f>
        <v>ธิดารัตน์</v>
      </c>
      <c r="J223" t="str">
        <f>IFERROR(__xludf.DUMMYFUNCTION("""COMPUTED_VALUE"""),"โพธารินทร์")</f>
        <v>โพธารินทร์</v>
      </c>
      <c r="K223" t="str">
        <f>IFERROR(__xludf.DUMMYFUNCTION("""COMPUTED_VALUE"""),"ธิดารัตน์ โพธารินทร์")</f>
        <v>ธิดารัตน์ โพธารินทร์</v>
      </c>
      <c r="L223" t="str">
        <f>IFERROR(__xludf.DUMMYFUNCTION("""COMPUTED_VALUE"""),"เล็ก")</f>
        <v>เล็ก</v>
      </c>
      <c r="M223" t="str">
        <f>IFERROR(__xludf.DUMMYFUNCTION("""COMPUTED_VALUE"""),"Cabin Crew")</f>
        <v>Cabin Crew</v>
      </c>
      <c r="N223" t="str">
        <f>IFERROR(__xludf.DUMMYFUNCTION("""COMPUTED_VALUE"""),"DMK")</f>
        <v>DMK</v>
      </c>
      <c r="O223" s="145" t="str">
        <f>IFERROR(__xludf.DUMMYFUNCTION("""COMPUTED_VALUE"""),"Toffy Home")</f>
        <v>Toffy Home</v>
      </c>
      <c r="P223" t="str">
        <f>IFERROR(__xludf.DUMMYFUNCTION("""COMPUTED_VALUE"""),"Active")</f>
        <v>Active</v>
      </c>
      <c r="R223" s="143">
        <f>IFERROR(__xludf.DUMMYFUNCTION("""COMPUTED_VALUE"""),31599.0)</f>
        <v>31599</v>
      </c>
      <c r="S223" s="146" t="str">
        <f>IFERROR(__xludf.DUMMYFUNCTION("""COMPUTED_VALUE"""),"081 869 1166")</f>
        <v>081 869 1166</v>
      </c>
      <c r="T223" s="147" t="str">
        <f>IFERROR(__xludf.DUMMYFUNCTION("""COMPUTED_VALUE"""),"1341500-08-7306")</f>
        <v>1341500-08-7306</v>
      </c>
      <c r="U223" t="str">
        <f>IFERROR(__xludf.DUMMYFUNCTION("""COMPUTED_VALUE"""),"AC6628639")</f>
        <v>AC6628639</v>
      </c>
      <c r="V223" s="148">
        <f>IFERROR(__xludf.DUMMYFUNCTION("""COMPUTED_VALUE"""),45404.0)</f>
        <v>45404</v>
      </c>
      <c r="W223" s="148">
        <f>IFERROR(__xludf.DUMMYFUNCTION("""COMPUTED_VALUE"""),47229.0)</f>
        <v>47229</v>
      </c>
      <c r="X223" s="149">
        <f>IFERROR(__xludf.DUMMYFUNCTION("""COMPUTED_VALUE"""),47047.0)</f>
        <v>47047</v>
      </c>
      <c r="Y223" t="str">
        <f>IFERROR(__xludf.DUMMYFUNCTION("""COMPUTED_VALUE"""),"ปลอดภัย")</f>
        <v>ปลอดภัย</v>
      </c>
      <c r="Z223" t="str">
        <f>IFERROR(__xludf.DUMMYFUNCTION("""COMPUTED_VALUE"""),"Ubon Ratchathani Province")</f>
        <v>Ubon Ratchathani Province</v>
      </c>
      <c r="AA223" t="str">
        <f>IFERROR(__xludf.DUMMYFUNCTION("""COMPUTED_VALUE"""),"-")</f>
        <v>-</v>
      </c>
      <c r="AB223" t="str">
        <f>IFERROR(__xludf.DUMMYFUNCTION("""COMPUTED_VALUE"""),"081 171 9575")</f>
        <v>081 171 9575</v>
      </c>
      <c r="AC223" t="str">
        <f>IFERROR(__xludf.DUMMYFUNCTION("""COMPUTED_VALUE"""),"พี่สาว")</f>
        <v>พี่สาว</v>
      </c>
      <c r="AD223" t="str">
        <f>IFERROR(__xludf.DUMMYFUNCTION("""COMPUTED_VALUE"""),"thidaratp@airasia.com")</f>
        <v>thidaratp@airasia.com</v>
      </c>
    </row>
    <row r="224">
      <c r="A224" s="142">
        <f>IFERROR(__xludf.DUMMYFUNCTION("""COMPUTED_VALUE"""),39.0)</f>
        <v>39</v>
      </c>
      <c r="B224" t="str">
        <f>IFERROR(__xludf.DUMMYFUNCTION("""COMPUTED_VALUE"""),"TAA3175")</f>
        <v>TAA3175</v>
      </c>
      <c r="C224">
        <f>IFERROR(__xludf.DUMMYFUNCTION("""COMPUTED_VALUE"""),1005289.0)</f>
        <v>1005289</v>
      </c>
      <c r="D224" t="str">
        <f>IFERROR(__xludf.DUMMYFUNCTION("""COMPUTED_VALUE"""),"Ms.")</f>
        <v>Ms.</v>
      </c>
      <c r="E224" t="str">
        <f>IFERROR(__xludf.DUMMYFUNCTION("""COMPUTED_VALUE"""),"Varoonyupa")</f>
        <v>Varoonyupa</v>
      </c>
      <c r="F224" t="str">
        <f>IFERROR(__xludf.DUMMYFUNCTION("""COMPUTED_VALUE"""),"Choovet")</f>
        <v>Choovet</v>
      </c>
      <c r="G224" t="str">
        <f>IFERROR(__xludf.DUMMYFUNCTION("""COMPUTED_VALUE"""),"Varoonyupa Choovet")</f>
        <v>Varoonyupa Choovet</v>
      </c>
      <c r="H224" t="str">
        <f>IFERROR(__xludf.DUMMYFUNCTION("""COMPUTED_VALUE"""),"นางสาว")</f>
        <v>นางสาว</v>
      </c>
      <c r="I224" t="str">
        <f>IFERROR(__xludf.DUMMYFUNCTION("""COMPUTED_VALUE"""),"วรุณยุพา")</f>
        <v>วรุณยุพา</v>
      </c>
      <c r="J224" t="str">
        <f>IFERROR(__xludf.DUMMYFUNCTION("""COMPUTED_VALUE"""),"ชูเวทย์")</f>
        <v>ชูเวทย์</v>
      </c>
      <c r="K224" t="str">
        <f>IFERROR(__xludf.DUMMYFUNCTION("""COMPUTED_VALUE"""),"วรุณยุพา ชูเวทย์")</f>
        <v>วรุณยุพา ชูเวทย์</v>
      </c>
      <c r="L224" t="str">
        <f>IFERROR(__xludf.DUMMYFUNCTION("""COMPUTED_VALUE"""),"ใบเฟิร์น")</f>
        <v>ใบเฟิร์น</v>
      </c>
      <c r="M224" t="str">
        <f>IFERROR(__xludf.DUMMYFUNCTION("""COMPUTED_VALUE"""),"Cabin Crew")</f>
        <v>Cabin Crew</v>
      </c>
      <c r="N224" t="str">
        <f>IFERROR(__xludf.DUMMYFUNCTION("""COMPUTED_VALUE"""),"DMK")</f>
        <v>DMK</v>
      </c>
      <c r="O224" s="145" t="str">
        <f>IFERROR(__xludf.DUMMYFUNCTION("""COMPUTED_VALUE"""),"Por+ Home")</f>
        <v>Por+ Home</v>
      </c>
      <c r="P224" t="str">
        <f>IFERROR(__xludf.DUMMYFUNCTION("""COMPUTED_VALUE"""),"Active")</f>
        <v>Active</v>
      </c>
      <c r="R224" s="143">
        <f>IFERROR(__xludf.DUMMYFUNCTION("""COMPUTED_VALUE"""),31272.0)</f>
        <v>31272</v>
      </c>
      <c r="S224" s="146" t="str">
        <f>IFERROR(__xludf.DUMMYFUNCTION("""COMPUTED_VALUE"""),"064 465 9245")</f>
        <v>064 465 9245</v>
      </c>
      <c r="T224" s="147" t="str">
        <f>IFERROR(__xludf.DUMMYFUNCTION("""COMPUTED_VALUE"""),"1100700-26-7538")</f>
        <v>1100700-26-7538</v>
      </c>
      <c r="U224" t="str">
        <f>IFERROR(__xludf.DUMMYFUNCTION("""COMPUTED_VALUE"""),"AC6112120")</f>
        <v>AC6112120</v>
      </c>
      <c r="V224" s="148">
        <f>IFERROR(__xludf.DUMMYFUNCTION("""COMPUTED_VALUE"""),45275.0)</f>
        <v>45275</v>
      </c>
      <c r="W224" s="148">
        <f>IFERROR(__xludf.DUMMYFUNCTION("""COMPUTED_VALUE"""),48927.0)</f>
        <v>48927</v>
      </c>
      <c r="X224" s="149">
        <f>IFERROR(__xludf.DUMMYFUNCTION("""COMPUTED_VALUE"""),48744.0)</f>
        <v>48744</v>
      </c>
      <c r="Y224" t="str">
        <f>IFERROR(__xludf.DUMMYFUNCTION("""COMPUTED_VALUE"""),"ปลอดภัย")</f>
        <v>ปลอดภัย</v>
      </c>
      <c r="Z224" t="str">
        <f>IFERROR(__xludf.DUMMYFUNCTION("""COMPUTED_VALUE"""),"Bangkok")</f>
        <v>Bangkok</v>
      </c>
      <c r="AA224" t="str">
        <f>IFERROR(__xludf.DUMMYFUNCTION("""COMPUTED_VALUE"""),"วงเวียนใหญ่")</f>
        <v>วงเวียนใหญ่</v>
      </c>
      <c r="AB224" t="str">
        <f>IFERROR(__xludf.DUMMYFUNCTION("""COMPUTED_VALUE"""),"089 699 5569")</f>
        <v>089 699 5569</v>
      </c>
      <c r="AC224" t="str">
        <f>IFERROR(__xludf.DUMMYFUNCTION("""COMPUTED_VALUE"""),"ญาติ")</f>
        <v>ญาติ</v>
      </c>
      <c r="AD224" t="str">
        <f>IFERROR(__xludf.DUMMYFUNCTION("""COMPUTED_VALUE"""),"varoonyupac@airasia.com")</f>
        <v>varoonyupac@airasia.com</v>
      </c>
    </row>
    <row r="225">
      <c r="AD225" t="str">
        <f>IFERROR(__xludf.DUMMYFUNCTION("""COMPUTED_VALUE"""),"")</f>
        <v/>
      </c>
    </row>
    <row r="226">
      <c r="A226" s="142">
        <f>IFERROR(__xludf.DUMMYFUNCTION("""COMPUTED_VALUE"""),40.0)</f>
        <v>40</v>
      </c>
      <c r="B226" t="str">
        <f>IFERROR(__xludf.DUMMYFUNCTION("""COMPUTED_VALUE"""),"TAA1595")</f>
        <v>TAA1595</v>
      </c>
      <c r="C226">
        <f>IFERROR(__xludf.DUMMYFUNCTION("""COMPUTED_VALUE"""),1001162.0)</f>
        <v>1001162</v>
      </c>
      <c r="D226" t="str">
        <f>IFERROR(__xludf.DUMMYFUNCTION("""COMPUTED_VALUE"""),"Ms.")</f>
        <v>Ms.</v>
      </c>
      <c r="E226" t="str">
        <f>IFERROR(__xludf.DUMMYFUNCTION("""COMPUTED_VALUE"""),"Preechaya")</f>
        <v>Preechaya</v>
      </c>
      <c r="F226" t="str">
        <f>IFERROR(__xludf.DUMMYFUNCTION("""COMPUTED_VALUE"""),"Rattanaporn")</f>
        <v>Rattanaporn</v>
      </c>
      <c r="G226" t="str">
        <f>IFERROR(__xludf.DUMMYFUNCTION("""COMPUTED_VALUE"""),"Preechaya Rattanaporn")</f>
        <v>Preechaya Rattanaporn</v>
      </c>
      <c r="H226" t="str">
        <f>IFERROR(__xludf.DUMMYFUNCTION("""COMPUTED_VALUE"""),"นางสาว")</f>
        <v>นางสาว</v>
      </c>
      <c r="I226" t="str">
        <f>IFERROR(__xludf.DUMMYFUNCTION("""COMPUTED_VALUE"""),"ปรีชญา")</f>
        <v>ปรีชญา</v>
      </c>
      <c r="J226" t="str">
        <f>IFERROR(__xludf.DUMMYFUNCTION("""COMPUTED_VALUE"""),"รัตนาภรณ์")</f>
        <v>รัตนาภรณ์</v>
      </c>
      <c r="K226" t="str">
        <f>IFERROR(__xludf.DUMMYFUNCTION("""COMPUTED_VALUE"""),"ปรีชญา รัตนาภรณ์")</f>
        <v>ปรีชญา รัตนาภรณ์</v>
      </c>
      <c r="L226" t="str">
        <f>IFERROR(__xludf.DUMMYFUNCTION("""COMPUTED_VALUE"""),"อิม")</f>
        <v>อิม</v>
      </c>
      <c r="M226" t="str">
        <f>IFERROR(__xludf.DUMMYFUNCTION("""COMPUTED_VALUE"""),"Senior Cabin Crew - CNX")</f>
        <v>Senior Cabin Crew - CNX</v>
      </c>
      <c r="N226" t="str">
        <f>IFERROR(__xludf.DUMMYFUNCTION("""COMPUTED_VALUE"""),"CNX")</f>
        <v>CNX</v>
      </c>
      <c r="O226" s="145" t="str">
        <f>IFERROR(__xludf.DUMMYFUNCTION("""COMPUTED_VALUE"""),"Up Home")</f>
        <v>Up Home</v>
      </c>
      <c r="P226" t="str">
        <f>IFERROR(__xludf.DUMMYFUNCTION("""COMPUTED_VALUE"""),"Active")</f>
        <v>Active</v>
      </c>
      <c r="R226" s="143">
        <f>IFERROR(__xludf.DUMMYFUNCTION("""COMPUTED_VALUE"""),29902.0)</f>
        <v>29902</v>
      </c>
      <c r="S226" s="146" t="str">
        <f>IFERROR(__xludf.DUMMYFUNCTION("""COMPUTED_VALUE"""),"081 882 0800")</f>
        <v>081 882 0800</v>
      </c>
      <c r="T226" s="147" t="str">
        <f>IFERROR(__xludf.DUMMYFUNCTION("""COMPUTED_VALUE"""),"3500200-69-6572")</f>
        <v>3500200-69-6572</v>
      </c>
      <c r="U226" t="str">
        <f>IFERROR(__xludf.DUMMYFUNCTION("""COMPUTED_VALUE"""),"AC4037299")</f>
        <v>AC4037299</v>
      </c>
      <c r="V226" s="148">
        <f>IFERROR(__xludf.DUMMYFUNCTION("""COMPUTED_VALUE"""),45183.0)</f>
        <v>45183</v>
      </c>
      <c r="W226" s="148">
        <f>IFERROR(__xludf.DUMMYFUNCTION("""COMPUTED_VALUE"""),48470.0)</f>
        <v>48470</v>
      </c>
      <c r="X226" s="149">
        <f>IFERROR(__xludf.DUMMYFUNCTION("""COMPUTED_VALUE"""),48286.0)</f>
        <v>48286</v>
      </c>
      <c r="Y226" t="str">
        <f>IFERROR(__xludf.DUMMYFUNCTION("""COMPUTED_VALUE"""),"ปลอดภัย")</f>
        <v>ปลอดภัย</v>
      </c>
      <c r="Z226" t="str">
        <f>IFERROR(__xludf.DUMMYFUNCTION("""COMPUTED_VALUE"""),"Chiang Mai Province")</f>
        <v>Chiang Mai Province</v>
      </c>
      <c r="AA226" t="str">
        <f>IFERROR(__xludf.DUMMYFUNCTION("""COMPUTED_VALUE"""),"ลาดกระบัง")</f>
        <v>ลาดกระบัง</v>
      </c>
      <c r="AB226" t="str">
        <f>IFERROR(__xludf.DUMMYFUNCTION("""COMPUTED_VALUE"""),"081 373 0692")</f>
        <v>081 373 0692</v>
      </c>
      <c r="AC226" t="str">
        <f>IFERROR(__xludf.DUMMYFUNCTION("""COMPUTED_VALUE"""),"ญาติ")</f>
        <v>ญาติ</v>
      </c>
      <c r="AD226" t="str">
        <f>IFERROR(__xludf.DUMMYFUNCTION("""COMPUTED_VALUE"""),"preechayaa@airasia.com")</f>
        <v>preechayaa@airasia.com</v>
      </c>
    </row>
    <row r="227">
      <c r="A227" s="142">
        <f>IFERROR(__xludf.DUMMYFUNCTION("""COMPUTED_VALUE"""),40.0)</f>
        <v>40</v>
      </c>
      <c r="B227" t="str">
        <f>IFERROR(__xludf.DUMMYFUNCTION("""COMPUTED_VALUE"""),"TAA1667")</f>
        <v>TAA1667</v>
      </c>
      <c r="C227">
        <f>IFERROR(__xludf.DUMMYFUNCTION("""COMPUTED_VALUE"""),1001787.0)</f>
        <v>1001787</v>
      </c>
      <c r="D227" t="str">
        <f>IFERROR(__xludf.DUMMYFUNCTION("""COMPUTED_VALUE"""),"Ms.")</f>
        <v>Ms.</v>
      </c>
      <c r="E227" t="str">
        <f>IFERROR(__xludf.DUMMYFUNCTION("""COMPUTED_VALUE"""),"Porntippa")</f>
        <v>Porntippa</v>
      </c>
      <c r="F227" t="str">
        <f>IFERROR(__xludf.DUMMYFUNCTION("""COMPUTED_VALUE"""),"Markpoon")</f>
        <v>Markpoon</v>
      </c>
      <c r="G227" t="str">
        <f>IFERROR(__xludf.DUMMYFUNCTION("""COMPUTED_VALUE"""),"Porntippa Markpoon")</f>
        <v>Porntippa Markpoon</v>
      </c>
      <c r="H227" t="str">
        <f>IFERROR(__xludf.DUMMYFUNCTION("""COMPUTED_VALUE"""),"นางสาว")</f>
        <v>นางสาว</v>
      </c>
      <c r="I227" t="str">
        <f>IFERROR(__xludf.DUMMYFUNCTION("""COMPUTED_VALUE"""),"พรทิพภา")</f>
        <v>พรทิพภา</v>
      </c>
      <c r="J227" t="str">
        <f>IFERROR(__xludf.DUMMYFUNCTION("""COMPUTED_VALUE"""),"มากพูน")</f>
        <v>มากพูน</v>
      </c>
      <c r="K227" t="str">
        <f>IFERROR(__xludf.DUMMYFUNCTION("""COMPUTED_VALUE"""),"พรทิพภา มากพูน")</f>
        <v>พรทิพภา มากพูน</v>
      </c>
      <c r="L227" t="str">
        <f>IFERROR(__xludf.DUMMYFUNCTION("""COMPUTED_VALUE"""),"เมย์")</f>
        <v>เมย์</v>
      </c>
      <c r="M227" t="str">
        <f>IFERROR(__xludf.DUMMYFUNCTION("""COMPUTED_VALUE"""),"Senior Cabin Crew")</f>
        <v>Senior Cabin Crew</v>
      </c>
      <c r="N227" t="str">
        <f>IFERROR(__xludf.DUMMYFUNCTION("""COMPUTED_VALUE"""),"DMK")</f>
        <v>DMK</v>
      </c>
      <c r="O227" s="145" t="str">
        <f>IFERROR(__xludf.DUMMYFUNCTION("""COMPUTED_VALUE"""),"Por+ Home")</f>
        <v>Por+ Home</v>
      </c>
      <c r="P227" t="str">
        <f>IFERROR(__xludf.DUMMYFUNCTION("""COMPUTED_VALUE"""),"Active")</f>
        <v>Active</v>
      </c>
      <c r="R227" s="143">
        <f>IFERROR(__xludf.DUMMYFUNCTION("""COMPUTED_VALUE"""),31267.0)</f>
        <v>31267</v>
      </c>
      <c r="S227" s="146" t="str">
        <f>IFERROR(__xludf.DUMMYFUNCTION("""COMPUTED_VALUE"""),"098 265 4531")</f>
        <v>098 265 4531</v>
      </c>
      <c r="T227" s="147" t="str">
        <f>IFERROR(__xludf.DUMMYFUNCTION("""COMPUTED_VALUE"""),"1309900-03-4568")</f>
        <v>1309900-03-4568</v>
      </c>
      <c r="U227" t="str">
        <f>IFERROR(__xludf.DUMMYFUNCTION("""COMPUTED_VALUE"""),"AC2417671")</f>
        <v>AC2417671</v>
      </c>
      <c r="V227" s="148">
        <f>IFERROR(__xludf.DUMMYFUNCTION("""COMPUTED_VALUE"""),44441.0)</f>
        <v>44441</v>
      </c>
      <c r="W227" s="148">
        <f>IFERROR(__xludf.DUMMYFUNCTION("""COMPUTED_VALUE"""),48092.0)</f>
        <v>48092</v>
      </c>
      <c r="X227" s="149">
        <f>IFERROR(__xludf.DUMMYFUNCTION("""COMPUTED_VALUE"""),47908.0)</f>
        <v>47908</v>
      </c>
      <c r="Y227" t="str">
        <f>IFERROR(__xludf.DUMMYFUNCTION("""COMPUTED_VALUE"""),"ปลอดภัย")</f>
        <v>ปลอดภัย</v>
      </c>
      <c r="Z227" t="str">
        <f>IFERROR(__xludf.DUMMYFUNCTION("""COMPUTED_VALUE"""),"Nakhon Ratchasima Province")</f>
        <v>Nakhon Ratchasima Province</v>
      </c>
      <c r="AA227" t="str">
        <f>IFERROR(__xludf.DUMMYFUNCTION("""COMPUTED_VALUE"""),"ลาดกระบัง")</f>
        <v>ลาดกระบัง</v>
      </c>
      <c r="AB227" t="str">
        <f>IFERROR(__xludf.DUMMYFUNCTION("""COMPUTED_VALUE"""),"083 893 0503")</f>
        <v>083 893 0503</v>
      </c>
      <c r="AC227" t="str">
        <f>IFERROR(__xludf.DUMMYFUNCTION("""COMPUTED_VALUE"""),"ญาติ")</f>
        <v>ญาติ</v>
      </c>
      <c r="AD227" t="str">
        <f>IFERROR(__xludf.DUMMYFUNCTION("""COMPUTED_VALUE"""),"porntippam@airasia.com")</f>
        <v>porntippam@airasia.com</v>
      </c>
    </row>
    <row r="228">
      <c r="A228" s="142">
        <f>IFERROR(__xludf.DUMMYFUNCTION("""COMPUTED_VALUE"""),40.0)</f>
        <v>40</v>
      </c>
      <c r="B228" t="str">
        <f>IFERROR(__xludf.DUMMYFUNCTION("""COMPUTED_VALUE"""),"TAA2170")</f>
        <v>TAA2170</v>
      </c>
      <c r="C228">
        <f>IFERROR(__xludf.DUMMYFUNCTION("""COMPUTED_VALUE"""),1002729.0)</f>
        <v>1002729</v>
      </c>
      <c r="D228" t="str">
        <f>IFERROR(__xludf.DUMMYFUNCTION("""COMPUTED_VALUE"""),"Mr.")</f>
        <v>Mr.</v>
      </c>
      <c r="E228" t="str">
        <f>IFERROR(__xludf.DUMMYFUNCTION("""COMPUTED_VALUE"""),"Raywat")</f>
        <v>Raywat</v>
      </c>
      <c r="F228" t="str">
        <f>IFERROR(__xludf.DUMMYFUNCTION("""COMPUTED_VALUE"""),"Sakulsom")</f>
        <v>Sakulsom</v>
      </c>
      <c r="G228" t="str">
        <f>IFERROR(__xludf.DUMMYFUNCTION("""COMPUTED_VALUE"""),"Raywat Sakulsom")</f>
        <v>Raywat Sakulsom</v>
      </c>
      <c r="H228" t="str">
        <f>IFERROR(__xludf.DUMMYFUNCTION("""COMPUTED_VALUE"""),"นาย")</f>
        <v>นาย</v>
      </c>
      <c r="I228" t="str">
        <f>IFERROR(__xludf.DUMMYFUNCTION("""COMPUTED_VALUE"""),"เรวัต")</f>
        <v>เรวัต</v>
      </c>
      <c r="J228" t="str">
        <f>IFERROR(__xludf.DUMMYFUNCTION("""COMPUTED_VALUE"""),"สกุลสม")</f>
        <v>สกุลสม</v>
      </c>
      <c r="K228" t="str">
        <f>IFERROR(__xludf.DUMMYFUNCTION("""COMPUTED_VALUE"""),"เรวัต สกุลสม")</f>
        <v>เรวัต สกุลสม</v>
      </c>
      <c r="L228" t="str">
        <f>IFERROR(__xludf.DUMMYFUNCTION("""COMPUTED_VALUE"""),"ไมค์")</f>
        <v>ไมค์</v>
      </c>
      <c r="M228" t="str">
        <f>IFERROR(__xludf.DUMMYFUNCTION("""COMPUTED_VALUE"""),"Cabin Crew")</f>
        <v>Cabin Crew</v>
      </c>
      <c r="N228" t="str">
        <f>IFERROR(__xludf.DUMMYFUNCTION("""COMPUTED_VALUE"""),"DMK")</f>
        <v>DMK</v>
      </c>
      <c r="O228" s="145" t="str">
        <f>IFERROR(__xludf.DUMMYFUNCTION("""COMPUTED_VALUE"""),"Toffy Home")</f>
        <v>Toffy Home</v>
      </c>
      <c r="P228" t="str">
        <f>IFERROR(__xludf.DUMMYFUNCTION("""COMPUTED_VALUE"""),"Active")</f>
        <v>Active</v>
      </c>
      <c r="R228" s="143">
        <f>IFERROR(__xludf.DUMMYFUNCTION("""COMPUTED_VALUE"""),30951.0)</f>
        <v>30951</v>
      </c>
      <c r="S228" s="146" t="str">
        <f>IFERROR(__xludf.DUMMYFUNCTION("""COMPUTED_VALUE"""),"081 955 1984")</f>
        <v>081 955 1984</v>
      </c>
      <c r="T228" s="147" t="str">
        <f>IFERROR(__xludf.DUMMYFUNCTION("""COMPUTED_VALUE"""),"1739900-03-2804")</f>
        <v>1739900-03-2804</v>
      </c>
      <c r="U228" t="str">
        <f>IFERROR(__xludf.DUMMYFUNCTION("""COMPUTED_VALUE"""),"AC4360303")</f>
        <v>AC4360303</v>
      </c>
      <c r="V228" s="148">
        <f>IFERROR(__xludf.DUMMYFUNCTION("""COMPUTED_VALUE"""),44937.0)</f>
        <v>44937</v>
      </c>
      <c r="W228" s="148">
        <f>IFERROR(__xludf.DUMMYFUNCTION("""COMPUTED_VALUE"""),48589.0)</f>
        <v>48589</v>
      </c>
      <c r="X228" s="149">
        <f>IFERROR(__xludf.DUMMYFUNCTION("""COMPUTED_VALUE"""),48405.0)</f>
        <v>48405</v>
      </c>
      <c r="Y228" t="str">
        <f>IFERROR(__xludf.DUMMYFUNCTION("""COMPUTED_VALUE"""),"ปลอดภัย")</f>
        <v>ปลอดภัย</v>
      </c>
      <c r="Z228" t="str">
        <f>IFERROR(__xludf.DUMMYFUNCTION("""COMPUTED_VALUE"""),"Nakhon Pathom Province")</f>
        <v>Nakhon Pathom Province</v>
      </c>
      <c r="AA228" t="str">
        <f>IFERROR(__xludf.DUMMYFUNCTION("""COMPUTED_VALUE"""),"ลาดกระบัง")</f>
        <v>ลาดกระบัง</v>
      </c>
      <c r="AB228" t="str">
        <f>IFERROR(__xludf.DUMMYFUNCTION("""COMPUTED_VALUE"""),"081 378 6304")</f>
        <v>081 378 6304</v>
      </c>
      <c r="AC228" t="str">
        <f>IFERROR(__xludf.DUMMYFUNCTION("""COMPUTED_VALUE"""),"บิดา")</f>
        <v>บิดา</v>
      </c>
      <c r="AD228" t="str">
        <f>IFERROR(__xludf.DUMMYFUNCTION("""COMPUTED_VALUE"""),"raywats@airasia.com")</f>
        <v>raywats@airasia.com</v>
      </c>
    </row>
    <row r="229">
      <c r="A229" s="142">
        <f>IFERROR(__xludf.DUMMYFUNCTION("""COMPUTED_VALUE"""),40.0)</f>
        <v>40</v>
      </c>
      <c r="B229" t="str">
        <f>IFERROR(__xludf.DUMMYFUNCTION("""COMPUTED_VALUE"""),"TAA3203")</f>
        <v>TAA3203</v>
      </c>
      <c r="C229">
        <f>IFERROR(__xludf.DUMMYFUNCTION("""COMPUTED_VALUE"""),1005290.0)</f>
        <v>1005290</v>
      </c>
      <c r="D229" t="str">
        <f>IFERROR(__xludf.DUMMYFUNCTION("""COMPUTED_VALUE"""),"Mr.")</f>
        <v>Mr.</v>
      </c>
      <c r="E229" t="str">
        <f>IFERROR(__xludf.DUMMYFUNCTION("""COMPUTED_VALUE"""),"Chalatpon")</f>
        <v>Chalatpon</v>
      </c>
      <c r="F229" t="str">
        <f>IFERROR(__xludf.DUMMYFUNCTION("""COMPUTED_VALUE"""),"Tangkanjanapas")</f>
        <v>Tangkanjanapas</v>
      </c>
      <c r="G229" t="str">
        <f>IFERROR(__xludf.DUMMYFUNCTION("""COMPUTED_VALUE"""),"Chalatpon Tangkanjanapas")</f>
        <v>Chalatpon Tangkanjanapas</v>
      </c>
      <c r="H229" t="str">
        <f>IFERROR(__xludf.DUMMYFUNCTION("""COMPUTED_VALUE"""),"นาย")</f>
        <v>นาย</v>
      </c>
      <c r="I229" t="str">
        <f>IFERROR(__xludf.DUMMYFUNCTION("""COMPUTED_VALUE"""),"ชลัฏพล")</f>
        <v>ชลัฏพล</v>
      </c>
      <c r="J229" t="str">
        <f>IFERROR(__xludf.DUMMYFUNCTION("""COMPUTED_VALUE"""),"ตั้งกาญจนภาสน์")</f>
        <v>ตั้งกาญจนภาสน์</v>
      </c>
      <c r="K229" t="str">
        <f>IFERROR(__xludf.DUMMYFUNCTION("""COMPUTED_VALUE"""),"ชลัฏพล ตั้งกาญจนภาสน์")</f>
        <v>ชลัฏพล ตั้งกาญจนภาสน์</v>
      </c>
      <c r="L229" t="str">
        <f>IFERROR(__xludf.DUMMYFUNCTION("""COMPUTED_VALUE"""),"โบท")</f>
        <v>โบท</v>
      </c>
      <c r="M229" t="str">
        <f>IFERROR(__xludf.DUMMYFUNCTION("""COMPUTED_VALUE"""),"Senior Cabin Crew")</f>
        <v>Senior Cabin Crew</v>
      </c>
      <c r="N229" t="str">
        <f>IFERROR(__xludf.DUMMYFUNCTION("""COMPUTED_VALUE"""),"DMK")</f>
        <v>DMK</v>
      </c>
      <c r="O229" s="145" t="str">
        <f>IFERROR(__xludf.DUMMYFUNCTION("""COMPUTED_VALUE"""),"Nhui Home")</f>
        <v>Nhui Home</v>
      </c>
      <c r="P229" t="str">
        <f>IFERROR(__xludf.DUMMYFUNCTION("""COMPUTED_VALUE"""),"Active")</f>
        <v>Active</v>
      </c>
      <c r="R229" s="143">
        <f>IFERROR(__xludf.DUMMYFUNCTION("""COMPUTED_VALUE"""),32467.0)</f>
        <v>32467</v>
      </c>
      <c r="S229" s="146" t="str">
        <f>IFERROR(__xludf.DUMMYFUNCTION("""COMPUTED_VALUE"""),"086-492-4456")</f>
        <v>086-492-4456</v>
      </c>
      <c r="T229" s="147" t="str">
        <f>IFERROR(__xludf.DUMMYFUNCTION("""COMPUTED_VALUE"""),"1100800-48-1191")</f>
        <v>1100800-48-1191</v>
      </c>
      <c r="U229" t="str">
        <f>IFERROR(__xludf.DUMMYFUNCTION("""COMPUTED_VALUE"""),"AD2301376")</f>
        <v>AD2301376</v>
      </c>
      <c r="V229" s="148">
        <f>IFERROR(__xludf.DUMMYFUNCTION("""COMPUTED_VALUE"""),45817.0)</f>
        <v>45817</v>
      </c>
      <c r="W229" s="148">
        <f>IFERROR(__xludf.DUMMYFUNCTION("""COMPUTED_VALUE"""),49468.0)</f>
        <v>49468</v>
      </c>
      <c r="X229" s="149">
        <f>IFERROR(__xludf.DUMMYFUNCTION("""COMPUTED_VALUE"""),49286.0)</f>
        <v>49286</v>
      </c>
      <c r="Y229" t="str">
        <f>IFERROR(__xludf.DUMMYFUNCTION("""COMPUTED_VALUE"""),"ปลอดภัย")</f>
        <v>ปลอดภัย</v>
      </c>
      <c r="Z229" t="str">
        <f>IFERROR(__xludf.DUMMYFUNCTION("""COMPUTED_VALUE"""),"Bangkok")</f>
        <v>Bangkok</v>
      </c>
      <c r="AA229" t="str">
        <f>IFERROR(__xludf.DUMMYFUNCTION("""COMPUTED_VALUE"""),"ป้อมปราบศัตรูพ่าย")</f>
        <v>ป้อมปราบศัตรูพ่าย</v>
      </c>
      <c r="AB229" t="str">
        <f>IFERROR(__xludf.DUMMYFUNCTION("""COMPUTED_VALUE"""),"081 925 7540")</f>
        <v>081 925 7540</v>
      </c>
      <c r="AC229" t="str">
        <f>IFERROR(__xludf.DUMMYFUNCTION("""COMPUTED_VALUE"""),"มารดา")</f>
        <v>มารดา</v>
      </c>
      <c r="AD229" t="str">
        <f>IFERROR(__xludf.DUMMYFUNCTION("""COMPUTED_VALUE"""),"chalatpont@airasia.com")</f>
        <v>chalatpont@airasia.com</v>
      </c>
    </row>
    <row r="230">
      <c r="A230" s="142">
        <f>IFERROR(__xludf.DUMMYFUNCTION("""COMPUTED_VALUE"""),40.0)</f>
        <v>40</v>
      </c>
      <c r="B230" t="str">
        <f>IFERROR(__xludf.DUMMYFUNCTION("""COMPUTED_VALUE"""),"TAA3205")</f>
        <v>TAA3205</v>
      </c>
      <c r="C230">
        <f>IFERROR(__xludf.DUMMYFUNCTION("""COMPUTED_VALUE"""),1005297.0)</f>
        <v>1005297</v>
      </c>
      <c r="D230" t="str">
        <f>IFERROR(__xludf.DUMMYFUNCTION("""COMPUTED_VALUE"""),"Ms.")</f>
        <v>Ms.</v>
      </c>
      <c r="E230" t="str">
        <f>IFERROR(__xludf.DUMMYFUNCTION("""COMPUTED_VALUE"""),"Kunapond")</f>
        <v>Kunapond</v>
      </c>
      <c r="F230" t="str">
        <f>IFERROR(__xludf.DUMMYFUNCTION("""COMPUTED_VALUE"""),"Wutayatornsakul")</f>
        <v>Wutayatornsakul</v>
      </c>
      <c r="G230" t="str">
        <f>IFERROR(__xludf.DUMMYFUNCTION("""COMPUTED_VALUE"""),"Kunapond Wutayatornsakul")</f>
        <v>Kunapond Wutayatornsakul</v>
      </c>
      <c r="H230" t="str">
        <f>IFERROR(__xludf.DUMMYFUNCTION("""COMPUTED_VALUE"""),"นางสาว")</f>
        <v>นางสาว</v>
      </c>
      <c r="I230" t="str">
        <f>IFERROR(__xludf.DUMMYFUNCTION("""COMPUTED_VALUE"""),"คุณาภรณ์")</f>
        <v>คุณาภรณ์</v>
      </c>
      <c r="J230" t="str">
        <f>IFERROR(__xludf.DUMMYFUNCTION("""COMPUTED_VALUE"""),"หวูทยาธรสกุล")</f>
        <v>หวูทยาธรสกุล</v>
      </c>
      <c r="K230" t="str">
        <f>IFERROR(__xludf.DUMMYFUNCTION("""COMPUTED_VALUE"""),"คุณาภรณ์ หวูทยาธรสกุล")</f>
        <v>คุณาภรณ์ หวูทยาธรสกุล</v>
      </c>
      <c r="L230" t="str">
        <f>IFERROR(__xludf.DUMMYFUNCTION("""COMPUTED_VALUE"""),"ซู่")</f>
        <v>ซู่</v>
      </c>
      <c r="M230" t="str">
        <f>IFERROR(__xludf.DUMMYFUNCTION("""COMPUTED_VALUE"""),"Cabin Crew")</f>
        <v>Cabin Crew</v>
      </c>
      <c r="N230" t="str">
        <f>IFERROR(__xludf.DUMMYFUNCTION("""COMPUTED_VALUE"""),"DMK")</f>
        <v>DMK</v>
      </c>
      <c r="O230" s="145" t="str">
        <f>IFERROR(__xludf.DUMMYFUNCTION("""COMPUTED_VALUE"""),"Kor Home")</f>
        <v>Kor Home</v>
      </c>
      <c r="P230" t="str">
        <f>IFERROR(__xludf.DUMMYFUNCTION("""COMPUTED_VALUE"""),"Active")</f>
        <v>Active</v>
      </c>
      <c r="Q230" t="str">
        <f>IFERROR(__xludf.DUMMYFUNCTION("""COMPUTED_VALUE"""),"Chinese Speaking")</f>
        <v>Chinese Speaking</v>
      </c>
      <c r="R230" s="143">
        <f>IFERROR(__xludf.DUMMYFUNCTION("""COMPUTED_VALUE"""),33501.0)</f>
        <v>33501</v>
      </c>
      <c r="S230" s="146" t="str">
        <f>IFERROR(__xludf.DUMMYFUNCTION("""COMPUTED_VALUE"""),"083 012 0318")</f>
        <v>083 012 0318</v>
      </c>
      <c r="T230" s="147" t="str">
        <f>IFERROR(__xludf.DUMMYFUNCTION("""COMPUTED_VALUE"""),"1850100-06-1665")</f>
        <v>1850100-06-1665</v>
      </c>
      <c r="U230" t="str">
        <f>IFERROR(__xludf.DUMMYFUNCTION("""COMPUTED_VALUE"""),"AC6983661")</f>
        <v>AC6983661</v>
      </c>
      <c r="V230" s="148">
        <f>IFERROR(__xludf.DUMMYFUNCTION("""COMPUTED_VALUE"""),45611.0)</f>
        <v>45611</v>
      </c>
      <c r="W230" s="148">
        <f>IFERROR(__xludf.DUMMYFUNCTION("""COMPUTED_VALUE"""),49262.0)</f>
        <v>49262</v>
      </c>
      <c r="X230" s="149">
        <f>IFERROR(__xludf.DUMMYFUNCTION("""COMPUTED_VALUE"""),49078.0)</f>
        <v>49078</v>
      </c>
      <c r="Y230" t="str">
        <f>IFERROR(__xludf.DUMMYFUNCTION("""COMPUTED_VALUE"""),"ปลอดภัย")</f>
        <v>ปลอดภัย</v>
      </c>
      <c r="Z230" t="str">
        <f>IFERROR(__xludf.DUMMYFUNCTION("""COMPUTED_VALUE"""),"Ranong Province")</f>
        <v>Ranong Province</v>
      </c>
      <c r="AA230" t="str">
        <f>IFERROR(__xludf.DUMMYFUNCTION("""COMPUTED_VALUE"""),"หนองแขม")</f>
        <v>หนองแขม</v>
      </c>
      <c r="AB230" t="str">
        <f>IFERROR(__xludf.DUMMYFUNCTION("""COMPUTED_VALUE"""),"081 483 8686")</f>
        <v>081 483 8686</v>
      </c>
      <c r="AC230" t="str">
        <f>IFERROR(__xludf.DUMMYFUNCTION("""COMPUTED_VALUE"""),"มารดา")</f>
        <v>มารดา</v>
      </c>
      <c r="AD230" t="str">
        <f>IFERROR(__xludf.DUMMYFUNCTION("""COMPUTED_VALUE"""),"kunapondw@airasia.com")</f>
        <v>kunapondw@airasia.com</v>
      </c>
    </row>
    <row r="231">
      <c r="A231" s="142">
        <f>IFERROR(__xludf.DUMMYFUNCTION("""COMPUTED_VALUE"""),40.0)</f>
        <v>40</v>
      </c>
      <c r="B231" t="str">
        <f>IFERROR(__xludf.DUMMYFUNCTION("""COMPUTED_VALUE"""),"TAA3207")</f>
        <v>TAA3207</v>
      </c>
      <c r="C231">
        <f>IFERROR(__xludf.DUMMYFUNCTION("""COMPUTED_VALUE"""),1005299.0)</f>
        <v>1005299</v>
      </c>
      <c r="D231" t="str">
        <f>IFERROR(__xludf.DUMMYFUNCTION("""COMPUTED_VALUE"""),"Ms.")</f>
        <v>Ms.</v>
      </c>
      <c r="E231" t="str">
        <f>IFERROR(__xludf.DUMMYFUNCTION("""COMPUTED_VALUE"""),"Nannalin")</f>
        <v>Nannalin</v>
      </c>
      <c r="F231" t="str">
        <f>IFERROR(__xludf.DUMMYFUNCTION("""COMPUTED_VALUE"""),"Deetesna")</f>
        <v>Deetesna</v>
      </c>
      <c r="G231" t="str">
        <f>IFERROR(__xludf.DUMMYFUNCTION("""COMPUTED_VALUE"""),"Nan Deetesna")</f>
        <v>Nan Deetesna</v>
      </c>
      <c r="H231" t="str">
        <f>IFERROR(__xludf.DUMMYFUNCTION("""COMPUTED_VALUE"""),"นางสาว")</f>
        <v>นางสาว</v>
      </c>
      <c r="I231" t="str">
        <f>IFERROR(__xludf.DUMMYFUNCTION("""COMPUTED_VALUE"""),"นันท์นลิน")</f>
        <v>นันท์นลิน</v>
      </c>
      <c r="J231" t="str">
        <f>IFERROR(__xludf.DUMMYFUNCTION("""COMPUTED_VALUE"""),"ดีเทศน์")</f>
        <v>ดีเทศน์</v>
      </c>
      <c r="K231" t="str">
        <f>IFERROR(__xludf.DUMMYFUNCTION("""COMPUTED_VALUE"""),"นันท์นลิน ดีเทศน์")</f>
        <v>นันท์นลิน ดีเทศน์</v>
      </c>
      <c r="L231" t="str">
        <f>IFERROR(__xludf.DUMMYFUNCTION("""COMPUTED_VALUE"""),"เมษา")</f>
        <v>เมษา</v>
      </c>
      <c r="M231" t="str">
        <f>IFERROR(__xludf.DUMMYFUNCTION("""COMPUTED_VALUE"""),"Cabin Crew")</f>
        <v>Cabin Crew</v>
      </c>
      <c r="N231" t="str">
        <f>IFERROR(__xludf.DUMMYFUNCTION("""COMPUTED_VALUE"""),"DMK")</f>
        <v>DMK</v>
      </c>
      <c r="O231" s="145" t="str">
        <f>IFERROR(__xludf.DUMMYFUNCTION("""COMPUTED_VALUE"""),"Nhui Home")</f>
        <v>Nhui Home</v>
      </c>
      <c r="P231" t="str">
        <f>IFERROR(__xludf.DUMMYFUNCTION("""COMPUTED_VALUE"""),"Active")</f>
        <v>Active</v>
      </c>
      <c r="R231" s="143">
        <f>IFERROR(__xludf.DUMMYFUNCTION("""COMPUTED_VALUE"""),32239.0)</f>
        <v>32239</v>
      </c>
      <c r="S231" s="146" t="str">
        <f>IFERROR(__xludf.DUMMYFUNCTION("""COMPUTED_VALUE"""),"085 546 6964")</f>
        <v>085 546 6964</v>
      </c>
      <c r="T231" s="147" t="str">
        <f>IFERROR(__xludf.DUMMYFUNCTION("""COMPUTED_VALUE"""),"1409900-43-2881")</f>
        <v>1409900-43-2881</v>
      </c>
      <c r="U231" t="str">
        <f>IFERROR(__xludf.DUMMYFUNCTION("""COMPUTED_VALUE"""),"AC8234784")</f>
        <v>AC8234784</v>
      </c>
      <c r="V231" s="148">
        <f>IFERROR(__xludf.DUMMYFUNCTION("""COMPUTED_VALUE"""),45740.0)</f>
        <v>45740</v>
      </c>
      <c r="W231" s="148">
        <f>IFERROR(__xludf.DUMMYFUNCTION("""COMPUTED_VALUE"""),49391.0)</f>
        <v>49391</v>
      </c>
      <c r="X231" s="149">
        <f>IFERROR(__xludf.DUMMYFUNCTION("""COMPUTED_VALUE"""),49210.0)</f>
        <v>49210</v>
      </c>
      <c r="Y231" t="str">
        <f>IFERROR(__xludf.DUMMYFUNCTION("""COMPUTED_VALUE"""),"ปลอดภัย")</f>
        <v>ปลอดภัย</v>
      </c>
      <c r="Z231" t="str">
        <f>IFERROR(__xludf.DUMMYFUNCTION("""COMPUTED_VALUE"""),"Khon Kaen Province")</f>
        <v>Khon Kaen Province</v>
      </c>
      <c r="AA231" t="str">
        <f>IFERROR(__xludf.DUMMYFUNCTION("""COMPUTED_VALUE"""),"จตุจักร")</f>
        <v>จตุจักร</v>
      </c>
      <c r="AB231" t="str">
        <f>IFERROR(__xludf.DUMMYFUNCTION("""COMPUTED_VALUE"""),"088 875 1400 / 085 111 5686")</f>
        <v>088 875 1400 / 085 111 5686</v>
      </c>
      <c r="AC231" t="str">
        <f>IFERROR(__xludf.DUMMYFUNCTION("""COMPUTED_VALUE"""),"แฟน")</f>
        <v>แฟน</v>
      </c>
      <c r="AD231" t="str">
        <f>IFERROR(__xludf.DUMMYFUNCTION("""COMPUTED_VALUE"""),"nand@airasia.com")</f>
        <v>nand@airasia.com</v>
      </c>
    </row>
    <row r="232">
      <c r="A232" s="142">
        <f>IFERROR(__xludf.DUMMYFUNCTION("""COMPUTED_VALUE"""),40.0)</f>
        <v>40</v>
      </c>
      <c r="B232" t="str">
        <f>IFERROR(__xludf.DUMMYFUNCTION("""COMPUTED_VALUE"""),"TAA3206")</f>
        <v>TAA3206</v>
      </c>
      <c r="C232">
        <f>IFERROR(__xludf.DUMMYFUNCTION("""COMPUTED_VALUE"""),1005301.0)</f>
        <v>1005301</v>
      </c>
      <c r="D232" t="str">
        <f>IFERROR(__xludf.DUMMYFUNCTION("""COMPUTED_VALUE"""),"Ms.")</f>
        <v>Ms.</v>
      </c>
      <c r="E232" t="str">
        <f>IFERROR(__xludf.DUMMYFUNCTION("""COMPUTED_VALUE"""),"Pimpaporn")</f>
        <v>Pimpaporn</v>
      </c>
      <c r="F232" t="str">
        <f>IFERROR(__xludf.DUMMYFUNCTION("""COMPUTED_VALUE"""),"Sittitanggoon")</f>
        <v>Sittitanggoon</v>
      </c>
      <c r="G232" t="str">
        <f>IFERROR(__xludf.DUMMYFUNCTION("""COMPUTED_VALUE"""),"Pimpaporn Sittitanggoon")</f>
        <v>Pimpaporn Sittitanggoon</v>
      </c>
      <c r="H232" t="str">
        <f>IFERROR(__xludf.DUMMYFUNCTION("""COMPUTED_VALUE"""),"นางสาว")</f>
        <v>นางสาว</v>
      </c>
      <c r="I232" t="str">
        <f>IFERROR(__xludf.DUMMYFUNCTION("""COMPUTED_VALUE"""),"พิมพาภรณ์")</f>
        <v>พิมพาภรณ์</v>
      </c>
      <c r="J232" t="str">
        <f>IFERROR(__xludf.DUMMYFUNCTION("""COMPUTED_VALUE"""),"สิทธิธางกูร")</f>
        <v>สิทธิธางกูร</v>
      </c>
      <c r="K232" t="str">
        <f>IFERROR(__xludf.DUMMYFUNCTION("""COMPUTED_VALUE"""),"พิมพาภรณ์ สิทธิธางกูร")</f>
        <v>พิมพาภรณ์ สิทธิธางกูร</v>
      </c>
      <c r="L232" t="str">
        <f>IFERROR(__xludf.DUMMYFUNCTION("""COMPUTED_VALUE"""),"ส้ม")</f>
        <v>ส้ม</v>
      </c>
      <c r="M232" t="str">
        <f>IFERROR(__xludf.DUMMYFUNCTION("""COMPUTED_VALUE"""),"Cabin Crew")</f>
        <v>Cabin Crew</v>
      </c>
      <c r="N232" t="str">
        <f>IFERROR(__xludf.DUMMYFUNCTION("""COMPUTED_VALUE"""),"DMK")</f>
        <v>DMK</v>
      </c>
      <c r="O232" s="145" t="str">
        <f>IFERROR(__xludf.DUMMYFUNCTION("""COMPUTED_VALUE"""),"Nhui Home")</f>
        <v>Nhui Home</v>
      </c>
      <c r="P232" t="str">
        <f>IFERROR(__xludf.DUMMYFUNCTION("""COMPUTED_VALUE"""),"Active")</f>
        <v>Active</v>
      </c>
      <c r="R232" s="143">
        <f>IFERROR(__xludf.DUMMYFUNCTION("""COMPUTED_VALUE"""),32098.0)</f>
        <v>32098</v>
      </c>
      <c r="S232" s="146" t="str">
        <f>IFERROR(__xludf.DUMMYFUNCTION("""COMPUTED_VALUE"""),"099 536 2641")</f>
        <v>099 536 2641</v>
      </c>
      <c r="T232" s="147" t="str">
        <f>IFERROR(__xludf.DUMMYFUNCTION("""COMPUTED_VALUE"""),"1101401-16-3511")</f>
        <v>1101401-16-3511</v>
      </c>
      <c r="U232" t="str">
        <f>IFERROR(__xludf.DUMMYFUNCTION("""COMPUTED_VALUE"""),"AC5507564")</f>
        <v>AC5507564</v>
      </c>
      <c r="V232" s="148">
        <f>IFERROR(__xludf.DUMMYFUNCTION("""COMPUTED_VALUE"""),45155.0)</f>
        <v>45155</v>
      </c>
      <c r="W232" s="148">
        <f>IFERROR(__xludf.DUMMYFUNCTION("""COMPUTED_VALUE"""),48807.0)</f>
        <v>48807</v>
      </c>
      <c r="X232" s="149">
        <f>IFERROR(__xludf.DUMMYFUNCTION("""COMPUTED_VALUE"""),48626.0)</f>
        <v>48626</v>
      </c>
      <c r="Y232" t="str">
        <f>IFERROR(__xludf.DUMMYFUNCTION("""COMPUTED_VALUE"""),"ปลอดภัย")</f>
        <v>ปลอดภัย</v>
      </c>
      <c r="Z232" t="str">
        <f>IFERROR(__xludf.DUMMYFUNCTION("""COMPUTED_VALUE"""),"Bangkok")</f>
        <v>Bangkok</v>
      </c>
      <c r="AA232" t="str">
        <f>IFERROR(__xludf.DUMMYFUNCTION("""COMPUTED_VALUE"""),"หลักสี่")</f>
        <v>หลักสี่</v>
      </c>
      <c r="AB232" t="str">
        <f>IFERROR(__xludf.DUMMYFUNCTION("""COMPUTED_VALUE"""),"089 469 5822")</f>
        <v>089 469 5822</v>
      </c>
      <c r="AC232" t="str">
        <f>IFERROR(__xludf.DUMMYFUNCTION("""COMPUTED_VALUE"""),"มารดา")</f>
        <v>มารดา</v>
      </c>
      <c r="AD232" t="str">
        <f>IFERROR(__xludf.DUMMYFUNCTION("""COMPUTED_VALUE"""),"pimpaporns@airasia.com")</f>
        <v>pimpaporns@airasia.com</v>
      </c>
    </row>
    <row r="233">
      <c r="A233" s="142">
        <f>IFERROR(__xludf.DUMMYFUNCTION("""COMPUTED_VALUE"""),40.0)</f>
        <v>40</v>
      </c>
      <c r="B233" t="str">
        <f>IFERROR(__xludf.DUMMYFUNCTION("""COMPUTED_VALUE"""),"TAA3196")</f>
        <v>TAA3196</v>
      </c>
      <c r="C233">
        <f>IFERROR(__xludf.DUMMYFUNCTION("""COMPUTED_VALUE"""),1005302.0)</f>
        <v>1005302</v>
      </c>
      <c r="D233" t="str">
        <f>IFERROR(__xludf.DUMMYFUNCTION("""COMPUTED_VALUE"""),"Ms.")</f>
        <v>Ms.</v>
      </c>
      <c r="E233" t="str">
        <f>IFERROR(__xludf.DUMMYFUNCTION("""COMPUTED_VALUE"""),"Pinyada")</f>
        <v>Pinyada</v>
      </c>
      <c r="F233" t="str">
        <f>IFERROR(__xludf.DUMMYFUNCTION("""COMPUTED_VALUE"""),"Wachiradetsathain")</f>
        <v>Wachiradetsathain</v>
      </c>
      <c r="G233" t="str">
        <f>IFERROR(__xludf.DUMMYFUNCTION("""COMPUTED_VALUE"""),"Pinyada Wachiradetsathain")</f>
        <v>Pinyada Wachiradetsathain</v>
      </c>
      <c r="H233" t="str">
        <f>IFERROR(__xludf.DUMMYFUNCTION("""COMPUTED_VALUE"""),"นางสาว")</f>
        <v>นางสาว</v>
      </c>
      <c r="I233" t="str">
        <f>IFERROR(__xludf.DUMMYFUNCTION("""COMPUTED_VALUE"""),"ภิญญดา")</f>
        <v>ภิญญดา</v>
      </c>
      <c r="J233" t="str">
        <f>IFERROR(__xludf.DUMMYFUNCTION("""COMPUTED_VALUE"""),"วชิรเดชเสถียร")</f>
        <v>วชิรเดชเสถียร</v>
      </c>
      <c r="K233" t="str">
        <f>IFERROR(__xludf.DUMMYFUNCTION("""COMPUTED_VALUE"""),"ภิญญดา วชิรเดชเสถียร")</f>
        <v>ภิญญดา วชิรเดชเสถียร</v>
      </c>
      <c r="L233" t="str">
        <f>IFERROR(__xludf.DUMMYFUNCTION("""COMPUTED_VALUE"""),"เนย")</f>
        <v>เนย</v>
      </c>
      <c r="M233" t="str">
        <f>IFERROR(__xludf.DUMMYFUNCTION("""COMPUTED_VALUE"""),"Senior Cabin Crew")</f>
        <v>Senior Cabin Crew</v>
      </c>
      <c r="N233" t="str">
        <f>IFERROR(__xludf.DUMMYFUNCTION("""COMPUTED_VALUE"""),"DMK")</f>
        <v>DMK</v>
      </c>
      <c r="O233" s="145" t="str">
        <f>IFERROR(__xludf.DUMMYFUNCTION("""COMPUTED_VALUE"""),"Por+ Home")</f>
        <v>Por+ Home</v>
      </c>
      <c r="P233" t="str">
        <f>IFERROR(__xludf.DUMMYFUNCTION("""COMPUTED_VALUE"""),"Active")</f>
        <v>Active</v>
      </c>
      <c r="R233" s="143">
        <f>IFERROR(__xludf.DUMMYFUNCTION("""COMPUTED_VALUE"""),31700.0)</f>
        <v>31700</v>
      </c>
      <c r="S233" s="146" t="str">
        <f>IFERROR(__xludf.DUMMYFUNCTION("""COMPUTED_VALUE"""),"080 240 8444")</f>
        <v>080 240 8444</v>
      </c>
      <c r="T233" s="147" t="str">
        <f>IFERROR(__xludf.DUMMYFUNCTION("""COMPUTED_VALUE"""),"1200700-05-2204")</f>
        <v>1200700-05-2204</v>
      </c>
      <c r="U233" t="str">
        <f>IFERROR(__xludf.DUMMYFUNCTION("""COMPUTED_VALUE"""),"AC5085758")</f>
        <v>AC5085758</v>
      </c>
      <c r="V233" s="148">
        <f>IFERROR(__xludf.DUMMYFUNCTION("""COMPUTED_VALUE"""),45084.0)</f>
        <v>45084</v>
      </c>
      <c r="W233" s="148">
        <f>IFERROR(__xludf.DUMMYFUNCTION("""COMPUTED_VALUE"""),48736.0)</f>
        <v>48736</v>
      </c>
      <c r="X233" s="149">
        <f>IFERROR(__xludf.DUMMYFUNCTION("""COMPUTED_VALUE"""),48554.0)</f>
        <v>48554</v>
      </c>
      <c r="Y233" t="str">
        <f>IFERROR(__xludf.DUMMYFUNCTION("""COMPUTED_VALUE"""),"ปลอดภัย")</f>
        <v>ปลอดภัย</v>
      </c>
      <c r="Z233" t="str">
        <f>IFERROR(__xludf.DUMMYFUNCTION("""COMPUTED_VALUE"""),"Chonburi Province")</f>
        <v>Chonburi Province</v>
      </c>
      <c r="AA233" t="str">
        <f>IFERROR(__xludf.DUMMYFUNCTION("""COMPUTED_VALUE"""),"ราชเทวี")</f>
        <v>ราชเทวี</v>
      </c>
      <c r="AB233" t="str">
        <f>IFERROR(__xludf.DUMMYFUNCTION("""COMPUTED_VALUE"""),"080 220 5225")</f>
        <v>080 220 5225</v>
      </c>
      <c r="AC233" t="str">
        <f>IFERROR(__xludf.DUMMYFUNCTION("""COMPUTED_VALUE"""),"พี่สาว")</f>
        <v>พี่สาว</v>
      </c>
      <c r="AD233" t="str">
        <f>IFERROR(__xludf.DUMMYFUNCTION("""COMPUTED_VALUE"""),"pinyadaw@airasia.com")</f>
        <v>pinyadaw@airasia.com</v>
      </c>
    </row>
    <row r="234">
      <c r="A234" s="142">
        <f>IFERROR(__xludf.DUMMYFUNCTION("""COMPUTED_VALUE"""),40.0)</f>
        <v>40</v>
      </c>
      <c r="B234" t="str">
        <f>IFERROR(__xludf.DUMMYFUNCTION("""COMPUTED_VALUE"""),"TAA3200")</f>
        <v>TAA3200</v>
      </c>
      <c r="C234">
        <f>IFERROR(__xludf.DUMMYFUNCTION("""COMPUTED_VALUE"""),1005303.0)</f>
        <v>1005303</v>
      </c>
      <c r="D234" t="str">
        <f>IFERROR(__xludf.DUMMYFUNCTION("""COMPUTED_VALUE"""),"Ms.")</f>
        <v>Ms.</v>
      </c>
      <c r="E234" t="str">
        <f>IFERROR(__xludf.DUMMYFUNCTION("""COMPUTED_VALUE"""),"Piyathida")</f>
        <v>Piyathida</v>
      </c>
      <c r="F234" t="str">
        <f>IFERROR(__xludf.DUMMYFUNCTION("""COMPUTED_VALUE"""),"Jaikla")</f>
        <v>Jaikla</v>
      </c>
      <c r="G234" t="str">
        <f>IFERROR(__xludf.DUMMYFUNCTION("""COMPUTED_VALUE"""),"Piyathida Jaikla")</f>
        <v>Piyathida Jaikla</v>
      </c>
      <c r="H234" t="str">
        <f>IFERROR(__xludf.DUMMYFUNCTION("""COMPUTED_VALUE"""),"นางสาว")</f>
        <v>นางสาว</v>
      </c>
      <c r="I234" t="str">
        <f>IFERROR(__xludf.DUMMYFUNCTION("""COMPUTED_VALUE"""),"ปิยะธิดา")</f>
        <v>ปิยะธิดา</v>
      </c>
      <c r="J234" t="str">
        <f>IFERROR(__xludf.DUMMYFUNCTION("""COMPUTED_VALUE"""),"ใจกล้า")</f>
        <v>ใจกล้า</v>
      </c>
      <c r="K234" t="str">
        <f>IFERROR(__xludf.DUMMYFUNCTION("""COMPUTED_VALUE"""),"ปิยะธิดา ใจกล้า")</f>
        <v>ปิยะธิดา ใจกล้า</v>
      </c>
      <c r="L234" t="str">
        <f>IFERROR(__xludf.DUMMYFUNCTION("""COMPUTED_VALUE"""),"กวาง")</f>
        <v>กวาง</v>
      </c>
      <c r="M234" t="str">
        <f>IFERROR(__xludf.DUMMYFUNCTION("""COMPUTED_VALUE"""),"Cabin Crew")</f>
        <v>Cabin Crew</v>
      </c>
      <c r="N234" t="str">
        <f>IFERROR(__xludf.DUMMYFUNCTION("""COMPUTED_VALUE"""),"DMK")</f>
        <v>DMK</v>
      </c>
      <c r="O234" s="145" t="str">
        <f>IFERROR(__xludf.DUMMYFUNCTION("""COMPUTED_VALUE"""),"Toffy Home")</f>
        <v>Toffy Home</v>
      </c>
      <c r="P234" t="str">
        <f>IFERROR(__xludf.DUMMYFUNCTION("""COMPUTED_VALUE"""),"Active")</f>
        <v>Active</v>
      </c>
      <c r="R234" s="143">
        <f>IFERROR(__xludf.DUMMYFUNCTION("""COMPUTED_VALUE"""),30247.0)</f>
        <v>30247</v>
      </c>
      <c r="S234" s="146" t="str">
        <f>IFERROR(__xludf.DUMMYFUNCTION("""COMPUTED_VALUE"""),"063 664 9692")</f>
        <v>063 664 9692</v>
      </c>
      <c r="T234" s="147" t="str">
        <f>IFERROR(__xludf.DUMMYFUNCTION("""COMPUTED_VALUE"""),"3101501-60-1923")</f>
        <v>3101501-60-1923</v>
      </c>
      <c r="U234" t="str">
        <f>IFERROR(__xludf.DUMMYFUNCTION("""COMPUTED_VALUE"""),"AC7964152")</f>
        <v>AC7964152</v>
      </c>
      <c r="V234" s="149">
        <f>IFERROR(__xludf.DUMMYFUNCTION("""COMPUTED_VALUE"""),45687.0)</f>
        <v>45687</v>
      </c>
      <c r="W234" s="148">
        <f>IFERROR(__xludf.DUMMYFUNCTION("""COMPUTED_VALUE"""),49338.0)</f>
        <v>49338</v>
      </c>
      <c r="X234" s="149">
        <f>IFERROR(__xludf.DUMMYFUNCTION("""COMPUTED_VALUE"""),49154.0)</f>
        <v>49154</v>
      </c>
      <c r="Y234" t="str">
        <f>IFERROR(__xludf.DUMMYFUNCTION("""COMPUTED_VALUE"""),"ปลอดภัย")</f>
        <v>ปลอดภัย</v>
      </c>
      <c r="Z234" t="str">
        <f>IFERROR(__xludf.DUMMYFUNCTION("""COMPUTED_VALUE"""),"Bangkok")</f>
        <v>Bangkok</v>
      </c>
      <c r="AA234" t="str">
        <f>IFERROR(__xludf.DUMMYFUNCTION("""COMPUTED_VALUE"""),"ธนบุรี วงเวียนใหญ่")</f>
        <v>ธนบุรี วงเวียนใหญ่</v>
      </c>
      <c r="AB234" t="str">
        <f>IFERROR(__xludf.DUMMYFUNCTION("""COMPUTED_VALUE"""),"086 957 1582")</f>
        <v>086 957 1582</v>
      </c>
      <c r="AC234" t="str">
        <f>IFERROR(__xludf.DUMMYFUNCTION("""COMPUTED_VALUE"""),"มารดา")</f>
        <v>มารดา</v>
      </c>
      <c r="AD234" t="str">
        <f>IFERROR(__xludf.DUMMYFUNCTION("""COMPUTED_VALUE"""),"piyathidaj@airasia.com")</f>
        <v>piyathidaj@airasia.com</v>
      </c>
    </row>
    <row r="235">
      <c r="A235" s="142">
        <f>IFERROR(__xludf.DUMMYFUNCTION("""COMPUTED_VALUE"""),40.0)</f>
        <v>40</v>
      </c>
      <c r="B235" t="str">
        <f>IFERROR(__xludf.DUMMYFUNCTION("""COMPUTED_VALUE"""),"TAA3195")</f>
        <v>TAA3195</v>
      </c>
      <c r="C235">
        <f>IFERROR(__xludf.DUMMYFUNCTION("""COMPUTED_VALUE"""),1005304.0)</f>
        <v>1005304</v>
      </c>
      <c r="D235" t="str">
        <f>IFERROR(__xludf.DUMMYFUNCTION("""COMPUTED_VALUE"""),"Mr.")</f>
        <v>Mr.</v>
      </c>
      <c r="E235" t="str">
        <f>IFERROR(__xludf.DUMMYFUNCTION("""COMPUTED_VALUE"""),"Pongpon")</f>
        <v>Pongpon</v>
      </c>
      <c r="F235" t="str">
        <f>IFERROR(__xludf.DUMMYFUNCTION("""COMPUTED_VALUE"""),"Buasalee")</f>
        <v>Buasalee</v>
      </c>
      <c r="G235" t="str">
        <f>IFERROR(__xludf.DUMMYFUNCTION("""COMPUTED_VALUE"""),"Pongpon Buasalee")</f>
        <v>Pongpon Buasalee</v>
      </c>
      <c r="H235" t="str">
        <f>IFERROR(__xludf.DUMMYFUNCTION("""COMPUTED_VALUE"""),"นาย")</f>
        <v>นาย</v>
      </c>
      <c r="I235" t="str">
        <f>IFERROR(__xludf.DUMMYFUNCTION("""COMPUTED_VALUE"""),"ปองพล")</f>
        <v>ปองพล</v>
      </c>
      <c r="J235" t="str">
        <f>IFERROR(__xludf.DUMMYFUNCTION("""COMPUTED_VALUE"""),"บัวสาลี")</f>
        <v>บัวสาลี</v>
      </c>
      <c r="K235" t="str">
        <f>IFERROR(__xludf.DUMMYFUNCTION("""COMPUTED_VALUE"""),"ปองพล บัวสาลี")</f>
        <v>ปองพล บัวสาลี</v>
      </c>
      <c r="L235" t="str">
        <f>IFERROR(__xludf.DUMMYFUNCTION("""COMPUTED_VALUE"""),"เอส")</f>
        <v>เอส</v>
      </c>
      <c r="M235" t="str">
        <f>IFERROR(__xludf.DUMMYFUNCTION("""COMPUTED_VALUE"""),"Senior Cabin Crew")</f>
        <v>Senior Cabin Crew</v>
      </c>
      <c r="N235" t="str">
        <f>IFERROR(__xludf.DUMMYFUNCTION("""COMPUTED_VALUE"""),"DMK")</f>
        <v>DMK</v>
      </c>
      <c r="O235" s="145" t="str">
        <f>IFERROR(__xludf.DUMMYFUNCTION("""COMPUTED_VALUE"""),"Toffy Home")</f>
        <v>Toffy Home</v>
      </c>
      <c r="P235" t="str">
        <f>IFERROR(__xludf.DUMMYFUNCTION("""COMPUTED_VALUE"""),"Active")</f>
        <v>Active</v>
      </c>
      <c r="R235" s="143">
        <f>IFERROR(__xludf.DUMMYFUNCTION("""COMPUTED_VALUE"""),31264.0)</f>
        <v>31264</v>
      </c>
      <c r="S235" s="146" t="str">
        <f>IFERROR(__xludf.DUMMYFUNCTION("""COMPUTED_VALUE"""),"081 969 6366")</f>
        <v>081 969 6366</v>
      </c>
      <c r="T235" s="147" t="str">
        <f>IFERROR(__xludf.DUMMYFUNCTION("""COMPUTED_VALUE"""),"1100500-07-4299")</f>
        <v>1100500-07-4299</v>
      </c>
      <c r="U235" t="str">
        <f>IFERROR(__xludf.DUMMYFUNCTION("""COMPUTED_VALUE"""),"AC5566372")</f>
        <v>AC5566372</v>
      </c>
      <c r="V235" s="148">
        <f>IFERROR(__xludf.DUMMYFUNCTION("""COMPUTED_VALUE"""),45168.0)</f>
        <v>45168</v>
      </c>
      <c r="W235" s="148">
        <f>IFERROR(__xludf.DUMMYFUNCTION("""COMPUTED_VALUE"""),48820.0)</f>
        <v>48820</v>
      </c>
      <c r="X235" s="149">
        <f>IFERROR(__xludf.DUMMYFUNCTION("""COMPUTED_VALUE"""),48638.0)</f>
        <v>48638</v>
      </c>
      <c r="Y235" t="str">
        <f>IFERROR(__xludf.DUMMYFUNCTION("""COMPUTED_VALUE"""),"ปลอดภัย")</f>
        <v>ปลอดภัย</v>
      </c>
      <c r="Z235" t="str">
        <f>IFERROR(__xludf.DUMMYFUNCTION("""COMPUTED_VALUE"""),"Bangkok")</f>
        <v>Bangkok</v>
      </c>
      <c r="AA235" t="str">
        <f>IFERROR(__xludf.DUMMYFUNCTION("""COMPUTED_VALUE"""),"จตุจักร")</f>
        <v>จตุจักร</v>
      </c>
      <c r="AB235" t="str">
        <f>IFERROR(__xludf.DUMMYFUNCTION("""COMPUTED_VALUE"""),"085 890 7605")</f>
        <v>085 890 7605</v>
      </c>
      <c r="AC235" t="str">
        <f>IFERROR(__xludf.DUMMYFUNCTION("""COMPUTED_VALUE"""),"มารดา")</f>
        <v>มารดา</v>
      </c>
      <c r="AD235" t="str">
        <f>IFERROR(__xludf.DUMMYFUNCTION("""COMPUTED_VALUE"""),"pongponb@airasia.com")</f>
        <v>pongponb@airasia.com</v>
      </c>
    </row>
    <row r="236">
      <c r="A236" s="142">
        <f>IFERROR(__xludf.DUMMYFUNCTION("""COMPUTED_VALUE"""),40.0)</f>
        <v>40</v>
      </c>
      <c r="B236" t="str">
        <f>IFERROR(__xludf.DUMMYFUNCTION("""COMPUTED_VALUE"""),"TAA3211")</f>
        <v>TAA3211</v>
      </c>
      <c r="C236">
        <f>IFERROR(__xludf.DUMMYFUNCTION("""COMPUTED_VALUE"""),1005306.0)</f>
        <v>1005306</v>
      </c>
      <c r="D236" t="str">
        <f>IFERROR(__xludf.DUMMYFUNCTION("""COMPUTED_VALUE"""),"Ms.")</f>
        <v>Ms.</v>
      </c>
      <c r="E236" t="str">
        <f>IFERROR(__xludf.DUMMYFUNCTION("""COMPUTED_VALUE"""),"Sirirat")</f>
        <v>Sirirat</v>
      </c>
      <c r="F236" t="str">
        <f>IFERROR(__xludf.DUMMYFUNCTION("""COMPUTED_VALUE"""),"Kaewduangkhae")</f>
        <v>Kaewduangkhae</v>
      </c>
      <c r="G236" t="str">
        <f>IFERROR(__xludf.DUMMYFUNCTION("""COMPUTED_VALUE"""),"Sirirat Kaewduangkhae")</f>
        <v>Sirirat Kaewduangkhae</v>
      </c>
      <c r="H236" t="str">
        <f>IFERROR(__xludf.DUMMYFUNCTION("""COMPUTED_VALUE"""),"นางสาว")</f>
        <v>นางสาว</v>
      </c>
      <c r="I236" t="str">
        <f>IFERROR(__xludf.DUMMYFUNCTION("""COMPUTED_VALUE"""),"สิริรัตน์")</f>
        <v>สิริรัตน์</v>
      </c>
      <c r="J236" t="str">
        <f>IFERROR(__xludf.DUMMYFUNCTION("""COMPUTED_VALUE"""),"แก้วดวงแข")</f>
        <v>แก้วดวงแข</v>
      </c>
      <c r="K236" t="str">
        <f>IFERROR(__xludf.DUMMYFUNCTION("""COMPUTED_VALUE"""),"สิริรัตน์ แก้วดวงแข")</f>
        <v>สิริรัตน์ แก้วดวงแข</v>
      </c>
      <c r="L236" t="str">
        <f>IFERROR(__xludf.DUMMYFUNCTION("""COMPUTED_VALUE"""),"กาว")</f>
        <v>กาว</v>
      </c>
      <c r="M236" t="str">
        <f>IFERROR(__xludf.DUMMYFUNCTION("""COMPUTED_VALUE"""),"Senior Cabin Crew")</f>
        <v>Senior Cabin Crew</v>
      </c>
      <c r="N236" t="str">
        <f>IFERROR(__xludf.DUMMYFUNCTION("""COMPUTED_VALUE"""),"DMK")</f>
        <v>DMK</v>
      </c>
      <c r="O236" s="145" t="str">
        <f>IFERROR(__xludf.DUMMYFUNCTION("""COMPUTED_VALUE"""),"Toffy Home")</f>
        <v>Toffy Home</v>
      </c>
      <c r="P236" t="str">
        <f>IFERROR(__xludf.DUMMYFUNCTION("""COMPUTED_VALUE"""),"Active")</f>
        <v>Active</v>
      </c>
      <c r="Q236" t="str">
        <f>IFERROR(__xludf.DUMMYFUNCTION("""COMPUTED_VALUE"""),"Chinese Speaking")</f>
        <v>Chinese Speaking</v>
      </c>
      <c r="R236" s="143">
        <f>IFERROR(__xludf.DUMMYFUNCTION("""COMPUTED_VALUE"""),32424.0)</f>
        <v>32424</v>
      </c>
      <c r="S236" s="146" t="str">
        <f>IFERROR(__xludf.DUMMYFUNCTION("""COMPUTED_VALUE"""),"086 965 4464")</f>
        <v>086 965 4464</v>
      </c>
      <c r="T236" s="147" t="str">
        <f>IFERROR(__xludf.DUMMYFUNCTION("""COMPUTED_VALUE"""),"1909900-18-4513")</f>
        <v>1909900-18-4513</v>
      </c>
      <c r="U236" t="str">
        <f>IFERROR(__xludf.DUMMYFUNCTION("""COMPUTED_VALUE"""),"AC7839135")</f>
        <v>AC7839135</v>
      </c>
      <c r="V236" s="148">
        <f>IFERROR(__xludf.DUMMYFUNCTION("""COMPUTED_VALUE"""),45669.0)</f>
        <v>45669</v>
      </c>
      <c r="W236" s="148">
        <f>IFERROR(__xludf.DUMMYFUNCTION("""COMPUTED_VALUE"""),49320.0)</f>
        <v>49320</v>
      </c>
      <c r="X236" s="149">
        <f>IFERROR(__xludf.DUMMYFUNCTION("""COMPUTED_VALUE"""),49136.0)</f>
        <v>49136</v>
      </c>
      <c r="Y236" t="str">
        <f>IFERROR(__xludf.DUMMYFUNCTION("""COMPUTED_VALUE"""),"ปลอดภัย")</f>
        <v>ปลอดภัย</v>
      </c>
      <c r="Z236" t="str">
        <f>IFERROR(__xludf.DUMMYFUNCTION("""COMPUTED_VALUE"""),"Songkhla Province")</f>
        <v>Songkhla Province</v>
      </c>
      <c r="AA236" t="str">
        <f>IFERROR(__xludf.DUMMYFUNCTION("""COMPUTED_VALUE"""),"ดอนเมือง")</f>
        <v>ดอนเมือง</v>
      </c>
      <c r="AB236" t="str">
        <f>IFERROR(__xludf.DUMMYFUNCTION("""COMPUTED_VALUE"""),"089 735 1121")</f>
        <v>089 735 1121</v>
      </c>
      <c r="AC236" t="str">
        <f>IFERROR(__xludf.DUMMYFUNCTION("""COMPUTED_VALUE"""),"มารดา")</f>
        <v>มารดา</v>
      </c>
      <c r="AD236" t="str">
        <f>IFERROR(__xludf.DUMMYFUNCTION("""COMPUTED_VALUE"""),"sirirata@airasia.com")</f>
        <v>sirirata@airasia.com</v>
      </c>
    </row>
    <row r="237">
      <c r="A237" s="142">
        <f>IFERROR(__xludf.DUMMYFUNCTION("""COMPUTED_VALUE"""),40.0)</f>
        <v>40</v>
      </c>
      <c r="B237" t="str">
        <f>IFERROR(__xludf.DUMMYFUNCTION("""COMPUTED_VALUE"""),"TAA3194")</f>
        <v>TAA3194</v>
      </c>
      <c r="C237">
        <f>IFERROR(__xludf.DUMMYFUNCTION("""COMPUTED_VALUE"""),1005307.0)</f>
        <v>1005307</v>
      </c>
      <c r="D237" t="str">
        <f>IFERROR(__xludf.DUMMYFUNCTION("""COMPUTED_VALUE"""),"Ms.")</f>
        <v>Ms.</v>
      </c>
      <c r="E237" t="str">
        <f>IFERROR(__xludf.DUMMYFUNCTION("""COMPUTED_VALUE"""),"Thanattha")</f>
        <v>Thanattha</v>
      </c>
      <c r="F237" t="str">
        <f>IFERROR(__xludf.DUMMYFUNCTION("""COMPUTED_VALUE"""),"Machai")</f>
        <v>Machai</v>
      </c>
      <c r="G237" t="str">
        <f>IFERROR(__xludf.DUMMYFUNCTION("""COMPUTED_VALUE"""),"Thanattha Machai")</f>
        <v>Thanattha Machai</v>
      </c>
      <c r="H237" t="str">
        <f>IFERROR(__xludf.DUMMYFUNCTION("""COMPUTED_VALUE"""),"นางสาว")</f>
        <v>นางสาว</v>
      </c>
      <c r="I237" t="str">
        <f>IFERROR(__xludf.DUMMYFUNCTION("""COMPUTED_VALUE"""),"ธนัฏฐา")</f>
        <v>ธนัฏฐา</v>
      </c>
      <c r="J237" t="str">
        <f>IFERROR(__xludf.DUMMYFUNCTION("""COMPUTED_VALUE"""),"ม้าชัย")</f>
        <v>ม้าชัย</v>
      </c>
      <c r="K237" t="str">
        <f>IFERROR(__xludf.DUMMYFUNCTION("""COMPUTED_VALUE"""),"ธนัฏฐา ม้าชัย")</f>
        <v>ธนัฏฐา ม้าชัย</v>
      </c>
      <c r="L237" t="str">
        <f>IFERROR(__xludf.DUMMYFUNCTION("""COMPUTED_VALUE"""),"แก้ม")</f>
        <v>แก้ม</v>
      </c>
      <c r="M237" t="str">
        <f>IFERROR(__xludf.DUMMYFUNCTION("""COMPUTED_VALUE"""),"Cabin Crew")</f>
        <v>Cabin Crew</v>
      </c>
      <c r="N237" t="str">
        <f>IFERROR(__xludf.DUMMYFUNCTION("""COMPUTED_VALUE"""),"DMK")</f>
        <v>DMK</v>
      </c>
      <c r="O237" s="145" t="str">
        <f>IFERROR(__xludf.DUMMYFUNCTION("""COMPUTED_VALUE"""),"Toffy Home")</f>
        <v>Toffy Home</v>
      </c>
      <c r="P237" t="str">
        <f>IFERROR(__xludf.DUMMYFUNCTION("""COMPUTED_VALUE"""),"V/LWP")</f>
        <v>V/LWP</v>
      </c>
      <c r="R237" s="143">
        <f>IFERROR(__xludf.DUMMYFUNCTION("""COMPUTED_VALUE"""),32572.0)</f>
        <v>32572</v>
      </c>
      <c r="S237" s="146" t="str">
        <f>IFERROR(__xludf.DUMMYFUNCTION("""COMPUTED_VALUE"""),"062 414 1424")</f>
        <v>062 414 1424</v>
      </c>
      <c r="T237" s="147" t="str">
        <f>IFERROR(__xludf.DUMMYFUNCTION("""COMPUTED_VALUE"""),"1540100-05-4441")</f>
        <v>1540100-05-4441</v>
      </c>
      <c r="U237" t="str">
        <f>IFERROR(__xludf.DUMMYFUNCTION("""COMPUTED_VALUE"""),"AD2244802")</f>
        <v>AD2244802</v>
      </c>
      <c r="V237" s="148">
        <f>IFERROR(__xludf.DUMMYFUNCTION("""COMPUTED_VALUE"""),45782.0)</f>
        <v>45782</v>
      </c>
      <c r="W237" s="148">
        <f>IFERROR(__xludf.DUMMYFUNCTION("""COMPUTED_VALUE"""),49434.0)</f>
        <v>49434</v>
      </c>
      <c r="X237" s="149">
        <f>IFERROR(__xludf.DUMMYFUNCTION("""COMPUTED_VALUE"""),49253.0)</f>
        <v>49253</v>
      </c>
      <c r="Y237" t="str">
        <f>IFERROR(__xludf.DUMMYFUNCTION("""COMPUTED_VALUE"""),"ปลอดภัย")</f>
        <v>ปลอดภัย</v>
      </c>
      <c r="Z237" t="str">
        <f>IFERROR(__xludf.DUMMYFUNCTION("""COMPUTED_VALUE"""),"Phrae Province")</f>
        <v>Phrae Province</v>
      </c>
      <c r="AA237" t="str">
        <f>IFERROR(__xludf.DUMMYFUNCTION("""COMPUTED_VALUE"""),"ห้วยขวาง")</f>
        <v>ห้วยขวาง</v>
      </c>
      <c r="AB237" t="str">
        <f>IFERROR(__xludf.DUMMYFUNCTION("""COMPUTED_VALUE"""),"085 720 7845")</f>
        <v>085 720 7845</v>
      </c>
      <c r="AC237" t="str">
        <f>IFERROR(__xludf.DUMMYFUNCTION("""COMPUTED_VALUE"""),"พี่สาว")</f>
        <v>พี่สาว</v>
      </c>
      <c r="AD237" t="str">
        <f>IFERROR(__xludf.DUMMYFUNCTION("""COMPUTED_VALUE"""),"thanattham@airasia.com")</f>
        <v>thanattham@airasia.com</v>
      </c>
    </row>
    <row r="238">
      <c r="A238" s="142">
        <f>IFERROR(__xludf.DUMMYFUNCTION("""COMPUTED_VALUE"""),40.0)</f>
        <v>40</v>
      </c>
      <c r="B238" t="str">
        <f>IFERROR(__xludf.DUMMYFUNCTION("""COMPUTED_VALUE"""),"TAA3209")</f>
        <v>TAA3209</v>
      </c>
      <c r="C238">
        <f>IFERROR(__xludf.DUMMYFUNCTION("""COMPUTED_VALUE"""),1005308.0)</f>
        <v>1005308</v>
      </c>
      <c r="D238" t="str">
        <f>IFERROR(__xludf.DUMMYFUNCTION("""COMPUTED_VALUE"""),"Mrs.")</f>
        <v>Mrs.</v>
      </c>
      <c r="E238" t="str">
        <f>IFERROR(__xludf.DUMMYFUNCTION("""COMPUTED_VALUE"""),"Yamonpat")</f>
        <v>Yamonpat</v>
      </c>
      <c r="F238" t="str">
        <f>IFERROR(__xludf.DUMMYFUNCTION("""COMPUTED_VALUE"""),"Kerk")</f>
        <v>Kerk</v>
      </c>
      <c r="G238" t="str">
        <f>IFERROR(__xludf.DUMMYFUNCTION("""COMPUTED_VALUE"""),"Yamonpat Kerk")</f>
        <v>Yamonpat Kerk</v>
      </c>
      <c r="H238" t="str">
        <f>IFERROR(__xludf.DUMMYFUNCTION("""COMPUTED_VALUE"""),"นาง")</f>
        <v>นาง</v>
      </c>
      <c r="I238" t="str">
        <f>IFERROR(__xludf.DUMMYFUNCTION("""COMPUTED_VALUE"""),"ยมลภัทร")</f>
        <v>ยมลภัทร</v>
      </c>
      <c r="J238" t="str">
        <f>IFERROR(__xludf.DUMMYFUNCTION("""COMPUTED_VALUE"""),"เคิร์ก")</f>
        <v>เคิร์ก</v>
      </c>
      <c r="K238" t="str">
        <f>IFERROR(__xludf.DUMMYFUNCTION("""COMPUTED_VALUE"""),"ยมลภัทร เคิร์ก")</f>
        <v>ยมลภัทร เคิร์ก</v>
      </c>
      <c r="L238" t="str">
        <f>IFERROR(__xludf.DUMMYFUNCTION("""COMPUTED_VALUE"""),"เก๋")</f>
        <v>เก๋</v>
      </c>
      <c r="M238" t="str">
        <f>IFERROR(__xludf.DUMMYFUNCTION("""COMPUTED_VALUE"""),"Cabin Crew")</f>
        <v>Cabin Crew</v>
      </c>
      <c r="N238" t="str">
        <f>IFERROR(__xludf.DUMMYFUNCTION("""COMPUTED_VALUE"""),"DMK")</f>
        <v>DMK</v>
      </c>
      <c r="O238" s="145" t="str">
        <f>IFERROR(__xludf.DUMMYFUNCTION("""COMPUTED_VALUE"""),"Nhui Home")</f>
        <v>Nhui Home</v>
      </c>
      <c r="P238" t="str">
        <f>IFERROR(__xludf.DUMMYFUNCTION("""COMPUTED_VALUE"""),"Active")</f>
        <v>Active</v>
      </c>
      <c r="R238" s="143">
        <f>IFERROR(__xludf.DUMMYFUNCTION("""COMPUTED_VALUE"""),31861.0)</f>
        <v>31861</v>
      </c>
      <c r="S238" s="146" t="str">
        <f>IFERROR(__xludf.DUMMYFUNCTION("""COMPUTED_VALUE"""),"093 914 2642")</f>
        <v>093 914 2642</v>
      </c>
      <c r="T238" s="147" t="str">
        <f>IFERROR(__xludf.DUMMYFUNCTION("""COMPUTED_VALUE"""),"1509900-47-5091")</f>
        <v>1509900-47-5091</v>
      </c>
      <c r="U238" t="str">
        <f>IFERROR(__xludf.DUMMYFUNCTION("""COMPUTED_VALUE"""),"AC2830286")</f>
        <v>AC2830286</v>
      </c>
      <c r="V238" s="148">
        <f>IFERROR(__xludf.DUMMYFUNCTION("""COMPUTED_VALUE"""),44519.0)</f>
        <v>44519</v>
      </c>
      <c r="W238" s="148">
        <f>IFERROR(__xludf.DUMMYFUNCTION("""COMPUTED_VALUE"""),48170.0)</f>
        <v>48170</v>
      </c>
      <c r="X238" s="149">
        <f>IFERROR(__xludf.DUMMYFUNCTION("""COMPUTED_VALUE"""),47986.0)</f>
        <v>47986</v>
      </c>
      <c r="Y238" t="str">
        <f>IFERROR(__xludf.DUMMYFUNCTION("""COMPUTED_VALUE"""),"ปลอดภัย")</f>
        <v>ปลอดภัย</v>
      </c>
      <c r="Z238" t="str">
        <f>IFERROR(__xludf.DUMMYFUNCTION("""COMPUTED_VALUE"""),"Chiang Mai Province")</f>
        <v>Chiang Mai Province</v>
      </c>
      <c r="AA238" t="str">
        <f>IFERROR(__xludf.DUMMYFUNCTION("""COMPUTED_VALUE"""),"คลอง")</f>
        <v>คลอง</v>
      </c>
      <c r="AB238" t="str">
        <f>IFERROR(__xludf.DUMMYFUNCTION("""COMPUTED_VALUE"""),"081 252 0088")</f>
        <v>081 252 0088</v>
      </c>
      <c r="AC238" t="str">
        <f>IFERROR(__xludf.DUMMYFUNCTION("""COMPUTED_VALUE"""),"แฟน")</f>
        <v>แฟน</v>
      </c>
      <c r="AD238" t="str">
        <f>IFERROR(__xludf.DUMMYFUNCTION("""COMPUTED_VALUE"""),"yamonpatk@airasia.com")</f>
        <v>yamonpatk@airasia.com</v>
      </c>
    </row>
    <row r="239">
      <c r="AD239" t="str">
        <f>IFERROR(__xludf.DUMMYFUNCTION("""COMPUTED_VALUE"""),"")</f>
        <v/>
      </c>
    </row>
    <row r="240">
      <c r="A240" s="142">
        <f>IFERROR(__xludf.DUMMYFUNCTION("""COMPUTED_VALUE"""),41.0)</f>
        <v>41</v>
      </c>
      <c r="B240" t="str">
        <f>IFERROR(__xludf.DUMMYFUNCTION("""COMPUTED_VALUE"""),"TAA0747")</f>
        <v>TAA0747</v>
      </c>
      <c r="C240">
        <f>IFERROR(__xludf.DUMMYFUNCTION("""COMPUTED_VALUE"""),1000732.0)</f>
        <v>1000732</v>
      </c>
      <c r="D240" t="str">
        <f>IFERROR(__xludf.DUMMYFUNCTION("""COMPUTED_VALUE"""),"Mr.")</f>
        <v>Mr.</v>
      </c>
      <c r="E240" t="str">
        <f>IFERROR(__xludf.DUMMYFUNCTION("""COMPUTED_VALUE"""),"Inthra")</f>
        <v>Inthra</v>
      </c>
      <c r="F240" t="str">
        <f>IFERROR(__xludf.DUMMYFUNCTION("""COMPUTED_VALUE"""),"Mathiang")</f>
        <v>Mathiang</v>
      </c>
      <c r="G240" t="str">
        <f>IFERROR(__xludf.DUMMYFUNCTION("""COMPUTED_VALUE"""),"Inthra Mathiang")</f>
        <v>Inthra Mathiang</v>
      </c>
      <c r="H240" t="str">
        <f>IFERROR(__xludf.DUMMYFUNCTION("""COMPUTED_VALUE"""),"นาย")</f>
        <v>นาย</v>
      </c>
      <c r="I240" t="str">
        <f>IFERROR(__xludf.DUMMYFUNCTION("""COMPUTED_VALUE"""),"อินทรา")</f>
        <v>อินทรา</v>
      </c>
      <c r="J240" t="str">
        <f>IFERROR(__xludf.DUMMYFUNCTION("""COMPUTED_VALUE"""),"มาเที่ยง")</f>
        <v>มาเที่ยง</v>
      </c>
      <c r="K240" t="str">
        <f>IFERROR(__xludf.DUMMYFUNCTION("""COMPUTED_VALUE"""),"อินทรา มาเที่ยง")</f>
        <v>อินทรา มาเที่ยง</v>
      </c>
      <c r="L240" t="str">
        <f>IFERROR(__xludf.DUMMYFUNCTION("""COMPUTED_VALUE"""),"ต้น")</f>
        <v>ต้น</v>
      </c>
      <c r="M240" t="str">
        <f>IFERROR(__xludf.DUMMYFUNCTION("""COMPUTED_VALUE"""),"Senior Cabin Crew")</f>
        <v>Senior Cabin Crew</v>
      </c>
      <c r="N240" t="str">
        <f>IFERROR(__xludf.DUMMYFUNCTION("""COMPUTED_VALUE"""),"DMK")</f>
        <v>DMK</v>
      </c>
      <c r="O240" s="145" t="str">
        <f>IFERROR(__xludf.DUMMYFUNCTION("""COMPUTED_VALUE"""),"Um Home")</f>
        <v>Um Home</v>
      </c>
      <c r="P240" t="str">
        <f>IFERROR(__xludf.DUMMYFUNCTION("""COMPUTED_VALUE"""),"Active")</f>
        <v>Active</v>
      </c>
      <c r="Q240" t="str">
        <f>IFERROR(__xludf.DUMMYFUNCTION("""COMPUTED_VALUE"""),"SCC Line Checker 2025")</f>
        <v>SCC Line Checker 2025</v>
      </c>
      <c r="R240" s="143">
        <f>IFERROR(__xludf.DUMMYFUNCTION("""COMPUTED_VALUE"""),29352.0)</f>
        <v>29352</v>
      </c>
      <c r="S240" s="146" t="str">
        <f>IFERROR(__xludf.DUMMYFUNCTION("""COMPUTED_VALUE"""),"096 326 4651")</f>
        <v>096 326 4651</v>
      </c>
      <c r="T240" s="147" t="str">
        <f>IFERROR(__xludf.DUMMYFUNCTION("""COMPUTED_VALUE"""),"3100203-19-0339")</f>
        <v>3100203-19-0339</v>
      </c>
      <c r="U240" t="str">
        <f>IFERROR(__xludf.DUMMYFUNCTION("""COMPUTED_VALUE"""),"AC4360296")</f>
        <v>AC4360296</v>
      </c>
      <c r="V240" s="148">
        <f>IFERROR(__xludf.DUMMYFUNCTION("""COMPUTED_VALUE"""),44937.0)</f>
        <v>44937</v>
      </c>
      <c r="W240" s="148">
        <f>IFERROR(__xludf.DUMMYFUNCTION("""COMPUTED_VALUE"""),48589.0)</f>
        <v>48589</v>
      </c>
      <c r="X240" s="149">
        <f>IFERROR(__xludf.DUMMYFUNCTION("""COMPUTED_VALUE"""),48405.0)</f>
        <v>48405</v>
      </c>
      <c r="Y240" t="str">
        <f>IFERROR(__xludf.DUMMYFUNCTION("""COMPUTED_VALUE"""),"ปลอดภัย")</f>
        <v>ปลอดภัย</v>
      </c>
      <c r="Z240" t="str">
        <f>IFERROR(__xludf.DUMMYFUNCTION("""COMPUTED_VALUE"""),"Bangkok")</f>
        <v>Bangkok</v>
      </c>
      <c r="AA240" t="str">
        <f>IFERROR(__xludf.DUMMYFUNCTION("""COMPUTED_VALUE"""),"-")</f>
        <v>-</v>
      </c>
      <c r="AB240" t="str">
        <f>IFERROR(__xludf.DUMMYFUNCTION("""COMPUTED_VALUE"""),"086 034 5806")</f>
        <v>086 034 5806</v>
      </c>
      <c r="AC240" t="str">
        <f>IFERROR(__xludf.DUMMYFUNCTION("""COMPUTED_VALUE"""),"มารดา")</f>
        <v>มารดา</v>
      </c>
      <c r="AD240" t="str">
        <f>IFERROR(__xludf.DUMMYFUNCTION("""COMPUTED_VALUE"""),"inthram@airasia.com")</f>
        <v>inthram@airasia.com</v>
      </c>
    </row>
    <row r="241">
      <c r="A241" s="142">
        <f>IFERROR(__xludf.DUMMYFUNCTION("""COMPUTED_VALUE"""),41.0)</f>
        <v>41</v>
      </c>
      <c r="B241" t="str">
        <f>IFERROR(__xludf.DUMMYFUNCTION("""COMPUTED_VALUE"""),"TAA1601")</f>
        <v>TAA1601</v>
      </c>
      <c r="C241">
        <f>IFERROR(__xludf.DUMMYFUNCTION("""COMPUTED_VALUE"""),1001139.0)</f>
        <v>1001139</v>
      </c>
      <c r="D241" t="str">
        <f>IFERROR(__xludf.DUMMYFUNCTION("""COMPUTED_VALUE"""),"Ms.")</f>
        <v>Ms.</v>
      </c>
      <c r="E241" t="str">
        <f>IFERROR(__xludf.DUMMYFUNCTION("""COMPUTED_VALUE"""),"Lalada (Darawan)")</f>
        <v>Lalada (Darawan)</v>
      </c>
      <c r="F241" t="str">
        <f>IFERROR(__xludf.DUMMYFUNCTION("""COMPUTED_VALUE"""),"Thiengthip")</f>
        <v>Thiengthip</v>
      </c>
      <c r="G241" t="str">
        <f>IFERROR(__xludf.DUMMYFUNCTION("""COMPUTED_VALUE"""),"Lalada Thiengthip")</f>
        <v>Lalada Thiengthip</v>
      </c>
      <c r="H241" t="str">
        <f>IFERROR(__xludf.DUMMYFUNCTION("""COMPUTED_VALUE"""),"นางสาว")</f>
        <v>นางสาว</v>
      </c>
      <c r="I241" t="str">
        <f>IFERROR(__xludf.DUMMYFUNCTION("""COMPUTED_VALUE"""),"ลลดา (ดาราวรรณ์)")</f>
        <v>ลลดา (ดาราวรรณ์)</v>
      </c>
      <c r="J241" t="str">
        <f>IFERROR(__xludf.DUMMYFUNCTION("""COMPUTED_VALUE"""),"เที่ยงทิพย์")</f>
        <v>เที่ยงทิพย์</v>
      </c>
      <c r="K241" t="str">
        <f>IFERROR(__xludf.DUMMYFUNCTION("""COMPUTED_VALUE"""),"ลลดา เที่ยงทิพย์")</f>
        <v>ลลดา เที่ยงทิพย์</v>
      </c>
      <c r="L241" t="str">
        <f>IFERROR(__xludf.DUMMYFUNCTION("""COMPUTED_VALUE"""),"เชอรี่")</f>
        <v>เชอรี่</v>
      </c>
      <c r="M241" t="str">
        <f>IFERROR(__xludf.DUMMYFUNCTION("""COMPUTED_VALUE"""),"Senior Cabin Crew")</f>
        <v>Senior Cabin Crew</v>
      </c>
      <c r="N241" t="str">
        <f>IFERROR(__xludf.DUMMYFUNCTION("""COMPUTED_VALUE"""),"DMK")</f>
        <v>DMK</v>
      </c>
      <c r="O241" s="145" t="str">
        <f>IFERROR(__xludf.DUMMYFUNCTION("""COMPUTED_VALUE"""),"Um Home")</f>
        <v>Um Home</v>
      </c>
      <c r="P241" t="str">
        <f>IFERROR(__xludf.DUMMYFUNCTION("""COMPUTED_VALUE"""),"Active")</f>
        <v>Active</v>
      </c>
      <c r="R241" s="143">
        <f>IFERROR(__xludf.DUMMYFUNCTION("""COMPUTED_VALUE"""),29568.0)</f>
        <v>29568</v>
      </c>
      <c r="S241" s="146" t="str">
        <f>IFERROR(__xludf.DUMMYFUNCTION("""COMPUTED_VALUE"""),"095 663 5649")</f>
        <v>095 663 5649</v>
      </c>
      <c r="T241" s="147" t="str">
        <f>IFERROR(__xludf.DUMMYFUNCTION("""COMPUTED_VALUE"""),"3100800-63-1424")</f>
        <v>3100800-63-1424</v>
      </c>
      <c r="U241" t="str">
        <f>IFERROR(__xludf.DUMMYFUNCTION("""COMPUTED_VALUE"""),"AC6207869")</f>
        <v>AC6207869</v>
      </c>
      <c r="V241" s="148">
        <f>IFERROR(__xludf.DUMMYFUNCTION("""COMPUTED_VALUE"""),45295.0)</f>
        <v>45295</v>
      </c>
      <c r="W241" s="148">
        <f>IFERROR(__xludf.DUMMYFUNCTION("""COMPUTED_VALUE"""),48947.0)</f>
        <v>48947</v>
      </c>
      <c r="X241" s="149">
        <f>IFERROR(__xludf.DUMMYFUNCTION("""COMPUTED_VALUE"""),48763.0)</f>
        <v>48763</v>
      </c>
      <c r="Y241" t="str">
        <f>IFERROR(__xludf.DUMMYFUNCTION("""COMPUTED_VALUE"""),"ปลอดภัย")</f>
        <v>ปลอดภัย</v>
      </c>
      <c r="Z241" t="str">
        <f>IFERROR(__xludf.DUMMYFUNCTION("""COMPUTED_VALUE"""),"Bangkok")</f>
        <v>Bangkok</v>
      </c>
      <c r="AA241" t="str">
        <f>IFERROR(__xludf.DUMMYFUNCTION("""COMPUTED_VALUE"""),"-")</f>
        <v>-</v>
      </c>
      <c r="AB241" t="str">
        <f>IFERROR(__xludf.DUMMYFUNCTION("""COMPUTED_VALUE"""),"085 072 1622")</f>
        <v>085 072 1622</v>
      </c>
      <c r="AC241" t="str">
        <f>IFERROR(__xludf.DUMMYFUNCTION("""COMPUTED_VALUE"""),"สามี")</f>
        <v>สามี</v>
      </c>
      <c r="AD241" t="str">
        <f>IFERROR(__xludf.DUMMYFUNCTION("""COMPUTED_VALUE"""),"laladat@airasia.com")</f>
        <v>laladat@airasia.com</v>
      </c>
    </row>
    <row r="242">
      <c r="A242" s="142">
        <f>IFERROR(__xludf.DUMMYFUNCTION("""COMPUTED_VALUE"""),41.0)</f>
        <v>41</v>
      </c>
      <c r="B242" t="str">
        <f>IFERROR(__xludf.DUMMYFUNCTION("""COMPUTED_VALUE"""),"TAA1251")</f>
        <v>TAA1251</v>
      </c>
      <c r="C242">
        <f>IFERROR(__xludf.DUMMYFUNCTION("""COMPUTED_VALUE"""),1001216.0)</f>
        <v>1001216</v>
      </c>
      <c r="D242" t="str">
        <f>IFERROR(__xludf.DUMMYFUNCTION("""COMPUTED_VALUE"""),"Ms.")</f>
        <v>Ms.</v>
      </c>
      <c r="E242" t="str">
        <f>IFERROR(__xludf.DUMMYFUNCTION("""COMPUTED_VALUE"""),"Waraporn")</f>
        <v>Waraporn</v>
      </c>
      <c r="F242" t="str">
        <f>IFERROR(__xludf.DUMMYFUNCTION("""COMPUTED_VALUE"""),"Siripaiwan")</f>
        <v>Siripaiwan</v>
      </c>
      <c r="G242" t="str">
        <f>IFERROR(__xludf.DUMMYFUNCTION("""COMPUTED_VALUE"""),"Waraporn Siripaiwan")</f>
        <v>Waraporn Siripaiwan</v>
      </c>
      <c r="H242" t="str">
        <f>IFERROR(__xludf.DUMMYFUNCTION("""COMPUTED_VALUE"""),"นางสาว")</f>
        <v>นางสาว</v>
      </c>
      <c r="I242" t="str">
        <f>IFERROR(__xludf.DUMMYFUNCTION("""COMPUTED_VALUE"""),"วราภรณ์")</f>
        <v>วราภรณ์</v>
      </c>
      <c r="J242" t="str">
        <f>IFERROR(__xludf.DUMMYFUNCTION("""COMPUTED_VALUE"""),"ศิริไพรวัน")</f>
        <v>ศิริไพรวัน</v>
      </c>
      <c r="K242" t="str">
        <f>IFERROR(__xludf.DUMMYFUNCTION("""COMPUTED_VALUE"""),"วราภรณ์ ศิริไพรวัน")</f>
        <v>วราภรณ์ ศิริไพรวัน</v>
      </c>
      <c r="L242" t="str">
        <f>IFERROR(__xludf.DUMMYFUNCTION("""COMPUTED_VALUE"""),"ซวน")</f>
        <v>ซวน</v>
      </c>
      <c r="M242" t="str">
        <f>IFERROR(__xludf.DUMMYFUNCTION("""COMPUTED_VALUE"""),"Cabin Crew - HKT")</f>
        <v>Cabin Crew - HKT</v>
      </c>
      <c r="N242" t="str">
        <f>IFERROR(__xludf.DUMMYFUNCTION("""COMPUTED_VALUE"""),"HKT")</f>
        <v>HKT</v>
      </c>
      <c r="O242" s="145" t="str">
        <f>IFERROR(__xludf.DUMMYFUNCTION("""COMPUTED_VALUE"""),"Kor Home")</f>
        <v>Kor Home</v>
      </c>
      <c r="P242" t="str">
        <f>IFERROR(__xludf.DUMMYFUNCTION("""COMPUTED_VALUE"""),"Active")</f>
        <v>Active</v>
      </c>
      <c r="R242" s="143">
        <f>IFERROR(__xludf.DUMMYFUNCTION("""COMPUTED_VALUE"""),30276.0)</f>
        <v>30276</v>
      </c>
      <c r="S242" s="146" t="str">
        <f>IFERROR(__xludf.DUMMYFUNCTION("""COMPUTED_VALUE"""),"086 598 6136")</f>
        <v>086 598 6136</v>
      </c>
      <c r="T242" s="147" t="str">
        <f>IFERROR(__xludf.DUMMYFUNCTION("""COMPUTED_VALUE"""),"3901000-21-7643")</f>
        <v>3901000-21-7643</v>
      </c>
      <c r="U242" t="str">
        <f>IFERROR(__xludf.DUMMYFUNCTION("""COMPUTED_VALUE"""),"AC2222283")</f>
        <v>AC2222283</v>
      </c>
      <c r="V242" s="148">
        <f>IFERROR(__xludf.DUMMYFUNCTION("""COMPUTED_VALUE"""),44273.0)</f>
        <v>44273</v>
      </c>
      <c r="W242" s="148">
        <f>IFERROR(__xludf.DUMMYFUNCTION("""COMPUTED_VALUE"""),47924.0)</f>
        <v>47924</v>
      </c>
      <c r="X242" s="149">
        <f>IFERROR(__xludf.DUMMYFUNCTION("""COMPUTED_VALUE"""),47743.0)</f>
        <v>47743</v>
      </c>
      <c r="Y242" t="str">
        <f>IFERROR(__xludf.DUMMYFUNCTION("""COMPUTED_VALUE"""),"ปลอดภัย")</f>
        <v>ปลอดภัย</v>
      </c>
      <c r="Z242" t="str">
        <f>IFERROR(__xludf.DUMMYFUNCTION("""COMPUTED_VALUE"""),"Songkhla Province")</f>
        <v>Songkhla Province</v>
      </c>
      <c r="AA242" t="str">
        <f>IFERROR(__xludf.DUMMYFUNCTION("""COMPUTED_VALUE"""),"-")</f>
        <v>-</v>
      </c>
      <c r="AB242" t="str">
        <f>IFERROR(__xludf.DUMMYFUNCTION("""COMPUTED_VALUE"""),"086 598 6136")</f>
        <v>086 598 6136</v>
      </c>
      <c r="AC242" t="str">
        <f>IFERROR(__xludf.DUMMYFUNCTION("""COMPUTED_VALUE"""),"พี่ชาย")</f>
        <v>พี่ชาย</v>
      </c>
      <c r="AD242" t="str">
        <f>IFERROR(__xludf.DUMMYFUNCTION("""COMPUTED_VALUE"""),"waraporns@airasia.com")</f>
        <v>waraporns@airasia.com</v>
      </c>
    </row>
    <row r="243">
      <c r="A243" s="142">
        <f>IFERROR(__xludf.DUMMYFUNCTION("""COMPUTED_VALUE"""),41.0)</f>
        <v>41</v>
      </c>
      <c r="B243" t="str">
        <f>IFERROR(__xludf.DUMMYFUNCTION("""COMPUTED_VALUE"""),"TAA1953")</f>
        <v>TAA1953</v>
      </c>
      <c r="C243">
        <f>IFERROR(__xludf.DUMMYFUNCTION("""COMPUTED_VALUE"""),1001837.0)</f>
        <v>1001837</v>
      </c>
      <c r="D243" t="str">
        <f>IFERROR(__xludf.DUMMYFUNCTION("""COMPUTED_VALUE"""),"Ms.")</f>
        <v>Ms.</v>
      </c>
      <c r="E243" t="str">
        <f>IFERROR(__xludf.DUMMYFUNCTION("""COMPUTED_VALUE"""),"Taralan (Saowanee)")</f>
        <v>Taralan (Saowanee)</v>
      </c>
      <c r="F243" t="str">
        <f>IFERROR(__xludf.DUMMYFUNCTION("""COMPUTED_VALUE"""),"Jareemuk")</f>
        <v>Jareemuk</v>
      </c>
      <c r="G243" t="str">
        <f>IFERROR(__xludf.DUMMYFUNCTION("""COMPUTED_VALUE"""),"Taralan Jareemuk")</f>
        <v>Taralan Jareemuk</v>
      </c>
      <c r="H243" t="str">
        <f>IFERROR(__xludf.DUMMYFUNCTION("""COMPUTED_VALUE"""),"นางสาว")</f>
        <v>นางสาว</v>
      </c>
      <c r="I243" t="str">
        <f>IFERROR(__xludf.DUMMYFUNCTION("""COMPUTED_VALUE"""),"ธาราลัญ (เสาวณีย์)")</f>
        <v>ธาราลัญ (เสาวณีย์)</v>
      </c>
      <c r="J243" t="str">
        <f>IFERROR(__xludf.DUMMYFUNCTION("""COMPUTED_VALUE"""),"จารีมุข")</f>
        <v>จารีมุข</v>
      </c>
      <c r="K243" t="str">
        <f>IFERROR(__xludf.DUMMYFUNCTION("""COMPUTED_VALUE"""),"ธาราลัญ จารีมุข")</f>
        <v>ธาราลัญ จารีมุข</v>
      </c>
      <c r="L243" t="str">
        <f>IFERROR(__xludf.DUMMYFUNCTION("""COMPUTED_VALUE"""),"เก๋")</f>
        <v>เก๋</v>
      </c>
      <c r="M243" t="str">
        <f>IFERROR(__xludf.DUMMYFUNCTION("""COMPUTED_VALUE"""),"Senior Cabin Crew")</f>
        <v>Senior Cabin Crew</v>
      </c>
      <c r="N243" t="str">
        <f>IFERROR(__xludf.DUMMYFUNCTION("""COMPUTED_VALUE"""),"DMK")</f>
        <v>DMK</v>
      </c>
      <c r="O243" s="145" t="str">
        <f>IFERROR(__xludf.DUMMYFUNCTION("""COMPUTED_VALUE"""),"Namfon Home")</f>
        <v>Namfon Home</v>
      </c>
      <c r="P243" t="str">
        <f>IFERROR(__xludf.DUMMYFUNCTION("""COMPUTED_VALUE"""),"V/LWP")</f>
        <v>V/LWP</v>
      </c>
      <c r="R243" s="143">
        <f>IFERROR(__xludf.DUMMYFUNCTION("""COMPUTED_VALUE"""),30170.0)</f>
        <v>30170</v>
      </c>
      <c r="S243" s="146" t="str">
        <f>IFERROR(__xludf.DUMMYFUNCTION("""COMPUTED_VALUE"""),"086 332 4765")</f>
        <v>086 332 4765</v>
      </c>
      <c r="T243" s="147" t="str">
        <f>IFERROR(__xludf.DUMMYFUNCTION("""COMPUTED_VALUE"""),"3800400-45-2097")</f>
        <v>3800400-45-2097</v>
      </c>
      <c r="U243" t="str">
        <f>IFERROR(__xludf.DUMMYFUNCTION("""COMPUTED_VALUE"""),"AC5959004")</f>
        <v>AC5959004</v>
      </c>
      <c r="V243" s="148">
        <f>IFERROR(__xludf.DUMMYFUNCTION("""COMPUTED_VALUE"""),45257.0)</f>
        <v>45257</v>
      </c>
      <c r="W243" s="148">
        <f>IFERROR(__xludf.DUMMYFUNCTION("""COMPUTED_VALUE"""),7353759.0)</f>
        <v>7353759</v>
      </c>
      <c r="X243" s="149">
        <f>IFERROR(__xludf.DUMMYFUNCTION("""COMPUTED_VALUE"""),7353575.0)</f>
        <v>7353575</v>
      </c>
      <c r="Y243" t="str">
        <f>IFERROR(__xludf.DUMMYFUNCTION("""COMPUTED_VALUE"""),"ปลอดภัย")</f>
        <v>ปลอดภัย</v>
      </c>
      <c r="Z243" t="str">
        <f>IFERROR(__xludf.DUMMYFUNCTION("""COMPUTED_VALUE"""),"Nakhon Si Thammarat Province")</f>
        <v>Nakhon Si Thammarat Province</v>
      </c>
      <c r="AA243" t="str">
        <f>IFERROR(__xludf.DUMMYFUNCTION("""COMPUTED_VALUE"""),"-")</f>
        <v>-</v>
      </c>
      <c r="AB243" t="str">
        <f>IFERROR(__xludf.DUMMYFUNCTION("""COMPUTED_VALUE"""),"075 334 257")</f>
        <v>075 334 257</v>
      </c>
      <c r="AC243" t="str">
        <f>IFERROR(__xludf.DUMMYFUNCTION("""COMPUTED_VALUE"""),"น้า")</f>
        <v>น้า</v>
      </c>
      <c r="AD243" t="str">
        <f>IFERROR(__xludf.DUMMYFUNCTION("""COMPUTED_VALUE"""),"taralanj@airasia.com")</f>
        <v>taralanj@airasia.com</v>
      </c>
    </row>
    <row r="244">
      <c r="A244" s="142">
        <f>IFERROR(__xludf.DUMMYFUNCTION("""COMPUTED_VALUE"""),41.0)</f>
        <v>41</v>
      </c>
      <c r="B244" t="str">
        <f>IFERROR(__xludf.DUMMYFUNCTION("""COMPUTED_VALUE"""),"TAA2051")</f>
        <v>TAA2051</v>
      </c>
      <c r="C244">
        <f>IFERROR(__xludf.DUMMYFUNCTION("""COMPUTED_VALUE"""),1002478.0)</f>
        <v>1002478</v>
      </c>
      <c r="D244" t="str">
        <f>IFERROR(__xludf.DUMMYFUNCTION("""COMPUTED_VALUE"""),"Ms.")</f>
        <v>Ms.</v>
      </c>
      <c r="E244" t="str">
        <f>IFERROR(__xludf.DUMMYFUNCTION("""COMPUTED_VALUE"""),"Kamonwan")</f>
        <v>Kamonwan</v>
      </c>
      <c r="F244" t="str">
        <f>IFERROR(__xludf.DUMMYFUNCTION("""COMPUTED_VALUE"""),"Kalsook")</f>
        <v>Kalsook</v>
      </c>
      <c r="G244" t="str">
        <f>IFERROR(__xludf.DUMMYFUNCTION("""COMPUTED_VALUE"""),"Kamonwan Kalsook")</f>
        <v>Kamonwan Kalsook</v>
      </c>
      <c r="H244" t="str">
        <f>IFERROR(__xludf.DUMMYFUNCTION("""COMPUTED_VALUE"""),"นางสาว")</f>
        <v>นางสาว</v>
      </c>
      <c r="I244" t="str">
        <f>IFERROR(__xludf.DUMMYFUNCTION("""COMPUTED_VALUE"""),"กมลวรรณ")</f>
        <v>กมลวรรณ</v>
      </c>
      <c r="J244" t="str">
        <f>IFERROR(__xludf.DUMMYFUNCTION("""COMPUTED_VALUE"""),"กาลสุข")</f>
        <v>กาลสุข</v>
      </c>
      <c r="K244" t="str">
        <f>IFERROR(__xludf.DUMMYFUNCTION("""COMPUTED_VALUE"""),"กมลวรรณ กาลสุข")</f>
        <v>กมลวรรณ กาลสุข</v>
      </c>
      <c r="L244" t="str">
        <f>IFERROR(__xludf.DUMMYFUNCTION("""COMPUTED_VALUE"""),"ส้ม")</f>
        <v>ส้ม</v>
      </c>
      <c r="M244" t="str">
        <f>IFERROR(__xludf.DUMMYFUNCTION("""COMPUTED_VALUE"""),"Cabin Crew")</f>
        <v>Cabin Crew</v>
      </c>
      <c r="N244" t="str">
        <f>IFERROR(__xludf.DUMMYFUNCTION("""COMPUTED_VALUE"""),"DMK")</f>
        <v>DMK</v>
      </c>
      <c r="O244" s="145" t="str">
        <f>IFERROR(__xludf.DUMMYFUNCTION("""COMPUTED_VALUE"""),"Kor Home")</f>
        <v>Kor Home</v>
      </c>
      <c r="P244" t="str">
        <f>IFERROR(__xludf.DUMMYFUNCTION("""COMPUTED_VALUE"""),"Active")</f>
        <v>Active</v>
      </c>
      <c r="R244" s="143">
        <f>IFERROR(__xludf.DUMMYFUNCTION("""COMPUTED_VALUE"""),31007.0)</f>
        <v>31007</v>
      </c>
      <c r="S244" s="146" t="str">
        <f>IFERROR(__xludf.DUMMYFUNCTION("""COMPUTED_VALUE"""),"064 656 6246")</f>
        <v>064 656 6246</v>
      </c>
      <c r="T244" s="147" t="str">
        <f>IFERROR(__xludf.DUMMYFUNCTION("""COMPUTED_VALUE"""),"1101800-05-6106")</f>
        <v>1101800-05-6106</v>
      </c>
      <c r="U244" t="str">
        <f>IFERROR(__xludf.DUMMYFUNCTION("""COMPUTED_VALUE"""),"AC2680024")</f>
        <v>AC2680024</v>
      </c>
      <c r="V244" s="148">
        <f>IFERROR(__xludf.DUMMYFUNCTION("""COMPUTED_VALUE"""),44579.0)</f>
        <v>44579</v>
      </c>
      <c r="W244" s="148">
        <f>IFERROR(__xludf.DUMMYFUNCTION("""COMPUTED_VALUE"""),48230.0)</f>
        <v>48230</v>
      </c>
      <c r="X244" s="149">
        <f>IFERROR(__xludf.DUMMYFUNCTION("""COMPUTED_VALUE"""),48046.0)</f>
        <v>48046</v>
      </c>
      <c r="Y244" t="str">
        <f>IFERROR(__xludf.DUMMYFUNCTION("""COMPUTED_VALUE"""),"ปลอดภัย")</f>
        <v>ปลอดภัย</v>
      </c>
      <c r="Z244" t="str">
        <f>IFERROR(__xludf.DUMMYFUNCTION("""COMPUTED_VALUE"""),"Bangkok")</f>
        <v>Bangkok</v>
      </c>
      <c r="AA244" t="str">
        <f>IFERROR(__xludf.DUMMYFUNCTION("""COMPUTED_VALUE"""),"-")</f>
        <v>-</v>
      </c>
      <c r="AB244" t="str">
        <f>IFERROR(__xludf.DUMMYFUNCTION("""COMPUTED_VALUE"""),"086 744 3404")</f>
        <v>086 744 3404</v>
      </c>
      <c r="AC244" t="str">
        <f>IFERROR(__xludf.DUMMYFUNCTION("""COMPUTED_VALUE"""),"พี่สาว")</f>
        <v>พี่สาว</v>
      </c>
      <c r="AD244" t="str">
        <f>IFERROR(__xludf.DUMMYFUNCTION("""COMPUTED_VALUE"""),"kamonwank@airasia.com")</f>
        <v>kamonwank@airasia.com</v>
      </c>
    </row>
    <row r="245">
      <c r="A245" s="142">
        <f>IFERROR(__xludf.DUMMYFUNCTION("""COMPUTED_VALUE"""),41.0)</f>
        <v>41</v>
      </c>
      <c r="B245" t="str">
        <f>IFERROR(__xludf.DUMMYFUNCTION("""COMPUTED_VALUE"""),"TAA3249")</f>
        <v>TAA3249</v>
      </c>
      <c r="C245">
        <f>IFERROR(__xludf.DUMMYFUNCTION("""COMPUTED_VALUE"""),1005431.0)</f>
        <v>1005431</v>
      </c>
      <c r="D245" t="str">
        <f>IFERROR(__xludf.DUMMYFUNCTION("""COMPUTED_VALUE"""),"Ms.")</f>
        <v>Ms.</v>
      </c>
      <c r="E245" t="str">
        <f>IFERROR(__xludf.DUMMYFUNCTION("""COMPUTED_VALUE"""),"Jarintip")</f>
        <v>Jarintip</v>
      </c>
      <c r="F245" t="str">
        <f>IFERROR(__xludf.DUMMYFUNCTION("""COMPUTED_VALUE"""),"Chaowasin (Chomsuwan)")</f>
        <v>Chaowasin (Chomsuwan)</v>
      </c>
      <c r="G245" t="str">
        <f>IFERROR(__xludf.DUMMYFUNCTION("""COMPUTED_VALUE"""),"Jarintip Chaowasin")</f>
        <v>Jarintip Chaowasin</v>
      </c>
      <c r="H245" t="str">
        <f>IFERROR(__xludf.DUMMYFUNCTION("""COMPUTED_VALUE"""),"นางสาว")</f>
        <v>นางสาว</v>
      </c>
      <c r="I245" t="str">
        <f>IFERROR(__xludf.DUMMYFUNCTION("""COMPUTED_VALUE"""),"จรินทร์ทิพย์")</f>
        <v>จรินทร์ทิพย์</v>
      </c>
      <c r="J245" t="str">
        <f>IFERROR(__xludf.DUMMYFUNCTION("""COMPUTED_VALUE"""),"เชาว์วศิน (ชมสุวรรณ)")</f>
        <v>เชาว์วศิน (ชมสุวรรณ)</v>
      </c>
      <c r="K245" t="str">
        <f>IFERROR(__xludf.DUMMYFUNCTION("""COMPUTED_VALUE"""),"จรินทร์ทิพย์ เชาว์วศิน")</f>
        <v>จรินทร์ทิพย์ เชาว์วศิน</v>
      </c>
      <c r="L245" t="str">
        <f>IFERROR(__xludf.DUMMYFUNCTION("""COMPUTED_VALUE"""),"ปอ")</f>
        <v>ปอ</v>
      </c>
      <c r="M245" t="str">
        <f>IFERROR(__xludf.DUMMYFUNCTION("""COMPUTED_VALUE"""),"Cabin Crew")</f>
        <v>Cabin Crew</v>
      </c>
      <c r="N245" t="str">
        <f>IFERROR(__xludf.DUMMYFUNCTION("""COMPUTED_VALUE"""),"DMK")</f>
        <v>DMK</v>
      </c>
      <c r="O245" s="145" t="str">
        <f>IFERROR(__xludf.DUMMYFUNCTION("""COMPUTED_VALUE"""),"Toffy Home")</f>
        <v>Toffy Home</v>
      </c>
      <c r="P245" t="str">
        <f>IFERROR(__xludf.DUMMYFUNCTION("""COMPUTED_VALUE"""),"Active")</f>
        <v>Active</v>
      </c>
      <c r="R245" s="143">
        <f>IFERROR(__xludf.DUMMYFUNCTION("""COMPUTED_VALUE"""),31241.0)</f>
        <v>31241</v>
      </c>
      <c r="S245" s="146" t="str">
        <f>IFERROR(__xludf.DUMMYFUNCTION("""COMPUTED_VALUE"""),"094 478 6714")</f>
        <v>094 478 6714</v>
      </c>
      <c r="T245" s="147" t="str">
        <f>IFERROR(__xludf.DUMMYFUNCTION("""COMPUTED_VALUE"""),"1849900-00-6977")</f>
        <v>1849900-00-6977</v>
      </c>
      <c r="U245" t="str">
        <f>IFERROR(__xludf.DUMMYFUNCTION("""COMPUTED_VALUE"""),"AC7498822")</f>
        <v>AC7498822</v>
      </c>
      <c r="V245" s="148">
        <f>IFERROR(__xludf.DUMMYFUNCTION("""COMPUTED_VALUE"""),45541.0)</f>
        <v>45541</v>
      </c>
      <c r="W245" s="148">
        <f>IFERROR(__xludf.DUMMYFUNCTION("""COMPUTED_VALUE"""),49192.0)</f>
        <v>49192</v>
      </c>
      <c r="X245" s="149">
        <f>IFERROR(__xludf.DUMMYFUNCTION("""COMPUTED_VALUE"""),49008.0)</f>
        <v>49008</v>
      </c>
      <c r="Y245" t="str">
        <f>IFERROR(__xludf.DUMMYFUNCTION("""COMPUTED_VALUE"""),"ปลอดภัย")</f>
        <v>ปลอดภัย</v>
      </c>
      <c r="Z245" t="str">
        <f>IFERROR(__xludf.DUMMYFUNCTION("""COMPUTED_VALUE"""),"Surat Thani Province")</f>
        <v>Surat Thani Province</v>
      </c>
      <c r="AA245" t="str">
        <f>IFERROR(__xludf.DUMMYFUNCTION("""COMPUTED_VALUE"""),"-")</f>
        <v>-</v>
      </c>
      <c r="AB245" t="str">
        <f>IFERROR(__xludf.DUMMYFUNCTION("""COMPUTED_VALUE"""),"087 517 7251")</f>
        <v>087 517 7251</v>
      </c>
      <c r="AC245" t="str">
        <f>IFERROR(__xludf.DUMMYFUNCTION("""COMPUTED_VALUE"""),"เพื่อน")</f>
        <v>เพื่อน</v>
      </c>
      <c r="AD245" t="str">
        <f>IFERROR(__xludf.DUMMYFUNCTION("""COMPUTED_VALUE"""),"jarintipc@airasia.com")</f>
        <v>jarintipc@airasia.com</v>
      </c>
    </row>
    <row r="246">
      <c r="A246" s="142">
        <f>IFERROR(__xludf.DUMMYFUNCTION("""COMPUTED_VALUE"""),41.0)</f>
        <v>41</v>
      </c>
      <c r="B246" t="str">
        <f>IFERROR(__xludf.DUMMYFUNCTION("""COMPUTED_VALUE"""),"TAA3253")</f>
        <v>TAA3253</v>
      </c>
      <c r="C246">
        <f>IFERROR(__xludf.DUMMYFUNCTION("""COMPUTED_VALUE"""),1005440.0)</f>
        <v>1005440</v>
      </c>
      <c r="D246" t="str">
        <f>IFERROR(__xludf.DUMMYFUNCTION("""COMPUTED_VALUE"""),"Ms.")</f>
        <v>Ms.</v>
      </c>
      <c r="E246" t="str">
        <f>IFERROR(__xludf.DUMMYFUNCTION("""COMPUTED_VALUE"""),"Parinda")</f>
        <v>Parinda</v>
      </c>
      <c r="F246" t="str">
        <f>IFERROR(__xludf.DUMMYFUNCTION("""COMPUTED_VALUE"""),"Vidhecharoengul")</f>
        <v>Vidhecharoengul</v>
      </c>
      <c r="G246" t="str">
        <f>IFERROR(__xludf.DUMMYFUNCTION("""COMPUTED_VALUE"""),"Parinda Vidhecharoengul")</f>
        <v>Parinda Vidhecharoengul</v>
      </c>
      <c r="H246" t="str">
        <f>IFERROR(__xludf.DUMMYFUNCTION("""COMPUTED_VALUE"""),"นางสาว")</f>
        <v>นางสาว</v>
      </c>
      <c r="I246" t="str">
        <f>IFERROR(__xludf.DUMMYFUNCTION("""COMPUTED_VALUE"""),"ปริญดา")</f>
        <v>ปริญดา</v>
      </c>
      <c r="J246" t="str">
        <f>IFERROR(__xludf.DUMMYFUNCTION("""COMPUTED_VALUE"""),"วิถีเจริญกุล")</f>
        <v>วิถีเจริญกุล</v>
      </c>
      <c r="K246" t="str">
        <f>IFERROR(__xludf.DUMMYFUNCTION("""COMPUTED_VALUE"""),"ปริญดา วิถีเจริญกุล")</f>
        <v>ปริญดา วิถีเจริญกุล</v>
      </c>
      <c r="L246" t="str">
        <f>IFERROR(__xludf.DUMMYFUNCTION("""COMPUTED_VALUE"""),"เก๋")</f>
        <v>เก๋</v>
      </c>
      <c r="M246" t="str">
        <f>IFERROR(__xludf.DUMMYFUNCTION("""COMPUTED_VALUE"""),"Senior Cabin Crew")</f>
        <v>Senior Cabin Crew</v>
      </c>
      <c r="N246" t="str">
        <f>IFERROR(__xludf.DUMMYFUNCTION("""COMPUTED_VALUE"""),"DMK")</f>
        <v>DMK</v>
      </c>
      <c r="O246" s="145" t="str">
        <f>IFERROR(__xludf.DUMMYFUNCTION("""COMPUTED_VALUE"""),"Por+ Home")</f>
        <v>Por+ Home</v>
      </c>
      <c r="P246" t="str">
        <f>IFERROR(__xludf.DUMMYFUNCTION("""COMPUTED_VALUE"""),"Active")</f>
        <v>Active</v>
      </c>
      <c r="R246" s="143">
        <f>IFERROR(__xludf.DUMMYFUNCTION("""COMPUTED_VALUE"""),31114.0)</f>
        <v>31114</v>
      </c>
      <c r="S246" s="146" t="str">
        <f>IFERROR(__xludf.DUMMYFUNCTION("""COMPUTED_VALUE"""),"095-564 2491")</f>
        <v>095-564 2491</v>
      </c>
      <c r="T246" s="147" t="str">
        <f>IFERROR(__xludf.DUMMYFUNCTION("""COMPUTED_VALUE"""),"1100800-13-1913")</f>
        <v>1100800-13-1913</v>
      </c>
      <c r="U246" t="str">
        <f>IFERROR(__xludf.DUMMYFUNCTION("""COMPUTED_VALUE"""),"AC2320144")</f>
        <v>AC2320144</v>
      </c>
      <c r="V246" s="148">
        <f>IFERROR(__xludf.DUMMYFUNCTION("""COMPUTED_VALUE"""),44364.0)</f>
        <v>44364</v>
      </c>
      <c r="W246" s="148">
        <f>IFERROR(__xludf.DUMMYFUNCTION("""COMPUTED_VALUE"""),48015.0)</f>
        <v>48015</v>
      </c>
      <c r="X246" s="149">
        <f>IFERROR(__xludf.DUMMYFUNCTION("""COMPUTED_VALUE"""),47833.0)</f>
        <v>47833</v>
      </c>
      <c r="Y246" t="str">
        <f>IFERROR(__xludf.DUMMYFUNCTION("""COMPUTED_VALUE"""),"ปลอดภัย")</f>
        <v>ปลอดภัย</v>
      </c>
      <c r="Z246" t="str">
        <f>IFERROR(__xludf.DUMMYFUNCTION("""COMPUTED_VALUE"""),"Bangkok")</f>
        <v>Bangkok</v>
      </c>
      <c r="AA246" t="str">
        <f>IFERROR(__xludf.DUMMYFUNCTION("""COMPUTED_VALUE"""),"-")</f>
        <v>-</v>
      </c>
      <c r="AB246" t="str">
        <f>IFERROR(__xludf.DUMMYFUNCTION("""COMPUTED_VALUE"""),"081 685 6067 /086 792 1227")</f>
        <v>081 685 6067 /086 792 1227</v>
      </c>
      <c r="AC246" t="str">
        <f>IFERROR(__xludf.DUMMYFUNCTION("""COMPUTED_VALUE"""),"บิดา / มารดา")</f>
        <v>บิดา / มารดา</v>
      </c>
      <c r="AD246" t="str">
        <f>IFERROR(__xludf.DUMMYFUNCTION("""COMPUTED_VALUE"""),"parindav@airasia.com")</f>
        <v>parindav@airasia.com</v>
      </c>
    </row>
    <row r="247">
      <c r="A247" s="142">
        <f>IFERROR(__xludf.DUMMYFUNCTION("""COMPUTED_VALUE"""),41.0)</f>
        <v>41</v>
      </c>
      <c r="B247" t="str">
        <f>IFERROR(__xludf.DUMMYFUNCTION("""COMPUTED_VALUE"""),"TAA3262")</f>
        <v>TAA3262</v>
      </c>
      <c r="C247">
        <f>IFERROR(__xludf.DUMMYFUNCTION("""COMPUTED_VALUE"""),1005443.0)</f>
        <v>1005443</v>
      </c>
      <c r="D247" t="str">
        <f>IFERROR(__xludf.DUMMYFUNCTION("""COMPUTED_VALUE"""),"Ms.")</f>
        <v>Ms.</v>
      </c>
      <c r="E247" t="str">
        <f>IFERROR(__xludf.DUMMYFUNCTION("""COMPUTED_VALUE"""),"Pipassa")</f>
        <v>Pipassa</v>
      </c>
      <c r="F247" t="str">
        <f>IFERROR(__xludf.DUMMYFUNCTION("""COMPUTED_VALUE"""),"Laopiyasakul")</f>
        <v>Laopiyasakul</v>
      </c>
      <c r="G247" t="str">
        <f>IFERROR(__xludf.DUMMYFUNCTION("""COMPUTED_VALUE"""),"Pipassa Laopiyasakul")</f>
        <v>Pipassa Laopiyasakul</v>
      </c>
      <c r="H247" t="str">
        <f>IFERROR(__xludf.DUMMYFUNCTION("""COMPUTED_VALUE"""),"นางสาว")</f>
        <v>นางสาว</v>
      </c>
      <c r="I247" t="str">
        <f>IFERROR(__xludf.DUMMYFUNCTION("""COMPUTED_VALUE"""),"พิพัสสา")</f>
        <v>พิพัสสา</v>
      </c>
      <c r="J247" t="str">
        <f>IFERROR(__xludf.DUMMYFUNCTION("""COMPUTED_VALUE"""),"เหล่าปิยะสกุล")</f>
        <v>เหล่าปิยะสกุล</v>
      </c>
      <c r="K247" t="str">
        <f>IFERROR(__xludf.DUMMYFUNCTION("""COMPUTED_VALUE"""),"พิพัสสา เหล่าปิยะสกุล")</f>
        <v>พิพัสสา เหล่าปิยะสกุล</v>
      </c>
      <c r="L247" t="str">
        <f>IFERROR(__xludf.DUMMYFUNCTION("""COMPUTED_VALUE"""),"ยุ้ย")</f>
        <v>ยุ้ย</v>
      </c>
      <c r="M247" t="str">
        <f>IFERROR(__xludf.DUMMYFUNCTION("""COMPUTED_VALUE"""),"Senior Cabin Crew")</f>
        <v>Senior Cabin Crew</v>
      </c>
      <c r="N247" t="str">
        <f>IFERROR(__xludf.DUMMYFUNCTION("""COMPUTED_VALUE"""),"DMK")</f>
        <v>DMK</v>
      </c>
      <c r="O247" s="145" t="str">
        <f>IFERROR(__xludf.DUMMYFUNCTION("""COMPUTED_VALUE"""),"Namfon Home")</f>
        <v>Namfon Home</v>
      </c>
      <c r="P247" t="str">
        <f>IFERROR(__xludf.DUMMYFUNCTION("""COMPUTED_VALUE"""),"Active")</f>
        <v>Active</v>
      </c>
      <c r="Q247" t="str">
        <f>IFERROR(__xludf.DUMMYFUNCTION("""COMPUTED_VALUE"""),"Chinese Speaking")</f>
        <v>Chinese Speaking</v>
      </c>
      <c r="R247" s="143">
        <f>IFERROR(__xludf.DUMMYFUNCTION("""COMPUTED_VALUE"""),31790.0)</f>
        <v>31790</v>
      </c>
      <c r="S247" s="146" t="str">
        <f>IFERROR(__xludf.DUMMYFUNCTION("""COMPUTED_VALUE"""),"066 158 9919")</f>
        <v>066 158 9919</v>
      </c>
      <c r="T247" s="147" t="str">
        <f>IFERROR(__xludf.DUMMYFUNCTION("""COMPUTED_VALUE"""),"1929900-10-7012")</f>
        <v>1929900-10-7012</v>
      </c>
      <c r="U247" t="str">
        <f>IFERROR(__xludf.DUMMYFUNCTION("""COMPUTED_VALUE"""),"AC5147855")</f>
        <v>AC5147855</v>
      </c>
      <c r="V247" s="148">
        <f>IFERROR(__xludf.DUMMYFUNCTION("""COMPUTED_VALUE"""),45098.0)</f>
        <v>45098</v>
      </c>
      <c r="W247" s="148">
        <f>IFERROR(__xludf.DUMMYFUNCTION("""COMPUTED_VALUE"""),48750.0)</f>
        <v>48750</v>
      </c>
      <c r="X247" s="149">
        <f>IFERROR(__xludf.DUMMYFUNCTION("""COMPUTED_VALUE"""),48568.0)</f>
        <v>48568</v>
      </c>
      <c r="Y247" t="str">
        <f>IFERROR(__xludf.DUMMYFUNCTION("""COMPUTED_VALUE"""),"ปลอดภัย")</f>
        <v>ปลอดภัย</v>
      </c>
      <c r="Z247" t="str">
        <f>IFERROR(__xludf.DUMMYFUNCTION("""COMPUTED_VALUE"""),"Trang Province")</f>
        <v>Trang Province</v>
      </c>
      <c r="AA247" t="str">
        <f>IFERROR(__xludf.DUMMYFUNCTION("""COMPUTED_VALUE"""),"-")</f>
        <v>-</v>
      </c>
      <c r="AB247" t="str">
        <f>IFERROR(__xludf.DUMMYFUNCTION("""COMPUTED_VALUE"""),"089 114 8842")</f>
        <v>089 114 8842</v>
      </c>
      <c r="AC247" t="str">
        <f>IFERROR(__xludf.DUMMYFUNCTION("""COMPUTED_VALUE"""),"น้องชาย")</f>
        <v>น้องชาย</v>
      </c>
      <c r="AD247" t="str">
        <f>IFERROR(__xludf.DUMMYFUNCTION("""COMPUTED_VALUE"""),"pipassal@airasia.com")</f>
        <v>pipassal@airasia.com</v>
      </c>
    </row>
    <row r="248">
      <c r="A248" s="142">
        <f>IFERROR(__xludf.DUMMYFUNCTION("""COMPUTED_VALUE"""),41.0)</f>
        <v>41</v>
      </c>
      <c r="B248" t="str">
        <f>IFERROR(__xludf.DUMMYFUNCTION("""COMPUTED_VALUE"""),"TAA3250")</f>
        <v>TAA3250</v>
      </c>
      <c r="C248">
        <f>IFERROR(__xludf.DUMMYFUNCTION("""COMPUTED_VALUE"""),1005444.0)</f>
        <v>1005444</v>
      </c>
      <c r="D248" t="str">
        <f>IFERROR(__xludf.DUMMYFUNCTION("""COMPUTED_VALUE"""),"Ms.")</f>
        <v>Ms.</v>
      </c>
      <c r="E248" t="str">
        <f>IFERROR(__xludf.DUMMYFUNCTION("""COMPUTED_VALUE"""),"Rassarin")</f>
        <v>Rassarin</v>
      </c>
      <c r="F248" t="str">
        <f>IFERROR(__xludf.DUMMYFUNCTION("""COMPUTED_VALUE"""),"Weerathammavit")</f>
        <v>Weerathammavit</v>
      </c>
      <c r="G248" t="str">
        <f>IFERROR(__xludf.DUMMYFUNCTION("""COMPUTED_VALUE"""),"Rassarin Weerathammavit")</f>
        <v>Rassarin Weerathammavit</v>
      </c>
      <c r="H248" t="str">
        <f>IFERROR(__xludf.DUMMYFUNCTION("""COMPUTED_VALUE"""),"นางสาว")</f>
        <v>นางสาว</v>
      </c>
      <c r="I248" t="str">
        <f>IFERROR(__xludf.DUMMYFUNCTION("""COMPUTED_VALUE"""),"รัสรินทร์")</f>
        <v>รัสรินทร์</v>
      </c>
      <c r="J248" t="str">
        <f>IFERROR(__xludf.DUMMYFUNCTION("""COMPUTED_VALUE"""),"วีระธรรมวิชญ์")</f>
        <v>วีระธรรมวิชญ์</v>
      </c>
      <c r="K248" t="str">
        <f>IFERROR(__xludf.DUMMYFUNCTION("""COMPUTED_VALUE"""),"รัสรินทร์ วีระธรรมวิชญ์")</f>
        <v>รัสรินทร์ วีระธรรมวิชญ์</v>
      </c>
      <c r="L248" t="str">
        <f>IFERROR(__xludf.DUMMYFUNCTION("""COMPUTED_VALUE"""),"แนท")</f>
        <v>แนท</v>
      </c>
      <c r="M248" t="str">
        <f>IFERROR(__xludf.DUMMYFUNCTION("""COMPUTED_VALUE"""),"Senior Cabin Crew")</f>
        <v>Senior Cabin Crew</v>
      </c>
      <c r="N248" t="str">
        <f>IFERROR(__xludf.DUMMYFUNCTION("""COMPUTED_VALUE"""),"DMK")</f>
        <v>DMK</v>
      </c>
      <c r="O248" s="145" t="str">
        <f>IFERROR(__xludf.DUMMYFUNCTION("""COMPUTED_VALUE"""),"Toffy Home")</f>
        <v>Toffy Home</v>
      </c>
      <c r="P248" t="str">
        <f>IFERROR(__xludf.DUMMYFUNCTION("""COMPUTED_VALUE"""),"V/LWP")</f>
        <v>V/LWP</v>
      </c>
      <c r="R248" s="143">
        <f>IFERROR(__xludf.DUMMYFUNCTION("""COMPUTED_VALUE"""),31972.0)</f>
        <v>31972</v>
      </c>
      <c r="S248" s="146" t="str">
        <f>IFERROR(__xludf.DUMMYFUNCTION("""COMPUTED_VALUE"""),"094 423 2494")</f>
        <v>094 423 2494</v>
      </c>
      <c r="T248" s="147" t="str">
        <f>IFERROR(__xludf.DUMMYFUNCTION("""COMPUTED_VALUE"""),"1100600-10-8977")</f>
        <v>1100600-10-8977</v>
      </c>
      <c r="U248" t="str">
        <f>IFERROR(__xludf.DUMMYFUNCTION("""COMPUTED_VALUE"""),"AC8045289")</f>
        <v>AC8045289</v>
      </c>
      <c r="V248" s="148">
        <f>IFERROR(__xludf.DUMMYFUNCTION("""COMPUTED_VALUE"""),45708.0)</f>
        <v>45708</v>
      </c>
      <c r="W248" s="148">
        <f>IFERROR(__xludf.DUMMYFUNCTION("""COMPUTED_VALUE"""),49359.0)</f>
        <v>49359</v>
      </c>
      <c r="X248" s="149">
        <f>IFERROR(__xludf.DUMMYFUNCTION("""COMPUTED_VALUE"""),49175.0)</f>
        <v>49175</v>
      </c>
      <c r="Y248" t="str">
        <f>IFERROR(__xludf.DUMMYFUNCTION("""COMPUTED_VALUE"""),"ปลอดภัย")</f>
        <v>ปลอดภัย</v>
      </c>
      <c r="Z248" t="str">
        <f>IFERROR(__xludf.DUMMYFUNCTION("""COMPUTED_VALUE"""),"Bangkok")</f>
        <v>Bangkok</v>
      </c>
      <c r="AA248" t="str">
        <f>IFERROR(__xludf.DUMMYFUNCTION("""COMPUTED_VALUE"""),"-")</f>
        <v>-</v>
      </c>
      <c r="AB248" t="str">
        <f>IFERROR(__xludf.DUMMYFUNCTION("""COMPUTED_VALUE"""),"089 845 7706 /081 282 1396")</f>
        <v>089 845 7706 /081 282 1396</v>
      </c>
      <c r="AC248" t="str">
        <f>IFERROR(__xludf.DUMMYFUNCTION("""COMPUTED_VALUE"""),"มารดา")</f>
        <v>มารดา</v>
      </c>
      <c r="AD248" t="str">
        <f>IFERROR(__xludf.DUMMYFUNCTION("""COMPUTED_VALUE"""),"rassarinw@airasia.com")</f>
        <v>rassarinw@airasia.com</v>
      </c>
    </row>
    <row r="249">
      <c r="A249" s="142">
        <f>IFERROR(__xludf.DUMMYFUNCTION("""COMPUTED_VALUE"""),41.0)</f>
        <v>41</v>
      </c>
      <c r="B249" t="str">
        <f>IFERROR(__xludf.DUMMYFUNCTION("""COMPUTED_VALUE"""),"TAA3256")</f>
        <v>TAA3256</v>
      </c>
      <c r="C249">
        <f>IFERROR(__xludf.DUMMYFUNCTION("""COMPUTED_VALUE"""),1005449.0)</f>
        <v>1005449</v>
      </c>
      <c r="D249" t="str">
        <f>IFERROR(__xludf.DUMMYFUNCTION("""COMPUTED_VALUE"""),"Mr.")</f>
        <v>Mr.</v>
      </c>
      <c r="E249" t="str">
        <f>IFERROR(__xludf.DUMMYFUNCTION("""COMPUTED_VALUE"""),"Patan (Suthipong)")</f>
        <v>Patan (Suthipong)</v>
      </c>
      <c r="F249" t="str">
        <f>IFERROR(__xludf.DUMMYFUNCTION("""COMPUTED_VALUE"""),"Srivichai")</f>
        <v>Srivichai</v>
      </c>
      <c r="G249" t="str">
        <f>IFERROR(__xludf.DUMMYFUNCTION("""COMPUTED_VALUE"""),"Patan  Srivichai")</f>
        <v>Patan  Srivichai</v>
      </c>
      <c r="H249" t="str">
        <f>IFERROR(__xludf.DUMMYFUNCTION("""COMPUTED_VALUE"""),"นาย")</f>
        <v>นาย</v>
      </c>
      <c r="I249" t="str">
        <f>IFERROR(__xludf.DUMMYFUNCTION("""COMPUTED_VALUE"""),"ปทาน (สุทธิพงศ์)")</f>
        <v>ปทาน (สุทธิพงศ์)</v>
      </c>
      <c r="J249" t="str">
        <f>IFERROR(__xludf.DUMMYFUNCTION("""COMPUTED_VALUE"""),"ศรีวิชัย")</f>
        <v>ศรีวิชัย</v>
      </c>
      <c r="K249" t="str">
        <f>IFERROR(__xludf.DUMMYFUNCTION("""COMPUTED_VALUE"""),"ปทาน ศรีวิชัย")</f>
        <v>ปทาน ศรีวิชัย</v>
      </c>
      <c r="L249" t="str">
        <f>IFERROR(__xludf.DUMMYFUNCTION("""COMPUTED_VALUE"""),"มิค")</f>
        <v>มิค</v>
      </c>
      <c r="M249" t="str">
        <f>IFERROR(__xludf.DUMMYFUNCTION("""COMPUTED_VALUE"""),"Cabin Crew - CNX")</f>
        <v>Cabin Crew - CNX</v>
      </c>
      <c r="N249" t="str">
        <f>IFERROR(__xludf.DUMMYFUNCTION("""COMPUTED_VALUE"""),"CNX")</f>
        <v>CNX</v>
      </c>
      <c r="O249" s="145" t="str">
        <f>IFERROR(__xludf.DUMMYFUNCTION("""COMPUTED_VALUE"""),"Up Home")</f>
        <v>Up Home</v>
      </c>
      <c r="P249" t="str">
        <f>IFERROR(__xludf.DUMMYFUNCTION("""COMPUTED_VALUE"""),"Active")</f>
        <v>Active</v>
      </c>
      <c r="R249" s="143">
        <f>IFERROR(__xludf.DUMMYFUNCTION("""COMPUTED_VALUE"""),32421.0)</f>
        <v>32421</v>
      </c>
      <c r="S249" s="146" t="str">
        <f>IFERROR(__xludf.DUMMYFUNCTION("""COMPUTED_VALUE"""),"065 956 5265")</f>
        <v>065 956 5265</v>
      </c>
      <c r="T249" s="147" t="str">
        <f>IFERROR(__xludf.DUMMYFUNCTION("""COMPUTED_VALUE"""),"1100900-42-3967")</f>
        <v>1100900-42-3967</v>
      </c>
      <c r="U249" t="str">
        <f>IFERROR(__xludf.DUMMYFUNCTION("""COMPUTED_VALUE"""),"AC7565385")</f>
        <v>AC7565385</v>
      </c>
      <c r="V249" s="148">
        <f>IFERROR(__xludf.DUMMYFUNCTION("""COMPUTED_VALUE"""),45558.0)</f>
        <v>45558</v>
      </c>
      <c r="W249" s="148">
        <f>IFERROR(__xludf.DUMMYFUNCTION("""COMPUTED_VALUE"""),49209.0)</f>
        <v>49209</v>
      </c>
      <c r="X249" s="149">
        <f>IFERROR(__xludf.DUMMYFUNCTION("""COMPUTED_VALUE"""),49025.0)</f>
        <v>49025</v>
      </c>
      <c r="Y249" t="str">
        <f>IFERROR(__xludf.DUMMYFUNCTION("""COMPUTED_VALUE"""),"ปลอดภัย")</f>
        <v>ปลอดภัย</v>
      </c>
      <c r="Z249" t="str">
        <f>IFERROR(__xludf.DUMMYFUNCTION("""COMPUTED_VALUE"""),"Bangkok")</f>
        <v>Bangkok</v>
      </c>
      <c r="AA249" t="str">
        <f>IFERROR(__xludf.DUMMYFUNCTION("""COMPUTED_VALUE"""),"-")</f>
        <v>-</v>
      </c>
      <c r="AB249" t="str">
        <f>IFERROR(__xludf.DUMMYFUNCTION("""COMPUTED_VALUE"""),"081 886 1606")</f>
        <v>081 886 1606</v>
      </c>
      <c r="AC249" t="str">
        <f>IFERROR(__xludf.DUMMYFUNCTION("""COMPUTED_VALUE"""),"บิดา")</f>
        <v>บิดา</v>
      </c>
      <c r="AD249" t="str">
        <f>IFERROR(__xludf.DUMMYFUNCTION("""COMPUTED_VALUE"""),"patans@airasia.com")</f>
        <v>patans@airasia.com</v>
      </c>
    </row>
    <row r="250">
      <c r="AD250" t="str">
        <f>IFERROR(__xludf.DUMMYFUNCTION("""COMPUTED_VALUE"""),"")</f>
        <v/>
      </c>
    </row>
    <row r="251">
      <c r="A251" s="142">
        <f>IFERROR(__xludf.DUMMYFUNCTION("""COMPUTED_VALUE"""),43.0)</f>
        <v>43</v>
      </c>
      <c r="B251" t="str">
        <f>IFERROR(__xludf.DUMMYFUNCTION("""COMPUTED_VALUE"""),"TAA3399")</f>
        <v>TAA3399</v>
      </c>
      <c r="C251">
        <f>IFERROR(__xludf.DUMMYFUNCTION("""COMPUTED_VALUE"""),1005741.0)</f>
        <v>1005741</v>
      </c>
      <c r="D251" t="str">
        <f>IFERROR(__xludf.DUMMYFUNCTION("""COMPUTED_VALUE"""),"Ms.")</f>
        <v>Ms.</v>
      </c>
      <c r="E251" t="str">
        <f>IFERROR(__xludf.DUMMYFUNCTION("""COMPUTED_VALUE"""),"Chanyawat")</f>
        <v>Chanyawat</v>
      </c>
      <c r="F251" t="str">
        <f>IFERROR(__xludf.DUMMYFUNCTION("""COMPUTED_VALUE"""),"Ruchiratheekhakul")</f>
        <v>Ruchiratheekhakul</v>
      </c>
      <c r="G251" t="str">
        <f>IFERROR(__xludf.DUMMYFUNCTION("""COMPUTED_VALUE"""),"Chanyawat Ruchiratheekhakul")</f>
        <v>Chanyawat Ruchiratheekhakul</v>
      </c>
      <c r="H251" t="str">
        <f>IFERROR(__xludf.DUMMYFUNCTION("""COMPUTED_VALUE"""),"นางสาว")</f>
        <v>นางสาว</v>
      </c>
      <c r="I251" t="str">
        <f>IFERROR(__xludf.DUMMYFUNCTION("""COMPUTED_VALUE"""),"จรรยวรรธ")</f>
        <v>จรรยวรรธ</v>
      </c>
      <c r="J251" t="str">
        <f>IFERROR(__xludf.DUMMYFUNCTION("""COMPUTED_VALUE"""),"รุจิราทีฆกุล")</f>
        <v>รุจิราทีฆกุล</v>
      </c>
      <c r="K251" t="str">
        <f>IFERROR(__xludf.DUMMYFUNCTION("""COMPUTED_VALUE"""),"จรรยวรรธ รุจิราทีฆกุล")</f>
        <v>จรรยวรรธ รุจิราทีฆกุล</v>
      </c>
      <c r="L251" t="str">
        <f>IFERROR(__xludf.DUMMYFUNCTION("""COMPUTED_VALUE"""),"โอ๋")</f>
        <v>โอ๋</v>
      </c>
      <c r="M251" t="str">
        <f>IFERROR(__xludf.DUMMYFUNCTION("""COMPUTED_VALUE"""),"Cabin Crew")</f>
        <v>Cabin Crew</v>
      </c>
      <c r="N251" t="str">
        <f>IFERROR(__xludf.DUMMYFUNCTION("""COMPUTED_VALUE"""),"DMK")</f>
        <v>DMK</v>
      </c>
      <c r="O251" s="145" t="str">
        <f>IFERROR(__xludf.DUMMYFUNCTION("""COMPUTED_VALUE"""),"Por+ Home")</f>
        <v>Por+ Home</v>
      </c>
      <c r="P251" t="str">
        <f>IFERROR(__xludf.DUMMYFUNCTION("""COMPUTED_VALUE"""),"Active")</f>
        <v>Active</v>
      </c>
      <c r="R251" s="143">
        <f>IFERROR(__xludf.DUMMYFUNCTION("""COMPUTED_VALUE"""),31208.0)</f>
        <v>31208</v>
      </c>
      <c r="S251" s="146" t="str">
        <f>IFERROR(__xludf.DUMMYFUNCTION("""COMPUTED_VALUE"""),"084 165 8210")</f>
        <v>084 165 8210</v>
      </c>
      <c r="T251" s="147" t="str">
        <f>IFERROR(__xludf.DUMMYFUNCTION("""COMPUTED_VALUE"""),"1100-800157084")</f>
        <v>1100-800157084</v>
      </c>
      <c r="U251" t="str">
        <f>IFERROR(__xludf.DUMMYFUNCTION("""COMPUTED_VALUE"""),"AD2374374")</f>
        <v>AD2374374</v>
      </c>
      <c r="V251" s="148">
        <f>IFERROR(__xludf.DUMMYFUNCTION("""COMPUTED_VALUE"""),45784.0)</f>
        <v>45784</v>
      </c>
      <c r="W251" s="148">
        <f>IFERROR(__xludf.DUMMYFUNCTION("""COMPUTED_VALUE"""),49435.0)</f>
        <v>49435</v>
      </c>
      <c r="X251" s="149">
        <f>IFERROR(__xludf.DUMMYFUNCTION("""COMPUTED_VALUE"""),49254.0)</f>
        <v>49254</v>
      </c>
      <c r="Y251" t="str">
        <f>IFERROR(__xludf.DUMMYFUNCTION("""COMPUTED_VALUE"""),"ปลอดภัย")</f>
        <v>ปลอดภัย</v>
      </c>
      <c r="Z251" t="str">
        <f>IFERROR(__xludf.DUMMYFUNCTION("""COMPUTED_VALUE"""),"Bangkok")</f>
        <v>Bangkok</v>
      </c>
      <c r="AA251" t="str">
        <f>IFERROR(__xludf.DUMMYFUNCTION("""COMPUTED_VALUE"""),"Sukhumvit101")</f>
        <v>Sukhumvit101</v>
      </c>
      <c r="AB251" t="str">
        <f>IFERROR(__xludf.DUMMYFUNCTION("""COMPUTED_VALUE"""),"081 668 3659\")</f>
        <v>081 668 3659\</v>
      </c>
      <c r="AC251" t="str">
        <f>IFERROR(__xludf.DUMMYFUNCTION("""COMPUTED_VALUE"""),"Somboon")</f>
        <v>Somboon</v>
      </c>
      <c r="AD251" t="str">
        <f>IFERROR(__xludf.DUMMYFUNCTION("""COMPUTED_VALUE"""),"chanyawatr@airasia.com")</f>
        <v>chanyawatr@airasia.com</v>
      </c>
    </row>
    <row r="252">
      <c r="A252" s="142">
        <f>IFERROR(__xludf.DUMMYFUNCTION("""COMPUTED_VALUE"""),43.0)</f>
        <v>43</v>
      </c>
      <c r="B252" t="str">
        <f>IFERROR(__xludf.DUMMYFUNCTION("""COMPUTED_VALUE"""),"TAA3398")</f>
        <v>TAA3398</v>
      </c>
      <c r="C252">
        <f>IFERROR(__xludf.DUMMYFUNCTION("""COMPUTED_VALUE"""),1005748.0)</f>
        <v>1005748</v>
      </c>
      <c r="D252" t="str">
        <f>IFERROR(__xludf.DUMMYFUNCTION("""COMPUTED_VALUE"""),"Ms.")</f>
        <v>Ms.</v>
      </c>
      <c r="E252" t="str">
        <f>IFERROR(__xludf.DUMMYFUNCTION("""COMPUTED_VALUE"""),"Gam")</f>
        <v>Gam</v>
      </c>
      <c r="F252" t="str">
        <f>IFERROR(__xludf.DUMMYFUNCTION("""COMPUTED_VALUE"""),"Keultachavanich")</f>
        <v>Keultachavanich</v>
      </c>
      <c r="G252" t="str">
        <f>IFERROR(__xludf.DUMMYFUNCTION("""COMPUTED_VALUE"""),"Gam Keultachavanich")</f>
        <v>Gam Keultachavanich</v>
      </c>
      <c r="H252" t="str">
        <f>IFERROR(__xludf.DUMMYFUNCTION("""COMPUTED_VALUE"""),"นางสาว")</f>
        <v>นางสาว</v>
      </c>
      <c r="I252" t="str">
        <f>IFERROR(__xludf.DUMMYFUNCTION("""COMPUTED_VALUE"""),"แก้ม")</f>
        <v>แก้ม</v>
      </c>
      <c r="J252" t="str">
        <f>IFERROR(__xludf.DUMMYFUNCTION("""COMPUTED_VALUE"""),"กุลเตชะวณิช")</f>
        <v>กุลเตชะวณิช</v>
      </c>
      <c r="K252" t="str">
        <f>IFERROR(__xludf.DUMMYFUNCTION("""COMPUTED_VALUE"""),"แก้ม กุลเตชะวณิช")</f>
        <v>แก้ม กุลเตชะวณิช</v>
      </c>
      <c r="L252" t="str">
        <f>IFERROR(__xludf.DUMMYFUNCTION("""COMPUTED_VALUE"""),"แก้ม")</f>
        <v>แก้ม</v>
      </c>
      <c r="M252" t="str">
        <f>IFERROR(__xludf.DUMMYFUNCTION("""COMPUTED_VALUE"""),"Cabin Crew")</f>
        <v>Cabin Crew</v>
      </c>
      <c r="N252" t="str">
        <f>IFERROR(__xludf.DUMMYFUNCTION("""COMPUTED_VALUE"""),"DMK")</f>
        <v>DMK</v>
      </c>
      <c r="O252" s="145" t="str">
        <f>IFERROR(__xludf.DUMMYFUNCTION("""COMPUTED_VALUE"""),"Toffy Home")</f>
        <v>Toffy Home</v>
      </c>
      <c r="P252" t="str">
        <f>IFERROR(__xludf.DUMMYFUNCTION("""COMPUTED_VALUE"""),"V/LWP")</f>
        <v>V/LWP</v>
      </c>
      <c r="R252" s="143">
        <f>IFERROR(__xludf.DUMMYFUNCTION("""COMPUTED_VALUE"""),32562.0)</f>
        <v>32562</v>
      </c>
      <c r="S252" s="146" t="str">
        <f>IFERROR(__xludf.DUMMYFUNCTION("""COMPUTED_VALUE"""),"094 663 6444")</f>
        <v>094 663 6444</v>
      </c>
      <c r="T252" s="147" t="str">
        <f>IFERROR(__xludf.DUMMYFUNCTION("""COMPUTED_VALUE"""),"110-1401577595")</f>
        <v>110-1401577595</v>
      </c>
      <c r="U252" t="str">
        <f>IFERROR(__xludf.DUMMYFUNCTION("""COMPUTED_VALUE"""),"AC3083821")</f>
        <v>AC3083821</v>
      </c>
      <c r="V252" s="148">
        <f>IFERROR(__xludf.DUMMYFUNCTION("""COMPUTED_VALUE"""),44686.0)</f>
        <v>44686</v>
      </c>
      <c r="W252" s="148">
        <f>IFERROR(__xludf.DUMMYFUNCTION("""COMPUTED_VALUE"""),48338.0)</f>
        <v>48338</v>
      </c>
      <c r="X252" s="149">
        <f>IFERROR(__xludf.DUMMYFUNCTION("""COMPUTED_VALUE"""),48156.0)</f>
        <v>48156</v>
      </c>
      <c r="Y252" t="str">
        <f>IFERROR(__xludf.DUMMYFUNCTION("""COMPUTED_VALUE"""),"ปลอดภัย")</f>
        <v>ปลอดภัย</v>
      </c>
      <c r="Z252" t="str">
        <f>IFERROR(__xludf.DUMMYFUNCTION("""COMPUTED_VALUE"""),"Bangkok")</f>
        <v>Bangkok</v>
      </c>
      <c r="AA252" t="str">
        <f>IFERROR(__xludf.DUMMYFUNCTION("""COMPUTED_VALUE"""),"Ratchatevee")</f>
        <v>Ratchatevee</v>
      </c>
      <c r="AB252" t="str">
        <f>IFERROR(__xludf.DUMMYFUNCTION("""COMPUTED_VALUE"""),"094-663-6444")</f>
        <v>094-663-6444</v>
      </c>
      <c r="AC252" t="str">
        <f>IFERROR(__xludf.DUMMYFUNCTION("""COMPUTED_VALUE"""),"Mom")</f>
        <v>Mom</v>
      </c>
      <c r="AD252" t="str">
        <f>IFERROR(__xludf.DUMMYFUNCTION("""COMPUTED_VALUE"""),"gamk@airasia.com")</f>
        <v>gamk@airasia.com</v>
      </c>
    </row>
    <row r="253">
      <c r="A253" s="142">
        <f>IFERROR(__xludf.DUMMYFUNCTION("""COMPUTED_VALUE"""),43.0)</f>
        <v>43</v>
      </c>
      <c r="B253" t="str">
        <f>IFERROR(__xludf.DUMMYFUNCTION("""COMPUTED_VALUE"""),"TAA3405")</f>
        <v>TAA3405</v>
      </c>
      <c r="C253">
        <f>IFERROR(__xludf.DUMMYFUNCTION("""COMPUTED_VALUE"""),1005753.0)</f>
        <v>1005753</v>
      </c>
      <c r="D253" t="str">
        <f>IFERROR(__xludf.DUMMYFUNCTION("""COMPUTED_VALUE"""),"Ms.")</f>
        <v>Ms.</v>
      </c>
      <c r="E253" t="str">
        <f>IFERROR(__xludf.DUMMYFUNCTION("""COMPUTED_VALUE"""),"Kamolchanok")</f>
        <v>Kamolchanok</v>
      </c>
      <c r="F253" t="str">
        <f>IFERROR(__xludf.DUMMYFUNCTION("""COMPUTED_VALUE"""),"Khantidilokvongsa")</f>
        <v>Khantidilokvongsa</v>
      </c>
      <c r="G253" t="str">
        <f>IFERROR(__xludf.DUMMYFUNCTION("""COMPUTED_VALUE"""),"Kamolchanok Khantidilokvongsa")</f>
        <v>Kamolchanok Khantidilokvongsa</v>
      </c>
      <c r="H253" t="str">
        <f>IFERROR(__xludf.DUMMYFUNCTION("""COMPUTED_VALUE"""),"นางสาว")</f>
        <v>นางสาว</v>
      </c>
      <c r="I253" t="str">
        <f>IFERROR(__xludf.DUMMYFUNCTION("""COMPUTED_VALUE"""),"กมลชนก")</f>
        <v>กมลชนก</v>
      </c>
      <c r="J253" t="str">
        <f>IFERROR(__xludf.DUMMYFUNCTION("""COMPUTED_VALUE"""),"ขันติดิลกวงษา")</f>
        <v>ขันติดิลกวงษา</v>
      </c>
      <c r="K253" t="str">
        <f>IFERROR(__xludf.DUMMYFUNCTION("""COMPUTED_VALUE"""),"กมลชนก ขันติดิลกวงษา")</f>
        <v>กมลชนก ขันติดิลกวงษา</v>
      </c>
      <c r="L253" t="str">
        <f>IFERROR(__xludf.DUMMYFUNCTION("""COMPUTED_VALUE"""),"เน็ท")</f>
        <v>เน็ท</v>
      </c>
      <c r="M253" t="str">
        <f>IFERROR(__xludf.DUMMYFUNCTION("""COMPUTED_VALUE"""),"Senior Cabin Crew")</f>
        <v>Senior Cabin Crew</v>
      </c>
      <c r="N253" t="str">
        <f>IFERROR(__xludf.DUMMYFUNCTION("""COMPUTED_VALUE"""),"DMK")</f>
        <v>DMK</v>
      </c>
      <c r="O253" s="145" t="str">
        <f>IFERROR(__xludf.DUMMYFUNCTION("""COMPUTED_VALUE"""),"Namfon Home")</f>
        <v>Namfon Home</v>
      </c>
      <c r="P253" t="str">
        <f>IFERROR(__xludf.DUMMYFUNCTION("""COMPUTED_VALUE"""),"Active")</f>
        <v>Active</v>
      </c>
      <c r="R253" s="143">
        <f>IFERROR(__xludf.DUMMYFUNCTION("""COMPUTED_VALUE"""),30389.0)</f>
        <v>30389</v>
      </c>
      <c r="S253" s="146" t="str">
        <f>IFERROR(__xludf.DUMMYFUNCTION("""COMPUTED_VALUE"""),"065 961 5995")</f>
        <v>065 961 5995</v>
      </c>
      <c r="T253" s="147" t="str">
        <f>IFERROR(__xludf.DUMMYFUNCTION("""COMPUTED_VALUE"""),"310-090566-6902")</f>
        <v>310-090566-6902</v>
      </c>
      <c r="U253" t="str">
        <f>IFERROR(__xludf.DUMMYFUNCTION("""COMPUTED_VALUE"""),"AC2834296")</f>
        <v>AC2834296</v>
      </c>
      <c r="V253" s="148">
        <f>IFERROR(__xludf.DUMMYFUNCTION("""COMPUTED_VALUE"""),44522.0)</f>
        <v>44522</v>
      </c>
      <c r="W253" s="148">
        <f>IFERROR(__xludf.DUMMYFUNCTION("""COMPUTED_VALUE"""),48173.0)</f>
        <v>48173</v>
      </c>
      <c r="X253" s="149">
        <f>IFERROR(__xludf.DUMMYFUNCTION("""COMPUTED_VALUE"""),47989.0)</f>
        <v>47989</v>
      </c>
      <c r="Y253" t="str">
        <f>IFERROR(__xludf.DUMMYFUNCTION("""COMPUTED_VALUE"""),"ปลอดภัย")</f>
        <v>ปลอดภัย</v>
      </c>
      <c r="Z253" t="str">
        <f>IFERROR(__xludf.DUMMYFUNCTION("""COMPUTED_VALUE"""),"Bangkok")</f>
        <v>Bangkok</v>
      </c>
      <c r="AA253" t="str">
        <f>IFERROR(__xludf.DUMMYFUNCTION("""COMPUTED_VALUE"""),"Phattanakarn")</f>
        <v>Phattanakarn</v>
      </c>
      <c r="AB253" t="str">
        <f>IFERROR(__xludf.DUMMYFUNCTION("""COMPUTED_VALUE"""),"083 4403888")</f>
        <v>083 4403888</v>
      </c>
      <c r="AC253" t="str">
        <f>IFERROR(__xludf.DUMMYFUNCTION("""COMPUTED_VALUE"""),"Kamonwan")</f>
        <v>Kamonwan</v>
      </c>
      <c r="AD253" t="str">
        <f>IFERROR(__xludf.DUMMYFUNCTION("""COMPUTED_VALUE"""),"kamolchanokk@airasia.com")</f>
        <v>kamolchanokk@airasia.com</v>
      </c>
    </row>
    <row r="254">
      <c r="A254" s="142">
        <f>IFERROR(__xludf.DUMMYFUNCTION("""COMPUTED_VALUE"""),43.0)</f>
        <v>43</v>
      </c>
      <c r="B254" t="str">
        <f>IFERROR(__xludf.DUMMYFUNCTION("""COMPUTED_VALUE"""),"TAA3401")</f>
        <v>TAA3401</v>
      </c>
      <c r="C254">
        <f>IFERROR(__xludf.DUMMYFUNCTION("""COMPUTED_VALUE"""),1005757.0)</f>
        <v>1005757</v>
      </c>
      <c r="D254" t="str">
        <f>IFERROR(__xludf.DUMMYFUNCTION("""COMPUTED_VALUE"""),"Ms.")</f>
        <v>Ms.</v>
      </c>
      <c r="E254" t="str">
        <f>IFERROR(__xludf.DUMMYFUNCTION("""COMPUTED_VALUE"""),"Mintra")</f>
        <v>Mintra</v>
      </c>
      <c r="F254" t="str">
        <f>IFERROR(__xludf.DUMMYFUNCTION("""COMPUTED_VALUE"""),"Thamadee")</f>
        <v>Thamadee</v>
      </c>
      <c r="G254" t="str">
        <f>IFERROR(__xludf.DUMMYFUNCTION("""COMPUTED_VALUE"""),"Mintra Thamadee")</f>
        <v>Mintra Thamadee</v>
      </c>
      <c r="H254" t="str">
        <f>IFERROR(__xludf.DUMMYFUNCTION("""COMPUTED_VALUE"""),"นางสาว")</f>
        <v>นางสาว</v>
      </c>
      <c r="I254" t="str">
        <f>IFERROR(__xludf.DUMMYFUNCTION("""COMPUTED_VALUE"""),"มินทร์ตรา")</f>
        <v>มินทร์ตรา</v>
      </c>
      <c r="J254" t="str">
        <f>IFERROR(__xludf.DUMMYFUNCTION("""COMPUTED_VALUE"""),"ทะมาดี")</f>
        <v>ทะมาดี</v>
      </c>
      <c r="K254" t="str">
        <f>IFERROR(__xludf.DUMMYFUNCTION("""COMPUTED_VALUE"""),"มินทร์ตรา ทะมาดี")</f>
        <v>มินทร์ตรา ทะมาดี</v>
      </c>
      <c r="L254" t="str">
        <f>IFERROR(__xludf.DUMMYFUNCTION("""COMPUTED_VALUE"""),"เมย์")</f>
        <v>เมย์</v>
      </c>
      <c r="M254" t="str">
        <f>IFERROR(__xludf.DUMMYFUNCTION("""COMPUTED_VALUE"""),"Senior Cabin Crew")</f>
        <v>Senior Cabin Crew</v>
      </c>
      <c r="N254" t="str">
        <f>IFERROR(__xludf.DUMMYFUNCTION("""COMPUTED_VALUE"""),"DMK")</f>
        <v>DMK</v>
      </c>
      <c r="O254" s="145" t="str">
        <f>IFERROR(__xludf.DUMMYFUNCTION("""COMPUTED_VALUE"""),"Namfon Home")</f>
        <v>Namfon Home</v>
      </c>
      <c r="P254" t="str">
        <f>IFERROR(__xludf.DUMMYFUNCTION("""COMPUTED_VALUE"""),"Active")</f>
        <v>Active</v>
      </c>
      <c r="R254" s="143">
        <f>IFERROR(__xludf.DUMMYFUNCTION("""COMPUTED_VALUE"""),32312.0)</f>
        <v>32312</v>
      </c>
      <c r="S254" s="146" t="str">
        <f>IFERROR(__xludf.DUMMYFUNCTION("""COMPUTED_VALUE"""),"085 254 5424")</f>
        <v>085 254 5424</v>
      </c>
      <c r="T254" s="147" t="str">
        <f>IFERROR(__xludf.DUMMYFUNCTION("""COMPUTED_VALUE"""),"13099-00401-412")</f>
        <v>13099-00401-412</v>
      </c>
      <c r="U254" t="str">
        <f>IFERROR(__xludf.DUMMYFUNCTION("""COMPUTED_VALUE"""),"AD1844827")</f>
        <v>AD1844827</v>
      </c>
      <c r="V254" s="148">
        <f>IFERROR(__xludf.DUMMYFUNCTION("""COMPUTED_VALUE"""),45472.0)</f>
        <v>45472</v>
      </c>
      <c r="W254" s="148">
        <f>IFERROR(__xludf.DUMMYFUNCTION("""COMPUTED_VALUE"""),47297.0)</f>
        <v>47297</v>
      </c>
      <c r="X254" s="149">
        <f>IFERROR(__xludf.DUMMYFUNCTION("""COMPUTED_VALUE"""),47115.0)</f>
        <v>47115</v>
      </c>
      <c r="Y254" t="str">
        <f>IFERROR(__xludf.DUMMYFUNCTION("""COMPUTED_VALUE"""),"ปลอดภัย")</f>
        <v>ปลอดภัย</v>
      </c>
      <c r="Z254" t="str">
        <f>IFERROR(__xludf.DUMMYFUNCTION("""COMPUTED_VALUE"""),"Nakhon Ratchasima Province")</f>
        <v>Nakhon Ratchasima Province</v>
      </c>
      <c r="AA254" t="str">
        <f>IFERROR(__xludf.DUMMYFUNCTION("""COMPUTED_VALUE"""),"Lardkrabang")</f>
        <v>Lardkrabang</v>
      </c>
      <c r="AB254" t="str">
        <f>IFERROR(__xludf.DUMMYFUNCTION("""COMPUTED_VALUE"""),"081 977 4645")</f>
        <v>081 977 4645</v>
      </c>
      <c r="AC254" t="str">
        <f>IFERROR(__xludf.DUMMYFUNCTION("""COMPUTED_VALUE"""),"Thanyawan")</f>
        <v>Thanyawan</v>
      </c>
      <c r="AD254" t="str">
        <f>IFERROR(__xludf.DUMMYFUNCTION("""COMPUTED_VALUE"""),"mintrat@airasia.com")</f>
        <v>mintrat@airasia.com</v>
      </c>
    </row>
    <row r="255">
      <c r="A255" s="142">
        <f>IFERROR(__xludf.DUMMYFUNCTION("""COMPUTED_VALUE"""),43.0)</f>
        <v>43</v>
      </c>
      <c r="B255" t="str">
        <f>IFERROR(__xludf.DUMMYFUNCTION("""COMPUTED_VALUE"""),"TAA3404")</f>
        <v>TAA3404</v>
      </c>
      <c r="C255">
        <f>IFERROR(__xludf.DUMMYFUNCTION("""COMPUTED_VALUE"""),1005759.0)</f>
        <v>1005759</v>
      </c>
      <c r="D255" t="str">
        <f>IFERROR(__xludf.DUMMYFUNCTION("""COMPUTED_VALUE"""),"Ms.")</f>
        <v>Ms.</v>
      </c>
      <c r="E255" t="str">
        <f>IFERROR(__xludf.DUMMYFUNCTION("""COMPUTED_VALUE"""),"Nirinya (Nilubon)")</f>
        <v>Nirinya (Nilubon)</v>
      </c>
      <c r="F255" t="str">
        <f>IFERROR(__xludf.DUMMYFUNCTION("""COMPUTED_VALUE"""),"Arunthanakulphat (Samlee)")</f>
        <v>Arunthanakulphat (Samlee)</v>
      </c>
      <c r="G255" t="str">
        <f>IFERROR(__xludf.DUMMYFUNCTION("""COMPUTED_VALUE"""),"Nirinya Arunthanakulphat")</f>
        <v>Nirinya Arunthanakulphat</v>
      </c>
      <c r="H255" t="str">
        <f>IFERROR(__xludf.DUMMYFUNCTION("""COMPUTED_VALUE"""),"นางสาว")</f>
        <v>นางสาว</v>
      </c>
      <c r="I255" t="str">
        <f>IFERROR(__xludf.DUMMYFUNCTION("""COMPUTED_VALUE"""),"ณิรินทร์ญา (นิลุบล)")</f>
        <v>ณิรินทร์ญา (นิลุบล)</v>
      </c>
      <c r="J255" t="str">
        <f>IFERROR(__xludf.DUMMYFUNCTION("""COMPUTED_VALUE"""),"อรุณธนะกุลพัทธ์ (สำลี)")</f>
        <v>อรุณธนะกุลพัทธ์ (สำลี)</v>
      </c>
      <c r="K255" t="str">
        <f>IFERROR(__xludf.DUMMYFUNCTION("""COMPUTED_VALUE"""),"ณิรินทร์ญา อรุณธนะกุลพัทธ์ ")</f>
        <v>ณิรินทร์ญา อรุณธนะกุลพัทธ์ </v>
      </c>
      <c r="L255" t="str">
        <f>IFERROR(__xludf.DUMMYFUNCTION("""COMPUTED_VALUE"""),"แนน")</f>
        <v>แนน</v>
      </c>
      <c r="M255" t="str">
        <f>IFERROR(__xludf.DUMMYFUNCTION("""COMPUTED_VALUE"""),"Senior Cabin Crew")</f>
        <v>Senior Cabin Crew</v>
      </c>
      <c r="N255" t="str">
        <f>IFERROR(__xludf.DUMMYFUNCTION("""COMPUTED_VALUE"""),"DMK")</f>
        <v>DMK</v>
      </c>
      <c r="O255" s="145" t="str">
        <f>IFERROR(__xludf.DUMMYFUNCTION("""COMPUTED_VALUE"""),"Toffy Home")</f>
        <v>Toffy Home</v>
      </c>
      <c r="P255" t="str">
        <f>IFERROR(__xludf.DUMMYFUNCTION("""COMPUTED_VALUE"""),"Active")</f>
        <v>Active</v>
      </c>
      <c r="R255" s="143">
        <f>IFERROR(__xludf.DUMMYFUNCTION("""COMPUTED_VALUE"""),32376.0)</f>
        <v>32376</v>
      </c>
      <c r="S255" s="146" t="str">
        <f>IFERROR(__xludf.DUMMYFUNCTION("""COMPUTED_VALUE"""),"080-692-6966")</f>
        <v>080-692-6966</v>
      </c>
      <c r="T255" s="147" t="str">
        <f>IFERROR(__xludf.DUMMYFUNCTION("""COMPUTED_VALUE"""),"13501-00132-494")</f>
        <v>13501-00132-494</v>
      </c>
      <c r="U255" t="str">
        <f>IFERROR(__xludf.DUMMYFUNCTION("""COMPUTED_VALUE"""),"AC8035821")</f>
        <v>AC8035821</v>
      </c>
      <c r="V255" s="148">
        <f>IFERROR(__xludf.DUMMYFUNCTION("""COMPUTED_VALUE"""),45706.0)</f>
        <v>45706</v>
      </c>
      <c r="W255" s="148">
        <f>IFERROR(__xludf.DUMMYFUNCTION("""COMPUTED_VALUE"""),49357.0)</f>
        <v>49357</v>
      </c>
      <c r="X255" s="149">
        <f>IFERROR(__xludf.DUMMYFUNCTION("""COMPUTED_VALUE"""),49173.0)</f>
        <v>49173</v>
      </c>
      <c r="Y255" t="str">
        <f>IFERROR(__xludf.DUMMYFUNCTION("""COMPUTED_VALUE"""),"ปลอดภัย")</f>
        <v>ปลอดภัย</v>
      </c>
      <c r="Z255" t="str">
        <f>IFERROR(__xludf.DUMMYFUNCTION("""COMPUTED_VALUE"""),"Yasothon Province")</f>
        <v>Yasothon Province</v>
      </c>
      <c r="AA255" t="str">
        <f>IFERROR(__xludf.DUMMYFUNCTION("""COMPUTED_VALUE"""),"Bangkok")</f>
        <v>Bangkok</v>
      </c>
      <c r="AD255" t="str">
        <f>IFERROR(__xludf.DUMMYFUNCTION("""COMPUTED_VALUE"""),"nirinyaa@airasia.com")</f>
        <v>nirinyaa@airasia.com</v>
      </c>
    </row>
    <row r="256">
      <c r="A256" s="142">
        <f>IFERROR(__xludf.DUMMYFUNCTION("""COMPUTED_VALUE"""),43.0)</f>
        <v>43</v>
      </c>
      <c r="B256" t="str">
        <f>IFERROR(__xludf.DUMMYFUNCTION("""COMPUTED_VALUE"""),"TAA3387")</f>
        <v>TAA3387</v>
      </c>
      <c r="C256">
        <f>IFERROR(__xludf.DUMMYFUNCTION("""COMPUTED_VALUE"""),1005762.0)</f>
        <v>1005762</v>
      </c>
      <c r="D256" t="str">
        <f>IFERROR(__xludf.DUMMYFUNCTION("""COMPUTED_VALUE"""),"Mr.")</f>
        <v>Mr.</v>
      </c>
      <c r="E256" t="str">
        <f>IFERROR(__xludf.DUMMYFUNCTION("""COMPUTED_VALUE"""),"Photchara")</f>
        <v>Photchara</v>
      </c>
      <c r="F256" t="str">
        <f>IFERROR(__xludf.DUMMYFUNCTION("""COMPUTED_VALUE"""),"Srisuk")</f>
        <v>Srisuk</v>
      </c>
      <c r="G256" t="str">
        <f>IFERROR(__xludf.DUMMYFUNCTION("""COMPUTED_VALUE"""),"Photchara Srisuk")</f>
        <v>Photchara Srisuk</v>
      </c>
      <c r="H256" t="str">
        <f>IFERROR(__xludf.DUMMYFUNCTION("""COMPUTED_VALUE"""),"นาย")</f>
        <v>นาย</v>
      </c>
      <c r="I256" t="str">
        <f>IFERROR(__xludf.DUMMYFUNCTION("""COMPUTED_VALUE"""),"พชร")</f>
        <v>พชร</v>
      </c>
      <c r="J256" t="str">
        <f>IFERROR(__xludf.DUMMYFUNCTION("""COMPUTED_VALUE"""),"ศรีสุข")</f>
        <v>ศรีสุข</v>
      </c>
      <c r="K256" t="str">
        <f>IFERROR(__xludf.DUMMYFUNCTION("""COMPUTED_VALUE"""),"พชร ศรีสุข")</f>
        <v>พชร ศรีสุข</v>
      </c>
      <c r="L256" t="str">
        <f>IFERROR(__xludf.DUMMYFUNCTION("""COMPUTED_VALUE"""),"got")</f>
        <v>got</v>
      </c>
      <c r="M256" t="str">
        <f>IFERROR(__xludf.DUMMYFUNCTION("""COMPUTED_VALUE"""),"Senior Cabin Crew - CNX")</f>
        <v>Senior Cabin Crew - CNX</v>
      </c>
      <c r="N256" t="str">
        <f>IFERROR(__xludf.DUMMYFUNCTION("""COMPUTED_VALUE"""),"CNX")</f>
        <v>CNX</v>
      </c>
      <c r="O256" s="145" t="str">
        <f>IFERROR(__xludf.DUMMYFUNCTION("""COMPUTED_VALUE"""),"Up Home")</f>
        <v>Up Home</v>
      </c>
      <c r="P256" t="str">
        <f>IFERROR(__xludf.DUMMYFUNCTION("""COMPUTED_VALUE"""),"Active")</f>
        <v>Active</v>
      </c>
      <c r="R256" s="143">
        <f>IFERROR(__xludf.DUMMYFUNCTION("""COMPUTED_VALUE"""),31579.0)</f>
        <v>31579</v>
      </c>
      <c r="S256" s="146" t="str">
        <f>IFERROR(__xludf.DUMMYFUNCTION("""COMPUTED_VALUE"""),"095 929 2987")</f>
        <v>095 929 2987</v>
      </c>
      <c r="T256" s="147" t="str">
        <f>IFERROR(__xludf.DUMMYFUNCTION("""COMPUTED_VALUE"""),"1100-70049-2191")</f>
        <v>1100-70049-2191</v>
      </c>
      <c r="U256" t="str">
        <f>IFERROR(__xludf.DUMMYFUNCTION("""COMPUTED_VALUE"""),"AD1375332")</f>
        <v>AD1375332</v>
      </c>
      <c r="V256" s="148">
        <f>IFERROR(__xludf.DUMMYFUNCTION("""COMPUTED_VALUE"""),45371.0)</f>
        <v>45371</v>
      </c>
      <c r="W256" s="148">
        <f>IFERROR(__xludf.DUMMYFUNCTION("""COMPUTED_VALUE"""),49022.0)</f>
        <v>49022</v>
      </c>
      <c r="X256" s="149">
        <f>IFERROR(__xludf.DUMMYFUNCTION("""COMPUTED_VALUE"""),48841.0)</f>
        <v>48841</v>
      </c>
      <c r="Y256" t="str">
        <f>IFERROR(__xludf.DUMMYFUNCTION("""COMPUTED_VALUE"""),"ปลอดภัย")</f>
        <v>ปลอดภัย</v>
      </c>
      <c r="Z256" t="str">
        <f>IFERROR(__xludf.DUMMYFUNCTION("""COMPUTED_VALUE"""),"Bangkok")</f>
        <v>Bangkok</v>
      </c>
      <c r="AA256" t="str">
        <f>IFERROR(__xludf.DUMMYFUNCTION("""COMPUTED_VALUE"""),"Lamlukka")</f>
        <v>Lamlukka</v>
      </c>
      <c r="AB256" t="str">
        <f>IFERROR(__xludf.DUMMYFUNCTION("""COMPUTED_VALUE"""),"081 345 2120")</f>
        <v>081 345 2120</v>
      </c>
      <c r="AC256" t="str">
        <f>IFERROR(__xludf.DUMMYFUNCTION("""COMPUTED_VALUE"""),"Mom")</f>
        <v>Mom</v>
      </c>
      <c r="AD256" t="str">
        <f>IFERROR(__xludf.DUMMYFUNCTION("""COMPUTED_VALUE"""),"photcharas@airasia.com")</f>
        <v>photcharas@airasia.com</v>
      </c>
    </row>
    <row r="257">
      <c r="A257" s="142">
        <f>IFERROR(__xludf.DUMMYFUNCTION("""COMPUTED_VALUE"""),43.0)</f>
        <v>43</v>
      </c>
      <c r="B257" t="str">
        <f>IFERROR(__xludf.DUMMYFUNCTION("""COMPUTED_VALUE"""),"TAA3396")</f>
        <v>TAA3396</v>
      </c>
      <c r="C257">
        <f>IFERROR(__xludf.DUMMYFUNCTION("""COMPUTED_VALUE"""),1005763.0)</f>
        <v>1005763</v>
      </c>
      <c r="D257" t="str">
        <f>IFERROR(__xludf.DUMMYFUNCTION("""COMPUTED_VALUE"""),"Ms.")</f>
        <v>Ms.</v>
      </c>
      <c r="E257" t="str">
        <f>IFERROR(__xludf.DUMMYFUNCTION("""COMPUTED_VALUE"""),"Pranpriya")</f>
        <v>Pranpriya</v>
      </c>
      <c r="F257" t="str">
        <f>IFERROR(__xludf.DUMMYFUNCTION("""COMPUTED_VALUE"""),"Rujirakamolvit")</f>
        <v>Rujirakamolvit</v>
      </c>
      <c r="G257" t="str">
        <f>IFERROR(__xludf.DUMMYFUNCTION("""COMPUTED_VALUE"""),"Pranpriya Rujirakamolvit")</f>
        <v>Pranpriya Rujirakamolvit</v>
      </c>
      <c r="H257" t="str">
        <f>IFERROR(__xludf.DUMMYFUNCTION("""COMPUTED_VALUE"""),"นางสาว")</f>
        <v>นางสาว</v>
      </c>
      <c r="I257" t="str">
        <f>IFERROR(__xludf.DUMMYFUNCTION("""COMPUTED_VALUE"""),"ปราณปริยา")</f>
        <v>ปราณปริยา</v>
      </c>
      <c r="J257" t="str">
        <f>IFERROR(__xludf.DUMMYFUNCTION("""COMPUTED_VALUE"""),"รุจิระกมลวิทย์")</f>
        <v>รุจิระกมลวิทย์</v>
      </c>
      <c r="K257" t="str">
        <f>IFERROR(__xludf.DUMMYFUNCTION("""COMPUTED_VALUE"""),"ปราณปริยา รุจิระกมลวิทย์")</f>
        <v>ปราณปริยา รุจิระกมลวิทย์</v>
      </c>
      <c r="L257" t="str">
        <f>IFERROR(__xludf.DUMMYFUNCTION("""COMPUTED_VALUE"""),"มิลค์")</f>
        <v>มิลค์</v>
      </c>
      <c r="M257" t="str">
        <f>IFERROR(__xludf.DUMMYFUNCTION("""COMPUTED_VALUE"""),"Senior Cabin Crew")</f>
        <v>Senior Cabin Crew</v>
      </c>
      <c r="N257" t="str">
        <f>IFERROR(__xludf.DUMMYFUNCTION("""COMPUTED_VALUE"""),"DMK")</f>
        <v>DMK</v>
      </c>
      <c r="O257" s="145" t="str">
        <f>IFERROR(__xludf.DUMMYFUNCTION("""COMPUTED_VALUE"""),"Toffy Home")</f>
        <v>Toffy Home</v>
      </c>
      <c r="P257" t="str">
        <f>IFERROR(__xludf.DUMMYFUNCTION("""COMPUTED_VALUE"""),"Active")</f>
        <v>Active</v>
      </c>
      <c r="R257" s="143">
        <f>IFERROR(__xludf.DUMMYFUNCTION("""COMPUTED_VALUE"""),32245.0)</f>
        <v>32245</v>
      </c>
      <c r="S257" s="146" t="str">
        <f>IFERROR(__xludf.DUMMYFUNCTION("""COMPUTED_VALUE"""),"087 982 8651")</f>
        <v>087 982 8651</v>
      </c>
      <c r="T257" s="147" t="str">
        <f>IFERROR(__xludf.DUMMYFUNCTION("""COMPUTED_VALUE"""),"11-01401-293279")</f>
        <v>11-01401-293279</v>
      </c>
      <c r="U257" t="str">
        <f>IFERROR(__xludf.DUMMYFUNCTION("""COMPUTED_VALUE"""),"AC7921137")</f>
        <v>AC7921137</v>
      </c>
      <c r="V257" s="148">
        <f>IFERROR(__xludf.DUMMYFUNCTION("""COMPUTED_VALUE"""),45672.0)</f>
        <v>45672</v>
      </c>
      <c r="W257" s="148">
        <f>IFERROR(__xludf.DUMMYFUNCTION("""COMPUTED_VALUE"""),49323.0)</f>
        <v>49323</v>
      </c>
      <c r="X257" s="149">
        <f>IFERROR(__xludf.DUMMYFUNCTION("""COMPUTED_VALUE"""),49139.0)</f>
        <v>49139</v>
      </c>
      <c r="Y257" t="str">
        <f>IFERROR(__xludf.DUMMYFUNCTION("""COMPUTED_VALUE"""),"ปลอดภัย")</f>
        <v>ปลอดภัย</v>
      </c>
      <c r="Z257" t="str">
        <f>IFERROR(__xludf.DUMMYFUNCTION("""COMPUTED_VALUE"""),"Bangkok")</f>
        <v>Bangkok</v>
      </c>
      <c r="AA257" t="str">
        <f>IFERROR(__xludf.DUMMYFUNCTION("""COMPUTED_VALUE"""),"Ramkhamhang")</f>
        <v>Ramkhamhang</v>
      </c>
      <c r="AB257" t="str">
        <f>IFERROR(__xludf.DUMMYFUNCTION("""COMPUTED_VALUE"""),"081 310 9739")</f>
        <v>081 310 9739</v>
      </c>
      <c r="AC257" t="str">
        <f>IFERROR(__xludf.DUMMYFUNCTION("""COMPUTED_VALUE"""),"Ratthiya")</f>
        <v>Ratthiya</v>
      </c>
      <c r="AD257" t="str">
        <f>IFERROR(__xludf.DUMMYFUNCTION("""COMPUTED_VALUE"""),"pranpriyar@airasia.com")</f>
        <v>pranpriyar@airasia.com</v>
      </c>
    </row>
    <row r="258">
      <c r="A258" s="142">
        <f>IFERROR(__xludf.DUMMYFUNCTION("""COMPUTED_VALUE"""),43.0)</f>
        <v>43</v>
      </c>
      <c r="B258" t="str">
        <f>IFERROR(__xludf.DUMMYFUNCTION("""COMPUTED_VALUE"""),"TAA3392")</f>
        <v>TAA3392</v>
      </c>
      <c r="C258">
        <f>IFERROR(__xludf.DUMMYFUNCTION("""COMPUTED_VALUE"""),1005765.0)</f>
        <v>1005765</v>
      </c>
      <c r="D258" t="str">
        <f>IFERROR(__xludf.DUMMYFUNCTION("""COMPUTED_VALUE"""),"Ms.")</f>
        <v>Ms.</v>
      </c>
      <c r="E258" t="str">
        <f>IFERROR(__xludf.DUMMYFUNCTION("""COMPUTED_VALUE"""),"Rapeepan")</f>
        <v>Rapeepan</v>
      </c>
      <c r="F258" t="str">
        <f>IFERROR(__xludf.DUMMYFUNCTION("""COMPUTED_VALUE"""),"Ariyakul")</f>
        <v>Ariyakul</v>
      </c>
      <c r="G258" t="str">
        <f>IFERROR(__xludf.DUMMYFUNCTION("""COMPUTED_VALUE"""),"Rapeepan Ariyakul")</f>
        <v>Rapeepan Ariyakul</v>
      </c>
      <c r="H258" t="str">
        <f>IFERROR(__xludf.DUMMYFUNCTION("""COMPUTED_VALUE"""),"นางสาว")</f>
        <v>นางสาว</v>
      </c>
      <c r="I258" t="str">
        <f>IFERROR(__xludf.DUMMYFUNCTION("""COMPUTED_VALUE"""),"รพีพรรณ")</f>
        <v>รพีพรรณ</v>
      </c>
      <c r="J258" t="str">
        <f>IFERROR(__xludf.DUMMYFUNCTION("""COMPUTED_VALUE"""),"อาริยะกูล")</f>
        <v>อาริยะกูล</v>
      </c>
      <c r="K258" t="str">
        <f>IFERROR(__xludf.DUMMYFUNCTION("""COMPUTED_VALUE"""),"รพีพรรณ อาริยะกูล")</f>
        <v>รพีพรรณ อาริยะกูล</v>
      </c>
      <c r="L258" t="str">
        <f>IFERROR(__xludf.DUMMYFUNCTION("""COMPUTED_VALUE"""),"กลอย")</f>
        <v>กลอย</v>
      </c>
      <c r="M258" t="str">
        <f>IFERROR(__xludf.DUMMYFUNCTION("""COMPUTED_VALUE"""),"Cabin Crew")</f>
        <v>Cabin Crew</v>
      </c>
      <c r="N258" t="str">
        <f>IFERROR(__xludf.DUMMYFUNCTION("""COMPUTED_VALUE"""),"DMK")</f>
        <v>DMK</v>
      </c>
      <c r="O258" s="145" t="str">
        <f>IFERROR(__xludf.DUMMYFUNCTION("""COMPUTED_VALUE"""),"Toffy Home")</f>
        <v>Toffy Home</v>
      </c>
      <c r="P258" t="str">
        <f>IFERROR(__xludf.DUMMYFUNCTION("""COMPUTED_VALUE"""),"Active")</f>
        <v>Active</v>
      </c>
      <c r="R258" s="143">
        <f>IFERROR(__xludf.DUMMYFUNCTION("""COMPUTED_VALUE"""),31617.0)</f>
        <v>31617</v>
      </c>
      <c r="S258" s="146" t="str">
        <f>IFERROR(__xludf.DUMMYFUNCTION("""COMPUTED_VALUE"""),"061 569 8792")</f>
        <v>061 569 8792</v>
      </c>
      <c r="T258" s="147" t="str">
        <f>IFERROR(__xludf.DUMMYFUNCTION("""COMPUTED_VALUE"""),"15799-00127-441")</f>
        <v>15799-00127-441</v>
      </c>
      <c r="U258" t="str">
        <f>IFERROR(__xludf.DUMMYFUNCTION("""COMPUTED_VALUE"""),"AC6208335")</f>
        <v>AC6208335</v>
      </c>
      <c r="V258" s="148">
        <f>IFERROR(__xludf.DUMMYFUNCTION("""COMPUTED_VALUE"""),45295.0)</f>
        <v>45295</v>
      </c>
      <c r="W258" s="148">
        <f>IFERROR(__xludf.DUMMYFUNCTION("""COMPUTED_VALUE"""),48947.0)</f>
        <v>48947</v>
      </c>
      <c r="X258" s="149">
        <f>IFERROR(__xludf.DUMMYFUNCTION("""COMPUTED_VALUE"""),48763.0)</f>
        <v>48763</v>
      </c>
      <c r="Y258" t="str">
        <f>IFERROR(__xludf.DUMMYFUNCTION("""COMPUTED_VALUE"""),"ปลอดภัย")</f>
        <v>ปลอดภัย</v>
      </c>
      <c r="Z258" t="str">
        <f>IFERROR(__xludf.DUMMYFUNCTION("""COMPUTED_VALUE"""),"Chiang Rai Province")</f>
        <v>Chiang Rai Province</v>
      </c>
      <c r="AA258" t="str">
        <f>IFERROR(__xludf.DUMMYFUNCTION("""COMPUTED_VALUE"""),"Bangkabi")</f>
        <v>Bangkabi</v>
      </c>
      <c r="AB258" t="str">
        <f>IFERROR(__xludf.DUMMYFUNCTION("""COMPUTED_VALUE"""),"085 843 5616")</f>
        <v>085 843 5616</v>
      </c>
      <c r="AC258" t="str">
        <f>IFERROR(__xludf.DUMMYFUNCTION("""COMPUTED_VALUE"""),"sister")</f>
        <v>sister</v>
      </c>
      <c r="AD258" t="str">
        <f>IFERROR(__xludf.DUMMYFUNCTION("""COMPUTED_VALUE"""),"rapeepana@airasia.com")</f>
        <v>rapeepana@airasia.com</v>
      </c>
    </row>
    <row r="259">
      <c r="A259" s="142">
        <f>IFERROR(__xludf.DUMMYFUNCTION("""COMPUTED_VALUE"""),43.0)</f>
        <v>43</v>
      </c>
      <c r="B259" t="str">
        <f>IFERROR(__xludf.DUMMYFUNCTION("""COMPUTED_VALUE"""),"TAA3393")</f>
        <v>TAA3393</v>
      </c>
      <c r="C259">
        <f>IFERROR(__xludf.DUMMYFUNCTION("""COMPUTED_VALUE"""),1005767.0)</f>
        <v>1005767</v>
      </c>
      <c r="D259" t="str">
        <f>IFERROR(__xludf.DUMMYFUNCTION("""COMPUTED_VALUE"""),"Ms.")</f>
        <v>Ms.</v>
      </c>
      <c r="E259" t="str">
        <f>IFERROR(__xludf.DUMMYFUNCTION("""COMPUTED_VALUE"""),"Setthi-orn")</f>
        <v>Setthi-orn</v>
      </c>
      <c r="F259" t="str">
        <f>IFERROR(__xludf.DUMMYFUNCTION("""COMPUTED_VALUE"""),"Ruenroeng")</f>
        <v>Ruenroeng</v>
      </c>
      <c r="G259" t="str">
        <f>IFERROR(__xludf.DUMMYFUNCTION("""COMPUTED_VALUE"""),"Setthi-orn Ruenroeng")</f>
        <v>Setthi-orn Ruenroeng</v>
      </c>
      <c r="H259" t="str">
        <f>IFERROR(__xludf.DUMMYFUNCTION("""COMPUTED_VALUE"""),"นางสาว")</f>
        <v>นางสาว</v>
      </c>
      <c r="I259" t="str">
        <f>IFERROR(__xludf.DUMMYFUNCTION("""COMPUTED_VALUE"""),"เศรษฐีอร")</f>
        <v>เศรษฐีอร</v>
      </c>
      <c r="J259" t="str">
        <f>IFERROR(__xludf.DUMMYFUNCTION("""COMPUTED_VALUE"""),"รื่นเริง")</f>
        <v>รื่นเริง</v>
      </c>
      <c r="K259" t="str">
        <f>IFERROR(__xludf.DUMMYFUNCTION("""COMPUTED_VALUE"""),"เศรษฐีอร รื่นเริง")</f>
        <v>เศรษฐีอร รื่นเริง</v>
      </c>
      <c r="L259" t="str">
        <f>IFERROR(__xludf.DUMMYFUNCTION("""COMPUTED_VALUE"""),"พลอย")</f>
        <v>พลอย</v>
      </c>
      <c r="M259" t="str">
        <f>IFERROR(__xludf.DUMMYFUNCTION("""COMPUTED_VALUE"""),"Cabin Crew")</f>
        <v>Cabin Crew</v>
      </c>
      <c r="N259" t="str">
        <f>IFERROR(__xludf.DUMMYFUNCTION("""COMPUTED_VALUE"""),"DMK")</f>
        <v>DMK</v>
      </c>
      <c r="O259" s="145" t="str">
        <f>IFERROR(__xludf.DUMMYFUNCTION("""COMPUTED_VALUE"""),"Um Home")</f>
        <v>Um Home</v>
      </c>
      <c r="P259" t="str">
        <f>IFERROR(__xludf.DUMMYFUNCTION("""COMPUTED_VALUE"""),"Active")</f>
        <v>Active</v>
      </c>
      <c r="Q259" t="str">
        <f>IFERROR(__xludf.DUMMYFUNCTION("""COMPUTED_VALUE"""),"Chinese Speaking")</f>
        <v>Chinese Speaking</v>
      </c>
      <c r="R259" s="143">
        <f>IFERROR(__xludf.DUMMYFUNCTION("""COMPUTED_VALUE"""),30924.0)</f>
        <v>30924</v>
      </c>
      <c r="S259" s="146" t="str">
        <f>IFERROR(__xludf.DUMMYFUNCTION("""COMPUTED_VALUE"""),"084 164 4596")</f>
        <v>084 164 4596</v>
      </c>
      <c r="T259" s="147" t="str">
        <f>IFERROR(__xludf.DUMMYFUNCTION("""COMPUTED_VALUE"""),"11007001-06-453")</f>
        <v>11007001-06-453</v>
      </c>
      <c r="U259" t="str">
        <f>IFERROR(__xludf.DUMMYFUNCTION("""COMPUTED_VALUE"""),"AC7590568")</f>
        <v>AC7590568</v>
      </c>
      <c r="V259" s="148">
        <f>IFERROR(__xludf.DUMMYFUNCTION("""COMPUTED_VALUE"""),45580.0)</f>
        <v>45580</v>
      </c>
      <c r="W259" s="150">
        <f>IFERROR(__xludf.DUMMYFUNCTION("""COMPUTED_VALUE"""),49231.0)</f>
        <v>49231</v>
      </c>
      <c r="X259" s="149">
        <f>IFERROR(__xludf.DUMMYFUNCTION("""COMPUTED_VALUE"""),49048.0)</f>
        <v>49048</v>
      </c>
      <c r="Y259" t="str">
        <f>IFERROR(__xludf.DUMMYFUNCTION("""COMPUTED_VALUE"""),"ปลอดภัย")</f>
        <v>ปลอดภัย</v>
      </c>
      <c r="Z259" t="str">
        <f>IFERROR(__xludf.DUMMYFUNCTION("""COMPUTED_VALUE"""),"Bangkok")</f>
        <v>Bangkok</v>
      </c>
      <c r="AA259" t="str">
        <f>IFERROR(__xludf.DUMMYFUNCTION("""COMPUTED_VALUE"""),"ประชาอุทิศ")</f>
        <v>ประชาอุทิศ</v>
      </c>
      <c r="AB259" t="str">
        <f>IFERROR(__xludf.DUMMYFUNCTION("""COMPUTED_VALUE"""),"081 904 8492")</f>
        <v>081 904 8492</v>
      </c>
      <c r="AC259" t="str">
        <f>IFERROR(__xludf.DUMMYFUNCTION("""COMPUTED_VALUE"""),"พ่อ")</f>
        <v>พ่อ</v>
      </c>
      <c r="AD259" t="str">
        <f>IFERROR(__xludf.DUMMYFUNCTION("""COMPUTED_VALUE"""),"setthiornr@airasia.com")</f>
        <v>setthiornr@airasia.com</v>
      </c>
    </row>
    <row r="260">
      <c r="A260" s="142">
        <f>IFERROR(__xludf.DUMMYFUNCTION("""COMPUTED_VALUE"""),43.0)</f>
        <v>43</v>
      </c>
      <c r="B260" t="str">
        <f>IFERROR(__xludf.DUMMYFUNCTION("""COMPUTED_VALUE"""),"TAA3403")</f>
        <v>TAA3403</v>
      </c>
      <c r="C260">
        <f>IFERROR(__xludf.DUMMYFUNCTION("""COMPUTED_VALUE"""),1005769.0)</f>
        <v>1005769</v>
      </c>
      <c r="D260" t="str">
        <f>IFERROR(__xludf.DUMMYFUNCTION("""COMPUTED_VALUE"""),"Ms.")</f>
        <v>Ms.</v>
      </c>
      <c r="E260" t="str">
        <f>IFERROR(__xludf.DUMMYFUNCTION("""COMPUTED_VALUE"""),"Thanicha")</f>
        <v>Thanicha</v>
      </c>
      <c r="F260" t="str">
        <f>IFERROR(__xludf.DUMMYFUNCTION("""COMPUTED_VALUE"""),"Noodee")</f>
        <v>Noodee</v>
      </c>
      <c r="G260" t="str">
        <f>IFERROR(__xludf.DUMMYFUNCTION("""COMPUTED_VALUE"""),"Thanicha Noodee")</f>
        <v>Thanicha Noodee</v>
      </c>
      <c r="H260" t="str">
        <f>IFERROR(__xludf.DUMMYFUNCTION("""COMPUTED_VALUE"""),"นางสาว")</f>
        <v>นางสาว</v>
      </c>
      <c r="I260" t="str">
        <f>IFERROR(__xludf.DUMMYFUNCTION("""COMPUTED_VALUE"""),"ธนิชา")</f>
        <v>ธนิชา</v>
      </c>
      <c r="J260" t="str">
        <f>IFERROR(__xludf.DUMMYFUNCTION("""COMPUTED_VALUE"""),"หนูดี")</f>
        <v>หนูดี</v>
      </c>
      <c r="K260" t="str">
        <f>IFERROR(__xludf.DUMMYFUNCTION("""COMPUTED_VALUE"""),"ธนิชา หนูดี")</f>
        <v>ธนิชา หนูดี</v>
      </c>
      <c r="L260" t="str">
        <f>IFERROR(__xludf.DUMMYFUNCTION("""COMPUTED_VALUE"""),"Toffy")</f>
        <v>Toffy</v>
      </c>
      <c r="M260" t="str">
        <f>IFERROR(__xludf.DUMMYFUNCTION("""COMPUTED_VALUE"""),"Cabin Crew")</f>
        <v>Cabin Crew</v>
      </c>
      <c r="N260" t="str">
        <f>IFERROR(__xludf.DUMMYFUNCTION("""COMPUTED_VALUE"""),"DMK")</f>
        <v>DMK</v>
      </c>
      <c r="O260" s="145" t="str">
        <f>IFERROR(__xludf.DUMMYFUNCTION("""COMPUTED_VALUE"""),"Kor Home")</f>
        <v>Kor Home</v>
      </c>
      <c r="P260" t="str">
        <f>IFERROR(__xludf.DUMMYFUNCTION("""COMPUTED_VALUE"""),"V/LWP")</f>
        <v>V/LWP</v>
      </c>
      <c r="R260" s="143">
        <f>IFERROR(__xludf.DUMMYFUNCTION("""COMPUTED_VALUE"""),32619.0)</f>
        <v>32619</v>
      </c>
      <c r="S260" s="146" t="str">
        <f>IFERROR(__xludf.DUMMYFUNCTION("""COMPUTED_VALUE"""),"064-265-4246")</f>
        <v>064-265-4246</v>
      </c>
      <c r="T260" s="147" t="str">
        <f>IFERROR(__xludf.DUMMYFUNCTION("""COMPUTED_VALUE"""),"110070-0994260")</f>
        <v>110070-0994260</v>
      </c>
      <c r="U260" t="str">
        <f>IFERROR(__xludf.DUMMYFUNCTION("""COMPUTED_VALUE"""),"AD2466804")</f>
        <v>AD2466804</v>
      </c>
      <c r="V260" s="148">
        <f>IFERROR(__xludf.DUMMYFUNCTION("""COMPUTED_VALUE"""),45936.0)</f>
        <v>45936</v>
      </c>
      <c r="W260" s="148">
        <f>IFERROR(__xludf.DUMMYFUNCTION("""COMPUTED_VALUE"""),49587.0)</f>
        <v>49587</v>
      </c>
      <c r="X260" s="149">
        <f>IFERROR(__xludf.DUMMYFUNCTION("""COMPUTED_VALUE"""),49404.0)</f>
        <v>49404</v>
      </c>
      <c r="Y260" t="str">
        <f>IFERROR(__xludf.DUMMYFUNCTION("""COMPUTED_VALUE"""),"ปลอดภัย")</f>
        <v>ปลอดภัย</v>
      </c>
      <c r="Z260" t="str">
        <f>IFERROR(__xludf.DUMMYFUNCTION("""COMPUTED_VALUE"""),"Bangkok")</f>
        <v>Bangkok</v>
      </c>
      <c r="AA260" t="str">
        <f>IFERROR(__xludf.DUMMYFUNCTION("""COMPUTED_VALUE"""),"Phakkred")</f>
        <v>Phakkred</v>
      </c>
      <c r="AB260" t="str">
        <f>IFERROR(__xludf.DUMMYFUNCTION("""COMPUTED_VALUE"""),"085 127 2202")</f>
        <v>085 127 2202</v>
      </c>
      <c r="AC260" t="str">
        <f>IFERROR(__xludf.DUMMYFUNCTION("""COMPUTED_VALUE"""),"Sister")</f>
        <v>Sister</v>
      </c>
      <c r="AD260" t="str">
        <f>IFERROR(__xludf.DUMMYFUNCTION("""COMPUTED_VALUE"""),"thanichan@airasia.com")</f>
        <v>thanichan@airasia.com</v>
      </c>
    </row>
    <row r="261">
      <c r="A261" s="142">
        <f>IFERROR(__xludf.DUMMYFUNCTION("""COMPUTED_VALUE"""),43.0)</f>
        <v>43</v>
      </c>
      <c r="B261" t="str">
        <f>IFERROR(__xludf.DUMMYFUNCTION("""COMPUTED_VALUE"""),"TAA3388")</f>
        <v>TAA3388</v>
      </c>
      <c r="C261">
        <f>IFERROR(__xludf.DUMMYFUNCTION("""COMPUTED_VALUE"""),1005773.0)</f>
        <v>1005773</v>
      </c>
      <c r="D261" t="str">
        <f>IFERROR(__xludf.DUMMYFUNCTION("""COMPUTED_VALUE"""),"Mr.")</f>
        <v>Mr.</v>
      </c>
      <c r="E261" t="str">
        <f>IFERROR(__xludf.DUMMYFUNCTION("""COMPUTED_VALUE"""),"Wipoj")</f>
        <v>Wipoj</v>
      </c>
      <c r="F261" t="str">
        <f>IFERROR(__xludf.DUMMYFUNCTION("""COMPUTED_VALUE"""),"Sinsomboon")</f>
        <v>Sinsomboon</v>
      </c>
      <c r="G261" t="str">
        <f>IFERROR(__xludf.DUMMYFUNCTION("""COMPUTED_VALUE"""),"Wipoj Sinsomboon")</f>
        <v>Wipoj Sinsomboon</v>
      </c>
      <c r="H261" t="str">
        <f>IFERROR(__xludf.DUMMYFUNCTION("""COMPUTED_VALUE"""),"นาย")</f>
        <v>นาย</v>
      </c>
      <c r="I261" t="str">
        <f>IFERROR(__xludf.DUMMYFUNCTION("""COMPUTED_VALUE"""),"วิพจน์")</f>
        <v>วิพจน์</v>
      </c>
      <c r="J261" t="str">
        <f>IFERROR(__xludf.DUMMYFUNCTION("""COMPUTED_VALUE"""),"สินสมบูรณ์")</f>
        <v>สินสมบูรณ์</v>
      </c>
      <c r="K261" t="str">
        <f>IFERROR(__xludf.DUMMYFUNCTION("""COMPUTED_VALUE"""),"วิพจน์ สินสมบูรณ์")</f>
        <v>วิพจน์ สินสมบูรณ์</v>
      </c>
      <c r="L261" t="str">
        <f>IFERROR(__xludf.DUMMYFUNCTION("""COMPUTED_VALUE"""),"เปา")</f>
        <v>เปา</v>
      </c>
      <c r="M261" t="str">
        <f>IFERROR(__xludf.DUMMYFUNCTION("""COMPUTED_VALUE"""),"Cabin Crew Engagement Lead")</f>
        <v>Cabin Crew Engagement Lead</v>
      </c>
      <c r="N261" t="str">
        <f>IFERROR(__xludf.DUMMYFUNCTION("""COMPUTED_VALUE"""),"DMK")</f>
        <v>DMK</v>
      </c>
      <c r="O261" s="145" t="str">
        <f>IFERROR(__xludf.DUMMYFUNCTION("""COMPUTED_VALUE"""),"CCD")</f>
        <v>CCD</v>
      </c>
      <c r="P261" t="str">
        <f>IFERROR(__xludf.DUMMYFUNCTION("""COMPUTED_VALUE"""),"CCEL")</f>
        <v>CCEL</v>
      </c>
      <c r="R261" s="143">
        <f>IFERROR(__xludf.DUMMYFUNCTION("""COMPUTED_VALUE"""),32364.0)</f>
        <v>32364</v>
      </c>
      <c r="S261" s="146" t="str">
        <f>IFERROR(__xludf.DUMMYFUNCTION("""COMPUTED_VALUE"""),"086 7878092")</f>
        <v>086 7878092</v>
      </c>
      <c r="T261" s="147" t="str">
        <f>IFERROR(__xludf.DUMMYFUNCTION("""COMPUTED_VALUE"""),"11014-01383-847")</f>
        <v>11014-01383-847</v>
      </c>
      <c r="U261" t="str">
        <f>IFERROR(__xludf.DUMMYFUNCTION("""COMPUTED_VALUE"""),"AD2182775")</f>
        <v>AD2182775</v>
      </c>
      <c r="V261" s="148">
        <f>IFERROR(__xludf.DUMMYFUNCTION("""COMPUTED_VALUE"""),45785.0)</f>
        <v>45785</v>
      </c>
      <c r="W261" s="148">
        <f>IFERROR(__xludf.DUMMYFUNCTION("""COMPUTED_VALUE"""),49436.0)</f>
        <v>49436</v>
      </c>
      <c r="X261" s="149">
        <f>IFERROR(__xludf.DUMMYFUNCTION("""COMPUTED_VALUE"""),49255.0)</f>
        <v>49255</v>
      </c>
      <c r="Y261" t="str">
        <f>IFERROR(__xludf.DUMMYFUNCTION("""COMPUTED_VALUE"""),"ปลอดภัย")</f>
        <v>ปลอดภัย</v>
      </c>
      <c r="Z261" t="str">
        <f>IFERROR(__xludf.DUMMYFUNCTION("""COMPUTED_VALUE"""),"Bangkok")</f>
        <v>Bangkok</v>
      </c>
      <c r="AA261" t="str">
        <f>IFERROR(__xludf.DUMMYFUNCTION("""COMPUTED_VALUE"""),"Nonthaburi")</f>
        <v>Nonthaburi</v>
      </c>
      <c r="AB261" t="str">
        <f>IFERROR(__xludf.DUMMYFUNCTION("""COMPUTED_VALUE"""),"081 774 4672")</f>
        <v>081 774 4672</v>
      </c>
      <c r="AC261" t="str">
        <f>IFERROR(__xludf.DUMMYFUNCTION("""COMPUTED_VALUE"""),"Dad")</f>
        <v>Dad</v>
      </c>
      <c r="AD261" t="str">
        <f>IFERROR(__xludf.DUMMYFUNCTION("""COMPUTED_VALUE"""),"wipojs@airasia.com")</f>
        <v>wipojs@airasia.com</v>
      </c>
    </row>
    <row r="262">
      <c r="AD262" t="str">
        <f>IFERROR(__xludf.DUMMYFUNCTION("""COMPUTED_VALUE"""),"")</f>
        <v/>
      </c>
    </row>
    <row r="263">
      <c r="A263" s="142">
        <f>IFERROR(__xludf.DUMMYFUNCTION("""COMPUTED_VALUE"""),44.0)</f>
        <v>44</v>
      </c>
      <c r="B263" t="str">
        <f>IFERROR(__xludf.DUMMYFUNCTION("""COMPUTED_VALUE"""),"TAA3442")</f>
        <v>TAA3442</v>
      </c>
      <c r="C263">
        <f>IFERROR(__xludf.DUMMYFUNCTION("""COMPUTED_VALUE"""),1005802.0)</f>
        <v>1005802</v>
      </c>
      <c r="D263" t="str">
        <f>IFERROR(__xludf.DUMMYFUNCTION("""COMPUTED_VALUE"""),"Ms.")</f>
        <v>Ms.</v>
      </c>
      <c r="E263" t="str">
        <f>IFERROR(__xludf.DUMMYFUNCTION("""COMPUTED_VALUE"""),"Jaruwan")</f>
        <v>Jaruwan</v>
      </c>
      <c r="F263" t="str">
        <f>IFERROR(__xludf.DUMMYFUNCTION("""COMPUTED_VALUE"""),"Jarungpirawong")</f>
        <v>Jarungpirawong</v>
      </c>
      <c r="G263" t="str">
        <f>IFERROR(__xludf.DUMMYFUNCTION("""COMPUTED_VALUE"""),"Jaruwan Jarungpirawong")</f>
        <v>Jaruwan Jarungpirawong</v>
      </c>
      <c r="H263" t="str">
        <f>IFERROR(__xludf.DUMMYFUNCTION("""COMPUTED_VALUE"""),"นางสาว")</f>
        <v>นางสาว</v>
      </c>
      <c r="I263" t="str">
        <f>IFERROR(__xludf.DUMMYFUNCTION("""COMPUTED_VALUE"""),"จารุวรรณ")</f>
        <v>จารุวรรณ</v>
      </c>
      <c r="J263" t="str">
        <f>IFERROR(__xludf.DUMMYFUNCTION("""COMPUTED_VALUE"""),"จรุงพิรวงศ์")</f>
        <v>จรุงพิรวงศ์</v>
      </c>
      <c r="K263" t="str">
        <f>IFERROR(__xludf.DUMMYFUNCTION("""COMPUTED_VALUE"""),"จารุวรรณ จรุงพิรวงศ์")</f>
        <v>จารุวรรณ จรุงพิรวงศ์</v>
      </c>
      <c r="L263" t="str">
        <f>IFERROR(__xludf.DUMMYFUNCTION("""COMPUTED_VALUE"""),"บี")</f>
        <v>บี</v>
      </c>
      <c r="M263" t="str">
        <f>IFERROR(__xludf.DUMMYFUNCTION("""COMPUTED_VALUE"""),"Cabin Crew - BKK")</f>
        <v>Cabin Crew - BKK</v>
      </c>
      <c r="N263" t="str">
        <f>IFERROR(__xludf.DUMMYFUNCTION("""COMPUTED_VALUE"""),"BKK")</f>
        <v>BKK</v>
      </c>
      <c r="O263" s="145" t="str">
        <f>IFERROR(__xludf.DUMMYFUNCTION("""COMPUTED_VALUE"""),"Nhui Home")</f>
        <v>Nhui Home</v>
      </c>
      <c r="P263" t="str">
        <f>IFERROR(__xludf.DUMMYFUNCTION("""COMPUTED_VALUE"""),"Active/V/DMK")</f>
        <v>Active/V/DMK</v>
      </c>
      <c r="R263" s="143">
        <f>IFERROR(__xludf.DUMMYFUNCTION("""COMPUTED_VALUE"""),30964.0)</f>
        <v>30964</v>
      </c>
      <c r="S263" s="146" t="str">
        <f>IFERROR(__xludf.DUMMYFUNCTION("""COMPUTED_VALUE"""),"084 024 1645")</f>
        <v>084 024 1645</v>
      </c>
      <c r="T263" s="147" t="str">
        <f>IFERROR(__xludf.DUMMYFUNCTION("""COMPUTED_VALUE"""),"11014-0026-8190")</f>
        <v>11014-0026-8190</v>
      </c>
      <c r="U263" t="str">
        <f>IFERROR(__xludf.DUMMYFUNCTION("""COMPUTED_VALUE"""),"AC6188957")</f>
        <v>AC6188957</v>
      </c>
      <c r="V263" s="148">
        <f>IFERROR(__xludf.DUMMYFUNCTION("""COMPUTED_VALUE"""),45272.0)</f>
        <v>45272</v>
      </c>
      <c r="W263" s="148">
        <f>IFERROR(__xludf.DUMMYFUNCTION("""COMPUTED_VALUE"""),48924.0)</f>
        <v>48924</v>
      </c>
      <c r="X263" s="149">
        <f>IFERROR(__xludf.DUMMYFUNCTION("""COMPUTED_VALUE"""),48741.0)</f>
        <v>48741</v>
      </c>
      <c r="Y263" t="str">
        <f>IFERROR(__xludf.DUMMYFUNCTION("""COMPUTED_VALUE"""),"ปลอดภัย")</f>
        <v>ปลอดภัย</v>
      </c>
      <c r="Z263" t="str">
        <f>IFERROR(__xludf.DUMMYFUNCTION("""COMPUTED_VALUE"""),"Bangkok")</f>
        <v>Bangkok</v>
      </c>
      <c r="AA263" t="str">
        <f>IFERROR(__xludf.DUMMYFUNCTION("""COMPUTED_VALUE"""),"Nonthaburi")</f>
        <v>Nonthaburi</v>
      </c>
      <c r="AB263" t="str">
        <f>IFERROR(__xludf.DUMMYFUNCTION("""COMPUTED_VALUE"""),"086 813 7585")</f>
        <v>086 813 7585</v>
      </c>
      <c r="AC263" t="str">
        <f>IFERROR(__xludf.DUMMYFUNCTION("""COMPUTED_VALUE"""),"Thongpan")</f>
        <v>Thongpan</v>
      </c>
      <c r="AD263" t="str">
        <f>IFERROR(__xludf.DUMMYFUNCTION("""COMPUTED_VALUE"""),"jaruwanj@airasia.com")</f>
        <v>jaruwanj@airasia.com</v>
      </c>
    </row>
    <row r="264">
      <c r="A264" s="142">
        <f>IFERROR(__xludf.DUMMYFUNCTION("""COMPUTED_VALUE"""),44.0)</f>
        <v>44</v>
      </c>
      <c r="B264" t="str">
        <f>IFERROR(__xludf.DUMMYFUNCTION("""COMPUTED_VALUE"""),"TAA3441")</f>
        <v>TAA3441</v>
      </c>
      <c r="C264">
        <f>IFERROR(__xludf.DUMMYFUNCTION("""COMPUTED_VALUE"""),1005803.0)</f>
        <v>1005803</v>
      </c>
      <c r="D264" t="str">
        <f>IFERROR(__xludf.DUMMYFUNCTION("""COMPUTED_VALUE"""),"Ms.")</f>
        <v>Ms.</v>
      </c>
      <c r="E264" t="str">
        <f>IFERROR(__xludf.DUMMYFUNCTION("""COMPUTED_VALUE"""),"Kornkanok")</f>
        <v>Kornkanok</v>
      </c>
      <c r="F264" t="str">
        <f>IFERROR(__xludf.DUMMYFUNCTION("""COMPUTED_VALUE"""),"Kollasut")</f>
        <v>Kollasut</v>
      </c>
      <c r="G264" t="str">
        <f>IFERROR(__xludf.DUMMYFUNCTION("""COMPUTED_VALUE"""),"Kornkanok Kollasut")</f>
        <v>Kornkanok Kollasut</v>
      </c>
      <c r="H264" t="str">
        <f>IFERROR(__xludf.DUMMYFUNCTION("""COMPUTED_VALUE"""),"นางสาว")</f>
        <v>นางสาว</v>
      </c>
      <c r="I264" t="str">
        <f>IFERROR(__xludf.DUMMYFUNCTION("""COMPUTED_VALUE"""),"กรกนก")</f>
        <v>กรกนก</v>
      </c>
      <c r="J264" t="str">
        <f>IFERROR(__xludf.DUMMYFUNCTION("""COMPUTED_VALUE"""),"โกลละสุต")</f>
        <v>โกลละสุต</v>
      </c>
      <c r="K264" t="str">
        <f>IFERROR(__xludf.DUMMYFUNCTION("""COMPUTED_VALUE"""),"กรกนก โกลละสุต")</f>
        <v>กรกนก โกลละสุต</v>
      </c>
      <c r="L264" t="str">
        <f>IFERROR(__xludf.DUMMYFUNCTION("""COMPUTED_VALUE"""),"ลูกแก้ว")</f>
        <v>ลูกแก้ว</v>
      </c>
      <c r="M264" t="str">
        <f>IFERROR(__xludf.DUMMYFUNCTION("""COMPUTED_VALUE"""),"Senior Cabin Crew")</f>
        <v>Senior Cabin Crew</v>
      </c>
      <c r="N264" t="str">
        <f>IFERROR(__xludf.DUMMYFUNCTION("""COMPUTED_VALUE"""),"DMK")</f>
        <v>DMK</v>
      </c>
      <c r="O264" s="145" t="str">
        <f>IFERROR(__xludf.DUMMYFUNCTION("""COMPUTED_VALUE"""),"Kor Home")</f>
        <v>Kor Home</v>
      </c>
      <c r="P264" t="str">
        <f>IFERROR(__xludf.DUMMYFUNCTION("""COMPUTED_VALUE"""),"Active")</f>
        <v>Active</v>
      </c>
      <c r="R264" s="143">
        <f>IFERROR(__xludf.DUMMYFUNCTION("""COMPUTED_VALUE"""),30753.0)</f>
        <v>30753</v>
      </c>
      <c r="S264" s="146" t="str">
        <f>IFERROR(__xludf.DUMMYFUNCTION("""COMPUTED_VALUE"""),"082 364 5365")</f>
        <v>082 364 5365</v>
      </c>
      <c r="T264" s="147" t="str">
        <f>IFERROR(__xludf.DUMMYFUNCTION("""COMPUTED_VALUE"""),"11017-0000-2705")</f>
        <v>11017-0000-2705</v>
      </c>
      <c r="U264" t="str">
        <f>IFERROR(__xludf.DUMMYFUNCTION("""COMPUTED_VALUE"""),"AC4428528")</f>
        <v>AC4428528</v>
      </c>
      <c r="V264" s="148">
        <f>IFERROR(__xludf.DUMMYFUNCTION("""COMPUTED_VALUE"""),44958.0)</f>
        <v>44958</v>
      </c>
      <c r="W264" s="148">
        <f>IFERROR(__xludf.DUMMYFUNCTION("""COMPUTED_VALUE"""),48610.0)</f>
        <v>48610</v>
      </c>
      <c r="X264" s="149">
        <f>IFERROR(__xludf.DUMMYFUNCTION("""COMPUTED_VALUE"""),48426.0)</f>
        <v>48426</v>
      </c>
      <c r="Y264" t="str">
        <f>IFERROR(__xludf.DUMMYFUNCTION("""COMPUTED_VALUE"""),"ปลอดภัย")</f>
        <v>ปลอดภัย</v>
      </c>
      <c r="Z264" t="str">
        <f>IFERROR(__xludf.DUMMYFUNCTION("""COMPUTED_VALUE"""),"Bangkok")</f>
        <v>Bangkok</v>
      </c>
      <c r="AA264" t="str">
        <f>IFERROR(__xludf.DUMMYFUNCTION("""COMPUTED_VALUE"""),"Suanluang")</f>
        <v>Suanluang</v>
      </c>
      <c r="AB264" t="str">
        <f>IFERROR(__xludf.DUMMYFUNCTION("""COMPUTED_VALUE"""),"084 099 0270")</f>
        <v>084 099 0270</v>
      </c>
      <c r="AC264" t="str">
        <f>IFERROR(__xludf.DUMMYFUNCTION("""COMPUTED_VALUE"""),"Tanakrit")</f>
        <v>Tanakrit</v>
      </c>
      <c r="AD264" t="str">
        <f>IFERROR(__xludf.DUMMYFUNCTION("""COMPUTED_VALUE"""),"kornkanokk@airasia.com")</f>
        <v>kornkanokk@airasia.com</v>
      </c>
    </row>
    <row r="265">
      <c r="A265" s="142">
        <f>IFERROR(__xludf.DUMMYFUNCTION("""COMPUTED_VALUE"""),44.0)</f>
        <v>44</v>
      </c>
      <c r="B265" t="str">
        <f>IFERROR(__xludf.DUMMYFUNCTION("""COMPUTED_VALUE"""),"TAA3400")</f>
        <v>TAA3400</v>
      </c>
      <c r="C265">
        <f>IFERROR(__xludf.DUMMYFUNCTION("""COMPUTED_VALUE"""),1005805.0)</f>
        <v>1005805</v>
      </c>
      <c r="D265" t="str">
        <f>IFERROR(__xludf.DUMMYFUNCTION("""COMPUTED_VALUE"""),"Ms.")</f>
        <v>Ms.</v>
      </c>
      <c r="E265" t="str">
        <f>IFERROR(__xludf.DUMMYFUNCTION("""COMPUTED_VALUE"""),"Kunaporn")</f>
        <v>Kunaporn</v>
      </c>
      <c r="F265" t="str">
        <f>IFERROR(__xludf.DUMMYFUNCTION("""COMPUTED_VALUE"""),"Rittichart")</f>
        <v>Rittichart</v>
      </c>
      <c r="G265" t="str">
        <f>IFERROR(__xludf.DUMMYFUNCTION("""COMPUTED_VALUE"""),"Kunaporn Rittichart")</f>
        <v>Kunaporn Rittichart</v>
      </c>
      <c r="H265" t="str">
        <f>IFERROR(__xludf.DUMMYFUNCTION("""COMPUTED_VALUE"""),"นางสาว")</f>
        <v>นางสาว</v>
      </c>
      <c r="I265" t="str">
        <f>IFERROR(__xludf.DUMMYFUNCTION("""COMPUTED_VALUE"""),"คุณาภรณ์")</f>
        <v>คุณาภรณ์</v>
      </c>
      <c r="J265" t="str">
        <f>IFERROR(__xludf.DUMMYFUNCTION("""COMPUTED_VALUE"""),"ฤทธิชาติ")</f>
        <v>ฤทธิชาติ</v>
      </c>
      <c r="K265" t="str">
        <f>IFERROR(__xludf.DUMMYFUNCTION("""COMPUTED_VALUE"""),"คุณาภรณ์ ฤทธิชาติ")</f>
        <v>คุณาภรณ์ ฤทธิชาติ</v>
      </c>
      <c r="L265" t="str">
        <f>IFERROR(__xludf.DUMMYFUNCTION("""COMPUTED_VALUE"""),"เพื่อน")</f>
        <v>เพื่อน</v>
      </c>
      <c r="M265" t="str">
        <f>IFERROR(__xludf.DUMMYFUNCTION("""COMPUTED_VALUE"""),"Senior Cabin Crew")</f>
        <v>Senior Cabin Crew</v>
      </c>
      <c r="N265" t="str">
        <f>IFERROR(__xludf.DUMMYFUNCTION("""COMPUTED_VALUE"""),"DMK")</f>
        <v>DMK</v>
      </c>
      <c r="O265" s="145" t="str">
        <f>IFERROR(__xludf.DUMMYFUNCTION("""COMPUTED_VALUE"""),"Kor Home")</f>
        <v>Kor Home</v>
      </c>
      <c r="P265" t="str">
        <f>IFERROR(__xludf.DUMMYFUNCTION("""COMPUTED_VALUE"""),"Active")</f>
        <v>Active</v>
      </c>
      <c r="R265" s="143">
        <f>IFERROR(__xludf.DUMMYFUNCTION("""COMPUTED_VALUE"""),32118.0)</f>
        <v>32118</v>
      </c>
      <c r="S265" s="146" t="str">
        <f>IFERROR(__xludf.DUMMYFUNCTION("""COMPUTED_VALUE"""),"087 679 5375")</f>
        <v>087 679 5375</v>
      </c>
      <c r="T265" s="147" t="str">
        <f>IFERROR(__xludf.DUMMYFUNCTION("""COMPUTED_VALUE"""),"11014-0119-3550")</f>
        <v>11014-0119-3550</v>
      </c>
      <c r="U265" t="str">
        <f>IFERROR(__xludf.DUMMYFUNCTION("""COMPUTED_VALUE"""),"AD1524467")</f>
        <v>AD1524467</v>
      </c>
      <c r="V265" s="148">
        <f>IFERROR(__xludf.DUMMYFUNCTION("""COMPUTED_VALUE"""),45298.0)</f>
        <v>45298</v>
      </c>
      <c r="W265" s="148">
        <f>IFERROR(__xludf.DUMMYFUNCTION("""COMPUTED_VALUE"""),48950.0)</f>
        <v>48950</v>
      </c>
      <c r="X265" s="149">
        <f>IFERROR(__xludf.DUMMYFUNCTION("""COMPUTED_VALUE"""),48766.0)</f>
        <v>48766</v>
      </c>
      <c r="Y265" t="str">
        <f>IFERROR(__xludf.DUMMYFUNCTION("""COMPUTED_VALUE"""),"ปลอดภัย")</f>
        <v>ปลอดภัย</v>
      </c>
      <c r="Z265" t="str">
        <f>IFERROR(__xludf.DUMMYFUNCTION("""COMPUTED_VALUE"""),"Bangkok")</f>
        <v>Bangkok</v>
      </c>
      <c r="AA265" t="str">
        <f>IFERROR(__xludf.DUMMYFUNCTION("""COMPUTED_VALUE"""),"Ladprao")</f>
        <v>Ladprao</v>
      </c>
      <c r="AB265" t="str">
        <f>IFERROR(__xludf.DUMMYFUNCTION("""COMPUTED_VALUE"""),"081 938 7470")</f>
        <v>081 938 7470</v>
      </c>
      <c r="AC265" t="str">
        <f>IFERROR(__xludf.DUMMYFUNCTION("""COMPUTED_VALUE"""),"Apichart")</f>
        <v>Apichart</v>
      </c>
      <c r="AD265" t="str">
        <f>IFERROR(__xludf.DUMMYFUNCTION("""COMPUTED_VALUE"""),"kunapornr@airasia.com")</f>
        <v>kunapornr@airasia.com</v>
      </c>
    </row>
    <row r="266">
      <c r="A266" s="142">
        <f>IFERROR(__xludf.DUMMYFUNCTION("""COMPUTED_VALUE"""),44.0)</f>
        <v>44</v>
      </c>
      <c r="B266" t="str">
        <f>IFERROR(__xludf.DUMMYFUNCTION("""COMPUTED_VALUE"""),"TAA3440")</f>
        <v>TAA3440</v>
      </c>
      <c r="C266">
        <f>IFERROR(__xludf.DUMMYFUNCTION("""COMPUTED_VALUE"""),1005816.0)</f>
        <v>1005816</v>
      </c>
      <c r="D266" t="str">
        <f>IFERROR(__xludf.DUMMYFUNCTION("""COMPUTED_VALUE"""),"Ms.")</f>
        <v>Ms.</v>
      </c>
      <c r="E266" t="str">
        <f>IFERROR(__xludf.DUMMYFUNCTION("""COMPUTED_VALUE"""),"Narada")</f>
        <v>Narada</v>
      </c>
      <c r="F266" t="str">
        <f>IFERROR(__xludf.DUMMYFUNCTION("""COMPUTED_VALUE"""),"Phongniwat")</f>
        <v>Phongniwat</v>
      </c>
      <c r="G266" t="str">
        <f>IFERROR(__xludf.DUMMYFUNCTION("""COMPUTED_VALUE"""),"Narada Phongniwat")</f>
        <v>Narada Phongniwat</v>
      </c>
      <c r="H266" t="str">
        <f>IFERROR(__xludf.DUMMYFUNCTION("""COMPUTED_VALUE"""),"นางสาว")</f>
        <v>นางสาว</v>
      </c>
      <c r="I266" t="str">
        <f>IFERROR(__xludf.DUMMYFUNCTION("""COMPUTED_VALUE"""),"ณรดา")</f>
        <v>ณรดา</v>
      </c>
      <c r="J266" t="str">
        <f>IFERROR(__xludf.DUMMYFUNCTION("""COMPUTED_VALUE"""),"พงส์ัตร")</f>
        <v>พงส์ัตร</v>
      </c>
      <c r="K266" t="str">
        <f>IFERROR(__xludf.DUMMYFUNCTION("""COMPUTED_VALUE"""),"ณรดา พงส์ัตร")</f>
        <v>ณรดา พงส์ัตร</v>
      </c>
      <c r="L266" t="str">
        <f>IFERROR(__xludf.DUMMYFUNCTION("""COMPUTED_VALUE"""),"โยเย")</f>
        <v>โยเย</v>
      </c>
      <c r="M266" t="str">
        <f>IFERROR(__xludf.DUMMYFUNCTION("""COMPUTED_VALUE"""),"Senior Cabin Crew")</f>
        <v>Senior Cabin Crew</v>
      </c>
      <c r="N266" t="str">
        <f>IFERROR(__xludf.DUMMYFUNCTION("""COMPUTED_VALUE"""),"DMK")</f>
        <v>DMK</v>
      </c>
      <c r="O266" s="145" t="str">
        <f>IFERROR(__xludf.DUMMYFUNCTION("""COMPUTED_VALUE"""),"Kor Home")</f>
        <v>Kor Home</v>
      </c>
      <c r="P266" t="str">
        <f>IFERROR(__xludf.DUMMYFUNCTION("""COMPUTED_VALUE"""),"LWPH")</f>
        <v>LWPH</v>
      </c>
      <c r="R266" s="143">
        <f>IFERROR(__xludf.DUMMYFUNCTION("""COMPUTED_VALUE"""),31357.0)</f>
        <v>31357</v>
      </c>
      <c r="S266" s="146" t="str">
        <f>IFERROR(__xludf.DUMMYFUNCTION("""COMPUTED_VALUE"""),"081 856 2609")</f>
        <v>081 856 2609</v>
      </c>
      <c r="T266" s="147" t="str">
        <f>IFERROR(__xludf.DUMMYFUNCTION("""COMPUTED_VALUE"""),"17199-0005-2317")</f>
        <v>17199-0005-2317</v>
      </c>
      <c r="U266" t="str">
        <f>IFERROR(__xludf.DUMMYFUNCTION("""COMPUTED_VALUE"""),"AC6535932")</f>
        <v>AC6535932</v>
      </c>
      <c r="V266" s="148">
        <f>IFERROR(__xludf.DUMMYFUNCTION("""COMPUTED_VALUE"""),45377.0)</f>
        <v>45377</v>
      </c>
      <c r="W266" s="148">
        <f>IFERROR(__xludf.DUMMYFUNCTION("""COMPUTED_VALUE"""),49028.0)</f>
        <v>49028</v>
      </c>
      <c r="X266" s="149">
        <f>IFERROR(__xludf.DUMMYFUNCTION("""COMPUTED_VALUE"""),48847.0)</f>
        <v>48847</v>
      </c>
      <c r="Y266" t="str">
        <f>IFERROR(__xludf.DUMMYFUNCTION("""COMPUTED_VALUE"""),"ปลอดภัย")</f>
        <v>ปลอดภัย</v>
      </c>
      <c r="Z266" t="str">
        <f>IFERROR(__xludf.DUMMYFUNCTION("""COMPUTED_VALUE"""),"Kanchanaburi Province")</f>
        <v>Kanchanaburi Province</v>
      </c>
      <c r="AA266" t="str">
        <f>IFERROR(__xludf.DUMMYFUNCTION("""COMPUTED_VALUE"""),"Bangkok")</f>
        <v>Bangkok</v>
      </c>
      <c r="AB266" t="str">
        <f>IFERROR(__xludf.DUMMYFUNCTION("""COMPUTED_VALUE"""),"081 942 0220")</f>
        <v>081 942 0220</v>
      </c>
      <c r="AD266" t="str">
        <f>IFERROR(__xludf.DUMMYFUNCTION("""COMPUTED_VALUE"""),"naradap@airasia.com")</f>
        <v>naradap@airasia.com</v>
      </c>
    </row>
    <row r="267">
      <c r="A267" s="142">
        <f>IFERROR(__xludf.DUMMYFUNCTION("""COMPUTED_VALUE"""),44.0)</f>
        <v>44</v>
      </c>
      <c r="B267" t="str">
        <f>IFERROR(__xludf.DUMMYFUNCTION("""COMPUTED_VALUE"""),"TAA3443")</f>
        <v>TAA3443</v>
      </c>
      <c r="C267">
        <f>IFERROR(__xludf.DUMMYFUNCTION("""COMPUTED_VALUE"""),1005818.0)</f>
        <v>1005818</v>
      </c>
      <c r="D267" t="str">
        <f>IFERROR(__xludf.DUMMYFUNCTION("""COMPUTED_VALUE"""),"Mrs.")</f>
        <v>Mrs.</v>
      </c>
      <c r="E267" t="str">
        <f>IFERROR(__xludf.DUMMYFUNCTION("""COMPUTED_VALUE"""),"Nattaporn")</f>
        <v>Nattaporn</v>
      </c>
      <c r="F267" t="str">
        <f>IFERROR(__xludf.DUMMYFUNCTION("""COMPUTED_VALUE"""),"Phatteeratip (Kamnil)")</f>
        <v>Phatteeratip (Kamnil)</v>
      </c>
      <c r="G267" t="str">
        <f>IFERROR(__xludf.DUMMYFUNCTION("""COMPUTED_VALUE"""),"Nattaporn Phatteeratip")</f>
        <v>Nattaporn Phatteeratip</v>
      </c>
      <c r="H267" t="str">
        <f>IFERROR(__xludf.DUMMYFUNCTION("""COMPUTED_VALUE"""),"นาง")</f>
        <v>นาง</v>
      </c>
      <c r="I267" t="str">
        <f>IFERROR(__xludf.DUMMYFUNCTION("""COMPUTED_VALUE"""),"ณัฐพร")</f>
        <v>ณัฐพร</v>
      </c>
      <c r="J267" t="str">
        <f>IFERROR(__xludf.DUMMYFUNCTION("""COMPUTED_VALUE"""),"ภัทรธีรทิพย์ (คำนิล)")</f>
        <v>ภัทรธีรทิพย์ (คำนิล)</v>
      </c>
      <c r="K267" t="str">
        <f>IFERROR(__xludf.DUMMYFUNCTION("""COMPUTED_VALUE"""),"ณัฐพร ภัทรธีรทิพย์")</f>
        <v>ณัฐพร ภัทรธีรทิพย์</v>
      </c>
      <c r="L267" t="str">
        <f>IFERROR(__xludf.DUMMYFUNCTION("""COMPUTED_VALUE"""),"เอ้")</f>
        <v>เอ้</v>
      </c>
      <c r="M267" t="str">
        <f>IFERROR(__xludf.DUMMYFUNCTION("""COMPUTED_VALUE"""),"Cabin Crew")</f>
        <v>Cabin Crew</v>
      </c>
      <c r="N267" t="str">
        <f>IFERROR(__xludf.DUMMYFUNCTION("""COMPUTED_VALUE"""),"DMK")</f>
        <v>DMK</v>
      </c>
      <c r="O267" s="145" t="str">
        <f>IFERROR(__xludf.DUMMYFUNCTION("""COMPUTED_VALUE"""),"Toffy Home")</f>
        <v>Toffy Home</v>
      </c>
      <c r="P267" t="str">
        <f>IFERROR(__xludf.DUMMYFUNCTION("""COMPUTED_VALUE"""),"Active")</f>
        <v>Active</v>
      </c>
      <c r="R267" s="143">
        <f>IFERROR(__xludf.DUMMYFUNCTION("""COMPUTED_VALUE"""),31696.0)</f>
        <v>31696</v>
      </c>
      <c r="S267" s="146" t="str">
        <f>IFERROR(__xludf.DUMMYFUNCTION("""COMPUTED_VALUE"""),"087 053 8338")</f>
        <v>087 053 8338</v>
      </c>
      <c r="T267" s="147" t="str">
        <f>IFERROR(__xludf.DUMMYFUNCTION("""COMPUTED_VALUE"""),"17199-0005-2317")</f>
        <v>17199-0005-2317</v>
      </c>
      <c r="U267" t="str">
        <f>IFERROR(__xludf.DUMMYFUNCTION("""COMPUTED_VALUE"""),"AD3354557")</f>
        <v>AD3354557</v>
      </c>
      <c r="V267" s="148">
        <f>IFERROR(__xludf.DUMMYFUNCTION("""COMPUTED_VALUE"""),46132.0)</f>
        <v>46132</v>
      </c>
      <c r="W267" s="148">
        <f>IFERROR(__xludf.DUMMYFUNCTION("""COMPUTED_VALUE"""),49784.0)</f>
        <v>49784</v>
      </c>
      <c r="X267" s="149">
        <f>IFERROR(__xludf.DUMMYFUNCTION("""COMPUTED_VALUE"""),49601.0)</f>
        <v>49601</v>
      </c>
      <c r="Y267" t="str">
        <f>IFERROR(__xludf.DUMMYFUNCTION("""COMPUTED_VALUE"""),"ปลอดภัย")</f>
        <v>ปลอดภัย</v>
      </c>
      <c r="Z267" t="str">
        <f>IFERROR(__xludf.DUMMYFUNCTION("""COMPUTED_VALUE"""),"Bangkok")</f>
        <v>Bangkok</v>
      </c>
      <c r="AA267" t="str">
        <f>IFERROR(__xludf.DUMMYFUNCTION("""COMPUTED_VALUE"""),"Paholyothin")</f>
        <v>Paholyothin</v>
      </c>
      <c r="AB267" t="str">
        <f>IFERROR(__xludf.DUMMYFUNCTION("""COMPUTED_VALUE"""),"081 821 9499")</f>
        <v>081 821 9499</v>
      </c>
      <c r="AC267" t="str">
        <f>IFERROR(__xludf.DUMMYFUNCTION("""COMPUTED_VALUE"""),"Direk")</f>
        <v>Direk</v>
      </c>
      <c r="AD267" t="str">
        <f>IFERROR(__xludf.DUMMYFUNCTION("""COMPUTED_VALUE"""),"nattapornh@airasia.com")</f>
        <v>nattapornh@airasia.com</v>
      </c>
    </row>
    <row r="268">
      <c r="A268" s="142">
        <f>IFERROR(__xludf.DUMMYFUNCTION("""COMPUTED_VALUE"""),44.0)</f>
        <v>44</v>
      </c>
      <c r="B268" t="str">
        <f>IFERROR(__xludf.DUMMYFUNCTION("""COMPUTED_VALUE"""),"TAA3406")</f>
        <v>TAA3406</v>
      </c>
      <c r="C268">
        <f>IFERROR(__xludf.DUMMYFUNCTION("""COMPUTED_VALUE"""),1005819.0)</f>
        <v>1005819</v>
      </c>
      <c r="D268" t="str">
        <f>IFERROR(__xludf.DUMMYFUNCTION("""COMPUTED_VALUE"""),"Ms.")</f>
        <v>Ms.</v>
      </c>
      <c r="E268" t="str">
        <f>IFERROR(__xludf.DUMMYFUNCTION("""COMPUTED_VALUE"""),"Nerisa")</f>
        <v>Nerisa</v>
      </c>
      <c r="F268" t="str">
        <f>IFERROR(__xludf.DUMMYFUNCTION("""COMPUTED_VALUE"""),"Chakornpaibool (Muensong)")</f>
        <v>Chakornpaibool (Muensong)</v>
      </c>
      <c r="G268" t="str">
        <f>IFERROR(__xludf.DUMMYFUNCTION("""COMPUTED_VALUE"""),"Nerisa Chakornpaibool")</f>
        <v>Nerisa Chakornpaibool</v>
      </c>
      <c r="H268" t="str">
        <f>IFERROR(__xludf.DUMMYFUNCTION("""COMPUTED_VALUE"""),"นางสาว")</f>
        <v>นางสาว</v>
      </c>
      <c r="I268" t="str">
        <f>IFERROR(__xludf.DUMMYFUNCTION("""COMPUTED_VALUE"""),"เนริสา")</f>
        <v>เนริสา</v>
      </c>
      <c r="J268" t="str">
        <f>IFERROR(__xludf.DUMMYFUNCTION("""COMPUTED_VALUE"""),"ชาครไพบูลย์(หมื่นส่ง)")</f>
        <v>ชาครไพบูลย์(หมื่นส่ง)</v>
      </c>
      <c r="K268" t="str">
        <f>IFERROR(__xludf.DUMMYFUNCTION("""COMPUTED_VALUE"""),"เนริสา ชาครไพบูลย์")</f>
        <v>เนริสา ชาครไพบูลย์</v>
      </c>
      <c r="L268" t="str">
        <f>IFERROR(__xludf.DUMMYFUNCTION("""COMPUTED_VALUE"""),"กอล์ฟ")</f>
        <v>กอล์ฟ</v>
      </c>
      <c r="M268" t="str">
        <f>IFERROR(__xludf.DUMMYFUNCTION("""COMPUTED_VALUE"""),"Senior Cabin Crew")</f>
        <v>Senior Cabin Crew</v>
      </c>
      <c r="N268" t="str">
        <f>IFERROR(__xludf.DUMMYFUNCTION("""COMPUTED_VALUE"""),"DMK")</f>
        <v>DMK</v>
      </c>
      <c r="O268" s="145" t="str">
        <f>IFERROR(__xludf.DUMMYFUNCTION("""COMPUTED_VALUE"""),"Por+ Home")</f>
        <v>Por+ Home</v>
      </c>
      <c r="P268" t="str">
        <f>IFERROR(__xludf.DUMMYFUNCTION("""COMPUTED_VALUE"""),"Active")</f>
        <v>Active</v>
      </c>
      <c r="R268" s="143">
        <f>IFERROR(__xludf.DUMMYFUNCTION("""COMPUTED_VALUE"""),30209.0)</f>
        <v>30209</v>
      </c>
      <c r="S268" s="146" t="str">
        <f>IFERROR(__xludf.DUMMYFUNCTION("""COMPUTED_VALUE"""),"093 994 6465")</f>
        <v>093 994 6465</v>
      </c>
      <c r="T268" s="147" t="str">
        <f>IFERROR(__xludf.DUMMYFUNCTION("""COMPUTED_VALUE"""),"31101-0132-0471")</f>
        <v>31101-0132-0471</v>
      </c>
      <c r="U268" t="str">
        <f>IFERROR(__xludf.DUMMYFUNCTION("""COMPUTED_VALUE"""),"AC2756263")</f>
        <v>AC2756263</v>
      </c>
      <c r="V268" s="148">
        <f>IFERROR(__xludf.DUMMYFUNCTION("""COMPUTED_VALUE"""),44489.0)</f>
        <v>44489</v>
      </c>
      <c r="W268" s="148">
        <f>IFERROR(__xludf.DUMMYFUNCTION("""COMPUTED_VALUE"""),48140.0)</f>
        <v>48140</v>
      </c>
      <c r="X268" s="149">
        <f>IFERROR(__xludf.DUMMYFUNCTION("""COMPUTED_VALUE"""),47957.0)</f>
        <v>47957</v>
      </c>
      <c r="Y268" t="str">
        <f>IFERROR(__xludf.DUMMYFUNCTION("""COMPUTED_VALUE"""),"ปลอดภัย")</f>
        <v>ปลอดภัย</v>
      </c>
      <c r="Z268" t="str">
        <f>IFERROR(__xludf.DUMMYFUNCTION("""COMPUTED_VALUE"""),"Bangkok")</f>
        <v>Bangkok</v>
      </c>
      <c r="AA268" t="str">
        <f>IFERROR(__xludf.DUMMYFUNCTION("""COMPUTED_VALUE"""),"บางบอน")</f>
        <v>บางบอน</v>
      </c>
      <c r="AB268" t="str">
        <f>IFERROR(__xludf.DUMMYFUNCTION("""COMPUTED_VALUE"""),"084 647 0505")</f>
        <v>084 647 0505</v>
      </c>
      <c r="AC268" t="str">
        <f>IFERROR(__xludf.DUMMYFUNCTION("""COMPUTED_VALUE"""),"นิติธร")</f>
        <v>นิติธร</v>
      </c>
      <c r="AD268" t="str">
        <f>IFERROR(__xludf.DUMMYFUNCTION("""COMPUTED_VALUE"""),"nerisac@airasia.com")</f>
        <v>nerisac@airasia.com</v>
      </c>
    </row>
    <row r="269">
      <c r="A269" s="142">
        <f>IFERROR(__xludf.DUMMYFUNCTION("""COMPUTED_VALUE"""),44.0)</f>
        <v>44</v>
      </c>
      <c r="B269" t="str">
        <f>IFERROR(__xludf.DUMMYFUNCTION("""COMPUTED_VALUE"""),"TAA3445")</f>
        <v>TAA3445</v>
      </c>
      <c r="C269">
        <f>IFERROR(__xludf.DUMMYFUNCTION("""COMPUTED_VALUE"""),1005828.0)</f>
        <v>1005828</v>
      </c>
      <c r="D269" t="str">
        <f>IFERROR(__xludf.DUMMYFUNCTION("""COMPUTED_VALUE"""),"Ms.")</f>
        <v>Ms.</v>
      </c>
      <c r="E269" t="str">
        <f>IFERROR(__xludf.DUMMYFUNCTION("""COMPUTED_VALUE"""),"Piyawan")</f>
        <v>Piyawan</v>
      </c>
      <c r="F269" t="str">
        <f>IFERROR(__xludf.DUMMYFUNCTION("""COMPUTED_VALUE"""),"Panitanthum")</f>
        <v>Panitanthum</v>
      </c>
      <c r="G269" t="str">
        <f>IFERROR(__xludf.DUMMYFUNCTION("""COMPUTED_VALUE"""),"Piyawan Panitanthum")</f>
        <v>Piyawan Panitanthum</v>
      </c>
      <c r="H269" t="str">
        <f>IFERROR(__xludf.DUMMYFUNCTION("""COMPUTED_VALUE"""),"นางสาว")</f>
        <v>นางสาว</v>
      </c>
      <c r="I269" t="str">
        <f>IFERROR(__xludf.DUMMYFUNCTION("""COMPUTED_VALUE"""),"ปิยวรรณ")</f>
        <v>ปิยวรรณ</v>
      </c>
      <c r="J269" t="str">
        <f>IFERROR(__xludf.DUMMYFUNCTION("""COMPUTED_VALUE"""),"ปณิธานธรรม")</f>
        <v>ปณิธานธรรม</v>
      </c>
      <c r="K269" t="str">
        <f>IFERROR(__xludf.DUMMYFUNCTION("""COMPUTED_VALUE"""),"ปิยวรรณ ปณิธานธรรม")</f>
        <v>ปิยวรรณ ปณิธานธรรม</v>
      </c>
      <c r="L269" t="str">
        <f>IFERROR(__xludf.DUMMYFUNCTION("""COMPUTED_VALUE"""),"บุ๋ม")</f>
        <v>บุ๋ม</v>
      </c>
      <c r="M269" t="str">
        <f>IFERROR(__xludf.DUMMYFUNCTION("""COMPUTED_VALUE"""),"Cabin Crew")</f>
        <v>Cabin Crew</v>
      </c>
      <c r="N269" t="str">
        <f>IFERROR(__xludf.DUMMYFUNCTION("""COMPUTED_VALUE"""),"DMK")</f>
        <v>DMK</v>
      </c>
      <c r="O269" s="145" t="str">
        <f>IFERROR(__xludf.DUMMYFUNCTION("""COMPUTED_VALUE"""),"Toffy Home")</f>
        <v>Toffy Home</v>
      </c>
      <c r="P269" t="str">
        <f>IFERROR(__xludf.DUMMYFUNCTION("""COMPUTED_VALUE"""),"Active")</f>
        <v>Active</v>
      </c>
      <c r="R269" s="143">
        <f>IFERROR(__xludf.DUMMYFUNCTION("""COMPUTED_VALUE"""),31244.0)</f>
        <v>31244</v>
      </c>
      <c r="S269" s="146" t="str">
        <f>IFERROR(__xludf.DUMMYFUNCTION("""COMPUTED_VALUE"""),"091 645-4565")</f>
        <v>091 645-4565</v>
      </c>
      <c r="T269" s="147" t="str">
        <f>IFERROR(__xludf.DUMMYFUNCTION("""COMPUTED_VALUE"""),"11014-0052-7861")</f>
        <v>11014-0052-7861</v>
      </c>
      <c r="U269" t="str">
        <f>IFERROR(__xludf.DUMMYFUNCTION("""COMPUTED_VALUE"""),"AC7788107")</f>
        <v>AC7788107</v>
      </c>
      <c r="V269" s="148">
        <f>IFERROR(__xludf.DUMMYFUNCTION("""COMPUTED_VALUE"""),45652.0)</f>
        <v>45652</v>
      </c>
      <c r="W269" s="148">
        <f>IFERROR(__xludf.DUMMYFUNCTION("""COMPUTED_VALUE"""),47477.0)</f>
        <v>47477</v>
      </c>
      <c r="X269" s="149">
        <f>IFERROR(__xludf.DUMMYFUNCTION("""COMPUTED_VALUE"""),47294.0)</f>
        <v>47294</v>
      </c>
      <c r="Y269" t="str">
        <f>IFERROR(__xludf.DUMMYFUNCTION("""COMPUTED_VALUE"""),"ปลอดภัย")</f>
        <v>ปลอดภัย</v>
      </c>
      <c r="Z269" t="str">
        <f>IFERROR(__xludf.DUMMYFUNCTION("""COMPUTED_VALUE"""),"Bangkok")</f>
        <v>Bangkok</v>
      </c>
      <c r="AA269" t="str">
        <f>IFERROR(__xludf.DUMMYFUNCTION("""COMPUTED_VALUE"""),"Dindang")</f>
        <v>Dindang</v>
      </c>
      <c r="AB269" t="str">
        <f>IFERROR(__xludf.DUMMYFUNCTION("""COMPUTED_VALUE"""),"089 459 8898")</f>
        <v>089 459 8898</v>
      </c>
      <c r="AC269" t="str">
        <f>IFERROR(__xludf.DUMMYFUNCTION("""COMPUTED_VALUE"""),"Kanokporn")</f>
        <v>Kanokporn</v>
      </c>
      <c r="AD269" t="str">
        <f>IFERROR(__xludf.DUMMYFUNCTION("""COMPUTED_VALUE"""),"piyawanp@airasia.com")</f>
        <v>piyawanp@airasia.com</v>
      </c>
    </row>
    <row r="270">
      <c r="A270" s="142">
        <f>IFERROR(__xludf.DUMMYFUNCTION("""COMPUTED_VALUE"""),44.0)</f>
        <v>44</v>
      </c>
      <c r="B270" t="str">
        <f>IFERROR(__xludf.DUMMYFUNCTION("""COMPUTED_VALUE"""),"TAA3402")</f>
        <v>TAA3402</v>
      </c>
      <c r="C270">
        <f>IFERROR(__xludf.DUMMYFUNCTION("""COMPUTED_VALUE"""),1005834.0)</f>
        <v>1005834</v>
      </c>
      <c r="D270" t="str">
        <f>IFERROR(__xludf.DUMMYFUNCTION("""COMPUTED_VALUE"""),"Ms.")</f>
        <v>Ms.</v>
      </c>
      <c r="E270" t="str">
        <f>IFERROR(__xludf.DUMMYFUNCTION("""COMPUTED_VALUE"""),"Ratchaneewan")</f>
        <v>Ratchaneewan</v>
      </c>
      <c r="F270" t="str">
        <f>IFERROR(__xludf.DUMMYFUNCTION("""COMPUTED_VALUE"""),"Tipyod")</f>
        <v>Tipyod</v>
      </c>
      <c r="G270" t="str">
        <f>IFERROR(__xludf.DUMMYFUNCTION("""COMPUTED_VALUE"""),"Ratchaneewan Tipyod")</f>
        <v>Ratchaneewan Tipyod</v>
      </c>
      <c r="H270" t="str">
        <f>IFERROR(__xludf.DUMMYFUNCTION("""COMPUTED_VALUE"""),"นางสาว")</f>
        <v>นางสาว</v>
      </c>
      <c r="I270" t="str">
        <f>IFERROR(__xludf.DUMMYFUNCTION("""COMPUTED_VALUE"""),"รัชนีวรรณ")</f>
        <v>รัชนีวรรณ</v>
      </c>
      <c r="J270" t="str">
        <f>IFERROR(__xludf.DUMMYFUNCTION("""COMPUTED_VALUE"""),"ทิพยอด")</f>
        <v>ทิพยอด</v>
      </c>
      <c r="K270" t="str">
        <f>IFERROR(__xludf.DUMMYFUNCTION("""COMPUTED_VALUE"""),"รัชนีวรรณ ทิพยอด")</f>
        <v>รัชนีวรรณ ทิพยอด</v>
      </c>
      <c r="L270" t="str">
        <f>IFERROR(__xludf.DUMMYFUNCTION("""COMPUTED_VALUE"""),"ฝน")</f>
        <v>ฝน</v>
      </c>
      <c r="M270" t="str">
        <f>IFERROR(__xludf.DUMMYFUNCTION("""COMPUTED_VALUE"""),"Cabin Crew - CNX")</f>
        <v>Cabin Crew - CNX</v>
      </c>
      <c r="N270" t="str">
        <f>IFERROR(__xludf.DUMMYFUNCTION("""COMPUTED_VALUE"""),"CNX")</f>
        <v>CNX</v>
      </c>
      <c r="O270" s="145" t="str">
        <f>IFERROR(__xludf.DUMMYFUNCTION("""COMPUTED_VALUE"""),"Up Home")</f>
        <v>Up Home</v>
      </c>
      <c r="P270" t="str">
        <f>IFERROR(__xludf.DUMMYFUNCTION("""COMPUTED_VALUE"""),"Active")</f>
        <v>Active</v>
      </c>
      <c r="R270" s="143">
        <f>IFERROR(__xludf.DUMMYFUNCTION("""COMPUTED_VALUE"""),30953.0)</f>
        <v>30953</v>
      </c>
      <c r="S270" s="146" t="str">
        <f>IFERROR(__xludf.DUMMYFUNCTION("""COMPUTED_VALUE"""),"081 031 9990")</f>
        <v>081 031 9990</v>
      </c>
      <c r="T270" s="147" t="str">
        <f>IFERROR(__xludf.DUMMYFUNCTION("""COMPUTED_VALUE"""),"15299-0004-8249")</f>
        <v>15299-0004-8249</v>
      </c>
      <c r="U270" t="str">
        <f>IFERROR(__xludf.DUMMYFUNCTION("""COMPUTED_VALUE"""),"AC6624287")</f>
        <v>AC6624287</v>
      </c>
      <c r="V270" s="148">
        <f>IFERROR(__xludf.DUMMYFUNCTION("""COMPUTED_VALUE"""),45404.0)</f>
        <v>45404</v>
      </c>
      <c r="W270" s="148">
        <f>IFERROR(__xludf.DUMMYFUNCTION("""COMPUTED_VALUE"""),49055.0)</f>
        <v>49055</v>
      </c>
      <c r="X270" s="149">
        <f>IFERROR(__xludf.DUMMYFUNCTION("""COMPUTED_VALUE"""),48873.0)</f>
        <v>48873</v>
      </c>
      <c r="Y270" t="str">
        <f>IFERROR(__xludf.DUMMYFUNCTION("""COMPUTED_VALUE"""),"ปลอดภัย")</f>
        <v>ปลอดภัย</v>
      </c>
      <c r="Z270" t="str">
        <f>IFERROR(__xludf.DUMMYFUNCTION("""COMPUTED_VALUE"""),"Lampang Province")</f>
        <v>Lampang Province</v>
      </c>
      <c r="AA270" t="str">
        <f>IFERROR(__xludf.DUMMYFUNCTION("""COMPUTED_VALUE"""),"Lardprao")</f>
        <v>Lardprao</v>
      </c>
      <c r="AB270" t="str">
        <f>IFERROR(__xludf.DUMMYFUNCTION("""COMPUTED_VALUE"""),"083 121 1221")</f>
        <v>083 121 1221</v>
      </c>
      <c r="AC270" t="str">
        <f>IFERROR(__xludf.DUMMYFUNCTION("""COMPUTED_VALUE"""),"Ekawuth")</f>
        <v>Ekawuth</v>
      </c>
      <c r="AD270" t="str">
        <f>IFERROR(__xludf.DUMMYFUNCTION("""COMPUTED_VALUE"""),"ratchaneewanp@airasia.com")</f>
        <v>ratchaneewanp@airasia.com</v>
      </c>
    </row>
    <row r="271">
      <c r="A271" s="142">
        <f>IFERROR(__xludf.DUMMYFUNCTION("""COMPUTED_VALUE"""),44.0)</f>
        <v>44</v>
      </c>
      <c r="B271" t="str">
        <f>IFERROR(__xludf.DUMMYFUNCTION("""COMPUTED_VALUE"""),"TAA3444")</f>
        <v>TAA3444</v>
      </c>
      <c r="C271">
        <f>IFERROR(__xludf.DUMMYFUNCTION("""COMPUTED_VALUE"""),1005844.0)</f>
        <v>1005844</v>
      </c>
      <c r="D271" t="str">
        <f>IFERROR(__xludf.DUMMYFUNCTION("""COMPUTED_VALUE"""),"Mrs.")</f>
        <v>Mrs.</v>
      </c>
      <c r="E271" t="str">
        <f>IFERROR(__xludf.DUMMYFUNCTION("""COMPUTED_VALUE"""),"Tikapat")</f>
        <v>Tikapat</v>
      </c>
      <c r="F271" t="str">
        <f>IFERROR(__xludf.DUMMYFUNCTION("""COMPUTED_VALUE"""),"Chitcharoen (Fungladda)")</f>
        <v>Chitcharoen (Fungladda)</v>
      </c>
      <c r="G271" t="str">
        <f>IFERROR(__xludf.DUMMYFUNCTION("""COMPUTED_VALUE"""),"Tikapat Chitcharoen")</f>
        <v>Tikapat Chitcharoen</v>
      </c>
      <c r="H271" t="str">
        <f>IFERROR(__xludf.DUMMYFUNCTION("""COMPUTED_VALUE"""),"นาง")</f>
        <v>นาง</v>
      </c>
      <c r="I271" t="str">
        <f>IFERROR(__xludf.DUMMYFUNCTION("""COMPUTED_VALUE"""),"ฐิต์กพัชร")</f>
        <v>ฐิต์กพัชร</v>
      </c>
      <c r="J271" t="str">
        <f>IFERROR(__xludf.DUMMYFUNCTION("""COMPUTED_VALUE"""),"จิตร์เจริญ (ฟุ้งลัดดา)")</f>
        <v>จิตร์เจริญ (ฟุ้งลัดดา)</v>
      </c>
      <c r="K271" t="str">
        <f>IFERROR(__xludf.DUMMYFUNCTION("""COMPUTED_VALUE"""),"ฐิต์กพัชร จิตร์เจริญ")</f>
        <v>ฐิต์กพัชร จิตร์เจริญ</v>
      </c>
      <c r="L271" t="str">
        <f>IFERROR(__xludf.DUMMYFUNCTION("""COMPUTED_VALUE"""),"ฟ้า")</f>
        <v>ฟ้า</v>
      </c>
      <c r="M271" t="str">
        <f>IFERROR(__xludf.DUMMYFUNCTION("""COMPUTED_VALUE"""),"Senior Cabin Crew")</f>
        <v>Senior Cabin Crew</v>
      </c>
      <c r="N271" t="str">
        <f>IFERROR(__xludf.DUMMYFUNCTION("""COMPUTED_VALUE"""),"DMK")</f>
        <v>DMK</v>
      </c>
      <c r="O271" s="145" t="str">
        <f>IFERROR(__xludf.DUMMYFUNCTION("""COMPUTED_VALUE"""),"Toffy Home")</f>
        <v>Toffy Home</v>
      </c>
      <c r="P271" t="str">
        <f>IFERROR(__xludf.DUMMYFUNCTION("""COMPUTED_VALUE"""),"LWPH")</f>
        <v>LWPH</v>
      </c>
      <c r="R271" s="143">
        <f>IFERROR(__xludf.DUMMYFUNCTION("""COMPUTED_VALUE"""),31277.0)</f>
        <v>31277</v>
      </c>
      <c r="S271" s="146" t="str">
        <f>IFERROR(__xludf.DUMMYFUNCTION("""COMPUTED_VALUE"""),"065 994 5498")</f>
        <v>065 994 5498</v>
      </c>
      <c r="T271" s="147" t="str">
        <f>IFERROR(__xludf.DUMMYFUNCTION("""COMPUTED_VALUE"""),"16699-0002-8549")</f>
        <v>16699-0002-8549</v>
      </c>
      <c r="U271" t="str">
        <f>IFERROR(__xludf.DUMMYFUNCTION("""COMPUTED_VALUE"""),"AD1743735")</f>
        <v>AD1743735</v>
      </c>
      <c r="V271" s="148">
        <f>IFERROR(__xludf.DUMMYFUNCTION("""COMPUTED_VALUE"""),45438.0)</f>
        <v>45438</v>
      </c>
      <c r="W271" s="148">
        <f>IFERROR(__xludf.DUMMYFUNCTION("""COMPUTED_VALUE"""),47263.0)</f>
        <v>47263</v>
      </c>
      <c r="X271" s="149">
        <f>IFERROR(__xludf.DUMMYFUNCTION("""COMPUTED_VALUE"""),47082.0)</f>
        <v>47082</v>
      </c>
      <c r="Y271" t="str">
        <f>IFERROR(__xludf.DUMMYFUNCTION("""COMPUTED_VALUE"""),"ปลอดภัย")</f>
        <v>ปลอดภัย</v>
      </c>
      <c r="Z271" t="str">
        <f>IFERROR(__xludf.DUMMYFUNCTION("""COMPUTED_VALUE"""),"Phichit Province")</f>
        <v>Phichit Province</v>
      </c>
      <c r="AA271" t="str">
        <f>IFERROR(__xludf.DUMMYFUNCTION("""COMPUTED_VALUE"""),"Talingchan")</f>
        <v>Talingchan</v>
      </c>
      <c r="AB271" t="str">
        <f>IFERROR(__xludf.DUMMYFUNCTION("""COMPUTED_VALUE"""),"086 734 5883")</f>
        <v>086 734 5883</v>
      </c>
      <c r="AC271" t="str">
        <f>IFERROR(__xludf.DUMMYFUNCTION("""COMPUTED_VALUE"""),"Soranat")</f>
        <v>Soranat</v>
      </c>
      <c r="AD271" t="str">
        <f>IFERROR(__xludf.DUMMYFUNCTION("""COMPUTED_VALUE"""),"tikapatc@airasia.com")</f>
        <v>tikapatc@airasia.com</v>
      </c>
    </row>
    <row r="272">
      <c r="AD272" t="str">
        <f>IFERROR(__xludf.DUMMYFUNCTION("""COMPUTED_VALUE"""),"")</f>
        <v/>
      </c>
    </row>
    <row r="273">
      <c r="A273" s="142">
        <f>IFERROR(__xludf.DUMMYFUNCTION("""COMPUTED_VALUE"""),45.0)</f>
        <v>45</v>
      </c>
      <c r="B273" t="str">
        <f>IFERROR(__xludf.DUMMYFUNCTION("""COMPUTED_VALUE"""),"TAA3494")</f>
        <v>TAA3494</v>
      </c>
      <c r="C273">
        <f>IFERROR(__xludf.DUMMYFUNCTION("""COMPUTED_VALUE"""),1005944.0)</f>
        <v>1005944</v>
      </c>
      <c r="D273" t="str">
        <f>IFERROR(__xludf.DUMMYFUNCTION("""COMPUTED_VALUE"""),"Ms.")</f>
        <v>Ms.</v>
      </c>
      <c r="E273" t="str">
        <f>IFERROR(__xludf.DUMMYFUNCTION("""COMPUTED_VALUE"""),"Kwanchanok")</f>
        <v>Kwanchanok</v>
      </c>
      <c r="F273" t="str">
        <f>IFERROR(__xludf.DUMMYFUNCTION("""COMPUTED_VALUE"""),"Praditsuk (Prommanee)")</f>
        <v>Praditsuk (Prommanee)</v>
      </c>
      <c r="G273" t="str">
        <f>IFERROR(__xludf.DUMMYFUNCTION("""COMPUTED_VALUE"""),"Kwanchanok Praditsuk")</f>
        <v>Kwanchanok Praditsuk</v>
      </c>
      <c r="H273" t="str">
        <f>IFERROR(__xludf.DUMMYFUNCTION("""COMPUTED_VALUE"""),"นางสาว")</f>
        <v>นางสาว</v>
      </c>
      <c r="I273" t="str">
        <f>IFERROR(__xludf.DUMMYFUNCTION("""COMPUTED_VALUE"""),"ขวัญชนก")</f>
        <v>ขวัญชนก</v>
      </c>
      <c r="J273" t="str">
        <f>IFERROR(__xludf.DUMMYFUNCTION("""COMPUTED_VALUE"""),"ประดิษฐ์สุข (พรหมมณี)")</f>
        <v>ประดิษฐ์สุข (พรหมมณี)</v>
      </c>
      <c r="K273" t="str">
        <f>IFERROR(__xludf.DUMMYFUNCTION("""COMPUTED_VALUE"""),"ขวัญชนก ประดิษฐ์สุข")</f>
        <v>ขวัญชนก ประดิษฐ์สุข</v>
      </c>
      <c r="L273" t="str">
        <f>IFERROR(__xludf.DUMMYFUNCTION("""COMPUTED_VALUE"""),"ขวัญ")</f>
        <v>ขวัญ</v>
      </c>
      <c r="M273" t="str">
        <f>IFERROR(__xludf.DUMMYFUNCTION("""COMPUTED_VALUE"""),"Senior Cabin Crew")</f>
        <v>Senior Cabin Crew</v>
      </c>
      <c r="N273" t="str">
        <f>IFERROR(__xludf.DUMMYFUNCTION("""COMPUTED_VALUE"""),"DMK")</f>
        <v>DMK</v>
      </c>
      <c r="O273" s="145" t="str">
        <f>IFERROR(__xludf.DUMMYFUNCTION("""COMPUTED_VALUE"""),"Por+ Home")</f>
        <v>Por+ Home</v>
      </c>
      <c r="P273" t="str">
        <f>IFERROR(__xludf.DUMMYFUNCTION("""COMPUTED_VALUE"""),"Active")</f>
        <v>Active</v>
      </c>
      <c r="Q273" t="str">
        <f>IFERROR(__xludf.DUMMYFUNCTION("""COMPUTED_VALUE"""),"SCC Line Checker 2025")</f>
        <v>SCC Line Checker 2025</v>
      </c>
      <c r="R273" s="143">
        <f>IFERROR(__xludf.DUMMYFUNCTION("""COMPUTED_VALUE"""),31023.0)</f>
        <v>31023</v>
      </c>
      <c r="S273" s="146" t="str">
        <f>IFERROR(__xludf.DUMMYFUNCTION("""COMPUTED_VALUE"""),"094 669 9947")</f>
        <v>094 669 9947</v>
      </c>
      <c r="T273" s="147" t="str">
        <f>IFERROR(__xludf.DUMMYFUNCTION("""COMPUTED_VALUE"""),"17699-0002-4361")</f>
        <v>17699-0002-4361</v>
      </c>
      <c r="U273" t="str">
        <f>IFERROR(__xludf.DUMMYFUNCTION("""COMPUTED_VALUE"""),"AD2024697")</f>
        <v>AD2024697</v>
      </c>
      <c r="V273" s="148">
        <f>IFERROR(__xludf.DUMMYFUNCTION("""COMPUTED_VALUE"""),45453.0)</f>
        <v>45453</v>
      </c>
      <c r="W273" s="148">
        <f>IFERROR(__xludf.DUMMYFUNCTION("""COMPUTED_VALUE"""),49104.0)</f>
        <v>49104</v>
      </c>
      <c r="X273" s="149">
        <f>IFERROR(__xludf.DUMMYFUNCTION("""COMPUTED_VALUE"""),48922.0)</f>
        <v>48922</v>
      </c>
      <c r="Y273" t="str">
        <f>IFERROR(__xludf.DUMMYFUNCTION("""COMPUTED_VALUE"""),"ปลอดภัย")</f>
        <v>ปลอดภัย</v>
      </c>
      <c r="Z273" t="str">
        <f>IFERROR(__xludf.DUMMYFUNCTION("""COMPUTED_VALUE"""),"Phetchaburi Province")</f>
        <v>Phetchaburi Province</v>
      </c>
      <c r="AA273" t="str">
        <f>IFERROR(__xludf.DUMMYFUNCTION("""COMPUTED_VALUE"""),"Thanyaburi")</f>
        <v>Thanyaburi</v>
      </c>
      <c r="AB273" t="str">
        <f>IFERROR(__xludf.DUMMYFUNCTION("""COMPUTED_VALUE"""),"089 999 7499")</f>
        <v>089 999 7499</v>
      </c>
      <c r="AC273" t="str">
        <f>IFERROR(__xludf.DUMMYFUNCTION("""COMPUTED_VALUE"""),"Thanakrit")</f>
        <v>Thanakrit</v>
      </c>
      <c r="AD273" t="str">
        <f>IFERROR(__xludf.DUMMYFUNCTION("""COMPUTED_VALUE"""),"kwanchanokp@airasia.com")</f>
        <v>kwanchanokp@airasia.com</v>
      </c>
    </row>
    <row r="274">
      <c r="A274" s="142">
        <f>IFERROR(__xludf.DUMMYFUNCTION("""COMPUTED_VALUE"""),45.0)</f>
        <v>45</v>
      </c>
      <c r="B274" t="str">
        <f>IFERROR(__xludf.DUMMYFUNCTION("""COMPUTED_VALUE"""),"TAA3503")</f>
        <v>TAA3503</v>
      </c>
      <c r="C274">
        <f>IFERROR(__xludf.DUMMYFUNCTION("""COMPUTED_VALUE"""),1005945.0)</f>
        <v>1005945</v>
      </c>
      <c r="D274" t="str">
        <f>IFERROR(__xludf.DUMMYFUNCTION("""COMPUTED_VALUE"""),"Ms.")</f>
        <v>Ms.</v>
      </c>
      <c r="E274" t="str">
        <f>IFERROR(__xludf.DUMMYFUNCTION("""COMPUTED_VALUE"""),"Laphatrada")</f>
        <v>Laphatrada</v>
      </c>
      <c r="F274" t="str">
        <f>IFERROR(__xludf.DUMMYFUNCTION("""COMPUTED_VALUE"""),"Saisuk")</f>
        <v>Saisuk</v>
      </c>
      <c r="G274" t="str">
        <f>IFERROR(__xludf.DUMMYFUNCTION("""COMPUTED_VALUE"""),"Laphatrada Saisuk")</f>
        <v>Laphatrada Saisuk</v>
      </c>
      <c r="H274" t="str">
        <f>IFERROR(__xludf.DUMMYFUNCTION("""COMPUTED_VALUE"""),"นางสาว")</f>
        <v>นางสาว</v>
      </c>
      <c r="I274" t="str">
        <f>IFERROR(__xludf.DUMMYFUNCTION("""COMPUTED_VALUE"""),"ลภัสรดา")</f>
        <v>ลภัสรดา</v>
      </c>
      <c r="J274" t="str">
        <f>IFERROR(__xludf.DUMMYFUNCTION("""COMPUTED_VALUE"""),"ใสสุก")</f>
        <v>ใสสุก</v>
      </c>
      <c r="K274" t="str">
        <f>IFERROR(__xludf.DUMMYFUNCTION("""COMPUTED_VALUE"""),"ลภัสรดา ใสสุก")</f>
        <v>ลภัสรดา ใสสุก</v>
      </c>
      <c r="L274" t="str">
        <f>IFERROR(__xludf.DUMMYFUNCTION("""COMPUTED_VALUE"""),"ใหม่")</f>
        <v>ใหม่</v>
      </c>
      <c r="M274" t="str">
        <f>IFERROR(__xludf.DUMMYFUNCTION("""COMPUTED_VALUE"""),"Cabin Crew")</f>
        <v>Cabin Crew</v>
      </c>
      <c r="N274" t="str">
        <f>IFERROR(__xludf.DUMMYFUNCTION("""COMPUTED_VALUE"""),"DMK")</f>
        <v>DMK</v>
      </c>
      <c r="O274" s="145" t="str">
        <f>IFERROR(__xludf.DUMMYFUNCTION("""COMPUTED_VALUE"""),"Up Home")</f>
        <v>Up Home</v>
      </c>
      <c r="P274" t="str">
        <f>IFERROR(__xludf.DUMMYFUNCTION("""COMPUTED_VALUE"""),"Active")</f>
        <v>Active</v>
      </c>
      <c r="Q274" t="str">
        <f>IFERROR(__xludf.DUMMYFUNCTION("""COMPUTED_VALUE"""),"Chinese Speaking")</f>
        <v>Chinese Speaking</v>
      </c>
      <c r="R274" s="143">
        <f>IFERROR(__xludf.DUMMYFUNCTION("""COMPUTED_VALUE"""),30937.0)</f>
        <v>30937</v>
      </c>
      <c r="S274" s="146" t="str">
        <f>IFERROR(__xludf.DUMMYFUNCTION("""COMPUTED_VALUE"""),"099-639-9244.")</f>
        <v>099-639-9244.</v>
      </c>
      <c r="T274" s="147" t="str">
        <f>IFERROR(__xludf.DUMMYFUNCTION("""COMPUTED_VALUE"""),"12501-0002-3050")</f>
        <v>12501-0002-3050</v>
      </c>
      <c r="U274" t="str">
        <f>IFERROR(__xludf.DUMMYFUNCTION("""COMPUTED_VALUE"""),"AC2227575")</f>
        <v>AC2227575</v>
      </c>
      <c r="V274" s="148">
        <f>IFERROR(__xludf.DUMMYFUNCTION("""COMPUTED_VALUE"""),44277.0)</f>
        <v>44277</v>
      </c>
      <c r="W274" s="148">
        <f>IFERROR(__xludf.DUMMYFUNCTION("""COMPUTED_VALUE"""),47928.0)</f>
        <v>47928</v>
      </c>
      <c r="X274" s="149">
        <f>IFERROR(__xludf.DUMMYFUNCTION("""COMPUTED_VALUE"""),47747.0)</f>
        <v>47747</v>
      </c>
      <c r="Y274" t="str">
        <f>IFERROR(__xludf.DUMMYFUNCTION("""COMPUTED_VALUE"""),"ปลอดภัย")</f>
        <v>ปลอดภัย</v>
      </c>
      <c r="Z274" t="str">
        <f>IFERROR(__xludf.DUMMYFUNCTION("""COMPUTED_VALUE"""),"Prachinburi Province")</f>
        <v>Prachinburi Province</v>
      </c>
      <c r="AA274" t="str">
        <f>IFERROR(__xludf.DUMMYFUNCTION("""COMPUTED_VALUE"""),"Dindang")</f>
        <v>Dindang</v>
      </c>
      <c r="AB274" t="str">
        <f>IFERROR(__xludf.DUMMYFUNCTION("""COMPUTED_VALUE"""),"081 377 5792")</f>
        <v>081 377 5792</v>
      </c>
      <c r="AC274" t="str">
        <f>IFERROR(__xludf.DUMMYFUNCTION("""COMPUTED_VALUE"""),"Linji")</f>
        <v>Linji</v>
      </c>
      <c r="AD274" t="str">
        <f>IFERROR(__xludf.DUMMYFUNCTION("""COMPUTED_VALUE"""),"laphatradas@airasia.com")</f>
        <v>laphatradas@airasia.com</v>
      </c>
    </row>
    <row r="275">
      <c r="A275" s="142">
        <f>IFERROR(__xludf.DUMMYFUNCTION("""COMPUTED_VALUE"""),45.0)</f>
        <v>45</v>
      </c>
      <c r="B275" t="str">
        <f>IFERROR(__xludf.DUMMYFUNCTION("""COMPUTED_VALUE"""),"TAA3505")</f>
        <v>TAA3505</v>
      </c>
      <c r="C275">
        <f>IFERROR(__xludf.DUMMYFUNCTION("""COMPUTED_VALUE"""),1005953.0)</f>
        <v>1005953</v>
      </c>
      <c r="D275" t="str">
        <f>IFERROR(__xludf.DUMMYFUNCTION("""COMPUTED_VALUE"""),"Ms.")</f>
        <v>Ms.</v>
      </c>
      <c r="E275" t="str">
        <f>IFERROR(__xludf.DUMMYFUNCTION("""COMPUTED_VALUE"""),"Pinchapitch (Patharida)")</f>
        <v>Pinchapitch (Patharida)</v>
      </c>
      <c r="F275" t="str">
        <f>IFERROR(__xludf.DUMMYFUNCTION("""COMPUTED_VALUE"""),"Pinchachartanant (Ittharat)")</f>
        <v>Pinchachartanant (Ittharat)</v>
      </c>
      <c r="G275" t="str">
        <f>IFERROR(__xludf.DUMMYFUNCTION("""COMPUTED_VALUE"""),"Pinchapitch Pinchachartanant")</f>
        <v>Pinchapitch Pinchachartanant</v>
      </c>
      <c r="H275" t="str">
        <f>IFERROR(__xludf.DUMMYFUNCTION("""COMPUTED_VALUE"""),"นางสาว")</f>
        <v>นางสาว</v>
      </c>
      <c r="I275" t="str">
        <f>IFERROR(__xludf.DUMMYFUNCTION("""COMPUTED_VALUE"""),"ปิญชาน์พิชณ์ (ปธาริดา)")</f>
        <v>ปิญชาน์พิชณ์ (ปธาริดา)</v>
      </c>
      <c r="J275" t="str">
        <f>IFERROR(__xludf.DUMMYFUNCTION("""COMPUTED_VALUE"""),"ปิญชาน์ชาติอนันต์ (อิฐรัตน์)")</f>
        <v>ปิญชาน์ชาติอนันต์ (อิฐรัตน์)</v>
      </c>
      <c r="K275" t="str">
        <f>IFERROR(__xludf.DUMMYFUNCTION("""COMPUTED_VALUE"""),"ปิญชาน์พิชณ์ ปิญชาน์ชาติอนันต์")</f>
        <v>ปิญชาน์พิชณ์ ปิญชาน์ชาติอนันต์</v>
      </c>
      <c r="L275" t="str">
        <f>IFERROR(__xludf.DUMMYFUNCTION("""COMPUTED_VALUE"""),"ปอย")</f>
        <v>ปอย</v>
      </c>
      <c r="M275" t="str">
        <f>IFERROR(__xludf.DUMMYFUNCTION("""COMPUTED_VALUE"""),"Senior Cabin Crew")</f>
        <v>Senior Cabin Crew</v>
      </c>
      <c r="N275" t="str">
        <f>IFERROR(__xludf.DUMMYFUNCTION("""COMPUTED_VALUE"""),"DMK")</f>
        <v>DMK</v>
      </c>
      <c r="O275" s="145" t="str">
        <f>IFERROR(__xludf.DUMMYFUNCTION("""COMPUTED_VALUE"""),"Um Home")</f>
        <v>Um Home</v>
      </c>
      <c r="P275" t="str">
        <f>IFERROR(__xludf.DUMMYFUNCTION("""COMPUTED_VALUE"""),"Active")</f>
        <v>Active</v>
      </c>
      <c r="R275" s="143">
        <f>IFERROR(__xludf.DUMMYFUNCTION("""COMPUTED_VALUE"""),31687.0)</f>
        <v>31687</v>
      </c>
      <c r="S275" s="146" t="str">
        <f>IFERROR(__xludf.DUMMYFUNCTION("""COMPUTED_VALUE"""),"083 019 0912")</f>
        <v>083 019 0912</v>
      </c>
      <c r="T275" s="147" t="str">
        <f>IFERROR(__xludf.DUMMYFUNCTION("""COMPUTED_VALUE"""),"34599-0012-8371")</f>
        <v>34599-0012-8371</v>
      </c>
      <c r="U275" t="str">
        <f>IFERROR(__xludf.DUMMYFUNCTION("""COMPUTED_VALUE"""),"AD0705336")</f>
        <v>AD0705336</v>
      </c>
      <c r="V275" s="148">
        <f>IFERROR(__xludf.DUMMYFUNCTION("""COMPUTED_VALUE"""),44956.0)</f>
        <v>44956</v>
      </c>
      <c r="W275" s="148">
        <f>IFERROR(__xludf.DUMMYFUNCTION("""COMPUTED_VALUE"""),48608.0)</f>
        <v>48608</v>
      </c>
      <c r="X275" s="149">
        <f>IFERROR(__xludf.DUMMYFUNCTION("""COMPUTED_VALUE"""),48424.0)</f>
        <v>48424</v>
      </c>
      <c r="Y275" t="str">
        <f>IFERROR(__xludf.DUMMYFUNCTION("""COMPUTED_VALUE"""),"ปลอดภัย")</f>
        <v>ปลอดภัย</v>
      </c>
      <c r="Z275" t="str">
        <f>IFERROR(__xludf.DUMMYFUNCTION("""COMPUTED_VALUE"""),"Roi Et Province")</f>
        <v>Roi Et Province</v>
      </c>
      <c r="AA275" t="str">
        <f>IFERROR(__xludf.DUMMYFUNCTION("""COMPUTED_VALUE"""),"Laksi")</f>
        <v>Laksi</v>
      </c>
      <c r="AB275" t="str">
        <f>IFERROR(__xludf.DUMMYFUNCTION("""COMPUTED_VALUE"""),"084 005 0737")</f>
        <v>084 005 0737</v>
      </c>
      <c r="AC275" t="str">
        <f>IFERROR(__xludf.DUMMYFUNCTION("""COMPUTED_VALUE"""),"Patchariya")</f>
        <v>Patchariya</v>
      </c>
      <c r="AD275" t="str">
        <f>IFERROR(__xludf.DUMMYFUNCTION("""COMPUTED_VALUE"""),"pinchapitchp@airasia.com")</f>
        <v>pinchapitchp@airasia.com</v>
      </c>
    </row>
    <row r="276">
      <c r="A276" s="142">
        <f>IFERROR(__xludf.DUMMYFUNCTION("""COMPUTED_VALUE"""),45.0)</f>
        <v>45</v>
      </c>
      <c r="B276" t="str">
        <f>IFERROR(__xludf.DUMMYFUNCTION("""COMPUTED_VALUE"""),"TAA3500")</f>
        <v>TAA3500</v>
      </c>
      <c r="C276">
        <f>IFERROR(__xludf.DUMMYFUNCTION("""COMPUTED_VALUE"""),1005954.0)</f>
        <v>1005954</v>
      </c>
      <c r="D276" t="str">
        <f>IFERROR(__xludf.DUMMYFUNCTION("""COMPUTED_VALUE"""),"Ms.")</f>
        <v>Ms.</v>
      </c>
      <c r="E276" t="str">
        <f>IFERROR(__xludf.DUMMYFUNCTION("""COMPUTED_VALUE"""),"Pawinee")</f>
        <v>Pawinee</v>
      </c>
      <c r="F276" t="str">
        <f>IFERROR(__xludf.DUMMYFUNCTION("""COMPUTED_VALUE"""),"Srisungnoen")</f>
        <v>Srisungnoen</v>
      </c>
      <c r="G276" t="str">
        <f>IFERROR(__xludf.DUMMYFUNCTION("""COMPUTED_VALUE"""),"Pawinee Srisungnoen")</f>
        <v>Pawinee Srisungnoen</v>
      </c>
      <c r="H276" t="str">
        <f>IFERROR(__xludf.DUMMYFUNCTION("""COMPUTED_VALUE"""),"นางสาว")</f>
        <v>นางสาว</v>
      </c>
      <c r="I276" t="str">
        <f>IFERROR(__xludf.DUMMYFUNCTION("""COMPUTED_VALUE"""),"ภาวิณี")</f>
        <v>ภาวิณี</v>
      </c>
      <c r="J276" t="str">
        <f>IFERROR(__xludf.DUMMYFUNCTION("""COMPUTED_VALUE"""),"ศรีสูงเนิน")</f>
        <v>ศรีสูงเนิน</v>
      </c>
      <c r="K276" t="str">
        <f>IFERROR(__xludf.DUMMYFUNCTION("""COMPUTED_VALUE"""),"ภาวิณี ศรีสูงเนิน")</f>
        <v>ภาวิณี ศรีสูงเนิน</v>
      </c>
      <c r="L276" t="str">
        <f>IFERROR(__xludf.DUMMYFUNCTION("""COMPUTED_VALUE"""),"ส้มโอ")</f>
        <v>ส้มโอ</v>
      </c>
      <c r="M276" t="str">
        <f>IFERROR(__xludf.DUMMYFUNCTION("""COMPUTED_VALUE"""),"Cabin Crew")</f>
        <v>Cabin Crew</v>
      </c>
      <c r="N276" t="str">
        <f>IFERROR(__xludf.DUMMYFUNCTION("""COMPUTED_VALUE"""),"DMK")</f>
        <v>DMK</v>
      </c>
      <c r="O276" s="145" t="str">
        <f>IFERROR(__xludf.DUMMYFUNCTION("""COMPUTED_VALUE"""),"Por+ Home")</f>
        <v>Por+ Home</v>
      </c>
      <c r="P276" t="str">
        <f>IFERROR(__xludf.DUMMYFUNCTION("""COMPUTED_VALUE"""),"Active")</f>
        <v>Active</v>
      </c>
      <c r="R276" s="143">
        <f>IFERROR(__xludf.DUMMYFUNCTION("""COMPUTED_VALUE"""),31747.0)</f>
        <v>31747</v>
      </c>
      <c r="S276" s="146" t="str">
        <f>IFERROR(__xludf.DUMMYFUNCTION("""COMPUTED_VALUE"""),"085 553 5602")</f>
        <v>085 553 5602</v>
      </c>
      <c r="T276" s="147" t="str">
        <f>IFERROR(__xludf.DUMMYFUNCTION("""COMPUTED_VALUE"""),"14099-0030-0224")</f>
        <v>14099-0030-0224</v>
      </c>
      <c r="U276" t="str">
        <f>IFERROR(__xludf.DUMMYFUNCTION("""COMPUTED_VALUE"""),"AD0593607")</f>
        <v>AD0593607</v>
      </c>
      <c r="V276" s="148">
        <f>IFERROR(__xludf.DUMMYFUNCTION("""COMPUTED_VALUE"""),44938.0)</f>
        <v>44938</v>
      </c>
      <c r="W276" s="148">
        <f>IFERROR(__xludf.DUMMYFUNCTION("""COMPUTED_VALUE"""),48590.0)</f>
        <v>48590</v>
      </c>
      <c r="X276" s="149">
        <f>IFERROR(__xludf.DUMMYFUNCTION("""COMPUTED_VALUE"""),48406.0)</f>
        <v>48406</v>
      </c>
      <c r="Y276" t="str">
        <f>IFERROR(__xludf.DUMMYFUNCTION("""COMPUTED_VALUE"""),"ปลอดภัย")</f>
        <v>ปลอดภัย</v>
      </c>
      <c r="Z276" t="str">
        <f>IFERROR(__xludf.DUMMYFUNCTION("""COMPUTED_VALUE"""),"Khon Kaen Province")</f>
        <v>Khon Kaen Province</v>
      </c>
      <c r="AA276" t="str">
        <f>IFERROR(__xludf.DUMMYFUNCTION("""COMPUTED_VALUE"""),"Donmuang")</f>
        <v>Donmuang</v>
      </c>
      <c r="AB276" t="str">
        <f>IFERROR(__xludf.DUMMYFUNCTION("""COMPUTED_VALUE"""),"081 872 8699")</f>
        <v>081 872 8699</v>
      </c>
      <c r="AC276" t="str">
        <f>IFERROR(__xludf.DUMMYFUNCTION("""COMPUTED_VALUE"""),"Aeungfah")</f>
        <v>Aeungfah</v>
      </c>
      <c r="AD276" t="str">
        <f>IFERROR(__xludf.DUMMYFUNCTION("""COMPUTED_VALUE"""),"pawinees@airasia.com")</f>
        <v>pawinees@airasia.com</v>
      </c>
    </row>
    <row r="277">
      <c r="A277" s="142">
        <f>IFERROR(__xludf.DUMMYFUNCTION("""COMPUTED_VALUE"""),45.0)</f>
        <v>45</v>
      </c>
      <c r="B277" t="str">
        <f>IFERROR(__xludf.DUMMYFUNCTION("""COMPUTED_VALUE"""),"TAA3498")</f>
        <v>TAA3498</v>
      </c>
      <c r="C277">
        <f>IFERROR(__xludf.DUMMYFUNCTION("""COMPUTED_VALUE"""),1005956.0)</f>
        <v>1005956</v>
      </c>
      <c r="D277" t="str">
        <f>IFERROR(__xludf.DUMMYFUNCTION("""COMPUTED_VALUE"""),"Mr.")</f>
        <v>Mr.</v>
      </c>
      <c r="E277" t="str">
        <f>IFERROR(__xludf.DUMMYFUNCTION("""COMPUTED_VALUE"""),"Pipat")</f>
        <v>Pipat</v>
      </c>
      <c r="F277" t="str">
        <f>IFERROR(__xludf.DUMMYFUNCTION("""COMPUTED_VALUE"""),"Penpaiboon")</f>
        <v>Penpaiboon</v>
      </c>
      <c r="G277" t="str">
        <f>IFERROR(__xludf.DUMMYFUNCTION("""COMPUTED_VALUE"""),"Pipat Penpaiboon")</f>
        <v>Pipat Penpaiboon</v>
      </c>
      <c r="H277" t="str">
        <f>IFERROR(__xludf.DUMMYFUNCTION("""COMPUTED_VALUE"""),"นาย")</f>
        <v>นาย</v>
      </c>
      <c r="I277" t="str">
        <f>IFERROR(__xludf.DUMMYFUNCTION("""COMPUTED_VALUE"""),"พิพัฒ")</f>
        <v>พิพัฒ</v>
      </c>
      <c r="J277" t="str">
        <f>IFERROR(__xludf.DUMMYFUNCTION("""COMPUTED_VALUE"""),"เพ็ญไพบูลย์")</f>
        <v>เพ็ญไพบูลย์</v>
      </c>
      <c r="K277" t="str">
        <f>IFERROR(__xludf.DUMMYFUNCTION("""COMPUTED_VALUE"""),"พิพัฒ เพ็ญไพบูลย์")</f>
        <v>พิพัฒ เพ็ญไพบูลย์</v>
      </c>
      <c r="L277" t="str">
        <f>IFERROR(__xludf.DUMMYFUNCTION("""COMPUTED_VALUE"""),"ปูน")</f>
        <v>ปูน</v>
      </c>
      <c r="M277" t="str">
        <f>IFERROR(__xludf.DUMMYFUNCTION("""COMPUTED_VALUE"""),"Senior Cabin Crew - BKK")</f>
        <v>Senior Cabin Crew - BKK</v>
      </c>
      <c r="N277" t="str">
        <f>IFERROR(__xludf.DUMMYFUNCTION("""COMPUTED_VALUE"""),"BKK")</f>
        <v>BKK</v>
      </c>
      <c r="O277" s="145" t="str">
        <f>IFERROR(__xludf.DUMMYFUNCTION("""COMPUTED_VALUE"""),"Nhui Home")</f>
        <v>Nhui Home</v>
      </c>
      <c r="P277" t="str">
        <f>IFERROR(__xludf.DUMMYFUNCTION("""COMPUTED_VALUE"""),"Active")</f>
        <v>Active</v>
      </c>
      <c r="R277" s="143">
        <f>IFERROR(__xludf.DUMMYFUNCTION("""COMPUTED_VALUE"""),32745.0)</f>
        <v>32745</v>
      </c>
      <c r="S277" s="146" t="str">
        <f>IFERROR(__xludf.DUMMYFUNCTION("""COMPUTED_VALUE"""),"087 692 1606")</f>
        <v>087 692 1606</v>
      </c>
      <c r="T277" s="147" t="str">
        <f>IFERROR(__xludf.DUMMYFUNCTION("""COMPUTED_VALUE"""),"11014-0177-0794")</f>
        <v>11014-0177-0794</v>
      </c>
      <c r="U277" t="str">
        <f>IFERROR(__xludf.DUMMYFUNCTION("""COMPUTED_VALUE"""),"AD0593607")</f>
        <v>AD0593607</v>
      </c>
      <c r="V277" s="148">
        <f>IFERROR(__xludf.DUMMYFUNCTION("""COMPUTED_VALUE"""),44938.0)</f>
        <v>44938</v>
      </c>
      <c r="W277" s="148">
        <f>IFERROR(__xludf.DUMMYFUNCTION("""COMPUTED_VALUE"""),48590.0)</f>
        <v>48590</v>
      </c>
      <c r="X277" s="149">
        <f>IFERROR(__xludf.DUMMYFUNCTION("""COMPUTED_VALUE"""),48406.0)</f>
        <v>48406</v>
      </c>
      <c r="Y277" t="str">
        <f>IFERROR(__xludf.DUMMYFUNCTION("""COMPUTED_VALUE"""),"ปลอดภัย")</f>
        <v>ปลอดภัย</v>
      </c>
      <c r="Z277" t="str">
        <f>IFERROR(__xludf.DUMMYFUNCTION("""COMPUTED_VALUE"""),"Bangkok")</f>
        <v>Bangkok</v>
      </c>
      <c r="AA277" t="str">
        <f>IFERROR(__xludf.DUMMYFUNCTION("""COMPUTED_VALUE"""),"Nongchok")</f>
        <v>Nongchok</v>
      </c>
      <c r="AB277" t="str">
        <f>IFERROR(__xludf.DUMMYFUNCTION("""COMPUTED_VALUE"""),"087 999 4315")</f>
        <v>087 999 4315</v>
      </c>
      <c r="AC277" t="str">
        <f>IFERROR(__xludf.DUMMYFUNCTION("""COMPUTED_VALUE"""),"Tapanee")</f>
        <v>Tapanee</v>
      </c>
      <c r="AD277" t="str">
        <f>IFERROR(__xludf.DUMMYFUNCTION("""COMPUTED_VALUE"""),"pipate@airasia.com")</f>
        <v>pipate@airasia.com</v>
      </c>
    </row>
    <row r="278">
      <c r="A278" s="142">
        <f>IFERROR(__xludf.DUMMYFUNCTION("""COMPUTED_VALUE"""),45.0)</f>
        <v>45</v>
      </c>
      <c r="B278" t="str">
        <f>IFERROR(__xludf.DUMMYFUNCTION("""COMPUTED_VALUE"""),"TAA3502")</f>
        <v>TAA3502</v>
      </c>
      <c r="C278">
        <f>IFERROR(__xludf.DUMMYFUNCTION("""COMPUTED_VALUE"""),1005957.0)</f>
        <v>1005957</v>
      </c>
      <c r="D278" t="str">
        <f>IFERROR(__xludf.DUMMYFUNCTION("""COMPUTED_VALUE"""),"Ms.")</f>
        <v>Ms.</v>
      </c>
      <c r="E278" t="str">
        <f>IFERROR(__xludf.DUMMYFUNCTION("""COMPUTED_VALUE"""),"Praewpailin")</f>
        <v>Praewpailin</v>
      </c>
      <c r="F278" t="str">
        <f>IFERROR(__xludf.DUMMYFUNCTION("""COMPUTED_VALUE"""),"Kiatpipattanakul (Dista)")</f>
        <v>Kiatpipattanakul (Dista)</v>
      </c>
      <c r="G278" t="str">
        <f>IFERROR(__xludf.DUMMYFUNCTION("""COMPUTED_VALUE"""),"Praewpailin Kiatpipattanakul")</f>
        <v>Praewpailin Kiatpipattanakul</v>
      </c>
      <c r="H278" t="str">
        <f>IFERROR(__xludf.DUMMYFUNCTION("""COMPUTED_VALUE"""),"นางสาว")</f>
        <v>นางสาว</v>
      </c>
      <c r="I278" t="str">
        <f>IFERROR(__xludf.DUMMYFUNCTION("""COMPUTED_VALUE"""),"แพรวไพลิน")</f>
        <v>แพรวไพลิน</v>
      </c>
      <c r="J278" t="str">
        <f>IFERROR(__xludf.DUMMYFUNCTION("""COMPUTED_VALUE"""),"เกียรติพิพัฒนกุล (ดิษฐะ)")</f>
        <v>เกียรติพิพัฒนกุล (ดิษฐะ)</v>
      </c>
      <c r="K278" t="str">
        <f>IFERROR(__xludf.DUMMYFUNCTION("""COMPUTED_VALUE"""),"แพรวไพลิน เกียรติพิพัฒนกุล")</f>
        <v>แพรวไพลิน เกียรติพิพัฒนกุล</v>
      </c>
      <c r="L278" t="str">
        <f>IFERROR(__xludf.DUMMYFUNCTION("""COMPUTED_VALUE"""),"มินท์")</f>
        <v>มินท์</v>
      </c>
      <c r="M278" t="str">
        <f>IFERROR(__xludf.DUMMYFUNCTION("""COMPUTED_VALUE"""),"Senior Cabin Crew")</f>
        <v>Senior Cabin Crew</v>
      </c>
      <c r="N278" t="str">
        <f>IFERROR(__xludf.DUMMYFUNCTION("""COMPUTED_VALUE"""),"DMK")</f>
        <v>DMK</v>
      </c>
      <c r="O278" s="145" t="str">
        <f>IFERROR(__xludf.DUMMYFUNCTION("""COMPUTED_VALUE"""),"Um Home")</f>
        <v>Um Home</v>
      </c>
      <c r="P278" t="str">
        <f>IFERROR(__xludf.DUMMYFUNCTION("""COMPUTED_VALUE"""),"Active")</f>
        <v>Active</v>
      </c>
      <c r="Q278" t="str">
        <f>IFERROR(__xludf.DUMMYFUNCTION("""COMPUTED_VALUE"""),"Chinese Speaking")</f>
        <v>Chinese Speaking</v>
      </c>
      <c r="R278" s="143">
        <f>IFERROR(__xludf.DUMMYFUNCTION("""COMPUTED_VALUE"""),31181.0)</f>
        <v>31181</v>
      </c>
      <c r="S278" s="146" t="str">
        <f>IFERROR(__xludf.DUMMYFUNCTION("""COMPUTED_VALUE"""),"099 419 6635")</f>
        <v>099 419 6635</v>
      </c>
      <c r="T278" s="147" t="str">
        <f>IFERROR(__xludf.DUMMYFUNCTION("""COMPUTED_VALUE"""),"12299-0006-2864")</f>
        <v>12299-0006-2864</v>
      </c>
      <c r="U278" t="str">
        <f>IFERROR(__xludf.DUMMYFUNCTION("""COMPUTED_VALUE"""),"AC4320553")</f>
        <v>AC4320553</v>
      </c>
      <c r="V278" s="148">
        <f>IFERROR(__xludf.DUMMYFUNCTION("""COMPUTED_VALUE"""),44921.0)</f>
        <v>44921</v>
      </c>
      <c r="W278" s="148">
        <f>IFERROR(__xludf.DUMMYFUNCTION("""COMPUTED_VALUE"""),48573.0)</f>
        <v>48573</v>
      </c>
      <c r="X278" s="149">
        <f>IFERROR(__xludf.DUMMYFUNCTION("""COMPUTED_VALUE"""),48390.0)</f>
        <v>48390</v>
      </c>
      <c r="Y278" t="str">
        <f>IFERROR(__xludf.DUMMYFUNCTION("""COMPUTED_VALUE"""),"ปลอดภัย")</f>
        <v>ปลอดภัย</v>
      </c>
      <c r="Z278" t="str">
        <f>IFERROR(__xludf.DUMMYFUNCTION("""COMPUTED_VALUE"""),"Chanthaburi Province")</f>
        <v>Chanthaburi Province</v>
      </c>
      <c r="AA278" t="str">
        <f>IFERROR(__xludf.DUMMYFUNCTION("""COMPUTED_VALUE"""),"Dindang")</f>
        <v>Dindang</v>
      </c>
      <c r="AB278" t="str">
        <f>IFERROR(__xludf.DUMMYFUNCTION("""COMPUTED_VALUE"""),"087 496 4884")</f>
        <v>087 496 4884</v>
      </c>
      <c r="AC278" t="str">
        <f>IFERROR(__xludf.DUMMYFUNCTION("""COMPUTED_VALUE"""),"Wannika")</f>
        <v>Wannika</v>
      </c>
      <c r="AD278" t="str">
        <f>IFERROR(__xludf.DUMMYFUNCTION("""COMPUTED_VALUE"""),"praewpailink@airasia.com")</f>
        <v>praewpailink@airasia.com</v>
      </c>
    </row>
    <row r="279">
      <c r="A279" s="142">
        <f>IFERROR(__xludf.DUMMYFUNCTION("""COMPUTED_VALUE"""),45.0)</f>
        <v>45</v>
      </c>
      <c r="B279" t="str">
        <f>IFERROR(__xludf.DUMMYFUNCTION("""COMPUTED_VALUE"""),"TAA3508")</f>
        <v>TAA3508</v>
      </c>
      <c r="C279">
        <f>IFERROR(__xludf.DUMMYFUNCTION("""COMPUTED_VALUE"""),1005958.0)</f>
        <v>1005958</v>
      </c>
      <c r="D279" t="str">
        <f>IFERROR(__xludf.DUMMYFUNCTION("""COMPUTED_VALUE"""),"Mr.")</f>
        <v>Mr.</v>
      </c>
      <c r="E279" t="str">
        <f>IFERROR(__xludf.DUMMYFUNCTION("""COMPUTED_VALUE"""),"Pumipat")</f>
        <v>Pumipat</v>
      </c>
      <c r="F279" t="str">
        <f>IFERROR(__xludf.DUMMYFUNCTION("""COMPUTED_VALUE"""),"Khorkongprasert")</f>
        <v>Khorkongprasert</v>
      </c>
      <c r="G279" t="str">
        <f>IFERROR(__xludf.DUMMYFUNCTION("""COMPUTED_VALUE"""),"Pumipat Khorkongprasert")</f>
        <v>Pumipat Khorkongprasert</v>
      </c>
      <c r="H279" t="str">
        <f>IFERROR(__xludf.DUMMYFUNCTION("""COMPUTED_VALUE"""),"นาย")</f>
        <v>นาย</v>
      </c>
      <c r="I279" t="str">
        <f>IFERROR(__xludf.DUMMYFUNCTION("""COMPUTED_VALUE"""),"ภูมิพัฒน์")</f>
        <v>ภูมิพัฒน์</v>
      </c>
      <c r="J279" t="str">
        <f>IFERROR(__xludf.DUMMYFUNCTION("""COMPUTED_VALUE"""),"ขอคงประเสริฐ")</f>
        <v>ขอคงประเสริฐ</v>
      </c>
      <c r="K279" t="str">
        <f>IFERROR(__xludf.DUMMYFUNCTION("""COMPUTED_VALUE"""),"ภูมิพัฒน์ ขอคงประเสริฐ")</f>
        <v>ภูมิพัฒน์ ขอคงประเสริฐ</v>
      </c>
      <c r="L279" t="str">
        <f>IFERROR(__xludf.DUMMYFUNCTION("""COMPUTED_VALUE"""),"พู")</f>
        <v>พู</v>
      </c>
      <c r="M279" t="str">
        <f>IFERROR(__xludf.DUMMYFUNCTION("""COMPUTED_VALUE"""),"Senior Cabin Crew")</f>
        <v>Senior Cabin Crew</v>
      </c>
      <c r="N279" t="str">
        <f>IFERROR(__xludf.DUMMYFUNCTION("""COMPUTED_VALUE"""),"DMK")</f>
        <v>DMK</v>
      </c>
      <c r="O279" s="145" t="str">
        <f>IFERROR(__xludf.DUMMYFUNCTION("""COMPUTED_VALUE"""),"Por+ Home")</f>
        <v>Por+ Home</v>
      </c>
      <c r="P279" t="str">
        <f>IFERROR(__xludf.DUMMYFUNCTION("""COMPUTED_VALUE"""),"Active")</f>
        <v>Active</v>
      </c>
      <c r="Q279" t="str">
        <f>IFERROR(__xludf.DUMMYFUNCTION("""COMPUTED_VALUE"""),"Japanese Speaking")</f>
        <v>Japanese Speaking</v>
      </c>
      <c r="R279" s="143">
        <f>IFERROR(__xludf.DUMMYFUNCTION("""COMPUTED_VALUE"""),31310.0)</f>
        <v>31310</v>
      </c>
      <c r="S279" s="146" t="str">
        <f>IFERROR(__xludf.DUMMYFUNCTION("""COMPUTED_VALUE"""),"089 724 4363")</f>
        <v>089 724 4363</v>
      </c>
      <c r="T279" s="147" t="str">
        <f>IFERROR(__xludf.DUMMYFUNCTION("""COMPUTED_VALUE"""),"18599-0001-8304")</f>
        <v>18599-0001-8304</v>
      </c>
      <c r="U279" t="str">
        <f>IFERROR(__xludf.DUMMYFUNCTION("""COMPUTED_VALUE"""),"AC5746330")</f>
        <v>AC5746330</v>
      </c>
      <c r="V279" s="148">
        <f>IFERROR(__xludf.DUMMYFUNCTION("""COMPUTED_VALUE"""),45201.0)</f>
        <v>45201</v>
      </c>
      <c r="W279" s="148">
        <f>IFERROR(__xludf.DUMMYFUNCTION("""COMPUTED_VALUE"""),48853.0)</f>
        <v>48853</v>
      </c>
      <c r="X279" s="149">
        <f>IFERROR(__xludf.DUMMYFUNCTION("""COMPUTED_VALUE"""),48670.0)</f>
        <v>48670</v>
      </c>
      <c r="Y279" t="str">
        <f>IFERROR(__xludf.DUMMYFUNCTION("""COMPUTED_VALUE"""),"ปลอดภัย")</f>
        <v>ปลอดภัย</v>
      </c>
      <c r="Z279" t="str">
        <f>IFERROR(__xludf.DUMMYFUNCTION("""COMPUTED_VALUE"""),"Ranong Province")</f>
        <v>Ranong Province</v>
      </c>
      <c r="AA279" t="str">
        <f>IFERROR(__xludf.DUMMYFUNCTION("""COMPUTED_VALUE"""),"Suanluang")</f>
        <v>Suanluang</v>
      </c>
      <c r="AB279" t="str">
        <f>IFERROR(__xludf.DUMMYFUNCTION("""COMPUTED_VALUE"""),"089 729 3010")</f>
        <v>089 729 3010</v>
      </c>
      <c r="AC279" t="str">
        <f>IFERROR(__xludf.DUMMYFUNCTION("""COMPUTED_VALUE"""),"Nuttakorn")</f>
        <v>Nuttakorn</v>
      </c>
      <c r="AD279" t="str">
        <f>IFERROR(__xludf.DUMMYFUNCTION("""COMPUTED_VALUE"""),"pumipatk@airasia.com")</f>
        <v>pumipatk@airasia.com</v>
      </c>
    </row>
    <row r="280">
      <c r="A280" s="142">
        <f>IFERROR(__xludf.DUMMYFUNCTION("""COMPUTED_VALUE"""),45.0)</f>
        <v>45</v>
      </c>
      <c r="B280" t="str">
        <f>IFERROR(__xludf.DUMMYFUNCTION("""COMPUTED_VALUE"""),"TAA3495")</f>
        <v>TAA3495</v>
      </c>
      <c r="C280">
        <f>IFERROR(__xludf.DUMMYFUNCTION("""COMPUTED_VALUE"""),1005964.0)</f>
        <v>1005964</v>
      </c>
      <c r="D280" t="str">
        <f>IFERROR(__xludf.DUMMYFUNCTION("""COMPUTED_VALUE"""),"Ms.")</f>
        <v>Ms.</v>
      </c>
      <c r="E280" t="str">
        <f>IFERROR(__xludf.DUMMYFUNCTION("""COMPUTED_VALUE"""),"Sawitri")</f>
        <v>Sawitri</v>
      </c>
      <c r="F280" t="str">
        <f>IFERROR(__xludf.DUMMYFUNCTION("""COMPUTED_VALUE"""),"Siribunrueangwong")</f>
        <v>Siribunrueangwong</v>
      </c>
      <c r="G280" t="str">
        <f>IFERROR(__xludf.DUMMYFUNCTION("""COMPUTED_VALUE"""),"Sawitri Siribunrueangwong")</f>
        <v>Sawitri Siribunrueangwong</v>
      </c>
      <c r="H280" t="str">
        <f>IFERROR(__xludf.DUMMYFUNCTION("""COMPUTED_VALUE"""),"นางสาว")</f>
        <v>นางสาว</v>
      </c>
      <c r="I280" t="str">
        <f>IFERROR(__xludf.DUMMYFUNCTION("""COMPUTED_VALUE"""),"สาวิตรี")</f>
        <v>สาวิตรี</v>
      </c>
      <c r="J280" t="str">
        <f>IFERROR(__xludf.DUMMYFUNCTION("""COMPUTED_VALUE"""),"ศิริบุญเรืองวงศ์")</f>
        <v>ศิริบุญเรืองวงศ์</v>
      </c>
      <c r="K280" t="str">
        <f>IFERROR(__xludf.DUMMYFUNCTION("""COMPUTED_VALUE"""),"สาวิตรี ศิริบุญเรืองวงศ์")</f>
        <v>สาวิตรี ศิริบุญเรืองวงศ์</v>
      </c>
      <c r="L280" t="str">
        <f>IFERROR(__xludf.DUMMYFUNCTION("""COMPUTED_VALUE"""),"กวาง")</f>
        <v>กวาง</v>
      </c>
      <c r="M280" t="str">
        <f>IFERROR(__xludf.DUMMYFUNCTION("""COMPUTED_VALUE"""),"Cabin Crew")</f>
        <v>Cabin Crew</v>
      </c>
      <c r="N280" t="str">
        <f>IFERROR(__xludf.DUMMYFUNCTION("""COMPUTED_VALUE"""),"DMK")</f>
        <v>DMK</v>
      </c>
      <c r="O280" s="145" t="str">
        <f>IFERROR(__xludf.DUMMYFUNCTION("""COMPUTED_VALUE"""),"Um Home")</f>
        <v>Um Home</v>
      </c>
      <c r="P280" t="str">
        <f>IFERROR(__xludf.DUMMYFUNCTION("""COMPUTED_VALUE"""),"Active")</f>
        <v>Active</v>
      </c>
      <c r="R280" s="143">
        <f>IFERROR(__xludf.DUMMYFUNCTION("""COMPUTED_VALUE"""),31850.0)</f>
        <v>31850</v>
      </c>
      <c r="S280" s="146" t="str">
        <f>IFERROR(__xludf.DUMMYFUNCTION("""COMPUTED_VALUE"""),"089 893 1530")</f>
        <v>089 893 1530</v>
      </c>
      <c r="T280" s="147" t="str">
        <f>IFERROR(__xludf.DUMMYFUNCTION("""COMPUTED_VALUE"""),"11008-0032-7133")</f>
        <v>11008-0032-7133</v>
      </c>
      <c r="U280" t="str">
        <f>IFERROR(__xludf.DUMMYFUNCTION("""COMPUTED_VALUE"""),"AC5274403")</f>
        <v>AC5274403</v>
      </c>
      <c r="V280" s="148">
        <f>IFERROR(__xludf.DUMMYFUNCTION("""COMPUTED_VALUE"""),45116.0)</f>
        <v>45116</v>
      </c>
      <c r="W280" s="148">
        <f>IFERROR(__xludf.DUMMYFUNCTION("""COMPUTED_VALUE"""),48768.0)</f>
        <v>48768</v>
      </c>
      <c r="X280" s="149">
        <f>IFERROR(__xludf.DUMMYFUNCTION("""COMPUTED_VALUE"""),48587.0)</f>
        <v>48587</v>
      </c>
      <c r="Y280" t="str">
        <f>IFERROR(__xludf.DUMMYFUNCTION("""COMPUTED_VALUE"""),"ปลอดภัย")</f>
        <v>ปลอดภัย</v>
      </c>
      <c r="Z280" t="str">
        <f>IFERROR(__xludf.DUMMYFUNCTION("""COMPUTED_VALUE"""),"Bangkok")</f>
        <v>Bangkok</v>
      </c>
      <c r="AA280" t="str">
        <f>IFERROR(__xludf.DUMMYFUNCTION("""COMPUTED_VALUE"""),"Pomprabsattruphai")</f>
        <v>Pomprabsattruphai</v>
      </c>
      <c r="AB280" t="str">
        <f>IFERROR(__xludf.DUMMYFUNCTION("""COMPUTED_VALUE"""),"089 449 6253")</f>
        <v>089 449 6253</v>
      </c>
      <c r="AC280" t="str">
        <f>IFERROR(__xludf.DUMMYFUNCTION("""COMPUTED_VALUE"""),"Wannisa")</f>
        <v>Wannisa</v>
      </c>
      <c r="AD280" t="str">
        <f>IFERROR(__xludf.DUMMYFUNCTION("""COMPUTED_VALUE"""),"sawitris@airasia.com")</f>
        <v>sawitris@airasia.com</v>
      </c>
    </row>
    <row r="281">
      <c r="A281" s="142">
        <f>IFERROR(__xludf.DUMMYFUNCTION("""COMPUTED_VALUE"""),45.0)</f>
        <v>45</v>
      </c>
      <c r="B281" t="str">
        <f>IFERROR(__xludf.DUMMYFUNCTION("""COMPUTED_VALUE"""),"TAA3507")</f>
        <v>TAA3507</v>
      </c>
      <c r="C281">
        <f>IFERROR(__xludf.DUMMYFUNCTION("""COMPUTED_VALUE"""),1005967.0)</f>
        <v>1005967</v>
      </c>
      <c r="D281" t="str">
        <f>IFERROR(__xludf.DUMMYFUNCTION("""COMPUTED_VALUE"""),"Mr.")</f>
        <v>Mr.</v>
      </c>
      <c r="E281" t="str">
        <f>IFERROR(__xludf.DUMMYFUNCTION("""COMPUTED_VALUE"""),"Yukol (Thakrit)")</f>
        <v>Yukol (Thakrit)</v>
      </c>
      <c r="F281" t="str">
        <f>IFERROR(__xludf.DUMMYFUNCTION("""COMPUTED_VALUE"""),"Phubunjongkij")</f>
        <v>Phubunjongkij</v>
      </c>
      <c r="G281" t="str">
        <f>IFERROR(__xludf.DUMMYFUNCTION("""COMPUTED_VALUE"""),"Yukol Phubunjongkij")</f>
        <v>Yukol Phubunjongkij</v>
      </c>
      <c r="H281" t="str">
        <f>IFERROR(__xludf.DUMMYFUNCTION("""COMPUTED_VALUE"""),"นาย")</f>
        <v>นาย</v>
      </c>
      <c r="I281" t="str">
        <f>IFERROR(__xludf.DUMMYFUNCTION("""COMPUTED_VALUE"""),"ยุคล (ธกฤต)")</f>
        <v>ยุคล (ธกฤต)</v>
      </c>
      <c r="J281" t="str">
        <f>IFERROR(__xludf.DUMMYFUNCTION("""COMPUTED_VALUE"""),"ภูบรรจงกิจ")</f>
        <v>ภูบรรจงกิจ</v>
      </c>
      <c r="K281" t="str">
        <f>IFERROR(__xludf.DUMMYFUNCTION("""COMPUTED_VALUE"""),"ยุคล ภูบรรจงกิจ")</f>
        <v>ยุคล ภูบรรจงกิจ</v>
      </c>
      <c r="L281" t="str">
        <f>IFERROR(__xludf.DUMMYFUNCTION("""COMPUTED_VALUE"""),"อั้ม")</f>
        <v>อั้ม</v>
      </c>
      <c r="M281" t="str">
        <f>IFERROR(__xludf.DUMMYFUNCTION("""COMPUTED_VALUE"""),"Senior Cabin Crew")</f>
        <v>Senior Cabin Crew</v>
      </c>
      <c r="N281" t="str">
        <f>IFERROR(__xludf.DUMMYFUNCTION("""COMPUTED_VALUE"""),"DMK")</f>
        <v>DMK</v>
      </c>
      <c r="O281" s="145" t="str">
        <f>IFERROR(__xludf.DUMMYFUNCTION("""COMPUTED_VALUE"""),"Kor Home")</f>
        <v>Kor Home</v>
      </c>
      <c r="P281" t="str">
        <f>IFERROR(__xludf.DUMMYFUNCTION("""COMPUTED_VALUE"""),"Active")</f>
        <v>Active</v>
      </c>
      <c r="Q281" t="str">
        <f>IFERROR(__xludf.DUMMYFUNCTION("""COMPUTED_VALUE"""),"SCC Line Checker 2025")</f>
        <v>SCC Line Checker 2025</v>
      </c>
      <c r="R281" s="143">
        <f>IFERROR(__xludf.DUMMYFUNCTION("""COMPUTED_VALUE"""),31915.0)</f>
        <v>31915</v>
      </c>
      <c r="S281" s="146" t="str">
        <f>IFERROR(__xludf.DUMMYFUNCTION("""COMPUTED_VALUE"""),"087-554-6924")</f>
        <v>087-554-6924</v>
      </c>
      <c r="T281" s="147" t="str">
        <f>IFERROR(__xludf.DUMMYFUNCTION("""COMPUTED_VALUE"""),"11020-0078-7689")</f>
        <v>11020-0078-7689</v>
      </c>
      <c r="U281" t="str">
        <f>IFERROR(__xludf.DUMMYFUNCTION("""COMPUTED_VALUE"""),"AC2296817")</f>
        <v>AC2296817</v>
      </c>
      <c r="V281" s="148">
        <f>IFERROR(__xludf.DUMMYFUNCTION("""COMPUTED_VALUE"""),44349.0)</f>
        <v>44349</v>
      </c>
      <c r="W281" s="148">
        <f>IFERROR(__xludf.DUMMYFUNCTION("""COMPUTED_VALUE"""),48000.0)</f>
        <v>48000</v>
      </c>
      <c r="X281" s="149">
        <f>IFERROR(__xludf.DUMMYFUNCTION("""COMPUTED_VALUE"""),47818.0)</f>
        <v>47818</v>
      </c>
      <c r="Y281" t="str">
        <f>IFERROR(__xludf.DUMMYFUNCTION("""COMPUTED_VALUE"""),"ปลอดภัย")</f>
        <v>ปลอดภัย</v>
      </c>
      <c r="Z281" t="str">
        <f>IFERROR(__xludf.DUMMYFUNCTION("""COMPUTED_VALUE"""),"Bangkok")</f>
        <v>Bangkok</v>
      </c>
      <c r="AA281" t="str">
        <f>IFERROR(__xludf.DUMMYFUNCTION("""COMPUTED_VALUE"""),"Nonthaburi")</f>
        <v>Nonthaburi</v>
      </c>
      <c r="AB281" t="str">
        <f>IFERROR(__xludf.DUMMYFUNCTION("""COMPUTED_VALUE"""),"081 425 5844")</f>
        <v>081 425 5844</v>
      </c>
      <c r="AD281" t="str">
        <f>IFERROR(__xludf.DUMMYFUNCTION("""COMPUTED_VALUE"""),"yukolphu@airasia.com")</f>
        <v>yukolphu@airasia.com</v>
      </c>
    </row>
    <row r="282">
      <c r="A282" s="142">
        <f>IFERROR(__xludf.DUMMYFUNCTION("""COMPUTED_VALUE"""),45.0)</f>
        <v>45</v>
      </c>
      <c r="B282" t="str">
        <f>IFERROR(__xludf.DUMMYFUNCTION("""COMPUTED_VALUE"""),"TAA3497")</f>
        <v>TAA3497</v>
      </c>
      <c r="C282">
        <f>IFERROR(__xludf.DUMMYFUNCTION("""COMPUTED_VALUE"""),1005972.0)</f>
        <v>1005972</v>
      </c>
      <c r="D282" t="str">
        <f>IFERROR(__xludf.DUMMYFUNCTION("""COMPUTED_VALUE"""),"Mr.")</f>
        <v>Mr.</v>
      </c>
      <c r="E282" t="str">
        <f>IFERROR(__xludf.DUMMYFUNCTION("""COMPUTED_VALUE"""),"Wuttipon")</f>
        <v>Wuttipon</v>
      </c>
      <c r="F282" t="str">
        <f>IFERROR(__xludf.DUMMYFUNCTION("""COMPUTED_VALUE"""),"Onpuns")</f>
        <v>Onpuns</v>
      </c>
      <c r="G282" t="str">
        <f>IFERROR(__xludf.DUMMYFUNCTION("""COMPUTED_VALUE"""),"Wuttipon Onpuns")</f>
        <v>Wuttipon Onpuns</v>
      </c>
      <c r="H282" t="str">
        <f>IFERROR(__xludf.DUMMYFUNCTION("""COMPUTED_VALUE"""),"นาย")</f>
        <v>นาย</v>
      </c>
      <c r="I282" t="str">
        <f>IFERROR(__xludf.DUMMYFUNCTION("""COMPUTED_VALUE"""),"วุฒิพล")</f>
        <v>วุฒิพล</v>
      </c>
      <c r="J282" t="str">
        <f>IFERROR(__xludf.DUMMYFUNCTION("""COMPUTED_VALUE"""),"อ้นปันส์")</f>
        <v>อ้นปันส์</v>
      </c>
      <c r="K282" t="str">
        <f>IFERROR(__xludf.DUMMYFUNCTION("""COMPUTED_VALUE"""),"วุฒิพล อ้นปันส์")</f>
        <v>วุฒิพล อ้นปันส์</v>
      </c>
      <c r="L282" t="str">
        <f>IFERROR(__xludf.DUMMYFUNCTION("""COMPUTED_VALUE"""),"เดียร์")</f>
        <v>เดียร์</v>
      </c>
      <c r="M282" t="str">
        <f>IFERROR(__xludf.DUMMYFUNCTION("""COMPUTED_VALUE"""),"Cabin Crew - CNX")</f>
        <v>Cabin Crew - CNX</v>
      </c>
      <c r="N282" t="str">
        <f>IFERROR(__xludf.DUMMYFUNCTION("""COMPUTED_VALUE"""),"CNX")</f>
        <v>CNX</v>
      </c>
      <c r="O282" s="145" t="str">
        <f>IFERROR(__xludf.DUMMYFUNCTION("""COMPUTED_VALUE"""),"Up Home")</f>
        <v>Up Home</v>
      </c>
      <c r="P282" t="str">
        <f>IFERROR(__xludf.DUMMYFUNCTION("""COMPUTED_VALUE"""),"Active")</f>
        <v>Active</v>
      </c>
      <c r="R282" s="143">
        <f>IFERROR(__xludf.DUMMYFUNCTION("""COMPUTED_VALUE"""),31349.0)</f>
        <v>31349</v>
      </c>
      <c r="S282" s="146" t="str">
        <f>IFERROR(__xludf.DUMMYFUNCTION("""COMPUTED_VALUE"""),"086 321 2371")</f>
        <v>086 321 2371</v>
      </c>
      <c r="T282" s="147" t="str">
        <f>IFERROR(__xludf.DUMMYFUNCTION("""COMPUTED_VALUE"""),"17099-0015-6325")</f>
        <v>17099-0015-6325</v>
      </c>
      <c r="U282" t="str">
        <f>IFERROR(__xludf.DUMMYFUNCTION("""COMPUTED_VALUE"""),"AD3327105")</f>
        <v>AD3327105</v>
      </c>
      <c r="V282" s="148">
        <f>IFERROR(__xludf.DUMMYFUNCTION("""COMPUTED_VALUE"""),46097.0)</f>
        <v>46097</v>
      </c>
      <c r="W282" s="148">
        <f>IFERROR(__xludf.DUMMYFUNCTION("""COMPUTED_VALUE"""),49749.0)</f>
        <v>49749</v>
      </c>
      <c r="X282" s="149">
        <f>IFERROR(__xludf.DUMMYFUNCTION("""COMPUTED_VALUE"""),49567.0)</f>
        <v>49567</v>
      </c>
      <c r="Y282" t="str">
        <f>IFERROR(__xludf.DUMMYFUNCTION("""COMPUTED_VALUE"""),"ปลอดภัย")</f>
        <v>ปลอดภัย</v>
      </c>
      <c r="Z282" t="str">
        <f>IFERROR(__xludf.DUMMYFUNCTION("""COMPUTED_VALUE"""),"Ratchaburi")</f>
        <v>Ratchaburi</v>
      </c>
      <c r="AA282" t="str">
        <f>IFERROR(__xludf.DUMMYFUNCTION("""COMPUTED_VALUE"""),"Nakonpatom")</f>
        <v>Nakonpatom</v>
      </c>
      <c r="AB282" t="str">
        <f>IFERROR(__xludf.DUMMYFUNCTION("""COMPUTED_VALUE"""),"087 153 3567")</f>
        <v>087 153 3567</v>
      </c>
      <c r="AC282" t="str">
        <f>IFERROR(__xludf.DUMMYFUNCTION("""COMPUTED_VALUE"""),"Thanadit")</f>
        <v>Thanadit</v>
      </c>
      <c r="AD282" t="str">
        <f>IFERROR(__xludf.DUMMYFUNCTION("""COMPUTED_VALUE"""),"wuttipono@airasia.com")</f>
        <v>wuttipono@airasia.com</v>
      </c>
    </row>
    <row r="283">
      <c r="AD283" t="str">
        <f>IFERROR(__xludf.DUMMYFUNCTION("""COMPUTED_VALUE"""),"")</f>
        <v/>
      </c>
    </row>
    <row r="284">
      <c r="A284" s="142">
        <f>IFERROR(__xludf.DUMMYFUNCTION("""COMPUTED_VALUE"""),46.0)</f>
        <v>46</v>
      </c>
      <c r="B284" t="str">
        <f>IFERROR(__xludf.DUMMYFUNCTION("""COMPUTED_VALUE"""),"TAA3618")</f>
        <v>TAA3618</v>
      </c>
      <c r="C284">
        <f>IFERROR(__xludf.DUMMYFUNCTION("""COMPUTED_VALUE"""),1006052.0)</f>
        <v>1006052</v>
      </c>
      <c r="D284" t="str">
        <f>IFERROR(__xludf.DUMMYFUNCTION("""COMPUTED_VALUE"""),"Ms.")</f>
        <v>Ms.</v>
      </c>
      <c r="E284" t="str">
        <f>IFERROR(__xludf.DUMMYFUNCTION("""COMPUTED_VALUE"""),"Ananya")</f>
        <v>Ananya</v>
      </c>
      <c r="F284" t="str">
        <f>IFERROR(__xludf.DUMMYFUNCTION("""COMPUTED_VALUE"""),"Sindhusen")</f>
        <v>Sindhusen</v>
      </c>
      <c r="G284" t="str">
        <f>IFERROR(__xludf.DUMMYFUNCTION("""COMPUTED_VALUE"""),"Ananya Sindhusen")</f>
        <v>Ananya Sindhusen</v>
      </c>
      <c r="H284" t="str">
        <f>IFERROR(__xludf.DUMMYFUNCTION("""COMPUTED_VALUE"""),"นางสาว")</f>
        <v>นางสาว</v>
      </c>
      <c r="I284" t="str">
        <f>IFERROR(__xludf.DUMMYFUNCTION("""COMPUTED_VALUE"""),"อนัญญา")</f>
        <v>อนัญญา</v>
      </c>
      <c r="J284" t="str">
        <f>IFERROR(__xludf.DUMMYFUNCTION("""COMPUTED_VALUE"""),"สินธุเสน")</f>
        <v>สินธุเสน</v>
      </c>
      <c r="K284" t="str">
        <f>IFERROR(__xludf.DUMMYFUNCTION("""COMPUTED_VALUE"""),"อนัญญา สินธุเสน")</f>
        <v>อนัญญา สินธุเสน</v>
      </c>
      <c r="L284" t="str">
        <f>IFERROR(__xludf.DUMMYFUNCTION("""COMPUTED_VALUE"""),"กวาง")</f>
        <v>กวาง</v>
      </c>
      <c r="M284" t="str">
        <f>IFERROR(__xludf.DUMMYFUNCTION("""COMPUTED_VALUE"""),"Cabin Crew")</f>
        <v>Cabin Crew</v>
      </c>
      <c r="N284" t="str">
        <f>IFERROR(__xludf.DUMMYFUNCTION("""COMPUTED_VALUE"""),"DMK")</f>
        <v>DMK</v>
      </c>
      <c r="O284" s="145" t="str">
        <f>IFERROR(__xludf.DUMMYFUNCTION("""COMPUTED_VALUE"""),"Um Home")</f>
        <v>Um Home</v>
      </c>
      <c r="P284" t="str">
        <f>IFERROR(__xludf.DUMMYFUNCTION("""COMPUTED_VALUE"""),"Active")</f>
        <v>Active</v>
      </c>
      <c r="R284" s="143">
        <f>IFERROR(__xludf.DUMMYFUNCTION("""COMPUTED_VALUE"""),31557.0)</f>
        <v>31557</v>
      </c>
      <c r="S284" s="146">
        <f>IFERROR(__xludf.DUMMYFUNCTION("""COMPUTED_VALUE"""),8.41624564E8)</f>
        <v>841624564</v>
      </c>
      <c r="T284" s="147" t="str">
        <f>IFERROR(__xludf.DUMMYFUNCTION("""COMPUTED_VALUE"""),"11014-0068-6579")</f>
        <v>11014-0068-6579</v>
      </c>
      <c r="U284" t="str">
        <f>IFERROR(__xludf.DUMMYFUNCTION("""COMPUTED_VALUE"""),"AC2296847")</f>
        <v>AC2296847</v>
      </c>
      <c r="V284" s="148">
        <f>IFERROR(__xludf.DUMMYFUNCTION("""COMPUTED_VALUE"""),44351.0)</f>
        <v>44351</v>
      </c>
      <c r="W284" s="148">
        <f>IFERROR(__xludf.DUMMYFUNCTION("""COMPUTED_VALUE"""),48002.0)</f>
        <v>48002</v>
      </c>
      <c r="X284" s="149">
        <f>IFERROR(__xludf.DUMMYFUNCTION("""COMPUTED_VALUE"""),47820.0)</f>
        <v>47820</v>
      </c>
      <c r="Y284" t="str">
        <f>IFERROR(__xludf.DUMMYFUNCTION("""COMPUTED_VALUE"""),"ปลอดภัย")</f>
        <v>ปลอดภัย</v>
      </c>
      <c r="Z284" t="str">
        <f>IFERROR(__xludf.DUMMYFUNCTION("""COMPUTED_VALUE"""),"Bangkok")</f>
        <v>Bangkok</v>
      </c>
      <c r="AA284" t="str">
        <f>IFERROR(__xludf.DUMMYFUNCTION("""COMPUTED_VALUE"""),"Donmuang")</f>
        <v>Donmuang</v>
      </c>
      <c r="AB284" t="str">
        <f>IFERROR(__xludf.DUMMYFUNCTION("""COMPUTED_VALUE"""),"081 517 2582")</f>
        <v>081 517 2582</v>
      </c>
      <c r="AC284" t="str">
        <f>IFERROR(__xludf.DUMMYFUNCTION("""COMPUTED_VALUE"""),"Charnchalerm")</f>
        <v>Charnchalerm</v>
      </c>
      <c r="AD284" t="str">
        <f>IFERROR(__xludf.DUMMYFUNCTION("""COMPUTED_VALUE"""),"ananyas@airasia.com")</f>
        <v>ananyas@airasia.com</v>
      </c>
    </row>
    <row r="285">
      <c r="A285" s="142">
        <f>IFERROR(__xludf.DUMMYFUNCTION("""COMPUTED_VALUE"""),46.0)</f>
        <v>46</v>
      </c>
      <c r="B285" t="str">
        <f>IFERROR(__xludf.DUMMYFUNCTION("""COMPUTED_VALUE"""),"TAA3610")</f>
        <v>TAA3610</v>
      </c>
      <c r="C285">
        <f>IFERROR(__xludf.DUMMYFUNCTION("""COMPUTED_VALUE"""),1006076.0)</f>
        <v>1006076</v>
      </c>
      <c r="D285" t="str">
        <f>IFERROR(__xludf.DUMMYFUNCTION("""COMPUTED_VALUE"""),"Ms.")</f>
        <v>Ms.</v>
      </c>
      <c r="E285" t="str">
        <f>IFERROR(__xludf.DUMMYFUNCTION("""COMPUTED_VALUE"""),"Naruechon")</f>
        <v>Naruechon</v>
      </c>
      <c r="F285" t="str">
        <f>IFERROR(__xludf.DUMMYFUNCTION("""COMPUTED_VALUE"""),"Rodkaew")</f>
        <v>Rodkaew</v>
      </c>
      <c r="G285" t="str">
        <f>IFERROR(__xludf.DUMMYFUNCTION("""COMPUTED_VALUE"""),"Naruechon Rodkaew")</f>
        <v>Naruechon Rodkaew</v>
      </c>
      <c r="H285" t="str">
        <f>IFERROR(__xludf.DUMMYFUNCTION("""COMPUTED_VALUE"""),"นางสาว")</f>
        <v>นางสาว</v>
      </c>
      <c r="I285" t="str">
        <f>IFERROR(__xludf.DUMMYFUNCTION("""COMPUTED_VALUE"""),"นฤชล")</f>
        <v>นฤชล</v>
      </c>
      <c r="J285" t="str">
        <f>IFERROR(__xludf.DUMMYFUNCTION("""COMPUTED_VALUE"""),"รอดแก้ว")</f>
        <v>รอดแก้ว</v>
      </c>
      <c r="K285" t="str">
        <f>IFERROR(__xludf.DUMMYFUNCTION("""COMPUTED_VALUE"""),"นฤชล รอดแก้ว")</f>
        <v>นฤชล รอดแก้ว</v>
      </c>
      <c r="L285" t="str">
        <f>IFERROR(__xludf.DUMMYFUNCTION("""COMPUTED_VALUE"""),"เม")</f>
        <v>เม</v>
      </c>
      <c r="M285" t="str">
        <f>IFERROR(__xludf.DUMMYFUNCTION("""COMPUTED_VALUE"""),"Senior Cabin Crew - BKK")</f>
        <v>Senior Cabin Crew - BKK</v>
      </c>
      <c r="N285" t="str">
        <f>IFERROR(__xludf.DUMMYFUNCTION("""COMPUTED_VALUE"""),"BKK")</f>
        <v>BKK</v>
      </c>
      <c r="O285" s="145" t="str">
        <f>IFERROR(__xludf.DUMMYFUNCTION("""COMPUTED_VALUE"""),"Nhui Home")</f>
        <v>Nhui Home</v>
      </c>
      <c r="P285" t="str">
        <f>IFERROR(__xludf.DUMMYFUNCTION("""COMPUTED_VALUE"""),"Active")</f>
        <v>Active</v>
      </c>
      <c r="R285" s="143">
        <f>IFERROR(__xludf.DUMMYFUNCTION("""COMPUTED_VALUE"""),31866.0)</f>
        <v>31866</v>
      </c>
      <c r="S285" s="146" t="str">
        <f>IFERROR(__xludf.DUMMYFUNCTION("""COMPUTED_VALUE"""),"080 269 4747")</f>
        <v>080 269 4747</v>
      </c>
      <c r="T285" s="147" t="str">
        <f>IFERROR(__xludf.DUMMYFUNCTION("""COMPUTED_VALUE"""),"11014-0096-3882")</f>
        <v>11014-0096-3882</v>
      </c>
      <c r="U285" t="str">
        <f>IFERROR(__xludf.DUMMYFUNCTION("""COMPUTED_VALUE"""),"AC4844502")</f>
        <v>AC4844502</v>
      </c>
      <c r="V285" s="148">
        <f>IFERROR(__xludf.DUMMYFUNCTION("""COMPUTED_VALUE"""),45021.0)</f>
        <v>45021</v>
      </c>
      <c r="W285" s="148">
        <f>IFERROR(__xludf.DUMMYFUNCTION("""COMPUTED_VALUE"""),48673.0)</f>
        <v>48673</v>
      </c>
      <c r="X285" s="149">
        <f>IFERROR(__xludf.DUMMYFUNCTION("""COMPUTED_VALUE"""),48491.0)</f>
        <v>48491</v>
      </c>
      <c r="Y285" t="str">
        <f>IFERROR(__xludf.DUMMYFUNCTION("""COMPUTED_VALUE"""),"ปลอดภัย")</f>
        <v>ปลอดภัย</v>
      </c>
      <c r="Z285" t="str">
        <f>IFERROR(__xludf.DUMMYFUNCTION("""COMPUTED_VALUE"""),"Bangkok")</f>
        <v>Bangkok</v>
      </c>
      <c r="AA285" t="str">
        <f>IFERROR(__xludf.DUMMYFUNCTION("""COMPUTED_VALUE"""),"Bangphli")</f>
        <v>Bangphli</v>
      </c>
      <c r="AB285" t="str">
        <f>IFERROR(__xludf.DUMMYFUNCTION("""COMPUTED_VALUE"""),"080 283 8820")</f>
        <v>080 283 8820</v>
      </c>
      <c r="AC285" t="str">
        <f>IFERROR(__xludf.DUMMYFUNCTION("""COMPUTED_VALUE"""),"Supha")</f>
        <v>Supha</v>
      </c>
      <c r="AD285" t="str">
        <f>IFERROR(__xludf.DUMMYFUNCTION("""COMPUTED_VALUE"""),"naruechonr@airasia.com")</f>
        <v>naruechonr@airasia.com</v>
      </c>
    </row>
    <row r="286">
      <c r="A286" s="142">
        <f>IFERROR(__xludf.DUMMYFUNCTION("""COMPUTED_VALUE"""),46.0)</f>
        <v>46</v>
      </c>
      <c r="B286" t="str">
        <f>IFERROR(__xludf.DUMMYFUNCTION("""COMPUTED_VALUE"""),"TAA3611")</f>
        <v>TAA3611</v>
      </c>
      <c r="C286">
        <f>IFERROR(__xludf.DUMMYFUNCTION("""COMPUTED_VALUE"""),1006081.0)</f>
        <v>1006081</v>
      </c>
      <c r="D286" t="str">
        <f>IFERROR(__xludf.DUMMYFUNCTION("""COMPUTED_VALUE"""),"Ms.")</f>
        <v>Ms.</v>
      </c>
      <c r="E286" t="str">
        <f>IFERROR(__xludf.DUMMYFUNCTION("""COMPUTED_VALUE"""),"Ploypachara")</f>
        <v>Ploypachara</v>
      </c>
      <c r="F286" t="str">
        <f>IFERROR(__xludf.DUMMYFUNCTION("""COMPUTED_VALUE"""),"Charoensup")</f>
        <v>Charoensup</v>
      </c>
      <c r="G286" t="str">
        <f>IFERROR(__xludf.DUMMYFUNCTION("""COMPUTED_VALUE"""),"Ploypachara Charoensup")</f>
        <v>Ploypachara Charoensup</v>
      </c>
      <c r="H286" t="str">
        <f>IFERROR(__xludf.DUMMYFUNCTION("""COMPUTED_VALUE"""),"นางสาว")</f>
        <v>นางสาว</v>
      </c>
      <c r="I286" t="str">
        <f>IFERROR(__xludf.DUMMYFUNCTION("""COMPUTED_VALUE"""),"พลอยพชร")</f>
        <v>พลอยพชร</v>
      </c>
      <c r="J286" t="str">
        <f>IFERROR(__xludf.DUMMYFUNCTION("""COMPUTED_VALUE"""),"เจริญทรัพย์")</f>
        <v>เจริญทรัพย์</v>
      </c>
      <c r="K286" t="str">
        <f>IFERROR(__xludf.DUMMYFUNCTION("""COMPUTED_VALUE"""),"พลอยพชร เจริญทรัพย์")</f>
        <v>พลอยพชร เจริญทรัพย์</v>
      </c>
      <c r="L286" t="str">
        <f>IFERROR(__xludf.DUMMYFUNCTION("""COMPUTED_VALUE"""),"พลอย")</f>
        <v>พลอย</v>
      </c>
      <c r="M286" t="str">
        <f>IFERROR(__xludf.DUMMYFUNCTION("""COMPUTED_VALUE"""),"Senior Cabin Crew")</f>
        <v>Senior Cabin Crew</v>
      </c>
      <c r="N286" t="str">
        <f>IFERROR(__xludf.DUMMYFUNCTION("""COMPUTED_VALUE"""),"DMK")</f>
        <v>DMK</v>
      </c>
      <c r="O286" s="145" t="str">
        <f>IFERROR(__xludf.DUMMYFUNCTION("""COMPUTED_VALUE"""),"Um Home")</f>
        <v>Um Home</v>
      </c>
      <c r="P286" t="str">
        <f>IFERROR(__xludf.DUMMYFUNCTION("""COMPUTED_VALUE"""),"Active")</f>
        <v>Active</v>
      </c>
      <c r="R286" s="143">
        <f>IFERROR(__xludf.DUMMYFUNCTION("""COMPUTED_VALUE"""),31719.0)</f>
        <v>31719</v>
      </c>
      <c r="S286" s="146" t="str">
        <f>IFERROR(__xludf.DUMMYFUNCTION("""COMPUTED_VALUE"""),"081 932 0912")</f>
        <v>081 932 0912</v>
      </c>
      <c r="T286" s="147" t="str">
        <f>IFERROR(__xludf.DUMMYFUNCTION("""COMPUTED_VALUE"""),"11002-0027-7054")</f>
        <v>11002-0027-7054</v>
      </c>
      <c r="U286" t="str">
        <f>IFERROR(__xludf.DUMMYFUNCTION("""COMPUTED_VALUE"""),"AC3679773")</f>
        <v>AC3679773</v>
      </c>
      <c r="V286" s="148">
        <f>IFERROR(__xludf.DUMMYFUNCTION("""COMPUTED_VALUE"""),44767.0)</f>
        <v>44767</v>
      </c>
      <c r="W286" s="148">
        <f>IFERROR(__xludf.DUMMYFUNCTION("""COMPUTED_VALUE"""),46592.0)</f>
        <v>46592</v>
      </c>
      <c r="X286" s="149">
        <f>IFERROR(__xludf.DUMMYFUNCTION("""COMPUTED_VALUE"""),46411.0)</f>
        <v>46411</v>
      </c>
      <c r="Y286" t="str">
        <f>IFERROR(__xludf.DUMMYFUNCTION("""COMPUTED_VALUE"""),"ปลอดภัย")</f>
        <v>ปลอดภัย</v>
      </c>
      <c r="Z286" t="str">
        <f>IFERROR(__xludf.DUMMYFUNCTION("""COMPUTED_VALUE"""),"Bangkok")</f>
        <v>Bangkok</v>
      </c>
      <c r="AA286" t="str">
        <f>IFERROR(__xludf.DUMMYFUNCTION("""COMPUTED_VALUE"""),"Donmuang")</f>
        <v>Donmuang</v>
      </c>
      <c r="AB286" t="str">
        <f>IFERROR(__xludf.DUMMYFUNCTION("""COMPUTED_VALUE"""),"081 825 2408")</f>
        <v>081 825 2408</v>
      </c>
      <c r="AC286" t="str">
        <f>IFERROR(__xludf.DUMMYFUNCTION("""COMPUTED_VALUE"""),"Chuthatip")</f>
        <v>Chuthatip</v>
      </c>
      <c r="AD286" t="str">
        <f>IFERROR(__xludf.DUMMYFUNCTION("""COMPUTED_VALUE"""),"ploypacharac@airasia.com")</f>
        <v>ploypacharac@airasia.com</v>
      </c>
    </row>
    <row r="287">
      <c r="A287" s="142">
        <f>IFERROR(__xludf.DUMMYFUNCTION("""COMPUTED_VALUE"""),46.0)</f>
        <v>46</v>
      </c>
      <c r="B287" t="str">
        <f>IFERROR(__xludf.DUMMYFUNCTION("""COMPUTED_VALUE"""),"TAA3612")</f>
        <v>TAA3612</v>
      </c>
      <c r="C287">
        <f>IFERROR(__xludf.DUMMYFUNCTION("""COMPUTED_VALUE"""),1006085.0)</f>
        <v>1006085</v>
      </c>
      <c r="D287" t="str">
        <f>IFERROR(__xludf.DUMMYFUNCTION("""COMPUTED_VALUE"""),"Ms.")</f>
        <v>Ms.</v>
      </c>
      <c r="E287" t="str">
        <f>IFERROR(__xludf.DUMMYFUNCTION("""COMPUTED_VALUE"""),"Sunan")</f>
        <v>Sunan</v>
      </c>
      <c r="F287" t="str">
        <f>IFERROR(__xludf.DUMMYFUNCTION("""COMPUTED_VALUE"""),"Homcharoenpanith")</f>
        <v>Homcharoenpanith</v>
      </c>
      <c r="G287" t="str">
        <f>IFERROR(__xludf.DUMMYFUNCTION("""COMPUTED_VALUE"""),"Sunan Homcharoenpanith")</f>
        <v>Sunan Homcharoenpanith</v>
      </c>
      <c r="H287" t="str">
        <f>IFERROR(__xludf.DUMMYFUNCTION("""COMPUTED_VALUE"""),"นางสาว")</f>
        <v>นางสาว</v>
      </c>
      <c r="I287" t="str">
        <f>IFERROR(__xludf.DUMMYFUNCTION("""COMPUTED_VALUE"""),"สุนันท์")</f>
        <v>สุนันท์</v>
      </c>
      <c r="J287" t="str">
        <f>IFERROR(__xludf.DUMMYFUNCTION("""COMPUTED_VALUE"""),"หอมเจริญพานิช")</f>
        <v>หอมเจริญพานิช</v>
      </c>
      <c r="K287" t="str">
        <f>IFERROR(__xludf.DUMMYFUNCTION("""COMPUTED_VALUE"""),"สุนันท์ หอมเจริญพานิช")</f>
        <v>สุนันท์ หอมเจริญพานิช</v>
      </c>
      <c r="L287" t="str">
        <f>IFERROR(__xludf.DUMMYFUNCTION("""COMPUTED_VALUE"""),"เมย์")</f>
        <v>เมย์</v>
      </c>
      <c r="M287" t="str">
        <f>IFERROR(__xludf.DUMMYFUNCTION("""COMPUTED_VALUE"""),"Senior Cabin Crew")</f>
        <v>Senior Cabin Crew</v>
      </c>
      <c r="N287" t="str">
        <f>IFERROR(__xludf.DUMMYFUNCTION("""COMPUTED_VALUE"""),"DMK")</f>
        <v>DMK</v>
      </c>
      <c r="O287" s="145" t="str">
        <f>IFERROR(__xludf.DUMMYFUNCTION("""COMPUTED_VALUE"""),"Nhui Home")</f>
        <v>Nhui Home</v>
      </c>
      <c r="P287" t="str">
        <f>IFERROR(__xludf.DUMMYFUNCTION("""COMPUTED_VALUE"""),"Active")</f>
        <v>Active</v>
      </c>
      <c r="Q287" t="str">
        <f>IFERROR(__xludf.DUMMYFUNCTION("""COMPUTED_VALUE"""),"SCC Line Checker 2025")</f>
        <v>SCC Line Checker 2025</v>
      </c>
      <c r="R287" s="143">
        <f>IFERROR(__xludf.DUMMYFUNCTION("""COMPUTED_VALUE"""),30667.0)</f>
        <v>30667</v>
      </c>
      <c r="S287" s="146" t="str">
        <f>IFERROR(__xludf.DUMMYFUNCTION("""COMPUTED_VALUE"""),"092 385 3636")</f>
        <v>092 385 3636</v>
      </c>
      <c r="T287" s="147" t="str">
        <f>IFERROR(__xludf.DUMMYFUNCTION("""COMPUTED_VALUE"""),"41004 0000 3084")</f>
        <v>41004 0000 3084</v>
      </c>
      <c r="U287" t="str">
        <f>IFERROR(__xludf.DUMMYFUNCTION("""COMPUTED_VALUE"""),"AC5215386")</f>
        <v>AC5215386</v>
      </c>
      <c r="V287" s="148">
        <f>IFERROR(__xludf.DUMMYFUNCTION("""COMPUTED_VALUE"""),45120.0)</f>
        <v>45120</v>
      </c>
      <c r="W287" s="148">
        <f>IFERROR(__xludf.DUMMYFUNCTION("""COMPUTED_VALUE"""),48772.0)</f>
        <v>48772</v>
      </c>
      <c r="X287" s="149">
        <f>IFERROR(__xludf.DUMMYFUNCTION("""COMPUTED_VALUE"""),48591.0)</f>
        <v>48591</v>
      </c>
      <c r="Y287" t="str">
        <f>IFERROR(__xludf.DUMMYFUNCTION("""COMPUTED_VALUE"""),"ปลอดภัย")</f>
        <v>ปลอดภัย</v>
      </c>
      <c r="Z287" t="str">
        <f>IFERROR(__xludf.DUMMYFUNCTION("""COMPUTED_VALUE"""),"Bangkok")</f>
        <v>Bangkok</v>
      </c>
      <c r="AA287" t="str">
        <f>IFERROR(__xludf.DUMMYFUNCTION("""COMPUTED_VALUE"""),"Bangkapi")</f>
        <v>Bangkapi</v>
      </c>
      <c r="AB287" t="str">
        <f>IFERROR(__xludf.DUMMYFUNCTION("""COMPUTED_VALUE"""),"084 971 4023")</f>
        <v>084 971 4023</v>
      </c>
      <c r="AC287" t="str">
        <f>IFERROR(__xludf.DUMMYFUNCTION("""COMPUTED_VALUE"""),"Prasert")</f>
        <v>Prasert</v>
      </c>
      <c r="AD287" t="str">
        <f>IFERROR(__xludf.DUMMYFUNCTION("""COMPUTED_VALUE"""),"sunanh@airasia.com")</f>
        <v>sunanh@airasia.com</v>
      </c>
    </row>
    <row r="288">
      <c r="A288" s="142">
        <f>IFERROR(__xludf.DUMMYFUNCTION("""COMPUTED_VALUE"""),46.0)</f>
        <v>46</v>
      </c>
      <c r="B288" t="str">
        <f>IFERROR(__xludf.DUMMYFUNCTION("""COMPUTED_VALUE"""),"TAA3620")</f>
        <v>TAA3620</v>
      </c>
      <c r="C288">
        <f>IFERROR(__xludf.DUMMYFUNCTION("""COMPUTED_VALUE"""),1006086.0)</f>
        <v>1006086</v>
      </c>
      <c r="D288" t="str">
        <f>IFERROR(__xludf.DUMMYFUNCTION("""COMPUTED_VALUE"""),"Ms.")</f>
        <v>Ms.</v>
      </c>
      <c r="E288" t="str">
        <f>IFERROR(__xludf.DUMMYFUNCTION("""COMPUTED_VALUE"""),"Tanaporn")</f>
        <v>Tanaporn</v>
      </c>
      <c r="F288" t="str">
        <f>IFERROR(__xludf.DUMMYFUNCTION("""COMPUTED_VALUE"""),"Wongviboonkul")</f>
        <v>Wongviboonkul</v>
      </c>
      <c r="G288" t="str">
        <f>IFERROR(__xludf.DUMMYFUNCTION("""COMPUTED_VALUE"""),"Tanaporn Wongviboonkul")</f>
        <v>Tanaporn Wongviboonkul</v>
      </c>
      <c r="H288" t="str">
        <f>IFERROR(__xludf.DUMMYFUNCTION("""COMPUTED_VALUE"""),"นางสาว")</f>
        <v>นางสาว</v>
      </c>
      <c r="I288" t="str">
        <f>IFERROR(__xludf.DUMMYFUNCTION("""COMPUTED_VALUE"""),"ธนาภรณ์")</f>
        <v>ธนาภรณ์</v>
      </c>
      <c r="J288" t="str">
        <f>IFERROR(__xludf.DUMMYFUNCTION("""COMPUTED_VALUE"""),"วงศ์วิบูลย์กุล")</f>
        <v>วงศ์วิบูลย์กุล</v>
      </c>
      <c r="K288" t="str">
        <f>IFERROR(__xludf.DUMMYFUNCTION("""COMPUTED_VALUE"""),"ธนาภรณ์ วงศ์วิบูลย์กุล")</f>
        <v>ธนาภรณ์ วงศ์วิบูลย์กุล</v>
      </c>
      <c r="L288" t="str">
        <f>IFERROR(__xludf.DUMMYFUNCTION("""COMPUTED_VALUE"""),"น้ำผึ้ง")</f>
        <v>น้ำผึ้ง</v>
      </c>
      <c r="M288" t="str">
        <f>IFERROR(__xludf.DUMMYFUNCTION("""COMPUTED_VALUE"""),"Cabin Crew")</f>
        <v>Cabin Crew</v>
      </c>
      <c r="N288" t="str">
        <f>IFERROR(__xludf.DUMMYFUNCTION("""COMPUTED_VALUE"""),"DMK")</f>
        <v>DMK</v>
      </c>
      <c r="O288" s="145" t="str">
        <f>IFERROR(__xludf.DUMMYFUNCTION("""COMPUTED_VALUE"""),"Por+ Home")</f>
        <v>Por+ Home</v>
      </c>
      <c r="P288" t="str">
        <f>IFERROR(__xludf.DUMMYFUNCTION("""COMPUTED_VALUE"""),"Active")</f>
        <v>Active</v>
      </c>
      <c r="Q288" t="str">
        <f>IFERROR(__xludf.DUMMYFUNCTION("""COMPUTED_VALUE"""),"Chinese Speaking")</f>
        <v>Chinese Speaking</v>
      </c>
      <c r="R288" s="143">
        <f>IFERROR(__xludf.DUMMYFUNCTION("""COMPUTED_VALUE"""),32721.0)</f>
        <v>32721</v>
      </c>
      <c r="S288" s="146" t="str">
        <f>IFERROR(__xludf.DUMMYFUNCTION("""COMPUTED_VALUE"""),"081 555 5443")</f>
        <v>081 555 5443</v>
      </c>
      <c r="T288" s="147" t="str">
        <f>IFERROR(__xludf.DUMMYFUNCTION("""COMPUTED_VALUE"""),"11004-0040-5927")</f>
        <v>11004-0040-5927</v>
      </c>
      <c r="U288" t="str">
        <f>IFERROR(__xludf.DUMMYFUNCTION("""COMPUTED_VALUE"""),"AD0231327")</f>
        <v>AD0231327</v>
      </c>
      <c r="V288" s="148">
        <f>IFERROR(__xludf.DUMMYFUNCTION("""COMPUTED_VALUE"""),44860.0)</f>
        <v>44860</v>
      </c>
      <c r="W288" s="148">
        <f>IFERROR(__xludf.DUMMYFUNCTION("""COMPUTED_VALUE"""),48512.0)</f>
        <v>48512</v>
      </c>
      <c r="X288" s="149">
        <f>IFERROR(__xludf.DUMMYFUNCTION("""COMPUTED_VALUE"""),48329.0)</f>
        <v>48329</v>
      </c>
      <c r="Y288" t="str">
        <f>IFERROR(__xludf.DUMMYFUNCTION("""COMPUTED_VALUE"""),"ปลอดภัย")</f>
        <v>ปลอดภัย</v>
      </c>
      <c r="Z288" t="str">
        <f>IFERROR(__xludf.DUMMYFUNCTION("""COMPUTED_VALUE"""),"Bangkok")</f>
        <v>Bangkok</v>
      </c>
      <c r="AA288" t="str">
        <f>IFERROR(__xludf.DUMMYFUNCTION("""COMPUTED_VALUE"""),"Ladphrao")</f>
        <v>Ladphrao</v>
      </c>
      <c r="AB288" t="str">
        <f>IFERROR(__xludf.DUMMYFUNCTION("""COMPUTED_VALUE"""),"089 765 8787")</f>
        <v>089 765 8787</v>
      </c>
      <c r="AC288" t="str">
        <f>IFERROR(__xludf.DUMMYFUNCTION("""COMPUTED_VALUE"""),"Sompong")</f>
        <v>Sompong</v>
      </c>
      <c r="AD288" t="str">
        <f>IFERROR(__xludf.DUMMYFUNCTION("""COMPUTED_VALUE"""),"tanapornw@airasia.com")</f>
        <v>tanapornw@airasia.com</v>
      </c>
    </row>
    <row r="289">
      <c r="AD289" t="str">
        <f>IFERROR(__xludf.DUMMYFUNCTION("""COMPUTED_VALUE"""),"")</f>
        <v/>
      </c>
    </row>
    <row r="290">
      <c r="A290" s="142">
        <f>IFERROR(__xludf.DUMMYFUNCTION("""COMPUTED_VALUE"""),47.0)</f>
        <v>47</v>
      </c>
      <c r="B290" t="str">
        <f>IFERROR(__xludf.DUMMYFUNCTION("""COMPUTED_VALUE"""),"TAA3682")</f>
        <v>TAA3682</v>
      </c>
      <c r="C290">
        <f>IFERROR(__xludf.DUMMYFUNCTION("""COMPUTED_VALUE"""),1006293.0)</f>
        <v>1006293</v>
      </c>
      <c r="D290" t="str">
        <f>IFERROR(__xludf.DUMMYFUNCTION("""COMPUTED_VALUE"""),"Ms.")</f>
        <v>Ms.</v>
      </c>
      <c r="E290" t="str">
        <f>IFERROR(__xludf.DUMMYFUNCTION("""COMPUTED_VALUE"""),"Atchara")</f>
        <v>Atchara</v>
      </c>
      <c r="F290" t="str">
        <f>IFERROR(__xludf.DUMMYFUNCTION("""COMPUTED_VALUE"""),"Mettaraksa")</f>
        <v>Mettaraksa</v>
      </c>
      <c r="G290" t="str">
        <f>IFERROR(__xludf.DUMMYFUNCTION("""COMPUTED_VALUE"""),"Atchara Mettaraksa")</f>
        <v>Atchara Mettaraksa</v>
      </c>
      <c r="H290" t="str">
        <f>IFERROR(__xludf.DUMMYFUNCTION("""COMPUTED_VALUE"""),"นางสาว")</f>
        <v>นางสาว</v>
      </c>
      <c r="I290" t="str">
        <f>IFERROR(__xludf.DUMMYFUNCTION("""COMPUTED_VALUE"""),"อัจฉรา")</f>
        <v>อัจฉรา</v>
      </c>
      <c r="J290" t="str">
        <f>IFERROR(__xludf.DUMMYFUNCTION("""COMPUTED_VALUE"""),"เมตตารักษ์")</f>
        <v>เมตตารักษ์</v>
      </c>
      <c r="K290" t="str">
        <f>IFERROR(__xludf.DUMMYFUNCTION("""COMPUTED_VALUE"""),"อัจฉรา เมตตารักษ์")</f>
        <v>อัจฉรา เมตตารักษ์</v>
      </c>
      <c r="L290" t="str">
        <f>IFERROR(__xludf.DUMMYFUNCTION("""COMPUTED_VALUE"""),"ไนซ์")</f>
        <v>ไนซ์</v>
      </c>
      <c r="M290" t="str">
        <f>IFERROR(__xludf.DUMMYFUNCTION("""COMPUTED_VALUE"""),"Senior Cabin Crew - CNX")</f>
        <v>Senior Cabin Crew - CNX</v>
      </c>
      <c r="N290" t="str">
        <f>IFERROR(__xludf.DUMMYFUNCTION("""COMPUTED_VALUE"""),"CNX")</f>
        <v>CNX</v>
      </c>
      <c r="O290" s="145" t="str">
        <f>IFERROR(__xludf.DUMMYFUNCTION("""COMPUTED_VALUE"""),"Up Home")</f>
        <v>Up Home</v>
      </c>
      <c r="P290" t="str">
        <f>IFERROR(__xludf.DUMMYFUNCTION("""COMPUTED_VALUE"""),"Active")</f>
        <v>Active</v>
      </c>
      <c r="Q290" t="str">
        <f>IFERROR(__xludf.DUMMYFUNCTION("""COMPUTED_VALUE"""),"SCC Line Checker 2025")</f>
        <v>SCC Line Checker 2025</v>
      </c>
      <c r="R290" s="143">
        <f>IFERROR(__xludf.DUMMYFUNCTION("""COMPUTED_VALUE"""),32045.0)</f>
        <v>32045</v>
      </c>
      <c r="S290" s="146" t="str">
        <f>IFERROR(__xludf.DUMMYFUNCTION("""COMPUTED_VALUE"""),"098 241 9624")</f>
        <v>098 241 9624</v>
      </c>
      <c r="T290" s="147" t="str">
        <f>IFERROR(__xludf.DUMMYFUNCTION("""COMPUTED_VALUE"""),"26399-0001-6786")</f>
        <v>26399-0001-6786</v>
      </c>
      <c r="U290" t="str">
        <f>IFERROR(__xludf.DUMMYFUNCTION("""COMPUTED_VALUE"""),"AC3383597")</f>
        <v>AC3383597</v>
      </c>
      <c r="V290" s="148">
        <f>IFERROR(__xludf.DUMMYFUNCTION("""COMPUTED_VALUE"""),44727.0)</f>
        <v>44727</v>
      </c>
      <c r="W290" s="148">
        <f>IFERROR(__xludf.DUMMYFUNCTION("""COMPUTED_VALUE"""),48379.0)</f>
        <v>48379</v>
      </c>
      <c r="X290" s="149">
        <f>IFERROR(__xludf.DUMMYFUNCTION("""COMPUTED_VALUE"""),48196.0)</f>
        <v>48196</v>
      </c>
      <c r="Y290" t="str">
        <f>IFERROR(__xludf.DUMMYFUNCTION("""COMPUTED_VALUE"""),"ปลอดภัย")</f>
        <v>ปลอดภัย</v>
      </c>
      <c r="Z290" t="str">
        <f>IFERROR(__xludf.DUMMYFUNCTION("""COMPUTED_VALUE"""),"Tak Province")</f>
        <v>Tak Province</v>
      </c>
      <c r="AA290" t="str">
        <f>IFERROR(__xludf.DUMMYFUNCTION("""COMPUTED_VALUE"""),"Chiang Mai")</f>
        <v>Chiang Mai</v>
      </c>
      <c r="AB290" t="str">
        <f>IFERROR(__xludf.DUMMYFUNCTION("""COMPUTED_VALUE"""),"084 985 6866")</f>
        <v>084 985 6866</v>
      </c>
      <c r="AC290" t="str">
        <f>IFERROR(__xludf.DUMMYFUNCTION("""COMPUTED_VALUE"""),"Mother")</f>
        <v>Mother</v>
      </c>
      <c r="AD290" t="str">
        <f>IFERROR(__xludf.DUMMYFUNCTION("""COMPUTED_VALUE"""),"atcharam@airasia.com")</f>
        <v>atcharam@airasia.com</v>
      </c>
    </row>
    <row r="291">
      <c r="A291" s="142">
        <f>IFERROR(__xludf.DUMMYFUNCTION("""COMPUTED_VALUE"""),47.0)</f>
        <v>47</v>
      </c>
      <c r="B291" t="str">
        <f>IFERROR(__xludf.DUMMYFUNCTION("""COMPUTED_VALUE"""),"TAA3681")</f>
        <v>TAA3681</v>
      </c>
      <c r="C291">
        <f>IFERROR(__xludf.DUMMYFUNCTION("""COMPUTED_VALUE"""),1006311.0)</f>
        <v>1006311</v>
      </c>
      <c r="D291" t="str">
        <f>IFERROR(__xludf.DUMMYFUNCTION("""COMPUTED_VALUE"""),"Ms.")</f>
        <v>Ms.</v>
      </c>
      <c r="E291" t="str">
        <f>IFERROR(__xludf.DUMMYFUNCTION("""COMPUTED_VALUE"""),"Kantanat(Piyakwan )")</f>
        <v>Kantanat(Piyakwan )</v>
      </c>
      <c r="F291" t="str">
        <f>IFERROR(__xludf.DUMMYFUNCTION("""COMPUTED_VALUE"""),"Fuengfuchevakul(Ketmongkol)")</f>
        <v>Fuengfuchevakul(Ketmongkol)</v>
      </c>
      <c r="G291" t="str">
        <f>IFERROR(__xludf.DUMMYFUNCTION("""COMPUTED_VALUE"""),"Kantanat Fuengfuchevakul")</f>
        <v>Kantanat Fuengfuchevakul</v>
      </c>
      <c r="H291" t="str">
        <f>IFERROR(__xludf.DUMMYFUNCTION("""COMPUTED_VALUE"""),"นางสาว")</f>
        <v>นางสาว</v>
      </c>
      <c r="I291" t="str">
        <f>IFERROR(__xludf.DUMMYFUNCTION("""COMPUTED_VALUE"""),"กันตาณัฏฐ์(ปิยะขวัญ)")</f>
        <v>กันตาณัฏฐ์(ปิยะขวัญ)</v>
      </c>
      <c r="J291" t="str">
        <f>IFERROR(__xludf.DUMMYFUNCTION("""COMPUTED_VALUE"""),"เฟื่องฟูชีวกุล(เกตุมงคล)")</f>
        <v>เฟื่องฟูชีวกุล(เกตุมงคล)</v>
      </c>
      <c r="K291" t="str">
        <f>IFERROR(__xludf.DUMMYFUNCTION("""COMPUTED_VALUE"""),"กันตาณัฏฐ์ เฟื่องฟูชีวกุล")</f>
        <v>กันตาณัฏฐ์ เฟื่องฟูชีวกุล</v>
      </c>
      <c r="L291" t="str">
        <f>IFERROR(__xludf.DUMMYFUNCTION("""COMPUTED_VALUE"""),"กิ๊ฟ")</f>
        <v>กิ๊ฟ</v>
      </c>
      <c r="M291" t="str">
        <f>IFERROR(__xludf.DUMMYFUNCTION("""COMPUTED_VALUE"""),"Cabin Crew")</f>
        <v>Cabin Crew</v>
      </c>
      <c r="N291" t="str">
        <f>IFERROR(__xludf.DUMMYFUNCTION("""COMPUTED_VALUE"""),"DMK")</f>
        <v>DMK</v>
      </c>
      <c r="O291" s="145" t="str">
        <f>IFERROR(__xludf.DUMMYFUNCTION("""COMPUTED_VALUE"""),"Um Home")</f>
        <v>Um Home</v>
      </c>
      <c r="P291" t="str">
        <f>IFERROR(__xludf.DUMMYFUNCTION("""COMPUTED_VALUE"""),"Active")</f>
        <v>Active</v>
      </c>
      <c r="R291" s="143">
        <f>IFERROR(__xludf.DUMMYFUNCTION("""COMPUTED_VALUE"""),31730.0)</f>
        <v>31730</v>
      </c>
      <c r="S291" s="146" t="str">
        <f>IFERROR(__xludf.DUMMYFUNCTION("""COMPUTED_VALUE"""),"087 070 3693")</f>
        <v>087 070 3693</v>
      </c>
      <c r="T291" s="147" t="str">
        <f>IFERROR(__xludf.DUMMYFUNCTION("""COMPUTED_VALUE"""),"11101-0010-3640")</f>
        <v>11101-0010-3640</v>
      </c>
      <c r="U291" t="str">
        <f>IFERROR(__xludf.DUMMYFUNCTION("""COMPUTED_VALUE"""),"AD2460760")</f>
        <v>AD2460760</v>
      </c>
      <c r="V291" s="148">
        <f>IFERROR(__xludf.DUMMYFUNCTION("""COMPUTED_VALUE"""),45932.0)</f>
        <v>45932</v>
      </c>
      <c r="W291" s="148">
        <f>IFERROR(__xludf.DUMMYFUNCTION("""COMPUTED_VALUE"""),49583.0)</f>
        <v>49583</v>
      </c>
      <c r="X291" s="149">
        <f>IFERROR(__xludf.DUMMYFUNCTION("""COMPUTED_VALUE"""),49400.0)</f>
        <v>49400</v>
      </c>
      <c r="Y291" t="str">
        <f>IFERROR(__xludf.DUMMYFUNCTION("""COMPUTED_VALUE"""),"ปลอดภัย")</f>
        <v>ปลอดภัย</v>
      </c>
      <c r="Z291" t="str">
        <f>IFERROR(__xludf.DUMMYFUNCTION("""COMPUTED_VALUE"""),"Samut Prakan Province")</f>
        <v>Samut Prakan Province</v>
      </c>
      <c r="AA291" t="str">
        <f>IFERROR(__xludf.DUMMYFUNCTION("""COMPUTED_VALUE"""),"Samutprakarn")</f>
        <v>Samutprakarn</v>
      </c>
      <c r="AB291" t="str">
        <f>IFERROR(__xludf.DUMMYFUNCTION("""COMPUTED_VALUE"""),"081 375 3535")</f>
        <v>081 375 3535</v>
      </c>
      <c r="AC291" t="str">
        <f>IFERROR(__xludf.DUMMYFUNCTION("""COMPUTED_VALUE"""),"Sister")</f>
        <v>Sister</v>
      </c>
      <c r="AD291" t="str">
        <f>IFERROR(__xludf.DUMMYFUNCTION("""COMPUTED_VALUE"""),"kantanatf@airasia.com")</f>
        <v>kantanatf@airasia.com</v>
      </c>
    </row>
    <row r="292">
      <c r="A292" s="142">
        <f>IFERROR(__xludf.DUMMYFUNCTION("""COMPUTED_VALUE"""),47.0)</f>
        <v>47</v>
      </c>
      <c r="B292" t="str">
        <f>IFERROR(__xludf.DUMMYFUNCTION("""COMPUTED_VALUE"""),"TAA3673")</f>
        <v>TAA3673</v>
      </c>
      <c r="C292">
        <f>IFERROR(__xludf.DUMMYFUNCTION("""COMPUTED_VALUE"""),1006312.0)</f>
        <v>1006312</v>
      </c>
      <c r="D292" t="str">
        <f>IFERROR(__xludf.DUMMYFUNCTION("""COMPUTED_VALUE"""),"Ms.")</f>
        <v>Ms.</v>
      </c>
      <c r="E292" t="str">
        <f>IFERROR(__xludf.DUMMYFUNCTION("""COMPUTED_VALUE"""),"Kanyanatch")</f>
        <v>Kanyanatch</v>
      </c>
      <c r="F292" t="str">
        <f>IFERROR(__xludf.DUMMYFUNCTION("""COMPUTED_VALUE"""),"A-kakun")</f>
        <v>A-kakun</v>
      </c>
      <c r="G292" t="str">
        <f>IFERROR(__xludf.DUMMYFUNCTION("""COMPUTED_VALUE"""),"Kanyanatch A-kakun")</f>
        <v>Kanyanatch A-kakun</v>
      </c>
      <c r="H292" t="str">
        <f>IFERROR(__xludf.DUMMYFUNCTION("""COMPUTED_VALUE"""),"นางสาว")</f>
        <v>นางสาว</v>
      </c>
      <c r="I292" t="str">
        <f>IFERROR(__xludf.DUMMYFUNCTION("""COMPUTED_VALUE"""),"กัญญณัช")</f>
        <v>กัญญณัช</v>
      </c>
      <c r="J292" t="str">
        <f>IFERROR(__xludf.DUMMYFUNCTION("""COMPUTED_VALUE"""),"เอกะกุล")</f>
        <v>เอกะกุล</v>
      </c>
      <c r="K292" t="str">
        <f>IFERROR(__xludf.DUMMYFUNCTION("""COMPUTED_VALUE"""),"กัญญณัช เอกะกุล")</f>
        <v>กัญญณัช เอกะกุล</v>
      </c>
      <c r="L292" t="str">
        <f>IFERROR(__xludf.DUMMYFUNCTION("""COMPUTED_VALUE"""),"เยน")</f>
        <v>เยน</v>
      </c>
      <c r="M292" t="str">
        <f>IFERROR(__xludf.DUMMYFUNCTION("""COMPUTED_VALUE"""),"Cabin Crew")</f>
        <v>Cabin Crew</v>
      </c>
      <c r="N292" t="str">
        <f>IFERROR(__xludf.DUMMYFUNCTION("""COMPUTED_VALUE"""),"DMK")</f>
        <v>DMK</v>
      </c>
      <c r="O292" s="145" t="str">
        <f>IFERROR(__xludf.DUMMYFUNCTION("""COMPUTED_VALUE"""),"Namfon Home")</f>
        <v>Namfon Home</v>
      </c>
      <c r="P292" t="str">
        <f>IFERROR(__xludf.DUMMYFUNCTION("""COMPUTED_VALUE"""),"V/LWP")</f>
        <v>V/LWP</v>
      </c>
      <c r="R292" s="143">
        <f>IFERROR(__xludf.DUMMYFUNCTION("""COMPUTED_VALUE"""),31642.0)</f>
        <v>31642</v>
      </c>
      <c r="S292" s="146" t="str">
        <f>IFERROR(__xludf.DUMMYFUNCTION("""COMPUTED_VALUE"""),"092 693 5053")</f>
        <v>092 693 5053</v>
      </c>
      <c r="T292" s="147" t="str">
        <f>IFERROR(__xludf.DUMMYFUNCTION("""COMPUTED_VALUE"""),"11014-0076-5134")</f>
        <v>11014-0076-5134</v>
      </c>
      <c r="U292" t="str">
        <f>IFERROR(__xludf.DUMMYFUNCTION("""COMPUTED_VALUE"""),"AC6207765")</f>
        <v>AC6207765</v>
      </c>
      <c r="V292" t="str">
        <f>IFERROR(__xludf.DUMMYFUNCTION("""COMPUTED_VALUE"""),"4JAAN")</f>
        <v>4JAAN</v>
      </c>
      <c r="W292" s="148">
        <f>IFERROR(__xludf.DUMMYFUNCTION("""COMPUTED_VALUE"""),48947.0)</f>
        <v>48947</v>
      </c>
      <c r="X292" s="149">
        <f>IFERROR(__xludf.DUMMYFUNCTION("""COMPUTED_VALUE"""),48763.0)</f>
        <v>48763</v>
      </c>
      <c r="Y292" t="str">
        <f>IFERROR(__xludf.DUMMYFUNCTION("""COMPUTED_VALUE"""),"ปลอดภัย")</f>
        <v>ปลอดภัย</v>
      </c>
      <c r="Z292" t="str">
        <f>IFERROR(__xludf.DUMMYFUNCTION("""COMPUTED_VALUE"""),"Bangkok")</f>
        <v>Bangkok</v>
      </c>
      <c r="AA292" t="str">
        <f>IFERROR(__xludf.DUMMYFUNCTION("""COMPUTED_VALUE"""),"Ramintra")</f>
        <v>Ramintra</v>
      </c>
      <c r="AB292" t="str">
        <f>IFERROR(__xludf.DUMMYFUNCTION("""COMPUTED_VALUE"""),"089 812 8508")</f>
        <v>089 812 8508</v>
      </c>
      <c r="AC292" t="str">
        <f>IFERROR(__xludf.DUMMYFUNCTION("""COMPUTED_VALUE"""),"Ornrachon")</f>
        <v>Ornrachon</v>
      </c>
      <c r="AD292" t="str">
        <f>IFERROR(__xludf.DUMMYFUNCTION("""COMPUTED_VALUE"""),"kanyanatcha@airasia.com")</f>
        <v>kanyanatcha@airasia.com</v>
      </c>
    </row>
    <row r="293">
      <c r="A293" s="142">
        <f>IFERROR(__xludf.DUMMYFUNCTION("""COMPUTED_VALUE"""),47.0)</f>
        <v>47</v>
      </c>
      <c r="B293" t="str">
        <f>IFERROR(__xludf.DUMMYFUNCTION("""COMPUTED_VALUE"""),"TAA3678")</f>
        <v>TAA3678</v>
      </c>
      <c r="C293">
        <f>IFERROR(__xludf.DUMMYFUNCTION("""COMPUTED_VALUE"""),1006313.0)</f>
        <v>1006313</v>
      </c>
      <c r="D293" t="str">
        <f>IFERROR(__xludf.DUMMYFUNCTION("""COMPUTED_VALUE"""),"Ms.")</f>
        <v>Ms.</v>
      </c>
      <c r="E293" t="str">
        <f>IFERROR(__xludf.DUMMYFUNCTION("""COMPUTED_VALUE"""),"Kanyarat")</f>
        <v>Kanyarat</v>
      </c>
      <c r="F293" t="str">
        <f>IFERROR(__xludf.DUMMYFUNCTION("""COMPUTED_VALUE"""),"Palasak")</f>
        <v>Palasak</v>
      </c>
      <c r="G293" t="str">
        <f>IFERROR(__xludf.DUMMYFUNCTION("""COMPUTED_VALUE"""),"Kanyarat Palasak")</f>
        <v>Kanyarat Palasak</v>
      </c>
      <c r="H293" t="str">
        <f>IFERROR(__xludf.DUMMYFUNCTION("""COMPUTED_VALUE"""),"นางสาว")</f>
        <v>นางสาว</v>
      </c>
      <c r="I293" t="str">
        <f>IFERROR(__xludf.DUMMYFUNCTION("""COMPUTED_VALUE"""),"กัลยรัตน์")</f>
        <v>กัลยรัตน์</v>
      </c>
      <c r="J293" t="str">
        <f>IFERROR(__xludf.DUMMYFUNCTION("""COMPUTED_VALUE"""),"พลศักดิ์")</f>
        <v>พลศักดิ์</v>
      </c>
      <c r="K293" t="str">
        <f>IFERROR(__xludf.DUMMYFUNCTION("""COMPUTED_VALUE"""),"กัลยรัตน์ พลศักดิ์")</f>
        <v>กัลยรัตน์ พลศักดิ์</v>
      </c>
      <c r="L293" t="str">
        <f>IFERROR(__xludf.DUMMYFUNCTION("""COMPUTED_VALUE"""),"ฝัน")</f>
        <v>ฝัน</v>
      </c>
      <c r="M293" t="str">
        <f>IFERROR(__xludf.DUMMYFUNCTION("""COMPUTED_VALUE"""),"Senior Cabin Crew")</f>
        <v>Senior Cabin Crew</v>
      </c>
      <c r="N293" t="str">
        <f>IFERROR(__xludf.DUMMYFUNCTION("""COMPUTED_VALUE"""),"DMK")</f>
        <v>DMK</v>
      </c>
      <c r="O293" s="145" t="str">
        <f>IFERROR(__xludf.DUMMYFUNCTION("""COMPUTED_VALUE"""),"Toffy Home")</f>
        <v>Toffy Home</v>
      </c>
      <c r="P293" t="str">
        <f>IFERROR(__xludf.DUMMYFUNCTION("""COMPUTED_VALUE"""),"Active")</f>
        <v>Active</v>
      </c>
      <c r="R293" s="143">
        <f>IFERROR(__xludf.DUMMYFUNCTION("""COMPUTED_VALUE"""),32116.0)</f>
        <v>32116</v>
      </c>
      <c r="S293" s="146" t="str">
        <f>IFERROR(__xludf.DUMMYFUNCTION("""COMPUTED_VALUE"""),"084 133 3123")</f>
        <v>084 133 3123</v>
      </c>
      <c r="T293" s="147" t="str">
        <f>IFERROR(__xludf.DUMMYFUNCTION("""COMPUTED_VALUE"""),"16799-0014-1281")</f>
        <v>16799-0014-1281</v>
      </c>
      <c r="U293" t="str">
        <f>IFERROR(__xludf.DUMMYFUNCTION("""COMPUTED_VALUE"""),"AC5191672")</f>
        <v>AC5191672</v>
      </c>
      <c r="V293" s="148">
        <f>IFERROR(__xludf.DUMMYFUNCTION("""COMPUTED_VALUE"""),45317.0)</f>
        <v>45317</v>
      </c>
      <c r="W293" s="148">
        <f>IFERROR(__xludf.DUMMYFUNCTION("""COMPUTED_VALUE"""),48969.0)</f>
        <v>48969</v>
      </c>
      <c r="X293" s="149">
        <f>IFERROR(__xludf.DUMMYFUNCTION("""COMPUTED_VALUE"""),48785.0)</f>
        <v>48785</v>
      </c>
      <c r="Y293" t="str">
        <f>IFERROR(__xludf.DUMMYFUNCTION("""COMPUTED_VALUE"""),"ปลอดภัย")</f>
        <v>ปลอดภัย</v>
      </c>
      <c r="Z293" t="str">
        <f>IFERROR(__xludf.DUMMYFUNCTION("""COMPUTED_VALUE"""),"Phetchabun Province")</f>
        <v>Phetchabun Province</v>
      </c>
      <c r="AA293" t="str">
        <f>IFERROR(__xludf.DUMMYFUNCTION("""COMPUTED_VALUE"""),"Bangkhen")</f>
        <v>Bangkhen</v>
      </c>
      <c r="AB293" t="str">
        <f>IFERROR(__xludf.DUMMYFUNCTION("""COMPUTED_VALUE"""),"083 1252 115")</f>
        <v>083 1252 115</v>
      </c>
      <c r="AC293" t="str">
        <f>IFERROR(__xludf.DUMMYFUNCTION("""COMPUTED_VALUE"""),"Pitinun")</f>
        <v>Pitinun</v>
      </c>
      <c r="AD293" t="str">
        <f>IFERROR(__xludf.DUMMYFUNCTION("""COMPUTED_VALUE"""),"kanyarata@airasia.com")</f>
        <v>kanyarata@airasia.com</v>
      </c>
    </row>
    <row r="294">
      <c r="A294" s="142">
        <f>IFERROR(__xludf.DUMMYFUNCTION("""COMPUTED_VALUE"""),47.0)</f>
        <v>47</v>
      </c>
      <c r="B294" t="str">
        <f>IFERROR(__xludf.DUMMYFUNCTION("""COMPUTED_VALUE"""),"TAA3685")</f>
        <v>TAA3685</v>
      </c>
      <c r="C294">
        <f>IFERROR(__xludf.DUMMYFUNCTION("""COMPUTED_VALUE"""),1006324.0)</f>
        <v>1006324</v>
      </c>
      <c r="D294" t="str">
        <f>IFERROR(__xludf.DUMMYFUNCTION("""COMPUTED_VALUE"""),"Ms.")</f>
        <v>Ms.</v>
      </c>
      <c r="E294" t="str">
        <f>IFERROR(__xludf.DUMMYFUNCTION("""COMPUTED_VALUE"""),"Pimpas (Mhaneepicha)")</f>
        <v>Pimpas (Mhaneepicha)</v>
      </c>
      <c r="F294" t="str">
        <f>IFERROR(__xludf.DUMMYFUNCTION("""COMPUTED_VALUE"""),"Ruangtragul")</f>
        <v>Ruangtragul</v>
      </c>
      <c r="G294" t="str">
        <f>IFERROR(__xludf.DUMMYFUNCTION("""COMPUTED_VALUE"""),"Pimpas Ruangtragul")</f>
        <v>Pimpas Ruangtragul</v>
      </c>
      <c r="H294" t="str">
        <f>IFERROR(__xludf.DUMMYFUNCTION("""COMPUTED_VALUE"""),"นางสาว")</f>
        <v>นางสาว</v>
      </c>
      <c r="I294" t="str">
        <f>IFERROR(__xludf.DUMMYFUNCTION("""COMPUTED_VALUE"""),"พิมพ์ภัสร์ (มณีพิชชาย์)")</f>
        <v>พิมพ์ภัสร์ (มณีพิชชาย์)</v>
      </c>
      <c r="J294" t="str">
        <f>IFERROR(__xludf.DUMMYFUNCTION("""COMPUTED_VALUE"""),"เรืองตระกูล")</f>
        <v>เรืองตระกูล</v>
      </c>
      <c r="K294" t="str">
        <f>IFERROR(__xludf.DUMMYFUNCTION("""COMPUTED_VALUE"""),"พิมพ์ภัสร์ เรืองตระกูล")</f>
        <v>พิมพ์ภัสร์ เรืองตระกูล</v>
      </c>
      <c r="L294" t="str">
        <f>IFERROR(__xludf.DUMMYFUNCTION("""COMPUTED_VALUE"""),"นุ่น")</f>
        <v>นุ่น</v>
      </c>
      <c r="M294" t="str">
        <f>IFERROR(__xludf.DUMMYFUNCTION("""COMPUTED_VALUE"""),"Senior Cabin Crew")</f>
        <v>Senior Cabin Crew</v>
      </c>
      <c r="N294" t="str">
        <f>IFERROR(__xludf.DUMMYFUNCTION("""COMPUTED_VALUE"""),"DMK")</f>
        <v>DMK</v>
      </c>
      <c r="O294" s="145" t="str">
        <f>IFERROR(__xludf.DUMMYFUNCTION("""COMPUTED_VALUE"""),"Um Home")</f>
        <v>Um Home</v>
      </c>
      <c r="P294" t="str">
        <f>IFERROR(__xludf.DUMMYFUNCTION("""COMPUTED_VALUE"""),"Active")</f>
        <v>Active</v>
      </c>
      <c r="R294" s="143">
        <f>IFERROR(__xludf.DUMMYFUNCTION("""COMPUTED_VALUE"""),32154.0)</f>
        <v>32154</v>
      </c>
      <c r="S294" s="146" t="str">
        <f>IFERROR(__xludf.DUMMYFUNCTION("""COMPUTED_VALUE"""),"084 639 8408")</f>
        <v>084 639 8408</v>
      </c>
      <c r="T294" s="147" t="str">
        <f>IFERROR(__xludf.DUMMYFUNCTION("""COMPUTED_VALUE"""),"11005-0023-9816")</f>
        <v>11005-0023-9816</v>
      </c>
      <c r="U294" t="str">
        <f>IFERROR(__xludf.DUMMYFUNCTION("""COMPUTED_VALUE"""),"AC4480357")</f>
        <v>AC4480357</v>
      </c>
      <c r="V294" s="148">
        <f>IFERROR(__xludf.DUMMYFUNCTION("""COMPUTED_VALUE"""),44978.0)</f>
        <v>44978</v>
      </c>
      <c r="W294" s="148">
        <f>IFERROR(__xludf.DUMMYFUNCTION("""COMPUTED_VALUE"""),48630.0)</f>
        <v>48630</v>
      </c>
      <c r="X294" s="149">
        <f>IFERROR(__xludf.DUMMYFUNCTION("""COMPUTED_VALUE"""),48446.0)</f>
        <v>48446</v>
      </c>
      <c r="Y294" t="str">
        <f>IFERROR(__xludf.DUMMYFUNCTION("""COMPUTED_VALUE"""),"ปลอดภัย")</f>
        <v>ปลอดภัย</v>
      </c>
      <c r="Z294" t="str">
        <f>IFERROR(__xludf.DUMMYFUNCTION("""COMPUTED_VALUE"""),"Bangkok")</f>
        <v>Bangkok</v>
      </c>
      <c r="AA294" t="str">
        <f>IFERROR(__xludf.DUMMYFUNCTION("""COMPUTED_VALUE"""),"Bangkok")</f>
        <v>Bangkok</v>
      </c>
      <c r="AB294" t="str">
        <f>IFERROR(__xludf.DUMMYFUNCTION("""COMPUTED_VALUE"""),"085 1242 957")</f>
        <v>085 1242 957</v>
      </c>
      <c r="AC294" t="str">
        <f>IFERROR(__xludf.DUMMYFUNCTION("""COMPUTED_VALUE"""),"Mother")</f>
        <v>Mother</v>
      </c>
      <c r="AD294" t="str">
        <f>IFERROR(__xludf.DUMMYFUNCTION("""COMPUTED_VALUE"""),"pimpasr@airasia.com")</f>
        <v>pimpasr@airasia.com</v>
      </c>
    </row>
    <row r="295">
      <c r="A295" s="142">
        <f>IFERROR(__xludf.DUMMYFUNCTION("""COMPUTED_VALUE"""),47.0)</f>
        <v>47</v>
      </c>
      <c r="B295" t="str">
        <f>IFERROR(__xludf.DUMMYFUNCTION("""COMPUTED_VALUE"""),"TAA3672")</f>
        <v>TAA3672</v>
      </c>
      <c r="C295">
        <f>IFERROR(__xludf.DUMMYFUNCTION("""COMPUTED_VALUE"""),1006331.0)</f>
        <v>1006331</v>
      </c>
      <c r="D295" t="str">
        <f>IFERROR(__xludf.DUMMYFUNCTION("""COMPUTED_VALUE"""),"Ms.")</f>
        <v>Ms.</v>
      </c>
      <c r="E295" t="str">
        <f>IFERROR(__xludf.DUMMYFUNCTION("""COMPUTED_VALUE"""),"Nisara")</f>
        <v>Nisara</v>
      </c>
      <c r="F295" t="str">
        <f>IFERROR(__xludf.DUMMYFUNCTION("""COMPUTED_VALUE"""),"Raviyan")</f>
        <v>Raviyan</v>
      </c>
      <c r="G295" t="str">
        <f>IFERROR(__xludf.DUMMYFUNCTION("""COMPUTED_VALUE"""),"Nisara Raviyan")</f>
        <v>Nisara Raviyan</v>
      </c>
      <c r="H295" t="str">
        <f>IFERROR(__xludf.DUMMYFUNCTION("""COMPUTED_VALUE"""),"นางสาว")</f>
        <v>นางสาว</v>
      </c>
      <c r="I295" t="str">
        <f>IFERROR(__xludf.DUMMYFUNCTION("""COMPUTED_VALUE"""),"ณิศรา")</f>
        <v>ณิศรา</v>
      </c>
      <c r="J295" t="str">
        <f>IFERROR(__xludf.DUMMYFUNCTION("""COMPUTED_VALUE"""),"ระวียัน")</f>
        <v>ระวียัน</v>
      </c>
      <c r="K295" t="str">
        <f>IFERROR(__xludf.DUMMYFUNCTION("""COMPUTED_VALUE"""),"ณิศรา ระวียัน")</f>
        <v>ณิศรา ระวียัน</v>
      </c>
      <c r="L295" t="str">
        <f>IFERROR(__xludf.DUMMYFUNCTION("""COMPUTED_VALUE"""),"แพร")</f>
        <v>แพร</v>
      </c>
      <c r="M295" t="str">
        <f>IFERROR(__xludf.DUMMYFUNCTION("""COMPUTED_VALUE"""),"Cabin Crew")</f>
        <v>Cabin Crew</v>
      </c>
      <c r="N295" t="str">
        <f>IFERROR(__xludf.DUMMYFUNCTION("""COMPUTED_VALUE"""),"DMK")</f>
        <v>DMK</v>
      </c>
      <c r="O295" s="145" t="str">
        <f>IFERROR(__xludf.DUMMYFUNCTION("""COMPUTED_VALUE"""),"Toffy Home")</f>
        <v>Toffy Home</v>
      </c>
      <c r="P295" t="str">
        <f>IFERROR(__xludf.DUMMYFUNCTION("""COMPUTED_VALUE"""),"V/LWP")</f>
        <v>V/LWP</v>
      </c>
      <c r="R295" s="143">
        <f>IFERROR(__xludf.DUMMYFUNCTION("""COMPUTED_VALUE"""),30552.0)</f>
        <v>30552</v>
      </c>
      <c r="S295" s="146" t="str">
        <f>IFERROR(__xludf.DUMMYFUNCTION("""COMPUTED_VALUE"""),"081 197 8455")</f>
        <v>081 197 8455</v>
      </c>
      <c r="T295" s="147" t="str">
        <f>IFERROR(__xludf.DUMMYFUNCTION("""COMPUTED_VALUE"""),"31006-0031-7432")</f>
        <v>31006-0031-7432</v>
      </c>
      <c r="U295" t="str">
        <f>IFERROR(__xludf.DUMMYFUNCTION("""COMPUTED_VALUE"""),"AC3050392")</f>
        <v>AC3050392</v>
      </c>
      <c r="V295" s="148">
        <f>IFERROR(__xludf.DUMMYFUNCTION("""COMPUTED_VALUE"""),44680.0)</f>
        <v>44680</v>
      </c>
      <c r="W295" s="148">
        <f>IFERROR(__xludf.DUMMYFUNCTION("""COMPUTED_VALUE"""),48332.0)</f>
        <v>48332</v>
      </c>
      <c r="X295" s="149">
        <f>IFERROR(__xludf.DUMMYFUNCTION("""COMPUTED_VALUE"""),48149.0)</f>
        <v>48149</v>
      </c>
      <c r="Y295" t="str">
        <f>IFERROR(__xludf.DUMMYFUNCTION("""COMPUTED_VALUE"""),"ปลอดภัย")</f>
        <v>ปลอดภัย</v>
      </c>
      <c r="Z295" t="str">
        <f>IFERROR(__xludf.DUMMYFUNCTION("""COMPUTED_VALUE"""),"Bangkok")</f>
        <v>Bangkok</v>
      </c>
      <c r="AA295" t="str">
        <f>IFERROR(__xludf.DUMMYFUNCTION("""COMPUTED_VALUE"""),"Buengkum")</f>
        <v>Buengkum</v>
      </c>
      <c r="AB295" t="str">
        <f>IFERROR(__xludf.DUMMYFUNCTION("""COMPUTED_VALUE"""),"02 510 4305")</f>
        <v>02 510 4305</v>
      </c>
      <c r="AC295" t="str">
        <f>IFERROR(__xludf.DUMMYFUNCTION("""COMPUTED_VALUE"""),"Mother")</f>
        <v>Mother</v>
      </c>
      <c r="AD295" t="str">
        <f>IFERROR(__xludf.DUMMYFUNCTION("""COMPUTED_VALUE"""),"nisarar@airasia.com")</f>
        <v>nisarar@airasia.com</v>
      </c>
    </row>
    <row r="296">
      <c r="A296" s="142">
        <f>IFERROR(__xludf.DUMMYFUNCTION("""COMPUTED_VALUE"""),47.0)</f>
        <v>47</v>
      </c>
      <c r="B296" t="str">
        <f>IFERROR(__xludf.DUMMYFUNCTION("""COMPUTED_VALUE"""),"TAA3688")</f>
        <v>TAA3688</v>
      </c>
      <c r="C296">
        <f>IFERROR(__xludf.DUMMYFUNCTION("""COMPUTED_VALUE"""),1006333.0)</f>
        <v>1006333</v>
      </c>
      <c r="D296" t="str">
        <f>IFERROR(__xludf.DUMMYFUNCTION("""COMPUTED_VALUE"""),"Ms.")</f>
        <v>Ms.</v>
      </c>
      <c r="E296" t="str">
        <f>IFERROR(__xludf.DUMMYFUNCTION("""COMPUTED_VALUE"""),"Peerada")</f>
        <v>Peerada</v>
      </c>
      <c r="F296" t="str">
        <f>IFERROR(__xludf.DUMMYFUNCTION("""COMPUTED_VALUE"""),"Musigsukont (Ganjanaverapol)")</f>
        <v>Musigsukont (Ganjanaverapol)</v>
      </c>
      <c r="G296" t="str">
        <f>IFERROR(__xludf.DUMMYFUNCTION("""COMPUTED_VALUE"""),"Peerada Musigsukont")</f>
        <v>Peerada Musigsukont</v>
      </c>
      <c r="H296" t="str">
        <f>IFERROR(__xludf.DUMMYFUNCTION("""COMPUTED_VALUE"""),"นางสาว")</f>
        <v>นางสาว</v>
      </c>
      <c r="I296" t="str">
        <f>IFERROR(__xludf.DUMMYFUNCTION("""COMPUTED_VALUE"""),"พีรดา")</f>
        <v>พีรดา</v>
      </c>
      <c r="J296" t="str">
        <f>IFERROR(__xludf.DUMMYFUNCTION("""COMPUTED_VALUE"""),"มุสิกสุคนธ์ (กาญจนวีระพล)")</f>
        <v>มุสิกสุคนธ์ (กาญจนวีระพล)</v>
      </c>
      <c r="K296" t="str">
        <f>IFERROR(__xludf.DUMMYFUNCTION("""COMPUTED_VALUE"""),"พีรดา มุสิกสุคนธ์")</f>
        <v>พีรดา มุสิกสุคนธ์</v>
      </c>
      <c r="L296" t="str">
        <f>IFERROR(__xludf.DUMMYFUNCTION("""COMPUTED_VALUE"""),"เหวิน")</f>
        <v>เหวิน</v>
      </c>
      <c r="M296" t="str">
        <f>IFERROR(__xludf.DUMMYFUNCTION("""COMPUTED_VALUE"""),"Cabin Crew")</f>
        <v>Cabin Crew</v>
      </c>
      <c r="N296" t="str">
        <f>IFERROR(__xludf.DUMMYFUNCTION("""COMPUTED_VALUE"""),"DMK")</f>
        <v>DMK</v>
      </c>
      <c r="O296" s="145" t="str">
        <f>IFERROR(__xludf.DUMMYFUNCTION("""COMPUTED_VALUE"""),"Namfon Home")</f>
        <v>Namfon Home</v>
      </c>
      <c r="P296" t="str">
        <f>IFERROR(__xludf.DUMMYFUNCTION("""COMPUTED_VALUE"""),"Active")</f>
        <v>Active</v>
      </c>
      <c r="R296" s="143">
        <f>IFERROR(__xludf.DUMMYFUNCTION("""COMPUTED_VALUE"""),32739.0)</f>
        <v>32739</v>
      </c>
      <c r="S296" s="146" t="str">
        <f>IFERROR(__xludf.DUMMYFUNCTION("""COMPUTED_VALUE"""),"064 224 6615")</f>
        <v>064 224 6615</v>
      </c>
      <c r="T296" s="147" t="str">
        <f>IFERROR(__xludf.DUMMYFUNCTION("""COMPUTED_VALUE"""),"11017-0008-2628")</f>
        <v>11017-0008-2628</v>
      </c>
      <c r="U296" t="str">
        <f>IFERROR(__xludf.DUMMYFUNCTION("""COMPUTED_VALUE"""),"AD0152380")</f>
        <v>AD0152380</v>
      </c>
      <c r="V296" s="148">
        <f>IFERROR(__xludf.DUMMYFUNCTION("""COMPUTED_VALUE"""),44851.0)</f>
        <v>44851</v>
      </c>
      <c r="W296" s="148">
        <f>IFERROR(__xludf.DUMMYFUNCTION("""COMPUTED_VALUE"""),48505.0)</f>
        <v>48505</v>
      </c>
      <c r="X296" s="149">
        <f>IFERROR(__xludf.DUMMYFUNCTION("""COMPUTED_VALUE"""),48322.0)</f>
        <v>48322</v>
      </c>
      <c r="Y296" t="str">
        <f>IFERROR(__xludf.DUMMYFUNCTION("""COMPUTED_VALUE"""),"ปลอดภัย")</f>
        <v>ปลอดภัย</v>
      </c>
      <c r="Z296" t="str">
        <f>IFERROR(__xludf.DUMMYFUNCTION("""COMPUTED_VALUE"""),"Bangkok")</f>
        <v>Bangkok</v>
      </c>
      <c r="AA296" t="str">
        <f>IFERROR(__xludf.DUMMYFUNCTION("""COMPUTED_VALUE"""),"Ladphrao")</f>
        <v>Ladphrao</v>
      </c>
      <c r="AB296" t="str">
        <f>IFERROR(__xludf.DUMMYFUNCTION("""COMPUTED_VALUE"""),"085 939 7303")</f>
        <v>085 939 7303</v>
      </c>
      <c r="AC296" t="str">
        <f>IFERROR(__xludf.DUMMYFUNCTION("""COMPUTED_VALUE"""),"Piyada")</f>
        <v>Piyada</v>
      </c>
      <c r="AD296" t="str">
        <f>IFERROR(__xludf.DUMMYFUNCTION("""COMPUTED_VALUE"""),"peeradam@airasia.com")</f>
        <v>peeradam@airasia.com</v>
      </c>
    </row>
    <row r="297">
      <c r="A297" s="142">
        <f>IFERROR(__xludf.DUMMYFUNCTION("""COMPUTED_VALUE"""),47.0)</f>
        <v>47</v>
      </c>
      <c r="B297" t="str">
        <f>IFERROR(__xludf.DUMMYFUNCTION("""COMPUTED_VALUE"""),"TAA3679")</f>
        <v>TAA3679</v>
      </c>
      <c r="C297">
        <f>IFERROR(__xludf.DUMMYFUNCTION("""COMPUTED_VALUE"""),1006344.0)</f>
        <v>1006344</v>
      </c>
      <c r="D297" t="str">
        <f>IFERROR(__xludf.DUMMYFUNCTION("""COMPUTED_VALUE"""),"Ms.")</f>
        <v>Ms.</v>
      </c>
      <c r="E297" t="str">
        <f>IFERROR(__xludf.DUMMYFUNCTION("""COMPUTED_VALUE"""),"Rungnapa")</f>
        <v>Rungnapa</v>
      </c>
      <c r="F297" t="str">
        <f>IFERROR(__xludf.DUMMYFUNCTION("""COMPUTED_VALUE"""),"Sawaruk")</f>
        <v>Sawaruk</v>
      </c>
      <c r="G297" t="str">
        <f>IFERROR(__xludf.DUMMYFUNCTION("""COMPUTED_VALUE"""),"Rungnapa Sawaruk")</f>
        <v>Rungnapa Sawaruk</v>
      </c>
      <c r="H297" t="str">
        <f>IFERROR(__xludf.DUMMYFUNCTION("""COMPUTED_VALUE"""),"นางสาว")</f>
        <v>นางสาว</v>
      </c>
      <c r="I297" t="str">
        <f>IFERROR(__xludf.DUMMYFUNCTION("""COMPUTED_VALUE"""),"รุ่งนภา")</f>
        <v>รุ่งนภา</v>
      </c>
      <c r="J297" t="str">
        <f>IFERROR(__xludf.DUMMYFUNCTION("""COMPUTED_VALUE"""),"สวารักษ์")</f>
        <v>สวารักษ์</v>
      </c>
      <c r="K297" t="str">
        <f>IFERROR(__xludf.DUMMYFUNCTION("""COMPUTED_VALUE"""),"รุ่งนภา สวารักษ์")</f>
        <v>รุ่งนภา สวารักษ์</v>
      </c>
      <c r="L297" t="str">
        <f>IFERROR(__xludf.DUMMYFUNCTION("""COMPUTED_VALUE"""),"เปิ้ล")</f>
        <v>เปิ้ล</v>
      </c>
      <c r="M297" t="str">
        <f>IFERROR(__xludf.DUMMYFUNCTION("""COMPUTED_VALUE"""),"Cabin Crew")</f>
        <v>Cabin Crew</v>
      </c>
      <c r="N297" t="str">
        <f>IFERROR(__xludf.DUMMYFUNCTION("""COMPUTED_VALUE"""),"DMK")</f>
        <v>DMK</v>
      </c>
      <c r="O297" s="145" t="str">
        <f>IFERROR(__xludf.DUMMYFUNCTION("""COMPUTED_VALUE"""),"Up Home")</f>
        <v>Up Home</v>
      </c>
      <c r="P297" t="str">
        <f>IFERROR(__xludf.DUMMYFUNCTION("""COMPUTED_VALUE"""),"Active")</f>
        <v>Active</v>
      </c>
      <c r="R297" s="143">
        <f>IFERROR(__xludf.DUMMYFUNCTION("""COMPUTED_VALUE"""),31307.0)</f>
        <v>31307</v>
      </c>
      <c r="S297" s="146" t="str">
        <f>IFERROR(__xludf.DUMMYFUNCTION("""COMPUTED_VALUE"""),"061 491 6645")</f>
        <v>061 491 6645</v>
      </c>
      <c r="T297" s="147" t="str">
        <f>IFERROR(__xludf.DUMMYFUNCTION("""COMPUTED_VALUE"""),"11015-0011-6839")</f>
        <v>11015-0011-6839</v>
      </c>
      <c r="U297" t="str">
        <f>IFERROR(__xludf.DUMMYFUNCTION("""COMPUTED_VALUE"""),"AD0523563")</f>
        <v>AD0523563</v>
      </c>
      <c r="V297" s="148">
        <f>IFERROR(__xludf.DUMMYFUNCTION("""COMPUTED_VALUE"""),45284.0)</f>
        <v>45284</v>
      </c>
      <c r="W297" s="148">
        <f>IFERROR(__xludf.DUMMYFUNCTION("""COMPUTED_VALUE"""),48571.0)</f>
        <v>48571</v>
      </c>
      <c r="X297" s="149">
        <f>IFERROR(__xludf.DUMMYFUNCTION("""COMPUTED_VALUE"""),48388.0)</f>
        <v>48388</v>
      </c>
      <c r="Y297" t="str">
        <f>IFERROR(__xludf.DUMMYFUNCTION("""COMPUTED_VALUE"""),"ปลอดภัย")</f>
        <v>ปลอดภัย</v>
      </c>
      <c r="Z297" t="str">
        <f>IFERROR(__xludf.DUMMYFUNCTION("""COMPUTED_VALUE"""),"Bangkok")</f>
        <v>Bangkok</v>
      </c>
      <c r="AA297" t="str">
        <f>IFERROR(__xludf.DUMMYFUNCTION("""COMPUTED_VALUE"""),"Pakkret")</f>
        <v>Pakkret</v>
      </c>
      <c r="AB297" t="str">
        <f>IFERROR(__xludf.DUMMYFUNCTION("""COMPUTED_VALUE"""),"081 751 3784")</f>
        <v>081 751 3784</v>
      </c>
      <c r="AC297" t="str">
        <f>IFERROR(__xludf.DUMMYFUNCTION("""COMPUTED_VALUE"""),"Taweesak")</f>
        <v>Taweesak</v>
      </c>
      <c r="AD297" t="str">
        <f>IFERROR(__xludf.DUMMYFUNCTION("""COMPUTED_VALUE"""),"rungnapas@airasia.com")</f>
        <v>rungnapas@airasia.com</v>
      </c>
    </row>
    <row r="298">
      <c r="A298" s="142">
        <f>IFERROR(__xludf.DUMMYFUNCTION("""COMPUTED_VALUE"""),47.0)</f>
        <v>47</v>
      </c>
      <c r="B298" t="str">
        <f>IFERROR(__xludf.DUMMYFUNCTION("""COMPUTED_VALUE"""),"TAA3677")</f>
        <v>TAA3677</v>
      </c>
      <c r="C298">
        <f>IFERROR(__xludf.DUMMYFUNCTION("""COMPUTED_VALUE"""),1006352.0)</f>
        <v>1006352</v>
      </c>
      <c r="D298" t="str">
        <f>IFERROR(__xludf.DUMMYFUNCTION("""COMPUTED_VALUE"""),"Ms.")</f>
        <v>Ms.</v>
      </c>
      <c r="E298" t="str">
        <f>IFERROR(__xludf.DUMMYFUNCTION("""COMPUTED_VALUE"""),"Sirinthip")</f>
        <v>Sirinthip</v>
      </c>
      <c r="F298" t="str">
        <f>IFERROR(__xludf.DUMMYFUNCTION("""COMPUTED_VALUE"""),"Singhadecha")</f>
        <v>Singhadecha</v>
      </c>
      <c r="G298" t="str">
        <f>IFERROR(__xludf.DUMMYFUNCTION("""COMPUTED_VALUE"""),"Sirinthip Singhadecha")</f>
        <v>Sirinthip Singhadecha</v>
      </c>
      <c r="H298" t="str">
        <f>IFERROR(__xludf.DUMMYFUNCTION("""COMPUTED_VALUE"""),"นางสาว")</f>
        <v>นางสาว</v>
      </c>
      <c r="I298" t="str">
        <f>IFERROR(__xludf.DUMMYFUNCTION("""COMPUTED_VALUE"""),"ศิรินทิพย์")</f>
        <v>ศิรินทิพย์</v>
      </c>
      <c r="J298" t="str">
        <f>IFERROR(__xludf.DUMMYFUNCTION("""COMPUTED_VALUE"""),"สิงหเดชะ")</f>
        <v>สิงหเดชะ</v>
      </c>
      <c r="K298" t="str">
        <f>IFERROR(__xludf.DUMMYFUNCTION("""COMPUTED_VALUE"""),"ศิรินทิพย์ สิงหเดชะ")</f>
        <v>ศิรินทิพย์ สิงหเดชะ</v>
      </c>
      <c r="L298" t="str">
        <f>IFERROR(__xludf.DUMMYFUNCTION("""COMPUTED_VALUE"""),"จุ๊บจิ๊บ")</f>
        <v>จุ๊บจิ๊บ</v>
      </c>
      <c r="M298" t="str">
        <f>IFERROR(__xludf.DUMMYFUNCTION("""COMPUTED_VALUE"""),"Senior Cabin Crew")</f>
        <v>Senior Cabin Crew</v>
      </c>
      <c r="N298" t="str">
        <f>IFERROR(__xludf.DUMMYFUNCTION("""COMPUTED_VALUE"""),"DMK")</f>
        <v>DMK</v>
      </c>
      <c r="O298" s="145" t="str">
        <f>IFERROR(__xludf.DUMMYFUNCTION("""COMPUTED_VALUE"""),"Um Home")</f>
        <v>Um Home</v>
      </c>
      <c r="P298" t="str">
        <f>IFERROR(__xludf.DUMMYFUNCTION("""COMPUTED_VALUE"""),"Active")</f>
        <v>Active</v>
      </c>
      <c r="R298" s="143">
        <f>IFERROR(__xludf.DUMMYFUNCTION("""COMPUTED_VALUE"""),31449.0)</f>
        <v>31449</v>
      </c>
      <c r="S298" s="146" t="str">
        <f>IFERROR(__xludf.DUMMYFUNCTION("""COMPUTED_VALUE"""),"095 545 3546")</f>
        <v>095 545 3546</v>
      </c>
      <c r="T298" s="147" t="str">
        <f>IFERROR(__xludf.DUMMYFUNCTION("""COMPUTED_VALUE"""),"14199-0005-4754")</f>
        <v>14199-0005-4754</v>
      </c>
      <c r="U298" t="str">
        <f>IFERROR(__xludf.DUMMYFUNCTION("""COMPUTED_VALUE"""),"AC7060967")</f>
        <v>AC7060967</v>
      </c>
      <c r="V298" s="148">
        <f>IFERROR(__xludf.DUMMYFUNCTION("""COMPUTED_VALUE"""),45542.0)</f>
        <v>45542</v>
      </c>
      <c r="W298" s="148">
        <f>IFERROR(__xludf.DUMMYFUNCTION("""COMPUTED_VALUE"""),49193.0)</f>
        <v>49193</v>
      </c>
      <c r="X298" s="149">
        <f>IFERROR(__xludf.DUMMYFUNCTION("""COMPUTED_VALUE"""),49009.0)</f>
        <v>49009</v>
      </c>
      <c r="Y298" t="str">
        <f>IFERROR(__xludf.DUMMYFUNCTION("""COMPUTED_VALUE"""),"ปลอดภัย")</f>
        <v>ปลอดภัย</v>
      </c>
      <c r="Z298" t="str">
        <f>IFERROR(__xludf.DUMMYFUNCTION("""COMPUTED_VALUE"""),"Udon Thani")</f>
        <v>Udon Thani</v>
      </c>
      <c r="AA298" t="str">
        <f>IFERROR(__xludf.DUMMYFUNCTION("""COMPUTED_VALUE"""),"Phrakhanong")</f>
        <v>Phrakhanong</v>
      </c>
      <c r="AB298" t="str">
        <f>IFERROR(__xludf.DUMMYFUNCTION("""COMPUTED_VALUE"""),"089 577 7214")</f>
        <v>089 577 7214</v>
      </c>
      <c r="AC298" t="str">
        <f>IFERROR(__xludf.DUMMYFUNCTION("""COMPUTED_VALUE"""),"Koson")</f>
        <v>Koson</v>
      </c>
      <c r="AD298" t="str">
        <f>IFERROR(__xludf.DUMMYFUNCTION("""COMPUTED_VALUE"""),"sirinthips@airasia.com")</f>
        <v>sirinthips@airasia.com</v>
      </c>
    </row>
    <row r="299">
      <c r="A299" s="142">
        <f>IFERROR(__xludf.DUMMYFUNCTION("""COMPUTED_VALUE"""),47.0)</f>
        <v>47</v>
      </c>
      <c r="B299" t="str">
        <f>IFERROR(__xludf.DUMMYFUNCTION("""COMPUTED_VALUE"""),"TAA3670")</f>
        <v>TAA3670</v>
      </c>
      <c r="C299">
        <f>IFERROR(__xludf.DUMMYFUNCTION("""COMPUTED_VALUE"""),1006360.0)</f>
        <v>1006360</v>
      </c>
      <c r="D299" t="str">
        <f>IFERROR(__xludf.DUMMYFUNCTION("""COMPUTED_VALUE"""),"Ms.")</f>
        <v>Ms.</v>
      </c>
      <c r="E299" t="str">
        <f>IFERROR(__xludf.DUMMYFUNCTION("""COMPUTED_VALUE"""),"Thanisorn")</f>
        <v>Thanisorn</v>
      </c>
      <c r="F299" t="str">
        <f>IFERROR(__xludf.DUMMYFUNCTION("""COMPUTED_VALUE"""),"Chinprahasta")</f>
        <v>Chinprahasta</v>
      </c>
      <c r="G299" t="str">
        <f>IFERROR(__xludf.DUMMYFUNCTION("""COMPUTED_VALUE"""),"Thanisorn Chinprahasta")</f>
        <v>Thanisorn Chinprahasta</v>
      </c>
      <c r="H299" t="str">
        <f>IFERROR(__xludf.DUMMYFUNCTION("""COMPUTED_VALUE"""),"นางสาว")</f>
        <v>นางสาว</v>
      </c>
      <c r="I299" t="str">
        <f>IFERROR(__xludf.DUMMYFUNCTION("""COMPUTED_VALUE"""),"ฐานิศร")</f>
        <v>ฐานิศร</v>
      </c>
      <c r="J299" t="str">
        <f>IFERROR(__xludf.DUMMYFUNCTION("""COMPUTED_VALUE"""),"ชินประหัษฐ์")</f>
        <v>ชินประหัษฐ์</v>
      </c>
      <c r="K299" t="str">
        <f>IFERROR(__xludf.DUMMYFUNCTION("""COMPUTED_VALUE"""),"ฐานิศร ชินประหัษฐ์")</f>
        <v>ฐานิศร ชินประหัษฐ์</v>
      </c>
      <c r="L299" t="str">
        <f>IFERROR(__xludf.DUMMYFUNCTION("""COMPUTED_VALUE"""),"ฟ้า")</f>
        <v>ฟ้า</v>
      </c>
      <c r="M299" t="str">
        <f>IFERROR(__xludf.DUMMYFUNCTION("""COMPUTED_VALUE"""),"Cabin Crew")</f>
        <v>Cabin Crew</v>
      </c>
      <c r="N299" t="str">
        <f>IFERROR(__xludf.DUMMYFUNCTION("""COMPUTED_VALUE"""),"DMK")</f>
        <v>DMK</v>
      </c>
      <c r="O299" s="145" t="str">
        <f>IFERROR(__xludf.DUMMYFUNCTION("""COMPUTED_VALUE"""),"Toffy Home")</f>
        <v>Toffy Home</v>
      </c>
      <c r="P299" t="str">
        <f>IFERROR(__xludf.DUMMYFUNCTION("""COMPUTED_VALUE"""),"Active")</f>
        <v>Active</v>
      </c>
      <c r="R299" s="143">
        <f>IFERROR(__xludf.DUMMYFUNCTION("""COMPUTED_VALUE"""),31616.0)</f>
        <v>31616</v>
      </c>
      <c r="S299" s="146" t="str">
        <f>IFERROR(__xludf.DUMMYFUNCTION("""COMPUTED_VALUE"""),"096 149 4192")</f>
        <v>096 149 4192</v>
      </c>
      <c r="T299" s="147" t="str">
        <f>IFERROR(__xludf.DUMMYFUNCTION("""COMPUTED_VALUE"""),"11002-0025-7100")</f>
        <v>11002-0025-7100</v>
      </c>
      <c r="U299" t="str">
        <f>IFERROR(__xludf.DUMMYFUNCTION("""COMPUTED_VALUE"""),"AC4518948")</f>
        <v>AC4518948</v>
      </c>
      <c r="V299" s="148">
        <f>IFERROR(__xludf.DUMMYFUNCTION("""COMPUTED_VALUE"""),44979.0)</f>
        <v>44979</v>
      </c>
      <c r="W299" s="148">
        <f>IFERROR(__xludf.DUMMYFUNCTION("""COMPUTED_VALUE"""),48631.0)</f>
        <v>48631</v>
      </c>
      <c r="X299" s="149">
        <f>IFERROR(__xludf.DUMMYFUNCTION("""COMPUTED_VALUE"""),48447.0)</f>
        <v>48447</v>
      </c>
      <c r="Y299" t="str">
        <f>IFERROR(__xludf.DUMMYFUNCTION("""COMPUTED_VALUE"""),"ปลอดภัย")</f>
        <v>ปลอดภัย</v>
      </c>
      <c r="Z299" t="str">
        <f>IFERROR(__xludf.DUMMYFUNCTION("""COMPUTED_VALUE"""),"Bangkok")</f>
        <v>Bangkok</v>
      </c>
      <c r="AA299" t="str">
        <f>IFERROR(__xludf.DUMMYFUNCTION("""COMPUTED_VALUE"""),"Bangphli")</f>
        <v>Bangphli</v>
      </c>
      <c r="AB299" t="str">
        <f>IFERROR(__xludf.DUMMYFUNCTION("""COMPUTED_VALUE"""),"081 810 7700")</f>
        <v>081 810 7700</v>
      </c>
      <c r="AC299" t="str">
        <f>IFERROR(__xludf.DUMMYFUNCTION("""COMPUTED_VALUE"""),"Kitti")</f>
        <v>Kitti</v>
      </c>
      <c r="AD299" t="str">
        <f>IFERROR(__xludf.DUMMYFUNCTION("""COMPUTED_VALUE"""),"thanisornc@airasia.com")</f>
        <v>thanisornc@airasia.com</v>
      </c>
    </row>
    <row r="300">
      <c r="AD300" t="str">
        <f>IFERROR(__xludf.DUMMYFUNCTION("""COMPUTED_VALUE"""),"")</f>
        <v/>
      </c>
    </row>
    <row r="301">
      <c r="A301" s="142">
        <f>IFERROR(__xludf.DUMMYFUNCTION("""COMPUTED_VALUE"""),48.0)</f>
        <v>48</v>
      </c>
      <c r="B301" t="str">
        <f>IFERROR(__xludf.DUMMYFUNCTION("""COMPUTED_VALUE"""),"TAA3834")</f>
        <v>TAA3834</v>
      </c>
      <c r="C301">
        <f>IFERROR(__xludf.DUMMYFUNCTION("""COMPUTED_VALUE"""),1006739.0)</f>
        <v>1006739</v>
      </c>
      <c r="D301" t="str">
        <f>IFERROR(__xludf.DUMMYFUNCTION("""COMPUTED_VALUE"""),"Ms.")</f>
        <v>Ms.</v>
      </c>
      <c r="E301" t="str">
        <f>IFERROR(__xludf.DUMMYFUNCTION("""COMPUTED_VALUE"""),"Jariya")</f>
        <v>Jariya</v>
      </c>
      <c r="F301" t="str">
        <f>IFERROR(__xludf.DUMMYFUNCTION("""COMPUTED_VALUE"""),"Wasinanon")</f>
        <v>Wasinanon</v>
      </c>
      <c r="G301" t="str">
        <f>IFERROR(__xludf.DUMMYFUNCTION("""COMPUTED_VALUE"""),"Jariya Wasinanon")</f>
        <v>Jariya Wasinanon</v>
      </c>
      <c r="H301" t="str">
        <f>IFERROR(__xludf.DUMMYFUNCTION("""COMPUTED_VALUE"""),"นางสาว")</f>
        <v>นางสาว</v>
      </c>
      <c r="I301" t="str">
        <f>IFERROR(__xludf.DUMMYFUNCTION("""COMPUTED_VALUE"""),"จาริญา")</f>
        <v>จาริญา</v>
      </c>
      <c r="J301" t="str">
        <f>IFERROR(__xludf.DUMMYFUNCTION("""COMPUTED_VALUE"""),"วาสินานนท์")</f>
        <v>วาสินานนท์</v>
      </c>
      <c r="K301" t="str">
        <f>IFERROR(__xludf.DUMMYFUNCTION("""COMPUTED_VALUE"""),"จาริญา วาสินานนท์")</f>
        <v>จาริญา วาสินานนท์</v>
      </c>
      <c r="L301" t="str">
        <f>IFERROR(__xludf.DUMMYFUNCTION("""COMPUTED_VALUE"""),"Ya")</f>
        <v>Ya</v>
      </c>
      <c r="M301" t="str">
        <f>IFERROR(__xludf.DUMMYFUNCTION("""COMPUTED_VALUE"""),"Cabin Crew - HKT")</f>
        <v>Cabin Crew - HKT</v>
      </c>
      <c r="N301" t="str">
        <f>IFERROR(__xludf.DUMMYFUNCTION("""COMPUTED_VALUE"""),"HKT")</f>
        <v>HKT</v>
      </c>
      <c r="O301" s="145" t="str">
        <f>IFERROR(__xludf.DUMMYFUNCTION("""COMPUTED_VALUE"""),"Kor Home")</f>
        <v>Kor Home</v>
      </c>
      <c r="P301" t="str">
        <f>IFERROR(__xludf.DUMMYFUNCTION("""COMPUTED_VALUE"""),"Active")</f>
        <v>Active</v>
      </c>
      <c r="Q301" t="str">
        <f>IFERROR(__xludf.DUMMYFUNCTION("""COMPUTED_VALUE"""),"Chinese Speaking")</f>
        <v>Chinese Speaking</v>
      </c>
      <c r="R301" s="143">
        <f>IFERROR(__xludf.DUMMYFUNCTION("""COMPUTED_VALUE"""),32842.0)</f>
        <v>32842</v>
      </c>
      <c r="S301" s="146" t="str">
        <f>IFERROR(__xludf.DUMMYFUNCTION("""COMPUTED_VALUE"""),"092-535-5691")</f>
        <v>092-535-5691</v>
      </c>
      <c r="T301" s="147" t="str">
        <f>IFERROR(__xludf.DUMMYFUNCTION("""COMPUTED_VALUE"""),"1839900-17-7372")</f>
        <v>1839900-17-7372</v>
      </c>
      <c r="U301" t="str">
        <f>IFERROR(__xludf.DUMMYFUNCTION("""COMPUTED_VALUE"""),"AC2684832")</f>
        <v>AC2684832</v>
      </c>
      <c r="V301" s="148">
        <f>IFERROR(__xludf.DUMMYFUNCTION("""COMPUTED_VALUE"""),44581.0)</f>
        <v>44581</v>
      </c>
      <c r="W301" s="148">
        <f>IFERROR(__xludf.DUMMYFUNCTION("""COMPUTED_VALUE"""),48232.0)</f>
        <v>48232</v>
      </c>
      <c r="X301" s="149">
        <f>IFERROR(__xludf.DUMMYFUNCTION("""COMPUTED_VALUE"""),48048.0)</f>
        <v>48048</v>
      </c>
      <c r="Y301" t="str">
        <f>IFERROR(__xludf.DUMMYFUNCTION("""COMPUTED_VALUE"""),"ปลอดภัย")</f>
        <v>ปลอดภัย</v>
      </c>
      <c r="Z301" t="str">
        <f>IFERROR(__xludf.DUMMYFUNCTION("""COMPUTED_VALUE"""),"Phuket Province")</f>
        <v>Phuket Province</v>
      </c>
      <c r="AA301" t="str">
        <f>IFERROR(__xludf.DUMMYFUNCTION("""COMPUTED_VALUE"""),"Phuket")</f>
        <v>Phuket</v>
      </c>
      <c r="AB301" t="str">
        <f>IFERROR(__xludf.DUMMYFUNCTION("""COMPUTED_VALUE"""),"076 377 776 / 086 273 8363")</f>
        <v>076 377 776 / 086 273 8363</v>
      </c>
      <c r="AC301" t="str">
        <f>IFERROR(__xludf.DUMMYFUNCTION("""COMPUTED_VALUE"""),"Relative")</f>
        <v>Relative</v>
      </c>
      <c r="AD301" t="str">
        <f>IFERROR(__xludf.DUMMYFUNCTION("""COMPUTED_VALUE"""),"jariyaw@airasia.com")</f>
        <v>jariyaw@airasia.com</v>
      </c>
    </row>
    <row r="302">
      <c r="A302" s="142">
        <f>IFERROR(__xludf.DUMMYFUNCTION("""COMPUTED_VALUE"""),48.0)</f>
        <v>48</v>
      </c>
      <c r="B302" t="str">
        <f>IFERROR(__xludf.DUMMYFUNCTION("""COMPUTED_VALUE"""),"TAA3823")</f>
        <v>TAA3823</v>
      </c>
      <c r="C302">
        <f>IFERROR(__xludf.DUMMYFUNCTION("""COMPUTED_VALUE"""),1006740.0)</f>
        <v>1006740</v>
      </c>
      <c r="D302" t="str">
        <f>IFERROR(__xludf.DUMMYFUNCTION("""COMPUTED_VALUE"""),"Ms.")</f>
        <v>Ms.</v>
      </c>
      <c r="E302" t="str">
        <f>IFERROR(__xludf.DUMMYFUNCTION("""COMPUTED_VALUE"""),"Juthamard")</f>
        <v>Juthamard</v>
      </c>
      <c r="F302" t="str">
        <f>IFERROR(__xludf.DUMMYFUNCTION("""COMPUTED_VALUE"""),"Jiarakul (Pienwikraisophon)")</f>
        <v>Jiarakul (Pienwikraisophon)</v>
      </c>
      <c r="G302" t="str">
        <f>IFERROR(__xludf.DUMMYFUNCTION("""COMPUTED_VALUE"""),"Juthamard Jiarakul")</f>
        <v>Juthamard Jiarakul</v>
      </c>
      <c r="H302" t="str">
        <f>IFERROR(__xludf.DUMMYFUNCTION("""COMPUTED_VALUE"""),"นางสาว")</f>
        <v>นางสาว</v>
      </c>
      <c r="I302" t="str">
        <f>IFERROR(__xludf.DUMMYFUNCTION("""COMPUTED_VALUE"""),"จุฑามาศ")</f>
        <v>จุฑามาศ</v>
      </c>
      <c r="J302" t="str">
        <f>IFERROR(__xludf.DUMMYFUNCTION("""COMPUTED_VALUE"""),"เจียรกุล (เพียรวิกรัยโสภณ)")</f>
        <v>เจียรกุล (เพียรวิกรัยโสภณ)</v>
      </c>
      <c r="K302" t="str">
        <f>IFERROR(__xludf.DUMMYFUNCTION("""COMPUTED_VALUE"""),"จุฑามาศ เจียรกุล")</f>
        <v>จุฑามาศ เจียรกุล</v>
      </c>
      <c r="L302" t="str">
        <f>IFERROR(__xludf.DUMMYFUNCTION("""COMPUTED_VALUE"""),"Fang")</f>
        <v>Fang</v>
      </c>
      <c r="M302" t="str">
        <f>IFERROR(__xludf.DUMMYFUNCTION("""COMPUTED_VALUE"""),"Senior Cabin Crew")</f>
        <v>Senior Cabin Crew</v>
      </c>
      <c r="N302" t="str">
        <f>IFERROR(__xludf.DUMMYFUNCTION("""COMPUTED_VALUE"""),"DMK")</f>
        <v>DMK</v>
      </c>
      <c r="O302" s="145" t="str">
        <f>IFERROR(__xludf.DUMMYFUNCTION("""COMPUTED_VALUE"""),"Toffy Home")</f>
        <v>Toffy Home</v>
      </c>
      <c r="P302" t="str">
        <f>IFERROR(__xludf.DUMMYFUNCTION("""COMPUTED_VALUE"""),"Active")</f>
        <v>Active</v>
      </c>
      <c r="R302" s="143">
        <f>IFERROR(__xludf.DUMMYFUNCTION("""COMPUTED_VALUE"""),31079.0)</f>
        <v>31079</v>
      </c>
      <c r="S302" s="146" t="str">
        <f>IFERROR(__xludf.DUMMYFUNCTION("""COMPUTED_VALUE"""),"081 429 5987")</f>
        <v>081 429 5987</v>
      </c>
      <c r="T302" s="147" t="str">
        <f>IFERROR(__xludf.DUMMYFUNCTION("""COMPUTED_VALUE"""),"1100800-11-8062")</f>
        <v>1100800-11-8062</v>
      </c>
      <c r="U302" t="str">
        <f>IFERROR(__xludf.DUMMYFUNCTION("""COMPUTED_VALUE"""),"AC6241206")</f>
        <v>AC6241206</v>
      </c>
      <c r="V302" s="148">
        <f>IFERROR(__xludf.DUMMYFUNCTION("""COMPUTED_VALUE"""),45303.0)</f>
        <v>45303</v>
      </c>
      <c r="W302" s="148">
        <f>IFERROR(__xludf.DUMMYFUNCTION("""COMPUTED_VALUE"""),48955.0)</f>
        <v>48955</v>
      </c>
      <c r="X302" s="149">
        <f>IFERROR(__xludf.DUMMYFUNCTION("""COMPUTED_VALUE"""),48771.0)</f>
        <v>48771</v>
      </c>
      <c r="Y302" t="str">
        <f>IFERROR(__xludf.DUMMYFUNCTION("""COMPUTED_VALUE"""),"ปลอดภัย")</f>
        <v>ปลอดภัย</v>
      </c>
      <c r="Z302" t="str">
        <f>IFERROR(__xludf.DUMMYFUNCTION("""COMPUTED_VALUE"""),"Bangkok")</f>
        <v>Bangkok</v>
      </c>
      <c r="AA302" t="str">
        <f>IFERROR(__xludf.DUMMYFUNCTION("""COMPUTED_VALUE"""),"Yannawa")</f>
        <v>Yannawa</v>
      </c>
      <c r="AB302" t="str">
        <f>IFERROR(__xludf.DUMMYFUNCTION("""COMPUTED_VALUE"""),"02 249 9147 / 081 491 0300")</f>
        <v>02 249 9147 / 081 491 0300</v>
      </c>
      <c r="AC302" t="str">
        <f>IFERROR(__xludf.DUMMYFUNCTION("""COMPUTED_VALUE"""),"Home / Relative")</f>
        <v>Home / Relative</v>
      </c>
      <c r="AD302" t="str">
        <f>IFERROR(__xludf.DUMMYFUNCTION("""COMPUTED_VALUE"""),"juthamardj@airasia.com")</f>
        <v>juthamardj@airasia.com</v>
      </c>
    </row>
    <row r="303">
      <c r="A303" s="142">
        <f>IFERROR(__xludf.DUMMYFUNCTION("""COMPUTED_VALUE"""),48.0)</f>
        <v>48</v>
      </c>
      <c r="B303" t="str">
        <f>IFERROR(__xludf.DUMMYFUNCTION("""COMPUTED_VALUE"""),"TAA3825")</f>
        <v>TAA3825</v>
      </c>
      <c r="C303">
        <f>IFERROR(__xludf.DUMMYFUNCTION("""COMPUTED_VALUE"""),1006741.0)</f>
        <v>1006741</v>
      </c>
      <c r="D303" t="str">
        <f>IFERROR(__xludf.DUMMYFUNCTION("""COMPUTED_VALUE"""),"Ms.")</f>
        <v>Ms.</v>
      </c>
      <c r="E303" t="str">
        <f>IFERROR(__xludf.DUMMYFUNCTION("""COMPUTED_VALUE"""),"Kanyanee")</f>
        <v>Kanyanee</v>
      </c>
      <c r="F303" t="str">
        <f>IFERROR(__xludf.DUMMYFUNCTION("""COMPUTED_VALUE"""),"Sakunsim")</f>
        <v>Sakunsim</v>
      </c>
      <c r="G303" t="str">
        <f>IFERROR(__xludf.DUMMYFUNCTION("""COMPUTED_VALUE"""),"Kanyanee Sakunsim")</f>
        <v>Kanyanee Sakunsim</v>
      </c>
      <c r="H303" t="str">
        <f>IFERROR(__xludf.DUMMYFUNCTION("""COMPUTED_VALUE"""),"นางสาว")</f>
        <v>นางสาว</v>
      </c>
      <c r="I303" t="str">
        <f>IFERROR(__xludf.DUMMYFUNCTION("""COMPUTED_VALUE"""),"กัญญาณี")</f>
        <v>กัญญาณี</v>
      </c>
      <c r="J303" t="str">
        <f>IFERROR(__xludf.DUMMYFUNCTION("""COMPUTED_VALUE"""),"สกุลซิ้ม")</f>
        <v>สกุลซิ้ม</v>
      </c>
      <c r="K303" t="str">
        <f>IFERROR(__xludf.DUMMYFUNCTION("""COMPUTED_VALUE"""),"กัญญาณี สกุลซิ้ม")</f>
        <v>กัญญาณี สกุลซิ้ม</v>
      </c>
      <c r="L303" t="str">
        <f>IFERROR(__xludf.DUMMYFUNCTION("""COMPUTED_VALUE"""),"Kor")</f>
        <v>Kor</v>
      </c>
      <c r="M303" t="str">
        <f>IFERROR(__xludf.DUMMYFUNCTION("""COMPUTED_VALUE"""),"Cabin Crew Engagement Lead - HKT")</f>
        <v>Cabin Crew Engagement Lead - HKT</v>
      </c>
      <c r="N303" t="str">
        <f>IFERROR(__xludf.DUMMYFUNCTION("""COMPUTED_VALUE"""),"HKT")</f>
        <v>HKT</v>
      </c>
      <c r="O303" s="145" t="str">
        <f>IFERROR(__xludf.DUMMYFUNCTION("""COMPUTED_VALUE"""),"Ward Monitor")</f>
        <v>Ward Monitor</v>
      </c>
      <c r="P303" t="str">
        <f>IFERROR(__xludf.DUMMYFUNCTION("""COMPUTED_VALUE"""),"Active")</f>
        <v>Active</v>
      </c>
      <c r="R303" s="143">
        <f>IFERROR(__xludf.DUMMYFUNCTION("""COMPUTED_VALUE"""),30735.0)</f>
        <v>30735</v>
      </c>
      <c r="S303" s="146" t="str">
        <f>IFERROR(__xludf.DUMMYFUNCTION("""COMPUTED_VALUE"""),"084 289 5539")</f>
        <v>084 289 5539</v>
      </c>
      <c r="T303" s="147" t="str">
        <f>IFERROR(__xludf.DUMMYFUNCTION("""COMPUTED_VALUE"""),"1839990-00-3247")</f>
        <v>1839990-00-3247</v>
      </c>
      <c r="U303" t="str">
        <f>IFERROR(__xludf.DUMMYFUNCTION("""COMPUTED_VALUE"""),"AC4244919")</f>
        <v>AC4244919</v>
      </c>
      <c r="V303" s="148">
        <f>IFERROR(__xludf.DUMMYFUNCTION("""COMPUTED_VALUE"""),44901.0)</f>
        <v>44901</v>
      </c>
      <c r="W303" s="148">
        <f>IFERROR(__xludf.DUMMYFUNCTION("""COMPUTED_VALUE"""),48553.0)</f>
        <v>48553</v>
      </c>
      <c r="X303" s="149">
        <f>IFERROR(__xludf.DUMMYFUNCTION("""COMPUTED_VALUE"""),48370.0)</f>
        <v>48370</v>
      </c>
      <c r="Y303" t="str">
        <f>IFERROR(__xludf.DUMMYFUNCTION("""COMPUTED_VALUE"""),"ปลอดภัย")</f>
        <v>ปลอดภัย</v>
      </c>
      <c r="Z303" t="str">
        <f>IFERROR(__xludf.DUMMYFUNCTION("""COMPUTED_VALUE"""),"Phuket Province")</f>
        <v>Phuket Province</v>
      </c>
      <c r="AA303" t="str">
        <f>IFERROR(__xludf.DUMMYFUNCTION("""COMPUTED_VALUE"""),"Phuket")</f>
        <v>Phuket</v>
      </c>
      <c r="AB303" t="str">
        <f>IFERROR(__xludf.DUMMYFUNCTION("""COMPUTED_VALUE"""),"076 240 307")</f>
        <v>076 240 307</v>
      </c>
      <c r="AC303" t="str">
        <f>IFERROR(__xludf.DUMMYFUNCTION("""COMPUTED_VALUE"""),"Home")</f>
        <v>Home</v>
      </c>
      <c r="AD303" t="str">
        <f>IFERROR(__xludf.DUMMYFUNCTION("""COMPUTED_VALUE"""),"kanyanees@airasia.com")</f>
        <v>kanyanees@airasia.com</v>
      </c>
    </row>
    <row r="304">
      <c r="A304" s="142">
        <f>IFERROR(__xludf.DUMMYFUNCTION("""COMPUTED_VALUE"""),48.0)</f>
        <v>48</v>
      </c>
      <c r="B304" t="str">
        <f>IFERROR(__xludf.DUMMYFUNCTION("""COMPUTED_VALUE"""),"TAA3821")</f>
        <v>TAA3821</v>
      </c>
      <c r="C304">
        <f>IFERROR(__xludf.DUMMYFUNCTION("""COMPUTED_VALUE"""),1006742.0)</f>
        <v>1006742</v>
      </c>
      <c r="D304" t="str">
        <f>IFERROR(__xludf.DUMMYFUNCTION("""COMPUTED_VALUE"""),"Ms.")</f>
        <v>Ms.</v>
      </c>
      <c r="E304" t="str">
        <f>IFERROR(__xludf.DUMMYFUNCTION("""COMPUTED_VALUE"""),"Korakoch")</f>
        <v>Korakoch</v>
      </c>
      <c r="F304" t="str">
        <f>IFERROR(__xludf.DUMMYFUNCTION("""COMPUTED_VALUE"""),"Charoenying")</f>
        <v>Charoenying</v>
      </c>
      <c r="G304" t="str">
        <f>IFERROR(__xludf.DUMMYFUNCTION("""COMPUTED_VALUE"""),"Korakoch Charoenying")</f>
        <v>Korakoch Charoenying</v>
      </c>
      <c r="H304" t="str">
        <f>IFERROR(__xludf.DUMMYFUNCTION("""COMPUTED_VALUE"""),"นางสาว")</f>
        <v>นางสาว</v>
      </c>
      <c r="I304" t="str">
        <f>IFERROR(__xludf.DUMMYFUNCTION("""COMPUTED_VALUE"""),"กรกช")</f>
        <v>กรกช</v>
      </c>
      <c r="J304" t="str">
        <f>IFERROR(__xludf.DUMMYFUNCTION("""COMPUTED_VALUE"""),"เจริญยิ่ง")</f>
        <v>เจริญยิ่ง</v>
      </c>
      <c r="K304" t="str">
        <f>IFERROR(__xludf.DUMMYFUNCTION("""COMPUTED_VALUE"""),"กรกช เจริญยิ่ง")</f>
        <v>กรกช เจริญยิ่ง</v>
      </c>
      <c r="L304" t="str">
        <f>IFERROR(__xludf.DUMMYFUNCTION("""COMPUTED_VALUE"""),"May")</f>
        <v>May</v>
      </c>
      <c r="M304" t="str">
        <f>IFERROR(__xludf.DUMMYFUNCTION("""COMPUTED_VALUE"""),"Senior Cabin Crew")</f>
        <v>Senior Cabin Crew</v>
      </c>
      <c r="N304" t="str">
        <f>IFERROR(__xludf.DUMMYFUNCTION("""COMPUTED_VALUE"""),"DMK")</f>
        <v>DMK</v>
      </c>
      <c r="O304" s="145" t="str">
        <f>IFERROR(__xludf.DUMMYFUNCTION("""COMPUTED_VALUE"""),"Namfon Home")</f>
        <v>Namfon Home</v>
      </c>
      <c r="P304" t="str">
        <f>IFERROR(__xludf.DUMMYFUNCTION("""COMPUTED_VALUE"""),"LWPH")</f>
        <v>LWPH</v>
      </c>
      <c r="R304" s="143">
        <f>IFERROR(__xludf.DUMMYFUNCTION("""COMPUTED_VALUE"""),31516.0)</f>
        <v>31516</v>
      </c>
      <c r="S304" s="146" t="str">
        <f>IFERROR(__xludf.DUMMYFUNCTION("""COMPUTED_VALUE"""),"092 653 6169")</f>
        <v>092 653 6169</v>
      </c>
      <c r="T304" s="147" t="str">
        <f>IFERROR(__xludf.DUMMYFUNCTION("""COMPUTED_VALUE"""),"1101499-13-5308")</f>
        <v>1101499-13-5308</v>
      </c>
      <c r="U304" t="str">
        <f>IFERROR(__xludf.DUMMYFUNCTION("""COMPUTED_VALUE"""),"AD1336860")</f>
        <v>AD1336860</v>
      </c>
      <c r="V304" s="148">
        <f>IFERROR(__xludf.DUMMYFUNCTION("""COMPUTED_VALUE"""),45341.0)</f>
        <v>45341</v>
      </c>
      <c r="W304" s="148">
        <f>IFERROR(__xludf.DUMMYFUNCTION("""COMPUTED_VALUE"""),48993.0)</f>
        <v>48993</v>
      </c>
      <c r="X304" s="149">
        <f>IFERROR(__xludf.DUMMYFUNCTION("""COMPUTED_VALUE"""),48809.0)</f>
        <v>48809</v>
      </c>
      <c r="Y304" t="str">
        <f>IFERROR(__xludf.DUMMYFUNCTION("""COMPUTED_VALUE"""),"ปลอดภัย")</f>
        <v>ปลอดภัย</v>
      </c>
      <c r="Z304" t="str">
        <f>IFERROR(__xludf.DUMMYFUNCTION("""COMPUTED_VALUE"""),"Bangkok")</f>
        <v>Bangkok</v>
      </c>
      <c r="AA304" t="str">
        <f>IFERROR(__xludf.DUMMYFUNCTION("""COMPUTED_VALUE"""),"Nonthaburi")</f>
        <v>Nonthaburi</v>
      </c>
      <c r="AB304" t="str">
        <f>IFERROR(__xludf.DUMMYFUNCTION("""COMPUTED_VALUE"""),"02 951 4819 / 089 172 9800")</f>
        <v>02 951 4819 / 089 172 9800</v>
      </c>
      <c r="AC304" t="str">
        <f>IFERROR(__xludf.DUMMYFUNCTION("""COMPUTED_VALUE"""),"Home / Relative")</f>
        <v>Home / Relative</v>
      </c>
      <c r="AD304" t="str">
        <f>IFERROR(__xludf.DUMMYFUNCTION("""COMPUTED_VALUE"""),"korakochc@airasia.com")</f>
        <v>korakochc@airasia.com</v>
      </c>
    </row>
    <row r="305">
      <c r="A305" s="142">
        <f>IFERROR(__xludf.DUMMYFUNCTION("""COMPUTED_VALUE"""),48.0)</f>
        <v>48</v>
      </c>
      <c r="B305" t="str">
        <f>IFERROR(__xludf.DUMMYFUNCTION("""COMPUTED_VALUE"""),"TAA3822")</f>
        <v>TAA3822</v>
      </c>
      <c r="C305">
        <f>IFERROR(__xludf.DUMMYFUNCTION("""COMPUTED_VALUE"""),1006743.0)</f>
        <v>1006743</v>
      </c>
      <c r="D305" t="str">
        <f>IFERROR(__xludf.DUMMYFUNCTION("""COMPUTED_VALUE"""),"Ms.")</f>
        <v>Ms.</v>
      </c>
      <c r="E305" t="str">
        <f>IFERROR(__xludf.DUMMYFUNCTION("""COMPUTED_VALUE"""),"Methawadee")</f>
        <v>Methawadee</v>
      </c>
      <c r="F305" t="str">
        <f>IFERROR(__xludf.DUMMYFUNCTION("""COMPUTED_VALUE"""),"Nuanganant")</f>
        <v>Nuanganant</v>
      </c>
      <c r="G305" t="str">
        <f>IFERROR(__xludf.DUMMYFUNCTION("""COMPUTED_VALUE"""),"Methawadee Nuanganant")</f>
        <v>Methawadee Nuanganant</v>
      </c>
      <c r="H305" t="str">
        <f>IFERROR(__xludf.DUMMYFUNCTION("""COMPUTED_VALUE"""),"นางสาว")</f>
        <v>นางสาว</v>
      </c>
      <c r="I305" t="str">
        <f>IFERROR(__xludf.DUMMYFUNCTION("""COMPUTED_VALUE"""),"เมธาวดี")</f>
        <v>เมธาวดี</v>
      </c>
      <c r="J305" t="str">
        <f>IFERROR(__xludf.DUMMYFUNCTION("""COMPUTED_VALUE"""),"เนืองอนันต์")</f>
        <v>เนืองอนันต์</v>
      </c>
      <c r="K305" t="str">
        <f>IFERROR(__xludf.DUMMYFUNCTION("""COMPUTED_VALUE"""),"เมธาวดี เนืองอนันต์")</f>
        <v>เมธาวดี เนืองอนันต์</v>
      </c>
      <c r="L305" t="str">
        <f>IFERROR(__xludf.DUMMYFUNCTION("""COMPUTED_VALUE"""),"ตาต้า")</f>
        <v>ตาต้า</v>
      </c>
      <c r="M305" t="str">
        <f>IFERROR(__xludf.DUMMYFUNCTION("""COMPUTED_VALUE"""),"Cabin Crew")</f>
        <v>Cabin Crew</v>
      </c>
      <c r="N305" t="str">
        <f>IFERROR(__xludf.DUMMYFUNCTION("""COMPUTED_VALUE"""),"DMK")</f>
        <v>DMK</v>
      </c>
      <c r="O305" s="145" t="str">
        <f>IFERROR(__xludf.DUMMYFUNCTION("""COMPUTED_VALUE"""),"Por+ Home")</f>
        <v>Por+ Home</v>
      </c>
      <c r="P305" t="str">
        <f>IFERROR(__xludf.DUMMYFUNCTION("""COMPUTED_VALUE"""),"Active")</f>
        <v>Active</v>
      </c>
      <c r="R305" s="143">
        <f>IFERROR(__xludf.DUMMYFUNCTION("""COMPUTED_VALUE"""),30717.0)</f>
        <v>30717</v>
      </c>
      <c r="S305" s="146">
        <f>IFERROR(__xludf.DUMMYFUNCTION("""COMPUTED_VALUE"""),6.46508196E8)</f>
        <v>646508196</v>
      </c>
      <c r="T305" s="147" t="str">
        <f>IFERROR(__xludf.DUMMYFUNCTION("""COMPUTED_VALUE"""),"1349900-00-4456")</f>
        <v>1349900-00-4456</v>
      </c>
      <c r="U305" t="str">
        <f>IFERROR(__xludf.DUMMYFUNCTION("""COMPUTED_VALUE"""),"AC2322631")</f>
        <v>AC2322631</v>
      </c>
      <c r="V305" s="148">
        <f>IFERROR(__xludf.DUMMYFUNCTION("""COMPUTED_VALUE"""),44365.0)</f>
        <v>44365</v>
      </c>
      <c r="W305" s="148">
        <f>IFERROR(__xludf.DUMMYFUNCTION("""COMPUTED_VALUE"""),48016.0)</f>
        <v>48016</v>
      </c>
      <c r="X305" s="149">
        <f>IFERROR(__xludf.DUMMYFUNCTION("""COMPUTED_VALUE"""),47834.0)</f>
        <v>47834</v>
      </c>
      <c r="Y305" t="str">
        <f>IFERROR(__xludf.DUMMYFUNCTION("""COMPUTED_VALUE"""),"ปลอดภัย")</f>
        <v>ปลอดภัย</v>
      </c>
      <c r="Z305" t="str">
        <f>IFERROR(__xludf.DUMMYFUNCTION("""COMPUTED_VALUE"""),"Ubon Ratchathani Province")</f>
        <v>Ubon Ratchathani Province</v>
      </c>
      <c r="AA305" t="str">
        <f>IFERROR(__xludf.DUMMYFUNCTION("""COMPUTED_VALUE"""),"Ladkrabang")</f>
        <v>Ladkrabang</v>
      </c>
      <c r="AB305" t="str">
        <f>IFERROR(__xludf.DUMMYFUNCTION("""COMPUTED_VALUE"""),"089 849 2365")</f>
        <v>089 849 2365</v>
      </c>
      <c r="AC305" t="str">
        <f>IFERROR(__xludf.DUMMYFUNCTION("""COMPUTED_VALUE"""),"Mother")</f>
        <v>Mother</v>
      </c>
      <c r="AD305" t="str">
        <f>IFERROR(__xludf.DUMMYFUNCTION("""COMPUTED_VALUE"""),"methawadeen@airasia.com")</f>
        <v>methawadeen@airasia.com</v>
      </c>
    </row>
    <row r="306">
      <c r="A306" s="142">
        <f>IFERROR(__xludf.DUMMYFUNCTION("""COMPUTED_VALUE"""),48.0)</f>
        <v>48</v>
      </c>
      <c r="B306" t="str">
        <f>IFERROR(__xludf.DUMMYFUNCTION("""COMPUTED_VALUE"""),"TAA3820")</f>
        <v>TAA3820</v>
      </c>
      <c r="C306">
        <f>IFERROR(__xludf.DUMMYFUNCTION("""COMPUTED_VALUE"""),1006745.0)</f>
        <v>1006745</v>
      </c>
      <c r="D306" t="str">
        <f>IFERROR(__xludf.DUMMYFUNCTION("""COMPUTED_VALUE"""),"Mr.")</f>
        <v>Mr.</v>
      </c>
      <c r="E306" t="str">
        <f>IFERROR(__xludf.DUMMYFUNCTION("""COMPUTED_VALUE"""),"Peerapop")</f>
        <v>Peerapop</v>
      </c>
      <c r="F306" t="str">
        <f>IFERROR(__xludf.DUMMYFUNCTION("""COMPUTED_VALUE"""),"Sompranon")</f>
        <v>Sompranon</v>
      </c>
      <c r="G306" t="str">
        <f>IFERROR(__xludf.DUMMYFUNCTION("""COMPUTED_VALUE"""),"Peerapop Sompranon")</f>
        <v>Peerapop Sompranon</v>
      </c>
      <c r="H306" t="str">
        <f>IFERROR(__xludf.DUMMYFUNCTION("""COMPUTED_VALUE"""),"นาย")</f>
        <v>นาย</v>
      </c>
      <c r="I306" t="str">
        <f>IFERROR(__xludf.DUMMYFUNCTION("""COMPUTED_VALUE"""),"พีรภพ")</f>
        <v>พีรภพ</v>
      </c>
      <c r="J306" t="str">
        <f>IFERROR(__xludf.DUMMYFUNCTION("""COMPUTED_VALUE"""),"สมพรานนท์")</f>
        <v>สมพรานนท์</v>
      </c>
      <c r="K306" t="str">
        <f>IFERROR(__xludf.DUMMYFUNCTION("""COMPUTED_VALUE"""),"พีรภพ สมพรานนท์")</f>
        <v>พีรภพ สมพรานนท์</v>
      </c>
      <c r="L306" t="str">
        <f>IFERROR(__xludf.DUMMYFUNCTION("""COMPUTED_VALUE"""),"Name")</f>
        <v>Name</v>
      </c>
      <c r="M306" t="str">
        <f>IFERROR(__xludf.DUMMYFUNCTION("""COMPUTED_VALUE"""),"Senior Cabin Crew - HKT")</f>
        <v>Senior Cabin Crew - HKT</v>
      </c>
      <c r="N306" t="str">
        <f>IFERROR(__xludf.DUMMYFUNCTION("""COMPUTED_VALUE"""),"HKT")</f>
        <v>HKT</v>
      </c>
      <c r="O306" s="145" t="str">
        <f>IFERROR(__xludf.DUMMYFUNCTION("""COMPUTED_VALUE"""),"Kor Home")</f>
        <v>Kor Home</v>
      </c>
      <c r="P306" t="str">
        <f>IFERROR(__xludf.DUMMYFUNCTION("""COMPUTED_VALUE"""),"Active")</f>
        <v>Active</v>
      </c>
      <c r="Q306" t="str">
        <f>IFERROR(__xludf.DUMMYFUNCTION("""COMPUTED_VALUE"""),"Chinese Speaking")</f>
        <v>Chinese Speaking</v>
      </c>
      <c r="R306" s="143">
        <f>IFERROR(__xludf.DUMMYFUNCTION("""COMPUTED_VALUE"""),32639.0)</f>
        <v>32639</v>
      </c>
      <c r="S306" s="146" t="str">
        <f>IFERROR(__xludf.DUMMYFUNCTION("""COMPUTED_VALUE"""),"083-236-5356")</f>
        <v>083-236-5356</v>
      </c>
      <c r="T306" s="147" t="str">
        <f>IFERROR(__xludf.DUMMYFUNCTION("""COMPUTED_VALUE"""),"1839900-16-2481")</f>
        <v>1839900-16-2481</v>
      </c>
      <c r="U306" t="str">
        <f>IFERROR(__xludf.DUMMYFUNCTION("""COMPUTED_VALUE"""),"AC2459393")</f>
        <v>AC2459393</v>
      </c>
      <c r="V306" s="148">
        <f>IFERROR(__xludf.DUMMYFUNCTION("""COMPUTED_VALUE"""),44467.0)</f>
        <v>44467</v>
      </c>
      <c r="W306" s="148">
        <f>IFERROR(__xludf.DUMMYFUNCTION("""COMPUTED_VALUE"""),48118.0)</f>
        <v>48118</v>
      </c>
      <c r="X306" s="149">
        <f>IFERROR(__xludf.DUMMYFUNCTION("""COMPUTED_VALUE"""),47934.0)</f>
        <v>47934</v>
      </c>
      <c r="Y306" t="str">
        <f>IFERROR(__xludf.DUMMYFUNCTION("""COMPUTED_VALUE"""),"ปลอดภัย")</f>
        <v>ปลอดภัย</v>
      </c>
      <c r="Z306" t="str">
        <f>IFERROR(__xludf.DUMMYFUNCTION("""COMPUTED_VALUE"""),"Phuket Province")</f>
        <v>Phuket Province</v>
      </c>
      <c r="AA306" t="str">
        <f>IFERROR(__xludf.DUMMYFUNCTION("""COMPUTED_VALUE"""),"Phuket")</f>
        <v>Phuket</v>
      </c>
      <c r="AB306" t="str">
        <f>IFERROR(__xludf.DUMMYFUNCTION("""COMPUTED_VALUE"""),"076 222 252 / 089 475 7100")</f>
        <v>076 222 252 / 089 475 7100</v>
      </c>
      <c r="AC306" t="str">
        <f>IFERROR(__xludf.DUMMYFUNCTION("""COMPUTED_VALUE"""),"Home / Father")</f>
        <v>Home / Father</v>
      </c>
      <c r="AD306" t="str">
        <f>IFERROR(__xludf.DUMMYFUNCTION("""COMPUTED_VALUE"""),"peerapops@airasia.com")</f>
        <v>peerapops@airasia.com</v>
      </c>
    </row>
    <row r="307">
      <c r="A307" s="142">
        <f>IFERROR(__xludf.DUMMYFUNCTION("""COMPUTED_VALUE"""),48.0)</f>
        <v>48</v>
      </c>
      <c r="B307" t="str">
        <f>IFERROR(__xludf.DUMMYFUNCTION("""COMPUTED_VALUE"""),"TAA3819")</f>
        <v>TAA3819</v>
      </c>
      <c r="C307">
        <f>IFERROR(__xludf.DUMMYFUNCTION("""COMPUTED_VALUE"""),1006746.0)</f>
        <v>1006746</v>
      </c>
      <c r="D307" t="str">
        <f>IFERROR(__xludf.DUMMYFUNCTION("""COMPUTED_VALUE"""),"Ms.")</f>
        <v>Ms.</v>
      </c>
      <c r="E307" t="str">
        <f>IFERROR(__xludf.DUMMYFUNCTION("""COMPUTED_VALUE"""),"Phanphayia")</f>
        <v>Phanphayia</v>
      </c>
      <c r="F307" t="str">
        <f>IFERROR(__xludf.DUMMYFUNCTION("""COMPUTED_VALUE"""),"Phunphianchat")</f>
        <v>Phunphianchat</v>
      </c>
      <c r="G307" t="str">
        <f>IFERROR(__xludf.DUMMYFUNCTION("""COMPUTED_VALUE"""),"Phanphayia Phunphianchat")</f>
        <v>Phanphayia Phunphianchat</v>
      </c>
      <c r="H307" t="str">
        <f>IFERROR(__xludf.DUMMYFUNCTION("""COMPUTED_VALUE"""),"นางสาว")</f>
        <v>นางสาว</v>
      </c>
      <c r="I307" t="str">
        <f>IFERROR(__xludf.DUMMYFUNCTION("""COMPUTED_VALUE"""),"พันธุ์พเยีย")</f>
        <v>พันธุ์พเยีย</v>
      </c>
      <c r="J307" t="str">
        <f>IFERROR(__xludf.DUMMYFUNCTION("""COMPUTED_VALUE"""),"พูนเพียรจัด")</f>
        <v>พูนเพียรจัด</v>
      </c>
      <c r="K307" t="str">
        <f>IFERROR(__xludf.DUMMYFUNCTION("""COMPUTED_VALUE"""),"พันธุ์พเยีย พูนเพียรจัด")</f>
        <v>พันธุ์พเยีย พูนเพียรจัด</v>
      </c>
      <c r="L307" t="str">
        <f>IFERROR(__xludf.DUMMYFUNCTION("""COMPUTED_VALUE"""),"ฝน")</f>
        <v>ฝน</v>
      </c>
      <c r="M307" t="str">
        <f>IFERROR(__xludf.DUMMYFUNCTION("""COMPUTED_VALUE"""),"Senior Cabin Crew")</f>
        <v>Senior Cabin Crew</v>
      </c>
      <c r="N307" t="str">
        <f>IFERROR(__xludf.DUMMYFUNCTION("""COMPUTED_VALUE"""),"DMK")</f>
        <v>DMK</v>
      </c>
      <c r="O307" s="145" t="str">
        <f>IFERROR(__xludf.DUMMYFUNCTION("""COMPUTED_VALUE"""),"Toffy Home")</f>
        <v>Toffy Home</v>
      </c>
      <c r="P307" t="str">
        <f>IFERROR(__xludf.DUMMYFUNCTION("""COMPUTED_VALUE"""),"MATL")</f>
        <v>MATL</v>
      </c>
      <c r="Q307" t="str">
        <f>IFERROR(__xludf.DUMMYFUNCTION("""COMPUTED_VALUE"""),"Chinese Speaking")</f>
        <v>Chinese Speaking</v>
      </c>
      <c r="R307" s="143">
        <f>IFERROR(__xludf.DUMMYFUNCTION("""COMPUTED_VALUE"""),31987.0)</f>
        <v>31987</v>
      </c>
      <c r="S307" s="146" t="str">
        <f>IFERROR(__xludf.DUMMYFUNCTION("""COMPUTED_VALUE"""),"089 188 5956")</f>
        <v>089 188 5956</v>
      </c>
      <c r="T307" s="147" t="str">
        <f>IFERROR(__xludf.DUMMYFUNCTION("""COMPUTED_VALUE"""),"1801400-09-8271")</f>
        <v>1801400-09-8271</v>
      </c>
      <c r="U307" t="str">
        <f>IFERROR(__xludf.DUMMYFUNCTION("""COMPUTED_VALUE"""),"AC6863050")</f>
        <v>AC6863050</v>
      </c>
      <c r="V307" s="148">
        <f>IFERROR(__xludf.DUMMYFUNCTION("""COMPUTED_VALUE"""),45476.0)</f>
        <v>45476</v>
      </c>
      <c r="W307" s="148">
        <f>IFERROR(__xludf.DUMMYFUNCTION("""COMPUTED_VALUE"""),49127.0)</f>
        <v>49127</v>
      </c>
      <c r="X307" s="149">
        <f>IFERROR(__xludf.DUMMYFUNCTION("""COMPUTED_VALUE"""),48946.0)</f>
        <v>48946</v>
      </c>
      <c r="Y307" t="str">
        <f>IFERROR(__xludf.DUMMYFUNCTION("""COMPUTED_VALUE"""),"ปลอดภัย")</f>
        <v>ปลอดภัย</v>
      </c>
      <c r="Z307" t="str">
        <f>IFERROR(__xludf.DUMMYFUNCTION("""COMPUTED_VALUE"""),"Nakhon Si Thammarat Province")</f>
        <v>Nakhon Si Thammarat Province</v>
      </c>
      <c r="AA307" t="str">
        <f>IFERROR(__xludf.DUMMYFUNCTION("""COMPUTED_VALUE"""),"Bungkhum")</f>
        <v>Bungkhum</v>
      </c>
      <c r="AB307" t="str">
        <f>IFERROR(__xludf.DUMMYFUNCTION("""COMPUTED_VALUE"""),"075 367 277 / 081 777 9132")</f>
        <v>075 367 277 / 081 777 9132</v>
      </c>
      <c r="AC307" t="str">
        <f>IFERROR(__xludf.DUMMYFUNCTION("""COMPUTED_VALUE"""),"Home / Father")</f>
        <v>Home / Father</v>
      </c>
      <c r="AD307" t="str">
        <f>IFERROR(__xludf.DUMMYFUNCTION("""COMPUTED_VALUE"""),"phanphayiap@airasia.com")</f>
        <v>phanphayiap@airasia.com</v>
      </c>
    </row>
    <row r="308">
      <c r="A308" s="142">
        <f>IFERROR(__xludf.DUMMYFUNCTION("""COMPUTED_VALUE"""),48.0)</f>
        <v>48</v>
      </c>
      <c r="B308" t="str">
        <f>IFERROR(__xludf.DUMMYFUNCTION("""COMPUTED_VALUE"""),"TAA3818")</f>
        <v>TAA3818</v>
      </c>
      <c r="C308">
        <f>IFERROR(__xludf.DUMMYFUNCTION("""COMPUTED_VALUE"""),1006747.0)</f>
        <v>1006747</v>
      </c>
      <c r="D308" t="str">
        <f>IFERROR(__xludf.DUMMYFUNCTION("""COMPUTED_VALUE"""),"Ms.")</f>
        <v>Ms.</v>
      </c>
      <c r="E308" t="str">
        <f>IFERROR(__xludf.DUMMYFUNCTION("""COMPUTED_VALUE"""),"Phichayanat (Noppawan)")</f>
        <v>Phichayanat (Noppawan)</v>
      </c>
      <c r="F308" t="str">
        <f>IFERROR(__xludf.DUMMYFUNCTION("""COMPUTED_VALUE"""),"Duangprasanchai")</f>
        <v>Duangprasanchai</v>
      </c>
      <c r="G308" t="str">
        <f>IFERROR(__xludf.DUMMYFUNCTION("""COMPUTED_VALUE"""),"Phichayanat Duangprasanchai")</f>
        <v>Phichayanat Duangprasanchai</v>
      </c>
      <c r="H308" t="str">
        <f>IFERROR(__xludf.DUMMYFUNCTION("""COMPUTED_VALUE"""),"นางสาว")</f>
        <v>นางสาว</v>
      </c>
      <c r="I308" t="str">
        <f>IFERROR(__xludf.DUMMYFUNCTION("""COMPUTED_VALUE"""),"พิชญณัฎฐ์")</f>
        <v>พิชญณัฎฐ์</v>
      </c>
      <c r="J308" t="str">
        <f>IFERROR(__xludf.DUMMYFUNCTION("""COMPUTED_VALUE"""),"ดวงประสารชัย")</f>
        <v>ดวงประสารชัย</v>
      </c>
      <c r="K308" t="str">
        <f>IFERROR(__xludf.DUMMYFUNCTION("""COMPUTED_VALUE"""),"พิชญณัฎฐ์ ดวงประสารชัย")</f>
        <v>พิชญณัฎฐ์ ดวงประสารชัย</v>
      </c>
      <c r="L308" t="str">
        <f>IFERROR(__xludf.DUMMYFUNCTION("""COMPUTED_VALUE"""),"Jan")</f>
        <v>Jan</v>
      </c>
      <c r="M308" t="str">
        <f>IFERROR(__xludf.DUMMYFUNCTION("""COMPUTED_VALUE"""),"Cabin Crew")</f>
        <v>Cabin Crew</v>
      </c>
      <c r="N308" t="str">
        <f>IFERROR(__xludf.DUMMYFUNCTION("""COMPUTED_VALUE"""),"DMK")</f>
        <v>DMK</v>
      </c>
      <c r="O308" s="145" t="str">
        <f>IFERROR(__xludf.DUMMYFUNCTION("""COMPUTED_VALUE"""),"Toffy Home")</f>
        <v>Toffy Home</v>
      </c>
      <c r="P308" t="str">
        <f>IFERROR(__xludf.DUMMYFUNCTION("""COMPUTED_VALUE"""),"Active")</f>
        <v>Active</v>
      </c>
      <c r="R308" s="143">
        <f>IFERROR(__xludf.DUMMYFUNCTION("""COMPUTED_VALUE"""),31051.0)</f>
        <v>31051</v>
      </c>
      <c r="S308" s="146" t="str">
        <f>IFERROR(__xludf.DUMMYFUNCTION("""COMPUTED_VALUE"""),"083 149 3956")</f>
        <v>083 149 3956</v>
      </c>
      <c r="T308" s="147" t="str">
        <f>IFERROR(__xludf.DUMMYFUNCTION("""COMPUTED_VALUE"""),"1101400-33-3315")</f>
        <v>1101400-33-3315</v>
      </c>
      <c r="U308" t="str">
        <f>IFERROR(__xludf.DUMMYFUNCTION("""COMPUTED_VALUE"""),"AC3173262")</f>
        <v>AC3173262</v>
      </c>
      <c r="V308" s="148">
        <f>IFERROR(__xludf.DUMMYFUNCTION("""COMPUTED_VALUE"""),44705.0)</f>
        <v>44705</v>
      </c>
      <c r="W308" s="148">
        <f>IFERROR(__xludf.DUMMYFUNCTION("""COMPUTED_VALUE"""),48357.0)</f>
        <v>48357</v>
      </c>
      <c r="X308" s="149">
        <f>IFERROR(__xludf.DUMMYFUNCTION("""COMPUTED_VALUE"""),48175.0)</f>
        <v>48175</v>
      </c>
      <c r="Y308" t="str">
        <f>IFERROR(__xludf.DUMMYFUNCTION("""COMPUTED_VALUE"""),"ปลอดภัย")</f>
        <v>ปลอดภัย</v>
      </c>
      <c r="Z308" t="str">
        <f>IFERROR(__xludf.DUMMYFUNCTION("""COMPUTED_VALUE"""),"Bangkok")</f>
        <v>Bangkok</v>
      </c>
      <c r="AA308" t="str">
        <f>IFERROR(__xludf.DUMMYFUNCTION("""COMPUTED_VALUE"""),"Nonthaburi")</f>
        <v>Nonthaburi</v>
      </c>
      <c r="AB308" t="str">
        <f>IFERROR(__xludf.DUMMYFUNCTION("""COMPUTED_VALUE"""),"02 833 0965 / 081 705 4288")</f>
        <v>02 833 0965 / 081 705 4288</v>
      </c>
      <c r="AC308" t="str">
        <f>IFERROR(__xludf.DUMMYFUNCTION("""COMPUTED_VALUE"""),"Home / Mother")</f>
        <v>Home / Mother</v>
      </c>
      <c r="AD308" t="str">
        <f>IFERROR(__xludf.DUMMYFUNCTION("""COMPUTED_VALUE"""),"phichayanatd@airasia.com")</f>
        <v>phichayanatd@airasia.com</v>
      </c>
    </row>
    <row r="309">
      <c r="A309" s="142">
        <f>IFERROR(__xludf.DUMMYFUNCTION("""COMPUTED_VALUE"""),48.0)</f>
        <v>48</v>
      </c>
      <c r="B309" t="str">
        <f>IFERROR(__xludf.DUMMYFUNCTION("""COMPUTED_VALUE"""),"TAA3816")</f>
        <v>TAA3816</v>
      </c>
      <c r="C309">
        <f>IFERROR(__xludf.DUMMYFUNCTION("""COMPUTED_VALUE"""),1006750.0)</f>
        <v>1006750</v>
      </c>
      <c r="D309" t="str">
        <f>IFERROR(__xludf.DUMMYFUNCTION("""COMPUTED_VALUE"""),"Ms.")</f>
        <v>Ms.</v>
      </c>
      <c r="E309" t="str">
        <f>IFERROR(__xludf.DUMMYFUNCTION("""COMPUTED_VALUE"""),"Supada")</f>
        <v>Supada</v>
      </c>
      <c r="F309" t="str">
        <f>IFERROR(__xludf.DUMMYFUNCTION("""COMPUTED_VALUE"""),"Wanichapat")</f>
        <v>Wanichapat</v>
      </c>
      <c r="G309" t="str">
        <f>IFERROR(__xludf.DUMMYFUNCTION("""COMPUTED_VALUE"""),"Supada Wanichapat")</f>
        <v>Supada Wanichapat</v>
      </c>
      <c r="H309" t="str">
        <f>IFERROR(__xludf.DUMMYFUNCTION("""COMPUTED_VALUE"""),"นางสาว")</f>
        <v>นางสาว</v>
      </c>
      <c r="I309" t="str">
        <f>IFERROR(__xludf.DUMMYFUNCTION("""COMPUTED_VALUE"""),"สุภาดา")</f>
        <v>สุภาดา</v>
      </c>
      <c r="J309" t="str">
        <f>IFERROR(__xludf.DUMMYFUNCTION("""COMPUTED_VALUE"""),"วานิชาภัทร")</f>
        <v>วานิชาภัทร</v>
      </c>
      <c r="K309" t="str">
        <f>IFERROR(__xludf.DUMMYFUNCTION("""COMPUTED_VALUE"""),"สุภาดา วานิชาภัทร")</f>
        <v>สุภาดา วานิชาภัทร</v>
      </c>
      <c r="L309" t="str">
        <f>IFERROR(__xludf.DUMMYFUNCTION("""COMPUTED_VALUE"""),"Karn")</f>
        <v>Karn</v>
      </c>
      <c r="M309" t="str">
        <f>IFERROR(__xludf.DUMMYFUNCTION("""COMPUTED_VALUE"""),"Cabin Crew")</f>
        <v>Cabin Crew</v>
      </c>
      <c r="N309" t="str">
        <f>IFERROR(__xludf.DUMMYFUNCTION("""COMPUTED_VALUE"""),"DMK")</f>
        <v>DMK</v>
      </c>
      <c r="O309" s="145" t="str">
        <f>IFERROR(__xludf.DUMMYFUNCTION("""COMPUTED_VALUE"""),"Namfon Home")</f>
        <v>Namfon Home</v>
      </c>
      <c r="P309" t="str">
        <f>IFERROR(__xludf.DUMMYFUNCTION("""COMPUTED_VALUE"""),"Active")</f>
        <v>Active</v>
      </c>
      <c r="Q309" t="str">
        <f>IFERROR(__xludf.DUMMYFUNCTION("""COMPUTED_VALUE"""),"Chinese Speaking")</f>
        <v>Chinese Speaking</v>
      </c>
      <c r="R309" s="143">
        <f>IFERROR(__xludf.DUMMYFUNCTION("""COMPUTED_VALUE"""),33340.0)</f>
        <v>33340</v>
      </c>
      <c r="S309" s="146" t="str">
        <f>IFERROR(__xludf.DUMMYFUNCTION("""COMPUTED_VALUE"""),"081 843 3894")</f>
        <v>081 843 3894</v>
      </c>
      <c r="T309" s="147" t="str">
        <f>IFERROR(__xludf.DUMMYFUNCTION("""COMPUTED_VALUE"""),"19099-80052-1470")</f>
        <v>19099-80052-1470</v>
      </c>
      <c r="U309" t="str">
        <f>IFERROR(__xludf.DUMMYFUNCTION("""COMPUTED_VALUE"""),"AD1078467")</f>
        <v>AD1078467</v>
      </c>
      <c r="V309" s="148">
        <f>IFERROR(__xludf.DUMMYFUNCTION("""COMPUTED_VALUE"""),45061.0)</f>
        <v>45061</v>
      </c>
      <c r="W309" s="148">
        <f>IFERROR(__xludf.DUMMYFUNCTION("""COMPUTED_VALUE"""),48713.0)</f>
        <v>48713</v>
      </c>
      <c r="X309" s="149">
        <f>IFERROR(__xludf.DUMMYFUNCTION("""COMPUTED_VALUE"""),48532.0)</f>
        <v>48532</v>
      </c>
      <c r="Y309" t="str">
        <f>IFERROR(__xludf.DUMMYFUNCTION("""COMPUTED_VALUE"""),"ปลอดภัย")</f>
        <v>ปลอดภัย</v>
      </c>
      <c r="Z309" t="str">
        <f>IFERROR(__xludf.DUMMYFUNCTION("""COMPUTED_VALUE"""),"Songkhla Province")</f>
        <v>Songkhla Province</v>
      </c>
      <c r="AA309" t="str">
        <f>IFERROR(__xludf.DUMMYFUNCTION("""COMPUTED_VALUE"""),"Ladkrabang")</f>
        <v>Ladkrabang</v>
      </c>
      <c r="AB309" t="str">
        <f>IFERROR(__xludf.DUMMYFUNCTION("""COMPUTED_VALUE"""),"073 615 442 / 081 788 7339")</f>
        <v>073 615 442 / 081 788 7339</v>
      </c>
      <c r="AC309" t="str">
        <f>IFERROR(__xludf.DUMMYFUNCTION("""COMPUTED_VALUE"""),"Home / Mother")</f>
        <v>Home / Mother</v>
      </c>
      <c r="AD309" t="str">
        <f>IFERROR(__xludf.DUMMYFUNCTION("""COMPUTED_VALUE"""),"supadaw@airasia.com")</f>
        <v>supadaw@airasia.com</v>
      </c>
    </row>
    <row r="310">
      <c r="A310" s="142">
        <f>IFERROR(__xludf.DUMMYFUNCTION("""COMPUTED_VALUE"""),48.0)</f>
        <v>48</v>
      </c>
      <c r="B310" t="str">
        <f>IFERROR(__xludf.DUMMYFUNCTION("""COMPUTED_VALUE"""),"TAA3824")</f>
        <v>TAA3824</v>
      </c>
      <c r="C310">
        <f>IFERROR(__xludf.DUMMYFUNCTION("""COMPUTED_VALUE"""),1006751.0)</f>
        <v>1006751</v>
      </c>
      <c r="D310" t="str">
        <f>IFERROR(__xludf.DUMMYFUNCTION("""COMPUTED_VALUE"""),"Ms.")</f>
        <v>Ms.</v>
      </c>
      <c r="E310" t="str">
        <f>IFERROR(__xludf.DUMMYFUNCTION("""COMPUTED_VALUE"""),"Supawadee")</f>
        <v>Supawadee</v>
      </c>
      <c r="F310" t="str">
        <f>IFERROR(__xludf.DUMMYFUNCTION("""COMPUTED_VALUE"""),"Panachompoo")</f>
        <v>Panachompoo</v>
      </c>
      <c r="G310" t="str">
        <f>IFERROR(__xludf.DUMMYFUNCTION("""COMPUTED_VALUE"""),"Supawadee Panachompoo")</f>
        <v>Supawadee Panachompoo</v>
      </c>
      <c r="H310" t="str">
        <f>IFERROR(__xludf.DUMMYFUNCTION("""COMPUTED_VALUE"""),"นางสาว")</f>
        <v>นางสาว</v>
      </c>
      <c r="I310" t="str">
        <f>IFERROR(__xludf.DUMMYFUNCTION("""COMPUTED_VALUE"""),"สุภาวดี")</f>
        <v>สุภาวดี</v>
      </c>
      <c r="J310" t="str">
        <f>IFERROR(__xludf.DUMMYFUNCTION("""COMPUTED_VALUE"""),"ปานะชมพู")</f>
        <v>ปานะชมพู</v>
      </c>
      <c r="K310" t="str">
        <f>IFERROR(__xludf.DUMMYFUNCTION("""COMPUTED_VALUE"""),"สุภาวดี ปานะชมพู")</f>
        <v>สุภาวดี ปานะชมพู</v>
      </c>
      <c r="L310" t="str">
        <f>IFERROR(__xludf.DUMMYFUNCTION("""COMPUTED_VALUE"""),"หญิง")</f>
        <v>หญิง</v>
      </c>
      <c r="M310" t="str">
        <f>IFERROR(__xludf.DUMMYFUNCTION("""COMPUTED_VALUE"""),"Senior Cabin Crew")</f>
        <v>Senior Cabin Crew</v>
      </c>
      <c r="N310" t="str">
        <f>IFERROR(__xludf.DUMMYFUNCTION("""COMPUTED_VALUE"""),"DMK")</f>
        <v>DMK</v>
      </c>
      <c r="O310" s="145" t="str">
        <f>IFERROR(__xludf.DUMMYFUNCTION("""COMPUTED_VALUE"""),"Kor Home")</f>
        <v>Kor Home</v>
      </c>
      <c r="P310" t="str">
        <f>IFERROR(__xludf.DUMMYFUNCTION("""COMPUTED_VALUE"""),"Active")</f>
        <v>Active</v>
      </c>
      <c r="R310" s="143">
        <f>IFERROR(__xludf.DUMMYFUNCTION("""COMPUTED_VALUE"""),30833.0)</f>
        <v>30833</v>
      </c>
      <c r="S310" s="146" t="str">
        <f>IFERROR(__xludf.DUMMYFUNCTION("""COMPUTED_VALUE"""),"089 519 5422")</f>
        <v>089 519 5422</v>
      </c>
      <c r="T310" s="147" t="str">
        <f>IFERROR(__xludf.DUMMYFUNCTION("""COMPUTED_VALUE"""),"1529900-02-7691")</f>
        <v>1529900-02-7691</v>
      </c>
      <c r="U310" t="str">
        <f>IFERROR(__xludf.DUMMYFUNCTION("""COMPUTED_VALUE"""),"AC5133524")</f>
        <v>AC5133524</v>
      </c>
      <c r="V310" s="148">
        <f>IFERROR(__xludf.DUMMYFUNCTION("""COMPUTED_VALUE"""),45093.0)</f>
        <v>45093</v>
      </c>
      <c r="W310" s="148">
        <f>IFERROR(__xludf.DUMMYFUNCTION("""COMPUTED_VALUE"""),48745.0)</f>
        <v>48745</v>
      </c>
      <c r="X310" s="149">
        <f>IFERROR(__xludf.DUMMYFUNCTION("""COMPUTED_VALUE"""),48563.0)</f>
        <v>48563</v>
      </c>
      <c r="Y310" t="str">
        <f>IFERROR(__xludf.DUMMYFUNCTION("""COMPUTED_VALUE"""),"ปลอดภัย")</f>
        <v>ปลอดภัย</v>
      </c>
      <c r="Z310" t="str">
        <f>IFERROR(__xludf.DUMMYFUNCTION("""COMPUTED_VALUE"""),"Lampang Province")</f>
        <v>Lampang Province</v>
      </c>
      <c r="AA310" t="str">
        <f>IFERROR(__xludf.DUMMYFUNCTION("""COMPUTED_VALUE"""),"Lampang")</f>
        <v>Lampang</v>
      </c>
      <c r="AB310" t="str">
        <f>IFERROR(__xludf.DUMMYFUNCTION("""COMPUTED_VALUE"""),"089 701 4128")</f>
        <v>089 701 4128</v>
      </c>
      <c r="AC310" t="str">
        <f>IFERROR(__xludf.DUMMYFUNCTION("""COMPUTED_VALUE"""),"Father")</f>
        <v>Father</v>
      </c>
      <c r="AD310" t="str">
        <f>IFERROR(__xludf.DUMMYFUNCTION("""COMPUTED_VALUE"""),"supawadeep@airasia.com")</f>
        <v>supawadeep@airasia.com</v>
      </c>
    </row>
    <row r="311">
      <c r="A311" s="142">
        <f>IFERROR(__xludf.DUMMYFUNCTION("""COMPUTED_VALUE"""),48.0)</f>
        <v>48</v>
      </c>
      <c r="B311" t="str">
        <f>IFERROR(__xludf.DUMMYFUNCTION("""COMPUTED_VALUE"""),"TAA3830")</f>
        <v>TAA3830</v>
      </c>
      <c r="C311">
        <f>IFERROR(__xludf.DUMMYFUNCTION("""COMPUTED_VALUE"""),1006752.0)</f>
        <v>1006752</v>
      </c>
      <c r="D311" t="str">
        <f>IFERROR(__xludf.DUMMYFUNCTION("""COMPUTED_VALUE"""),"Ms.")</f>
        <v>Ms.</v>
      </c>
      <c r="E311" t="str">
        <f>IFERROR(__xludf.DUMMYFUNCTION("""COMPUTED_VALUE"""),"Tanyada")</f>
        <v>Tanyada</v>
      </c>
      <c r="F311" t="str">
        <f>IFERROR(__xludf.DUMMYFUNCTION("""COMPUTED_VALUE"""),"Charoenpong")</f>
        <v>Charoenpong</v>
      </c>
      <c r="G311" t="str">
        <f>IFERROR(__xludf.DUMMYFUNCTION("""COMPUTED_VALUE"""),"Tanyada Charoenpong")</f>
        <v>Tanyada Charoenpong</v>
      </c>
      <c r="H311" t="str">
        <f>IFERROR(__xludf.DUMMYFUNCTION("""COMPUTED_VALUE"""),"นางสาว")</f>
        <v>นางสาว</v>
      </c>
      <c r="I311" t="str">
        <f>IFERROR(__xludf.DUMMYFUNCTION("""COMPUTED_VALUE"""),"ธัญดา")</f>
        <v>ธัญดา</v>
      </c>
      <c r="J311" t="str">
        <f>IFERROR(__xludf.DUMMYFUNCTION("""COMPUTED_VALUE"""),"เจริญพงศ์")</f>
        <v>เจริญพงศ์</v>
      </c>
      <c r="K311" t="str">
        <f>IFERROR(__xludf.DUMMYFUNCTION("""COMPUTED_VALUE"""),"ธัญดา เจริญพงศ์")</f>
        <v>ธัญดา เจริญพงศ์</v>
      </c>
      <c r="L311" t="str">
        <f>IFERROR(__xludf.DUMMYFUNCTION("""COMPUTED_VALUE"""),"Donut")</f>
        <v>Donut</v>
      </c>
      <c r="M311" t="str">
        <f>IFERROR(__xludf.DUMMYFUNCTION("""COMPUTED_VALUE"""),"Senior Cabin Crew")</f>
        <v>Senior Cabin Crew</v>
      </c>
      <c r="N311" t="str">
        <f>IFERROR(__xludf.DUMMYFUNCTION("""COMPUTED_VALUE"""),"DMK")</f>
        <v>DMK</v>
      </c>
      <c r="O311" s="145" t="str">
        <f>IFERROR(__xludf.DUMMYFUNCTION("""COMPUTED_VALUE"""),"Nhui Home")</f>
        <v>Nhui Home</v>
      </c>
      <c r="P311" t="str">
        <f>IFERROR(__xludf.DUMMYFUNCTION("""COMPUTED_VALUE"""),"Active")</f>
        <v>Active</v>
      </c>
      <c r="R311" s="143">
        <f>IFERROR(__xludf.DUMMYFUNCTION("""COMPUTED_VALUE"""),32251.0)</f>
        <v>32251</v>
      </c>
      <c r="S311" s="146" t="str">
        <f>IFERROR(__xludf.DUMMYFUNCTION("""COMPUTED_VALUE"""),"080 555 3650")</f>
        <v>080 555 3650</v>
      </c>
      <c r="T311" s="147" t="str">
        <f>IFERROR(__xludf.DUMMYFUNCTION("""COMPUTED_VALUE"""),"1101401-28-6833")</f>
        <v>1101401-28-6833</v>
      </c>
      <c r="U311" t="str">
        <f>IFERROR(__xludf.DUMMYFUNCTION("""COMPUTED_VALUE"""),"AC2422306")</f>
        <v>AC2422306</v>
      </c>
      <c r="V311" s="148">
        <f>IFERROR(__xludf.DUMMYFUNCTION("""COMPUTED_VALUE"""),44445.0)</f>
        <v>44445</v>
      </c>
      <c r="W311" s="148">
        <f>IFERROR(__xludf.DUMMYFUNCTION("""COMPUTED_VALUE"""),48096.0)</f>
        <v>48096</v>
      </c>
      <c r="X311" s="149">
        <f>IFERROR(__xludf.DUMMYFUNCTION("""COMPUTED_VALUE"""),47912.0)</f>
        <v>47912</v>
      </c>
      <c r="Y311" t="str">
        <f>IFERROR(__xludf.DUMMYFUNCTION("""COMPUTED_VALUE"""),"ปลอดภัย")</f>
        <v>ปลอดภัย</v>
      </c>
      <c r="Z311" t="str">
        <f>IFERROR(__xludf.DUMMYFUNCTION("""COMPUTED_VALUE"""),"Bangkok")</f>
        <v>Bangkok</v>
      </c>
      <c r="AA311" t="str">
        <f>IFERROR(__xludf.DUMMYFUNCTION("""COMPUTED_VALUE"""),"Bangkhum")</f>
        <v>Bangkhum</v>
      </c>
      <c r="AB311" t="str">
        <f>IFERROR(__xludf.DUMMYFUNCTION("""COMPUTED_VALUE"""),"080 000 6990 / 081 556 4605")</f>
        <v>080 000 6990 / 081 556 4605</v>
      </c>
      <c r="AC311" t="str">
        <f>IFERROR(__xludf.DUMMYFUNCTION("""COMPUTED_VALUE"""),"Father")</f>
        <v>Father</v>
      </c>
      <c r="AD311" t="str">
        <f>IFERROR(__xludf.DUMMYFUNCTION("""COMPUTED_VALUE"""),"tanyadac@airasia.com")</f>
        <v>tanyadac@airasia.com</v>
      </c>
    </row>
    <row r="312">
      <c r="A312" s="142">
        <f>IFERROR(__xludf.DUMMYFUNCTION("""COMPUTED_VALUE"""),48.0)</f>
        <v>48</v>
      </c>
      <c r="B312" t="str">
        <f>IFERROR(__xludf.DUMMYFUNCTION("""COMPUTED_VALUE"""),"TAA3831")</f>
        <v>TAA3831</v>
      </c>
      <c r="C312">
        <f>IFERROR(__xludf.DUMMYFUNCTION("""COMPUTED_VALUE"""),1006753.0)</f>
        <v>1006753</v>
      </c>
      <c r="D312" t="str">
        <f>IFERROR(__xludf.DUMMYFUNCTION("""COMPUTED_VALUE"""),"Ms.")</f>
        <v>Ms.</v>
      </c>
      <c r="E312" t="str">
        <f>IFERROR(__xludf.DUMMYFUNCTION("""COMPUTED_VALUE"""),"Thiptida")</f>
        <v>Thiptida</v>
      </c>
      <c r="F312" t="str">
        <f>IFERROR(__xludf.DUMMYFUNCTION("""COMPUTED_VALUE"""),"Keereemasthong")</f>
        <v>Keereemasthong</v>
      </c>
      <c r="G312" t="str">
        <f>IFERROR(__xludf.DUMMYFUNCTION("""COMPUTED_VALUE"""),"Thiptida Keereemasthong")</f>
        <v>Thiptida Keereemasthong</v>
      </c>
      <c r="H312" t="str">
        <f>IFERROR(__xludf.DUMMYFUNCTION("""COMPUTED_VALUE"""),"นางสาว")</f>
        <v>นางสาว</v>
      </c>
      <c r="I312" t="str">
        <f>IFERROR(__xludf.DUMMYFUNCTION("""COMPUTED_VALUE"""),"ทิพธิดา")</f>
        <v>ทิพธิดา</v>
      </c>
      <c r="J312" t="str">
        <f>IFERROR(__xludf.DUMMYFUNCTION("""COMPUTED_VALUE"""),"คีรีมาศทอง")</f>
        <v>คีรีมาศทอง</v>
      </c>
      <c r="K312" t="str">
        <f>IFERROR(__xludf.DUMMYFUNCTION("""COMPUTED_VALUE"""),"ทิพธิดา คีรีมาศทอง")</f>
        <v>ทิพธิดา คีรีมาศทอง</v>
      </c>
      <c r="L312" t="str">
        <f>IFERROR(__xludf.DUMMYFUNCTION("""COMPUTED_VALUE"""),"Mod")</f>
        <v>Mod</v>
      </c>
      <c r="M312" t="str">
        <f>IFERROR(__xludf.DUMMYFUNCTION("""COMPUTED_VALUE"""),"Cabin Crew")</f>
        <v>Cabin Crew</v>
      </c>
      <c r="N312" t="str">
        <f>IFERROR(__xludf.DUMMYFUNCTION("""COMPUTED_VALUE"""),"DMK")</f>
        <v>DMK</v>
      </c>
      <c r="O312" s="145" t="str">
        <f>IFERROR(__xludf.DUMMYFUNCTION("""COMPUTED_VALUE"""),"Por+ Home")</f>
        <v>Por+ Home</v>
      </c>
      <c r="P312" t="str">
        <f>IFERROR(__xludf.DUMMYFUNCTION("""COMPUTED_VALUE"""),"Active")</f>
        <v>Active</v>
      </c>
      <c r="R312" s="143">
        <f>IFERROR(__xludf.DUMMYFUNCTION("""COMPUTED_VALUE"""),31738.0)</f>
        <v>31738</v>
      </c>
      <c r="S312" s="146" t="str">
        <f>IFERROR(__xludf.DUMMYFUNCTION("""COMPUTED_VALUE"""),"089 993 6296")</f>
        <v>089 993 6296</v>
      </c>
      <c r="T312" s="147" t="str">
        <f>IFERROR(__xludf.DUMMYFUNCTION("""COMPUTED_VALUE"""),"1101400-85-8434")</f>
        <v>1101400-85-8434</v>
      </c>
      <c r="U312" t="str">
        <f>IFERROR(__xludf.DUMMYFUNCTION("""COMPUTED_VALUE"""),"AC2863304")</f>
        <v>AC2863304</v>
      </c>
      <c r="V312" s="148">
        <f>IFERROR(__xludf.DUMMYFUNCTION("""COMPUTED_VALUE"""),44596.0)</f>
        <v>44596</v>
      </c>
      <c r="W312" s="148">
        <f>IFERROR(__xludf.DUMMYFUNCTION("""COMPUTED_VALUE"""),48247.0)</f>
        <v>48247</v>
      </c>
      <c r="X312" s="149">
        <f>IFERROR(__xludf.DUMMYFUNCTION("""COMPUTED_VALUE"""),48063.0)</f>
        <v>48063</v>
      </c>
      <c r="Y312" t="str">
        <f>IFERROR(__xludf.DUMMYFUNCTION("""COMPUTED_VALUE"""),"ปลอดภัย")</f>
        <v>ปลอดภัย</v>
      </c>
      <c r="Z312" t="str">
        <f>IFERROR(__xludf.DUMMYFUNCTION("""COMPUTED_VALUE"""),"Bangkok")</f>
        <v>Bangkok</v>
      </c>
      <c r="AA312" t="str">
        <f>IFERROR(__xludf.DUMMYFUNCTION("""COMPUTED_VALUE"""),"Kannayao")</f>
        <v>Kannayao</v>
      </c>
      <c r="AB312" t="str">
        <f>IFERROR(__xludf.DUMMYFUNCTION("""COMPUTED_VALUE"""),"02 944 1391 / 081 843 8377")</f>
        <v>02 944 1391 / 081 843 8377</v>
      </c>
      <c r="AC312" t="str">
        <f>IFERROR(__xludf.DUMMYFUNCTION("""COMPUTED_VALUE"""),"Home / Mother")</f>
        <v>Home / Mother</v>
      </c>
      <c r="AD312" t="str">
        <f>IFERROR(__xludf.DUMMYFUNCTION("""COMPUTED_VALUE"""),"thiptidak@airasia.com")</f>
        <v>thiptidak@airasia.com</v>
      </c>
    </row>
    <row r="313">
      <c r="A313" s="142">
        <f>IFERROR(__xludf.DUMMYFUNCTION("""COMPUTED_VALUE"""),48.0)</f>
        <v>48</v>
      </c>
      <c r="B313" t="str">
        <f>IFERROR(__xludf.DUMMYFUNCTION("""COMPUTED_VALUE"""),"TAA3826")</f>
        <v>TAA3826</v>
      </c>
      <c r="C313">
        <f>IFERROR(__xludf.DUMMYFUNCTION("""COMPUTED_VALUE"""),1006754.0)</f>
        <v>1006754</v>
      </c>
      <c r="D313" t="str">
        <f>IFERROR(__xludf.DUMMYFUNCTION("""COMPUTED_VALUE"""),"Ms.")</f>
        <v>Ms.</v>
      </c>
      <c r="E313" t="str">
        <f>IFERROR(__xludf.DUMMYFUNCTION("""COMPUTED_VALUE"""),"Tilada")</f>
        <v>Tilada</v>
      </c>
      <c r="F313" t="str">
        <f>IFERROR(__xludf.DUMMYFUNCTION("""COMPUTED_VALUE"""),"Srichaichana")</f>
        <v>Srichaichana</v>
      </c>
      <c r="G313" t="str">
        <f>IFERROR(__xludf.DUMMYFUNCTION("""COMPUTED_VALUE"""),"Tilada Srichaichana")</f>
        <v>Tilada Srichaichana</v>
      </c>
      <c r="H313" t="str">
        <f>IFERROR(__xludf.DUMMYFUNCTION("""COMPUTED_VALUE"""),"นางสาว")</f>
        <v>นางสาว</v>
      </c>
      <c r="I313" t="str">
        <f>IFERROR(__xludf.DUMMYFUNCTION("""COMPUTED_VALUE"""),"ฐิลดา")</f>
        <v>ฐิลดา</v>
      </c>
      <c r="J313" t="str">
        <f>IFERROR(__xludf.DUMMYFUNCTION("""COMPUTED_VALUE"""),"ศรีชัยชนะ")</f>
        <v>ศรีชัยชนะ</v>
      </c>
      <c r="K313" t="str">
        <f>IFERROR(__xludf.DUMMYFUNCTION("""COMPUTED_VALUE"""),"ฐิลดา ศรีชัยชนะ")</f>
        <v>ฐิลดา ศรีชัยชนะ</v>
      </c>
      <c r="L313" t="str">
        <f>IFERROR(__xludf.DUMMYFUNCTION("""COMPUTED_VALUE"""),"Joy")</f>
        <v>Joy</v>
      </c>
      <c r="M313" t="str">
        <f>IFERROR(__xludf.DUMMYFUNCTION("""COMPUTED_VALUE"""),"Senior Cabin Crew - BKK")</f>
        <v>Senior Cabin Crew - BKK</v>
      </c>
      <c r="N313" t="str">
        <f>IFERROR(__xludf.DUMMYFUNCTION("""COMPUTED_VALUE"""),"BKK")</f>
        <v>BKK</v>
      </c>
      <c r="O313" s="145" t="str">
        <f>IFERROR(__xludf.DUMMYFUNCTION("""COMPUTED_VALUE"""),"Nhui Home")</f>
        <v>Nhui Home</v>
      </c>
      <c r="P313" t="str">
        <f>IFERROR(__xludf.DUMMYFUNCTION("""COMPUTED_VALUE"""),"Active/V/DMK")</f>
        <v>Active/V/DMK</v>
      </c>
      <c r="R313" s="143">
        <f>IFERROR(__xludf.DUMMYFUNCTION("""COMPUTED_VALUE"""),31630.0)</f>
        <v>31630</v>
      </c>
      <c r="S313" s="146" t="str">
        <f>IFERROR(__xludf.DUMMYFUNCTION("""COMPUTED_VALUE"""),"089 144 0123")</f>
        <v>089 144 0123</v>
      </c>
      <c r="T313" s="147" t="str">
        <f>IFERROR(__xludf.DUMMYFUNCTION("""COMPUTED_VALUE"""),"2839900-01-1383")</f>
        <v>2839900-01-1383</v>
      </c>
      <c r="U313" t="str">
        <f>IFERROR(__xludf.DUMMYFUNCTION("""COMPUTED_VALUE"""),"AC4581725")</f>
        <v>AC4581725</v>
      </c>
      <c r="V313" s="148">
        <f>IFERROR(__xludf.DUMMYFUNCTION("""COMPUTED_VALUE"""),44977.0)</f>
        <v>44977</v>
      </c>
      <c r="W313" s="148">
        <f>IFERROR(__xludf.DUMMYFUNCTION("""COMPUTED_VALUE"""),48629.0)</f>
        <v>48629</v>
      </c>
      <c r="X313" s="149">
        <f>IFERROR(__xludf.DUMMYFUNCTION("""COMPUTED_VALUE"""),48445.0)</f>
        <v>48445</v>
      </c>
      <c r="Y313" t="str">
        <f>IFERROR(__xludf.DUMMYFUNCTION("""COMPUTED_VALUE"""),"ปลอดภัย")</f>
        <v>ปลอดภัย</v>
      </c>
      <c r="Z313" t="str">
        <f>IFERROR(__xludf.DUMMYFUNCTION("""COMPUTED_VALUE"""),"Phuket Province")</f>
        <v>Phuket Province</v>
      </c>
      <c r="AA313" t="str">
        <f>IFERROR(__xludf.DUMMYFUNCTION("""COMPUTED_VALUE"""),"Phuket")</f>
        <v>Phuket</v>
      </c>
      <c r="AB313" t="str">
        <f>IFERROR(__xludf.DUMMYFUNCTION("""COMPUTED_VALUE"""),"087 885 5879")</f>
        <v>087 885 5879</v>
      </c>
      <c r="AC313" t="str">
        <f>IFERROR(__xludf.DUMMYFUNCTION("""COMPUTED_VALUE"""),"Father")</f>
        <v>Father</v>
      </c>
      <c r="AD313" t="str">
        <f>IFERROR(__xludf.DUMMYFUNCTION("""COMPUTED_VALUE"""),"tiladas@airasia.com")</f>
        <v>tiladas@airasia.com</v>
      </c>
    </row>
    <row r="314">
      <c r="AD314" t="str">
        <f>IFERROR(__xludf.DUMMYFUNCTION("""COMPUTED_VALUE"""),"")</f>
        <v/>
      </c>
    </row>
    <row r="315">
      <c r="A315" s="142">
        <f>IFERROR(__xludf.DUMMYFUNCTION("""COMPUTED_VALUE"""),49.0)</f>
        <v>49</v>
      </c>
      <c r="B315" t="str">
        <f>IFERROR(__xludf.DUMMYFUNCTION("""COMPUTED_VALUE"""),"TAA3881")</f>
        <v>TAA3881</v>
      </c>
      <c r="C315">
        <f>IFERROR(__xludf.DUMMYFUNCTION("""COMPUTED_VALUE"""),1006834.0)</f>
        <v>1006834</v>
      </c>
      <c r="D315" t="str">
        <f>IFERROR(__xludf.DUMMYFUNCTION("""COMPUTED_VALUE"""),"Ms.")</f>
        <v>Ms.</v>
      </c>
      <c r="E315" t="str">
        <f>IFERROR(__xludf.DUMMYFUNCTION("""COMPUTED_VALUE"""),"Jirachaya")</f>
        <v>Jirachaya</v>
      </c>
      <c r="F315" t="str">
        <f>IFERROR(__xludf.DUMMYFUNCTION("""COMPUTED_VALUE"""),"Limpadtanachai")</f>
        <v>Limpadtanachai</v>
      </c>
      <c r="G315" t="str">
        <f>IFERROR(__xludf.DUMMYFUNCTION("""COMPUTED_VALUE"""),"Jirachaya Limpadtanachai")</f>
        <v>Jirachaya Limpadtanachai</v>
      </c>
      <c r="H315" t="str">
        <f>IFERROR(__xludf.DUMMYFUNCTION("""COMPUTED_VALUE"""),"นางสาว")</f>
        <v>นางสาว</v>
      </c>
      <c r="I315" t="str">
        <f>IFERROR(__xludf.DUMMYFUNCTION("""COMPUTED_VALUE"""),"จิรชยา")</f>
        <v>จิรชยา</v>
      </c>
      <c r="J315" t="str">
        <f>IFERROR(__xludf.DUMMYFUNCTION("""COMPUTED_VALUE"""),"ลิมป์พัฒนชัย")</f>
        <v>ลิมป์พัฒนชัย</v>
      </c>
      <c r="K315" t="str">
        <f>IFERROR(__xludf.DUMMYFUNCTION("""COMPUTED_VALUE"""),"จิรชยา ลิมป์พัฒนชัย")</f>
        <v>จิรชยา ลิมป์พัฒนชัย</v>
      </c>
      <c r="L315" t="str">
        <f>IFERROR(__xludf.DUMMYFUNCTION("""COMPUTED_VALUE"""),"Ngek")</f>
        <v>Ngek</v>
      </c>
      <c r="M315" t="str">
        <f>IFERROR(__xludf.DUMMYFUNCTION("""COMPUTED_VALUE"""),"Senior Cabin Crew")</f>
        <v>Senior Cabin Crew</v>
      </c>
      <c r="N315" t="str">
        <f>IFERROR(__xludf.DUMMYFUNCTION("""COMPUTED_VALUE"""),"DMK")</f>
        <v>DMK</v>
      </c>
      <c r="O315" s="145" t="str">
        <f>IFERROR(__xludf.DUMMYFUNCTION("""COMPUTED_VALUE"""),"Namfon Home")</f>
        <v>Namfon Home</v>
      </c>
      <c r="P315" t="str">
        <f>IFERROR(__xludf.DUMMYFUNCTION("""COMPUTED_VALUE"""),"Active")</f>
        <v>Active</v>
      </c>
      <c r="Q315" t="str">
        <f>IFERROR(__xludf.DUMMYFUNCTION("""COMPUTED_VALUE"""),"Chinese Speaking")</f>
        <v>Chinese Speaking</v>
      </c>
      <c r="R315" s="143">
        <f>IFERROR(__xludf.DUMMYFUNCTION("""COMPUTED_VALUE"""),31890.0)</f>
        <v>31890</v>
      </c>
      <c r="S315" s="146" t="str">
        <f>IFERROR(__xludf.DUMMYFUNCTION("""COMPUTED_VALUE"""),"094 241 9629")</f>
        <v>094 241 9629</v>
      </c>
      <c r="T315" s="147" t="str">
        <f>IFERROR(__xludf.DUMMYFUNCTION("""COMPUTED_VALUE"""),"1100400-26-2581")</f>
        <v>1100400-26-2581</v>
      </c>
      <c r="U315" t="str">
        <f>IFERROR(__xludf.DUMMYFUNCTION("""COMPUTED_VALUE"""),"AC2590810")</f>
        <v>AC2590810</v>
      </c>
      <c r="V315" s="148">
        <f>IFERROR(__xludf.DUMMYFUNCTION("""COMPUTED_VALUE"""),44655.0)</f>
        <v>44655</v>
      </c>
      <c r="W315" s="148">
        <f>IFERROR(__xludf.DUMMYFUNCTION("""COMPUTED_VALUE"""),48307.0)</f>
        <v>48307</v>
      </c>
      <c r="X315" s="149">
        <f>IFERROR(__xludf.DUMMYFUNCTION("""COMPUTED_VALUE"""),48124.0)</f>
        <v>48124</v>
      </c>
      <c r="Y315" t="str">
        <f>IFERROR(__xludf.DUMMYFUNCTION("""COMPUTED_VALUE"""),"ปลอดภัย")</f>
        <v>ปลอดภัย</v>
      </c>
      <c r="Z315" t="str">
        <f>IFERROR(__xludf.DUMMYFUNCTION("""COMPUTED_VALUE"""),"Bangkok")</f>
        <v>Bangkok</v>
      </c>
      <c r="AA315" t="str">
        <f>IFERROR(__xludf.DUMMYFUNCTION("""COMPUTED_VALUE"""),"Klongsan")</f>
        <v>Klongsan</v>
      </c>
      <c r="AB315" t="str">
        <f>IFERROR(__xludf.DUMMYFUNCTION("""COMPUTED_VALUE"""),"081 453 0621")</f>
        <v>081 453 0621</v>
      </c>
      <c r="AC315" t="str">
        <f>IFERROR(__xludf.DUMMYFUNCTION("""COMPUTED_VALUE"""),"Mother")</f>
        <v>Mother</v>
      </c>
      <c r="AD315" t="str">
        <f>IFERROR(__xludf.DUMMYFUNCTION("""COMPUTED_VALUE"""),"jirachayal@airasia.com")</f>
        <v>jirachayal@airasia.com</v>
      </c>
    </row>
    <row r="316">
      <c r="A316" s="142">
        <f>IFERROR(__xludf.DUMMYFUNCTION("""COMPUTED_VALUE"""),49.0)</f>
        <v>49</v>
      </c>
      <c r="B316" t="str">
        <f>IFERROR(__xludf.DUMMYFUNCTION("""COMPUTED_VALUE"""),"TAA3877")</f>
        <v>TAA3877</v>
      </c>
      <c r="C316">
        <f>IFERROR(__xludf.DUMMYFUNCTION("""COMPUTED_VALUE"""),1006835.0)</f>
        <v>1006835</v>
      </c>
      <c r="D316" t="str">
        <f>IFERROR(__xludf.DUMMYFUNCTION("""COMPUTED_VALUE"""),"Ms.")</f>
        <v>Ms.</v>
      </c>
      <c r="E316" t="str">
        <f>IFERROR(__xludf.DUMMYFUNCTION("""COMPUTED_VALUE"""),"Ketsaraporn")</f>
        <v>Ketsaraporn</v>
      </c>
      <c r="F316" t="str">
        <f>IFERROR(__xludf.DUMMYFUNCTION("""COMPUTED_VALUE"""),"Borvornmongkolsak")</f>
        <v>Borvornmongkolsak</v>
      </c>
      <c r="G316" t="str">
        <f>IFERROR(__xludf.DUMMYFUNCTION("""COMPUTED_VALUE"""),"Ketsaraporn Borvornmongkolsak")</f>
        <v>Ketsaraporn Borvornmongkolsak</v>
      </c>
      <c r="H316" t="str">
        <f>IFERROR(__xludf.DUMMYFUNCTION("""COMPUTED_VALUE"""),"นางสาว")</f>
        <v>นางสาว</v>
      </c>
      <c r="I316" t="str">
        <f>IFERROR(__xludf.DUMMYFUNCTION("""COMPUTED_VALUE"""),"เกศราภรณ์")</f>
        <v>เกศราภรณ์</v>
      </c>
      <c r="J316" t="str">
        <f>IFERROR(__xludf.DUMMYFUNCTION("""COMPUTED_VALUE"""),"บวรมงคลศักดิ์")</f>
        <v>บวรมงคลศักดิ์</v>
      </c>
      <c r="K316" t="str">
        <f>IFERROR(__xludf.DUMMYFUNCTION("""COMPUTED_VALUE"""),"เกศราภรณ์ บวรมงคลศักดิ์")</f>
        <v>เกศราภรณ์ บวรมงคลศักดิ์</v>
      </c>
      <c r="L316" t="str">
        <f>IFERROR(__xludf.DUMMYFUNCTION("""COMPUTED_VALUE"""),"kate")</f>
        <v>kate</v>
      </c>
      <c r="M316" t="str">
        <f>IFERROR(__xludf.DUMMYFUNCTION("""COMPUTED_VALUE"""),"Cabin Crew")</f>
        <v>Cabin Crew</v>
      </c>
      <c r="N316" t="str">
        <f>IFERROR(__xludf.DUMMYFUNCTION("""COMPUTED_VALUE"""),"DMK")</f>
        <v>DMK</v>
      </c>
      <c r="O316" s="145" t="str">
        <f>IFERROR(__xludf.DUMMYFUNCTION("""COMPUTED_VALUE"""),"Nhui Home")</f>
        <v>Nhui Home</v>
      </c>
      <c r="P316" t="str">
        <f>IFERROR(__xludf.DUMMYFUNCTION("""COMPUTED_VALUE"""),"Active")</f>
        <v>Active</v>
      </c>
      <c r="Q316" t="str">
        <f>IFERROR(__xludf.DUMMYFUNCTION("""COMPUTED_VALUE"""),"Chinese Speaking")</f>
        <v>Chinese Speaking</v>
      </c>
      <c r="R316" s="143">
        <f>IFERROR(__xludf.DUMMYFUNCTION("""COMPUTED_VALUE"""),32850.0)</f>
        <v>32850</v>
      </c>
      <c r="S316" s="146" t="str">
        <f>IFERROR(__xludf.DUMMYFUNCTION("""COMPUTED_VALUE"""),"081 415 1969")</f>
        <v>081 415 1969</v>
      </c>
      <c r="T316" s="147" t="str">
        <f>IFERROR(__xludf.DUMMYFUNCTION("""COMPUTED_VALUE"""),"1101800-38-3484")</f>
        <v>1101800-38-3484</v>
      </c>
      <c r="U316" t="str">
        <f>IFERROR(__xludf.DUMMYFUNCTION("""COMPUTED_VALUE"""),"AC4209016")</f>
        <v>AC4209016</v>
      </c>
      <c r="V316" s="148">
        <f>IFERROR(__xludf.DUMMYFUNCTION("""COMPUTED_VALUE"""),44890.0)</f>
        <v>44890</v>
      </c>
      <c r="W316" s="148">
        <f>IFERROR(__xludf.DUMMYFUNCTION("""COMPUTED_VALUE"""),48542.0)</f>
        <v>48542</v>
      </c>
      <c r="X316" s="149">
        <f>IFERROR(__xludf.DUMMYFUNCTION("""COMPUTED_VALUE"""),48358.0)</f>
        <v>48358</v>
      </c>
      <c r="Y316" t="str">
        <f>IFERROR(__xludf.DUMMYFUNCTION("""COMPUTED_VALUE"""),"ปลอดภัย")</f>
        <v>ปลอดภัย</v>
      </c>
      <c r="Z316" t="str">
        <f>IFERROR(__xludf.DUMMYFUNCTION("""COMPUTED_VALUE"""),"Bangkok")</f>
        <v>Bangkok</v>
      </c>
      <c r="AA316" t="str">
        <f>IFERROR(__xludf.DUMMYFUNCTION("""COMPUTED_VALUE"""),"Chomthong")</f>
        <v>Chomthong</v>
      </c>
      <c r="AB316" t="str">
        <f>IFERROR(__xludf.DUMMYFUNCTION("""COMPUTED_VALUE"""),"081 415 1969")</f>
        <v>081 415 1969</v>
      </c>
      <c r="AC316" t="str">
        <f>IFERROR(__xludf.DUMMYFUNCTION("""COMPUTED_VALUE"""),"Father")</f>
        <v>Father</v>
      </c>
      <c r="AD316" t="str">
        <f>IFERROR(__xludf.DUMMYFUNCTION("""COMPUTED_VALUE"""),"ketsarapornb@airasia.com")</f>
        <v>ketsarapornb@airasia.com</v>
      </c>
    </row>
    <row r="317">
      <c r="A317" s="142">
        <f>IFERROR(__xludf.DUMMYFUNCTION("""COMPUTED_VALUE"""),49.0)</f>
        <v>49</v>
      </c>
      <c r="B317" t="str">
        <f>IFERROR(__xludf.DUMMYFUNCTION("""COMPUTED_VALUE"""),"TAA3882")</f>
        <v>TAA3882</v>
      </c>
      <c r="C317">
        <f>IFERROR(__xludf.DUMMYFUNCTION("""COMPUTED_VALUE"""),1006836.0)</f>
        <v>1006836</v>
      </c>
      <c r="D317" t="str">
        <f>IFERROR(__xludf.DUMMYFUNCTION("""COMPUTED_VALUE"""),"Mrs.")</f>
        <v>Mrs.</v>
      </c>
      <c r="E317" t="str">
        <f>IFERROR(__xludf.DUMMYFUNCTION("""COMPUTED_VALUE"""),"Kotchaporn (Chengping)")</f>
        <v>Kotchaporn (Chengping)</v>
      </c>
      <c r="F317" t="str">
        <f>IFERROR(__xludf.DUMMYFUNCTION("""COMPUTED_VALUE"""),"Komutanont (Saetang)")</f>
        <v>Komutanont (Saetang)</v>
      </c>
      <c r="G317" t="str">
        <f>IFERROR(__xludf.DUMMYFUNCTION("""COMPUTED_VALUE"""),"Kotchaporn Komutanont")</f>
        <v>Kotchaporn Komutanont</v>
      </c>
      <c r="H317" t="str">
        <f>IFERROR(__xludf.DUMMYFUNCTION("""COMPUTED_VALUE"""),"นาง")</f>
        <v>นาง</v>
      </c>
      <c r="I317" t="str">
        <f>IFERROR(__xludf.DUMMYFUNCTION("""COMPUTED_VALUE"""),"กชพร(เจิ้นผิง)")</f>
        <v>กชพร(เจิ้นผิง)</v>
      </c>
      <c r="J317" t="str">
        <f>IFERROR(__xludf.DUMMYFUNCTION("""COMPUTED_VALUE"""),"โกมุทานนท์(แซ่ทัง)")</f>
        <v>โกมุทานนท์(แซ่ทัง)</v>
      </c>
      <c r="K317" t="str">
        <f>IFERROR(__xludf.DUMMYFUNCTION("""COMPUTED_VALUE"""),"กชพร โกมุทานนท์")</f>
        <v>กชพร โกมุทานนท์</v>
      </c>
      <c r="L317" t="str">
        <f>IFERROR(__xludf.DUMMYFUNCTION("""COMPUTED_VALUE"""),"May")</f>
        <v>May</v>
      </c>
      <c r="M317" t="str">
        <f>IFERROR(__xludf.DUMMYFUNCTION("""COMPUTED_VALUE"""),"Senior Cabin Crew")</f>
        <v>Senior Cabin Crew</v>
      </c>
      <c r="N317" t="str">
        <f>IFERROR(__xludf.DUMMYFUNCTION("""COMPUTED_VALUE"""),"DMK")</f>
        <v>DMK</v>
      </c>
      <c r="O317" s="145" t="str">
        <f>IFERROR(__xludf.DUMMYFUNCTION("""COMPUTED_VALUE"""),"Toffy Home")</f>
        <v>Toffy Home</v>
      </c>
      <c r="P317" t="str">
        <f>IFERROR(__xludf.DUMMYFUNCTION("""COMPUTED_VALUE"""),"Active")</f>
        <v>Active</v>
      </c>
      <c r="Q317" t="str">
        <f>IFERROR(__xludf.DUMMYFUNCTION("""COMPUTED_VALUE"""),"Chinese Speaking")</f>
        <v>Chinese Speaking</v>
      </c>
      <c r="R317" s="143">
        <f>IFERROR(__xludf.DUMMYFUNCTION("""COMPUTED_VALUE"""),33021.0)</f>
        <v>33021</v>
      </c>
      <c r="S317" s="146" t="str">
        <f>IFERROR(__xludf.DUMMYFUNCTION("""COMPUTED_VALUE"""),"085 226 5355")</f>
        <v>085 226 5355</v>
      </c>
      <c r="T317" s="147" t="str">
        <f>IFERROR(__xludf.DUMMYFUNCTION("""COMPUTED_VALUE"""),"8102373-00-0088")</f>
        <v>8102373-00-0088</v>
      </c>
      <c r="U317" t="str">
        <f>IFERROR(__xludf.DUMMYFUNCTION("""COMPUTED_VALUE"""),"AC2292917")</f>
        <v>AC2292917</v>
      </c>
      <c r="V317" s="148">
        <f>IFERROR(__xludf.DUMMYFUNCTION("""COMPUTED_VALUE"""),44344.0)</f>
        <v>44344</v>
      </c>
      <c r="W317" s="148">
        <f>IFERROR(__xludf.DUMMYFUNCTION("""COMPUTED_VALUE"""),47995.0)</f>
        <v>47995</v>
      </c>
      <c r="X317" s="149">
        <f>IFERROR(__xludf.DUMMYFUNCTION("""COMPUTED_VALUE"""),47814.0)</f>
        <v>47814</v>
      </c>
      <c r="Y317" t="str">
        <f>IFERROR(__xludf.DUMMYFUNCTION("""COMPUTED_VALUE"""),"ปลอดภัย")</f>
        <v>ปลอดภัย</v>
      </c>
      <c r="Z317" t="str">
        <f>IFERROR(__xludf.DUMMYFUNCTION("""COMPUTED_VALUE"""),"Bangkok")</f>
        <v>Bangkok</v>
      </c>
      <c r="AA317" t="str">
        <f>IFERROR(__xludf.DUMMYFUNCTION("""COMPUTED_VALUE"""),"Nakornprathom")</f>
        <v>Nakornprathom</v>
      </c>
      <c r="AB317" t="str">
        <f>IFERROR(__xludf.DUMMYFUNCTION("""COMPUTED_VALUE"""),"087 700 1420")</f>
        <v>087 700 1420</v>
      </c>
      <c r="AC317" t="str">
        <f>IFERROR(__xludf.DUMMYFUNCTION("""COMPUTED_VALUE"""),"Mother")</f>
        <v>Mother</v>
      </c>
      <c r="AD317" t="str">
        <f>IFERROR(__xludf.DUMMYFUNCTION("""COMPUTED_VALUE"""),"kotchapornk@airasia.com")</f>
        <v>kotchapornk@airasia.com</v>
      </c>
    </row>
    <row r="318">
      <c r="A318" s="142">
        <f>IFERROR(__xludf.DUMMYFUNCTION("""COMPUTED_VALUE"""),49.0)</f>
        <v>49</v>
      </c>
      <c r="B318" t="str">
        <f>IFERROR(__xludf.DUMMYFUNCTION("""COMPUTED_VALUE"""),"TAA3872")</f>
        <v>TAA3872</v>
      </c>
      <c r="C318">
        <f>IFERROR(__xludf.DUMMYFUNCTION("""COMPUTED_VALUE"""),1006840.0)</f>
        <v>1006840</v>
      </c>
      <c r="D318" t="str">
        <f>IFERROR(__xludf.DUMMYFUNCTION("""COMPUTED_VALUE"""),"Mr.")</f>
        <v>Mr.</v>
      </c>
      <c r="E318" t="str">
        <f>IFERROR(__xludf.DUMMYFUNCTION("""COMPUTED_VALUE"""),"Nutthawich")</f>
        <v>Nutthawich</v>
      </c>
      <c r="F318" t="str">
        <f>IFERROR(__xludf.DUMMYFUNCTION("""COMPUTED_VALUE"""),"Suwanmanee")</f>
        <v>Suwanmanee</v>
      </c>
      <c r="G318" t="str">
        <f>IFERROR(__xludf.DUMMYFUNCTION("""COMPUTED_VALUE"""),"Nutthawich Suwanmanee")</f>
        <v>Nutthawich Suwanmanee</v>
      </c>
      <c r="H318" t="str">
        <f>IFERROR(__xludf.DUMMYFUNCTION("""COMPUTED_VALUE"""),"นาย")</f>
        <v>นาย</v>
      </c>
      <c r="I318" t="str">
        <f>IFERROR(__xludf.DUMMYFUNCTION("""COMPUTED_VALUE"""),"ณัฐวิชช์")</f>
        <v>ณัฐวิชช์</v>
      </c>
      <c r="J318" t="str">
        <f>IFERROR(__xludf.DUMMYFUNCTION("""COMPUTED_VALUE"""),"สุวรรณมณี")</f>
        <v>สุวรรณมณี</v>
      </c>
      <c r="K318" t="str">
        <f>IFERROR(__xludf.DUMMYFUNCTION("""COMPUTED_VALUE"""),"ณัฐวิชช์ สุวรรณมณี")</f>
        <v>ณัฐวิชช์ สุวรรณมณี</v>
      </c>
      <c r="L318" t="str">
        <f>IFERROR(__xludf.DUMMYFUNCTION("""COMPUTED_VALUE"""),"Nut")</f>
        <v>Nut</v>
      </c>
      <c r="M318" t="str">
        <f>IFERROR(__xludf.DUMMYFUNCTION("""COMPUTED_VALUE"""),"Senior Cabin Crew")</f>
        <v>Senior Cabin Crew</v>
      </c>
      <c r="N318" t="str">
        <f>IFERROR(__xludf.DUMMYFUNCTION("""COMPUTED_VALUE"""),"DMK")</f>
        <v>DMK</v>
      </c>
      <c r="O318" s="145" t="str">
        <f>IFERROR(__xludf.DUMMYFUNCTION("""COMPUTED_VALUE"""),"Um Home")</f>
        <v>Um Home</v>
      </c>
      <c r="P318" t="str">
        <f>IFERROR(__xludf.DUMMYFUNCTION("""COMPUTED_VALUE"""),"Active")</f>
        <v>Active</v>
      </c>
      <c r="Q318" t="str">
        <f>IFERROR(__xludf.DUMMYFUNCTION("""COMPUTED_VALUE"""),"Chinese Speaking")</f>
        <v>Chinese Speaking</v>
      </c>
      <c r="R318" s="143">
        <f>IFERROR(__xludf.DUMMYFUNCTION("""COMPUTED_VALUE"""),32334.0)</f>
        <v>32334</v>
      </c>
      <c r="S318" s="146" t="str">
        <f>IFERROR(__xludf.DUMMYFUNCTION("""COMPUTED_VALUE"""),"089 486 3236")</f>
        <v>089 486 3236</v>
      </c>
      <c r="T318" s="147" t="str">
        <f>IFERROR(__xludf.DUMMYFUNCTION("""COMPUTED_VALUE"""),"1100700-82-5212")</f>
        <v>1100700-82-5212</v>
      </c>
      <c r="U318" t="str">
        <f>IFERROR(__xludf.DUMMYFUNCTION("""COMPUTED_VALUE"""),"AC7899733")</f>
        <v>AC7899733</v>
      </c>
      <c r="V318" s="148">
        <f>IFERROR(__xludf.DUMMYFUNCTION("""COMPUTED_VALUE"""),45689.0)</f>
        <v>45689</v>
      </c>
      <c r="W318" s="148">
        <f>IFERROR(__xludf.DUMMYFUNCTION("""COMPUTED_VALUE"""),49340.0)</f>
        <v>49340</v>
      </c>
      <c r="X318" s="149">
        <f>IFERROR(__xludf.DUMMYFUNCTION("""COMPUTED_VALUE"""),49156.0)</f>
        <v>49156</v>
      </c>
      <c r="Y318" t="str">
        <f>IFERROR(__xludf.DUMMYFUNCTION("""COMPUTED_VALUE"""),"ปลอดภัย")</f>
        <v>ปลอดภัย</v>
      </c>
      <c r="Z318" t="str">
        <f>IFERROR(__xludf.DUMMYFUNCTION("""COMPUTED_VALUE"""),"Bangkok")</f>
        <v>Bangkok</v>
      </c>
      <c r="AA318" t="str">
        <f>IFERROR(__xludf.DUMMYFUNCTION("""COMPUTED_VALUE"""),"Phetchakasem")</f>
        <v>Phetchakasem</v>
      </c>
      <c r="AB318" t="str">
        <f>IFERROR(__xludf.DUMMYFUNCTION("""COMPUTED_VALUE"""),"02 804 8922")</f>
        <v>02 804 8922</v>
      </c>
      <c r="AC318" t="str">
        <f>IFERROR(__xludf.DUMMYFUNCTION("""COMPUTED_VALUE"""),"Siireethorn Rattananakin")</f>
        <v>Siireethorn Rattananakin</v>
      </c>
      <c r="AD318" t="str">
        <f>IFERROR(__xludf.DUMMYFUNCTION("""COMPUTED_VALUE"""),"nutthawichs@airasia.com")</f>
        <v>nutthawichs@airasia.com</v>
      </c>
    </row>
    <row r="319">
      <c r="A319" s="142">
        <f>IFERROR(__xludf.DUMMYFUNCTION("""COMPUTED_VALUE"""),49.0)</f>
        <v>49</v>
      </c>
      <c r="B319" t="str">
        <f>IFERROR(__xludf.DUMMYFUNCTION("""COMPUTED_VALUE"""),"TAA3874")</f>
        <v>TAA3874</v>
      </c>
      <c r="C319">
        <f>IFERROR(__xludf.DUMMYFUNCTION("""COMPUTED_VALUE"""),1006844.0)</f>
        <v>1006844</v>
      </c>
      <c r="D319" t="str">
        <f>IFERROR(__xludf.DUMMYFUNCTION("""COMPUTED_VALUE"""),"Ms.")</f>
        <v>Ms.</v>
      </c>
      <c r="E319" t="str">
        <f>IFERROR(__xludf.DUMMYFUNCTION("""COMPUTED_VALUE"""),"Rada")</f>
        <v>Rada</v>
      </c>
      <c r="F319" t="str">
        <f>IFERROR(__xludf.DUMMYFUNCTION("""COMPUTED_VALUE"""),"Nilyam")</f>
        <v>Nilyam</v>
      </c>
      <c r="G319" t="str">
        <f>IFERROR(__xludf.DUMMYFUNCTION("""COMPUTED_VALUE"""),"Rada Nilyam")</f>
        <v>Rada Nilyam</v>
      </c>
      <c r="H319" t="str">
        <f>IFERROR(__xludf.DUMMYFUNCTION("""COMPUTED_VALUE"""),"นางสาว")</f>
        <v>นางสาว</v>
      </c>
      <c r="I319" t="str">
        <f>IFERROR(__xludf.DUMMYFUNCTION("""COMPUTED_VALUE"""),"รดา")</f>
        <v>รดา</v>
      </c>
      <c r="J319" t="str">
        <f>IFERROR(__xludf.DUMMYFUNCTION("""COMPUTED_VALUE"""),"นิลแย้ม")</f>
        <v>นิลแย้ม</v>
      </c>
      <c r="K319" t="str">
        <f>IFERROR(__xludf.DUMMYFUNCTION("""COMPUTED_VALUE"""),"รดา นิลแย้ม")</f>
        <v>รดา นิลแย้ม</v>
      </c>
      <c r="L319" t="str">
        <f>IFERROR(__xludf.DUMMYFUNCTION("""COMPUTED_VALUE"""),"Katae")</f>
        <v>Katae</v>
      </c>
      <c r="M319" t="str">
        <f>IFERROR(__xludf.DUMMYFUNCTION("""COMPUTED_VALUE"""),"Cabin Crew")</f>
        <v>Cabin Crew</v>
      </c>
      <c r="N319" t="str">
        <f>IFERROR(__xludf.DUMMYFUNCTION("""COMPUTED_VALUE"""),"DMK")</f>
        <v>DMK</v>
      </c>
      <c r="O319" s="145" t="str">
        <f>IFERROR(__xludf.DUMMYFUNCTION("""COMPUTED_VALUE"""),"Um Home")</f>
        <v>Um Home</v>
      </c>
      <c r="P319" t="str">
        <f>IFERROR(__xludf.DUMMYFUNCTION("""COMPUTED_VALUE"""),"Active")</f>
        <v>Active</v>
      </c>
      <c r="Q319" t="str">
        <f>IFERROR(__xludf.DUMMYFUNCTION("""COMPUTED_VALUE"""),"Chinese Speaking")</f>
        <v>Chinese Speaking</v>
      </c>
      <c r="R319" s="143">
        <f>IFERROR(__xludf.DUMMYFUNCTION("""COMPUTED_VALUE"""),32225.0)</f>
        <v>32225</v>
      </c>
      <c r="S319" s="146" t="str">
        <f>IFERROR(__xludf.DUMMYFUNCTION("""COMPUTED_VALUE"""),"087 675 7865")</f>
        <v>087 675 7865</v>
      </c>
      <c r="T319" s="147" t="str">
        <f>IFERROR(__xludf.DUMMYFUNCTION("""COMPUTED_VALUE"""),"1839900-13-4967")</f>
        <v>1839900-13-4967</v>
      </c>
      <c r="U319" t="str">
        <f>IFERROR(__xludf.DUMMYFUNCTION("""COMPUTED_VALUE"""),"AC6223704")</f>
        <v>AC6223704</v>
      </c>
      <c r="V319" s="148">
        <f>IFERROR(__xludf.DUMMYFUNCTION("""COMPUTED_VALUE"""),45299.0)</f>
        <v>45299</v>
      </c>
      <c r="W319" s="148">
        <f>IFERROR(__xludf.DUMMYFUNCTION("""COMPUTED_VALUE"""),48951.0)</f>
        <v>48951</v>
      </c>
      <c r="X319" s="149">
        <f>IFERROR(__xludf.DUMMYFUNCTION("""COMPUTED_VALUE"""),48767.0)</f>
        <v>48767</v>
      </c>
      <c r="Y319" t="str">
        <f>IFERROR(__xludf.DUMMYFUNCTION("""COMPUTED_VALUE"""),"ปลอดภัย")</f>
        <v>ปลอดภัย</v>
      </c>
      <c r="Z319" t="str">
        <f>IFERROR(__xludf.DUMMYFUNCTION("""COMPUTED_VALUE"""),"Phuket Province")</f>
        <v>Phuket Province</v>
      </c>
      <c r="AA319" t="str">
        <f>IFERROR(__xludf.DUMMYFUNCTION("""COMPUTED_VALUE"""),"Prawet")</f>
        <v>Prawet</v>
      </c>
      <c r="AB319" t="str">
        <f>IFERROR(__xludf.DUMMYFUNCTION("""COMPUTED_VALUE"""),"0863 181 9077")</f>
        <v>0863 181 9077</v>
      </c>
      <c r="AC319" t="str">
        <f>IFERROR(__xludf.DUMMYFUNCTION("""COMPUTED_VALUE"""),"Father")</f>
        <v>Father</v>
      </c>
      <c r="AD319" t="str">
        <f>IFERROR(__xludf.DUMMYFUNCTION("""COMPUTED_VALUE"""),"radan@airasia.com")</f>
        <v>radan@airasia.com</v>
      </c>
    </row>
    <row r="320">
      <c r="A320" s="142">
        <f>IFERROR(__xludf.DUMMYFUNCTION("""COMPUTED_VALUE"""),49.0)</f>
        <v>49</v>
      </c>
      <c r="B320" t="str">
        <f>IFERROR(__xludf.DUMMYFUNCTION("""COMPUTED_VALUE"""),"TAA3875")</f>
        <v>TAA3875</v>
      </c>
      <c r="C320">
        <f>IFERROR(__xludf.DUMMYFUNCTION("""COMPUTED_VALUE"""),1006845.0)</f>
        <v>1006845</v>
      </c>
      <c r="D320" t="str">
        <f>IFERROR(__xludf.DUMMYFUNCTION("""COMPUTED_VALUE"""),"Ms.")</f>
        <v>Ms.</v>
      </c>
      <c r="E320" t="str">
        <f>IFERROR(__xludf.DUMMYFUNCTION("""COMPUTED_VALUE"""),"Sakuna")</f>
        <v>Sakuna</v>
      </c>
      <c r="F320" t="str">
        <f>IFERROR(__xludf.DUMMYFUNCTION("""COMPUTED_VALUE"""),"Puangpipat")</f>
        <v>Puangpipat</v>
      </c>
      <c r="G320" t="str">
        <f>IFERROR(__xludf.DUMMYFUNCTION("""COMPUTED_VALUE"""),"Sakuna Puangpipat")</f>
        <v>Sakuna Puangpipat</v>
      </c>
      <c r="H320" t="str">
        <f>IFERROR(__xludf.DUMMYFUNCTION("""COMPUTED_VALUE"""),"นางสาว")</f>
        <v>นางสาว</v>
      </c>
      <c r="I320" t="str">
        <f>IFERROR(__xludf.DUMMYFUNCTION("""COMPUTED_VALUE"""),"สกุณา")</f>
        <v>สกุณา</v>
      </c>
      <c r="J320" t="str">
        <f>IFERROR(__xludf.DUMMYFUNCTION("""COMPUTED_VALUE"""),"พวงพิพัฒน์")</f>
        <v>พวงพิพัฒน์</v>
      </c>
      <c r="K320" t="str">
        <f>IFERROR(__xludf.DUMMYFUNCTION("""COMPUTED_VALUE"""),"สกุณา พวงพิพัฒน์")</f>
        <v>สกุณา พวงพิพัฒน์</v>
      </c>
      <c r="L320" t="str">
        <f>IFERROR(__xludf.DUMMYFUNCTION("""COMPUTED_VALUE"""),"Fon")</f>
        <v>Fon</v>
      </c>
      <c r="M320" t="str">
        <f>IFERROR(__xludf.DUMMYFUNCTION("""COMPUTED_VALUE"""),"Senior Cabin Crew")</f>
        <v>Senior Cabin Crew</v>
      </c>
      <c r="N320" t="str">
        <f>IFERROR(__xludf.DUMMYFUNCTION("""COMPUTED_VALUE"""),"DMK")</f>
        <v>DMK</v>
      </c>
      <c r="O320" s="145" t="str">
        <f>IFERROR(__xludf.DUMMYFUNCTION("""COMPUTED_VALUE"""),"Um Home")</f>
        <v>Um Home</v>
      </c>
      <c r="P320" t="str">
        <f>IFERROR(__xludf.DUMMYFUNCTION("""COMPUTED_VALUE"""),"Active")</f>
        <v>Active</v>
      </c>
      <c r="Q320" t="str">
        <f>IFERROR(__xludf.DUMMYFUNCTION("""COMPUTED_VALUE"""),"Chinese Speaking")</f>
        <v>Chinese Speaking</v>
      </c>
      <c r="R320" s="143">
        <f>IFERROR(__xludf.DUMMYFUNCTION("""COMPUTED_VALUE"""),32713.0)</f>
        <v>32713</v>
      </c>
      <c r="S320" s="146" t="str">
        <f>IFERROR(__xludf.DUMMYFUNCTION("""COMPUTED_VALUE"""),"085 153 7356")</f>
        <v>085 153 7356</v>
      </c>
      <c r="T320" s="147" t="str">
        <f>IFERROR(__xludf.DUMMYFUNCTION("""COMPUTED_VALUE"""),"1101401-74-3401")</f>
        <v>1101401-74-3401</v>
      </c>
      <c r="U320" t="str">
        <f>IFERROR(__xludf.DUMMYFUNCTION("""COMPUTED_VALUE"""),"AC4377721")</f>
        <v>AC4377721</v>
      </c>
      <c r="V320" s="150">
        <f>IFERROR(__xludf.DUMMYFUNCTION("""COMPUTED_VALUE"""),44571.0)</f>
        <v>44571</v>
      </c>
      <c r="W320" s="148">
        <f>IFERROR(__xludf.DUMMYFUNCTION("""COMPUTED_VALUE"""),48588.0)</f>
        <v>48588</v>
      </c>
      <c r="X320" s="149">
        <f>IFERROR(__xludf.DUMMYFUNCTION("""COMPUTED_VALUE"""),48404.0)</f>
        <v>48404</v>
      </c>
      <c r="Y320" t="str">
        <f>IFERROR(__xludf.DUMMYFUNCTION("""COMPUTED_VALUE"""),"ปลอดภัย")</f>
        <v>ปลอดภัย</v>
      </c>
      <c r="Z320" t="str">
        <f>IFERROR(__xludf.DUMMYFUNCTION("""COMPUTED_VALUE"""),"Bangkok")</f>
        <v>Bangkok</v>
      </c>
      <c r="AA320" t="str">
        <f>IFERROR(__xludf.DUMMYFUNCTION("""COMPUTED_VALUE"""),"Ramkhamheang")</f>
        <v>Ramkhamheang</v>
      </c>
      <c r="AB320" t="str">
        <f>IFERROR(__xludf.DUMMYFUNCTION("""COMPUTED_VALUE"""),"081 639 2077")</f>
        <v>081 639 2077</v>
      </c>
      <c r="AC320" t="str">
        <f>IFERROR(__xludf.DUMMYFUNCTION("""COMPUTED_VALUE"""),"Father")</f>
        <v>Father</v>
      </c>
      <c r="AD320" t="str">
        <f>IFERROR(__xludf.DUMMYFUNCTION("""COMPUTED_VALUE"""),"sakunap@airasia.com")</f>
        <v>sakunap@airasia.com</v>
      </c>
    </row>
    <row r="321">
      <c r="A321" s="142">
        <f>IFERROR(__xludf.DUMMYFUNCTION("""COMPUTED_VALUE"""),49.0)</f>
        <v>49</v>
      </c>
      <c r="B321" t="str">
        <f>IFERROR(__xludf.DUMMYFUNCTION("""COMPUTED_VALUE"""),"TAA3869")</f>
        <v>TAA3869</v>
      </c>
      <c r="C321">
        <f>IFERROR(__xludf.DUMMYFUNCTION("""COMPUTED_VALUE"""),1006847.0)</f>
        <v>1006847</v>
      </c>
      <c r="D321" t="str">
        <f>IFERROR(__xludf.DUMMYFUNCTION("""COMPUTED_VALUE"""),"Ms.")</f>
        <v>Ms.</v>
      </c>
      <c r="E321" t="str">
        <f>IFERROR(__xludf.DUMMYFUNCTION("""COMPUTED_VALUE"""),"Siriluk")</f>
        <v>Siriluk</v>
      </c>
      <c r="F321" t="str">
        <f>IFERROR(__xludf.DUMMYFUNCTION("""COMPUTED_VALUE"""),"Supkongyu")</f>
        <v>Supkongyu</v>
      </c>
      <c r="G321" t="str">
        <f>IFERROR(__xludf.DUMMYFUNCTION("""COMPUTED_VALUE"""),"Siriluk Supkongyu")</f>
        <v>Siriluk Supkongyu</v>
      </c>
      <c r="H321" t="str">
        <f>IFERROR(__xludf.DUMMYFUNCTION("""COMPUTED_VALUE"""),"นางสาว")</f>
        <v>นางสาว</v>
      </c>
      <c r="I321" t="str">
        <f>IFERROR(__xludf.DUMMYFUNCTION("""COMPUTED_VALUE"""),"สิริลักษณ์")</f>
        <v>สิริลักษณ์</v>
      </c>
      <c r="J321" t="str">
        <f>IFERROR(__xludf.DUMMYFUNCTION("""COMPUTED_VALUE"""),"ทรัพย์คงอยู่")</f>
        <v>ทรัพย์คงอยู่</v>
      </c>
      <c r="K321" t="str">
        <f>IFERROR(__xludf.DUMMYFUNCTION("""COMPUTED_VALUE"""),"สิริลักษณ์ ทรัพย์คงอยู่")</f>
        <v>สิริลักษณ์ ทรัพย์คงอยู่</v>
      </c>
      <c r="L321" t="str">
        <f>IFERROR(__xludf.DUMMYFUNCTION("""COMPUTED_VALUE"""),"Jou")</f>
        <v>Jou</v>
      </c>
      <c r="M321" t="str">
        <f>IFERROR(__xludf.DUMMYFUNCTION("""COMPUTED_VALUE"""),"Cabin Crew")</f>
        <v>Cabin Crew</v>
      </c>
      <c r="N321" t="str">
        <f>IFERROR(__xludf.DUMMYFUNCTION("""COMPUTED_VALUE"""),"DMK")</f>
        <v>DMK</v>
      </c>
      <c r="O321" s="145" t="str">
        <f>IFERROR(__xludf.DUMMYFUNCTION("""COMPUTED_VALUE"""),"Toffy Home")</f>
        <v>Toffy Home</v>
      </c>
      <c r="P321" t="str">
        <f>IFERROR(__xludf.DUMMYFUNCTION("""COMPUTED_VALUE"""),"Active")</f>
        <v>Active</v>
      </c>
      <c r="Q321" t="str">
        <f>IFERROR(__xludf.DUMMYFUNCTION("""COMPUTED_VALUE"""),"Chinese Speaking")</f>
        <v>Chinese Speaking</v>
      </c>
      <c r="R321" s="143">
        <f>IFERROR(__xludf.DUMMYFUNCTION("""COMPUTED_VALUE"""),33044.0)</f>
        <v>33044</v>
      </c>
      <c r="S321" s="146" t="str">
        <f>IFERROR(__xludf.DUMMYFUNCTION("""COMPUTED_VALUE"""),"091 445 6264")</f>
        <v>091 445 6264</v>
      </c>
      <c r="T321" s="147" t="str">
        <f>IFERROR(__xludf.DUMMYFUNCTION("""COMPUTED_VALUE"""),"1100800-57-0704")</f>
        <v>1100800-57-0704</v>
      </c>
      <c r="U321" t="str">
        <f>IFERROR(__xludf.DUMMYFUNCTION("""COMPUTED_VALUE"""),"AC26687608")</f>
        <v>AC26687608</v>
      </c>
      <c r="V321" s="148">
        <f>IFERROR(__xludf.DUMMYFUNCTION("""COMPUTED_VALUE"""),44582.0)</f>
        <v>44582</v>
      </c>
      <c r="W321" s="148">
        <f>IFERROR(__xludf.DUMMYFUNCTION("""COMPUTED_VALUE"""),48233.0)</f>
        <v>48233</v>
      </c>
      <c r="X321" s="149">
        <f>IFERROR(__xludf.DUMMYFUNCTION("""COMPUTED_VALUE"""),48049.0)</f>
        <v>48049</v>
      </c>
      <c r="Y321" t="str">
        <f>IFERROR(__xludf.DUMMYFUNCTION("""COMPUTED_VALUE"""),"ปลอดภัย")</f>
        <v>ปลอดภัย</v>
      </c>
      <c r="Z321" t="str">
        <f>IFERROR(__xludf.DUMMYFUNCTION("""COMPUTED_VALUE"""),"Bangkok")</f>
        <v>Bangkok</v>
      </c>
      <c r="AA321" t="str">
        <f>IFERROR(__xludf.DUMMYFUNCTION("""COMPUTED_VALUE"""),"Bangwaek")</f>
        <v>Bangwaek</v>
      </c>
      <c r="AB321" t="str">
        <f>IFERROR(__xludf.DUMMYFUNCTION("""COMPUTED_VALUE"""),"02 410 5520 / 082 745 4345")</f>
        <v>02 410 5520 / 082 745 4345</v>
      </c>
      <c r="AC321" t="str">
        <f>IFERROR(__xludf.DUMMYFUNCTION("""COMPUTED_VALUE"""),"Saowaluck / Relative person")</f>
        <v>Saowaluck / Relative person</v>
      </c>
      <c r="AD321" t="str">
        <f>IFERROR(__xludf.DUMMYFUNCTION("""COMPUTED_VALUE"""),"siriluks@airasia.com")</f>
        <v>siriluks@airasia.com</v>
      </c>
    </row>
    <row r="322">
      <c r="A322" s="142">
        <f>IFERROR(__xludf.DUMMYFUNCTION("""COMPUTED_VALUE"""),49.0)</f>
        <v>49</v>
      </c>
      <c r="B322" t="str">
        <f>IFERROR(__xludf.DUMMYFUNCTION("""COMPUTED_VALUE"""),"TAA3871")</f>
        <v>TAA3871</v>
      </c>
      <c r="C322">
        <f>IFERROR(__xludf.DUMMYFUNCTION("""COMPUTED_VALUE"""),1006852.0)</f>
        <v>1006852</v>
      </c>
      <c r="D322" t="str">
        <f>IFERROR(__xludf.DUMMYFUNCTION("""COMPUTED_VALUE"""),"Mr.")</f>
        <v>Mr.</v>
      </c>
      <c r="E322" t="str">
        <f>IFERROR(__xludf.DUMMYFUNCTION("""COMPUTED_VALUE"""),"Taspon")</f>
        <v>Taspon</v>
      </c>
      <c r="F322" t="str">
        <f>IFERROR(__xludf.DUMMYFUNCTION("""COMPUTED_VALUE"""),"Jantaduang")</f>
        <v>Jantaduang</v>
      </c>
      <c r="G322" t="str">
        <f>IFERROR(__xludf.DUMMYFUNCTION("""COMPUTED_VALUE"""),"Taspon Jantaduang")</f>
        <v>Taspon Jantaduang</v>
      </c>
      <c r="H322" t="str">
        <f>IFERROR(__xludf.DUMMYFUNCTION("""COMPUTED_VALUE"""),"นาย")</f>
        <v>นาย</v>
      </c>
      <c r="I322" t="str">
        <f>IFERROR(__xludf.DUMMYFUNCTION("""COMPUTED_VALUE"""),"ทัศน์พล")</f>
        <v>ทัศน์พล</v>
      </c>
      <c r="J322" t="str">
        <f>IFERROR(__xludf.DUMMYFUNCTION("""COMPUTED_VALUE"""),"จันทะดวง")</f>
        <v>จันทะดวง</v>
      </c>
      <c r="K322" t="str">
        <f>IFERROR(__xludf.DUMMYFUNCTION("""COMPUTED_VALUE"""),"ทัศน์พล จันทะดวง")</f>
        <v>ทัศน์พล จันทะดวง</v>
      </c>
      <c r="L322" t="str">
        <f>IFERROR(__xludf.DUMMYFUNCTION("""COMPUTED_VALUE"""),"Touch")</f>
        <v>Touch</v>
      </c>
      <c r="M322" t="str">
        <f>IFERROR(__xludf.DUMMYFUNCTION("""COMPUTED_VALUE"""),"Senior Cabin Crew - CNX")</f>
        <v>Senior Cabin Crew - CNX</v>
      </c>
      <c r="N322" t="str">
        <f>IFERROR(__xludf.DUMMYFUNCTION("""COMPUTED_VALUE"""),"CNX")</f>
        <v>CNX</v>
      </c>
      <c r="O322" s="145" t="str">
        <f>IFERROR(__xludf.DUMMYFUNCTION("""COMPUTED_VALUE"""),"Up Home")</f>
        <v>Up Home</v>
      </c>
      <c r="P322" t="str">
        <f>IFERROR(__xludf.DUMMYFUNCTION("""COMPUTED_VALUE"""),"Active")</f>
        <v>Active</v>
      </c>
      <c r="Q322" t="str">
        <f>IFERROR(__xludf.DUMMYFUNCTION("""COMPUTED_VALUE"""),"Chinese Speaking")</f>
        <v>Chinese Speaking</v>
      </c>
      <c r="R322" s="143">
        <f>IFERROR(__xludf.DUMMYFUNCTION("""COMPUTED_VALUE"""),33516.0)</f>
        <v>33516</v>
      </c>
      <c r="S322" s="146" t="str">
        <f>IFERROR(__xludf.DUMMYFUNCTION("""COMPUTED_VALUE"""),"091 718 0544")</f>
        <v>091 718 0544</v>
      </c>
      <c r="T322" s="147" t="str">
        <f>IFERROR(__xludf.DUMMYFUNCTION("""COMPUTED_VALUE"""),"1460100-16-7866")</f>
        <v>1460100-16-7866</v>
      </c>
      <c r="U322" t="str">
        <f>IFERROR(__xludf.DUMMYFUNCTION("""COMPUTED_VALUE"""),"AC6973729")</f>
        <v>AC6973729</v>
      </c>
      <c r="V322" s="148">
        <f>IFERROR(__xludf.DUMMYFUNCTION("""COMPUTED_VALUE"""),45594.0)</f>
        <v>45594</v>
      </c>
      <c r="W322" s="148">
        <f>IFERROR(__xludf.DUMMYFUNCTION("""COMPUTED_VALUE"""),49245.0)</f>
        <v>49245</v>
      </c>
      <c r="X322" s="149">
        <f>IFERROR(__xludf.DUMMYFUNCTION("""COMPUTED_VALUE"""),49062.0)</f>
        <v>49062</v>
      </c>
      <c r="Y322" t="str">
        <f>IFERROR(__xludf.DUMMYFUNCTION("""COMPUTED_VALUE"""),"ปลอดภัย")</f>
        <v>ปลอดภัย</v>
      </c>
      <c r="Z322" t="str">
        <f>IFERROR(__xludf.DUMMYFUNCTION("""COMPUTED_VALUE"""),"Kalasin Province")</f>
        <v>Kalasin Province</v>
      </c>
      <c r="AA322" t="str">
        <f>IFERROR(__xludf.DUMMYFUNCTION("""COMPUTED_VALUE"""),"Kalasin")</f>
        <v>Kalasin</v>
      </c>
      <c r="AB322" t="str">
        <f>IFERROR(__xludf.DUMMYFUNCTION("""COMPUTED_VALUE"""),"080 007 3328")</f>
        <v>080 007 3328</v>
      </c>
      <c r="AC322" t="str">
        <f>IFERROR(__xludf.DUMMYFUNCTION("""COMPUTED_VALUE"""),"Siwasaran Jantaduang")</f>
        <v>Siwasaran Jantaduang</v>
      </c>
      <c r="AD322" t="str">
        <f>IFERROR(__xludf.DUMMYFUNCTION("""COMPUTED_VALUE"""),"tasponj@airasia.com")</f>
        <v>tasponj@airasia.com</v>
      </c>
    </row>
    <row r="323">
      <c r="A323" s="142">
        <f>IFERROR(__xludf.DUMMYFUNCTION("""COMPUTED_VALUE"""),49.0)</f>
        <v>49</v>
      </c>
      <c r="B323" t="str">
        <f>IFERROR(__xludf.DUMMYFUNCTION("""COMPUTED_VALUE"""),"TAA3885")</f>
        <v>TAA3885</v>
      </c>
      <c r="C323">
        <f>IFERROR(__xludf.DUMMYFUNCTION("""COMPUTED_VALUE"""),1006854.0)</f>
        <v>1006854</v>
      </c>
      <c r="D323" t="str">
        <f>IFERROR(__xludf.DUMMYFUNCTION("""COMPUTED_VALUE"""),"Mr.")</f>
        <v>Mr.</v>
      </c>
      <c r="E323" t="str">
        <f>IFERROR(__xludf.DUMMYFUNCTION("""COMPUTED_VALUE"""),"Thanachai")</f>
        <v>Thanachai</v>
      </c>
      <c r="F323" t="str">
        <f>IFERROR(__xludf.DUMMYFUNCTION("""COMPUTED_VALUE"""),"Wilai-ngam")</f>
        <v>Wilai-ngam</v>
      </c>
      <c r="G323" t="str">
        <f>IFERROR(__xludf.DUMMYFUNCTION("""COMPUTED_VALUE"""),"Thanachai Wilai-ngam")</f>
        <v>Thanachai Wilai-ngam</v>
      </c>
      <c r="H323" t="str">
        <f>IFERROR(__xludf.DUMMYFUNCTION("""COMPUTED_VALUE"""),"นาย")</f>
        <v>นาย</v>
      </c>
      <c r="I323" t="str">
        <f>IFERROR(__xludf.DUMMYFUNCTION("""COMPUTED_VALUE"""),"ธนาชัย")</f>
        <v>ธนาชัย</v>
      </c>
      <c r="J323" t="str">
        <f>IFERROR(__xludf.DUMMYFUNCTION("""COMPUTED_VALUE"""),"วิไลงาม")</f>
        <v>วิไลงาม</v>
      </c>
      <c r="K323" t="str">
        <f>IFERROR(__xludf.DUMMYFUNCTION("""COMPUTED_VALUE"""),"ธนาชัย วิไลงาม")</f>
        <v>ธนาชัย วิไลงาม</v>
      </c>
      <c r="L323" t="str">
        <f>IFERROR(__xludf.DUMMYFUNCTION("""COMPUTED_VALUE"""),"เปรียว")</f>
        <v>เปรียว</v>
      </c>
      <c r="M323" t="str">
        <f>IFERROR(__xludf.DUMMYFUNCTION("""COMPUTED_VALUE"""),"Cabin Crew")</f>
        <v>Cabin Crew</v>
      </c>
      <c r="N323" t="str">
        <f>IFERROR(__xludf.DUMMYFUNCTION("""COMPUTED_VALUE"""),"DMK")</f>
        <v>DMK</v>
      </c>
      <c r="O323" s="145" t="str">
        <f>IFERROR(__xludf.DUMMYFUNCTION("""COMPUTED_VALUE"""),"Toffy Home")</f>
        <v>Toffy Home</v>
      </c>
      <c r="P323" t="str">
        <f>IFERROR(__xludf.DUMMYFUNCTION("""COMPUTED_VALUE"""),"Active")</f>
        <v>Active</v>
      </c>
      <c r="Q323" t="str">
        <f>IFERROR(__xludf.DUMMYFUNCTION("""COMPUTED_VALUE"""),"Chinese Speaking")</f>
        <v>Chinese Speaking</v>
      </c>
      <c r="R323" s="143">
        <f>IFERROR(__xludf.DUMMYFUNCTION("""COMPUTED_VALUE"""),32263.0)</f>
        <v>32263</v>
      </c>
      <c r="S323" s="146" t="str">
        <f>IFERROR(__xludf.DUMMYFUNCTION("""COMPUTED_VALUE"""),"094 229 5556")</f>
        <v>094 229 5556</v>
      </c>
      <c r="T323" s="147" t="str">
        <f>IFERROR(__xludf.DUMMYFUNCTION("""COMPUTED_VALUE"""),"1419900-15-6221")</f>
        <v>1419900-15-6221</v>
      </c>
      <c r="U323" t="str">
        <f>IFERROR(__xludf.DUMMYFUNCTION("""COMPUTED_VALUE"""),"AC7918887")</f>
        <v>AC7918887</v>
      </c>
      <c r="V323" s="148">
        <f>IFERROR(__xludf.DUMMYFUNCTION("""COMPUTED_VALUE"""),45664.0)</f>
        <v>45664</v>
      </c>
      <c r="W323" s="148">
        <f>IFERROR(__xludf.DUMMYFUNCTION("""COMPUTED_VALUE"""),49315.0)</f>
        <v>49315</v>
      </c>
      <c r="X323" s="149">
        <f>IFERROR(__xludf.DUMMYFUNCTION("""COMPUTED_VALUE"""),49131.0)</f>
        <v>49131</v>
      </c>
      <c r="Y323" t="str">
        <f>IFERROR(__xludf.DUMMYFUNCTION("""COMPUTED_VALUE"""),"ปลอดภัย")</f>
        <v>ปลอดภัย</v>
      </c>
      <c r="Z323" t="str">
        <f>IFERROR(__xludf.DUMMYFUNCTION("""COMPUTED_VALUE"""),"Udon Thani")</f>
        <v>Udon Thani</v>
      </c>
      <c r="AA323" t="str">
        <f>IFERROR(__xludf.DUMMYFUNCTION("""COMPUTED_VALUE"""),"Udonthani")</f>
        <v>Udonthani</v>
      </c>
      <c r="AB323" t="str">
        <f>IFERROR(__xludf.DUMMYFUNCTION("""COMPUTED_VALUE"""),"086 361 6224")</f>
        <v>086 361 6224</v>
      </c>
      <c r="AC323" t="str">
        <f>IFERROR(__xludf.DUMMYFUNCTION("""COMPUTED_VALUE"""),"Mother")</f>
        <v>Mother</v>
      </c>
      <c r="AD323" t="str">
        <f>IFERROR(__xludf.DUMMYFUNCTION("""COMPUTED_VALUE"""),"thanachaiw@airasia.com")</f>
        <v>thanachaiw@airasia.com</v>
      </c>
    </row>
    <row r="324">
      <c r="A324" s="142">
        <f>IFERROR(__xludf.DUMMYFUNCTION("""COMPUTED_VALUE"""),49.0)</f>
        <v>49</v>
      </c>
      <c r="B324" t="str">
        <f>IFERROR(__xludf.DUMMYFUNCTION("""COMPUTED_VALUE"""),"TAA3887")</f>
        <v>TAA3887</v>
      </c>
      <c r="C324">
        <f>IFERROR(__xludf.DUMMYFUNCTION("""COMPUTED_VALUE"""),1006855.0)</f>
        <v>1006855</v>
      </c>
      <c r="D324" t="str">
        <f>IFERROR(__xludf.DUMMYFUNCTION("""COMPUTED_VALUE"""),"Mr.")</f>
        <v>Mr.</v>
      </c>
      <c r="E324" t="str">
        <f>IFERROR(__xludf.DUMMYFUNCTION("""COMPUTED_VALUE"""),"Theeraphon")</f>
        <v>Theeraphon</v>
      </c>
      <c r="F324" t="str">
        <f>IFERROR(__xludf.DUMMYFUNCTION("""COMPUTED_VALUE"""),"Porisutkun")</f>
        <v>Porisutkun</v>
      </c>
      <c r="G324" t="str">
        <f>IFERROR(__xludf.DUMMYFUNCTION("""COMPUTED_VALUE"""),"Theeraphon Porisutkun")</f>
        <v>Theeraphon Porisutkun</v>
      </c>
      <c r="H324" t="str">
        <f>IFERROR(__xludf.DUMMYFUNCTION("""COMPUTED_VALUE"""),"นาย")</f>
        <v>นาย</v>
      </c>
      <c r="I324" t="str">
        <f>IFERROR(__xludf.DUMMYFUNCTION("""COMPUTED_VALUE"""),"ธีรพล")</f>
        <v>ธีรพล</v>
      </c>
      <c r="J324" t="str">
        <f>IFERROR(__xludf.DUMMYFUNCTION("""COMPUTED_VALUE"""),"ปริสุทธิ์กุล")</f>
        <v>ปริสุทธิ์กุล</v>
      </c>
      <c r="K324" t="str">
        <f>IFERROR(__xludf.DUMMYFUNCTION("""COMPUTED_VALUE"""),"ธีรพล ปริสุทธิ์กุล")</f>
        <v>ธีรพล ปริสุทธิ์กุล</v>
      </c>
      <c r="L324" t="str">
        <f>IFERROR(__xludf.DUMMYFUNCTION("""COMPUTED_VALUE"""),"Boyd")</f>
        <v>Boyd</v>
      </c>
      <c r="M324" t="str">
        <f>IFERROR(__xludf.DUMMYFUNCTION("""COMPUTED_VALUE"""),"Senior Cabin Crew")</f>
        <v>Senior Cabin Crew</v>
      </c>
      <c r="N324" t="str">
        <f>IFERROR(__xludf.DUMMYFUNCTION("""COMPUTED_VALUE"""),"DMK")</f>
        <v>DMK</v>
      </c>
      <c r="O324" s="145" t="str">
        <f>IFERROR(__xludf.DUMMYFUNCTION("""COMPUTED_VALUE"""),"Por+ Home")</f>
        <v>Por+ Home</v>
      </c>
      <c r="P324" t="str">
        <f>IFERROR(__xludf.DUMMYFUNCTION("""COMPUTED_VALUE"""),"Active")</f>
        <v>Active</v>
      </c>
      <c r="Q324" t="str">
        <f>IFERROR(__xludf.DUMMYFUNCTION("""COMPUTED_VALUE"""),"Chinese Speaking / SCC Line Checker 2025")</f>
        <v>Chinese Speaking / SCC Line Checker 2025</v>
      </c>
      <c r="R324" s="143">
        <f>IFERROR(__xludf.DUMMYFUNCTION("""COMPUTED_VALUE"""),32143.0)</f>
        <v>32143</v>
      </c>
      <c r="S324" s="146" t="str">
        <f>IFERROR(__xludf.DUMMYFUNCTION("""COMPUTED_VALUE"""),"083 183 3359")</f>
        <v>083 183 3359</v>
      </c>
      <c r="T324" s="147" t="str">
        <f>IFERROR(__xludf.DUMMYFUNCTION("""COMPUTED_VALUE"""),"1909800-25-5419")</f>
        <v>1909800-25-5419</v>
      </c>
      <c r="U324" t="str">
        <f>IFERROR(__xludf.DUMMYFUNCTION("""COMPUTED_VALUE"""),"AC6145562")</f>
        <v>AC6145562</v>
      </c>
      <c r="V324" s="148">
        <f>IFERROR(__xludf.DUMMYFUNCTION("""COMPUTED_VALUE"""),45293.0)</f>
        <v>45293</v>
      </c>
      <c r="W324" s="148">
        <f>IFERROR(__xludf.DUMMYFUNCTION("""COMPUTED_VALUE"""),48945.0)</f>
        <v>48945</v>
      </c>
      <c r="X324" s="149">
        <f>IFERROR(__xludf.DUMMYFUNCTION("""COMPUTED_VALUE"""),48761.0)</f>
        <v>48761</v>
      </c>
      <c r="Y324" t="str">
        <f>IFERROR(__xludf.DUMMYFUNCTION("""COMPUTED_VALUE"""),"ปลอดภัย")</f>
        <v>ปลอดภัย</v>
      </c>
      <c r="Z324" t="str">
        <f>IFERROR(__xludf.DUMMYFUNCTION("""COMPUTED_VALUE"""),"Songkhla Province")</f>
        <v>Songkhla Province</v>
      </c>
      <c r="AA324" t="str">
        <f>IFERROR(__xludf.DUMMYFUNCTION("""COMPUTED_VALUE"""),"Klongsan")</f>
        <v>Klongsan</v>
      </c>
      <c r="AB324" t="str">
        <f>IFERROR(__xludf.DUMMYFUNCTION("""COMPUTED_VALUE"""),"089 466 1534")</f>
        <v>089 466 1534</v>
      </c>
      <c r="AC324" t="str">
        <f>IFERROR(__xludf.DUMMYFUNCTION("""COMPUTED_VALUE"""),"Father")</f>
        <v>Father</v>
      </c>
      <c r="AD324" t="str">
        <f>IFERROR(__xludf.DUMMYFUNCTION("""COMPUTED_VALUE"""),"theeraphonp@airasia.com")</f>
        <v>theeraphonp@airasia.com</v>
      </c>
    </row>
    <row r="325">
      <c r="AD325" t="str">
        <f>IFERROR(__xludf.DUMMYFUNCTION("""COMPUTED_VALUE"""),"")</f>
        <v/>
      </c>
    </row>
    <row r="326">
      <c r="A326" s="142">
        <f>IFERROR(__xludf.DUMMYFUNCTION("""COMPUTED_VALUE"""),50.0)</f>
        <v>50</v>
      </c>
      <c r="B326" t="str">
        <f>IFERROR(__xludf.DUMMYFUNCTION("""COMPUTED_VALUE"""),"TAA3892")</f>
        <v>TAA3892</v>
      </c>
      <c r="C326">
        <f>IFERROR(__xludf.DUMMYFUNCTION("""COMPUTED_VALUE"""),1006870.0)</f>
        <v>1006870</v>
      </c>
      <c r="D326" t="str">
        <f>IFERROR(__xludf.DUMMYFUNCTION("""COMPUTED_VALUE"""),"Ms.")</f>
        <v>Ms.</v>
      </c>
      <c r="E326" t="str">
        <f>IFERROR(__xludf.DUMMYFUNCTION("""COMPUTED_VALUE"""),"Duangporn")</f>
        <v>Duangporn</v>
      </c>
      <c r="F326" t="str">
        <f>IFERROR(__xludf.DUMMYFUNCTION("""COMPUTED_VALUE"""),"Denkesineelam")</f>
        <v>Denkesineelam</v>
      </c>
      <c r="G326" t="str">
        <f>IFERROR(__xludf.DUMMYFUNCTION("""COMPUTED_VALUE"""),"Duangporn Denkesineelam")</f>
        <v>Duangporn Denkesineelam</v>
      </c>
      <c r="H326" t="str">
        <f>IFERROR(__xludf.DUMMYFUNCTION("""COMPUTED_VALUE"""),"นางสาว")</f>
        <v>นางสาว</v>
      </c>
      <c r="I326" t="str">
        <f>IFERROR(__xludf.DUMMYFUNCTION("""COMPUTED_VALUE"""),"ดวงพร")</f>
        <v>ดวงพร</v>
      </c>
      <c r="J326" t="str">
        <f>IFERROR(__xludf.DUMMYFUNCTION("""COMPUTED_VALUE"""),"เด่นเกศินีล้ำ")</f>
        <v>เด่นเกศินีล้ำ</v>
      </c>
      <c r="K326" t="str">
        <f>IFERROR(__xludf.DUMMYFUNCTION("""COMPUTED_VALUE"""),"ดวงพร เด่นเกศินีล้ำ")</f>
        <v>ดวงพร เด่นเกศินีล้ำ</v>
      </c>
      <c r="L326" t="str">
        <f>IFERROR(__xludf.DUMMYFUNCTION("""COMPUTED_VALUE"""),"ดวง")</f>
        <v>ดวง</v>
      </c>
      <c r="M326" t="str">
        <f>IFERROR(__xludf.DUMMYFUNCTION("""COMPUTED_VALUE"""),"Senior Cabin Crew")</f>
        <v>Senior Cabin Crew</v>
      </c>
      <c r="N326" t="str">
        <f>IFERROR(__xludf.DUMMYFUNCTION("""COMPUTED_VALUE"""),"DMK")</f>
        <v>DMK</v>
      </c>
      <c r="O326" s="145" t="str">
        <f>IFERROR(__xludf.DUMMYFUNCTION("""COMPUTED_VALUE"""),"Por+ Home")</f>
        <v>Por+ Home</v>
      </c>
      <c r="P326" t="str">
        <f>IFERROR(__xludf.DUMMYFUNCTION("""COMPUTED_VALUE"""),"Active")</f>
        <v>Active</v>
      </c>
      <c r="Q326" t="str">
        <f>IFERROR(__xludf.DUMMYFUNCTION("""COMPUTED_VALUE"""),"Chinese Speaking")</f>
        <v>Chinese Speaking</v>
      </c>
      <c r="R326" s="151">
        <f>IFERROR(__xludf.DUMMYFUNCTION("""COMPUTED_VALUE"""),31190.0)</f>
        <v>31190</v>
      </c>
      <c r="S326" s="146" t="str">
        <f>IFERROR(__xludf.DUMMYFUNCTION("""COMPUTED_VALUE"""),"061 362 9646")</f>
        <v>061 362 9646</v>
      </c>
      <c r="T326" s="147" t="str">
        <f>IFERROR(__xludf.DUMMYFUNCTION("""COMPUTED_VALUE"""),"2570700-00-1443")</f>
        <v>2570700-00-1443</v>
      </c>
      <c r="U326" t="str">
        <f>IFERROR(__xludf.DUMMYFUNCTION("""COMPUTED_VALUE"""),"AC2738280")</f>
        <v>AC2738280</v>
      </c>
      <c r="V326" s="148">
        <f>IFERROR(__xludf.DUMMYFUNCTION("""COMPUTED_VALUE"""),44481.0)</f>
        <v>44481</v>
      </c>
      <c r="W326" s="148">
        <f>IFERROR(__xludf.DUMMYFUNCTION("""COMPUTED_VALUE"""),48132.0)</f>
        <v>48132</v>
      </c>
      <c r="X326" s="149">
        <f>IFERROR(__xludf.DUMMYFUNCTION("""COMPUTED_VALUE"""),47949.0)</f>
        <v>47949</v>
      </c>
      <c r="Y326" t="str">
        <f>IFERROR(__xludf.DUMMYFUNCTION("""COMPUTED_VALUE"""),"ปลอดภัย")</f>
        <v>ปลอดภัย</v>
      </c>
      <c r="Z326" t="str">
        <f>IFERROR(__xludf.DUMMYFUNCTION("""COMPUTED_VALUE"""),"Chiang Rai Province")</f>
        <v>Chiang Rai Province</v>
      </c>
      <c r="AA326" t="str">
        <f>IFERROR(__xludf.DUMMYFUNCTION("""COMPUTED_VALUE"""),"Ladprao")</f>
        <v>Ladprao</v>
      </c>
      <c r="AB326" t="str">
        <f>IFERROR(__xludf.DUMMYFUNCTION("""COMPUTED_VALUE"""),"086 0563499")</f>
        <v>086 0563499</v>
      </c>
      <c r="AC326" t="str">
        <f>IFERROR(__xludf.DUMMYFUNCTION("""COMPUTED_VALUE"""),"พี่สาว")</f>
        <v>พี่สาว</v>
      </c>
      <c r="AD326" t="str">
        <f>IFERROR(__xludf.DUMMYFUNCTION("""COMPUTED_VALUE"""),"duangpornd@airasia.com")</f>
        <v>duangpornd@airasia.com</v>
      </c>
    </row>
    <row r="327">
      <c r="A327" s="142">
        <f>IFERROR(__xludf.DUMMYFUNCTION("""COMPUTED_VALUE"""),50.0)</f>
        <v>50</v>
      </c>
      <c r="B327" t="str">
        <f>IFERROR(__xludf.DUMMYFUNCTION("""COMPUTED_VALUE"""),"TAA3898")</f>
        <v>TAA3898</v>
      </c>
      <c r="C327">
        <f>IFERROR(__xludf.DUMMYFUNCTION("""COMPUTED_VALUE"""),1006881.0)</f>
        <v>1006881</v>
      </c>
      <c r="D327" t="str">
        <f>IFERROR(__xludf.DUMMYFUNCTION("""COMPUTED_VALUE"""),"Mr.")</f>
        <v>Mr.</v>
      </c>
      <c r="E327" t="str">
        <f>IFERROR(__xludf.DUMMYFUNCTION("""COMPUTED_VALUE"""),"Krittrin")</f>
        <v>Krittrin</v>
      </c>
      <c r="F327" t="str">
        <f>IFERROR(__xludf.DUMMYFUNCTION("""COMPUTED_VALUE"""),"Harnphanphong")</f>
        <v>Harnphanphong</v>
      </c>
      <c r="G327" t="str">
        <f>IFERROR(__xludf.DUMMYFUNCTION("""COMPUTED_VALUE"""),"Krittrin Harnphanphong")</f>
        <v>Krittrin Harnphanphong</v>
      </c>
      <c r="H327" t="str">
        <f>IFERROR(__xludf.DUMMYFUNCTION("""COMPUTED_VALUE"""),"นาย")</f>
        <v>นาย</v>
      </c>
      <c r="I327" t="str">
        <f>IFERROR(__xludf.DUMMYFUNCTION("""COMPUTED_VALUE"""),"กฤตตฤณ")</f>
        <v>กฤตตฤณ</v>
      </c>
      <c r="J327" t="str">
        <f>IFERROR(__xludf.DUMMYFUNCTION("""COMPUTED_VALUE"""),"หาญพันธ์พงษ์")</f>
        <v>หาญพันธ์พงษ์</v>
      </c>
      <c r="K327" t="str">
        <f>IFERROR(__xludf.DUMMYFUNCTION("""COMPUTED_VALUE"""),"กฤตตฤณ หาญพันธ์พงษ์")</f>
        <v>กฤตตฤณ หาญพันธ์พงษ์</v>
      </c>
      <c r="L327" t="str">
        <f>IFERROR(__xludf.DUMMYFUNCTION("""COMPUTED_VALUE"""),"แตม")</f>
        <v>แตม</v>
      </c>
      <c r="M327" t="str">
        <f>IFERROR(__xludf.DUMMYFUNCTION("""COMPUTED_VALUE"""),"Cabin Crew")</f>
        <v>Cabin Crew</v>
      </c>
      <c r="N327" t="str">
        <f>IFERROR(__xludf.DUMMYFUNCTION("""COMPUTED_VALUE"""),"DMK")</f>
        <v>DMK</v>
      </c>
      <c r="O327" s="145" t="str">
        <f>IFERROR(__xludf.DUMMYFUNCTION("""COMPUTED_VALUE"""),"Um Home")</f>
        <v>Um Home</v>
      </c>
      <c r="P327" t="str">
        <f>IFERROR(__xludf.DUMMYFUNCTION("""COMPUTED_VALUE"""),"Active")</f>
        <v>Active</v>
      </c>
      <c r="Q327" t="str">
        <f>IFERROR(__xludf.DUMMYFUNCTION("""COMPUTED_VALUE"""),"Chinese Speaking")</f>
        <v>Chinese Speaking</v>
      </c>
      <c r="R327" s="143">
        <f>IFERROR(__xludf.DUMMYFUNCTION("""COMPUTED_VALUE"""),32498.0)</f>
        <v>32498</v>
      </c>
      <c r="S327" s="146" t="str">
        <f>IFERROR(__xludf.DUMMYFUNCTION("""COMPUTED_VALUE"""),"083 090 7097")</f>
        <v>083 090 7097</v>
      </c>
      <c r="T327" s="147" t="str">
        <f>IFERROR(__xludf.DUMMYFUNCTION("""COMPUTED_VALUE"""),"1101401-52-0399")</f>
        <v>1101401-52-0399</v>
      </c>
      <c r="U327" t="str">
        <f>IFERROR(__xludf.DUMMYFUNCTION("""COMPUTED_VALUE"""),"AD0724032")</f>
        <v>AD0724032</v>
      </c>
      <c r="V327" s="148">
        <f>IFERROR(__xludf.DUMMYFUNCTION("""COMPUTED_VALUE"""),44946.0)</f>
        <v>44946</v>
      </c>
      <c r="W327" s="148">
        <f>IFERROR(__xludf.DUMMYFUNCTION("""COMPUTED_VALUE"""),48598.0)</f>
        <v>48598</v>
      </c>
      <c r="X327" s="149">
        <f>IFERROR(__xludf.DUMMYFUNCTION("""COMPUTED_VALUE"""),48414.0)</f>
        <v>48414</v>
      </c>
      <c r="Y327" t="str">
        <f>IFERROR(__xludf.DUMMYFUNCTION("""COMPUTED_VALUE"""),"ปลอดภัย")</f>
        <v>ปลอดภัย</v>
      </c>
      <c r="Z327" t="str">
        <f>IFERROR(__xludf.DUMMYFUNCTION("""COMPUTED_VALUE"""),"Bangkok")</f>
        <v>Bangkok</v>
      </c>
      <c r="AA327" t="str">
        <f>IFERROR(__xludf.DUMMYFUNCTION("""COMPUTED_VALUE"""),"Saphansung")</f>
        <v>Saphansung</v>
      </c>
      <c r="AB327" t="str">
        <f>IFERROR(__xludf.DUMMYFUNCTION("""COMPUTED_VALUE"""),"082 955 6664")</f>
        <v>082 955 6664</v>
      </c>
      <c r="AC327" t="str">
        <f>IFERROR(__xludf.DUMMYFUNCTION("""COMPUTED_VALUE"""),"พี่ชาย")</f>
        <v>พี่ชาย</v>
      </c>
      <c r="AD327" t="str">
        <f>IFERROR(__xludf.DUMMYFUNCTION("""COMPUTED_VALUE"""),"krittrinh@airasia.com")</f>
        <v>krittrinh@airasia.com</v>
      </c>
    </row>
    <row r="328">
      <c r="A328" s="142">
        <f>IFERROR(__xludf.DUMMYFUNCTION("""COMPUTED_VALUE"""),50.0)</f>
        <v>50</v>
      </c>
      <c r="B328" t="str">
        <f>IFERROR(__xludf.DUMMYFUNCTION("""COMPUTED_VALUE"""),"TAA3893")</f>
        <v>TAA3893</v>
      </c>
      <c r="C328">
        <f>IFERROR(__xludf.DUMMYFUNCTION("""COMPUTED_VALUE"""),1006897.0)</f>
        <v>1006897</v>
      </c>
      <c r="D328" t="str">
        <f>IFERROR(__xludf.DUMMYFUNCTION("""COMPUTED_VALUE"""),"Mr.")</f>
        <v>Mr.</v>
      </c>
      <c r="E328" t="str">
        <f>IFERROR(__xludf.DUMMYFUNCTION("""COMPUTED_VALUE"""),"Padejkarn")</f>
        <v>Padejkarn</v>
      </c>
      <c r="F328" t="str">
        <f>IFERROR(__xludf.DUMMYFUNCTION("""COMPUTED_VALUE"""),"Hanta")</f>
        <v>Hanta</v>
      </c>
      <c r="G328" t="str">
        <f>IFERROR(__xludf.DUMMYFUNCTION("""COMPUTED_VALUE"""),"Padejkarn Hanta")</f>
        <v>Padejkarn Hanta</v>
      </c>
      <c r="H328" t="str">
        <f>IFERROR(__xludf.DUMMYFUNCTION("""COMPUTED_VALUE"""),"นาย")</f>
        <v>นาย</v>
      </c>
      <c r="I328" t="str">
        <f>IFERROR(__xludf.DUMMYFUNCTION("""COMPUTED_VALUE"""),"เผด็จการ")</f>
        <v>เผด็จการ</v>
      </c>
      <c r="J328" t="str">
        <f>IFERROR(__xludf.DUMMYFUNCTION("""COMPUTED_VALUE"""),"หาญต๊ะ")</f>
        <v>หาญต๊ะ</v>
      </c>
      <c r="K328" t="str">
        <f>IFERROR(__xludf.DUMMYFUNCTION("""COMPUTED_VALUE"""),"เผด็จการ หาญต๊ะ")</f>
        <v>เผด็จการ หาญต๊ะ</v>
      </c>
      <c r="L328" t="str">
        <f>IFERROR(__xludf.DUMMYFUNCTION("""COMPUTED_VALUE"""),"สมาร์ท")</f>
        <v>สมาร์ท</v>
      </c>
      <c r="M328" t="str">
        <f>IFERROR(__xludf.DUMMYFUNCTION("""COMPUTED_VALUE"""),"Cabin Crew")</f>
        <v>Cabin Crew</v>
      </c>
      <c r="N328" t="str">
        <f>IFERROR(__xludf.DUMMYFUNCTION("""COMPUTED_VALUE"""),"DMK")</f>
        <v>DMK</v>
      </c>
      <c r="O328" s="145" t="str">
        <f>IFERROR(__xludf.DUMMYFUNCTION("""COMPUTED_VALUE"""),"Nhui Home")</f>
        <v>Nhui Home</v>
      </c>
      <c r="P328" t="str">
        <f>IFERROR(__xludf.DUMMYFUNCTION("""COMPUTED_VALUE"""),"V/LWP")</f>
        <v>V/LWP</v>
      </c>
      <c r="Q328" t="str">
        <f>IFERROR(__xludf.DUMMYFUNCTION("""COMPUTED_VALUE"""),"Chinese Speaking")</f>
        <v>Chinese Speaking</v>
      </c>
      <c r="R328" s="143">
        <f>IFERROR(__xludf.DUMMYFUNCTION("""COMPUTED_VALUE"""),32780.0)</f>
        <v>32780</v>
      </c>
      <c r="S328" s="146" t="str">
        <f>IFERROR(__xludf.DUMMYFUNCTION("""COMPUTED_VALUE"""),"097 132 2245")</f>
        <v>097 132 2245</v>
      </c>
      <c r="T328" s="147" t="str">
        <f>IFERROR(__xludf.DUMMYFUNCTION("""COMPUTED_VALUE"""),"1101401-80-8112")</f>
        <v>1101401-80-8112</v>
      </c>
      <c r="U328" t="str">
        <f>IFERROR(__xludf.DUMMYFUNCTION("""COMPUTED_VALUE"""),"AC4342826")</f>
        <v>AC4342826</v>
      </c>
      <c r="V328" s="148">
        <f>IFERROR(__xludf.DUMMYFUNCTION("""COMPUTED_VALUE"""),44936.0)</f>
        <v>44936</v>
      </c>
      <c r="W328" s="148">
        <f>IFERROR(__xludf.DUMMYFUNCTION("""COMPUTED_VALUE"""),48588.0)</f>
        <v>48588</v>
      </c>
      <c r="X328" s="149">
        <f>IFERROR(__xludf.DUMMYFUNCTION("""COMPUTED_VALUE"""),48404.0)</f>
        <v>48404</v>
      </c>
      <c r="Y328" t="str">
        <f>IFERROR(__xludf.DUMMYFUNCTION("""COMPUTED_VALUE"""),"ปลอดภัย")</f>
        <v>ปลอดภัย</v>
      </c>
      <c r="Z328" t="str">
        <f>IFERROR(__xludf.DUMMYFUNCTION("""COMPUTED_VALUE"""),"Bangkok")</f>
        <v>Bangkok</v>
      </c>
      <c r="AA328" t="str">
        <f>IFERROR(__xludf.DUMMYFUNCTION("""COMPUTED_VALUE"""),"Latkrabang")</f>
        <v>Latkrabang</v>
      </c>
      <c r="AB328" t="str">
        <f>IFERROR(__xludf.DUMMYFUNCTION("""COMPUTED_VALUE"""),"083 3025569")</f>
        <v>083 3025569</v>
      </c>
      <c r="AC328" t="str">
        <f>IFERROR(__xludf.DUMMYFUNCTION("""COMPUTED_VALUE"""),"แม่")</f>
        <v>แม่</v>
      </c>
      <c r="AD328" t="str">
        <f>IFERROR(__xludf.DUMMYFUNCTION("""COMPUTED_VALUE"""),"padejkarnh@airasia.com")</f>
        <v>padejkarnh@airasia.com</v>
      </c>
    </row>
    <row r="329">
      <c r="A329" s="142">
        <f>IFERROR(__xludf.DUMMYFUNCTION("""COMPUTED_VALUE"""),50.0)</f>
        <v>50</v>
      </c>
      <c r="B329" t="str">
        <f>IFERROR(__xludf.DUMMYFUNCTION("""COMPUTED_VALUE"""),"TAA3897")</f>
        <v>TAA3897</v>
      </c>
      <c r="C329">
        <f>IFERROR(__xludf.DUMMYFUNCTION("""COMPUTED_VALUE"""),1006899.0)</f>
        <v>1006899</v>
      </c>
      <c r="D329" t="str">
        <f>IFERROR(__xludf.DUMMYFUNCTION("""COMPUTED_VALUE"""),"Ms.")</f>
        <v>Ms.</v>
      </c>
      <c r="E329" t="str">
        <f>IFERROR(__xludf.DUMMYFUNCTION("""COMPUTED_VALUE"""),"Phakchira")</f>
        <v>Phakchira</v>
      </c>
      <c r="F329" t="str">
        <f>IFERROR(__xludf.DUMMYFUNCTION("""COMPUTED_VALUE"""),"Charoensuk")</f>
        <v>Charoensuk</v>
      </c>
      <c r="G329" t="str">
        <f>IFERROR(__xludf.DUMMYFUNCTION("""COMPUTED_VALUE"""),"Phakchira Charoensuk")</f>
        <v>Phakchira Charoensuk</v>
      </c>
      <c r="H329" t="str">
        <f>IFERROR(__xludf.DUMMYFUNCTION("""COMPUTED_VALUE"""),"นางสาว")</f>
        <v>นางสาว</v>
      </c>
      <c r="I329" t="str">
        <f>IFERROR(__xludf.DUMMYFUNCTION("""COMPUTED_VALUE"""),"ภัคจิรา")</f>
        <v>ภัคจิรา</v>
      </c>
      <c r="J329" t="str">
        <f>IFERROR(__xludf.DUMMYFUNCTION("""COMPUTED_VALUE"""),"เจริญสุข")</f>
        <v>เจริญสุข</v>
      </c>
      <c r="K329" t="str">
        <f>IFERROR(__xludf.DUMMYFUNCTION("""COMPUTED_VALUE"""),"ภัคจิรา เจริญสุข")</f>
        <v>ภัคจิรา เจริญสุข</v>
      </c>
      <c r="L329" t="str">
        <f>IFERROR(__xludf.DUMMYFUNCTION("""COMPUTED_VALUE"""),"พลอย")</f>
        <v>พลอย</v>
      </c>
      <c r="M329" t="str">
        <f>IFERROR(__xludf.DUMMYFUNCTION("""COMPUTED_VALUE"""),"Cabin Crew")</f>
        <v>Cabin Crew</v>
      </c>
      <c r="N329" t="str">
        <f>IFERROR(__xludf.DUMMYFUNCTION("""COMPUTED_VALUE"""),"DMK")</f>
        <v>DMK</v>
      </c>
      <c r="O329" s="145" t="str">
        <f>IFERROR(__xludf.DUMMYFUNCTION("""COMPUTED_VALUE"""),"Um Home")</f>
        <v>Um Home</v>
      </c>
      <c r="P329" t="str">
        <f>IFERROR(__xludf.DUMMYFUNCTION("""COMPUTED_VALUE"""),"Active")</f>
        <v>Active</v>
      </c>
      <c r="Q329" t="str">
        <f>IFERROR(__xludf.DUMMYFUNCTION("""COMPUTED_VALUE"""),"Chinese Speaking")</f>
        <v>Chinese Speaking</v>
      </c>
      <c r="R329" s="143">
        <f>IFERROR(__xludf.DUMMYFUNCTION("""COMPUTED_VALUE"""),32355.0)</f>
        <v>32355</v>
      </c>
      <c r="S329" s="146" t="str">
        <f>IFERROR(__xludf.DUMMYFUNCTION("""COMPUTED_VALUE"""),"082 359 5329")</f>
        <v>082 359 5329</v>
      </c>
      <c r="T329" s="147" t="str">
        <f>IFERROR(__xludf.DUMMYFUNCTION("""COMPUTED_VALUE"""),"1200100-20-1772")</f>
        <v>1200100-20-1772</v>
      </c>
      <c r="U329" t="str">
        <f>IFERROR(__xludf.DUMMYFUNCTION("""COMPUTED_VALUE"""),"AC2880981")</f>
        <v>AC2880981</v>
      </c>
      <c r="V329" s="148">
        <f>IFERROR(__xludf.DUMMYFUNCTION("""COMPUTED_VALUE"""),44609.0)</f>
        <v>44609</v>
      </c>
      <c r="W329" s="148">
        <f>IFERROR(__xludf.DUMMYFUNCTION("""COMPUTED_VALUE"""),48260.0)</f>
        <v>48260</v>
      </c>
      <c r="X329" s="149">
        <f>IFERROR(__xludf.DUMMYFUNCTION("""COMPUTED_VALUE"""),48076.0)</f>
        <v>48076</v>
      </c>
      <c r="Y329" t="str">
        <f>IFERROR(__xludf.DUMMYFUNCTION("""COMPUTED_VALUE"""),"ปลอดภัย")</f>
        <v>ปลอดภัย</v>
      </c>
      <c r="Z329" t="str">
        <f>IFERROR(__xludf.DUMMYFUNCTION("""COMPUTED_VALUE"""),"Chonburi Province")</f>
        <v>Chonburi Province</v>
      </c>
      <c r="AA329" t="str">
        <f>IFERROR(__xludf.DUMMYFUNCTION("""COMPUTED_VALUE"""),"Chachoengsao")</f>
        <v>Chachoengsao</v>
      </c>
      <c r="AB329" t="str">
        <f>IFERROR(__xludf.DUMMYFUNCTION("""COMPUTED_VALUE"""),"081 590 3231")</f>
        <v>081 590 3231</v>
      </c>
      <c r="AC329" t="str">
        <f>IFERROR(__xludf.DUMMYFUNCTION("""COMPUTED_VALUE"""),"แม่")</f>
        <v>แม่</v>
      </c>
      <c r="AD329" t="str">
        <f>IFERROR(__xludf.DUMMYFUNCTION("""COMPUTED_VALUE"""),"phakchirac@airasia.com")</f>
        <v>phakchirac@airasia.com</v>
      </c>
    </row>
    <row r="330">
      <c r="A330" s="142">
        <f>IFERROR(__xludf.DUMMYFUNCTION("""COMPUTED_VALUE"""),50.0)</f>
        <v>50</v>
      </c>
      <c r="B330" t="str">
        <f>IFERROR(__xludf.DUMMYFUNCTION("""COMPUTED_VALUE"""),"TAA3890")</f>
        <v>TAA3890</v>
      </c>
      <c r="C330">
        <f>IFERROR(__xludf.DUMMYFUNCTION("""COMPUTED_VALUE"""),1006900.0)</f>
        <v>1006900</v>
      </c>
      <c r="D330" t="str">
        <f>IFERROR(__xludf.DUMMYFUNCTION("""COMPUTED_VALUE"""),"Ms.")</f>
        <v>Ms.</v>
      </c>
      <c r="E330" t="str">
        <f>IFERROR(__xludf.DUMMYFUNCTION("""COMPUTED_VALUE"""),"Ratha")</f>
        <v>Ratha</v>
      </c>
      <c r="F330" t="str">
        <f>IFERROR(__xludf.DUMMYFUNCTION("""COMPUTED_VALUE"""),"Aphiworaphakin")</f>
        <v>Aphiworaphakin</v>
      </c>
      <c r="G330" t="str">
        <f>IFERROR(__xludf.DUMMYFUNCTION("""COMPUTED_VALUE"""),"Ratha Aphiworaphakin")</f>
        <v>Ratha Aphiworaphakin</v>
      </c>
      <c r="H330" t="str">
        <f>IFERROR(__xludf.DUMMYFUNCTION("""COMPUTED_VALUE"""),"นางสาว")</f>
        <v>นางสาว</v>
      </c>
      <c r="I330" t="str">
        <f>IFERROR(__xludf.DUMMYFUNCTION("""COMPUTED_VALUE"""),"รฐา")</f>
        <v>รฐา</v>
      </c>
      <c r="J330" t="str">
        <f>IFERROR(__xludf.DUMMYFUNCTION("""COMPUTED_VALUE"""),"อภิวรภาคิน")</f>
        <v>อภิวรภาคิน</v>
      </c>
      <c r="K330" t="str">
        <f>IFERROR(__xludf.DUMMYFUNCTION("""COMPUTED_VALUE"""),"รฐา อภิวรภาคิน")</f>
        <v>รฐา อภิวรภาคิน</v>
      </c>
      <c r="L330" t="str">
        <f>IFERROR(__xludf.DUMMYFUNCTION("""COMPUTED_VALUE"""),"อุ๋มอิ๋ม")</f>
        <v>อุ๋มอิ๋ม</v>
      </c>
      <c r="M330" t="str">
        <f>IFERROR(__xludf.DUMMYFUNCTION("""COMPUTED_VALUE"""),"Senior Cabin Crew - BKK")</f>
        <v>Senior Cabin Crew - BKK</v>
      </c>
      <c r="N330" t="str">
        <f>IFERROR(__xludf.DUMMYFUNCTION("""COMPUTED_VALUE"""),"BKK")</f>
        <v>BKK</v>
      </c>
      <c r="O330" s="145" t="str">
        <f>IFERROR(__xludf.DUMMYFUNCTION("""COMPUTED_VALUE"""),"Nhui Home")</f>
        <v>Nhui Home</v>
      </c>
      <c r="P330" t="str">
        <f>IFERROR(__xludf.DUMMYFUNCTION("""COMPUTED_VALUE"""),"Active")</f>
        <v>Active</v>
      </c>
      <c r="Q330" t="str">
        <f>IFERROR(__xludf.DUMMYFUNCTION("""COMPUTED_VALUE"""),"Chinese Speaking")</f>
        <v>Chinese Speaking</v>
      </c>
      <c r="R330" s="143">
        <f>IFERROR(__xludf.DUMMYFUNCTION("""COMPUTED_VALUE"""),32786.0)</f>
        <v>32786</v>
      </c>
      <c r="S330" s="146" t="str">
        <f>IFERROR(__xludf.DUMMYFUNCTION("""COMPUTED_VALUE"""),"081 954 4575")</f>
        <v>081 954 4575</v>
      </c>
      <c r="T330" s="147" t="str">
        <f>IFERROR(__xludf.DUMMYFUNCTION("""COMPUTED_VALUE"""),"154990-19-7112")</f>
        <v>154990-19-7112</v>
      </c>
      <c r="U330" t="str">
        <f>IFERROR(__xludf.DUMMYFUNCTION("""COMPUTED_VALUE"""),"AD1848462")</f>
        <v>AD1848462</v>
      </c>
      <c r="V330" s="148">
        <f>IFERROR(__xludf.DUMMYFUNCTION("""COMPUTED_VALUE"""),45474.0)</f>
        <v>45474</v>
      </c>
      <c r="W330" s="148">
        <f>IFERROR(__xludf.DUMMYFUNCTION("""COMPUTED_VALUE"""),49125.0)</f>
        <v>49125</v>
      </c>
      <c r="X330" s="149">
        <f>IFERROR(__xludf.DUMMYFUNCTION("""COMPUTED_VALUE"""),48943.0)</f>
        <v>48943</v>
      </c>
      <c r="Y330" t="str">
        <f>IFERROR(__xludf.DUMMYFUNCTION("""COMPUTED_VALUE"""),"ปลอดภัย")</f>
        <v>ปลอดภัย</v>
      </c>
      <c r="Z330" t="str">
        <f>IFERROR(__xludf.DUMMYFUNCTION("""COMPUTED_VALUE"""),"Phrae Province")</f>
        <v>Phrae Province</v>
      </c>
      <c r="AA330" t="str">
        <f>IFERROR(__xludf.DUMMYFUNCTION("""COMPUTED_VALUE"""),"Prachacheun")</f>
        <v>Prachacheun</v>
      </c>
      <c r="AB330" t="str">
        <f>IFERROR(__xludf.DUMMYFUNCTION("""COMPUTED_VALUE"""),"090 986 8666")</f>
        <v>090 986 8666</v>
      </c>
      <c r="AC330" t="str">
        <f>IFERROR(__xludf.DUMMYFUNCTION("""COMPUTED_VALUE"""),"พี่ชาย")</f>
        <v>พี่ชาย</v>
      </c>
      <c r="AD330" t="str">
        <f>IFERROR(__xludf.DUMMYFUNCTION("""COMPUTED_VALUE"""),"rathaa@airasia.com")</f>
        <v>rathaa@airasia.com</v>
      </c>
    </row>
    <row r="331">
      <c r="A331" s="142">
        <f>IFERROR(__xludf.DUMMYFUNCTION("""COMPUTED_VALUE"""),50.0)</f>
        <v>50</v>
      </c>
      <c r="B331" t="str">
        <f>IFERROR(__xludf.DUMMYFUNCTION("""COMPUTED_VALUE"""),"TAA3895")</f>
        <v>TAA3895</v>
      </c>
      <c r="C331">
        <f>IFERROR(__xludf.DUMMYFUNCTION("""COMPUTED_VALUE"""),1006905.0)</f>
        <v>1006905</v>
      </c>
      <c r="D331" t="str">
        <f>IFERROR(__xludf.DUMMYFUNCTION("""COMPUTED_VALUE"""),"Ms.")</f>
        <v>Ms.</v>
      </c>
      <c r="E331" t="str">
        <f>IFERROR(__xludf.DUMMYFUNCTION("""COMPUTED_VALUE"""),"Thanyaluck")</f>
        <v>Thanyaluck</v>
      </c>
      <c r="F331" t="str">
        <f>IFERROR(__xludf.DUMMYFUNCTION("""COMPUTED_VALUE"""),"Wongkittivech")</f>
        <v>Wongkittivech</v>
      </c>
      <c r="G331" t="str">
        <f>IFERROR(__xludf.DUMMYFUNCTION("""COMPUTED_VALUE"""),"Thanyaluck Wongkittivech")</f>
        <v>Thanyaluck Wongkittivech</v>
      </c>
      <c r="H331" t="str">
        <f>IFERROR(__xludf.DUMMYFUNCTION("""COMPUTED_VALUE"""),"นางสาว")</f>
        <v>นางสาว</v>
      </c>
      <c r="I331" t="str">
        <f>IFERROR(__xludf.DUMMYFUNCTION("""COMPUTED_VALUE"""),"ธัญลักษณ์")</f>
        <v>ธัญลักษณ์</v>
      </c>
      <c r="J331" t="str">
        <f>IFERROR(__xludf.DUMMYFUNCTION("""COMPUTED_VALUE"""),"วงศ์กิตติเวช")</f>
        <v>วงศ์กิตติเวช</v>
      </c>
      <c r="K331" t="str">
        <f>IFERROR(__xludf.DUMMYFUNCTION("""COMPUTED_VALUE"""),"ธัญลักษณ์ วงศ์กิตติเวช")</f>
        <v>ธัญลักษณ์ วงศ์กิตติเวช</v>
      </c>
      <c r="L331" t="str">
        <f>IFERROR(__xludf.DUMMYFUNCTION("""COMPUTED_VALUE"""),"ฝน")</f>
        <v>ฝน</v>
      </c>
      <c r="M331" t="str">
        <f>IFERROR(__xludf.DUMMYFUNCTION("""COMPUTED_VALUE"""),"Cabin Crew")</f>
        <v>Cabin Crew</v>
      </c>
      <c r="N331" t="str">
        <f>IFERROR(__xludf.DUMMYFUNCTION("""COMPUTED_VALUE"""),"DMK")</f>
        <v>DMK</v>
      </c>
      <c r="O331" s="145" t="str">
        <f>IFERROR(__xludf.DUMMYFUNCTION("""COMPUTED_VALUE"""),"Namfon Home")</f>
        <v>Namfon Home</v>
      </c>
      <c r="P331" t="str">
        <f>IFERROR(__xludf.DUMMYFUNCTION("""COMPUTED_VALUE"""),"Active")</f>
        <v>Active</v>
      </c>
      <c r="Q331" t="str">
        <f>IFERROR(__xludf.DUMMYFUNCTION("""COMPUTED_VALUE"""),"Chinese Speaking")</f>
        <v>Chinese Speaking</v>
      </c>
      <c r="R331" s="143">
        <f>IFERROR(__xludf.DUMMYFUNCTION("""COMPUTED_VALUE"""),31936.0)</f>
        <v>31936</v>
      </c>
      <c r="S331" s="146" t="str">
        <f>IFERROR(__xludf.DUMMYFUNCTION("""COMPUTED_VALUE"""),"089 799 5166")</f>
        <v>089 799 5166</v>
      </c>
      <c r="T331" s="147" t="str">
        <f>IFERROR(__xludf.DUMMYFUNCTION("""COMPUTED_VALUE"""),"1100400-26-9179")</f>
        <v>1100400-26-9179</v>
      </c>
      <c r="U331" t="str">
        <f>IFERROR(__xludf.DUMMYFUNCTION("""COMPUTED_VALUE"""),"AC6573002")</f>
        <v>AC6573002</v>
      </c>
      <c r="V331" s="148">
        <f>IFERROR(__xludf.DUMMYFUNCTION("""COMPUTED_VALUE"""),45383.0)</f>
        <v>45383</v>
      </c>
      <c r="W331" s="148">
        <f>IFERROR(__xludf.DUMMYFUNCTION("""COMPUTED_VALUE"""),49034.0)</f>
        <v>49034</v>
      </c>
      <c r="X331" s="149">
        <f>IFERROR(__xludf.DUMMYFUNCTION("""COMPUTED_VALUE"""),48852.0)</f>
        <v>48852</v>
      </c>
      <c r="Y331" t="str">
        <f>IFERROR(__xludf.DUMMYFUNCTION("""COMPUTED_VALUE"""),"ปลอดภัย")</f>
        <v>ปลอดภัย</v>
      </c>
      <c r="Z331" t="str">
        <f>IFERROR(__xludf.DUMMYFUNCTION("""COMPUTED_VALUE"""),"Bangkok")</f>
        <v>Bangkok</v>
      </c>
      <c r="AA331" t="str">
        <f>IFERROR(__xludf.DUMMYFUNCTION("""COMPUTED_VALUE"""),"Pravet")</f>
        <v>Pravet</v>
      </c>
      <c r="AB331" t="str">
        <f>IFERROR(__xludf.DUMMYFUNCTION("""COMPUTED_VALUE"""),"081 778 1236")</f>
        <v>081 778 1236</v>
      </c>
      <c r="AC331" t="str">
        <f>IFERROR(__xludf.DUMMYFUNCTION("""COMPUTED_VALUE"""),"พี่ชาย")</f>
        <v>พี่ชาย</v>
      </c>
      <c r="AD331" t="str">
        <f>IFERROR(__xludf.DUMMYFUNCTION("""COMPUTED_VALUE"""),"thanyaluckw@airasia.com")</f>
        <v>thanyaluckw@airasia.com</v>
      </c>
    </row>
    <row r="332">
      <c r="A332" s="142">
        <f>IFERROR(__xludf.DUMMYFUNCTION("""COMPUTED_VALUE"""),50.0)</f>
        <v>50</v>
      </c>
      <c r="B332" t="str">
        <f>IFERROR(__xludf.DUMMYFUNCTION("""COMPUTED_VALUE"""),"TAA3889")</f>
        <v>TAA3889</v>
      </c>
      <c r="C332">
        <f>IFERROR(__xludf.DUMMYFUNCTION("""COMPUTED_VALUE"""),1006911.0)</f>
        <v>1006911</v>
      </c>
      <c r="D332" t="str">
        <f>IFERROR(__xludf.DUMMYFUNCTION("""COMPUTED_VALUE"""),"Mr.")</f>
        <v>Mr.</v>
      </c>
      <c r="E332" t="str">
        <f>IFERROR(__xludf.DUMMYFUNCTION("""COMPUTED_VALUE"""),"Yuttana")</f>
        <v>Yuttana</v>
      </c>
      <c r="F332" t="str">
        <f>IFERROR(__xludf.DUMMYFUNCTION("""COMPUTED_VALUE"""),"Chintanapatumporn")</f>
        <v>Chintanapatumporn</v>
      </c>
      <c r="G332" t="str">
        <f>IFERROR(__xludf.DUMMYFUNCTION("""COMPUTED_VALUE"""),"Yuttana Chintanapatumporn")</f>
        <v>Yuttana Chintanapatumporn</v>
      </c>
      <c r="H332" t="str">
        <f>IFERROR(__xludf.DUMMYFUNCTION("""COMPUTED_VALUE"""),"นาย")</f>
        <v>นาย</v>
      </c>
      <c r="I332" t="str">
        <f>IFERROR(__xludf.DUMMYFUNCTION("""COMPUTED_VALUE"""),"ยุทธนา")</f>
        <v>ยุทธนา</v>
      </c>
      <c r="J332" t="str">
        <f>IFERROR(__xludf.DUMMYFUNCTION("""COMPUTED_VALUE"""),"ฉินธนะปทุมพร")</f>
        <v>ฉินธนะปทุมพร</v>
      </c>
      <c r="K332" t="str">
        <f>IFERROR(__xludf.DUMMYFUNCTION("""COMPUTED_VALUE"""),"ยุทธนา ฉินธนะปทุมพร")</f>
        <v>ยุทธนา ฉินธนะปทุมพร</v>
      </c>
      <c r="L332" t="str">
        <f>IFERROR(__xludf.DUMMYFUNCTION("""COMPUTED_VALUE"""),"แบงค์")</f>
        <v>แบงค์</v>
      </c>
      <c r="M332" t="str">
        <f>IFERROR(__xludf.DUMMYFUNCTION("""COMPUTED_VALUE"""),"Cabin Crew")</f>
        <v>Cabin Crew</v>
      </c>
      <c r="N332" t="str">
        <f>IFERROR(__xludf.DUMMYFUNCTION("""COMPUTED_VALUE"""),"DMK")</f>
        <v>DMK</v>
      </c>
      <c r="O332" s="145" t="str">
        <f>IFERROR(__xludf.DUMMYFUNCTION("""COMPUTED_VALUE"""),"Um Home")</f>
        <v>Um Home</v>
      </c>
      <c r="P332" t="str">
        <f>IFERROR(__xludf.DUMMYFUNCTION("""COMPUTED_VALUE"""),"Active")</f>
        <v>Active</v>
      </c>
      <c r="Q332" t="str">
        <f>IFERROR(__xludf.DUMMYFUNCTION("""COMPUTED_VALUE"""),"Chinese Speaking")</f>
        <v>Chinese Speaking</v>
      </c>
      <c r="R332" s="143">
        <f>IFERROR(__xludf.DUMMYFUNCTION("""COMPUTED_VALUE"""),31507.0)</f>
        <v>31507</v>
      </c>
      <c r="S332" s="146" t="str">
        <f>IFERROR(__xludf.DUMMYFUNCTION("""COMPUTED_VALUE"""),"095 659 1532")</f>
        <v>095 659 1532</v>
      </c>
      <c r="T332" s="147" t="str">
        <f>IFERROR(__xludf.DUMMYFUNCTION("""COMPUTED_VALUE"""),"1100400-20-0098")</f>
        <v>1100400-20-0098</v>
      </c>
      <c r="U332" t="str">
        <f>IFERROR(__xludf.DUMMYFUNCTION("""COMPUTED_VALUE"""),"AC7500926")</f>
        <v>AC7500926</v>
      </c>
      <c r="V332" s="148">
        <f>IFERROR(__xludf.DUMMYFUNCTION("""COMPUTED_VALUE"""),45530.0)</f>
        <v>45530</v>
      </c>
      <c r="W332" s="148">
        <f>IFERROR(__xludf.DUMMYFUNCTION("""COMPUTED_VALUE"""),49181.0)</f>
        <v>49181</v>
      </c>
      <c r="X332" s="149">
        <f>IFERROR(__xludf.DUMMYFUNCTION("""COMPUTED_VALUE"""),49000.0)</f>
        <v>49000</v>
      </c>
      <c r="Y332" t="str">
        <f>IFERROR(__xludf.DUMMYFUNCTION("""COMPUTED_VALUE"""),"ปลอดภัย")</f>
        <v>ปลอดภัย</v>
      </c>
      <c r="Z332" t="str">
        <f>IFERROR(__xludf.DUMMYFUNCTION("""COMPUTED_VALUE"""),"Bangkok")</f>
        <v>Bangkok</v>
      </c>
      <c r="AA332" t="str">
        <f>IFERROR(__xludf.DUMMYFUNCTION("""COMPUTED_VALUE"""),"Nakornchaisri")</f>
        <v>Nakornchaisri</v>
      </c>
      <c r="AB332" t="str">
        <f>IFERROR(__xludf.DUMMYFUNCTION("""COMPUTED_VALUE"""),"089 829 2183")</f>
        <v>089 829 2183</v>
      </c>
      <c r="AC332" t="str">
        <f>IFERROR(__xludf.DUMMYFUNCTION("""COMPUTED_VALUE"""),"แม่")</f>
        <v>แม่</v>
      </c>
      <c r="AD332" t="str">
        <f>IFERROR(__xludf.DUMMYFUNCTION("""COMPUTED_VALUE"""),"yuttanac@airasia.com")</f>
        <v>yuttanac@airasia.com</v>
      </c>
    </row>
    <row r="333">
      <c r="AD333" t="str">
        <f>IFERROR(__xludf.DUMMYFUNCTION("""COMPUTED_VALUE"""),"")</f>
        <v/>
      </c>
    </row>
    <row r="334">
      <c r="A334" s="142">
        <f>IFERROR(__xludf.DUMMYFUNCTION("""COMPUTED_VALUE"""),51.0)</f>
        <v>51</v>
      </c>
      <c r="B334" t="str">
        <f>IFERROR(__xludf.DUMMYFUNCTION("""COMPUTED_VALUE"""),"TAA3934")</f>
        <v>TAA3934</v>
      </c>
      <c r="C334">
        <f>IFERROR(__xludf.DUMMYFUNCTION("""COMPUTED_VALUE"""),1006987.0)</f>
        <v>1006987</v>
      </c>
      <c r="D334" t="str">
        <f>IFERROR(__xludf.DUMMYFUNCTION("""COMPUTED_VALUE"""),"Mrs.")</f>
        <v>Mrs.</v>
      </c>
      <c r="E334" t="str">
        <f>IFERROR(__xludf.DUMMYFUNCTION("""COMPUTED_VALUE"""),"Ailada")</f>
        <v>Ailada</v>
      </c>
      <c r="F334" t="str">
        <f>IFERROR(__xludf.DUMMYFUNCTION("""COMPUTED_VALUE"""),"Arjsiri (Yindeepop)")</f>
        <v>Arjsiri (Yindeepop)</v>
      </c>
      <c r="G334" t="str">
        <f>IFERROR(__xludf.DUMMYFUNCTION("""COMPUTED_VALUE"""),"Ailada Arjsiri")</f>
        <v>Ailada Arjsiri</v>
      </c>
      <c r="H334" t="str">
        <f>IFERROR(__xludf.DUMMYFUNCTION("""COMPUTED_VALUE"""),"นาง")</f>
        <v>นาง</v>
      </c>
      <c r="I334" t="str">
        <f>IFERROR(__xludf.DUMMYFUNCTION("""COMPUTED_VALUE"""),"ไอลดา")</f>
        <v>ไอลดา</v>
      </c>
      <c r="J334" t="str">
        <f>IFERROR(__xludf.DUMMYFUNCTION("""COMPUTED_VALUE"""),"อาจศิริ (ยินดีภพ)")</f>
        <v>อาจศิริ (ยินดีภพ)</v>
      </c>
      <c r="K334" t="str">
        <f>IFERROR(__xludf.DUMMYFUNCTION("""COMPUTED_VALUE"""),"ไอลดา อาจศิริ")</f>
        <v>ไอลดา อาจศิริ</v>
      </c>
      <c r="L334" t="str">
        <f>IFERROR(__xludf.DUMMYFUNCTION("""COMPUTED_VALUE"""),"Mint")</f>
        <v>Mint</v>
      </c>
      <c r="M334" t="str">
        <f>IFERROR(__xludf.DUMMYFUNCTION("""COMPUTED_VALUE"""),"Senior Cabin Crew")</f>
        <v>Senior Cabin Crew</v>
      </c>
      <c r="N334" t="str">
        <f>IFERROR(__xludf.DUMMYFUNCTION("""COMPUTED_VALUE"""),"DMK")</f>
        <v>DMK</v>
      </c>
      <c r="O334" s="145" t="str">
        <f>IFERROR(__xludf.DUMMYFUNCTION("""COMPUTED_VALUE"""),"Up Home")</f>
        <v>Up Home</v>
      </c>
      <c r="P334" t="str">
        <f>IFERROR(__xludf.DUMMYFUNCTION("""COMPUTED_VALUE"""),"Active")</f>
        <v>Active</v>
      </c>
      <c r="R334" s="143">
        <f>IFERROR(__xludf.DUMMYFUNCTION("""COMPUTED_VALUE"""),32257.0)</f>
        <v>32257</v>
      </c>
      <c r="S334" s="146" t="str">
        <f>IFERROR(__xludf.DUMMYFUNCTION("""COMPUTED_VALUE"""),"084 025 7039")</f>
        <v>084 025 7039</v>
      </c>
      <c r="T334" s="147" t="str">
        <f>IFERROR(__xludf.DUMMYFUNCTION("""COMPUTED_VALUE"""),"1529900-29-2212")</f>
        <v>1529900-29-2212</v>
      </c>
      <c r="U334" t="str">
        <f>IFERROR(__xludf.DUMMYFUNCTION("""COMPUTED_VALUE"""),"AC2224845")</f>
        <v>AC2224845</v>
      </c>
      <c r="V334" s="148">
        <f>IFERROR(__xludf.DUMMYFUNCTION("""COMPUTED_VALUE"""),44274.0)</f>
        <v>44274</v>
      </c>
      <c r="W334" s="148">
        <f>IFERROR(__xludf.DUMMYFUNCTION("""COMPUTED_VALUE"""),47925.0)</f>
        <v>47925</v>
      </c>
      <c r="X334" s="149">
        <f>IFERROR(__xludf.DUMMYFUNCTION("""COMPUTED_VALUE"""),47744.0)</f>
        <v>47744</v>
      </c>
      <c r="Y334" t="str">
        <f>IFERROR(__xludf.DUMMYFUNCTION("""COMPUTED_VALUE"""),"ปลอดภัย")</f>
        <v>ปลอดภัย</v>
      </c>
      <c r="Z334" t="str">
        <f>IFERROR(__xludf.DUMMYFUNCTION("""COMPUTED_VALUE"""),"Lampang Province")</f>
        <v>Lampang Province</v>
      </c>
      <c r="AA334" t="str">
        <f>IFERROR(__xludf.DUMMYFUNCTION("""COMPUTED_VALUE"""),"Chacheang Chao")</f>
        <v>Chacheang Chao</v>
      </c>
      <c r="AB334" t="str">
        <f>IFERROR(__xludf.DUMMYFUNCTION("""COMPUTED_VALUE"""),"038 570 139 / 081 863 6856")</f>
        <v>038 570 139 / 081 863 6856</v>
      </c>
      <c r="AC334" t="str">
        <f>IFERROR(__xludf.DUMMYFUNCTION("""COMPUTED_VALUE"""),"Home / Mother")</f>
        <v>Home / Mother</v>
      </c>
      <c r="AD334" t="str">
        <f>IFERROR(__xludf.DUMMYFUNCTION("""COMPUTED_VALUE"""),"ailadaa@airasia.com")</f>
        <v>ailadaa@airasia.com</v>
      </c>
    </row>
    <row r="335">
      <c r="A335" s="142">
        <f>IFERROR(__xludf.DUMMYFUNCTION("""COMPUTED_VALUE"""),51.0)</f>
        <v>51</v>
      </c>
      <c r="B335" t="str">
        <f>IFERROR(__xludf.DUMMYFUNCTION("""COMPUTED_VALUE"""),"TAA3931")</f>
        <v>TAA3931</v>
      </c>
      <c r="C335">
        <f>IFERROR(__xludf.DUMMYFUNCTION("""COMPUTED_VALUE"""),1006988.0)</f>
        <v>1006988</v>
      </c>
      <c r="D335" t="str">
        <f>IFERROR(__xludf.DUMMYFUNCTION("""COMPUTED_VALUE"""),"Ms.")</f>
        <v>Ms.</v>
      </c>
      <c r="E335" t="str">
        <f>IFERROR(__xludf.DUMMYFUNCTION("""COMPUTED_VALUE"""),"Akira")</f>
        <v>Akira</v>
      </c>
      <c r="F335" t="str">
        <f>IFERROR(__xludf.DUMMYFUNCTION("""COMPUTED_VALUE"""),"Amornwong")</f>
        <v>Amornwong</v>
      </c>
      <c r="G335" t="str">
        <f>IFERROR(__xludf.DUMMYFUNCTION("""COMPUTED_VALUE"""),"Akira Amornwong")</f>
        <v>Akira Amornwong</v>
      </c>
      <c r="H335" t="str">
        <f>IFERROR(__xludf.DUMMYFUNCTION("""COMPUTED_VALUE"""),"นางสาว")</f>
        <v>นางสาว</v>
      </c>
      <c r="I335" t="str">
        <f>IFERROR(__xludf.DUMMYFUNCTION("""COMPUTED_VALUE"""),"อาคิรา")</f>
        <v>อาคิรา</v>
      </c>
      <c r="J335" t="str">
        <f>IFERROR(__xludf.DUMMYFUNCTION("""COMPUTED_VALUE"""),"อมรวงค์")</f>
        <v>อมรวงค์</v>
      </c>
      <c r="K335" t="str">
        <f>IFERROR(__xludf.DUMMYFUNCTION("""COMPUTED_VALUE"""),"อาคิรา อมรวงค์")</f>
        <v>อาคิรา อมรวงค์</v>
      </c>
      <c r="L335" t="str">
        <f>IFERROR(__xludf.DUMMYFUNCTION("""COMPUTED_VALUE"""),"พลอย")</f>
        <v>พลอย</v>
      </c>
      <c r="M335" t="str">
        <f>IFERROR(__xludf.DUMMYFUNCTION("""COMPUTED_VALUE"""),"Cabin Crew")</f>
        <v>Cabin Crew</v>
      </c>
      <c r="N335" t="str">
        <f>IFERROR(__xludf.DUMMYFUNCTION("""COMPUTED_VALUE"""),"DMK")</f>
        <v>DMK</v>
      </c>
      <c r="O335" s="145" t="str">
        <f>IFERROR(__xludf.DUMMYFUNCTION("""COMPUTED_VALUE"""),"Toffy Home")</f>
        <v>Toffy Home</v>
      </c>
      <c r="P335" t="str">
        <f>IFERROR(__xludf.DUMMYFUNCTION("""COMPUTED_VALUE"""),"Active")</f>
        <v>Active</v>
      </c>
      <c r="R335" s="143">
        <f>IFERROR(__xludf.DUMMYFUNCTION("""COMPUTED_VALUE"""),31481.0)</f>
        <v>31481</v>
      </c>
      <c r="S335" s="146" t="str">
        <f>IFERROR(__xludf.DUMMYFUNCTION("""COMPUTED_VALUE"""),"089 106 9657")</f>
        <v>089 106 9657</v>
      </c>
      <c r="T335" s="147" t="str">
        <f>IFERROR(__xludf.DUMMYFUNCTION("""COMPUTED_VALUE"""),"100800-24-4076")</f>
        <v>100800-24-4076</v>
      </c>
      <c r="U335" t="str">
        <f>IFERROR(__xludf.DUMMYFUNCTION("""COMPUTED_VALUE"""),"AD1401086")</f>
        <v>AD1401086</v>
      </c>
      <c r="V335" s="148">
        <f>IFERROR(__xludf.DUMMYFUNCTION("""COMPUTED_VALUE"""),45238.0)</f>
        <v>45238</v>
      </c>
      <c r="W335" s="148">
        <f>IFERROR(__xludf.DUMMYFUNCTION("""COMPUTED_VALUE"""),48890.0)</f>
        <v>48890</v>
      </c>
      <c r="X335" s="149">
        <f>IFERROR(__xludf.DUMMYFUNCTION("""COMPUTED_VALUE"""),48706.0)</f>
        <v>48706</v>
      </c>
      <c r="Y335" t="str">
        <f>IFERROR(__xludf.DUMMYFUNCTION("""COMPUTED_VALUE"""),"ปลอดภัย")</f>
        <v>ปลอดภัย</v>
      </c>
      <c r="Z335" t="str">
        <f>IFERROR(__xludf.DUMMYFUNCTION("""COMPUTED_VALUE"""),"Bangkok")</f>
        <v>Bangkok</v>
      </c>
      <c r="AA335" t="str">
        <f>IFERROR(__xludf.DUMMYFUNCTION("""COMPUTED_VALUE"""),"Thunkru")</f>
        <v>Thunkru</v>
      </c>
      <c r="AB335" t="str">
        <f>IFERROR(__xludf.DUMMYFUNCTION("""COMPUTED_VALUE"""),"086 999 0767")</f>
        <v>086 999 0767</v>
      </c>
      <c r="AC335" t="str">
        <f>IFERROR(__xludf.DUMMYFUNCTION("""COMPUTED_VALUE"""),"Aunt")</f>
        <v>Aunt</v>
      </c>
      <c r="AD335" t="str">
        <f>IFERROR(__xludf.DUMMYFUNCTION("""COMPUTED_VALUE"""),"akiraa@airasia.com")</f>
        <v>akiraa@airasia.com</v>
      </c>
    </row>
    <row r="336">
      <c r="A336" s="142">
        <f>IFERROR(__xludf.DUMMYFUNCTION("""COMPUTED_VALUE"""),51.0)</f>
        <v>51</v>
      </c>
      <c r="B336" t="str">
        <f>IFERROR(__xludf.DUMMYFUNCTION("""COMPUTED_VALUE"""),"TAA3938")</f>
        <v>TAA3938</v>
      </c>
      <c r="C336">
        <f>IFERROR(__xludf.DUMMYFUNCTION("""COMPUTED_VALUE"""),1006989.0)</f>
        <v>1006989</v>
      </c>
      <c r="D336" t="str">
        <f>IFERROR(__xludf.DUMMYFUNCTION("""COMPUTED_VALUE"""),"Ms.")</f>
        <v>Ms.</v>
      </c>
      <c r="E336" t="str">
        <f>IFERROR(__xludf.DUMMYFUNCTION("""COMPUTED_VALUE"""),"Pimlawee (Benjamaporn)")</f>
        <v>Pimlawee (Benjamaporn)</v>
      </c>
      <c r="F336" t="str">
        <f>IFERROR(__xludf.DUMMYFUNCTION("""COMPUTED_VALUE"""),"Unn-A-Nant")</f>
        <v>Unn-A-Nant</v>
      </c>
      <c r="G336" t="str">
        <f>IFERROR(__xludf.DUMMYFUNCTION("""COMPUTED_VALUE"""),"Pimlawee Unn-A-Nant")</f>
        <v>Pimlawee Unn-A-Nant</v>
      </c>
      <c r="H336" t="str">
        <f>IFERROR(__xludf.DUMMYFUNCTION("""COMPUTED_VALUE"""),"นางสาว")</f>
        <v>นางสาว</v>
      </c>
      <c r="I336" t="str">
        <f>IFERROR(__xludf.DUMMYFUNCTION("""COMPUTED_VALUE"""),"พิมพ์ฬวีร์ (เบญจมาภรณ์)")</f>
        <v>พิมพ์ฬวีร์ (เบญจมาภรณ์)</v>
      </c>
      <c r="J336" t="str">
        <f>IFERROR(__xludf.DUMMYFUNCTION("""COMPUTED_VALUE"""),"อุณอนันต์")</f>
        <v>อุณอนันต์</v>
      </c>
      <c r="K336" t="str">
        <f>IFERROR(__xludf.DUMMYFUNCTION("""COMPUTED_VALUE"""),"พิมพ์ฬวีร์ อุณอนันต์")</f>
        <v>พิมพ์ฬวีร์ อุณอนันต์</v>
      </c>
      <c r="L336" t="str">
        <f>IFERROR(__xludf.DUMMYFUNCTION("""COMPUTED_VALUE"""),"แพร")</f>
        <v>แพร</v>
      </c>
      <c r="M336" t="str">
        <f>IFERROR(__xludf.DUMMYFUNCTION("""COMPUTED_VALUE"""),"Cabin Crew")</f>
        <v>Cabin Crew</v>
      </c>
      <c r="N336" t="str">
        <f>IFERROR(__xludf.DUMMYFUNCTION("""COMPUTED_VALUE"""),"DMK")</f>
        <v>DMK</v>
      </c>
      <c r="O336" s="145" t="str">
        <f>IFERROR(__xludf.DUMMYFUNCTION("""COMPUTED_VALUE"""),"Namfon Home")</f>
        <v>Namfon Home</v>
      </c>
      <c r="P336" t="str">
        <f>IFERROR(__xludf.DUMMYFUNCTION("""COMPUTED_VALUE"""),"Active")</f>
        <v>Active</v>
      </c>
      <c r="Q336" t="str">
        <f>IFERROR(__xludf.DUMMYFUNCTION("""COMPUTED_VALUE"""),"Chinese Speaking")</f>
        <v>Chinese Speaking</v>
      </c>
      <c r="R336" s="143">
        <f>IFERROR(__xludf.DUMMYFUNCTION("""COMPUTED_VALUE"""),32639.0)</f>
        <v>32639</v>
      </c>
      <c r="S336" s="146" t="str">
        <f>IFERROR(__xludf.DUMMYFUNCTION("""COMPUTED_VALUE"""),"086 659 0922")</f>
        <v>086 659 0922</v>
      </c>
      <c r="T336" s="147" t="str">
        <f>IFERROR(__xludf.DUMMYFUNCTION("""COMPUTED_VALUE"""),"1101401-64-9006")</f>
        <v>1101401-64-9006</v>
      </c>
      <c r="U336" t="str">
        <f>IFERROR(__xludf.DUMMYFUNCTION("""COMPUTED_VALUE"""),"AD2383749")</f>
        <v>AD2383749</v>
      </c>
      <c r="V336" s="148">
        <f>IFERROR(__xludf.DUMMYFUNCTION("""COMPUTED_VALUE"""),45685.0)</f>
        <v>45685</v>
      </c>
      <c r="W336" s="148">
        <f>IFERROR(__xludf.DUMMYFUNCTION("""COMPUTED_VALUE"""),49336.0)</f>
        <v>49336</v>
      </c>
      <c r="X336" s="149">
        <f>IFERROR(__xludf.DUMMYFUNCTION("""COMPUTED_VALUE"""),49152.0)</f>
        <v>49152</v>
      </c>
      <c r="Y336" t="str">
        <f>IFERROR(__xludf.DUMMYFUNCTION("""COMPUTED_VALUE"""),"ปลอดภัย")</f>
        <v>ปลอดภัย</v>
      </c>
      <c r="Z336" t="str">
        <f>IFERROR(__xludf.DUMMYFUNCTION("""COMPUTED_VALUE"""),"Bangkok")</f>
        <v>Bangkok</v>
      </c>
      <c r="AA336" t="str">
        <f>IFERROR(__xludf.DUMMYFUNCTION("""COMPUTED_VALUE"""),"Saimai")</f>
        <v>Saimai</v>
      </c>
      <c r="AB336" t="str">
        <f>IFERROR(__xludf.DUMMYFUNCTION("""COMPUTED_VALUE"""),"02 900 7097 / 081 889 2532")</f>
        <v>02 900 7097 / 081 889 2532</v>
      </c>
      <c r="AC336" t="str">
        <f>IFERROR(__xludf.DUMMYFUNCTION("""COMPUTED_VALUE"""),"Home / Brother")</f>
        <v>Home / Brother</v>
      </c>
      <c r="AD336" t="str">
        <f>IFERROR(__xludf.DUMMYFUNCTION("""COMPUTED_VALUE"""),"pimlaweeunn@airasia.com")</f>
        <v>pimlaweeunn@airasia.com</v>
      </c>
    </row>
    <row r="337">
      <c r="A337" s="142">
        <f>IFERROR(__xludf.DUMMYFUNCTION("""COMPUTED_VALUE"""),51.0)</f>
        <v>51</v>
      </c>
      <c r="B337" t="str">
        <f>IFERROR(__xludf.DUMMYFUNCTION("""COMPUTED_VALUE"""),"TAA3944")</f>
        <v>TAA3944</v>
      </c>
      <c r="C337">
        <f>IFERROR(__xludf.DUMMYFUNCTION("""COMPUTED_VALUE"""),1006991.0)</f>
        <v>1006991</v>
      </c>
      <c r="D337" t="str">
        <f>IFERROR(__xludf.DUMMYFUNCTION("""COMPUTED_VALUE"""),"Ms.")</f>
        <v>Ms.</v>
      </c>
      <c r="E337" t="str">
        <f>IFERROR(__xludf.DUMMYFUNCTION("""COMPUTED_VALUE"""),"Chattamanuch")</f>
        <v>Chattamanuch</v>
      </c>
      <c r="F337" t="str">
        <f>IFERROR(__xludf.DUMMYFUNCTION("""COMPUTED_VALUE"""),"Thiamhong")</f>
        <v>Thiamhong</v>
      </c>
      <c r="G337" t="str">
        <f>IFERROR(__xludf.DUMMYFUNCTION("""COMPUTED_VALUE"""),"Chattamanuch Thiamhong")</f>
        <v>Chattamanuch Thiamhong</v>
      </c>
      <c r="H337" t="str">
        <f>IFERROR(__xludf.DUMMYFUNCTION("""COMPUTED_VALUE"""),"นางสาว")</f>
        <v>นางสาว</v>
      </c>
      <c r="I337" t="str">
        <f>IFERROR(__xludf.DUMMYFUNCTION("""COMPUTED_VALUE"""),"ฉัฐมานุช")</f>
        <v>ฉัฐมานุช</v>
      </c>
      <c r="J337" t="str">
        <f>IFERROR(__xludf.DUMMYFUNCTION("""COMPUTED_VALUE"""),"เทียมหงษ์")</f>
        <v>เทียมหงษ์</v>
      </c>
      <c r="K337" t="str">
        <f>IFERROR(__xludf.DUMMYFUNCTION("""COMPUTED_VALUE"""),"ฉัฐมานุช เทียมหงษ์")</f>
        <v>ฉัฐมานุช เทียมหงษ์</v>
      </c>
      <c r="L337" t="str">
        <f>IFERROR(__xludf.DUMMYFUNCTION("""COMPUTED_VALUE"""),"นุช")</f>
        <v>นุช</v>
      </c>
      <c r="M337" t="str">
        <f>IFERROR(__xludf.DUMMYFUNCTION("""COMPUTED_VALUE"""),"Senior Cabin Crew")</f>
        <v>Senior Cabin Crew</v>
      </c>
      <c r="N337" t="str">
        <f>IFERROR(__xludf.DUMMYFUNCTION("""COMPUTED_VALUE"""),"DMK")</f>
        <v>DMK</v>
      </c>
      <c r="O337" s="145" t="str">
        <f>IFERROR(__xludf.DUMMYFUNCTION("""COMPUTED_VALUE"""),"Toffy Home")</f>
        <v>Toffy Home</v>
      </c>
      <c r="P337" t="str">
        <f>IFERROR(__xludf.DUMMYFUNCTION("""COMPUTED_VALUE"""),"Active")</f>
        <v>Active</v>
      </c>
      <c r="R337" s="143">
        <f>IFERROR(__xludf.DUMMYFUNCTION("""COMPUTED_VALUE"""),32381.0)</f>
        <v>32381</v>
      </c>
      <c r="S337" s="146" t="str">
        <f>IFERROR(__xludf.DUMMYFUNCTION("""COMPUTED_VALUE"""),"085 112 5463")</f>
        <v>085 112 5463</v>
      </c>
      <c r="T337" s="147" t="str">
        <f>IFERROR(__xludf.DUMMYFUNCTION("""COMPUTED_VALUE"""),"##############")</f>
        <v>##############</v>
      </c>
      <c r="U337" t="str">
        <f>IFERROR(__xludf.DUMMYFUNCTION("""COMPUTED_VALUE"""),"AC5740424")</f>
        <v>AC5740424</v>
      </c>
      <c r="V337" s="148">
        <f>IFERROR(__xludf.DUMMYFUNCTION("""COMPUTED_VALUE"""),45191.0)</f>
        <v>45191</v>
      </c>
      <c r="W337" s="148">
        <f>IFERROR(__xludf.DUMMYFUNCTION("""COMPUTED_VALUE"""),48843.0)</f>
        <v>48843</v>
      </c>
      <c r="X337" s="149">
        <f>IFERROR(__xludf.DUMMYFUNCTION("""COMPUTED_VALUE"""),48659.0)</f>
        <v>48659</v>
      </c>
      <c r="Y337" t="str">
        <f>IFERROR(__xludf.DUMMYFUNCTION("""COMPUTED_VALUE"""),"ปลอดภัย")</f>
        <v>ปลอดภัย</v>
      </c>
      <c r="Z337" t="str">
        <f>IFERROR(__xludf.DUMMYFUNCTION("""COMPUTED_VALUE"""),"Bangkok")</f>
        <v>Bangkok</v>
      </c>
      <c r="AA337" t="str">
        <f>IFERROR(__xludf.DUMMYFUNCTION("""COMPUTED_VALUE"""),"Bangkhaen")</f>
        <v>Bangkhaen</v>
      </c>
      <c r="AB337" t="str">
        <f>IFERROR(__xludf.DUMMYFUNCTION("""COMPUTED_VALUE"""),"081 699 7320")</f>
        <v>081 699 7320</v>
      </c>
      <c r="AC337" t="str">
        <f>IFERROR(__xludf.DUMMYFUNCTION("""COMPUTED_VALUE"""),"Mother")</f>
        <v>Mother</v>
      </c>
      <c r="AD337" t="str">
        <f>IFERROR(__xludf.DUMMYFUNCTION("""COMPUTED_VALUE"""),"chattamanucht@airasia.com")</f>
        <v>chattamanucht@airasia.com</v>
      </c>
    </row>
    <row r="338">
      <c r="A338" s="142">
        <f>IFERROR(__xludf.DUMMYFUNCTION("""COMPUTED_VALUE"""),51.0)</f>
        <v>51</v>
      </c>
      <c r="B338" t="str">
        <f>IFERROR(__xludf.DUMMYFUNCTION("""COMPUTED_VALUE"""),"TAA3949")</f>
        <v>TAA3949</v>
      </c>
      <c r="C338">
        <f>IFERROR(__xludf.DUMMYFUNCTION("""COMPUTED_VALUE"""),1006992.0)</f>
        <v>1006992</v>
      </c>
      <c r="D338" t="str">
        <f>IFERROR(__xludf.DUMMYFUNCTION("""COMPUTED_VALUE"""),"Mr.")</f>
        <v>Mr.</v>
      </c>
      <c r="E338" t="str">
        <f>IFERROR(__xludf.DUMMYFUNCTION("""COMPUTED_VALUE"""),"Danupon")</f>
        <v>Danupon</v>
      </c>
      <c r="F338" t="str">
        <f>IFERROR(__xludf.DUMMYFUNCTION("""COMPUTED_VALUE"""),"Chuenmongkol")</f>
        <v>Chuenmongkol</v>
      </c>
      <c r="G338" t="str">
        <f>IFERROR(__xludf.DUMMYFUNCTION("""COMPUTED_VALUE"""),"Danupon Chuenmongkol")</f>
        <v>Danupon Chuenmongkol</v>
      </c>
      <c r="H338" t="str">
        <f>IFERROR(__xludf.DUMMYFUNCTION("""COMPUTED_VALUE"""),"นาย")</f>
        <v>นาย</v>
      </c>
      <c r="I338" t="str">
        <f>IFERROR(__xludf.DUMMYFUNCTION("""COMPUTED_VALUE"""),"ดนุพล")</f>
        <v>ดนุพล</v>
      </c>
      <c r="J338" t="str">
        <f>IFERROR(__xludf.DUMMYFUNCTION("""COMPUTED_VALUE"""),"ชื่นมงคล")</f>
        <v>ชื่นมงคล</v>
      </c>
      <c r="K338" t="str">
        <f>IFERROR(__xludf.DUMMYFUNCTION("""COMPUTED_VALUE"""),"ดนุพล ชื่นมงคล")</f>
        <v>ดนุพล ชื่นมงคล</v>
      </c>
      <c r="L338" t="str">
        <f>IFERROR(__xludf.DUMMYFUNCTION("""COMPUTED_VALUE"""),"ตั้ม")</f>
        <v>ตั้ม</v>
      </c>
      <c r="M338" t="str">
        <f>IFERROR(__xludf.DUMMYFUNCTION("""COMPUTED_VALUE"""),"Senior Cabin Crew - CNX")</f>
        <v>Senior Cabin Crew - CNX</v>
      </c>
      <c r="N338" t="str">
        <f>IFERROR(__xludf.DUMMYFUNCTION("""COMPUTED_VALUE"""),"CNX")</f>
        <v>CNX</v>
      </c>
      <c r="O338" s="145" t="str">
        <f>IFERROR(__xludf.DUMMYFUNCTION("""COMPUTED_VALUE"""),"Up Home")</f>
        <v>Up Home</v>
      </c>
      <c r="P338" t="str">
        <f>IFERROR(__xludf.DUMMYFUNCTION("""COMPUTED_VALUE"""),"Active")</f>
        <v>Active</v>
      </c>
      <c r="R338" s="143">
        <f>IFERROR(__xludf.DUMMYFUNCTION("""COMPUTED_VALUE"""),31031.0)</f>
        <v>31031</v>
      </c>
      <c r="S338" s="146" t="str">
        <f>IFERROR(__xludf.DUMMYFUNCTION("""COMPUTED_VALUE"""),"088 267 4331")</f>
        <v>088 267 4331</v>
      </c>
      <c r="T338" s="147" t="str">
        <f>IFERROR(__xludf.DUMMYFUNCTION("""COMPUTED_VALUE"""),"1509900-13-8086")</f>
        <v>1509900-13-8086</v>
      </c>
      <c r="U338" t="str">
        <f>IFERROR(__xludf.DUMMYFUNCTION("""COMPUTED_VALUE"""),"AC6656163")</f>
        <v>AC6656163</v>
      </c>
      <c r="V338" s="148">
        <f>IFERROR(__xludf.DUMMYFUNCTION("""COMPUTED_VALUE"""),45415.0)</f>
        <v>45415</v>
      </c>
      <c r="W338" s="148">
        <f>IFERROR(__xludf.DUMMYFUNCTION("""COMPUTED_VALUE"""),49066.0)</f>
        <v>49066</v>
      </c>
      <c r="X338" s="149">
        <f>IFERROR(__xludf.DUMMYFUNCTION("""COMPUTED_VALUE"""),48885.0)</f>
        <v>48885</v>
      </c>
      <c r="Y338" t="str">
        <f>IFERROR(__xludf.DUMMYFUNCTION("""COMPUTED_VALUE"""),"ปลอดภัย")</f>
        <v>ปลอดภัย</v>
      </c>
      <c r="Z338" t="str">
        <f>IFERROR(__xludf.DUMMYFUNCTION("""COMPUTED_VALUE"""),"Chiang Mai Province")</f>
        <v>Chiang Mai Province</v>
      </c>
      <c r="AA338" t="str">
        <f>IFERROR(__xludf.DUMMYFUNCTION("""COMPUTED_VALUE"""),"Chiang Mai")</f>
        <v>Chiang Mai</v>
      </c>
      <c r="AB338" t="str">
        <f>IFERROR(__xludf.DUMMYFUNCTION("""COMPUTED_VALUE"""),"053 275 398 / 086 657 7968")</f>
        <v>053 275 398 / 086 657 7968</v>
      </c>
      <c r="AC338" t="str">
        <f>IFERROR(__xludf.DUMMYFUNCTION("""COMPUTED_VALUE"""),"Home / Mother")</f>
        <v>Home / Mother</v>
      </c>
      <c r="AD338" t="str">
        <f>IFERROR(__xludf.DUMMYFUNCTION("""COMPUTED_VALUE"""),"danuponc@airasia.com")</f>
        <v>danuponc@airasia.com</v>
      </c>
    </row>
    <row r="339">
      <c r="A339" s="142">
        <f>IFERROR(__xludf.DUMMYFUNCTION("""COMPUTED_VALUE"""),51.0)</f>
        <v>51</v>
      </c>
      <c r="B339" t="str">
        <f>IFERROR(__xludf.DUMMYFUNCTION("""COMPUTED_VALUE"""),"TAA3946")</f>
        <v>TAA3946</v>
      </c>
      <c r="C339">
        <f>IFERROR(__xludf.DUMMYFUNCTION("""COMPUTED_VALUE"""),1006993.0)</f>
        <v>1006993</v>
      </c>
      <c r="D339" t="str">
        <f>IFERROR(__xludf.DUMMYFUNCTION("""COMPUTED_VALUE"""),"Ms.")</f>
        <v>Ms.</v>
      </c>
      <c r="E339" t="str">
        <f>IFERROR(__xludf.DUMMYFUNCTION("""COMPUTED_VALUE"""),"Jutaporn")</f>
        <v>Jutaporn</v>
      </c>
      <c r="F339" t="str">
        <f>IFERROR(__xludf.DUMMYFUNCTION("""COMPUTED_VALUE"""),"Kanjanakhajit")</f>
        <v>Kanjanakhajit</v>
      </c>
      <c r="G339" t="str">
        <f>IFERROR(__xludf.DUMMYFUNCTION("""COMPUTED_VALUE"""),"Jutaporn Kanjanakhajit")</f>
        <v>Jutaporn Kanjanakhajit</v>
      </c>
      <c r="H339" t="str">
        <f>IFERROR(__xludf.DUMMYFUNCTION("""COMPUTED_VALUE"""),"นางสาว")</f>
        <v>นางสาว</v>
      </c>
      <c r="I339" t="str">
        <f>IFERROR(__xludf.DUMMYFUNCTION("""COMPUTED_VALUE"""),"จุฑาพร")</f>
        <v>จุฑาพร</v>
      </c>
      <c r="J339" t="str">
        <f>IFERROR(__xludf.DUMMYFUNCTION("""COMPUTED_VALUE"""),"กาญจนขจิต")</f>
        <v>กาญจนขจิต</v>
      </c>
      <c r="K339" t="str">
        <f>IFERROR(__xludf.DUMMYFUNCTION("""COMPUTED_VALUE"""),"จุฑาพร กาญจนขจิต")</f>
        <v>จุฑาพร กาญจนขจิต</v>
      </c>
      <c r="L339" t="str">
        <f>IFERROR(__xludf.DUMMYFUNCTION("""COMPUTED_VALUE"""),"น้ำตาล")</f>
        <v>น้ำตาล</v>
      </c>
      <c r="M339" t="str">
        <f>IFERROR(__xludf.DUMMYFUNCTION("""COMPUTED_VALUE"""),"Cabin Crew")</f>
        <v>Cabin Crew</v>
      </c>
      <c r="N339" t="str">
        <f>IFERROR(__xludf.DUMMYFUNCTION("""COMPUTED_VALUE"""),"DMK")</f>
        <v>DMK</v>
      </c>
      <c r="O339" s="145" t="str">
        <f>IFERROR(__xludf.DUMMYFUNCTION("""COMPUTED_VALUE"""),"Toffy Home")</f>
        <v>Toffy Home</v>
      </c>
      <c r="P339" t="str">
        <f>IFERROR(__xludf.DUMMYFUNCTION("""COMPUTED_VALUE"""),"LWPP")</f>
        <v>LWPP</v>
      </c>
      <c r="R339" s="143">
        <f>IFERROR(__xludf.DUMMYFUNCTION("""COMPUTED_VALUE"""),31078.0)</f>
        <v>31078</v>
      </c>
      <c r="S339" s="146" t="str">
        <f>IFERROR(__xludf.DUMMYFUNCTION("""COMPUTED_VALUE"""),"086 775 6600")</f>
        <v>086 775 6600</v>
      </c>
      <c r="T339" s="147" t="str">
        <f>IFERROR(__xludf.DUMMYFUNCTION("""COMPUTED_VALUE"""),"1860500-00-4987")</f>
        <v>1860500-00-4987</v>
      </c>
      <c r="U339" t="str">
        <f>IFERROR(__xludf.DUMMYFUNCTION("""COMPUTED_VALUE"""),"AD2239111")</f>
        <v>AD2239111</v>
      </c>
      <c r="V339" s="148">
        <f>IFERROR(__xludf.DUMMYFUNCTION("""COMPUTED_VALUE"""),45793.0)</f>
        <v>45793</v>
      </c>
      <c r="W339" s="148">
        <f>IFERROR(__xludf.DUMMYFUNCTION("""COMPUTED_VALUE"""),49444.0)</f>
        <v>49444</v>
      </c>
      <c r="X339" s="149">
        <f>IFERROR(__xludf.DUMMYFUNCTION("""COMPUTED_VALUE"""),49263.0)</f>
        <v>49263</v>
      </c>
      <c r="Y339" t="str">
        <f>IFERROR(__xludf.DUMMYFUNCTION("""COMPUTED_VALUE"""),"ปลอดภัย")</f>
        <v>ปลอดภัย</v>
      </c>
      <c r="Z339" t="str">
        <f>IFERROR(__xludf.DUMMYFUNCTION("""COMPUTED_VALUE"""),"Chumphon Province")</f>
        <v>Chumphon Province</v>
      </c>
      <c r="AA339" t="str">
        <f>IFERROR(__xludf.DUMMYFUNCTION("""COMPUTED_VALUE"""),"Klong sam wa")</f>
        <v>Klong sam wa</v>
      </c>
      <c r="AB339" t="str">
        <f>IFERROR(__xludf.DUMMYFUNCTION("""COMPUTED_VALUE"""),"02 508 4167 / 089 120 4360")</f>
        <v>02 508 4167 / 089 120 4360</v>
      </c>
      <c r="AC339" t="str">
        <f>IFERROR(__xludf.DUMMYFUNCTION("""COMPUTED_VALUE"""),"Home / Mother")</f>
        <v>Home / Mother</v>
      </c>
      <c r="AD339" t="str">
        <f>IFERROR(__xludf.DUMMYFUNCTION("""COMPUTED_VALUE"""),"jutapornk@airasia.com")</f>
        <v>jutapornk@airasia.com</v>
      </c>
    </row>
    <row r="340">
      <c r="A340" s="142">
        <f>IFERROR(__xludf.DUMMYFUNCTION("""COMPUTED_VALUE"""),51.0)</f>
        <v>51</v>
      </c>
      <c r="B340" t="str">
        <f>IFERROR(__xludf.DUMMYFUNCTION("""COMPUTED_VALUE"""),"TAA3939")</f>
        <v>TAA3939</v>
      </c>
      <c r="C340">
        <f>IFERROR(__xludf.DUMMYFUNCTION("""COMPUTED_VALUE"""),1006995.0)</f>
        <v>1006995</v>
      </c>
      <c r="D340" t="str">
        <f>IFERROR(__xludf.DUMMYFUNCTION("""COMPUTED_VALUE"""),"Ms.")</f>
        <v>Ms.</v>
      </c>
      <c r="E340" t="str">
        <f>IFERROR(__xludf.DUMMYFUNCTION("""COMPUTED_VALUE"""),"Kornrumpha")</f>
        <v>Kornrumpha</v>
      </c>
      <c r="F340" t="str">
        <f>IFERROR(__xludf.DUMMYFUNCTION("""COMPUTED_VALUE"""),"Wongsing")</f>
        <v>Wongsing</v>
      </c>
      <c r="G340" t="str">
        <f>IFERROR(__xludf.DUMMYFUNCTION("""COMPUTED_VALUE"""),"Kornrumpha Wongsing")</f>
        <v>Kornrumpha Wongsing</v>
      </c>
      <c r="H340" t="str">
        <f>IFERROR(__xludf.DUMMYFUNCTION("""COMPUTED_VALUE"""),"นางสาว")</f>
        <v>นางสาว</v>
      </c>
      <c r="I340" t="str">
        <f>IFERROR(__xludf.DUMMYFUNCTION("""COMPUTED_VALUE"""),"กรรัมภา")</f>
        <v>กรรัมภา</v>
      </c>
      <c r="J340" t="str">
        <f>IFERROR(__xludf.DUMMYFUNCTION("""COMPUTED_VALUE"""),"วงษ์สิงห์")</f>
        <v>วงษ์สิงห์</v>
      </c>
      <c r="K340" t="str">
        <f>IFERROR(__xludf.DUMMYFUNCTION("""COMPUTED_VALUE"""),"กรรัมภา วงษ์สิงห์")</f>
        <v>กรรัมภา วงษ์สิงห์</v>
      </c>
      <c r="L340" t="str">
        <f>IFERROR(__xludf.DUMMYFUNCTION("""COMPUTED_VALUE"""),"กุ๊ก")</f>
        <v>กุ๊ก</v>
      </c>
      <c r="M340" t="str">
        <f>IFERROR(__xludf.DUMMYFUNCTION("""COMPUTED_VALUE"""),"Cabin Crew")</f>
        <v>Cabin Crew</v>
      </c>
      <c r="N340" t="str">
        <f>IFERROR(__xludf.DUMMYFUNCTION("""COMPUTED_VALUE"""),"DMK")</f>
        <v>DMK</v>
      </c>
      <c r="O340" s="145" t="str">
        <f>IFERROR(__xludf.DUMMYFUNCTION("""COMPUTED_VALUE"""),"Toffy Home")</f>
        <v>Toffy Home</v>
      </c>
      <c r="P340" t="str">
        <f>IFERROR(__xludf.DUMMYFUNCTION("""COMPUTED_VALUE"""),"Active")</f>
        <v>Active</v>
      </c>
      <c r="R340" s="143">
        <f>IFERROR(__xludf.DUMMYFUNCTION("""COMPUTED_VALUE"""),31862.0)</f>
        <v>31862</v>
      </c>
      <c r="S340" s="146" t="str">
        <f>IFERROR(__xludf.DUMMYFUNCTION("""COMPUTED_VALUE"""),"095-142-4791")</f>
        <v>095-142-4791</v>
      </c>
      <c r="T340" s="147" t="str">
        <f>IFERROR(__xludf.DUMMYFUNCTION("""COMPUTED_VALUE"""),"1101400-96-2207")</f>
        <v>1101400-96-2207</v>
      </c>
      <c r="U340" t="str">
        <f>IFERROR(__xludf.DUMMYFUNCTION("""COMPUTED_VALUE"""),"AC2219709")</f>
        <v>AC2219709</v>
      </c>
      <c r="V340" s="148">
        <f>IFERROR(__xludf.DUMMYFUNCTION("""COMPUTED_VALUE"""),44270.0)</f>
        <v>44270</v>
      </c>
      <c r="W340" s="148">
        <f>IFERROR(__xludf.DUMMYFUNCTION("""COMPUTED_VALUE"""),47921.0)</f>
        <v>47921</v>
      </c>
      <c r="X340" s="149">
        <f>IFERROR(__xludf.DUMMYFUNCTION("""COMPUTED_VALUE"""),47740.0)</f>
        <v>47740</v>
      </c>
      <c r="Y340" t="str">
        <f>IFERROR(__xludf.DUMMYFUNCTION("""COMPUTED_VALUE"""),"ปลอดภัย")</f>
        <v>ปลอดภัย</v>
      </c>
      <c r="Z340" t="str">
        <f>IFERROR(__xludf.DUMMYFUNCTION("""COMPUTED_VALUE"""),"Bangkok")</f>
        <v>Bangkok</v>
      </c>
      <c r="AA340" t="str">
        <f>IFERROR(__xludf.DUMMYFUNCTION("""COMPUTED_VALUE"""),"Lumlukka")</f>
        <v>Lumlukka</v>
      </c>
      <c r="AB340" t="str">
        <f>IFERROR(__xludf.DUMMYFUNCTION("""COMPUTED_VALUE"""),"081 825 6452")</f>
        <v>081 825 6452</v>
      </c>
      <c r="AC340" t="str">
        <f>IFERROR(__xludf.DUMMYFUNCTION("""COMPUTED_VALUE"""),"มารดา")</f>
        <v>มารดา</v>
      </c>
      <c r="AD340" t="str">
        <f>IFERROR(__xludf.DUMMYFUNCTION("""COMPUTED_VALUE"""),"kornrumphaw@airasia.com")</f>
        <v>kornrumphaw@airasia.com</v>
      </c>
    </row>
    <row r="341">
      <c r="A341" s="142">
        <f>IFERROR(__xludf.DUMMYFUNCTION("""COMPUTED_VALUE"""),51.0)</f>
        <v>51</v>
      </c>
      <c r="B341" t="str">
        <f>IFERROR(__xludf.DUMMYFUNCTION("""COMPUTED_VALUE"""),"TAA3936")</f>
        <v>TAA3936</v>
      </c>
      <c r="C341">
        <f>IFERROR(__xludf.DUMMYFUNCTION("""COMPUTED_VALUE"""),1006998.0)</f>
        <v>1006998</v>
      </c>
      <c r="D341" t="str">
        <f>IFERROR(__xludf.DUMMYFUNCTION("""COMPUTED_VALUE"""),"Ms.")</f>
        <v>Ms.</v>
      </c>
      <c r="E341" t="str">
        <f>IFERROR(__xludf.DUMMYFUNCTION("""COMPUTED_VALUE"""),"Natchanakarn")</f>
        <v>Natchanakarn</v>
      </c>
      <c r="F341" t="str">
        <f>IFERROR(__xludf.DUMMYFUNCTION("""COMPUTED_VALUE"""),"Wattanaboribhonkun")</f>
        <v>Wattanaboribhonkun</v>
      </c>
      <c r="G341" t="str">
        <f>IFERROR(__xludf.DUMMYFUNCTION("""COMPUTED_VALUE"""),"Natchanakarn Wattanaboribhonkun")</f>
        <v>Natchanakarn Wattanaboribhonkun</v>
      </c>
      <c r="H341" t="str">
        <f>IFERROR(__xludf.DUMMYFUNCTION("""COMPUTED_VALUE"""),"นางสาว")</f>
        <v>นางสาว</v>
      </c>
      <c r="I341" t="str">
        <f>IFERROR(__xludf.DUMMYFUNCTION("""COMPUTED_VALUE"""),"ณัฐชนากานต์")</f>
        <v>ณัฐชนากานต์</v>
      </c>
      <c r="J341" t="str">
        <f>IFERROR(__xludf.DUMMYFUNCTION("""COMPUTED_VALUE"""),"วัฒนาบริบูรณ์กุล")</f>
        <v>วัฒนาบริบูรณ์กุล</v>
      </c>
      <c r="K341" t="str">
        <f>IFERROR(__xludf.DUMMYFUNCTION("""COMPUTED_VALUE"""),"ณัฐชนากานต์ วัฒนาบริบูรณ์กุล")</f>
        <v>ณัฐชนากานต์ วัฒนาบริบูรณ์กุล</v>
      </c>
      <c r="L341" t="str">
        <f>IFERROR(__xludf.DUMMYFUNCTION("""COMPUTED_VALUE"""),"เอ้ย")</f>
        <v>เอ้ย</v>
      </c>
      <c r="M341" t="str">
        <f>IFERROR(__xludf.DUMMYFUNCTION("""COMPUTED_VALUE"""),"Senior Cabin Crew")</f>
        <v>Senior Cabin Crew</v>
      </c>
      <c r="N341" t="str">
        <f>IFERROR(__xludf.DUMMYFUNCTION("""COMPUTED_VALUE"""),"DMK")</f>
        <v>DMK</v>
      </c>
      <c r="O341" s="145" t="str">
        <f>IFERROR(__xludf.DUMMYFUNCTION("""COMPUTED_VALUE"""),"Por+ Home")</f>
        <v>Por+ Home</v>
      </c>
      <c r="P341" t="str">
        <f>IFERROR(__xludf.DUMMYFUNCTION("""COMPUTED_VALUE"""),"Active")</f>
        <v>Active</v>
      </c>
      <c r="R341" s="143">
        <f>IFERROR(__xludf.DUMMYFUNCTION("""COMPUTED_VALUE"""),31487.0)</f>
        <v>31487</v>
      </c>
      <c r="S341" s="146" t="str">
        <f>IFERROR(__xludf.DUMMYFUNCTION("""COMPUTED_VALUE"""),"082 541 5499")</f>
        <v>082 541 5499</v>
      </c>
      <c r="T341" s="147" t="str">
        <f>IFERROR(__xludf.DUMMYFUNCTION("""COMPUTED_VALUE"""),"1101499-08-2271")</f>
        <v>1101499-08-2271</v>
      </c>
      <c r="U341" t="str">
        <f>IFERROR(__xludf.DUMMYFUNCTION("""COMPUTED_VALUE"""),"AC4979000")</f>
        <v>AC4979000</v>
      </c>
      <c r="V341" s="148">
        <f>IFERROR(__xludf.DUMMYFUNCTION("""COMPUTED_VALUE"""),45078.0)</f>
        <v>45078</v>
      </c>
      <c r="W341" s="148">
        <f>IFERROR(__xludf.DUMMYFUNCTION("""COMPUTED_VALUE"""),48730.0)</f>
        <v>48730</v>
      </c>
      <c r="X341" s="149">
        <f>IFERROR(__xludf.DUMMYFUNCTION("""COMPUTED_VALUE"""),48548.0)</f>
        <v>48548</v>
      </c>
      <c r="Y341" t="str">
        <f>IFERROR(__xludf.DUMMYFUNCTION("""COMPUTED_VALUE"""),"ปลอดภัย")</f>
        <v>ปลอดภัย</v>
      </c>
      <c r="Z341" t="str">
        <f>IFERROR(__xludf.DUMMYFUNCTION("""COMPUTED_VALUE"""),"Bangkok")</f>
        <v>Bangkok</v>
      </c>
      <c r="AA341" t="str">
        <f>IFERROR(__xludf.DUMMYFUNCTION("""COMPUTED_VALUE"""),"Phayathai")</f>
        <v>Phayathai</v>
      </c>
      <c r="AB341" t="str">
        <f>IFERROR(__xludf.DUMMYFUNCTION("""COMPUTED_VALUE"""),"02 278 0951 / 086 811 8112")</f>
        <v>02 278 0951 / 086 811 8112</v>
      </c>
      <c r="AC341" t="str">
        <f>IFERROR(__xludf.DUMMYFUNCTION("""COMPUTED_VALUE"""),"Home / Mother")</f>
        <v>Home / Mother</v>
      </c>
      <c r="AD341" t="str">
        <f>IFERROR(__xludf.DUMMYFUNCTION("""COMPUTED_VALUE"""),"natchanakarnw@airasia.com")</f>
        <v>natchanakarnw@airasia.com</v>
      </c>
    </row>
    <row r="342">
      <c r="A342" s="142">
        <f>IFERROR(__xludf.DUMMYFUNCTION("""COMPUTED_VALUE"""),51.0)</f>
        <v>51</v>
      </c>
      <c r="B342" t="str">
        <f>IFERROR(__xludf.DUMMYFUNCTION("""COMPUTED_VALUE"""),"TAA3950")</f>
        <v>TAA3950</v>
      </c>
      <c r="C342">
        <f>IFERROR(__xludf.DUMMYFUNCTION("""COMPUTED_VALUE"""),1007000.0)</f>
        <v>1007000</v>
      </c>
      <c r="D342" t="str">
        <f>IFERROR(__xludf.DUMMYFUNCTION("""COMPUTED_VALUE"""),"Ms.")</f>
        <v>Ms.</v>
      </c>
      <c r="E342" t="str">
        <f>IFERROR(__xludf.DUMMYFUNCTION("""COMPUTED_VALUE"""),"Panaiporn")</f>
        <v>Panaiporn</v>
      </c>
      <c r="F342" t="str">
        <f>IFERROR(__xludf.DUMMYFUNCTION("""COMPUTED_VALUE"""),"Rattananakin (Hwungwichien)")</f>
        <v>Rattananakin (Hwungwichien)</v>
      </c>
      <c r="G342" t="str">
        <f>IFERROR(__xludf.DUMMYFUNCTION("""COMPUTED_VALUE"""),"Panaiporn Rattananakin")</f>
        <v>Panaiporn Rattananakin</v>
      </c>
      <c r="H342" t="str">
        <f>IFERROR(__xludf.DUMMYFUNCTION("""COMPUTED_VALUE"""),"นางสาว")</f>
        <v>นางสาว</v>
      </c>
      <c r="I342" t="str">
        <f>IFERROR(__xludf.DUMMYFUNCTION("""COMPUTED_VALUE"""),"ปณัยภรณ์")</f>
        <v>ปณัยภรณ์</v>
      </c>
      <c r="J342" t="str">
        <f>IFERROR(__xludf.DUMMYFUNCTION("""COMPUTED_VALUE"""),"รัตนนาคินทร์ (ห่วงวิเชียร)")</f>
        <v>รัตนนาคินทร์ (ห่วงวิเชียร)</v>
      </c>
      <c r="K342" t="str">
        <f>IFERROR(__xludf.DUMMYFUNCTION("""COMPUTED_VALUE"""),"ปณัยภรณ์ รัตนนาคินทร์")</f>
        <v>ปณัยภรณ์ รัตนนาคินทร์</v>
      </c>
      <c r="L342" t="str">
        <f>IFERROR(__xludf.DUMMYFUNCTION("""COMPUTED_VALUE"""),"เอ็ม")</f>
        <v>เอ็ม</v>
      </c>
      <c r="M342" t="str">
        <f>IFERROR(__xludf.DUMMYFUNCTION("""COMPUTED_VALUE"""),"Cabin Crew")</f>
        <v>Cabin Crew</v>
      </c>
      <c r="N342" t="str">
        <f>IFERROR(__xludf.DUMMYFUNCTION("""COMPUTED_VALUE"""),"DMK")</f>
        <v>DMK</v>
      </c>
      <c r="O342" s="145" t="str">
        <f>IFERROR(__xludf.DUMMYFUNCTION("""COMPUTED_VALUE"""),"Namfon Home")</f>
        <v>Namfon Home</v>
      </c>
      <c r="P342" t="str">
        <f>IFERROR(__xludf.DUMMYFUNCTION("""COMPUTED_VALUE"""),"Active")</f>
        <v>Active</v>
      </c>
      <c r="R342" s="143">
        <f>IFERROR(__xludf.DUMMYFUNCTION("""COMPUTED_VALUE"""),32377.0)</f>
        <v>32377</v>
      </c>
      <c r="S342" s="146" t="str">
        <f>IFERROR(__xludf.DUMMYFUNCTION("""COMPUTED_VALUE"""),"098 424 5266")</f>
        <v>098 424 5266</v>
      </c>
      <c r="T342" s="147" t="str">
        <f>IFERROR(__xludf.DUMMYFUNCTION("""COMPUTED_VALUE"""),"1100600-16-1886")</f>
        <v>1100600-16-1886</v>
      </c>
      <c r="U342" t="str">
        <f>IFERROR(__xludf.DUMMYFUNCTION("""COMPUTED_VALUE"""),"AC8264601")</f>
        <v>AC8264601</v>
      </c>
      <c r="V342" s="148">
        <f>IFERROR(__xludf.DUMMYFUNCTION("""COMPUTED_VALUE"""),45846.0)</f>
        <v>45846</v>
      </c>
      <c r="W342" s="148">
        <f>IFERROR(__xludf.DUMMYFUNCTION("""COMPUTED_VALUE"""),49497.0)</f>
        <v>49497</v>
      </c>
      <c r="X342" s="149">
        <f>IFERROR(__xludf.DUMMYFUNCTION("""COMPUTED_VALUE"""),49316.0)</f>
        <v>49316</v>
      </c>
      <c r="Y342" t="str">
        <f>IFERROR(__xludf.DUMMYFUNCTION("""COMPUTED_VALUE"""),"ปลอดภัย")</f>
        <v>ปลอดภัย</v>
      </c>
      <c r="Z342" t="str">
        <f>IFERROR(__xludf.DUMMYFUNCTION("""COMPUTED_VALUE"""),"Bangkok")</f>
        <v>Bangkok</v>
      </c>
      <c r="AA342" t="str">
        <f>IFERROR(__xludf.DUMMYFUNCTION("""COMPUTED_VALUE"""),"Nual Chan")</f>
        <v>Nual Chan</v>
      </c>
      <c r="AB342" t="str">
        <f>IFERROR(__xludf.DUMMYFUNCTION("""COMPUTED_VALUE"""),"089 440 4709")</f>
        <v>089 440 4709</v>
      </c>
      <c r="AC342" t="str">
        <f>IFERROR(__xludf.DUMMYFUNCTION("""COMPUTED_VALUE"""),"Friend")</f>
        <v>Friend</v>
      </c>
      <c r="AD342" t="str">
        <f>IFERROR(__xludf.DUMMYFUNCTION("""COMPUTED_VALUE"""),"panaipornr@airasia.com")</f>
        <v>panaipornr@airasia.com</v>
      </c>
    </row>
    <row r="343">
      <c r="A343" s="142">
        <f>IFERROR(__xludf.DUMMYFUNCTION("""COMPUTED_VALUE"""),51.0)</f>
        <v>51</v>
      </c>
      <c r="B343" t="str">
        <f>IFERROR(__xludf.DUMMYFUNCTION("""COMPUTED_VALUE"""),"TAA3941")</f>
        <v>TAA3941</v>
      </c>
      <c r="C343">
        <f>IFERROR(__xludf.DUMMYFUNCTION("""COMPUTED_VALUE"""),1007001.0)</f>
        <v>1007001</v>
      </c>
      <c r="D343" t="str">
        <f>IFERROR(__xludf.DUMMYFUNCTION("""COMPUTED_VALUE"""),"Ms.")</f>
        <v>Ms.</v>
      </c>
      <c r="E343" t="str">
        <f>IFERROR(__xludf.DUMMYFUNCTION("""COMPUTED_VALUE"""),"Phakrapee")</f>
        <v>Phakrapee</v>
      </c>
      <c r="F343" t="str">
        <f>IFERROR(__xludf.DUMMYFUNCTION("""COMPUTED_VALUE"""),"Fuengprang")</f>
        <v>Fuengprang</v>
      </c>
      <c r="G343" t="str">
        <f>IFERROR(__xludf.DUMMYFUNCTION("""COMPUTED_VALUE"""),"Phakrapee Fuengprang")</f>
        <v>Phakrapee Fuengprang</v>
      </c>
      <c r="H343" t="str">
        <f>IFERROR(__xludf.DUMMYFUNCTION("""COMPUTED_VALUE"""),"นางสาว")</f>
        <v>นางสาว</v>
      </c>
      <c r="I343" t="str">
        <f>IFERROR(__xludf.DUMMYFUNCTION("""COMPUTED_VALUE"""),"ภักดิ์รพี")</f>
        <v>ภักดิ์รพี</v>
      </c>
      <c r="J343" t="str">
        <f>IFERROR(__xludf.DUMMYFUNCTION("""COMPUTED_VALUE"""),"เฟื่องปรางค์")</f>
        <v>เฟื่องปรางค์</v>
      </c>
      <c r="K343" t="str">
        <f>IFERROR(__xludf.DUMMYFUNCTION("""COMPUTED_VALUE"""),"ภักดิ์รพี เฟื่องปรางค์")</f>
        <v>ภักดิ์รพี เฟื่องปรางค์</v>
      </c>
      <c r="L343" t="str">
        <f>IFERROR(__xludf.DUMMYFUNCTION("""COMPUTED_VALUE"""),"ปู")</f>
        <v>ปู</v>
      </c>
      <c r="M343" t="str">
        <f>IFERROR(__xludf.DUMMYFUNCTION("""COMPUTED_VALUE"""),"Senior Cabin Crew")</f>
        <v>Senior Cabin Crew</v>
      </c>
      <c r="N343" t="str">
        <f>IFERROR(__xludf.DUMMYFUNCTION("""COMPUTED_VALUE"""),"DMK")</f>
        <v>DMK</v>
      </c>
      <c r="O343" s="145" t="str">
        <f>IFERROR(__xludf.DUMMYFUNCTION("""COMPUTED_VALUE"""),"Namfon Home")</f>
        <v>Namfon Home</v>
      </c>
      <c r="P343" t="str">
        <f>IFERROR(__xludf.DUMMYFUNCTION("""COMPUTED_VALUE"""),"Active")</f>
        <v>Active</v>
      </c>
      <c r="R343" s="143">
        <f>IFERROR(__xludf.DUMMYFUNCTION("""COMPUTED_VALUE"""),31337.0)</f>
        <v>31337</v>
      </c>
      <c r="S343" s="146" t="str">
        <f>IFERROR(__xludf.DUMMYFUNCTION("""COMPUTED_VALUE"""),"081 302 8742")</f>
        <v>081 302 8742</v>
      </c>
      <c r="T343" s="147" t="str">
        <f>IFERROR(__xludf.DUMMYFUNCTION("""COMPUTED_VALUE"""),"1509900-25-0323")</f>
        <v>1509900-25-0323</v>
      </c>
      <c r="U343" t="str">
        <f>IFERROR(__xludf.DUMMYFUNCTION("""COMPUTED_VALUE"""),"AC8178807")</f>
        <v>AC8178807</v>
      </c>
      <c r="V343" s="148">
        <f>IFERROR(__xludf.DUMMYFUNCTION("""COMPUTED_VALUE"""),46031.0)</f>
        <v>46031</v>
      </c>
      <c r="W343" s="148">
        <f>IFERROR(__xludf.DUMMYFUNCTION("""COMPUTED_VALUE"""),49682.0)</f>
        <v>49682</v>
      </c>
      <c r="X343" s="149">
        <f>IFERROR(__xludf.DUMMYFUNCTION("""COMPUTED_VALUE"""),49498.0)</f>
        <v>49498</v>
      </c>
      <c r="Y343" t="str">
        <f>IFERROR(__xludf.DUMMYFUNCTION("""COMPUTED_VALUE"""),"ปลอดภัย")</f>
        <v>ปลอดภัย</v>
      </c>
      <c r="Z343" t="str">
        <f>IFERROR(__xludf.DUMMYFUNCTION("""COMPUTED_VALUE"""),"Chiang Mai Province")</f>
        <v>Chiang Mai Province</v>
      </c>
      <c r="AA343" t="str">
        <f>IFERROR(__xludf.DUMMYFUNCTION("""COMPUTED_VALUE"""),"Nonthaburi")</f>
        <v>Nonthaburi</v>
      </c>
      <c r="AC343" t="str">
        <f>IFERROR(__xludf.DUMMYFUNCTION("""COMPUTED_VALUE"""),"-")</f>
        <v>-</v>
      </c>
      <c r="AD343" t="str">
        <f>IFERROR(__xludf.DUMMYFUNCTION("""COMPUTED_VALUE"""),"phakrapeef@airasia.com")</f>
        <v>phakrapeef@airasia.com</v>
      </c>
    </row>
    <row r="344">
      <c r="A344" s="142">
        <f>IFERROR(__xludf.DUMMYFUNCTION("""COMPUTED_VALUE"""),51.0)</f>
        <v>51</v>
      </c>
      <c r="B344" t="str">
        <f>IFERROR(__xludf.DUMMYFUNCTION("""COMPUTED_VALUE"""),"TAA3933")</f>
        <v>TAA3933</v>
      </c>
      <c r="C344">
        <f>IFERROR(__xludf.DUMMYFUNCTION("""COMPUTED_VALUE"""),1007003.0)</f>
        <v>1007003</v>
      </c>
      <c r="D344" t="str">
        <f>IFERROR(__xludf.DUMMYFUNCTION("""COMPUTED_VALUE"""),"Mrs.")</f>
        <v>Mrs.</v>
      </c>
      <c r="E344" t="str">
        <f>IFERROR(__xludf.DUMMYFUNCTION("""COMPUTED_VALUE"""),"Ravipa")</f>
        <v>Ravipa</v>
      </c>
      <c r="F344" t="str">
        <f>IFERROR(__xludf.DUMMYFUNCTION("""COMPUTED_VALUE"""),"Tumsen (Praropkul)")</f>
        <v>Tumsen (Praropkul)</v>
      </c>
      <c r="G344" t="str">
        <f>IFERROR(__xludf.DUMMYFUNCTION("""COMPUTED_VALUE"""),"Ravipa Tumsen")</f>
        <v>Ravipa Tumsen</v>
      </c>
      <c r="H344" t="str">
        <f>IFERROR(__xludf.DUMMYFUNCTION("""COMPUTED_VALUE"""),"นาง")</f>
        <v>นาง</v>
      </c>
      <c r="I344" t="str">
        <f>IFERROR(__xludf.DUMMYFUNCTION("""COMPUTED_VALUE"""),"รวิภา")</f>
        <v>รวิภา</v>
      </c>
      <c r="J344" t="str">
        <f>IFERROR(__xludf.DUMMYFUNCTION("""COMPUTED_VALUE"""),"ทุมเสน (ปรารภกุล)")</f>
        <v>ทุมเสน (ปรารภกุล)</v>
      </c>
      <c r="K344" t="str">
        <f>IFERROR(__xludf.DUMMYFUNCTION("""COMPUTED_VALUE"""),"รวิภา ทุมเสน")</f>
        <v>รวิภา ทุมเสน</v>
      </c>
      <c r="L344" t="str">
        <f>IFERROR(__xludf.DUMMYFUNCTION("""COMPUTED_VALUE"""),"แชร์")</f>
        <v>แชร์</v>
      </c>
      <c r="M344" t="str">
        <f>IFERROR(__xludf.DUMMYFUNCTION("""COMPUTED_VALUE"""),"Senior Cabin Crew")</f>
        <v>Senior Cabin Crew</v>
      </c>
      <c r="N344" t="str">
        <f>IFERROR(__xludf.DUMMYFUNCTION("""COMPUTED_VALUE"""),"DMK")</f>
        <v>DMK</v>
      </c>
      <c r="O344" s="145" t="str">
        <f>IFERROR(__xludf.DUMMYFUNCTION("""COMPUTED_VALUE"""),"Namfon Home")</f>
        <v>Namfon Home</v>
      </c>
      <c r="P344" t="str">
        <f>IFERROR(__xludf.DUMMYFUNCTION("""COMPUTED_VALUE"""),"Active")</f>
        <v>Active</v>
      </c>
      <c r="R344" s="143">
        <f>IFERROR(__xludf.DUMMYFUNCTION("""COMPUTED_VALUE"""),32400.0)</f>
        <v>32400</v>
      </c>
      <c r="S344" s="146" t="str">
        <f>IFERROR(__xludf.DUMMYFUNCTION("""COMPUTED_VALUE"""),"083 594 9292")</f>
        <v>083 594 9292</v>
      </c>
      <c r="T344" s="147" t="str">
        <f>IFERROR(__xludf.DUMMYFUNCTION("""COMPUTED_VALUE"""),"1100900-40-0330")</f>
        <v>1100900-40-0330</v>
      </c>
      <c r="U344" t="str">
        <f>IFERROR(__xludf.DUMMYFUNCTION("""COMPUTED_VALUE"""),"AD1749376")</f>
        <v>AD1749376</v>
      </c>
      <c r="V344" s="148">
        <f>IFERROR(__xludf.DUMMYFUNCTION("""COMPUTED_VALUE"""),45440.0)</f>
        <v>45440</v>
      </c>
      <c r="W344" s="148">
        <f>IFERROR(__xludf.DUMMYFUNCTION("""COMPUTED_VALUE"""),49091.0)</f>
        <v>49091</v>
      </c>
      <c r="X344" s="149">
        <f>IFERROR(__xludf.DUMMYFUNCTION("""COMPUTED_VALUE"""),48910.0)</f>
        <v>48910</v>
      </c>
      <c r="Y344" t="str">
        <f>IFERROR(__xludf.DUMMYFUNCTION("""COMPUTED_VALUE"""),"ปลอดภัย")</f>
        <v>ปลอดภัย</v>
      </c>
      <c r="Z344" t="str">
        <f>IFERROR(__xludf.DUMMYFUNCTION("""COMPUTED_VALUE"""),"Bangkok")</f>
        <v>Bangkok</v>
      </c>
      <c r="AA344" t="str">
        <f>IFERROR(__xludf.DUMMYFUNCTION("""COMPUTED_VALUE"""),"Rama 2")</f>
        <v>Rama 2</v>
      </c>
      <c r="AB344" t="str">
        <f>IFERROR(__xludf.DUMMYFUNCTION("""COMPUTED_VALUE"""),"02 874 2738 / 081 855 8217")</f>
        <v>02 874 2738 / 081 855 8217</v>
      </c>
      <c r="AC344" t="str">
        <f>IFERROR(__xludf.DUMMYFUNCTION("""COMPUTED_VALUE"""),"Home / Mother")</f>
        <v>Home / Mother</v>
      </c>
      <c r="AD344" t="str">
        <f>IFERROR(__xludf.DUMMYFUNCTION("""COMPUTED_VALUE"""),"ravipatum@airasia.com")</f>
        <v>ravipatum@airasia.com</v>
      </c>
    </row>
    <row r="345">
      <c r="A345" s="142">
        <f>IFERROR(__xludf.DUMMYFUNCTION("""COMPUTED_VALUE"""),51.0)</f>
        <v>51</v>
      </c>
      <c r="B345" t="str">
        <f>IFERROR(__xludf.DUMMYFUNCTION("""COMPUTED_VALUE"""),"TAA3947")</f>
        <v>TAA3947</v>
      </c>
      <c r="C345">
        <f>IFERROR(__xludf.DUMMYFUNCTION("""COMPUTED_VALUE"""),1007004.0)</f>
        <v>1007004</v>
      </c>
      <c r="D345" t="str">
        <f>IFERROR(__xludf.DUMMYFUNCTION("""COMPUTED_VALUE"""),"Mr.")</f>
        <v>Mr.</v>
      </c>
      <c r="E345" t="str">
        <f>IFERROR(__xludf.DUMMYFUNCTION("""COMPUTED_VALUE"""),"Thanawat")</f>
        <v>Thanawat</v>
      </c>
      <c r="F345" t="str">
        <f>IFERROR(__xludf.DUMMYFUNCTION("""COMPUTED_VALUE"""),"Srisuwan")</f>
        <v>Srisuwan</v>
      </c>
      <c r="G345" t="str">
        <f>IFERROR(__xludf.DUMMYFUNCTION("""COMPUTED_VALUE"""),"Thanawat Srisuwan")</f>
        <v>Thanawat Srisuwan</v>
      </c>
      <c r="H345" t="str">
        <f>IFERROR(__xludf.DUMMYFUNCTION("""COMPUTED_VALUE"""),"นาย")</f>
        <v>นาย</v>
      </c>
      <c r="I345" t="str">
        <f>IFERROR(__xludf.DUMMYFUNCTION("""COMPUTED_VALUE"""),"ธนวัฒน์")</f>
        <v>ธนวัฒน์</v>
      </c>
      <c r="J345" t="str">
        <f>IFERROR(__xludf.DUMMYFUNCTION("""COMPUTED_VALUE"""),"ศรีสุวรรณ")</f>
        <v>ศรีสุวรรณ</v>
      </c>
      <c r="K345" t="str">
        <f>IFERROR(__xludf.DUMMYFUNCTION("""COMPUTED_VALUE"""),"ธนวัฒน์ ศรีสุวรรณ")</f>
        <v>ธนวัฒน์ ศรีสุวรรณ</v>
      </c>
      <c r="L345" t="str">
        <f>IFERROR(__xludf.DUMMYFUNCTION("""COMPUTED_VALUE"""),"หนุ่ม")</f>
        <v>หนุ่ม</v>
      </c>
      <c r="M345" t="str">
        <f>IFERROR(__xludf.DUMMYFUNCTION("""COMPUTED_VALUE"""),"Senior Cabin Crew")</f>
        <v>Senior Cabin Crew</v>
      </c>
      <c r="N345" t="str">
        <f>IFERROR(__xludf.DUMMYFUNCTION("""COMPUTED_VALUE"""),"DMK")</f>
        <v>DMK</v>
      </c>
      <c r="O345" s="145" t="str">
        <f>IFERROR(__xludf.DUMMYFUNCTION("""COMPUTED_VALUE"""),"Kor Home")</f>
        <v>Kor Home</v>
      </c>
      <c r="P345" t="str">
        <f>IFERROR(__xludf.DUMMYFUNCTION("""COMPUTED_VALUE"""),"Active")</f>
        <v>Active</v>
      </c>
      <c r="R345" s="143">
        <f>IFERROR(__xludf.DUMMYFUNCTION("""COMPUTED_VALUE"""),31366.0)</f>
        <v>31366</v>
      </c>
      <c r="S345" s="146" t="str">
        <f>IFERROR(__xludf.DUMMYFUNCTION("""COMPUTED_VALUE"""),"095 887 1444")</f>
        <v>095 887 1444</v>
      </c>
      <c r="T345" s="147" t="str">
        <f>IFERROR(__xludf.DUMMYFUNCTION("""COMPUTED_VALUE"""),"2100600-01-1912")</f>
        <v>2100600-01-1912</v>
      </c>
      <c r="U345" t="str">
        <f>IFERROR(__xludf.DUMMYFUNCTION("""COMPUTED_VALUE"""),"AD2127564")</f>
        <v>AD2127564</v>
      </c>
      <c r="V345" s="148">
        <f>IFERROR(__xludf.DUMMYFUNCTION("""COMPUTED_VALUE"""),45743.0)</f>
        <v>45743</v>
      </c>
      <c r="W345" s="148">
        <f>IFERROR(__xludf.DUMMYFUNCTION("""COMPUTED_VALUE"""),49394.0)</f>
        <v>49394</v>
      </c>
      <c r="X345" s="149">
        <f>IFERROR(__xludf.DUMMYFUNCTION("""COMPUTED_VALUE"""),49213.0)</f>
        <v>49213</v>
      </c>
      <c r="Y345" t="str">
        <f>IFERROR(__xludf.DUMMYFUNCTION("""COMPUTED_VALUE"""),"ปลอดภัย")</f>
        <v>ปลอดภัย</v>
      </c>
      <c r="Z345" t="str">
        <f>IFERROR(__xludf.DUMMYFUNCTION("""COMPUTED_VALUE"""),"Bangkok")</f>
        <v>Bangkok</v>
      </c>
      <c r="AA345" t="str">
        <f>IFERROR(__xludf.DUMMYFUNCTION("""COMPUTED_VALUE"""),"Bangkhaen")</f>
        <v>Bangkhaen</v>
      </c>
      <c r="AB345" t="str">
        <f>IFERROR(__xludf.DUMMYFUNCTION("""COMPUTED_VALUE"""),"083 052 2211")</f>
        <v>083 052 2211</v>
      </c>
      <c r="AC345" t="str">
        <f>IFERROR(__xludf.DUMMYFUNCTION("""COMPUTED_VALUE"""),"Father")</f>
        <v>Father</v>
      </c>
      <c r="AD345" t="str">
        <f>IFERROR(__xludf.DUMMYFUNCTION("""COMPUTED_VALUE"""),"thanawatr@airasia.com")</f>
        <v>thanawatr@airasia.com</v>
      </c>
    </row>
    <row r="346">
      <c r="A346" s="142">
        <f>IFERROR(__xludf.DUMMYFUNCTION("""COMPUTED_VALUE"""),51.0)</f>
        <v>51</v>
      </c>
      <c r="B346" t="str">
        <f>IFERROR(__xludf.DUMMYFUNCTION("""COMPUTED_VALUE"""),"TAA3930")</f>
        <v>TAA3930</v>
      </c>
      <c r="C346">
        <f>IFERROR(__xludf.DUMMYFUNCTION("""COMPUTED_VALUE"""),1007006.0)</f>
        <v>1007006</v>
      </c>
      <c r="D346" t="str">
        <f>IFERROR(__xludf.DUMMYFUNCTION("""COMPUTED_VALUE"""),"Ms.")</f>
        <v>Ms.</v>
      </c>
      <c r="E346" t="str">
        <f>IFERROR(__xludf.DUMMYFUNCTION("""COMPUTED_VALUE"""),"Wipaporn")</f>
        <v>Wipaporn</v>
      </c>
      <c r="F346" t="str">
        <f>IFERROR(__xludf.DUMMYFUNCTION("""COMPUTED_VALUE"""),"Prasertsom")</f>
        <v>Prasertsom</v>
      </c>
      <c r="G346" t="str">
        <f>IFERROR(__xludf.DUMMYFUNCTION("""COMPUTED_VALUE"""),"Wipaporn Prasertsom")</f>
        <v>Wipaporn Prasertsom</v>
      </c>
      <c r="H346" t="str">
        <f>IFERROR(__xludf.DUMMYFUNCTION("""COMPUTED_VALUE"""),"นางสาว")</f>
        <v>นางสาว</v>
      </c>
      <c r="I346" t="str">
        <f>IFERROR(__xludf.DUMMYFUNCTION("""COMPUTED_VALUE"""),"วิภาพร")</f>
        <v>วิภาพร</v>
      </c>
      <c r="J346" t="str">
        <f>IFERROR(__xludf.DUMMYFUNCTION("""COMPUTED_VALUE"""),"ประเสริฐสม")</f>
        <v>ประเสริฐสม</v>
      </c>
      <c r="K346" t="str">
        <f>IFERROR(__xludf.DUMMYFUNCTION("""COMPUTED_VALUE"""),"วิภาพร ประเสริฐสม")</f>
        <v>วิภาพร ประเสริฐสม</v>
      </c>
      <c r="L346" t="str">
        <f>IFERROR(__xludf.DUMMYFUNCTION("""COMPUTED_VALUE"""),"พลอย")</f>
        <v>พลอย</v>
      </c>
      <c r="M346" t="str">
        <f>IFERROR(__xludf.DUMMYFUNCTION("""COMPUTED_VALUE"""),"Cabin Crew")</f>
        <v>Cabin Crew</v>
      </c>
      <c r="N346" t="str">
        <f>IFERROR(__xludf.DUMMYFUNCTION("""COMPUTED_VALUE"""),"DMK")</f>
        <v>DMK</v>
      </c>
      <c r="O346" s="145" t="str">
        <f>IFERROR(__xludf.DUMMYFUNCTION("""COMPUTED_VALUE"""),"Toffy Home")</f>
        <v>Toffy Home</v>
      </c>
      <c r="P346" t="str">
        <f>IFERROR(__xludf.DUMMYFUNCTION("""COMPUTED_VALUE"""),"Active")</f>
        <v>Active</v>
      </c>
      <c r="R346" s="143">
        <f>IFERROR(__xludf.DUMMYFUNCTION("""COMPUTED_VALUE"""),31844.0)</f>
        <v>31844</v>
      </c>
      <c r="S346" s="146" t="str">
        <f>IFERROR(__xludf.DUMMYFUNCTION("""COMPUTED_VALUE"""),"081 344 5811")</f>
        <v>081 344 5811</v>
      </c>
      <c r="T346" s="147" t="str">
        <f>IFERROR(__xludf.DUMMYFUNCTION("""COMPUTED_VALUE"""),"1100400-25-6191")</f>
        <v>1100400-25-6191</v>
      </c>
      <c r="U346" t="str">
        <f>IFERROR(__xludf.DUMMYFUNCTION("""COMPUTED_VALUE"""),"AC6112348")</f>
        <v>AC6112348</v>
      </c>
      <c r="V346" s="148">
        <f>IFERROR(__xludf.DUMMYFUNCTION("""COMPUTED_VALUE"""),45278.0)</f>
        <v>45278</v>
      </c>
      <c r="W346" s="148">
        <f>IFERROR(__xludf.DUMMYFUNCTION("""COMPUTED_VALUE"""),48930.0)</f>
        <v>48930</v>
      </c>
      <c r="X346" s="149">
        <f>IFERROR(__xludf.DUMMYFUNCTION("""COMPUTED_VALUE"""),48747.0)</f>
        <v>48747</v>
      </c>
      <c r="Y346" t="str">
        <f>IFERROR(__xludf.DUMMYFUNCTION("""COMPUTED_VALUE"""),"ปลอดภัย")</f>
        <v>ปลอดภัย</v>
      </c>
      <c r="Z346" t="str">
        <f>IFERROR(__xludf.DUMMYFUNCTION("""COMPUTED_VALUE"""),"Bangkok")</f>
        <v>Bangkok</v>
      </c>
      <c r="AA346" t="str">
        <f>IFERROR(__xludf.DUMMYFUNCTION("""COMPUTED_VALUE"""),"Taling Chan")</f>
        <v>Taling Chan</v>
      </c>
      <c r="AB346" t="str">
        <f>IFERROR(__xludf.DUMMYFUNCTION("""COMPUTED_VALUE"""),"02 911 1541 / 087 877 7204")</f>
        <v>02 911 1541 / 087 877 7204</v>
      </c>
      <c r="AC346" t="str">
        <f>IFERROR(__xludf.DUMMYFUNCTION("""COMPUTED_VALUE"""),"Home / Brother")</f>
        <v>Home / Brother</v>
      </c>
      <c r="AD346" t="str">
        <f>IFERROR(__xludf.DUMMYFUNCTION("""COMPUTED_VALUE"""),"wipapornp@airasia.com")</f>
        <v>wipapornp@airasia.com</v>
      </c>
    </row>
    <row r="347">
      <c r="AD347" t="str">
        <f>IFERROR(__xludf.DUMMYFUNCTION("""COMPUTED_VALUE"""),"")</f>
        <v/>
      </c>
    </row>
    <row r="348">
      <c r="A348" s="142">
        <f>IFERROR(__xludf.DUMMYFUNCTION("""COMPUTED_VALUE"""),52.0)</f>
        <v>52</v>
      </c>
      <c r="B348" t="str">
        <f>IFERROR(__xludf.DUMMYFUNCTION("""COMPUTED_VALUE"""),"TAA3968")</f>
        <v>TAA3968</v>
      </c>
      <c r="C348">
        <f>IFERROR(__xludf.DUMMYFUNCTION("""COMPUTED_VALUE"""),1007007.0)</f>
        <v>1007007</v>
      </c>
      <c r="D348" t="str">
        <f>IFERROR(__xludf.DUMMYFUNCTION("""COMPUTED_VALUE"""),"Mr.")</f>
        <v>Mr.</v>
      </c>
      <c r="E348" t="str">
        <f>IFERROR(__xludf.DUMMYFUNCTION("""COMPUTED_VALUE"""),"Aram")</f>
        <v>Aram</v>
      </c>
      <c r="F348" t="str">
        <f>IFERROR(__xludf.DUMMYFUNCTION("""COMPUTED_VALUE"""),"Nukulpakdee")</f>
        <v>Nukulpakdee</v>
      </c>
      <c r="G348" t="str">
        <f>IFERROR(__xludf.DUMMYFUNCTION("""COMPUTED_VALUE"""),"Aram Nukulpakdee")</f>
        <v>Aram Nukulpakdee</v>
      </c>
      <c r="H348" t="str">
        <f>IFERROR(__xludf.DUMMYFUNCTION("""COMPUTED_VALUE"""),"นาย")</f>
        <v>นาย</v>
      </c>
      <c r="I348" t="str">
        <f>IFERROR(__xludf.DUMMYFUNCTION("""COMPUTED_VALUE"""),"อารัมภ์")</f>
        <v>อารัมภ์</v>
      </c>
      <c r="J348" t="str">
        <f>IFERROR(__xludf.DUMMYFUNCTION("""COMPUTED_VALUE"""),"นุกูลภักดี")</f>
        <v>นุกูลภักดี</v>
      </c>
      <c r="K348" t="str">
        <f>IFERROR(__xludf.DUMMYFUNCTION("""COMPUTED_VALUE"""),"อารัมภ์ นุกูลภักดี")</f>
        <v>อารัมภ์ นุกูลภักดี</v>
      </c>
      <c r="L348" t="str">
        <f>IFERROR(__xludf.DUMMYFUNCTION("""COMPUTED_VALUE"""),"อาร์ม")</f>
        <v>อาร์ม</v>
      </c>
      <c r="M348" t="str">
        <f>IFERROR(__xludf.DUMMYFUNCTION("""COMPUTED_VALUE"""),"Cabin Crew - CNX")</f>
        <v>Cabin Crew - CNX</v>
      </c>
      <c r="N348" t="str">
        <f>IFERROR(__xludf.DUMMYFUNCTION("""COMPUTED_VALUE"""),"CNX")</f>
        <v>CNX</v>
      </c>
      <c r="O348" s="145" t="str">
        <f>IFERROR(__xludf.DUMMYFUNCTION("""COMPUTED_VALUE"""),"Up Home")</f>
        <v>Up Home</v>
      </c>
      <c r="P348" t="str">
        <f>IFERROR(__xludf.DUMMYFUNCTION("""COMPUTED_VALUE"""),"Active")</f>
        <v>Active</v>
      </c>
      <c r="R348" s="143">
        <f>IFERROR(__xludf.DUMMYFUNCTION("""COMPUTED_VALUE"""),31722.0)</f>
        <v>31722</v>
      </c>
      <c r="S348" s="146" t="str">
        <f>IFERROR(__xludf.DUMMYFUNCTION("""COMPUTED_VALUE"""),"084 141 5556")</f>
        <v>084 141 5556</v>
      </c>
      <c r="T348" s="147" t="str">
        <f>IFERROR(__xludf.DUMMYFUNCTION("""COMPUTED_VALUE"""),"1609900-03-0799")</f>
        <v>1609900-03-0799</v>
      </c>
      <c r="U348" t="str">
        <f>IFERROR(__xludf.DUMMYFUNCTION("""COMPUTED_VALUE"""),"AC4199890")</f>
        <v>AC4199890</v>
      </c>
      <c r="V348" s="148">
        <f>IFERROR(__xludf.DUMMYFUNCTION("""COMPUTED_VALUE"""),44882.0)</f>
        <v>44882</v>
      </c>
      <c r="W348" s="148">
        <f>IFERROR(__xludf.DUMMYFUNCTION("""COMPUTED_VALUE"""),46707.0)</f>
        <v>46707</v>
      </c>
      <c r="X348" s="149">
        <f>IFERROR(__xludf.DUMMYFUNCTION("""COMPUTED_VALUE"""),46523.0)</f>
        <v>46523</v>
      </c>
      <c r="Y348" t="str">
        <f>IFERROR(__xludf.DUMMYFUNCTION("""COMPUTED_VALUE"""),"ปลอดภัย")</f>
        <v>ปลอดภัย</v>
      </c>
      <c r="Z348" t="str">
        <f>IFERROR(__xludf.DUMMYFUNCTION("""COMPUTED_VALUE"""),"Nakhon Sawan Province")</f>
        <v>Nakhon Sawan Province</v>
      </c>
      <c r="AA348" t="str">
        <f>IFERROR(__xludf.DUMMYFUNCTION("""COMPUTED_VALUE"""),"Ratchadevi")</f>
        <v>Ratchadevi</v>
      </c>
      <c r="AB348" t="str">
        <f>IFERROR(__xludf.DUMMYFUNCTION("""COMPUTED_VALUE"""),"085 095 9905")</f>
        <v>085 095 9905</v>
      </c>
      <c r="AC348" t="str">
        <f>IFERROR(__xludf.DUMMYFUNCTION("""COMPUTED_VALUE"""),"Friend")</f>
        <v>Friend</v>
      </c>
      <c r="AD348" t="str">
        <f>IFERROR(__xludf.DUMMYFUNCTION("""COMPUTED_VALUE"""),"aramn@airasia.com")</f>
        <v>aramn@airasia.com</v>
      </c>
    </row>
    <row r="349">
      <c r="A349" s="142">
        <f>IFERROR(__xludf.DUMMYFUNCTION("""COMPUTED_VALUE"""),52.0)</f>
        <v>52</v>
      </c>
      <c r="B349" t="str">
        <f>IFERROR(__xludf.DUMMYFUNCTION("""COMPUTED_VALUE"""),"TAA3975")</f>
        <v>TAA3975</v>
      </c>
      <c r="C349">
        <f>IFERROR(__xludf.DUMMYFUNCTION("""COMPUTED_VALUE"""),1007008.0)</f>
        <v>1007008</v>
      </c>
      <c r="D349" t="str">
        <f>IFERROR(__xludf.DUMMYFUNCTION("""COMPUTED_VALUE"""),"Ms.")</f>
        <v>Ms.</v>
      </c>
      <c r="E349" t="str">
        <f>IFERROR(__xludf.DUMMYFUNCTION("""COMPUTED_VALUE"""),"Aroonrat")</f>
        <v>Aroonrat</v>
      </c>
      <c r="F349" t="str">
        <f>IFERROR(__xludf.DUMMYFUNCTION("""COMPUTED_VALUE"""),"Limpawattanasuk")</f>
        <v>Limpawattanasuk</v>
      </c>
      <c r="G349" t="str">
        <f>IFERROR(__xludf.DUMMYFUNCTION("""COMPUTED_VALUE"""),"Aroonrat Limpawattanasuk")</f>
        <v>Aroonrat Limpawattanasuk</v>
      </c>
      <c r="H349" t="str">
        <f>IFERROR(__xludf.DUMMYFUNCTION("""COMPUTED_VALUE"""),"นางสาว")</f>
        <v>นางสาว</v>
      </c>
      <c r="I349" t="str">
        <f>IFERROR(__xludf.DUMMYFUNCTION("""COMPUTED_VALUE"""),"อรุณรัตน์")</f>
        <v>อรุณรัตน์</v>
      </c>
      <c r="J349" t="str">
        <f>IFERROR(__xludf.DUMMYFUNCTION("""COMPUTED_VALUE"""),"ลิมปวัฒนสุข")</f>
        <v>ลิมปวัฒนสุข</v>
      </c>
      <c r="K349" t="str">
        <f>IFERROR(__xludf.DUMMYFUNCTION("""COMPUTED_VALUE"""),"อรุณรัตน์ ลิมปวัฒนสุข")</f>
        <v>อรุณรัตน์ ลิมปวัฒนสุข</v>
      </c>
      <c r="L349" t="str">
        <f>IFERROR(__xludf.DUMMYFUNCTION("""COMPUTED_VALUE"""),"Belle")</f>
        <v>Belle</v>
      </c>
      <c r="M349" t="str">
        <f>IFERROR(__xludf.DUMMYFUNCTION("""COMPUTED_VALUE"""),"Senior Cabin Crew")</f>
        <v>Senior Cabin Crew</v>
      </c>
      <c r="N349" t="str">
        <f>IFERROR(__xludf.DUMMYFUNCTION("""COMPUTED_VALUE"""),"DMK")</f>
        <v>DMK</v>
      </c>
      <c r="O349" s="145" t="str">
        <f>IFERROR(__xludf.DUMMYFUNCTION("""COMPUTED_VALUE"""),"Um Home")</f>
        <v>Um Home</v>
      </c>
      <c r="P349" t="str">
        <f>IFERROR(__xludf.DUMMYFUNCTION("""COMPUTED_VALUE"""),"Active")</f>
        <v>Active</v>
      </c>
      <c r="Q349" t="str">
        <f>IFERROR(__xludf.DUMMYFUNCTION("""COMPUTED_VALUE"""),"SCC Line Checker 2025")</f>
        <v>SCC Line Checker 2025</v>
      </c>
      <c r="R349" s="143">
        <f>IFERROR(__xludf.DUMMYFUNCTION("""COMPUTED_VALUE"""),30677.0)</f>
        <v>30677</v>
      </c>
      <c r="S349" s="146" t="str">
        <f>IFERROR(__xludf.DUMMYFUNCTION("""COMPUTED_VALUE"""),"088 964 9164")</f>
        <v>088 964 9164</v>
      </c>
      <c r="T349" s="147" t="str">
        <f>IFERROR(__xludf.DUMMYFUNCTION("""COMPUTED_VALUE"""),"1100400-00-4175")</f>
        <v>1100400-00-4175</v>
      </c>
      <c r="U349" t="str">
        <f>IFERROR(__xludf.DUMMYFUNCTION("""COMPUTED_VALUE"""),"AC7918274")</f>
        <v>AC7918274</v>
      </c>
      <c r="V349" s="148">
        <f>IFERROR(__xludf.DUMMYFUNCTION("""COMPUTED_VALUE"""),45663.0)</f>
        <v>45663</v>
      </c>
      <c r="W349" s="148">
        <f>IFERROR(__xludf.DUMMYFUNCTION("""COMPUTED_VALUE"""),49314.0)</f>
        <v>49314</v>
      </c>
      <c r="X349" s="149">
        <f>IFERROR(__xludf.DUMMYFUNCTION("""COMPUTED_VALUE"""),49130.0)</f>
        <v>49130</v>
      </c>
      <c r="Y349" t="str">
        <f>IFERROR(__xludf.DUMMYFUNCTION("""COMPUTED_VALUE"""),"ปลอดภัย")</f>
        <v>ปลอดภัย</v>
      </c>
      <c r="Z349" t="str">
        <f>IFERROR(__xludf.DUMMYFUNCTION("""COMPUTED_VALUE"""),"Bangkok")</f>
        <v>Bangkok</v>
      </c>
      <c r="AA349" t="str">
        <f>IFERROR(__xludf.DUMMYFUNCTION("""COMPUTED_VALUE"""),"Bangkhunthen")</f>
        <v>Bangkhunthen</v>
      </c>
      <c r="AB349" t="str">
        <f>IFERROR(__xludf.DUMMYFUNCTION("""COMPUTED_VALUE"""),"02 416 6401 4 / 089 201 5201")</f>
        <v>02 416 6401 4 / 089 201 5201</v>
      </c>
      <c r="AC349" t="str">
        <f>IFERROR(__xludf.DUMMYFUNCTION("""COMPUTED_VALUE"""),"Home / Mother")</f>
        <v>Home / Mother</v>
      </c>
      <c r="AD349" t="str">
        <f>IFERROR(__xludf.DUMMYFUNCTION("""COMPUTED_VALUE"""),"aroonratl@airasia.com")</f>
        <v>aroonratl@airasia.com</v>
      </c>
    </row>
    <row r="350">
      <c r="A350" s="142">
        <f>IFERROR(__xludf.DUMMYFUNCTION("""COMPUTED_VALUE"""),52.0)</f>
        <v>52</v>
      </c>
      <c r="B350" t="str">
        <f>IFERROR(__xludf.DUMMYFUNCTION("""COMPUTED_VALUE"""),"TAA3970")</f>
        <v>TAA3970</v>
      </c>
      <c r="C350">
        <f>IFERROR(__xludf.DUMMYFUNCTION("""COMPUTED_VALUE"""),1007009.0)</f>
        <v>1007009</v>
      </c>
      <c r="D350" t="str">
        <f>IFERROR(__xludf.DUMMYFUNCTION("""COMPUTED_VALUE"""),"Ms.")</f>
        <v>Ms.</v>
      </c>
      <c r="E350" t="str">
        <f>IFERROR(__xludf.DUMMYFUNCTION("""COMPUTED_VALUE"""),"Busayarat")</f>
        <v>Busayarat</v>
      </c>
      <c r="F350" t="str">
        <f>IFERROR(__xludf.DUMMYFUNCTION("""COMPUTED_VALUE"""),"Pongratanakul")</f>
        <v>Pongratanakul</v>
      </c>
      <c r="G350" t="str">
        <f>IFERROR(__xludf.DUMMYFUNCTION("""COMPUTED_VALUE"""),"Busayarat Pongratanakul")</f>
        <v>Busayarat Pongratanakul</v>
      </c>
      <c r="H350" t="str">
        <f>IFERROR(__xludf.DUMMYFUNCTION("""COMPUTED_VALUE"""),"นางสาว")</f>
        <v>นางสาว</v>
      </c>
      <c r="I350" t="str">
        <f>IFERROR(__xludf.DUMMYFUNCTION("""COMPUTED_VALUE"""),"บุษยรัตน์")</f>
        <v>บุษยรัตน์</v>
      </c>
      <c r="J350" t="str">
        <f>IFERROR(__xludf.DUMMYFUNCTION("""COMPUTED_VALUE"""),"พงษ์รัตนกูล")</f>
        <v>พงษ์รัตนกูล</v>
      </c>
      <c r="K350" t="str">
        <f>IFERROR(__xludf.DUMMYFUNCTION("""COMPUTED_VALUE"""),"บุษยรัตน์ พงษ์รัตนกูล")</f>
        <v>บุษยรัตน์ พงษ์รัตนกูล</v>
      </c>
      <c r="L350" t="str">
        <f>IFERROR(__xludf.DUMMYFUNCTION("""COMPUTED_VALUE"""),"บุ๊ค")</f>
        <v>บุ๊ค</v>
      </c>
      <c r="M350" t="str">
        <f>IFERROR(__xludf.DUMMYFUNCTION("""COMPUTED_VALUE"""),"Cabin Crew")</f>
        <v>Cabin Crew</v>
      </c>
      <c r="N350" t="str">
        <f>IFERROR(__xludf.DUMMYFUNCTION("""COMPUTED_VALUE"""),"DMK")</f>
        <v>DMK</v>
      </c>
      <c r="O350" s="145" t="str">
        <f>IFERROR(__xludf.DUMMYFUNCTION("""COMPUTED_VALUE"""),"Up Home")</f>
        <v>Up Home</v>
      </c>
      <c r="P350" t="str">
        <f>IFERROR(__xludf.DUMMYFUNCTION("""COMPUTED_VALUE"""),"Active")</f>
        <v>Active</v>
      </c>
      <c r="R350" s="143">
        <f>IFERROR(__xludf.DUMMYFUNCTION("""COMPUTED_VALUE"""),31644.0)</f>
        <v>31644</v>
      </c>
      <c r="S350" s="146" t="str">
        <f>IFERROR(__xludf.DUMMYFUNCTION("""COMPUTED_VALUE"""),"086 575 3138")</f>
        <v>086 575 3138</v>
      </c>
      <c r="T350" s="147" t="str">
        <f>IFERROR(__xludf.DUMMYFUNCTION("""COMPUTED_VALUE"""),"1769900-11-1712")</f>
        <v>1769900-11-1712</v>
      </c>
      <c r="U350" t="str">
        <f>IFERROR(__xludf.DUMMYFUNCTION("""COMPUTED_VALUE"""),"AC2380797")</f>
        <v>AC2380797</v>
      </c>
      <c r="V350" s="148">
        <f>IFERROR(__xludf.DUMMYFUNCTION("""COMPUTED_VALUE"""),44412.0)</f>
        <v>44412</v>
      </c>
      <c r="W350" s="148">
        <f>IFERROR(__xludf.DUMMYFUNCTION("""COMPUTED_VALUE"""),48063.0)</f>
        <v>48063</v>
      </c>
      <c r="X350" s="149">
        <f>IFERROR(__xludf.DUMMYFUNCTION("""COMPUTED_VALUE"""),47882.0)</f>
        <v>47882</v>
      </c>
      <c r="Y350" t="str">
        <f>IFERROR(__xludf.DUMMYFUNCTION("""COMPUTED_VALUE"""),"ปลอดภัย")</f>
        <v>ปลอดภัย</v>
      </c>
      <c r="Z350" t="str">
        <f>IFERROR(__xludf.DUMMYFUNCTION("""COMPUTED_VALUE"""),"Phetchaburi Province")</f>
        <v>Phetchaburi Province</v>
      </c>
      <c r="AA350" t="str">
        <f>IFERROR(__xludf.DUMMYFUNCTION("""COMPUTED_VALUE"""),"Klongsan")</f>
        <v>Klongsan</v>
      </c>
      <c r="AB350" t="str">
        <f>IFERROR(__xludf.DUMMYFUNCTION("""COMPUTED_VALUE"""),"02 862 5378 / 081 840 5939")</f>
        <v>02 862 5378 / 081 840 5939</v>
      </c>
      <c r="AC350" t="str">
        <f>IFERROR(__xludf.DUMMYFUNCTION("""COMPUTED_VALUE"""),"Home / Father")</f>
        <v>Home / Father</v>
      </c>
      <c r="AD350" t="str">
        <f>IFERROR(__xludf.DUMMYFUNCTION("""COMPUTED_VALUE"""),"busayaratp@airasia.com")</f>
        <v>busayaratp@airasia.com</v>
      </c>
    </row>
    <row r="351">
      <c r="A351" s="142">
        <f>IFERROR(__xludf.DUMMYFUNCTION("""COMPUTED_VALUE"""),52.0)</f>
        <v>52</v>
      </c>
      <c r="B351" t="str">
        <f>IFERROR(__xludf.DUMMYFUNCTION("""COMPUTED_VALUE"""),"TAA3953")</f>
        <v>TAA3953</v>
      </c>
      <c r="C351">
        <f>IFERROR(__xludf.DUMMYFUNCTION("""COMPUTED_VALUE"""),1007010.0)</f>
        <v>1007010</v>
      </c>
      <c r="D351" t="str">
        <f>IFERROR(__xludf.DUMMYFUNCTION("""COMPUTED_VALUE"""),"Ms.")</f>
        <v>Ms.</v>
      </c>
      <c r="E351" t="str">
        <f>IFERROR(__xludf.DUMMYFUNCTION("""COMPUTED_VALUE"""),"Jadesadaporn")</f>
        <v>Jadesadaporn</v>
      </c>
      <c r="F351" t="str">
        <f>IFERROR(__xludf.DUMMYFUNCTION("""COMPUTED_VALUE"""),"Rungcharoen")</f>
        <v>Rungcharoen</v>
      </c>
      <c r="G351" t="str">
        <f>IFERROR(__xludf.DUMMYFUNCTION("""COMPUTED_VALUE"""),"Jadesadaporn Rungcharoen")</f>
        <v>Jadesadaporn Rungcharoen</v>
      </c>
      <c r="H351" t="str">
        <f>IFERROR(__xludf.DUMMYFUNCTION("""COMPUTED_VALUE"""),"นางสาว")</f>
        <v>นางสาว</v>
      </c>
      <c r="I351" t="str">
        <f>IFERROR(__xludf.DUMMYFUNCTION("""COMPUTED_VALUE"""),"เจษฎาภรณ์")</f>
        <v>เจษฎาภรณ์</v>
      </c>
      <c r="J351" t="str">
        <f>IFERROR(__xludf.DUMMYFUNCTION("""COMPUTED_VALUE"""),"รุ่งเจริญ")</f>
        <v>รุ่งเจริญ</v>
      </c>
      <c r="K351" t="str">
        <f>IFERROR(__xludf.DUMMYFUNCTION("""COMPUTED_VALUE"""),"เจษฎาภรณ์ รุ่งเจริญ")</f>
        <v>เจษฎาภรณ์ รุ่งเจริญ</v>
      </c>
      <c r="L351" t="str">
        <f>IFERROR(__xludf.DUMMYFUNCTION("""COMPUTED_VALUE"""),"เจษ")</f>
        <v>เจษ</v>
      </c>
      <c r="M351" t="str">
        <f>IFERROR(__xludf.DUMMYFUNCTION("""COMPUTED_VALUE"""),"Senior Cabin Crew - CNX")</f>
        <v>Senior Cabin Crew - CNX</v>
      </c>
      <c r="N351" t="str">
        <f>IFERROR(__xludf.DUMMYFUNCTION("""COMPUTED_VALUE"""),"CNX")</f>
        <v>CNX</v>
      </c>
      <c r="O351" s="145" t="str">
        <f>IFERROR(__xludf.DUMMYFUNCTION("""COMPUTED_VALUE"""),"Up Home")</f>
        <v>Up Home</v>
      </c>
      <c r="P351" t="str">
        <f>IFERROR(__xludf.DUMMYFUNCTION("""COMPUTED_VALUE"""),"Active")</f>
        <v>Active</v>
      </c>
      <c r="R351" s="143">
        <f>IFERROR(__xludf.DUMMYFUNCTION("""COMPUTED_VALUE"""),31160.0)</f>
        <v>31160</v>
      </c>
      <c r="S351" s="146" t="str">
        <f>IFERROR(__xludf.DUMMYFUNCTION("""COMPUTED_VALUE"""),"063-582-9955")</f>
        <v>063-582-9955</v>
      </c>
      <c r="T351" s="147" t="str">
        <f>IFERROR(__xludf.DUMMYFUNCTION("""COMPUTED_VALUE"""),"1570700-03-1603")</f>
        <v>1570700-03-1603</v>
      </c>
      <c r="U351" t="str">
        <f>IFERROR(__xludf.DUMMYFUNCTION("""COMPUTED_VALUE"""),"AC5703322")</f>
        <v>AC5703322</v>
      </c>
      <c r="V351" s="148">
        <f>IFERROR(__xludf.DUMMYFUNCTION("""COMPUTED_VALUE"""),45182.0)</f>
        <v>45182</v>
      </c>
      <c r="W351" s="148">
        <f>IFERROR(__xludf.DUMMYFUNCTION("""COMPUTED_VALUE"""),48834.0)</f>
        <v>48834</v>
      </c>
      <c r="X351" s="149">
        <f>IFERROR(__xludf.DUMMYFUNCTION("""COMPUTED_VALUE"""),48650.0)</f>
        <v>48650</v>
      </c>
      <c r="Y351" t="str">
        <f>IFERROR(__xludf.DUMMYFUNCTION("""COMPUTED_VALUE"""),"ปลอดภัย")</f>
        <v>ปลอดภัย</v>
      </c>
      <c r="Z351" t="str">
        <f>IFERROR(__xludf.DUMMYFUNCTION("""COMPUTED_VALUE"""),"Chiang Rai Province")</f>
        <v>Chiang Rai Province</v>
      </c>
      <c r="AA351" t="str">
        <f>IFERROR(__xludf.DUMMYFUNCTION("""COMPUTED_VALUE"""),"Bangkapi")</f>
        <v>Bangkapi</v>
      </c>
      <c r="AB351" t="str">
        <f>IFERROR(__xludf.DUMMYFUNCTION("""COMPUTED_VALUE"""),"02 375 4100 / 081 614 1300")</f>
        <v>02 375 4100 / 081 614 1300</v>
      </c>
      <c r="AC351" t="str">
        <f>IFERROR(__xludf.DUMMYFUNCTION("""COMPUTED_VALUE"""),"Home / Mother")</f>
        <v>Home / Mother</v>
      </c>
      <c r="AD351" t="str">
        <f>IFERROR(__xludf.DUMMYFUNCTION("""COMPUTED_VALUE"""),"jadesadapornr@airasia.com")</f>
        <v>jadesadapornr@airasia.com</v>
      </c>
    </row>
    <row r="352">
      <c r="A352" s="142">
        <f>IFERROR(__xludf.DUMMYFUNCTION("""COMPUTED_VALUE"""),52.0)</f>
        <v>52</v>
      </c>
      <c r="B352" t="str">
        <f>IFERROR(__xludf.DUMMYFUNCTION("""COMPUTED_VALUE"""),"TAA3962")</f>
        <v>TAA3962</v>
      </c>
      <c r="C352">
        <f>IFERROR(__xludf.DUMMYFUNCTION("""COMPUTED_VALUE"""),1007011.0)</f>
        <v>1007011</v>
      </c>
      <c r="D352" t="str">
        <f>IFERROR(__xludf.DUMMYFUNCTION("""COMPUTED_VALUE"""),"Ms.")</f>
        <v>Ms.</v>
      </c>
      <c r="E352" t="str">
        <f>IFERROR(__xludf.DUMMYFUNCTION("""COMPUTED_VALUE"""),"Jeeraprapa")</f>
        <v>Jeeraprapa</v>
      </c>
      <c r="F352" t="str">
        <f>IFERROR(__xludf.DUMMYFUNCTION("""COMPUTED_VALUE"""),"Tuptimdang")</f>
        <v>Tuptimdang</v>
      </c>
      <c r="G352" t="str">
        <f>IFERROR(__xludf.DUMMYFUNCTION("""COMPUTED_VALUE"""),"Jeeraprapa Tuptimdang")</f>
        <v>Jeeraprapa Tuptimdang</v>
      </c>
      <c r="H352" t="str">
        <f>IFERROR(__xludf.DUMMYFUNCTION("""COMPUTED_VALUE"""),"นางสาว")</f>
        <v>นางสาว</v>
      </c>
      <c r="I352" t="str">
        <f>IFERROR(__xludf.DUMMYFUNCTION("""COMPUTED_VALUE"""),"จีรประภา")</f>
        <v>จีรประภา</v>
      </c>
      <c r="J352" t="str">
        <f>IFERROR(__xludf.DUMMYFUNCTION("""COMPUTED_VALUE"""),"ทับทิมแดง")</f>
        <v>ทับทิมแดง</v>
      </c>
      <c r="K352" t="str">
        <f>IFERROR(__xludf.DUMMYFUNCTION("""COMPUTED_VALUE"""),"จีรประภา ทับทิมแดง")</f>
        <v>จีรประภา ทับทิมแดง</v>
      </c>
      <c r="L352" t="str">
        <f>IFERROR(__xludf.DUMMYFUNCTION("""COMPUTED_VALUE"""),"Kae")</f>
        <v>Kae</v>
      </c>
      <c r="M352" t="str">
        <f>IFERROR(__xludf.DUMMYFUNCTION("""COMPUTED_VALUE"""),"Cabin Crew")</f>
        <v>Cabin Crew</v>
      </c>
      <c r="N352" t="str">
        <f>IFERROR(__xludf.DUMMYFUNCTION("""COMPUTED_VALUE"""),"DMK")</f>
        <v>DMK</v>
      </c>
      <c r="O352" s="145" t="str">
        <f>IFERROR(__xludf.DUMMYFUNCTION("""COMPUTED_VALUE"""),"Por+ Home")</f>
        <v>Por+ Home</v>
      </c>
      <c r="P352" t="str">
        <f>IFERROR(__xludf.DUMMYFUNCTION("""COMPUTED_VALUE"""),"Active")</f>
        <v>Active</v>
      </c>
      <c r="R352" s="143">
        <f>IFERROR(__xludf.DUMMYFUNCTION("""COMPUTED_VALUE"""),32675.0)</f>
        <v>32675</v>
      </c>
      <c r="S352" s="146" t="str">
        <f>IFERROR(__xludf.DUMMYFUNCTION("""COMPUTED_VALUE"""),"083 629 4454")</f>
        <v>083 629 4454</v>
      </c>
      <c r="T352" s="147" t="str">
        <f>IFERROR(__xludf.DUMMYFUNCTION("""COMPUTED_VALUE"""),"1100400-39-8262")</f>
        <v>1100400-39-8262</v>
      </c>
      <c r="U352" t="str">
        <f>IFERROR(__xludf.DUMMYFUNCTION("""COMPUTED_VALUE"""),"AC2248096")</f>
        <v>AC2248096</v>
      </c>
      <c r="V352" s="148">
        <f>IFERROR(__xludf.DUMMYFUNCTION("""COMPUTED_VALUE"""),44305.0)</f>
        <v>44305</v>
      </c>
      <c r="W352" s="148">
        <f>IFERROR(__xludf.DUMMYFUNCTION("""COMPUTED_VALUE"""),47956.0)</f>
        <v>47956</v>
      </c>
      <c r="X352" s="149">
        <f>IFERROR(__xludf.DUMMYFUNCTION("""COMPUTED_VALUE"""),47774.0)</f>
        <v>47774</v>
      </c>
      <c r="Y352" t="str">
        <f>IFERROR(__xludf.DUMMYFUNCTION("""COMPUTED_VALUE"""),"ปลอดภัย")</f>
        <v>ปลอดภัย</v>
      </c>
      <c r="Z352" t="str">
        <f>IFERROR(__xludf.DUMMYFUNCTION("""COMPUTED_VALUE"""),"Bangkok")</f>
        <v>Bangkok</v>
      </c>
      <c r="AA352" t="str">
        <f>IFERROR(__xludf.DUMMYFUNCTION("""COMPUTED_VALUE"""),"Bangkok noi")</f>
        <v>Bangkok noi</v>
      </c>
      <c r="AB352" t="str">
        <f>IFERROR(__xludf.DUMMYFUNCTION("""COMPUTED_VALUE"""),"02 412 1874 / 086 325 1402")</f>
        <v>02 412 1874 / 086 325 1402</v>
      </c>
      <c r="AC352" t="str">
        <f>IFERROR(__xludf.DUMMYFUNCTION("""COMPUTED_VALUE"""),"Home / Father")</f>
        <v>Home / Father</v>
      </c>
      <c r="AD352" t="str">
        <f>IFERROR(__xludf.DUMMYFUNCTION("""COMPUTED_VALUE"""),"jeeraprapat@airasia.com")</f>
        <v>jeeraprapat@airasia.com</v>
      </c>
    </row>
    <row r="353">
      <c r="A353" s="142">
        <f>IFERROR(__xludf.DUMMYFUNCTION("""COMPUTED_VALUE"""),52.0)</f>
        <v>52</v>
      </c>
      <c r="B353" t="str">
        <f>IFERROR(__xludf.DUMMYFUNCTION("""COMPUTED_VALUE"""),"TAA3957")</f>
        <v>TAA3957</v>
      </c>
      <c r="C353">
        <f>IFERROR(__xludf.DUMMYFUNCTION("""COMPUTED_VALUE"""),1007012.0)</f>
        <v>1007012</v>
      </c>
      <c r="D353" t="str">
        <f>IFERROR(__xludf.DUMMYFUNCTION("""COMPUTED_VALUE"""),"Ms.")</f>
        <v>Ms.</v>
      </c>
      <c r="E353" t="str">
        <f>IFERROR(__xludf.DUMMYFUNCTION("""COMPUTED_VALUE"""),"Nualpran")</f>
        <v>Nualpran</v>
      </c>
      <c r="F353" t="str">
        <f>IFERROR(__xludf.DUMMYFUNCTION("""COMPUTED_VALUE"""),"Waitayachaiwat")</f>
        <v>Waitayachaiwat</v>
      </c>
      <c r="G353" t="str">
        <f>IFERROR(__xludf.DUMMYFUNCTION("""COMPUTED_VALUE"""),"Nualpran Waitayachaiwat")</f>
        <v>Nualpran Waitayachaiwat</v>
      </c>
      <c r="H353" t="str">
        <f>IFERROR(__xludf.DUMMYFUNCTION("""COMPUTED_VALUE"""),"นางสาว")</f>
        <v>นางสาว</v>
      </c>
      <c r="I353" t="str">
        <f>IFERROR(__xludf.DUMMYFUNCTION("""COMPUTED_VALUE"""),"นวลพรรณ")</f>
        <v>นวลพรรณ</v>
      </c>
      <c r="J353" t="str">
        <f>IFERROR(__xludf.DUMMYFUNCTION("""COMPUTED_VALUE"""),"ไวทยะชัยวัฒน์")</f>
        <v>ไวทยะชัยวัฒน์</v>
      </c>
      <c r="K353" t="str">
        <f>IFERROR(__xludf.DUMMYFUNCTION("""COMPUTED_VALUE"""),"นวลพรรณ ไวทยะชัยวัฒน์")</f>
        <v>นวลพรรณ ไวทยะชัยวัฒน์</v>
      </c>
      <c r="L353" t="str">
        <f>IFERROR(__xludf.DUMMYFUNCTION("""COMPUTED_VALUE"""),"Ploi")</f>
        <v>Ploi</v>
      </c>
      <c r="M353" t="str">
        <f>IFERROR(__xludf.DUMMYFUNCTION("""COMPUTED_VALUE"""),"Senior Cabin Crew")</f>
        <v>Senior Cabin Crew</v>
      </c>
      <c r="N353" t="str">
        <f>IFERROR(__xludf.DUMMYFUNCTION("""COMPUTED_VALUE"""),"DMK")</f>
        <v>DMK</v>
      </c>
      <c r="O353" s="145" t="str">
        <f>IFERROR(__xludf.DUMMYFUNCTION("""COMPUTED_VALUE"""),"Por+ Home")</f>
        <v>Por+ Home</v>
      </c>
      <c r="P353" t="str">
        <f>IFERROR(__xludf.DUMMYFUNCTION("""COMPUTED_VALUE"""),"Active")</f>
        <v>Active</v>
      </c>
      <c r="R353" s="143">
        <f>IFERROR(__xludf.DUMMYFUNCTION("""COMPUTED_VALUE"""),31943.0)</f>
        <v>31943</v>
      </c>
      <c r="S353" s="146" t="str">
        <f>IFERROR(__xludf.DUMMYFUNCTION("""COMPUTED_VALUE"""),"083 014 5261")</f>
        <v>083 014 5261</v>
      </c>
      <c r="T353" s="147" t="str">
        <f>IFERROR(__xludf.DUMMYFUNCTION("""COMPUTED_VALUE"""),"1710600-09-4857")</f>
        <v>1710600-09-4857</v>
      </c>
      <c r="U353" t="str">
        <f>IFERROR(__xludf.DUMMYFUNCTION("""COMPUTED_VALUE"""),"AC6815743")</f>
        <v>AC6815743</v>
      </c>
      <c r="V353" s="148">
        <f>IFERROR(__xludf.DUMMYFUNCTION("""COMPUTED_VALUE"""),45442.0)</f>
        <v>45442</v>
      </c>
      <c r="W353" s="148">
        <f>IFERROR(__xludf.DUMMYFUNCTION("""COMPUTED_VALUE"""),49093.0)</f>
        <v>49093</v>
      </c>
      <c r="X353" s="149">
        <f>IFERROR(__xludf.DUMMYFUNCTION("""COMPUTED_VALUE"""),48912.0)</f>
        <v>48912</v>
      </c>
      <c r="Y353" t="str">
        <f>IFERROR(__xludf.DUMMYFUNCTION("""COMPUTED_VALUE"""),"ปลอดภัย")</f>
        <v>ปลอดภัย</v>
      </c>
      <c r="Z353" t="str">
        <f>IFERROR(__xludf.DUMMYFUNCTION("""COMPUTED_VALUE"""),"Kanchanaburi Province")</f>
        <v>Kanchanaburi Province</v>
      </c>
      <c r="AA353" t="str">
        <f>IFERROR(__xludf.DUMMYFUNCTION("""COMPUTED_VALUE"""),"Bangkhaen")</f>
        <v>Bangkhaen</v>
      </c>
      <c r="AB353" t="str">
        <f>IFERROR(__xludf.DUMMYFUNCTION("""COMPUTED_VALUE"""),"083 295 9149")</f>
        <v>083 295 9149</v>
      </c>
      <c r="AC353" t="str">
        <f>IFERROR(__xludf.DUMMYFUNCTION("""COMPUTED_VALUE"""),"Father")</f>
        <v>Father</v>
      </c>
      <c r="AD353" t="str">
        <f>IFERROR(__xludf.DUMMYFUNCTION("""COMPUTED_VALUE"""),"nualpranw@airasia.com")</f>
        <v>nualpranw@airasia.com</v>
      </c>
    </row>
    <row r="354">
      <c r="A354" s="142">
        <f>IFERROR(__xludf.DUMMYFUNCTION("""COMPUTED_VALUE"""),52.0)</f>
        <v>52</v>
      </c>
      <c r="B354" t="str">
        <f>IFERROR(__xludf.DUMMYFUNCTION("""COMPUTED_VALUE"""),"TAA3972")</f>
        <v>TAA3972</v>
      </c>
      <c r="C354">
        <f>IFERROR(__xludf.DUMMYFUNCTION("""COMPUTED_VALUE"""),1007013.0)</f>
        <v>1007013</v>
      </c>
      <c r="D354" t="str">
        <f>IFERROR(__xludf.DUMMYFUNCTION("""COMPUTED_VALUE"""),"Ms.")</f>
        <v>Ms.</v>
      </c>
      <c r="E354" t="str">
        <f>IFERROR(__xludf.DUMMYFUNCTION("""COMPUTED_VALUE"""),"Pattamaporn")</f>
        <v>Pattamaporn</v>
      </c>
      <c r="F354" t="str">
        <f>IFERROR(__xludf.DUMMYFUNCTION("""COMPUTED_VALUE"""),"Thamasathitporn")</f>
        <v>Thamasathitporn</v>
      </c>
      <c r="G354" t="str">
        <f>IFERROR(__xludf.DUMMYFUNCTION("""COMPUTED_VALUE"""),"Pattamaporn Thamasathitporn")</f>
        <v>Pattamaporn Thamasathitporn</v>
      </c>
      <c r="H354" t="str">
        <f>IFERROR(__xludf.DUMMYFUNCTION("""COMPUTED_VALUE"""),"นางสาว")</f>
        <v>นางสาว</v>
      </c>
      <c r="I354" t="str">
        <f>IFERROR(__xludf.DUMMYFUNCTION("""COMPUTED_VALUE"""),"ปัทมาภรณ์")</f>
        <v>ปัทมาภรณ์</v>
      </c>
      <c r="J354" t="str">
        <f>IFERROR(__xludf.DUMMYFUNCTION("""COMPUTED_VALUE"""),"ธรรมสถิตย์พร")</f>
        <v>ธรรมสถิตย์พร</v>
      </c>
      <c r="K354" t="str">
        <f>IFERROR(__xludf.DUMMYFUNCTION("""COMPUTED_VALUE"""),"ปัทมาภรณ์ ธรรมสถิตย์พร")</f>
        <v>ปัทมาภรณ์ ธรรมสถิตย์พร</v>
      </c>
      <c r="L354" t="str">
        <f>IFERROR(__xludf.DUMMYFUNCTION("""COMPUTED_VALUE"""),"น้ำหนึ่ง")</f>
        <v>น้ำหนึ่ง</v>
      </c>
      <c r="M354" t="str">
        <f>IFERROR(__xludf.DUMMYFUNCTION("""COMPUTED_VALUE"""),"Senior Cabin Crew")</f>
        <v>Senior Cabin Crew</v>
      </c>
      <c r="N354" t="str">
        <f>IFERROR(__xludf.DUMMYFUNCTION("""COMPUTED_VALUE"""),"DMK")</f>
        <v>DMK</v>
      </c>
      <c r="O354" s="145" t="str">
        <f>IFERROR(__xludf.DUMMYFUNCTION("""COMPUTED_VALUE"""),"Toffy Home")</f>
        <v>Toffy Home</v>
      </c>
      <c r="P354" t="str">
        <f>IFERROR(__xludf.DUMMYFUNCTION("""COMPUTED_VALUE"""),"Active")</f>
        <v>Active</v>
      </c>
      <c r="R354" s="143">
        <f>IFERROR(__xludf.DUMMYFUNCTION("""COMPUTED_VALUE"""),32257.0)</f>
        <v>32257</v>
      </c>
      <c r="S354" s="146" t="str">
        <f>IFERROR(__xludf.DUMMYFUNCTION("""COMPUTED_VALUE"""),"094 445 5694")</f>
        <v>094 445 5694</v>
      </c>
      <c r="T354" s="147" t="str">
        <f>IFERROR(__xludf.DUMMYFUNCTION("""COMPUTED_VALUE"""),"1100800-44-3893")</f>
        <v>1100800-44-3893</v>
      </c>
      <c r="U354" t="str">
        <f>IFERROR(__xludf.DUMMYFUNCTION("""COMPUTED_VALUE"""),"AD0089912")</f>
        <v>AD0089912</v>
      </c>
      <c r="V354" s="148">
        <f>IFERROR(__xludf.DUMMYFUNCTION("""COMPUTED_VALUE"""),45199.0)</f>
        <v>45199</v>
      </c>
      <c r="W354" s="148">
        <f>IFERROR(__xludf.DUMMYFUNCTION("""COMPUTED_VALUE"""),48486.0)</f>
        <v>48486</v>
      </c>
      <c r="X354" s="149">
        <f>IFERROR(__xludf.DUMMYFUNCTION("""COMPUTED_VALUE"""),48302.0)</f>
        <v>48302</v>
      </c>
      <c r="Y354" t="str">
        <f>IFERROR(__xludf.DUMMYFUNCTION("""COMPUTED_VALUE"""),"ปลอดภัย")</f>
        <v>ปลอดภัย</v>
      </c>
      <c r="Z354" t="str">
        <f>IFERROR(__xludf.DUMMYFUNCTION("""COMPUTED_VALUE"""),"Bangkok")</f>
        <v>Bangkok</v>
      </c>
      <c r="AA354" t="str">
        <f>IFERROR(__xludf.DUMMYFUNCTION("""COMPUTED_VALUE"""),"Nonthaburi")</f>
        <v>Nonthaburi</v>
      </c>
      <c r="AB354" t="str">
        <f>IFERROR(__xludf.DUMMYFUNCTION("""COMPUTED_VALUE"""),"081 969 3317")</f>
        <v>081 969 3317</v>
      </c>
      <c r="AC354" t="str">
        <f>IFERROR(__xludf.DUMMYFUNCTION("""COMPUTED_VALUE"""),"Father")</f>
        <v>Father</v>
      </c>
      <c r="AD354" t="str">
        <f>IFERROR(__xludf.DUMMYFUNCTION("""COMPUTED_VALUE"""),"pattamapornt@airasia.com")</f>
        <v>pattamapornt@airasia.com</v>
      </c>
    </row>
    <row r="355">
      <c r="A355" s="142">
        <f>IFERROR(__xludf.DUMMYFUNCTION("""COMPUTED_VALUE"""),52.0)</f>
        <v>52</v>
      </c>
      <c r="B355" t="str">
        <f>IFERROR(__xludf.DUMMYFUNCTION("""COMPUTED_VALUE"""),"TAA3966")</f>
        <v>TAA3966</v>
      </c>
      <c r="C355">
        <f>IFERROR(__xludf.DUMMYFUNCTION("""COMPUTED_VALUE"""),1007014.0)</f>
        <v>1007014</v>
      </c>
      <c r="D355" t="str">
        <f>IFERROR(__xludf.DUMMYFUNCTION("""COMPUTED_VALUE"""),"Mr.")</f>
        <v>Mr.</v>
      </c>
      <c r="E355" t="str">
        <f>IFERROR(__xludf.DUMMYFUNCTION("""COMPUTED_VALUE"""),"Piyanut")</f>
        <v>Piyanut</v>
      </c>
      <c r="F355" t="str">
        <f>IFERROR(__xludf.DUMMYFUNCTION("""COMPUTED_VALUE"""),"Nainet")</f>
        <v>Nainet</v>
      </c>
      <c r="G355" t="str">
        <f>IFERROR(__xludf.DUMMYFUNCTION("""COMPUTED_VALUE"""),"Piyanut Nainet")</f>
        <v>Piyanut Nainet</v>
      </c>
      <c r="H355" t="str">
        <f>IFERROR(__xludf.DUMMYFUNCTION("""COMPUTED_VALUE"""),"นาย")</f>
        <v>นาย</v>
      </c>
      <c r="I355" t="str">
        <f>IFERROR(__xludf.DUMMYFUNCTION("""COMPUTED_VALUE"""),"ปิยะณัฐ")</f>
        <v>ปิยะณัฐ</v>
      </c>
      <c r="J355" t="str">
        <f>IFERROR(__xludf.DUMMYFUNCTION("""COMPUTED_VALUE"""),"นัยเนตร")</f>
        <v>นัยเนตร</v>
      </c>
      <c r="K355" t="str">
        <f>IFERROR(__xludf.DUMMYFUNCTION("""COMPUTED_VALUE"""),"ปิยะณัฐ นัยเนตร")</f>
        <v>ปิยะณัฐ นัยเนตร</v>
      </c>
      <c r="L355" t="str">
        <f>IFERROR(__xludf.DUMMYFUNCTION("""COMPUTED_VALUE"""),"Heen")</f>
        <v>Heen</v>
      </c>
      <c r="M355" t="str">
        <f>IFERROR(__xludf.DUMMYFUNCTION("""COMPUTED_VALUE"""),"Senior Cabin Crew")</f>
        <v>Senior Cabin Crew</v>
      </c>
      <c r="N355" t="str">
        <f>IFERROR(__xludf.DUMMYFUNCTION("""COMPUTED_VALUE"""),"DMK")</f>
        <v>DMK</v>
      </c>
      <c r="O355" s="145" t="str">
        <f>IFERROR(__xludf.DUMMYFUNCTION("""COMPUTED_VALUE"""),"Namfon Home")</f>
        <v>Namfon Home</v>
      </c>
      <c r="P355" t="str">
        <f>IFERROR(__xludf.DUMMYFUNCTION("""COMPUTED_VALUE"""),"Active/ORD")</f>
        <v>Active/ORD</v>
      </c>
      <c r="R355" s="143">
        <f>IFERROR(__xludf.DUMMYFUNCTION("""COMPUTED_VALUE"""),32977.0)</f>
        <v>32977</v>
      </c>
      <c r="S355" s="146" t="str">
        <f>IFERROR(__xludf.DUMMYFUNCTION("""COMPUTED_VALUE"""),"081 439 9944")</f>
        <v>081 439 9944</v>
      </c>
      <c r="T355" s="147" t="str">
        <f>IFERROR(__xludf.DUMMYFUNCTION("""COMPUTED_VALUE"""),"1103700-10-2680")</f>
        <v>1103700-10-2680</v>
      </c>
      <c r="U355" t="str">
        <f>IFERROR(__xludf.DUMMYFUNCTION("""COMPUTED_VALUE"""),"AC4157472")</f>
        <v>AC4157472</v>
      </c>
      <c r="V355" s="148">
        <f>IFERROR(__xludf.DUMMYFUNCTION("""COMPUTED_VALUE"""),44886.0)</f>
        <v>44886</v>
      </c>
      <c r="W355" s="148">
        <f>IFERROR(__xludf.DUMMYFUNCTION("""COMPUTED_VALUE"""),48538.0)</f>
        <v>48538</v>
      </c>
      <c r="X355" s="149">
        <f>IFERROR(__xludf.DUMMYFUNCTION("""COMPUTED_VALUE"""),48354.0)</f>
        <v>48354</v>
      </c>
      <c r="Y355" t="str">
        <f>IFERROR(__xludf.DUMMYFUNCTION("""COMPUTED_VALUE"""),"ปลอดภัย")</f>
        <v>ปลอดภัย</v>
      </c>
      <c r="Z355" t="str">
        <f>IFERROR(__xludf.DUMMYFUNCTION("""COMPUTED_VALUE"""),"Bangkok")</f>
        <v>Bangkok</v>
      </c>
      <c r="AA355" t="str">
        <f>IFERROR(__xludf.DUMMYFUNCTION("""COMPUTED_VALUE"""),"Kannayao")</f>
        <v>Kannayao</v>
      </c>
      <c r="AB355" t="str">
        <f>IFERROR(__xludf.DUMMYFUNCTION("""COMPUTED_VALUE"""),"02 376 1473 / 087 079 9603/ 088 2480942")</f>
        <v>02 376 1473 / 087 079 9603/ 088 2480942</v>
      </c>
      <c r="AC355" t="str">
        <f>IFERROR(__xludf.DUMMYFUNCTION("""COMPUTED_VALUE"""),"Home / Mother")</f>
        <v>Home / Mother</v>
      </c>
      <c r="AD355" t="str">
        <f>IFERROR(__xludf.DUMMYFUNCTION("""COMPUTED_VALUE"""),"piyanutn@airasia.com")</f>
        <v>piyanutn@airasia.com</v>
      </c>
    </row>
    <row r="356">
      <c r="A356" s="142">
        <f>IFERROR(__xludf.DUMMYFUNCTION("""COMPUTED_VALUE"""),52.0)</f>
        <v>52</v>
      </c>
      <c r="B356" t="str">
        <f>IFERROR(__xludf.DUMMYFUNCTION("""COMPUTED_VALUE"""),"TAA3974")</f>
        <v>TAA3974</v>
      </c>
      <c r="C356">
        <f>IFERROR(__xludf.DUMMYFUNCTION("""COMPUTED_VALUE"""),1007015.0)</f>
        <v>1007015</v>
      </c>
      <c r="D356" t="str">
        <f>IFERROR(__xludf.DUMMYFUNCTION("""COMPUTED_VALUE"""),"Ms.")</f>
        <v>Ms.</v>
      </c>
      <c r="E356" t="str">
        <f>IFERROR(__xludf.DUMMYFUNCTION("""COMPUTED_VALUE"""),"Ramida")</f>
        <v>Ramida</v>
      </c>
      <c r="F356" t="str">
        <f>IFERROR(__xludf.DUMMYFUNCTION("""COMPUTED_VALUE"""),"Boonpromma")</f>
        <v>Boonpromma</v>
      </c>
      <c r="G356" t="str">
        <f>IFERROR(__xludf.DUMMYFUNCTION("""COMPUTED_VALUE"""),"Ramida Boonpromma")</f>
        <v>Ramida Boonpromma</v>
      </c>
      <c r="H356" t="str">
        <f>IFERROR(__xludf.DUMMYFUNCTION("""COMPUTED_VALUE"""),"นางสาว")</f>
        <v>นางสาว</v>
      </c>
      <c r="I356" t="str">
        <f>IFERROR(__xludf.DUMMYFUNCTION("""COMPUTED_VALUE"""),"รมิดา")</f>
        <v>รมิดา</v>
      </c>
      <c r="J356" t="str">
        <f>IFERROR(__xludf.DUMMYFUNCTION("""COMPUTED_VALUE"""),"บุญพรมมา")</f>
        <v>บุญพรมมา</v>
      </c>
      <c r="K356" t="str">
        <f>IFERROR(__xludf.DUMMYFUNCTION("""COMPUTED_VALUE"""),"รมิดา บุญพรมมา")</f>
        <v>รมิดา บุญพรมมา</v>
      </c>
      <c r="L356" t="str">
        <f>IFERROR(__xludf.DUMMYFUNCTION("""COMPUTED_VALUE"""),"Ramie")</f>
        <v>Ramie</v>
      </c>
      <c r="M356" t="str">
        <f>IFERROR(__xludf.DUMMYFUNCTION("""COMPUTED_VALUE"""),"Cabin Crew - BKK")</f>
        <v>Cabin Crew - BKK</v>
      </c>
      <c r="N356" t="str">
        <f>IFERROR(__xludf.DUMMYFUNCTION("""COMPUTED_VALUE"""),"BKK")</f>
        <v>BKK</v>
      </c>
      <c r="O356" s="145" t="str">
        <f>IFERROR(__xludf.DUMMYFUNCTION("""COMPUTED_VALUE"""),"Nhui Home")</f>
        <v>Nhui Home</v>
      </c>
      <c r="P356" t="str">
        <f>IFERROR(__xludf.DUMMYFUNCTION("""COMPUTED_VALUE"""),"Active")</f>
        <v>Active</v>
      </c>
      <c r="R356" s="143">
        <f>IFERROR(__xludf.DUMMYFUNCTION("""COMPUTED_VALUE"""),31048.0)</f>
        <v>31048</v>
      </c>
      <c r="S356" s="146" t="str">
        <f>IFERROR(__xludf.DUMMYFUNCTION("""COMPUTED_VALUE"""),"081 110 6120")</f>
        <v>081 110 6120</v>
      </c>
      <c r="T356" s="147" t="str">
        <f>IFERROR(__xludf.DUMMYFUNCTION("""COMPUTED_VALUE"""),"1430900-02-6744")</f>
        <v>1430900-02-6744</v>
      </c>
      <c r="U356" t="str">
        <f>IFERROR(__xludf.DUMMYFUNCTION("""COMPUTED_VALUE"""),"AC6032386")</f>
        <v>AC6032386</v>
      </c>
      <c r="V356" s="148">
        <f>IFERROR(__xludf.DUMMYFUNCTION("""COMPUTED_VALUE"""),45236.0)</f>
        <v>45236</v>
      </c>
      <c r="W356" s="148">
        <f>IFERROR(__xludf.DUMMYFUNCTION("""COMPUTED_VALUE"""),48888.0)</f>
        <v>48888</v>
      </c>
      <c r="X356" s="149">
        <f>IFERROR(__xludf.DUMMYFUNCTION("""COMPUTED_VALUE"""),48704.0)</f>
        <v>48704</v>
      </c>
      <c r="Y356" t="str">
        <f>IFERROR(__xludf.DUMMYFUNCTION("""COMPUTED_VALUE"""),"ปลอดภัย")</f>
        <v>ปลอดภัย</v>
      </c>
      <c r="Z356" t="str">
        <f>IFERROR(__xludf.DUMMYFUNCTION("""COMPUTED_VALUE"""),"Nong Khai Province")</f>
        <v>Nong Khai Province</v>
      </c>
      <c r="AA356" t="str">
        <f>IFERROR(__xludf.DUMMYFUNCTION("""COMPUTED_VALUE"""),"Dindaeng")</f>
        <v>Dindaeng</v>
      </c>
      <c r="AB356" t="str">
        <f>IFERROR(__xludf.DUMMYFUNCTION("""COMPUTED_VALUE"""),"084 428 2959")</f>
        <v>084 428 2959</v>
      </c>
      <c r="AC356" t="str">
        <f>IFERROR(__xludf.DUMMYFUNCTION("""COMPUTED_VALUE"""),"Mother")</f>
        <v>Mother</v>
      </c>
      <c r="AD356" t="str">
        <f>IFERROR(__xludf.DUMMYFUNCTION("""COMPUTED_VALUE"""),"ramidab@airasia.com")</f>
        <v>ramidab@airasia.com</v>
      </c>
    </row>
    <row r="357">
      <c r="A357" s="142">
        <f>IFERROR(__xludf.DUMMYFUNCTION("""COMPUTED_VALUE"""),52.0)</f>
        <v>52</v>
      </c>
      <c r="B357" t="str">
        <f>IFERROR(__xludf.DUMMYFUNCTION("""COMPUTED_VALUE"""),"TAA3956")</f>
        <v>TAA3956</v>
      </c>
      <c r="C357">
        <f>IFERROR(__xludf.DUMMYFUNCTION("""COMPUTED_VALUE"""),1007016.0)</f>
        <v>1007016</v>
      </c>
      <c r="D357" t="str">
        <f>IFERROR(__xludf.DUMMYFUNCTION("""COMPUTED_VALUE"""),"Ms.")</f>
        <v>Ms.</v>
      </c>
      <c r="E357" t="str">
        <f>IFERROR(__xludf.DUMMYFUNCTION("""COMPUTED_VALUE"""),"Sathita")</f>
        <v>Sathita</v>
      </c>
      <c r="F357" t="str">
        <f>IFERROR(__xludf.DUMMYFUNCTION("""COMPUTED_VALUE"""),"Pongsomran")</f>
        <v>Pongsomran</v>
      </c>
      <c r="G357" t="str">
        <f>IFERROR(__xludf.DUMMYFUNCTION("""COMPUTED_VALUE"""),"Sathita Pongsomran")</f>
        <v>Sathita Pongsomran</v>
      </c>
      <c r="H357" t="str">
        <f>IFERROR(__xludf.DUMMYFUNCTION("""COMPUTED_VALUE"""),"นางสาว")</f>
        <v>นางสาว</v>
      </c>
      <c r="I357" t="str">
        <f>IFERROR(__xludf.DUMMYFUNCTION("""COMPUTED_VALUE"""),"สาธิตา")</f>
        <v>สาธิตา</v>
      </c>
      <c r="J357" t="str">
        <f>IFERROR(__xludf.DUMMYFUNCTION("""COMPUTED_VALUE"""),"พงช์สำราญ")</f>
        <v>พงช์สำราญ</v>
      </c>
      <c r="K357" t="str">
        <f>IFERROR(__xludf.DUMMYFUNCTION("""COMPUTED_VALUE"""),"สาธิตา พงช์สำราญ")</f>
        <v>สาธิตา พงช์สำราญ</v>
      </c>
      <c r="L357" t="str">
        <f>IFERROR(__xludf.DUMMYFUNCTION("""COMPUTED_VALUE"""),"Yelly")</f>
        <v>Yelly</v>
      </c>
      <c r="M357" t="str">
        <f>IFERROR(__xludf.DUMMYFUNCTION("""COMPUTED_VALUE"""),"Cabin Crew")</f>
        <v>Cabin Crew</v>
      </c>
      <c r="N357" t="str">
        <f>IFERROR(__xludf.DUMMYFUNCTION("""COMPUTED_VALUE"""),"DMK")</f>
        <v>DMK</v>
      </c>
      <c r="O357" s="145" t="str">
        <f>IFERROR(__xludf.DUMMYFUNCTION("""COMPUTED_VALUE"""),"Um Home")</f>
        <v>Um Home</v>
      </c>
      <c r="P357" t="str">
        <f>IFERROR(__xludf.DUMMYFUNCTION("""COMPUTED_VALUE"""),"Active")</f>
        <v>Active</v>
      </c>
      <c r="R357" s="143">
        <f>IFERROR(__xludf.DUMMYFUNCTION("""COMPUTED_VALUE"""),30883.0)</f>
        <v>30883</v>
      </c>
      <c r="S357" s="146">
        <f>IFERROR(__xludf.DUMMYFUNCTION("""COMPUTED_VALUE"""),9.53626663E8)</f>
        <v>953626663</v>
      </c>
      <c r="T357" s="147" t="str">
        <f>IFERROR(__xludf.DUMMYFUNCTION("""COMPUTED_VALUE"""),"1101400-19-5001")</f>
        <v>1101400-19-5001</v>
      </c>
      <c r="U357" t="str">
        <f>IFERROR(__xludf.DUMMYFUNCTION("""COMPUTED_VALUE"""),"ad1867198")</f>
        <v>ad1867198</v>
      </c>
      <c r="V357" s="148">
        <f>IFERROR(__xludf.DUMMYFUNCTION("""COMPUTED_VALUE"""),45474.0)</f>
        <v>45474</v>
      </c>
      <c r="W357" s="148">
        <f>IFERROR(__xludf.DUMMYFUNCTION("""COMPUTED_VALUE"""),49098.0)</f>
        <v>49098</v>
      </c>
      <c r="X357" s="149">
        <f>IFERROR(__xludf.DUMMYFUNCTION("""COMPUTED_VALUE"""),48916.0)</f>
        <v>48916</v>
      </c>
      <c r="Y357" t="str">
        <f>IFERROR(__xludf.DUMMYFUNCTION("""COMPUTED_VALUE"""),"ปลอดภัย")</f>
        <v>ปลอดภัย</v>
      </c>
      <c r="Z357" t="str">
        <f>IFERROR(__xludf.DUMMYFUNCTION("""COMPUTED_VALUE"""),"Bangkok")</f>
        <v>Bangkok</v>
      </c>
      <c r="AA357" t="str">
        <f>IFERROR(__xludf.DUMMYFUNCTION("""COMPUTED_VALUE"""),"Pathumthani")</f>
        <v>Pathumthani</v>
      </c>
      <c r="AB357" t="str">
        <f>IFERROR(__xludf.DUMMYFUNCTION("""COMPUTED_VALUE"""),"02 533 9497 / 081 869 9917")</f>
        <v>02 533 9497 / 081 869 9917</v>
      </c>
      <c r="AC357" t="str">
        <f>IFERROR(__xludf.DUMMYFUNCTION("""COMPUTED_VALUE"""),"Home / Friend")</f>
        <v>Home / Friend</v>
      </c>
      <c r="AD357" t="str">
        <f>IFERROR(__xludf.DUMMYFUNCTION("""COMPUTED_VALUE"""),"sathitap@airasia.com")</f>
        <v>sathitap@airasia.com</v>
      </c>
    </row>
    <row r="358">
      <c r="A358" s="142">
        <f>IFERROR(__xludf.DUMMYFUNCTION("""COMPUTED_VALUE"""),52.0)</f>
        <v>52</v>
      </c>
      <c r="B358" t="str">
        <f>IFERROR(__xludf.DUMMYFUNCTION("""COMPUTED_VALUE"""),"TAA3967")</f>
        <v>TAA3967</v>
      </c>
      <c r="C358">
        <f>IFERROR(__xludf.DUMMYFUNCTION("""COMPUTED_VALUE"""),1007020.0)</f>
        <v>1007020</v>
      </c>
      <c r="D358" t="str">
        <f>IFERROR(__xludf.DUMMYFUNCTION("""COMPUTED_VALUE"""),"Ms.")</f>
        <v>Ms.</v>
      </c>
      <c r="E358" t="str">
        <f>IFERROR(__xludf.DUMMYFUNCTION("""COMPUTED_VALUE"""),"Thamonwan")</f>
        <v>Thamonwan</v>
      </c>
      <c r="F358" t="str">
        <f>IFERROR(__xludf.DUMMYFUNCTION("""COMPUTED_VALUE"""),"Chinnarukbumrung")</f>
        <v>Chinnarukbumrung</v>
      </c>
      <c r="G358" t="str">
        <f>IFERROR(__xludf.DUMMYFUNCTION("""COMPUTED_VALUE"""),"Thamonwan Chinnarukbumrung")</f>
        <v>Thamonwan Chinnarukbumrung</v>
      </c>
      <c r="H358" t="str">
        <f>IFERROR(__xludf.DUMMYFUNCTION("""COMPUTED_VALUE"""),"นางสาว")</f>
        <v>นางสาว</v>
      </c>
      <c r="I358" t="str">
        <f>IFERROR(__xludf.DUMMYFUNCTION("""COMPUTED_VALUE"""),"ธมลวรรณ")</f>
        <v>ธมลวรรณ</v>
      </c>
      <c r="J358" t="str">
        <f>IFERROR(__xludf.DUMMYFUNCTION("""COMPUTED_VALUE"""),"ชินรักษ์บำรุง")</f>
        <v>ชินรักษ์บำรุง</v>
      </c>
      <c r="K358" t="str">
        <f>IFERROR(__xludf.DUMMYFUNCTION("""COMPUTED_VALUE"""),"ธมลวรรณ ชินรักษ์บำรุง")</f>
        <v>ธมลวรรณ ชินรักษ์บำรุง</v>
      </c>
      <c r="L358" t="str">
        <f>IFERROR(__xludf.DUMMYFUNCTION("""COMPUTED_VALUE"""),"Zine")</f>
        <v>Zine</v>
      </c>
      <c r="M358" t="str">
        <f>IFERROR(__xludf.DUMMYFUNCTION("""COMPUTED_VALUE"""),"Cabin Crew")</f>
        <v>Cabin Crew</v>
      </c>
      <c r="N358" t="str">
        <f>IFERROR(__xludf.DUMMYFUNCTION("""COMPUTED_VALUE"""),"DMK")</f>
        <v>DMK</v>
      </c>
      <c r="O358" s="145" t="str">
        <f>IFERROR(__xludf.DUMMYFUNCTION("""COMPUTED_VALUE"""),"Toffy Home")</f>
        <v>Toffy Home</v>
      </c>
      <c r="P358" t="str">
        <f>IFERROR(__xludf.DUMMYFUNCTION("""COMPUTED_VALUE"""),"Active")</f>
        <v>Active</v>
      </c>
      <c r="R358" s="143">
        <f>IFERROR(__xludf.DUMMYFUNCTION("""COMPUTED_VALUE"""),32699.0)</f>
        <v>32699</v>
      </c>
      <c r="S358" s="146" t="str">
        <f>IFERROR(__xludf.DUMMYFUNCTION("""COMPUTED_VALUE"""),"080 448 4758")</f>
        <v>080 448 4758</v>
      </c>
      <c r="T358" s="147" t="str">
        <f>IFERROR(__xludf.DUMMYFUNCTION("""COMPUTED_VALUE"""),"1100701-01-6741")</f>
        <v>1100701-01-6741</v>
      </c>
      <c r="U358" t="str">
        <f>IFERROR(__xludf.DUMMYFUNCTION("""COMPUTED_VALUE"""),"AC2937966")</f>
        <v>AC2937966</v>
      </c>
      <c r="V358" s="148">
        <f>IFERROR(__xludf.DUMMYFUNCTION("""COMPUTED_VALUE"""),44630.0)</f>
        <v>44630</v>
      </c>
      <c r="W358" s="148">
        <f>IFERROR(__xludf.DUMMYFUNCTION("""COMPUTED_VALUE"""),46455.0)</f>
        <v>46455</v>
      </c>
      <c r="X358" s="149">
        <f>IFERROR(__xludf.DUMMYFUNCTION("""COMPUTED_VALUE"""),46274.0)</f>
        <v>46274</v>
      </c>
      <c r="Y358" t="str">
        <f>IFERROR(__xludf.DUMMYFUNCTION("""COMPUTED_VALUE"""),"ปลอดภัย")</f>
        <v>ปลอดภัย</v>
      </c>
      <c r="Z358" t="str">
        <f>IFERROR(__xludf.DUMMYFUNCTION("""COMPUTED_VALUE"""),"Bangkok")</f>
        <v>Bangkok</v>
      </c>
      <c r="AA358" t="str">
        <f>IFERROR(__xludf.DUMMYFUNCTION("""COMPUTED_VALUE"""),"Samutprakarn")</f>
        <v>Samutprakarn</v>
      </c>
      <c r="AB358" t="str">
        <f>IFERROR(__xludf.DUMMYFUNCTION("""COMPUTED_VALUE"""),"02 393 7913 / 081 819 1365")</f>
        <v>02 393 7913 / 081 819 1365</v>
      </c>
      <c r="AC358" t="str">
        <f>IFERROR(__xludf.DUMMYFUNCTION("""COMPUTED_VALUE"""),"Home / Mother")</f>
        <v>Home / Mother</v>
      </c>
      <c r="AD358" t="str">
        <f>IFERROR(__xludf.DUMMYFUNCTION("""COMPUTED_VALUE"""),"thamonwanc@airasia.com")</f>
        <v>thamonwanc@airasia.com</v>
      </c>
    </row>
    <row r="359">
      <c r="A359" s="142">
        <f>IFERROR(__xludf.DUMMYFUNCTION("""COMPUTED_VALUE"""),52.0)</f>
        <v>52</v>
      </c>
      <c r="B359" t="str">
        <f>IFERROR(__xludf.DUMMYFUNCTION("""COMPUTED_VALUE"""),"TAA3958")</f>
        <v>TAA3958</v>
      </c>
      <c r="C359">
        <f>IFERROR(__xludf.DUMMYFUNCTION("""COMPUTED_VALUE"""),1007021.0)</f>
        <v>1007021</v>
      </c>
      <c r="D359" t="str">
        <f>IFERROR(__xludf.DUMMYFUNCTION("""COMPUTED_VALUE"""),"Mrs.")</f>
        <v>Mrs.</v>
      </c>
      <c r="E359" t="str">
        <f>IFERROR(__xludf.DUMMYFUNCTION("""COMPUTED_VALUE"""),"Thararat")</f>
        <v>Thararat</v>
      </c>
      <c r="F359" t="str">
        <f>IFERROR(__xludf.DUMMYFUNCTION("""COMPUTED_VALUE"""),"Thaibantherng(Hengphucharoen)")</f>
        <v>Thaibantherng(Hengphucharoen)</v>
      </c>
      <c r="G359" t="str">
        <f>IFERROR(__xludf.DUMMYFUNCTION("""COMPUTED_VALUE"""),"Thararat Thaibantherng")</f>
        <v>Thararat Thaibantherng</v>
      </c>
      <c r="H359" t="str">
        <f>IFERROR(__xludf.DUMMYFUNCTION("""COMPUTED_VALUE"""),"นางสาว")</f>
        <v>นางสาว</v>
      </c>
      <c r="I359" t="str">
        <f>IFERROR(__xludf.DUMMYFUNCTION("""COMPUTED_VALUE"""),"ธารารัตน์")</f>
        <v>ธารารัตน์</v>
      </c>
      <c r="J359" t="str">
        <f>IFERROR(__xludf.DUMMYFUNCTION("""COMPUTED_VALUE"""),"ไทยบันเทิง (เฮงภู่เจริญ)")</f>
        <v>ไทยบันเทิง (เฮงภู่เจริญ)</v>
      </c>
      <c r="K359" t="str">
        <f>IFERROR(__xludf.DUMMYFUNCTION("""COMPUTED_VALUE"""),"ธารารัตน์ ไทยบันเทิง")</f>
        <v>ธารารัตน์ ไทยบันเทิง</v>
      </c>
      <c r="L359" t="str">
        <f>IFERROR(__xludf.DUMMYFUNCTION("""COMPUTED_VALUE"""),"ตุ้ย")</f>
        <v>ตุ้ย</v>
      </c>
      <c r="M359" t="str">
        <f>IFERROR(__xludf.DUMMYFUNCTION("""COMPUTED_VALUE"""),"Senior Cabin Crew")</f>
        <v>Senior Cabin Crew</v>
      </c>
      <c r="N359" t="str">
        <f>IFERROR(__xludf.DUMMYFUNCTION("""COMPUTED_VALUE"""),"DMK")</f>
        <v>DMK</v>
      </c>
      <c r="O359" s="145" t="str">
        <f>IFERROR(__xludf.DUMMYFUNCTION("""COMPUTED_VALUE"""),"Namfon Home")</f>
        <v>Namfon Home</v>
      </c>
      <c r="P359" t="str">
        <f>IFERROR(__xludf.DUMMYFUNCTION("""COMPUTED_VALUE"""),"Active")</f>
        <v>Active</v>
      </c>
      <c r="R359" s="143">
        <f>IFERROR(__xludf.DUMMYFUNCTION("""COMPUTED_VALUE"""),32683.0)</f>
        <v>32683</v>
      </c>
      <c r="S359" s="146" t="str">
        <f>IFERROR(__xludf.DUMMYFUNCTION("""COMPUTED_VALUE"""),"081 147 2407")</f>
        <v>081 147 2407</v>
      </c>
      <c r="T359" s="147" t="str">
        <f>IFERROR(__xludf.DUMMYFUNCTION("""COMPUTED_VALUE"""),"1100800-54-3545")</f>
        <v>1100800-54-3545</v>
      </c>
      <c r="U359" t="str">
        <f>IFERROR(__xludf.DUMMYFUNCTION("""COMPUTED_VALUE"""),"AC2269189")</f>
        <v>AC2269189</v>
      </c>
      <c r="V359" s="148">
        <f>IFERROR(__xludf.DUMMYFUNCTION("""COMPUTED_VALUE"""),44329.0)</f>
        <v>44329</v>
      </c>
      <c r="W359" s="148">
        <f>IFERROR(__xludf.DUMMYFUNCTION("""COMPUTED_VALUE"""),47980.0)</f>
        <v>47980</v>
      </c>
      <c r="X359" s="149">
        <f>IFERROR(__xludf.DUMMYFUNCTION("""COMPUTED_VALUE"""),47799.0)</f>
        <v>47799</v>
      </c>
      <c r="Y359" t="str">
        <f>IFERROR(__xludf.DUMMYFUNCTION("""COMPUTED_VALUE"""),"ปลอดภัย")</f>
        <v>ปลอดภัย</v>
      </c>
      <c r="Z359" t="str">
        <f>IFERROR(__xludf.DUMMYFUNCTION("""COMPUTED_VALUE"""),"Bangkok")</f>
        <v>Bangkok</v>
      </c>
      <c r="AA359" t="str">
        <f>IFERROR(__xludf.DUMMYFUNCTION("""COMPUTED_VALUE"""),"Phra kanong")</f>
        <v>Phra kanong</v>
      </c>
      <c r="AB359" t="str">
        <f>IFERROR(__xludf.DUMMYFUNCTION("""COMPUTED_VALUE"""),"02 748 9325 / 086 576 3520 / 086 559 0822")</f>
        <v>02 748 9325 / 086 576 3520 / 086 559 0822</v>
      </c>
      <c r="AC359" t="str">
        <f>IFERROR(__xludf.DUMMYFUNCTION("""COMPUTED_VALUE"""),"Home / Friend")</f>
        <v>Home / Friend</v>
      </c>
      <c r="AD359" t="str">
        <f>IFERROR(__xludf.DUMMYFUNCTION("""COMPUTED_VALUE"""),"thararatthaibanther@airasia.com")</f>
        <v>thararatthaibanther@airasia.com</v>
      </c>
    </row>
    <row r="360">
      <c r="A360" s="142">
        <f>IFERROR(__xludf.DUMMYFUNCTION("""COMPUTED_VALUE"""),52.0)</f>
        <v>52</v>
      </c>
      <c r="B360" t="str">
        <f>IFERROR(__xludf.DUMMYFUNCTION("""COMPUTED_VALUE"""),"TAA3959")</f>
        <v>TAA3959</v>
      </c>
      <c r="C360">
        <f>IFERROR(__xludf.DUMMYFUNCTION("""COMPUTED_VALUE"""),1007022.0)</f>
        <v>1007022</v>
      </c>
      <c r="D360" t="str">
        <f>IFERROR(__xludf.DUMMYFUNCTION("""COMPUTED_VALUE"""),"Mr.")</f>
        <v>Mr.</v>
      </c>
      <c r="E360" t="str">
        <f>IFERROR(__xludf.DUMMYFUNCTION("""COMPUTED_VALUE"""),"Waroot")</f>
        <v>Waroot</v>
      </c>
      <c r="F360" t="str">
        <f>IFERROR(__xludf.DUMMYFUNCTION("""COMPUTED_VALUE"""),"Chanpueak")</f>
        <v>Chanpueak</v>
      </c>
      <c r="G360" t="str">
        <f>IFERROR(__xludf.DUMMYFUNCTION("""COMPUTED_VALUE"""),"Waroot Chanpueak")</f>
        <v>Waroot Chanpueak</v>
      </c>
      <c r="H360" t="str">
        <f>IFERROR(__xludf.DUMMYFUNCTION("""COMPUTED_VALUE"""),"นาย")</f>
        <v>นาย</v>
      </c>
      <c r="I360" t="str">
        <f>IFERROR(__xludf.DUMMYFUNCTION("""COMPUTED_VALUE"""),"วรุฒ")</f>
        <v>วรุฒ</v>
      </c>
      <c r="J360" t="str">
        <f>IFERROR(__xludf.DUMMYFUNCTION("""COMPUTED_VALUE"""),"จันทร์เผือก")</f>
        <v>จันทร์เผือก</v>
      </c>
      <c r="K360" t="str">
        <f>IFERROR(__xludf.DUMMYFUNCTION("""COMPUTED_VALUE"""),"วรุฒ จันทร์เผือก")</f>
        <v>วรุฒ จันทร์เผือก</v>
      </c>
      <c r="L360" t="str">
        <f>IFERROR(__xludf.DUMMYFUNCTION("""COMPUTED_VALUE"""),"ปั๊บ")</f>
        <v>ปั๊บ</v>
      </c>
      <c r="M360" t="str">
        <f>IFERROR(__xludf.DUMMYFUNCTION("""COMPUTED_VALUE"""),"Senior Cabin Crew")</f>
        <v>Senior Cabin Crew</v>
      </c>
      <c r="N360" t="str">
        <f>IFERROR(__xludf.DUMMYFUNCTION("""COMPUTED_VALUE"""),"DMK")</f>
        <v>DMK</v>
      </c>
      <c r="O360" s="145" t="str">
        <f>IFERROR(__xludf.DUMMYFUNCTION("""COMPUTED_VALUE"""),"Up Home")</f>
        <v>Up Home</v>
      </c>
      <c r="P360" t="str">
        <f>IFERROR(__xludf.DUMMYFUNCTION("""COMPUTED_VALUE"""),"Active")</f>
        <v>Active</v>
      </c>
      <c r="R360" s="143">
        <f>IFERROR(__xludf.DUMMYFUNCTION("""COMPUTED_VALUE"""),32434.0)</f>
        <v>32434</v>
      </c>
      <c r="S360" s="146" t="str">
        <f>IFERROR(__xludf.DUMMYFUNCTION("""COMPUTED_VALUE"""),"084 291 5501")</f>
        <v>084 291 5501</v>
      </c>
      <c r="T360" s="147" t="str">
        <f>IFERROR(__xludf.DUMMYFUNCTION("""COMPUTED_VALUE"""),"1100700-90-1300")</f>
        <v>1100700-90-1300</v>
      </c>
      <c r="U360" t="str">
        <f>IFERROR(__xludf.DUMMYFUNCTION("""COMPUTED_VALUE"""),"AC5710077")</f>
        <v>AC5710077</v>
      </c>
      <c r="V360" s="148">
        <f>IFERROR(__xludf.DUMMYFUNCTION("""COMPUTED_VALUE"""),45180.0)</f>
        <v>45180</v>
      </c>
      <c r="W360" s="148">
        <f>IFERROR(__xludf.DUMMYFUNCTION("""COMPUTED_VALUE"""),48832.0)</f>
        <v>48832</v>
      </c>
      <c r="X360" s="149">
        <f>IFERROR(__xludf.DUMMYFUNCTION("""COMPUTED_VALUE"""),48648.0)</f>
        <v>48648</v>
      </c>
      <c r="Y360" t="str">
        <f>IFERROR(__xludf.DUMMYFUNCTION("""COMPUTED_VALUE"""),"ปลอดภัย")</f>
        <v>ปลอดภัย</v>
      </c>
      <c r="Z360" t="str">
        <f>IFERROR(__xludf.DUMMYFUNCTION("""COMPUTED_VALUE"""),"Bangkok")</f>
        <v>Bangkok</v>
      </c>
      <c r="AA360" t="str">
        <f>IFERROR(__xludf.DUMMYFUNCTION("""COMPUTED_VALUE"""),"Jomthong")</f>
        <v>Jomthong</v>
      </c>
      <c r="AB360" t="str">
        <f>IFERROR(__xludf.DUMMYFUNCTION("""COMPUTED_VALUE"""),"081 637 8439")</f>
        <v>081 637 8439</v>
      </c>
      <c r="AC360" t="str">
        <f>IFERROR(__xludf.DUMMYFUNCTION("""COMPUTED_VALUE"""),"Mother")</f>
        <v>Mother</v>
      </c>
      <c r="AD360" t="str">
        <f>IFERROR(__xludf.DUMMYFUNCTION("""COMPUTED_VALUE"""),"warootc@airasia.com")</f>
        <v>warootc@airasia.com</v>
      </c>
    </row>
    <row r="361">
      <c r="AD361" t="str">
        <f>IFERROR(__xludf.DUMMYFUNCTION("""COMPUTED_VALUE"""),"")</f>
        <v/>
      </c>
    </row>
    <row r="362">
      <c r="A362" s="142">
        <f>IFERROR(__xludf.DUMMYFUNCTION("""COMPUTED_VALUE"""),53.0)</f>
        <v>53</v>
      </c>
      <c r="B362" t="str">
        <f>IFERROR(__xludf.DUMMYFUNCTION("""COMPUTED_VALUE"""),"TAA3998")</f>
        <v>TAA3998</v>
      </c>
      <c r="C362">
        <f>IFERROR(__xludf.DUMMYFUNCTION("""COMPUTED_VALUE"""),1007023.0)</f>
        <v>1007023</v>
      </c>
      <c r="D362" t="str">
        <f>IFERROR(__xludf.DUMMYFUNCTION("""COMPUTED_VALUE"""),"Mr.")</f>
        <v>Mr.</v>
      </c>
      <c r="E362" t="str">
        <f>IFERROR(__xludf.DUMMYFUNCTION("""COMPUTED_VALUE"""),"Apinan")</f>
        <v>Apinan</v>
      </c>
      <c r="F362" t="str">
        <f>IFERROR(__xludf.DUMMYFUNCTION("""COMPUTED_VALUE"""),"Sookpinij")</f>
        <v>Sookpinij</v>
      </c>
      <c r="G362" t="str">
        <f>IFERROR(__xludf.DUMMYFUNCTION("""COMPUTED_VALUE"""),"Apinan Sookpinij")</f>
        <v>Apinan Sookpinij</v>
      </c>
      <c r="H362" t="str">
        <f>IFERROR(__xludf.DUMMYFUNCTION("""COMPUTED_VALUE"""),"นาย")</f>
        <v>นาย</v>
      </c>
      <c r="I362" t="str">
        <f>IFERROR(__xludf.DUMMYFUNCTION("""COMPUTED_VALUE"""),"อภินันท์")</f>
        <v>อภินันท์</v>
      </c>
      <c r="J362" t="str">
        <f>IFERROR(__xludf.DUMMYFUNCTION("""COMPUTED_VALUE"""),"สุขพินิจ")</f>
        <v>สุขพินิจ</v>
      </c>
      <c r="K362" t="str">
        <f>IFERROR(__xludf.DUMMYFUNCTION("""COMPUTED_VALUE"""),"อภินันท์ สุขพินิจ")</f>
        <v>อภินันท์ สุขพินิจ</v>
      </c>
      <c r="L362" t="str">
        <f>IFERROR(__xludf.DUMMYFUNCTION("""COMPUTED_VALUE"""),"บูม")</f>
        <v>บูม</v>
      </c>
      <c r="M362" t="str">
        <f>IFERROR(__xludf.DUMMYFUNCTION("""COMPUTED_VALUE"""),"Cabin Crew")</f>
        <v>Cabin Crew</v>
      </c>
      <c r="N362" t="str">
        <f>IFERROR(__xludf.DUMMYFUNCTION("""COMPUTED_VALUE"""),"DMK")</f>
        <v>DMK</v>
      </c>
      <c r="O362" s="145" t="str">
        <f>IFERROR(__xludf.DUMMYFUNCTION("""COMPUTED_VALUE"""),"Por+ Home")</f>
        <v>Por+ Home</v>
      </c>
      <c r="P362" t="str">
        <f>IFERROR(__xludf.DUMMYFUNCTION("""COMPUTED_VALUE"""),"Active")</f>
        <v>Active</v>
      </c>
      <c r="Q362" t="str">
        <f>IFERROR(__xludf.DUMMYFUNCTION("""COMPUTED_VALUE"""),"Japanese Speaking")</f>
        <v>Japanese Speaking</v>
      </c>
      <c r="R362" s="143">
        <f>IFERROR(__xludf.DUMMYFUNCTION("""COMPUTED_VALUE"""),32660.0)</f>
        <v>32660</v>
      </c>
      <c r="S362" s="146" t="str">
        <f>IFERROR(__xludf.DUMMYFUNCTION("""COMPUTED_VALUE"""),"086 364 2751")</f>
        <v>086 364 2751</v>
      </c>
      <c r="T362" s="147" t="str">
        <f>IFERROR(__xludf.DUMMYFUNCTION("""COMPUTED_VALUE"""),"1100500-51-2202")</f>
        <v>1100500-51-2202</v>
      </c>
      <c r="U362" t="str">
        <f>IFERROR(__xludf.DUMMYFUNCTION("""COMPUTED_VALUE"""),"AC6815738")</f>
        <v>AC6815738</v>
      </c>
      <c r="V362" s="148">
        <f>IFERROR(__xludf.DUMMYFUNCTION("""COMPUTED_VALUE"""),45442.0)</f>
        <v>45442</v>
      </c>
      <c r="W362" s="148">
        <f>IFERROR(__xludf.DUMMYFUNCTION("""COMPUTED_VALUE"""),49093.0)</f>
        <v>49093</v>
      </c>
      <c r="X362" s="149">
        <f>IFERROR(__xludf.DUMMYFUNCTION("""COMPUTED_VALUE"""),48912.0)</f>
        <v>48912</v>
      </c>
      <c r="Y362" t="str">
        <f>IFERROR(__xludf.DUMMYFUNCTION("""COMPUTED_VALUE"""),"ปลอดภัย")</f>
        <v>ปลอดภัย</v>
      </c>
      <c r="Z362" t="str">
        <f>IFERROR(__xludf.DUMMYFUNCTION("""COMPUTED_VALUE"""),"Bangkok")</f>
        <v>Bangkok</v>
      </c>
      <c r="AA362" t="str">
        <f>IFERROR(__xludf.DUMMYFUNCTION("""COMPUTED_VALUE"""),"Jatuchak")</f>
        <v>Jatuchak</v>
      </c>
      <c r="AB362" t="str">
        <f>IFERROR(__xludf.DUMMYFUNCTION("""COMPUTED_VALUE"""),"02 938 8987 / 087 347 4841")</f>
        <v>02 938 8987 / 087 347 4841</v>
      </c>
      <c r="AC362" t="str">
        <f>IFERROR(__xludf.DUMMYFUNCTION("""COMPUTED_VALUE"""),"Home /Relative")</f>
        <v>Home /Relative</v>
      </c>
      <c r="AD362" t="str">
        <f>IFERROR(__xludf.DUMMYFUNCTION("""COMPUTED_VALUE"""),"apinans@airasia.com")</f>
        <v>apinans@airasia.com</v>
      </c>
    </row>
    <row r="363">
      <c r="A363" s="142">
        <f>IFERROR(__xludf.DUMMYFUNCTION("""COMPUTED_VALUE"""),53.0)</f>
        <v>53</v>
      </c>
      <c r="B363" t="str">
        <f>IFERROR(__xludf.DUMMYFUNCTION("""COMPUTED_VALUE"""),"TAA3989")</f>
        <v>TAA3989</v>
      </c>
      <c r="C363">
        <f>IFERROR(__xludf.DUMMYFUNCTION("""COMPUTED_VALUE"""),1007024.0)</f>
        <v>1007024</v>
      </c>
      <c r="D363" t="str">
        <f>IFERROR(__xludf.DUMMYFUNCTION("""COMPUTED_VALUE"""),"Ms.")</f>
        <v>Ms.</v>
      </c>
      <c r="E363" t="str">
        <f>IFERROR(__xludf.DUMMYFUNCTION("""COMPUTED_VALUE"""),"Darin")</f>
        <v>Darin</v>
      </c>
      <c r="F363" t="str">
        <f>IFERROR(__xludf.DUMMYFUNCTION("""COMPUTED_VALUE"""),"Yamalee")</f>
        <v>Yamalee</v>
      </c>
      <c r="G363" t="str">
        <f>IFERROR(__xludf.DUMMYFUNCTION("""COMPUTED_VALUE"""),"Darin Yamalee")</f>
        <v>Darin Yamalee</v>
      </c>
      <c r="H363" t="str">
        <f>IFERROR(__xludf.DUMMYFUNCTION("""COMPUTED_VALUE"""),"นางสาว")</f>
        <v>นางสาว</v>
      </c>
      <c r="I363" t="str">
        <f>IFERROR(__xludf.DUMMYFUNCTION("""COMPUTED_VALUE"""),"ดารินทร์")</f>
        <v>ดารินทร์</v>
      </c>
      <c r="J363" t="str">
        <f>IFERROR(__xludf.DUMMYFUNCTION("""COMPUTED_VALUE"""),"ยามาลี")</f>
        <v>ยามาลี</v>
      </c>
      <c r="K363" t="str">
        <f>IFERROR(__xludf.DUMMYFUNCTION("""COMPUTED_VALUE"""),"ดารินทร์ ยามาลี")</f>
        <v>ดารินทร์ ยามาลี</v>
      </c>
      <c r="L363" t="str">
        <f>IFERROR(__xludf.DUMMYFUNCTION("""COMPUTED_VALUE"""),"ผักบุ้ง")</f>
        <v>ผักบุ้ง</v>
      </c>
      <c r="M363" t="str">
        <f>IFERROR(__xludf.DUMMYFUNCTION("""COMPUTED_VALUE"""),"Senior Cabin Crew")</f>
        <v>Senior Cabin Crew</v>
      </c>
      <c r="N363" t="str">
        <f>IFERROR(__xludf.DUMMYFUNCTION("""COMPUTED_VALUE"""),"DMK")</f>
        <v>DMK</v>
      </c>
      <c r="O363" s="145" t="str">
        <f>IFERROR(__xludf.DUMMYFUNCTION("""COMPUTED_VALUE"""),"Nhui Home")</f>
        <v>Nhui Home</v>
      </c>
      <c r="P363" t="str">
        <f>IFERROR(__xludf.DUMMYFUNCTION("""COMPUTED_VALUE"""),"Active")</f>
        <v>Active</v>
      </c>
      <c r="R363" s="143">
        <f>IFERROR(__xludf.DUMMYFUNCTION("""COMPUTED_VALUE"""),32272.0)</f>
        <v>32272</v>
      </c>
      <c r="S363" s="146" t="str">
        <f>IFERROR(__xludf.DUMMYFUNCTION("""COMPUTED_VALUE"""),"086 666 9299")</f>
        <v>086 666 9299</v>
      </c>
      <c r="T363" s="147" t="str">
        <f>IFERROR(__xludf.DUMMYFUNCTION("""COMPUTED_VALUE"""),"1100700-83-3096")</f>
        <v>1100700-83-3096</v>
      </c>
      <c r="U363" t="str">
        <f>IFERROR(__xludf.DUMMYFUNCTION("""COMPUTED_VALUE"""),"AC6223670")</f>
        <v>AC6223670</v>
      </c>
      <c r="V363" s="148">
        <f>IFERROR(__xludf.DUMMYFUNCTION("""COMPUTED_VALUE"""),45299.0)</f>
        <v>45299</v>
      </c>
      <c r="W363" s="148">
        <f>IFERROR(__xludf.DUMMYFUNCTION("""COMPUTED_VALUE"""),48951.0)</f>
        <v>48951</v>
      </c>
      <c r="X363" s="149">
        <f>IFERROR(__xludf.DUMMYFUNCTION("""COMPUTED_VALUE"""),48767.0)</f>
        <v>48767</v>
      </c>
      <c r="Y363" t="str">
        <f>IFERROR(__xludf.DUMMYFUNCTION("""COMPUTED_VALUE"""),"ปลอดภัย")</f>
        <v>ปลอดภัย</v>
      </c>
      <c r="Z363" t="str">
        <f>IFERROR(__xludf.DUMMYFUNCTION("""COMPUTED_VALUE"""),"Bangkok")</f>
        <v>Bangkok</v>
      </c>
      <c r="AA363" t="str">
        <f>IFERROR(__xludf.DUMMYFUNCTION("""COMPUTED_VALUE"""),"Donmueang")</f>
        <v>Donmueang</v>
      </c>
      <c r="AB363" t="str">
        <f>IFERROR(__xludf.DUMMYFUNCTION("""COMPUTED_VALUE"""),"090 970 7908")</f>
        <v>090 970 7908</v>
      </c>
      <c r="AC363" t="str">
        <f>IFERROR(__xludf.DUMMYFUNCTION("""COMPUTED_VALUE"""),"Saranya Sister")</f>
        <v>Saranya Sister</v>
      </c>
      <c r="AD363" t="str">
        <f>IFERROR(__xludf.DUMMYFUNCTION("""COMPUTED_VALUE"""),"dariny@airasia.com")</f>
        <v>dariny@airasia.com</v>
      </c>
    </row>
    <row r="364">
      <c r="A364" s="142">
        <f>IFERROR(__xludf.DUMMYFUNCTION("""COMPUTED_VALUE"""),53.0)</f>
        <v>53</v>
      </c>
      <c r="B364" t="str">
        <f>IFERROR(__xludf.DUMMYFUNCTION("""COMPUTED_VALUE"""),"TAA3982")</f>
        <v>TAA3982</v>
      </c>
      <c r="C364">
        <f>IFERROR(__xludf.DUMMYFUNCTION("""COMPUTED_VALUE"""),1007025.0)</f>
        <v>1007025</v>
      </c>
      <c r="D364" t="str">
        <f>IFERROR(__xludf.DUMMYFUNCTION("""COMPUTED_VALUE"""),"Mr.")</f>
        <v>Mr.</v>
      </c>
      <c r="E364" t="str">
        <f>IFERROR(__xludf.DUMMYFUNCTION("""COMPUTED_VALUE"""),"Jirayutt")</f>
        <v>Jirayutt</v>
      </c>
      <c r="F364" t="str">
        <f>IFERROR(__xludf.DUMMYFUNCTION("""COMPUTED_VALUE"""),"Tungmunkij")</f>
        <v>Tungmunkij</v>
      </c>
      <c r="G364" t="str">
        <f>IFERROR(__xludf.DUMMYFUNCTION("""COMPUTED_VALUE"""),"Jirayutt Tungmunkij")</f>
        <v>Jirayutt Tungmunkij</v>
      </c>
      <c r="H364" t="str">
        <f>IFERROR(__xludf.DUMMYFUNCTION("""COMPUTED_VALUE"""),"นาย")</f>
        <v>นาย</v>
      </c>
      <c r="I364" t="str">
        <f>IFERROR(__xludf.DUMMYFUNCTION("""COMPUTED_VALUE"""),"จิรยุทธ")</f>
        <v>จิรยุทธ</v>
      </c>
      <c r="J364" t="str">
        <f>IFERROR(__xludf.DUMMYFUNCTION("""COMPUTED_VALUE"""),"ตั้งหมั่นกิจ")</f>
        <v>ตั้งหมั่นกิจ</v>
      </c>
      <c r="K364" t="str">
        <f>IFERROR(__xludf.DUMMYFUNCTION("""COMPUTED_VALUE"""),"จิรยุทธ ตั้งหมั่นกิจ")</f>
        <v>จิรยุทธ ตั้งหมั่นกิจ</v>
      </c>
      <c r="L364" t="str">
        <f>IFERROR(__xludf.DUMMYFUNCTION("""COMPUTED_VALUE"""),"คิว")</f>
        <v>คิว</v>
      </c>
      <c r="M364" t="str">
        <f>IFERROR(__xludf.DUMMYFUNCTION("""COMPUTED_VALUE"""),"Cabin Crew - CNX")</f>
        <v>Cabin Crew - CNX</v>
      </c>
      <c r="N364" t="str">
        <f>IFERROR(__xludf.DUMMYFUNCTION("""COMPUTED_VALUE"""),"CNX")</f>
        <v>CNX</v>
      </c>
      <c r="O364" s="145" t="str">
        <f>IFERROR(__xludf.DUMMYFUNCTION("""COMPUTED_VALUE"""),"Up Home")</f>
        <v>Up Home</v>
      </c>
      <c r="P364" t="str">
        <f>IFERROR(__xludf.DUMMYFUNCTION("""COMPUTED_VALUE"""),"Active")</f>
        <v>Active</v>
      </c>
      <c r="R364" s="143">
        <f>IFERROR(__xludf.DUMMYFUNCTION("""COMPUTED_VALUE"""),30664.0)</f>
        <v>30664</v>
      </c>
      <c r="S364" s="146" t="str">
        <f>IFERROR(__xludf.DUMMYFUNCTION("""COMPUTED_VALUE"""),"089 999 4191")</f>
        <v>089 999 4191</v>
      </c>
      <c r="T364" s="147" t="str">
        <f>IFERROR(__xludf.DUMMYFUNCTION("""COMPUTED_VALUE"""),"3120101-24-7897")</f>
        <v>3120101-24-7897</v>
      </c>
      <c r="U364" t="str">
        <f>IFERROR(__xludf.DUMMYFUNCTION("""COMPUTED_VALUE"""),"AD1361872")</f>
        <v>AD1361872</v>
      </c>
      <c r="V364" s="148">
        <f>IFERROR(__xludf.DUMMYFUNCTION("""COMPUTED_VALUE"""),45356.0)</f>
        <v>45356</v>
      </c>
      <c r="W364" s="148">
        <f>IFERROR(__xludf.DUMMYFUNCTION("""COMPUTED_VALUE"""),49007.0)</f>
        <v>49007</v>
      </c>
      <c r="X364" s="149">
        <f>IFERROR(__xludf.DUMMYFUNCTION("""COMPUTED_VALUE"""),48826.0)</f>
        <v>48826</v>
      </c>
      <c r="Y364" t="str">
        <f>IFERROR(__xludf.DUMMYFUNCTION("""COMPUTED_VALUE"""),"ปลอดภัย")</f>
        <v>ปลอดภัย</v>
      </c>
      <c r="Z364" t="str">
        <f>IFERROR(__xludf.DUMMYFUNCTION("""COMPUTED_VALUE"""),"Bangkok")</f>
        <v>Bangkok</v>
      </c>
      <c r="AA364" t="str">
        <f>IFERROR(__xludf.DUMMYFUNCTION("""COMPUTED_VALUE"""),"Bangkhan")</f>
        <v>Bangkhan</v>
      </c>
      <c r="AB364" t="str">
        <f>IFERROR(__xludf.DUMMYFUNCTION("""COMPUTED_VALUE"""),"081 724 8842")</f>
        <v>081 724 8842</v>
      </c>
      <c r="AC364" t="str">
        <f>IFERROR(__xludf.DUMMYFUNCTION("""COMPUTED_VALUE"""),"Big Sister")</f>
        <v>Big Sister</v>
      </c>
      <c r="AD364" t="str">
        <f>IFERROR(__xludf.DUMMYFUNCTION("""COMPUTED_VALUE"""),"jirayuttt@airasia.com")</f>
        <v>jirayuttt@airasia.com</v>
      </c>
    </row>
    <row r="365">
      <c r="A365" s="142">
        <f>IFERROR(__xludf.DUMMYFUNCTION("""COMPUTED_VALUE"""),53.0)</f>
        <v>53</v>
      </c>
      <c r="B365" t="str">
        <f>IFERROR(__xludf.DUMMYFUNCTION("""COMPUTED_VALUE"""),"TAA3987")</f>
        <v>TAA3987</v>
      </c>
      <c r="C365">
        <f>IFERROR(__xludf.DUMMYFUNCTION("""COMPUTED_VALUE"""),1007026.0)</f>
        <v>1007026</v>
      </c>
      <c r="D365" t="str">
        <f>IFERROR(__xludf.DUMMYFUNCTION("""COMPUTED_VALUE"""),"Ms.")</f>
        <v>Ms.</v>
      </c>
      <c r="E365" t="str">
        <f>IFERROR(__xludf.DUMMYFUNCTION("""COMPUTED_VALUE"""),"Kwanrapee")</f>
        <v>Kwanrapee</v>
      </c>
      <c r="F365" t="str">
        <f>IFERROR(__xludf.DUMMYFUNCTION("""COMPUTED_VALUE"""),"Satayayookt")</f>
        <v>Satayayookt</v>
      </c>
      <c r="G365" t="str">
        <f>IFERROR(__xludf.DUMMYFUNCTION("""COMPUTED_VALUE"""),"Kwanrapee Satayayookt")</f>
        <v>Kwanrapee Satayayookt</v>
      </c>
      <c r="H365" t="str">
        <f>IFERROR(__xludf.DUMMYFUNCTION("""COMPUTED_VALUE"""),"นางสาว")</f>
        <v>นางสาว</v>
      </c>
      <c r="I365" t="str">
        <f>IFERROR(__xludf.DUMMYFUNCTION("""COMPUTED_VALUE"""),"ขวัญระพี")</f>
        <v>ขวัญระพี</v>
      </c>
      <c r="J365" t="str">
        <f>IFERROR(__xludf.DUMMYFUNCTION("""COMPUTED_VALUE"""),"สัตยะยุกต์")</f>
        <v>สัตยะยุกต์</v>
      </c>
      <c r="K365" t="str">
        <f>IFERROR(__xludf.DUMMYFUNCTION("""COMPUTED_VALUE"""),"ขวัญระพี สัตยะยุกต์")</f>
        <v>ขวัญระพี สัตยะยุกต์</v>
      </c>
      <c r="L365" t="str">
        <f>IFERROR(__xludf.DUMMYFUNCTION("""COMPUTED_VALUE"""),"Kwan")</f>
        <v>Kwan</v>
      </c>
      <c r="M365" t="str">
        <f>IFERROR(__xludf.DUMMYFUNCTION("""COMPUTED_VALUE"""),"Cabin Crew")</f>
        <v>Cabin Crew</v>
      </c>
      <c r="N365" t="str">
        <f>IFERROR(__xludf.DUMMYFUNCTION("""COMPUTED_VALUE"""),"DMK")</f>
        <v>DMK</v>
      </c>
      <c r="O365" s="145" t="str">
        <f>IFERROR(__xludf.DUMMYFUNCTION("""COMPUTED_VALUE"""),"Toffy Home")</f>
        <v>Toffy Home</v>
      </c>
      <c r="P365" t="str">
        <f>IFERROR(__xludf.DUMMYFUNCTION("""COMPUTED_VALUE"""),"Active")</f>
        <v>Active</v>
      </c>
      <c r="R365" s="143">
        <f>IFERROR(__xludf.DUMMYFUNCTION("""COMPUTED_VALUE"""),30140.0)</f>
        <v>30140</v>
      </c>
      <c r="S365" s="146" t="str">
        <f>IFERROR(__xludf.DUMMYFUNCTION("""COMPUTED_VALUE"""),"086 011 6668")</f>
        <v>086 011 6668</v>
      </c>
      <c r="T365" s="147" t="str">
        <f>IFERROR(__xludf.DUMMYFUNCTION("""COMPUTED_VALUE"""),"3101403-48-5244")</f>
        <v>3101403-48-5244</v>
      </c>
      <c r="U365" t="str">
        <f>IFERROR(__xludf.DUMMYFUNCTION("""COMPUTED_VALUE"""),"AD1785403")</f>
        <v>AD1785403</v>
      </c>
      <c r="V365" s="148">
        <f>IFERROR(__xludf.DUMMYFUNCTION("""COMPUTED_VALUE"""),45454.0)</f>
        <v>45454</v>
      </c>
      <c r="W365" s="148">
        <f>IFERROR(__xludf.DUMMYFUNCTION("""COMPUTED_VALUE"""),47279.0)</f>
        <v>47279</v>
      </c>
      <c r="X365" s="149">
        <f>IFERROR(__xludf.DUMMYFUNCTION("""COMPUTED_VALUE"""),47097.0)</f>
        <v>47097</v>
      </c>
      <c r="Y365" t="str">
        <f>IFERROR(__xludf.DUMMYFUNCTION("""COMPUTED_VALUE"""),"ปลอดภัย")</f>
        <v>ปลอดภัย</v>
      </c>
      <c r="Z365" t="str">
        <f>IFERROR(__xludf.DUMMYFUNCTION("""COMPUTED_VALUE"""),"Bangkok")</f>
        <v>Bangkok</v>
      </c>
      <c r="AA365" t="str">
        <f>IFERROR(__xludf.DUMMYFUNCTION("""COMPUTED_VALUE"""),"Wang Thong Lhang")</f>
        <v>Wang Thong Lhang</v>
      </c>
      <c r="AB365" t="str">
        <f>IFERROR(__xludf.DUMMYFUNCTION("""COMPUTED_VALUE"""),"02 514 2057 / 081 814 3116")</f>
        <v>02 514 2057 / 081 814 3116</v>
      </c>
      <c r="AC365" t="str">
        <f>IFERROR(__xludf.DUMMYFUNCTION("""COMPUTED_VALUE"""),"Home / Reerarat")</f>
        <v>Home / Reerarat</v>
      </c>
      <c r="AD365" t="str">
        <f>IFERROR(__xludf.DUMMYFUNCTION("""COMPUTED_VALUE"""),"kwanrapees@airasia.com")</f>
        <v>kwanrapees@airasia.com</v>
      </c>
    </row>
    <row r="366">
      <c r="A366" s="142">
        <f>IFERROR(__xludf.DUMMYFUNCTION("""COMPUTED_VALUE"""),53.0)</f>
        <v>53</v>
      </c>
      <c r="B366" t="str">
        <f>IFERROR(__xludf.DUMMYFUNCTION("""COMPUTED_VALUE"""),"TAA3984")</f>
        <v>TAA3984</v>
      </c>
      <c r="C366">
        <f>IFERROR(__xludf.DUMMYFUNCTION("""COMPUTED_VALUE"""),1007027.0)</f>
        <v>1007027</v>
      </c>
      <c r="D366" t="str">
        <f>IFERROR(__xludf.DUMMYFUNCTION("""COMPUTED_VALUE"""),"Ms.")</f>
        <v>Ms.</v>
      </c>
      <c r="E366" t="str">
        <f>IFERROR(__xludf.DUMMYFUNCTION("""COMPUTED_VALUE"""),"Naphaphat")</f>
        <v>Naphaphat</v>
      </c>
      <c r="F366" t="str">
        <f>IFERROR(__xludf.DUMMYFUNCTION("""COMPUTED_VALUE"""),"Narapirapong")</f>
        <v>Narapirapong</v>
      </c>
      <c r="G366" t="str">
        <f>IFERROR(__xludf.DUMMYFUNCTION("""COMPUTED_VALUE"""),"Naphaphat Narapirapong")</f>
        <v>Naphaphat Narapirapong</v>
      </c>
      <c r="H366" t="str">
        <f>IFERROR(__xludf.DUMMYFUNCTION("""COMPUTED_VALUE"""),"นางสาว")</f>
        <v>นางสาว</v>
      </c>
      <c r="I366" t="str">
        <f>IFERROR(__xludf.DUMMYFUNCTION("""COMPUTED_VALUE"""),"ณภาภัช")</f>
        <v>ณภาภัช</v>
      </c>
      <c r="J366" t="str">
        <f>IFERROR(__xludf.DUMMYFUNCTION("""COMPUTED_VALUE"""),"นราภิรพงศ์")</f>
        <v>นราภิรพงศ์</v>
      </c>
      <c r="K366" t="str">
        <f>IFERROR(__xludf.DUMMYFUNCTION("""COMPUTED_VALUE"""),"ณภาภัช นราภิรพงศ์")</f>
        <v>ณภาภัช นราภิรพงศ์</v>
      </c>
      <c r="L366" t="str">
        <f>IFERROR(__xludf.DUMMYFUNCTION("""COMPUTED_VALUE"""),"Lily")</f>
        <v>Lily</v>
      </c>
      <c r="M366" t="str">
        <f>IFERROR(__xludf.DUMMYFUNCTION("""COMPUTED_VALUE"""),"Cabin Crew")</f>
        <v>Cabin Crew</v>
      </c>
      <c r="N366" t="str">
        <f>IFERROR(__xludf.DUMMYFUNCTION("""COMPUTED_VALUE"""),"DMK")</f>
        <v>DMK</v>
      </c>
      <c r="O366" s="145" t="str">
        <f>IFERROR(__xludf.DUMMYFUNCTION("""COMPUTED_VALUE"""),"Namfon Home")</f>
        <v>Namfon Home</v>
      </c>
      <c r="P366" t="str">
        <f>IFERROR(__xludf.DUMMYFUNCTION("""COMPUTED_VALUE"""),"Active")</f>
        <v>Active</v>
      </c>
      <c r="R366" s="143">
        <f>IFERROR(__xludf.DUMMYFUNCTION("""COMPUTED_VALUE"""),32150.0)</f>
        <v>32150</v>
      </c>
      <c r="S366" s="146" t="str">
        <f>IFERROR(__xludf.DUMMYFUNCTION("""COMPUTED_VALUE"""),"096 265 1956")</f>
        <v>096 265 1956</v>
      </c>
      <c r="T366" s="147" t="str">
        <f>IFERROR(__xludf.DUMMYFUNCTION("""COMPUTED_VALUE"""),"1101401-18-4291")</f>
        <v>1101401-18-4291</v>
      </c>
      <c r="U366" t="str">
        <f>IFERROR(__xludf.DUMMYFUNCTION("""COMPUTED_VALUE"""),"AC4225399")</f>
        <v>AC4225399</v>
      </c>
      <c r="V366" s="148">
        <f>IFERROR(__xludf.DUMMYFUNCTION("""COMPUTED_VALUE"""),44902.0)</f>
        <v>44902</v>
      </c>
      <c r="W366" s="148">
        <f>IFERROR(__xludf.DUMMYFUNCTION("""COMPUTED_VALUE"""),48554.0)</f>
        <v>48554</v>
      </c>
      <c r="X366" s="149">
        <f>IFERROR(__xludf.DUMMYFUNCTION("""COMPUTED_VALUE"""),48371.0)</f>
        <v>48371</v>
      </c>
      <c r="Y366" t="str">
        <f>IFERROR(__xludf.DUMMYFUNCTION("""COMPUTED_VALUE"""),"ปลอดภัย")</f>
        <v>ปลอดภัย</v>
      </c>
      <c r="Z366" t="str">
        <f>IFERROR(__xludf.DUMMYFUNCTION("""COMPUTED_VALUE"""),"Bangkok")</f>
        <v>Bangkok</v>
      </c>
      <c r="AA366" t="str">
        <f>IFERROR(__xludf.DUMMYFUNCTION("""COMPUTED_VALUE"""),"Ladprao")</f>
        <v>Ladprao</v>
      </c>
      <c r="AB366" t="str">
        <f>IFERROR(__xludf.DUMMYFUNCTION("""COMPUTED_VALUE"""),"02 940 3068 / 087 596 0636")</f>
        <v>02 940 3068 / 087 596 0636</v>
      </c>
      <c r="AC366" t="str">
        <f>IFERROR(__xludf.DUMMYFUNCTION("""COMPUTED_VALUE"""),"Home / Monchaya")</f>
        <v>Home / Monchaya</v>
      </c>
      <c r="AD366" t="str">
        <f>IFERROR(__xludf.DUMMYFUNCTION("""COMPUTED_VALUE"""),"naphaphatn@airasia.com")</f>
        <v>naphaphatn@airasia.com</v>
      </c>
    </row>
    <row r="367">
      <c r="A367" s="142">
        <f>IFERROR(__xludf.DUMMYFUNCTION("""COMPUTED_VALUE"""),53.0)</f>
        <v>53</v>
      </c>
      <c r="B367" t="str">
        <f>IFERROR(__xludf.DUMMYFUNCTION("""COMPUTED_VALUE"""),"TAA3980")</f>
        <v>TAA3980</v>
      </c>
      <c r="C367">
        <f>IFERROR(__xludf.DUMMYFUNCTION("""COMPUTED_VALUE"""),1007029.0)</f>
        <v>1007029</v>
      </c>
      <c r="D367" t="str">
        <f>IFERROR(__xludf.DUMMYFUNCTION("""COMPUTED_VALUE"""),"Ms.")</f>
        <v>Ms.</v>
      </c>
      <c r="E367" t="str">
        <f>IFERROR(__xludf.DUMMYFUNCTION("""COMPUTED_VALUE"""),"Pitchaya (Jinnipha)")</f>
        <v>Pitchaya (Jinnipha)</v>
      </c>
      <c r="F367" t="str">
        <f>IFERROR(__xludf.DUMMYFUNCTION("""COMPUTED_VALUE"""),"Dalai (Viskul)")</f>
        <v>Dalai (Viskul)</v>
      </c>
      <c r="G367" t="str">
        <f>IFERROR(__xludf.DUMMYFUNCTION("""COMPUTED_VALUE"""),"Pitchaya Dalai")</f>
        <v>Pitchaya Dalai</v>
      </c>
      <c r="H367" t="str">
        <f>IFERROR(__xludf.DUMMYFUNCTION("""COMPUTED_VALUE"""),"นางสาว")</f>
        <v>นางสาว</v>
      </c>
      <c r="I367" t="str">
        <f>IFERROR(__xludf.DUMMYFUNCTION("""COMPUTED_VALUE"""),"พิชญา")</f>
        <v>พิชญา</v>
      </c>
      <c r="J367" t="str">
        <f>IFERROR(__xludf.DUMMYFUNCTION("""COMPUTED_VALUE"""),"ดาหลาย")</f>
        <v>ดาหลาย</v>
      </c>
      <c r="K367" t="str">
        <f>IFERROR(__xludf.DUMMYFUNCTION("""COMPUTED_VALUE"""),"พิชญา ดาหลาย")</f>
        <v>พิชญา ดาหลาย</v>
      </c>
      <c r="L367" t="str">
        <f>IFERROR(__xludf.DUMMYFUNCTION("""COMPUTED_VALUE"""),"เฌอรี่")</f>
        <v>เฌอรี่</v>
      </c>
      <c r="M367" t="str">
        <f>IFERROR(__xludf.DUMMYFUNCTION("""COMPUTED_VALUE"""),"Cabin Crew")</f>
        <v>Cabin Crew</v>
      </c>
      <c r="N367" t="str">
        <f>IFERROR(__xludf.DUMMYFUNCTION("""COMPUTED_VALUE"""),"DMK")</f>
        <v>DMK</v>
      </c>
      <c r="O367" s="145" t="str">
        <f>IFERROR(__xludf.DUMMYFUNCTION("""COMPUTED_VALUE"""),"Toffy Home")</f>
        <v>Toffy Home</v>
      </c>
      <c r="P367" t="str">
        <f>IFERROR(__xludf.DUMMYFUNCTION("""COMPUTED_VALUE"""),"Active")</f>
        <v>Active</v>
      </c>
      <c r="R367" s="143">
        <f>IFERROR(__xludf.DUMMYFUNCTION("""COMPUTED_VALUE"""),31520.0)</f>
        <v>31520</v>
      </c>
      <c r="S367" s="146" t="str">
        <f>IFERROR(__xludf.DUMMYFUNCTION("""COMPUTED_VALUE"""),"099 654 9299")</f>
        <v>099 654 9299</v>
      </c>
      <c r="T367" s="147" t="str">
        <f>IFERROR(__xludf.DUMMYFUNCTION("""COMPUTED_VALUE"""),"190980-13-7726")</f>
        <v>190980-13-7726</v>
      </c>
      <c r="U367" t="str">
        <f>IFERROR(__xludf.DUMMYFUNCTION("""COMPUTED_VALUE"""),"AC2341687")</f>
        <v>AC2341687</v>
      </c>
      <c r="V367" s="148">
        <f>IFERROR(__xludf.DUMMYFUNCTION("""COMPUTED_VALUE"""),44382.0)</f>
        <v>44382</v>
      </c>
      <c r="W367" s="148">
        <f>IFERROR(__xludf.DUMMYFUNCTION("""COMPUTED_VALUE"""),48033.0)</f>
        <v>48033</v>
      </c>
      <c r="X367" s="149">
        <f>IFERROR(__xludf.DUMMYFUNCTION("""COMPUTED_VALUE"""),47852.0)</f>
        <v>47852</v>
      </c>
      <c r="Y367" t="str">
        <f>IFERROR(__xludf.DUMMYFUNCTION("""COMPUTED_VALUE"""),"ปลอดภัย")</f>
        <v>ปลอดภัย</v>
      </c>
      <c r="Z367" t="str">
        <f>IFERROR(__xludf.DUMMYFUNCTION("""COMPUTED_VALUE"""),"Songkhla Province")</f>
        <v>Songkhla Province</v>
      </c>
      <c r="AA367" t="str">
        <f>IFERROR(__xludf.DUMMYFUNCTION("""COMPUTED_VALUE"""),"Bueng Kum")</f>
        <v>Bueng Kum</v>
      </c>
      <c r="AB367" t="str">
        <f>IFERROR(__xludf.DUMMYFUNCTION("""COMPUTED_VALUE"""),"083 426 4608")</f>
        <v>083 426 4608</v>
      </c>
      <c r="AC367" t="str">
        <f>IFERROR(__xludf.DUMMYFUNCTION("""COMPUTED_VALUE"""),"Kasiwat Dalai")</f>
        <v>Kasiwat Dalai</v>
      </c>
      <c r="AD367" t="str">
        <f>IFERROR(__xludf.DUMMYFUNCTION("""COMPUTED_VALUE"""),"pitchayad@airasia.com")</f>
        <v>pitchayad@airasia.com</v>
      </c>
    </row>
    <row r="368">
      <c r="A368" s="142">
        <f>IFERROR(__xludf.DUMMYFUNCTION("""COMPUTED_VALUE"""),53.0)</f>
        <v>53</v>
      </c>
      <c r="B368" t="str">
        <f>IFERROR(__xludf.DUMMYFUNCTION("""COMPUTED_VALUE"""),"TAA3988")</f>
        <v>TAA3988</v>
      </c>
      <c r="C368">
        <f>IFERROR(__xludf.DUMMYFUNCTION("""COMPUTED_VALUE"""),1007030.0)</f>
        <v>1007030</v>
      </c>
      <c r="D368" t="str">
        <f>IFERROR(__xludf.DUMMYFUNCTION("""COMPUTED_VALUE"""),"Mr.")</f>
        <v>Mr.</v>
      </c>
      <c r="E368" t="str">
        <f>IFERROR(__xludf.DUMMYFUNCTION("""COMPUTED_VALUE"""),"Poramate")</f>
        <v>Poramate</v>
      </c>
      <c r="F368" t="str">
        <f>IFERROR(__xludf.DUMMYFUNCTION("""COMPUTED_VALUE"""),"Rattanaseksun")</f>
        <v>Rattanaseksun</v>
      </c>
      <c r="G368" t="str">
        <f>IFERROR(__xludf.DUMMYFUNCTION("""COMPUTED_VALUE"""),"Poramate Rattanaseksun")</f>
        <v>Poramate Rattanaseksun</v>
      </c>
      <c r="H368" t="str">
        <f>IFERROR(__xludf.DUMMYFUNCTION("""COMPUTED_VALUE"""),"นาย")</f>
        <v>นาย</v>
      </c>
      <c r="I368" t="str">
        <f>IFERROR(__xludf.DUMMYFUNCTION("""COMPUTED_VALUE"""),"ปรเมฎฐ์")</f>
        <v>ปรเมฎฐ์</v>
      </c>
      <c r="J368" t="str">
        <f>IFERROR(__xludf.DUMMYFUNCTION("""COMPUTED_VALUE"""),"รัตนาเสกสรรค์")</f>
        <v>รัตนาเสกสรรค์</v>
      </c>
      <c r="K368" t="str">
        <f>IFERROR(__xludf.DUMMYFUNCTION("""COMPUTED_VALUE"""),"ปรเมฎฐ์ รัตนาเสกสรรค์")</f>
        <v>ปรเมฎฐ์ รัตนาเสกสรรค์</v>
      </c>
      <c r="L368" t="str">
        <f>IFERROR(__xludf.DUMMYFUNCTION("""COMPUTED_VALUE"""),"Pup")</f>
        <v>Pup</v>
      </c>
      <c r="M368" t="str">
        <f>IFERROR(__xludf.DUMMYFUNCTION("""COMPUTED_VALUE"""),"Senior Cabin Crew")</f>
        <v>Senior Cabin Crew</v>
      </c>
      <c r="N368" t="str">
        <f>IFERROR(__xludf.DUMMYFUNCTION("""COMPUTED_VALUE"""),"DMK")</f>
        <v>DMK</v>
      </c>
      <c r="O368" s="145" t="str">
        <f>IFERROR(__xludf.DUMMYFUNCTION("""COMPUTED_VALUE"""),"Namfon Home")</f>
        <v>Namfon Home</v>
      </c>
      <c r="P368" t="str">
        <f>IFERROR(__xludf.DUMMYFUNCTION("""COMPUTED_VALUE"""),"Active")</f>
        <v>Active</v>
      </c>
      <c r="R368" s="143">
        <f>IFERROR(__xludf.DUMMYFUNCTION("""COMPUTED_VALUE"""),32428.0)</f>
        <v>32428</v>
      </c>
      <c r="S368" s="146" t="str">
        <f>IFERROR(__xludf.DUMMYFUNCTION("""COMPUTED_VALUE"""),"061-529-9916")</f>
        <v>061-529-9916</v>
      </c>
      <c r="T368" s="147" t="str">
        <f>IFERROR(__xludf.DUMMYFUNCTION("""COMPUTED_VALUE"""),"1101200-13-8993")</f>
        <v>1101200-13-8993</v>
      </c>
      <c r="U368" t="str">
        <f>IFERROR(__xludf.DUMMYFUNCTION("""COMPUTED_VALUE"""),"AC7133470")</f>
        <v>AC7133470</v>
      </c>
      <c r="V368" s="148">
        <f>IFERROR(__xludf.DUMMYFUNCTION("""COMPUTED_VALUE"""),45496.0)</f>
        <v>45496</v>
      </c>
      <c r="W368" s="148">
        <f>IFERROR(__xludf.DUMMYFUNCTION("""COMPUTED_VALUE"""),49147.0)</f>
        <v>49147</v>
      </c>
      <c r="X368" s="149">
        <f>IFERROR(__xludf.DUMMYFUNCTION("""COMPUTED_VALUE"""),48966.0)</f>
        <v>48966</v>
      </c>
      <c r="Y368" t="str">
        <f>IFERROR(__xludf.DUMMYFUNCTION("""COMPUTED_VALUE"""),"ปลอดภัย")</f>
        <v>ปลอดภัย</v>
      </c>
      <c r="Z368" t="str">
        <f>IFERROR(__xludf.DUMMYFUNCTION("""COMPUTED_VALUE"""),"Bangkok")</f>
        <v>Bangkok</v>
      </c>
      <c r="AA368" t="str">
        <f>IFERROR(__xludf.DUMMYFUNCTION("""COMPUTED_VALUE"""),"Bang Khae")</f>
        <v>Bang Khae</v>
      </c>
      <c r="AB368" t="str">
        <f>IFERROR(__xludf.DUMMYFUNCTION("""COMPUTED_VALUE"""),"02 865 4034 / 089 924 8824")</f>
        <v>02 865 4034 / 089 924 8824</v>
      </c>
      <c r="AC368" t="str">
        <f>IFERROR(__xludf.DUMMYFUNCTION("""COMPUTED_VALUE"""),"Home / Father")</f>
        <v>Home / Father</v>
      </c>
      <c r="AD368" t="str">
        <f>IFERROR(__xludf.DUMMYFUNCTION("""COMPUTED_VALUE"""),"poramater@airasia.com")</f>
        <v>poramater@airasia.com</v>
      </c>
    </row>
    <row r="369">
      <c r="A369" s="142">
        <f>IFERROR(__xludf.DUMMYFUNCTION("""COMPUTED_VALUE"""),53.0)</f>
        <v>53</v>
      </c>
      <c r="B369" t="str">
        <f>IFERROR(__xludf.DUMMYFUNCTION("""COMPUTED_VALUE"""),"TAA3997")</f>
        <v>TAA3997</v>
      </c>
      <c r="C369">
        <f>IFERROR(__xludf.DUMMYFUNCTION("""COMPUTED_VALUE"""),1007032.0)</f>
        <v>1007032</v>
      </c>
      <c r="D369" t="str">
        <f>IFERROR(__xludf.DUMMYFUNCTION("""COMPUTED_VALUE"""),"Ms.")</f>
        <v>Ms.</v>
      </c>
      <c r="E369" t="str">
        <f>IFERROR(__xludf.DUMMYFUNCTION("""COMPUTED_VALUE"""),"Praew")</f>
        <v>Praew</v>
      </c>
      <c r="F369" t="str">
        <f>IFERROR(__xludf.DUMMYFUNCTION("""COMPUTED_VALUE"""),"Kijsuwan")</f>
        <v>Kijsuwan</v>
      </c>
      <c r="G369" t="str">
        <f>IFERROR(__xludf.DUMMYFUNCTION("""COMPUTED_VALUE"""),"Praew Kijsuwan")</f>
        <v>Praew Kijsuwan</v>
      </c>
      <c r="H369" t="str">
        <f>IFERROR(__xludf.DUMMYFUNCTION("""COMPUTED_VALUE"""),"นางสาว")</f>
        <v>นางสาว</v>
      </c>
      <c r="I369" t="str">
        <f>IFERROR(__xludf.DUMMYFUNCTION("""COMPUTED_VALUE"""),"แพรว")</f>
        <v>แพรว</v>
      </c>
      <c r="J369" t="str">
        <f>IFERROR(__xludf.DUMMYFUNCTION("""COMPUTED_VALUE"""),"กิจสุวรรณ")</f>
        <v>กิจสุวรรณ</v>
      </c>
      <c r="K369" t="str">
        <f>IFERROR(__xludf.DUMMYFUNCTION("""COMPUTED_VALUE"""),"แพรว กิจสุวรรณ")</f>
        <v>แพรว กิจสุวรรณ</v>
      </c>
      <c r="L369" t="str">
        <f>IFERROR(__xludf.DUMMYFUNCTION("""COMPUTED_VALUE"""),"แพรว")</f>
        <v>แพรว</v>
      </c>
      <c r="M369" t="str">
        <f>IFERROR(__xludf.DUMMYFUNCTION("""COMPUTED_VALUE"""),"Senior Cabin Crew - BKK")</f>
        <v>Senior Cabin Crew - BKK</v>
      </c>
      <c r="N369" t="str">
        <f>IFERROR(__xludf.DUMMYFUNCTION("""COMPUTED_VALUE"""),"BKK")</f>
        <v>BKK</v>
      </c>
      <c r="O369" s="145" t="str">
        <f>IFERROR(__xludf.DUMMYFUNCTION("""COMPUTED_VALUE"""),"Nhui Home")</f>
        <v>Nhui Home</v>
      </c>
      <c r="P369" t="str">
        <f>IFERROR(__xludf.DUMMYFUNCTION("""COMPUTED_VALUE"""),"Active/V/DMK")</f>
        <v>Active/V/DMK</v>
      </c>
      <c r="R369" s="143">
        <f>IFERROR(__xludf.DUMMYFUNCTION("""COMPUTED_VALUE"""),32457.0)</f>
        <v>32457</v>
      </c>
      <c r="S369" s="146" t="str">
        <f>IFERROR(__xludf.DUMMYFUNCTION("""COMPUTED_VALUE"""),"095 494 9915")</f>
        <v>095 494 9915</v>
      </c>
      <c r="T369" s="147" t="str">
        <f>IFERROR(__xludf.DUMMYFUNCTION("""COMPUTED_VALUE"""),"1100700-91-3456")</f>
        <v>1100700-91-3456</v>
      </c>
      <c r="U369" t="str">
        <f>IFERROR(__xludf.DUMMYFUNCTION("""COMPUTED_VALUE"""),"AC3000210")</f>
        <v>AC3000210</v>
      </c>
      <c r="V369" s="148">
        <f>IFERROR(__xludf.DUMMYFUNCTION("""COMPUTED_VALUE"""),44671.0)</f>
        <v>44671</v>
      </c>
      <c r="W369" s="148">
        <f>IFERROR(__xludf.DUMMYFUNCTION("""COMPUTED_VALUE"""),48323.0)</f>
        <v>48323</v>
      </c>
      <c r="X369" s="149">
        <f>IFERROR(__xludf.DUMMYFUNCTION("""COMPUTED_VALUE"""),48140.0)</f>
        <v>48140</v>
      </c>
      <c r="Y369" t="str">
        <f>IFERROR(__xludf.DUMMYFUNCTION("""COMPUTED_VALUE"""),"ปลอดภัย")</f>
        <v>ปลอดภัย</v>
      </c>
      <c r="Z369" t="str">
        <f>IFERROR(__xludf.DUMMYFUNCTION("""COMPUTED_VALUE"""),"Bangkok")</f>
        <v>Bangkok</v>
      </c>
      <c r="AA369" t="str">
        <f>IFERROR(__xludf.DUMMYFUNCTION("""COMPUTED_VALUE"""),"The star estate , Pattanakarn")</f>
        <v>The star estate , Pattanakarn</v>
      </c>
      <c r="AB369" t="str">
        <f>IFERROR(__xludf.DUMMYFUNCTION("""COMPUTED_VALUE"""),"02 322 5484 / 081 821 6042")</f>
        <v>02 322 5484 / 081 821 6042</v>
      </c>
      <c r="AC369" t="str">
        <f>IFERROR(__xludf.DUMMYFUNCTION("""COMPUTED_VALUE"""),"Home / Pattarin")</f>
        <v>Home / Pattarin</v>
      </c>
      <c r="AD369" t="str">
        <f>IFERROR(__xludf.DUMMYFUNCTION("""COMPUTED_VALUE"""),"praewk@airasia.com")</f>
        <v>praewk@airasia.com</v>
      </c>
    </row>
    <row r="370">
      <c r="A370" s="142">
        <f>IFERROR(__xludf.DUMMYFUNCTION("""COMPUTED_VALUE"""),53.0)</f>
        <v>53</v>
      </c>
      <c r="B370" t="str">
        <f>IFERROR(__xludf.DUMMYFUNCTION("""COMPUTED_VALUE"""),"TAA3977")</f>
        <v>TAA3977</v>
      </c>
      <c r="C370">
        <f>IFERROR(__xludf.DUMMYFUNCTION("""COMPUTED_VALUE"""),1007034.0)</f>
        <v>1007034</v>
      </c>
      <c r="D370" t="str">
        <f>IFERROR(__xludf.DUMMYFUNCTION("""COMPUTED_VALUE"""),"Ms.")</f>
        <v>Ms.</v>
      </c>
      <c r="E370" t="str">
        <f>IFERROR(__xludf.DUMMYFUNCTION("""COMPUTED_VALUE"""),"Raveekankate")</f>
        <v>Raveekankate</v>
      </c>
      <c r="F370" t="str">
        <f>IFERROR(__xludf.DUMMYFUNCTION("""COMPUTED_VALUE"""),"Sukasemthongdi")</f>
        <v>Sukasemthongdi</v>
      </c>
      <c r="G370" t="str">
        <f>IFERROR(__xludf.DUMMYFUNCTION("""COMPUTED_VALUE"""),"Raveekankate Sukasemthongdi")</f>
        <v>Raveekankate Sukasemthongdi</v>
      </c>
      <c r="H370" t="str">
        <f>IFERROR(__xludf.DUMMYFUNCTION("""COMPUTED_VALUE"""),"นางสาว")</f>
        <v>นางสาว</v>
      </c>
      <c r="I370" t="str">
        <f>IFERROR(__xludf.DUMMYFUNCTION("""COMPUTED_VALUE"""),"รวีกัญเกษย์")</f>
        <v>รวีกัญเกษย์</v>
      </c>
      <c r="J370" t="str">
        <f>IFERROR(__xludf.DUMMYFUNCTION("""COMPUTED_VALUE"""),"สุเกษมทองดีฐ์")</f>
        <v>สุเกษมทองดีฐ์</v>
      </c>
      <c r="K370" t="str">
        <f>IFERROR(__xludf.DUMMYFUNCTION("""COMPUTED_VALUE"""),"รวีกัญเกษย์ สุเกษมทองดีฐ์")</f>
        <v>รวีกัญเกษย์ สุเกษมทองดีฐ์</v>
      </c>
      <c r="L370" t="str">
        <f>IFERROR(__xludf.DUMMYFUNCTION("""COMPUTED_VALUE"""),"Pup")</f>
        <v>Pup</v>
      </c>
      <c r="M370" t="str">
        <f>IFERROR(__xludf.DUMMYFUNCTION("""COMPUTED_VALUE"""),"Cabin Crew")</f>
        <v>Cabin Crew</v>
      </c>
      <c r="N370" t="str">
        <f>IFERROR(__xludf.DUMMYFUNCTION("""COMPUTED_VALUE"""),"DMK")</f>
        <v>DMK</v>
      </c>
      <c r="O370" s="145" t="str">
        <f>IFERROR(__xludf.DUMMYFUNCTION("""COMPUTED_VALUE"""),"Kor Home")</f>
        <v>Kor Home</v>
      </c>
      <c r="P370" t="str">
        <f>IFERROR(__xludf.DUMMYFUNCTION("""COMPUTED_VALUE"""),"Active")</f>
        <v>Active</v>
      </c>
      <c r="Q370" t="str">
        <f>IFERROR(__xludf.DUMMYFUNCTION("""COMPUTED_VALUE"""),"Japanese Speaking")</f>
        <v>Japanese Speaking</v>
      </c>
      <c r="R370" s="143">
        <f>IFERROR(__xludf.DUMMYFUNCTION("""COMPUTED_VALUE"""),31444.0)</f>
        <v>31444</v>
      </c>
      <c r="S370" s="146" t="str">
        <f>IFERROR(__xludf.DUMMYFUNCTION("""COMPUTED_VALUE"""),"085 995 1905")</f>
        <v>085 995 1905</v>
      </c>
      <c r="T370" s="147" t="str">
        <f>IFERROR(__xludf.DUMMYFUNCTION("""COMPUTED_VALUE"""),"1959900-07-0071")</f>
        <v>1959900-07-0071</v>
      </c>
      <c r="U370" t="str">
        <f>IFERROR(__xludf.DUMMYFUNCTION("""COMPUTED_VALUE"""),"AC2558049")</f>
        <v>AC2558049</v>
      </c>
      <c r="V370" s="148">
        <f>IFERROR(__xludf.DUMMYFUNCTION("""COMPUTED_VALUE"""),44659.0)</f>
        <v>44659</v>
      </c>
      <c r="W370" s="148">
        <f>IFERROR(__xludf.DUMMYFUNCTION("""COMPUTED_VALUE"""),48311.0)</f>
        <v>48311</v>
      </c>
      <c r="X370" s="149">
        <f>IFERROR(__xludf.DUMMYFUNCTION("""COMPUTED_VALUE"""),48128.0)</f>
        <v>48128</v>
      </c>
      <c r="Y370" t="str">
        <f>IFERROR(__xludf.DUMMYFUNCTION("""COMPUTED_VALUE"""),"ปลอดภัย")</f>
        <v>ปลอดภัย</v>
      </c>
      <c r="Z370" t="str">
        <f>IFERROR(__xludf.DUMMYFUNCTION("""COMPUTED_VALUE"""),"Yala Province")</f>
        <v>Yala Province</v>
      </c>
      <c r="AA370" t="str">
        <f>IFERROR(__xludf.DUMMYFUNCTION("""COMPUTED_VALUE"""),"Donmueang")</f>
        <v>Donmueang</v>
      </c>
      <c r="AB370" t="str">
        <f>IFERROR(__xludf.DUMMYFUNCTION("""COMPUTED_VALUE"""),"02 533 5513 / 081 542 1839")</f>
        <v>02 533 5513 / 081 542 1839</v>
      </c>
      <c r="AC370" t="str">
        <f>IFERROR(__xludf.DUMMYFUNCTION("""COMPUTED_VALUE"""),"Home / Chinda")</f>
        <v>Home / Chinda</v>
      </c>
      <c r="AD370" t="str">
        <f>IFERROR(__xludf.DUMMYFUNCTION("""COMPUTED_VALUE"""),"raveekankates@airasia.com")</f>
        <v>raveekankates@airasia.com</v>
      </c>
    </row>
    <row r="371">
      <c r="A371" s="142">
        <f>IFERROR(__xludf.DUMMYFUNCTION("""COMPUTED_VALUE"""),53.0)</f>
        <v>53</v>
      </c>
      <c r="B371" t="str">
        <f>IFERROR(__xludf.DUMMYFUNCTION("""COMPUTED_VALUE"""),"TAA3981")</f>
        <v>TAA3981</v>
      </c>
      <c r="C371">
        <f>IFERROR(__xludf.DUMMYFUNCTION("""COMPUTED_VALUE"""),1007035.0)</f>
        <v>1007035</v>
      </c>
      <c r="D371" t="str">
        <f>IFERROR(__xludf.DUMMYFUNCTION("""COMPUTED_VALUE"""),"Mr.")</f>
        <v>Mr.</v>
      </c>
      <c r="E371" t="str">
        <f>IFERROR(__xludf.DUMMYFUNCTION("""COMPUTED_VALUE"""),"Sitthikorn")</f>
        <v>Sitthikorn</v>
      </c>
      <c r="F371" t="str">
        <f>IFERROR(__xludf.DUMMYFUNCTION("""COMPUTED_VALUE"""),"Janchalaem")</f>
        <v>Janchalaem</v>
      </c>
      <c r="G371" t="str">
        <f>IFERROR(__xludf.DUMMYFUNCTION("""COMPUTED_VALUE"""),"Sitthikorn Janchalaem")</f>
        <v>Sitthikorn Janchalaem</v>
      </c>
      <c r="H371" t="str">
        <f>IFERROR(__xludf.DUMMYFUNCTION("""COMPUTED_VALUE"""),"นาย")</f>
        <v>นาย</v>
      </c>
      <c r="I371" t="str">
        <f>IFERROR(__xludf.DUMMYFUNCTION("""COMPUTED_VALUE"""),"สิทธิกร")</f>
        <v>สิทธิกร</v>
      </c>
      <c r="J371" t="str">
        <f>IFERROR(__xludf.DUMMYFUNCTION("""COMPUTED_VALUE"""),"จันทร์แฉล้ม")</f>
        <v>จันทร์แฉล้ม</v>
      </c>
      <c r="K371" t="str">
        <f>IFERROR(__xludf.DUMMYFUNCTION("""COMPUTED_VALUE"""),"สิทธิกร จันทร์แฉล้ม")</f>
        <v>สิทธิกร จันทร์แฉล้ม</v>
      </c>
      <c r="L371" t="str">
        <f>IFERROR(__xludf.DUMMYFUNCTION("""COMPUTED_VALUE"""),"Name")</f>
        <v>Name</v>
      </c>
      <c r="M371" t="str">
        <f>IFERROR(__xludf.DUMMYFUNCTION("""COMPUTED_VALUE"""),"Cabin Crew")</f>
        <v>Cabin Crew</v>
      </c>
      <c r="N371" t="str">
        <f>IFERROR(__xludf.DUMMYFUNCTION("""COMPUTED_VALUE"""),"DMK")</f>
        <v>DMK</v>
      </c>
      <c r="O371" s="145" t="str">
        <f>IFERROR(__xludf.DUMMYFUNCTION("""COMPUTED_VALUE"""),"Por+ Home")</f>
        <v>Por+ Home</v>
      </c>
      <c r="P371" t="str">
        <f>IFERROR(__xludf.DUMMYFUNCTION("""COMPUTED_VALUE"""),"Active")</f>
        <v>Active</v>
      </c>
      <c r="R371" s="143">
        <f>IFERROR(__xludf.DUMMYFUNCTION("""COMPUTED_VALUE"""),32324.0)</f>
        <v>32324</v>
      </c>
      <c r="S371" s="146" t="str">
        <f>IFERROR(__xludf.DUMMYFUNCTION("""COMPUTED_VALUE"""),"062 265 3915")</f>
        <v>062 265 3915</v>
      </c>
      <c r="T371" s="147" t="str">
        <f>IFERROR(__xludf.DUMMYFUNCTION("""COMPUTED_VALUE"""),"1100700-82-1853")</f>
        <v>1100700-82-1853</v>
      </c>
      <c r="U371" t="str">
        <f>IFERROR(__xludf.DUMMYFUNCTION("""COMPUTED_VALUE"""),"AD1070593")</f>
        <v>AD1070593</v>
      </c>
      <c r="V371" s="148">
        <f>IFERROR(__xludf.DUMMYFUNCTION("""COMPUTED_VALUE"""),45057.0)</f>
        <v>45057</v>
      </c>
      <c r="W371" s="148">
        <f>IFERROR(__xludf.DUMMYFUNCTION("""COMPUTED_VALUE"""),48709.0)</f>
        <v>48709</v>
      </c>
      <c r="X371" s="149">
        <f>IFERROR(__xludf.DUMMYFUNCTION("""COMPUTED_VALUE"""),48528.0)</f>
        <v>48528</v>
      </c>
      <c r="Y371" t="str">
        <f>IFERROR(__xludf.DUMMYFUNCTION("""COMPUTED_VALUE"""),"ปลอดภัย")</f>
        <v>ปลอดภัย</v>
      </c>
      <c r="Z371" t="str">
        <f>IFERROR(__xludf.DUMMYFUNCTION("""COMPUTED_VALUE"""),"Bangkok")</f>
        <v>Bangkok</v>
      </c>
      <c r="AA371" t="str">
        <f>IFERROR(__xludf.DUMMYFUNCTION("""COMPUTED_VALUE"""),"Bangkhlao")</f>
        <v>Bangkhlao</v>
      </c>
      <c r="AB371" t="str">
        <f>IFERROR(__xludf.DUMMYFUNCTION("""COMPUTED_VALUE"""),"02 291 5495 / 083 618 0394")</f>
        <v>02 291 5495 / 083 618 0394</v>
      </c>
      <c r="AC371" t="str">
        <f>IFERROR(__xludf.DUMMYFUNCTION("""COMPUTED_VALUE"""),"Home / Mother")</f>
        <v>Home / Mother</v>
      </c>
      <c r="AD371" t="str">
        <f>IFERROR(__xludf.DUMMYFUNCTION("""COMPUTED_VALUE"""),"sitthikornj@airasia.com")</f>
        <v>sitthikornj@airasia.com</v>
      </c>
    </row>
    <row r="372">
      <c r="AD372" t="str">
        <f>IFERROR(__xludf.DUMMYFUNCTION("""COMPUTED_VALUE"""),"")</f>
        <v/>
      </c>
    </row>
    <row r="373">
      <c r="A373" s="142">
        <f>IFERROR(__xludf.DUMMYFUNCTION("""COMPUTED_VALUE"""),54.0)</f>
        <v>54</v>
      </c>
      <c r="B373" t="str">
        <f>IFERROR(__xludf.DUMMYFUNCTION("""COMPUTED_VALUE"""),"TAA4009")</f>
        <v>TAA4009</v>
      </c>
      <c r="C373">
        <f>IFERROR(__xludf.DUMMYFUNCTION("""COMPUTED_VALUE"""),1007138.0)</f>
        <v>1007138</v>
      </c>
      <c r="D373" t="str">
        <f>IFERROR(__xludf.DUMMYFUNCTION("""COMPUTED_VALUE"""),"Ms.")</f>
        <v>Ms.</v>
      </c>
      <c r="E373" t="str">
        <f>IFERROR(__xludf.DUMMYFUNCTION("""COMPUTED_VALUE"""),"Muanprae")</f>
        <v>Muanprae</v>
      </c>
      <c r="F373" t="str">
        <f>IFERROR(__xludf.DUMMYFUNCTION("""COMPUTED_VALUE"""),"Fukiatisuthi")</f>
        <v>Fukiatisuthi</v>
      </c>
      <c r="G373" t="str">
        <f>IFERROR(__xludf.DUMMYFUNCTION("""COMPUTED_VALUE"""),"Muanprae Fukiatisuthi")</f>
        <v>Muanprae Fukiatisuthi</v>
      </c>
      <c r="H373" t="str">
        <f>IFERROR(__xludf.DUMMYFUNCTION("""COMPUTED_VALUE"""),"นางสาว")</f>
        <v>นางสาว</v>
      </c>
      <c r="I373" t="str">
        <f>IFERROR(__xludf.DUMMYFUNCTION("""COMPUTED_VALUE"""),"เหมือนแพร")</f>
        <v>เหมือนแพร</v>
      </c>
      <c r="J373" t="str">
        <f>IFERROR(__xludf.DUMMYFUNCTION("""COMPUTED_VALUE"""),"ฟูเกียรติสุทธิ์")</f>
        <v>ฟูเกียรติสุทธิ์</v>
      </c>
      <c r="K373" t="str">
        <f>IFERROR(__xludf.DUMMYFUNCTION("""COMPUTED_VALUE"""),"เหมือนแพร ฟูเกียรติสุทธิ์")</f>
        <v>เหมือนแพร ฟูเกียรติสุทธิ์</v>
      </c>
      <c r="L373" t="str">
        <f>IFERROR(__xludf.DUMMYFUNCTION("""COMPUTED_VALUE"""),"แพร")</f>
        <v>แพร</v>
      </c>
      <c r="M373" t="str">
        <f>IFERROR(__xludf.DUMMYFUNCTION("""COMPUTED_VALUE"""),"Senior Cabin Crew")</f>
        <v>Senior Cabin Crew</v>
      </c>
      <c r="N373" t="str">
        <f>IFERROR(__xludf.DUMMYFUNCTION("""COMPUTED_VALUE"""),"DMK")</f>
        <v>DMK</v>
      </c>
      <c r="O373" s="145" t="str">
        <f>IFERROR(__xludf.DUMMYFUNCTION("""COMPUTED_VALUE"""),"Nhui Home")</f>
        <v>Nhui Home</v>
      </c>
      <c r="P373" t="str">
        <f>IFERROR(__xludf.DUMMYFUNCTION("""COMPUTED_VALUE"""),"Active")</f>
        <v>Active</v>
      </c>
      <c r="R373" s="143">
        <f>IFERROR(__xludf.DUMMYFUNCTION("""COMPUTED_VALUE"""),31685.0)</f>
        <v>31685</v>
      </c>
      <c r="S373" s="146" t="str">
        <f>IFERROR(__xludf.DUMMYFUNCTION("""COMPUTED_VALUE"""),"085 184 8474")</f>
        <v>085 184 8474</v>
      </c>
      <c r="T373" s="147">
        <f>IFERROR(__xludf.DUMMYFUNCTION("""COMPUTED_VALUE"""),1.101400817444E12)</f>
        <v>1101400817444</v>
      </c>
      <c r="U373" t="str">
        <f>IFERROR(__xludf.DUMMYFUNCTION("""COMPUTED_VALUE"""),"AC2629233")</f>
        <v>AC2629233</v>
      </c>
      <c r="V373" s="148">
        <f>IFERROR(__xludf.DUMMYFUNCTION("""COMPUTED_VALUE"""),44550.0)</f>
        <v>44550</v>
      </c>
      <c r="W373" s="148">
        <f>IFERROR(__xludf.DUMMYFUNCTION("""COMPUTED_VALUE"""),48201.0)</f>
        <v>48201</v>
      </c>
      <c r="X373" s="149">
        <f>IFERROR(__xludf.DUMMYFUNCTION("""COMPUTED_VALUE"""),48018.0)</f>
        <v>48018</v>
      </c>
      <c r="Y373" t="str">
        <f>IFERROR(__xludf.DUMMYFUNCTION("""COMPUTED_VALUE"""),"ปลอดภัย")</f>
        <v>ปลอดภัย</v>
      </c>
      <c r="Z373" t="str">
        <f>IFERROR(__xludf.DUMMYFUNCTION("""COMPUTED_VALUE"""),"Bangkok")</f>
        <v>Bangkok</v>
      </c>
      <c r="AA373" t="str">
        <f>IFERROR(__xludf.DUMMYFUNCTION("""COMPUTED_VALUE"""),"Huay Kwang")</f>
        <v>Huay Kwang</v>
      </c>
      <c r="AB373" t="str">
        <f>IFERROR(__xludf.DUMMYFUNCTION("""COMPUTED_VALUE"""),"032 211 957 / 083 065 9079 / 081 944 4407")</f>
        <v>032 211 957 / 083 065 9079 / 081 944 4407</v>
      </c>
      <c r="AC373" t="str">
        <f>IFERROR(__xludf.DUMMYFUNCTION("""COMPUTED_VALUE"""),"Home / Mother")</f>
        <v>Home / Mother</v>
      </c>
      <c r="AD373" t="str">
        <f>IFERROR(__xludf.DUMMYFUNCTION("""COMPUTED_VALUE"""),"muanpraef@airasia.com")</f>
        <v>muanpraef@airasia.com</v>
      </c>
    </row>
    <row r="374">
      <c r="A374" s="142">
        <f>IFERROR(__xludf.DUMMYFUNCTION("""COMPUTED_VALUE"""),54.0)</f>
        <v>54</v>
      </c>
      <c r="B374" t="str">
        <f>IFERROR(__xludf.DUMMYFUNCTION("""COMPUTED_VALUE"""),"TAA4013")</f>
        <v>TAA4013</v>
      </c>
      <c r="C374">
        <f>IFERROR(__xludf.DUMMYFUNCTION("""COMPUTED_VALUE"""),1007143.0)</f>
        <v>1007143</v>
      </c>
      <c r="D374" t="str">
        <f>IFERROR(__xludf.DUMMYFUNCTION("""COMPUTED_VALUE"""),"Ms.")</f>
        <v>Ms.</v>
      </c>
      <c r="E374" t="str">
        <f>IFERROR(__xludf.DUMMYFUNCTION("""COMPUTED_VALUE"""),"Nantakarn")</f>
        <v>Nantakarn</v>
      </c>
      <c r="F374" t="str">
        <f>IFERROR(__xludf.DUMMYFUNCTION("""COMPUTED_VALUE"""),"Sangwarn")</f>
        <v>Sangwarn</v>
      </c>
      <c r="G374" t="str">
        <f>IFERROR(__xludf.DUMMYFUNCTION("""COMPUTED_VALUE"""),"Nantakarn Sangwarn")</f>
        <v>Nantakarn Sangwarn</v>
      </c>
      <c r="H374" t="str">
        <f>IFERROR(__xludf.DUMMYFUNCTION("""COMPUTED_VALUE"""),"นางสาว")</f>
        <v>นางสาว</v>
      </c>
      <c r="I374" t="str">
        <f>IFERROR(__xludf.DUMMYFUNCTION("""COMPUTED_VALUE"""),"นันทกานต์")</f>
        <v>นันทกานต์</v>
      </c>
      <c r="J374" t="str">
        <f>IFERROR(__xludf.DUMMYFUNCTION("""COMPUTED_VALUE"""),"สังวาลย์")</f>
        <v>สังวาลย์</v>
      </c>
      <c r="K374" t="str">
        <f>IFERROR(__xludf.DUMMYFUNCTION("""COMPUTED_VALUE"""),"นันทกานต์ สังวาลย์")</f>
        <v>นันทกานต์ สังวาลย์</v>
      </c>
      <c r="L374" t="str">
        <f>IFERROR(__xludf.DUMMYFUNCTION("""COMPUTED_VALUE"""),"บี")</f>
        <v>บี</v>
      </c>
      <c r="M374" t="str">
        <f>IFERROR(__xludf.DUMMYFUNCTION("""COMPUTED_VALUE"""),"Senior Cabin Crew - HKT")</f>
        <v>Senior Cabin Crew - HKT</v>
      </c>
      <c r="N374" t="str">
        <f>IFERROR(__xludf.DUMMYFUNCTION("""COMPUTED_VALUE"""),"HKT")</f>
        <v>HKT</v>
      </c>
      <c r="O374" s="145" t="str">
        <f>IFERROR(__xludf.DUMMYFUNCTION("""COMPUTED_VALUE"""),"Kor Home")</f>
        <v>Kor Home</v>
      </c>
      <c r="P374" t="str">
        <f>IFERROR(__xludf.DUMMYFUNCTION("""COMPUTED_VALUE"""),"Active/V/DMK")</f>
        <v>Active/V/DMK</v>
      </c>
      <c r="R374" s="143">
        <f>IFERROR(__xludf.DUMMYFUNCTION("""COMPUTED_VALUE"""),32463.0)</f>
        <v>32463</v>
      </c>
      <c r="S374" s="146" t="str">
        <f>IFERROR(__xludf.DUMMYFUNCTION("""COMPUTED_VALUE"""),"087 477 6949")</f>
        <v>087 477 6949</v>
      </c>
      <c r="T374" s="147">
        <f>IFERROR(__xludf.DUMMYFUNCTION("""COMPUTED_VALUE"""),1.839900150202E12)</f>
        <v>1839900150202</v>
      </c>
      <c r="U374" t="str">
        <f>IFERROR(__xludf.DUMMYFUNCTION("""COMPUTED_VALUE"""),"AD2243610")</f>
        <v>AD2243610</v>
      </c>
      <c r="V374" s="148">
        <f>IFERROR(__xludf.DUMMYFUNCTION("""COMPUTED_VALUE"""),45771.0)</f>
        <v>45771</v>
      </c>
      <c r="W374" s="148">
        <f>IFERROR(__xludf.DUMMYFUNCTION("""COMPUTED_VALUE"""),49422.0)</f>
        <v>49422</v>
      </c>
      <c r="X374" s="149">
        <f>IFERROR(__xludf.DUMMYFUNCTION("""COMPUTED_VALUE"""),49240.0)</f>
        <v>49240</v>
      </c>
      <c r="Y374" t="str">
        <f>IFERROR(__xludf.DUMMYFUNCTION("""COMPUTED_VALUE"""),"ปลอดภัย")</f>
        <v>ปลอดภัย</v>
      </c>
      <c r="Z374" t="str">
        <f>IFERROR(__xludf.DUMMYFUNCTION("""COMPUTED_VALUE"""),"Phuket Province")</f>
        <v>Phuket Province</v>
      </c>
      <c r="AA374" t="str">
        <f>IFERROR(__xludf.DUMMYFUNCTION("""COMPUTED_VALUE"""),"Phuket")</f>
        <v>Phuket</v>
      </c>
      <c r="AB374" t="str">
        <f>IFERROR(__xludf.DUMMYFUNCTION("""COMPUTED_VALUE"""),"084 843 9508")</f>
        <v>084 843 9508</v>
      </c>
      <c r="AC374" t="str">
        <f>IFERROR(__xludf.DUMMYFUNCTION("""COMPUTED_VALUE"""),"Father")</f>
        <v>Father</v>
      </c>
      <c r="AD374" t="str">
        <f>IFERROR(__xludf.DUMMYFUNCTION("""COMPUTED_VALUE"""),"nantakarns@airasia.com")</f>
        <v>nantakarns@airasia.com</v>
      </c>
    </row>
    <row r="375">
      <c r="A375" s="142">
        <f>IFERROR(__xludf.DUMMYFUNCTION("""COMPUTED_VALUE"""),54.0)</f>
        <v>54</v>
      </c>
      <c r="B375" t="str">
        <f>IFERROR(__xludf.DUMMYFUNCTION("""COMPUTED_VALUE"""),"TAA4006")</f>
        <v>TAA4006</v>
      </c>
      <c r="C375">
        <f>IFERROR(__xludf.DUMMYFUNCTION("""COMPUTED_VALUE"""),1007144.0)</f>
        <v>1007144</v>
      </c>
      <c r="D375" t="str">
        <f>IFERROR(__xludf.DUMMYFUNCTION("""COMPUTED_VALUE"""),"Ms.")</f>
        <v>Ms.</v>
      </c>
      <c r="E375" t="str">
        <f>IFERROR(__xludf.DUMMYFUNCTION("""COMPUTED_VALUE"""),"Natcharee")</f>
        <v>Natcharee</v>
      </c>
      <c r="F375" t="str">
        <f>IFERROR(__xludf.DUMMYFUNCTION("""COMPUTED_VALUE"""),"Chaweewong")</f>
        <v>Chaweewong</v>
      </c>
      <c r="G375" t="str">
        <f>IFERROR(__xludf.DUMMYFUNCTION("""COMPUTED_VALUE"""),"Natcharee Chaweewong")</f>
        <v>Natcharee Chaweewong</v>
      </c>
      <c r="H375" t="str">
        <f>IFERROR(__xludf.DUMMYFUNCTION("""COMPUTED_VALUE"""),"นางสาว")</f>
        <v>นางสาว</v>
      </c>
      <c r="I375" t="str">
        <f>IFERROR(__xludf.DUMMYFUNCTION("""COMPUTED_VALUE"""),"นัฎชรีย์")</f>
        <v>นัฎชรีย์</v>
      </c>
      <c r="J375" t="str">
        <f>IFERROR(__xludf.DUMMYFUNCTION("""COMPUTED_VALUE"""),"ฉวีวงศ์")</f>
        <v>ฉวีวงศ์</v>
      </c>
      <c r="K375" t="str">
        <f>IFERROR(__xludf.DUMMYFUNCTION("""COMPUTED_VALUE"""),"นัฎชรีย์ ฉวีวงศ์")</f>
        <v>นัฎชรีย์ ฉวีวงศ์</v>
      </c>
      <c r="L375" t="str">
        <f>IFERROR(__xludf.DUMMYFUNCTION("""COMPUTED_VALUE"""),"ลูกนัฎ")</f>
        <v>ลูกนัฎ</v>
      </c>
      <c r="M375" t="str">
        <f>IFERROR(__xludf.DUMMYFUNCTION("""COMPUTED_VALUE"""),"Senior Cabin Crew")</f>
        <v>Senior Cabin Crew</v>
      </c>
      <c r="N375" t="str">
        <f>IFERROR(__xludf.DUMMYFUNCTION("""COMPUTED_VALUE"""),"DMK")</f>
        <v>DMK</v>
      </c>
      <c r="O375" s="145" t="str">
        <f>IFERROR(__xludf.DUMMYFUNCTION("""COMPUTED_VALUE"""),"Namfon Home")</f>
        <v>Namfon Home</v>
      </c>
      <c r="P375" t="str">
        <f>IFERROR(__xludf.DUMMYFUNCTION("""COMPUTED_VALUE"""),"Active")</f>
        <v>Active</v>
      </c>
      <c r="R375" s="143">
        <f>IFERROR(__xludf.DUMMYFUNCTION("""COMPUTED_VALUE"""),31035.0)</f>
        <v>31035</v>
      </c>
      <c r="S375" s="146" t="str">
        <f>IFERROR(__xludf.DUMMYFUNCTION("""COMPUTED_VALUE"""),"095 446 5441")</f>
        <v>095 446 5441</v>
      </c>
      <c r="T375" s="147">
        <f>IFERROR(__xludf.DUMMYFUNCTION("""COMPUTED_VALUE"""),1.101400357249E12)</f>
        <v>1101400357249</v>
      </c>
      <c r="U375" t="str">
        <f>IFERROR(__xludf.DUMMYFUNCTION("""COMPUTED_VALUE"""),"AC7551847")</f>
        <v>AC7551847</v>
      </c>
      <c r="V375" s="148">
        <f>IFERROR(__xludf.DUMMYFUNCTION("""COMPUTED_VALUE"""),45568.0)</f>
        <v>45568</v>
      </c>
      <c r="W375" s="148">
        <f>IFERROR(__xludf.DUMMYFUNCTION("""COMPUTED_VALUE"""),49219.0)</f>
        <v>49219</v>
      </c>
      <c r="X375" s="149">
        <f>IFERROR(__xludf.DUMMYFUNCTION("""COMPUTED_VALUE"""),49036.0)</f>
        <v>49036</v>
      </c>
      <c r="Y375" t="str">
        <f>IFERROR(__xludf.DUMMYFUNCTION("""COMPUTED_VALUE"""),"ปลอดภัย")</f>
        <v>ปลอดภัย</v>
      </c>
      <c r="Z375" t="str">
        <f>IFERROR(__xludf.DUMMYFUNCTION("""COMPUTED_VALUE"""),"Bangkok")</f>
        <v>Bangkok</v>
      </c>
      <c r="AA375" t="str">
        <f>IFERROR(__xludf.DUMMYFUNCTION("""COMPUTED_VALUE"""),"Wangthonglang")</f>
        <v>Wangthonglang</v>
      </c>
      <c r="AB375" t="str">
        <f>IFERROR(__xludf.DUMMYFUNCTION("""COMPUTED_VALUE"""),"02 539 5104 / 081 357 8700")</f>
        <v>02 539 5104 / 081 357 8700</v>
      </c>
      <c r="AC375" t="str">
        <f>IFERROR(__xludf.DUMMYFUNCTION("""COMPUTED_VALUE"""),"Home / Father")</f>
        <v>Home / Father</v>
      </c>
      <c r="AD375" t="str">
        <f>IFERROR(__xludf.DUMMYFUNCTION("""COMPUTED_VALUE"""),"natchareec@airasia.com")</f>
        <v>natchareec@airasia.com</v>
      </c>
    </row>
    <row r="376">
      <c r="A376" s="142">
        <f>IFERROR(__xludf.DUMMYFUNCTION("""COMPUTED_VALUE"""),54.0)</f>
        <v>54</v>
      </c>
      <c r="B376" t="str">
        <f>IFERROR(__xludf.DUMMYFUNCTION("""COMPUTED_VALUE"""),"TAA3999")</f>
        <v>TAA3999</v>
      </c>
      <c r="C376">
        <f>IFERROR(__xludf.DUMMYFUNCTION("""COMPUTED_VALUE"""),1007146.0)</f>
        <v>1007146</v>
      </c>
      <c r="D376" t="str">
        <f>IFERROR(__xludf.DUMMYFUNCTION("""COMPUTED_VALUE"""),"Mr.")</f>
        <v>Mr.</v>
      </c>
      <c r="E376" t="str">
        <f>IFERROR(__xludf.DUMMYFUNCTION("""COMPUTED_VALUE"""),"Nolnapat")</f>
        <v>Nolnapat</v>
      </c>
      <c r="F376" t="str">
        <f>IFERROR(__xludf.DUMMYFUNCTION("""COMPUTED_VALUE"""),"Nitmanee")</f>
        <v>Nitmanee</v>
      </c>
      <c r="G376" t="str">
        <f>IFERROR(__xludf.DUMMYFUNCTION("""COMPUTED_VALUE"""),"Nolnapat Nitmanee")</f>
        <v>Nolnapat Nitmanee</v>
      </c>
      <c r="H376" t="str">
        <f>IFERROR(__xludf.DUMMYFUNCTION("""COMPUTED_VALUE"""),"นาย")</f>
        <v>นาย</v>
      </c>
      <c r="I376" t="str">
        <f>IFERROR(__xludf.DUMMYFUNCTION("""COMPUTED_VALUE"""),"นลณภัทร์")</f>
        <v>นลณภัทร์</v>
      </c>
      <c r="J376" t="str">
        <f>IFERROR(__xludf.DUMMYFUNCTION("""COMPUTED_VALUE"""),"นิตย์มณี")</f>
        <v>นิตย์มณี</v>
      </c>
      <c r="K376" t="str">
        <f>IFERROR(__xludf.DUMMYFUNCTION("""COMPUTED_VALUE"""),"นลณภัทร์ นิตย์มณี")</f>
        <v>นลณภัทร์ นิตย์มณี</v>
      </c>
      <c r="L376" t="str">
        <f>IFERROR(__xludf.DUMMYFUNCTION("""COMPUTED_VALUE"""),"บอล")</f>
        <v>บอล</v>
      </c>
      <c r="M376" t="str">
        <f>IFERROR(__xludf.DUMMYFUNCTION("""COMPUTED_VALUE"""),"Senior Cabin Crew")</f>
        <v>Senior Cabin Crew</v>
      </c>
      <c r="N376" t="str">
        <f>IFERROR(__xludf.DUMMYFUNCTION("""COMPUTED_VALUE"""),"DMK")</f>
        <v>DMK</v>
      </c>
      <c r="O376" s="145" t="str">
        <f>IFERROR(__xludf.DUMMYFUNCTION("""COMPUTED_VALUE"""),"Namfon Home")</f>
        <v>Namfon Home</v>
      </c>
      <c r="P376" t="str">
        <f>IFERROR(__xludf.DUMMYFUNCTION("""COMPUTED_VALUE"""),"Active")</f>
        <v>Active</v>
      </c>
      <c r="R376" s="143">
        <f>IFERROR(__xludf.DUMMYFUNCTION("""COMPUTED_VALUE"""),31705.0)</f>
        <v>31705</v>
      </c>
      <c r="S376" s="146" t="str">
        <f>IFERROR(__xludf.DUMMYFUNCTION("""COMPUTED_VALUE"""),"090 946 5917")</f>
        <v>090 946 5917</v>
      </c>
      <c r="T376" s="147">
        <f>IFERROR(__xludf.DUMMYFUNCTION("""COMPUTED_VALUE"""),1.250500058616E12)</f>
        <v>1250500058616</v>
      </c>
      <c r="U376" t="str">
        <f>IFERROR(__xludf.DUMMYFUNCTION("""COMPUTED_VALUE"""),"AC3070419")</f>
        <v>AC3070419</v>
      </c>
      <c r="V376" s="148">
        <f>IFERROR(__xludf.DUMMYFUNCTION("""COMPUTED_VALUE"""),44683.0)</f>
        <v>44683</v>
      </c>
      <c r="W376" s="148">
        <f>IFERROR(__xludf.DUMMYFUNCTION("""COMPUTED_VALUE"""),46508.0)</f>
        <v>46508</v>
      </c>
      <c r="X376" s="149">
        <f>IFERROR(__xludf.DUMMYFUNCTION("""COMPUTED_VALUE"""),46327.0)</f>
        <v>46327</v>
      </c>
      <c r="Y376" t="str">
        <f>IFERROR(__xludf.DUMMYFUNCTION("""COMPUTED_VALUE"""),"ปลอดภัย")</f>
        <v>ปลอดภัย</v>
      </c>
      <c r="Z376" t="str">
        <f>IFERROR(__xludf.DUMMYFUNCTION("""COMPUTED_VALUE"""),"Prachinburi Province")</f>
        <v>Prachinburi Province</v>
      </c>
      <c r="AA376" t="str">
        <f>IFERROR(__xludf.DUMMYFUNCTION("""COMPUTED_VALUE"""),"Chatuchak")</f>
        <v>Chatuchak</v>
      </c>
      <c r="AB376" t="str">
        <f>IFERROR(__xludf.DUMMYFUNCTION("""COMPUTED_VALUE"""),"037 251 412 / 089 713 2115")</f>
        <v>037 251 412 / 089 713 2115</v>
      </c>
      <c r="AC376" t="str">
        <f>IFERROR(__xludf.DUMMYFUNCTION("""COMPUTED_VALUE"""),"Home / Uncle")</f>
        <v>Home / Uncle</v>
      </c>
      <c r="AD376" t="str">
        <f>IFERROR(__xludf.DUMMYFUNCTION("""COMPUTED_VALUE"""),"nolnapatn@airasia.com")</f>
        <v>nolnapatn@airasia.com</v>
      </c>
    </row>
    <row r="377">
      <c r="A377" s="142">
        <f>IFERROR(__xludf.DUMMYFUNCTION("""COMPUTED_VALUE"""),54.0)</f>
        <v>54</v>
      </c>
      <c r="B377" t="str">
        <f>IFERROR(__xludf.DUMMYFUNCTION("""COMPUTED_VALUE"""),"TAA4004")</f>
        <v>TAA4004</v>
      </c>
      <c r="C377">
        <f>IFERROR(__xludf.DUMMYFUNCTION("""COMPUTED_VALUE"""),1007152.0)</f>
        <v>1007152</v>
      </c>
      <c r="D377" t="str">
        <f>IFERROR(__xludf.DUMMYFUNCTION("""COMPUTED_VALUE"""),"Ms.")</f>
        <v>Ms.</v>
      </c>
      <c r="E377" t="str">
        <f>IFERROR(__xludf.DUMMYFUNCTION("""COMPUTED_VALUE"""),"Pakamas")</f>
        <v>Pakamas</v>
      </c>
      <c r="F377" t="str">
        <f>IFERROR(__xludf.DUMMYFUNCTION("""COMPUTED_VALUE"""),"Molchaisawad (Monchaisawad)")</f>
        <v>Molchaisawad (Monchaisawad)</v>
      </c>
      <c r="G377" t="str">
        <f>IFERROR(__xludf.DUMMYFUNCTION("""COMPUTED_VALUE"""),"Pakamas Molchaisawad")</f>
        <v>Pakamas Molchaisawad</v>
      </c>
      <c r="H377" t="str">
        <f>IFERROR(__xludf.DUMMYFUNCTION("""COMPUTED_VALUE"""),"นางสาว")</f>
        <v>นางสาว</v>
      </c>
      <c r="I377" t="str">
        <f>IFERROR(__xludf.DUMMYFUNCTION("""COMPUTED_VALUE"""),"ผกามาศ")</f>
        <v>ผกามาศ</v>
      </c>
      <c r="J377" t="str">
        <f>IFERROR(__xludf.DUMMYFUNCTION("""COMPUTED_VALUE"""),"มลชัยสวัสดิ์")</f>
        <v>มลชัยสวัสดิ์</v>
      </c>
      <c r="K377" t="str">
        <f>IFERROR(__xludf.DUMMYFUNCTION("""COMPUTED_VALUE"""),"ผกามาศ มลชัยสวัสดิ์")</f>
        <v>ผกามาศ มลชัยสวัสดิ์</v>
      </c>
      <c r="L377" t="str">
        <f>IFERROR(__xludf.DUMMYFUNCTION("""COMPUTED_VALUE"""),"อ้อม")</f>
        <v>อ้อม</v>
      </c>
      <c r="M377" t="str">
        <f>IFERROR(__xludf.DUMMYFUNCTION("""COMPUTED_VALUE"""),"Senior Cabin Crew")</f>
        <v>Senior Cabin Crew</v>
      </c>
      <c r="N377" t="str">
        <f>IFERROR(__xludf.DUMMYFUNCTION("""COMPUTED_VALUE"""),"DMK")</f>
        <v>DMK</v>
      </c>
      <c r="O377" s="145" t="str">
        <f>IFERROR(__xludf.DUMMYFUNCTION("""COMPUTED_VALUE"""),"Kor Home")</f>
        <v>Kor Home</v>
      </c>
      <c r="P377" t="str">
        <f>IFERROR(__xludf.DUMMYFUNCTION("""COMPUTED_VALUE"""),"Active")</f>
        <v>Active</v>
      </c>
      <c r="R377" s="143">
        <f>IFERROR(__xludf.DUMMYFUNCTION("""COMPUTED_VALUE"""),30401.0)</f>
        <v>30401</v>
      </c>
      <c r="S377" s="146" t="str">
        <f>IFERROR(__xludf.DUMMYFUNCTION("""COMPUTED_VALUE"""),"094 539 6924")</f>
        <v>094 539 6924</v>
      </c>
      <c r="T377" s="147">
        <f>IFERROR(__xludf.DUMMYFUNCTION("""COMPUTED_VALUE"""),3.102201525149E12)</f>
        <v>3102201525149</v>
      </c>
      <c r="U377" t="str">
        <f>IFERROR(__xludf.DUMMYFUNCTION("""COMPUTED_VALUE"""),"AD1866122")</f>
        <v>AD1866122</v>
      </c>
      <c r="V377" s="148">
        <f>IFERROR(__xludf.DUMMYFUNCTION("""COMPUTED_VALUE"""),45474.0)</f>
        <v>45474</v>
      </c>
      <c r="W377" s="148">
        <f>IFERROR(__xludf.DUMMYFUNCTION("""COMPUTED_VALUE"""),49125.0)</f>
        <v>49125</v>
      </c>
      <c r="X377" s="149">
        <f>IFERROR(__xludf.DUMMYFUNCTION("""COMPUTED_VALUE"""),48943.0)</f>
        <v>48943</v>
      </c>
      <c r="Y377" t="str">
        <f>IFERROR(__xludf.DUMMYFUNCTION("""COMPUTED_VALUE"""),"ปลอดภัย")</f>
        <v>ปลอดภัย</v>
      </c>
      <c r="Z377" t="str">
        <f>IFERROR(__xludf.DUMMYFUNCTION("""COMPUTED_VALUE"""),"Bangkok")</f>
        <v>Bangkok</v>
      </c>
      <c r="AA377" t="str">
        <f>IFERROR(__xludf.DUMMYFUNCTION("""COMPUTED_VALUE"""),"Bangkhae")</f>
        <v>Bangkhae</v>
      </c>
      <c r="AB377" t="str">
        <f>IFERROR(__xludf.DUMMYFUNCTION("""COMPUTED_VALUE"""),"02 455 4998 / 081 373 6155")</f>
        <v>02 455 4998 / 081 373 6155</v>
      </c>
      <c r="AC377" t="str">
        <f>IFERROR(__xludf.DUMMYFUNCTION("""COMPUTED_VALUE"""),"Home / Father")</f>
        <v>Home / Father</v>
      </c>
      <c r="AD377" t="str">
        <f>IFERROR(__xludf.DUMMYFUNCTION("""COMPUTED_VALUE"""),"pakamasm@airasia.com")</f>
        <v>pakamasm@airasia.com</v>
      </c>
    </row>
    <row r="378">
      <c r="A378" s="142">
        <f>IFERROR(__xludf.DUMMYFUNCTION("""COMPUTED_VALUE"""),54.0)</f>
        <v>54</v>
      </c>
      <c r="B378" t="str">
        <f>IFERROR(__xludf.DUMMYFUNCTION("""COMPUTED_VALUE"""),"TAA4005")</f>
        <v>TAA4005</v>
      </c>
      <c r="C378">
        <f>IFERROR(__xludf.DUMMYFUNCTION("""COMPUTED_VALUE"""),1007153.0)</f>
        <v>1007153</v>
      </c>
      <c r="D378" t="str">
        <f>IFERROR(__xludf.DUMMYFUNCTION("""COMPUTED_VALUE"""),"Mr.")</f>
        <v>Mr.</v>
      </c>
      <c r="E378" t="str">
        <f>IFERROR(__xludf.DUMMYFUNCTION("""COMPUTED_VALUE"""),"Pannathat")</f>
        <v>Pannathat</v>
      </c>
      <c r="F378" t="str">
        <f>IFERROR(__xludf.DUMMYFUNCTION("""COMPUTED_VALUE"""),"Chuchuaisuwan")</f>
        <v>Chuchuaisuwan</v>
      </c>
      <c r="G378" t="str">
        <f>IFERROR(__xludf.DUMMYFUNCTION("""COMPUTED_VALUE"""),"Pannathat Chuchuaisuwan")</f>
        <v>Pannathat Chuchuaisuwan</v>
      </c>
      <c r="H378" t="str">
        <f>IFERROR(__xludf.DUMMYFUNCTION("""COMPUTED_VALUE"""),"นาย")</f>
        <v>นาย</v>
      </c>
      <c r="I378" t="str">
        <f>IFERROR(__xludf.DUMMYFUNCTION("""COMPUTED_VALUE"""),"ปัณณทัต")</f>
        <v>ปัณณทัต</v>
      </c>
      <c r="J378" t="str">
        <f>IFERROR(__xludf.DUMMYFUNCTION("""COMPUTED_VALUE"""),"ชูช่วยสุวรรณ")</f>
        <v>ชูช่วยสุวรรณ</v>
      </c>
      <c r="K378" t="str">
        <f>IFERROR(__xludf.DUMMYFUNCTION("""COMPUTED_VALUE"""),"ปัณณทัต ชูช่วยสุวรรณ")</f>
        <v>ปัณณทัต ชูช่วยสุวรรณ</v>
      </c>
      <c r="L378" t="str">
        <f>IFERROR(__xludf.DUMMYFUNCTION("""COMPUTED_VALUE"""),"ตอง")</f>
        <v>ตอง</v>
      </c>
      <c r="M378" t="str">
        <f>IFERROR(__xludf.DUMMYFUNCTION("""COMPUTED_VALUE"""),"Senior Cabin Crew")</f>
        <v>Senior Cabin Crew</v>
      </c>
      <c r="N378" t="str">
        <f>IFERROR(__xludf.DUMMYFUNCTION("""COMPUTED_VALUE"""),"DMK")</f>
        <v>DMK</v>
      </c>
      <c r="O378" s="145" t="str">
        <f>IFERROR(__xludf.DUMMYFUNCTION("""COMPUTED_VALUE"""),"Toffy Home")</f>
        <v>Toffy Home</v>
      </c>
      <c r="P378" t="str">
        <f>IFERROR(__xludf.DUMMYFUNCTION("""COMPUTED_VALUE"""),"Active")</f>
        <v>Active</v>
      </c>
      <c r="R378" s="143">
        <f>IFERROR(__xludf.DUMMYFUNCTION("""COMPUTED_VALUE"""),31118.0)</f>
        <v>31118</v>
      </c>
      <c r="S378" s="146" t="str">
        <f>IFERROR(__xludf.DUMMYFUNCTION("""COMPUTED_VALUE"""),"061 853 5544")</f>
        <v>061 853 5544</v>
      </c>
      <c r="T378" s="147">
        <f>IFERROR(__xludf.DUMMYFUNCTION("""COMPUTED_VALUE"""),1.841200011806E12)</f>
        <v>1841200011806</v>
      </c>
      <c r="U378" t="str">
        <f>IFERROR(__xludf.DUMMYFUNCTION("""COMPUTED_VALUE"""),"AD2128150")</f>
        <v>AD2128150</v>
      </c>
      <c r="V378" s="148">
        <f>IFERROR(__xludf.DUMMYFUNCTION("""COMPUTED_VALUE"""),45747.0)</f>
        <v>45747</v>
      </c>
      <c r="W378" s="148">
        <f>IFERROR(__xludf.DUMMYFUNCTION("""COMPUTED_VALUE"""),49398.0)</f>
        <v>49398</v>
      </c>
      <c r="X378" s="149">
        <f>IFERROR(__xludf.DUMMYFUNCTION("""COMPUTED_VALUE"""),49217.0)</f>
        <v>49217</v>
      </c>
      <c r="Y378" t="str">
        <f>IFERROR(__xludf.DUMMYFUNCTION("""COMPUTED_VALUE"""),"ปลอดภัย")</f>
        <v>ปลอดภัย</v>
      </c>
      <c r="Z378" t="str">
        <f>IFERROR(__xludf.DUMMYFUNCTION("""COMPUTED_VALUE"""),"Surat Thani Province")</f>
        <v>Surat Thani Province</v>
      </c>
      <c r="AA378" t="str">
        <f>IFERROR(__xludf.DUMMYFUNCTION("""COMPUTED_VALUE"""),"Ladkrabang")</f>
        <v>Ladkrabang</v>
      </c>
      <c r="AB378" t="str">
        <f>IFERROR(__xludf.DUMMYFUNCTION("""COMPUTED_VALUE"""),"084 744 6592")</f>
        <v>084 744 6592</v>
      </c>
      <c r="AC378" t="str">
        <f>IFERROR(__xludf.DUMMYFUNCTION("""COMPUTED_VALUE"""),"Mother")</f>
        <v>Mother</v>
      </c>
      <c r="AD378" t="str">
        <f>IFERROR(__xludf.DUMMYFUNCTION("""COMPUTED_VALUE"""),"pannathatc@airasia.com")</f>
        <v>pannathatc@airasia.com</v>
      </c>
    </row>
    <row r="379">
      <c r="A379" s="142">
        <f>IFERROR(__xludf.DUMMYFUNCTION("""COMPUTED_VALUE"""),54.0)</f>
        <v>54</v>
      </c>
      <c r="B379" t="str">
        <f>IFERROR(__xludf.DUMMYFUNCTION("""COMPUTED_VALUE"""),"TAA4023")</f>
        <v>TAA4023</v>
      </c>
      <c r="C379">
        <f>IFERROR(__xludf.DUMMYFUNCTION("""COMPUTED_VALUE"""),1007154.0)</f>
        <v>1007154</v>
      </c>
      <c r="D379" t="str">
        <f>IFERROR(__xludf.DUMMYFUNCTION("""COMPUTED_VALUE"""),"Ms.")</f>
        <v>Ms.</v>
      </c>
      <c r="E379" t="str">
        <f>IFERROR(__xludf.DUMMYFUNCTION("""COMPUTED_VALUE"""),"Pannee")</f>
        <v>Pannee</v>
      </c>
      <c r="F379" t="str">
        <f>IFERROR(__xludf.DUMMYFUNCTION("""COMPUTED_VALUE"""),"Soitanasirikul")</f>
        <v>Soitanasirikul</v>
      </c>
      <c r="G379" t="str">
        <f>IFERROR(__xludf.DUMMYFUNCTION("""COMPUTED_VALUE"""),"Pannee Soitanasirikul")</f>
        <v>Pannee Soitanasirikul</v>
      </c>
      <c r="H379" t="str">
        <f>IFERROR(__xludf.DUMMYFUNCTION("""COMPUTED_VALUE"""),"นางสาว")</f>
        <v>นางสาว</v>
      </c>
      <c r="I379" t="str">
        <f>IFERROR(__xludf.DUMMYFUNCTION("""COMPUTED_VALUE"""),"พรรณี")</f>
        <v>พรรณี</v>
      </c>
      <c r="J379" t="str">
        <f>IFERROR(__xludf.DUMMYFUNCTION("""COMPUTED_VALUE"""),"สร้อยธนศิริกุล")</f>
        <v>สร้อยธนศิริกุล</v>
      </c>
      <c r="K379" t="str">
        <f>IFERROR(__xludf.DUMMYFUNCTION("""COMPUTED_VALUE"""),"พรรณี สร้อยธนศิริกุล")</f>
        <v>พรรณี สร้อยธนศิริกุล</v>
      </c>
      <c r="L379" t="str">
        <f>IFERROR(__xludf.DUMMYFUNCTION("""COMPUTED_VALUE"""),"แพน")</f>
        <v>แพน</v>
      </c>
      <c r="M379" t="str">
        <f>IFERROR(__xludf.DUMMYFUNCTION("""COMPUTED_VALUE"""),"Senior Cabin Crew")</f>
        <v>Senior Cabin Crew</v>
      </c>
      <c r="N379" t="str">
        <f>IFERROR(__xludf.DUMMYFUNCTION("""COMPUTED_VALUE"""),"DMK")</f>
        <v>DMK</v>
      </c>
      <c r="O379" s="145" t="str">
        <f>IFERROR(__xludf.DUMMYFUNCTION("""COMPUTED_VALUE"""),"Um Home")</f>
        <v>Um Home</v>
      </c>
      <c r="P379" t="str">
        <f>IFERROR(__xludf.DUMMYFUNCTION("""COMPUTED_VALUE"""),"Active")</f>
        <v>Active</v>
      </c>
      <c r="R379" s="143">
        <f>IFERROR(__xludf.DUMMYFUNCTION("""COMPUTED_VALUE"""),32341.0)</f>
        <v>32341</v>
      </c>
      <c r="S379" s="146" t="str">
        <f>IFERROR(__xludf.DUMMYFUNCTION("""COMPUTED_VALUE"""),"087 087 4556")</f>
        <v>087 087 4556</v>
      </c>
      <c r="T379" s="147">
        <f>IFERROR(__xludf.DUMMYFUNCTION("""COMPUTED_VALUE"""),1.10080045609E12)</f>
        <v>1100800456090</v>
      </c>
      <c r="U379" t="str">
        <f>IFERROR(__xludf.DUMMYFUNCTION("""COMPUTED_VALUE"""),"AC6218284")</f>
        <v>AC6218284</v>
      </c>
      <c r="V379" s="148">
        <f>IFERROR(__xludf.DUMMYFUNCTION("""COMPUTED_VALUE"""),45296.0)</f>
        <v>45296</v>
      </c>
      <c r="W379" s="148">
        <f>IFERROR(__xludf.DUMMYFUNCTION("""COMPUTED_VALUE"""),48948.0)</f>
        <v>48948</v>
      </c>
      <c r="X379" s="149">
        <f>IFERROR(__xludf.DUMMYFUNCTION("""COMPUTED_VALUE"""),48764.0)</f>
        <v>48764</v>
      </c>
      <c r="Y379" t="str">
        <f>IFERROR(__xludf.DUMMYFUNCTION("""COMPUTED_VALUE"""),"ปลอดภัย")</f>
        <v>ปลอดภัย</v>
      </c>
      <c r="Z379" t="str">
        <f>IFERROR(__xludf.DUMMYFUNCTION("""COMPUTED_VALUE"""),"Bangkok")</f>
        <v>Bangkok</v>
      </c>
      <c r="AA379" t="str">
        <f>IFERROR(__xludf.DUMMYFUNCTION("""COMPUTED_VALUE"""),"Bang khun thean")</f>
        <v>Bang khun thean</v>
      </c>
      <c r="AB379" t="str">
        <f>IFERROR(__xludf.DUMMYFUNCTION("""COMPUTED_VALUE"""),"02 867 1392 / 081 810 8492")</f>
        <v>02 867 1392 / 081 810 8492</v>
      </c>
      <c r="AC379" t="str">
        <f>IFERROR(__xludf.DUMMYFUNCTION("""COMPUTED_VALUE"""),"Home / Father")</f>
        <v>Home / Father</v>
      </c>
      <c r="AD379" t="str">
        <f>IFERROR(__xludf.DUMMYFUNCTION("""COMPUTED_VALUE"""),"pannees@airasia.com")</f>
        <v>pannees@airasia.com</v>
      </c>
    </row>
    <row r="380">
      <c r="A380" s="142">
        <f>IFERROR(__xludf.DUMMYFUNCTION("""COMPUTED_VALUE"""),54.0)</f>
        <v>54</v>
      </c>
      <c r="B380" t="str">
        <f>IFERROR(__xludf.DUMMYFUNCTION("""COMPUTED_VALUE"""),"TAA4008")</f>
        <v>TAA4008</v>
      </c>
      <c r="C380">
        <f>IFERROR(__xludf.DUMMYFUNCTION("""COMPUTED_VALUE"""),1007156.0)</f>
        <v>1007156</v>
      </c>
      <c r="D380" t="str">
        <f>IFERROR(__xludf.DUMMYFUNCTION("""COMPUTED_VALUE"""),"Mrs.")</f>
        <v>Mrs.</v>
      </c>
      <c r="E380" t="str">
        <f>IFERROR(__xludf.DUMMYFUNCTION("""COMPUTED_VALUE"""),"Patthama")</f>
        <v>Patthama</v>
      </c>
      <c r="F380" t="str">
        <f>IFERROR(__xludf.DUMMYFUNCTION("""COMPUTED_VALUE"""),"Aryarug (Pathumthong)")</f>
        <v>Aryarug (Pathumthong)</v>
      </c>
      <c r="G380" t="str">
        <f>IFERROR(__xludf.DUMMYFUNCTION("""COMPUTED_VALUE"""),"Patthama Aryarug")</f>
        <v>Patthama Aryarug</v>
      </c>
      <c r="H380" t="str">
        <f>IFERROR(__xludf.DUMMYFUNCTION("""COMPUTED_VALUE"""),"นาง")</f>
        <v>นาง</v>
      </c>
      <c r="I380" t="str">
        <f>IFERROR(__xludf.DUMMYFUNCTION("""COMPUTED_VALUE"""),"ปัทมา")</f>
        <v>ปัทมา</v>
      </c>
      <c r="J380" t="str">
        <f>IFERROR(__xludf.DUMMYFUNCTION("""COMPUTED_VALUE"""),"อาญารักษ์ (ปทุมทอง)")</f>
        <v>อาญารักษ์ (ปทุมทอง)</v>
      </c>
      <c r="K380" t="str">
        <f>IFERROR(__xludf.DUMMYFUNCTION("""COMPUTED_VALUE"""),"ปัทมา อาญารักษ์ ")</f>
        <v>ปัทมา อาญารักษ์ </v>
      </c>
      <c r="L380" t="str">
        <f>IFERROR(__xludf.DUMMYFUNCTION("""COMPUTED_VALUE"""),"ลูกปัด")</f>
        <v>ลูกปัด</v>
      </c>
      <c r="M380" t="str">
        <f>IFERROR(__xludf.DUMMYFUNCTION("""COMPUTED_VALUE"""),"Senior Cabin Crew")</f>
        <v>Senior Cabin Crew</v>
      </c>
      <c r="N380" t="str">
        <f>IFERROR(__xludf.DUMMYFUNCTION("""COMPUTED_VALUE"""),"DMK")</f>
        <v>DMK</v>
      </c>
      <c r="O380" s="145" t="str">
        <f>IFERROR(__xludf.DUMMYFUNCTION("""COMPUTED_VALUE"""),"Nhui Home")</f>
        <v>Nhui Home</v>
      </c>
      <c r="P380" t="str">
        <f>IFERROR(__xludf.DUMMYFUNCTION("""COMPUTED_VALUE"""),"MATL")</f>
        <v>MATL</v>
      </c>
      <c r="R380" s="143">
        <f>IFERROR(__xludf.DUMMYFUNCTION("""COMPUTED_VALUE"""),31358.0)</f>
        <v>31358</v>
      </c>
      <c r="S380" s="146" t="str">
        <f>IFERROR(__xludf.DUMMYFUNCTION("""COMPUTED_VALUE"""),"094 409 2266")</f>
        <v>094 409 2266</v>
      </c>
      <c r="T380" s="147">
        <f>IFERROR(__xludf.DUMMYFUNCTION("""COMPUTED_VALUE"""),1.349900074888E12)</f>
        <v>1349900074888</v>
      </c>
      <c r="U380" t="str">
        <f>IFERROR(__xludf.DUMMYFUNCTION("""COMPUTED_VALUE"""),"AC4603193")</f>
        <v>AC4603193</v>
      </c>
      <c r="V380" s="148">
        <f>IFERROR(__xludf.DUMMYFUNCTION("""COMPUTED_VALUE"""),44998.0)</f>
        <v>44998</v>
      </c>
      <c r="W380" s="148">
        <f>IFERROR(__xludf.DUMMYFUNCTION("""COMPUTED_VALUE"""),48650.0)</f>
        <v>48650</v>
      </c>
      <c r="X380" s="149">
        <f>IFERROR(__xludf.DUMMYFUNCTION("""COMPUTED_VALUE"""),48469.0)</f>
        <v>48469</v>
      </c>
      <c r="Y380" t="str">
        <f>IFERROR(__xludf.DUMMYFUNCTION("""COMPUTED_VALUE"""),"ปลอดภัย")</f>
        <v>ปลอดภัย</v>
      </c>
      <c r="Z380" t="str">
        <f>IFERROR(__xludf.DUMMYFUNCTION("""COMPUTED_VALUE"""),"Ubon Ratchathani Province")</f>
        <v>Ubon Ratchathani Province</v>
      </c>
      <c r="AA380" t="str">
        <f>IFERROR(__xludf.DUMMYFUNCTION("""COMPUTED_VALUE"""),"Ubon ratchathani")</f>
        <v>Ubon ratchathani</v>
      </c>
      <c r="AB380" t="str">
        <f>IFERROR(__xludf.DUMMYFUNCTION("""COMPUTED_VALUE"""),"045 322 675 / 089 323 5076 / 090 506 0590")</f>
        <v>045 322 675 / 089 323 5076 / 090 506 0590</v>
      </c>
      <c r="AC380" t="str">
        <f>IFERROR(__xludf.DUMMYFUNCTION("""COMPUTED_VALUE"""),"Home / Ralative")</f>
        <v>Home / Ralative</v>
      </c>
      <c r="AD380" t="str">
        <f>IFERROR(__xludf.DUMMYFUNCTION("""COMPUTED_VALUE"""),"patthamaa@airasia.com")</f>
        <v>patthamaa@airasia.com</v>
      </c>
    </row>
    <row r="381">
      <c r="A381" s="142">
        <f>IFERROR(__xludf.DUMMYFUNCTION("""COMPUTED_VALUE"""),54.0)</f>
        <v>54</v>
      </c>
      <c r="B381" t="str">
        <f>IFERROR(__xludf.DUMMYFUNCTION("""COMPUTED_VALUE"""),"TAA4000")</f>
        <v>TAA4000</v>
      </c>
      <c r="C381">
        <f>IFERROR(__xludf.DUMMYFUNCTION("""COMPUTED_VALUE"""),1007157.0)</f>
        <v>1007157</v>
      </c>
      <c r="D381" t="str">
        <f>IFERROR(__xludf.DUMMYFUNCTION("""COMPUTED_VALUE"""),"Ms.")</f>
        <v>Ms.</v>
      </c>
      <c r="E381" t="str">
        <f>IFERROR(__xludf.DUMMYFUNCTION("""COMPUTED_VALUE"""),"Pichanun")</f>
        <v>Pichanun</v>
      </c>
      <c r="F381" t="str">
        <f>IFERROR(__xludf.DUMMYFUNCTION("""COMPUTED_VALUE"""),"Seneetantikul")</f>
        <v>Seneetantikul</v>
      </c>
      <c r="G381" t="str">
        <f>IFERROR(__xludf.DUMMYFUNCTION("""COMPUTED_VALUE"""),"Pichanun Seneetantikul")</f>
        <v>Pichanun Seneetantikul</v>
      </c>
      <c r="H381" t="str">
        <f>IFERROR(__xludf.DUMMYFUNCTION("""COMPUTED_VALUE"""),"นางสาว")</f>
        <v>นางสาว</v>
      </c>
      <c r="I381" t="str">
        <f>IFERROR(__xludf.DUMMYFUNCTION("""COMPUTED_VALUE"""),"พิชชานันท์")</f>
        <v>พิชชานันท์</v>
      </c>
      <c r="J381" t="str">
        <f>IFERROR(__xludf.DUMMYFUNCTION("""COMPUTED_VALUE"""),"เสณีตันติกุล")</f>
        <v>เสณีตันติกุล</v>
      </c>
      <c r="K381" t="str">
        <f>IFERROR(__xludf.DUMMYFUNCTION("""COMPUTED_VALUE"""),"พิชชานันท์ เสณีตันติกุล")</f>
        <v>พิชชานันท์ เสณีตันติกุล</v>
      </c>
      <c r="L381" t="str">
        <f>IFERROR(__xludf.DUMMYFUNCTION("""COMPUTED_VALUE"""),"แพรว")</f>
        <v>แพรว</v>
      </c>
      <c r="M381" t="str">
        <f>IFERROR(__xludf.DUMMYFUNCTION("""COMPUTED_VALUE"""),"Cabin Crew")</f>
        <v>Cabin Crew</v>
      </c>
      <c r="N381" t="str">
        <f>IFERROR(__xludf.DUMMYFUNCTION("""COMPUTED_VALUE"""),"DMK")</f>
        <v>DMK</v>
      </c>
      <c r="O381" s="145" t="str">
        <f>IFERROR(__xludf.DUMMYFUNCTION("""COMPUTED_VALUE"""),"Namfon Home")</f>
        <v>Namfon Home</v>
      </c>
      <c r="P381" t="str">
        <f>IFERROR(__xludf.DUMMYFUNCTION("""COMPUTED_VALUE"""),"Active")</f>
        <v>Active</v>
      </c>
      <c r="R381" s="143">
        <f>IFERROR(__xludf.DUMMYFUNCTION("""COMPUTED_VALUE"""),32784.0)</f>
        <v>32784</v>
      </c>
      <c r="S381" s="146" t="str">
        <f>IFERROR(__xludf.DUMMYFUNCTION("""COMPUTED_VALUE"""),"086 555 8845")</f>
        <v>086 555 8845</v>
      </c>
      <c r="T381" s="147">
        <f>IFERROR(__xludf.DUMMYFUNCTION("""COMPUTED_VALUE"""),1.101401678031E12)</f>
        <v>1101401678031</v>
      </c>
      <c r="U381" t="str">
        <f>IFERROR(__xludf.DUMMYFUNCTION("""COMPUTED_VALUE"""),"AC5617931")</f>
        <v>AC5617931</v>
      </c>
      <c r="V381" s="148">
        <f>IFERROR(__xludf.DUMMYFUNCTION("""COMPUTED_VALUE"""),45166.0)</f>
        <v>45166</v>
      </c>
      <c r="W381" s="148">
        <f>IFERROR(__xludf.DUMMYFUNCTION("""COMPUTED_VALUE"""),48818.0)</f>
        <v>48818</v>
      </c>
      <c r="X381" s="149">
        <f>IFERROR(__xludf.DUMMYFUNCTION("""COMPUTED_VALUE"""),48637.0)</f>
        <v>48637</v>
      </c>
      <c r="Y381" t="str">
        <f>IFERROR(__xludf.DUMMYFUNCTION("""COMPUTED_VALUE"""),"ปลอดภัย")</f>
        <v>ปลอดภัย</v>
      </c>
      <c r="Z381" t="str">
        <f>IFERROR(__xludf.DUMMYFUNCTION("""COMPUTED_VALUE"""),"Bangkok")</f>
        <v>Bangkok</v>
      </c>
      <c r="AA381" t="str">
        <f>IFERROR(__xludf.DUMMYFUNCTION("""COMPUTED_VALUE"""),"Chatuchak")</f>
        <v>Chatuchak</v>
      </c>
      <c r="AB381" t="str">
        <f>IFERROR(__xludf.DUMMYFUNCTION("""COMPUTED_VALUE"""),"02 585 6035 / 089 103 6035")</f>
        <v>02 585 6035 / 089 103 6035</v>
      </c>
      <c r="AC381" t="str">
        <f>IFERROR(__xludf.DUMMYFUNCTION("""COMPUTED_VALUE"""),"Home / Mother")</f>
        <v>Home / Mother</v>
      </c>
      <c r="AD381" t="str">
        <f>IFERROR(__xludf.DUMMYFUNCTION("""COMPUTED_VALUE"""),"pichanuns@airasia.com")</f>
        <v>pichanuns@airasia.com</v>
      </c>
    </row>
    <row r="382">
      <c r="A382" s="142">
        <f>IFERROR(__xludf.DUMMYFUNCTION("""COMPUTED_VALUE"""),54.0)</f>
        <v>54</v>
      </c>
      <c r="B382" t="str">
        <f>IFERROR(__xludf.DUMMYFUNCTION("""COMPUTED_VALUE"""),"TAA4024")</f>
        <v>TAA4024</v>
      </c>
      <c r="C382">
        <f>IFERROR(__xludf.DUMMYFUNCTION("""COMPUTED_VALUE"""),1007159.0)</f>
        <v>1007159</v>
      </c>
      <c r="D382" t="str">
        <f>IFERROR(__xludf.DUMMYFUNCTION("""COMPUTED_VALUE"""),"Ms.")</f>
        <v>Ms.</v>
      </c>
      <c r="E382" t="str">
        <f>IFERROR(__xludf.DUMMYFUNCTION("""COMPUTED_VALUE"""),"Piyawadee")</f>
        <v>Piyawadee</v>
      </c>
      <c r="F382" t="str">
        <f>IFERROR(__xludf.DUMMYFUNCTION("""COMPUTED_VALUE"""),"Sitdhilaw")</f>
        <v>Sitdhilaw</v>
      </c>
      <c r="G382" t="str">
        <f>IFERROR(__xludf.DUMMYFUNCTION("""COMPUTED_VALUE"""),"Piyawadee Sitdhilaw")</f>
        <v>Piyawadee Sitdhilaw</v>
      </c>
      <c r="H382" t="str">
        <f>IFERROR(__xludf.DUMMYFUNCTION("""COMPUTED_VALUE"""),"นางสาว")</f>
        <v>นางสาว</v>
      </c>
      <c r="I382" t="str">
        <f>IFERROR(__xludf.DUMMYFUNCTION("""COMPUTED_VALUE"""),"ปิยวดี")</f>
        <v>ปิยวดี</v>
      </c>
      <c r="J382" t="str">
        <f>IFERROR(__xludf.DUMMYFUNCTION("""COMPUTED_VALUE"""),"สิทธิหล่อ")</f>
        <v>สิทธิหล่อ</v>
      </c>
      <c r="K382" t="str">
        <f>IFERROR(__xludf.DUMMYFUNCTION("""COMPUTED_VALUE"""),"ปิยวดี สิทธิหล่อ")</f>
        <v>ปิยวดี สิทธิหล่อ</v>
      </c>
      <c r="L382" t="str">
        <f>IFERROR(__xludf.DUMMYFUNCTION("""COMPUTED_VALUE"""),"แนน")</f>
        <v>แนน</v>
      </c>
      <c r="M382" t="str">
        <f>IFERROR(__xludf.DUMMYFUNCTION("""COMPUTED_VALUE"""),"Senior Cabin Crew")</f>
        <v>Senior Cabin Crew</v>
      </c>
      <c r="N382" t="str">
        <f>IFERROR(__xludf.DUMMYFUNCTION("""COMPUTED_VALUE"""),"DMK")</f>
        <v>DMK</v>
      </c>
      <c r="O382" s="145" t="str">
        <f>IFERROR(__xludf.DUMMYFUNCTION("""COMPUTED_VALUE"""),"Up Home")</f>
        <v>Up Home</v>
      </c>
      <c r="P382" t="str">
        <f>IFERROR(__xludf.DUMMYFUNCTION("""COMPUTED_VALUE"""),"V/LWP")</f>
        <v>V/LWP</v>
      </c>
      <c r="R382" s="143">
        <f>IFERROR(__xludf.DUMMYFUNCTION("""COMPUTED_VALUE"""),30695.0)</f>
        <v>30695</v>
      </c>
      <c r="S382" s="146" t="str">
        <f>IFERROR(__xludf.DUMMYFUNCTION("""COMPUTED_VALUE"""),"089 813 4454")</f>
        <v>089 813 4454</v>
      </c>
      <c r="T382" s="147">
        <f>IFERROR(__xludf.DUMMYFUNCTION("""COMPUTED_VALUE"""),1.101400031408E12)</f>
        <v>1101400031408</v>
      </c>
      <c r="U382" t="str">
        <f>IFERROR(__xludf.DUMMYFUNCTION("""COMPUTED_VALUE"""),"ac6757917")</f>
        <v>ac6757917</v>
      </c>
      <c r="V382" s="148">
        <f>IFERROR(__xludf.DUMMYFUNCTION("""COMPUTED_VALUE"""),43686.0)</f>
        <v>43686</v>
      </c>
      <c r="W382" s="148">
        <f>IFERROR(__xludf.DUMMYFUNCTION("""COMPUTED_VALUE"""),49164.0)</f>
        <v>49164</v>
      </c>
      <c r="X382" s="149">
        <f>IFERROR(__xludf.DUMMYFUNCTION("""COMPUTED_VALUE"""),48983.0)</f>
        <v>48983</v>
      </c>
      <c r="Y382" t="str">
        <f>IFERROR(__xludf.DUMMYFUNCTION("""COMPUTED_VALUE"""),"ปลอดภัย")</f>
        <v>ปลอดภัย</v>
      </c>
      <c r="Z382" t="str">
        <f>IFERROR(__xludf.DUMMYFUNCTION("""COMPUTED_VALUE"""),"Bangkok")</f>
        <v>Bangkok</v>
      </c>
      <c r="AA382" t="str">
        <f>IFERROR(__xludf.DUMMYFUNCTION("""COMPUTED_VALUE"""),"Lumlukka")</f>
        <v>Lumlukka</v>
      </c>
      <c r="AB382" t="str">
        <f>IFERROR(__xludf.DUMMYFUNCTION("""COMPUTED_VALUE"""),"089 013 7813 / 089 768 4285")</f>
        <v>089 013 7813 / 089 768 4285</v>
      </c>
      <c r="AC382" t="str">
        <f>IFERROR(__xludf.DUMMYFUNCTION("""COMPUTED_VALUE"""),"Mother")</f>
        <v>Mother</v>
      </c>
      <c r="AD382" t="str">
        <f>IFERROR(__xludf.DUMMYFUNCTION("""COMPUTED_VALUE"""),"piyawadees@airasia.com")</f>
        <v>piyawadees@airasia.com</v>
      </c>
    </row>
    <row r="383">
      <c r="A383" s="142">
        <f>IFERROR(__xludf.DUMMYFUNCTION("""COMPUTED_VALUE"""),54.0)</f>
        <v>54</v>
      </c>
      <c r="B383" t="str">
        <f>IFERROR(__xludf.DUMMYFUNCTION("""COMPUTED_VALUE"""),"TAA4017")</f>
        <v>TAA4017</v>
      </c>
      <c r="C383">
        <f>IFERROR(__xludf.DUMMYFUNCTION("""COMPUTED_VALUE"""),1007161.0)</f>
        <v>1007161</v>
      </c>
      <c r="D383" t="str">
        <f>IFERROR(__xludf.DUMMYFUNCTION("""COMPUTED_VALUE"""),"Ms.")</f>
        <v>Ms.</v>
      </c>
      <c r="E383" t="str">
        <f>IFERROR(__xludf.DUMMYFUNCTION("""COMPUTED_VALUE"""),"Prangnaree")</f>
        <v>Prangnaree</v>
      </c>
      <c r="F383" t="str">
        <f>IFERROR(__xludf.DUMMYFUNCTION("""COMPUTED_VALUE"""),"Sahawatcharin")</f>
        <v>Sahawatcharin</v>
      </c>
      <c r="G383" t="str">
        <f>IFERROR(__xludf.DUMMYFUNCTION("""COMPUTED_VALUE"""),"Prangnaree Sahawatcharin")</f>
        <v>Prangnaree Sahawatcharin</v>
      </c>
      <c r="H383" t="str">
        <f>IFERROR(__xludf.DUMMYFUNCTION("""COMPUTED_VALUE"""),"นางสาว")</f>
        <v>นางสาว</v>
      </c>
      <c r="I383" t="str">
        <f>IFERROR(__xludf.DUMMYFUNCTION("""COMPUTED_VALUE"""),"ปรางนรี")</f>
        <v>ปรางนรี</v>
      </c>
      <c r="J383" t="str">
        <f>IFERROR(__xludf.DUMMYFUNCTION("""COMPUTED_VALUE"""),"สหวัชรินทร์")</f>
        <v>สหวัชรินทร์</v>
      </c>
      <c r="K383" t="str">
        <f>IFERROR(__xludf.DUMMYFUNCTION("""COMPUTED_VALUE"""),"ปรางนรี สหวัชรินทร์")</f>
        <v>ปรางนรี สหวัชรินทร์</v>
      </c>
      <c r="L383" t="str">
        <f>IFERROR(__xludf.DUMMYFUNCTION("""COMPUTED_VALUE"""),"มะปราง")</f>
        <v>มะปราง</v>
      </c>
      <c r="M383" t="str">
        <f>IFERROR(__xludf.DUMMYFUNCTION("""COMPUTED_VALUE"""),"Cabin Crew")</f>
        <v>Cabin Crew</v>
      </c>
      <c r="N383" t="str">
        <f>IFERROR(__xludf.DUMMYFUNCTION("""COMPUTED_VALUE"""),"DMK")</f>
        <v>DMK</v>
      </c>
      <c r="O383" s="145" t="str">
        <f>IFERROR(__xludf.DUMMYFUNCTION("""COMPUTED_VALUE"""),"Nhui Home")</f>
        <v>Nhui Home</v>
      </c>
      <c r="P383" t="str">
        <f>IFERROR(__xludf.DUMMYFUNCTION("""COMPUTED_VALUE"""),"Active")</f>
        <v>Active</v>
      </c>
      <c r="R383" s="143">
        <f>IFERROR(__xludf.DUMMYFUNCTION("""COMPUTED_VALUE"""),31863.0)</f>
        <v>31863</v>
      </c>
      <c r="S383" s="146" t="str">
        <f>IFERROR(__xludf.DUMMYFUNCTION("""COMPUTED_VALUE"""),"089 446 9733")</f>
        <v>089 446 9733</v>
      </c>
      <c r="T383" s="147">
        <f>IFERROR(__xludf.DUMMYFUNCTION("""COMPUTED_VALUE"""),1.739900056029E12)</f>
        <v>1739900056029</v>
      </c>
      <c r="U383" t="str">
        <f>IFERROR(__xludf.DUMMYFUNCTION("""COMPUTED_VALUE"""),"AC7921362")</f>
        <v>AC7921362</v>
      </c>
      <c r="V383" s="148">
        <f>IFERROR(__xludf.DUMMYFUNCTION("""COMPUTED_VALUE"""),45672.0)</f>
        <v>45672</v>
      </c>
      <c r="W383" s="148">
        <f>IFERROR(__xludf.DUMMYFUNCTION("""COMPUTED_VALUE"""),49323.0)</f>
        <v>49323</v>
      </c>
      <c r="X383" s="149">
        <f>IFERROR(__xludf.DUMMYFUNCTION("""COMPUTED_VALUE"""),49139.0)</f>
        <v>49139</v>
      </c>
      <c r="Y383" t="str">
        <f>IFERROR(__xludf.DUMMYFUNCTION("""COMPUTED_VALUE"""),"ปลอดภัย")</f>
        <v>ปลอดภัย</v>
      </c>
      <c r="Z383" t="str">
        <f>IFERROR(__xludf.DUMMYFUNCTION("""COMPUTED_VALUE"""),"Nakhon Pathom Province")</f>
        <v>Nakhon Pathom Province</v>
      </c>
      <c r="AA383" t="str">
        <f>IFERROR(__xludf.DUMMYFUNCTION("""COMPUTED_VALUE"""),"Nakhonpathom")</f>
        <v>Nakhonpathom</v>
      </c>
      <c r="AB383" t="str">
        <f>IFERROR(__xludf.DUMMYFUNCTION("""COMPUTED_VALUE"""),"034 258 171 / 081 572 5348")</f>
        <v>034 258 171 / 081 572 5348</v>
      </c>
      <c r="AC383" t="str">
        <f>IFERROR(__xludf.DUMMYFUNCTION("""COMPUTED_VALUE"""),"Home / Mother")</f>
        <v>Home / Mother</v>
      </c>
      <c r="AD383" t="str">
        <f>IFERROR(__xludf.DUMMYFUNCTION("""COMPUTED_VALUE"""),"prangnarees@airasia.com")</f>
        <v>prangnarees@airasia.com</v>
      </c>
    </row>
    <row r="384">
      <c r="A384" s="142">
        <f>IFERROR(__xludf.DUMMYFUNCTION("""COMPUTED_VALUE"""),54.0)</f>
        <v>54</v>
      </c>
      <c r="B384" t="str">
        <f>IFERROR(__xludf.DUMMYFUNCTION("""COMPUTED_VALUE"""),"TAA4007")</f>
        <v>TAA4007</v>
      </c>
      <c r="C384">
        <f>IFERROR(__xludf.DUMMYFUNCTION("""COMPUTED_VALUE"""),1007164.0)</f>
        <v>1007164</v>
      </c>
      <c r="D384" t="str">
        <f>IFERROR(__xludf.DUMMYFUNCTION("""COMPUTED_VALUE"""),"Ms.")</f>
        <v>Ms.</v>
      </c>
      <c r="E384" t="str">
        <f>IFERROR(__xludf.DUMMYFUNCTION("""COMPUTED_VALUE"""),"Saowanee")</f>
        <v>Saowanee</v>
      </c>
      <c r="F384" t="str">
        <f>IFERROR(__xludf.DUMMYFUNCTION("""COMPUTED_VALUE"""),"Paweenwich")</f>
        <v>Paweenwich</v>
      </c>
      <c r="G384" t="str">
        <f>IFERROR(__xludf.DUMMYFUNCTION("""COMPUTED_VALUE"""),"Saowanee Paweenwich")</f>
        <v>Saowanee Paweenwich</v>
      </c>
      <c r="H384" t="str">
        <f>IFERROR(__xludf.DUMMYFUNCTION("""COMPUTED_VALUE"""),"นางสาว")</f>
        <v>นางสาว</v>
      </c>
      <c r="I384" t="str">
        <f>IFERROR(__xludf.DUMMYFUNCTION("""COMPUTED_VALUE"""),"เสาวนีย์")</f>
        <v>เสาวนีย์</v>
      </c>
      <c r="J384" t="str">
        <f>IFERROR(__xludf.DUMMYFUNCTION("""COMPUTED_VALUE"""),"ปวีณวิช")</f>
        <v>ปวีณวิช</v>
      </c>
      <c r="K384" t="str">
        <f>IFERROR(__xludf.DUMMYFUNCTION("""COMPUTED_VALUE"""),"เสาวณีย์ ปวีณวิช")</f>
        <v>เสาวณีย์ ปวีณวิช</v>
      </c>
      <c r="L384" t="str">
        <f>IFERROR(__xludf.DUMMYFUNCTION("""COMPUTED_VALUE"""),"โบว์")</f>
        <v>โบว์</v>
      </c>
      <c r="M384" t="str">
        <f>IFERROR(__xludf.DUMMYFUNCTION("""COMPUTED_VALUE"""),"Senior Cabin Crew")</f>
        <v>Senior Cabin Crew</v>
      </c>
      <c r="N384" t="str">
        <f>IFERROR(__xludf.DUMMYFUNCTION("""COMPUTED_VALUE"""),"DMK")</f>
        <v>DMK</v>
      </c>
      <c r="O384" s="145" t="str">
        <f>IFERROR(__xludf.DUMMYFUNCTION("""COMPUTED_VALUE"""),"Nhui Home")</f>
        <v>Nhui Home</v>
      </c>
      <c r="P384" t="str">
        <f>IFERROR(__xludf.DUMMYFUNCTION("""COMPUTED_VALUE"""),"Active")</f>
        <v>Active</v>
      </c>
      <c r="R384" s="143">
        <f>IFERROR(__xludf.DUMMYFUNCTION("""COMPUTED_VALUE"""),32242.0)</f>
        <v>32242</v>
      </c>
      <c r="S384" s="146" t="str">
        <f>IFERROR(__xludf.DUMMYFUNCTION("""COMPUTED_VALUE"""),"096-876-5760")</f>
        <v>096-876-5760</v>
      </c>
      <c r="T384" s="147">
        <f>IFERROR(__xludf.DUMMYFUNCTION("""COMPUTED_VALUE"""),1.100400321901E12)</f>
        <v>1100400321901</v>
      </c>
      <c r="U384" t="str">
        <f>IFERROR(__xludf.DUMMYFUNCTION("""COMPUTED_VALUE"""),"AC6166247")</f>
        <v>AC6166247</v>
      </c>
      <c r="V384" s="148">
        <f>IFERROR(__xludf.DUMMYFUNCTION("""COMPUTED_VALUE"""),45264.0)</f>
        <v>45264</v>
      </c>
      <c r="W384" s="148">
        <f>IFERROR(__xludf.DUMMYFUNCTION("""COMPUTED_VALUE"""),48916.0)</f>
        <v>48916</v>
      </c>
      <c r="X384" s="149">
        <f>IFERROR(__xludf.DUMMYFUNCTION("""COMPUTED_VALUE"""),48733.0)</f>
        <v>48733</v>
      </c>
      <c r="Y384" t="str">
        <f>IFERROR(__xludf.DUMMYFUNCTION("""COMPUTED_VALUE"""),"ปลอดภัย")</f>
        <v>ปลอดภัย</v>
      </c>
      <c r="Z384" t="str">
        <f>IFERROR(__xludf.DUMMYFUNCTION("""COMPUTED_VALUE"""),"Bangkok")</f>
        <v>Bangkok</v>
      </c>
      <c r="AA384" t="str">
        <f>IFERROR(__xludf.DUMMYFUNCTION("""COMPUTED_VALUE"""),"Sathorn")</f>
        <v>Sathorn</v>
      </c>
      <c r="AB384" t="str">
        <f>IFERROR(__xludf.DUMMYFUNCTION("""COMPUTED_VALUE"""),"02 212 2494 / 081 794 2006")</f>
        <v>02 212 2494 / 081 794 2006</v>
      </c>
      <c r="AC384" t="str">
        <f>IFERROR(__xludf.DUMMYFUNCTION("""COMPUTED_VALUE"""),"Home / Mother")</f>
        <v>Home / Mother</v>
      </c>
      <c r="AD384" t="str">
        <f>IFERROR(__xludf.DUMMYFUNCTION("""COMPUTED_VALUE"""),"saowaneep@airasia.com")</f>
        <v>saowaneep@airasia.com</v>
      </c>
    </row>
    <row r="385">
      <c r="A385" s="142">
        <f>IFERROR(__xludf.DUMMYFUNCTION("""COMPUTED_VALUE"""),54.0)</f>
        <v>54</v>
      </c>
      <c r="B385" t="str">
        <f>IFERROR(__xludf.DUMMYFUNCTION("""COMPUTED_VALUE"""),"TAA4014")</f>
        <v>TAA4014</v>
      </c>
      <c r="C385">
        <f>IFERROR(__xludf.DUMMYFUNCTION("""COMPUTED_VALUE"""),1007170.0)</f>
        <v>1007170</v>
      </c>
      <c r="D385" t="str">
        <f>IFERROR(__xludf.DUMMYFUNCTION("""COMPUTED_VALUE"""),"Ms.")</f>
        <v>Ms.</v>
      </c>
      <c r="E385" t="str">
        <f>IFERROR(__xludf.DUMMYFUNCTION("""COMPUTED_VALUE"""),"Supaporn")</f>
        <v>Supaporn</v>
      </c>
      <c r="F385" t="str">
        <f>IFERROR(__xludf.DUMMYFUNCTION("""COMPUTED_VALUE"""),"Rungroch")</f>
        <v>Rungroch</v>
      </c>
      <c r="G385" t="str">
        <f>IFERROR(__xludf.DUMMYFUNCTION("""COMPUTED_VALUE"""),"Supaporn Rungroch")</f>
        <v>Supaporn Rungroch</v>
      </c>
      <c r="H385" t="str">
        <f>IFERROR(__xludf.DUMMYFUNCTION("""COMPUTED_VALUE"""),"นางสาว")</f>
        <v>นางสาว</v>
      </c>
      <c r="I385" t="str">
        <f>IFERROR(__xludf.DUMMYFUNCTION("""COMPUTED_VALUE"""),"สุภาพร")</f>
        <v>สุภาพร</v>
      </c>
      <c r="J385" t="str">
        <f>IFERROR(__xludf.DUMMYFUNCTION("""COMPUTED_VALUE"""),"รุ่งโรจน์")</f>
        <v>รุ่งโรจน์</v>
      </c>
      <c r="K385" t="str">
        <f>IFERROR(__xludf.DUMMYFUNCTION("""COMPUTED_VALUE"""),"สุภาพร รุ่งโรจน์")</f>
        <v>สุภาพร รุ่งโรจน์</v>
      </c>
      <c r="L385" t="str">
        <f>IFERROR(__xludf.DUMMYFUNCTION("""COMPUTED_VALUE"""),"กุ้ง")</f>
        <v>กุ้ง</v>
      </c>
      <c r="M385" t="str">
        <f>IFERROR(__xludf.DUMMYFUNCTION("""COMPUTED_VALUE"""),"Senior Cabin Crew - BKK")</f>
        <v>Senior Cabin Crew - BKK</v>
      </c>
      <c r="N385" t="str">
        <f>IFERROR(__xludf.DUMMYFUNCTION("""COMPUTED_VALUE"""),"BKK")</f>
        <v>BKK</v>
      </c>
      <c r="O385" s="145" t="str">
        <f>IFERROR(__xludf.DUMMYFUNCTION("""COMPUTED_VALUE"""),"Nhui Home")</f>
        <v>Nhui Home</v>
      </c>
      <c r="P385" t="str">
        <f>IFERROR(__xludf.DUMMYFUNCTION("""COMPUTED_VALUE"""),"Active/V/DMK")</f>
        <v>Active/V/DMK</v>
      </c>
      <c r="Q385" t="str">
        <f>IFERROR(__xludf.DUMMYFUNCTION("""COMPUTED_VALUE"""),"Chinese Speaking")</f>
        <v>Chinese Speaking</v>
      </c>
      <c r="R385" s="143">
        <f>IFERROR(__xludf.DUMMYFUNCTION("""COMPUTED_VALUE"""),32171.0)</f>
        <v>32171</v>
      </c>
      <c r="S385" s="146" t="str">
        <f>IFERROR(__xludf.DUMMYFUNCTION("""COMPUTED_VALUE"""),"089 251 4427")</f>
        <v>089 251 4427</v>
      </c>
      <c r="T385" s="147">
        <f>IFERROR(__xludf.DUMMYFUNCTION("""COMPUTED_VALUE"""),1.229900211843E12)</f>
        <v>1229900211843</v>
      </c>
      <c r="U385" t="str">
        <f>IFERROR(__xludf.DUMMYFUNCTION("""COMPUTED_VALUE"""),"AD0128552")</f>
        <v>AD0128552</v>
      </c>
      <c r="V385" s="148">
        <f>IFERROR(__xludf.DUMMYFUNCTION("""COMPUTED_VALUE"""),44845.0)</f>
        <v>44845</v>
      </c>
      <c r="W385" s="148">
        <f>IFERROR(__xludf.DUMMYFUNCTION("""COMPUTED_VALUE"""),48497.0)</f>
        <v>48497</v>
      </c>
      <c r="X385" s="149">
        <f>IFERROR(__xludf.DUMMYFUNCTION("""COMPUTED_VALUE"""),48314.0)</f>
        <v>48314</v>
      </c>
      <c r="Y385" t="str">
        <f>IFERROR(__xludf.DUMMYFUNCTION("""COMPUTED_VALUE"""),"ปลอดภัย")</f>
        <v>ปลอดภัย</v>
      </c>
      <c r="Z385" t="str">
        <f>IFERROR(__xludf.DUMMYFUNCTION("""COMPUTED_VALUE"""),"Chanthaburi Province")</f>
        <v>Chanthaburi Province</v>
      </c>
      <c r="AA385" t="str">
        <f>IFERROR(__xludf.DUMMYFUNCTION("""COMPUTED_VALUE"""),"Don Mueang")</f>
        <v>Don Mueang</v>
      </c>
      <c r="AB385" t="str">
        <f>IFERROR(__xludf.DUMMYFUNCTION("""COMPUTED_VALUE"""),"089 543 0545")</f>
        <v>089 543 0545</v>
      </c>
      <c r="AC385" t="str">
        <f>IFERROR(__xludf.DUMMYFUNCTION("""COMPUTED_VALUE"""),"Sister")</f>
        <v>Sister</v>
      </c>
      <c r="AD385" t="str">
        <f>IFERROR(__xludf.DUMMYFUNCTION("""COMPUTED_VALUE"""),"supapornr@airasia.com")</f>
        <v>supapornr@airasia.com</v>
      </c>
    </row>
    <row r="386">
      <c r="A386" s="142">
        <f>IFERROR(__xludf.DUMMYFUNCTION("""COMPUTED_VALUE"""),54.0)</f>
        <v>54</v>
      </c>
      <c r="B386" t="str">
        <f>IFERROR(__xludf.DUMMYFUNCTION("""COMPUTED_VALUE"""),"TAA4016")</f>
        <v>TAA4016</v>
      </c>
      <c r="C386">
        <f>IFERROR(__xludf.DUMMYFUNCTION("""COMPUTED_VALUE"""),1007176.0)</f>
        <v>1007176</v>
      </c>
      <c r="D386" t="str">
        <f>IFERROR(__xludf.DUMMYFUNCTION("""COMPUTED_VALUE"""),"Ms.")</f>
        <v>Ms.</v>
      </c>
      <c r="E386" t="str">
        <f>IFERROR(__xludf.DUMMYFUNCTION("""COMPUTED_VALUE"""),"Thanrada")</f>
        <v>Thanrada</v>
      </c>
      <c r="F386" t="str">
        <f>IFERROR(__xludf.DUMMYFUNCTION("""COMPUTED_VALUE"""),"Phattaratharnwanit (Phetloet)")</f>
        <v>Phattaratharnwanit (Phetloet)</v>
      </c>
      <c r="G386" t="str">
        <f>IFERROR(__xludf.DUMMYFUNCTION("""COMPUTED_VALUE"""),"Thanrada Phattaratharnwanit ")</f>
        <v>Thanrada Phattaratharnwanit </v>
      </c>
      <c r="H386" t="str">
        <f>IFERROR(__xludf.DUMMYFUNCTION("""COMPUTED_VALUE"""),"นางสาว")</f>
        <v>นางสาว</v>
      </c>
      <c r="I386" t="str">
        <f>IFERROR(__xludf.DUMMYFUNCTION("""COMPUTED_VALUE"""),"ธัญรดา")</f>
        <v>ธัญรดา</v>
      </c>
      <c r="J386" t="str">
        <f>IFERROR(__xludf.DUMMYFUNCTION("""COMPUTED_VALUE"""),"ภัทรธารวณิชย์ (เพ็ชรเลิศ)")</f>
        <v>ภัทรธารวณิชย์ (เพ็ชรเลิศ)</v>
      </c>
      <c r="K386" t="str">
        <f>IFERROR(__xludf.DUMMYFUNCTION("""COMPUTED_VALUE"""),"ธัญรดา ภัทรธารวณิชย์")</f>
        <v>ธัญรดา ภัทรธารวณิชย์</v>
      </c>
      <c r="L386" t="str">
        <f>IFERROR(__xludf.DUMMYFUNCTION("""COMPUTED_VALUE"""),"อุ๋ม")</f>
        <v>อุ๋ม</v>
      </c>
      <c r="M386" t="str">
        <f>IFERROR(__xludf.DUMMYFUNCTION("""COMPUTED_VALUE"""),"Cabin Crew")</f>
        <v>Cabin Crew</v>
      </c>
      <c r="N386" t="str">
        <f>IFERROR(__xludf.DUMMYFUNCTION("""COMPUTED_VALUE"""),"DMK")</f>
        <v>DMK</v>
      </c>
      <c r="O386" s="145" t="str">
        <f>IFERROR(__xludf.DUMMYFUNCTION("""COMPUTED_VALUE"""),"Kor Home")</f>
        <v>Kor Home</v>
      </c>
      <c r="P386" t="str">
        <f>IFERROR(__xludf.DUMMYFUNCTION("""COMPUTED_VALUE"""),"Active")</f>
        <v>Active</v>
      </c>
      <c r="R386" s="143">
        <f>IFERROR(__xludf.DUMMYFUNCTION("""COMPUTED_VALUE"""),32315.0)</f>
        <v>32315</v>
      </c>
      <c r="S386" s="146" t="str">
        <f>IFERROR(__xludf.DUMMYFUNCTION("""COMPUTED_VALUE"""),"084 156 2040")</f>
        <v>084 156 2040</v>
      </c>
      <c r="T386" s="147">
        <f>IFERROR(__xludf.DUMMYFUNCTION("""COMPUTED_VALUE"""),1.101401345911E12)</f>
        <v>1101401345911</v>
      </c>
      <c r="U386" t="str">
        <f>IFERROR(__xludf.DUMMYFUNCTION("""COMPUTED_VALUE"""),"AC6526841")</f>
        <v>AC6526841</v>
      </c>
      <c r="V386" s="148">
        <f>IFERROR(__xludf.DUMMYFUNCTION("""COMPUTED_VALUE"""),45376.0)</f>
        <v>45376</v>
      </c>
      <c r="W386" s="148">
        <f>IFERROR(__xludf.DUMMYFUNCTION("""COMPUTED_VALUE"""),49027.0)</f>
        <v>49027</v>
      </c>
      <c r="X386" s="149">
        <f>IFERROR(__xludf.DUMMYFUNCTION("""COMPUTED_VALUE"""),48846.0)</f>
        <v>48846</v>
      </c>
      <c r="Y386" t="str">
        <f>IFERROR(__xludf.DUMMYFUNCTION("""COMPUTED_VALUE"""),"ปลอดภัย")</f>
        <v>ปลอดภัย</v>
      </c>
      <c r="Z386" t="str">
        <f>IFERROR(__xludf.DUMMYFUNCTION("""COMPUTED_VALUE"""),"Bangkok")</f>
        <v>Bangkok</v>
      </c>
      <c r="AA386" t="str">
        <f>IFERROR(__xludf.DUMMYFUNCTION("""COMPUTED_VALUE"""),"Songprapa")</f>
        <v>Songprapa</v>
      </c>
      <c r="AB386" t="str">
        <f>IFERROR(__xludf.DUMMYFUNCTION("""COMPUTED_VALUE"""),"02 928 4618 / 086 711 5753 / 081 817 8090")</f>
        <v>02 928 4618 / 086 711 5753 / 081 817 8090</v>
      </c>
      <c r="AC386" t="str">
        <f>IFERROR(__xludf.DUMMYFUNCTION("""COMPUTED_VALUE"""),"Home / Mother")</f>
        <v>Home / Mother</v>
      </c>
      <c r="AD386" t="str">
        <f>IFERROR(__xludf.DUMMYFUNCTION("""COMPUTED_VALUE"""),"thanradap@airasia.com")</f>
        <v>thanradap@airasia.com</v>
      </c>
    </row>
    <row r="387">
      <c r="A387" s="142">
        <f>IFERROR(__xludf.DUMMYFUNCTION("""COMPUTED_VALUE"""),54.0)</f>
        <v>54</v>
      </c>
      <c r="B387" t="str">
        <f>IFERROR(__xludf.DUMMYFUNCTION("""COMPUTED_VALUE"""),"TAA4012")</f>
        <v>TAA4012</v>
      </c>
      <c r="C387">
        <f>IFERROR(__xludf.DUMMYFUNCTION("""COMPUTED_VALUE"""),1007177.0)</f>
        <v>1007177</v>
      </c>
      <c r="D387" t="str">
        <f>IFERROR(__xludf.DUMMYFUNCTION("""COMPUTED_VALUE"""),"Ms.")</f>
        <v>Ms.</v>
      </c>
      <c r="E387" t="str">
        <f>IFERROR(__xludf.DUMMYFUNCTION("""COMPUTED_VALUE"""),"Kandalin (Thattakarn)")</f>
        <v>Kandalin (Thattakarn)</v>
      </c>
      <c r="F387" t="str">
        <f>IFERROR(__xludf.DUMMYFUNCTION("""COMPUTED_VALUE"""),"Koonkaew")</f>
        <v>Koonkaew</v>
      </c>
      <c r="G387" t="str">
        <f>IFERROR(__xludf.DUMMYFUNCTION("""COMPUTED_VALUE"""),"Kandalin Koonkaew")</f>
        <v>Kandalin Koonkaew</v>
      </c>
      <c r="H387" t="str">
        <f>IFERROR(__xludf.DUMMYFUNCTION("""COMPUTED_VALUE"""),"นางสาว")</f>
        <v>นางสาว</v>
      </c>
      <c r="I387" t="str">
        <f>IFERROR(__xludf.DUMMYFUNCTION("""COMPUTED_VALUE"""),"กานดาลิน (ทัตตกานต์)")</f>
        <v>กานดาลิน (ทัตตกานต์)</v>
      </c>
      <c r="J387" t="str">
        <f>IFERROR(__xludf.DUMMYFUNCTION("""COMPUTED_VALUE"""),"คุณแก้ว")</f>
        <v>คุณแก้ว</v>
      </c>
      <c r="K387" t="str">
        <f>IFERROR(__xludf.DUMMYFUNCTION("""COMPUTED_VALUE"""),"กานดาลิน คุณแก้ว")</f>
        <v>กานดาลิน คุณแก้ว</v>
      </c>
      <c r="L387" t="str">
        <f>IFERROR(__xludf.DUMMYFUNCTION("""COMPUTED_VALUE"""),"ปุ๋ย")</f>
        <v>ปุ๋ย</v>
      </c>
      <c r="M387" t="str">
        <f>IFERROR(__xludf.DUMMYFUNCTION("""COMPUTED_VALUE"""),"Cabin Crew - HKT")</f>
        <v>Cabin Crew - HKT</v>
      </c>
      <c r="N387" t="str">
        <f>IFERROR(__xludf.DUMMYFUNCTION("""COMPUTED_VALUE"""),"HKT")</f>
        <v>HKT</v>
      </c>
      <c r="O387" s="145" t="str">
        <f>IFERROR(__xludf.DUMMYFUNCTION("""COMPUTED_VALUE"""),"Kor Home")</f>
        <v>Kor Home</v>
      </c>
      <c r="P387" t="str">
        <f>IFERROR(__xludf.DUMMYFUNCTION("""COMPUTED_VALUE"""),"Active")</f>
        <v>Active</v>
      </c>
      <c r="R387" s="143">
        <f>IFERROR(__xludf.DUMMYFUNCTION("""COMPUTED_VALUE"""),32365.0)</f>
        <v>32365</v>
      </c>
      <c r="S387" s="146" t="str">
        <f>IFERROR(__xludf.DUMMYFUNCTION("""COMPUTED_VALUE"""),"082 624 6515")</f>
        <v>082 624 6515</v>
      </c>
      <c r="T387" s="147">
        <f>IFERROR(__xludf.DUMMYFUNCTION("""COMPUTED_VALUE"""),1.319900150428E12)</f>
        <v>1319900150428</v>
      </c>
      <c r="U387" t="str">
        <f>IFERROR(__xludf.DUMMYFUNCTION("""COMPUTED_VALUE"""),"AC6097361")</f>
        <v>AC6097361</v>
      </c>
      <c r="V387" s="148">
        <f>IFERROR(__xludf.DUMMYFUNCTION("""COMPUTED_VALUE"""),45266.0)</f>
        <v>45266</v>
      </c>
      <c r="W387" s="148">
        <f>IFERROR(__xludf.DUMMYFUNCTION("""COMPUTED_VALUE"""),47092.0)</f>
        <v>47092</v>
      </c>
      <c r="X387" s="149">
        <f>IFERROR(__xludf.DUMMYFUNCTION("""COMPUTED_VALUE"""),46909.0)</f>
        <v>46909</v>
      </c>
      <c r="Y387" t="str">
        <f>IFERROR(__xludf.DUMMYFUNCTION("""COMPUTED_VALUE"""),"ปลอดภัย")</f>
        <v>ปลอดภัย</v>
      </c>
      <c r="Z387" t="str">
        <f>IFERROR(__xludf.DUMMYFUNCTION("""COMPUTED_VALUE"""),"Buriram Province")</f>
        <v>Buriram Province</v>
      </c>
      <c r="AA387" t="str">
        <f>IFERROR(__xludf.DUMMYFUNCTION("""COMPUTED_VALUE"""),"Ladprao")</f>
        <v>Ladprao</v>
      </c>
      <c r="AB387" t="str">
        <f>IFERROR(__xludf.DUMMYFUNCTION("""COMPUTED_VALUE"""),"02 942 2562 / 085 150 6207")</f>
        <v>02 942 2562 / 085 150 6207</v>
      </c>
      <c r="AC387" t="str">
        <f>IFERROR(__xludf.DUMMYFUNCTION("""COMPUTED_VALUE"""),"Home / Big Sister")</f>
        <v>Home / Big Sister</v>
      </c>
      <c r="AD387" t="str">
        <f>IFERROR(__xludf.DUMMYFUNCTION("""COMPUTED_VALUE"""),"kandalinkoon@airasia.com")</f>
        <v>kandalinkoon@airasia.com</v>
      </c>
    </row>
    <row r="388">
      <c r="AD388" t="str">
        <f>IFERROR(__xludf.DUMMYFUNCTION("""COMPUTED_VALUE"""),"")</f>
        <v/>
      </c>
    </row>
    <row r="389">
      <c r="A389" s="142">
        <f>IFERROR(__xludf.DUMMYFUNCTION("""COMPUTED_VALUE"""),55.0)</f>
        <v>55</v>
      </c>
      <c r="B389" t="str">
        <f>IFERROR(__xludf.DUMMYFUNCTION("""COMPUTED_VALUE"""),"TAA4042")</f>
        <v>TAA4042</v>
      </c>
      <c r="C389">
        <f>IFERROR(__xludf.DUMMYFUNCTION("""COMPUTED_VALUE"""),1007194.0)</f>
        <v>1007194</v>
      </c>
      <c r="D389" t="str">
        <f>IFERROR(__xludf.DUMMYFUNCTION("""COMPUTED_VALUE"""),"Ms.")</f>
        <v>Ms.</v>
      </c>
      <c r="E389" t="str">
        <f>IFERROR(__xludf.DUMMYFUNCTION("""COMPUTED_VALUE"""),"Arparatt")</f>
        <v>Arparatt</v>
      </c>
      <c r="F389" t="str">
        <f>IFERROR(__xludf.DUMMYFUNCTION("""COMPUTED_VALUE"""),"Pengya")</f>
        <v>Pengya</v>
      </c>
      <c r="G389" t="str">
        <f>IFERROR(__xludf.DUMMYFUNCTION("""COMPUTED_VALUE"""),"Arparatt Pengya")</f>
        <v>Arparatt Pengya</v>
      </c>
      <c r="H389" t="str">
        <f>IFERROR(__xludf.DUMMYFUNCTION("""COMPUTED_VALUE"""),"นางสาว")</f>
        <v>นางสาว</v>
      </c>
      <c r="I389" t="str">
        <f>IFERROR(__xludf.DUMMYFUNCTION("""COMPUTED_VALUE"""),"อาภารัตน์")</f>
        <v>อาภารัตน์</v>
      </c>
      <c r="J389" t="str">
        <f>IFERROR(__xludf.DUMMYFUNCTION("""COMPUTED_VALUE"""),"เพ็งยา")</f>
        <v>เพ็งยา</v>
      </c>
      <c r="K389" t="str">
        <f>IFERROR(__xludf.DUMMYFUNCTION("""COMPUTED_VALUE"""),"อาภารัตน์ เพ็งยา")</f>
        <v>อาภารัตน์ เพ็งยา</v>
      </c>
      <c r="L389" t="str">
        <f>IFERROR(__xludf.DUMMYFUNCTION("""COMPUTED_VALUE"""),"ภา")</f>
        <v>ภา</v>
      </c>
      <c r="M389" t="str">
        <f>IFERROR(__xludf.DUMMYFUNCTION("""COMPUTED_VALUE"""),"Cabin Crew")</f>
        <v>Cabin Crew</v>
      </c>
      <c r="N389" t="str">
        <f>IFERROR(__xludf.DUMMYFUNCTION("""COMPUTED_VALUE"""),"DMK")</f>
        <v>DMK</v>
      </c>
      <c r="O389" s="145" t="str">
        <f>IFERROR(__xludf.DUMMYFUNCTION("""COMPUTED_VALUE"""),"Nhui Home")</f>
        <v>Nhui Home</v>
      </c>
      <c r="P389" t="str">
        <f>IFERROR(__xludf.DUMMYFUNCTION("""COMPUTED_VALUE"""),"V/LWP")</f>
        <v>V/LWP</v>
      </c>
      <c r="R389" s="143">
        <f>IFERROR(__xludf.DUMMYFUNCTION("""COMPUTED_VALUE"""),31795.0)</f>
        <v>31795</v>
      </c>
      <c r="S389" s="146" t="str">
        <f>IFERROR(__xludf.DUMMYFUNCTION("""COMPUTED_VALUE"""),"065 229 4756")</f>
        <v>065 229 4756</v>
      </c>
      <c r="T389" s="147">
        <f>IFERROR(__xludf.DUMMYFUNCTION("""COMPUTED_VALUE"""),1.101400903367E12)</f>
        <v>1101400903367</v>
      </c>
      <c r="U389" t="str">
        <f>IFERROR(__xludf.DUMMYFUNCTION("""COMPUTED_VALUE"""),"AC2720117")</f>
        <v>AC2720117</v>
      </c>
      <c r="V389" s="148">
        <f>IFERROR(__xludf.DUMMYFUNCTION("""COMPUTED_VALUE"""),44474.0)</f>
        <v>44474</v>
      </c>
      <c r="W389" s="148">
        <f>IFERROR(__xludf.DUMMYFUNCTION("""COMPUTED_VALUE"""),48125.0)</f>
        <v>48125</v>
      </c>
      <c r="X389" s="149">
        <f>IFERROR(__xludf.DUMMYFUNCTION("""COMPUTED_VALUE"""),47942.0)</f>
        <v>47942</v>
      </c>
      <c r="Y389" t="str">
        <f>IFERROR(__xludf.DUMMYFUNCTION("""COMPUTED_VALUE"""),"ปลอดภัย")</f>
        <v>ปลอดภัย</v>
      </c>
      <c r="Z389" t="str">
        <f>IFERROR(__xludf.DUMMYFUNCTION("""COMPUTED_VALUE"""),"Bangkok")</f>
        <v>Bangkok</v>
      </c>
      <c r="AA389" t="str">
        <f>IFERROR(__xludf.DUMMYFUNCTION("""COMPUTED_VALUE"""),"Rangsit")</f>
        <v>Rangsit</v>
      </c>
      <c r="AB389" t="str">
        <f>IFERROR(__xludf.DUMMYFUNCTION("""COMPUTED_VALUE"""),"02 536 6396 / 081 805 5568")</f>
        <v>02 536 6396 / 081 805 5568</v>
      </c>
      <c r="AC389" t="str">
        <f>IFERROR(__xludf.DUMMYFUNCTION("""COMPUTED_VALUE"""),"Home / Mother")</f>
        <v>Home / Mother</v>
      </c>
      <c r="AD389" t="str">
        <f>IFERROR(__xludf.DUMMYFUNCTION("""COMPUTED_VALUE"""),"arparattp@airasia.com")</f>
        <v>arparattp@airasia.com</v>
      </c>
    </row>
    <row r="390">
      <c r="A390" s="142">
        <f>IFERROR(__xludf.DUMMYFUNCTION("""COMPUTED_VALUE"""),55.0)</f>
        <v>55</v>
      </c>
      <c r="B390" t="str">
        <f>IFERROR(__xludf.DUMMYFUNCTION("""COMPUTED_VALUE"""),"TAA4031")</f>
        <v>TAA4031</v>
      </c>
      <c r="C390">
        <f>IFERROR(__xludf.DUMMYFUNCTION("""COMPUTED_VALUE"""),1007196.0)</f>
        <v>1007196</v>
      </c>
      <c r="D390" t="str">
        <f>IFERROR(__xludf.DUMMYFUNCTION("""COMPUTED_VALUE"""),"Ms.")</f>
        <v>Ms.</v>
      </c>
      <c r="E390" t="str">
        <f>IFERROR(__xludf.DUMMYFUNCTION("""COMPUTED_VALUE"""),"Chanyakorn")</f>
        <v>Chanyakorn</v>
      </c>
      <c r="F390" t="str">
        <f>IFERROR(__xludf.DUMMYFUNCTION("""COMPUTED_VALUE"""),"Amornkitvikai")</f>
        <v>Amornkitvikai</v>
      </c>
      <c r="G390" t="str">
        <f>IFERROR(__xludf.DUMMYFUNCTION("""COMPUTED_VALUE"""),"Chanyakorn Amornkitvikai")</f>
        <v>Chanyakorn Amornkitvikai</v>
      </c>
      <c r="H390" t="str">
        <f>IFERROR(__xludf.DUMMYFUNCTION("""COMPUTED_VALUE"""),"นางสาว")</f>
        <v>นางสาว</v>
      </c>
      <c r="I390" t="str">
        <f>IFERROR(__xludf.DUMMYFUNCTION("""COMPUTED_VALUE"""),"ชัญญกร")</f>
        <v>ชัญญกร</v>
      </c>
      <c r="J390" t="str">
        <f>IFERROR(__xludf.DUMMYFUNCTION("""COMPUTED_VALUE"""),"อมรกิจวิกัย")</f>
        <v>อมรกิจวิกัย</v>
      </c>
      <c r="K390" t="str">
        <f>IFERROR(__xludf.DUMMYFUNCTION("""COMPUTED_VALUE"""),"ชัญญกร อมรกิจวิกัย")</f>
        <v>ชัญญกร อมรกิจวิกัย</v>
      </c>
      <c r="L390" t="str">
        <f>IFERROR(__xludf.DUMMYFUNCTION("""COMPUTED_VALUE"""),"lekky")</f>
        <v>lekky</v>
      </c>
      <c r="M390" t="str">
        <f>IFERROR(__xludf.DUMMYFUNCTION("""COMPUTED_VALUE"""),"Cabin Crew")</f>
        <v>Cabin Crew</v>
      </c>
      <c r="N390" t="str">
        <f>IFERROR(__xludf.DUMMYFUNCTION("""COMPUTED_VALUE"""),"DMK")</f>
        <v>DMK</v>
      </c>
      <c r="O390" s="145" t="str">
        <f>IFERROR(__xludf.DUMMYFUNCTION("""COMPUTED_VALUE"""),"Toffy Home")</f>
        <v>Toffy Home</v>
      </c>
      <c r="P390" t="str">
        <f>IFERROR(__xludf.DUMMYFUNCTION("""COMPUTED_VALUE"""),"Active")</f>
        <v>Active</v>
      </c>
      <c r="R390" s="143">
        <f>IFERROR(__xludf.DUMMYFUNCTION("""COMPUTED_VALUE"""),30222.0)</f>
        <v>30222</v>
      </c>
      <c r="S390" s="146" t="str">
        <f>IFERROR(__xludf.DUMMYFUNCTION("""COMPUTED_VALUE"""),"062 428 2924")</f>
        <v>062 428 2924</v>
      </c>
      <c r="T390" s="147">
        <f>IFERROR(__xludf.DUMMYFUNCTION("""COMPUTED_VALUE"""),3.101801412611E12)</f>
        <v>3101801412611</v>
      </c>
      <c r="U390" t="str">
        <f>IFERROR(__xludf.DUMMYFUNCTION("""COMPUTED_VALUE"""),"AC3151965")</f>
        <v>AC3151965</v>
      </c>
      <c r="V390" s="148">
        <f>IFERROR(__xludf.DUMMYFUNCTION("""COMPUTED_VALUE"""),44699.0)</f>
        <v>44699</v>
      </c>
      <c r="W390" s="148">
        <f>IFERROR(__xludf.DUMMYFUNCTION("""COMPUTED_VALUE"""),48351.0)</f>
        <v>48351</v>
      </c>
      <c r="X390" s="149">
        <f>IFERROR(__xludf.DUMMYFUNCTION("""COMPUTED_VALUE"""),48169.0)</f>
        <v>48169</v>
      </c>
      <c r="Y390" t="str">
        <f>IFERROR(__xludf.DUMMYFUNCTION("""COMPUTED_VALUE"""),"ปลอดภัย")</f>
        <v>ปลอดภัย</v>
      </c>
      <c r="Z390" t="str">
        <f>IFERROR(__xludf.DUMMYFUNCTION("""COMPUTED_VALUE"""),"Bangkok")</f>
        <v>Bangkok</v>
      </c>
      <c r="AA390" t="str">
        <f>IFERROR(__xludf.DUMMYFUNCTION("""COMPUTED_VALUE"""),"Jomthong")</f>
        <v>Jomthong</v>
      </c>
      <c r="AB390" t="str">
        <f>IFERROR(__xludf.DUMMYFUNCTION("""COMPUTED_VALUE"""),"02 875 7868 / 086 780 6556")</f>
        <v>02 875 7868 / 086 780 6556</v>
      </c>
      <c r="AC390" t="str">
        <f>IFERROR(__xludf.DUMMYFUNCTION("""COMPUTED_VALUE"""),"Home / Father")</f>
        <v>Home / Father</v>
      </c>
      <c r="AD390" t="str">
        <f>IFERROR(__xludf.DUMMYFUNCTION("""COMPUTED_VALUE"""),"chanyakorna@airasia.com")</f>
        <v>chanyakorna@airasia.com</v>
      </c>
    </row>
    <row r="391">
      <c r="A391" s="142">
        <f>IFERROR(__xludf.DUMMYFUNCTION("""COMPUTED_VALUE"""),55.0)</f>
        <v>55</v>
      </c>
      <c r="B391" t="str">
        <f>IFERROR(__xludf.DUMMYFUNCTION("""COMPUTED_VALUE"""),"TAA4027")</f>
        <v>TAA4027</v>
      </c>
      <c r="C391">
        <f>IFERROR(__xludf.DUMMYFUNCTION("""COMPUTED_VALUE"""),1007198.0)</f>
        <v>1007198</v>
      </c>
      <c r="D391" t="str">
        <f>IFERROR(__xludf.DUMMYFUNCTION("""COMPUTED_VALUE"""),"Mr.")</f>
        <v>Mr.</v>
      </c>
      <c r="E391" t="str">
        <f>IFERROR(__xludf.DUMMYFUNCTION("""COMPUTED_VALUE"""),"Danny Richmond")</f>
        <v>Danny Richmond</v>
      </c>
      <c r="F391" t="str">
        <f>IFERROR(__xludf.DUMMYFUNCTION("""COMPUTED_VALUE"""),"Beaver")</f>
        <v>Beaver</v>
      </c>
      <c r="G391" t="str">
        <f>IFERROR(__xludf.DUMMYFUNCTION("""COMPUTED_VALUE"""),"Danny Richmond Beaver")</f>
        <v>Danny Richmond Beaver</v>
      </c>
      <c r="H391" t="str">
        <f>IFERROR(__xludf.DUMMYFUNCTION("""COMPUTED_VALUE"""),"นาย")</f>
        <v>นาย</v>
      </c>
      <c r="I391" t="str">
        <f>IFERROR(__xludf.DUMMYFUNCTION("""COMPUTED_VALUE"""),"แดนนี่ริชมอนด์")</f>
        <v>แดนนี่ริชมอนด์</v>
      </c>
      <c r="J391" t="str">
        <f>IFERROR(__xludf.DUMMYFUNCTION("""COMPUTED_VALUE"""),"วิชมอนด์ บีเวอร์")</f>
        <v>วิชมอนด์ บีเวอร์</v>
      </c>
      <c r="K391" t="str">
        <f>IFERROR(__xludf.DUMMYFUNCTION("""COMPUTED_VALUE"""),"แดนนี่ วิชมอนด์ บีเวอร์")</f>
        <v>แดนนี่ วิชมอนด์ บีเวอร์</v>
      </c>
      <c r="L391" t="str">
        <f>IFERROR(__xludf.DUMMYFUNCTION("""COMPUTED_VALUE"""),"แดน")</f>
        <v>แดน</v>
      </c>
      <c r="M391" t="str">
        <f>IFERROR(__xludf.DUMMYFUNCTION("""COMPUTED_VALUE"""),"Cabin Crew")</f>
        <v>Cabin Crew</v>
      </c>
      <c r="N391" t="str">
        <f>IFERROR(__xludf.DUMMYFUNCTION("""COMPUTED_VALUE"""),"DMK")</f>
        <v>DMK</v>
      </c>
      <c r="O391" s="145" t="str">
        <f>IFERROR(__xludf.DUMMYFUNCTION("""COMPUTED_VALUE"""),"Namfon Home")</f>
        <v>Namfon Home</v>
      </c>
      <c r="P391" t="str">
        <f>IFERROR(__xludf.DUMMYFUNCTION("""COMPUTED_VALUE"""),"Active")</f>
        <v>Active</v>
      </c>
      <c r="R391" s="143">
        <f>IFERROR(__xludf.DUMMYFUNCTION("""COMPUTED_VALUE"""),32420.0)</f>
        <v>32420</v>
      </c>
      <c r="S391" s="146" t="str">
        <f>IFERROR(__xludf.DUMMYFUNCTION("""COMPUTED_VALUE"""),"083 996 9164")</f>
        <v>083 996 9164</v>
      </c>
      <c r="T391" s="147">
        <f>IFERROR(__xludf.DUMMYFUNCTION("""COMPUTED_VALUE"""),5.103800002884E12)</f>
        <v>5103800002884</v>
      </c>
      <c r="U391" t="str">
        <f>IFERROR(__xludf.DUMMYFUNCTION("""COMPUTED_VALUE"""),"AC6816674")</f>
        <v>AC6816674</v>
      </c>
      <c r="V391" s="148">
        <f>IFERROR(__xludf.DUMMYFUNCTION("""COMPUTED_VALUE"""),45449.0)</f>
        <v>45449</v>
      </c>
      <c r="W391" s="148">
        <f>IFERROR(__xludf.DUMMYFUNCTION("""COMPUTED_VALUE"""),49100.0)</f>
        <v>49100</v>
      </c>
      <c r="X391" s="149">
        <f>IFERROR(__xludf.DUMMYFUNCTION("""COMPUTED_VALUE"""),48918.0)</f>
        <v>48918</v>
      </c>
      <c r="Y391" t="str">
        <f>IFERROR(__xludf.DUMMYFUNCTION("""COMPUTED_VALUE"""),"ปลอดภัย")</f>
        <v>ปลอดภัย</v>
      </c>
      <c r="Z391" t="str">
        <f>IFERROR(__xludf.DUMMYFUNCTION("""COMPUTED_VALUE"""),"Bangkok")</f>
        <v>Bangkok</v>
      </c>
      <c r="AA391" t="str">
        <f>IFERROR(__xludf.DUMMYFUNCTION("""COMPUTED_VALUE"""),"Ladprao")</f>
        <v>Ladprao</v>
      </c>
      <c r="AB391" t="str">
        <f>IFERROR(__xludf.DUMMYFUNCTION("""COMPUTED_VALUE"""),"02 578 2714")</f>
        <v>02 578 2714</v>
      </c>
      <c r="AC391" t="str">
        <f>IFERROR(__xludf.DUMMYFUNCTION("""COMPUTED_VALUE"""),"Home")</f>
        <v>Home</v>
      </c>
      <c r="AD391" t="str">
        <f>IFERROR(__xludf.DUMMYFUNCTION("""COMPUTED_VALUE"""),"dannyrichmondb@airasia.com")</f>
        <v>dannyrichmondb@airasia.com</v>
      </c>
    </row>
    <row r="392">
      <c r="A392" s="142">
        <f>IFERROR(__xludf.DUMMYFUNCTION("""COMPUTED_VALUE"""),55.0)</f>
        <v>55</v>
      </c>
      <c r="B392" t="str">
        <f>IFERROR(__xludf.DUMMYFUNCTION("""COMPUTED_VALUE"""),"TAA4038")</f>
        <v>TAA4038</v>
      </c>
      <c r="C392">
        <f>IFERROR(__xludf.DUMMYFUNCTION("""COMPUTED_VALUE"""),1007201.0)</f>
        <v>1007201</v>
      </c>
      <c r="D392" t="str">
        <f>IFERROR(__xludf.DUMMYFUNCTION("""COMPUTED_VALUE"""),"Ms.")</f>
        <v>Ms.</v>
      </c>
      <c r="E392" t="str">
        <f>IFERROR(__xludf.DUMMYFUNCTION("""COMPUTED_VALUE"""),"Juthaporn")</f>
        <v>Juthaporn</v>
      </c>
      <c r="F392" t="str">
        <f>IFERROR(__xludf.DUMMYFUNCTION("""COMPUTED_VALUE"""),"Ratanavaraporn")</f>
        <v>Ratanavaraporn</v>
      </c>
      <c r="G392" t="str">
        <f>IFERROR(__xludf.DUMMYFUNCTION("""COMPUTED_VALUE"""),"Juthaporn Ratanavaraporn")</f>
        <v>Juthaporn Ratanavaraporn</v>
      </c>
      <c r="H392" t="str">
        <f>IFERROR(__xludf.DUMMYFUNCTION("""COMPUTED_VALUE"""),"นางสาว")</f>
        <v>นางสาว</v>
      </c>
      <c r="I392" t="str">
        <f>IFERROR(__xludf.DUMMYFUNCTION("""COMPUTED_VALUE"""),"จุฑาภรณ์")</f>
        <v>จุฑาภรณ์</v>
      </c>
      <c r="J392" t="str">
        <f>IFERROR(__xludf.DUMMYFUNCTION("""COMPUTED_VALUE"""),"รัตนวราภรณ์")</f>
        <v>รัตนวราภรณ์</v>
      </c>
      <c r="K392" t="str">
        <f>IFERROR(__xludf.DUMMYFUNCTION("""COMPUTED_VALUE"""),"จุฑาภรณ์ รัตนวราภรณ์")</f>
        <v>จุฑาภรณ์ รัตนวราภรณ์</v>
      </c>
      <c r="L392" t="str">
        <f>IFERROR(__xludf.DUMMYFUNCTION("""COMPUTED_VALUE"""),"กบ")</f>
        <v>กบ</v>
      </c>
      <c r="M392" t="str">
        <f>IFERROR(__xludf.DUMMYFUNCTION("""COMPUTED_VALUE"""),"Cabin Crew")</f>
        <v>Cabin Crew</v>
      </c>
      <c r="N392" t="str">
        <f>IFERROR(__xludf.DUMMYFUNCTION("""COMPUTED_VALUE"""),"DMK")</f>
        <v>DMK</v>
      </c>
      <c r="O392" s="145" t="str">
        <f>IFERROR(__xludf.DUMMYFUNCTION("""COMPUTED_VALUE"""),"Nhui Home")</f>
        <v>Nhui Home</v>
      </c>
      <c r="P392" t="str">
        <f>IFERROR(__xludf.DUMMYFUNCTION("""COMPUTED_VALUE"""),"V/LWP")</f>
        <v>V/LWP</v>
      </c>
      <c r="R392" s="143">
        <f>IFERROR(__xludf.DUMMYFUNCTION("""COMPUTED_VALUE"""),30365.0)</f>
        <v>30365</v>
      </c>
      <c r="S392" s="146" t="str">
        <f>IFERROR(__xludf.DUMMYFUNCTION("""COMPUTED_VALUE"""),"081 989 4553")</f>
        <v>081 989 4553</v>
      </c>
      <c r="T392" s="147">
        <f>IFERROR(__xludf.DUMMYFUNCTION("""COMPUTED_VALUE"""),3.100601994993E12)</f>
        <v>3100601994993</v>
      </c>
      <c r="U392" t="str">
        <f>IFERROR(__xludf.DUMMYFUNCTION("""COMPUTED_VALUE"""),"AC6207778")</f>
        <v>AC6207778</v>
      </c>
      <c r="V392" s="148">
        <f>IFERROR(__xludf.DUMMYFUNCTION("""COMPUTED_VALUE"""),45295.0)</f>
        <v>45295</v>
      </c>
      <c r="W392" s="148">
        <f>IFERROR(__xludf.DUMMYFUNCTION("""COMPUTED_VALUE"""),48947.0)</f>
        <v>48947</v>
      </c>
      <c r="X392" s="149">
        <f>IFERROR(__xludf.DUMMYFUNCTION("""COMPUTED_VALUE"""),48763.0)</f>
        <v>48763</v>
      </c>
      <c r="Y392" t="str">
        <f>IFERROR(__xludf.DUMMYFUNCTION("""COMPUTED_VALUE"""),"ปลอดภัย")</f>
        <v>ปลอดภัย</v>
      </c>
      <c r="Z392" t="str">
        <f>IFERROR(__xludf.DUMMYFUNCTION("""COMPUTED_VALUE"""),"Bangkok")</f>
        <v>Bangkok</v>
      </c>
      <c r="AA392" t="str">
        <f>IFERROR(__xludf.DUMMYFUNCTION("""COMPUTED_VALUE"""),"Bangkhane")</f>
        <v>Bangkhane</v>
      </c>
      <c r="AB392" t="str">
        <f>IFERROR(__xludf.DUMMYFUNCTION("""COMPUTED_VALUE"""),"02 552 1363 / 081 821 5489")</f>
        <v>02 552 1363 / 081 821 5489</v>
      </c>
      <c r="AC392" t="str">
        <f>IFERROR(__xludf.DUMMYFUNCTION("""COMPUTED_VALUE"""),"Home / Father")</f>
        <v>Home / Father</v>
      </c>
      <c r="AD392" t="str">
        <f>IFERROR(__xludf.DUMMYFUNCTION("""COMPUTED_VALUE"""),"juthapornr@airasia.com")</f>
        <v>juthapornr@airasia.com</v>
      </c>
    </row>
    <row r="393">
      <c r="A393" s="142">
        <f>IFERROR(__xludf.DUMMYFUNCTION("""COMPUTED_VALUE"""),55.0)</f>
        <v>55</v>
      </c>
      <c r="B393" t="str">
        <f>IFERROR(__xludf.DUMMYFUNCTION("""COMPUTED_VALUE"""),"TAA4033")</f>
        <v>TAA4033</v>
      </c>
      <c r="C393">
        <f>IFERROR(__xludf.DUMMYFUNCTION("""COMPUTED_VALUE"""),1007202.0)</f>
        <v>1007202</v>
      </c>
      <c r="D393" t="str">
        <f>IFERROR(__xludf.DUMMYFUNCTION("""COMPUTED_VALUE"""),"Mr.")</f>
        <v>Mr.</v>
      </c>
      <c r="E393" t="str">
        <f>IFERROR(__xludf.DUMMYFUNCTION("""COMPUTED_VALUE"""),"Kritsada")</f>
        <v>Kritsada</v>
      </c>
      <c r="F393" t="str">
        <f>IFERROR(__xludf.DUMMYFUNCTION("""COMPUTED_VALUE"""),"Prachanuchit")</f>
        <v>Prachanuchit</v>
      </c>
      <c r="G393" t="str">
        <f>IFERROR(__xludf.DUMMYFUNCTION("""COMPUTED_VALUE"""),"Kritsada Prachanuchit")</f>
        <v>Kritsada Prachanuchit</v>
      </c>
      <c r="H393" t="str">
        <f>IFERROR(__xludf.DUMMYFUNCTION("""COMPUTED_VALUE"""),"นาย")</f>
        <v>นาย</v>
      </c>
      <c r="I393" t="str">
        <f>IFERROR(__xludf.DUMMYFUNCTION("""COMPUTED_VALUE"""),"กฤษฎา")</f>
        <v>กฤษฎา</v>
      </c>
      <c r="J393" t="str">
        <f>IFERROR(__xludf.DUMMYFUNCTION("""COMPUTED_VALUE"""),"ประชานุชิต")</f>
        <v>ประชานุชิต</v>
      </c>
      <c r="K393" t="str">
        <f>IFERROR(__xludf.DUMMYFUNCTION("""COMPUTED_VALUE"""),"กฤษฎา ประชานุชิต")</f>
        <v>กฤษฎา ประชานุชิต</v>
      </c>
      <c r="L393" t="str">
        <f>IFERROR(__xludf.DUMMYFUNCTION("""COMPUTED_VALUE"""),"กัน")</f>
        <v>กัน</v>
      </c>
      <c r="M393" t="str">
        <f>IFERROR(__xludf.DUMMYFUNCTION("""COMPUTED_VALUE"""),"Senior Cabin Crew")</f>
        <v>Senior Cabin Crew</v>
      </c>
      <c r="N393" t="str">
        <f>IFERROR(__xludf.DUMMYFUNCTION("""COMPUTED_VALUE"""),"DMK")</f>
        <v>DMK</v>
      </c>
      <c r="O393" s="145" t="str">
        <f>IFERROR(__xludf.DUMMYFUNCTION("""COMPUTED_VALUE"""),"Kor Home")</f>
        <v>Kor Home</v>
      </c>
      <c r="P393" t="str">
        <f>IFERROR(__xludf.DUMMYFUNCTION("""COMPUTED_VALUE"""),"Active")</f>
        <v>Active</v>
      </c>
      <c r="Q393" t="str">
        <f>IFERROR(__xludf.DUMMYFUNCTION("""COMPUTED_VALUE"""),"SCC Line Checker 2025")</f>
        <v>SCC Line Checker 2025</v>
      </c>
      <c r="R393" s="143">
        <f>IFERROR(__xludf.DUMMYFUNCTION("""COMPUTED_VALUE"""),32500.0)</f>
        <v>32500</v>
      </c>
      <c r="S393" s="146" t="str">
        <f>IFERROR(__xludf.DUMMYFUNCTION("""COMPUTED_VALUE"""),"089 649 8170")</f>
        <v>089 649 8170</v>
      </c>
      <c r="T393" s="147">
        <f>IFERROR(__xludf.DUMMYFUNCTION("""COMPUTED_VALUE"""),1.840400041341E12)</f>
        <v>1840400041341</v>
      </c>
      <c r="U393" t="str">
        <f>IFERROR(__xludf.DUMMYFUNCTION("""COMPUTED_VALUE"""),"AC6926647")</f>
        <v>AC6926647</v>
      </c>
      <c r="V393" s="148">
        <f>IFERROR(__xludf.DUMMYFUNCTION("""COMPUTED_VALUE"""),45522.0)</f>
        <v>45522</v>
      </c>
      <c r="W393" s="148">
        <f>IFERROR(__xludf.DUMMYFUNCTION("""COMPUTED_VALUE"""),47347.0)</f>
        <v>47347</v>
      </c>
      <c r="X393" s="149">
        <f>IFERROR(__xludf.DUMMYFUNCTION("""COMPUTED_VALUE"""),47166.0)</f>
        <v>47166</v>
      </c>
      <c r="Y393" t="str">
        <f>IFERROR(__xludf.DUMMYFUNCTION("""COMPUTED_VALUE"""),"ปลอดภัย")</f>
        <v>ปลอดภัย</v>
      </c>
      <c r="Z393" t="str">
        <f>IFERROR(__xludf.DUMMYFUNCTION("""COMPUTED_VALUE"""),"Surat Thani Province")</f>
        <v>Surat Thani Province</v>
      </c>
      <c r="AA393" t="str">
        <f>IFERROR(__xludf.DUMMYFUNCTION("""COMPUTED_VALUE"""),"Surat Thani")</f>
        <v>Surat Thani</v>
      </c>
      <c r="AB393" t="str">
        <f>IFERROR(__xludf.DUMMYFUNCTION("""COMPUTED_VALUE"""),"089 873 7594")</f>
        <v>089 873 7594</v>
      </c>
      <c r="AC393" t="str">
        <f>IFERROR(__xludf.DUMMYFUNCTION("""COMPUTED_VALUE"""),"Mother")</f>
        <v>Mother</v>
      </c>
      <c r="AD393" t="str">
        <f>IFERROR(__xludf.DUMMYFUNCTION("""COMPUTED_VALUE"""),"kritsadaa@airasia.com")</f>
        <v>kritsadaa@airasia.com</v>
      </c>
    </row>
    <row r="394">
      <c r="A394" s="142">
        <f>IFERROR(__xludf.DUMMYFUNCTION("""COMPUTED_VALUE"""),55.0)</f>
        <v>55</v>
      </c>
      <c r="B394" t="str">
        <f>IFERROR(__xludf.DUMMYFUNCTION("""COMPUTED_VALUE"""),"TAA4028")</f>
        <v>TAA4028</v>
      </c>
      <c r="C394">
        <f>IFERROR(__xludf.DUMMYFUNCTION("""COMPUTED_VALUE"""),1007204.0)</f>
        <v>1007204</v>
      </c>
      <c r="D394" t="str">
        <f>IFERROR(__xludf.DUMMYFUNCTION("""COMPUTED_VALUE"""),"Ms.")</f>
        <v>Ms.</v>
      </c>
      <c r="E394" t="str">
        <f>IFERROR(__xludf.DUMMYFUNCTION("""COMPUTED_VALUE"""),"Neeranuch")</f>
        <v>Neeranuch</v>
      </c>
      <c r="F394" t="str">
        <f>IFERROR(__xludf.DUMMYFUNCTION("""COMPUTED_VALUE"""),"Chaveevorn")</f>
        <v>Chaveevorn</v>
      </c>
      <c r="G394" t="str">
        <f>IFERROR(__xludf.DUMMYFUNCTION("""COMPUTED_VALUE"""),"Neeranuch Chaveevorn")</f>
        <v>Neeranuch Chaveevorn</v>
      </c>
      <c r="H394" t="str">
        <f>IFERROR(__xludf.DUMMYFUNCTION("""COMPUTED_VALUE"""),"นางสาว")</f>
        <v>นางสาว</v>
      </c>
      <c r="I394" t="str">
        <f>IFERROR(__xludf.DUMMYFUNCTION("""COMPUTED_VALUE"""),"ณีรนุช")</f>
        <v>ณีรนุช</v>
      </c>
      <c r="J394" t="str">
        <f>IFERROR(__xludf.DUMMYFUNCTION("""COMPUTED_VALUE"""),"ฉวีวรณ์")</f>
        <v>ฉวีวรณ์</v>
      </c>
      <c r="K394" t="str">
        <f>IFERROR(__xludf.DUMMYFUNCTION("""COMPUTED_VALUE"""),"ณีรนุช ฉวีวรณ์")</f>
        <v>ณีรนุช ฉวีวรณ์</v>
      </c>
      <c r="L394" t="str">
        <f>IFERROR(__xludf.DUMMYFUNCTION("""COMPUTED_VALUE"""),"แสตมป์")</f>
        <v>แสตมป์</v>
      </c>
      <c r="M394" t="str">
        <f>IFERROR(__xludf.DUMMYFUNCTION("""COMPUTED_VALUE"""),"Cabin Crew Checker")</f>
        <v>Cabin Crew Checker</v>
      </c>
      <c r="N394" t="str">
        <f>IFERROR(__xludf.DUMMYFUNCTION("""COMPUTED_VALUE"""),"DMK")</f>
        <v>DMK</v>
      </c>
      <c r="O394" s="145" t="str">
        <f>IFERROR(__xludf.DUMMYFUNCTION("""COMPUTED_VALUE"""),"CCD")</f>
        <v>CCD</v>
      </c>
      <c r="P394" t="str">
        <f>IFERROR(__xludf.DUMMYFUNCTION("""COMPUTED_VALUE"""),"Checker")</f>
        <v>Checker</v>
      </c>
      <c r="R394" s="143">
        <f>IFERROR(__xludf.DUMMYFUNCTION("""COMPUTED_VALUE"""),31340.0)</f>
        <v>31340</v>
      </c>
      <c r="S394" s="146" t="str">
        <f>IFERROR(__xludf.DUMMYFUNCTION("""COMPUTED_VALUE"""),"086 006 8111")</f>
        <v>086 006 8111</v>
      </c>
      <c r="T394" s="147">
        <f>IFERROR(__xludf.DUMMYFUNCTION("""COMPUTED_VALUE"""),1.1014006227741E13)</f>
        <v>11014006227741</v>
      </c>
      <c r="U394" t="str">
        <f>IFERROR(__xludf.DUMMYFUNCTION("""COMPUTED_VALUE"""),"AC7920745")</f>
        <v>AC7920745</v>
      </c>
      <c r="V394" s="148">
        <f>IFERROR(__xludf.DUMMYFUNCTION("""COMPUTED_VALUE"""),45671.0)</f>
        <v>45671</v>
      </c>
      <c r="W394" s="148">
        <f>IFERROR(__xludf.DUMMYFUNCTION("""COMPUTED_VALUE"""),49322.0)</f>
        <v>49322</v>
      </c>
      <c r="X394" s="149">
        <f>IFERROR(__xludf.DUMMYFUNCTION("""COMPUTED_VALUE"""),49138.0)</f>
        <v>49138</v>
      </c>
      <c r="Y394" t="str">
        <f>IFERROR(__xludf.DUMMYFUNCTION("""COMPUTED_VALUE"""),"ปลอดภัย")</f>
        <v>ปลอดภัย</v>
      </c>
      <c r="Z394" t="str">
        <f>IFERROR(__xludf.DUMMYFUNCTION("""COMPUTED_VALUE"""),"Bangkok")</f>
        <v>Bangkok</v>
      </c>
      <c r="AA394" t="str">
        <f>IFERROR(__xludf.DUMMYFUNCTION("""COMPUTED_VALUE"""),"Ladprao")</f>
        <v>Ladprao</v>
      </c>
      <c r="AB394" t="str">
        <f>IFERROR(__xludf.DUMMYFUNCTION("""COMPUTED_VALUE"""),"02 370 1972 / 085 160 5563")</f>
        <v>02 370 1972 / 085 160 5563</v>
      </c>
      <c r="AC394" t="str">
        <f>IFERROR(__xludf.DUMMYFUNCTION("""COMPUTED_VALUE"""),"Home / Husband")</f>
        <v>Home / Husband</v>
      </c>
      <c r="AD394" t="str">
        <f>IFERROR(__xludf.DUMMYFUNCTION("""COMPUTED_VALUE"""),"neeranuchc@airasia.com")</f>
        <v>neeranuchc@airasia.com</v>
      </c>
    </row>
    <row r="395">
      <c r="A395" s="142">
        <f>IFERROR(__xludf.DUMMYFUNCTION("""COMPUTED_VALUE"""),55.0)</f>
        <v>55</v>
      </c>
      <c r="B395" t="str">
        <f>IFERROR(__xludf.DUMMYFUNCTION("""COMPUTED_VALUE"""),"TAA4037")</f>
        <v>TAA4037</v>
      </c>
      <c r="C395">
        <f>IFERROR(__xludf.DUMMYFUNCTION("""COMPUTED_VALUE"""),1007206.0)</f>
        <v>1007206</v>
      </c>
      <c r="D395" t="str">
        <f>IFERROR(__xludf.DUMMYFUNCTION("""COMPUTED_VALUE"""),"Ms.")</f>
        <v>Ms.</v>
      </c>
      <c r="E395" t="str">
        <f>IFERROR(__xludf.DUMMYFUNCTION("""COMPUTED_VALUE"""),"Patcharida")</f>
        <v>Patcharida</v>
      </c>
      <c r="F395" t="str">
        <f>IFERROR(__xludf.DUMMYFUNCTION("""COMPUTED_VALUE"""),"Thanasarndechachai")</f>
        <v>Thanasarndechachai</v>
      </c>
      <c r="G395" t="str">
        <f>IFERROR(__xludf.DUMMYFUNCTION("""COMPUTED_VALUE"""),"Patcharida Thanasarndechachai")</f>
        <v>Patcharida Thanasarndechachai</v>
      </c>
      <c r="H395" t="str">
        <f>IFERROR(__xludf.DUMMYFUNCTION("""COMPUTED_VALUE"""),"นางสาว")</f>
        <v>นางสาว</v>
      </c>
      <c r="I395" t="str">
        <f>IFERROR(__xludf.DUMMYFUNCTION("""COMPUTED_VALUE"""),"พัชริดา")</f>
        <v>พัชริดา</v>
      </c>
      <c r="J395" t="str">
        <f>IFERROR(__xludf.DUMMYFUNCTION("""COMPUTED_VALUE"""),"ธนสารเดชาชัย")</f>
        <v>ธนสารเดชาชัย</v>
      </c>
      <c r="K395" t="str">
        <f>IFERROR(__xludf.DUMMYFUNCTION("""COMPUTED_VALUE"""),"พัชริดา ธนสารเดชาชัย")</f>
        <v>พัชริดา ธนสารเดชาชัย</v>
      </c>
      <c r="L395" t="str">
        <f>IFERROR(__xludf.DUMMYFUNCTION("""COMPUTED_VALUE"""),"เค้ก")</f>
        <v>เค้ก</v>
      </c>
      <c r="M395" t="str">
        <f>IFERROR(__xludf.DUMMYFUNCTION("""COMPUTED_VALUE"""),"Senior Cabin Crew")</f>
        <v>Senior Cabin Crew</v>
      </c>
      <c r="N395" t="str">
        <f>IFERROR(__xludf.DUMMYFUNCTION("""COMPUTED_VALUE"""),"DMK")</f>
        <v>DMK</v>
      </c>
      <c r="O395" s="145" t="str">
        <f>IFERROR(__xludf.DUMMYFUNCTION("""COMPUTED_VALUE"""),"Nhui Home")</f>
        <v>Nhui Home</v>
      </c>
      <c r="P395" t="str">
        <f>IFERROR(__xludf.DUMMYFUNCTION("""COMPUTED_VALUE"""),"Active")</f>
        <v>Active</v>
      </c>
      <c r="R395" s="143">
        <f>IFERROR(__xludf.DUMMYFUNCTION("""COMPUTED_VALUE"""),31359.0)</f>
        <v>31359</v>
      </c>
      <c r="S395" s="146" t="str">
        <f>IFERROR(__xludf.DUMMYFUNCTION("""COMPUTED_VALUE"""),"086 618 6222")</f>
        <v>086 618 6222</v>
      </c>
      <c r="T395" s="147">
        <f>IFERROR(__xludf.DUMMYFUNCTION("""COMPUTED_VALUE"""),1.101200024319E12)</f>
        <v>1101200024319</v>
      </c>
      <c r="U395" t="str">
        <f>IFERROR(__xludf.DUMMYFUNCTION("""COMPUTED_VALUE"""),"AC7445353")</f>
        <v>AC7445353</v>
      </c>
      <c r="V395" s="148">
        <f>IFERROR(__xludf.DUMMYFUNCTION("""COMPUTED_VALUE"""),45586.0)</f>
        <v>45586</v>
      </c>
      <c r="W395" s="148">
        <f>IFERROR(__xludf.DUMMYFUNCTION("""COMPUTED_VALUE"""),49237.0)</f>
        <v>49237</v>
      </c>
      <c r="X395" s="149">
        <f>IFERROR(__xludf.DUMMYFUNCTION("""COMPUTED_VALUE"""),49054.0)</f>
        <v>49054</v>
      </c>
      <c r="Y395" t="str">
        <f>IFERROR(__xludf.DUMMYFUNCTION("""COMPUTED_VALUE"""),"ปลอดภัย")</f>
        <v>ปลอดภัย</v>
      </c>
      <c r="Z395" t="str">
        <f>IFERROR(__xludf.DUMMYFUNCTION("""COMPUTED_VALUE"""),"Bangkok")</f>
        <v>Bangkok</v>
      </c>
      <c r="AA395" t="str">
        <f>IFERROR(__xludf.DUMMYFUNCTION("""COMPUTED_VALUE"""),"Chatuchak")</f>
        <v>Chatuchak</v>
      </c>
      <c r="AB395" t="str">
        <f>IFERROR(__xludf.DUMMYFUNCTION("""COMPUTED_VALUE"""),"02 512 3243 4 / 089 782 5005")</f>
        <v>02 512 3243 4 / 089 782 5005</v>
      </c>
      <c r="AC395" t="str">
        <f>IFERROR(__xludf.DUMMYFUNCTION("""COMPUTED_VALUE"""),"Home / Mother")</f>
        <v>Home / Mother</v>
      </c>
      <c r="AD395" t="str">
        <f>IFERROR(__xludf.DUMMYFUNCTION("""COMPUTED_VALUE"""),"patcharidat@airasia.com")</f>
        <v>patcharidat@airasia.com</v>
      </c>
    </row>
    <row r="396">
      <c r="A396" s="142">
        <f>IFERROR(__xludf.DUMMYFUNCTION("""COMPUTED_VALUE"""),55.0)</f>
        <v>55</v>
      </c>
      <c r="B396" t="str">
        <f>IFERROR(__xludf.DUMMYFUNCTION("""COMPUTED_VALUE"""),"TAA4044")</f>
        <v>TAA4044</v>
      </c>
      <c r="C396">
        <f>IFERROR(__xludf.DUMMYFUNCTION("""COMPUTED_VALUE"""),1007207.0)</f>
        <v>1007207</v>
      </c>
      <c r="D396" t="str">
        <f>IFERROR(__xludf.DUMMYFUNCTION("""COMPUTED_VALUE"""),"Ms.")</f>
        <v>Ms.</v>
      </c>
      <c r="E396" t="str">
        <f>IFERROR(__xludf.DUMMYFUNCTION("""COMPUTED_VALUE"""),"Sasiwan")</f>
        <v>Sasiwan</v>
      </c>
      <c r="F396" t="str">
        <f>IFERROR(__xludf.DUMMYFUNCTION("""COMPUTED_VALUE"""),"Nakate")</f>
        <v>Nakate</v>
      </c>
      <c r="G396" t="str">
        <f>IFERROR(__xludf.DUMMYFUNCTION("""COMPUTED_VALUE"""),"Sasiwan Nakate")</f>
        <v>Sasiwan Nakate</v>
      </c>
      <c r="H396" t="str">
        <f>IFERROR(__xludf.DUMMYFUNCTION("""COMPUTED_VALUE"""),"นางสาว")</f>
        <v>นางสาว</v>
      </c>
      <c r="I396" t="str">
        <f>IFERROR(__xludf.DUMMYFUNCTION("""COMPUTED_VALUE"""),"ศศิวัลย์")</f>
        <v>ศศิวัลย์</v>
      </c>
      <c r="J396" t="str">
        <f>IFERROR(__xludf.DUMMYFUNCTION("""COMPUTED_VALUE"""),"นาคะเต")</f>
        <v>นาคะเต</v>
      </c>
      <c r="K396" t="str">
        <f>IFERROR(__xludf.DUMMYFUNCTION("""COMPUTED_VALUE"""),"ศศิวัลย์ นาคะเต")</f>
        <v>ศศิวัลย์ นาคะเต</v>
      </c>
      <c r="L396" t="str">
        <f>IFERROR(__xludf.DUMMYFUNCTION("""COMPUTED_VALUE"""),"ต้อม")</f>
        <v>ต้อม</v>
      </c>
      <c r="M396" t="str">
        <f>IFERROR(__xludf.DUMMYFUNCTION("""COMPUTED_VALUE"""),"Senior Cabin Crew")</f>
        <v>Senior Cabin Crew</v>
      </c>
      <c r="N396" t="str">
        <f>IFERROR(__xludf.DUMMYFUNCTION("""COMPUTED_VALUE"""),"DMK")</f>
        <v>DMK</v>
      </c>
      <c r="O396" s="145" t="str">
        <f>IFERROR(__xludf.DUMMYFUNCTION("""COMPUTED_VALUE"""),"Um Home")</f>
        <v>Um Home</v>
      </c>
      <c r="P396" t="str">
        <f>IFERROR(__xludf.DUMMYFUNCTION("""COMPUTED_VALUE"""),"Active")</f>
        <v>Active</v>
      </c>
      <c r="R396" s="143">
        <f>IFERROR(__xludf.DUMMYFUNCTION("""COMPUTED_VALUE"""),30415.0)</f>
        <v>30415</v>
      </c>
      <c r="S396" s="146" t="str">
        <f>IFERROR(__xludf.DUMMYFUNCTION("""COMPUTED_VALUE"""),"062 369 6244")</f>
        <v>062 369 6244</v>
      </c>
      <c r="T396" s="147">
        <f>IFERROR(__xludf.DUMMYFUNCTION("""COMPUTED_VALUE"""),3.100602351409E12)</f>
        <v>3100602351409</v>
      </c>
      <c r="U396" t="str">
        <f>IFERROR(__xludf.DUMMYFUNCTION("""COMPUTED_VALUE"""),"AC2916906")</f>
        <v>AC2916906</v>
      </c>
      <c r="V396" s="148">
        <f>IFERROR(__xludf.DUMMYFUNCTION("""COMPUTED_VALUE"""),44622.0)</f>
        <v>44622</v>
      </c>
      <c r="W396" s="148">
        <f>IFERROR(__xludf.DUMMYFUNCTION("""COMPUTED_VALUE"""),48274.0)</f>
        <v>48274</v>
      </c>
      <c r="X396" s="149">
        <f>IFERROR(__xludf.DUMMYFUNCTION("""COMPUTED_VALUE"""),48092.0)</f>
        <v>48092</v>
      </c>
      <c r="Y396" t="str">
        <f>IFERROR(__xludf.DUMMYFUNCTION("""COMPUTED_VALUE"""),"ปลอดภัย")</f>
        <v>ปลอดภัย</v>
      </c>
      <c r="Z396" t="str">
        <f>IFERROR(__xludf.DUMMYFUNCTION("""COMPUTED_VALUE"""),"Bangkok")</f>
        <v>Bangkok</v>
      </c>
      <c r="AA396" t="str">
        <f>IFERROR(__xludf.DUMMYFUNCTION("""COMPUTED_VALUE"""),"Nonthaburi")</f>
        <v>Nonthaburi</v>
      </c>
      <c r="AB396" t="str">
        <f>IFERROR(__xludf.DUMMYFUNCTION("""COMPUTED_VALUE"""),"02 195 6489 / 081 627 2777")</f>
        <v>02 195 6489 / 081 627 2777</v>
      </c>
      <c r="AC396" t="str">
        <f>IFERROR(__xludf.DUMMYFUNCTION("""COMPUTED_VALUE"""),"Home / Brother")</f>
        <v>Home / Brother</v>
      </c>
      <c r="AD396" t="str">
        <f>IFERROR(__xludf.DUMMYFUNCTION("""COMPUTED_VALUE"""),"sasiwann@airasia.com")</f>
        <v>sasiwann@airasia.com</v>
      </c>
    </row>
    <row r="397">
      <c r="A397" s="142">
        <f>IFERROR(__xludf.DUMMYFUNCTION("""COMPUTED_VALUE"""),55.0)</f>
        <v>55</v>
      </c>
      <c r="B397" t="str">
        <f>IFERROR(__xludf.DUMMYFUNCTION("""COMPUTED_VALUE"""),"TAA4041")</f>
        <v>TAA4041</v>
      </c>
      <c r="C397">
        <f>IFERROR(__xludf.DUMMYFUNCTION("""COMPUTED_VALUE"""),1007208.0)</f>
        <v>1007208</v>
      </c>
      <c r="D397" t="str">
        <f>IFERROR(__xludf.DUMMYFUNCTION("""COMPUTED_VALUE"""),"Ms.")</f>
        <v>Ms.</v>
      </c>
      <c r="E397" t="str">
        <f>IFERROR(__xludf.DUMMYFUNCTION("""COMPUTED_VALUE"""),"Tamonwan")</f>
        <v>Tamonwan</v>
      </c>
      <c r="F397" t="str">
        <f>IFERROR(__xludf.DUMMYFUNCTION("""COMPUTED_VALUE"""),"Deesrisak")</f>
        <v>Deesrisak</v>
      </c>
      <c r="G397" t="str">
        <f>IFERROR(__xludf.DUMMYFUNCTION("""COMPUTED_VALUE"""),"Tamonwan Deesrisak")</f>
        <v>Tamonwan Deesrisak</v>
      </c>
      <c r="H397" t="str">
        <f>IFERROR(__xludf.DUMMYFUNCTION("""COMPUTED_VALUE"""),"นางสาว")</f>
        <v>นางสาว</v>
      </c>
      <c r="I397" t="str">
        <f>IFERROR(__xludf.DUMMYFUNCTION("""COMPUTED_VALUE"""),"ธมลวรรณ")</f>
        <v>ธมลวรรณ</v>
      </c>
      <c r="J397" t="str">
        <f>IFERROR(__xludf.DUMMYFUNCTION("""COMPUTED_VALUE"""),"ดีศรีศักดิ์")</f>
        <v>ดีศรีศักดิ์</v>
      </c>
      <c r="K397" t="str">
        <f>IFERROR(__xludf.DUMMYFUNCTION("""COMPUTED_VALUE"""),"ธมลวรรณ ดีศรีศักดิ์")</f>
        <v>ธมลวรรณ ดีศรีศักดิ์</v>
      </c>
      <c r="L397" t="str">
        <f>IFERROR(__xludf.DUMMYFUNCTION("""COMPUTED_VALUE"""),"พีช")</f>
        <v>พีช</v>
      </c>
      <c r="M397" t="str">
        <f>IFERROR(__xludf.DUMMYFUNCTION("""COMPUTED_VALUE"""),"Senior Cabin Crew - CNX")</f>
        <v>Senior Cabin Crew - CNX</v>
      </c>
      <c r="N397" t="str">
        <f>IFERROR(__xludf.DUMMYFUNCTION("""COMPUTED_VALUE"""),"CNX")</f>
        <v>CNX</v>
      </c>
      <c r="O397" s="145" t="str">
        <f>IFERROR(__xludf.DUMMYFUNCTION("""COMPUTED_VALUE"""),"Up Home")</f>
        <v>Up Home</v>
      </c>
      <c r="P397" t="str">
        <f>IFERROR(__xludf.DUMMYFUNCTION("""COMPUTED_VALUE"""),"Active")</f>
        <v>Active</v>
      </c>
      <c r="R397" s="143">
        <f>IFERROR(__xludf.DUMMYFUNCTION("""COMPUTED_VALUE"""),31747.0)</f>
        <v>31747</v>
      </c>
      <c r="S397" s="146">
        <f>IFERROR(__xludf.DUMMYFUNCTION("""COMPUTED_VALUE"""),9.05959824E8)</f>
        <v>905959824</v>
      </c>
      <c r="T397" s="147">
        <f>IFERROR(__xludf.DUMMYFUNCTION("""COMPUTED_VALUE"""),1.100800313787E12)</f>
        <v>1100800313787</v>
      </c>
      <c r="U397" t="str">
        <f>IFERROR(__xludf.DUMMYFUNCTION("""COMPUTED_VALUE"""),"AC4390969")</f>
        <v>AC4390969</v>
      </c>
      <c r="V397" s="148">
        <f>IFERROR(__xludf.DUMMYFUNCTION("""COMPUTED_VALUE"""),44938.0)</f>
        <v>44938</v>
      </c>
      <c r="W397" s="148">
        <f>IFERROR(__xludf.DUMMYFUNCTION("""COMPUTED_VALUE"""),48590.0)</f>
        <v>48590</v>
      </c>
      <c r="X397" s="149">
        <f>IFERROR(__xludf.DUMMYFUNCTION("""COMPUTED_VALUE"""),48406.0)</f>
        <v>48406</v>
      </c>
      <c r="Y397" t="str">
        <f>IFERROR(__xludf.DUMMYFUNCTION("""COMPUTED_VALUE"""),"ปลอดภัย")</f>
        <v>ปลอดภัย</v>
      </c>
      <c r="Z397" t="str">
        <f>IFERROR(__xludf.DUMMYFUNCTION("""COMPUTED_VALUE"""),"Bangkok")</f>
        <v>Bangkok</v>
      </c>
      <c r="AA397" t="str">
        <f>IFERROR(__xludf.DUMMYFUNCTION("""COMPUTED_VALUE"""),"Ramintra")</f>
        <v>Ramintra</v>
      </c>
      <c r="AB397" t="str">
        <f>IFERROR(__xludf.DUMMYFUNCTION("""COMPUTED_VALUE"""),"02 945 7110 / 083 514 5422")</f>
        <v>02 945 7110 / 083 514 5422</v>
      </c>
      <c r="AC397" t="str">
        <f>IFERROR(__xludf.DUMMYFUNCTION("""COMPUTED_VALUE"""),"Home / Mother")</f>
        <v>Home / Mother</v>
      </c>
      <c r="AD397" t="str">
        <f>IFERROR(__xludf.DUMMYFUNCTION("""COMPUTED_VALUE"""),"tamonwand@airasia.com")</f>
        <v>tamonwand@airasia.com</v>
      </c>
    </row>
    <row r="398">
      <c r="A398" s="142">
        <f>IFERROR(__xludf.DUMMYFUNCTION("""COMPUTED_VALUE"""),55.0)</f>
        <v>55</v>
      </c>
      <c r="B398" t="str">
        <f>IFERROR(__xludf.DUMMYFUNCTION("""COMPUTED_VALUE"""),"TAA4032")</f>
        <v>TAA4032</v>
      </c>
      <c r="C398">
        <f>IFERROR(__xludf.DUMMYFUNCTION("""COMPUTED_VALUE"""),1007209.0)</f>
        <v>1007209</v>
      </c>
      <c r="D398" t="str">
        <f>IFERROR(__xludf.DUMMYFUNCTION("""COMPUTED_VALUE"""),"Ms.")</f>
        <v>Ms.</v>
      </c>
      <c r="E398" t="str">
        <f>IFERROR(__xludf.DUMMYFUNCTION("""COMPUTED_VALUE"""),"Varangkana")</f>
        <v>Varangkana</v>
      </c>
      <c r="F398" t="str">
        <f>IFERROR(__xludf.DUMMYFUNCTION("""COMPUTED_VALUE"""),"Seanglai (Nokkaew)")</f>
        <v>Seanglai (Nokkaew)</v>
      </c>
      <c r="G398" t="str">
        <f>IFERROR(__xludf.DUMMYFUNCTION("""COMPUTED_VALUE"""),"Varangkana Seanglai")</f>
        <v>Varangkana Seanglai</v>
      </c>
      <c r="H398" t="str">
        <f>IFERROR(__xludf.DUMMYFUNCTION("""COMPUTED_VALUE"""),"นางสาว")</f>
        <v>นางสาว</v>
      </c>
      <c r="I398" t="str">
        <f>IFERROR(__xludf.DUMMYFUNCTION("""COMPUTED_VALUE"""),"วรางคณา")</f>
        <v>วรางคณา</v>
      </c>
      <c r="J398" t="str">
        <f>IFERROR(__xludf.DUMMYFUNCTION("""COMPUTED_VALUE"""),"เสียงหลาย (นกแก้ว)")</f>
        <v>เสียงหลาย (นกแก้ว)</v>
      </c>
      <c r="K398" t="str">
        <f>IFERROR(__xludf.DUMMYFUNCTION("""COMPUTED_VALUE"""),"วรางคณา เสียงหลาย")</f>
        <v>วรางคณา เสียงหลาย</v>
      </c>
      <c r="L398" t="str">
        <f>IFERROR(__xludf.DUMMYFUNCTION("""COMPUTED_VALUE"""),"ตาล")</f>
        <v>ตาล</v>
      </c>
      <c r="M398" t="str">
        <f>IFERROR(__xludf.DUMMYFUNCTION("""COMPUTED_VALUE"""),"Senior Cabin Crew - CNX")</f>
        <v>Senior Cabin Crew - CNX</v>
      </c>
      <c r="N398" t="str">
        <f>IFERROR(__xludf.DUMMYFUNCTION("""COMPUTED_VALUE"""),"CNX")</f>
        <v>CNX</v>
      </c>
      <c r="O398" s="145" t="str">
        <f>IFERROR(__xludf.DUMMYFUNCTION("""COMPUTED_VALUE"""),"Up Home")</f>
        <v>Up Home</v>
      </c>
      <c r="P398" t="str">
        <f>IFERROR(__xludf.DUMMYFUNCTION("""COMPUTED_VALUE"""),"Active")</f>
        <v>Active</v>
      </c>
      <c r="R398" s="143">
        <f>IFERROR(__xludf.DUMMYFUNCTION("""COMPUTED_VALUE"""),31117.0)</f>
        <v>31117</v>
      </c>
      <c r="S398" s="146" t="str">
        <f>IFERROR(__xludf.DUMMYFUNCTION("""COMPUTED_VALUE"""),"062 445 9694")</f>
        <v>062 445 9694</v>
      </c>
      <c r="T398" s="147">
        <f>IFERROR(__xludf.DUMMYFUNCTION("""COMPUTED_VALUE"""),1.509900168741E12)</f>
        <v>1509900168741</v>
      </c>
      <c r="U398" t="str">
        <f>IFERROR(__xludf.DUMMYFUNCTION("""COMPUTED_VALUE"""),"AC6241206")</f>
        <v>AC6241206</v>
      </c>
      <c r="V398" s="148">
        <f>IFERROR(__xludf.DUMMYFUNCTION("""COMPUTED_VALUE"""),45303.0)</f>
        <v>45303</v>
      </c>
      <c r="W398" s="148">
        <f>IFERROR(__xludf.DUMMYFUNCTION("""COMPUTED_VALUE"""),48955.0)</f>
        <v>48955</v>
      </c>
      <c r="X398" s="149">
        <f>IFERROR(__xludf.DUMMYFUNCTION("""COMPUTED_VALUE"""),48771.0)</f>
        <v>48771</v>
      </c>
      <c r="Y398" t="str">
        <f>IFERROR(__xludf.DUMMYFUNCTION("""COMPUTED_VALUE"""),"ปลอดภัย")</f>
        <v>ปลอดภัย</v>
      </c>
      <c r="Z398" t="str">
        <f>IFERROR(__xludf.DUMMYFUNCTION("""COMPUTED_VALUE"""),"Chiang Mai Province")</f>
        <v>Chiang Mai Province</v>
      </c>
      <c r="AA398" t="str">
        <f>IFERROR(__xludf.DUMMYFUNCTION("""COMPUTED_VALUE"""),"Samutprakarn")</f>
        <v>Samutprakarn</v>
      </c>
      <c r="AB398" t="str">
        <f>IFERROR(__xludf.DUMMYFUNCTION("""COMPUTED_VALUE"""),"081 638 8494")</f>
        <v>081 638 8494</v>
      </c>
      <c r="AC398" t="str">
        <f>IFERROR(__xludf.DUMMYFUNCTION("""COMPUTED_VALUE"""),"Sister")</f>
        <v>Sister</v>
      </c>
      <c r="AD398" t="str">
        <f>IFERROR(__xludf.DUMMYFUNCTION("""COMPUTED_VALUE"""),"varangkanas@airasia.com")</f>
        <v>varangkanas@airasia.com</v>
      </c>
    </row>
    <row r="399">
      <c r="A399" s="142">
        <f>IFERROR(__xludf.DUMMYFUNCTION("""COMPUTED_VALUE"""),55.0)</f>
        <v>55</v>
      </c>
      <c r="B399" t="str">
        <f>IFERROR(__xludf.DUMMYFUNCTION("""COMPUTED_VALUE"""),"TAA4030")</f>
        <v>TAA4030</v>
      </c>
      <c r="C399">
        <f>IFERROR(__xludf.DUMMYFUNCTION("""COMPUTED_VALUE"""),1007210.0)</f>
        <v>1007210</v>
      </c>
      <c r="D399" t="str">
        <f>IFERROR(__xludf.DUMMYFUNCTION("""COMPUTED_VALUE"""),"Mr.")</f>
        <v>Mr.</v>
      </c>
      <c r="E399" t="str">
        <f>IFERROR(__xludf.DUMMYFUNCTION("""COMPUTED_VALUE"""),"Wongsakorn")</f>
        <v>Wongsakorn</v>
      </c>
      <c r="F399" t="str">
        <f>IFERROR(__xludf.DUMMYFUNCTION("""COMPUTED_VALUE"""),"Chalerm")</f>
        <v>Chalerm</v>
      </c>
      <c r="G399" t="str">
        <f>IFERROR(__xludf.DUMMYFUNCTION("""COMPUTED_VALUE"""),"Wongsakorn Chalerm")</f>
        <v>Wongsakorn Chalerm</v>
      </c>
      <c r="H399" t="str">
        <f>IFERROR(__xludf.DUMMYFUNCTION("""COMPUTED_VALUE"""),"นาย")</f>
        <v>นาย</v>
      </c>
      <c r="I399" t="str">
        <f>IFERROR(__xludf.DUMMYFUNCTION("""COMPUTED_VALUE"""),"วงศกร")</f>
        <v>วงศกร</v>
      </c>
      <c r="J399" t="str">
        <f>IFERROR(__xludf.DUMMYFUNCTION("""COMPUTED_VALUE"""),"เฉลิม")</f>
        <v>เฉลิม</v>
      </c>
      <c r="K399" t="str">
        <f>IFERROR(__xludf.DUMMYFUNCTION("""COMPUTED_VALUE"""),"วงศกร เฉลิม")</f>
        <v>วงศกร เฉลิม</v>
      </c>
      <c r="L399" t="str">
        <f>IFERROR(__xludf.DUMMYFUNCTION("""COMPUTED_VALUE"""),"ปอ")</f>
        <v>ปอ</v>
      </c>
      <c r="M399" t="str">
        <f>IFERROR(__xludf.DUMMYFUNCTION("""COMPUTED_VALUE"""),"Cabin Crew - HKT")</f>
        <v>Cabin Crew - HKT</v>
      </c>
      <c r="N399" t="str">
        <f>IFERROR(__xludf.DUMMYFUNCTION("""COMPUTED_VALUE"""),"HKT")</f>
        <v>HKT</v>
      </c>
      <c r="O399" s="145" t="str">
        <f>IFERROR(__xludf.DUMMYFUNCTION("""COMPUTED_VALUE"""),"Kor Home")</f>
        <v>Kor Home</v>
      </c>
      <c r="P399" t="str">
        <f>IFERROR(__xludf.DUMMYFUNCTION("""COMPUTED_VALUE"""),"Active")</f>
        <v>Active</v>
      </c>
      <c r="R399" s="143">
        <f>IFERROR(__xludf.DUMMYFUNCTION("""COMPUTED_VALUE"""),31500.0)</f>
        <v>31500</v>
      </c>
      <c r="S399" s="146">
        <f>IFERROR(__xludf.DUMMYFUNCTION("""COMPUTED_VALUE"""),9.69287915E8)</f>
        <v>969287915</v>
      </c>
      <c r="T399" s="147">
        <f>IFERROR(__xludf.DUMMYFUNCTION("""COMPUTED_VALUE"""),1.101499112553E12)</f>
        <v>1101499112553</v>
      </c>
      <c r="U399" t="str">
        <f>IFERROR(__xludf.DUMMYFUNCTION("""COMPUTED_VALUE"""),"AD1197505")</f>
        <v>AD1197505</v>
      </c>
      <c r="V399" s="148">
        <f>IFERROR(__xludf.DUMMYFUNCTION("""COMPUTED_VALUE"""),45320.0)</f>
        <v>45320</v>
      </c>
      <c r="W399" s="148">
        <f>IFERROR(__xludf.DUMMYFUNCTION("""COMPUTED_VALUE"""),48972.0)</f>
        <v>48972</v>
      </c>
      <c r="X399" s="149">
        <f>IFERROR(__xludf.DUMMYFUNCTION("""COMPUTED_VALUE"""),48788.0)</f>
        <v>48788</v>
      </c>
      <c r="Y399" t="str">
        <f>IFERROR(__xludf.DUMMYFUNCTION("""COMPUTED_VALUE"""),"ปลอดภัย")</f>
        <v>ปลอดภัย</v>
      </c>
      <c r="Z399" t="str">
        <f>IFERROR(__xludf.DUMMYFUNCTION("""COMPUTED_VALUE"""),"Bangkok")</f>
        <v>Bangkok</v>
      </c>
      <c r="AA399" t="str">
        <f>IFERROR(__xludf.DUMMYFUNCTION("""COMPUTED_VALUE"""),"Chasengsao")</f>
        <v>Chasengsao</v>
      </c>
      <c r="AB399" t="str">
        <f>IFERROR(__xludf.DUMMYFUNCTION("""COMPUTED_VALUE"""),"038 516 084 / 081 577 1315")</f>
        <v>038 516 084 / 081 577 1315</v>
      </c>
      <c r="AC399" t="str">
        <f>IFERROR(__xludf.DUMMYFUNCTION("""COMPUTED_VALUE"""),"Home / Mother")</f>
        <v>Home / Mother</v>
      </c>
      <c r="AD399" t="str">
        <f>IFERROR(__xludf.DUMMYFUNCTION("""COMPUTED_VALUE"""),"wongsakornh@airasia.com")</f>
        <v>wongsakornh@airasia.com</v>
      </c>
    </row>
    <row r="400">
      <c r="AD400" t="str">
        <f>IFERROR(__xludf.DUMMYFUNCTION("""COMPUTED_VALUE"""),"")</f>
        <v/>
      </c>
    </row>
    <row r="401">
      <c r="A401" s="142">
        <f>IFERROR(__xludf.DUMMYFUNCTION("""COMPUTED_VALUE"""),56.0)</f>
        <v>56</v>
      </c>
      <c r="B401" t="str">
        <f>IFERROR(__xludf.DUMMYFUNCTION("""COMPUTED_VALUE"""),"TAA1679")</f>
        <v>TAA1679</v>
      </c>
      <c r="C401">
        <f>IFERROR(__xludf.DUMMYFUNCTION("""COMPUTED_VALUE"""),1001273.0)</f>
        <v>1001273</v>
      </c>
      <c r="D401" t="str">
        <f>IFERROR(__xludf.DUMMYFUNCTION("""COMPUTED_VALUE"""),"Ms.")</f>
        <v>Ms.</v>
      </c>
      <c r="E401" t="str">
        <f>IFERROR(__xludf.DUMMYFUNCTION("""COMPUTED_VALUE"""),"Chidchanok")</f>
        <v>Chidchanok</v>
      </c>
      <c r="F401" t="str">
        <f>IFERROR(__xludf.DUMMYFUNCTION("""COMPUTED_VALUE"""),"Seesorn")</f>
        <v>Seesorn</v>
      </c>
      <c r="G401" t="str">
        <f>IFERROR(__xludf.DUMMYFUNCTION("""COMPUTED_VALUE"""),"Chidchanok Seesorn")</f>
        <v>Chidchanok Seesorn</v>
      </c>
      <c r="H401" t="str">
        <f>IFERROR(__xludf.DUMMYFUNCTION("""COMPUTED_VALUE"""),"นางสาว")</f>
        <v>นางสาว</v>
      </c>
      <c r="I401" t="str">
        <f>IFERROR(__xludf.DUMMYFUNCTION("""COMPUTED_VALUE"""),"ชิดชนก")</f>
        <v>ชิดชนก</v>
      </c>
      <c r="J401" t="str">
        <f>IFERROR(__xludf.DUMMYFUNCTION("""COMPUTED_VALUE"""),"สีสอน")</f>
        <v>สีสอน</v>
      </c>
      <c r="K401" t="str">
        <f>IFERROR(__xludf.DUMMYFUNCTION("""COMPUTED_VALUE"""),"ชิดชนก สีสอน")</f>
        <v>ชิดชนก สีสอน</v>
      </c>
      <c r="L401" t="str">
        <f>IFERROR(__xludf.DUMMYFUNCTION("""COMPUTED_VALUE"""),"Kook")</f>
        <v>Kook</v>
      </c>
      <c r="M401" t="str">
        <f>IFERROR(__xludf.DUMMYFUNCTION("""COMPUTED_VALUE"""),"Cabin Crew")</f>
        <v>Cabin Crew</v>
      </c>
      <c r="N401" t="str">
        <f>IFERROR(__xludf.DUMMYFUNCTION("""COMPUTED_VALUE"""),"DMK")</f>
        <v>DMK</v>
      </c>
      <c r="O401" s="145" t="str">
        <f>IFERROR(__xludf.DUMMYFUNCTION("""COMPUTED_VALUE"""),"Namfon Home")</f>
        <v>Namfon Home</v>
      </c>
      <c r="P401" t="str">
        <f>IFERROR(__xludf.DUMMYFUNCTION("""COMPUTED_VALUE"""),"Active")</f>
        <v>Active</v>
      </c>
      <c r="R401" s="143">
        <f>IFERROR(__xludf.DUMMYFUNCTION("""COMPUTED_VALUE"""),30744.0)</f>
        <v>30744</v>
      </c>
      <c r="S401" s="146" t="str">
        <f>IFERROR(__xludf.DUMMYFUNCTION("""COMPUTED_VALUE"""),"081 648 8543")</f>
        <v>081 648 8543</v>
      </c>
      <c r="T401" s="147">
        <f>IFERROR(__xludf.DUMMYFUNCTION("""COMPUTED_VALUE"""),1.101400053274E12)</f>
        <v>1101400053274</v>
      </c>
      <c r="U401" t="str">
        <f>IFERROR(__xludf.DUMMYFUNCTION("""COMPUTED_VALUE"""),"AC8237674")</f>
        <v>AC8237674</v>
      </c>
      <c r="V401" s="148">
        <f>IFERROR(__xludf.DUMMYFUNCTION("""COMPUTED_VALUE"""),45741.0)</f>
        <v>45741</v>
      </c>
      <c r="W401" s="148">
        <f>IFERROR(__xludf.DUMMYFUNCTION("""COMPUTED_VALUE"""),47566.0)</f>
        <v>47566</v>
      </c>
      <c r="X401" s="149">
        <f>IFERROR(__xludf.DUMMYFUNCTION("""COMPUTED_VALUE"""),47385.0)</f>
        <v>47385</v>
      </c>
      <c r="Y401" t="str">
        <f>IFERROR(__xludf.DUMMYFUNCTION("""COMPUTED_VALUE"""),"ปลอดภัย")</f>
        <v>ปลอดภัย</v>
      </c>
      <c r="Z401" t="str">
        <f>IFERROR(__xludf.DUMMYFUNCTION("""COMPUTED_VALUE"""),"Bangkok")</f>
        <v>Bangkok</v>
      </c>
      <c r="AA401" t="str">
        <f>IFERROR(__xludf.DUMMYFUNCTION("""COMPUTED_VALUE"""),"Klongkum")</f>
        <v>Klongkum</v>
      </c>
      <c r="AB401" t="str">
        <f>IFERROR(__xludf.DUMMYFUNCTION("""COMPUTED_VALUE"""),"02 509 4515 / 082 357 1499")</f>
        <v>02 509 4515 / 082 357 1499</v>
      </c>
      <c r="AC401" t="str">
        <f>IFERROR(__xludf.DUMMYFUNCTION("""COMPUTED_VALUE"""),"Home / Mother")</f>
        <v>Home / Mother</v>
      </c>
      <c r="AD401" t="str">
        <f>IFERROR(__xludf.DUMMYFUNCTION("""COMPUTED_VALUE"""),"chidchanoks@airasia.com")</f>
        <v>chidchanoks@airasia.com</v>
      </c>
    </row>
    <row r="402">
      <c r="A402" s="142">
        <f>IFERROR(__xludf.DUMMYFUNCTION("""COMPUTED_VALUE"""),56.0)</f>
        <v>56</v>
      </c>
      <c r="B402" t="str">
        <f>IFERROR(__xludf.DUMMYFUNCTION("""COMPUTED_VALUE"""),"TAA2455")</f>
        <v>TAA2455</v>
      </c>
      <c r="C402">
        <f>IFERROR(__xludf.DUMMYFUNCTION("""COMPUTED_VALUE"""),1003135.0)</f>
        <v>1003135</v>
      </c>
      <c r="D402" t="str">
        <f>IFERROR(__xludf.DUMMYFUNCTION("""COMPUTED_VALUE"""),"Mrs.")</f>
        <v>Mrs.</v>
      </c>
      <c r="E402" t="str">
        <f>IFERROR(__xludf.DUMMYFUNCTION("""COMPUTED_VALUE"""),"Kantina")</f>
        <v>Kantina</v>
      </c>
      <c r="F402" t="str">
        <f>IFERROR(__xludf.DUMMYFUNCTION("""COMPUTED_VALUE"""),"Dittapan (O-Kela)")</f>
        <v>Dittapan (O-Kela)</v>
      </c>
      <c r="G402" t="str">
        <f>IFERROR(__xludf.DUMMYFUNCTION("""COMPUTED_VALUE"""),"Kantina Dittapan")</f>
        <v>Kantina Dittapan</v>
      </c>
      <c r="H402" t="str">
        <f>IFERROR(__xludf.DUMMYFUNCTION("""COMPUTED_VALUE"""),"นาง")</f>
        <v>นาง</v>
      </c>
      <c r="I402" t="str">
        <f>IFERROR(__xludf.DUMMYFUNCTION("""COMPUTED_VALUE"""),"กานตินา")</f>
        <v>กานตินา</v>
      </c>
      <c r="J402" t="str">
        <f>IFERROR(__xludf.DUMMYFUNCTION("""COMPUTED_VALUE"""),"ดิษฐปาน (โอเคลา)")</f>
        <v>ดิษฐปาน (โอเคลา)</v>
      </c>
      <c r="K402" t="str">
        <f>IFERROR(__xludf.DUMMYFUNCTION("""COMPUTED_VALUE"""),"กานตินา ดิษฐปาน")</f>
        <v>กานตินา ดิษฐปาน</v>
      </c>
      <c r="L402" t="str">
        <f>IFERROR(__xludf.DUMMYFUNCTION("""COMPUTED_VALUE"""),"Joy")</f>
        <v>Joy</v>
      </c>
      <c r="M402" t="str">
        <f>IFERROR(__xludf.DUMMYFUNCTION("""COMPUTED_VALUE"""),"Cabin Crew")</f>
        <v>Cabin Crew</v>
      </c>
      <c r="N402" t="str">
        <f>IFERROR(__xludf.DUMMYFUNCTION("""COMPUTED_VALUE"""),"DMK")</f>
        <v>DMK</v>
      </c>
      <c r="O402" s="145" t="str">
        <f>IFERROR(__xludf.DUMMYFUNCTION("""COMPUTED_VALUE"""),"Namfon Home")</f>
        <v>Namfon Home</v>
      </c>
      <c r="P402" t="str">
        <f>IFERROR(__xludf.DUMMYFUNCTION("""COMPUTED_VALUE"""),"Active")</f>
        <v>Active</v>
      </c>
      <c r="R402" s="143">
        <f>IFERROR(__xludf.DUMMYFUNCTION("""COMPUTED_VALUE"""),30820.0)</f>
        <v>30820</v>
      </c>
      <c r="S402" s="146" t="str">
        <f>IFERROR(__xludf.DUMMYFUNCTION("""COMPUTED_VALUE"""),"086 745 2182")</f>
        <v>086 745 2182</v>
      </c>
      <c r="T402" s="147">
        <f>IFERROR(__xludf.DUMMYFUNCTION("""COMPUTED_VALUE"""),1.909900016076E12)</f>
        <v>1909900016076</v>
      </c>
      <c r="U402" t="str">
        <f>IFERROR(__xludf.DUMMYFUNCTION("""COMPUTED_VALUE"""),"AC5144579")</f>
        <v>AC5144579</v>
      </c>
      <c r="V402" s="148">
        <f>IFERROR(__xludf.DUMMYFUNCTION("""COMPUTED_VALUE"""),45097.0)</f>
        <v>45097</v>
      </c>
      <c r="W402" s="148">
        <f>IFERROR(__xludf.DUMMYFUNCTION("""COMPUTED_VALUE"""),48749.0)</f>
        <v>48749</v>
      </c>
      <c r="X402" s="149">
        <f>IFERROR(__xludf.DUMMYFUNCTION("""COMPUTED_VALUE"""),48567.0)</f>
        <v>48567</v>
      </c>
      <c r="Y402" t="str">
        <f>IFERROR(__xludf.DUMMYFUNCTION("""COMPUTED_VALUE"""),"ปลอดภัย")</f>
        <v>ปลอดภัย</v>
      </c>
      <c r="Z402" t="str">
        <f>IFERROR(__xludf.DUMMYFUNCTION("""COMPUTED_VALUE"""),"Songkhla Province")</f>
        <v>Songkhla Province</v>
      </c>
      <c r="AA402" t="str">
        <f>IFERROR(__xludf.DUMMYFUNCTION("""COMPUTED_VALUE"""),"Suratthani")</f>
        <v>Suratthani</v>
      </c>
      <c r="AB402" t="str">
        <f>IFERROR(__xludf.DUMMYFUNCTION("""COMPUTED_VALUE"""),"091 575 5987")</f>
        <v>091 575 5987</v>
      </c>
      <c r="AC402" t="str">
        <f>IFERROR(__xludf.DUMMYFUNCTION("""COMPUTED_VALUE"""),"Father")</f>
        <v>Father</v>
      </c>
      <c r="AD402" t="str">
        <f>IFERROR(__xludf.DUMMYFUNCTION("""COMPUTED_VALUE"""),"kantinad@airasia.com")</f>
        <v>kantinad@airasia.com</v>
      </c>
    </row>
    <row r="403">
      <c r="A403" s="142">
        <f>IFERROR(__xludf.DUMMYFUNCTION("""COMPUTED_VALUE"""),56.0)</f>
        <v>56</v>
      </c>
      <c r="B403" t="str">
        <f>IFERROR(__xludf.DUMMYFUNCTION("""COMPUTED_VALUE"""),"TAA2430")</f>
        <v>TAA2430</v>
      </c>
      <c r="C403">
        <f>IFERROR(__xludf.DUMMYFUNCTION("""COMPUTED_VALUE"""),1003418.0)</f>
        <v>1003418</v>
      </c>
      <c r="D403" t="str">
        <f>IFERROR(__xludf.DUMMYFUNCTION("""COMPUTED_VALUE"""),"Mr.")</f>
        <v>Mr.</v>
      </c>
      <c r="E403" t="str">
        <f>IFERROR(__xludf.DUMMYFUNCTION("""COMPUTED_VALUE"""),"Chiravitch")</f>
        <v>Chiravitch</v>
      </c>
      <c r="F403" t="str">
        <f>IFERROR(__xludf.DUMMYFUNCTION("""COMPUTED_VALUE"""),"Kittiphongsathaporn")</f>
        <v>Kittiphongsathaporn</v>
      </c>
      <c r="G403" t="str">
        <f>IFERROR(__xludf.DUMMYFUNCTION("""COMPUTED_VALUE"""),"Chiravitch Kittiphongsathaporn")</f>
        <v>Chiravitch Kittiphongsathaporn</v>
      </c>
      <c r="H403" t="str">
        <f>IFERROR(__xludf.DUMMYFUNCTION("""COMPUTED_VALUE"""),"นาย")</f>
        <v>นาย</v>
      </c>
      <c r="I403" t="str">
        <f>IFERROR(__xludf.DUMMYFUNCTION("""COMPUTED_VALUE"""),"จิรวิชญ์")</f>
        <v>จิรวิชญ์</v>
      </c>
      <c r="J403" t="str">
        <f>IFERROR(__xludf.DUMMYFUNCTION("""COMPUTED_VALUE"""),"กิตติพงศ์สถาพร")</f>
        <v>กิตติพงศ์สถาพร</v>
      </c>
      <c r="K403" t="str">
        <f>IFERROR(__xludf.DUMMYFUNCTION("""COMPUTED_VALUE"""),"จิรวิชญ์ กิตติพงศ์สถาพร")</f>
        <v>จิรวิชญ์ กิตติพงศ์สถาพร</v>
      </c>
      <c r="L403" t="str">
        <f>IFERROR(__xludf.DUMMYFUNCTION("""COMPUTED_VALUE"""),"กอล์ฟ")</f>
        <v>กอล์ฟ</v>
      </c>
      <c r="M403" t="str">
        <f>IFERROR(__xludf.DUMMYFUNCTION("""COMPUTED_VALUE"""),"Senior Cabin Crew")</f>
        <v>Senior Cabin Crew</v>
      </c>
      <c r="N403" t="str">
        <f>IFERROR(__xludf.DUMMYFUNCTION("""COMPUTED_VALUE"""),"DMK")</f>
        <v>DMK</v>
      </c>
      <c r="O403" s="145" t="str">
        <f>IFERROR(__xludf.DUMMYFUNCTION("""COMPUTED_VALUE"""),"Namfon Home")</f>
        <v>Namfon Home</v>
      </c>
      <c r="P403" t="str">
        <f>IFERROR(__xludf.DUMMYFUNCTION("""COMPUTED_VALUE"""),"Active")</f>
        <v>Active</v>
      </c>
      <c r="R403" s="143">
        <f>IFERROR(__xludf.DUMMYFUNCTION("""COMPUTED_VALUE"""),31792.0)</f>
        <v>31792</v>
      </c>
      <c r="S403" s="146" t="str">
        <f>IFERROR(__xludf.DUMMYFUNCTION("""COMPUTED_VALUE"""),"094 924 5156")</f>
        <v>094 924 5156</v>
      </c>
      <c r="T403" s="147">
        <f>IFERROR(__xludf.DUMMYFUNCTION("""COMPUTED_VALUE"""),1.1008003197E12)</f>
        <v>1100800319700</v>
      </c>
      <c r="U403" t="str">
        <f>IFERROR(__xludf.DUMMYFUNCTION("""COMPUTED_VALUE"""),"AC4359715")</f>
        <v>AC4359715</v>
      </c>
      <c r="V403" s="148">
        <f>IFERROR(__xludf.DUMMYFUNCTION("""COMPUTED_VALUE"""),44936.0)</f>
        <v>44936</v>
      </c>
      <c r="W403" s="148">
        <f>IFERROR(__xludf.DUMMYFUNCTION("""COMPUTED_VALUE"""),48588.0)</f>
        <v>48588</v>
      </c>
      <c r="X403" s="149">
        <f>IFERROR(__xludf.DUMMYFUNCTION("""COMPUTED_VALUE"""),48404.0)</f>
        <v>48404</v>
      </c>
      <c r="Y403" t="str">
        <f>IFERROR(__xludf.DUMMYFUNCTION("""COMPUTED_VALUE"""),"ปลอดภัย")</f>
        <v>ปลอดภัย</v>
      </c>
      <c r="Z403" t="str">
        <f>IFERROR(__xludf.DUMMYFUNCTION("""COMPUTED_VALUE"""),"Bangkok")</f>
        <v>Bangkok</v>
      </c>
      <c r="AA403" t="str">
        <f>IFERROR(__xludf.DUMMYFUNCTION("""COMPUTED_VALUE"""),"Samutprakarn")</f>
        <v>Samutprakarn</v>
      </c>
      <c r="AB403" t="str">
        <f>IFERROR(__xludf.DUMMYFUNCTION("""COMPUTED_VALUE"""),"02 756 1746 / 087 700 4032")</f>
        <v>02 756 1746 / 087 700 4032</v>
      </c>
      <c r="AC403" t="str">
        <f>IFERROR(__xludf.DUMMYFUNCTION("""COMPUTED_VALUE"""),"Home / Mother")</f>
        <v>Home / Mother</v>
      </c>
      <c r="AD403" t="str">
        <f>IFERROR(__xludf.DUMMYFUNCTION("""COMPUTED_VALUE"""),"chiravitchk@airasia.com")</f>
        <v>chiravitchk@airasia.com</v>
      </c>
    </row>
    <row r="404">
      <c r="A404" s="142">
        <f>IFERROR(__xludf.DUMMYFUNCTION("""COMPUTED_VALUE"""),56.0)</f>
        <v>56</v>
      </c>
      <c r="B404" t="str">
        <f>IFERROR(__xludf.DUMMYFUNCTION("""COMPUTED_VALUE"""),"TAA2433")</f>
        <v>TAA2433</v>
      </c>
      <c r="C404">
        <f>IFERROR(__xludf.DUMMYFUNCTION("""COMPUTED_VALUE"""),1003420.0)</f>
        <v>1003420</v>
      </c>
      <c r="D404" t="str">
        <f>IFERROR(__xludf.DUMMYFUNCTION("""COMPUTED_VALUE"""),"Mrs.")</f>
        <v>Mrs.</v>
      </c>
      <c r="E404" t="str">
        <f>IFERROR(__xludf.DUMMYFUNCTION("""COMPUTED_VALUE"""),"Kewalin")</f>
        <v>Kewalin</v>
      </c>
      <c r="F404" t="str">
        <f>IFERROR(__xludf.DUMMYFUNCTION("""COMPUTED_VALUE"""),"Leksuksomboon (Chobthum)")</f>
        <v>Leksuksomboon (Chobthum)</v>
      </c>
      <c r="G404" t="str">
        <f>IFERROR(__xludf.DUMMYFUNCTION("""COMPUTED_VALUE"""),"Kewalin Leksuksomboon")</f>
        <v>Kewalin Leksuksomboon</v>
      </c>
      <c r="H404" t="str">
        <f>IFERROR(__xludf.DUMMYFUNCTION("""COMPUTED_VALUE"""),"นาง")</f>
        <v>นาง</v>
      </c>
      <c r="I404" t="str">
        <f>IFERROR(__xludf.DUMMYFUNCTION("""COMPUTED_VALUE"""),"เกวลิน")</f>
        <v>เกวลิน</v>
      </c>
      <c r="J404" t="str">
        <f>IFERROR(__xludf.DUMMYFUNCTION("""COMPUTED_VALUE"""),"เล็กสุขสมบูรณ์ (ชอบธรรม)")</f>
        <v>เล็กสุขสมบูรณ์ (ชอบธรรม)</v>
      </c>
      <c r="K404" t="str">
        <f>IFERROR(__xludf.DUMMYFUNCTION("""COMPUTED_VALUE"""),"เกวลิน เล็กสุขสมบูรณ์")</f>
        <v>เกวลิน เล็กสุขสมบูรณ์</v>
      </c>
      <c r="L404" t="str">
        <f>IFERROR(__xludf.DUMMYFUNCTION("""COMPUTED_VALUE"""),"เค้ก")</f>
        <v>เค้ก</v>
      </c>
      <c r="M404" t="str">
        <f>IFERROR(__xludf.DUMMYFUNCTION("""COMPUTED_VALUE"""),"Cabin Crew")</f>
        <v>Cabin Crew</v>
      </c>
      <c r="N404" t="str">
        <f>IFERROR(__xludf.DUMMYFUNCTION("""COMPUTED_VALUE"""),"DMK")</f>
        <v>DMK</v>
      </c>
      <c r="O404" s="145" t="str">
        <f>IFERROR(__xludf.DUMMYFUNCTION("""COMPUTED_VALUE"""),"Toffy Home")</f>
        <v>Toffy Home</v>
      </c>
      <c r="P404" t="str">
        <f>IFERROR(__xludf.DUMMYFUNCTION("""COMPUTED_VALUE"""),"Active")</f>
        <v>Active</v>
      </c>
      <c r="R404" s="143">
        <f>IFERROR(__xludf.DUMMYFUNCTION("""COMPUTED_VALUE"""),31762.0)</f>
        <v>31762</v>
      </c>
      <c r="S404" s="146" t="str">
        <f>IFERROR(__xludf.DUMMYFUNCTION("""COMPUTED_VALUE"""),"088 245 4926")</f>
        <v>088 245 4926</v>
      </c>
      <c r="T404" s="147">
        <f>IFERROR(__xludf.DUMMYFUNCTION("""COMPUTED_VALUE"""),1.559900096006E12)</f>
        <v>1559900096006</v>
      </c>
      <c r="U404" t="str">
        <f>IFERROR(__xludf.DUMMYFUNCTION("""COMPUTED_VALUE"""),"AD0394959")</f>
        <v>AD0394959</v>
      </c>
      <c r="V404" s="148">
        <f>IFERROR(__xludf.DUMMYFUNCTION("""COMPUTED_VALUE"""),45244.0)</f>
        <v>45244</v>
      </c>
      <c r="W404" s="148">
        <f>IFERROR(__xludf.DUMMYFUNCTION("""COMPUTED_VALUE"""),48531.0)</f>
        <v>48531</v>
      </c>
      <c r="X404" s="149">
        <f>IFERROR(__xludf.DUMMYFUNCTION("""COMPUTED_VALUE"""),48347.0)</f>
        <v>48347</v>
      </c>
      <c r="Y404" t="str">
        <f>IFERROR(__xludf.DUMMYFUNCTION("""COMPUTED_VALUE"""),"ปลอดภัย")</f>
        <v>ปลอดภัย</v>
      </c>
      <c r="Z404" t="str">
        <f>IFERROR(__xludf.DUMMYFUNCTION("""COMPUTED_VALUE"""),"Nan Province")</f>
        <v>Nan Province</v>
      </c>
      <c r="AA404" t="str">
        <f>IFERROR(__xludf.DUMMYFUNCTION("""COMPUTED_VALUE"""),"Jatuchak")</f>
        <v>Jatuchak</v>
      </c>
      <c r="AB404" t="str">
        <f>IFERROR(__xludf.DUMMYFUNCTION("""COMPUTED_VALUE"""),"086 617 8554")</f>
        <v>086 617 8554</v>
      </c>
      <c r="AC404" t="str">
        <f>IFERROR(__xludf.DUMMYFUNCTION("""COMPUTED_VALUE"""),"Father")</f>
        <v>Father</v>
      </c>
      <c r="AD404" t="str">
        <f>IFERROR(__xludf.DUMMYFUNCTION("""COMPUTED_VALUE"""),"kewalinl@airasia.com")</f>
        <v>kewalinl@airasia.com</v>
      </c>
    </row>
    <row r="405">
      <c r="A405" s="142">
        <f>IFERROR(__xludf.DUMMYFUNCTION("""COMPUTED_VALUE"""),56.0)</f>
        <v>56</v>
      </c>
      <c r="B405" t="str">
        <f>IFERROR(__xludf.DUMMYFUNCTION("""COMPUTED_VALUE"""),"TAA2986")</f>
        <v>TAA2986</v>
      </c>
      <c r="C405">
        <f>IFERROR(__xludf.DUMMYFUNCTION("""COMPUTED_VALUE"""),1004292.0)</f>
        <v>1004292</v>
      </c>
      <c r="D405" t="str">
        <f>IFERROR(__xludf.DUMMYFUNCTION("""COMPUTED_VALUE"""),"Ms.")</f>
        <v>Ms.</v>
      </c>
      <c r="E405" t="str">
        <f>IFERROR(__xludf.DUMMYFUNCTION("""COMPUTED_VALUE"""),"Darunee")</f>
        <v>Darunee</v>
      </c>
      <c r="F405" t="str">
        <f>IFERROR(__xludf.DUMMYFUNCTION("""COMPUTED_VALUE"""),"Anumat")</f>
        <v>Anumat</v>
      </c>
      <c r="G405" t="str">
        <f>IFERROR(__xludf.DUMMYFUNCTION("""COMPUTED_VALUE"""),"Darunee Anumat")</f>
        <v>Darunee Anumat</v>
      </c>
      <c r="H405" t="str">
        <f>IFERROR(__xludf.DUMMYFUNCTION("""COMPUTED_VALUE"""),"นางสาว")</f>
        <v>นางสาว</v>
      </c>
      <c r="I405" t="str">
        <f>IFERROR(__xludf.DUMMYFUNCTION("""COMPUTED_VALUE"""),"ดารุณี")</f>
        <v>ดารุณี</v>
      </c>
      <c r="J405" t="str">
        <f>IFERROR(__xludf.DUMMYFUNCTION("""COMPUTED_VALUE"""),"อนุมาศ")</f>
        <v>อนุมาศ</v>
      </c>
      <c r="K405" t="str">
        <f>IFERROR(__xludf.DUMMYFUNCTION("""COMPUTED_VALUE"""),"ดารุณี อนุมาศ")</f>
        <v>ดารุณี อนุมาศ</v>
      </c>
      <c r="L405" t="str">
        <f>IFERROR(__xludf.DUMMYFUNCTION("""COMPUTED_VALUE"""),"Dana")</f>
        <v>Dana</v>
      </c>
      <c r="M405" t="str">
        <f>IFERROR(__xludf.DUMMYFUNCTION("""COMPUTED_VALUE"""),"Cabin Crew")</f>
        <v>Cabin Crew</v>
      </c>
      <c r="N405" t="str">
        <f>IFERROR(__xludf.DUMMYFUNCTION("""COMPUTED_VALUE"""),"DMK")</f>
        <v>DMK</v>
      </c>
      <c r="O405" s="145" t="str">
        <f>IFERROR(__xludf.DUMMYFUNCTION("""COMPUTED_VALUE"""),"Por+ Home")</f>
        <v>Por+ Home</v>
      </c>
      <c r="P405" t="str">
        <f>IFERROR(__xludf.DUMMYFUNCTION("""COMPUTED_VALUE"""),"Active")</f>
        <v>Active</v>
      </c>
      <c r="R405" s="143">
        <f>IFERROR(__xludf.DUMMYFUNCTION("""COMPUTED_VALUE"""),31434.0)</f>
        <v>31434</v>
      </c>
      <c r="S405" s="146" t="str">
        <f>IFERROR(__xludf.DUMMYFUNCTION("""COMPUTED_VALUE"""),"083 231 2582")</f>
        <v>083 231 2582</v>
      </c>
      <c r="T405" s="147">
        <f>IFERROR(__xludf.DUMMYFUNCTION("""COMPUTED_VALUE"""),1.841600022643E12)</f>
        <v>1841600022643</v>
      </c>
      <c r="U405" t="str">
        <f>IFERROR(__xludf.DUMMYFUNCTION("""COMPUTED_VALUE"""),"AC2341425")</f>
        <v>AC2341425</v>
      </c>
      <c r="V405" s="148">
        <f>IFERROR(__xludf.DUMMYFUNCTION("""COMPUTED_VALUE"""),44382.0)</f>
        <v>44382</v>
      </c>
      <c r="W405" s="148">
        <f>IFERROR(__xludf.DUMMYFUNCTION("""COMPUTED_VALUE"""),48033.0)</f>
        <v>48033</v>
      </c>
      <c r="X405" s="149">
        <f>IFERROR(__xludf.DUMMYFUNCTION("""COMPUTED_VALUE"""),47852.0)</f>
        <v>47852</v>
      </c>
      <c r="Y405" t="str">
        <f>IFERROR(__xludf.DUMMYFUNCTION("""COMPUTED_VALUE"""),"ปลอดภัย")</f>
        <v>ปลอดภัย</v>
      </c>
      <c r="Z405" t="str">
        <f>IFERROR(__xludf.DUMMYFUNCTION("""COMPUTED_VALUE"""),"Surat Thani Province")</f>
        <v>Surat Thani Province</v>
      </c>
      <c r="AA405" t="str">
        <f>IFERROR(__xludf.DUMMYFUNCTION("""COMPUTED_VALUE"""),"Suratthani")</f>
        <v>Suratthani</v>
      </c>
      <c r="AB405" t="str">
        <f>IFERROR(__xludf.DUMMYFUNCTION("""COMPUTED_VALUE"""),"087 894 2902")</f>
        <v>087 894 2902</v>
      </c>
      <c r="AC405" t="str">
        <f>IFERROR(__xludf.DUMMYFUNCTION("""COMPUTED_VALUE"""),"Relative")</f>
        <v>Relative</v>
      </c>
      <c r="AD405" t="str">
        <f>IFERROR(__xludf.DUMMYFUNCTION("""COMPUTED_VALUE"""),"daruneea@airasia.com")</f>
        <v>daruneea@airasia.com</v>
      </c>
    </row>
    <row r="406">
      <c r="A406" s="142">
        <f>IFERROR(__xludf.DUMMYFUNCTION("""COMPUTED_VALUE"""),56.0)</f>
        <v>56</v>
      </c>
      <c r="B406" t="str">
        <f>IFERROR(__xludf.DUMMYFUNCTION("""COMPUTED_VALUE"""),"TAA2778")</f>
        <v>TAA2778</v>
      </c>
      <c r="C406">
        <f>IFERROR(__xludf.DUMMYFUNCTION("""COMPUTED_VALUE"""),1004375.0)</f>
        <v>1004375</v>
      </c>
      <c r="D406" t="str">
        <f>IFERROR(__xludf.DUMMYFUNCTION("""COMPUTED_VALUE"""),"Ms.")</f>
        <v>Ms.</v>
      </c>
      <c r="E406" t="str">
        <f>IFERROR(__xludf.DUMMYFUNCTION("""COMPUTED_VALUE"""),"Arpakorn")</f>
        <v>Arpakorn</v>
      </c>
      <c r="F406" t="str">
        <f>IFERROR(__xludf.DUMMYFUNCTION("""COMPUTED_VALUE"""),"Kultangwattana (Suksaeng)")</f>
        <v>Kultangwattana (Suksaeng)</v>
      </c>
      <c r="G406" t="str">
        <f>IFERROR(__xludf.DUMMYFUNCTION("""COMPUTED_VALUE"""),"Arpakorn Kultangwattana")</f>
        <v>Arpakorn Kultangwattana</v>
      </c>
      <c r="H406" t="str">
        <f>IFERROR(__xludf.DUMMYFUNCTION("""COMPUTED_VALUE"""),"นางสาว")</f>
        <v>นางสาว</v>
      </c>
      <c r="I406" t="str">
        <f>IFERROR(__xludf.DUMMYFUNCTION("""COMPUTED_VALUE"""),"อาภากร")</f>
        <v>อาภากร</v>
      </c>
      <c r="J406" t="str">
        <f>IFERROR(__xludf.DUMMYFUNCTION("""COMPUTED_VALUE"""),"กุลตังวัฒนา (สุขแสง)")</f>
        <v>กุลตังวัฒนา (สุขแสง)</v>
      </c>
      <c r="K406" t="str">
        <f>IFERROR(__xludf.DUMMYFUNCTION("""COMPUTED_VALUE"""),"อาภากร กุลตังวัฒนา")</f>
        <v>อาภากร กุลตังวัฒนา</v>
      </c>
      <c r="L406" t="str">
        <f>IFERROR(__xludf.DUMMYFUNCTION("""COMPUTED_VALUE"""),"Nune")</f>
        <v>Nune</v>
      </c>
      <c r="M406" t="str">
        <f>IFERROR(__xludf.DUMMYFUNCTION("""COMPUTED_VALUE"""),"Senior Cabin Crew")</f>
        <v>Senior Cabin Crew</v>
      </c>
      <c r="N406" t="str">
        <f>IFERROR(__xludf.DUMMYFUNCTION("""COMPUTED_VALUE"""),"DMK")</f>
        <v>DMK</v>
      </c>
      <c r="O406" s="145" t="str">
        <f>IFERROR(__xludf.DUMMYFUNCTION("""COMPUTED_VALUE"""),"Um Home")</f>
        <v>Um Home</v>
      </c>
      <c r="P406" t="str">
        <f>IFERROR(__xludf.DUMMYFUNCTION("""COMPUTED_VALUE"""),"Active")</f>
        <v>Active</v>
      </c>
      <c r="R406" s="143">
        <f>IFERROR(__xludf.DUMMYFUNCTION("""COMPUTED_VALUE"""),32229.0)</f>
        <v>32229</v>
      </c>
      <c r="S406" s="146" t="str">
        <f>IFERROR(__xludf.DUMMYFUNCTION("""COMPUTED_VALUE"""),"089 666 2556")</f>
        <v>089 666 2556</v>
      </c>
      <c r="T406" s="147">
        <f>IFERROR(__xludf.DUMMYFUNCTION("""COMPUTED_VALUE"""),1.100800437176E12)</f>
        <v>1100800437176</v>
      </c>
      <c r="U406" t="str">
        <f>IFERROR(__xludf.DUMMYFUNCTION("""COMPUTED_VALUE"""),"AC2600807")</f>
        <v>AC2600807</v>
      </c>
      <c r="V406" s="148">
        <f>IFERROR(__xludf.DUMMYFUNCTION("""COMPUTED_VALUE"""),44532.0)</f>
        <v>44532</v>
      </c>
      <c r="W406" s="148">
        <f>IFERROR(__xludf.DUMMYFUNCTION("""COMPUTED_VALUE"""),48183.0)</f>
        <v>48183</v>
      </c>
      <c r="X406" s="149">
        <f>IFERROR(__xludf.DUMMYFUNCTION("""COMPUTED_VALUE"""),48000.0)</f>
        <v>48000</v>
      </c>
      <c r="Y406" t="str">
        <f>IFERROR(__xludf.DUMMYFUNCTION("""COMPUTED_VALUE"""),"ปลอดภัย")</f>
        <v>ปลอดภัย</v>
      </c>
      <c r="Z406" t="str">
        <f>IFERROR(__xludf.DUMMYFUNCTION("""COMPUTED_VALUE"""),"Bangkok")</f>
        <v>Bangkok</v>
      </c>
      <c r="AA406" t="str">
        <f>IFERROR(__xludf.DUMMYFUNCTION("""COMPUTED_VALUE"""),"Laksi")</f>
        <v>Laksi</v>
      </c>
      <c r="AB406" t="str">
        <f>IFERROR(__xludf.DUMMYFUNCTION("""COMPUTED_VALUE"""),"02 579 4697 / 089 767 5930")</f>
        <v>02 579 4697 / 089 767 5930</v>
      </c>
      <c r="AC406" t="str">
        <f>IFERROR(__xludf.DUMMYFUNCTION("""COMPUTED_VALUE"""),"Home / Mother")</f>
        <v>Home / Mother</v>
      </c>
      <c r="AD406" t="str">
        <f>IFERROR(__xludf.DUMMYFUNCTION("""COMPUTED_VALUE"""),"arpakornk@airasia.com")</f>
        <v>arpakornk@airasia.com</v>
      </c>
    </row>
    <row r="407">
      <c r="A407" s="142">
        <f>IFERROR(__xludf.DUMMYFUNCTION("""COMPUTED_VALUE"""),56.0)</f>
        <v>56</v>
      </c>
      <c r="B407" t="str">
        <f>IFERROR(__xludf.DUMMYFUNCTION("""COMPUTED_VALUE"""),"TAA4056")</f>
        <v>TAA4056</v>
      </c>
      <c r="C407">
        <f>IFERROR(__xludf.DUMMYFUNCTION("""COMPUTED_VALUE"""),1007338.0)</f>
        <v>1007338</v>
      </c>
      <c r="D407" t="str">
        <f>IFERROR(__xludf.DUMMYFUNCTION("""COMPUTED_VALUE"""),"Mr.")</f>
        <v>Mr.</v>
      </c>
      <c r="E407" t="str">
        <f>IFERROR(__xludf.DUMMYFUNCTION("""COMPUTED_VALUE"""),"Chanawut")</f>
        <v>Chanawut</v>
      </c>
      <c r="F407" t="str">
        <f>IFERROR(__xludf.DUMMYFUNCTION("""COMPUTED_VALUE"""),"Nutakom")</f>
        <v>Nutakom</v>
      </c>
      <c r="G407" t="str">
        <f>IFERROR(__xludf.DUMMYFUNCTION("""COMPUTED_VALUE"""),"Chanawut Nutakom")</f>
        <v>Chanawut Nutakom</v>
      </c>
      <c r="H407" t="str">
        <f>IFERROR(__xludf.DUMMYFUNCTION("""COMPUTED_VALUE"""),"นาย")</f>
        <v>นาย</v>
      </c>
      <c r="I407" t="str">
        <f>IFERROR(__xludf.DUMMYFUNCTION("""COMPUTED_VALUE"""),"ชนาวุธ")</f>
        <v>ชนาวุธ</v>
      </c>
      <c r="J407" t="str">
        <f>IFERROR(__xludf.DUMMYFUNCTION("""COMPUTED_VALUE"""),"นุตคม")</f>
        <v>นุตคม</v>
      </c>
      <c r="K407" t="str">
        <f>IFERROR(__xludf.DUMMYFUNCTION("""COMPUTED_VALUE"""),"ชนาวุธ นุตคม")</f>
        <v>ชนาวุธ นุตคม</v>
      </c>
      <c r="L407" t="str">
        <f>IFERROR(__xludf.DUMMYFUNCTION("""COMPUTED_VALUE"""),"Bubb")</f>
        <v>Bubb</v>
      </c>
      <c r="M407" t="str">
        <f>IFERROR(__xludf.DUMMYFUNCTION("""COMPUTED_VALUE"""),"Cabin Crew - BKK")</f>
        <v>Cabin Crew - BKK</v>
      </c>
      <c r="N407" t="str">
        <f>IFERROR(__xludf.DUMMYFUNCTION("""COMPUTED_VALUE"""),"BKK")</f>
        <v>BKK</v>
      </c>
      <c r="O407" s="145" t="str">
        <f>IFERROR(__xludf.DUMMYFUNCTION("""COMPUTED_VALUE"""),"Nhui Home")</f>
        <v>Nhui Home</v>
      </c>
      <c r="P407" t="str">
        <f>IFERROR(__xludf.DUMMYFUNCTION("""COMPUTED_VALUE"""),"Active")</f>
        <v>Active</v>
      </c>
      <c r="R407" s="143">
        <f>IFERROR(__xludf.DUMMYFUNCTION("""COMPUTED_VALUE"""),31977.0)</f>
        <v>31977</v>
      </c>
      <c r="S407" s="146" t="str">
        <f>IFERROR(__xludf.DUMMYFUNCTION("""COMPUTED_VALUE"""),"097-163-8951")</f>
        <v>097-163-8951</v>
      </c>
      <c r="T407" s="147">
        <f>IFERROR(__xludf.DUMMYFUNCTION("""COMPUTED_VALUE"""),1.101401038376E12)</f>
        <v>1101401038376</v>
      </c>
      <c r="U407" t="str">
        <f>IFERROR(__xludf.DUMMYFUNCTION("""COMPUTED_VALUE"""),"AC5000777")</f>
        <v>AC5000777</v>
      </c>
      <c r="V407" s="148">
        <f>IFERROR(__xludf.DUMMYFUNCTION("""COMPUTED_VALUE"""),45089.0)</f>
        <v>45089</v>
      </c>
      <c r="W407" s="148">
        <f>IFERROR(__xludf.DUMMYFUNCTION("""COMPUTED_VALUE"""),46915.0)</f>
        <v>46915</v>
      </c>
      <c r="X407" s="149">
        <f>IFERROR(__xludf.DUMMYFUNCTION("""COMPUTED_VALUE"""),46732.0)</f>
        <v>46732</v>
      </c>
      <c r="Y407" t="str">
        <f>IFERROR(__xludf.DUMMYFUNCTION("""COMPUTED_VALUE"""),"ปลอดภัย")</f>
        <v>ปลอดภัย</v>
      </c>
      <c r="Z407" t="str">
        <f>IFERROR(__xludf.DUMMYFUNCTION("""COMPUTED_VALUE"""),"Bangkok")</f>
        <v>Bangkok</v>
      </c>
      <c r="AA407" t="str">
        <f>IFERROR(__xludf.DUMMYFUNCTION("""COMPUTED_VALUE"""),"Huamakk")</f>
        <v>Huamakk</v>
      </c>
      <c r="AC407" t="str">
        <f>IFERROR(__xludf.DUMMYFUNCTION("""COMPUTED_VALUE"""),"-")</f>
        <v>-</v>
      </c>
      <c r="AD407" t="str">
        <f>IFERROR(__xludf.DUMMYFUNCTION("""COMPUTED_VALUE"""),"chanawutn@airasia.com")</f>
        <v>chanawutn@airasia.com</v>
      </c>
    </row>
    <row r="408">
      <c r="A408" s="142">
        <f>IFERROR(__xludf.DUMMYFUNCTION("""COMPUTED_VALUE"""),56.0)</f>
        <v>56</v>
      </c>
      <c r="B408" t="str">
        <f>IFERROR(__xludf.DUMMYFUNCTION("""COMPUTED_VALUE"""),"TAA4062")</f>
        <v>TAA4062</v>
      </c>
      <c r="C408">
        <f>IFERROR(__xludf.DUMMYFUNCTION("""COMPUTED_VALUE"""),1007339.0)</f>
        <v>1007339</v>
      </c>
      <c r="D408" t="str">
        <f>IFERROR(__xludf.DUMMYFUNCTION("""COMPUTED_VALUE"""),"Ms.")</f>
        <v>Ms.</v>
      </c>
      <c r="E408" t="str">
        <f>IFERROR(__xludf.DUMMYFUNCTION("""COMPUTED_VALUE"""),"Chanicha")</f>
        <v>Chanicha</v>
      </c>
      <c r="F408" t="str">
        <f>IFERROR(__xludf.DUMMYFUNCTION("""COMPUTED_VALUE"""),"Songkrit")</f>
        <v>Songkrit</v>
      </c>
      <c r="G408" t="str">
        <f>IFERROR(__xludf.DUMMYFUNCTION("""COMPUTED_VALUE"""),"Chanicha Songkrit")</f>
        <v>Chanicha Songkrit</v>
      </c>
      <c r="H408" t="str">
        <f>IFERROR(__xludf.DUMMYFUNCTION("""COMPUTED_VALUE"""),"นางสาว")</f>
        <v>นางสาว</v>
      </c>
      <c r="I408" t="str">
        <f>IFERROR(__xludf.DUMMYFUNCTION("""COMPUTED_VALUE"""),"ฌณิฌา")</f>
        <v>ฌณิฌา</v>
      </c>
      <c r="J408" t="str">
        <f>IFERROR(__xludf.DUMMYFUNCTION("""COMPUTED_VALUE"""),"ทรงกฤษณ์")</f>
        <v>ทรงกฤษณ์</v>
      </c>
      <c r="K408" t="str">
        <f>IFERROR(__xludf.DUMMYFUNCTION("""COMPUTED_VALUE"""),"ฌณิฌา ทรงกฤษณ์")</f>
        <v>ฌณิฌา ทรงกฤษณ์</v>
      </c>
      <c r="L408" t="str">
        <f>IFERROR(__xludf.DUMMYFUNCTION("""COMPUTED_VALUE"""),"Oop-eip")</f>
        <v>Oop-eip</v>
      </c>
      <c r="M408" t="str">
        <f>IFERROR(__xludf.DUMMYFUNCTION("""COMPUTED_VALUE"""),"Cabin Crew")</f>
        <v>Cabin Crew</v>
      </c>
      <c r="N408" t="str">
        <f>IFERROR(__xludf.DUMMYFUNCTION("""COMPUTED_VALUE"""),"DMK")</f>
        <v>DMK</v>
      </c>
      <c r="O408" s="145" t="str">
        <f>IFERROR(__xludf.DUMMYFUNCTION("""COMPUTED_VALUE"""),"Um Home")</f>
        <v>Um Home</v>
      </c>
      <c r="P408" t="str">
        <f>IFERROR(__xludf.DUMMYFUNCTION("""COMPUTED_VALUE"""),"Active")</f>
        <v>Active</v>
      </c>
      <c r="R408" s="143">
        <f>IFERROR(__xludf.DUMMYFUNCTION("""COMPUTED_VALUE"""),32821.0)</f>
        <v>32821</v>
      </c>
      <c r="S408" s="146" t="str">
        <f>IFERROR(__xludf.DUMMYFUNCTION("""COMPUTED_VALUE"""),"096 229 4565")</f>
        <v>096 229 4565</v>
      </c>
      <c r="T408" s="147">
        <f>IFERROR(__xludf.DUMMYFUNCTION("""COMPUTED_VALUE"""),1.309900538213E12)</f>
        <v>1309900538213</v>
      </c>
      <c r="U408" t="str">
        <f>IFERROR(__xludf.DUMMYFUNCTION("""COMPUTED_VALUE"""),"AC3589363")</f>
        <v>AC3589363</v>
      </c>
      <c r="V408" s="148">
        <f>IFERROR(__xludf.DUMMYFUNCTION("""COMPUTED_VALUE"""),44753.0)</f>
        <v>44753</v>
      </c>
      <c r="W408" s="148">
        <f>IFERROR(__xludf.DUMMYFUNCTION("""COMPUTED_VALUE"""),46578.0)</f>
        <v>46578</v>
      </c>
      <c r="X408" s="149">
        <f>IFERROR(__xludf.DUMMYFUNCTION("""COMPUTED_VALUE"""),46397.0)</f>
        <v>46397</v>
      </c>
      <c r="Y408" t="str">
        <f>IFERROR(__xludf.DUMMYFUNCTION("""COMPUTED_VALUE"""),"ปลอดภัย")</f>
        <v>ปลอดภัย</v>
      </c>
      <c r="Z408" t="str">
        <f>IFERROR(__xludf.DUMMYFUNCTION("""COMPUTED_VALUE"""),"Nakhon Ratchasima Province")</f>
        <v>Nakhon Ratchasima Province</v>
      </c>
      <c r="AA408" t="str">
        <f>IFERROR(__xludf.DUMMYFUNCTION("""COMPUTED_VALUE"""),"Pathumthani")</f>
        <v>Pathumthani</v>
      </c>
      <c r="AB408" t="str">
        <f>IFERROR(__xludf.DUMMYFUNCTION("""COMPUTED_VALUE"""),"02 956 8208 / 081 955 6540")</f>
        <v>02 956 8208 / 081 955 6540</v>
      </c>
      <c r="AC408" t="str">
        <f>IFERROR(__xludf.DUMMYFUNCTION("""COMPUTED_VALUE"""),"Home / Mother")</f>
        <v>Home / Mother</v>
      </c>
      <c r="AD408" t="str">
        <f>IFERROR(__xludf.DUMMYFUNCTION("""COMPUTED_VALUE"""),"chanichas@airasia.com")</f>
        <v>chanichas@airasia.com</v>
      </c>
    </row>
    <row r="409">
      <c r="A409" s="142">
        <f>IFERROR(__xludf.DUMMYFUNCTION("""COMPUTED_VALUE"""),56.0)</f>
        <v>56</v>
      </c>
      <c r="B409" t="str">
        <f>IFERROR(__xludf.DUMMYFUNCTION("""COMPUTED_VALUE"""),"TAA4061")</f>
        <v>TAA4061</v>
      </c>
      <c r="C409">
        <f>IFERROR(__xludf.DUMMYFUNCTION("""COMPUTED_VALUE"""),1007340.0)</f>
        <v>1007340</v>
      </c>
      <c r="D409" t="str">
        <f>IFERROR(__xludf.DUMMYFUNCTION("""COMPUTED_VALUE"""),"Ms.")</f>
        <v>Ms.</v>
      </c>
      <c r="E409" t="str">
        <f>IFERROR(__xludf.DUMMYFUNCTION("""COMPUTED_VALUE"""),"Patpapada (Natwajee)")</f>
        <v>Patpapada (Natwajee)</v>
      </c>
      <c r="F409" t="str">
        <f>IFERROR(__xludf.DUMMYFUNCTION("""COMPUTED_VALUE"""),"Vadtanawat (Sawacaphan)")</f>
        <v>Vadtanawat (Sawacaphan)</v>
      </c>
      <c r="G409" t="str">
        <f>IFERROR(__xludf.DUMMYFUNCTION("""COMPUTED_VALUE"""),"Patpapada Vadtanawat")</f>
        <v>Patpapada Vadtanawat</v>
      </c>
      <c r="H409" t="str">
        <f>IFERROR(__xludf.DUMMYFUNCTION("""COMPUTED_VALUE"""),"นางสาว")</f>
        <v>นางสาว</v>
      </c>
      <c r="I409" t="str">
        <f>IFERROR(__xludf.DUMMYFUNCTION("""COMPUTED_VALUE"""),"พัชรปภาดา")</f>
        <v>พัชรปภาดา</v>
      </c>
      <c r="J409" t="str">
        <f>IFERROR(__xludf.DUMMYFUNCTION("""COMPUTED_VALUE"""),"วาสธนวรรธ")</f>
        <v>วาสธนวรรธ</v>
      </c>
      <c r="K409" t="str">
        <f>IFERROR(__xludf.DUMMYFUNCTION("""COMPUTED_VALUE"""),"พัชรปภาดา วาสธนวรรธ")</f>
        <v>พัชรปภาดา วาสธนวรรธ</v>
      </c>
      <c r="L409" t="str">
        <f>IFERROR(__xludf.DUMMYFUNCTION("""COMPUTED_VALUE"""),"แอน")</f>
        <v>แอน</v>
      </c>
      <c r="M409" t="str">
        <f>IFERROR(__xludf.DUMMYFUNCTION("""COMPUTED_VALUE"""),"Cabin Crew")</f>
        <v>Cabin Crew</v>
      </c>
      <c r="N409" t="str">
        <f>IFERROR(__xludf.DUMMYFUNCTION("""COMPUTED_VALUE"""),"DMK")</f>
        <v>DMK</v>
      </c>
      <c r="O409" s="145" t="str">
        <f>IFERROR(__xludf.DUMMYFUNCTION("""COMPUTED_VALUE"""),"Por+ Home")</f>
        <v>Por+ Home</v>
      </c>
      <c r="P409" t="str">
        <f>IFERROR(__xludf.DUMMYFUNCTION("""COMPUTED_VALUE"""),"Active")</f>
        <v>Active</v>
      </c>
      <c r="R409" s="143">
        <f>IFERROR(__xludf.DUMMYFUNCTION("""COMPUTED_VALUE"""),32098.0)</f>
        <v>32098</v>
      </c>
      <c r="S409" s="146" t="str">
        <f>IFERROR(__xludf.DUMMYFUNCTION("""COMPUTED_VALUE"""),"094 924 4246")</f>
        <v>094 924 4246</v>
      </c>
      <c r="T409" s="147">
        <f>IFERROR(__xludf.DUMMYFUNCTION("""COMPUTED_VALUE"""),1.100500231939E12)</f>
        <v>1100500231939</v>
      </c>
      <c r="U409" t="str">
        <f>IFERROR(__xludf.DUMMYFUNCTION("""COMPUTED_VALUE"""),"AC2945456")</f>
        <v>AC2945456</v>
      </c>
      <c r="V409" s="148">
        <f>IFERROR(__xludf.DUMMYFUNCTION("""COMPUTED_VALUE"""),44636.0)</f>
        <v>44636</v>
      </c>
      <c r="W409" s="148">
        <f>IFERROR(__xludf.DUMMYFUNCTION("""COMPUTED_VALUE"""),48288.0)</f>
        <v>48288</v>
      </c>
      <c r="X409" s="149">
        <f>IFERROR(__xludf.DUMMYFUNCTION("""COMPUTED_VALUE"""),48106.0)</f>
        <v>48106</v>
      </c>
      <c r="Y409" t="str">
        <f>IFERROR(__xludf.DUMMYFUNCTION("""COMPUTED_VALUE"""),"ปลอดภัย")</f>
        <v>ปลอดภัย</v>
      </c>
      <c r="Z409" t="str">
        <f>IFERROR(__xludf.DUMMYFUNCTION("""COMPUTED_VALUE"""),"Bangkok")</f>
        <v>Bangkok</v>
      </c>
      <c r="AA409" t="str">
        <f>IFERROR(__xludf.DUMMYFUNCTION("""COMPUTED_VALUE"""),"Saimai")</f>
        <v>Saimai</v>
      </c>
      <c r="AB409" t="str">
        <f>IFERROR(__xludf.DUMMYFUNCTION("""COMPUTED_VALUE"""),"02 531 7154 / 081 914 3450")</f>
        <v>02 531 7154 / 081 914 3450</v>
      </c>
      <c r="AC409" t="str">
        <f>IFERROR(__xludf.DUMMYFUNCTION("""COMPUTED_VALUE"""),"Mother")</f>
        <v>Mother</v>
      </c>
      <c r="AD409" t="str">
        <f>IFERROR(__xludf.DUMMYFUNCTION("""COMPUTED_VALUE"""),"patpapadav@airasia.com")</f>
        <v>patpapadav@airasia.com</v>
      </c>
    </row>
    <row r="410">
      <c r="A410" s="142">
        <f>IFERROR(__xludf.DUMMYFUNCTION("""COMPUTED_VALUE"""),56.0)</f>
        <v>56</v>
      </c>
      <c r="B410" t="str">
        <f>IFERROR(__xludf.DUMMYFUNCTION("""COMPUTED_VALUE"""),"TAA4063")</f>
        <v>TAA4063</v>
      </c>
      <c r="C410">
        <f>IFERROR(__xludf.DUMMYFUNCTION("""COMPUTED_VALUE"""),1007341.0)</f>
        <v>1007341</v>
      </c>
      <c r="D410" t="str">
        <f>IFERROR(__xludf.DUMMYFUNCTION("""COMPUTED_VALUE"""),"Mrs.")</f>
        <v>Mrs.</v>
      </c>
      <c r="E410" t="str">
        <f>IFERROR(__xludf.DUMMYFUNCTION("""COMPUTED_VALUE"""),"Phatrada")</f>
        <v>Phatrada</v>
      </c>
      <c r="F410" t="str">
        <f>IFERROR(__xludf.DUMMYFUNCTION("""COMPUTED_VALUE"""),"Treesuwan (Pumam)")</f>
        <v>Treesuwan (Pumam)</v>
      </c>
      <c r="G410" t="str">
        <f>IFERROR(__xludf.DUMMYFUNCTION("""COMPUTED_VALUE"""),"Phatrada Treesuwan")</f>
        <v>Phatrada Treesuwan</v>
      </c>
      <c r="H410" t="str">
        <f>IFERROR(__xludf.DUMMYFUNCTION("""COMPUTED_VALUE"""),"นางสาว")</f>
        <v>นางสาว</v>
      </c>
      <c r="I410" t="str">
        <f>IFERROR(__xludf.DUMMYFUNCTION("""COMPUTED_VALUE"""),"พัสตร์รดา")</f>
        <v>พัสตร์รดา</v>
      </c>
      <c r="J410" t="str">
        <f>IFERROR(__xludf.DUMMYFUNCTION("""COMPUTED_VALUE"""),"ตรีสุวรรณ (พุ่มอ่ำ)")</f>
        <v>ตรีสุวรรณ (พุ่มอ่ำ)</v>
      </c>
      <c r="K410" t="str">
        <f>IFERROR(__xludf.DUMMYFUNCTION("""COMPUTED_VALUE"""),"พัสตร์รดา ตรีสุวรรณ")</f>
        <v>พัสตร์รดา ตรีสุวรรณ</v>
      </c>
      <c r="L410" t="str">
        <f>IFERROR(__xludf.DUMMYFUNCTION("""COMPUTED_VALUE"""),"Mine")</f>
        <v>Mine</v>
      </c>
      <c r="M410" t="str">
        <f>IFERROR(__xludf.DUMMYFUNCTION("""COMPUTED_VALUE"""),"Cabin Crew")</f>
        <v>Cabin Crew</v>
      </c>
      <c r="N410" t="str">
        <f>IFERROR(__xludf.DUMMYFUNCTION("""COMPUTED_VALUE"""),"DMK")</f>
        <v>DMK</v>
      </c>
      <c r="O410" s="145" t="str">
        <f>IFERROR(__xludf.DUMMYFUNCTION("""COMPUTED_VALUE"""),"Namfon Home")</f>
        <v>Namfon Home</v>
      </c>
      <c r="P410" t="str">
        <f>IFERROR(__xludf.DUMMYFUNCTION("""COMPUTED_VALUE"""),"LWPP")</f>
        <v>LWPP</v>
      </c>
      <c r="R410" s="143">
        <f>IFERROR(__xludf.DUMMYFUNCTION("""COMPUTED_VALUE"""),32784.0)</f>
        <v>32784</v>
      </c>
      <c r="S410" s="146" t="str">
        <f>IFERROR(__xludf.DUMMYFUNCTION("""COMPUTED_VALUE"""),"062 536 6224")</f>
        <v>062 536 6224</v>
      </c>
      <c r="T410" s="147">
        <f>IFERROR(__xludf.DUMMYFUNCTION("""COMPUTED_VALUE"""),1.709800112113E12)</f>
        <v>1709800112113</v>
      </c>
      <c r="U410" t="str">
        <f>IFERROR(__xludf.DUMMYFUNCTION("""COMPUTED_VALUE"""),"AD2255570")</f>
        <v>AD2255570</v>
      </c>
      <c r="V410" s="148">
        <f>IFERROR(__xludf.DUMMYFUNCTION("""COMPUTED_VALUE"""),45796.0)</f>
        <v>45796</v>
      </c>
      <c r="W410" s="148">
        <f>IFERROR(__xludf.DUMMYFUNCTION("""COMPUTED_VALUE"""),47621.0)</f>
        <v>47621</v>
      </c>
      <c r="X410" s="149">
        <f>IFERROR(__xludf.DUMMYFUNCTION("""COMPUTED_VALUE"""),47440.0)</f>
        <v>47440</v>
      </c>
      <c r="Y410" t="str">
        <f>IFERROR(__xludf.DUMMYFUNCTION("""COMPUTED_VALUE"""),"ปลอดภัย")</f>
        <v>ปลอดภัย</v>
      </c>
      <c r="Z410" t="str">
        <f>IFERROR(__xludf.DUMMYFUNCTION("""COMPUTED_VALUE"""),"Ratchaburi Province")</f>
        <v>Ratchaburi Province</v>
      </c>
      <c r="AA410" t="str">
        <f>IFERROR(__xludf.DUMMYFUNCTION("""COMPUTED_VALUE"""),"Nkornprathom")</f>
        <v>Nkornprathom</v>
      </c>
      <c r="AB410" t="str">
        <f>IFERROR(__xludf.DUMMYFUNCTION("""COMPUTED_VALUE"""),"034 339 735 / 086 396 9887")</f>
        <v>034 339 735 / 086 396 9887</v>
      </c>
      <c r="AC410" t="str">
        <f>IFERROR(__xludf.DUMMYFUNCTION("""COMPUTED_VALUE"""),"Home / Mother")</f>
        <v>Home / Mother</v>
      </c>
      <c r="AD410" t="str">
        <f>IFERROR(__xludf.DUMMYFUNCTION("""COMPUTED_VALUE"""),"phatradat@airasia.com")</f>
        <v>phatradat@airasia.com</v>
      </c>
    </row>
    <row r="411">
      <c r="A411" s="142">
        <f>IFERROR(__xludf.DUMMYFUNCTION("""COMPUTED_VALUE"""),56.0)</f>
        <v>56</v>
      </c>
      <c r="B411" t="str">
        <f>IFERROR(__xludf.DUMMYFUNCTION("""COMPUTED_VALUE"""),"TAA4059")</f>
        <v>TAA4059</v>
      </c>
      <c r="C411">
        <f>IFERROR(__xludf.DUMMYFUNCTION("""COMPUTED_VALUE"""),1007342.0)</f>
        <v>1007342</v>
      </c>
      <c r="D411" t="str">
        <f>IFERROR(__xludf.DUMMYFUNCTION("""COMPUTED_VALUE"""),"Mrs.")</f>
        <v>Mrs.</v>
      </c>
      <c r="E411" t="str">
        <f>IFERROR(__xludf.DUMMYFUNCTION("""COMPUTED_VALUE"""),"Supitchaya")</f>
        <v>Supitchaya</v>
      </c>
      <c r="F411" t="str">
        <f>IFERROR(__xludf.DUMMYFUNCTION("""COMPUTED_VALUE"""),"Hongkajorn (Pornpitaktepkit)")</f>
        <v>Hongkajorn (Pornpitaktepkit)</v>
      </c>
      <c r="G411" t="str">
        <f>IFERROR(__xludf.DUMMYFUNCTION("""COMPUTED_VALUE"""),"Supitchaya Hongkajorn")</f>
        <v>Supitchaya Hongkajorn</v>
      </c>
      <c r="H411" t="str">
        <f>IFERROR(__xludf.DUMMYFUNCTION("""COMPUTED_VALUE"""),"นาง")</f>
        <v>นาง</v>
      </c>
      <c r="I411" t="str">
        <f>IFERROR(__xludf.DUMMYFUNCTION("""COMPUTED_VALUE"""),"สุพิชญา")</f>
        <v>สุพิชญา</v>
      </c>
      <c r="J411" t="str">
        <f>IFERROR(__xludf.DUMMYFUNCTION("""COMPUTED_VALUE"""),"หงษ์ขจร (พรพิทักษ์เทพกิจ)")</f>
        <v>หงษ์ขจร (พรพิทักษ์เทพกิจ)</v>
      </c>
      <c r="K411" t="str">
        <f>IFERROR(__xludf.DUMMYFUNCTION("""COMPUTED_VALUE"""),"สุพิชญา หงษ์ขจร")</f>
        <v>สุพิชญา หงษ์ขจร</v>
      </c>
      <c r="L411" t="str">
        <f>IFERROR(__xludf.DUMMYFUNCTION("""COMPUTED_VALUE"""),"บ๊วย")</f>
        <v>บ๊วย</v>
      </c>
      <c r="M411" t="str">
        <f>IFERROR(__xludf.DUMMYFUNCTION("""COMPUTED_VALUE"""),"Cabin Crew")</f>
        <v>Cabin Crew</v>
      </c>
      <c r="N411" t="str">
        <f>IFERROR(__xludf.DUMMYFUNCTION("""COMPUTED_VALUE"""),"DMK")</f>
        <v>DMK</v>
      </c>
      <c r="O411" s="145" t="str">
        <f>IFERROR(__xludf.DUMMYFUNCTION("""COMPUTED_VALUE"""),"Toffy Home")</f>
        <v>Toffy Home</v>
      </c>
      <c r="P411" t="str">
        <f>IFERROR(__xludf.DUMMYFUNCTION("""COMPUTED_VALUE"""),"Active")</f>
        <v>Active</v>
      </c>
      <c r="R411" s="143">
        <f>IFERROR(__xludf.DUMMYFUNCTION("""COMPUTED_VALUE"""),31587.0)</f>
        <v>31587</v>
      </c>
      <c r="S411" s="146" t="str">
        <f>IFERROR(__xludf.DUMMYFUNCTION("""COMPUTED_VALUE"""),"081 496 4561")</f>
        <v>081 496 4561</v>
      </c>
      <c r="T411" s="147">
        <f>IFERROR(__xludf.DUMMYFUNCTION("""COMPUTED_VALUE"""),1.10080027983E12)</f>
        <v>1100800279830</v>
      </c>
      <c r="U411" t="str">
        <f>IFERROR(__xludf.DUMMYFUNCTION("""COMPUTED_VALUE"""),"AC6095942")</f>
        <v>AC6095942</v>
      </c>
      <c r="V411" s="148">
        <f>IFERROR(__xludf.DUMMYFUNCTION("""COMPUTED_VALUE"""),45272.0)</f>
        <v>45272</v>
      </c>
      <c r="W411" s="148">
        <f>IFERROR(__xludf.DUMMYFUNCTION("""COMPUTED_VALUE"""),48924.0)</f>
        <v>48924</v>
      </c>
      <c r="X411" s="149">
        <f>IFERROR(__xludf.DUMMYFUNCTION("""COMPUTED_VALUE"""),48741.0)</f>
        <v>48741</v>
      </c>
      <c r="Y411" t="str">
        <f>IFERROR(__xludf.DUMMYFUNCTION("""COMPUTED_VALUE"""),"ปลอดภัย")</f>
        <v>ปลอดภัย</v>
      </c>
      <c r="Z411" t="str">
        <f>IFERROR(__xludf.DUMMYFUNCTION("""COMPUTED_VALUE"""),"Bangkok")</f>
        <v>Bangkok</v>
      </c>
      <c r="AA411" t="str">
        <f>IFERROR(__xludf.DUMMYFUNCTION("""COMPUTED_VALUE"""),"Ladproa-Wanghin")</f>
        <v>Ladproa-Wanghin</v>
      </c>
      <c r="AB411" t="str">
        <f>IFERROR(__xludf.DUMMYFUNCTION("""COMPUTED_VALUE"""),"02 570 8872 / 081 626 5831")</f>
        <v>02 570 8872 / 081 626 5831</v>
      </c>
      <c r="AC411" t="str">
        <f>IFERROR(__xludf.DUMMYFUNCTION("""COMPUTED_VALUE"""),"Home / Relative")</f>
        <v>Home / Relative</v>
      </c>
      <c r="AD411" t="str">
        <f>IFERROR(__xludf.DUMMYFUNCTION("""COMPUTED_VALUE"""),"supitchayah@airasia.com")</f>
        <v>supitchayah@airasia.com</v>
      </c>
    </row>
    <row r="412">
      <c r="AD412" t="str">
        <f>IFERROR(__xludf.DUMMYFUNCTION("""COMPUTED_VALUE"""),"")</f>
        <v/>
      </c>
    </row>
    <row r="413">
      <c r="A413" s="142">
        <f>IFERROR(__xludf.DUMMYFUNCTION("""COMPUTED_VALUE"""),57.0)</f>
        <v>57</v>
      </c>
      <c r="B413" t="str">
        <f>IFERROR(__xludf.DUMMYFUNCTION("""COMPUTED_VALUE"""),"TAA4068")</f>
        <v>TAA4068</v>
      </c>
      <c r="C413">
        <f>IFERROR(__xludf.DUMMYFUNCTION("""COMPUTED_VALUE"""),1007406.0)</f>
        <v>1007406</v>
      </c>
      <c r="D413" t="str">
        <f>IFERROR(__xludf.DUMMYFUNCTION("""COMPUTED_VALUE"""),"Mr.")</f>
        <v>Mr.</v>
      </c>
      <c r="E413" t="str">
        <f>IFERROR(__xludf.DUMMYFUNCTION("""COMPUTED_VALUE"""),"Chanapon")</f>
        <v>Chanapon</v>
      </c>
      <c r="F413" t="str">
        <f>IFERROR(__xludf.DUMMYFUNCTION("""COMPUTED_VALUE"""),"Phorungruang")</f>
        <v>Phorungruang</v>
      </c>
      <c r="G413" t="str">
        <f>IFERROR(__xludf.DUMMYFUNCTION("""COMPUTED_VALUE"""),"Chanapon Phorungruang")</f>
        <v>Chanapon Phorungruang</v>
      </c>
      <c r="H413" t="str">
        <f>IFERROR(__xludf.DUMMYFUNCTION("""COMPUTED_VALUE"""),"นาย")</f>
        <v>นาย</v>
      </c>
      <c r="I413" t="str">
        <f>IFERROR(__xludf.DUMMYFUNCTION("""COMPUTED_VALUE"""),"ชนภณ")</f>
        <v>ชนภณ</v>
      </c>
      <c r="J413" t="str">
        <f>IFERROR(__xludf.DUMMYFUNCTION("""COMPUTED_VALUE"""),"โพธิ์รุ่งเรือง")</f>
        <v>โพธิ์รุ่งเรือง</v>
      </c>
      <c r="K413" t="str">
        <f>IFERROR(__xludf.DUMMYFUNCTION("""COMPUTED_VALUE"""),"ชนภณ โพธิ์รุ่งเรือง")</f>
        <v>ชนภณ โพธิ์รุ่งเรือง</v>
      </c>
      <c r="L413" t="str">
        <f>IFERROR(__xludf.DUMMYFUNCTION("""COMPUTED_VALUE"""),"Art")</f>
        <v>Art</v>
      </c>
      <c r="M413" t="str">
        <f>IFERROR(__xludf.DUMMYFUNCTION("""COMPUTED_VALUE"""),"Senior Cabin Crew - BKK")</f>
        <v>Senior Cabin Crew - BKK</v>
      </c>
      <c r="N413" t="str">
        <f>IFERROR(__xludf.DUMMYFUNCTION("""COMPUTED_VALUE"""),"BKK")</f>
        <v>BKK</v>
      </c>
      <c r="O413" s="145" t="str">
        <f>IFERROR(__xludf.DUMMYFUNCTION("""COMPUTED_VALUE"""),"Nhui Home")</f>
        <v>Nhui Home</v>
      </c>
      <c r="P413" t="str">
        <f>IFERROR(__xludf.DUMMYFUNCTION("""COMPUTED_VALUE"""),"Active")</f>
        <v>Active</v>
      </c>
      <c r="R413" s="143">
        <f>IFERROR(__xludf.DUMMYFUNCTION("""COMPUTED_VALUE"""),30673.0)</f>
        <v>30673</v>
      </c>
      <c r="S413" s="146" t="str">
        <f>IFERROR(__xludf.DUMMYFUNCTION("""COMPUTED_VALUE"""),"089 497 2552")</f>
        <v>089 497 2552</v>
      </c>
      <c r="T413" s="147">
        <f>IFERROR(__xludf.DUMMYFUNCTION("""COMPUTED_VALUE"""),3.660800474081E12)</f>
        <v>3660800474081</v>
      </c>
      <c r="U413" t="str">
        <f>IFERROR(__xludf.DUMMYFUNCTION("""COMPUTED_VALUE"""),"AC6630098")</f>
        <v>AC6630098</v>
      </c>
      <c r="V413" s="148">
        <f>IFERROR(__xludf.DUMMYFUNCTION("""COMPUTED_VALUE"""),45413.0)</f>
        <v>45413</v>
      </c>
      <c r="W413" s="148">
        <f>IFERROR(__xludf.DUMMYFUNCTION("""COMPUTED_VALUE"""),49064.0)</f>
        <v>49064</v>
      </c>
      <c r="X413" s="149">
        <f>IFERROR(__xludf.DUMMYFUNCTION("""COMPUTED_VALUE"""),48882.0)</f>
        <v>48882</v>
      </c>
      <c r="Y413" t="str">
        <f>IFERROR(__xludf.DUMMYFUNCTION("""COMPUTED_VALUE"""),"ปลอดภัย")</f>
        <v>ปลอดภัย</v>
      </c>
      <c r="Z413" t="str">
        <f>IFERROR(__xludf.DUMMYFUNCTION("""COMPUTED_VALUE"""),"Phichit Province")</f>
        <v>Phichit Province</v>
      </c>
      <c r="AA413" t="str">
        <f>IFERROR(__xludf.DUMMYFUNCTION("""COMPUTED_VALUE"""),"Bangkapi")</f>
        <v>Bangkapi</v>
      </c>
      <c r="AB413" t="str">
        <f>IFERROR(__xludf.DUMMYFUNCTION("""COMPUTED_VALUE"""),"089 959 5667")</f>
        <v>089 959 5667</v>
      </c>
      <c r="AC413" t="str">
        <f>IFERROR(__xludf.DUMMYFUNCTION("""COMPUTED_VALUE"""),"Relative")</f>
        <v>Relative</v>
      </c>
      <c r="AD413" t="str">
        <f>IFERROR(__xludf.DUMMYFUNCTION("""COMPUTED_VALUE"""),"chanaponp@airasia.com")</f>
        <v>chanaponp@airasia.com</v>
      </c>
    </row>
    <row r="414">
      <c r="A414" s="142">
        <f>IFERROR(__xludf.DUMMYFUNCTION("""COMPUTED_VALUE"""),57.0)</f>
        <v>57</v>
      </c>
      <c r="B414" t="str">
        <f>IFERROR(__xludf.DUMMYFUNCTION("""COMPUTED_VALUE"""),"TAA4066")</f>
        <v>TAA4066</v>
      </c>
      <c r="C414">
        <f>IFERROR(__xludf.DUMMYFUNCTION("""COMPUTED_VALUE"""),1007410.0)</f>
        <v>1007410</v>
      </c>
      <c r="D414" t="str">
        <f>IFERROR(__xludf.DUMMYFUNCTION("""COMPUTED_VALUE"""),"Ms.")</f>
        <v>Ms.</v>
      </c>
      <c r="E414" t="str">
        <f>IFERROR(__xludf.DUMMYFUNCTION("""COMPUTED_VALUE"""),"Hathairat")</f>
        <v>Hathairat</v>
      </c>
      <c r="F414" t="str">
        <f>IFERROR(__xludf.DUMMYFUNCTION("""COMPUTED_VALUE"""),"Turongtanakul")</f>
        <v>Turongtanakul</v>
      </c>
      <c r="G414" t="str">
        <f>IFERROR(__xludf.DUMMYFUNCTION("""COMPUTED_VALUE"""),"Hathairat Turongtanakul")</f>
        <v>Hathairat Turongtanakul</v>
      </c>
      <c r="H414" t="str">
        <f>IFERROR(__xludf.DUMMYFUNCTION("""COMPUTED_VALUE"""),"นางสาว")</f>
        <v>นางสาว</v>
      </c>
      <c r="I414" t="str">
        <f>IFERROR(__xludf.DUMMYFUNCTION("""COMPUTED_VALUE"""),"หทัยรัตน์")</f>
        <v>หทัยรัตน์</v>
      </c>
      <c r="J414" t="str">
        <f>IFERROR(__xludf.DUMMYFUNCTION("""COMPUTED_VALUE"""),"ตุรงค์ธนากุล")</f>
        <v>ตุรงค์ธนากุล</v>
      </c>
      <c r="K414" t="str">
        <f>IFERROR(__xludf.DUMMYFUNCTION("""COMPUTED_VALUE"""),"หทัยรัตน์ ตุรงค์ธนากุล")</f>
        <v>หทัยรัตน์ ตุรงค์ธนากุล</v>
      </c>
      <c r="L414" t="str">
        <f>IFERROR(__xludf.DUMMYFUNCTION("""COMPUTED_VALUE"""),"Mint")</f>
        <v>Mint</v>
      </c>
      <c r="M414" t="str">
        <f>IFERROR(__xludf.DUMMYFUNCTION("""COMPUTED_VALUE"""),"Cabin Crew")</f>
        <v>Cabin Crew</v>
      </c>
      <c r="N414" t="str">
        <f>IFERROR(__xludf.DUMMYFUNCTION("""COMPUTED_VALUE"""),"DMK")</f>
        <v>DMK</v>
      </c>
      <c r="O414" s="145" t="str">
        <f>IFERROR(__xludf.DUMMYFUNCTION("""COMPUTED_VALUE"""),"Toffy Home")</f>
        <v>Toffy Home</v>
      </c>
      <c r="P414" t="str">
        <f>IFERROR(__xludf.DUMMYFUNCTION("""COMPUTED_VALUE"""),"Active")</f>
        <v>Active</v>
      </c>
      <c r="R414" s="143">
        <f>IFERROR(__xludf.DUMMYFUNCTION("""COMPUTED_VALUE"""),32428.0)</f>
        <v>32428</v>
      </c>
      <c r="S414" s="146" t="str">
        <f>IFERROR(__xludf.DUMMYFUNCTION("""COMPUTED_VALUE"""),"081 817 5646")</f>
        <v>081 817 5646</v>
      </c>
      <c r="T414" s="147">
        <f>IFERROR(__xludf.DUMMYFUNCTION("""COMPUTED_VALUE"""),1.101401445869E12)</f>
        <v>1101401445869</v>
      </c>
      <c r="U414" t="str">
        <f>IFERROR(__xludf.DUMMYFUNCTION("""COMPUTED_VALUE"""),"AC2462852")</f>
        <v>AC2462852</v>
      </c>
      <c r="V414" s="148">
        <f>IFERROR(__xludf.DUMMYFUNCTION("""COMPUTED_VALUE"""),44468.0)</f>
        <v>44468</v>
      </c>
      <c r="W414" s="148">
        <f>IFERROR(__xludf.DUMMYFUNCTION("""COMPUTED_VALUE"""),48119.0)</f>
        <v>48119</v>
      </c>
      <c r="X414" s="149">
        <f>IFERROR(__xludf.DUMMYFUNCTION("""COMPUTED_VALUE"""),47935.0)</f>
        <v>47935</v>
      </c>
      <c r="Y414" t="str">
        <f>IFERROR(__xludf.DUMMYFUNCTION("""COMPUTED_VALUE"""),"ปลอดภัย")</f>
        <v>ปลอดภัย</v>
      </c>
      <c r="Z414" t="str">
        <f>IFERROR(__xludf.DUMMYFUNCTION("""COMPUTED_VALUE"""),"Bangkok")</f>
        <v>Bangkok</v>
      </c>
      <c r="AA414" t="str">
        <f>IFERROR(__xludf.DUMMYFUNCTION("""COMPUTED_VALUE"""),"Huai Kwang")</f>
        <v>Huai Kwang</v>
      </c>
      <c r="AB414" t="str">
        <f>IFERROR(__xludf.DUMMYFUNCTION("""COMPUTED_VALUE"""),"02 275 0275 / 081 646 2074")</f>
        <v>02 275 0275 / 081 646 2074</v>
      </c>
      <c r="AC414" t="str">
        <f>IFERROR(__xludf.DUMMYFUNCTION("""COMPUTED_VALUE"""),"Home / Father")</f>
        <v>Home / Father</v>
      </c>
      <c r="AD414" t="str">
        <f>IFERROR(__xludf.DUMMYFUNCTION("""COMPUTED_VALUE"""),"hathairatt@airasia.com")</f>
        <v>hathairatt@airasia.com</v>
      </c>
    </row>
    <row r="415">
      <c r="A415" s="142">
        <f>IFERROR(__xludf.DUMMYFUNCTION("""COMPUTED_VALUE"""),57.0)</f>
        <v>57</v>
      </c>
      <c r="B415" t="str">
        <f>IFERROR(__xludf.DUMMYFUNCTION("""COMPUTED_VALUE"""),"TAA4079")</f>
        <v>TAA4079</v>
      </c>
      <c r="C415">
        <f>IFERROR(__xludf.DUMMYFUNCTION("""COMPUTED_VALUE"""),1007412.0)</f>
        <v>1007412</v>
      </c>
      <c r="D415" t="str">
        <f>IFERROR(__xludf.DUMMYFUNCTION("""COMPUTED_VALUE"""),"Ms.")</f>
        <v>Ms.</v>
      </c>
      <c r="E415" t="str">
        <f>IFERROR(__xludf.DUMMYFUNCTION("""COMPUTED_VALUE"""),"Jutaporn")</f>
        <v>Jutaporn</v>
      </c>
      <c r="F415" t="str">
        <f>IFERROR(__xludf.DUMMYFUNCTION("""COMPUTED_VALUE"""),"Jutarattanakul")</f>
        <v>Jutarattanakul</v>
      </c>
      <c r="G415" t="str">
        <f>IFERROR(__xludf.DUMMYFUNCTION("""COMPUTED_VALUE"""),"Jutaporn Jutarattanakul")</f>
        <v>Jutaporn Jutarattanakul</v>
      </c>
      <c r="H415" t="str">
        <f>IFERROR(__xludf.DUMMYFUNCTION("""COMPUTED_VALUE"""),"นางสาว")</f>
        <v>นางสาว</v>
      </c>
      <c r="I415" t="str">
        <f>IFERROR(__xludf.DUMMYFUNCTION("""COMPUTED_VALUE"""),"จุฑาภรณ์")</f>
        <v>จุฑาภรณ์</v>
      </c>
      <c r="J415" t="str">
        <f>IFERROR(__xludf.DUMMYFUNCTION("""COMPUTED_VALUE"""),"จุฑารัตนกุล")</f>
        <v>จุฑารัตนกุล</v>
      </c>
      <c r="K415" t="str">
        <f>IFERROR(__xludf.DUMMYFUNCTION("""COMPUTED_VALUE"""),"จุฑาภรณ์ จุฑารัตนกุล")</f>
        <v>จุฑาภรณ์ จุฑารัตนกุล</v>
      </c>
      <c r="L415" t="str">
        <f>IFERROR(__xludf.DUMMYFUNCTION("""COMPUTED_VALUE"""),"Pin")</f>
        <v>Pin</v>
      </c>
      <c r="M415" t="str">
        <f>IFERROR(__xludf.DUMMYFUNCTION("""COMPUTED_VALUE"""),"Cabin Crew")</f>
        <v>Cabin Crew</v>
      </c>
      <c r="N415" t="str">
        <f>IFERROR(__xludf.DUMMYFUNCTION("""COMPUTED_VALUE"""),"DMK")</f>
        <v>DMK</v>
      </c>
      <c r="O415" s="145" t="str">
        <f>IFERROR(__xludf.DUMMYFUNCTION("""COMPUTED_VALUE"""),"Toffy Home")</f>
        <v>Toffy Home</v>
      </c>
      <c r="P415" t="str">
        <f>IFERROR(__xludf.DUMMYFUNCTION("""COMPUTED_VALUE"""),"Active")</f>
        <v>Active</v>
      </c>
      <c r="R415" s="143">
        <f>IFERROR(__xludf.DUMMYFUNCTION("""COMPUTED_VALUE"""),32754.0)</f>
        <v>32754</v>
      </c>
      <c r="S415" s="146" t="str">
        <f>IFERROR(__xludf.DUMMYFUNCTION("""COMPUTED_VALUE"""),"083-549-1544")</f>
        <v>083-549-1544</v>
      </c>
      <c r="T415" s="147">
        <f>IFERROR(__xludf.DUMMYFUNCTION("""COMPUTED_VALUE"""),1.809800074202E12)</f>
        <v>1809800074202</v>
      </c>
      <c r="U415" t="str">
        <f>IFERROR(__xludf.DUMMYFUNCTION("""COMPUTED_VALUE"""),"AC5624686")</f>
        <v>AC5624686</v>
      </c>
      <c r="V415" s="148">
        <f>IFERROR(__xludf.DUMMYFUNCTION("""COMPUTED_VALUE"""),45170.0)</f>
        <v>45170</v>
      </c>
      <c r="W415" s="148">
        <f>IFERROR(__xludf.DUMMYFUNCTION("""COMPUTED_VALUE"""),48822.0)</f>
        <v>48822</v>
      </c>
      <c r="X415" s="149">
        <f>IFERROR(__xludf.DUMMYFUNCTION("""COMPUTED_VALUE"""),48638.0)</f>
        <v>48638</v>
      </c>
      <c r="Y415" t="str">
        <f>IFERROR(__xludf.DUMMYFUNCTION("""COMPUTED_VALUE"""),"ปลอดภัย")</f>
        <v>ปลอดภัย</v>
      </c>
      <c r="Z415" t="str">
        <f>IFERROR(__xludf.DUMMYFUNCTION("""COMPUTED_VALUE"""),"Nakhon Si Thammarat Province")</f>
        <v>Nakhon Si Thammarat Province</v>
      </c>
      <c r="AA415" t="str">
        <f>IFERROR(__xludf.DUMMYFUNCTION("""COMPUTED_VALUE"""),"Ratchatewi")</f>
        <v>Ratchatewi</v>
      </c>
      <c r="AB415" t="str">
        <f>IFERROR(__xludf.DUMMYFUNCTION("""COMPUTED_VALUE"""),"081 536 9972")</f>
        <v>081 536 9972</v>
      </c>
      <c r="AC415" t="str">
        <f>IFERROR(__xludf.DUMMYFUNCTION("""COMPUTED_VALUE"""),"Relative")</f>
        <v>Relative</v>
      </c>
      <c r="AD415" t="str">
        <f>IFERROR(__xludf.DUMMYFUNCTION("""COMPUTED_VALUE"""),"jutapornj@airasia.com")</f>
        <v>jutapornj@airasia.com</v>
      </c>
    </row>
    <row r="416">
      <c r="A416" s="142">
        <f>IFERROR(__xludf.DUMMYFUNCTION("""COMPUTED_VALUE"""),57.0)</f>
        <v>57</v>
      </c>
      <c r="B416" t="str">
        <f>IFERROR(__xludf.DUMMYFUNCTION("""COMPUTED_VALUE"""),"TAA4067")</f>
        <v>TAA4067</v>
      </c>
      <c r="C416">
        <f>IFERROR(__xludf.DUMMYFUNCTION("""COMPUTED_VALUE"""),1007416.0)</f>
        <v>1007416</v>
      </c>
      <c r="D416" t="str">
        <f>IFERROR(__xludf.DUMMYFUNCTION("""COMPUTED_VALUE"""),"Mr.")</f>
        <v>Mr.</v>
      </c>
      <c r="E416" t="str">
        <f>IFERROR(__xludf.DUMMYFUNCTION("""COMPUTED_VALUE"""),"Metus")</f>
        <v>Metus</v>
      </c>
      <c r="F416" t="str">
        <f>IFERROR(__xludf.DUMMYFUNCTION("""COMPUTED_VALUE"""),"Leearporn")</f>
        <v>Leearporn</v>
      </c>
      <c r="G416" t="str">
        <f>IFERROR(__xludf.DUMMYFUNCTION("""COMPUTED_VALUE"""),"Metus Leearporn")</f>
        <v>Metus Leearporn</v>
      </c>
      <c r="H416" t="str">
        <f>IFERROR(__xludf.DUMMYFUNCTION("""COMPUTED_VALUE"""),"นาย")</f>
        <v>นาย</v>
      </c>
      <c r="I416" t="str">
        <f>IFERROR(__xludf.DUMMYFUNCTION("""COMPUTED_VALUE"""),"เมธัส")</f>
        <v>เมธัส</v>
      </c>
      <c r="J416" t="str">
        <f>IFERROR(__xludf.DUMMYFUNCTION("""COMPUTED_VALUE"""),"หลีอาภรณ์")</f>
        <v>หลีอาภรณ์</v>
      </c>
      <c r="K416" t="str">
        <f>IFERROR(__xludf.DUMMYFUNCTION("""COMPUTED_VALUE"""),"เมธัส หลีอาภรณ์")</f>
        <v>เมธัส หลีอาภรณ์</v>
      </c>
      <c r="L416" t="str">
        <f>IFERROR(__xludf.DUMMYFUNCTION("""COMPUTED_VALUE"""),"ตั้ม")</f>
        <v>ตั้ม</v>
      </c>
      <c r="M416" t="str">
        <f>IFERROR(__xludf.DUMMYFUNCTION("""COMPUTED_VALUE"""),"Cabin Crew")</f>
        <v>Cabin Crew</v>
      </c>
      <c r="N416" t="str">
        <f>IFERROR(__xludf.DUMMYFUNCTION("""COMPUTED_VALUE"""),"DMK")</f>
        <v>DMK</v>
      </c>
      <c r="O416" s="145" t="str">
        <f>IFERROR(__xludf.DUMMYFUNCTION("""COMPUTED_VALUE"""),"Namfon Home")</f>
        <v>Namfon Home</v>
      </c>
      <c r="P416" t="str">
        <f>IFERROR(__xludf.DUMMYFUNCTION("""COMPUTED_VALUE"""),"Active")</f>
        <v>Active</v>
      </c>
      <c r="R416" s="143">
        <f>IFERROR(__xludf.DUMMYFUNCTION("""COMPUTED_VALUE"""),32862.0)</f>
        <v>32862</v>
      </c>
      <c r="S416" s="146" t="str">
        <f>IFERROR(__xludf.DUMMYFUNCTION("""COMPUTED_VALUE"""),"061 194 9942")</f>
        <v>061 194 9942</v>
      </c>
      <c r="T416" s="147">
        <f>IFERROR(__xludf.DUMMYFUNCTION("""COMPUTED_VALUE"""),1.10200126552E12)</f>
        <v>1102001265520</v>
      </c>
      <c r="U416" t="str">
        <f>IFERROR(__xludf.DUMMYFUNCTION("""COMPUTED_VALUE"""),"AD1904318")</f>
        <v>AD1904318</v>
      </c>
      <c r="V416" s="148">
        <f>IFERROR(__xludf.DUMMYFUNCTION("""COMPUTED_VALUE"""),45490.0)</f>
        <v>45490</v>
      </c>
      <c r="W416" s="148">
        <f>IFERROR(__xludf.DUMMYFUNCTION("""COMPUTED_VALUE"""),49141.0)</f>
        <v>49141</v>
      </c>
      <c r="X416" s="149">
        <f>IFERROR(__xludf.DUMMYFUNCTION("""COMPUTED_VALUE"""),48960.0)</f>
        <v>48960</v>
      </c>
      <c r="Y416" t="str">
        <f>IFERROR(__xludf.DUMMYFUNCTION("""COMPUTED_VALUE"""),"ปลอดภัย")</f>
        <v>ปลอดภัย</v>
      </c>
      <c r="Z416" t="str">
        <f>IFERROR(__xludf.DUMMYFUNCTION("""COMPUTED_VALUE"""),"Bangkok")</f>
        <v>Bangkok</v>
      </c>
      <c r="AA416" t="str">
        <f>IFERROR(__xludf.DUMMYFUNCTION("""COMPUTED_VALUE"""),"Taweewattana")</f>
        <v>Taweewattana</v>
      </c>
      <c r="AB416" t="str">
        <f>IFERROR(__xludf.DUMMYFUNCTION("""COMPUTED_VALUE"""),"02 448 0167 8 / 083 753 7160")</f>
        <v>02 448 0167 8 / 083 753 7160</v>
      </c>
      <c r="AC416" t="str">
        <f>IFERROR(__xludf.DUMMYFUNCTION("""COMPUTED_VALUE"""),"Home / Relative")</f>
        <v>Home / Relative</v>
      </c>
      <c r="AD416" t="str">
        <f>IFERROR(__xludf.DUMMYFUNCTION("""COMPUTED_VALUE"""),"metusl@airasia.com")</f>
        <v>metusl@airasia.com</v>
      </c>
    </row>
    <row r="417">
      <c r="A417" s="142">
        <f>IFERROR(__xludf.DUMMYFUNCTION("""COMPUTED_VALUE"""),57.0)</f>
        <v>57</v>
      </c>
      <c r="B417" t="str">
        <f>IFERROR(__xludf.DUMMYFUNCTION("""COMPUTED_VALUE"""),"TAA4070")</f>
        <v>TAA4070</v>
      </c>
      <c r="C417">
        <f>IFERROR(__xludf.DUMMYFUNCTION("""COMPUTED_VALUE"""),1007418.0)</f>
        <v>1007418</v>
      </c>
      <c r="D417" t="str">
        <f>IFERROR(__xludf.DUMMYFUNCTION("""COMPUTED_VALUE"""),"Ms.")</f>
        <v>Ms.</v>
      </c>
      <c r="E417" t="str">
        <f>IFERROR(__xludf.DUMMYFUNCTION("""COMPUTED_VALUE"""),"Nattaphat")</f>
        <v>Nattaphat</v>
      </c>
      <c r="F417" t="str">
        <f>IFERROR(__xludf.DUMMYFUNCTION("""COMPUTED_VALUE"""),"Boonprasit")</f>
        <v>Boonprasit</v>
      </c>
      <c r="G417" t="str">
        <f>IFERROR(__xludf.DUMMYFUNCTION("""COMPUTED_VALUE"""),"Nattaphat Boonprasit")</f>
        <v>Nattaphat Boonprasit</v>
      </c>
      <c r="H417" t="str">
        <f>IFERROR(__xludf.DUMMYFUNCTION("""COMPUTED_VALUE"""),"นางสาว")</f>
        <v>นางสาว</v>
      </c>
      <c r="I417" t="str">
        <f>IFERROR(__xludf.DUMMYFUNCTION("""COMPUTED_VALUE"""),"ณัฏฐพัชร์")</f>
        <v>ณัฏฐพัชร์</v>
      </c>
      <c r="J417" t="str">
        <f>IFERROR(__xludf.DUMMYFUNCTION("""COMPUTED_VALUE"""),"บุญประสิทธิ์")</f>
        <v>บุญประสิทธิ์</v>
      </c>
      <c r="K417" t="str">
        <f>IFERROR(__xludf.DUMMYFUNCTION("""COMPUTED_VALUE"""),"ณัฏฐพัชร์ บุญประสิทธิ์")</f>
        <v>ณัฏฐพัชร์ บุญประสิทธิ์</v>
      </c>
      <c r="L417" t="str">
        <f>IFERROR(__xludf.DUMMYFUNCTION("""COMPUTED_VALUE"""),"Rose")</f>
        <v>Rose</v>
      </c>
      <c r="M417" t="str">
        <f>IFERROR(__xludf.DUMMYFUNCTION("""COMPUTED_VALUE"""),"Cabin Crew")</f>
        <v>Cabin Crew</v>
      </c>
      <c r="N417" t="str">
        <f>IFERROR(__xludf.DUMMYFUNCTION("""COMPUTED_VALUE"""),"DMK")</f>
        <v>DMK</v>
      </c>
      <c r="O417" s="145" t="str">
        <f>IFERROR(__xludf.DUMMYFUNCTION("""COMPUTED_VALUE"""),"Kor Home")</f>
        <v>Kor Home</v>
      </c>
      <c r="P417" t="str">
        <f>IFERROR(__xludf.DUMMYFUNCTION("""COMPUTED_VALUE"""),"Active")</f>
        <v>Active</v>
      </c>
      <c r="R417" s="143">
        <f>IFERROR(__xludf.DUMMYFUNCTION("""COMPUTED_VALUE"""),31092.0)</f>
        <v>31092</v>
      </c>
      <c r="S417" s="146" t="str">
        <f>IFERROR(__xludf.DUMMYFUNCTION("""COMPUTED_VALUE"""),"097 294 4241")</f>
        <v>097 294 4241</v>
      </c>
      <c r="T417" s="147">
        <f>IFERROR(__xludf.DUMMYFUNCTION("""COMPUTED_VALUE"""),1.209900007634E12)</f>
        <v>1209900007634</v>
      </c>
      <c r="U417" t="str">
        <f>IFERROR(__xludf.DUMMYFUNCTION("""COMPUTED_VALUE"""),"AC2624383")</f>
        <v>AC2624383</v>
      </c>
      <c r="V417" s="148">
        <f>IFERROR(__xludf.DUMMYFUNCTION("""COMPUTED_VALUE"""),44546.0)</f>
        <v>44546</v>
      </c>
      <c r="W417" s="148">
        <f>IFERROR(__xludf.DUMMYFUNCTION("""COMPUTED_VALUE"""),48197.0)</f>
        <v>48197</v>
      </c>
      <c r="X417" s="149">
        <f>IFERROR(__xludf.DUMMYFUNCTION("""COMPUTED_VALUE"""),48014.0)</f>
        <v>48014</v>
      </c>
      <c r="Y417" t="str">
        <f>IFERROR(__xludf.DUMMYFUNCTION("""COMPUTED_VALUE"""),"ปลอดภัย")</f>
        <v>ปลอดภัย</v>
      </c>
      <c r="Z417" t="str">
        <f>IFERROR(__xludf.DUMMYFUNCTION("""COMPUTED_VALUE"""),"Chonburi Province")</f>
        <v>Chonburi Province</v>
      </c>
      <c r="AA417" t="str">
        <f>IFERROR(__xludf.DUMMYFUNCTION("""COMPUTED_VALUE"""),"Chonburi")</f>
        <v>Chonburi</v>
      </c>
      <c r="AB417" t="str">
        <f>IFERROR(__xludf.DUMMYFUNCTION("""COMPUTED_VALUE"""),"089 206 4974")</f>
        <v>089 206 4974</v>
      </c>
      <c r="AC417" t="str">
        <f>IFERROR(__xludf.DUMMYFUNCTION("""COMPUTED_VALUE"""),"Relative")</f>
        <v>Relative</v>
      </c>
      <c r="AD417" t="str">
        <f>IFERROR(__xludf.DUMMYFUNCTION("""COMPUTED_VALUE"""),"nattaphatb@airasia.com")</f>
        <v>nattaphatb@airasia.com</v>
      </c>
    </row>
    <row r="418">
      <c r="A418" s="142">
        <f>IFERROR(__xludf.DUMMYFUNCTION("""COMPUTED_VALUE"""),57.0)</f>
        <v>57</v>
      </c>
      <c r="B418" t="str">
        <f>IFERROR(__xludf.DUMMYFUNCTION("""COMPUTED_VALUE"""),"TAA4077")</f>
        <v>TAA4077</v>
      </c>
      <c r="C418">
        <f>IFERROR(__xludf.DUMMYFUNCTION("""COMPUTED_VALUE"""),1007419.0)</f>
        <v>1007419</v>
      </c>
      <c r="D418" t="str">
        <f>IFERROR(__xludf.DUMMYFUNCTION("""COMPUTED_VALUE"""),"Ms.")</f>
        <v>Ms.</v>
      </c>
      <c r="E418" t="str">
        <f>IFERROR(__xludf.DUMMYFUNCTION("""COMPUTED_VALUE"""),"Onwara")</f>
        <v>Onwara</v>
      </c>
      <c r="F418" t="str">
        <f>IFERROR(__xludf.DUMMYFUNCTION("""COMPUTED_VALUE"""),"Chongwijitkul")</f>
        <v>Chongwijitkul</v>
      </c>
      <c r="G418" t="str">
        <f>IFERROR(__xludf.DUMMYFUNCTION("""COMPUTED_VALUE"""),"Onwara Chongwijitkul")</f>
        <v>Onwara Chongwijitkul</v>
      </c>
      <c r="H418" t="str">
        <f>IFERROR(__xludf.DUMMYFUNCTION("""COMPUTED_VALUE"""),"นางสาว")</f>
        <v>นางสาว</v>
      </c>
      <c r="I418" t="str">
        <f>IFERROR(__xludf.DUMMYFUNCTION("""COMPUTED_VALUE"""),"อรวรา")</f>
        <v>อรวรา</v>
      </c>
      <c r="J418" t="str">
        <f>IFERROR(__xludf.DUMMYFUNCTION("""COMPUTED_VALUE"""),"จองวิจิตรกุล")</f>
        <v>จองวิจิตรกุล</v>
      </c>
      <c r="K418" t="str">
        <f>IFERROR(__xludf.DUMMYFUNCTION("""COMPUTED_VALUE"""),"อรวรา จองวิจิตรกุล")</f>
        <v>อรวรา จองวิจิตรกุล</v>
      </c>
      <c r="L418" t="str">
        <f>IFERROR(__xludf.DUMMYFUNCTION("""COMPUTED_VALUE"""),"Miew")</f>
        <v>Miew</v>
      </c>
      <c r="M418" t="str">
        <f>IFERROR(__xludf.DUMMYFUNCTION("""COMPUTED_VALUE"""),"Cabin Crew - CNX")</f>
        <v>Cabin Crew - CNX</v>
      </c>
      <c r="N418" t="str">
        <f>IFERROR(__xludf.DUMMYFUNCTION("""COMPUTED_VALUE"""),"CNX")</f>
        <v>CNX</v>
      </c>
      <c r="O418" s="145" t="str">
        <f>IFERROR(__xludf.DUMMYFUNCTION("""COMPUTED_VALUE"""),"Up Home")</f>
        <v>Up Home</v>
      </c>
      <c r="P418" t="str">
        <f>IFERROR(__xludf.DUMMYFUNCTION("""COMPUTED_VALUE"""),"Active")</f>
        <v>Active</v>
      </c>
      <c r="R418" s="143">
        <f>IFERROR(__xludf.DUMMYFUNCTION("""COMPUTED_VALUE"""),32411.0)</f>
        <v>32411</v>
      </c>
      <c r="S418" s="146" t="str">
        <f>IFERROR(__xludf.DUMMYFUNCTION("""COMPUTED_VALUE"""),"092 992 9811")</f>
        <v>092 992 9811</v>
      </c>
      <c r="T418" s="147">
        <f>IFERROR(__xludf.DUMMYFUNCTION("""COMPUTED_VALUE"""),1.509900652111E12)</f>
        <v>1509900652111</v>
      </c>
      <c r="U418" t="str">
        <f>IFERROR(__xludf.DUMMYFUNCTION("""COMPUTED_VALUE"""),"AC2587257")</f>
        <v>AC2587257</v>
      </c>
      <c r="V418" s="148">
        <f>IFERROR(__xludf.DUMMYFUNCTION("""COMPUTED_VALUE"""),44669.0)</f>
        <v>44669</v>
      </c>
      <c r="W418" s="148">
        <f>IFERROR(__xludf.DUMMYFUNCTION("""COMPUTED_VALUE"""),48321.0)</f>
        <v>48321</v>
      </c>
      <c r="X418" s="149">
        <f>IFERROR(__xludf.DUMMYFUNCTION("""COMPUTED_VALUE"""),48138.0)</f>
        <v>48138</v>
      </c>
      <c r="Y418" t="str">
        <f>IFERROR(__xludf.DUMMYFUNCTION("""COMPUTED_VALUE"""),"ปลอดภัย")</f>
        <v>ปลอดภัย</v>
      </c>
      <c r="Z418" t="str">
        <f>IFERROR(__xludf.DUMMYFUNCTION("""COMPUTED_VALUE"""),"Chiang Mai Province")</f>
        <v>Chiang Mai Province</v>
      </c>
      <c r="AA418" t="str">
        <f>IFERROR(__xludf.DUMMYFUNCTION("""COMPUTED_VALUE"""),"Chiang Mai")</f>
        <v>Chiang Mai</v>
      </c>
      <c r="AB418" t="str">
        <f>IFERROR(__xludf.DUMMYFUNCTION("""COMPUTED_VALUE"""),"082 180 4705")</f>
        <v>082 180 4705</v>
      </c>
      <c r="AC418" t="str">
        <f>IFERROR(__xludf.DUMMYFUNCTION("""COMPUTED_VALUE"""),"Mother")</f>
        <v>Mother</v>
      </c>
      <c r="AD418" t="str">
        <f>IFERROR(__xludf.DUMMYFUNCTION("""COMPUTED_VALUE"""),"onwarac@airasia.com")</f>
        <v>onwarac@airasia.com</v>
      </c>
    </row>
    <row r="419">
      <c r="A419" s="142">
        <f>IFERROR(__xludf.DUMMYFUNCTION("""COMPUTED_VALUE"""),57.0)</f>
        <v>57</v>
      </c>
      <c r="B419" t="str">
        <f>IFERROR(__xludf.DUMMYFUNCTION("""COMPUTED_VALUE"""),"TAA4078")</f>
        <v>TAA4078</v>
      </c>
      <c r="C419">
        <f>IFERROR(__xludf.DUMMYFUNCTION("""COMPUTED_VALUE"""),1007420.0)</f>
        <v>1007420</v>
      </c>
      <c r="D419" t="str">
        <f>IFERROR(__xludf.DUMMYFUNCTION("""COMPUTED_VALUE"""),"Ms.")</f>
        <v>Ms.</v>
      </c>
      <c r="E419" t="str">
        <f>IFERROR(__xludf.DUMMYFUNCTION("""COMPUTED_VALUE"""),"Parissara")</f>
        <v>Parissara</v>
      </c>
      <c r="F419" t="str">
        <f>IFERROR(__xludf.DUMMYFUNCTION("""COMPUTED_VALUE"""),"Visessmit")</f>
        <v>Visessmit</v>
      </c>
      <c r="G419" t="str">
        <f>IFERROR(__xludf.DUMMYFUNCTION("""COMPUTED_VALUE"""),"Parissara Visessmit")</f>
        <v>Parissara Visessmit</v>
      </c>
      <c r="H419" t="str">
        <f>IFERROR(__xludf.DUMMYFUNCTION("""COMPUTED_VALUE"""),"นางสาว")</f>
        <v>นางสาว</v>
      </c>
      <c r="I419" t="str">
        <f>IFERROR(__xludf.DUMMYFUNCTION("""COMPUTED_VALUE"""),"พริสรา")</f>
        <v>พริสรา</v>
      </c>
      <c r="J419" t="str">
        <f>IFERROR(__xludf.DUMMYFUNCTION("""COMPUTED_VALUE"""),"วิเศษสมิต")</f>
        <v>วิเศษสมิต</v>
      </c>
      <c r="K419" t="str">
        <f>IFERROR(__xludf.DUMMYFUNCTION("""COMPUTED_VALUE"""),"พริสรา วิเศษสมิต")</f>
        <v>พริสรา วิเศษสมิต</v>
      </c>
      <c r="L419" t="str">
        <f>IFERROR(__xludf.DUMMYFUNCTION("""COMPUTED_VALUE"""),"New")</f>
        <v>New</v>
      </c>
      <c r="M419" t="str">
        <f>IFERROR(__xludf.DUMMYFUNCTION("""COMPUTED_VALUE"""),"Cabin Crew")</f>
        <v>Cabin Crew</v>
      </c>
      <c r="N419" t="str">
        <f>IFERROR(__xludf.DUMMYFUNCTION("""COMPUTED_VALUE"""),"DMK")</f>
        <v>DMK</v>
      </c>
      <c r="O419" s="145" t="str">
        <f>IFERROR(__xludf.DUMMYFUNCTION("""COMPUTED_VALUE"""),"Por+ Home")</f>
        <v>Por+ Home</v>
      </c>
      <c r="P419" t="str">
        <f>IFERROR(__xludf.DUMMYFUNCTION("""COMPUTED_VALUE"""),"Active")</f>
        <v>Active</v>
      </c>
      <c r="R419" s="143">
        <f>IFERROR(__xludf.DUMMYFUNCTION("""COMPUTED_VALUE"""),32378.0)</f>
        <v>32378</v>
      </c>
      <c r="S419" s="146" t="str">
        <f>IFERROR(__xludf.DUMMYFUNCTION("""COMPUTED_VALUE"""),"087 943 4498")</f>
        <v>087 943 4498</v>
      </c>
      <c r="T419" s="147">
        <f>IFERROR(__xludf.DUMMYFUNCTION("""COMPUTED_VALUE"""),1.100700889334E12)</f>
        <v>1100700889334</v>
      </c>
      <c r="U419" t="str">
        <f>IFERROR(__xludf.DUMMYFUNCTION("""COMPUTED_VALUE"""),"AC2972263")</f>
        <v>AC2972263</v>
      </c>
      <c r="V419" s="148">
        <f>IFERROR(__xludf.DUMMYFUNCTION("""COMPUTED_VALUE"""),44644.0)</f>
        <v>44644</v>
      </c>
      <c r="W419" s="148">
        <f>IFERROR(__xludf.DUMMYFUNCTION("""COMPUTED_VALUE"""),48296.0)</f>
        <v>48296</v>
      </c>
      <c r="X419" s="149">
        <f>IFERROR(__xludf.DUMMYFUNCTION("""COMPUTED_VALUE"""),48114.0)</f>
        <v>48114</v>
      </c>
      <c r="Y419" t="str">
        <f>IFERROR(__xludf.DUMMYFUNCTION("""COMPUTED_VALUE"""),"ปลอดภัย")</f>
        <v>ปลอดภัย</v>
      </c>
      <c r="Z419" t="str">
        <f>IFERROR(__xludf.DUMMYFUNCTION("""COMPUTED_VALUE"""),"Bangkok")</f>
        <v>Bangkok</v>
      </c>
      <c r="AA419" t="str">
        <f>IFERROR(__xludf.DUMMYFUNCTION("""COMPUTED_VALUE"""),"Bangsue")</f>
        <v>Bangsue</v>
      </c>
      <c r="AB419" t="str">
        <f>IFERROR(__xludf.DUMMYFUNCTION("""COMPUTED_VALUE"""),"02 586 8058 / 081 425 9988")</f>
        <v>02 586 8058 / 081 425 9988</v>
      </c>
      <c r="AC419" t="str">
        <f>IFERROR(__xludf.DUMMYFUNCTION("""COMPUTED_VALUE"""),"Home / Father")</f>
        <v>Home / Father</v>
      </c>
      <c r="AD419" t="str">
        <f>IFERROR(__xludf.DUMMYFUNCTION("""COMPUTED_VALUE"""),"parissarav@airasia.com")</f>
        <v>parissarav@airasia.com</v>
      </c>
    </row>
    <row r="420">
      <c r="A420" s="142">
        <f>IFERROR(__xludf.DUMMYFUNCTION("""COMPUTED_VALUE"""),57.0)</f>
        <v>57</v>
      </c>
      <c r="B420" t="str">
        <f>IFERROR(__xludf.DUMMYFUNCTION("""COMPUTED_VALUE"""),"TAA4082")</f>
        <v>TAA4082</v>
      </c>
      <c r="C420">
        <f>IFERROR(__xludf.DUMMYFUNCTION("""COMPUTED_VALUE"""),1007423.0)</f>
        <v>1007423</v>
      </c>
      <c r="D420" t="str">
        <f>IFERROR(__xludf.DUMMYFUNCTION("""COMPUTED_VALUE"""),"Mr.")</f>
        <v>Mr.</v>
      </c>
      <c r="E420" t="str">
        <f>IFERROR(__xludf.DUMMYFUNCTION("""COMPUTED_VALUE"""),"Satawat")</f>
        <v>Satawat</v>
      </c>
      <c r="F420" t="str">
        <f>IFERROR(__xludf.DUMMYFUNCTION("""COMPUTED_VALUE"""),"Laohasereekul")</f>
        <v>Laohasereekul</v>
      </c>
      <c r="G420" t="str">
        <f>IFERROR(__xludf.DUMMYFUNCTION("""COMPUTED_VALUE"""),"Satawat Laohasereekul")</f>
        <v>Satawat Laohasereekul</v>
      </c>
      <c r="H420" t="str">
        <f>IFERROR(__xludf.DUMMYFUNCTION("""COMPUTED_VALUE"""),"นาย")</f>
        <v>นาย</v>
      </c>
      <c r="I420" t="str">
        <f>IFERROR(__xludf.DUMMYFUNCTION("""COMPUTED_VALUE"""),"ศตวรรษ")</f>
        <v>ศตวรรษ</v>
      </c>
      <c r="J420" t="str">
        <f>IFERROR(__xludf.DUMMYFUNCTION("""COMPUTED_VALUE"""),"เลาหเสรีกุล")</f>
        <v>เลาหเสรีกุล</v>
      </c>
      <c r="K420" t="str">
        <f>IFERROR(__xludf.DUMMYFUNCTION("""COMPUTED_VALUE"""),"ศตวรรษ เลาหเสรีกุล")</f>
        <v>ศตวรรษ เลาหเสรีกุล</v>
      </c>
      <c r="L420" t="str">
        <f>IFERROR(__xludf.DUMMYFUNCTION("""COMPUTED_VALUE"""),"Note")</f>
        <v>Note</v>
      </c>
      <c r="M420" t="str">
        <f>IFERROR(__xludf.DUMMYFUNCTION("""COMPUTED_VALUE"""),"Cabin Crew")</f>
        <v>Cabin Crew</v>
      </c>
      <c r="N420" t="str">
        <f>IFERROR(__xludf.DUMMYFUNCTION("""COMPUTED_VALUE"""),"DMK")</f>
        <v>DMK</v>
      </c>
      <c r="O420" s="145" t="str">
        <f>IFERROR(__xludf.DUMMYFUNCTION("""COMPUTED_VALUE"""),"Um Home")</f>
        <v>Um Home</v>
      </c>
      <c r="P420" t="str">
        <f>IFERROR(__xludf.DUMMYFUNCTION("""COMPUTED_VALUE"""),"Active")</f>
        <v>Active</v>
      </c>
      <c r="R420" s="143">
        <f>IFERROR(__xludf.DUMMYFUNCTION("""COMPUTED_VALUE"""),32587.0)</f>
        <v>32587</v>
      </c>
      <c r="S420" s="146" t="str">
        <f>IFERROR(__xludf.DUMMYFUNCTION("""COMPUTED_VALUE"""),"083 577 7935")</f>
        <v>083 577 7935</v>
      </c>
      <c r="T420" s="147">
        <f>IFERROR(__xludf.DUMMYFUNCTION("""COMPUTED_VALUE"""),1.509900716276E12)</f>
        <v>1509900716276</v>
      </c>
      <c r="U420" t="str">
        <f>IFERROR(__xludf.DUMMYFUNCTION("""COMPUTED_VALUE"""),"AD1117346")</f>
        <v>AD1117346</v>
      </c>
      <c r="V420" s="148">
        <f>IFERROR(__xludf.DUMMYFUNCTION("""COMPUTED_VALUE"""),45110.0)</f>
        <v>45110</v>
      </c>
      <c r="W420" s="148">
        <f>IFERROR(__xludf.DUMMYFUNCTION("""COMPUTED_VALUE"""),48762.0)</f>
        <v>48762</v>
      </c>
      <c r="X420" s="149">
        <f>IFERROR(__xludf.DUMMYFUNCTION("""COMPUTED_VALUE"""),48581.0)</f>
        <v>48581</v>
      </c>
      <c r="Y420" t="str">
        <f>IFERROR(__xludf.DUMMYFUNCTION("""COMPUTED_VALUE"""),"ปลอดภัย")</f>
        <v>ปลอดภัย</v>
      </c>
      <c r="Z420" t="str">
        <f>IFERROR(__xludf.DUMMYFUNCTION("""COMPUTED_VALUE"""),"Chiang Mai Province")</f>
        <v>Chiang Mai Province</v>
      </c>
      <c r="AA420" t="str">
        <f>IFERROR(__xludf.DUMMYFUNCTION("""COMPUTED_VALUE"""),"Chiang Mai")</f>
        <v>Chiang Mai</v>
      </c>
      <c r="AB420" t="str">
        <f>IFERROR(__xludf.DUMMYFUNCTION("""COMPUTED_VALUE"""),"081 168 9152")</f>
        <v>081 168 9152</v>
      </c>
      <c r="AC420" t="str">
        <f>IFERROR(__xludf.DUMMYFUNCTION("""COMPUTED_VALUE"""),"Relative")</f>
        <v>Relative</v>
      </c>
      <c r="AD420" t="str">
        <f>IFERROR(__xludf.DUMMYFUNCTION("""COMPUTED_VALUE"""),"satawatl@airasia.com")</f>
        <v>satawatl@airasia.com</v>
      </c>
    </row>
    <row r="421">
      <c r="A421" s="142">
        <f>IFERROR(__xludf.DUMMYFUNCTION("""COMPUTED_VALUE"""),57.0)</f>
        <v>57</v>
      </c>
      <c r="B421" t="str">
        <f>IFERROR(__xludf.DUMMYFUNCTION("""COMPUTED_VALUE"""),"TAA4083")</f>
        <v>TAA4083</v>
      </c>
      <c r="C421">
        <f>IFERROR(__xludf.DUMMYFUNCTION("""COMPUTED_VALUE"""),1007426.0)</f>
        <v>1007426</v>
      </c>
      <c r="D421" t="str">
        <f>IFERROR(__xludf.DUMMYFUNCTION("""COMPUTED_VALUE"""),"Ms.")</f>
        <v>Ms.</v>
      </c>
      <c r="E421" t="str">
        <f>IFERROR(__xludf.DUMMYFUNCTION("""COMPUTED_VALUE"""),"Tullaya")</f>
        <v>Tullaya</v>
      </c>
      <c r="F421" t="str">
        <f>IFERROR(__xludf.DUMMYFUNCTION("""COMPUTED_VALUE"""),"Bunnag")</f>
        <v>Bunnag</v>
      </c>
      <c r="G421" t="str">
        <f>IFERROR(__xludf.DUMMYFUNCTION("""COMPUTED_VALUE"""),"Tullaya Bunnag")</f>
        <v>Tullaya Bunnag</v>
      </c>
      <c r="H421" t="str">
        <f>IFERROR(__xludf.DUMMYFUNCTION("""COMPUTED_VALUE"""),"นางสาว")</f>
        <v>นางสาว</v>
      </c>
      <c r="I421" t="str">
        <f>IFERROR(__xludf.DUMMYFUNCTION("""COMPUTED_VALUE"""),"ตุลย์ยา")</f>
        <v>ตุลย์ยา</v>
      </c>
      <c r="J421" t="str">
        <f>IFERROR(__xludf.DUMMYFUNCTION("""COMPUTED_VALUE"""),"บุนนาค")</f>
        <v>บุนนาค</v>
      </c>
      <c r="K421" t="str">
        <f>IFERROR(__xludf.DUMMYFUNCTION("""COMPUTED_VALUE"""),"ตุลย์ยา บุนนาค")</f>
        <v>ตุลย์ยา บุนนาค</v>
      </c>
      <c r="L421" t="str">
        <f>IFERROR(__xludf.DUMMYFUNCTION("""COMPUTED_VALUE"""),"Toon")</f>
        <v>Toon</v>
      </c>
      <c r="M421" t="str">
        <f>IFERROR(__xludf.DUMMYFUNCTION("""COMPUTED_VALUE"""),"Cabin Crew - BKK")</f>
        <v>Cabin Crew - BKK</v>
      </c>
      <c r="N421" t="str">
        <f>IFERROR(__xludf.DUMMYFUNCTION("""COMPUTED_VALUE"""),"BKK")</f>
        <v>BKK</v>
      </c>
      <c r="O421" s="145" t="str">
        <f>IFERROR(__xludf.DUMMYFUNCTION("""COMPUTED_VALUE"""),"Nhui Home")</f>
        <v>Nhui Home</v>
      </c>
      <c r="P421" t="str">
        <f>IFERROR(__xludf.DUMMYFUNCTION("""COMPUTED_VALUE"""),"Active")</f>
        <v>Active</v>
      </c>
      <c r="R421" s="143">
        <f>IFERROR(__xludf.DUMMYFUNCTION("""COMPUTED_VALUE"""),32077.0)</f>
        <v>32077</v>
      </c>
      <c r="S421" s="146" t="str">
        <f>IFERROR(__xludf.DUMMYFUNCTION("""COMPUTED_VALUE"""),"081 949 4126")</f>
        <v>081 949 4126</v>
      </c>
      <c r="T421" s="147">
        <f>IFERROR(__xludf.DUMMYFUNCTION("""COMPUTED_VALUE"""),1.100500228741E12)</f>
        <v>1100500228741</v>
      </c>
      <c r="U421" t="str">
        <f>IFERROR(__xludf.DUMMYFUNCTION("""COMPUTED_VALUE"""),"AC6731527")</f>
        <v>AC6731527</v>
      </c>
      <c r="V421" s="148">
        <f>IFERROR(__xludf.DUMMYFUNCTION("""COMPUTED_VALUE"""),45414.0)</f>
        <v>45414</v>
      </c>
      <c r="W421" s="148">
        <f>IFERROR(__xludf.DUMMYFUNCTION("""COMPUTED_VALUE"""),49065.0)</f>
        <v>49065</v>
      </c>
      <c r="X421" s="149">
        <f>IFERROR(__xludf.DUMMYFUNCTION("""COMPUTED_VALUE"""),48884.0)</f>
        <v>48884</v>
      </c>
      <c r="Y421" t="str">
        <f>IFERROR(__xludf.DUMMYFUNCTION("""COMPUTED_VALUE"""),"ปลอดภัย")</f>
        <v>ปลอดภัย</v>
      </c>
      <c r="Z421" t="str">
        <f>IFERROR(__xludf.DUMMYFUNCTION("""COMPUTED_VALUE"""),"Bangkok")</f>
        <v>Bangkok</v>
      </c>
      <c r="AA421" t="str">
        <f>IFERROR(__xludf.DUMMYFUNCTION("""COMPUTED_VALUE"""),"Suwinthawong")</f>
        <v>Suwinthawong</v>
      </c>
      <c r="AB421" t="str">
        <f>IFERROR(__xludf.DUMMYFUNCTION("""COMPUTED_VALUE"""),"02 956 6014 / 086 814 5665")</f>
        <v>02 956 6014 / 086 814 5665</v>
      </c>
      <c r="AC421" t="str">
        <f>IFERROR(__xludf.DUMMYFUNCTION("""COMPUTED_VALUE"""),"Home / Relative")</f>
        <v>Home / Relative</v>
      </c>
      <c r="AD421" t="str">
        <f>IFERROR(__xludf.DUMMYFUNCTION("""COMPUTED_VALUE"""),"tullayab@airasia.com")</f>
        <v>tullayab@airasia.com</v>
      </c>
    </row>
    <row r="422">
      <c r="A422" s="142">
        <f>IFERROR(__xludf.DUMMYFUNCTION("""COMPUTED_VALUE"""),57.0)</f>
        <v>57</v>
      </c>
      <c r="B422" t="str">
        <f>IFERROR(__xludf.DUMMYFUNCTION("""COMPUTED_VALUE"""),"TAA4071")</f>
        <v>TAA4071</v>
      </c>
      <c r="C422">
        <f>IFERROR(__xludf.DUMMYFUNCTION("""COMPUTED_VALUE"""),1007427.0)</f>
        <v>1007427</v>
      </c>
      <c r="D422" t="str">
        <f>IFERROR(__xludf.DUMMYFUNCTION("""COMPUTED_VALUE"""),"Mr.")</f>
        <v>Mr.</v>
      </c>
      <c r="E422" t="str">
        <f>IFERROR(__xludf.DUMMYFUNCTION("""COMPUTED_VALUE"""),"Warasit")</f>
        <v>Warasit</v>
      </c>
      <c r="F422" t="str">
        <f>IFERROR(__xludf.DUMMYFUNCTION("""COMPUTED_VALUE"""),"Rittiruechaikul")</f>
        <v>Rittiruechaikul</v>
      </c>
      <c r="G422" t="str">
        <f>IFERROR(__xludf.DUMMYFUNCTION("""COMPUTED_VALUE"""),"Warasit Rittiruechaikul")</f>
        <v>Warasit Rittiruechaikul</v>
      </c>
      <c r="H422" t="str">
        <f>IFERROR(__xludf.DUMMYFUNCTION("""COMPUTED_VALUE"""),"นาย")</f>
        <v>นาย</v>
      </c>
      <c r="I422" t="str">
        <f>IFERROR(__xludf.DUMMYFUNCTION("""COMPUTED_VALUE"""),"วราสิทธิ์")</f>
        <v>วราสิทธิ์</v>
      </c>
      <c r="J422" t="str">
        <f>IFERROR(__xludf.DUMMYFUNCTION("""COMPUTED_VALUE"""),"ฤทธิฤาชัยกุล")</f>
        <v>ฤทธิฤาชัยกุล</v>
      </c>
      <c r="K422" t="str">
        <f>IFERROR(__xludf.DUMMYFUNCTION("""COMPUTED_VALUE"""),"วราสิทธิ์ ฤทธิฤาชัยกุล")</f>
        <v>วราสิทธิ์ ฤทธิฤาชัยกุล</v>
      </c>
      <c r="L422" t="str">
        <f>IFERROR(__xludf.DUMMYFUNCTION("""COMPUTED_VALUE"""),"Top")</f>
        <v>Top</v>
      </c>
      <c r="M422" t="str">
        <f>IFERROR(__xludf.DUMMYFUNCTION("""COMPUTED_VALUE"""),"Senior Cabin Crew")</f>
        <v>Senior Cabin Crew</v>
      </c>
      <c r="N422" t="str">
        <f>IFERROR(__xludf.DUMMYFUNCTION("""COMPUTED_VALUE"""),"DMK")</f>
        <v>DMK</v>
      </c>
      <c r="O422" s="145" t="str">
        <f>IFERROR(__xludf.DUMMYFUNCTION("""COMPUTED_VALUE"""),"Por+ Home")</f>
        <v>Por+ Home</v>
      </c>
      <c r="P422" t="str">
        <f>IFERROR(__xludf.DUMMYFUNCTION("""COMPUTED_VALUE"""),"Active")</f>
        <v>Active</v>
      </c>
      <c r="R422" s="143">
        <f>IFERROR(__xludf.DUMMYFUNCTION("""COMPUTED_VALUE"""),31388.0)</f>
        <v>31388</v>
      </c>
      <c r="S422" s="146" t="str">
        <f>IFERROR(__xludf.DUMMYFUNCTION("""COMPUTED_VALUE"""),"087 711 2588")</f>
        <v>087 711 2588</v>
      </c>
      <c r="T422" s="147">
        <f>IFERROR(__xludf.DUMMYFUNCTION("""COMPUTED_VALUE"""),1.101400665474E12)</f>
        <v>1101400665474</v>
      </c>
      <c r="U422" t="str">
        <f>IFERROR(__xludf.DUMMYFUNCTION("""COMPUTED_VALUE"""),"AC2510990")</f>
        <v>AC2510990</v>
      </c>
      <c r="V422" s="148">
        <f>IFERROR(__xludf.DUMMYFUNCTION("""COMPUTED_VALUE"""),44524.0)</f>
        <v>44524</v>
      </c>
      <c r="W422" s="148">
        <f>IFERROR(__xludf.DUMMYFUNCTION("""COMPUTED_VALUE"""),48175.0)</f>
        <v>48175</v>
      </c>
      <c r="X422" s="149">
        <f>IFERROR(__xludf.DUMMYFUNCTION("""COMPUTED_VALUE"""),47991.0)</f>
        <v>47991</v>
      </c>
      <c r="Y422" t="str">
        <f>IFERROR(__xludf.DUMMYFUNCTION("""COMPUTED_VALUE"""),"ปลอดภัย")</f>
        <v>ปลอดภัย</v>
      </c>
      <c r="Z422" t="str">
        <f>IFERROR(__xludf.DUMMYFUNCTION("""COMPUTED_VALUE"""),"Bangkok")</f>
        <v>Bangkok</v>
      </c>
      <c r="AA422" t="str">
        <f>IFERROR(__xludf.DUMMYFUNCTION("""COMPUTED_VALUE"""),"Samranrat")</f>
        <v>Samranrat</v>
      </c>
      <c r="AB422" t="str">
        <f>IFERROR(__xludf.DUMMYFUNCTION("""COMPUTED_VALUE"""),"02 878 6227 / 081 488 4974")</f>
        <v>02 878 6227 / 081 488 4974</v>
      </c>
      <c r="AC422" t="str">
        <f>IFERROR(__xludf.DUMMYFUNCTION("""COMPUTED_VALUE"""),"Home / Father")</f>
        <v>Home / Father</v>
      </c>
      <c r="AD422" t="str">
        <f>IFERROR(__xludf.DUMMYFUNCTION("""COMPUTED_VALUE"""),"warasitr@airasia.com")</f>
        <v>warasitr@airasia.com</v>
      </c>
    </row>
    <row r="423">
      <c r="A423" s="142">
        <f>IFERROR(__xludf.DUMMYFUNCTION("""COMPUTED_VALUE"""),57.0)</f>
        <v>57</v>
      </c>
      <c r="B423" t="str">
        <f>IFERROR(__xludf.DUMMYFUNCTION("""COMPUTED_VALUE"""),"TAA4069")</f>
        <v>TAA4069</v>
      </c>
      <c r="C423">
        <f>IFERROR(__xludf.DUMMYFUNCTION("""COMPUTED_VALUE"""),1007428.0)</f>
        <v>1007428</v>
      </c>
      <c r="D423" t="str">
        <f>IFERROR(__xludf.DUMMYFUNCTION("""COMPUTED_VALUE"""),"Ms.")</f>
        <v>Ms.</v>
      </c>
      <c r="E423" t="str">
        <f>IFERROR(__xludf.DUMMYFUNCTION("""COMPUTED_VALUE"""),"Watcharaporn")</f>
        <v>Watcharaporn</v>
      </c>
      <c r="F423" t="str">
        <f>IFERROR(__xludf.DUMMYFUNCTION("""COMPUTED_VALUE"""),"Chancharoen")</f>
        <v>Chancharoen</v>
      </c>
      <c r="G423" t="str">
        <f>IFERROR(__xludf.DUMMYFUNCTION("""COMPUTED_VALUE"""),"Watcharaporn Chancharoen")</f>
        <v>Watcharaporn Chancharoen</v>
      </c>
      <c r="H423" t="str">
        <f>IFERROR(__xludf.DUMMYFUNCTION("""COMPUTED_VALUE"""),"นางสาว")</f>
        <v>นางสาว</v>
      </c>
      <c r="I423" t="str">
        <f>IFERROR(__xludf.DUMMYFUNCTION("""COMPUTED_VALUE"""),"วัชราภรณ์")</f>
        <v>วัชราภรณ์</v>
      </c>
      <c r="J423" t="str">
        <f>IFERROR(__xludf.DUMMYFUNCTION("""COMPUTED_VALUE"""),"ชั้นเจริญ")</f>
        <v>ชั้นเจริญ</v>
      </c>
      <c r="K423" t="str">
        <f>IFERROR(__xludf.DUMMYFUNCTION("""COMPUTED_VALUE"""),"วัชราภรณ์ ชั้นเจริญ")</f>
        <v>วัชราภรณ์ ชั้นเจริญ</v>
      </c>
      <c r="L423" t="str">
        <f>IFERROR(__xludf.DUMMYFUNCTION("""COMPUTED_VALUE"""),"May")</f>
        <v>May</v>
      </c>
      <c r="M423" t="str">
        <f>IFERROR(__xludf.DUMMYFUNCTION("""COMPUTED_VALUE"""),"Cabin Crew - BKK")</f>
        <v>Cabin Crew - BKK</v>
      </c>
      <c r="N423" t="str">
        <f>IFERROR(__xludf.DUMMYFUNCTION("""COMPUTED_VALUE"""),"BKK")</f>
        <v>BKK</v>
      </c>
      <c r="O423" s="145" t="str">
        <f>IFERROR(__xludf.DUMMYFUNCTION("""COMPUTED_VALUE"""),"Nhui Home")</f>
        <v>Nhui Home</v>
      </c>
      <c r="P423" t="str">
        <f>IFERROR(__xludf.DUMMYFUNCTION("""COMPUTED_VALUE"""),"Active")</f>
        <v>Active</v>
      </c>
      <c r="R423" s="143">
        <f>IFERROR(__xludf.DUMMYFUNCTION("""COMPUTED_VALUE"""),32995.0)</f>
        <v>32995</v>
      </c>
      <c r="S423" s="146" t="str">
        <f>IFERROR(__xludf.DUMMYFUNCTION("""COMPUTED_VALUE"""),"084 438 4246")</f>
        <v>084 438 4246</v>
      </c>
      <c r="T423" s="147">
        <f>IFERROR(__xludf.DUMMYFUNCTION("""COMPUTED_VALUE"""),1.103700119639E12)</f>
        <v>1103700119639</v>
      </c>
      <c r="U423" t="str">
        <f>IFERROR(__xludf.DUMMYFUNCTION("""COMPUTED_VALUE"""),"AC6730889")</f>
        <v>AC6730889</v>
      </c>
      <c r="V423" s="148">
        <f>IFERROR(__xludf.DUMMYFUNCTION("""COMPUTED_VALUE"""),45414.0)</f>
        <v>45414</v>
      </c>
      <c r="W423" s="148">
        <f>IFERROR(__xludf.DUMMYFUNCTION("""COMPUTED_VALUE"""),49065.0)</f>
        <v>49065</v>
      </c>
      <c r="X423" s="149">
        <f>IFERROR(__xludf.DUMMYFUNCTION("""COMPUTED_VALUE"""),48884.0)</f>
        <v>48884</v>
      </c>
      <c r="Y423" t="str">
        <f>IFERROR(__xludf.DUMMYFUNCTION("""COMPUTED_VALUE"""),"ปลอดภัย")</f>
        <v>ปลอดภัย</v>
      </c>
      <c r="Z423" t="str">
        <f>IFERROR(__xludf.DUMMYFUNCTION("""COMPUTED_VALUE"""),"Bangkok")</f>
        <v>Bangkok</v>
      </c>
      <c r="AA423" t="str">
        <f>IFERROR(__xludf.DUMMYFUNCTION("""COMPUTED_VALUE"""),"Bangplee")</f>
        <v>Bangplee</v>
      </c>
      <c r="AB423" t="str">
        <f>IFERROR(__xludf.DUMMYFUNCTION("""COMPUTED_VALUE"""),"02 181 9060 / 089 814 3835")</f>
        <v>02 181 9060 / 089 814 3835</v>
      </c>
      <c r="AC423" t="str">
        <f>IFERROR(__xludf.DUMMYFUNCTION("""COMPUTED_VALUE"""),"Home / Relative")</f>
        <v>Home / Relative</v>
      </c>
      <c r="AD423" t="str">
        <f>IFERROR(__xludf.DUMMYFUNCTION("""COMPUTED_VALUE"""),"watcharapornc@airasia.com")</f>
        <v>watcharapornc@airasia.com</v>
      </c>
    </row>
    <row r="424">
      <c r="AD424" t="str">
        <f>IFERROR(__xludf.DUMMYFUNCTION("""COMPUTED_VALUE"""),"")</f>
        <v/>
      </c>
    </row>
    <row r="425">
      <c r="A425" s="142">
        <f>IFERROR(__xludf.DUMMYFUNCTION("""COMPUTED_VALUE"""),58.0)</f>
        <v>58</v>
      </c>
      <c r="B425" t="str">
        <f>IFERROR(__xludf.DUMMYFUNCTION("""COMPUTED_VALUE"""),"TAA4192")</f>
        <v>TAA4192</v>
      </c>
      <c r="C425">
        <f>IFERROR(__xludf.DUMMYFUNCTION("""COMPUTED_VALUE"""),1007260.0)</f>
        <v>1007260</v>
      </c>
      <c r="D425" t="str">
        <f>IFERROR(__xludf.DUMMYFUNCTION("""COMPUTED_VALUE"""),"Mr.")</f>
        <v>Mr.</v>
      </c>
      <c r="E425" t="str">
        <f>IFERROR(__xludf.DUMMYFUNCTION("""COMPUTED_VALUE"""),"Lunchakorn")</f>
        <v>Lunchakorn</v>
      </c>
      <c r="F425" t="str">
        <f>IFERROR(__xludf.DUMMYFUNCTION("""COMPUTED_VALUE"""),"Saengsiri")</f>
        <v>Saengsiri</v>
      </c>
      <c r="G425" t="str">
        <f>IFERROR(__xludf.DUMMYFUNCTION("""COMPUTED_VALUE"""),"Lunchakorn Saengsiri")</f>
        <v>Lunchakorn Saengsiri</v>
      </c>
      <c r="H425" t="str">
        <f>IFERROR(__xludf.DUMMYFUNCTION("""COMPUTED_VALUE"""),"นาย")</f>
        <v>นาย</v>
      </c>
      <c r="I425" t="str">
        <f>IFERROR(__xludf.DUMMYFUNCTION("""COMPUTED_VALUE"""),"ลัญฉกร")</f>
        <v>ลัญฉกร</v>
      </c>
      <c r="J425" t="str">
        <f>IFERROR(__xludf.DUMMYFUNCTION("""COMPUTED_VALUE"""),"แสงศิริ")</f>
        <v>แสงศิริ</v>
      </c>
      <c r="K425" t="str">
        <f>IFERROR(__xludf.DUMMYFUNCTION("""COMPUTED_VALUE"""),"ลัญฉกร แสงศิริ")</f>
        <v>ลัญฉกร แสงศิริ</v>
      </c>
      <c r="L425" t="str">
        <f>IFERROR(__xludf.DUMMYFUNCTION("""COMPUTED_VALUE"""),"โอ")</f>
        <v>โอ</v>
      </c>
      <c r="M425" t="str">
        <f>IFERROR(__xludf.DUMMYFUNCTION("""COMPUTED_VALUE"""),"Senior Cabin Crew")</f>
        <v>Senior Cabin Crew</v>
      </c>
      <c r="N425" t="str">
        <f>IFERROR(__xludf.DUMMYFUNCTION("""COMPUTED_VALUE"""),"DMK")</f>
        <v>DMK</v>
      </c>
      <c r="O425" s="145" t="str">
        <f>IFERROR(__xludf.DUMMYFUNCTION("""COMPUTED_VALUE"""),"Kor Home")</f>
        <v>Kor Home</v>
      </c>
      <c r="P425" t="str">
        <f>IFERROR(__xludf.DUMMYFUNCTION("""COMPUTED_VALUE"""),"Active")</f>
        <v>Active</v>
      </c>
      <c r="R425" s="143">
        <f>IFERROR(__xludf.DUMMYFUNCTION("""COMPUTED_VALUE"""),31173.0)</f>
        <v>31173</v>
      </c>
      <c r="S425" s="146" t="str">
        <f>IFERROR(__xludf.DUMMYFUNCTION("""COMPUTED_VALUE"""),"090 442 4425")</f>
        <v>090 442 4425</v>
      </c>
      <c r="T425" s="147">
        <f>IFERROR(__xludf.DUMMYFUNCTION("""COMPUTED_VALUE"""),1.102000254672E12)</f>
        <v>1102000254672</v>
      </c>
      <c r="U425" t="str">
        <f>IFERROR(__xludf.DUMMYFUNCTION("""COMPUTED_VALUE"""),"AC2881312")</f>
        <v>AC2881312</v>
      </c>
      <c r="V425" s="148">
        <f>IFERROR(__xludf.DUMMYFUNCTION("""COMPUTED_VALUE"""),44609.0)</f>
        <v>44609</v>
      </c>
      <c r="W425" s="148">
        <f>IFERROR(__xludf.DUMMYFUNCTION("""COMPUTED_VALUE"""),48260.0)</f>
        <v>48260</v>
      </c>
      <c r="X425" s="149">
        <f>IFERROR(__xludf.DUMMYFUNCTION("""COMPUTED_VALUE"""),48076.0)</f>
        <v>48076</v>
      </c>
      <c r="Y425" t="str">
        <f>IFERROR(__xludf.DUMMYFUNCTION("""COMPUTED_VALUE"""),"ปลอดภัย")</f>
        <v>ปลอดภัย</v>
      </c>
      <c r="Z425" t="str">
        <f>IFERROR(__xludf.DUMMYFUNCTION("""COMPUTED_VALUE"""),"Bangkok")</f>
        <v>Bangkok</v>
      </c>
      <c r="AA425" t="str">
        <f>IFERROR(__xludf.DUMMYFUNCTION("""COMPUTED_VALUE"""),"Nonthaburi")</f>
        <v>Nonthaburi</v>
      </c>
      <c r="AB425" t="str">
        <f>IFERROR(__xludf.DUMMYFUNCTION("""COMPUTED_VALUE"""),"02 960 0925 / 086 306 2221 / 081 641 5008")</f>
        <v>02 960 0925 / 086 306 2221 / 081 641 5008</v>
      </c>
      <c r="AC425" t="str">
        <f>IFERROR(__xludf.DUMMYFUNCTION("""COMPUTED_VALUE"""),"Home / Relative")</f>
        <v>Home / Relative</v>
      </c>
      <c r="AD425" t="str">
        <f>IFERROR(__xludf.DUMMYFUNCTION("""COMPUTED_VALUE"""),"lunchakorns@airasia.com")</f>
        <v>lunchakorns@airasia.com</v>
      </c>
    </row>
    <row r="426">
      <c r="A426" s="142">
        <f>IFERROR(__xludf.DUMMYFUNCTION("""COMPUTED_VALUE"""),58.0)</f>
        <v>58</v>
      </c>
      <c r="B426" t="str">
        <f>IFERROR(__xludf.DUMMYFUNCTION("""COMPUTED_VALUE"""),"TAA4107")</f>
        <v>TAA4107</v>
      </c>
      <c r="C426">
        <f>IFERROR(__xludf.DUMMYFUNCTION("""COMPUTED_VALUE"""),1007262.0)</f>
        <v>1007262</v>
      </c>
      <c r="D426" t="str">
        <f>IFERROR(__xludf.DUMMYFUNCTION("""COMPUTED_VALUE"""),"Ms.")</f>
        <v>Ms.</v>
      </c>
      <c r="F426" t="str">
        <f>IFERROR(__xludf.DUMMYFUNCTION("""COMPUTED_VALUE"""),"Kaeokumchai")</f>
        <v>Kaeokumchai</v>
      </c>
      <c r="G426" t="str">
        <f>IFERROR(__xludf.DUMMYFUNCTION("""COMPUTED_VALUE""")," Kaeokumchai")</f>
        <v> Kaeokumchai</v>
      </c>
      <c r="H426" t="str">
        <f>IFERROR(__xludf.DUMMYFUNCTION("""COMPUTED_VALUE"""),"นางสาว")</f>
        <v>นางสาว</v>
      </c>
      <c r="I426" t="str">
        <f>IFERROR(__xludf.DUMMYFUNCTION("""COMPUTED_VALUE"""),"นลิน")</f>
        <v>นลิน</v>
      </c>
      <c r="J426" t="str">
        <f>IFERROR(__xludf.DUMMYFUNCTION("""COMPUTED_VALUE"""),"แก้วกำชัย")</f>
        <v>แก้วกำชัย</v>
      </c>
      <c r="K426" t="str">
        <f>IFERROR(__xludf.DUMMYFUNCTION("""COMPUTED_VALUE"""),"นลิน แก้วกำชัย")</f>
        <v>นลิน แก้วกำชัย</v>
      </c>
      <c r="L426" t="str">
        <f>IFERROR(__xludf.DUMMYFUNCTION("""COMPUTED_VALUE"""),"เพลง")</f>
        <v>เพลง</v>
      </c>
      <c r="M426" t="str">
        <f>IFERROR(__xludf.DUMMYFUNCTION("""COMPUTED_VALUE"""),"Cabin Crew")</f>
        <v>Cabin Crew</v>
      </c>
      <c r="N426" t="str">
        <f>IFERROR(__xludf.DUMMYFUNCTION("""COMPUTED_VALUE"""),"DMK")</f>
        <v>DMK</v>
      </c>
      <c r="O426" s="145" t="str">
        <f>IFERROR(__xludf.DUMMYFUNCTION("""COMPUTED_VALUE"""),"Namfon Home")</f>
        <v>Namfon Home</v>
      </c>
      <c r="P426" t="str">
        <f>IFERROR(__xludf.DUMMYFUNCTION("""COMPUTED_VALUE"""),"Active")</f>
        <v>Active</v>
      </c>
      <c r="R426" s="143">
        <f>IFERROR(__xludf.DUMMYFUNCTION("""COMPUTED_VALUE"""),32083.0)</f>
        <v>32083</v>
      </c>
      <c r="S426" s="146" t="str">
        <f>IFERROR(__xludf.DUMMYFUNCTION("""COMPUTED_VALUE"""),"094 929 6632")</f>
        <v>094 929 6632</v>
      </c>
      <c r="T426" s="147">
        <f>IFERROR(__xludf.DUMMYFUNCTION("""COMPUTED_VALUE"""),1.100400295986E12)</f>
        <v>1100400295986</v>
      </c>
      <c r="U426" t="str">
        <f>IFERROR(__xludf.DUMMYFUNCTION("""COMPUTED_VALUE"""),"AC4874728")</f>
        <v>AC4874728</v>
      </c>
      <c r="V426" s="148">
        <f>IFERROR(__xludf.DUMMYFUNCTION("""COMPUTED_VALUE"""),45042.0)</f>
        <v>45042</v>
      </c>
      <c r="W426" s="148">
        <f>IFERROR(__xludf.DUMMYFUNCTION("""COMPUTED_VALUE"""),48694.0)</f>
        <v>48694</v>
      </c>
      <c r="X426" s="149">
        <f>IFERROR(__xludf.DUMMYFUNCTION("""COMPUTED_VALUE"""),48512.0)</f>
        <v>48512</v>
      </c>
      <c r="Y426" t="str">
        <f>IFERROR(__xludf.DUMMYFUNCTION("""COMPUTED_VALUE"""),"ปลอดภัย")</f>
        <v>ปลอดภัย</v>
      </c>
      <c r="Z426" t="str">
        <f>IFERROR(__xludf.DUMMYFUNCTION("""COMPUTED_VALUE"""),"Bangkok")</f>
        <v>Bangkok</v>
      </c>
      <c r="AA426" t="str">
        <f>IFERROR(__xludf.DUMMYFUNCTION("""COMPUTED_VALUE"""),"Bangkapi")</f>
        <v>Bangkapi</v>
      </c>
      <c r="AB426" t="str">
        <f>IFERROR(__xludf.DUMMYFUNCTION("""COMPUTED_VALUE"""),"086 189 1451 / 081 700 2290 / 086 320 4717")</f>
        <v>086 189 1451 / 081 700 2290 / 086 320 4717</v>
      </c>
      <c r="AC426" t="str">
        <f>IFERROR(__xludf.DUMMYFUNCTION("""COMPUTED_VALUE"""),"Mother / Uncle / Uncle")</f>
        <v>Mother / Uncle / Uncle</v>
      </c>
      <c r="AD426" t="str">
        <f>IFERROR(__xludf.DUMMYFUNCTION("""COMPUTED_VALUE"""),"k@airasia.com")</f>
        <v>k@airasia.com</v>
      </c>
    </row>
    <row r="427">
      <c r="A427" s="142">
        <f>IFERROR(__xludf.DUMMYFUNCTION("""COMPUTED_VALUE"""),58.0)</f>
        <v>58</v>
      </c>
      <c r="B427" t="str">
        <f>IFERROR(__xludf.DUMMYFUNCTION("""COMPUTED_VALUE"""),"TAA4109")</f>
        <v>TAA4109</v>
      </c>
      <c r="C427">
        <f>IFERROR(__xludf.DUMMYFUNCTION("""COMPUTED_VALUE"""),1007265.0)</f>
        <v>1007265</v>
      </c>
      <c r="D427" t="str">
        <f>IFERROR(__xludf.DUMMYFUNCTION("""COMPUTED_VALUE"""),"Ms.")</f>
        <v>Ms.</v>
      </c>
      <c r="E427" t="str">
        <f>IFERROR(__xludf.DUMMYFUNCTION("""COMPUTED_VALUE"""),"Nattaporn")</f>
        <v>Nattaporn</v>
      </c>
      <c r="F427" t="str">
        <f>IFERROR(__xludf.DUMMYFUNCTION("""COMPUTED_VALUE"""),"Poomgate")</f>
        <v>Poomgate</v>
      </c>
      <c r="G427" t="str">
        <f>IFERROR(__xludf.DUMMYFUNCTION("""COMPUTED_VALUE"""),"Nattaporn Poomgate")</f>
        <v>Nattaporn Poomgate</v>
      </c>
      <c r="H427" t="str">
        <f>IFERROR(__xludf.DUMMYFUNCTION("""COMPUTED_VALUE"""),"นางสาว")</f>
        <v>นางสาว</v>
      </c>
      <c r="I427" t="str">
        <f>IFERROR(__xludf.DUMMYFUNCTION("""COMPUTED_VALUE"""),"ณัฐพร")</f>
        <v>ณัฐพร</v>
      </c>
      <c r="J427" t="str">
        <f>IFERROR(__xludf.DUMMYFUNCTION("""COMPUTED_VALUE"""),"พุ่มเกตุ")</f>
        <v>พุ่มเกตุ</v>
      </c>
      <c r="K427" t="str">
        <f>IFERROR(__xludf.DUMMYFUNCTION("""COMPUTED_VALUE"""),"ณัฐพร พุ่มเกตุ")</f>
        <v>ณัฐพร พุ่มเกตุ</v>
      </c>
      <c r="L427" t="str">
        <f>IFERROR(__xludf.DUMMYFUNCTION("""COMPUTED_VALUE"""),"ฝ้าย")</f>
        <v>ฝ้าย</v>
      </c>
      <c r="M427" t="str">
        <f>IFERROR(__xludf.DUMMYFUNCTION("""COMPUTED_VALUE"""),"Cabin Crew")</f>
        <v>Cabin Crew</v>
      </c>
      <c r="N427" t="str">
        <f>IFERROR(__xludf.DUMMYFUNCTION("""COMPUTED_VALUE"""),"DMK")</f>
        <v>DMK</v>
      </c>
      <c r="O427" s="145" t="str">
        <f>IFERROR(__xludf.DUMMYFUNCTION("""COMPUTED_VALUE"""),"Por+ Home")</f>
        <v>Por+ Home</v>
      </c>
      <c r="P427" t="str">
        <f>IFERROR(__xludf.DUMMYFUNCTION("""COMPUTED_VALUE"""),"Active")</f>
        <v>Active</v>
      </c>
      <c r="R427" s="143">
        <f>IFERROR(__xludf.DUMMYFUNCTION("""COMPUTED_VALUE"""),32789.0)</f>
        <v>32789</v>
      </c>
      <c r="S427" s="146" t="str">
        <f>IFERROR(__xludf.DUMMYFUNCTION("""COMPUTED_VALUE"""),"087 334 1458")</f>
        <v>087 334 1458</v>
      </c>
      <c r="T427" s="147">
        <f>IFERROR(__xludf.DUMMYFUNCTION("""COMPUTED_VALUE"""),1.101401816981E12)</f>
        <v>1101401816981</v>
      </c>
      <c r="U427" t="str">
        <f>IFERROR(__xludf.DUMMYFUNCTION("""COMPUTED_VALUE"""),"AC3132493")</f>
        <v>AC3132493</v>
      </c>
      <c r="V427" s="148">
        <f>IFERROR(__xludf.DUMMYFUNCTION("""COMPUTED_VALUE"""),44698.0)</f>
        <v>44698</v>
      </c>
      <c r="W427" s="148">
        <f>IFERROR(__xludf.DUMMYFUNCTION("""COMPUTED_VALUE"""),48350.0)</f>
        <v>48350</v>
      </c>
      <c r="X427" s="149">
        <f>IFERROR(__xludf.DUMMYFUNCTION("""COMPUTED_VALUE"""),48168.0)</f>
        <v>48168</v>
      </c>
      <c r="Y427" t="str">
        <f>IFERROR(__xludf.DUMMYFUNCTION("""COMPUTED_VALUE"""),"ปลอดภัย")</f>
        <v>ปลอดภัย</v>
      </c>
      <c r="Z427" t="str">
        <f>IFERROR(__xludf.DUMMYFUNCTION("""COMPUTED_VALUE"""),"Bangkok")</f>
        <v>Bangkok</v>
      </c>
      <c r="AA427" t="str">
        <f>IFERROR(__xludf.DUMMYFUNCTION("""COMPUTED_VALUE"""),"Donmueang")</f>
        <v>Donmueang</v>
      </c>
      <c r="AB427" t="str">
        <f>IFERROR(__xludf.DUMMYFUNCTION("""COMPUTED_VALUE"""),"02 995 1422 / 081 347 7560")</f>
        <v>02 995 1422 / 081 347 7560</v>
      </c>
      <c r="AC427" t="str">
        <f>IFERROR(__xludf.DUMMYFUNCTION("""COMPUTED_VALUE"""),"Home / Relative")</f>
        <v>Home / Relative</v>
      </c>
      <c r="AD427" t="str">
        <f>IFERROR(__xludf.DUMMYFUNCTION("""COMPUTED_VALUE"""),"nattapornp@airasia.com")</f>
        <v>nattapornp@airasia.com</v>
      </c>
    </row>
    <row r="428">
      <c r="A428" s="142">
        <f>IFERROR(__xludf.DUMMYFUNCTION("""COMPUTED_VALUE"""),58.0)</f>
        <v>58</v>
      </c>
      <c r="B428" t="str">
        <f>IFERROR(__xludf.DUMMYFUNCTION("""COMPUTED_VALUE"""),"TAA4098")</f>
        <v>TAA4098</v>
      </c>
      <c r="C428">
        <f>IFERROR(__xludf.DUMMYFUNCTION("""COMPUTED_VALUE"""),1007266.0)</f>
        <v>1007266</v>
      </c>
      <c r="D428" t="str">
        <f>IFERROR(__xludf.DUMMYFUNCTION("""COMPUTED_VALUE"""),"Ms.")</f>
        <v>Ms.</v>
      </c>
      <c r="E428" t="str">
        <f>IFERROR(__xludf.DUMMYFUNCTION("""COMPUTED_VALUE"""),"Nattayanee")</f>
        <v>Nattayanee</v>
      </c>
      <c r="F428" t="str">
        <f>IFERROR(__xludf.DUMMYFUNCTION("""COMPUTED_VALUE"""),"Junnont")</f>
        <v>Junnont</v>
      </c>
      <c r="G428" t="str">
        <f>IFERROR(__xludf.DUMMYFUNCTION("""COMPUTED_VALUE"""),"Nattayanee Junnont")</f>
        <v>Nattayanee Junnont</v>
      </c>
      <c r="H428" t="str">
        <f>IFERROR(__xludf.DUMMYFUNCTION("""COMPUTED_VALUE"""),"นางสาว")</f>
        <v>นางสาว</v>
      </c>
      <c r="I428" t="str">
        <f>IFERROR(__xludf.DUMMYFUNCTION("""COMPUTED_VALUE"""),"นาตยาณี")</f>
        <v>นาตยาณี</v>
      </c>
      <c r="J428" t="str">
        <f>IFERROR(__xludf.DUMMYFUNCTION("""COMPUTED_VALUE"""),"จันนนท์")</f>
        <v>จันนนท์</v>
      </c>
      <c r="K428" t="str">
        <f>IFERROR(__xludf.DUMMYFUNCTION("""COMPUTED_VALUE"""),"นาตยาณี จันนนท์")</f>
        <v>นาตยาณี จันนนท์</v>
      </c>
      <c r="L428" t="str">
        <f>IFERROR(__xludf.DUMMYFUNCTION("""COMPUTED_VALUE"""),"Pui")</f>
        <v>Pui</v>
      </c>
      <c r="M428" t="str">
        <f>IFERROR(__xludf.DUMMYFUNCTION("""COMPUTED_VALUE"""),"Cabin Crew")</f>
        <v>Cabin Crew</v>
      </c>
      <c r="N428" t="str">
        <f>IFERROR(__xludf.DUMMYFUNCTION("""COMPUTED_VALUE"""),"DMK")</f>
        <v>DMK</v>
      </c>
      <c r="O428" s="145" t="str">
        <f>IFERROR(__xludf.DUMMYFUNCTION("""COMPUTED_VALUE"""),"Um Home")</f>
        <v>Um Home</v>
      </c>
      <c r="P428" t="str">
        <f>IFERROR(__xludf.DUMMYFUNCTION("""COMPUTED_VALUE"""),"V/LWP")</f>
        <v>V/LWP</v>
      </c>
      <c r="R428" s="143">
        <f>IFERROR(__xludf.DUMMYFUNCTION("""COMPUTED_VALUE"""),31251.0)</f>
        <v>31251</v>
      </c>
      <c r="S428" s="146" t="str">
        <f>IFERROR(__xludf.DUMMYFUNCTION("""COMPUTED_VALUE"""),"086 895 6873")</f>
        <v>086 895 6873</v>
      </c>
      <c r="T428" s="147">
        <f>IFERROR(__xludf.DUMMYFUNCTION("""COMPUTED_VALUE"""),1.101400537549E12)</f>
        <v>1101400537549</v>
      </c>
      <c r="U428" t="str">
        <f>IFERROR(__xludf.DUMMYFUNCTION("""COMPUTED_VALUE"""),"AC3616097")</f>
        <v>AC3616097</v>
      </c>
      <c r="V428" s="148">
        <f>IFERROR(__xludf.DUMMYFUNCTION("""COMPUTED_VALUE"""),44754.0)</f>
        <v>44754</v>
      </c>
      <c r="W428" s="148">
        <f>IFERROR(__xludf.DUMMYFUNCTION("""COMPUTED_VALUE"""),48406.0)</f>
        <v>48406</v>
      </c>
      <c r="X428" s="149">
        <f>IFERROR(__xludf.DUMMYFUNCTION("""COMPUTED_VALUE"""),48224.0)</f>
        <v>48224</v>
      </c>
      <c r="Y428" t="str">
        <f>IFERROR(__xludf.DUMMYFUNCTION("""COMPUTED_VALUE"""),"ปลอดภัย")</f>
        <v>ปลอดภัย</v>
      </c>
      <c r="Z428" t="str">
        <f>IFERROR(__xludf.DUMMYFUNCTION("""COMPUTED_VALUE"""),"Bangkok")</f>
        <v>Bangkok</v>
      </c>
      <c r="AA428" t="str">
        <f>IFERROR(__xludf.DUMMYFUNCTION("""COMPUTED_VALUE"""),"Bangkhaen")</f>
        <v>Bangkhaen</v>
      </c>
      <c r="AB428" t="str">
        <f>IFERROR(__xludf.DUMMYFUNCTION("""COMPUTED_VALUE"""),"087 705 6181")</f>
        <v>087 705 6181</v>
      </c>
      <c r="AC428" t="str">
        <f>IFERROR(__xludf.DUMMYFUNCTION("""COMPUTED_VALUE"""),"Mother")</f>
        <v>Mother</v>
      </c>
      <c r="AD428" t="str">
        <f>IFERROR(__xludf.DUMMYFUNCTION("""COMPUTED_VALUE"""),"nattayaneej@airasia.com")</f>
        <v>nattayaneej@airasia.com</v>
      </c>
    </row>
    <row r="429">
      <c r="A429" s="142">
        <f>IFERROR(__xludf.DUMMYFUNCTION("""COMPUTED_VALUE"""),58.0)</f>
        <v>58</v>
      </c>
      <c r="B429" t="str">
        <f>IFERROR(__xludf.DUMMYFUNCTION("""COMPUTED_VALUE"""),"TAA4096")</f>
        <v>TAA4096</v>
      </c>
      <c r="C429">
        <f>IFERROR(__xludf.DUMMYFUNCTION("""COMPUTED_VALUE"""),1007267.0)</f>
        <v>1007267</v>
      </c>
      <c r="D429" t="str">
        <f>IFERROR(__xludf.DUMMYFUNCTION("""COMPUTED_VALUE"""),"Ms.")</f>
        <v>Ms.</v>
      </c>
      <c r="E429" t="str">
        <f>IFERROR(__xludf.DUMMYFUNCTION("""COMPUTED_VALUE"""),"Navarat")</f>
        <v>Navarat</v>
      </c>
      <c r="F429" t="str">
        <f>IFERROR(__xludf.DUMMYFUNCTION("""COMPUTED_VALUE"""),"Chokbamrungcharoenkul")</f>
        <v>Chokbamrungcharoenkul</v>
      </c>
      <c r="G429" t="str">
        <f>IFERROR(__xludf.DUMMYFUNCTION("""COMPUTED_VALUE"""),"Navarat Chokbamrungcharoenkul")</f>
        <v>Navarat Chokbamrungcharoenkul</v>
      </c>
      <c r="H429" t="str">
        <f>IFERROR(__xludf.DUMMYFUNCTION("""COMPUTED_VALUE"""),"นางสาว")</f>
        <v>นางสาว</v>
      </c>
      <c r="I429" t="str">
        <f>IFERROR(__xludf.DUMMYFUNCTION("""COMPUTED_VALUE"""),"นวรัตน์")</f>
        <v>นวรัตน์</v>
      </c>
      <c r="J429" t="str">
        <f>IFERROR(__xludf.DUMMYFUNCTION("""COMPUTED_VALUE"""),"โชคบำรุงเจริญกุล")</f>
        <v>โชคบำรุงเจริญกุล</v>
      </c>
      <c r="K429" t="str">
        <f>IFERROR(__xludf.DUMMYFUNCTION("""COMPUTED_VALUE"""),"นวรัตน์ โชคบำรุงเจริญกุล")</f>
        <v>นวรัตน์ โชคบำรุงเจริญกุล</v>
      </c>
      <c r="L429" t="str">
        <f>IFERROR(__xludf.DUMMYFUNCTION("""COMPUTED_VALUE"""),"ทราย")</f>
        <v>ทราย</v>
      </c>
      <c r="M429" t="str">
        <f>IFERROR(__xludf.DUMMYFUNCTION("""COMPUTED_VALUE"""),"Cabin Crew")</f>
        <v>Cabin Crew</v>
      </c>
      <c r="N429" t="str">
        <f>IFERROR(__xludf.DUMMYFUNCTION("""COMPUTED_VALUE"""),"DMK")</f>
        <v>DMK</v>
      </c>
      <c r="O429" s="145" t="str">
        <f>IFERROR(__xludf.DUMMYFUNCTION("""COMPUTED_VALUE"""),"Por+ Home")</f>
        <v>Por+ Home</v>
      </c>
      <c r="P429" t="str">
        <f>IFERROR(__xludf.DUMMYFUNCTION("""COMPUTED_VALUE"""),"Active")</f>
        <v>Active</v>
      </c>
      <c r="R429" s="143">
        <f>IFERROR(__xludf.DUMMYFUNCTION("""COMPUTED_VALUE"""),31521.0)</f>
        <v>31521</v>
      </c>
      <c r="S429" s="146" t="str">
        <f>IFERROR(__xludf.DUMMYFUNCTION("""COMPUTED_VALUE"""),"088 942 9541")</f>
        <v>088 942 9541</v>
      </c>
      <c r="T429" s="147">
        <f>IFERROR(__xludf.DUMMYFUNCTION("""COMPUTED_VALUE"""),1.101400657986E12)</f>
        <v>1101400657986</v>
      </c>
      <c r="U429" t="str">
        <f>IFERROR(__xludf.DUMMYFUNCTION("""COMPUTED_VALUE"""),"AC5214591")</f>
        <v>AC5214591</v>
      </c>
      <c r="V429" s="148">
        <f>IFERROR(__xludf.DUMMYFUNCTION("""COMPUTED_VALUE"""),45124.0)</f>
        <v>45124</v>
      </c>
      <c r="W429" s="148">
        <f>IFERROR(__xludf.DUMMYFUNCTION("""COMPUTED_VALUE"""),48776.0)</f>
        <v>48776</v>
      </c>
      <c r="X429" s="149">
        <f>IFERROR(__xludf.DUMMYFUNCTION("""COMPUTED_VALUE"""),48595.0)</f>
        <v>48595</v>
      </c>
      <c r="Y429" t="str">
        <f>IFERROR(__xludf.DUMMYFUNCTION("""COMPUTED_VALUE"""),"ปลอดภัย")</f>
        <v>ปลอดภัย</v>
      </c>
      <c r="Z429" t="str">
        <f>IFERROR(__xludf.DUMMYFUNCTION("""COMPUTED_VALUE"""),"Bangkok")</f>
        <v>Bangkok</v>
      </c>
      <c r="AA429" t="str">
        <f>IFERROR(__xludf.DUMMYFUNCTION("""COMPUTED_VALUE"""),"Phayathai")</f>
        <v>Phayathai</v>
      </c>
      <c r="AB429" t="str">
        <f>IFERROR(__xludf.DUMMYFUNCTION("""COMPUTED_VALUE"""),"02 278 5836 / 081 625 0767 / 02 411 3966")</f>
        <v>02 278 5836 / 081 625 0767 / 02 411 3966</v>
      </c>
      <c r="AC429" t="str">
        <f>IFERROR(__xludf.DUMMYFUNCTION("""COMPUTED_VALUE"""),"Home / Relative")</f>
        <v>Home / Relative</v>
      </c>
      <c r="AD429" t="str">
        <f>IFERROR(__xludf.DUMMYFUNCTION("""COMPUTED_VALUE"""),"navaratc@airasia.com")</f>
        <v>navaratc@airasia.com</v>
      </c>
    </row>
    <row r="430">
      <c r="A430" s="142">
        <f>IFERROR(__xludf.DUMMYFUNCTION("""COMPUTED_VALUE"""),58.0)</f>
        <v>58</v>
      </c>
      <c r="B430" t="str">
        <f>IFERROR(__xludf.DUMMYFUNCTION("""COMPUTED_VALUE"""),"TAA4106")</f>
        <v>TAA4106</v>
      </c>
      <c r="C430">
        <f>IFERROR(__xludf.DUMMYFUNCTION("""COMPUTED_VALUE"""),1007268.0)</f>
        <v>1007268</v>
      </c>
      <c r="D430" t="str">
        <f>IFERROR(__xludf.DUMMYFUNCTION("""COMPUTED_VALUE"""),"Ms.")</f>
        <v>Ms.</v>
      </c>
      <c r="E430" t="str">
        <f>IFERROR(__xludf.DUMMYFUNCTION("""COMPUTED_VALUE"""),"Nujira")</f>
        <v>Nujira</v>
      </c>
      <c r="F430" t="str">
        <f>IFERROR(__xludf.DUMMYFUNCTION("""COMPUTED_VALUE"""),"Suwanasang")</f>
        <v>Suwanasang</v>
      </c>
      <c r="G430" t="str">
        <f>IFERROR(__xludf.DUMMYFUNCTION("""COMPUTED_VALUE"""),"Nujira Suwanasang")</f>
        <v>Nujira Suwanasang</v>
      </c>
      <c r="H430" t="str">
        <f>IFERROR(__xludf.DUMMYFUNCTION("""COMPUTED_VALUE"""),"นางสาว")</f>
        <v>นางสาว</v>
      </c>
      <c r="I430" t="str">
        <f>IFERROR(__xludf.DUMMYFUNCTION("""COMPUTED_VALUE"""),"นุจิรา")</f>
        <v>นุจิรา</v>
      </c>
      <c r="J430" t="str">
        <f>IFERROR(__xludf.DUMMYFUNCTION("""COMPUTED_VALUE"""),"สุวรรณสังข์")</f>
        <v>สุวรรณสังข์</v>
      </c>
      <c r="K430" t="str">
        <f>IFERROR(__xludf.DUMMYFUNCTION("""COMPUTED_VALUE"""),"นุจิรา สุวรรณสังข์")</f>
        <v>นุจิรา สุวรรณสังข์</v>
      </c>
      <c r="L430" t="str">
        <f>IFERROR(__xludf.DUMMYFUNCTION("""COMPUTED_VALUE"""),"โบว์")</f>
        <v>โบว์</v>
      </c>
      <c r="M430" t="str">
        <f>IFERROR(__xludf.DUMMYFUNCTION("""COMPUTED_VALUE"""),"Cabin Crew - CNX")</f>
        <v>Cabin Crew - CNX</v>
      </c>
      <c r="N430" t="str">
        <f>IFERROR(__xludf.DUMMYFUNCTION("""COMPUTED_VALUE"""),"CNX")</f>
        <v>CNX</v>
      </c>
      <c r="O430" s="145" t="str">
        <f>IFERROR(__xludf.DUMMYFUNCTION("""COMPUTED_VALUE"""),"Up Home")</f>
        <v>Up Home</v>
      </c>
      <c r="P430" t="str">
        <f>IFERROR(__xludf.DUMMYFUNCTION("""COMPUTED_VALUE"""),"MATL")</f>
        <v>MATL</v>
      </c>
      <c r="R430" s="143">
        <f>IFERROR(__xludf.DUMMYFUNCTION("""COMPUTED_VALUE"""),30645.0)</f>
        <v>30645</v>
      </c>
      <c r="S430" s="146">
        <f>IFERROR(__xludf.DUMMYFUNCTION("""COMPUTED_VALUE"""),8.22819365E8)</f>
        <v>822819365</v>
      </c>
      <c r="T430" s="147">
        <f>IFERROR(__xludf.DUMMYFUNCTION("""COMPUTED_VALUE"""),4.100900042682E12)</f>
        <v>4100900042682</v>
      </c>
      <c r="U430" t="str">
        <f>IFERROR(__xludf.DUMMYFUNCTION("""COMPUTED_VALUE"""),"AC4189972")</f>
        <v>AC4189972</v>
      </c>
      <c r="V430" s="148">
        <f>IFERROR(__xludf.DUMMYFUNCTION("""COMPUTED_VALUE"""),44882.0)</f>
        <v>44882</v>
      </c>
      <c r="W430" s="148">
        <f>IFERROR(__xludf.DUMMYFUNCTION("""COMPUTED_VALUE"""),48534.0)</f>
        <v>48534</v>
      </c>
      <c r="X430" s="149">
        <f>IFERROR(__xludf.DUMMYFUNCTION("""COMPUTED_VALUE"""),48350.0)</f>
        <v>48350</v>
      </c>
      <c r="Y430" t="str">
        <f>IFERROR(__xludf.DUMMYFUNCTION("""COMPUTED_VALUE"""),"ปลอดภัย")</f>
        <v>ปลอดภัย</v>
      </c>
      <c r="Z430" t="str">
        <f>IFERROR(__xludf.DUMMYFUNCTION("""COMPUTED_VALUE"""),"Bangkok")</f>
        <v>Bangkok</v>
      </c>
      <c r="AA430" t="str">
        <f>IFERROR(__xludf.DUMMYFUNCTION("""COMPUTED_VALUE"""),"Pathumtani")</f>
        <v>Pathumtani</v>
      </c>
      <c r="AB430" t="str">
        <f>IFERROR(__xludf.DUMMYFUNCTION("""COMPUTED_VALUE"""),"089 137 5883")</f>
        <v>089 137 5883</v>
      </c>
      <c r="AC430" t="str">
        <f>IFERROR(__xludf.DUMMYFUNCTION("""COMPUTED_VALUE"""),"Father")</f>
        <v>Father</v>
      </c>
      <c r="AD430" t="str">
        <f>IFERROR(__xludf.DUMMYFUNCTION("""COMPUTED_VALUE"""),"nujiras@airasia.com")</f>
        <v>nujiras@airasia.com</v>
      </c>
    </row>
    <row r="431">
      <c r="A431" s="142">
        <f>IFERROR(__xludf.DUMMYFUNCTION("""COMPUTED_VALUE"""),58.0)</f>
        <v>58</v>
      </c>
      <c r="B431" t="str">
        <f>IFERROR(__xludf.DUMMYFUNCTION("""COMPUTED_VALUE"""),"TAA4092")</f>
        <v>TAA4092</v>
      </c>
      <c r="C431">
        <f>IFERROR(__xludf.DUMMYFUNCTION("""COMPUTED_VALUE"""),1007269.0)</f>
        <v>1007269</v>
      </c>
      <c r="D431" t="str">
        <f>IFERROR(__xludf.DUMMYFUNCTION("""COMPUTED_VALUE"""),"Mr.")</f>
        <v>Mr.</v>
      </c>
      <c r="E431" t="str">
        <f>IFERROR(__xludf.DUMMYFUNCTION("""COMPUTED_VALUE"""),"Pattarapoom")</f>
        <v>Pattarapoom</v>
      </c>
      <c r="F431" t="str">
        <f>IFERROR(__xludf.DUMMYFUNCTION("""COMPUTED_VALUE"""),"Settaprasert")</f>
        <v>Settaprasert</v>
      </c>
      <c r="G431" t="str">
        <f>IFERROR(__xludf.DUMMYFUNCTION("""COMPUTED_VALUE"""),"Pattarapoom Settaprasert")</f>
        <v>Pattarapoom Settaprasert</v>
      </c>
      <c r="H431" t="str">
        <f>IFERROR(__xludf.DUMMYFUNCTION("""COMPUTED_VALUE"""),"นาย")</f>
        <v>นาย</v>
      </c>
      <c r="I431" t="str">
        <f>IFERROR(__xludf.DUMMYFUNCTION("""COMPUTED_VALUE"""),"ภัทรภูมิ")</f>
        <v>ภัทรภูมิ</v>
      </c>
      <c r="J431" t="str">
        <f>IFERROR(__xludf.DUMMYFUNCTION("""COMPUTED_VALUE"""),"เศรษฐประเสริฐ")</f>
        <v>เศรษฐประเสริฐ</v>
      </c>
      <c r="K431" t="str">
        <f>IFERROR(__xludf.DUMMYFUNCTION("""COMPUTED_VALUE"""),"ภัทรภูมิ เศรษฐประเสริฐ")</f>
        <v>ภัทรภูมิ เศรษฐประเสริฐ</v>
      </c>
      <c r="L431" t="str">
        <f>IFERROR(__xludf.DUMMYFUNCTION("""COMPUTED_VALUE"""),"Poom")</f>
        <v>Poom</v>
      </c>
      <c r="M431" t="str">
        <f>IFERROR(__xludf.DUMMYFUNCTION("""COMPUTED_VALUE"""),"Senior Cabin Crew")</f>
        <v>Senior Cabin Crew</v>
      </c>
      <c r="N431" t="str">
        <f>IFERROR(__xludf.DUMMYFUNCTION("""COMPUTED_VALUE"""),"DMK")</f>
        <v>DMK</v>
      </c>
      <c r="O431" s="145" t="str">
        <f>IFERROR(__xludf.DUMMYFUNCTION("""COMPUTED_VALUE"""),"Namfon Home")</f>
        <v>Namfon Home</v>
      </c>
      <c r="P431" t="str">
        <f>IFERROR(__xludf.DUMMYFUNCTION("""COMPUTED_VALUE"""),"Active")</f>
        <v>Active</v>
      </c>
      <c r="R431" s="143">
        <f>IFERROR(__xludf.DUMMYFUNCTION("""COMPUTED_VALUE"""),32021.0)</f>
        <v>32021</v>
      </c>
      <c r="S431" s="146">
        <f>IFERROR(__xludf.DUMMYFUNCTION("""COMPUTED_VALUE"""),9.68791441E8)</f>
        <v>968791441</v>
      </c>
      <c r="T431" s="147">
        <f>IFERROR(__xludf.DUMMYFUNCTION("""COMPUTED_VALUE"""),1.959900131754E12)</f>
        <v>1959900131754</v>
      </c>
      <c r="U431" t="str">
        <f>IFERROR(__xludf.DUMMYFUNCTION("""COMPUTED_VALUE"""),"AC2759818")</f>
        <v>AC2759818</v>
      </c>
      <c r="V431" s="148">
        <f>IFERROR(__xludf.DUMMYFUNCTION("""COMPUTED_VALUE"""),44494.0)</f>
        <v>44494</v>
      </c>
      <c r="W431" s="148">
        <f>IFERROR(__xludf.DUMMYFUNCTION("""COMPUTED_VALUE"""),48145.0)</f>
        <v>48145</v>
      </c>
      <c r="X431" s="149">
        <f>IFERROR(__xludf.DUMMYFUNCTION("""COMPUTED_VALUE"""),47962.0)</f>
        <v>47962</v>
      </c>
      <c r="Y431" t="str">
        <f>IFERROR(__xludf.DUMMYFUNCTION("""COMPUTED_VALUE"""),"ปลอดภัย")</f>
        <v>ปลอดภัย</v>
      </c>
      <c r="Z431" t="str">
        <f>IFERROR(__xludf.DUMMYFUNCTION("""COMPUTED_VALUE"""),"Yala Province")</f>
        <v>Yala Province</v>
      </c>
      <c r="AA431" t="str">
        <f>IFERROR(__xludf.DUMMYFUNCTION("""COMPUTED_VALUE"""),"Dindaeng")</f>
        <v>Dindaeng</v>
      </c>
      <c r="AB431" t="str">
        <f>IFERROR(__xludf.DUMMYFUNCTION("""COMPUTED_VALUE"""),"074 312 338 / 089 467 0264 / 081 645 6919")</f>
        <v>074 312 338 / 089 467 0264 / 081 645 6919</v>
      </c>
      <c r="AC431" t="str">
        <f>IFERROR(__xludf.DUMMYFUNCTION("""COMPUTED_VALUE"""),"Home / Relative")</f>
        <v>Home / Relative</v>
      </c>
      <c r="AD431" t="str">
        <f>IFERROR(__xludf.DUMMYFUNCTION("""COMPUTED_VALUE"""),"pattarapooms@airasia.com")</f>
        <v>pattarapooms@airasia.com</v>
      </c>
    </row>
    <row r="432">
      <c r="A432" s="142">
        <f>IFERROR(__xludf.DUMMYFUNCTION("""COMPUTED_VALUE"""),58.0)</f>
        <v>58</v>
      </c>
      <c r="B432" t="str">
        <f>IFERROR(__xludf.DUMMYFUNCTION("""COMPUTED_VALUE"""),"TAA4103")</f>
        <v>TAA4103</v>
      </c>
      <c r="C432">
        <f>IFERROR(__xludf.DUMMYFUNCTION("""COMPUTED_VALUE"""),1007270.0)</f>
        <v>1007270</v>
      </c>
      <c r="D432" t="str">
        <f>IFERROR(__xludf.DUMMYFUNCTION("""COMPUTED_VALUE"""),"Ms.")</f>
        <v>Ms.</v>
      </c>
      <c r="E432" t="str">
        <f>IFERROR(__xludf.DUMMYFUNCTION("""COMPUTED_VALUE"""),"Radarom")</f>
        <v>Radarom</v>
      </c>
      <c r="F432" t="str">
        <f>IFERROR(__xludf.DUMMYFUNCTION("""COMPUTED_VALUE"""),"Sunakorn")</f>
        <v>Sunakorn</v>
      </c>
      <c r="G432" t="str">
        <f>IFERROR(__xludf.DUMMYFUNCTION("""COMPUTED_VALUE"""),"Radarom Sunakorn")</f>
        <v>Radarom Sunakorn</v>
      </c>
      <c r="H432" t="str">
        <f>IFERROR(__xludf.DUMMYFUNCTION("""COMPUTED_VALUE"""),"นางสาว")</f>
        <v>นางสาว</v>
      </c>
      <c r="I432" t="str">
        <f>IFERROR(__xludf.DUMMYFUNCTION("""COMPUTED_VALUE"""),"รดารมย์")</f>
        <v>รดารมย์</v>
      </c>
      <c r="J432" t="str">
        <f>IFERROR(__xludf.DUMMYFUNCTION("""COMPUTED_VALUE"""),"สุนากร")</f>
        <v>สุนากร</v>
      </c>
      <c r="K432" t="str">
        <f>IFERROR(__xludf.DUMMYFUNCTION("""COMPUTED_VALUE"""),"รดารมย์ สุนากร")</f>
        <v>รดารมย์ สุนากร</v>
      </c>
      <c r="L432" t="str">
        <f>IFERROR(__xludf.DUMMYFUNCTION("""COMPUTED_VALUE"""),"ปุยฝ้าย")</f>
        <v>ปุยฝ้าย</v>
      </c>
      <c r="M432" t="str">
        <f>IFERROR(__xludf.DUMMYFUNCTION("""COMPUTED_VALUE"""),"Cabin Crew")</f>
        <v>Cabin Crew</v>
      </c>
      <c r="N432" t="str">
        <f>IFERROR(__xludf.DUMMYFUNCTION("""COMPUTED_VALUE"""),"DMK")</f>
        <v>DMK</v>
      </c>
      <c r="O432" s="145" t="str">
        <f>IFERROR(__xludf.DUMMYFUNCTION("""COMPUTED_VALUE"""),"Namfon Home")</f>
        <v>Namfon Home</v>
      </c>
      <c r="P432" t="str">
        <f>IFERROR(__xludf.DUMMYFUNCTION("""COMPUTED_VALUE"""),"Active")</f>
        <v>Active</v>
      </c>
      <c r="R432" s="143">
        <f>IFERROR(__xludf.DUMMYFUNCTION("""COMPUTED_VALUE"""),31746.0)</f>
        <v>31746</v>
      </c>
      <c r="S432" s="146" t="str">
        <f>IFERROR(__xludf.DUMMYFUNCTION("""COMPUTED_VALUE"""),"092 319 6622")</f>
        <v>092 319 6622</v>
      </c>
      <c r="T432" s="147">
        <f>IFERROR(__xludf.DUMMYFUNCTION("""COMPUTED_VALUE"""),1.100800313698E12)</f>
        <v>1100800313698</v>
      </c>
      <c r="U432" t="str">
        <f>IFERROR(__xludf.DUMMYFUNCTION("""COMPUTED_VALUE"""),"AC3090647")</f>
        <v>AC3090647</v>
      </c>
      <c r="V432" s="148">
        <f>IFERROR(__xludf.DUMMYFUNCTION("""COMPUTED_VALUE"""),44687.0)</f>
        <v>44687</v>
      </c>
      <c r="W432" s="148">
        <f>IFERROR(__xludf.DUMMYFUNCTION("""COMPUTED_VALUE"""),48339.0)</f>
        <v>48339</v>
      </c>
      <c r="X432" s="149">
        <f>IFERROR(__xludf.DUMMYFUNCTION("""COMPUTED_VALUE"""),48157.0)</f>
        <v>48157</v>
      </c>
      <c r="Y432" t="str">
        <f>IFERROR(__xludf.DUMMYFUNCTION("""COMPUTED_VALUE"""),"ปลอดภัย")</f>
        <v>ปลอดภัย</v>
      </c>
      <c r="Z432" t="str">
        <f>IFERROR(__xludf.DUMMYFUNCTION("""COMPUTED_VALUE"""),"Bangkok")</f>
        <v>Bangkok</v>
      </c>
      <c r="AA432" t="str">
        <f>IFERROR(__xludf.DUMMYFUNCTION("""COMPUTED_VALUE"""),"Pakkret")</f>
        <v>Pakkret</v>
      </c>
      <c r="AB432" t="str">
        <f>IFERROR(__xludf.DUMMYFUNCTION("""COMPUTED_VALUE"""),"02 584 1459 / 081 337 3240")</f>
        <v>02 584 1459 / 081 337 3240</v>
      </c>
      <c r="AC432" t="str">
        <f>IFERROR(__xludf.DUMMYFUNCTION("""COMPUTED_VALUE"""),"Home / Relative")</f>
        <v>Home / Relative</v>
      </c>
      <c r="AD432" t="str">
        <f>IFERROR(__xludf.DUMMYFUNCTION("""COMPUTED_VALUE"""),"radaroms@airasia.com")</f>
        <v>radaroms@airasia.com</v>
      </c>
    </row>
    <row r="433">
      <c r="A433" s="142">
        <f>IFERROR(__xludf.DUMMYFUNCTION("""COMPUTED_VALUE"""),58.0)</f>
        <v>58</v>
      </c>
      <c r="B433" t="str">
        <f>IFERROR(__xludf.DUMMYFUNCTION("""COMPUTED_VALUE"""),"TAA4104")</f>
        <v>TAA4104</v>
      </c>
      <c r="C433">
        <f>IFERROR(__xludf.DUMMYFUNCTION("""COMPUTED_VALUE"""),1007271.0)</f>
        <v>1007271</v>
      </c>
      <c r="D433" t="str">
        <f>IFERROR(__xludf.DUMMYFUNCTION("""COMPUTED_VALUE"""),"Ms.")</f>
        <v>Ms.</v>
      </c>
      <c r="E433" t="str">
        <f>IFERROR(__xludf.DUMMYFUNCTION("""COMPUTED_VALUE"""),"Ruchdaporn")</f>
        <v>Ruchdaporn</v>
      </c>
      <c r="F433" t="str">
        <f>IFERROR(__xludf.DUMMYFUNCTION("""COMPUTED_VALUE"""),"Niratch")</f>
        <v>Niratch</v>
      </c>
      <c r="G433" t="str">
        <f>IFERROR(__xludf.DUMMYFUNCTION("""COMPUTED_VALUE"""),"Ruchdaporn Niratch")</f>
        <v>Ruchdaporn Niratch</v>
      </c>
      <c r="H433" t="str">
        <f>IFERROR(__xludf.DUMMYFUNCTION("""COMPUTED_VALUE"""),"นางสาว")</f>
        <v>นางสาว</v>
      </c>
      <c r="I433" t="str">
        <f>IFERROR(__xludf.DUMMYFUNCTION("""COMPUTED_VALUE"""),"รัชฎาพร")</f>
        <v>รัชฎาพร</v>
      </c>
      <c r="J433" t="str">
        <f>IFERROR(__xludf.DUMMYFUNCTION("""COMPUTED_VALUE"""),"นิราช")</f>
        <v>นิราช</v>
      </c>
      <c r="K433" t="str">
        <f>IFERROR(__xludf.DUMMYFUNCTION("""COMPUTED_VALUE"""),"รัชฎาพร นิราช")</f>
        <v>รัชฎาพร นิราช</v>
      </c>
      <c r="L433" t="str">
        <f>IFERROR(__xludf.DUMMYFUNCTION("""COMPUTED_VALUE"""),"เมย์")</f>
        <v>เมย์</v>
      </c>
      <c r="M433" t="str">
        <f>IFERROR(__xludf.DUMMYFUNCTION("""COMPUTED_VALUE"""),"Cabin Crew - CNX")</f>
        <v>Cabin Crew - CNX</v>
      </c>
      <c r="N433" t="str">
        <f>IFERROR(__xludf.DUMMYFUNCTION("""COMPUTED_VALUE"""),"CNX")</f>
        <v>CNX</v>
      </c>
      <c r="O433" s="145" t="str">
        <f>IFERROR(__xludf.DUMMYFUNCTION("""COMPUTED_VALUE"""),"Up Home")</f>
        <v>Up Home</v>
      </c>
      <c r="P433" t="str">
        <f>IFERROR(__xludf.DUMMYFUNCTION("""COMPUTED_VALUE"""),"Active")</f>
        <v>Active</v>
      </c>
      <c r="R433" s="143">
        <f>IFERROR(__xludf.DUMMYFUNCTION("""COMPUTED_VALUE"""),31854.0)</f>
        <v>31854</v>
      </c>
      <c r="S433" s="146" t="str">
        <f>IFERROR(__xludf.DUMMYFUNCTION("""COMPUTED_VALUE"""),"084 222 3902")</f>
        <v>084 222 3902</v>
      </c>
      <c r="T433" s="147">
        <f>IFERROR(__xludf.DUMMYFUNCTION("""COMPUTED_VALUE"""),1.509900470641E12)</f>
        <v>1509900470641</v>
      </c>
      <c r="U433" t="str">
        <f>IFERROR(__xludf.DUMMYFUNCTION("""COMPUTED_VALUE"""),"AD2527671")</f>
        <v>AD2527671</v>
      </c>
      <c r="V433" s="148">
        <f>IFERROR(__xludf.DUMMYFUNCTION("""COMPUTED_VALUE"""),45896.0)</f>
        <v>45896</v>
      </c>
      <c r="W433" s="148">
        <f>IFERROR(__xludf.DUMMYFUNCTION("""COMPUTED_VALUE"""),49547.0)</f>
        <v>49547</v>
      </c>
      <c r="X433" s="149">
        <f>IFERROR(__xludf.DUMMYFUNCTION("""COMPUTED_VALUE"""),49366.0)</f>
        <v>49366</v>
      </c>
      <c r="Y433" t="str">
        <f>IFERROR(__xludf.DUMMYFUNCTION("""COMPUTED_VALUE"""),"ปลอดภัย")</f>
        <v>ปลอดภัย</v>
      </c>
      <c r="Z433" t="str">
        <f>IFERROR(__xludf.DUMMYFUNCTION("""COMPUTED_VALUE"""),"Chiang Mai Province")</f>
        <v>Chiang Mai Province</v>
      </c>
      <c r="AA433" t="str">
        <f>IFERROR(__xludf.DUMMYFUNCTION("""COMPUTED_VALUE"""),"Donmueang")</f>
        <v>Donmueang</v>
      </c>
      <c r="AB433" t="str">
        <f>IFERROR(__xludf.DUMMYFUNCTION("""COMPUTED_VALUE"""),"082 033 1998 / 082 033 1990")</f>
        <v>082 033 1998 / 082 033 1990</v>
      </c>
      <c r="AC433" t="str">
        <f>IFERROR(__xludf.DUMMYFUNCTION("""COMPUTED_VALUE"""),"Relative")</f>
        <v>Relative</v>
      </c>
      <c r="AD433" t="str">
        <f>IFERROR(__xludf.DUMMYFUNCTION("""COMPUTED_VALUE"""),"ruchdapornn@airasia.com")</f>
        <v>ruchdapornn@airasia.com</v>
      </c>
    </row>
    <row r="434">
      <c r="A434" s="142">
        <f>IFERROR(__xludf.DUMMYFUNCTION("""COMPUTED_VALUE"""),58.0)</f>
        <v>58</v>
      </c>
      <c r="B434" t="str">
        <f>IFERROR(__xludf.DUMMYFUNCTION("""COMPUTED_VALUE"""),"TAA4111")</f>
        <v>TAA4111</v>
      </c>
      <c r="C434">
        <f>IFERROR(__xludf.DUMMYFUNCTION("""COMPUTED_VALUE"""),1007272.0)</f>
        <v>1007272</v>
      </c>
      <c r="D434" t="str">
        <f>IFERROR(__xludf.DUMMYFUNCTION("""COMPUTED_VALUE"""),"Ms.")</f>
        <v>Ms.</v>
      </c>
      <c r="E434" t="str">
        <f>IFERROR(__xludf.DUMMYFUNCTION("""COMPUTED_VALUE"""),"Sadchakarn")</f>
        <v>Sadchakarn</v>
      </c>
      <c r="F434" t="str">
        <f>IFERROR(__xludf.DUMMYFUNCTION("""COMPUTED_VALUE"""),"Choochomchuen")</f>
        <v>Choochomchuen</v>
      </c>
      <c r="G434" t="str">
        <f>IFERROR(__xludf.DUMMYFUNCTION("""COMPUTED_VALUE"""),"Sadchakarn Choochomchuen")</f>
        <v>Sadchakarn Choochomchuen</v>
      </c>
      <c r="H434" t="str">
        <f>IFERROR(__xludf.DUMMYFUNCTION("""COMPUTED_VALUE"""),"นางสาว")</f>
        <v>นางสาว</v>
      </c>
      <c r="I434" t="str">
        <f>IFERROR(__xludf.DUMMYFUNCTION("""COMPUTED_VALUE"""),"สัชฌากาญจน์")</f>
        <v>สัชฌากาญจน์</v>
      </c>
      <c r="J434" t="str">
        <f>IFERROR(__xludf.DUMMYFUNCTION("""COMPUTED_VALUE"""),"ชูชมชื่น")</f>
        <v>ชูชมชื่น</v>
      </c>
      <c r="K434" t="str">
        <f>IFERROR(__xludf.DUMMYFUNCTION("""COMPUTED_VALUE"""),"สัชฌากาญจน์ ชูชมชื่น")</f>
        <v>สัชฌากาญจน์ ชูชมชื่น</v>
      </c>
      <c r="L434" t="str">
        <f>IFERROR(__xludf.DUMMYFUNCTION("""COMPUTED_VALUE"""),"เกด")</f>
        <v>เกด</v>
      </c>
      <c r="M434" t="str">
        <f>IFERROR(__xludf.DUMMYFUNCTION("""COMPUTED_VALUE"""),"Cabin Crew")</f>
        <v>Cabin Crew</v>
      </c>
      <c r="N434" t="str">
        <f>IFERROR(__xludf.DUMMYFUNCTION("""COMPUTED_VALUE"""),"DMK")</f>
        <v>DMK</v>
      </c>
      <c r="O434" s="145" t="str">
        <f>IFERROR(__xludf.DUMMYFUNCTION("""COMPUTED_VALUE"""),"Por+ Home")</f>
        <v>Por+ Home</v>
      </c>
      <c r="P434" t="str">
        <f>IFERROR(__xludf.DUMMYFUNCTION("""COMPUTED_VALUE"""),"V/LWP")</f>
        <v>V/LWP</v>
      </c>
      <c r="R434" s="143">
        <f>IFERROR(__xludf.DUMMYFUNCTION("""COMPUTED_VALUE"""),31003.0)</f>
        <v>31003</v>
      </c>
      <c r="S434" s="146" t="str">
        <f>IFERROR(__xludf.DUMMYFUNCTION("""COMPUTED_VALUE"""),"087 595 4458")</f>
        <v>087 595 4458</v>
      </c>
      <c r="T434" s="147">
        <f>IFERROR(__xludf.DUMMYFUNCTION("""COMPUTED_VALUE"""),1.80970001576E12)</f>
        <v>1809700015760</v>
      </c>
      <c r="U434" t="str">
        <f>IFERROR(__xludf.DUMMYFUNCTION("""COMPUTED_VALUE"""),"AD1093284")</f>
        <v>AD1093284</v>
      </c>
      <c r="V434" s="148">
        <f>IFERROR(__xludf.DUMMYFUNCTION("""COMPUTED_VALUE"""),45065.0)</f>
        <v>45065</v>
      </c>
      <c r="W434" s="148">
        <f>IFERROR(__xludf.DUMMYFUNCTION("""COMPUTED_VALUE"""),48717.0)</f>
        <v>48717</v>
      </c>
      <c r="X434" s="149">
        <f>IFERROR(__xludf.DUMMYFUNCTION("""COMPUTED_VALUE"""),48536.0)</f>
        <v>48536</v>
      </c>
      <c r="Y434" t="str">
        <f>IFERROR(__xludf.DUMMYFUNCTION("""COMPUTED_VALUE"""),"ปลอดภัย")</f>
        <v>ปลอดภัย</v>
      </c>
      <c r="Z434" t="str">
        <f>IFERROR(__xludf.DUMMYFUNCTION("""COMPUTED_VALUE"""),"Nakhon Si Thammarat Province")</f>
        <v>Nakhon Si Thammarat Province</v>
      </c>
      <c r="AA434" t="str">
        <f>IFERROR(__xludf.DUMMYFUNCTION("""COMPUTED_VALUE"""),"Pravet")</f>
        <v>Pravet</v>
      </c>
      <c r="AB434" t="str">
        <f>IFERROR(__xludf.DUMMYFUNCTION("""COMPUTED_VALUE"""),"081 537 4699")</f>
        <v>081 537 4699</v>
      </c>
      <c r="AC434" t="str">
        <f>IFERROR(__xludf.DUMMYFUNCTION("""COMPUTED_VALUE"""),"Father")</f>
        <v>Father</v>
      </c>
      <c r="AD434" t="str">
        <f>IFERROR(__xludf.DUMMYFUNCTION("""COMPUTED_VALUE"""),"sadchakarnc@airasia.com")</f>
        <v>sadchakarnc@airasia.com</v>
      </c>
    </row>
    <row r="435">
      <c r="A435" s="142">
        <f>IFERROR(__xludf.DUMMYFUNCTION("""COMPUTED_VALUE"""),58.0)</f>
        <v>58</v>
      </c>
      <c r="B435" t="str">
        <f>IFERROR(__xludf.DUMMYFUNCTION("""COMPUTED_VALUE"""),"TAA4089")</f>
        <v>TAA4089</v>
      </c>
      <c r="C435">
        <f>IFERROR(__xludf.DUMMYFUNCTION("""COMPUTED_VALUE"""),1007273.0)</f>
        <v>1007273</v>
      </c>
      <c r="D435" t="str">
        <f>IFERROR(__xludf.DUMMYFUNCTION("""COMPUTED_VALUE"""),"Ms.")</f>
        <v>Ms.</v>
      </c>
      <c r="E435" t="str">
        <f>IFERROR(__xludf.DUMMYFUNCTION("""COMPUTED_VALUE"""),"Sarinya")</f>
        <v>Sarinya</v>
      </c>
      <c r="F435" t="str">
        <f>IFERROR(__xludf.DUMMYFUNCTION("""COMPUTED_VALUE"""),"Phontong")</f>
        <v>Phontong</v>
      </c>
      <c r="G435" t="str">
        <f>IFERROR(__xludf.DUMMYFUNCTION("""COMPUTED_VALUE"""),"Sarinya Phontong")</f>
        <v>Sarinya Phontong</v>
      </c>
      <c r="H435" t="str">
        <f>IFERROR(__xludf.DUMMYFUNCTION("""COMPUTED_VALUE"""),"นางสาว")</f>
        <v>นางสาว</v>
      </c>
      <c r="I435" t="str">
        <f>IFERROR(__xludf.DUMMYFUNCTION("""COMPUTED_VALUE"""),"สริญญา")</f>
        <v>สริญญา</v>
      </c>
      <c r="J435" t="str">
        <f>IFERROR(__xludf.DUMMYFUNCTION("""COMPUTED_VALUE"""),"โพนทอง")</f>
        <v>โพนทอง</v>
      </c>
      <c r="K435" t="str">
        <f>IFERROR(__xludf.DUMMYFUNCTION("""COMPUTED_VALUE"""),"สริญญา โพนทอง")</f>
        <v>สริญญา โพนทอง</v>
      </c>
      <c r="L435" t="str">
        <f>IFERROR(__xludf.DUMMYFUNCTION("""COMPUTED_VALUE"""),"June")</f>
        <v>June</v>
      </c>
      <c r="M435" t="str">
        <f>IFERROR(__xludf.DUMMYFUNCTION("""COMPUTED_VALUE"""),"Cabin Crew")</f>
        <v>Cabin Crew</v>
      </c>
      <c r="N435" t="str">
        <f>IFERROR(__xludf.DUMMYFUNCTION("""COMPUTED_VALUE"""),"DMK")</f>
        <v>DMK</v>
      </c>
      <c r="O435" s="145" t="str">
        <f>IFERROR(__xludf.DUMMYFUNCTION("""COMPUTED_VALUE"""),"Namfon Home")</f>
        <v>Namfon Home</v>
      </c>
      <c r="P435" t="str">
        <f>IFERROR(__xludf.DUMMYFUNCTION("""COMPUTED_VALUE"""),"Active")</f>
        <v>Active</v>
      </c>
      <c r="R435" s="143">
        <f>IFERROR(__xludf.DUMMYFUNCTION("""COMPUTED_VALUE"""),31622.0)</f>
        <v>31622</v>
      </c>
      <c r="S435" s="146" t="str">
        <f>IFERROR(__xludf.DUMMYFUNCTION("""COMPUTED_VALUE"""),"063 249 2336")</f>
        <v>063 249 2336</v>
      </c>
      <c r="T435" s="147">
        <f>IFERROR(__xludf.DUMMYFUNCTION("""COMPUTED_VALUE"""),1.460300085634E12)</f>
        <v>1460300085634</v>
      </c>
      <c r="U435" t="str">
        <f>IFERROR(__xludf.DUMMYFUNCTION("""COMPUTED_VALUE"""),"AC6146246")</f>
        <v>AC6146246</v>
      </c>
      <c r="V435" s="148">
        <f>IFERROR(__xludf.DUMMYFUNCTION("""COMPUTED_VALUE"""),45294.0)</f>
        <v>45294</v>
      </c>
      <c r="W435" s="148">
        <f>IFERROR(__xludf.DUMMYFUNCTION("""COMPUTED_VALUE"""),48946.0)</f>
        <v>48946</v>
      </c>
      <c r="X435" s="149">
        <f>IFERROR(__xludf.DUMMYFUNCTION("""COMPUTED_VALUE"""),48762.0)</f>
        <v>48762</v>
      </c>
      <c r="Y435" t="str">
        <f>IFERROR(__xludf.DUMMYFUNCTION("""COMPUTED_VALUE"""),"ปลอดภัย")</f>
        <v>ปลอดภัย</v>
      </c>
      <c r="Z435" t="str">
        <f>IFERROR(__xludf.DUMMYFUNCTION("""COMPUTED_VALUE"""),"Kalasin Province")</f>
        <v>Kalasin Province</v>
      </c>
      <c r="AD435" t="str">
        <f>IFERROR(__xludf.DUMMYFUNCTION("""COMPUTED_VALUE"""),"sarinyap@airasia.com")</f>
        <v>sarinyap@airasia.com</v>
      </c>
    </row>
    <row r="436">
      <c r="A436" s="142">
        <f>IFERROR(__xludf.DUMMYFUNCTION("""COMPUTED_VALUE"""),58.0)</f>
        <v>58</v>
      </c>
      <c r="B436" t="str">
        <f>IFERROR(__xludf.DUMMYFUNCTION("""COMPUTED_VALUE"""),"TAA4091")</f>
        <v>TAA4091</v>
      </c>
      <c r="C436">
        <f>IFERROR(__xludf.DUMMYFUNCTION("""COMPUTED_VALUE"""),1007274.0)</f>
        <v>1007274</v>
      </c>
      <c r="D436" t="str">
        <f>IFERROR(__xludf.DUMMYFUNCTION("""COMPUTED_VALUE"""),"Ms.")</f>
        <v>Ms.</v>
      </c>
      <c r="E436" t="str">
        <f>IFERROR(__xludf.DUMMYFUNCTION("""COMPUTED_VALUE"""),"Sirapa")</f>
        <v>Sirapa</v>
      </c>
      <c r="F436" t="str">
        <f>IFERROR(__xludf.DUMMYFUNCTION("""COMPUTED_VALUE"""),"Luesut")</f>
        <v>Luesut</v>
      </c>
      <c r="G436" t="str">
        <f>IFERROR(__xludf.DUMMYFUNCTION("""COMPUTED_VALUE"""),"Sirapa Luesut")</f>
        <v>Sirapa Luesut</v>
      </c>
      <c r="H436" t="str">
        <f>IFERROR(__xludf.DUMMYFUNCTION("""COMPUTED_VALUE"""),"นางสาว")</f>
        <v>นางสาว</v>
      </c>
      <c r="I436" t="str">
        <f>IFERROR(__xludf.DUMMYFUNCTION("""COMPUTED_VALUE"""),"สิราภา")</f>
        <v>สิราภา</v>
      </c>
      <c r="J436" t="str">
        <f>IFERROR(__xludf.DUMMYFUNCTION("""COMPUTED_VALUE"""),"ลือสัตย์")</f>
        <v>ลือสัตย์</v>
      </c>
      <c r="K436" t="str">
        <f>IFERROR(__xludf.DUMMYFUNCTION("""COMPUTED_VALUE"""),"สิราภา ลือสัตย์")</f>
        <v>สิราภา ลือสัตย์</v>
      </c>
      <c r="L436" t="str">
        <f>IFERROR(__xludf.DUMMYFUNCTION("""COMPUTED_VALUE"""),"Baitoey")</f>
        <v>Baitoey</v>
      </c>
      <c r="M436" t="str">
        <f>IFERROR(__xludf.DUMMYFUNCTION("""COMPUTED_VALUE"""),"Cabin Crew")</f>
        <v>Cabin Crew</v>
      </c>
      <c r="N436" t="str">
        <f>IFERROR(__xludf.DUMMYFUNCTION("""COMPUTED_VALUE"""),"DMK")</f>
        <v>DMK</v>
      </c>
      <c r="O436" s="145" t="str">
        <f>IFERROR(__xludf.DUMMYFUNCTION("""COMPUTED_VALUE"""),"Namfon Home")</f>
        <v>Namfon Home</v>
      </c>
      <c r="P436" t="str">
        <f>IFERROR(__xludf.DUMMYFUNCTION("""COMPUTED_VALUE"""),"Active")</f>
        <v>Active</v>
      </c>
      <c r="R436" s="143">
        <f>IFERROR(__xludf.DUMMYFUNCTION("""COMPUTED_VALUE"""),31472.0)</f>
        <v>31472</v>
      </c>
      <c r="S436" s="146" t="str">
        <f>IFERROR(__xludf.DUMMYFUNCTION("""COMPUTED_VALUE"""),"081 900 3553")</f>
        <v>081 900 3553</v>
      </c>
      <c r="T436" s="147">
        <f>IFERROR(__xludf.DUMMYFUNCTION("""COMPUTED_VALUE"""),1.100400195051E12)</f>
        <v>1100400195051</v>
      </c>
      <c r="U436" t="str">
        <f>IFERROR(__xludf.DUMMYFUNCTION("""COMPUTED_VALUE"""),"AD0959548")</f>
        <v>AD0959548</v>
      </c>
      <c r="V436" s="148">
        <f>IFERROR(__xludf.DUMMYFUNCTION("""COMPUTED_VALUE"""),45035.0)</f>
        <v>45035</v>
      </c>
      <c r="W436" s="148">
        <f>IFERROR(__xludf.DUMMYFUNCTION("""COMPUTED_VALUE"""),48687.0)</f>
        <v>48687</v>
      </c>
      <c r="X436" s="149">
        <f>IFERROR(__xludf.DUMMYFUNCTION("""COMPUTED_VALUE"""),48505.0)</f>
        <v>48505</v>
      </c>
      <c r="Y436" t="str">
        <f>IFERROR(__xludf.DUMMYFUNCTION("""COMPUTED_VALUE"""),"ปลอดภัย")</f>
        <v>ปลอดภัย</v>
      </c>
      <c r="Z436" t="str">
        <f>IFERROR(__xludf.DUMMYFUNCTION("""COMPUTED_VALUE"""),"Bangkok")</f>
        <v>Bangkok</v>
      </c>
      <c r="AA436" t="str">
        <f>IFERROR(__xludf.DUMMYFUNCTION("""COMPUTED_VALUE"""),"Wangthonglang")</f>
        <v>Wangthonglang</v>
      </c>
      <c r="AB436" t="str">
        <f>IFERROR(__xludf.DUMMYFUNCTION("""COMPUTED_VALUE"""),"02 539 8222 / 081 930 2525 / 087 930 2525")</f>
        <v>02 539 8222 / 081 930 2525 / 087 930 2525</v>
      </c>
      <c r="AC436" t="str">
        <f>IFERROR(__xludf.DUMMYFUNCTION("""COMPUTED_VALUE"""),"Home / Relative")</f>
        <v>Home / Relative</v>
      </c>
      <c r="AD436" t="str">
        <f>IFERROR(__xludf.DUMMYFUNCTION("""COMPUTED_VALUE"""),"sirapal@airasia.com")</f>
        <v>sirapal@airasia.com</v>
      </c>
    </row>
    <row r="437">
      <c r="A437" s="142">
        <f>IFERROR(__xludf.DUMMYFUNCTION("""COMPUTED_VALUE"""),58.0)</f>
        <v>58</v>
      </c>
      <c r="B437" t="str">
        <f>IFERROR(__xludf.DUMMYFUNCTION("""COMPUTED_VALUE"""),"TAA4101")</f>
        <v>TAA4101</v>
      </c>
      <c r="C437">
        <f>IFERROR(__xludf.DUMMYFUNCTION("""COMPUTED_VALUE"""),1007275.0)</f>
        <v>1007275</v>
      </c>
      <c r="D437" t="str">
        <f>IFERROR(__xludf.DUMMYFUNCTION("""COMPUTED_VALUE"""),"Ms.")</f>
        <v>Ms.</v>
      </c>
      <c r="E437" t="str">
        <f>IFERROR(__xludf.DUMMYFUNCTION("""COMPUTED_VALUE"""),"Teeraporn")</f>
        <v>Teeraporn</v>
      </c>
      <c r="F437" t="str">
        <f>IFERROR(__xludf.DUMMYFUNCTION("""COMPUTED_VALUE"""),"Sutthumvilai")</f>
        <v>Sutthumvilai</v>
      </c>
      <c r="G437" t="str">
        <f>IFERROR(__xludf.DUMMYFUNCTION("""COMPUTED_VALUE"""),"Teeraporn Sutthumvilai")</f>
        <v>Teeraporn Sutthumvilai</v>
      </c>
      <c r="H437" t="str">
        <f>IFERROR(__xludf.DUMMYFUNCTION("""COMPUTED_VALUE"""),"นางสาว")</f>
        <v>นางสาว</v>
      </c>
      <c r="I437" t="str">
        <f>IFERROR(__xludf.DUMMYFUNCTION("""COMPUTED_VALUE"""),"ธีรพร")</f>
        <v>ธีรพร</v>
      </c>
      <c r="J437" t="str">
        <f>IFERROR(__xludf.DUMMYFUNCTION("""COMPUTED_VALUE"""),"สัทธรรมวิไล")</f>
        <v>สัทธรรมวิไล</v>
      </c>
      <c r="K437" t="str">
        <f>IFERROR(__xludf.DUMMYFUNCTION("""COMPUTED_VALUE"""),"ธีรพร สัทธรรมวิไล")</f>
        <v>ธีรพร สัทธรรมวิไล</v>
      </c>
      <c r="L437" t="str">
        <f>IFERROR(__xludf.DUMMYFUNCTION("""COMPUTED_VALUE"""),"Gift")</f>
        <v>Gift</v>
      </c>
      <c r="M437" t="str">
        <f>IFERROR(__xludf.DUMMYFUNCTION("""COMPUTED_VALUE"""),"Cabin Crew")</f>
        <v>Cabin Crew</v>
      </c>
      <c r="N437" t="str">
        <f>IFERROR(__xludf.DUMMYFUNCTION("""COMPUTED_VALUE"""),"DMK")</f>
        <v>DMK</v>
      </c>
      <c r="O437" s="145" t="str">
        <f>IFERROR(__xludf.DUMMYFUNCTION("""COMPUTED_VALUE"""),"Namfon Home")</f>
        <v>Namfon Home</v>
      </c>
      <c r="P437" t="str">
        <f>IFERROR(__xludf.DUMMYFUNCTION("""COMPUTED_VALUE"""),"LWP")</f>
        <v>LWP</v>
      </c>
      <c r="R437" s="143">
        <f>IFERROR(__xludf.DUMMYFUNCTION("""COMPUTED_VALUE"""),32085.0)</f>
        <v>32085</v>
      </c>
      <c r="S437" s="146" t="str">
        <f>IFERROR(__xludf.DUMMYFUNCTION("""COMPUTED_VALUE"""),"086 798 7494")</f>
        <v>086 798 7494</v>
      </c>
      <c r="T437" s="147">
        <f>IFERROR(__xludf.DUMMYFUNCTION("""COMPUTED_VALUE"""),1.100400296095E12)</f>
        <v>1100400296095</v>
      </c>
      <c r="U437" t="str">
        <f>IFERROR(__xludf.DUMMYFUNCTION("""COMPUTED_VALUE"""),"AC4362356")</f>
        <v>AC4362356</v>
      </c>
      <c r="V437" s="148">
        <f>IFERROR(__xludf.DUMMYFUNCTION("""COMPUTED_VALUE"""),44943.0)</f>
        <v>44943</v>
      </c>
      <c r="W437" s="148">
        <f>IFERROR(__xludf.DUMMYFUNCTION("""COMPUTED_VALUE"""),48595.0)</f>
        <v>48595</v>
      </c>
      <c r="X437" s="149">
        <f>IFERROR(__xludf.DUMMYFUNCTION("""COMPUTED_VALUE"""),48411.0)</f>
        <v>48411</v>
      </c>
      <c r="Y437" t="str">
        <f>IFERROR(__xludf.DUMMYFUNCTION("""COMPUTED_VALUE"""),"ปลอดภัย")</f>
        <v>ปลอดภัย</v>
      </c>
      <c r="Z437" t="str">
        <f>IFERROR(__xludf.DUMMYFUNCTION("""COMPUTED_VALUE"""),"Bangkok")</f>
        <v>Bangkok</v>
      </c>
      <c r="AA437" t="str">
        <f>IFERROR(__xludf.DUMMYFUNCTION("""COMPUTED_VALUE"""),"Bangkhorleam")</f>
        <v>Bangkhorleam</v>
      </c>
      <c r="AB437" t="str">
        <f>IFERROR(__xludf.DUMMYFUNCTION("""COMPUTED_VALUE"""),"02 291 4216 / 089 160 8042")</f>
        <v>02 291 4216 / 089 160 8042</v>
      </c>
      <c r="AC437" t="str">
        <f>IFERROR(__xludf.DUMMYFUNCTION("""COMPUTED_VALUE"""),"Home / Father")</f>
        <v>Home / Father</v>
      </c>
      <c r="AD437" t="str">
        <f>IFERROR(__xludf.DUMMYFUNCTION("""COMPUTED_VALUE"""),"teeraporns@airasia.com")</f>
        <v>teeraporns@airasia.com</v>
      </c>
    </row>
    <row r="438">
      <c r="A438" s="142">
        <f>IFERROR(__xludf.DUMMYFUNCTION("""COMPUTED_VALUE"""),58.0)</f>
        <v>58</v>
      </c>
      <c r="B438" t="str">
        <f>IFERROR(__xludf.DUMMYFUNCTION("""COMPUTED_VALUE"""),"TAA4099")</f>
        <v>TAA4099</v>
      </c>
      <c r="C438">
        <f>IFERROR(__xludf.DUMMYFUNCTION("""COMPUTED_VALUE"""),1007276.0)</f>
        <v>1007276</v>
      </c>
      <c r="D438" t="str">
        <f>IFERROR(__xludf.DUMMYFUNCTION("""COMPUTED_VALUE"""),"Mr.")</f>
        <v>Mr.</v>
      </c>
      <c r="E438" t="str">
        <f>IFERROR(__xludf.DUMMYFUNCTION("""COMPUTED_VALUE"""),"Teerayut")</f>
        <v>Teerayut</v>
      </c>
      <c r="F438" t="str">
        <f>IFERROR(__xludf.DUMMYFUNCTION("""COMPUTED_VALUE"""),"Worawejwisarn")</f>
        <v>Worawejwisarn</v>
      </c>
      <c r="G438" t="str">
        <f>IFERROR(__xludf.DUMMYFUNCTION("""COMPUTED_VALUE"""),"Teerayut Worawejwisarn")</f>
        <v>Teerayut Worawejwisarn</v>
      </c>
      <c r="H438" t="str">
        <f>IFERROR(__xludf.DUMMYFUNCTION("""COMPUTED_VALUE"""),"นาย")</f>
        <v>นาย</v>
      </c>
      <c r="I438" t="str">
        <f>IFERROR(__xludf.DUMMYFUNCTION("""COMPUTED_VALUE"""),"ธีรยุทธ")</f>
        <v>ธีรยุทธ</v>
      </c>
      <c r="J438" t="str">
        <f>IFERROR(__xludf.DUMMYFUNCTION("""COMPUTED_VALUE"""),"วรเวชวิศาล")</f>
        <v>วรเวชวิศาล</v>
      </c>
      <c r="K438" t="str">
        <f>IFERROR(__xludf.DUMMYFUNCTION("""COMPUTED_VALUE"""),"ธีรยุทธ วรเวชวิศาล")</f>
        <v>ธีรยุทธ วรเวชวิศาล</v>
      </c>
      <c r="L438" t="str">
        <f>IFERROR(__xludf.DUMMYFUNCTION("""COMPUTED_VALUE"""),"Bank")</f>
        <v>Bank</v>
      </c>
      <c r="M438" t="str">
        <f>IFERROR(__xludf.DUMMYFUNCTION("""COMPUTED_VALUE"""),"Cabin Crew")</f>
        <v>Cabin Crew</v>
      </c>
      <c r="N438" t="str">
        <f>IFERROR(__xludf.DUMMYFUNCTION("""COMPUTED_VALUE"""),"DMK")</f>
        <v>DMK</v>
      </c>
      <c r="O438" s="145" t="str">
        <f>IFERROR(__xludf.DUMMYFUNCTION("""COMPUTED_VALUE"""),"Namfon Home")</f>
        <v>Namfon Home</v>
      </c>
      <c r="P438" t="str">
        <f>IFERROR(__xludf.DUMMYFUNCTION("""COMPUTED_VALUE"""),"Active")</f>
        <v>Active</v>
      </c>
      <c r="R438" s="143">
        <f>IFERROR(__xludf.DUMMYFUNCTION("""COMPUTED_VALUE"""),32502.0)</f>
        <v>32502</v>
      </c>
      <c r="S438" s="146" t="str">
        <f>IFERROR(__xludf.DUMMYFUNCTION("""COMPUTED_VALUE"""),"080 000 9493")</f>
        <v>080 000 9493</v>
      </c>
      <c r="T438" s="147">
        <f>IFERROR(__xludf.DUMMYFUNCTION("""COMPUTED_VALUE"""),1.100400370571E12)</f>
        <v>1100400370571</v>
      </c>
      <c r="U438" t="str">
        <f>IFERROR(__xludf.DUMMYFUNCTION("""COMPUTED_VALUE"""),"ad2118892")</f>
        <v>ad2118892</v>
      </c>
      <c r="V438" s="148">
        <f>IFERROR(__xludf.DUMMYFUNCTION("""COMPUTED_VALUE"""),45767.0)</f>
        <v>45767</v>
      </c>
      <c r="W438" s="148">
        <f>IFERROR(__xludf.DUMMYFUNCTION("""COMPUTED_VALUE"""),49418.0)</f>
        <v>49418</v>
      </c>
      <c r="X438" s="149">
        <f>IFERROR(__xludf.DUMMYFUNCTION("""COMPUTED_VALUE"""),49236.0)</f>
        <v>49236</v>
      </c>
      <c r="Y438" t="str">
        <f>IFERROR(__xludf.DUMMYFUNCTION("""COMPUTED_VALUE"""),"ปลอดภัย")</f>
        <v>ปลอดภัย</v>
      </c>
      <c r="Z438" t="str">
        <f>IFERROR(__xludf.DUMMYFUNCTION("""COMPUTED_VALUE"""),"Bangkok")</f>
        <v>Bangkok</v>
      </c>
      <c r="AA438" t="str">
        <f>IFERROR(__xludf.DUMMYFUNCTION("""COMPUTED_VALUE"""),"Samre")</f>
        <v>Samre</v>
      </c>
      <c r="AB438" t="str">
        <f>IFERROR(__xludf.DUMMYFUNCTION("""COMPUTED_VALUE"""),"02 438 7007 / 081 889 0998")</f>
        <v>02 438 7007 / 081 889 0998</v>
      </c>
      <c r="AC438" t="str">
        <f>IFERROR(__xludf.DUMMYFUNCTION("""COMPUTED_VALUE"""),"Home / Relative")</f>
        <v>Home / Relative</v>
      </c>
      <c r="AD438" t="str">
        <f>IFERROR(__xludf.DUMMYFUNCTION("""COMPUTED_VALUE"""),"teerayutw@airasia.com")</f>
        <v>teerayutw@airasia.com</v>
      </c>
    </row>
    <row r="439">
      <c r="A439" s="142">
        <f>IFERROR(__xludf.DUMMYFUNCTION("""COMPUTED_VALUE"""),58.0)</f>
        <v>58</v>
      </c>
      <c r="B439" t="str">
        <f>IFERROR(__xludf.DUMMYFUNCTION("""COMPUTED_VALUE"""),"TAA4094")</f>
        <v>TAA4094</v>
      </c>
      <c r="C439">
        <f>IFERROR(__xludf.DUMMYFUNCTION("""COMPUTED_VALUE"""),1007277.0)</f>
        <v>1007277</v>
      </c>
      <c r="D439" t="str">
        <f>IFERROR(__xludf.DUMMYFUNCTION("""COMPUTED_VALUE"""),"Mr.")</f>
        <v>Mr.</v>
      </c>
      <c r="E439" t="str">
        <f>IFERROR(__xludf.DUMMYFUNCTION("""COMPUTED_VALUE"""),"Theerapat")</f>
        <v>Theerapat</v>
      </c>
      <c r="F439" t="str">
        <f>IFERROR(__xludf.DUMMYFUNCTION("""COMPUTED_VALUE"""),"Sudsawas")</f>
        <v>Sudsawas</v>
      </c>
      <c r="G439" t="str">
        <f>IFERROR(__xludf.DUMMYFUNCTION("""COMPUTED_VALUE"""),"Theerapat Sudsawas")</f>
        <v>Theerapat Sudsawas</v>
      </c>
      <c r="H439" t="str">
        <f>IFERROR(__xludf.DUMMYFUNCTION("""COMPUTED_VALUE"""),"นาย")</f>
        <v>นาย</v>
      </c>
      <c r="I439" t="str">
        <f>IFERROR(__xludf.DUMMYFUNCTION("""COMPUTED_VALUE"""),"ธีรภัทร์")</f>
        <v>ธีรภัทร์</v>
      </c>
      <c r="J439" t="str">
        <f>IFERROR(__xludf.DUMMYFUNCTION("""COMPUTED_VALUE"""),"สุดสวาสดิ์")</f>
        <v>สุดสวาสดิ์</v>
      </c>
      <c r="K439" t="str">
        <f>IFERROR(__xludf.DUMMYFUNCTION("""COMPUTED_VALUE"""),"ธีรภัทร์ สุดสวาสดิ์")</f>
        <v>ธีรภัทร์ สุดสวาสดิ์</v>
      </c>
      <c r="L439" t="str">
        <f>IFERROR(__xludf.DUMMYFUNCTION("""COMPUTED_VALUE"""),"ไอติม")</f>
        <v>ไอติม</v>
      </c>
      <c r="M439" t="str">
        <f>IFERROR(__xludf.DUMMYFUNCTION("""COMPUTED_VALUE"""),"Cabin Crew")</f>
        <v>Cabin Crew</v>
      </c>
      <c r="N439" t="str">
        <f>IFERROR(__xludf.DUMMYFUNCTION("""COMPUTED_VALUE"""),"DMK")</f>
        <v>DMK</v>
      </c>
      <c r="O439" s="145" t="str">
        <f>IFERROR(__xludf.DUMMYFUNCTION("""COMPUTED_VALUE"""),"Por+ Home")</f>
        <v>Por+ Home</v>
      </c>
      <c r="P439" t="str">
        <f>IFERROR(__xludf.DUMMYFUNCTION("""COMPUTED_VALUE"""),"Active")</f>
        <v>Active</v>
      </c>
      <c r="R439" s="143">
        <f>IFERROR(__xludf.DUMMYFUNCTION("""COMPUTED_VALUE"""),31842.0)</f>
        <v>31842</v>
      </c>
      <c r="S439" s="146" t="str">
        <f>IFERROR(__xludf.DUMMYFUNCTION("""COMPUTED_VALUE"""),"062 914 4469")</f>
        <v>062 914 4469</v>
      </c>
      <c r="T439" s="147">
        <f>IFERROR(__xludf.DUMMYFUNCTION("""COMPUTED_VALUE"""),1.55990010095E12)</f>
        <v>1559900100950</v>
      </c>
      <c r="U439" t="str">
        <f>IFERROR(__xludf.DUMMYFUNCTION("""COMPUTED_VALUE"""),"AD0650291")</f>
        <v>AD0650291</v>
      </c>
      <c r="V439" s="148">
        <f>IFERROR(__xludf.DUMMYFUNCTION("""COMPUTED_VALUE"""),44945.0)</f>
        <v>44945</v>
      </c>
      <c r="W439" s="148">
        <f>IFERROR(__xludf.DUMMYFUNCTION("""COMPUTED_VALUE"""),48597.0)</f>
        <v>48597</v>
      </c>
      <c r="X439" s="149">
        <f>IFERROR(__xludf.DUMMYFUNCTION("""COMPUTED_VALUE"""),48413.0)</f>
        <v>48413</v>
      </c>
      <c r="Y439" t="str">
        <f>IFERROR(__xludf.DUMMYFUNCTION("""COMPUTED_VALUE"""),"ปลอดภัย")</f>
        <v>ปลอดภัย</v>
      </c>
      <c r="Z439" t="str">
        <f>IFERROR(__xludf.DUMMYFUNCTION("""COMPUTED_VALUE"""),"Nan Province")</f>
        <v>Nan Province</v>
      </c>
      <c r="AA439" t="str">
        <f>IFERROR(__xludf.DUMMYFUNCTION("""COMPUTED_VALUE"""),"Bangkhaen")</f>
        <v>Bangkhaen</v>
      </c>
      <c r="AB439" t="str">
        <f>IFERROR(__xludf.DUMMYFUNCTION("""COMPUTED_VALUE"""),"087 182 7437")</f>
        <v>087 182 7437</v>
      </c>
      <c r="AC439" t="str">
        <f>IFERROR(__xludf.DUMMYFUNCTION("""COMPUTED_VALUE"""),"Relative")</f>
        <v>Relative</v>
      </c>
      <c r="AD439" t="str">
        <f>IFERROR(__xludf.DUMMYFUNCTION("""COMPUTED_VALUE"""),"theerapats@airasia.com")</f>
        <v>theerapats@airasia.com</v>
      </c>
    </row>
    <row r="440">
      <c r="A440" s="142">
        <f>IFERROR(__xludf.DUMMYFUNCTION("""COMPUTED_VALUE"""),58.0)</f>
        <v>58</v>
      </c>
      <c r="B440" t="str">
        <f>IFERROR(__xludf.DUMMYFUNCTION("""COMPUTED_VALUE"""),"TAA4100")</f>
        <v>TAA4100</v>
      </c>
      <c r="C440">
        <f>IFERROR(__xludf.DUMMYFUNCTION("""COMPUTED_VALUE"""),1007279.0)</f>
        <v>1007279</v>
      </c>
      <c r="D440" t="str">
        <f>IFERROR(__xludf.DUMMYFUNCTION("""COMPUTED_VALUE"""),"Ms.")</f>
        <v>Ms.</v>
      </c>
      <c r="E440" t="str">
        <f>IFERROR(__xludf.DUMMYFUNCTION("""COMPUTED_VALUE"""),"Tulaya")</f>
        <v>Tulaya</v>
      </c>
      <c r="F440" t="str">
        <f>IFERROR(__xludf.DUMMYFUNCTION("""COMPUTED_VALUE"""),"Arayapisutigoon")</f>
        <v>Arayapisutigoon</v>
      </c>
      <c r="G440" t="str">
        <f>IFERROR(__xludf.DUMMYFUNCTION("""COMPUTED_VALUE"""),"Tulaya Arayapisutigoon")</f>
        <v>Tulaya Arayapisutigoon</v>
      </c>
      <c r="H440" t="str">
        <f>IFERROR(__xludf.DUMMYFUNCTION("""COMPUTED_VALUE"""),"นางสาว")</f>
        <v>นางสาว</v>
      </c>
      <c r="I440" t="str">
        <f>IFERROR(__xludf.DUMMYFUNCTION("""COMPUTED_VALUE"""),"ตุลยา")</f>
        <v>ตุลยา</v>
      </c>
      <c r="J440" t="str">
        <f>IFERROR(__xludf.DUMMYFUNCTION("""COMPUTED_VALUE"""),"อารยะพิสุทธิกูร")</f>
        <v>อารยะพิสุทธิกูร</v>
      </c>
      <c r="K440" t="str">
        <f>IFERROR(__xludf.DUMMYFUNCTION("""COMPUTED_VALUE"""),"ตุลยา อารยะพิสุทธิกูร")</f>
        <v>ตุลยา อารยะพิสุทธิกูร</v>
      </c>
      <c r="L440" t="str">
        <f>IFERROR(__xludf.DUMMYFUNCTION("""COMPUTED_VALUE"""),"Nink")</f>
        <v>Nink</v>
      </c>
      <c r="M440" t="str">
        <f>IFERROR(__xludf.DUMMYFUNCTION("""COMPUTED_VALUE"""),"Senior Cabin Crew - CNX")</f>
        <v>Senior Cabin Crew - CNX</v>
      </c>
      <c r="N440" t="str">
        <f>IFERROR(__xludf.DUMMYFUNCTION("""COMPUTED_VALUE"""),"CNX")</f>
        <v>CNX</v>
      </c>
      <c r="O440" s="145" t="str">
        <f>IFERROR(__xludf.DUMMYFUNCTION("""COMPUTED_VALUE"""),"Up Home")</f>
        <v>Up Home</v>
      </c>
      <c r="P440" t="str">
        <f>IFERROR(__xludf.DUMMYFUNCTION("""COMPUTED_VALUE"""),"Active")</f>
        <v>Active</v>
      </c>
      <c r="R440" s="143">
        <f>IFERROR(__xludf.DUMMYFUNCTION("""COMPUTED_VALUE"""),30236.0)</f>
        <v>30236</v>
      </c>
      <c r="S440" s="146" t="str">
        <f>IFERROR(__xludf.DUMMYFUNCTION("""COMPUTED_VALUE"""),"062 659 5624")</f>
        <v>062 659 5624</v>
      </c>
      <c r="T440" s="147">
        <f>IFERROR(__xludf.DUMMYFUNCTION("""COMPUTED_VALUE"""),3.102001028681E12)</f>
        <v>3102001028681</v>
      </c>
      <c r="U440" t="str">
        <f>IFERROR(__xludf.DUMMYFUNCTION("""COMPUTED_VALUE"""),"AC7968395")</f>
        <v>AC7968395</v>
      </c>
      <c r="V440" s="148">
        <f>IFERROR(__xludf.DUMMYFUNCTION("""COMPUTED_VALUE"""),45698.0)</f>
        <v>45698</v>
      </c>
      <c r="W440" s="148">
        <f>IFERROR(__xludf.DUMMYFUNCTION("""COMPUTED_VALUE"""),49349.0)</f>
        <v>49349</v>
      </c>
      <c r="X440" s="149">
        <f>IFERROR(__xludf.DUMMYFUNCTION("""COMPUTED_VALUE"""),49165.0)</f>
        <v>49165</v>
      </c>
      <c r="Y440" t="str">
        <f>IFERROR(__xludf.DUMMYFUNCTION("""COMPUTED_VALUE"""),"ปลอดภัย")</f>
        <v>ปลอดภัย</v>
      </c>
      <c r="Z440" t="str">
        <f>IFERROR(__xludf.DUMMYFUNCTION("""COMPUTED_VALUE"""),"Bangkok")</f>
        <v>Bangkok</v>
      </c>
      <c r="AA440" t="str">
        <f>IFERROR(__xludf.DUMMYFUNCTION("""COMPUTED_VALUE"""),"Talingchan")</f>
        <v>Talingchan</v>
      </c>
      <c r="AB440" t="str">
        <f>IFERROR(__xludf.DUMMYFUNCTION("""COMPUTED_VALUE"""),"02 887 6581 / 089 166 6360")</f>
        <v>02 887 6581 / 089 166 6360</v>
      </c>
      <c r="AC440" t="str">
        <f>IFERROR(__xludf.DUMMYFUNCTION("""COMPUTED_VALUE"""),"Home / Relative")</f>
        <v>Home / Relative</v>
      </c>
      <c r="AD440" t="str">
        <f>IFERROR(__xludf.DUMMYFUNCTION("""COMPUTED_VALUE"""),"tulayaa@airasia.com")</f>
        <v>tulayaa@airasia.com</v>
      </c>
    </row>
    <row r="441">
      <c r="A441" s="142">
        <f>IFERROR(__xludf.DUMMYFUNCTION("""COMPUTED_VALUE"""),58.0)</f>
        <v>58</v>
      </c>
      <c r="B441" t="str">
        <f>IFERROR(__xludf.DUMMYFUNCTION("""COMPUTED_VALUE"""),"TAA4105")</f>
        <v>TAA4105</v>
      </c>
      <c r="C441">
        <f>IFERROR(__xludf.DUMMYFUNCTION("""COMPUTED_VALUE"""),1007280.0)</f>
        <v>1007280</v>
      </c>
      <c r="D441" t="str">
        <f>IFERROR(__xludf.DUMMYFUNCTION("""COMPUTED_VALUE"""),"Ms.")</f>
        <v>Ms.</v>
      </c>
      <c r="E441" t="str">
        <f>IFERROR(__xludf.DUMMYFUNCTION("""COMPUTED_VALUE"""),"Warittha")</f>
        <v>Warittha</v>
      </c>
      <c r="F441" t="str">
        <f>IFERROR(__xludf.DUMMYFUNCTION("""COMPUTED_VALUE"""),"Pinthong")</f>
        <v>Pinthong</v>
      </c>
      <c r="G441" t="str">
        <f>IFERROR(__xludf.DUMMYFUNCTION("""COMPUTED_VALUE"""),"Warittha Pinthong")</f>
        <v>Warittha Pinthong</v>
      </c>
      <c r="H441" t="str">
        <f>IFERROR(__xludf.DUMMYFUNCTION("""COMPUTED_VALUE"""),"นางสาว")</f>
        <v>นางสาว</v>
      </c>
      <c r="I441" t="str">
        <f>IFERROR(__xludf.DUMMYFUNCTION("""COMPUTED_VALUE"""),"วริษฐา")</f>
        <v>วริษฐา</v>
      </c>
      <c r="J441" t="str">
        <f>IFERROR(__xludf.DUMMYFUNCTION("""COMPUTED_VALUE"""),"ปินธง")</f>
        <v>ปินธง</v>
      </c>
      <c r="K441" t="str">
        <f>IFERROR(__xludf.DUMMYFUNCTION("""COMPUTED_VALUE"""),"วริษฐา ปินธง")</f>
        <v>วริษฐา ปินธง</v>
      </c>
      <c r="L441" t="str">
        <f>IFERROR(__xludf.DUMMYFUNCTION("""COMPUTED_VALUE"""),"บุ๊งกี๋")</f>
        <v>บุ๊งกี๋</v>
      </c>
      <c r="M441" t="str">
        <f>IFERROR(__xludf.DUMMYFUNCTION("""COMPUTED_VALUE"""),"Cabin Crew - CNX")</f>
        <v>Cabin Crew - CNX</v>
      </c>
      <c r="N441" t="str">
        <f>IFERROR(__xludf.DUMMYFUNCTION("""COMPUTED_VALUE"""),"CNX")</f>
        <v>CNX</v>
      </c>
      <c r="O441" s="145" t="str">
        <f>IFERROR(__xludf.DUMMYFUNCTION("""COMPUTED_VALUE"""),"Up Home")</f>
        <v>Up Home</v>
      </c>
      <c r="P441" t="str">
        <f>IFERROR(__xludf.DUMMYFUNCTION("""COMPUTED_VALUE"""),"Active")</f>
        <v>Active</v>
      </c>
      <c r="R441" s="143">
        <f>IFERROR(__xludf.DUMMYFUNCTION("""COMPUTED_VALUE"""),31854.0)</f>
        <v>31854</v>
      </c>
      <c r="S441" s="146">
        <f>IFERROR(__xludf.DUMMYFUNCTION("""COMPUTED_VALUE"""),9.61682292E8)</f>
        <v>961682292</v>
      </c>
      <c r="T441" s="147">
        <f>IFERROR(__xludf.DUMMYFUNCTION("""COMPUTED_VALUE"""),1.509900470684E12)</f>
        <v>1509900470684</v>
      </c>
      <c r="U441" t="str">
        <f>IFERROR(__xludf.DUMMYFUNCTION("""COMPUTED_VALUE"""),"ad3327550")</f>
        <v>ad3327550</v>
      </c>
      <c r="V441" s="148">
        <f>IFERROR(__xludf.DUMMYFUNCTION("""COMPUTED_VALUE"""),46098.0)</f>
        <v>46098</v>
      </c>
      <c r="W441" s="148">
        <f>IFERROR(__xludf.DUMMYFUNCTION("""COMPUTED_VALUE"""),49750.0)</f>
        <v>49750</v>
      </c>
      <c r="X441" s="149">
        <f>IFERROR(__xludf.DUMMYFUNCTION("""COMPUTED_VALUE"""),49568.0)</f>
        <v>49568</v>
      </c>
      <c r="Y441" t="str">
        <f>IFERROR(__xludf.DUMMYFUNCTION("""COMPUTED_VALUE"""),"ปลอดภัย")</f>
        <v>ปลอดภัย</v>
      </c>
      <c r="Z441" t="str">
        <f>IFERROR(__xludf.DUMMYFUNCTION("""COMPUTED_VALUE"""),"Chiang Mai Province")</f>
        <v>Chiang Mai Province</v>
      </c>
      <c r="AA441" t="str">
        <f>IFERROR(__xludf.DUMMYFUNCTION("""COMPUTED_VALUE"""),"Donmueang")</f>
        <v>Donmueang</v>
      </c>
      <c r="AB441" t="str">
        <f>IFERROR(__xludf.DUMMYFUNCTION("""COMPUTED_VALUE"""),"083 092 3363 / 084 935 9877")</f>
        <v>083 092 3363 / 084 935 9877</v>
      </c>
      <c r="AC441" t="str">
        <f>IFERROR(__xludf.DUMMYFUNCTION("""COMPUTED_VALUE"""),"Relative")</f>
        <v>Relative</v>
      </c>
      <c r="AD441" t="str">
        <f>IFERROR(__xludf.DUMMYFUNCTION("""COMPUTED_VALUE"""),"waritthap@airasia.com")</f>
        <v>waritthap@airasia.com</v>
      </c>
    </row>
    <row r="442">
      <c r="A442" s="142">
        <f>IFERROR(__xludf.DUMMYFUNCTION("""COMPUTED_VALUE"""),58.0)</f>
        <v>58</v>
      </c>
      <c r="B442" t="str">
        <f>IFERROR(__xludf.DUMMYFUNCTION("""COMPUTED_VALUE"""),"TAA4110")</f>
        <v>TAA4110</v>
      </c>
      <c r="C442">
        <f>IFERROR(__xludf.DUMMYFUNCTION("""COMPUTED_VALUE"""),1007281.0)</f>
        <v>1007281</v>
      </c>
      <c r="D442" t="str">
        <f>IFERROR(__xludf.DUMMYFUNCTION("""COMPUTED_VALUE"""),"Ms.")</f>
        <v>Ms.</v>
      </c>
      <c r="E442" t="str">
        <f>IFERROR(__xludf.DUMMYFUNCTION("""COMPUTED_VALUE"""),"Warodom")</f>
        <v>Warodom</v>
      </c>
      <c r="F442" t="str">
        <f>IFERROR(__xludf.DUMMYFUNCTION("""COMPUTED_VALUE"""),"Wongswasdi")</f>
        <v>Wongswasdi</v>
      </c>
      <c r="G442" t="str">
        <f>IFERROR(__xludf.DUMMYFUNCTION("""COMPUTED_VALUE"""),"Warodom Wongswasdi")</f>
        <v>Warodom Wongswasdi</v>
      </c>
      <c r="H442" t="str">
        <f>IFERROR(__xludf.DUMMYFUNCTION("""COMPUTED_VALUE"""),"นางสาว")</f>
        <v>นางสาว</v>
      </c>
      <c r="I442" t="str">
        <f>IFERROR(__xludf.DUMMYFUNCTION("""COMPUTED_VALUE"""),"วโรดม")</f>
        <v>วโรดม</v>
      </c>
      <c r="J442" t="str">
        <f>IFERROR(__xludf.DUMMYFUNCTION("""COMPUTED_VALUE"""),"วงศ์สวัสดิ์")</f>
        <v>วงศ์สวัสดิ์</v>
      </c>
      <c r="K442" t="str">
        <f>IFERROR(__xludf.DUMMYFUNCTION("""COMPUTED_VALUE"""),"วโรดม วงศ์สวัสดิ์")</f>
        <v>วโรดม วงศ์สวัสดิ์</v>
      </c>
      <c r="L442" t="str">
        <f>IFERROR(__xludf.DUMMYFUNCTION("""COMPUTED_VALUE"""),"Ice")</f>
        <v>Ice</v>
      </c>
      <c r="M442" t="str">
        <f>IFERROR(__xludf.DUMMYFUNCTION("""COMPUTED_VALUE"""),"Senior Cabin Crew")</f>
        <v>Senior Cabin Crew</v>
      </c>
      <c r="N442" t="str">
        <f>IFERROR(__xludf.DUMMYFUNCTION("""COMPUTED_VALUE"""),"DMK")</f>
        <v>DMK</v>
      </c>
      <c r="O442" s="145" t="str">
        <f>IFERROR(__xludf.DUMMYFUNCTION("""COMPUTED_VALUE"""),"Por+ Home")</f>
        <v>Por+ Home</v>
      </c>
      <c r="P442" t="str">
        <f>IFERROR(__xludf.DUMMYFUNCTION("""COMPUTED_VALUE"""),"Active")</f>
        <v>Active</v>
      </c>
      <c r="R442" s="143">
        <f>IFERROR(__xludf.DUMMYFUNCTION("""COMPUTED_VALUE"""),31595.0)</f>
        <v>31595</v>
      </c>
      <c r="S442" s="146" t="str">
        <f>IFERROR(__xludf.DUMMYFUNCTION("""COMPUTED_VALUE"""),"090 969 6742")</f>
        <v>090 969 6742</v>
      </c>
      <c r="T442" s="147">
        <f>IFERROR(__xludf.DUMMYFUNCTION("""COMPUTED_VALUE"""),1.101400723083E12)</f>
        <v>1101400723083</v>
      </c>
      <c r="U442" t="str">
        <f>IFERROR(__xludf.DUMMYFUNCTION("""COMPUTED_VALUE"""),"AC7498030")</f>
        <v>AC7498030</v>
      </c>
      <c r="V442" s="148">
        <f>IFERROR(__xludf.DUMMYFUNCTION("""COMPUTED_VALUE"""),45534.0)</f>
        <v>45534</v>
      </c>
      <c r="W442" s="148">
        <f>IFERROR(__xludf.DUMMYFUNCTION("""COMPUTED_VALUE"""),49185.0)</f>
        <v>49185</v>
      </c>
      <c r="X442" s="149">
        <f>IFERROR(__xludf.DUMMYFUNCTION("""COMPUTED_VALUE"""),49003.0)</f>
        <v>49003</v>
      </c>
      <c r="Y442" t="str">
        <f>IFERROR(__xludf.DUMMYFUNCTION("""COMPUTED_VALUE"""),"ปลอดภัย")</f>
        <v>ปลอดภัย</v>
      </c>
      <c r="Z442" t="str">
        <f>IFERROR(__xludf.DUMMYFUNCTION("""COMPUTED_VALUE"""),"Bangkok")</f>
        <v>Bangkok</v>
      </c>
      <c r="AA442" t="str">
        <f>IFERROR(__xludf.DUMMYFUNCTION("""COMPUTED_VALUE"""),"Bangkhaen")</f>
        <v>Bangkhaen</v>
      </c>
      <c r="AB442" t="str">
        <f>IFERROR(__xludf.DUMMYFUNCTION("""COMPUTED_VALUE"""),"02 510 1756 / 085 907 8554")</f>
        <v>02 510 1756 / 085 907 8554</v>
      </c>
      <c r="AC442" t="str">
        <f>IFERROR(__xludf.DUMMYFUNCTION("""COMPUTED_VALUE"""),"Home / Mother")</f>
        <v>Home / Mother</v>
      </c>
      <c r="AD442" t="str">
        <f>IFERROR(__xludf.DUMMYFUNCTION("""COMPUTED_VALUE"""),"warodomw@airasia.com")</f>
        <v>warodomw@airasia.com</v>
      </c>
    </row>
    <row r="443">
      <c r="AD443" t="str">
        <f>IFERROR(__xludf.DUMMYFUNCTION("""COMPUTED_VALUE"""),"")</f>
        <v/>
      </c>
    </row>
    <row r="444">
      <c r="A444" s="142">
        <f>IFERROR(__xludf.DUMMYFUNCTION("""COMPUTED_VALUE"""),59.0)</f>
        <v>59</v>
      </c>
      <c r="B444" t="str">
        <f>IFERROR(__xludf.DUMMYFUNCTION("""COMPUTED_VALUE"""),"TAA2095")</f>
        <v>TAA2095</v>
      </c>
      <c r="C444">
        <f>IFERROR(__xludf.DUMMYFUNCTION("""COMPUTED_VALUE"""),1002348.0)</f>
        <v>1002348</v>
      </c>
      <c r="D444" t="str">
        <f>IFERROR(__xludf.DUMMYFUNCTION("""COMPUTED_VALUE"""),"Ms.")</f>
        <v>Ms.</v>
      </c>
      <c r="E444" t="str">
        <f>IFERROR(__xludf.DUMMYFUNCTION("""COMPUTED_VALUE"""),"Warisa")</f>
        <v>Warisa</v>
      </c>
      <c r="F444" t="str">
        <f>IFERROR(__xludf.DUMMYFUNCTION("""COMPUTED_VALUE"""),"Ployruengrussamee")</f>
        <v>Ployruengrussamee</v>
      </c>
      <c r="G444" t="str">
        <f>IFERROR(__xludf.DUMMYFUNCTION("""COMPUTED_VALUE"""),"Warisa Ployruengrussamee")</f>
        <v>Warisa Ployruengrussamee</v>
      </c>
      <c r="H444" t="str">
        <f>IFERROR(__xludf.DUMMYFUNCTION("""COMPUTED_VALUE"""),"นางสาว")</f>
        <v>นางสาว</v>
      </c>
      <c r="I444" t="str">
        <f>IFERROR(__xludf.DUMMYFUNCTION("""COMPUTED_VALUE"""),"วริษา")</f>
        <v>วริษา</v>
      </c>
      <c r="J444" t="str">
        <f>IFERROR(__xludf.DUMMYFUNCTION("""COMPUTED_VALUE"""),"พลอยเรืองรัศมี")</f>
        <v>พลอยเรืองรัศมี</v>
      </c>
      <c r="K444" t="str">
        <f>IFERROR(__xludf.DUMMYFUNCTION("""COMPUTED_VALUE"""),"วริษา พลอยเรืองรัศมี")</f>
        <v>วริษา พลอยเรืองรัศมี</v>
      </c>
      <c r="L444" t="str">
        <f>IFERROR(__xludf.DUMMYFUNCTION("""COMPUTED_VALUE"""),"Poy")</f>
        <v>Poy</v>
      </c>
      <c r="M444" t="str">
        <f>IFERROR(__xludf.DUMMYFUNCTION("""COMPUTED_VALUE"""),"Cabin Crew")</f>
        <v>Cabin Crew</v>
      </c>
      <c r="N444" t="str">
        <f>IFERROR(__xludf.DUMMYFUNCTION("""COMPUTED_VALUE"""),"DMK")</f>
        <v>DMK</v>
      </c>
      <c r="O444" s="145" t="str">
        <f>IFERROR(__xludf.DUMMYFUNCTION("""COMPUTED_VALUE"""),"Toffy Home")</f>
        <v>Toffy Home</v>
      </c>
      <c r="P444" t="str">
        <f>IFERROR(__xludf.DUMMYFUNCTION("""COMPUTED_VALUE"""),"V/LWP")</f>
        <v>V/LWP</v>
      </c>
      <c r="R444" s="143">
        <f>IFERROR(__xludf.DUMMYFUNCTION("""COMPUTED_VALUE"""),31344.0)</f>
        <v>31344</v>
      </c>
      <c r="S444" s="146" t="str">
        <f>IFERROR(__xludf.DUMMYFUNCTION("""COMPUTED_VALUE"""),"084 668 3791")</f>
        <v>084 668 3791</v>
      </c>
      <c r="T444" s="147">
        <f>IFERROR(__xludf.DUMMYFUNCTION("""COMPUTED_VALUE"""),1.100699007094E12)</f>
        <v>1100699007094</v>
      </c>
      <c r="U444" t="str">
        <f>IFERROR(__xludf.DUMMYFUNCTION("""COMPUTED_VALUE"""),"AC2657255")</f>
        <v>AC2657255</v>
      </c>
      <c r="V444" s="148">
        <f>IFERROR(__xludf.DUMMYFUNCTION("""COMPUTED_VALUE"""),44567.0)</f>
        <v>44567</v>
      </c>
      <c r="W444" s="148">
        <f>IFERROR(__xludf.DUMMYFUNCTION("""COMPUTED_VALUE"""),48218.0)</f>
        <v>48218</v>
      </c>
      <c r="X444" s="149">
        <f>IFERROR(__xludf.DUMMYFUNCTION("""COMPUTED_VALUE"""),48034.0)</f>
        <v>48034</v>
      </c>
      <c r="Y444" t="str">
        <f>IFERROR(__xludf.DUMMYFUNCTION("""COMPUTED_VALUE"""),"ปลอดภัย")</f>
        <v>ปลอดภัย</v>
      </c>
      <c r="Z444" t="str">
        <f>IFERROR(__xludf.DUMMYFUNCTION("""COMPUTED_VALUE"""),"Bangkok")</f>
        <v>Bangkok</v>
      </c>
      <c r="AA444" t="str">
        <f>IFERROR(__xludf.DUMMYFUNCTION("""COMPUTED_VALUE"""),"Buengkum")</f>
        <v>Buengkum</v>
      </c>
      <c r="AB444" t="str">
        <f>IFERROR(__xludf.DUMMYFUNCTION("""COMPUTED_VALUE"""),"02 733 6008 / 089 676 8225")</f>
        <v>02 733 6008 / 089 676 8225</v>
      </c>
      <c r="AC444" t="str">
        <f>IFERROR(__xludf.DUMMYFUNCTION("""COMPUTED_VALUE"""),"Father")</f>
        <v>Father</v>
      </c>
      <c r="AD444" t="str">
        <f>IFERROR(__xludf.DUMMYFUNCTION("""COMPUTED_VALUE"""),"warisap@airasia.com")</f>
        <v>warisap@airasia.com</v>
      </c>
    </row>
    <row r="445">
      <c r="A445" s="142">
        <f>IFERROR(__xludf.DUMMYFUNCTION("""COMPUTED_VALUE"""),59.0)</f>
        <v>59</v>
      </c>
      <c r="B445" t="str">
        <f>IFERROR(__xludf.DUMMYFUNCTION("""COMPUTED_VALUE"""),"TAA2544")</f>
        <v>TAA2544</v>
      </c>
      <c r="C445">
        <f>IFERROR(__xludf.DUMMYFUNCTION("""COMPUTED_VALUE"""),1003373.0)</f>
        <v>1003373</v>
      </c>
      <c r="D445" t="str">
        <f>IFERROR(__xludf.DUMMYFUNCTION("""COMPUTED_VALUE"""),"Mr.")</f>
        <v>Mr.</v>
      </c>
      <c r="E445" t="str">
        <f>IFERROR(__xludf.DUMMYFUNCTION("""COMPUTED_VALUE"""),"Sarawut")</f>
        <v>Sarawut</v>
      </c>
      <c r="F445" t="str">
        <f>IFERROR(__xludf.DUMMYFUNCTION("""COMPUTED_VALUE"""),"Rakdee")</f>
        <v>Rakdee</v>
      </c>
      <c r="G445" t="str">
        <f>IFERROR(__xludf.DUMMYFUNCTION("""COMPUTED_VALUE"""),"Sarawut Rakdee")</f>
        <v>Sarawut Rakdee</v>
      </c>
      <c r="H445" t="str">
        <f>IFERROR(__xludf.DUMMYFUNCTION("""COMPUTED_VALUE"""),"นาย")</f>
        <v>นาย</v>
      </c>
      <c r="I445" t="str">
        <f>IFERROR(__xludf.DUMMYFUNCTION("""COMPUTED_VALUE"""),"ศราวุฒิ")</f>
        <v>ศราวุฒิ</v>
      </c>
      <c r="J445" t="str">
        <f>IFERROR(__xludf.DUMMYFUNCTION("""COMPUTED_VALUE"""),"รักดี")</f>
        <v>รักดี</v>
      </c>
      <c r="K445" t="str">
        <f>IFERROR(__xludf.DUMMYFUNCTION("""COMPUTED_VALUE"""),"ศราวุฒิ รักดี")</f>
        <v>ศราวุฒิ รักดี</v>
      </c>
      <c r="L445" t="str">
        <f>IFERROR(__xludf.DUMMYFUNCTION("""COMPUTED_VALUE"""),"Tum")</f>
        <v>Tum</v>
      </c>
      <c r="M445" t="str">
        <f>IFERROR(__xludf.DUMMYFUNCTION("""COMPUTED_VALUE"""),"Cabin Crew")</f>
        <v>Cabin Crew</v>
      </c>
      <c r="N445" t="str">
        <f>IFERROR(__xludf.DUMMYFUNCTION("""COMPUTED_VALUE"""),"DMK")</f>
        <v>DMK</v>
      </c>
      <c r="O445" s="145" t="str">
        <f>IFERROR(__xludf.DUMMYFUNCTION("""COMPUTED_VALUE"""),"Kor Home")</f>
        <v>Kor Home</v>
      </c>
      <c r="P445" t="str">
        <f>IFERROR(__xludf.DUMMYFUNCTION("""COMPUTED_VALUE"""),"Active")</f>
        <v>Active</v>
      </c>
      <c r="R445" s="143">
        <f>IFERROR(__xludf.DUMMYFUNCTION("""COMPUTED_VALUE"""),31745.0)</f>
        <v>31745</v>
      </c>
      <c r="S445" s="146" t="str">
        <f>IFERROR(__xludf.DUMMYFUNCTION("""COMPUTED_VALUE"""),"089 725 0056")</f>
        <v>089 725 0056</v>
      </c>
      <c r="T445" s="147">
        <f>IFERROR(__xludf.DUMMYFUNCTION("""COMPUTED_VALUE"""),1.101400864345E12)</f>
        <v>1101400864345</v>
      </c>
      <c r="U445" t="str">
        <f>IFERROR(__xludf.DUMMYFUNCTION("""COMPUTED_VALUE"""),"AC6444514")</f>
        <v>AC6444514</v>
      </c>
      <c r="V445" s="148">
        <f>IFERROR(__xludf.DUMMYFUNCTION("""COMPUTED_VALUE"""),45372.0)</f>
        <v>45372</v>
      </c>
      <c r="W445" s="148">
        <f>IFERROR(__xludf.DUMMYFUNCTION("""COMPUTED_VALUE"""),49023.0)</f>
        <v>49023</v>
      </c>
      <c r="X445" s="149">
        <f>IFERROR(__xludf.DUMMYFUNCTION("""COMPUTED_VALUE"""),48842.0)</f>
        <v>48842</v>
      </c>
      <c r="Y445" t="str">
        <f>IFERROR(__xludf.DUMMYFUNCTION("""COMPUTED_VALUE"""),"ปลอดภัย")</f>
        <v>ปลอดภัย</v>
      </c>
      <c r="Z445" t="str">
        <f>IFERROR(__xludf.DUMMYFUNCTION("""COMPUTED_VALUE"""),"Bangkok")</f>
        <v>Bangkok</v>
      </c>
      <c r="AA445" t="str">
        <f>IFERROR(__xludf.DUMMYFUNCTION("""COMPUTED_VALUE"""),"Nakhon Si Thammarat")</f>
        <v>Nakhon Si Thammarat</v>
      </c>
      <c r="AB445" t="str">
        <f>IFERROR(__xludf.DUMMYFUNCTION("""COMPUTED_VALUE"""),"075 446 253 / 084 306 4141")</f>
        <v>075 446 253 / 084 306 4141</v>
      </c>
      <c r="AC445" t="str">
        <f>IFERROR(__xludf.DUMMYFUNCTION("""COMPUTED_VALUE"""),"Home / Relative")</f>
        <v>Home / Relative</v>
      </c>
      <c r="AD445" t="str">
        <f>IFERROR(__xludf.DUMMYFUNCTION("""COMPUTED_VALUE"""),"sarawutr@airasia.com")</f>
        <v>sarawutr@airasia.com</v>
      </c>
    </row>
    <row r="446">
      <c r="A446" s="142">
        <f>IFERROR(__xludf.DUMMYFUNCTION("""COMPUTED_VALUE"""),59.0)</f>
        <v>59</v>
      </c>
      <c r="B446" t="str">
        <f>IFERROR(__xludf.DUMMYFUNCTION("""COMPUTED_VALUE"""),"TAA2618")</f>
        <v>TAA2618</v>
      </c>
      <c r="C446">
        <f>IFERROR(__xludf.DUMMYFUNCTION("""COMPUTED_VALUE"""),1003425.0)</f>
        <v>1003425</v>
      </c>
      <c r="D446" t="str">
        <f>IFERROR(__xludf.DUMMYFUNCTION("""COMPUTED_VALUE"""),"Mr.")</f>
        <v>Mr.</v>
      </c>
      <c r="E446" t="str">
        <f>IFERROR(__xludf.DUMMYFUNCTION("""COMPUTED_VALUE"""),"Ake")</f>
        <v>Ake</v>
      </c>
      <c r="F446" t="str">
        <f>IFERROR(__xludf.DUMMYFUNCTION("""COMPUTED_VALUE"""),"Choetsobhon")</f>
        <v>Choetsobhon</v>
      </c>
      <c r="G446" t="str">
        <f>IFERROR(__xludf.DUMMYFUNCTION("""COMPUTED_VALUE"""),"Ake Choetsobhon")</f>
        <v>Ake Choetsobhon</v>
      </c>
      <c r="H446" t="str">
        <f>IFERROR(__xludf.DUMMYFUNCTION("""COMPUTED_VALUE"""),"นาย")</f>
        <v>นาย</v>
      </c>
      <c r="I446" t="str">
        <f>IFERROR(__xludf.DUMMYFUNCTION("""COMPUTED_VALUE"""),"เอก")</f>
        <v>เอก</v>
      </c>
      <c r="J446" t="str">
        <f>IFERROR(__xludf.DUMMYFUNCTION("""COMPUTED_VALUE"""),"โชติโสภณ")</f>
        <v>โชติโสภณ</v>
      </c>
      <c r="K446" t="str">
        <f>IFERROR(__xludf.DUMMYFUNCTION("""COMPUTED_VALUE"""),"เอก โชติโสภณ")</f>
        <v>เอก โชติโสภณ</v>
      </c>
      <c r="L446" t="str">
        <f>IFERROR(__xludf.DUMMYFUNCTION("""COMPUTED_VALUE"""),"เอก")</f>
        <v>เอก</v>
      </c>
      <c r="M446" t="str">
        <f>IFERROR(__xludf.DUMMYFUNCTION("""COMPUTED_VALUE"""),"Cabin Crew")</f>
        <v>Cabin Crew</v>
      </c>
      <c r="N446" t="str">
        <f>IFERROR(__xludf.DUMMYFUNCTION("""COMPUTED_VALUE"""),"DMK")</f>
        <v>DMK</v>
      </c>
      <c r="O446" s="145" t="str">
        <f>IFERROR(__xludf.DUMMYFUNCTION("""COMPUTED_VALUE"""),"Um Home")</f>
        <v>Um Home</v>
      </c>
      <c r="P446" t="str">
        <f>IFERROR(__xludf.DUMMYFUNCTION("""COMPUTED_VALUE"""),"Active")</f>
        <v>Active</v>
      </c>
      <c r="R446" s="143">
        <f>IFERROR(__xludf.DUMMYFUNCTION("""COMPUTED_VALUE"""),31183.0)</f>
        <v>31183</v>
      </c>
      <c r="S446" s="146" t="str">
        <f>IFERROR(__xludf.DUMMYFUNCTION("""COMPUTED_VALUE"""),"084 001 7429")</f>
        <v>084 001 7429</v>
      </c>
      <c r="T446" s="147">
        <f>IFERROR(__xludf.DUMMYFUNCTION("""COMPUTED_VALUE"""),1.100500079096E12)</f>
        <v>1100500079096</v>
      </c>
      <c r="U446" t="str">
        <f>IFERROR(__xludf.DUMMYFUNCTION("""COMPUTED_VALUE"""),"AC6247005")</f>
        <v>AC6247005</v>
      </c>
      <c r="V446" s="148">
        <f>IFERROR(__xludf.DUMMYFUNCTION("""COMPUTED_VALUE"""),45309.0)</f>
        <v>45309</v>
      </c>
      <c r="W446" s="148">
        <f>IFERROR(__xludf.DUMMYFUNCTION("""COMPUTED_VALUE"""),48961.0)</f>
        <v>48961</v>
      </c>
      <c r="X446" s="149">
        <f>IFERROR(__xludf.DUMMYFUNCTION("""COMPUTED_VALUE"""),48777.0)</f>
        <v>48777</v>
      </c>
      <c r="Y446" t="str">
        <f>IFERROR(__xludf.DUMMYFUNCTION("""COMPUTED_VALUE"""),"ปลอดภัย")</f>
        <v>ปลอดภัย</v>
      </c>
      <c r="Z446" t="str">
        <f>IFERROR(__xludf.DUMMYFUNCTION("""COMPUTED_VALUE"""),"Bangkok")</f>
        <v>Bangkok</v>
      </c>
      <c r="AA446" t="str">
        <f>IFERROR(__xludf.DUMMYFUNCTION("""COMPUTED_VALUE"""),"Pathumthani")</f>
        <v>Pathumthani</v>
      </c>
      <c r="AB446" t="str">
        <f>IFERROR(__xludf.DUMMYFUNCTION("""COMPUTED_VALUE"""),"02 567 3530 / 081 488 3907")</f>
        <v>02 567 3530 / 081 488 3907</v>
      </c>
      <c r="AC446" t="str">
        <f>IFERROR(__xludf.DUMMYFUNCTION("""COMPUTED_VALUE"""),"Home / Relative")</f>
        <v>Home / Relative</v>
      </c>
      <c r="AD446" t="str">
        <f>IFERROR(__xludf.DUMMYFUNCTION("""COMPUTED_VALUE"""),"akec@airasia.com")</f>
        <v>akec@airasia.com</v>
      </c>
    </row>
    <row r="447">
      <c r="A447" s="142">
        <f>IFERROR(__xludf.DUMMYFUNCTION("""COMPUTED_VALUE"""),59.0)</f>
        <v>59</v>
      </c>
      <c r="B447" t="str">
        <f>IFERROR(__xludf.DUMMYFUNCTION("""COMPUTED_VALUE"""),"TAA2769")</f>
        <v>TAA2769</v>
      </c>
      <c r="C447">
        <f>IFERROR(__xludf.DUMMYFUNCTION("""COMPUTED_VALUE"""),1003942.0)</f>
        <v>1003942</v>
      </c>
      <c r="D447" t="str">
        <f>IFERROR(__xludf.DUMMYFUNCTION("""COMPUTED_VALUE"""),"Ms.")</f>
        <v>Ms.</v>
      </c>
      <c r="E447" t="str">
        <f>IFERROR(__xludf.DUMMYFUNCTION("""COMPUTED_VALUE"""),"Wilawan")</f>
        <v>Wilawan</v>
      </c>
      <c r="F447" t="str">
        <f>IFERROR(__xludf.DUMMYFUNCTION("""COMPUTED_VALUE"""),"Auttamaphan")</f>
        <v>Auttamaphan</v>
      </c>
      <c r="G447" t="str">
        <f>IFERROR(__xludf.DUMMYFUNCTION("""COMPUTED_VALUE"""),"Wilawan Auttamaphan")</f>
        <v>Wilawan Auttamaphan</v>
      </c>
      <c r="H447" t="str">
        <f>IFERROR(__xludf.DUMMYFUNCTION("""COMPUTED_VALUE"""),"นางสาว")</f>
        <v>นางสาว</v>
      </c>
      <c r="I447" t="str">
        <f>IFERROR(__xludf.DUMMYFUNCTION("""COMPUTED_VALUE"""),"วิลาวัณย์")</f>
        <v>วิลาวัณย์</v>
      </c>
      <c r="J447" t="str">
        <f>IFERROR(__xludf.DUMMYFUNCTION("""COMPUTED_VALUE"""),"อุตมะพันธุ์")</f>
        <v>อุตมะพันธุ์</v>
      </c>
      <c r="K447" t="str">
        <f>IFERROR(__xludf.DUMMYFUNCTION("""COMPUTED_VALUE"""),"วิลาวัณย์ อุตมะพันธุ์")</f>
        <v>วิลาวัณย์ อุตมะพันธุ์</v>
      </c>
      <c r="L447" t="str">
        <f>IFERROR(__xludf.DUMMYFUNCTION("""COMPUTED_VALUE"""),"กวาง")</f>
        <v>กวาง</v>
      </c>
      <c r="M447" t="str">
        <f>IFERROR(__xludf.DUMMYFUNCTION("""COMPUTED_VALUE"""),"Cabin Crew")</f>
        <v>Cabin Crew</v>
      </c>
      <c r="N447" t="str">
        <f>IFERROR(__xludf.DUMMYFUNCTION("""COMPUTED_VALUE"""),"DMK")</f>
        <v>DMK</v>
      </c>
      <c r="O447" s="145" t="str">
        <f>IFERROR(__xludf.DUMMYFUNCTION("""COMPUTED_VALUE"""),"Up Home")</f>
        <v>Up Home</v>
      </c>
      <c r="P447" t="str">
        <f>IFERROR(__xludf.DUMMYFUNCTION("""COMPUTED_VALUE"""),"Active")</f>
        <v>Active</v>
      </c>
      <c r="R447" s="143">
        <f>IFERROR(__xludf.DUMMYFUNCTION("""COMPUTED_VALUE"""),31210.0)</f>
        <v>31210</v>
      </c>
      <c r="S447" s="146" t="str">
        <f>IFERROR(__xludf.DUMMYFUNCTION("""COMPUTED_VALUE"""),"083-909-8224")</f>
        <v>083-909-8224</v>
      </c>
      <c r="T447" s="147">
        <f>IFERROR(__xludf.DUMMYFUNCTION("""COMPUTED_VALUE"""),1.12010004144E12)</f>
        <v>1120100041440</v>
      </c>
      <c r="U447" t="str">
        <f>IFERROR(__xludf.DUMMYFUNCTION("""COMPUTED_VALUE"""),"AC2989879")</f>
        <v>AC2989879</v>
      </c>
      <c r="V447" s="148">
        <f>IFERROR(__xludf.DUMMYFUNCTION("""COMPUTED_VALUE"""),44650.0)</f>
        <v>44650</v>
      </c>
      <c r="W447" s="148">
        <f>IFERROR(__xludf.DUMMYFUNCTION("""COMPUTED_VALUE"""),48302.0)</f>
        <v>48302</v>
      </c>
      <c r="X447" s="149">
        <f>IFERROR(__xludf.DUMMYFUNCTION("""COMPUTED_VALUE"""),48120.0)</f>
        <v>48120</v>
      </c>
      <c r="Y447" t="str">
        <f>IFERROR(__xludf.DUMMYFUNCTION("""COMPUTED_VALUE"""),"ปลอดภัย")</f>
        <v>ปลอดภัย</v>
      </c>
      <c r="Z447" t="str">
        <f>IFERROR(__xludf.DUMMYFUNCTION("""COMPUTED_VALUE"""),"Nonthaburi Province")</f>
        <v>Nonthaburi Province</v>
      </c>
      <c r="AA447" t="str">
        <f>IFERROR(__xludf.DUMMYFUNCTION("""COMPUTED_VALUE"""),"Laksi")</f>
        <v>Laksi</v>
      </c>
      <c r="AB447" t="str">
        <f>IFERROR(__xludf.DUMMYFUNCTION("""COMPUTED_VALUE"""),"089 795 9045")</f>
        <v>089 795 9045</v>
      </c>
      <c r="AC447" t="str">
        <f>IFERROR(__xludf.DUMMYFUNCTION("""COMPUTED_VALUE"""),"Relative")</f>
        <v>Relative</v>
      </c>
      <c r="AD447" t="str">
        <f>IFERROR(__xludf.DUMMYFUNCTION("""COMPUTED_VALUE"""),"wilawana@airasia.com")</f>
        <v>wilawana@airasia.com</v>
      </c>
    </row>
    <row r="448">
      <c r="A448" s="142">
        <f>IFERROR(__xludf.DUMMYFUNCTION("""COMPUTED_VALUE"""),59.0)</f>
        <v>59</v>
      </c>
      <c r="B448" t="str">
        <f>IFERROR(__xludf.DUMMYFUNCTION("""COMPUTED_VALUE"""),"TAA2580")</f>
        <v>TAA2580</v>
      </c>
      <c r="C448">
        <f>IFERROR(__xludf.DUMMYFUNCTION("""COMPUTED_VALUE"""),1004016.0)</f>
        <v>1004016</v>
      </c>
      <c r="D448" t="str">
        <f>IFERROR(__xludf.DUMMYFUNCTION("""COMPUTED_VALUE"""),"Mr.")</f>
        <v>Mr.</v>
      </c>
      <c r="E448" t="str">
        <f>IFERROR(__xludf.DUMMYFUNCTION("""COMPUTED_VALUE"""),"Khamkhun (Aphichat)")</f>
        <v>Khamkhun (Aphichat)</v>
      </c>
      <c r="F448" t="str">
        <f>IFERROR(__xludf.DUMMYFUNCTION("""COMPUTED_VALUE"""),"Thapnoo")</f>
        <v>Thapnoo</v>
      </c>
      <c r="G448" t="str">
        <f>IFERROR(__xludf.DUMMYFUNCTION("""COMPUTED_VALUE"""),"Khamkhun Thapnoo")</f>
        <v>Khamkhun Thapnoo</v>
      </c>
      <c r="H448" t="str">
        <f>IFERROR(__xludf.DUMMYFUNCTION("""COMPUTED_VALUE"""),"นาย")</f>
        <v>นาย</v>
      </c>
      <c r="I448" t="str">
        <f>IFERROR(__xludf.DUMMYFUNCTION("""COMPUTED_VALUE"""),"คัมคุน (อภิชาติ)")</f>
        <v>คัมคุน (อภิชาติ)</v>
      </c>
      <c r="J448" t="str">
        <f>IFERROR(__xludf.DUMMYFUNCTION("""COMPUTED_VALUE"""),"เทพหนู")</f>
        <v>เทพหนู</v>
      </c>
      <c r="K448" t="str">
        <f>IFERROR(__xludf.DUMMYFUNCTION("""COMPUTED_VALUE"""),"คัมคุน เทพหนู")</f>
        <v>คัมคุน เทพหนู</v>
      </c>
      <c r="L448" t="str">
        <f>IFERROR(__xludf.DUMMYFUNCTION("""COMPUTED_VALUE"""),"ไอซ์")</f>
        <v>ไอซ์</v>
      </c>
      <c r="M448" t="str">
        <f>IFERROR(__xludf.DUMMYFUNCTION("""COMPUTED_VALUE"""),"Cabin Crew - CNX")</f>
        <v>Cabin Crew - CNX</v>
      </c>
      <c r="N448" t="str">
        <f>IFERROR(__xludf.DUMMYFUNCTION("""COMPUTED_VALUE"""),"CNX")</f>
        <v>CNX</v>
      </c>
      <c r="O448" s="145" t="str">
        <f>IFERROR(__xludf.DUMMYFUNCTION("""COMPUTED_VALUE"""),"Up Home")</f>
        <v>Up Home</v>
      </c>
      <c r="P448" t="str">
        <f>IFERROR(__xludf.DUMMYFUNCTION("""COMPUTED_VALUE"""),"Active")</f>
        <v>Active</v>
      </c>
      <c r="R448" s="143">
        <f>IFERROR(__xludf.DUMMYFUNCTION("""COMPUTED_VALUE"""),32141.0)</f>
        <v>32141</v>
      </c>
      <c r="S448" s="146">
        <f>IFERROR(__xludf.DUMMYFUNCTION("""COMPUTED_VALUE"""),8.26697962E8)</f>
        <v>826697962</v>
      </c>
      <c r="T448" s="147">
        <f>IFERROR(__xludf.DUMMYFUNCTION("""COMPUTED_VALUE"""),1.93090010672E12)</f>
        <v>1930900106720</v>
      </c>
      <c r="U448" t="str">
        <f>IFERROR(__xludf.DUMMYFUNCTION("""COMPUTED_VALUE"""),"AC6651513")</f>
        <v>AC6651513</v>
      </c>
      <c r="V448" s="148">
        <f>IFERROR(__xludf.DUMMYFUNCTION("""COMPUTED_VALUE"""),45408.0)</f>
        <v>45408</v>
      </c>
      <c r="W448" s="148">
        <f>IFERROR(__xludf.DUMMYFUNCTION("""COMPUTED_VALUE"""),49059.0)</f>
        <v>49059</v>
      </c>
      <c r="X448" s="149">
        <f>IFERROR(__xludf.DUMMYFUNCTION("""COMPUTED_VALUE"""),48877.0)</f>
        <v>48877</v>
      </c>
      <c r="Y448" t="str">
        <f>IFERROR(__xludf.DUMMYFUNCTION("""COMPUTED_VALUE"""),"ปลอดภัย")</f>
        <v>ปลอดภัย</v>
      </c>
      <c r="Z448" t="str">
        <f>IFERROR(__xludf.DUMMYFUNCTION("""COMPUTED_VALUE"""),"Phatthalung Province")</f>
        <v>Phatthalung Province</v>
      </c>
      <c r="AA448" t="str">
        <f>IFERROR(__xludf.DUMMYFUNCTION("""COMPUTED_VALUE"""),"Ramindra")</f>
        <v>Ramindra</v>
      </c>
      <c r="AB448" t="str">
        <f>IFERROR(__xludf.DUMMYFUNCTION("""COMPUTED_VALUE"""),"086 284 5458")</f>
        <v>086 284 5458</v>
      </c>
      <c r="AC448" t="str">
        <f>IFERROR(__xludf.DUMMYFUNCTION("""COMPUTED_VALUE"""),"Relative")</f>
        <v>Relative</v>
      </c>
      <c r="AD448" t="str">
        <f>IFERROR(__xludf.DUMMYFUNCTION("""COMPUTED_VALUE"""),"khamkhunt@airasia.com")</f>
        <v>khamkhunt@airasia.com</v>
      </c>
    </row>
    <row r="449">
      <c r="A449" s="142">
        <f>IFERROR(__xludf.DUMMYFUNCTION("""COMPUTED_VALUE"""),59.0)</f>
        <v>59</v>
      </c>
      <c r="B449" t="str">
        <f>IFERROR(__xludf.DUMMYFUNCTION("""COMPUTED_VALUE"""),"TAA2835")</f>
        <v>TAA2835</v>
      </c>
      <c r="C449">
        <f>IFERROR(__xludf.DUMMYFUNCTION("""COMPUTED_VALUE"""),1004069.0)</f>
        <v>1004069</v>
      </c>
      <c r="D449" t="str">
        <f>IFERROR(__xludf.DUMMYFUNCTION("""COMPUTED_VALUE"""),"Ms.")</f>
        <v>Ms.</v>
      </c>
      <c r="E449" t="str">
        <f>IFERROR(__xludf.DUMMYFUNCTION("""COMPUTED_VALUE"""),"Pimnicha")</f>
        <v>Pimnicha</v>
      </c>
      <c r="F449" t="str">
        <f>IFERROR(__xludf.DUMMYFUNCTION("""COMPUTED_VALUE"""),"Boriromyawong")</f>
        <v>Boriromyawong</v>
      </c>
      <c r="G449" t="str">
        <f>IFERROR(__xludf.DUMMYFUNCTION("""COMPUTED_VALUE"""),"Pimnicha Boriromyawong")</f>
        <v>Pimnicha Boriromyawong</v>
      </c>
      <c r="H449" t="str">
        <f>IFERROR(__xludf.DUMMYFUNCTION("""COMPUTED_VALUE"""),"นางสาว")</f>
        <v>นางสาว</v>
      </c>
      <c r="I449" t="str">
        <f>IFERROR(__xludf.DUMMYFUNCTION("""COMPUTED_VALUE"""),"พิมพ์ณิชา")</f>
        <v>พิมพ์ณิชา</v>
      </c>
      <c r="J449" t="str">
        <f>IFERROR(__xludf.DUMMYFUNCTION("""COMPUTED_VALUE"""),"บริรมยาวงศ์")</f>
        <v>บริรมยาวงศ์</v>
      </c>
      <c r="K449" t="str">
        <f>IFERROR(__xludf.DUMMYFUNCTION("""COMPUTED_VALUE"""),"พิมพ์ณิชา บริรมยาวงศ์")</f>
        <v>พิมพ์ณิชา บริรมยาวงศ์</v>
      </c>
      <c r="L449" t="str">
        <f>IFERROR(__xludf.DUMMYFUNCTION("""COMPUTED_VALUE"""),"Dear")</f>
        <v>Dear</v>
      </c>
      <c r="M449" t="str">
        <f>IFERROR(__xludf.DUMMYFUNCTION("""COMPUTED_VALUE"""),"Cabin Crew - HKT")</f>
        <v>Cabin Crew - HKT</v>
      </c>
      <c r="N449" t="str">
        <f>IFERROR(__xludf.DUMMYFUNCTION("""COMPUTED_VALUE"""),"HKT")</f>
        <v>HKT</v>
      </c>
      <c r="O449" s="145" t="str">
        <f>IFERROR(__xludf.DUMMYFUNCTION("""COMPUTED_VALUE"""),"Kor Home")</f>
        <v>Kor Home</v>
      </c>
      <c r="P449" t="str">
        <f>IFERROR(__xludf.DUMMYFUNCTION("""COMPUTED_VALUE"""),"Active")</f>
        <v>Active</v>
      </c>
      <c r="R449" s="143">
        <f>IFERROR(__xludf.DUMMYFUNCTION("""COMPUTED_VALUE"""),32406.0)</f>
        <v>32406</v>
      </c>
      <c r="S449" s="146" t="str">
        <f>IFERROR(__xludf.DUMMYFUNCTION("""COMPUTED_VALUE"""),"080 991 7965")</f>
        <v>080 991 7965</v>
      </c>
      <c r="T449" s="147">
        <f>IFERROR(__xludf.DUMMYFUNCTION("""COMPUTED_VALUE"""),1.929900162226E12)</f>
        <v>1929900162226</v>
      </c>
      <c r="U449" t="str">
        <f>IFERROR(__xludf.DUMMYFUNCTION("""COMPUTED_VALUE"""),"AD2096477")</f>
        <v>AD2096477</v>
      </c>
      <c r="V449" s="148">
        <f>IFERROR(__xludf.DUMMYFUNCTION("""COMPUTED_VALUE"""),45726.0)</f>
        <v>45726</v>
      </c>
      <c r="W449" s="148">
        <f>IFERROR(__xludf.DUMMYFUNCTION("""COMPUTED_VALUE"""),49377.0)</f>
        <v>49377</v>
      </c>
      <c r="X449" s="149">
        <f>IFERROR(__xludf.DUMMYFUNCTION("""COMPUTED_VALUE"""),49196.0)</f>
        <v>49196</v>
      </c>
      <c r="Y449" t="str">
        <f>IFERROR(__xludf.DUMMYFUNCTION("""COMPUTED_VALUE"""),"ปลอดภัย")</f>
        <v>ปลอดภัย</v>
      </c>
      <c r="Z449" t="str">
        <f>IFERROR(__xludf.DUMMYFUNCTION("""COMPUTED_VALUE"""),"Trang Province")</f>
        <v>Trang Province</v>
      </c>
      <c r="AA449" t="str">
        <f>IFERROR(__xludf.DUMMYFUNCTION("""COMPUTED_VALUE"""),"Phuket")</f>
        <v>Phuket</v>
      </c>
      <c r="AB449" t="str">
        <f>IFERROR(__xludf.DUMMYFUNCTION("""COMPUTED_VALUE"""),"081 691 7105")</f>
        <v>081 691 7105</v>
      </c>
      <c r="AC449" t="str">
        <f>IFERROR(__xludf.DUMMYFUNCTION("""COMPUTED_VALUE"""),"Mother")</f>
        <v>Mother</v>
      </c>
      <c r="AD449" t="str">
        <f>IFERROR(__xludf.DUMMYFUNCTION("""COMPUTED_VALUE"""),"pimnichab@airasia.com")</f>
        <v>pimnichab@airasia.com</v>
      </c>
    </row>
    <row r="450">
      <c r="A450" s="142">
        <f>IFERROR(__xludf.DUMMYFUNCTION("""COMPUTED_VALUE"""),59.0)</f>
        <v>59</v>
      </c>
      <c r="B450" t="str">
        <f>IFERROR(__xludf.DUMMYFUNCTION("""COMPUTED_VALUE"""),"TAA2937")</f>
        <v>TAA2937</v>
      </c>
      <c r="C450">
        <f>IFERROR(__xludf.DUMMYFUNCTION("""COMPUTED_VALUE"""),1004294.0)</f>
        <v>1004294</v>
      </c>
      <c r="D450" t="str">
        <f>IFERROR(__xludf.DUMMYFUNCTION("""COMPUTED_VALUE"""),"Mr.")</f>
        <v>Mr.</v>
      </c>
      <c r="E450" t="str">
        <f>IFERROR(__xludf.DUMMYFUNCTION("""COMPUTED_VALUE"""),"Kawinwat")</f>
        <v>Kawinwat</v>
      </c>
      <c r="F450" t="str">
        <f>IFERROR(__xludf.DUMMYFUNCTION("""COMPUTED_VALUE"""),"Pringplert")</f>
        <v>Pringplert</v>
      </c>
      <c r="G450" t="str">
        <f>IFERROR(__xludf.DUMMYFUNCTION("""COMPUTED_VALUE"""),"Kawinwat Pringplert")</f>
        <v>Kawinwat Pringplert</v>
      </c>
      <c r="H450" t="str">
        <f>IFERROR(__xludf.DUMMYFUNCTION("""COMPUTED_VALUE"""),"นาย")</f>
        <v>นาย</v>
      </c>
      <c r="I450" t="str">
        <f>IFERROR(__xludf.DUMMYFUNCTION("""COMPUTED_VALUE"""),"กวินวัฒน์")</f>
        <v>กวินวัฒน์</v>
      </c>
      <c r="J450" t="str">
        <f>IFERROR(__xludf.DUMMYFUNCTION("""COMPUTED_VALUE"""),"พริ้งเพริด")</f>
        <v>พริ้งเพริด</v>
      </c>
      <c r="K450" t="str">
        <f>IFERROR(__xludf.DUMMYFUNCTION("""COMPUTED_VALUE"""),"กวินวัฒน์ พริ้งเพริด")</f>
        <v>กวินวัฒน์ พริ้งเพริด</v>
      </c>
      <c r="L450" t="str">
        <f>IFERROR(__xludf.DUMMYFUNCTION("""COMPUTED_VALUE"""),"Eve")</f>
        <v>Eve</v>
      </c>
      <c r="M450" t="str">
        <f>IFERROR(__xludf.DUMMYFUNCTION("""COMPUTED_VALUE"""),"Cabin Crew")</f>
        <v>Cabin Crew</v>
      </c>
      <c r="N450" t="str">
        <f>IFERROR(__xludf.DUMMYFUNCTION("""COMPUTED_VALUE"""),"DMK")</f>
        <v>DMK</v>
      </c>
      <c r="O450" s="145" t="str">
        <f>IFERROR(__xludf.DUMMYFUNCTION("""COMPUTED_VALUE"""),"Por+ Home")</f>
        <v>Por+ Home</v>
      </c>
      <c r="P450" t="str">
        <f>IFERROR(__xludf.DUMMYFUNCTION("""COMPUTED_VALUE"""),"Active")</f>
        <v>Active</v>
      </c>
      <c r="R450" s="143">
        <f>IFERROR(__xludf.DUMMYFUNCTION("""COMPUTED_VALUE"""),31758.0)</f>
        <v>31758</v>
      </c>
      <c r="S450" s="146" t="str">
        <f>IFERROR(__xludf.DUMMYFUNCTION("""COMPUTED_VALUE"""),"084 146 1931")</f>
        <v>084 146 1931</v>
      </c>
      <c r="T450" s="147">
        <f>IFERROR(__xludf.DUMMYFUNCTION("""COMPUTED_VALUE"""),1.549900102901E12)</f>
        <v>1549900102901</v>
      </c>
      <c r="U450" t="str">
        <f>IFERROR(__xludf.DUMMYFUNCTION("""COMPUTED_VALUE"""),"AC5420115")</f>
        <v>AC5420115</v>
      </c>
      <c r="V450" s="148">
        <f>IFERROR(__xludf.DUMMYFUNCTION("""COMPUTED_VALUE"""),45145.0)</f>
        <v>45145</v>
      </c>
      <c r="W450" s="148">
        <f>IFERROR(__xludf.DUMMYFUNCTION("""COMPUTED_VALUE"""),48797.0)</f>
        <v>48797</v>
      </c>
      <c r="X450" s="149">
        <f>IFERROR(__xludf.DUMMYFUNCTION("""COMPUTED_VALUE"""),48616.0)</f>
        <v>48616</v>
      </c>
      <c r="Y450" t="str">
        <f>IFERROR(__xludf.DUMMYFUNCTION("""COMPUTED_VALUE"""),"ปลอดภัย")</f>
        <v>ปลอดภัย</v>
      </c>
      <c r="Z450" t="str">
        <f>IFERROR(__xludf.DUMMYFUNCTION("""COMPUTED_VALUE"""),"Phrae Province")</f>
        <v>Phrae Province</v>
      </c>
      <c r="AA450" t="str">
        <f>IFERROR(__xludf.DUMMYFUNCTION("""COMPUTED_VALUE"""),"Jatuchak")</f>
        <v>Jatuchak</v>
      </c>
      <c r="AB450" t="str">
        <f>IFERROR(__xludf.DUMMYFUNCTION("""COMPUTED_VALUE"""),"081 022 4105")</f>
        <v>081 022 4105</v>
      </c>
      <c r="AC450" t="str">
        <f>IFERROR(__xludf.DUMMYFUNCTION("""COMPUTED_VALUE"""),"Father")</f>
        <v>Father</v>
      </c>
      <c r="AD450" t="str">
        <f>IFERROR(__xludf.DUMMYFUNCTION("""COMPUTED_VALUE"""),"kawinwatp@airasia.com")</f>
        <v>kawinwatp@airasia.com</v>
      </c>
    </row>
    <row r="451">
      <c r="A451" s="142">
        <f>IFERROR(__xludf.DUMMYFUNCTION("""COMPUTED_VALUE"""),59.0)</f>
        <v>59</v>
      </c>
      <c r="B451" t="str">
        <f>IFERROR(__xludf.DUMMYFUNCTION("""COMPUTED_VALUE"""),"TAA2938")</f>
        <v>TAA2938</v>
      </c>
      <c r="C451">
        <f>IFERROR(__xludf.DUMMYFUNCTION("""COMPUTED_VALUE"""),1004297.0)</f>
        <v>1004297</v>
      </c>
      <c r="D451" t="str">
        <f>IFERROR(__xludf.DUMMYFUNCTION("""COMPUTED_VALUE"""),"Ms.")</f>
        <v>Ms.</v>
      </c>
      <c r="E451" t="str">
        <f>IFERROR(__xludf.DUMMYFUNCTION("""COMPUTED_VALUE"""),"Palil")</f>
        <v>Palil</v>
      </c>
      <c r="F451" t="str">
        <f>IFERROR(__xludf.DUMMYFUNCTION("""COMPUTED_VALUE"""),"Borisutsuwan")</f>
        <v>Borisutsuwan</v>
      </c>
      <c r="G451" t="str">
        <f>IFERROR(__xludf.DUMMYFUNCTION("""COMPUTED_VALUE"""),"Palil Borisutsuwan")</f>
        <v>Palil Borisutsuwan</v>
      </c>
      <c r="H451" t="str">
        <f>IFERROR(__xludf.DUMMYFUNCTION("""COMPUTED_VALUE"""),"นางสาว")</f>
        <v>นางสาว</v>
      </c>
      <c r="I451" t="str">
        <f>IFERROR(__xludf.DUMMYFUNCTION("""COMPUTED_VALUE"""),"ปาลิล")</f>
        <v>ปาลิล</v>
      </c>
      <c r="J451" t="str">
        <f>IFERROR(__xludf.DUMMYFUNCTION("""COMPUTED_VALUE"""),"บริสุทธิ์สุวรรณ์")</f>
        <v>บริสุทธิ์สุวรรณ์</v>
      </c>
      <c r="K451" t="str">
        <f>IFERROR(__xludf.DUMMYFUNCTION("""COMPUTED_VALUE"""),"ปาลิล บริสุทธิ์สุวรรณ์")</f>
        <v>ปาลิล บริสุทธิ์สุวรรณ์</v>
      </c>
      <c r="L451" t="str">
        <f>IFERROR(__xludf.DUMMYFUNCTION("""COMPUTED_VALUE"""),"Lil")</f>
        <v>Lil</v>
      </c>
      <c r="M451" t="str">
        <f>IFERROR(__xludf.DUMMYFUNCTION("""COMPUTED_VALUE"""),"Senior Cabin Crew")</f>
        <v>Senior Cabin Crew</v>
      </c>
      <c r="N451" t="str">
        <f>IFERROR(__xludf.DUMMYFUNCTION("""COMPUTED_VALUE"""),"DMK")</f>
        <v>DMK</v>
      </c>
      <c r="O451" s="145" t="str">
        <f>IFERROR(__xludf.DUMMYFUNCTION("""COMPUTED_VALUE"""),"Toffy Home")</f>
        <v>Toffy Home</v>
      </c>
      <c r="P451" t="str">
        <f>IFERROR(__xludf.DUMMYFUNCTION("""COMPUTED_VALUE"""),"Active")</f>
        <v>Active</v>
      </c>
      <c r="R451" s="143">
        <f>IFERROR(__xludf.DUMMYFUNCTION("""COMPUTED_VALUE"""),31407.0)</f>
        <v>31407</v>
      </c>
      <c r="S451" s="146" t="str">
        <f>IFERROR(__xludf.DUMMYFUNCTION("""COMPUTED_VALUE"""),"095-252-1169")</f>
        <v>095-252-1169</v>
      </c>
      <c r="T451" s="147">
        <f>IFERROR(__xludf.DUMMYFUNCTION("""COMPUTED_VALUE"""),1.250200041904E12)</f>
        <v>1250200041904</v>
      </c>
      <c r="U451" t="str">
        <f>IFERROR(__xludf.DUMMYFUNCTION("""COMPUTED_VALUE"""),"AC3405726")</f>
        <v>AC3405726</v>
      </c>
      <c r="V451" s="148">
        <f>IFERROR(__xludf.DUMMYFUNCTION("""COMPUTED_VALUE"""),44732.0)</f>
        <v>44732</v>
      </c>
      <c r="W451" s="148">
        <f>IFERROR(__xludf.DUMMYFUNCTION("""COMPUTED_VALUE"""),48384.0)</f>
        <v>48384</v>
      </c>
      <c r="X451" s="149">
        <f>IFERROR(__xludf.DUMMYFUNCTION("""COMPUTED_VALUE"""),48201.0)</f>
        <v>48201</v>
      </c>
      <c r="Y451" t="str">
        <f>IFERROR(__xludf.DUMMYFUNCTION("""COMPUTED_VALUE"""),"ปลอดภัย")</f>
        <v>ปลอดภัย</v>
      </c>
      <c r="Z451" t="str">
        <f>IFERROR(__xludf.DUMMYFUNCTION("""COMPUTED_VALUE"""),"Prachinburi Province")</f>
        <v>Prachinburi Province</v>
      </c>
      <c r="AA451" t="str">
        <f>IFERROR(__xludf.DUMMYFUNCTION("""COMPUTED_VALUE"""),"Bangkhaen")</f>
        <v>Bangkhaen</v>
      </c>
      <c r="AB451" t="str">
        <f>IFERROR(__xludf.DUMMYFUNCTION("""COMPUTED_VALUE"""),"095-252-1169")</f>
        <v>095-252-1169</v>
      </c>
      <c r="AC451" t="str">
        <f>IFERROR(__xludf.DUMMYFUNCTION("""COMPUTED_VALUE"""),"Relative")</f>
        <v>Relative</v>
      </c>
      <c r="AD451" t="str">
        <f>IFERROR(__xludf.DUMMYFUNCTION("""COMPUTED_VALUE"""),"palilb@airasia.com")</f>
        <v>palilb@airasia.com</v>
      </c>
    </row>
    <row r="452">
      <c r="A452" s="142">
        <f>IFERROR(__xludf.DUMMYFUNCTION("""COMPUTED_VALUE"""),59.0)</f>
        <v>59</v>
      </c>
      <c r="B452" t="str">
        <f>IFERROR(__xludf.DUMMYFUNCTION("""COMPUTED_VALUE"""),"TAA2942")</f>
        <v>TAA2942</v>
      </c>
      <c r="C452">
        <f>IFERROR(__xludf.DUMMYFUNCTION("""COMPUTED_VALUE"""),1004298.0)</f>
        <v>1004298</v>
      </c>
      <c r="D452" t="str">
        <f>IFERROR(__xludf.DUMMYFUNCTION("""COMPUTED_VALUE"""),"Mr.")</f>
        <v>Mr.</v>
      </c>
      <c r="E452" t="str">
        <f>IFERROR(__xludf.DUMMYFUNCTION("""COMPUTED_VALUE"""),"Teerapat")</f>
        <v>Teerapat</v>
      </c>
      <c r="F452" t="str">
        <f>IFERROR(__xludf.DUMMYFUNCTION("""COMPUTED_VALUE"""),"Kasemphongsakorn")</f>
        <v>Kasemphongsakorn</v>
      </c>
      <c r="G452" t="str">
        <f>IFERROR(__xludf.DUMMYFUNCTION("""COMPUTED_VALUE"""),"Teerapat Kasemphongsakorn")</f>
        <v>Teerapat Kasemphongsakorn</v>
      </c>
      <c r="H452" t="str">
        <f>IFERROR(__xludf.DUMMYFUNCTION("""COMPUTED_VALUE"""),"นาย")</f>
        <v>นาย</v>
      </c>
      <c r="I452" t="str">
        <f>IFERROR(__xludf.DUMMYFUNCTION("""COMPUTED_VALUE"""),"ธีภัทร")</f>
        <v>ธีภัทร</v>
      </c>
      <c r="J452" t="str">
        <f>IFERROR(__xludf.DUMMYFUNCTION("""COMPUTED_VALUE"""),"เกษมพงศากร")</f>
        <v>เกษมพงศากร</v>
      </c>
      <c r="K452" t="str">
        <f>IFERROR(__xludf.DUMMYFUNCTION("""COMPUTED_VALUE"""),"ธีภัทร เกษมพงศากร")</f>
        <v>ธีภัทร เกษมพงศากร</v>
      </c>
      <c r="L452" t="str">
        <f>IFERROR(__xludf.DUMMYFUNCTION("""COMPUTED_VALUE"""),"Tee")</f>
        <v>Tee</v>
      </c>
      <c r="M452" t="str">
        <f>IFERROR(__xludf.DUMMYFUNCTION("""COMPUTED_VALUE"""),"Senior Cabin Crew")</f>
        <v>Senior Cabin Crew</v>
      </c>
      <c r="N452" t="str">
        <f>IFERROR(__xludf.DUMMYFUNCTION("""COMPUTED_VALUE"""),"DMK")</f>
        <v>DMK</v>
      </c>
      <c r="O452" s="145" t="str">
        <f>IFERROR(__xludf.DUMMYFUNCTION("""COMPUTED_VALUE"""),"Up Home")</f>
        <v>Up Home</v>
      </c>
      <c r="P452" t="str">
        <f>IFERROR(__xludf.DUMMYFUNCTION("""COMPUTED_VALUE"""),"Active")</f>
        <v>Active</v>
      </c>
      <c r="Q452" t="str">
        <f>IFERROR(__xludf.DUMMYFUNCTION("""COMPUTED_VALUE"""),"SCC Line Checker 2025")</f>
        <v>SCC Line Checker 2025</v>
      </c>
      <c r="R452" s="143">
        <f>IFERROR(__xludf.DUMMYFUNCTION("""COMPUTED_VALUE"""),32140.0)</f>
        <v>32140</v>
      </c>
      <c r="S452" s="146" t="str">
        <f>IFERROR(__xludf.DUMMYFUNCTION("""COMPUTED_VALUE"""),"099-893-6988")</f>
        <v>099-893-6988</v>
      </c>
      <c r="T452" s="147">
        <f>IFERROR(__xludf.DUMMYFUNCTION("""COMPUTED_VALUE"""),1.92990013818E12)</f>
        <v>1929900138180</v>
      </c>
      <c r="U452" t="str">
        <f>IFERROR(__xludf.DUMMYFUNCTION("""COMPUTED_VALUE"""),"AD3287794")</f>
        <v>AD3287794</v>
      </c>
      <c r="V452" s="148">
        <f>IFERROR(__xludf.DUMMYFUNCTION("""COMPUTED_VALUE"""),46048.0)</f>
        <v>46048</v>
      </c>
      <c r="W452" s="148">
        <f>IFERROR(__xludf.DUMMYFUNCTION("""COMPUTED_VALUE"""),49699.0)</f>
        <v>49699</v>
      </c>
      <c r="X452" s="149">
        <f>IFERROR(__xludf.DUMMYFUNCTION("""COMPUTED_VALUE"""),49515.0)</f>
        <v>49515</v>
      </c>
      <c r="Y452" t="str">
        <f>IFERROR(__xludf.DUMMYFUNCTION("""COMPUTED_VALUE"""),"ปลอดภัย")</f>
        <v>ปลอดภัย</v>
      </c>
      <c r="Z452" t="str">
        <f>IFERROR(__xludf.DUMMYFUNCTION("""COMPUTED_VALUE"""),"Trang Province")</f>
        <v>Trang Province</v>
      </c>
      <c r="AA452" t="str">
        <f>IFERROR(__xludf.DUMMYFUNCTION("""COMPUTED_VALUE"""),"Ladkrabang")</f>
        <v>Ladkrabang</v>
      </c>
      <c r="AB452" t="str">
        <f>IFERROR(__xludf.DUMMYFUNCTION("""COMPUTED_VALUE"""),"089 650 2370")</f>
        <v>089 650 2370</v>
      </c>
      <c r="AC452" t="str">
        <f>IFERROR(__xludf.DUMMYFUNCTION("""COMPUTED_VALUE"""),"Mother")</f>
        <v>Mother</v>
      </c>
      <c r="AD452" t="str">
        <f>IFERROR(__xludf.DUMMYFUNCTION("""COMPUTED_VALUE"""),"teerapatk@airasia.com")</f>
        <v>teerapatk@airasia.com</v>
      </c>
    </row>
    <row r="453">
      <c r="A453" s="142">
        <f>IFERROR(__xludf.DUMMYFUNCTION("""COMPUTED_VALUE"""),59.0)</f>
        <v>59</v>
      </c>
      <c r="B453" t="str">
        <f>IFERROR(__xludf.DUMMYFUNCTION("""COMPUTED_VALUE"""),"TAA2992")</f>
        <v>TAA2992</v>
      </c>
      <c r="C453">
        <f>IFERROR(__xludf.DUMMYFUNCTION("""COMPUTED_VALUE"""),1004308.0)</f>
        <v>1004308</v>
      </c>
      <c r="D453" t="str">
        <f>IFERROR(__xludf.DUMMYFUNCTION("""COMPUTED_VALUE"""),"Ms.")</f>
        <v>Ms.</v>
      </c>
      <c r="E453" t="str">
        <f>IFERROR(__xludf.DUMMYFUNCTION("""COMPUTED_VALUE"""),"Kamalas")</f>
        <v>Kamalas</v>
      </c>
      <c r="F453" t="str">
        <f>IFERROR(__xludf.DUMMYFUNCTION("""COMPUTED_VALUE"""),"Wittayametakul")</f>
        <v>Wittayametakul</v>
      </c>
      <c r="G453" t="str">
        <f>IFERROR(__xludf.DUMMYFUNCTION("""COMPUTED_VALUE"""),"Kamalas Wittayametakul")</f>
        <v>Kamalas Wittayametakul</v>
      </c>
      <c r="H453" t="str">
        <f>IFERROR(__xludf.DUMMYFUNCTION("""COMPUTED_VALUE"""),"นางสาว")</f>
        <v>นางสาว</v>
      </c>
      <c r="I453" t="str">
        <f>IFERROR(__xludf.DUMMYFUNCTION("""COMPUTED_VALUE"""),"กมลาสน์")</f>
        <v>กมลาสน์</v>
      </c>
      <c r="J453" t="str">
        <f>IFERROR(__xludf.DUMMYFUNCTION("""COMPUTED_VALUE"""),"วิทยเมธากุล")</f>
        <v>วิทยเมธากุล</v>
      </c>
      <c r="K453" t="str">
        <f>IFERROR(__xludf.DUMMYFUNCTION("""COMPUTED_VALUE"""),"กมลาสน์ วิทยเมธากุล")</f>
        <v>กมลาสน์ วิทยเมธากุล</v>
      </c>
      <c r="L453" t="str">
        <f>IFERROR(__xludf.DUMMYFUNCTION("""COMPUTED_VALUE"""),"Yok")</f>
        <v>Yok</v>
      </c>
      <c r="M453" t="str">
        <f>IFERROR(__xludf.DUMMYFUNCTION("""COMPUTED_VALUE"""),"Senior Cabin Crew - HKT")</f>
        <v>Senior Cabin Crew - HKT</v>
      </c>
      <c r="N453" t="str">
        <f>IFERROR(__xludf.DUMMYFUNCTION("""COMPUTED_VALUE"""),"HKT")</f>
        <v>HKT</v>
      </c>
      <c r="O453" s="145" t="str">
        <f>IFERROR(__xludf.DUMMYFUNCTION("""COMPUTED_VALUE"""),"Kor Home")</f>
        <v>Kor Home</v>
      </c>
      <c r="P453" t="str">
        <f>IFERROR(__xludf.DUMMYFUNCTION("""COMPUTED_VALUE"""),"Active")</f>
        <v>Active</v>
      </c>
      <c r="R453" s="143">
        <f>IFERROR(__xludf.DUMMYFUNCTION("""COMPUTED_VALUE"""),31733.0)</f>
        <v>31733</v>
      </c>
      <c r="S453" s="146" t="str">
        <f>IFERROR(__xludf.DUMMYFUNCTION("""COMPUTED_VALUE"""),"081 651 6975")</f>
        <v>081 651 6975</v>
      </c>
      <c r="T453" s="147">
        <f>IFERROR(__xludf.DUMMYFUNCTION("""COMPUTED_VALUE"""),1.809900134762E12)</f>
        <v>1809900134762</v>
      </c>
      <c r="U453" t="str">
        <f>IFERROR(__xludf.DUMMYFUNCTION("""COMPUTED_VALUE"""),"AC2879028")</f>
        <v>AC2879028</v>
      </c>
      <c r="V453" s="148">
        <f>IFERROR(__xludf.DUMMYFUNCTION("""COMPUTED_VALUE"""),44607.0)</f>
        <v>44607</v>
      </c>
      <c r="W453" s="148">
        <f>IFERROR(__xludf.DUMMYFUNCTION("""COMPUTED_VALUE"""),48258.0)</f>
        <v>48258</v>
      </c>
      <c r="X453" s="149">
        <f>IFERROR(__xludf.DUMMYFUNCTION("""COMPUTED_VALUE"""),48074.0)</f>
        <v>48074</v>
      </c>
      <c r="Y453" t="str">
        <f>IFERROR(__xludf.DUMMYFUNCTION("""COMPUTED_VALUE"""),"ปลอดภัย")</f>
        <v>ปลอดภัย</v>
      </c>
      <c r="Z453" t="str">
        <f>IFERROR(__xludf.DUMMYFUNCTION("""COMPUTED_VALUE"""),"Nakhon Si Thammarat Province")</f>
        <v>Nakhon Si Thammarat Province</v>
      </c>
      <c r="AA453" t="str">
        <f>IFERROR(__xludf.DUMMYFUNCTION("""COMPUTED_VALUE"""),"Nakhon Si Thammarat")</f>
        <v>Nakhon Si Thammarat</v>
      </c>
      <c r="AB453" t="str">
        <f>IFERROR(__xludf.DUMMYFUNCTION("""COMPUTED_VALUE"""),"089 648 1591")</f>
        <v>089 648 1591</v>
      </c>
      <c r="AC453" t="str">
        <f>IFERROR(__xludf.DUMMYFUNCTION("""COMPUTED_VALUE"""),"Mother")</f>
        <v>Mother</v>
      </c>
      <c r="AD453" t="str">
        <f>IFERROR(__xludf.DUMMYFUNCTION("""COMPUTED_VALUE"""),"kamalasw@airasia.com")</f>
        <v>kamalasw@airasia.com</v>
      </c>
    </row>
    <row r="454">
      <c r="A454" s="142">
        <f>IFERROR(__xludf.DUMMYFUNCTION("""COMPUTED_VALUE"""),59.0)</f>
        <v>59</v>
      </c>
      <c r="B454" t="str">
        <f>IFERROR(__xludf.DUMMYFUNCTION("""COMPUTED_VALUE"""),"TAA2950")</f>
        <v>TAA2950</v>
      </c>
      <c r="C454">
        <f>IFERROR(__xludf.DUMMYFUNCTION("""COMPUTED_VALUE"""),1004317.0)</f>
        <v>1004317</v>
      </c>
      <c r="D454" t="str">
        <f>IFERROR(__xludf.DUMMYFUNCTION("""COMPUTED_VALUE"""),"Mr.")</f>
        <v>Mr.</v>
      </c>
      <c r="E454" t="str">
        <f>IFERROR(__xludf.DUMMYFUNCTION("""COMPUTED_VALUE"""),"Narit")</f>
        <v>Narit</v>
      </c>
      <c r="F454" t="str">
        <f>IFERROR(__xludf.DUMMYFUNCTION("""COMPUTED_VALUE"""),"Aimwat (Islam)")</f>
        <v>Aimwat (Islam)</v>
      </c>
      <c r="G454" t="str">
        <f>IFERROR(__xludf.DUMMYFUNCTION("""COMPUTED_VALUE"""),"Narit Aimwat")</f>
        <v>Narit Aimwat</v>
      </c>
      <c r="H454" t="str">
        <f>IFERROR(__xludf.DUMMYFUNCTION("""COMPUTED_VALUE"""),"นาย")</f>
        <v>นาย</v>
      </c>
      <c r="I454" t="str">
        <f>IFERROR(__xludf.DUMMYFUNCTION("""COMPUTED_VALUE"""),"นริศ")</f>
        <v>นริศ</v>
      </c>
      <c r="J454" t="str">
        <f>IFERROR(__xludf.DUMMYFUNCTION("""COMPUTED_VALUE"""),"เอมวัฒน์ (อิสลาม)")</f>
        <v>เอมวัฒน์ (อิสลาม)</v>
      </c>
      <c r="K454" t="str">
        <f>IFERROR(__xludf.DUMMYFUNCTION("""COMPUTED_VALUE"""),"นริศ เอมวัฒน์")</f>
        <v>นริศ เอมวัฒน์</v>
      </c>
      <c r="L454" t="str">
        <f>IFERROR(__xludf.DUMMYFUNCTION("""COMPUTED_VALUE"""),"Games")</f>
        <v>Games</v>
      </c>
      <c r="M454" t="str">
        <f>IFERROR(__xludf.DUMMYFUNCTION("""COMPUTED_VALUE"""),"Senior Cabin Crew")</f>
        <v>Senior Cabin Crew</v>
      </c>
      <c r="N454" t="str">
        <f>IFERROR(__xludf.DUMMYFUNCTION("""COMPUTED_VALUE"""),"DMK")</f>
        <v>DMK</v>
      </c>
      <c r="O454" s="145" t="str">
        <f>IFERROR(__xludf.DUMMYFUNCTION("""COMPUTED_VALUE"""),"Namfon Home")</f>
        <v>Namfon Home</v>
      </c>
      <c r="P454" t="str">
        <f>IFERROR(__xludf.DUMMYFUNCTION("""COMPUTED_VALUE"""),"Active")</f>
        <v>Active</v>
      </c>
      <c r="R454" s="143">
        <f>IFERROR(__xludf.DUMMYFUNCTION("""COMPUTED_VALUE"""),32277.0)</f>
        <v>32277</v>
      </c>
      <c r="S454" s="146" t="str">
        <f>IFERROR(__xludf.DUMMYFUNCTION("""COMPUTED_VALUE"""),"083 604 6649")</f>
        <v>083 604 6649</v>
      </c>
      <c r="T454" s="147">
        <f>IFERROR(__xludf.DUMMYFUNCTION("""COMPUTED_VALUE"""),1.909900170113E12)</f>
        <v>1909900170113</v>
      </c>
      <c r="U454" t="str">
        <f>IFERROR(__xludf.DUMMYFUNCTION("""COMPUTED_VALUE"""),"AD1870423")</f>
        <v>AD1870423</v>
      </c>
      <c r="V454" s="148">
        <f>IFERROR(__xludf.DUMMYFUNCTION("""COMPUTED_VALUE"""),45476.0)</f>
        <v>45476</v>
      </c>
      <c r="W454" s="148">
        <f>IFERROR(__xludf.DUMMYFUNCTION("""COMPUTED_VALUE"""),49127.0)</f>
        <v>49127</v>
      </c>
      <c r="X454" s="149">
        <f>IFERROR(__xludf.DUMMYFUNCTION("""COMPUTED_VALUE"""),48946.0)</f>
        <v>48946</v>
      </c>
      <c r="Y454" t="str">
        <f>IFERROR(__xludf.DUMMYFUNCTION("""COMPUTED_VALUE"""),"ปลอดภัย")</f>
        <v>ปลอดภัย</v>
      </c>
      <c r="Z454" t="str">
        <f>IFERROR(__xludf.DUMMYFUNCTION("""COMPUTED_VALUE"""),"Songkhla Province")</f>
        <v>Songkhla Province</v>
      </c>
      <c r="AA454" t="str">
        <f>IFERROR(__xludf.DUMMYFUNCTION("""COMPUTED_VALUE"""),"Bangkhae")</f>
        <v>Bangkhae</v>
      </c>
      <c r="AB454" t="str">
        <f>IFERROR(__xludf.DUMMYFUNCTION("""COMPUTED_VALUE"""),"081 676 9789")</f>
        <v>081 676 9789</v>
      </c>
      <c r="AC454" t="str">
        <f>IFERROR(__xludf.DUMMYFUNCTION("""COMPUTED_VALUE"""),"Father")</f>
        <v>Father</v>
      </c>
      <c r="AD454" t="str">
        <f>IFERROR(__xludf.DUMMYFUNCTION("""COMPUTED_VALUE"""),"narita@airasia.com")</f>
        <v>narita@airasia.com</v>
      </c>
    </row>
    <row r="455">
      <c r="A455" s="142">
        <f>IFERROR(__xludf.DUMMYFUNCTION("""COMPUTED_VALUE"""),59.0)</f>
        <v>59</v>
      </c>
      <c r="B455" t="str">
        <f>IFERROR(__xludf.DUMMYFUNCTION("""COMPUTED_VALUE"""),"TAA2953")</f>
        <v>TAA2953</v>
      </c>
      <c r="C455">
        <f>IFERROR(__xludf.DUMMYFUNCTION("""COMPUTED_VALUE"""),1004318.0)</f>
        <v>1004318</v>
      </c>
      <c r="D455" t="str">
        <f>IFERROR(__xludf.DUMMYFUNCTION("""COMPUTED_VALUE"""),"Mr.")</f>
        <v>Mr.</v>
      </c>
      <c r="E455" t="str">
        <f>IFERROR(__xludf.DUMMYFUNCTION("""COMPUTED_VALUE"""),"Nattapong")</f>
        <v>Nattapong</v>
      </c>
      <c r="F455" t="str">
        <f>IFERROR(__xludf.DUMMYFUNCTION("""COMPUTED_VALUE"""),"Kao-Ngampanich")</f>
        <v>Kao-Ngampanich</v>
      </c>
      <c r="G455" t="str">
        <f>IFERROR(__xludf.DUMMYFUNCTION("""COMPUTED_VALUE"""),"Nattapong Kao-Ngampanich")</f>
        <v>Nattapong Kao-Ngampanich</v>
      </c>
      <c r="H455" t="str">
        <f>IFERROR(__xludf.DUMMYFUNCTION("""COMPUTED_VALUE"""),"นาย")</f>
        <v>นาย</v>
      </c>
      <c r="I455" t="str">
        <f>IFERROR(__xludf.DUMMYFUNCTION("""COMPUTED_VALUE"""),"ณัฐพงศ์")</f>
        <v>ณัฐพงศ์</v>
      </c>
      <c r="J455" t="str">
        <f>IFERROR(__xludf.DUMMYFUNCTION("""COMPUTED_VALUE"""),"ก้าวงามพาณิชย์")</f>
        <v>ก้าวงามพาณิชย์</v>
      </c>
      <c r="K455" t="str">
        <f>IFERROR(__xludf.DUMMYFUNCTION("""COMPUTED_VALUE"""),"ณัฐพงศ์ ก้าวงามพาณิชย์")</f>
        <v>ณัฐพงศ์ ก้าวงามพาณิชย์</v>
      </c>
      <c r="L455" t="str">
        <f>IFERROR(__xludf.DUMMYFUNCTION("""COMPUTED_VALUE"""),"Win")</f>
        <v>Win</v>
      </c>
      <c r="M455" t="str">
        <f>IFERROR(__xludf.DUMMYFUNCTION("""COMPUTED_VALUE"""),"Senior Cabin Crew")</f>
        <v>Senior Cabin Crew</v>
      </c>
      <c r="N455" t="str">
        <f>IFERROR(__xludf.DUMMYFUNCTION("""COMPUTED_VALUE"""),"DMK")</f>
        <v>DMK</v>
      </c>
      <c r="O455" s="145" t="str">
        <f>IFERROR(__xludf.DUMMYFUNCTION("""COMPUTED_VALUE"""),"Por+ Home")</f>
        <v>Por+ Home</v>
      </c>
      <c r="P455" t="str">
        <f>IFERROR(__xludf.DUMMYFUNCTION("""COMPUTED_VALUE"""),"Active")</f>
        <v>Active</v>
      </c>
      <c r="Q455" t="str">
        <f>IFERROR(__xludf.DUMMYFUNCTION("""COMPUTED_VALUE"""),"Chinese Speaking")</f>
        <v>Chinese Speaking</v>
      </c>
      <c r="R455" s="143">
        <f>IFERROR(__xludf.DUMMYFUNCTION("""COMPUTED_VALUE"""),30953.0)</f>
        <v>30953</v>
      </c>
      <c r="S455" s="146" t="str">
        <f>IFERROR(__xludf.DUMMYFUNCTION("""COMPUTED_VALUE"""),"089 035 0794")</f>
        <v>089 035 0794</v>
      </c>
      <c r="T455" s="147">
        <f>IFERROR(__xludf.DUMMYFUNCTION("""COMPUTED_VALUE"""),1.102000141967E12)</f>
        <v>1102000141967</v>
      </c>
      <c r="U455" t="str">
        <f>IFERROR(__xludf.DUMMYFUNCTION("""COMPUTED_VALUE"""),"AC3619779")</f>
        <v>AC3619779</v>
      </c>
      <c r="V455" s="148">
        <f>IFERROR(__xludf.DUMMYFUNCTION("""COMPUTED_VALUE"""),44760.0)</f>
        <v>44760</v>
      </c>
      <c r="W455" s="148">
        <f>IFERROR(__xludf.DUMMYFUNCTION("""COMPUTED_VALUE"""),46585.0)</f>
        <v>46585</v>
      </c>
      <c r="X455" s="149">
        <f>IFERROR(__xludf.DUMMYFUNCTION("""COMPUTED_VALUE"""),46404.0)</f>
        <v>46404</v>
      </c>
      <c r="Y455" t="str">
        <f>IFERROR(__xludf.DUMMYFUNCTION("""COMPUTED_VALUE"""),"ปลอดภัย")</f>
        <v>ปลอดภัย</v>
      </c>
      <c r="Z455" t="str">
        <f>IFERROR(__xludf.DUMMYFUNCTION("""COMPUTED_VALUE"""),"Bangkok")</f>
        <v>Bangkok</v>
      </c>
      <c r="AA455" t="str">
        <f>IFERROR(__xludf.DUMMYFUNCTION("""COMPUTED_VALUE"""),"Bang Bua thong")</f>
        <v>Bang Bua thong</v>
      </c>
      <c r="AB455" t="str">
        <f>IFERROR(__xludf.DUMMYFUNCTION("""COMPUTED_VALUE"""),"089 238 4959")</f>
        <v>089 238 4959</v>
      </c>
      <c r="AC455" t="str">
        <f>IFERROR(__xludf.DUMMYFUNCTION("""COMPUTED_VALUE"""),"Relative")</f>
        <v>Relative</v>
      </c>
      <c r="AD455" t="str">
        <f>IFERROR(__xludf.DUMMYFUNCTION("""COMPUTED_VALUE"""),"nattaponga@airasia.com")</f>
        <v>nattaponga@airasia.com</v>
      </c>
    </row>
    <row r="456">
      <c r="A456" s="142">
        <f>IFERROR(__xludf.DUMMYFUNCTION("""COMPUTED_VALUE"""),59.0)</f>
        <v>59</v>
      </c>
      <c r="B456" t="str">
        <f>IFERROR(__xludf.DUMMYFUNCTION("""COMPUTED_VALUE"""),"TAA2949")</f>
        <v>TAA2949</v>
      </c>
      <c r="C456">
        <f>IFERROR(__xludf.DUMMYFUNCTION("""COMPUTED_VALUE"""),1004329.0)</f>
        <v>1004329</v>
      </c>
      <c r="D456" t="str">
        <f>IFERROR(__xludf.DUMMYFUNCTION("""COMPUTED_VALUE"""),"Ms.")</f>
        <v>Ms.</v>
      </c>
      <c r="E456" t="str">
        <f>IFERROR(__xludf.DUMMYFUNCTION("""COMPUTED_VALUE"""),"Supattra")</f>
        <v>Supattra</v>
      </c>
      <c r="F456" t="str">
        <f>IFERROR(__xludf.DUMMYFUNCTION("""COMPUTED_VALUE"""),"Narattaraksa")</f>
        <v>Narattaraksa</v>
      </c>
      <c r="G456" t="str">
        <f>IFERROR(__xludf.DUMMYFUNCTION("""COMPUTED_VALUE"""),"Supattra Narattaraksa")</f>
        <v>Supattra Narattaraksa</v>
      </c>
      <c r="H456" t="str">
        <f>IFERROR(__xludf.DUMMYFUNCTION("""COMPUTED_VALUE"""),"นางสาว")</f>
        <v>นางสาว</v>
      </c>
      <c r="I456" t="str">
        <f>IFERROR(__xludf.DUMMYFUNCTION("""COMPUTED_VALUE"""),"สุภัทรา")</f>
        <v>สุภัทรา</v>
      </c>
      <c r="J456" t="str">
        <f>IFERROR(__xludf.DUMMYFUNCTION("""COMPUTED_VALUE"""),"นรัตถรักษา")</f>
        <v>นรัตถรักษา</v>
      </c>
      <c r="K456" t="str">
        <f>IFERROR(__xludf.DUMMYFUNCTION("""COMPUTED_VALUE"""),"สุภัทรา นรัตถรักษา")</f>
        <v>สุภัทรา นรัตถรักษา</v>
      </c>
      <c r="L456" t="str">
        <f>IFERROR(__xludf.DUMMYFUNCTION("""COMPUTED_VALUE"""),"Gift")</f>
        <v>Gift</v>
      </c>
      <c r="M456" t="str">
        <f>IFERROR(__xludf.DUMMYFUNCTION("""COMPUTED_VALUE"""),"Cabin Crew")</f>
        <v>Cabin Crew</v>
      </c>
      <c r="N456" t="str">
        <f>IFERROR(__xludf.DUMMYFUNCTION("""COMPUTED_VALUE"""),"DMK")</f>
        <v>DMK</v>
      </c>
      <c r="O456" s="145" t="str">
        <f>IFERROR(__xludf.DUMMYFUNCTION("""COMPUTED_VALUE"""),"Por+ Home")</f>
        <v>Por+ Home</v>
      </c>
      <c r="P456" t="str">
        <f>IFERROR(__xludf.DUMMYFUNCTION("""COMPUTED_VALUE"""),"Active")</f>
        <v>Active</v>
      </c>
      <c r="R456" s="143">
        <f>IFERROR(__xludf.DUMMYFUNCTION("""COMPUTED_VALUE"""),32487.0)</f>
        <v>32487</v>
      </c>
      <c r="S456" s="146" t="str">
        <f>IFERROR(__xludf.DUMMYFUNCTION("""COMPUTED_VALUE"""),"088 611 1255")</f>
        <v>088 611 1255</v>
      </c>
      <c r="T456" s="147">
        <f>IFERROR(__xludf.DUMMYFUNCTION("""COMPUTED_VALUE"""),1.101401486786E12)</f>
        <v>1101401486786</v>
      </c>
      <c r="U456" t="str">
        <f>IFERROR(__xludf.DUMMYFUNCTION("""COMPUTED_VALUE"""),"AC3077285")</f>
        <v>AC3077285</v>
      </c>
      <c r="V456" s="148">
        <f>IFERROR(__xludf.DUMMYFUNCTION("""COMPUTED_VALUE"""),44684.0)</f>
        <v>44684</v>
      </c>
      <c r="W456" s="148">
        <f>IFERROR(__xludf.DUMMYFUNCTION("""COMPUTED_VALUE"""),48336.0)</f>
        <v>48336</v>
      </c>
      <c r="X456" s="149">
        <f>IFERROR(__xludf.DUMMYFUNCTION("""COMPUTED_VALUE"""),48154.0)</f>
        <v>48154</v>
      </c>
      <c r="Y456" t="str">
        <f>IFERROR(__xludf.DUMMYFUNCTION("""COMPUTED_VALUE"""),"ปลอดภัย")</f>
        <v>ปลอดภัย</v>
      </c>
      <c r="Z456" t="str">
        <f>IFERROR(__xludf.DUMMYFUNCTION("""COMPUTED_VALUE"""),"Bangkok")</f>
        <v>Bangkok</v>
      </c>
      <c r="AA456" t="str">
        <f>IFERROR(__xludf.DUMMYFUNCTION("""COMPUTED_VALUE"""),"Ladprao")</f>
        <v>Ladprao</v>
      </c>
      <c r="AB456" t="str">
        <f>IFERROR(__xludf.DUMMYFUNCTION("""COMPUTED_VALUE"""),"02 933 0614 / 089 894 1041")</f>
        <v>02 933 0614 / 089 894 1041</v>
      </c>
      <c r="AC456" t="str">
        <f>IFERROR(__xludf.DUMMYFUNCTION("""COMPUTED_VALUE"""),"Home / Relative")</f>
        <v>Home / Relative</v>
      </c>
      <c r="AD456" t="str">
        <f>IFERROR(__xludf.DUMMYFUNCTION("""COMPUTED_VALUE"""),"supattran@airasia.com")</f>
        <v>supattran@airasia.com</v>
      </c>
    </row>
    <row r="457">
      <c r="A457" s="142">
        <f>IFERROR(__xludf.DUMMYFUNCTION("""COMPUTED_VALUE"""),59.0)</f>
        <v>59</v>
      </c>
      <c r="B457" t="str">
        <f>IFERROR(__xludf.DUMMYFUNCTION("""COMPUTED_VALUE"""),"TAA2987")</f>
        <v>TAA2987</v>
      </c>
      <c r="C457">
        <f>IFERROR(__xludf.DUMMYFUNCTION("""COMPUTED_VALUE"""),1004381.0)</f>
        <v>1004381</v>
      </c>
      <c r="D457" t="str">
        <f>IFERROR(__xludf.DUMMYFUNCTION("""COMPUTED_VALUE"""),"Ms.")</f>
        <v>Ms.</v>
      </c>
      <c r="E457" t="str">
        <f>IFERROR(__xludf.DUMMYFUNCTION("""COMPUTED_VALUE"""),"Nawaporn")</f>
        <v>Nawaporn</v>
      </c>
      <c r="F457" t="str">
        <f>IFERROR(__xludf.DUMMYFUNCTION("""COMPUTED_VALUE"""),"Ratianan")</f>
        <v>Ratianan</v>
      </c>
      <c r="G457" t="str">
        <f>IFERROR(__xludf.DUMMYFUNCTION("""COMPUTED_VALUE"""),"Nawaporn Ratianan")</f>
        <v>Nawaporn Ratianan</v>
      </c>
      <c r="H457" t="str">
        <f>IFERROR(__xludf.DUMMYFUNCTION("""COMPUTED_VALUE"""),"นางสาว")</f>
        <v>นางสาว</v>
      </c>
      <c r="I457" t="str">
        <f>IFERROR(__xludf.DUMMYFUNCTION("""COMPUTED_VALUE"""),"นวพร")</f>
        <v>นวพร</v>
      </c>
      <c r="J457" t="str">
        <f>IFERROR(__xludf.DUMMYFUNCTION("""COMPUTED_VALUE"""),"รติอนันต์")</f>
        <v>รติอนันต์</v>
      </c>
      <c r="K457" t="str">
        <f>IFERROR(__xludf.DUMMYFUNCTION("""COMPUTED_VALUE"""),"นวพร รติอนันต์")</f>
        <v>นวพร รติอนันต์</v>
      </c>
      <c r="L457" t="str">
        <f>IFERROR(__xludf.DUMMYFUNCTION("""COMPUTED_VALUE"""),"YooHoo")</f>
        <v>YooHoo</v>
      </c>
      <c r="M457" t="str">
        <f>IFERROR(__xludf.DUMMYFUNCTION("""COMPUTED_VALUE"""),"Cabin Crew")</f>
        <v>Cabin Crew</v>
      </c>
      <c r="N457" t="str">
        <f>IFERROR(__xludf.DUMMYFUNCTION("""COMPUTED_VALUE"""),"DMK")</f>
        <v>DMK</v>
      </c>
      <c r="O457" s="145" t="str">
        <f>IFERROR(__xludf.DUMMYFUNCTION("""COMPUTED_VALUE"""),"Namfon Home")</f>
        <v>Namfon Home</v>
      </c>
      <c r="P457" t="str">
        <f>IFERROR(__xludf.DUMMYFUNCTION("""COMPUTED_VALUE"""),"Active")</f>
        <v>Active</v>
      </c>
      <c r="Q457" t="str">
        <f>IFERROR(__xludf.DUMMYFUNCTION("""COMPUTED_VALUE"""),"Chinese Speaking")</f>
        <v>Chinese Speaking</v>
      </c>
      <c r="R457" s="143">
        <f>IFERROR(__xludf.DUMMYFUNCTION("""COMPUTED_VALUE"""),32622.0)</f>
        <v>32622</v>
      </c>
      <c r="S457" s="146" t="str">
        <f>IFERROR(__xludf.DUMMYFUNCTION("""COMPUTED_VALUE"""),"082 485 2223")</f>
        <v>082 485 2223</v>
      </c>
      <c r="T457" s="147">
        <f>IFERROR(__xludf.DUMMYFUNCTION("""COMPUTED_VALUE"""),1.10040039173E12)</f>
        <v>1100400391730</v>
      </c>
      <c r="U457" t="str">
        <f>IFERROR(__xludf.DUMMYFUNCTION("""COMPUTED_VALUE"""),"AC6207767")</f>
        <v>AC6207767</v>
      </c>
      <c r="V457" s="148">
        <f>IFERROR(__xludf.DUMMYFUNCTION("""COMPUTED_VALUE"""),45295.0)</f>
        <v>45295</v>
      </c>
      <c r="W457" s="148">
        <f>IFERROR(__xludf.DUMMYFUNCTION("""COMPUTED_VALUE"""),48947.0)</f>
        <v>48947</v>
      </c>
      <c r="X457" s="149">
        <f>IFERROR(__xludf.DUMMYFUNCTION("""COMPUTED_VALUE"""),48763.0)</f>
        <v>48763</v>
      </c>
      <c r="Y457" t="str">
        <f>IFERROR(__xludf.DUMMYFUNCTION("""COMPUTED_VALUE"""),"ปลอดภัย")</f>
        <v>ปลอดภัย</v>
      </c>
      <c r="Z457" t="str">
        <f>IFERROR(__xludf.DUMMYFUNCTION("""COMPUTED_VALUE"""),"Bangkok")</f>
        <v>Bangkok</v>
      </c>
      <c r="AA457" t="str">
        <f>IFERROR(__xludf.DUMMYFUNCTION("""COMPUTED_VALUE"""),"Saimai")</f>
        <v>Saimai</v>
      </c>
      <c r="AB457" t="str">
        <f>IFERROR(__xludf.DUMMYFUNCTION("""COMPUTED_VALUE"""),"02 998 3005 / 085 126 0538")</f>
        <v>02 998 3005 / 085 126 0538</v>
      </c>
      <c r="AC457" t="str">
        <f>IFERROR(__xludf.DUMMYFUNCTION("""COMPUTED_VALUE"""),"Relative")</f>
        <v>Relative</v>
      </c>
      <c r="AD457" t="str">
        <f>IFERROR(__xludf.DUMMYFUNCTION("""COMPUTED_VALUE"""),"nawapornr@airasia.com")</f>
        <v>nawapornr@airasia.com</v>
      </c>
    </row>
    <row r="458">
      <c r="A458" s="142">
        <f>IFERROR(__xludf.DUMMYFUNCTION("""COMPUTED_VALUE"""),59.0)</f>
        <v>59</v>
      </c>
      <c r="B458" t="str">
        <f>IFERROR(__xludf.DUMMYFUNCTION("""COMPUTED_VALUE"""),"TAA3085")</f>
        <v>TAA3085</v>
      </c>
      <c r="C458">
        <f>IFERROR(__xludf.DUMMYFUNCTION("""COMPUTED_VALUE"""),1004489.0)</f>
        <v>1004489</v>
      </c>
      <c r="D458" t="str">
        <f>IFERROR(__xludf.DUMMYFUNCTION("""COMPUTED_VALUE"""),"Ms.")</f>
        <v>Ms.</v>
      </c>
      <c r="E458" t="str">
        <f>IFERROR(__xludf.DUMMYFUNCTION("""COMPUTED_VALUE"""),"Sunisa")</f>
        <v>Sunisa</v>
      </c>
      <c r="F458" t="str">
        <f>IFERROR(__xludf.DUMMYFUNCTION("""COMPUTED_VALUE"""),"Vanavit (Sukrungruang)")</f>
        <v>Vanavit (Sukrungruang)</v>
      </c>
      <c r="G458" t="str">
        <f>IFERROR(__xludf.DUMMYFUNCTION("""COMPUTED_VALUE"""),"Sunisa Vanavit")</f>
        <v>Sunisa Vanavit</v>
      </c>
      <c r="H458" t="str">
        <f>IFERROR(__xludf.DUMMYFUNCTION("""COMPUTED_VALUE"""),"นางสาว")</f>
        <v>นางสาว</v>
      </c>
      <c r="I458" t="str">
        <f>IFERROR(__xludf.DUMMYFUNCTION("""COMPUTED_VALUE"""),"สุนิษา")</f>
        <v>สุนิษา</v>
      </c>
      <c r="J458" t="str">
        <f>IFERROR(__xludf.DUMMYFUNCTION("""COMPUTED_VALUE"""),"วนวิทย์ (สุขรุ่งเรือง)")</f>
        <v>วนวิทย์ (สุขรุ่งเรือง)</v>
      </c>
      <c r="K458" t="str">
        <f>IFERROR(__xludf.DUMMYFUNCTION("""COMPUTED_VALUE"""),"สุนิษา วนวิทย์")</f>
        <v>สุนิษา วนวิทย์</v>
      </c>
      <c r="L458" t="str">
        <f>IFERROR(__xludf.DUMMYFUNCTION("""COMPUTED_VALUE"""),"พลอย")</f>
        <v>พลอย</v>
      </c>
      <c r="M458" t="str">
        <f>IFERROR(__xludf.DUMMYFUNCTION("""COMPUTED_VALUE"""),"Cabin Crew")</f>
        <v>Cabin Crew</v>
      </c>
      <c r="N458" t="str">
        <f>IFERROR(__xludf.DUMMYFUNCTION("""COMPUTED_VALUE"""),"DMK")</f>
        <v>DMK</v>
      </c>
      <c r="O458" s="145" t="str">
        <f>IFERROR(__xludf.DUMMYFUNCTION("""COMPUTED_VALUE"""),"Toffy Home")</f>
        <v>Toffy Home</v>
      </c>
      <c r="P458" t="str">
        <f>IFERROR(__xludf.DUMMYFUNCTION("""COMPUTED_VALUE"""),"Active")</f>
        <v>Active</v>
      </c>
      <c r="R458" s="143">
        <f>IFERROR(__xludf.DUMMYFUNCTION("""COMPUTED_VALUE"""),33082.0)</f>
        <v>33082</v>
      </c>
      <c r="S458" s="146" t="str">
        <f>IFERROR(__xludf.DUMMYFUNCTION("""COMPUTED_VALUE"""),"088 207 2097")</f>
        <v>088 207 2097</v>
      </c>
      <c r="T458" s="147">
        <f>IFERROR(__xludf.DUMMYFUNCTION("""COMPUTED_VALUE"""),1.249900203301E12)</f>
        <v>1249900203301</v>
      </c>
      <c r="U458" t="str">
        <f>IFERROR(__xludf.DUMMYFUNCTION("""COMPUTED_VALUE"""),"ac6201028")</f>
        <v>ac6201028</v>
      </c>
      <c r="V458" s="148">
        <f>IFERROR(__xludf.DUMMYFUNCTION("""COMPUTED_VALUE"""),45642.0)</f>
        <v>45642</v>
      </c>
      <c r="W458" s="148">
        <f>IFERROR(__xludf.DUMMYFUNCTION("""COMPUTED_VALUE"""),48928.0)</f>
        <v>48928</v>
      </c>
      <c r="X458" s="149">
        <f>IFERROR(__xludf.DUMMYFUNCTION("""COMPUTED_VALUE"""),48745.0)</f>
        <v>48745</v>
      </c>
      <c r="Y458" t="str">
        <f>IFERROR(__xludf.DUMMYFUNCTION("""COMPUTED_VALUE"""),"ปลอดภัย")</f>
        <v>ปลอดภัย</v>
      </c>
      <c r="Z458" t="str">
        <f>IFERROR(__xludf.DUMMYFUNCTION("""COMPUTED_VALUE"""),"Chachoengsao Province")</f>
        <v>Chachoengsao Province</v>
      </c>
      <c r="AA458" t="str">
        <f>IFERROR(__xludf.DUMMYFUNCTION("""COMPUTED_VALUE"""),"Chachoengsao")</f>
        <v>Chachoengsao</v>
      </c>
      <c r="AB458" t="str">
        <f>IFERROR(__xludf.DUMMYFUNCTION("""COMPUTED_VALUE"""),"038 593 240 / 084 712 6483")</f>
        <v>038 593 240 / 084 712 6483</v>
      </c>
      <c r="AC458" t="str">
        <f>IFERROR(__xludf.DUMMYFUNCTION("""COMPUTED_VALUE"""),"Home / Relative")</f>
        <v>Home / Relative</v>
      </c>
      <c r="AD458" t="str">
        <f>IFERROR(__xludf.DUMMYFUNCTION("""COMPUTED_VALUE"""),"sunisav@airasia.com")</f>
        <v>sunisav@airasia.com</v>
      </c>
    </row>
    <row r="459">
      <c r="A459" s="142">
        <f>IFERROR(__xludf.DUMMYFUNCTION("""COMPUTED_VALUE"""),59.0)</f>
        <v>59</v>
      </c>
      <c r="B459" t="str">
        <f>IFERROR(__xludf.DUMMYFUNCTION("""COMPUTED_VALUE"""),"TAA3084")</f>
        <v>TAA3084</v>
      </c>
      <c r="C459">
        <f>IFERROR(__xludf.DUMMYFUNCTION("""COMPUTED_VALUE"""),1004502.0)</f>
        <v>1004502</v>
      </c>
      <c r="D459" t="str">
        <f>IFERROR(__xludf.DUMMYFUNCTION("""COMPUTED_VALUE"""),"Ms.")</f>
        <v>Ms.</v>
      </c>
      <c r="E459" t="str">
        <f>IFERROR(__xludf.DUMMYFUNCTION("""COMPUTED_VALUE"""),"Pichaya")</f>
        <v>Pichaya</v>
      </c>
      <c r="F459" t="str">
        <f>IFERROR(__xludf.DUMMYFUNCTION("""COMPUTED_VALUE"""),"Kristisiri")</f>
        <v>Kristisiri</v>
      </c>
      <c r="G459" t="str">
        <f>IFERROR(__xludf.DUMMYFUNCTION("""COMPUTED_VALUE"""),"Pichaya Kristisiri")</f>
        <v>Pichaya Kristisiri</v>
      </c>
      <c r="H459" t="str">
        <f>IFERROR(__xludf.DUMMYFUNCTION("""COMPUTED_VALUE"""),"นางสาว")</f>
        <v>นางสาว</v>
      </c>
      <c r="I459" t="str">
        <f>IFERROR(__xludf.DUMMYFUNCTION("""COMPUTED_VALUE"""),"พิชญา")</f>
        <v>พิชญา</v>
      </c>
      <c r="J459" t="str">
        <f>IFERROR(__xludf.DUMMYFUNCTION("""COMPUTED_VALUE"""),"เกียรติศิริ")</f>
        <v>เกียรติศิริ</v>
      </c>
      <c r="K459" t="str">
        <f>IFERROR(__xludf.DUMMYFUNCTION("""COMPUTED_VALUE"""),"พิชญา เกียรติศิริ")</f>
        <v>พิชญา เกียรติศิริ</v>
      </c>
      <c r="L459" t="str">
        <f>IFERROR(__xludf.DUMMYFUNCTION("""COMPUTED_VALUE"""),"Pear")</f>
        <v>Pear</v>
      </c>
      <c r="M459" t="str">
        <f>IFERROR(__xludf.DUMMYFUNCTION("""COMPUTED_VALUE"""),"Cabin Crew")</f>
        <v>Cabin Crew</v>
      </c>
      <c r="N459" t="str">
        <f>IFERROR(__xludf.DUMMYFUNCTION("""COMPUTED_VALUE"""),"DMK")</f>
        <v>DMK</v>
      </c>
      <c r="O459" s="145" t="str">
        <f>IFERROR(__xludf.DUMMYFUNCTION("""COMPUTED_VALUE"""),"Nhui Home")</f>
        <v>Nhui Home</v>
      </c>
      <c r="P459" t="str">
        <f>IFERROR(__xludf.DUMMYFUNCTION("""COMPUTED_VALUE"""),"Active")</f>
        <v>Active</v>
      </c>
      <c r="R459" s="143">
        <f>IFERROR(__xludf.DUMMYFUNCTION("""COMPUTED_VALUE"""),31679.0)</f>
        <v>31679</v>
      </c>
      <c r="S459" s="146" t="str">
        <f>IFERROR(__xludf.DUMMYFUNCTION("""COMPUTED_VALUE"""),"083 715 0981")</f>
        <v>083 715 0981</v>
      </c>
      <c r="T459" s="147">
        <f>IFERROR(__xludf.DUMMYFUNCTION("""COMPUTED_VALUE"""),1.101400785488E12)</f>
        <v>1101400785488</v>
      </c>
      <c r="U459" t="str">
        <f>IFERROR(__xludf.DUMMYFUNCTION("""COMPUTED_VALUE"""),"AC4337406")</f>
        <v>AC4337406</v>
      </c>
      <c r="V459" s="148">
        <f>IFERROR(__xludf.DUMMYFUNCTION("""COMPUTED_VALUE"""),44931.0)</f>
        <v>44931</v>
      </c>
      <c r="W459" s="148">
        <f>IFERROR(__xludf.DUMMYFUNCTION("""COMPUTED_VALUE"""),48583.0)</f>
        <v>48583</v>
      </c>
      <c r="X459" s="149">
        <f>IFERROR(__xludf.DUMMYFUNCTION("""COMPUTED_VALUE"""),48399.0)</f>
        <v>48399</v>
      </c>
      <c r="Y459" t="str">
        <f>IFERROR(__xludf.DUMMYFUNCTION("""COMPUTED_VALUE"""),"ปลอดภัย")</f>
        <v>ปลอดภัย</v>
      </c>
      <c r="Z459" t="str">
        <f>IFERROR(__xludf.DUMMYFUNCTION("""COMPUTED_VALUE"""),"Bangkok")</f>
        <v>Bangkok</v>
      </c>
      <c r="AA459" t="str">
        <f>IFERROR(__xludf.DUMMYFUNCTION("""COMPUTED_VALUE"""),"Donmueang")</f>
        <v>Donmueang</v>
      </c>
      <c r="AB459" t="str">
        <f>IFERROR(__xludf.DUMMYFUNCTION("""COMPUTED_VALUE"""),"086 604 2491")</f>
        <v>086 604 2491</v>
      </c>
      <c r="AC459" t="str">
        <f>IFERROR(__xludf.DUMMYFUNCTION("""COMPUTED_VALUE"""),"Relative")</f>
        <v>Relative</v>
      </c>
      <c r="AD459" t="str">
        <f>IFERROR(__xludf.DUMMYFUNCTION("""COMPUTED_VALUE"""),"pichayak@airasia.com")</f>
        <v>pichayak@airasia.com</v>
      </c>
    </row>
    <row r="460">
      <c r="AD460" t="str">
        <f>IFERROR(__xludf.DUMMYFUNCTION("""COMPUTED_VALUE"""),"")</f>
        <v/>
      </c>
    </row>
    <row r="461">
      <c r="A461" s="142">
        <f>IFERROR(__xludf.DUMMYFUNCTION("""COMPUTED_VALUE"""),60.0)</f>
        <v>60</v>
      </c>
      <c r="B461" t="str">
        <f>IFERROR(__xludf.DUMMYFUNCTION("""COMPUTED_VALUE"""),"TAA4751")</f>
        <v>TAA4751</v>
      </c>
      <c r="C461">
        <f>IFERROR(__xludf.DUMMYFUNCTION("""COMPUTED_VALUE"""),1008754.0)</f>
        <v>1008754</v>
      </c>
      <c r="D461" t="str">
        <f>IFERROR(__xludf.DUMMYFUNCTION("""COMPUTED_VALUE"""),"Ms.")</f>
        <v>Ms.</v>
      </c>
      <c r="E461" t="str">
        <f>IFERROR(__xludf.DUMMYFUNCTION("""COMPUTED_VALUE"""),"Pimlapas")</f>
        <v>Pimlapas</v>
      </c>
      <c r="F461" t="str">
        <f>IFERROR(__xludf.DUMMYFUNCTION("""COMPUTED_VALUE"""),"Tanapatpongsapas")</f>
        <v>Tanapatpongsapas</v>
      </c>
      <c r="G461" t="str">
        <f>IFERROR(__xludf.DUMMYFUNCTION("""COMPUTED_VALUE"""),"Pimlapas Tanapatpongsapas")</f>
        <v>Pimlapas Tanapatpongsapas</v>
      </c>
      <c r="H461" t="str">
        <f>IFERROR(__xludf.DUMMYFUNCTION("""COMPUTED_VALUE"""),"นางสาว")</f>
        <v>นางสาว</v>
      </c>
      <c r="I461" t="str">
        <f>IFERROR(__xludf.DUMMYFUNCTION("""COMPUTED_VALUE"""),"พิมพ์ลภัส")</f>
        <v>พิมพ์ลภัส</v>
      </c>
      <c r="J461" t="str">
        <f>IFERROR(__xludf.DUMMYFUNCTION("""COMPUTED_VALUE"""),"ธนพัฒน์พงศพัศ")</f>
        <v>ธนพัฒน์พงศพัศ</v>
      </c>
      <c r="K461" t="str">
        <f>IFERROR(__xludf.DUMMYFUNCTION("""COMPUTED_VALUE"""),"พิมพ์ลภัส ธนพัฒน์พงศพัศ")</f>
        <v>พิมพ์ลภัส ธนพัฒน์พงศพัศ</v>
      </c>
      <c r="L461" t="str">
        <f>IFERROR(__xludf.DUMMYFUNCTION("""COMPUTED_VALUE"""),"โอ๋")</f>
        <v>โอ๋</v>
      </c>
      <c r="M461" t="str">
        <f>IFERROR(__xludf.DUMMYFUNCTION("""COMPUTED_VALUE"""),"Cabin Crew")</f>
        <v>Cabin Crew</v>
      </c>
      <c r="N461" t="str">
        <f>IFERROR(__xludf.DUMMYFUNCTION("""COMPUTED_VALUE"""),"DMK")</f>
        <v>DMK</v>
      </c>
      <c r="O461" s="145" t="str">
        <f>IFERROR(__xludf.DUMMYFUNCTION("""COMPUTED_VALUE"""),"Toffy Home")</f>
        <v>Toffy Home</v>
      </c>
      <c r="P461" t="str">
        <f>IFERROR(__xludf.DUMMYFUNCTION("""COMPUTED_VALUE"""),"Active")</f>
        <v>Active</v>
      </c>
      <c r="R461" s="143">
        <f>IFERROR(__xludf.DUMMYFUNCTION("""COMPUTED_VALUE"""),32473.0)</f>
        <v>32473</v>
      </c>
      <c r="S461" s="146" t="str">
        <f>IFERROR(__xludf.DUMMYFUNCTION("""COMPUTED_VALUE"""),"083 005 1000")</f>
        <v>083 005 1000</v>
      </c>
      <c r="T461" s="147">
        <f>IFERROR(__xludf.DUMMYFUNCTION("""COMPUTED_VALUE"""),1.909800323937E12)</f>
        <v>1909800323937</v>
      </c>
      <c r="U461" t="str">
        <f>IFERROR(__xludf.DUMMYFUNCTION("""COMPUTED_VALUE"""),"AC2578752")</f>
        <v>AC2578752</v>
      </c>
      <c r="V461" s="148">
        <f>IFERROR(__xludf.DUMMYFUNCTION("""COMPUTED_VALUE"""),44652.0)</f>
        <v>44652</v>
      </c>
      <c r="W461" s="148">
        <f>IFERROR(__xludf.DUMMYFUNCTION("""COMPUTED_VALUE"""),48304.0)</f>
        <v>48304</v>
      </c>
      <c r="X461" s="149">
        <f>IFERROR(__xludf.DUMMYFUNCTION("""COMPUTED_VALUE"""),48121.0)</f>
        <v>48121</v>
      </c>
      <c r="Y461" t="str">
        <f>IFERROR(__xludf.DUMMYFUNCTION("""COMPUTED_VALUE"""),"ปลอดภัย")</f>
        <v>ปลอดภัย</v>
      </c>
      <c r="Z461" t="str">
        <f>IFERROR(__xludf.DUMMYFUNCTION("""COMPUTED_VALUE"""),"Songkhla Province")</f>
        <v>Songkhla Province</v>
      </c>
      <c r="AB461" t="str">
        <f>IFERROR(__xludf.DUMMYFUNCTION("""COMPUTED_VALUE"""),"074-355-306")</f>
        <v>074-355-306</v>
      </c>
      <c r="AC461" t="str">
        <f>IFERROR(__xludf.DUMMYFUNCTION("""COMPUTED_VALUE"""),"บ้าน")</f>
        <v>บ้าน</v>
      </c>
      <c r="AD461" t="str">
        <f>IFERROR(__xludf.DUMMYFUNCTION("""COMPUTED_VALUE"""),"pimlapasa@airasia.com")</f>
        <v>pimlapasa@airasia.com</v>
      </c>
    </row>
    <row r="462">
      <c r="A462" s="142">
        <f>IFERROR(__xludf.DUMMYFUNCTION("""COMPUTED_VALUE"""),60.0)</f>
        <v>60</v>
      </c>
      <c r="B462" t="str">
        <f>IFERROR(__xludf.DUMMYFUNCTION("""COMPUTED_VALUE"""),"TAA4905")</f>
        <v>TAA4905</v>
      </c>
      <c r="C462">
        <f>IFERROR(__xludf.DUMMYFUNCTION("""COMPUTED_VALUE"""),1009156.0)</f>
        <v>1009156</v>
      </c>
      <c r="D462" t="str">
        <f>IFERROR(__xludf.DUMMYFUNCTION("""COMPUTED_VALUE"""),"Mr.")</f>
        <v>Mr.</v>
      </c>
      <c r="E462" t="str">
        <f>IFERROR(__xludf.DUMMYFUNCTION("""COMPUTED_VALUE"""),"Peamkate")</f>
        <v>Peamkate</v>
      </c>
      <c r="F462" t="str">
        <f>IFERROR(__xludf.DUMMYFUNCTION("""COMPUTED_VALUE"""),"Kullasit")</f>
        <v>Kullasit</v>
      </c>
      <c r="G462" t="str">
        <f>IFERROR(__xludf.DUMMYFUNCTION("""COMPUTED_VALUE"""),"Peamkate Kullasit")</f>
        <v>Peamkate Kullasit</v>
      </c>
      <c r="H462" t="str">
        <f>IFERROR(__xludf.DUMMYFUNCTION("""COMPUTED_VALUE"""),"นาย")</f>
        <v>นาย</v>
      </c>
      <c r="I462" t="str">
        <f>IFERROR(__xludf.DUMMYFUNCTION("""COMPUTED_VALUE"""),"ภีมเขตร")</f>
        <v>ภีมเขตร</v>
      </c>
      <c r="J462" t="str">
        <f>IFERROR(__xludf.DUMMYFUNCTION("""COMPUTED_VALUE"""),"กุลศิษฏ์")</f>
        <v>กุลศิษฏ์</v>
      </c>
      <c r="K462" t="str">
        <f>IFERROR(__xludf.DUMMYFUNCTION("""COMPUTED_VALUE"""),"ภีมเขตร กุลศิษฏ์")</f>
        <v>ภีมเขตร กุลศิษฏ์</v>
      </c>
      <c r="L462" t="str">
        <f>IFERROR(__xludf.DUMMYFUNCTION("""COMPUTED_VALUE"""),"ภีมป์")</f>
        <v>ภีมป์</v>
      </c>
      <c r="M462" t="str">
        <f>IFERROR(__xludf.DUMMYFUNCTION("""COMPUTED_VALUE"""),"Cabin Crew")</f>
        <v>Cabin Crew</v>
      </c>
      <c r="N462" t="str">
        <f>IFERROR(__xludf.DUMMYFUNCTION("""COMPUTED_VALUE"""),"DMK")</f>
        <v>DMK</v>
      </c>
      <c r="O462" s="145" t="str">
        <f>IFERROR(__xludf.DUMMYFUNCTION("""COMPUTED_VALUE"""),"Kor Home")</f>
        <v>Kor Home</v>
      </c>
      <c r="P462" t="str">
        <f>IFERROR(__xludf.DUMMYFUNCTION("""COMPUTED_VALUE"""),"Active")</f>
        <v>Active</v>
      </c>
      <c r="R462" s="143">
        <f>IFERROR(__xludf.DUMMYFUNCTION("""COMPUTED_VALUE"""),31956.0)</f>
        <v>31956</v>
      </c>
      <c r="S462" s="146" t="str">
        <f>IFERROR(__xludf.DUMMYFUNCTION("""COMPUTED_VALUE"""),"094 519 9623")</f>
        <v>094 519 9623</v>
      </c>
      <c r="T462" s="147">
        <f>IFERROR(__xludf.DUMMYFUNCTION("""COMPUTED_VALUE"""),1.709900301139E12)</f>
        <v>1709900301139</v>
      </c>
      <c r="U462" t="str">
        <f>IFERROR(__xludf.DUMMYFUNCTION("""COMPUTED_VALUE"""),"AC7238469")</f>
        <v>AC7238469</v>
      </c>
      <c r="V462" s="148">
        <f>IFERROR(__xludf.DUMMYFUNCTION("""COMPUTED_VALUE"""),45642.0)</f>
        <v>45642</v>
      </c>
      <c r="W462" s="148">
        <f>IFERROR(__xludf.DUMMYFUNCTION("""COMPUTED_VALUE"""),49293.0)</f>
        <v>49293</v>
      </c>
      <c r="X462" s="149">
        <f>IFERROR(__xludf.DUMMYFUNCTION("""COMPUTED_VALUE"""),49110.0)</f>
        <v>49110</v>
      </c>
      <c r="Y462" t="str">
        <f>IFERROR(__xludf.DUMMYFUNCTION("""COMPUTED_VALUE"""),"ปลอดภัย")</f>
        <v>ปลอดภัย</v>
      </c>
      <c r="Z462" t="str">
        <f>IFERROR(__xludf.DUMMYFUNCTION("""COMPUTED_VALUE"""),"Ratchaburi Province")</f>
        <v>Ratchaburi Province</v>
      </c>
      <c r="AB462" t="str">
        <f>IFERROR(__xludf.DUMMYFUNCTION("""COMPUTED_VALUE"""),"032 325 895 / 081 587 6187")</f>
        <v>032 325 895 / 081 587 6187</v>
      </c>
      <c r="AC462" t="str">
        <f>IFERROR(__xludf.DUMMYFUNCTION("""COMPUTED_VALUE"""),"บ้าน / Kongpon Kullasit")</f>
        <v>บ้าน / Kongpon Kullasit</v>
      </c>
      <c r="AD462" t="str">
        <f>IFERROR(__xludf.DUMMYFUNCTION("""COMPUTED_VALUE"""),"peamkatek@airasia.com")</f>
        <v>peamkatek@airasia.com</v>
      </c>
    </row>
    <row r="463">
      <c r="AD463" t="str">
        <f>IFERROR(__xludf.DUMMYFUNCTION("""COMPUTED_VALUE"""),"")</f>
        <v/>
      </c>
    </row>
    <row r="464">
      <c r="A464" s="142">
        <f>IFERROR(__xludf.DUMMYFUNCTION("""COMPUTED_VALUE"""),61.0)</f>
        <v>61</v>
      </c>
      <c r="B464" t="str">
        <f>IFERROR(__xludf.DUMMYFUNCTION("""COMPUTED_VALUE"""),"TAA3378")</f>
        <v>TAA3378</v>
      </c>
      <c r="C464">
        <f>IFERROR(__xludf.DUMMYFUNCTION("""COMPUTED_VALUE"""),1005119.0)</f>
        <v>1005119</v>
      </c>
      <c r="D464" t="str">
        <f>IFERROR(__xludf.DUMMYFUNCTION("""COMPUTED_VALUE"""),"Ms.")</f>
        <v>Ms.</v>
      </c>
      <c r="E464" t="str">
        <f>IFERROR(__xludf.DUMMYFUNCTION("""COMPUTED_VALUE"""),"Supharee")</f>
        <v>Supharee</v>
      </c>
      <c r="F464" t="str">
        <f>IFERROR(__xludf.DUMMYFUNCTION("""COMPUTED_VALUE"""),"Mutthaputthipong")</f>
        <v>Mutthaputthipong</v>
      </c>
      <c r="G464" t="str">
        <f>IFERROR(__xludf.DUMMYFUNCTION("""COMPUTED_VALUE"""),"Supharee Mutthaputthipong")</f>
        <v>Supharee Mutthaputthipong</v>
      </c>
      <c r="H464" t="str">
        <f>IFERROR(__xludf.DUMMYFUNCTION("""COMPUTED_VALUE"""),"นางสาว")</f>
        <v>นางสาว</v>
      </c>
      <c r="I464" t="str">
        <f>IFERROR(__xludf.DUMMYFUNCTION("""COMPUTED_VALUE"""),"สุภารี")</f>
        <v>สุภารี</v>
      </c>
      <c r="J464" t="str">
        <f>IFERROR(__xludf.DUMMYFUNCTION("""COMPUTED_VALUE"""),"มุทธาพุทธิพงศ์")</f>
        <v>มุทธาพุทธิพงศ์</v>
      </c>
      <c r="K464" t="str">
        <f>IFERROR(__xludf.DUMMYFUNCTION("""COMPUTED_VALUE"""),"สุภารี มุทธาพุทธิพงศ์")</f>
        <v>สุภารี มุทธาพุทธิพงศ์</v>
      </c>
      <c r="L464" t="str">
        <f>IFERROR(__xludf.DUMMYFUNCTION("""COMPUTED_VALUE"""),"ไหม")</f>
        <v>ไหม</v>
      </c>
      <c r="M464" t="str">
        <f>IFERROR(__xludf.DUMMYFUNCTION("""COMPUTED_VALUE"""),"Senior Cabin Crew - HKT")</f>
        <v>Senior Cabin Crew - HKT</v>
      </c>
      <c r="N464" t="str">
        <f>IFERROR(__xludf.DUMMYFUNCTION("""COMPUTED_VALUE"""),"HKT")</f>
        <v>HKT</v>
      </c>
      <c r="O464" s="145" t="str">
        <f>IFERROR(__xludf.DUMMYFUNCTION("""COMPUTED_VALUE"""),"Kor Home")</f>
        <v>Kor Home</v>
      </c>
      <c r="P464" t="str">
        <f>IFERROR(__xludf.DUMMYFUNCTION("""COMPUTED_VALUE"""),"Active")</f>
        <v>Active</v>
      </c>
      <c r="Q464" t="str">
        <f>IFERROR(__xludf.DUMMYFUNCTION("""COMPUTED_VALUE"""),"Chinese Speaking")</f>
        <v>Chinese Speaking</v>
      </c>
      <c r="R464" s="143">
        <f>IFERROR(__xludf.DUMMYFUNCTION("""COMPUTED_VALUE"""),32601.0)</f>
        <v>32601</v>
      </c>
      <c r="S464" s="146" t="str">
        <f>IFERROR(__xludf.DUMMYFUNCTION("""COMPUTED_VALUE"""),"094 826 2469")</f>
        <v>094 826 2469</v>
      </c>
      <c r="T464" s="147">
        <f>IFERROR(__xludf.DUMMYFUNCTION("""COMPUTED_VALUE"""),1.929900182707E12)</f>
        <v>1929900182707</v>
      </c>
      <c r="U464" t="str">
        <f>IFERROR(__xludf.DUMMYFUNCTION("""COMPUTED_VALUE"""),"AC5762181")</f>
        <v>AC5762181</v>
      </c>
      <c r="V464" s="148">
        <f>IFERROR(__xludf.DUMMYFUNCTION("""COMPUTED_VALUE"""),45210.0)</f>
        <v>45210</v>
      </c>
      <c r="W464" s="148">
        <f>IFERROR(__xludf.DUMMYFUNCTION("""COMPUTED_VALUE"""),48862.0)</f>
        <v>48862</v>
      </c>
      <c r="X464" s="149">
        <f>IFERROR(__xludf.DUMMYFUNCTION("""COMPUTED_VALUE"""),48679.0)</f>
        <v>48679</v>
      </c>
      <c r="Y464" t="str">
        <f>IFERROR(__xludf.DUMMYFUNCTION("""COMPUTED_VALUE"""),"ปลอดภัย")</f>
        <v>ปลอดภัย</v>
      </c>
      <c r="Z464" t="str">
        <f>IFERROR(__xludf.DUMMYFUNCTION("""COMPUTED_VALUE"""),"Trang Province")</f>
        <v>Trang Province</v>
      </c>
      <c r="AA464" t="str">
        <f>IFERROR(__xludf.DUMMYFUNCTION("""COMPUTED_VALUE"""),"Phuket")</f>
        <v>Phuket</v>
      </c>
      <c r="AB464" t="str">
        <f>IFERROR(__xludf.DUMMYFUNCTION("""COMPUTED_VALUE"""),"085 881 1195")</f>
        <v>085 881 1195</v>
      </c>
      <c r="AC464" t="str">
        <f>IFERROR(__xludf.DUMMYFUNCTION("""COMPUTED_VALUE"""),"Toophum Bunjan")</f>
        <v>Toophum Bunjan</v>
      </c>
      <c r="AD464" t="str">
        <f>IFERROR(__xludf.DUMMYFUNCTION("""COMPUTED_VALUE"""),"suphareem@airasia.com")</f>
        <v>suphareem@airasia.com</v>
      </c>
    </row>
    <row r="465">
      <c r="A465" s="142">
        <f>IFERROR(__xludf.DUMMYFUNCTION("""COMPUTED_VALUE"""),61.0)</f>
        <v>61</v>
      </c>
      <c r="B465" t="str">
        <f>IFERROR(__xludf.DUMMYFUNCTION("""COMPUTED_VALUE"""),"TAA4745")</f>
        <v>TAA4745</v>
      </c>
      <c r="C465">
        <f>IFERROR(__xludf.DUMMYFUNCTION("""COMPUTED_VALUE"""),1008952.0)</f>
        <v>1008952</v>
      </c>
      <c r="D465" t="str">
        <f>IFERROR(__xludf.DUMMYFUNCTION("""COMPUTED_VALUE"""),"Mr.")</f>
        <v>Mr.</v>
      </c>
      <c r="E465" t="str">
        <f>IFERROR(__xludf.DUMMYFUNCTION("""COMPUTED_VALUE"""),"Chatdanai")</f>
        <v>Chatdanai</v>
      </c>
      <c r="F465" t="str">
        <f>IFERROR(__xludf.DUMMYFUNCTION("""COMPUTED_VALUE"""),"Insawang")</f>
        <v>Insawang</v>
      </c>
      <c r="G465" t="str">
        <f>IFERROR(__xludf.DUMMYFUNCTION("""COMPUTED_VALUE"""),"Chatdanai Insawang")</f>
        <v>Chatdanai Insawang</v>
      </c>
      <c r="H465" t="str">
        <f>IFERROR(__xludf.DUMMYFUNCTION("""COMPUTED_VALUE"""),"นาย")</f>
        <v>นาย</v>
      </c>
      <c r="I465" t="str">
        <f>IFERROR(__xludf.DUMMYFUNCTION("""COMPUTED_VALUE"""),"ฉัตรดนัย")</f>
        <v>ฉัตรดนัย</v>
      </c>
      <c r="J465" t="str">
        <f>IFERROR(__xludf.DUMMYFUNCTION("""COMPUTED_VALUE"""),"อินสว่าง")</f>
        <v>อินสว่าง</v>
      </c>
      <c r="K465" t="str">
        <f>IFERROR(__xludf.DUMMYFUNCTION("""COMPUTED_VALUE"""),"ฉัตรดนัย อินสว่าง")</f>
        <v>ฉัตรดนัย อินสว่าง</v>
      </c>
      <c r="L465" t="str">
        <f>IFERROR(__xludf.DUMMYFUNCTION("""COMPUTED_VALUE"""),"Tor")</f>
        <v>Tor</v>
      </c>
      <c r="M465" t="str">
        <f>IFERROR(__xludf.DUMMYFUNCTION("""COMPUTED_VALUE"""),"Cabin Crew - CNX")</f>
        <v>Cabin Crew - CNX</v>
      </c>
      <c r="N465" t="str">
        <f>IFERROR(__xludf.DUMMYFUNCTION("""COMPUTED_VALUE"""),"CNX")</f>
        <v>CNX</v>
      </c>
      <c r="O465" s="145" t="str">
        <f>IFERROR(__xludf.DUMMYFUNCTION("""COMPUTED_VALUE"""),"Up Home")</f>
        <v>Up Home</v>
      </c>
      <c r="P465" t="str">
        <f>IFERROR(__xludf.DUMMYFUNCTION("""COMPUTED_VALUE"""),"Active")</f>
        <v>Active</v>
      </c>
      <c r="Q465" t="str">
        <f>IFERROR(__xludf.DUMMYFUNCTION("""COMPUTED_VALUE"""),"Chinese Speaking")</f>
        <v>Chinese Speaking</v>
      </c>
      <c r="R465" s="143">
        <f>IFERROR(__xludf.DUMMYFUNCTION("""COMPUTED_VALUE"""),32357.0)</f>
        <v>32357</v>
      </c>
      <c r="S465" s="146">
        <f>IFERROR(__xludf.DUMMYFUNCTION("""COMPUTED_VALUE"""),9.09195562E8)</f>
        <v>909195562</v>
      </c>
      <c r="T465" s="147" t="str">
        <f>IFERROR(__xludf.DUMMYFUNCTION("""COMPUTED_VALUE"""),"2579900-02-3376")</f>
        <v>2579900-02-3376</v>
      </c>
      <c r="U465" t="str">
        <f>IFERROR(__xludf.DUMMYFUNCTION("""COMPUTED_VALUE"""),"AD0702739")</f>
        <v>AD0702739</v>
      </c>
      <c r="V465" s="148">
        <f>IFERROR(__xludf.DUMMYFUNCTION("""COMPUTED_VALUE"""),44953.0)</f>
        <v>44953</v>
      </c>
      <c r="W465" s="148">
        <f>IFERROR(__xludf.DUMMYFUNCTION("""COMPUTED_VALUE"""),48605.0)</f>
        <v>48605</v>
      </c>
      <c r="X465" s="149">
        <f>IFERROR(__xludf.DUMMYFUNCTION("""COMPUTED_VALUE"""),48421.0)</f>
        <v>48421</v>
      </c>
      <c r="Y465" t="str">
        <f>IFERROR(__xludf.DUMMYFUNCTION("""COMPUTED_VALUE"""),"ปลอดภัย")</f>
        <v>ปลอดภัย</v>
      </c>
      <c r="Z465" t="str">
        <f>IFERROR(__xludf.DUMMYFUNCTION("""COMPUTED_VALUE"""),"Chiang Rai Province")</f>
        <v>Chiang Rai Province</v>
      </c>
      <c r="AA465" t="str">
        <f>IFERROR(__xludf.DUMMYFUNCTION("""COMPUTED_VALUE"""),"Buenggloum")</f>
        <v>Buenggloum</v>
      </c>
      <c r="AB465" t="str">
        <f>IFERROR(__xludf.DUMMYFUNCTION("""COMPUTED_VALUE"""),"081 611 8183")</f>
        <v>081 611 8183</v>
      </c>
      <c r="AC465" t="str">
        <f>IFERROR(__xludf.DUMMYFUNCTION("""COMPUTED_VALUE"""),"Sumalee Porncheewanon")</f>
        <v>Sumalee Porncheewanon</v>
      </c>
      <c r="AD465" t="str">
        <f>IFERROR(__xludf.DUMMYFUNCTION("""COMPUTED_VALUE"""),"chatdanaii@airasia.com")</f>
        <v>chatdanaii@airasia.com</v>
      </c>
    </row>
    <row r="466">
      <c r="A466" s="142">
        <f>IFERROR(__xludf.DUMMYFUNCTION("""COMPUTED_VALUE"""),61.0)</f>
        <v>61</v>
      </c>
      <c r="B466" t="str">
        <f>IFERROR(__xludf.DUMMYFUNCTION("""COMPUTED_VALUE"""),"TAA4732")</f>
        <v>TAA4732</v>
      </c>
      <c r="C466">
        <f>IFERROR(__xludf.DUMMYFUNCTION("""COMPUTED_VALUE"""),1008956.0)</f>
        <v>1008956</v>
      </c>
      <c r="D466" t="str">
        <f>IFERROR(__xludf.DUMMYFUNCTION("""COMPUTED_VALUE"""),"Ms.")</f>
        <v>Ms.</v>
      </c>
      <c r="E466" t="str">
        <f>IFERROR(__xludf.DUMMYFUNCTION("""COMPUTED_VALUE"""),"Duangkamon")</f>
        <v>Duangkamon</v>
      </c>
      <c r="F466" t="str">
        <f>IFERROR(__xludf.DUMMYFUNCTION("""COMPUTED_VALUE"""),"Thongfuang")</f>
        <v>Thongfuang</v>
      </c>
      <c r="G466" t="str">
        <f>IFERROR(__xludf.DUMMYFUNCTION("""COMPUTED_VALUE"""),"Duangkamon Thongfuang")</f>
        <v>Duangkamon Thongfuang</v>
      </c>
      <c r="H466" t="str">
        <f>IFERROR(__xludf.DUMMYFUNCTION("""COMPUTED_VALUE"""),"นางสาว")</f>
        <v>นางสาว</v>
      </c>
      <c r="I466" t="str">
        <f>IFERROR(__xludf.DUMMYFUNCTION("""COMPUTED_VALUE"""),"ดวงกมล")</f>
        <v>ดวงกมล</v>
      </c>
      <c r="J466" t="str">
        <f>IFERROR(__xludf.DUMMYFUNCTION("""COMPUTED_VALUE"""),"ทองเฟื่อง")</f>
        <v>ทองเฟื่อง</v>
      </c>
      <c r="K466" t="str">
        <f>IFERROR(__xludf.DUMMYFUNCTION("""COMPUTED_VALUE"""),"ดวงกมล ทองเฟื่อง")</f>
        <v>ดวงกมล ทองเฟื่อง</v>
      </c>
      <c r="L466" t="str">
        <f>IFERROR(__xludf.DUMMYFUNCTION("""COMPUTED_VALUE"""),"Ploy")</f>
        <v>Ploy</v>
      </c>
      <c r="M466" t="str">
        <f>IFERROR(__xludf.DUMMYFUNCTION("""COMPUTED_VALUE"""),"Cabin Crew")</f>
        <v>Cabin Crew</v>
      </c>
      <c r="N466" t="str">
        <f>IFERROR(__xludf.DUMMYFUNCTION("""COMPUTED_VALUE"""),"DMK")</f>
        <v>DMK</v>
      </c>
      <c r="O466" s="145" t="str">
        <f>IFERROR(__xludf.DUMMYFUNCTION("""COMPUTED_VALUE"""),"Kor Home")</f>
        <v>Kor Home</v>
      </c>
      <c r="P466" t="str">
        <f>IFERROR(__xludf.DUMMYFUNCTION("""COMPUTED_VALUE"""),"Active")</f>
        <v>Active</v>
      </c>
      <c r="Q466" t="str">
        <f>IFERROR(__xludf.DUMMYFUNCTION("""COMPUTED_VALUE"""),"Chinese Speaking")</f>
        <v>Chinese Speaking</v>
      </c>
      <c r="R466" s="143">
        <f>IFERROR(__xludf.DUMMYFUNCTION("""COMPUTED_VALUE"""),32006.0)</f>
        <v>32006</v>
      </c>
      <c r="S466" s="146" t="str">
        <f>IFERROR(__xludf.DUMMYFUNCTION("""COMPUTED_VALUE"""),"090 319 5562")</f>
        <v>090 319 5562</v>
      </c>
      <c r="T466" s="147" t="str">
        <f>IFERROR(__xludf.DUMMYFUNCTION("""COMPUTED_VALUE"""),"1100200-32-6594")</f>
        <v>1100200-32-6594</v>
      </c>
      <c r="U466" t="str">
        <f>IFERROR(__xludf.DUMMYFUNCTION("""COMPUTED_VALUE"""),"AC7669452")</f>
        <v>AC7669452</v>
      </c>
      <c r="V466" s="148">
        <f>IFERROR(__xludf.DUMMYFUNCTION("""COMPUTED_VALUE"""),45821.0)</f>
        <v>45821</v>
      </c>
      <c r="W466" s="148">
        <f>IFERROR(__xludf.DUMMYFUNCTION("""COMPUTED_VALUE"""),49472.0)</f>
        <v>49472</v>
      </c>
      <c r="X466" s="149">
        <f>IFERROR(__xludf.DUMMYFUNCTION("""COMPUTED_VALUE"""),49290.0)</f>
        <v>49290</v>
      </c>
      <c r="Y466" t="str">
        <f>IFERROR(__xludf.DUMMYFUNCTION("""COMPUTED_VALUE"""),"ปลอดภัย")</f>
        <v>ปลอดภัย</v>
      </c>
      <c r="Z466" t="str">
        <f>IFERROR(__xludf.DUMMYFUNCTION("""COMPUTED_VALUE"""),"Bangkok")</f>
        <v>Bangkok</v>
      </c>
      <c r="AA466" t="str">
        <f>IFERROR(__xludf.DUMMYFUNCTION("""COMPUTED_VALUE"""),"Pathumthani")</f>
        <v>Pathumthani</v>
      </c>
      <c r="AB466" t="str">
        <f>IFERROR(__xludf.DUMMYFUNCTION("""COMPUTED_VALUE"""),"085 328 9592")</f>
        <v>085 328 9592</v>
      </c>
      <c r="AC466" t="str">
        <f>IFERROR(__xludf.DUMMYFUNCTION("""COMPUTED_VALUE"""),"Samrit Thongfuang")</f>
        <v>Samrit Thongfuang</v>
      </c>
      <c r="AD466" t="str">
        <f>IFERROR(__xludf.DUMMYFUNCTION("""COMPUTED_VALUE"""),"duangkamont@airasia.com")</f>
        <v>duangkamont@airasia.com</v>
      </c>
    </row>
    <row r="467">
      <c r="A467" s="142">
        <f>IFERROR(__xludf.DUMMYFUNCTION("""COMPUTED_VALUE"""),61.0)</f>
        <v>61</v>
      </c>
      <c r="B467" t="str">
        <f>IFERROR(__xludf.DUMMYFUNCTION("""COMPUTED_VALUE"""),"TAA4741")</f>
        <v>TAA4741</v>
      </c>
      <c r="C467">
        <f>IFERROR(__xludf.DUMMYFUNCTION("""COMPUTED_VALUE"""),1008963.0)</f>
        <v>1008963</v>
      </c>
      <c r="D467" t="str">
        <f>IFERROR(__xludf.DUMMYFUNCTION("""COMPUTED_VALUE"""),"Ms.")</f>
        <v>Ms.</v>
      </c>
      <c r="E467" t="str">
        <f>IFERROR(__xludf.DUMMYFUNCTION("""COMPUTED_VALUE"""),"Jirawan")</f>
        <v>Jirawan</v>
      </c>
      <c r="F467" t="str">
        <f>IFERROR(__xludf.DUMMYFUNCTION("""COMPUTED_VALUE"""),"Hansajaroonroj")</f>
        <v>Hansajaroonroj</v>
      </c>
      <c r="G467" t="str">
        <f>IFERROR(__xludf.DUMMYFUNCTION("""COMPUTED_VALUE"""),"Jirawan Hansajaroonroj")</f>
        <v>Jirawan Hansajaroonroj</v>
      </c>
      <c r="H467" t="str">
        <f>IFERROR(__xludf.DUMMYFUNCTION("""COMPUTED_VALUE"""),"นางสาว")</f>
        <v>นางสาว</v>
      </c>
      <c r="I467" t="str">
        <f>IFERROR(__xludf.DUMMYFUNCTION("""COMPUTED_VALUE"""),"จิราวรรณ")</f>
        <v>จิราวรรณ</v>
      </c>
      <c r="J467" t="str">
        <f>IFERROR(__xludf.DUMMYFUNCTION("""COMPUTED_VALUE"""),"หรรษาจรูญโรจน์")</f>
        <v>หรรษาจรูญโรจน์</v>
      </c>
      <c r="K467" t="str">
        <f>IFERROR(__xludf.DUMMYFUNCTION("""COMPUTED_VALUE"""),"จิราวรรณ หรรษาจรูญโรจน์")</f>
        <v>จิราวรรณ หรรษาจรูญโรจน์</v>
      </c>
      <c r="L467" t="str">
        <f>IFERROR(__xludf.DUMMYFUNCTION("""COMPUTED_VALUE"""),"Cha-Aim")</f>
        <v>Cha-Aim</v>
      </c>
      <c r="M467" t="str">
        <f>IFERROR(__xludf.DUMMYFUNCTION("""COMPUTED_VALUE"""),"Cabin Crew - CNX")</f>
        <v>Cabin Crew - CNX</v>
      </c>
      <c r="N467" t="str">
        <f>IFERROR(__xludf.DUMMYFUNCTION("""COMPUTED_VALUE"""),"CNX")</f>
        <v>CNX</v>
      </c>
      <c r="O467" s="145" t="str">
        <f>IFERROR(__xludf.DUMMYFUNCTION("""COMPUTED_VALUE"""),"Up Home")</f>
        <v>Up Home</v>
      </c>
      <c r="P467" t="str">
        <f>IFERROR(__xludf.DUMMYFUNCTION("""COMPUTED_VALUE"""),"Active")</f>
        <v>Active</v>
      </c>
      <c r="Q467" t="str">
        <f>IFERROR(__xludf.DUMMYFUNCTION("""COMPUTED_VALUE"""),"Chinese Speaking")</f>
        <v>Chinese Speaking</v>
      </c>
      <c r="R467" s="143">
        <f>IFERROR(__xludf.DUMMYFUNCTION("""COMPUTED_VALUE"""),32466.0)</f>
        <v>32466</v>
      </c>
      <c r="S467" s="146" t="str">
        <f>IFERROR(__xludf.DUMMYFUNCTION("""COMPUTED_VALUE"""),"081-162-8997")</f>
        <v>081-162-8997</v>
      </c>
      <c r="T467" s="147" t="str">
        <f>IFERROR(__xludf.DUMMYFUNCTION("""COMPUTED_VALUE"""),"1101401-48-5674")</f>
        <v>1101401-48-5674</v>
      </c>
      <c r="U467" t="str">
        <f>IFERROR(__xludf.DUMMYFUNCTION("""COMPUTED_VALUE"""),"AC2216946")</f>
        <v>AC2216946</v>
      </c>
      <c r="V467" s="148">
        <f>IFERROR(__xludf.DUMMYFUNCTION("""COMPUTED_VALUE"""),44267.0)</f>
        <v>44267</v>
      </c>
      <c r="W467" s="148">
        <f>IFERROR(__xludf.DUMMYFUNCTION("""COMPUTED_VALUE"""),47918.0)</f>
        <v>47918</v>
      </c>
      <c r="X467" s="149">
        <f>IFERROR(__xludf.DUMMYFUNCTION("""COMPUTED_VALUE"""),47737.0)</f>
        <v>47737</v>
      </c>
      <c r="Y467" t="str">
        <f>IFERROR(__xludf.DUMMYFUNCTION("""COMPUTED_VALUE"""),"ปลอดภัย")</f>
        <v>ปลอดภัย</v>
      </c>
      <c r="Z467" t="str">
        <f>IFERROR(__xludf.DUMMYFUNCTION("""COMPUTED_VALUE"""),"Bangkok")</f>
        <v>Bangkok</v>
      </c>
      <c r="AA467" t="str">
        <f>IFERROR(__xludf.DUMMYFUNCTION("""COMPUTED_VALUE"""),"Dindaeng")</f>
        <v>Dindaeng</v>
      </c>
      <c r="AB467" t="str">
        <f>IFERROR(__xludf.DUMMYFUNCTION("""COMPUTED_VALUE"""),"083 891 8288")</f>
        <v>083 891 8288</v>
      </c>
      <c r="AC467" t="str">
        <f>IFERROR(__xludf.DUMMYFUNCTION("""COMPUTED_VALUE"""),"Jirasri Hansajaroonroj")</f>
        <v>Jirasri Hansajaroonroj</v>
      </c>
      <c r="AD467" t="str">
        <f>IFERROR(__xludf.DUMMYFUNCTION("""COMPUTED_VALUE"""),"jirawanh@airasia.com")</f>
        <v>jirawanh@airasia.com</v>
      </c>
    </row>
    <row r="468">
      <c r="A468" s="142">
        <f>IFERROR(__xludf.DUMMYFUNCTION("""COMPUTED_VALUE"""),61.0)</f>
        <v>61</v>
      </c>
      <c r="B468" t="str">
        <f>IFERROR(__xludf.DUMMYFUNCTION("""COMPUTED_VALUE"""),"TAA4747")</f>
        <v>TAA4747</v>
      </c>
      <c r="C468">
        <f>IFERROR(__xludf.DUMMYFUNCTION("""COMPUTED_VALUE"""),1008968.0)</f>
        <v>1008968</v>
      </c>
      <c r="D468" t="str">
        <f>IFERROR(__xludf.DUMMYFUNCTION("""COMPUTED_VALUE"""),"Ms.")</f>
        <v>Ms.</v>
      </c>
      <c r="E468" t="str">
        <f>IFERROR(__xludf.DUMMYFUNCTION("""COMPUTED_VALUE"""),"Lalita")</f>
        <v>Lalita</v>
      </c>
      <c r="F468" t="str">
        <f>IFERROR(__xludf.DUMMYFUNCTION("""COMPUTED_VALUE"""),"Chaichanapoonpol")</f>
        <v>Chaichanapoonpol</v>
      </c>
      <c r="G468" t="str">
        <f>IFERROR(__xludf.DUMMYFUNCTION("""COMPUTED_VALUE"""),"Lalita Chaichanapoonpol")</f>
        <v>Lalita Chaichanapoonpol</v>
      </c>
      <c r="H468" t="str">
        <f>IFERROR(__xludf.DUMMYFUNCTION("""COMPUTED_VALUE"""),"นางสาว")</f>
        <v>นางสาว</v>
      </c>
      <c r="I468" t="str">
        <f>IFERROR(__xludf.DUMMYFUNCTION("""COMPUTED_VALUE"""),"ลลิตา")</f>
        <v>ลลิตา</v>
      </c>
      <c r="J468" t="str">
        <f>IFERROR(__xludf.DUMMYFUNCTION("""COMPUTED_VALUE"""),"ชัยชนะพูนผล")</f>
        <v>ชัยชนะพูนผล</v>
      </c>
      <c r="K468" t="str">
        <f>IFERROR(__xludf.DUMMYFUNCTION("""COMPUTED_VALUE"""),"ลลิตา ชัยชนะพูนผล")</f>
        <v>ลลิตา ชัยชนะพูนผล</v>
      </c>
      <c r="L468" t="str">
        <f>IFERROR(__xludf.DUMMYFUNCTION("""COMPUTED_VALUE"""),"Wei")</f>
        <v>Wei</v>
      </c>
      <c r="M468" t="str">
        <f>IFERROR(__xludf.DUMMYFUNCTION("""COMPUTED_VALUE"""),"Cabin Crew - CNX")</f>
        <v>Cabin Crew - CNX</v>
      </c>
      <c r="N468" t="str">
        <f>IFERROR(__xludf.DUMMYFUNCTION("""COMPUTED_VALUE"""),"CNX")</f>
        <v>CNX</v>
      </c>
      <c r="O468" s="145" t="str">
        <f>IFERROR(__xludf.DUMMYFUNCTION("""COMPUTED_VALUE"""),"Up Home")</f>
        <v>Up Home</v>
      </c>
      <c r="P468" t="str">
        <f>IFERROR(__xludf.DUMMYFUNCTION("""COMPUTED_VALUE"""),"Active")</f>
        <v>Active</v>
      </c>
      <c r="Q468" t="str">
        <f>IFERROR(__xludf.DUMMYFUNCTION("""COMPUTED_VALUE"""),"Chinese Speaking")</f>
        <v>Chinese Speaking</v>
      </c>
      <c r="R468" s="143">
        <f>IFERROR(__xludf.DUMMYFUNCTION("""COMPUTED_VALUE"""),32820.0)</f>
        <v>32820</v>
      </c>
      <c r="S468" s="146" t="str">
        <f>IFERROR(__xludf.DUMMYFUNCTION("""COMPUTED_VALUE"""),"062-649-3698")</f>
        <v>062-649-3698</v>
      </c>
      <c r="T468" s="147" t="str">
        <f>IFERROR(__xludf.DUMMYFUNCTION("""COMPUTED_VALUE"""),"5509900-09-5274")</f>
        <v>5509900-09-5274</v>
      </c>
      <c r="U468" t="str">
        <f>IFERROR(__xludf.DUMMYFUNCTION("""COMPUTED_VALUE"""),"AC8183450")</f>
        <v>AC8183450</v>
      </c>
      <c r="V468" s="148">
        <f>IFERROR(__xludf.DUMMYFUNCTION("""COMPUTED_VALUE"""),46048.0)</f>
        <v>46048</v>
      </c>
      <c r="W468" s="148">
        <f>IFERROR(__xludf.DUMMYFUNCTION("""COMPUTED_VALUE"""),49699.0)</f>
        <v>49699</v>
      </c>
      <c r="X468" s="149">
        <f>IFERROR(__xludf.DUMMYFUNCTION("""COMPUTED_VALUE"""),49515.0)</f>
        <v>49515</v>
      </c>
      <c r="Y468" t="str">
        <f>IFERROR(__xludf.DUMMYFUNCTION("""COMPUTED_VALUE"""),"ปลอดภัย")</f>
        <v>ปลอดภัย</v>
      </c>
      <c r="Z468" t="str">
        <f>IFERROR(__xludf.DUMMYFUNCTION("""COMPUTED_VALUE"""),"Chiang Mai Province")</f>
        <v>Chiang Mai Province</v>
      </c>
      <c r="AA468" t="str">
        <f>IFERROR(__xludf.DUMMYFUNCTION("""COMPUTED_VALUE"""),"Chiang Mai")</f>
        <v>Chiang Mai</v>
      </c>
      <c r="AB468" t="str">
        <f>IFERROR(__xludf.DUMMYFUNCTION("""COMPUTED_VALUE"""),"089 433 4351")</f>
        <v>089 433 4351</v>
      </c>
      <c r="AC468" t="str">
        <f>IFERROR(__xludf.DUMMYFUNCTION("""COMPUTED_VALUE"""),"Wittaya Chaichanapoonpol")</f>
        <v>Wittaya Chaichanapoonpol</v>
      </c>
      <c r="AD468" t="str">
        <f>IFERROR(__xludf.DUMMYFUNCTION("""COMPUTED_VALUE"""),"lalitac@airasia.com")</f>
        <v>lalitac@airasia.com</v>
      </c>
    </row>
    <row r="469">
      <c r="A469" s="142">
        <f>IFERROR(__xludf.DUMMYFUNCTION("""COMPUTED_VALUE"""),61.0)</f>
        <v>61</v>
      </c>
      <c r="B469" t="str">
        <f>IFERROR(__xludf.DUMMYFUNCTION("""COMPUTED_VALUE"""),"TAA4734")</f>
        <v>TAA4734</v>
      </c>
      <c r="C469">
        <f>IFERROR(__xludf.DUMMYFUNCTION("""COMPUTED_VALUE"""),1008981.0)</f>
        <v>1008981</v>
      </c>
      <c r="D469" t="str">
        <f>IFERROR(__xludf.DUMMYFUNCTION("""COMPUTED_VALUE"""),"Ms.")</f>
        <v>Ms.</v>
      </c>
      <c r="E469" t="str">
        <f>IFERROR(__xludf.DUMMYFUNCTION("""COMPUTED_VALUE"""),"Nichanan")</f>
        <v>Nichanan</v>
      </c>
      <c r="F469" t="str">
        <f>IFERROR(__xludf.DUMMYFUNCTION("""COMPUTED_VALUE"""),"Soonthornpanyawut")</f>
        <v>Soonthornpanyawut</v>
      </c>
      <c r="G469" t="str">
        <f>IFERROR(__xludf.DUMMYFUNCTION("""COMPUTED_VALUE"""),"Nichanan Soonthornpanyawut")</f>
        <v>Nichanan Soonthornpanyawut</v>
      </c>
      <c r="H469" t="str">
        <f>IFERROR(__xludf.DUMMYFUNCTION("""COMPUTED_VALUE"""),"นางสาว")</f>
        <v>นางสาว</v>
      </c>
      <c r="I469" t="str">
        <f>IFERROR(__xludf.DUMMYFUNCTION("""COMPUTED_VALUE"""),"นิชณัน")</f>
        <v>นิชณัน</v>
      </c>
      <c r="J469" t="str">
        <f>IFERROR(__xludf.DUMMYFUNCTION("""COMPUTED_VALUE"""),"สุนทรปัญญาวุธ")</f>
        <v>สุนทรปัญญาวุธ</v>
      </c>
      <c r="K469" t="str">
        <f>IFERROR(__xludf.DUMMYFUNCTION("""COMPUTED_VALUE"""),"นิชณัน สุนทรปัญญาวุธ")</f>
        <v>นิชณัน สุนทรปัญญาวุธ</v>
      </c>
      <c r="L469" t="str">
        <f>IFERROR(__xludf.DUMMYFUNCTION("""COMPUTED_VALUE"""),"Jern")</f>
        <v>Jern</v>
      </c>
      <c r="M469" t="str">
        <f>IFERROR(__xludf.DUMMYFUNCTION("""COMPUTED_VALUE"""),"Cabin Crew")</f>
        <v>Cabin Crew</v>
      </c>
      <c r="N469" t="str">
        <f>IFERROR(__xludf.DUMMYFUNCTION("""COMPUTED_VALUE"""),"DMK")</f>
        <v>DMK</v>
      </c>
      <c r="O469" s="145" t="str">
        <f>IFERROR(__xludf.DUMMYFUNCTION("""COMPUTED_VALUE"""),"Um Home")</f>
        <v>Um Home</v>
      </c>
      <c r="P469" t="str">
        <f>IFERROR(__xludf.DUMMYFUNCTION("""COMPUTED_VALUE"""),"Active")</f>
        <v>Active</v>
      </c>
      <c r="Q469" t="str">
        <f>IFERROR(__xludf.DUMMYFUNCTION("""COMPUTED_VALUE"""),"Chinese Speaking")</f>
        <v>Chinese Speaking</v>
      </c>
      <c r="R469" s="143">
        <f>IFERROR(__xludf.DUMMYFUNCTION("""COMPUTED_VALUE"""),31969.0)</f>
        <v>31969</v>
      </c>
      <c r="S469" s="146" t="str">
        <f>IFERROR(__xludf.DUMMYFUNCTION("""COMPUTED_VALUE"""),"095-419-3635")</f>
        <v>095-419-3635</v>
      </c>
      <c r="T469" s="147" t="str">
        <f>IFERROR(__xludf.DUMMYFUNCTION("""COMPUTED_VALUE"""),"1909800-22-0917")</f>
        <v>1909800-22-0917</v>
      </c>
      <c r="U469" t="str">
        <f>IFERROR(__xludf.DUMMYFUNCTION("""COMPUTED_VALUE"""),"AC4361595")</f>
        <v>AC4361595</v>
      </c>
      <c r="V469" s="148">
        <f>IFERROR(__xludf.DUMMYFUNCTION("""COMPUTED_VALUE"""),44939.0)</f>
        <v>44939</v>
      </c>
      <c r="W469" s="148">
        <f>IFERROR(__xludf.DUMMYFUNCTION("""COMPUTED_VALUE"""),48591.0)</f>
        <v>48591</v>
      </c>
      <c r="X469" s="149">
        <f>IFERROR(__xludf.DUMMYFUNCTION("""COMPUTED_VALUE"""),48407.0)</f>
        <v>48407</v>
      </c>
      <c r="Y469" t="str">
        <f>IFERROR(__xludf.DUMMYFUNCTION("""COMPUTED_VALUE"""),"ปลอดภัย")</f>
        <v>ปลอดภัย</v>
      </c>
      <c r="Z469" t="str">
        <f>IFERROR(__xludf.DUMMYFUNCTION("""COMPUTED_VALUE"""),"Songkhla Province")</f>
        <v>Songkhla Province</v>
      </c>
      <c r="AA469" t="str">
        <f>IFERROR(__xludf.DUMMYFUNCTION("""COMPUTED_VALUE"""),"Songkhla")</f>
        <v>Songkhla</v>
      </c>
      <c r="AB469" t="str">
        <f>IFERROR(__xludf.DUMMYFUNCTION("""COMPUTED_VALUE"""),"084 854 4514")</f>
        <v>084 854 4514</v>
      </c>
      <c r="AC469" t="str">
        <f>IFERROR(__xludf.DUMMYFUNCTION("""COMPUTED_VALUE"""),"Saksiri Soonthronpanyawut")</f>
        <v>Saksiri Soonthronpanyawut</v>
      </c>
      <c r="AD469" t="str">
        <f>IFERROR(__xludf.DUMMYFUNCTION("""COMPUTED_VALUE"""),"nichanano@airasia.com")</f>
        <v>nichanano@airasia.com</v>
      </c>
    </row>
    <row r="470">
      <c r="A470" s="142">
        <f>IFERROR(__xludf.DUMMYFUNCTION("""COMPUTED_VALUE"""),61.0)</f>
        <v>61</v>
      </c>
      <c r="B470" t="str">
        <f>IFERROR(__xludf.DUMMYFUNCTION("""COMPUTED_VALUE"""),"TAA4746")</f>
        <v>TAA4746</v>
      </c>
      <c r="C470">
        <f>IFERROR(__xludf.DUMMYFUNCTION("""COMPUTED_VALUE"""),1008984.0)</f>
        <v>1008984</v>
      </c>
      <c r="D470" t="str">
        <f>IFERROR(__xludf.DUMMYFUNCTION("""COMPUTED_VALUE"""),"Ms.")</f>
        <v>Ms.</v>
      </c>
      <c r="E470" t="str">
        <f>IFERROR(__xludf.DUMMYFUNCTION("""COMPUTED_VALUE"""),"Orapan")</f>
        <v>Orapan</v>
      </c>
      <c r="F470" t="str">
        <f>IFERROR(__xludf.DUMMYFUNCTION("""COMPUTED_VALUE"""),"Bangprapakorn")</f>
        <v>Bangprapakorn</v>
      </c>
      <c r="G470" t="str">
        <f>IFERROR(__xludf.DUMMYFUNCTION("""COMPUTED_VALUE"""),"Orapan Bangprapakorn")</f>
        <v>Orapan Bangprapakorn</v>
      </c>
      <c r="H470" t="str">
        <f>IFERROR(__xludf.DUMMYFUNCTION("""COMPUTED_VALUE"""),"นางสาว")</f>
        <v>นางสาว</v>
      </c>
      <c r="I470" t="str">
        <f>IFERROR(__xludf.DUMMYFUNCTION("""COMPUTED_VALUE"""),"อรพรรณ")</f>
        <v>อรพรรณ</v>
      </c>
      <c r="J470" t="str">
        <f>IFERROR(__xludf.DUMMYFUNCTION("""COMPUTED_VALUE"""),"บางประภากร")</f>
        <v>บางประภากร</v>
      </c>
      <c r="K470" t="str">
        <f>IFERROR(__xludf.DUMMYFUNCTION("""COMPUTED_VALUE"""),"อรพรรณ บางประภากร")</f>
        <v>อรพรรณ บางประภากร</v>
      </c>
      <c r="L470" t="str">
        <f>IFERROR(__xludf.DUMMYFUNCTION("""COMPUTED_VALUE"""),"Apple")</f>
        <v>Apple</v>
      </c>
      <c r="M470" t="str">
        <f>IFERROR(__xludf.DUMMYFUNCTION("""COMPUTED_VALUE"""),"Cabin Crew")</f>
        <v>Cabin Crew</v>
      </c>
      <c r="N470" t="str">
        <f>IFERROR(__xludf.DUMMYFUNCTION("""COMPUTED_VALUE"""),"DMK")</f>
        <v>DMK</v>
      </c>
      <c r="O470" s="145" t="str">
        <f>IFERROR(__xludf.DUMMYFUNCTION("""COMPUTED_VALUE"""),"Nhui Home")</f>
        <v>Nhui Home</v>
      </c>
      <c r="P470" t="str">
        <f>IFERROR(__xludf.DUMMYFUNCTION("""COMPUTED_VALUE"""),"V/LWP")</f>
        <v>V/LWP</v>
      </c>
      <c r="Q470" t="str">
        <f>IFERROR(__xludf.DUMMYFUNCTION("""COMPUTED_VALUE"""),"Chinese Speaking")</f>
        <v>Chinese Speaking</v>
      </c>
      <c r="R470" s="143">
        <f>IFERROR(__xludf.DUMMYFUNCTION("""COMPUTED_VALUE"""),31524.0)</f>
        <v>31524</v>
      </c>
      <c r="S470" s="146" t="str">
        <f>IFERROR(__xludf.DUMMYFUNCTION("""COMPUTED_VALUE"""),"081-4416942")</f>
        <v>081-4416942</v>
      </c>
      <c r="T470" s="147" t="str">
        <f>IFERROR(__xludf.DUMMYFUNCTION("""COMPUTED_VALUE"""),"1101400-66-2017")</f>
        <v>1101400-66-2017</v>
      </c>
      <c r="U470" t="str">
        <f>IFERROR(__xludf.DUMMYFUNCTION("""COMPUTED_VALUE"""),"AD0647609")</f>
        <v>AD0647609</v>
      </c>
      <c r="V470" s="148">
        <f>IFERROR(__xludf.DUMMYFUNCTION("""COMPUTED_VALUE"""),44945.0)</f>
        <v>44945</v>
      </c>
      <c r="W470" s="148">
        <f>IFERROR(__xludf.DUMMYFUNCTION("""COMPUTED_VALUE"""),48597.0)</f>
        <v>48597</v>
      </c>
      <c r="X470" s="149">
        <f>IFERROR(__xludf.DUMMYFUNCTION("""COMPUTED_VALUE"""),48413.0)</f>
        <v>48413</v>
      </c>
      <c r="Y470" t="str">
        <f>IFERROR(__xludf.DUMMYFUNCTION("""COMPUTED_VALUE"""),"ปลอดภัย")</f>
        <v>ปลอดภัย</v>
      </c>
      <c r="Z470" t="str">
        <f>IFERROR(__xludf.DUMMYFUNCTION("""COMPUTED_VALUE"""),"Bangkok")</f>
        <v>Bangkok</v>
      </c>
      <c r="AA470" t="str">
        <f>IFERROR(__xludf.DUMMYFUNCTION("""COMPUTED_VALUE"""),"Bangkapi")</f>
        <v>Bangkapi</v>
      </c>
      <c r="AB470" t="str">
        <f>IFERROR(__xludf.DUMMYFUNCTION("""COMPUTED_VALUE"""),"086 777 8177")</f>
        <v>086 777 8177</v>
      </c>
      <c r="AC470" t="str">
        <f>IFERROR(__xludf.DUMMYFUNCTION("""COMPUTED_VALUE"""),"Pansiri Bangprapakorn")</f>
        <v>Pansiri Bangprapakorn</v>
      </c>
      <c r="AD470" t="str">
        <f>IFERROR(__xludf.DUMMYFUNCTION("""COMPUTED_VALUE"""),"orapanb@airasia.com")</f>
        <v>orapanb@airasia.com</v>
      </c>
    </row>
    <row r="471">
      <c r="A471" s="142">
        <f>IFERROR(__xludf.DUMMYFUNCTION("""COMPUTED_VALUE"""),61.0)</f>
        <v>61</v>
      </c>
      <c r="B471" t="str">
        <f>IFERROR(__xludf.DUMMYFUNCTION("""COMPUTED_VALUE"""),"TAA4748")</f>
        <v>TAA4748</v>
      </c>
      <c r="C471">
        <f>IFERROR(__xludf.DUMMYFUNCTION("""COMPUTED_VALUE"""),1008987.0)</f>
        <v>1008987</v>
      </c>
      <c r="D471" t="str">
        <f>IFERROR(__xludf.DUMMYFUNCTION("""COMPUTED_VALUE"""),"Mr.")</f>
        <v>Mr.</v>
      </c>
      <c r="E471" t="str">
        <f>IFERROR(__xludf.DUMMYFUNCTION("""COMPUTED_VALUE"""),"Punnasisth (Phasin)")</f>
        <v>Punnasisth (Phasin)</v>
      </c>
      <c r="F471" t="str">
        <f>IFERROR(__xludf.DUMMYFUNCTION("""COMPUTED_VALUE"""),"Rangshirinanthakorn (Jirapattanatad)")</f>
        <v>Rangshirinanthakorn (Jirapattanatad)</v>
      </c>
      <c r="G471" t="str">
        <f>IFERROR(__xludf.DUMMYFUNCTION("""COMPUTED_VALUE"""),"Punnasisth Rangshirinanthakorn")</f>
        <v>Punnasisth Rangshirinanthakorn</v>
      </c>
      <c r="H471" t="str">
        <f>IFERROR(__xludf.DUMMYFUNCTION("""COMPUTED_VALUE"""),"นาย")</f>
        <v>นาย</v>
      </c>
      <c r="I471" t="str">
        <f>IFERROR(__xludf.DUMMYFUNCTION("""COMPUTED_VALUE"""),"ปุณศิษฐ์")</f>
        <v>ปุณศิษฐ์</v>
      </c>
      <c r="J471" t="str">
        <f>IFERROR(__xludf.DUMMYFUNCTION("""COMPUTED_VALUE"""),"รังสิรินันทกรณ์")</f>
        <v>รังสิรินันทกรณ์</v>
      </c>
      <c r="K471" t="str">
        <f>IFERROR(__xludf.DUMMYFUNCTION("""COMPUTED_VALUE"""),"ปุณศิษฐ์ รังสิรินันทกรณ์")</f>
        <v>ปุณศิษฐ์ รังสิรินันทกรณ์</v>
      </c>
      <c r="L471" t="str">
        <f>IFERROR(__xludf.DUMMYFUNCTION("""COMPUTED_VALUE"""),"Woody")</f>
        <v>Woody</v>
      </c>
      <c r="M471" t="str">
        <f>IFERROR(__xludf.DUMMYFUNCTION("""COMPUTED_VALUE"""),"Senior Cabin Crew")</f>
        <v>Senior Cabin Crew</v>
      </c>
      <c r="N471" t="str">
        <f>IFERROR(__xludf.DUMMYFUNCTION("""COMPUTED_VALUE"""),"DMK")</f>
        <v>DMK</v>
      </c>
      <c r="O471" s="145" t="str">
        <f>IFERROR(__xludf.DUMMYFUNCTION("""COMPUTED_VALUE"""),"Toffy Home")</f>
        <v>Toffy Home</v>
      </c>
      <c r="P471" t="str">
        <f>IFERROR(__xludf.DUMMYFUNCTION("""COMPUTED_VALUE"""),"Active")</f>
        <v>Active</v>
      </c>
      <c r="Q471" t="str">
        <f>IFERROR(__xludf.DUMMYFUNCTION("""COMPUTED_VALUE"""),"Chinese Speaking")</f>
        <v>Chinese Speaking</v>
      </c>
      <c r="R471" s="143">
        <f>IFERROR(__xludf.DUMMYFUNCTION("""COMPUTED_VALUE"""),32098.0)</f>
        <v>32098</v>
      </c>
      <c r="S471" s="146" t="str">
        <f>IFERROR(__xludf.DUMMYFUNCTION("""COMPUTED_VALUE"""),"083-5569169")</f>
        <v>083-5569169</v>
      </c>
      <c r="T471" s="147" t="str">
        <f>IFERROR(__xludf.DUMMYFUNCTION("""COMPUTED_VALUE"""),"1909800-24-8765")</f>
        <v>1909800-24-8765</v>
      </c>
      <c r="U471" t="str">
        <f>IFERROR(__xludf.DUMMYFUNCTION("""COMPUTED_VALUE"""),"AD2842425")</f>
        <v>AD2842425</v>
      </c>
      <c r="V471" s="148">
        <f>IFERROR(__xludf.DUMMYFUNCTION("""COMPUTED_VALUE"""),46055.0)</f>
        <v>46055</v>
      </c>
      <c r="W471" s="148">
        <f>IFERROR(__xludf.DUMMYFUNCTION("""COMPUTED_VALUE"""),49706.0)</f>
        <v>49706</v>
      </c>
      <c r="X471" s="149">
        <f>IFERROR(__xludf.DUMMYFUNCTION("""COMPUTED_VALUE"""),49522.0)</f>
        <v>49522</v>
      </c>
      <c r="Y471" t="str">
        <f>IFERROR(__xludf.DUMMYFUNCTION("""COMPUTED_VALUE"""),"ปลอดภัย")</f>
        <v>ปลอดภัย</v>
      </c>
      <c r="Z471" t="str">
        <f>IFERROR(__xludf.DUMMYFUNCTION("""COMPUTED_VALUE"""),"Songkhla Province")</f>
        <v>Songkhla Province</v>
      </c>
      <c r="AA471" t="str">
        <f>IFERROR(__xludf.DUMMYFUNCTION("""COMPUTED_VALUE"""),"Suanluang")</f>
        <v>Suanluang</v>
      </c>
      <c r="AB471" t="str">
        <f>IFERROR(__xludf.DUMMYFUNCTION("""COMPUTED_VALUE"""),"083 295 1811")</f>
        <v>083 295 1811</v>
      </c>
      <c r="AC471" t="str">
        <f>IFERROR(__xludf.DUMMYFUNCTION("""COMPUTED_VALUE"""),"Kankanit Jirapattanatad")</f>
        <v>Kankanit Jirapattanatad</v>
      </c>
      <c r="AD471" t="str">
        <f>IFERROR(__xludf.DUMMYFUNCTION("""COMPUTED_VALUE"""),"punnasisthran@airasia.com")</f>
        <v>punnasisthran@airasia.com</v>
      </c>
    </row>
    <row r="472">
      <c r="A472" s="142">
        <f>IFERROR(__xludf.DUMMYFUNCTION("""COMPUTED_VALUE"""),61.0)</f>
        <v>61</v>
      </c>
      <c r="B472" t="str">
        <f>IFERROR(__xludf.DUMMYFUNCTION("""COMPUTED_VALUE"""),"TAA4749")</f>
        <v>TAA4749</v>
      </c>
      <c r="C472">
        <f>IFERROR(__xludf.DUMMYFUNCTION("""COMPUTED_VALUE"""),1008989.0)</f>
        <v>1008989</v>
      </c>
      <c r="D472" t="str">
        <f>IFERROR(__xludf.DUMMYFUNCTION("""COMPUTED_VALUE"""),"Ms.")</f>
        <v>Ms.</v>
      </c>
      <c r="E472" t="str">
        <f>IFERROR(__xludf.DUMMYFUNCTION("""COMPUTED_VALUE"""),"Pornpimon")</f>
        <v>Pornpimon</v>
      </c>
      <c r="F472" t="str">
        <f>IFERROR(__xludf.DUMMYFUNCTION("""COMPUTED_VALUE"""),"Booranawattanakul")</f>
        <v>Booranawattanakul</v>
      </c>
      <c r="G472" t="str">
        <f>IFERROR(__xludf.DUMMYFUNCTION("""COMPUTED_VALUE"""),"Pornpimon Booranawattanakul")</f>
        <v>Pornpimon Booranawattanakul</v>
      </c>
      <c r="H472" t="str">
        <f>IFERROR(__xludf.DUMMYFUNCTION("""COMPUTED_VALUE"""),"นางสาว")</f>
        <v>นางสาว</v>
      </c>
      <c r="I472" t="str">
        <f>IFERROR(__xludf.DUMMYFUNCTION("""COMPUTED_VALUE"""),"พรพิมล")</f>
        <v>พรพิมล</v>
      </c>
      <c r="J472" t="str">
        <f>IFERROR(__xludf.DUMMYFUNCTION("""COMPUTED_VALUE"""),"บูรณวัฒนกุล")</f>
        <v>บูรณวัฒนกุล</v>
      </c>
      <c r="K472" t="str">
        <f>IFERROR(__xludf.DUMMYFUNCTION("""COMPUTED_VALUE"""),"พรพิมล บูรณวัฒนกุล")</f>
        <v>พรพิมล บูรณวัฒนกุล</v>
      </c>
      <c r="L472" t="str">
        <f>IFERROR(__xludf.DUMMYFUNCTION("""COMPUTED_VALUE"""),"Pat")</f>
        <v>Pat</v>
      </c>
      <c r="M472" t="str">
        <f>IFERROR(__xludf.DUMMYFUNCTION("""COMPUTED_VALUE"""),"Cabin Crew - BKK")</f>
        <v>Cabin Crew - BKK</v>
      </c>
      <c r="N472" t="str">
        <f>IFERROR(__xludf.DUMMYFUNCTION("""COMPUTED_VALUE"""),"BKK")</f>
        <v>BKK</v>
      </c>
      <c r="O472" s="145" t="str">
        <f>IFERROR(__xludf.DUMMYFUNCTION("""COMPUTED_VALUE"""),"Nhui Home")</f>
        <v>Nhui Home</v>
      </c>
      <c r="P472" t="str">
        <f>IFERROR(__xludf.DUMMYFUNCTION("""COMPUTED_VALUE"""),"Active")</f>
        <v>Active</v>
      </c>
      <c r="Q472" t="str">
        <f>IFERROR(__xludf.DUMMYFUNCTION("""COMPUTED_VALUE"""),"Chinese Speaking")</f>
        <v>Chinese Speaking</v>
      </c>
      <c r="R472" s="143">
        <f>IFERROR(__xludf.DUMMYFUNCTION("""COMPUTED_VALUE"""),33633.0)</f>
        <v>33633</v>
      </c>
      <c r="S472" s="146" t="str">
        <f>IFERROR(__xludf.DUMMYFUNCTION("""COMPUTED_VALUE"""),"062 826 4935")</f>
        <v>062 826 4935</v>
      </c>
      <c r="T472" s="147" t="str">
        <f>IFERROR(__xludf.DUMMYFUNCTION("""COMPUTED_VALUE"""),"1103700-67-2761")</f>
        <v>1103700-67-2761</v>
      </c>
      <c r="U472" t="str">
        <f>IFERROR(__xludf.DUMMYFUNCTION("""COMPUTED_VALUE"""),"AC7240377")</f>
        <v>AC7240377</v>
      </c>
      <c r="V472" s="148">
        <f>IFERROR(__xludf.DUMMYFUNCTION("""COMPUTED_VALUE"""),45659.0)</f>
        <v>45659</v>
      </c>
      <c r="W472" s="148">
        <f>IFERROR(__xludf.DUMMYFUNCTION("""COMPUTED_VALUE"""),49310.0)</f>
        <v>49310</v>
      </c>
      <c r="X472" s="149">
        <f>IFERROR(__xludf.DUMMYFUNCTION("""COMPUTED_VALUE"""),49126.0)</f>
        <v>49126</v>
      </c>
      <c r="Y472" t="str">
        <f>IFERROR(__xludf.DUMMYFUNCTION("""COMPUTED_VALUE"""),"ปลอดภัย")</f>
        <v>ปลอดภัย</v>
      </c>
      <c r="Z472" t="str">
        <f>IFERROR(__xludf.DUMMYFUNCTION("""COMPUTED_VALUE"""),"Bangkok")</f>
        <v>Bangkok</v>
      </c>
      <c r="AA472" t="str">
        <f>IFERROR(__xludf.DUMMYFUNCTION("""COMPUTED_VALUE"""),"Wangthonglang")</f>
        <v>Wangthonglang</v>
      </c>
      <c r="AB472" t="str">
        <f>IFERROR(__xludf.DUMMYFUNCTION("""COMPUTED_VALUE"""),"089 096 6930  ")</f>
        <v>089 096 6930  </v>
      </c>
      <c r="AC472" t="str">
        <f>IFERROR(__xludf.DUMMYFUNCTION("""COMPUTED_VALUE"""),"Chisanu (Husband)")</f>
        <v>Chisanu (Husband)</v>
      </c>
      <c r="AD472" t="str">
        <f>IFERROR(__xludf.DUMMYFUNCTION("""COMPUTED_VALUE"""),"pornpimonb@airasia.com")</f>
        <v>pornpimonb@airasia.com</v>
      </c>
    </row>
    <row r="473">
      <c r="A473" s="142">
        <f>IFERROR(__xludf.DUMMYFUNCTION("""COMPUTED_VALUE"""),61.0)</f>
        <v>61</v>
      </c>
      <c r="B473" t="str">
        <f>IFERROR(__xludf.DUMMYFUNCTION("""COMPUTED_VALUE"""),"TAA4736")</f>
        <v>TAA4736</v>
      </c>
      <c r="C473">
        <f>IFERROR(__xludf.DUMMYFUNCTION("""COMPUTED_VALUE"""),1008991.0)</f>
        <v>1008991</v>
      </c>
      <c r="D473" t="str">
        <f>IFERROR(__xludf.DUMMYFUNCTION("""COMPUTED_VALUE"""),"Ms.")</f>
        <v>Ms.</v>
      </c>
      <c r="E473" t="str">
        <f>IFERROR(__xludf.DUMMYFUNCTION("""COMPUTED_VALUE"""),"Premkamon")</f>
        <v>Premkamon</v>
      </c>
      <c r="F473" t="str">
        <f>IFERROR(__xludf.DUMMYFUNCTION("""COMPUTED_VALUE"""),"Changsuwan")</f>
        <v>Changsuwan</v>
      </c>
      <c r="G473" t="str">
        <f>IFERROR(__xludf.DUMMYFUNCTION("""COMPUTED_VALUE"""),"Premkamon Changsuwan")</f>
        <v>Premkamon Changsuwan</v>
      </c>
      <c r="H473" t="str">
        <f>IFERROR(__xludf.DUMMYFUNCTION("""COMPUTED_VALUE"""),"นางสาว")</f>
        <v>นางสาว</v>
      </c>
      <c r="I473" t="str">
        <f>IFERROR(__xludf.DUMMYFUNCTION("""COMPUTED_VALUE"""),"เปรมกมล")</f>
        <v>เปรมกมล</v>
      </c>
      <c r="J473" t="str">
        <f>IFERROR(__xludf.DUMMYFUNCTION("""COMPUTED_VALUE"""),"ช่างสุวรรณ")</f>
        <v>ช่างสุวรรณ</v>
      </c>
      <c r="K473" t="str">
        <f>IFERROR(__xludf.DUMMYFUNCTION("""COMPUTED_VALUE"""),"เปรมกมล ช่างสุวรรณ")</f>
        <v>เปรมกมล ช่างสุวรรณ</v>
      </c>
      <c r="L473" t="str">
        <f>IFERROR(__xludf.DUMMYFUNCTION("""COMPUTED_VALUE"""),"Som-O")</f>
        <v>Som-O</v>
      </c>
      <c r="M473" t="str">
        <f>IFERROR(__xludf.DUMMYFUNCTION("""COMPUTED_VALUE"""),"Senior Cabin Crew")</f>
        <v>Senior Cabin Crew</v>
      </c>
      <c r="N473" t="str">
        <f>IFERROR(__xludf.DUMMYFUNCTION("""COMPUTED_VALUE"""),"DMK")</f>
        <v>DMK</v>
      </c>
      <c r="O473" s="145" t="str">
        <f>IFERROR(__xludf.DUMMYFUNCTION("""COMPUTED_VALUE"""),"Kor Home")</f>
        <v>Kor Home</v>
      </c>
      <c r="P473" t="str">
        <f>IFERROR(__xludf.DUMMYFUNCTION("""COMPUTED_VALUE"""),"Active")</f>
        <v>Active</v>
      </c>
      <c r="Q473" t="str">
        <f>IFERROR(__xludf.DUMMYFUNCTION("""COMPUTED_VALUE"""),"Chinese Speaking")</f>
        <v>Chinese Speaking</v>
      </c>
      <c r="R473" s="143">
        <f>IFERROR(__xludf.DUMMYFUNCTION("""COMPUTED_VALUE"""),33535.0)</f>
        <v>33535</v>
      </c>
      <c r="S473" s="146" t="str">
        <f>IFERROR(__xludf.DUMMYFUNCTION("""COMPUTED_VALUE"""),"081 234 4926")</f>
        <v>081 234 4926</v>
      </c>
      <c r="T473" s="147" t="str">
        <f>IFERROR(__xludf.DUMMYFUNCTION("""COMPUTED_VALUE"""),"1759900-20-0014")</f>
        <v>1759900-20-0014</v>
      </c>
      <c r="U473" t="str">
        <f>IFERROR(__xludf.DUMMYFUNCTION("""COMPUTED_VALUE"""),"AC4124057")</f>
        <v>AC4124057</v>
      </c>
      <c r="V473" s="148">
        <f>IFERROR(__xludf.DUMMYFUNCTION("""COMPUTED_VALUE"""),44853.0)</f>
        <v>44853</v>
      </c>
      <c r="W473" s="148">
        <f>IFERROR(__xludf.DUMMYFUNCTION("""COMPUTED_VALUE"""),48505.0)</f>
        <v>48505</v>
      </c>
      <c r="X473" s="149">
        <f>IFERROR(__xludf.DUMMYFUNCTION("""COMPUTED_VALUE"""),48322.0)</f>
        <v>48322</v>
      </c>
      <c r="Y473" t="str">
        <f>IFERROR(__xludf.DUMMYFUNCTION("""COMPUTED_VALUE"""),"ปลอดภัย")</f>
        <v>ปลอดภัย</v>
      </c>
      <c r="Z473" t="str">
        <f>IFERROR(__xludf.DUMMYFUNCTION("""COMPUTED_VALUE"""),"Samut Songkhram Province")</f>
        <v>Samut Songkhram Province</v>
      </c>
      <c r="AA473" t="str">
        <f>IFERROR(__xludf.DUMMYFUNCTION("""COMPUTED_VALUE"""),"Maeklong")</f>
        <v>Maeklong</v>
      </c>
      <c r="AB473" t="str">
        <f>IFERROR(__xludf.DUMMYFUNCTION("""COMPUTED_VALUE"""),"084 674 9395")</f>
        <v>084 674 9395</v>
      </c>
      <c r="AC473" t="str">
        <f>IFERROR(__xludf.DUMMYFUNCTION("""COMPUTED_VALUE"""),"Phattara Ngernchangsuean")</f>
        <v>Phattara Ngernchangsuean</v>
      </c>
      <c r="AD473" t="str">
        <f>IFERROR(__xludf.DUMMYFUNCTION("""COMPUTED_VALUE"""),"premkamonc@airasia.com")</f>
        <v>premkamonc@airasia.com</v>
      </c>
    </row>
    <row r="474">
      <c r="A474" s="142">
        <f>IFERROR(__xludf.DUMMYFUNCTION("""COMPUTED_VALUE"""),61.0)</f>
        <v>61</v>
      </c>
      <c r="B474" t="str">
        <f>IFERROR(__xludf.DUMMYFUNCTION("""COMPUTED_VALUE"""),"TAA4744")</f>
        <v>TAA4744</v>
      </c>
      <c r="C474">
        <f>IFERROR(__xludf.DUMMYFUNCTION("""COMPUTED_VALUE"""),1008992.0)</f>
        <v>1008992</v>
      </c>
      <c r="D474" t="str">
        <f>IFERROR(__xludf.DUMMYFUNCTION("""COMPUTED_VALUE"""),"Ms.")</f>
        <v>Ms.</v>
      </c>
      <c r="E474" t="str">
        <f>IFERROR(__xludf.DUMMYFUNCTION("""COMPUTED_VALUE"""),"Pundharee")</f>
        <v>Pundharee</v>
      </c>
      <c r="F474" t="str">
        <f>IFERROR(__xludf.DUMMYFUNCTION("""COMPUTED_VALUE"""),"Manosirinukul")</f>
        <v>Manosirinukul</v>
      </c>
      <c r="G474" t="str">
        <f>IFERROR(__xludf.DUMMYFUNCTION("""COMPUTED_VALUE"""),"Pundharee Manosirinukul")</f>
        <v>Pundharee Manosirinukul</v>
      </c>
      <c r="H474" t="str">
        <f>IFERROR(__xludf.DUMMYFUNCTION("""COMPUTED_VALUE"""),"นางสาว")</f>
        <v>นางสาว</v>
      </c>
      <c r="I474" t="str">
        <f>IFERROR(__xludf.DUMMYFUNCTION("""COMPUTED_VALUE"""),"ปัญฑารีย์")</f>
        <v>ปัญฑารีย์</v>
      </c>
      <c r="J474" t="str">
        <f>IFERROR(__xludf.DUMMYFUNCTION("""COMPUTED_VALUE"""),"มโนศิริยุกูล")</f>
        <v>มโนศิริยุกูล</v>
      </c>
      <c r="K474" t="str">
        <f>IFERROR(__xludf.DUMMYFUNCTION("""COMPUTED_VALUE"""),"ปัญฑารีย์ มโนศิริยุกูล")</f>
        <v>ปัญฑารีย์ มโนศิริยุกูล</v>
      </c>
      <c r="L474" t="str">
        <f>IFERROR(__xludf.DUMMYFUNCTION("""COMPUTED_VALUE"""),"Pat")</f>
        <v>Pat</v>
      </c>
      <c r="M474" t="str">
        <f>IFERROR(__xludf.DUMMYFUNCTION("""COMPUTED_VALUE"""),"Cabin Crew")</f>
        <v>Cabin Crew</v>
      </c>
      <c r="N474" t="str">
        <f>IFERROR(__xludf.DUMMYFUNCTION("""COMPUTED_VALUE"""),"DMK")</f>
        <v>DMK</v>
      </c>
      <c r="O474" s="145" t="str">
        <f>IFERROR(__xludf.DUMMYFUNCTION("""COMPUTED_VALUE"""),"Um Home")</f>
        <v>Um Home</v>
      </c>
      <c r="P474" t="str">
        <f>IFERROR(__xludf.DUMMYFUNCTION("""COMPUTED_VALUE"""),"V/LWP")</f>
        <v>V/LWP</v>
      </c>
      <c r="Q474" t="str">
        <f>IFERROR(__xludf.DUMMYFUNCTION("""COMPUTED_VALUE"""),"Chinese Speaking")</f>
        <v>Chinese Speaking</v>
      </c>
      <c r="R474" s="143">
        <f>IFERROR(__xludf.DUMMYFUNCTION("""COMPUTED_VALUE"""),32723.0)</f>
        <v>32723</v>
      </c>
      <c r="S474" s="146" t="str">
        <f>IFERROR(__xludf.DUMMYFUNCTION("""COMPUTED_VALUE"""),"084-6395979")</f>
        <v>084-6395979</v>
      </c>
      <c r="T474" s="147" t="str">
        <f>IFERROR(__xludf.DUMMYFUNCTION("""COMPUTED_VALUE"""),"1100400-40-6036")</f>
        <v>1100400-40-6036</v>
      </c>
      <c r="U474" t="str">
        <f>IFERROR(__xludf.DUMMYFUNCTION("""COMPUTED_VALUE"""),"AC4424779")</f>
        <v>AC4424779</v>
      </c>
      <c r="V474" s="148">
        <f>IFERROR(__xludf.DUMMYFUNCTION("""COMPUTED_VALUE"""),44958.0)</f>
        <v>44958</v>
      </c>
      <c r="W474" s="148">
        <f>IFERROR(__xludf.DUMMYFUNCTION("""COMPUTED_VALUE"""),48610.0)</f>
        <v>48610</v>
      </c>
      <c r="X474" s="149">
        <f>IFERROR(__xludf.DUMMYFUNCTION("""COMPUTED_VALUE"""),48426.0)</f>
        <v>48426</v>
      </c>
      <c r="Y474" t="str">
        <f>IFERROR(__xludf.DUMMYFUNCTION("""COMPUTED_VALUE"""),"ปลอดภัย")</f>
        <v>ปลอดภัย</v>
      </c>
      <c r="Z474" t="str">
        <f>IFERROR(__xludf.DUMMYFUNCTION("""COMPUTED_VALUE"""),"Bangkok")</f>
        <v>Bangkok</v>
      </c>
      <c r="AA474" t="str">
        <f>IFERROR(__xludf.DUMMYFUNCTION("""COMPUTED_VALUE"""),"Samutprakarn")</f>
        <v>Samutprakarn</v>
      </c>
      <c r="AB474" t="str">
        <f>IFERROR(__xludf.DUMMYFUNCTION("""COMPUTED_VALUE"""),"086 369 8306")</f>
        <v>086 369 8306</v>
      </c>
      <c r="AC474" t="str">
        <f>IFERROR(__xludf.DUMMYFUNCTION("""COMPUTED_VALUE"""),"Jiramate Mangsirinukul")</f>
        <v>Jiramate Mangsirinukul</v>
      </c>
      <c r="AD474" t="str">
        <f>IFERROR(__xludf.DUMMYFUNCTION("""COMPUTED_VALUE"""),"pundhareem@airasia.com")</f>
        <v>pundhareem@airasia.com</v>
      </c>
    </row>
    <row r="475">
      <c r="A475" s="142">
        <f>IFERROR(__xludf.DUMMYFUNCTION("""COMPUTED_VALUE"""),61.0)</f>
        <v>61</v>
      </c>
      <c r="B475" t="str">
        <f>IFERROR(__xludf.DUMMYFUNCTION("""COMPUTED_VALUE"""),"TAA4750")</f>
        <v>TAA4750</v>
      </c>
      <c r="C475">
        <f>IFERROR(__xludf.DUMMYFUNCTION("""COMPUTED_VALUE"""),1008997.0)</f>
        <v>1008997</v>
      </c>
      <c r="D475" t="str">
        <f>IFERROR(__xludf.DUMMYFUNCTION("""COMPUTED_VALUE"""),"Ms.")</f>
        <v>Ms.</v>
      </c>
      <c r="E475" t="str">
        <f>IFERROR(__xludf.DUMMYFUNCTION("""COMPUTED_VALUE"""),"Sirikarn")</f>
        <v>Sirikarn</v>
      </c>
      <c r="F475" t="str">
        <f>IFERROR(__xludf.DUMMYFUNCTION("""COMPUTED_VALUE"""),"Thipakarnkul")</f>
        <v>Thipakarnkul</v>
      </c>
      <c r="G475" t="str">
        <f>IFERROR(__xludf.DUMMYFUNCTION("""COMPUTED_VALUE"""),"Sirikarn Thipakarnkul")</f>
        <v>Sirikarn Thipakarnkul</v>
      </c>
      <c r="H475" t="str">
        <f>IFERROR(__xludf.DUMMYFUNCTION("""COMPUTED_VALUE"""),"นางสาว")</f>
        <v>นางสาว</v>
      </c>
      <c r="I475" t="str">
        <f>IFERROR(__xludf.DUMMYFUNCTION("""COMPUTED_VALUE"""),"สิริกาญจน์")</f>
        <v>สิริกาญจน์</v>
      </c>
      <c r="J475" t="str">
        <f>IFERROR(__xludf.DUMMYFUNCTION("""COMPUTED_VALUE"""),"ที่ปกาญจน์กุล")</f>
        <v>ที่ปกาญจน์กุล</v>
      </c>
      <c r="K475" t="str">
        <f>IFERROR(__xludf.DUMMYFUNCTION("""COMPUTED_VALUE"""),"สิริกาญจน์ ที่ปกาญจน์กุล")</f>
        <v>สิริกาญจน์ ที่ปกาญจน์กุล</v>
      </c>
      <c r="L475" t="str">
        <f>IFERROR(__xludf.DUMMYFUNCTION("""COMPUTED_VALUE"""),"Fai")</f>
        <v>Fai</v>
      </c>
      <c r="M475" t="str">
        <f>IFERROR(__xludf.DUMMYFUNCTION("""COMPUTED_VALUE"""),"Cabin Crew - CNX")</f>
        <v>Cabin Crew - CNX</v>
      </c>
      <c r="N475" t="str">
        <f>IFERROR(__xludf.DUMMYFUNCTION("""COMPUTED_VALUE"""),"CNX")</f>
        <v>CNX</v>
      </c>
      <c r="O475" s="145" t="str">
        <f>IFERROR(__xludf.DUMMYFUNCTION("""COMPUTED_VALUE"""),"Up Home")</f>
        <v>Up Home</v>
      </c>
      <c r="P475" t="str">
        <f>IFERROR(__xludf.DUMMYFUNCTION("""COMPUTED_VALUE"""),"Active")</f>
        <v>Active</v>
      </c>
      <c r="Q475" t="str">
        <f>IFERROR(__xludf.DUMMYFUNCTION("""COMPUTED_VALUE"""),"Chinese Speaking")</f>
        <v>Chinese Speaking</v>
      </c>
      <c r="R475" s="143">
        <f>IFERROR(__xludf.DUMMYFUNCTION("""COMPUTED_VALUE"""),32491.0)</f>
        <v>32491</v>
      </c>
      <c r="S475" s="146" t="str">
        <f>IFERROR(__xludf.DUMMYFUNCTION("""COMPUTED_VALUE"""),"093-3245141")</f>
        <v>093-3245141</v>
      </c>
      <c r="T475" s="147" t="str">
        <f>IFERROR(__xludf.DUMMYFUNCTION("""COMPUTED_VALUE"""),"1509900-67-9923")</f>
        <v>1509900-67-9923</v>
      </c>
      <c r="U475" t="str">
        <f>IFERROR(__xludf.DUMMYFUNCTION("""COMPUTED_VALUE"""),"AC6653280")</f>
        <v>AC6653280</v>
      </c>
      <c r="V475" s="148">
        <f>IFERROR(__xludf.DUMMYFUNCTION("""COMPUTED_VALUE"""),45412.0)</f>
        <v>45412</v>
      </c>
      <c r="W475" s="148">
        <f>IFERROR(__xludf.DUMMYFUNCTION("""COMPUTED_VALUE"""),49063.0)</f>
        <v>49063</v>
      </c>
      <c r="X475" s="149">
        <f>IFERROR(__xludf.DUMMYFUNCTION("""COMPUTED_VALUE"""),48881.0)</f>
        <v>48881</v>
      </c>
      <c r="Y475" t="str">
        <f>IFERROR(__xludf.DUMMYFUNCTION("""COMPUTED_VALUE"""),"ปลอดภัย")</f>
        <v>ปลอดภัย</v>
      </c>
      <c r="Z475" t="str">
        <f>IFERROR(__xludf.DUMMYFUNCTION("""COMPUTED_VALUE"""),"Chiang Mai Province")</f>
        <v>Chiang Mai Province</v>
      </c>
      <c r="AA475" t="str">
        <f>IFERROR(__xludf.DUMMYFUNCTION("""COMPUTED_VALUE"""),"Chiang Mai")</f>
        <v>Chiang Mai</v>
      </c>
      <c r="AB475" t="str">
        <f>IFERROR(__xludf.DUMMYFUNCTION("""COMPUTED_VALUE"""),"095 447 9228")</f>
        <v>095 447 9228</v>
      </c>
      <c r="AC475" t="str">
        <f>IFERROR(__xludf.DUMMYFUNCTION("""COMPUTED_VALUE"""),"Lee")</f>
        <v>Lee</v>
      </c>
      <c r="AD475" t="str">
        <f>IFERROR(__xludf.DUMMYFUNCTION("""COMPUTED_VALUE"""),"sirikarnt@airasia.com")</f>
        <v>sirikarnt@airasia.com</v>
      </c>
    </row>
    <row r="476">
      <c r="A476" s="142">
        <f>IFERROR(__xludf.DUMMYFUNCTION("""COMPUTED_VALUE"""),61.0)</f>
        <v>61</v>
      </c>
      <c r="B476" t="str">
        <f>IFERROR(__xludf.DUMMYFUNCTION("""COMPUTED_VALUE"""),"TAA4740")</f>
        <v>TAA4740</v>
      </c>
      <c r="C476">
        <f>IFERROR(__xludf.DUMMYFUNCTION("""COMPUTED_VALUE"""),1008998.0)</f>
        <v>1008998</v>
      </c>
      <c r="D476" t="str">
        <f>IFERROR(__xludf.DUMMYFUNCTION("""COMPUTED_VALUE"""),"Mr.")</f>
        <v>Mr.</v>
      </c>
      <c r="E476" t="str">
        <f>IFERROR(__xludf.DUMMYFUNCTION("""COMPUTED_VALUE"""),"Sitsutporn")</f>
        <v>Sitsutporn</v>
      </c>
      <c r="F476" t="str">
        <f>IFERROR(__xludf.DUMMYFUNCTION("""COMPUTED_VALUE"""),"Amornthatri")</f>
        <v>Amornthatri</v>
      </c>
      <c r="G476" t="str">
        <f>IFERROR(__xludf.DUMMYFUNCTION("""COMPUTED_VALUE"""),"Sitsutporn Amornthatri")</f>
        <v>Sitsutporn Amornthatri</v>
      </c>
      <c r="H476" t="str">
        <f>IFERROR(__xludf.DUMMYFUNCTION("""COMPUTED_VALUE"""),"นาย")</f>
        <v>นาย</v>
      </c>
      <c r="I476" t="str">
        <f>IFERROR(__xludf.DUMMYFUNCTION("""COMPUTED_VALUE"""),"ศิษฐ์ศุภร")</f>
        <v>ศิษฐ์ศุภร</v>
      </c>
      <c r="J476" t="str">
        <f>IFERROR(__xludf.DUMMYFUNCTION("""COMPUTED_VALUE"""),"อมรธาตรี")</f>
        <v>อมรธาตรี</v>
      </c>
      <c r="K476" t="str">
        <f>IFERROR(__xludf.DUMMYFUNCTION("""COMPUTED_VALUE"""),"ศิษฐ์ศุภร อมรธาตรี")</f>
        <v>ศิษฐ์ศุภร อมรธาตรี</v>
      </c>
      <c r="L476" t="str">
        <f>IFERROR(__xludf.DUMMYFUNCTION("""COMPUTED_VALUE"""),"Tommy")</f>
        <v>Tommy</v>
      </c>
      <c r="M476" t="str">
        <f>IFERROR(__xludf.DUMMYFUNCTION("""COMPUTED_VALUE"""),"Cabin Crew - CNX")</f>
        <v>Cabin Crew - CNX</v>
      </c>
      <c r="N476" t="str">
        <f>IFERROR(__xludf.DUMMYFUNCTION("""COMPUTED_VALUE"""),"CNX")</f>
        <v>CNX</v>
      </c>
      <c r="O476" s="145" t="str">
        <f>IFERROR(__xludf.DUMMYFUNCTION("""COMPUTED_VALUE"""),"Up Home")</f>
        <v>Up Home</v>
      </c>
      <c r="P476" t="str">
        <f>IFERROR(__xludf.DUMMYFUNCTION("""COMPUTED_VALUE"""),"Active")</f>
        <v>Active</v>
      </c>
      <c r="Q476" t="str">
        <f>IFERROR(__xludf.DUMMYFUNCTION("""COMPUTED_VALUE"""),"Chinese Speaking")</f>
        <v>Chinese Speaking</v>
      </c>
      <c r="R476" s="143">
        <f>IFERROR(__xludf.DUMMYFUNCTION("""COMPUTED_VALUE"""),32196.0)</f>
        <v>32196</v>
      </c>
      <c r="S476" s="146" t="str">
        <f>IFERROR(__xludf.DUMMYFUNCTION("""COMPUTED_VALUE"""),"095-134-9689")</f>
        <v>095-134-9689</v>
      </c>
      <c r="T476" s="147" t="str">
        <f>IFERROR(__xludf.DUMMYFUNCTION("""COMPUTED_VALUE"""),"2969800-01-1097")</f>
        <v>2969800-01-1097</v>
      </c>
      <c r="U476" t="str">
        <f>IFERROR(__xludf.DUMMYFUNCTION("""COMPUTED_VALUE"""),"AC4879264")</f>
        <v>AC4879264</v>
      </c>
      <c r="V476" s="148">
        <f>IFERROR(__xludf.DUMMYFUNCTION("""COMPUTED_VALUE"""),45035.0)</f>
        <v>45035</v>
      </c>
      <c r="W476" s="148">
        <f>IFERROR(__xludf.DUMMYFUNCTION("""COMPUTED_VALUE"""),48687.0)</f>
        <v>48687</v>
      </c>
      <c r="X476" s="149">
        <f>IFERROR(__xludf.DUMMYFUNCTION("""COMPUTED_VALUE"""),48505.0)</f>
        <v>48505</v>
      </c>
      <c r="Y476" t="str">
        <f>IFERROR(__xludf.DUMMYFUNCTION("""COMPUTED_VALUE"""),"ปลอดภัย")</f>
        <v>ปลอดภัย</v>
      </c>
      <c r="Z476" t="str">
        <f>IFERROR(__xludf.DUMMYFUNCTION("""COMPUTED_VALUE"""),"Narathiwat Province")</f>
        <v>Narathiwat Province</v>
      </c>
      <c r="AA476" t="str">
        <f>IFERROR(__xludf.DUMMYFUNCTION("""COMPUTED_VALUE"""),"Klongsan")</f>
        <v>Klongsan</v>
      </c>
      <c r="AB476" t="str">
        <f>IFERROR(__xludf.DUMMYFUNCTION("""COMPUTED_VALUE"""),"089 976 6622")</f>
        <v>089 976 6622</v>
      </c>
      <c r="AC476" t="str">
        <f>IFERROR(__xludf.DUMMYFUNCTION("""COMPUTED_VALUE"""),"Jaturawit Amornthatri")</f>
        <v>Jaturawit Amornthatri</v>
      </c>
      <c r="AD476" t="str">
        <f>IFERROR(__xludf.DUMMYFUNCTION("""COMPUTED_VALUE"""),"sitsutporna@airasia.com")</f>
        <v>sitsutporna@airasia.com</v>
      </c>
    </row>
    <row r="477">
      <c r="A477" s="142">
        <f>IFERROR(__xludf.DUMMYFUNCTION("""COMPUTED_VALUE"""),61.0)</f>
        <v>61</v>
      </c>
      <c r="B477" t="str">
        <f>IFERROR(__xludf.DUMMYFUNCTION("""COMPUTED_VALUE"""),"TAA4739")</f>
        <v>TAA4739</v>
      </c>
      <c r="C477">
        <f>IFERROR(__xludf.DUMMYFUNCTION("""COMPUTED_VALUE"""),1009001.0)</f>
        <v>1009001</v>
      </c>
      <c r="D477" t="str">
        <f>IFERROR(__xludf.DUMMYFUNCTION("""COMPUTED_VALUE"""),"Mr.")</f>
        <v>Mr.</v>
      </c>
      <c r="E477" t="str">
        <f>IFERROR(__xludf.DUMMYFUNCTION("""COMPUTED_VALUE"""),"Suphachok")</f>
        <v>Suphachok</v>
      </c>
      <c r="F477" t="str">
        <f>IFERROR(__xludf.DUMMYFUNCTION("""COMPUTED_VALUE"""),"Pannakitchakul")</f>
        <v>Pannakitchakul</v>
      </c>
      <c r="G477" t="str">
        <f>IFERROR(__xludf.DUMMYFUNCTION("""COMPUTED_VALUE"""),"Suphachok Pannakitchakul")</f>
        <v>Suphachok Pannakitchakul</v>
      </c>
      <c r="H477" t="str">
        <f>IFERROR(__xludf.DUMMYFUNCTION("""COMPUTED_VALUE"""),"นาย")</f>
        <v>นาย</v>
      </c>
      <c r="I477" t="str">
        <f>IFERROR(__xludf.DUMMYFUNCTION("""COMPUTED_VALUE"""),"ศุภโชค")</f>
        <v>ศุภโชค</v>
      </c>
      <c r="J477" t="str">
        <f>IFERROR(__xludf.DUMMYFUNCTION("""COMPUTED_VALUE"""),"ปัณณกิจจากุล")</f>
        <v>ปัณณกิจจากุล</v>
      </c>
      <c r="K477" t="str">
        <f>IFERROR(__xludf.DUMMYFUNCTION("""COMPUTED_VALUE"""),"ศุภโชค ปัณณกิจจากุล")</f>
        <v>ศุภโชค ปัณณกิจจากุล</v>
      </c>
      <c r="L477" t="str">
        <f>IFERROR(__xludf.DUMMYFUNCTION("""COMPUTED_VALUE"""),"Jonh")</f>
        <v>Jonh</v>
      </c>
      <c r="M477" t="str">
        <f>IFERROR(__xludf.DUMMYFUNCTION("""COMPUTED_VALUE"""),"Cabin Crew - CNX")</f>
        <v>Cabin Crew - CNX</v>
      </c>
      <c r="N477" t="str">
        <f>IFERROR(__xludf.DUMMYFUNCTION("""COMPUTED_VALUE"""),"CNX")</f>
        <v>CNX</v>
      </c>
      <c r="O477" s="145" t="str">
        <f>IFERROR(__xludf.DUMMYFUNCTION("""COMPUTED_VALUE"""),"Up Home")</f>
        <v>Up Home</v>
      </c>
      <c r="P477" t="str">
        <f>IFERROR(__xludf.DUMMYFUNCTION("""COMPUTED_VALUE"""),"Active")</f>
        <v>Active</v>
      </c>
      <c r="Q477" t="str">
        <f>IFERROR(__xludf.DUMMYFUNCTION("""COMPUTED_VALUE"""),"Chinese Speaking")</f>
        <v>Chinese Speaking</v>
      </c>
      <c r="R477" s="143">
        <f>IFERROR(__xludf.DUMMYFUNCTION("""COMPUTED_VALUE"""),32514.0)</f>
        <v>32514</v>
      </c>
      <c r="S477" s="146" t="str">
        <f>IFERROR(__xludf.DUMMYFUNCTION("""COMPUTED_VALUE"""),"098-654-1941")</f>
        <v>098-654-1941</v>
      </c>
      <c r="T477" s="147" t="str">
        <f>IFERROR(__xludf.DUMMYFUNCTION("""COMPUTED_VALUE"""),"1100800-48-9699")</f>
        <v>1100800-48-9699</v>
      </c>
      <c r="U477" t="str">
        <f>IFERROR(__xludf.DUMMYFUNCTION("""COMPUTED_VALUE"""),"AC2248870")</f>
        <v>AC2248870</v>
      </c>
      <c r="V477" s="148">
        <f>IFERROR(__xludf.DUMMYFUNCTION("""COMPUTED_VALUE"""),44315.0)</f>
        <v>44315</v>
      </c>
      <c r="W477" s="148">
        <f>IFERROR(__xludf.DUMMYFUNCTION("""COMPUTED_VALUE"""),47966.0)</f>
        <v>47966</v>
      </c>
      <c r="X477" s="149">
        <f>IFERROR(__xludf.DUMMYFUNCTION("""COMPUTED_VALUE"""),47784.0)</f>
        <v>47784</v>
      </c>
      <c r="Y477" t="str">
        <f>IFERROR(__xludf.DUMMYFUNCTION("""COMPUTED_VALUE"""),"ปลอดภัย")</f>
        <v>ปลอดภัย</v>
      </c>
      <c r="Z477" t="str">
        <f>IFERROR(__xludf.DUMMYFUNCTION("""COMPUTED_VALUE"""),"Bangkok")</f>
        <v>Bangkok</v>
      </c>
      <c r="AA477" t="str">
        <f>IFERROR(__xludf.DUMMYFUNCTION("""COMPUTED_VALUE"""),"Bangkhae")</f>
        <v>Bangkhae</v>
      </c>
      <c r="AB477" t="str">
        <f>IFERROR(__xludf.DUMMYFUNCTION("""COMPUTED_VALUE"""),"085 133 2795")</f>
        <v>085 133 2795</v>
      </c>
      <c r="AC477" t="str">
        <f>IFERROR(__xludf.DUMMYFUNCTION("""COMPUTED_VALUE"""),"Nawaporn Sukhumphong")</f>
        <v>Nawaporn Sukhumphong</v>
      </c>
      <c r="AD477" t="str">
        <f>IFERROR(__xludf.DUMMYFUNCTION("""COMPUTED_VALUE"""),"suphachokp@airasia.com")</f>
        <v>suphachokp@airasia.com</v>
      </c>
    </row>
    <row r="478">
      <c r="A478" s="142">
        <f>IFERROR(__xludf.DUMMYFUNCTION("""COMPUTED_VALUE"""),61.0)</f>
        <v>61</v>
      </c>
      <c r="B478" t="str">
        <f>IFERROR(__xludf.DUMMYFUNCTION("""COMPUTED_VALUE"""),"TAA4730")</f>
        <v>TAA4730</v>
      </c>
      <c r="C478">
        <f>IFERROR(__xludf.DUMMYFUNCTION("""COMPUTED_VALUE"""),1009011.0)</f>
        <v>1009011</v>
      </c>
      <c r="D478" t="str">
        <f>IFERROR(__xludf.DUMMYFUNCTION("""COMPUTED_VALUE"""),"Mr.")</f>
        <v>Mr.</v>
      </c>
      <c r="E478" t="str">
        <f>IFERROR(__xludf.DUMMYFUNCTION("""COMPUTED_VALUE"""),"Weerayos")</f>
        <v>Weerayos</v>
      </c>
      <c r="F478" t="str">
        <f>IFERROR(__xludf.DUMMYFUNCTION("""COMPUTED_VALUE"""),"Rungudomsinsakul")</f>
        <v>Rungudomsinsakul</v>
      </c>
      <c r="G478" t="str">
        <f>IFERROR(__xludf.DUMMYFUNCTION("""COMPUTED_VALUE"""),"Weerayos Rungudomsinsakul")</f>
        <v>Weerayos Rungudomsinsakul</v>
      </c>
      <c r="H478" t="str">
        <f>IFERROR(__xludf.DUMMYFUNCTION("""COMPUTED_VALUE"""),"นาย")</f>
        <v>นาย</v>
      </c>
      <c r="I478" t="str">
        <f>IFERROR(__xludf.DUMMYFUNCTION("""COMPUTED_VALUE"""),"วีรยศ")</f>
        <v>วีรยศ</v>
      </c>
      <c r="J478" t="str">
        <f>IFERROR(__xludf.DUMMYFUNCTION("""COMPUTED_VALUE"""),"รุ่งอุดมสินสกุล")</f>
        <v>รุ่งอุดมสินสกุล</v>
      </c>
      <c r="K478" t="str">
        <f>IFERROR(__xludf.DUMMYFUNCTION("""COMPUTED_VALUE"""),"วีรยศ รุ่งอุดมสินสกุล")</f>
        <v>วีรยศ รุ่งอุดมสินสกุล</v>
      </c>
      <c r="L478" t="str">
        <f>IFERROR(__xludf.DUMMYFUNCTION("""COMPUTED_VALUE"""),"ตง ตง")</f>
        <v>ตง ตง</v>
      </c>
      <c r="M478" t="str">
        <f>IFERROR(__xludf.DUMMYFUNCTION("""COMPUTED_VALUE"""),"Cabin Crew")</f>
        <v>Cabin Crew</v>
      </c>
      <c r="N478" t="str">
        <f>IFERROR(__xludf.DUMMYFUNCTION("""COMPUTED_VALUE"""),"DMK")</f>
        <v>DMK</v>
      </c>
      <c r="O478" s="145" t="str">
        <f>IFERROR(__xludf.DUMMYFUNCTION("""COMPUTED_VALUE"""),"Up Home")</f>
        <v>Up Home</v>
      </c>
      <c r="P478" t="str">
        <f>IFERROR(__xludf.DUMMYFUNCTION("""COMPUTED_VALUE"""),"Active")</f>
        <v>Active</v>
      </c>
      <c r="Q478" t="str">
        <f>IFERROR(__xludf.DUMMYFUNCTION("""COMPUTED_VALUE"""),"Chinese Speaking")</f>
        <v>Chinese Speaking</v>
      </c>
      <c r="R478" s="143">
        <f>IFERROR(__xludf.DUMMYFUNCTION("""COMPUTED_VALUE"""),32162.0)</f>
        <v>32162</v>
      </c>
      <c r="S478" s="146" t="str">
        <f>IFERROR(__xludf.DUMMYFUNCTION("""COMPUTED_VALUE"""),"086-1282809")</f>
        <v>086-1282809</v>
      </c>
      <c r="T478" s="147" t="str">
        <f>IFERROR(__xludf.DUMMYFUNCTION("""COMPUTED_VALUE"""),"1100800-39-1486")</f>
        <v>1100800-39-1486</v>
      </c>
      <c r="U478" t="str">
        <f>IFERROR(__xludf.DUMMYFUNCTION("""COMPUTED_VALUE"""),"AC2467153")</f>
        <v>AC2467153</v>
      </c>
      <c r="V478" s="148">
        <f>IFERROR(__xludf.DUMMYFUNCTION("""COMPUTED_VALUE"""),44470.0)</f>
        <v>44470</v>
      </c>
      <c r="W478" s="148">
        <f>IFERROR(__xludf.DUMMYFUNCTION("""COMPUTED_VALUE"""),48121.0)</f>
        <v>48121</v>
      </c>
      <c r="X478" s="149">
        <f>IFERROR(__xludf.DUMMYFUNCTION("""COMPUTED_VALUE"""),47937.0)</f>
        <v>47937</v>
      </c>
      <c r="Y478" t="str">
        <f>IFERROR(__xludf.DUMMYFUNCTION("""COMPUTED_VALUE"""),"ปลอดภัย")</f>
        <v>ปลอดภัย</v>
      </c>
      <c r="Z478" t="str">
        <f>IFERROR(__xludf.DUMMYFUNCTION("""COMPUTED_VALUE"""),"Bangkok")</f>
        <v>Bangkok</v>
      </c>
      <c r="AA478" t="str">
        <f>IFERROR(__xludf.DUMMYFUNCTION("""COMPUTED_VALUE"""),"Bangkapi")</f>
        <v>Bangkapi</v>
      </c>
      <c r="AB478" t="str">
        <f>IFERROR(__xludf.DUMMYFUNCTION("""COMPUTED_VALUE"""),"02 180 0488 / 091 108 8188")</f>
        <v>02 180 0488 / 091 108 8188</v>
      </c>
      <c r="AC478" t="str">
        <f>IFERROR(__xludf.DUMMYFUNCTION("""COMPUTED_VALUE"""),"Home / Boonliang")</f>
        <v>Home / Boonliang</v>
      </c>
      <c r="AD478" t="str">
        <f>IFERROR(__xludf.DUMMYFUNCTION("""COMPUTED_VALUE"""),"weerayosr@airasia.com")</f>
        <v>weerayosr@airasia.com</v>
      </c>
    </row>
    <row r="479">
      <c r="AD479" t="str">
        <f>IFERROR(__xludf.DUMMYFUNCTION("""COMPUTED_VALUE"""),"")</f>
        <v/>
      </c>
    </row>
    <row r="480">
      <c r="A480" s="142">
        <f>IFERROR(__xludf.DUMMYFUNCTION("""COMPUTED_VALUE"""),62.0)</f>
        <v>62</v>
      </c>
      <c r="B480" t="str">
        <f>IFERROR(__xludf.DUMMYFUNCTION("""COMPUTED_VALUE"""),"TAA4826")</f>
        <v>TAA4826</v>
      </c>
      <c r="C480">
        <f>IFERROR(__xludf.DUMMYFUNCTION("""COMPUTED_VALUE"""),1008966.0)</f>
        <v>1008966</v>
      </c>
      <c r="D480" t="str">
        <f>IFERROR(__xludf.DUMMYFUNCTION("""COMPUTED_VALUE"""),"Ms.")</f>
        <v>Ms.</v>
      </c>
      <c r="E480" t="str">
        <f>IFERROR(__xludf.DUMMYFUNCTION("""COMPUTED_VALUE"""),"Krittaya")</f>
        <v>Krittaya</v>
      </c>
      <c r="F480" t="str">
        <f>IFERROR(__xludf.DUMMYFUNCTION("""COMPUTED_VALUE"""),"Panyalee")</f>
        <v>Panyalee</v>
      </c>
      <c r="G480" t="str">
        <f>IFERROR(__xludf.DUMMYFUNCTION("""COMPUTED_VALUE"""),"Krittaya Panyalee")</f>
        <v>Krittaya Panyalee</v>
      </c>
      <c r="H480" t="str">
        <f>IFERROR(__xludf.DUMMYFUNCTION("""COMPUTED_VALUE"""),"นางสาว")</f>
        <v>นางสาว</v>
      </c>
      <c r="I480" t="str">
        <f>IFERROR(__xludf.DUMMYFUNCTION("""COMPUTED_VALUE"""),"กฤตยา")</f>
        <v>กฤตยา</v>
      </c>
      <c r="J480" t="str">
        <f>IFERROR(__xludf.DUMMYFUNCTION("""COMPUTED_VALUE"""),"ปัญญาหลี")</f>
        <v>ปัญญาหลี</v>
      </c>
      <c r="K480" t="str">
        <f>IFERROR(__xludf.DUMMYFUNCTION("""COMPUTED_VALUE"""),"กฤตยา ปัญญาหลี")</f>
        <v>กฤตยา ปัญญาหลี</v>
      </c>
      <c r="L480" t="str">
        <f>IFERROR(__xludf.DUMMYFUNCTION("""COMPUTED_VALUE"""),"GopGap")</f>
        <v>GopGap</v>
      </c>
      <c r="M480" t="str">
        <f>IFERROR(__xludf.DUMMYFUNCTION("""COMPUTED_VALUE"""),"Cabin Crew - CNX")</f>
        <v>Cabin Crew - CNX</v>
      </c>
      <c r="N480" t="str">
        <f>IFERROR(__xludf.DUMMYFUNCTION("""COMPUTED_VALUE"""),"CNX")</f>
        <v>CNX</v>
      </c>
      <c r="O480" s="145" t="str">
        <f>IFERROR(__xludf.DUMMYFUNCTION("""COMPUTED_VALUE"""),"Up Home")</f>
        <v>Up Home</v>
      </c>
      <c r="P480" t="str">
        <f>IFERROR(__xludf.DUMMYFUNCTION("""COMPUTED_VALUE"""),"Active")</f>
        <v>Active</v>
      </c>
      <c r="R480" s="143">
        <f>IFERROR(__xludf.DUMMYFUNCTION("""COMPUTED_VALUE"""),32059.0)</f>
        <v>32059</v>
      </c>
      <c r="S480" s="146" t="str">
        <f>IFERROR(__xludf.DUMMYFUNCTION("""COMPUTED_VALUE"""),"081 466 5382")</f>
        <v>081 466 5382</v>
      </c>
      <c r="T480" s="147">
        <f>IFERROR(__xludf.DUMMYFUNCTION("""COMPUTED_VALUE"""),1.31070011781E12)</f>
        <v>1310700117810</v>
      </c>
      <c r="U480" t="str">
        <f>IFERROR(__xludf.DUMMYFUNCTION("""COMPUTED_VALUE"""),"AC6652936")</f>
        <v>AC6652936</v>
      </c>
      <c r="V480" s="148">
        <f>IFERROR(__xludf.DUMMYFUNCTION("""COMPUTED_VALUE"""),45411.0)</f>
        <v>45411</v>
      </c>
      <c r="W480" s="148">
        <f>IFERROR(__xludf.DUMMYFUNCTION("""COMPUTED_VALUE"""),49062.0)</f>
        <v>49062</v>
      </c>
      <c r="X480" s="149">
        <f>IFERROR(__xludf.DUMMYFUNCTION("""COMPUTED_VALUE"""),48880.0)</f>
        <v>48880</v>
      </c>
      <c r="Y480" t="str">
        <f>IFERROR(__xludf.DUMMYFUNCTION("""COMPUTED_VALUE"""),"ปลอดภัย")</f>
        <v>ปลอดภัย</v>
      </c>
      <c r="Z480" t="str">
        <f>IFERROR(__xludf.DUMMYFUNCTION("""COMPUTED_VALUE"""),"Buriram Province")</f>
        <v>Buriram Province</v>
      </c>
      <c r="AA480" t="str">
        <f>IFERROR(__xludf.DUMMYFUNCTION("""COMPUTED_VALUE"""),"Lampoon")</f>
        <v>Lampoon</v>
      </c>
      <c r="AB480" t="str">
        <f>IFERROR(__xludf.DUMMYFUNCTION("""COMPUTED_VALUE"""),"053 529 198 / 089 552 9245")</f>
        <v>053 529 198 / 089 552 9245</v>
      </c>
      <c r="AC480" t="str">
        <f>IFERROR(__xludf.DUMMYFUNCTION("""COMPUTED_VALUE"""),"Home / Thongsri")</f>
        <v>Home / Thongsri</v>
      </c>
      <c r="AD480" t="str">
        <f>IFERROR(__xludf.DUMMYFUNCTION("""COMPUTED_VALUE"""),"krittayap@airasia.com")</f>
        <v>krittayap@airasia.com</v>
      </c>
    </row>
    <row r="481">
      <c r="A481" s="142">
        <f>IFERROR(__xludf.DUMMYFUNCTION("""COMPUTED_VALUE"""),62.0)</f>
        <v>62</v>
      </c>
      <c r="B481" t="str">
        <f>IFERROR(__xludf.DUMMYFUNCTION("""COMPUTED_VALUE"""),"TAA4829")</f>
        <v>TAA4829</v>
      </c>
      <c r="C481">
        <f>IFERROR(__xludf.DUMMYFUNCTION("""COMPUTED_VALUE"""),1008977.0)</f>
        <v>1008977</v>
      </c>
      <c r="D481" t="str">
        <f>IFERROR(__xludf.DUMMYFUNCTION("""COMPUTED_VALUE"""),"Mrs.")</f>
        <v>Mrs.</v>
      </c>
      <c r="E481" t="str">
        <f>IFERROR(__xludf.DUMMYFUNCTION("""COMPUTED_VALUE"""),"Nalaphan")</f>
        <v>Nalaphan</v>
      </c>
      <c r="F481" t="str">
        <f>IFERROR(__xludf.DUMMYFUNCTION("""COMPUTED_VALUE"""),"Suppaboriwat (Suwannasit)")</f>
        <v>Suppaboriwat (Suwannasit)</v>
      </c>
      <c r="G481" t="str">
        <f>IFERROR(__xludf.DUMMYFUNCTION("""COMPUTED_VALUE"""),"Nalaphan Suppaboriwat")</f>
        <v>Nalaphan Suppaboriwat</v>
      </c>
      <c r="H481" t="str">
        <f>IFERROR(__xludf.DUMMYFUNCTION("""COMPUTED_VALUE"""),"นาง")</f>
        <v>นาง</v>
      </c>
      <c r="I481" t="str">
        <f>IFERROR(__xludf.DUMMYFUNCTION("""COMPUTED_VALUE"""),"นลพรรณ")</f>
        <v>นลพรรณ</v>
      </c>
      <c r="J481" t="str">
        <f>IFERROR(__xludf.DUMMYFUNCTION("""COMPUTED_VALUE"""),"ศุภบริวัตร(สุวรรณสิทธิ์)")</f>
        <v>ศุภบริวัตร(สุวรรณสิทธิ์)</v>
      </c>
      <c r="K481" t="str">
        <f>IFERROR(__xludf.DUMMYFUNCTION("""COMPUTED_VALUE"""),"นลพรรณ ศุภบริวัตร")</f>
        <v>นลพรรณ ศุภบริวัตร</v>
      </c>
      <c r="L481" t="str">
        <f>IFERROR(__xludf.DUMMYFUNCTION("""COMPUTED_VALUE"""),"นุ่น")</f>
        <v>นุ่น</v>
      </c>
      <c r="M481" t="str">
        <f>IFERROR(__xludf.DUMMYFUNCTION("""COMPUTED_VALUE"""),"Cabin Crew - CNX")</f>
        <v>Cabin Crew - CNX</v>
      </c>
      <c r="N481" t="str">
        <f>IFERROR(__xludf.DUMMYFUNCTION("""COMPUTED_VALUE"""),"CNX")</f>
        <v>CNX</v>
      </c>
      <c r="O481" s="145" t="str">
        <f>IFERROR(__xludf.DUMMYFUNCTION("""COMPUTED_VALUE"""),"Up Home")</f>
        <v>Up Home</v>
      </c>
      <c r="P481" t="str">
        <f>IFERROR(__xludf.DUMMYFUNCTION("""COMPUTED_VALUE"""),"Active")</f>
        <v>Active</v>
      </c>
      <c r="R481" s="143">
        <f>IFERROR(__xludf.DUMMYFUNCTION("""COMPUTED_VALUE"""),31341.0)</f>
        <v>31341</v>
      </c>
      <c r="S481" s="146" t="str">
        <f>IFERROR(__xludf.DUMMYFUNCTION("""COMPUTED_VALUE"""),"064-346-6662")</f>
        <v>064-346-6662</v>
      </c>
      <c r="T481" s="147">
        <f>IFERROR(__xludf.DUMMYFUNCTION("""COMPUTED_VALUE"""),1.509900254281E12)</f>
        <v>1509900254281</v>
      </c>
      <c r="U481" t="str">
        <f>IFERROR(__xludf.DUMMYFUNCTION("""COMPUTED_VALUE"""),"AC2237140")</f>
        <v>AC2237140</v>
      </c>
      <c r="V481" s="148">
        <f>IFERROR(__xludf.DUMMYFUNCTION("""COMPUTED_VALUE"""),44291.0)</f>
        <v>44291</v>
      </c>
      <c r="W481" s="148">
        <f>IFERROR(__xludf.DUMMYFUNCTION("""COMPUTED_VALUE"""),47942.0)</f>
        <v>47942</v>
      </c>
      <c r="X481" s="149">
        <f>IFERROR(__xludf.DUMMYFUNCTION("""COMPUTED_VALUE"""),47760.0)</f>
        <v>47760</v>
      </c>
      <c r="Y481" t="str">
        <f>IFERROR(__xludf.DUMMYFUNCTION("""COMPUTED_VALUE"""),"ปลอดภัย")</f>
        <v>ปลอดภัย</v>
      </c>
      <c r="Z481" t="str">
        <f>IFERROR(__xludf.DUMMYFUNCTION("""COMPUTED_VALUE"""),"Chiang Mai Province")</f>
        <v>Chiang Mai Province</v>
      </c>
      <c r="AA481" t="str">
        <f>IFERROR(__xludf.DUMMYFUNCTION("""COMPUTED_VALUE"""),"-")</f>
        <v>-</v>
      </c>
      <c r="AB481" t="str">
        <f>IFERROR(__xludf.DUMMYFUNCTION("""COMPUTED_VALUE"""),"053 271 439 / 081 883 6794")</f>
        <v>053 271 439 / 081 883 6794</v>
      </c>
      <c r="AC481" t="str">
        <f>IFERROR(__xludf.DUMMYFUNCTION("""COMPUTED_VALUE"""),"Home / Wilaiwan")</f>
        <v>Home / Wilaiwan</v>
      </c>
      <c r="AD481" t="str">
        <f>IFERROR(__xludf.DUMMYFUNCTION("""COMPUTED_VALUE"""),"nalaphans@airasia.com")</f>
        <v>nalaphans@airasia.com</v>
      </c>
    </row>
    <row r="482">
      <c r="A482" s="142">
        <f>IFERROR(__xludf.DUMMYFUNCTION("""COMPUTED_VALUE"""),62.0)</f>
        <v>62</v>
      </c>
      <c r="B482" t="str">
        <f>IFERROR(__xludf.DUMMYFUNCTION("""COMPUTED_VALUE"""),"TAA4828")</f>
        <v>TAA4828</v>
      </c>
      <c r="C482">
        <f>IFERROR(__xludf.DUMMYFUNCTION("""COMPUTED_VALUE"""),1008985.0)</f>
        <v>1008985</v>
      </c>
      <c r="D482" t="str">
        <f>IFERROR(__xludf.DUMMYFUNCTION("""COMPUTED_VALUE"""),"Ms.")</f>
        <v>Ms.</v>
      </c>
      <c r="E482" t="str">
        <f>IFERROR(__xludf.DUMMYFUNCTION("""COMPUTED_VALUE"""),"Pangphet")</f>
        <v>Pangphet</v>
      </c>
      <c r="F482" t="str">
        <f>IFERROR(__xludf.DUMMYFUNCTION("""COMPUTED_VALUE"""),"Nannar (Ruankampa)")</f>
        <v>Nannar (Ruankampa)</v>
      </c>
      <c r="G482" t="str">
        <f>IFERROR(__xludf.DUMMYFUNCTION("""COMPUTED_VALUE"""),"Pangphet Nannar")</f>
        <v>Pangphet Nannar</v>
      </c>
      <c r="H482" t="str">
        <f>IFERROR(__xludf.DUMMYFUNCTION("""COMPUTED_VALUE"""),"นางสาว")</f>
        <v>นางสาว</v>
      </c>
      <c r="I482" t="str">
        <f>IFERROR(__xludf.DUMMYFUNCTION("""COMPUTED_VALUE"""),"ปางเพชร")</f>
        <v>ปางเพชร</v>
      </c>
      <c r="J482" t="str">
        <f>IFERROR(__xludf.DUMMYFUNCTION("""COMPUTED_VALUE"""),"แน่นหนา (เรือนคำปา)")</f>
        <v>แน่นหนา (เรือนคำปา)</v>
      </c>
      <c r="K482" t="str">
        <f>IFERROR(__xludf.DUMMYFUNCTION("""COMPUTED_VALUE"""),"ปางเพชร แน่นหนา")</f>
        <v>ปางเพชร แน่นหนา</v>
      </c>
      <c r="L482" t="str">
        <f>IFERROR(__xludf.DUMMYFUNCTION("""COMPUTED_VALUE"""),"ปีใหม่")</f>
        <v>ปีใหม่</v>
      </c>
      <c r="M482" t="str">
        <f>IFERROR(__xludf.DUMMYFUNCTION("""COMPUTED_VALUE"""),"Cabin Crew - CNX")</f>
        <v>Cabin Crew - CNX</v>
      </c>
      <c r="N482" t="str">
        <f>IFERROR(__xludf.DUMMYFUNCTION("""COMPUTED_VALUE"""),"CNX")</f>
        <v>CNX</v>
      </c>
      <c r="O482" s="145" t="str">
        <f>IFERROR(__xludf.DUMMYFUNCTION("""COMPUTED_VALUE"""),"Up Home")</f>
        <v>Up Home</v>
      </c>
      <c r="P482" t="str">
        <f>IFERROR(__xludf.DUMMYFUNCTION("""COMPUTED_VALUE"""),"Active")</f>
        <v>Active</v>
      </c>
      <c r="R482" s="143">
        <f>IFERROR(__xludf.DUMMYFUNCTION("""COMPUTED_VALUE"""),32876.0)</f>
        <v>32876</v>
      </c>
      <c r="S482" s="146" t="str">
        <f>IFERROR(__xludf.DUMMYFUNCTION("""COMPUTED_VALUE"""),"092-6429954")</f>
        <v>092-6429954</v>
      </c>
      <c r="T482" s="147">
        <f>IFERROR(__xludf.DUMMYFUNCTION("""COMPUTED_VALUE"""),1.629900174031E12)</f>
        <v>1629900174031</v>
      </c>
      <c r="U482" t="str">
        <f>IFERROR(__xludf.DUMMYFUNCTION("""COMPUTED_VALUE"""),"AC4735870")</f>
        <v>AC4735870</v>
      </c>
      <c r="V482" s="148">
        <f>IFERROR(__xludf.DUMMYFUNCTION("""COMPUTED_VALUE"""),45012.0)</f>
        <v>45012</v>
      </c>
      <c r="W482" s="148">
        <f>IFERROR(__xludf.DUMMYFUNCTION("""COMPUTED_VALUE"""),48664.0)</f>
        <v>48664</v>
      </c>
      <c r="X482" s="149">
        <f>IFERROR(__xludf.DUMMYFUNCTION("""COMPUTED_VALUE"""),48483.0)</f>
        <v>48483</v>
      </c>
      <c r="Y482" t="str">
        <f>IFERROR(__xludf.DUMMYFUNCTION("""COMPUTED_VALUE"""),"ปลอดภัย")</f>
        <v>ปลอดภัย</v>
      </c>
      <c r="Z482" t="str">
        <f>IFERROR(__xludf.DUMMYFUNCTION("""COMPUTED_VALUE"""),"Kamphaeng Phet Province")</f>
        <v>Kamphaeng Phet Province</v>
      </c>
      <c r="AA482" t="str">
        <f>IFERROR(__xludf.DUMMYFUNCTION("""COMPUTED_VALUE"""),"Don Mueang")</f>
        <v>Don Mueang</v>
      </c>
      <c r="AB482" t="str">
        <f>IFERROR(__xludf.DUMMYFUNCTION("""COMPUTED_VALUE"""),"089 020 1972")</f>
        <v>089 020 1972</v>
      </c>
      <c r="AC482" t="str">
        <f>IFERROR(__xludf.DUMMYFUNCTION("""COMPUTED_VALUE"""),"Wipanee")</f>
        <v>Wipanee</v>
      </c>
      <c r="AD482" t="str">
        <f>IFERROR(__xludf.DUMMYFUNCTION("""COMPUTED_VALUE"""),"pangphetn@airasia.com")</f>
        <v>pangphetn@airasia.com</v>
      </c>
    </row>
    <row r="483">
      <c r="AD483" t="str">
        <f>IFERROR(__xludf.DUMMYFUNCTION("""COMPUTED_VALUE"""),"")</f>
        <v/>
      </c>
    </row>
    <row r="484">
      <c r="A484" s="142">
        <f>IFERROR(__xludf.DUMMYFUNCTION("""COMPUTED_VALUE"""),63.0)</f>
        <v>63</v>
      </c>
      <c r="B484" t="str">
        <f>IFERROR(__xludf.DUMMYFUNCTION("""COMPUTED_VALUE"""),"TAA5158")</f>
        <v>TAA5158</v>
      </c>
      <c r="C484">
        <f>IFERROR(__xludf.DUMMYFUNCTION("""COMPUTED_VALUE"""),1009670.0)</f>
        <v>1009670</v>
      </c>
      <c r="D484" t="str">
        <f>IFERROR(__xludf.DUMMYFUNCTION("""COMPUTED_VALUE"""),"Ms.")</f>
        <v>Ms.</v>
      </c>
      <c r="E484" t="str">
        <f>IFERROR(__xludf.DUMMYFUNCTION("""COMPUTED_VALUE"""),"Sasima")</f>
        <v>Sasima</v>
      </c>
      <c r="F484" t="str">
        <f>IFERROR(__xludf.DUMMYFUNCTION("""COMPUTED_VALUE"""),"Rattanasumrit")</f>
        <v>Rattanasumrit</v>
      </c>
      <c r="G484" t="str">
        <f>IFERROR(__xludf.DUMMYFUNCTION("""COMPUTED_VALUE"""),"Sasima Rattanasumrit")</f>
        <v>Sasima Rattanasumrit</v>
      </c>
      <c r="H484" t="str">
        <f>IFERROR(__xludf.DUMMYFUNCTION("""COMPUTED_VALUE"""),"นางสาว")</f>
        <v>นางสาว</v>
      </c>
      <c r="I484" t="str">
        <f>IFERROR(__xludf.DUMMYFUNCTION("""COMPUTED_VALUE"""),"ศศิมา")</f>
        <v>ศศิมา</v>
      </c>
      <c r="J484" t="str">
        <f>IFERROR(__xludf.DUMMYFUNCTION("""COMPUTED_VALUE"""),"รัตนสัมฤทธิ์")</f>
        <v>รัตนสัมฤทธิ์</v>
      </c>
      <c r="K484" t="str">
        <f>IFERROR(__xludf.DUMMYFUNCTION("""COMPUTED_VALUE"""),"ศศิมา รัตนสัมฤทธิ์")</f>
        <v>ศศิมา รัตนสัมฤทธิ์</v>
      </c>
      <c r="L484" t="str">
        <f>IFERROR(__xludf.DUMMYFUNCTION("""COMPUTED_VALUE"""),"Nice")</f>
        <v>Nice</v>
      </c>
      <c r="M484" t="str">
        <f>IFERROR(__xludf.DUMMYFUNCTION("""COMPUTED_VALUE"""),"Cabin Crew")</f>
        <v>Cabin Crew</v>
      </c>
      <c r="N484" t="str">
        <f>IFERROR(__xludf.DUMMYFUNCTION("""COMPUTED_VALUE"""),"DMK")</f>
        <v>DMK</v>
      </c>
      <c r="O484" s="145" t="str">
        <f>IFERROR(__xludf.DUMMYFUNCTION("""COMPUTED_VALUE"""),"Por+ Home")</f>
        <v>Por+ Home</v>
      </c>
      <c r="P484" t="str">
        <f>IFERROR(__xludf.DUMMYFUNCTION("""COMPUTED_VALUE"""),"Active")</f>
        <v>Active</v>
      </c>
      <c r="R484" s="143">
        <f>IFERROR(__xludf.DUMMYFUNCTION("""COMPUTED_VALUE"""),33087.0)</f>
        <v>33087</v>
      </c>
      <c r="S484" s="146" t="str">
        <f>IFERROR(__xludf.DUMMYFUNCTION("""COMPUTED_VALUE"""),"094 4542492")</f>
        <v>094 4542492</v>
      </c>
      <c r="T484" s="147">
        <f>IFERROR(__xludf.DUMMYFUNCTION("""COMPUTED_VALUE"""),1.101401704996E12)</f>
        <v>1101401704996</v>
      </c>
      <c r="U484" t="str">
        <f>IFERROR(__xludf.DUMMYFUNCTION("""COMPUTED_VALUE"""),"AC7501139")</f>
        <v>AC7501139</v>
      </c>
      <c r="V484" s="148">
        <f>IFERROR(__xludf.DUMMYFUNCTION("""COMPUTED_VALUE"""),45531.0)</f>
        <v>45531</v>
      </c>
      <c r="W484" s="148">
        <f>IFERROR(__xludf.DUMMYFUNCTION("""COMPUTED_VALUE"""),49182.0)</f>
        <v>49182</v>
      </c>
      <c r="X484" s="149">
        <f>IFERROR(__xludf.DUMMYFUNCTION("""COMPUTED_VALUE"""),49001.0)</f>
        <v>49001</v>
      </c>
      <c r="Y484" t="str">
        <f>IFERROR(__xludf.DUMMYFUNCTION("""COMPUTED_VALUE"""),"ปลอดภัย")</f>
        <v>ปลอดภัย</v>
      </c>
      <c r="Z484" t="str">
        <f>IFERROR(__xludf.DUMMYFUNCTION("""COMPUTED_VALUE"""),"Bangkok")</f>
        <v>Bangkok</v>
      </c>
      <c r="AB484" t="str">
        <f>IFERROR(__xludf.DUMMYFUNCTION("""COMPUTED_VALUE"""),"-")</f>
        <v>-</v>
      </c>
      <c r="AD484" t="str">
        <f>IFERROR(__xludf.DUMMYFUNCTION("""COMPUTED_VALUE"""),"sasimar@airasia.com")</f>
        <v>sasimar@airasia.com</v>
      </c>
    </row>
    <row r="485">
      <c r="A485" s="142">
        <f>IFERROR(__xludf.DUMMYFUNCTION("""COMPUTED_VALUE"""),63.0)</f>
        <v>63</v>
      </c>
      <c r="B485" t="str">
        <f>IFERROR(__xludf.DUMMYFUNCTION("""COMPUTED_VALUE"""),"TAA5125")</f>
        <v>TAA5125</v>
      </c>
      <c r="C485">
        <f>IFERROR(__xludf.DUMMYFUNCTION("""COMPUTED_VALUE"""),1009741.0)</f>
        <v>1009741</v>
      </c>
      <c r="D485" t="str">
        <f>IFERROR(__xludf.DUMMYFUNCTION("""COMPUTED_VALUE"""),"Ms.")</f>
        <v>Ms.</v>
      </c>
      <c r="E485" t="str">
        <f>IFERROR(__xludf.DUMMYFUNCTION("""COMPUTED_VALUE"""),"Amika")</f>
        <v>Amika</v>
      </c>
      <c r="F485" t="str">
        <f>IFERROR(__xludf.DUMMYFUNCTION("""COMPUTED_VALUE"""),"Katchapanan")</f>
        <v>Katchapanan</v>
      </c>
      <c r="G485" t="str">
        <f>IFERROR(__xludf.DUMMYFUNCTION("""COMPUTED_VALUE"""),"Amika Katchapanan")</f>
        <v>Amika Katchapanan</v>
      </c>
      <c r="H485" t="str">
        <f>IFERROR(__xludf.DUMMYFUNCTION("""COMPUTED_VALUE"""),"นางสาว")</f>
        <v>นางสาว</v>
      </c>
      <c r="I485" t="str">
        <f>IFERROR(__xludf.DUMMYFUNCTION("""COMPUTED_VALUE"""),"เอมิกา")</f>
        <v>เอมิกา</v>
      </c>
      <c r="J485" t="str">
        <f>IFERROR(__xludf.DUMMYFUNCTION("""COMPUTED_VALUE"""),"กัจฉปานันท์")</f>
        <v>กัจฉปานันท์</v>
      </c>
      <c r="K485" t="str">
        <f>IFERROR(__xludf.DUMMYFUNCTION("""COMPUTED_VALUE"""),"เอมิกา กัจฉปานันท์")</f>
        <v>เอมิกา กัจฉปานันท์</v>
      </c>
      <c r="L485" t="str">
        <f>IFERROR(__xludf.DUMMYFUNCTION("""COMPUTED_VALUE"""),"เอ็มมี่")</f>
        <v>เอ็มมี่</v>
      </c>
      <c r="M485" t="str">
        <f>IFERROR(__xludf.DUMMYFUNCTION("""COMPUTED_VALUE"""),"Cabin Crew")</f>
        <v>Cabin Crew</v>
      </c>
      <c r="N485" t="str">
        <f>IFERROR(__xludf.DUMMYFUNCTION("""COMPUTED_VALUE"""),"DMK")</f>
        <v>DMK</v>
      </c>
      <c r="O485" s="145" t="str">
        <f>IFERROR(__xludf.DUMMYFUNCTION("""COMPUTED_VALUE"""),"Nhui Home")</f>
        <v>Nhui Home</v>
      </c>
      <c r="P485" t="str">
        <f>IFERROR(__xludf.DUMMYFUNCTION("""COMPUTED_VALUE"""),"Active")</f>
        <v>Active</v>
      </c>
      <c r="R485" s="143">
        <f>IFERROR(__xludf.DUMMYFUNCTION("""COMPUTED_VALUE"""),33248.0)</f>
        <v>33248</v>
      </c>
      <c r="S485" s="146" t="str">
        <f>IFERROR(__xludf.DUMMYFUNCTION("""COMPUTED_VALUE"""),"081 667 0333")</f>
        <v>081 667 0333</v>
      </c>
      <c r="T485" s="147" t="str">
        <f>IFERROR(__xludf.DUMMYFUNCTION("""COMPUTED_VALUE"""),"1101401-88-3602")</f>
        <v>1101401-88-3602</v>
      </c>
      <c r="U485" t="str">
        <f>IFERROR(__xludf.DUMMYFUNCTION("""COMPUTED_VALUE"""),"AD2335008")</f>
        <v>AD2335008</v>
      </c>
      <c r="V485" s="148">
        <f>IFERROR(__xludf.DUMMYFUNCTION("""COMPUTED_VALUE"""),45831.0)</f>
        <v>45831</v>
      </c>
      <c r="W485" s="148">
        <f>IFERROR(__xludf.DUMMYFUNCTION("""COMPUTED_VALUE"""),49482.0)</f>
        <v>49482</v>
      </c>
      <c r="X485" s="149">
        <f>IFERROR(__xludf.DUMMYFUNCTION("""COMPUTED_VALUE"""),49300.0)</f>
        <v>49300</v>
      </c>
      <c r="Y485" t="str">
        <f>IFERROR(__xludf.DUMMYFUNCTION("""COMPUTED_VALUE"""),"ปลอดภัย")</f>
        <v>ปลอดภัย</v>
      </c>
      <c r="Z485" t="str">
        <f>IFERROR(__xludf.DUMMYFUNCTION("""COMPUTED_VALUE"""),"Bangkok")</f>
        <v>Bangkok</v>
      </c>
      <c r="AA485" t="str">
        <f>IFERROR(__xludf.DUMMYFUNCTION("""COMPUTED_VALUE"""),"Payathai")</f>
        <v>Payathai</v>
      </c>
      <c r="AB485" t="str">
        <f>IFERROR(__xludf.DUMMYFUNCTION("""COMPUTED_VALUE"""),"02 272 6463 / 081 635 5575")</f>
        <v>02 272 6463 / 081 635 5575</v>
      </c>
      <c r="AC485" t="str">
        <f>IFERROR(__xludf.DUMMYFUNCTION("""COMPUTED_VALUE"""),"Home/ Mother")</f>
        <v>Home/ Mother</v>
      </c>
      <c r="AD485" t="str">
        <f>IFERROR(__xludf.DUMMYFUNCTION("""COMPUTED_VALUE"""),"amikak@airasia.com")</f>
        <v>amikak@airasia.com</v>
      </c>
    </row>
    <row r="486">
      <c r="A486" s="142">
        <f>IFERROR(__xludf.DUMMYFUNCTION("""COMPUTED_VALUE"""),63.0)</f>
        <v>63</v>
      </c>
      <c r="B486" t="str">
        <f>IFERROR(__xludf.DUMMYFUNCTION("""COMPUTED_VALUE"""),"TAA5128")</f>
        <v>TAA5128</v>
      </c>
      <c r="C486">
        <f>IFERROR(__xludf.DUMMYFUNCTION("""COMPUTED_VALUE"""),1009756.0)</f>
        <v>1009756</v>
      </c>
      <c r="D486" t="str">
        <f>IFERROR(__xludf.DUMMYFUNCTION("""COMPUTED_VALUE"""),"Ms.")</f>
        <v>Ms.</v>
      </c>
      <c r="E486" t="str">
        <f>IFERROR(__xludf.DUMMYFUNCTION("""COMPUTED_VALUE"""),"Panisara")</f>
        <v>Panisara</v>
      </c>
      <c r="F486" t="str">
        <f>IFERROR(__xludf.DUMMYFUNCTION("""COMPUTED_VALUE"""),"Purintraphiban")</f>
        <v>Purintraphiban</v>
      </c>
      <c r="G486" t="str">
        <f>IFERROR(__xludf.DUMMYFUNCTION("""COMPUTED_VALUE"""),"Panisara Purintraphiban")</f>
        <v>Panisara Purintraphiban</v>
      </c>
      <c r="H486" t="str">
        <f>IFERROR(__xludf.DUMMYFUNCTION("""COMPUTED_VALUE"""),"นางสาว")</f>
        <v>นางสาว</v>
      </c>
      <c r="I486" t="str">
        <f>IFERROR(__xludf.DUMMYFUNCTION("""COMPUTED_VALUE"""),"ปาณิสรา")</f>
        <v>ปาณิสรา</v>
      </c>
      <c r="J486" t="str">
        <f>IFERROR(__xludf.DUMMYFUNCTION("""COMPUTED_VALUE"""),"ปุรินทราภิบาล")</f>
        <v>ปุรินทราภิบาล</v>
      </c>
      <c r="K486" t="str">
        <f>IFERROR(__xludf.DUMMYFUNCTION("""COMPUTED_VALUE"""),"ปาณิสรา ปุรินทราภิบาล")</f>
        <v>ปาณิสรา ปุรินทราภิบาล</v>
      </c>
      <c r="L486" t="str">
        <f>IFERROR(__xludf.DUMMYFUNCTION("""COMPUTED_VALUE"""),"แคท")</f>
        <v>แคท</v>
      </c>
      <c r="M486" t="str">
        <f>IFERROR(__xludf.DUMMYFUNCTION("""COMPUTED_VALUE"""),"Cabin Crew")</f>
        <v>Cabin Crew</v>
      </c>
      <c r="N486" t="str">
        <f>IFERROR(__xludf.DUMMYFUNCTION("""COMPUTED_VALUE"""),"DMK")</f>
        <v>DMK</v>
      </c>
      <c r="O486" s="145" t="str">
        <f>IFERROR(__xludf.DUMMYFUNCTION("""COMPUTED_VALUE"""),"Um Home")</f>
        <v>Um Home</v>
      </c>
      <c r="P486" t="str">
        <f>IFERROR(__xludf.DUMMYFUNCTION("""COMPUTED_VALUE"""),"Active")</f>
        <v>Active</v>
      </c>
      <c r="R486" s="143">
        <f>IFERROR(__xludf.DUMMYFUNCTION("""COMPUTED_VALUE"""),33106.0)</f>
        <v>33106</v>
      </c>
      <c r="S486" s="146" t="str">
        <f>IFERROR(__xludf.DUMMYFUNCTION("""COMPUTED_VALUE"""),"087 396 9747")</f>
        <v>087 396 9747</v>
      </c>
      <c r="T486" s="147" t="str">
        <f>IFERROR(__xludf.DUMMYFUNCTION("""COMPUTED_VALUE"""),"1103700-22-2375")</f>
        <v>1103700-22-2375</v>
      </c>
      <c r="U486" t="str">
        <f>IFERROR(__xludf.DUMMYFUNCTION("""COMPUTED_VALUE"""),"AC5391832")</f>
        <v>AC5391832</v>
      </c>
      <c r="V486" s="148">
        <f>IFERROR(__xludf.DUMMYFUNCTION("""COMPUTED_VALUE"""),45147.0)</f>
        <v>45147</v>
      </c>
      <c r="W486" s="148">
        <f>IFERROR(__xludf.DUMMYFUNCTION("""COMPUTED_VALUE"""),48799.0)</f>
        <v>48799</v>
      </c>
      <c r="X486" s="149">
        <f>IFERROR(__xludf.DUMMYFUNCTION("""COMPUTED_VALUE"""),48618.0)</f>
        <v>48618</v>
      </c>
      <c r="Y486" t="str">
        <f>IFERROR(__xludf.DUMMYFUNCTION("""COMPUTED_VALUE"""),"ปลอดภัย")</f>
        <v>ปลอดภัย</v>
      </c>
      <c r="Z486" t="str">
        <f>IFERROR(__xludf.DUMMYFUNCTION("""COMPUTED_VALUE"""),"Bangkok")</f>
        <v>Bangkok</v>
      </c>
      <c r="AA486" t="str">
        <f>IFERROR(__xludf.DUMMYFUNCTION("""COMPUTED_VALUE"""),"Thanyaburi")</f>
        <v>Thanyaburi</v>
      </c>
      <c r="AB486" t="str">
        <f>IFERROR(__xludf.DUMMYFUNCTION("""COMPUTED_VALUE"""),"087 393 1603")</f>
        <v>087 393 1603</v>
      </c>
      <c r="AC486" t="str">
        <f>IFERROR(__xludf.DUMMYFUNCTION("""COMPUTED_VALUE"""),"Suchada")</f>
        <v>Suchada</v>
      </c>
      <c r="AD486" t="str">
        <f>IFERROR(__xludf.DUMMYFUNCTION("""COMPUTED_VALUE"""),"panisarap@airasia.com")</f>
        <v>panisarap@airasia.com</v>
      </c>
    </row>
    <row r="487">
      <c r="A487" s="142">
        <f>IFERROR(__xludf.DUMMYFUNCTION("""COMPUTED_VALUE"""),63.0)</f>
        <v>63</v>
      </c>
      <c r="B487" t="str">
        <f>IFERROR(__xludf.DUMMYFUNCTION("""COMPUTED_VALUE"""),"TAA5127")</f>
        <v>TAA5127</v>
      </c>
      <c r="C487">
        <f>IFERROR(__xludf.DUMMYFUNCTION("""COMPUTED_VALUE"""),1009757.0)</f>
        <v>1009757</v>
      </c>
      <c r="D487" t="str">
        <f>IFERROR(__xludf.DUMMYFUNCTION("""COMPUTED_VALUE"""),"Ms.")</f>
        <v>Ms.</v>
      </c>
      <c r="E487" t="str">
        <f>IFERROR(__xludf.DUMMYFUNCTION("""COMPUTED_VALUE"""),"Pattrawan")</f>
        <v>Pattrawan</v>
      </c>
      <c r="F487" t="str">
        <f>IFERROR(__xludf.DUMMYFUNCTION("""COMPUTED_VALUE"""),"Wongchirawat")</f>
        <v>Wongchirawat</v>
      </c>
      <c r="G487" t="str">
        <f>IFERROR(__xludf.DUMMYFUNCTION("""COMPUTED_VALUE"""),"Pattrawan Wongchirawat")</f>
        <v>Pattrawan Wongchirawat</v>
      </c>
      <c r="H487" t="str">
        <f>IFERROR(__xludf.DUMMYFUNCTION("""COMPUTED_VALUE"""),"นางสาว")</f>
        <v>นางสาว</v>
      </c>
      <c r="I487" t="str">
        <f>IFERROR(__xludf.DUMMYFUNCTION("""COMPUTED_VALUE"""),"ภัทราวรรณ")</f>
        <v>ภัทราวรรณ</v>
      </c>
      <c r="J487" t="str">
        <f>IFERROR(__xludf.DUMMYFUNCTION("""COMPUTED_VALUE"""),"วงษ์จิรวัฒน์")</f>
        <v>วงษ์จิรวัฒน์</v>
      </c>
      <c r="K487" t="str">
        <f>IFERROR(__xludf.DUMMYFUNCTION("""COMPUTED_VALUE"""),"ภัทราวรรณ วงษ์จิรวัฒน์")</f>
        <v>ภัทราวรรณ วงษ์จิรวัฒน์</v>
      </c>
      <c r="L487" t="str">
        <f>IFERROR(__xludf.DUMMYFUNCTION("""COMPUTED_VALUE"""),"กระแต")</f>
        <v>กระแต</v>
      </c>
      <c r="M487" t="str">
        <f>IFERROR(__xludf.DUMMYFUNCTION("""COMPUTED_VALUE"""),"Cabin Crew - CNX")</f>
        <v>Cabin Crew - CNX</v>
      </c>
      <c r="N487" t="str">
        <f>IFERROR(__xludf.DUMMYFUNCTION("""COMPUTED_VALUE"""),"CNX")</f>
        <v>CNX</v>
      </c>
      <c r="O487" s="145" t="str">
        <f>IFERROR(__xludf.DUMMYFUNCTION("""COMPUTED_VALUE"""),"Up Home")</f>
        <v>Up Home</v>
      </c>
      <c r="P487" t="str">
        <f>IFERROR(__xludf.DUMMYFUNCTION("""COMPUTED_VALUE"""),"Active")</f>
        <v>Active</v>
      </c>
      <c r="R487" s="143">
        <f>IFERROR(__xludf.DUMMYFUNCTION("""COMPUTED_VALUE"""),32832.0)</f>
        <v>32832</v>
      </c>
      <c r="S487" s="146" t="str">
        <f>IFERROR(__xludf.DUMMYFUNCTION("""COMPUTED_VALUE"""),"099 536 9242")</f>
        <v>099 536 9242</v>
      </c>
      <c r="T487" s="147" t="str">
        <f>IFERROR(__xludf.DUMMYFUNCTION("""COMPUTED_VALUE"""),"1303300-52-4671")</f>
        <v>1303300-52-4671</v>
      </c>
      <c r="U487" t="str">
        <f>IFERROR(__xludf.DUMMYFUNCTION("""COMPUTED_VALUE"""),"AD3271356")</f>
        <v>AD3271356</v>
      </c>
      <c r="V487" s="148">
        <f>IFERROR(__xludf.DUMMYFUNCTION("""COMPUTED_VALUE"""),46045.0)</f>
        <v>46045</v>
      </c>
      <c r="W487" s="148">
        <f>IFERROR(__xludf.DUMMYFUNCTION("""COMPUTED_VALUE"""),49696.0)</f>
        <v>49696</v>
      </c>
      <c r="X487" s="149">
        <f>IFERROR(__xludf.DUMMYFUNCTION("""COMPUTED_VALUE"""),49512.0)</f>
        <v>49512</v>
      </c>
      <c r="Y487" t="str">
        <f>IFERROR(__xludf.DUMMYFUNCTION("""COMPUTED_VALUE"""),"ปลอดภัย")</f>
        <v>ปลอดภัย</v>
      </c>
      <c r="Z487" t="str">
        <f>IFERROR(__xludf.DUMMYFUNCTION("""COMPUTED_VALUE"""),"Nakhon Ratchasima Province")</f>
        <v>Nakhon Ratchasima Province</v>
      </c>
      <c r="AA487" t="str">
        <f>IFERROR(__xludf.DUMMYFUNCTION("""COMPUTED_VALUE"""),"Nahkonratchasima")</f>
        <v>Nahkonratchasima</v>
      </c>
      <c r="AB487" t="str">
        <f>IFERROR(__xludf.DUMMYFUNCTION("""COMPUTED_VALUE"""),"083 938 7577")</f>
        <v>083 938 7577</v>
      </c>
      <c r="AC487" t="str">
        <f>IFERROR(__xludf.DUMMYFUNCTION("""COMPUTED_VALUE"""),"Thareeerat")</f>
        <v>Thareeerat</v>
      </c>
      <c r="AD487" t="str">
        <f>IFERROR(__xludf.DUMMYFUNCTION("""COMPUTED_VALUE"""),"pattrawanw@airasia.com")</f>
        <v>pattrawanw@airasia.com</v>
      </c>
    </row>
    <row r="488">
      <c r="A488" s="142">
        <f>IFERROR(__xludf.DUMMYFUNCTION("""COMPUTED_VALUE"""),63.0)</f>
        <v>63</v>
      </c>
      <c r="B488" t="str">
        <f>IFERROR(__xludf.DUMMYFUNCTION("""COMPUTED_VALUE"""),"TAA5121")</f>
        <v>TAA5121</v>
      </c>
      <c r="C488">
        <f>IFERROR(__xludf.DUMMYFUNCTION("""COMPUTED_VALUE"""),1009759.0)</f>
        <v>1009759</v>
      </c>
      <c r="D488" t="str">
        <f>IFERROR(__xludf.DUMMYFUNCTION("""COMPUTED_VALUE"""),"Ms.")</f>
        <v>Ms.</v>
      </c>
      <c r="E488" t="str">
        <f>IFERROR(__xludf.DUMMYFUNCTION("""COMPUTED_VALUE"""),"Rattanaporn")</f>
        <v>Rattanaporn</v>
      </c>
      <c r="F488" t="str">
        <f>IFERROR(__xludf.DUMMYFUNCTION("""COMPUTED_VALUE"""),"Boonin")</f>
        <v>Boonin</v>
      </c>
      <c r="G488" t="str">
        <f>IFERROR(__xludf.DUMMYFUNCTION("""COMPUTED_VALUE"""),"Rattanaporn Boonin")</f>
        <v>Rattanaporn Boonin</v>
      </c>
      <c r="H488" t="str">
        <f>IFERROR(__xludf.DUMMYFUNCTION("""COMPUTED_VALUE"""),"นางสาว")</f>
        <v>นางสาว</v>
      </c>
      <c r="I488" t="str">
        <f>IFERROR(__xludf.DUMMYFUNCTION("""COMPUTED_VALUE"""),"รัตนาภรณ์")</f>
        <v>รัตนาภรณ์</v>
      </c>
      <c r="J488" t="str">
        <f>IFERROR(__xludf.DUMMYFUNCTION("""COMPUTED_VALUE"""),"บุญอินทร์")</f>
        <v>บุญอินทร์</v>
      </c>
      <c r="K488" t="str">
        <f>IFERROR(__xludf.DUMMYFUNCTION("""COMPUTED_VALUE"""),"รัตนาภรณ์ บุญอินทร์")</f>
        <v>รัตนาภรณ์ บุญอินทร์</v>
      </c>
      <c r="L488" t="str">
        <f>IFERROR(__xludf.DUMMYFUNCTION("""COMPUTED_VALUE"""),"แป้ง")</f>
        <v>แป้ง</v>
      </c>
      <c r="M488" t="str">
        <f>IFERROR(__xludf.DUMMYFUNCTION("""COMPUTED_VALUE"""),"Cabin Crew")</f>
        <v>Cabin Crew</v>
      </c>
      <c r="N488" t="str">
        <f>IFERROR(__xludf.DUMMYFUNCTION("""COMPUTED_VALUE"""),"DMK")</f>
        <v>DMK</v>
      </c>
      <c r="O488" s="145" t="str">
        <f>IFERROR(__xludf.DUMMYFUNCTION("""COMPUTED_VALUE"""),"Nhui Home")</f>
        <v>Nhui Home</v>
      </c>
      <c r="P488" t="str">
        <f>IFERROR(__xludf.DUMMYFUNCTION("""COMPUTED_VALUE"""),"Active")</f>
        <v>Active</v>
      </c>
      <c r="R488" s="143">
        <f>IFERROR(__xludf.DUMMYFUNCTION("""COMPUTED_VALUE"""),32386.0)</f>
        <v>32386</v>
      </c>
      <c r="S488" s="146" t="str">
        <f>IFERROR(__xludf.DUMMYFUNCTION("""COMPUTED_VALUE"""),"094 445 9664")</f>
        <v>094 445 9664</v>
      </c>
      <c r="T488" s="147" t="str">
        <f>IFERROR(__xludf.DUMMYFUNCTION("""COMPUTED_VALUE"""),"1100700-85-5057")</f>
        <v>1100700-85-5057</v>
      </c>
      <c r="U488" t="str">
        <f>IFERROR(__xludf.DUMMYFUNCTION("""COMPUTED_VALUE"""),"AC3060898")</f>
        <v>AC3060898</v>
      </c>
      <c r="V488" s="148">
        <f>IFERROR(__xludf.DUMMYFUNCTION("""COMPUTED_VALUE"""),44681.0)</f>
        <v>44681</v>
      </c>
      <c r="W488" s="148">
        <f>IFERROR(__xludf.DUMMYFUNCTION("""COMPUTED_VALUE"""),48333.0)</f>
        <v>48333</v>
      </c>
      <c r="X488" s="149">
        <f>IFERROR(__xludf.DUMMYFUNCTION("""COMPUTED_VALUE"""),48150.0)</f>
        <v>48150</v>
      </c>
      <c r="Y488" t="str">
        <f>IFERROR(__xludf.DUMMYFUNCTION("""COMPUTED_VALUE"""),"ปลอดภัย")</f>
        <v>ปลอดภัย</v>
      </c>
      <c r="Z488" t="str">
        <f>IFERROR(__xludf.DUMMYFUNCTION("""COMPUTED_VALUE"""),"Bangkok")</f>
        <v>Bangkok</v>
      </c>
      <c r="AA488" t="str">
        <f>IFERROR(__xludf.DUMMYFUNCTION("""COMPUTED_VALUE"""),"Saimai")</f>
        <v>Saimai</v>
      </c>
      <c r="AB488" t="str">
        <f>IFERROR(__xludf.DUMMYFUNCTION("""COMPUTED_VALUE"""),"081 612 8347")</f>
        <v>081 612 8347</v>
      </c>
      <c r="AC488" t="str">
        <f>IFERROR(__xludf.DUMMYFUNCTION("""COMPUTED_VALUE"""),"Father")</f>
        <v>Father</v>
      </c>
      <c r="AD488" t="str">
        <f>IFERROR(__xludf.DUMMYFUNCTION("""COMPUTED_VALUE"""),"rattanapornb@airasia.com")</f>
        <v>rattanapornb@airasia.com</v>
      </c>
    </row>
    <row r="489">
      <c r="A489" s="142">
        <f>IFERROR(__xludf.DUMMYFUNCTION("""COMPUTED_VALUE"""),63.0)</f>
        <v>63</v>
      </c>
      <c r="B489" t="str">
        <f>IFERROR(__xludf.DUMMYFUNCTION("""COMPUTED_VALUE"""),"TAA5136")</f>
        <v>TAA5136</v>
      </c>
      <c r="C489">
        <f>IFERROR(__xludf.DUMMYFUNCTION("""COMPUTED_VALUE"""),1009764.0)</f>
        <v>1009764</v>
      </c>
      <c r="D489" t="str">
        <f>IFERROR(__xludf.DUMMYFUNCTION("""COMPUTED_VALUE"""),"Mr.")</f>
        <v>Mr.</v>
      </c>
      <c r="E489" t="str">
        <f>IFERROR(__xludf.DUMMYFUNCTION("""COMPUTED_VALUE"""),"Sittichai")</f>
        <v>Sittichai</v>
      </c>
      <c r="F489" t="str">
        <f>IFERROR(__xludf.DUMMYFUNCTION("""COMPUTED_VALUE"""),"Kaewsuriyan")</f>
        <v>Kaewsuriyan</v>
      </c>
      <c r="G489" t="str">
        <f>IFERROR(__xludf.DUMMYFUNCTION("""COMPUTED_VALUE"""),"Sittichai Kaewsuriyan")</f>
        <v>Sittichai Kaewsuriyan</v>
      </c>
      <c r="H489" t="str">
        <f>IFERROR(__xludf.DUMMYFUNCTION("""COMPUTED_VALUE"""),"นาย")</f>
        <v>นาย</v>
      </c>
      <c r="I489" t="str">
        <f>IFERROR(__xludf.DUMMYFUNCTION("""COMPUTED_VALUE"""),"สิทธิชัย")</f>
        <v>สิทธิชัย</v>
      </c>
      <c r="J489" t="str">
        <f>IFERROR(__xludf.DUMMYFUNCTION("""COMPUTED_VALUE"""),"แก้วสุริยันต์")</f>
        <v>แก้วสุริยันต์</v>
      </c>
      <c r="K489" t="str">
        <f>IFERROR(__xludf.DUMMYFUNCTION("""COMPUTED_VALUE"""),"สิทธิชัย แก้วสุริยันต์")</f>
        <v>สิทธิชัย แก้วสุริยันต์</v>
      </c>
      <c r="L489" t="str">
        <f>IFERROR(__xludf.DUMMYFUNCTION("""COMPUTED_VALUE"""),"Dash")</f>
        <v>Dash</v>
      </c>
      <c r="M489" t="str">
        <f>IFERROR(__xludf.DUMMYFUNCTION("""COMPUTED_VALUE"""),"Senior Cabin Crew")</f>
        <v>Senior Cabin Crew</v>
      </c>
      <c r="N489" t="str">
        <f>IFERROR(__xludf.DUMMYFUNCTION("""COMPUTED_VALUE"""),"DMK")</f>
        <v>DMK</v>
      </c>
      <c r="O489" s="145" t="str">
        <f>IFERROR(__xludf.DUMMYFUNCTION("""COMPUTED_VALUE"""),"Um Home")</f>
        <v>Um Home</v>
      </c>
      <c r="P489" t="str">
        <f>IFERROR(__xludf.DUMMYFUNCTION("""COMPUTED_VALUE"""),"Active")</f>
        <v>Active</v>
      </c>
      <c r="R489" s="143">
        <f>IFERROR(__xludf.DUMMYFUNCTION("""COMPUTED_VALUE"""),32991.0)</f>
        <v>32991</v>
      </c>
      <c r="S489" s="146" t="str">
        <f>IFERROR(__xludf.DUMMYFUNCTION("""COMPUTED_VALUE"""),"084 436 5190")</f>
        <v>084 436 5190</v>
      </c>
      <c r="T489" s="147" t="str">
        <f>IFERROR(__xludf.DUMMYFUNCTION("""COMPUTED_VALUE"""),"1909800-43-7215")</f>
        <v>1909800-43-7215</v>
      </c>
      <c r="U489" t="str">
        <f>IFERROR(__xludf.DUMMYFUNCTION("""COMPUTED_VALUE"""),"AC4944986")</f>
        <v>AC4944986</v>
      </c>
      <c r="V489" s="148">
        <f>IFERROR(__xludf.DUMMYFUNCTION("""COMPUTED_VALUE"""),45065.0)</f>
        <v>45065</v>
      </c>
      <c r="W489" s="148">
        <f>IFERROR(__xludf.DUMMYFUNCTION("""COMPUTED_VALUE"""),48717.0)</f>
        <v>48717</v>
      </c>
      <c r="X489" s="149">
        <f>IFERROR(__xludf.DUMMYFUNCTION("""COMPUTED_VALUE"""),48536.0)</f>
        <v>48536</v>
      </c>
      <c r="Y489" t="str">
        <f>IFERROR(__xludf.DUMMYFUNCTION("""COMPUTED_VALUE"""),"ปลอดภัย")</f>
        <v>ปลอดภัย</v>
      </c>
      <c r="Z489" t="str">
        <f>IFERROR(__xludf.DUMMYFUNCTION("""COMPUTED_VALUE"""),"Songkhla Province")</f>
        <v>Songkhla Province</v>
      </c>
      <c r="AA489" t="str">
        <f>IFERROR(__xludf.DUMMYFUNCTION("""COMPUTED_VALUE"""),"Hadyai")</f>
        <v>Hadyai</v>
      </c>
      <c r="AB489" t="str">
        <f>IFERROR(__xludf.DUMMYFUNCTION("""COMPUTED_VALUE"""),"086 284 8777")</f>
        <v>086 284 8777</v>
      </c>
      <c r="AC489" t="str">
        <f>IFERROR(__xludf.DUMMYFUNCTION("""COMPUTED_VALUE"""),"Monthip")</f>
        <v>Monthip</v>
      </c>
      <c r="AD489" t="str">
        <f>IFERROR(__xludf.DUMMYFUNCTION("""COMPUTED_VALUE"""),"sittichaik@airasia.com")</f>
        <v>sittichaik@airasia.com</v>
      </c>
    </row>
    <row r="490">
      <c r="A490" s="142">
        <f>IFERROR(__xludf.DUMMYFUNCTION("""COMPUTED_VALUE"""),63.0)</f>
        <v>63</v>
      </c>
      <c r="B490" t="str">
        <f>IFERROR(__xludf.DUMMYFUNCTION("""COMPUTED_VALUE"""),"TAA5123")</f>
        <v>TAA5123</v>
      </c>
      <c r="C490">
        <f>IFERROR(__xludf.DUMMYFUNCTION("""COMPUTED_VALUE"""),1009765.0)</f>
        <v>1009765</v>
      </c>
      <c r="D490" t="str">
        <f>IFERROR(__xludf.DUMMYFUNCTION("""COMPUTED_VALUE"""),"Ms.")</f>
        <v>Ms.</v>
      </c>
      <c r="E490" t="str">
        <f>IFERROR(__xludf.DUMMYFUNCTION("""COMPUTED_VALUE"""),"Sumitra")</f>
        <v>Sumitra</v>
      </c>
      <c r="F490" t="str">
        <f>IFERROR(__xludf.DUMMYFUNCTION("""COMPUTED_VALUE"""),"Nipanutiyan")</f>
        <v>Nipanutiyan</v>
      </c>
      <c r="G490" t="str">
        <f>IFERROR(__xludf.DUMMYFUNCTION("""COMPUTED_VALUE"""),"Sumitra Nipanutiyan")</f>
        <v>Sumitra Nipanutiyan</v>
      </c>
      <c r="H490" t="str">
        <f>IFERROR(__xludf.DUMMYFUNCTION("""COMPUTED_VALUE"""),"นางสาว")</f>
        <v>นางสาว</v>
      </c>
      <c r="I490" t="str">
        <f>IFERROR(__xludf.DUMMYFUNCTION("""COMPUTED_VALUE"""),"สุมิตรา")</f>
        <v>สุมิตรา</v>
      </c>
      <c r="J490" t="str">
        <f>IFERROR(__xludf.DUMMYFUNCTION("""COMPUTED_VALUE"""),"นิพนุติยันต์")</f>
        <v>นิพนุติยันต์</v>
      </c>
      <c r="K490" t="str">
        <f>IFERROR(__xludf.DUMMYFUNCTION("""COMPUTED_VALUE"""),"สุมิตรา นิพนุติยันต์")</f>
        <v>สุมิตรา นิพนุติยันต์</v>
      </c>
      <c r="L490" t="str">
        <f>IFERROR(__xludf.DUMMYFUNCTION("""COMPUTED_VALUE"""),"แป้ง")</f>
        <v>แป้ง</v>
      </c>
      <c r="M490" t="str">
        <f>IFERROR(__xludf.DUMMYFUNCTION("""COMPUTED_VALUE"""),"Cabin Crew - CNX")</f>
        <v>Cabin Crew - CNX</v>
      </c>
      <c r="N490" t="str">
        <f>IFERROR(__xludf.DUMMYFUNCTION("""COMPUTED_VALUE"""),"CNX")</f>
        <v>CNX</v>
      </c>
      <c r="O490" s="145" t="str">
        <f>IFERROR(__xludf.DUMMYFUNCTION("""COMPUTED_VALUE"""),"Up Home")</f>
        <v>Up Home</v>
      </c>
      <c r="P490" t="str">
        <f>IFERROR(__xludf.DUMMYFUNCTION("""COMPUTED_VALUE"""),"Active")</f>
        <v>Active</v>
      </c>
      <c r="R490" s="143">
        <f>IFERROR(__xludf.DUMMYFUNCTION("""COMPUTED_VALUE"""),33584.0)</f>
        <v>33584</v>
      </c>
      <c r="S490" s="146" t="str">
        <f>IFERROR(__xludf.DUMMYFUNCTION("""COMPUTED_VALUE"""),"085 035 1551")</f>
        <v>085 035 1551</v>
      </c>
      <c r="T490" s="147" t="str">
        <f>IFERROR(__xludf.DUMMYFUNCTION("""COMPUTED_VALUE"""),"1101800-50-3820")</f>
        <v>1101800-50-3820</v>
      </c>
      <c r="U490" t="str">
        <f>IFERROR(__xludf.DUMMYFUNCTION("""COMPUTED_VALUE"""),"AC7193121")</f>
        <v>AC7193121</v>
      </c>
      <c r="V490" s="148">
        <f>IFERROR(__xludf.DUMMYFUNCTION("""COMPUTED_VALUE"""),45638.0)</f>
        <v>45638</v>
      </c>
      <c r="W490" s="148">
        <f>IFERROR(__xludf.DUMMYFUNCTION("""COMPUTED_VALUE"""),49289.0)</f>
        <v>49289</v>
      </c>
      <c r="X490" s="149">
        <f>IFERROR(__xludf.DUMMYFUNCTION("""COMPUTED_VALUE"""),49106.0)</f>
        <v>49106</v>
      </c>
      <c r="Y490" t="str">
        <f>IFERROR(__xludf.DUMMYFUNCTION("""COMPUTED_VALUE"""),"ปลอดภัย")</f>
        <v>ปลอดภัย</v>
      </c>
      <c r="Z490" t="str">
        <f>IFERROR(__xludf.DUMMYFUNCTION("""COMPUTED_VALUE"""),"Bangkok")</f>
        <v>Bangkok</v>
      </c>
      <c r="AA490" t="str">
        <f>IFERROR(__xludf.DUMMYFUNCTION("""COMPUTED_VALUE"""),"Chiangmai")</f>
        <v>Chiangmai</v>
      </c>
      <c r="AB490" t="str">
        <f>IFERROR(__xludf.DUMMYFUNCTION("""COMPUTED_VALUE"""),"080-853-7062")</f>
        <v>080-853-7062</v>
      </c>
      <c r="AC490" t="str">
        <f>IFERROR(__xludf.DUMMYFUNCTION("""COMPUTED_VALUE"""),"Pravit")</f>
        <v>Pravit</v>
      </c>
      <c r="AD490" t="str">
        <f>IFERROR(__xludf.DUMMYFUNCTION("""COMPUTED_VALUE"""),"sumitran@airasia.com")</f>
        <v>sumitran@airasia.com</v>
      </c>
    </row>
    <row r="491">
      <c r="A491" s="142">
        <f>IFERROR(__xludf.DUMMYFUNCTION("""COMPUTED_VALUE"""),63.0)</f>
        <v>63</v>
      </c>
      <c r="B491" t="str">
        <f>IFERROR(__xludf.DUMMYFUNCTION("""COMPUTED_VALUE"""),"TAA5135")</f>
        <v>TAA5135</v>
      </c>
      <c r="C491">
        <f>IFERROR(__xludf.DUMMYFUNCTION("""COMPUTED_VALUE"""),1009768.0)</f>
        <v>1009768</v>
      </c>
      <c r="D491" t="str">
        <f>IFERROR(__xludf.DUMMYFUNCTION("""COMPUTED_VALUE"""),"Mr.")</f>
        <v>Mr.</v>
      </c>
      <c r="E491" t="str">
        <f>IFERROR(__xludf.DUMMYFUNCTION("""COMPUTED_VALUE"""),"Thidech")</f>
        <v>Thidech</v>
      </c>
      <c r="F491" t="str">
        <f>IFERROR(__xludf.DUMMYFUNCTION("""COMPUTED_VALUE"""),"Eakmongkollert")</f>
        <v>Eakmongkollert</v>
      </c>
      <c r="G491" t="str">
        <f>IFERROR(__xludf.DUMMYFUNCTION("""COMPUTED_VALUE"""),"Thidech Eakmongkollert")</f>
        <v>Thidech Eakmongkollert</v>
      </c>
      <c r="H491" t="str">
        <f>IFERROR(__xludf.DUMMYFUNCTION("""COMPUTED_VALUE"""),"นาย")</f>
        <v>นาย</v>
      </c>
      <c r="I491" t="str">
        <f>IFERROR(__xludf.DUMMYFUNCTION("""COMPUTED_VALUE"""),"ฐิต์เดช")</f>
        <v>ฐิต์เดช</v>
      </c>
      <c r="J491" t="str">
        <f>IFERROR(__xludf.DUMMYFUNCTION("""COMPUTED_VALUE"""),"เอกมงคลเลิศ")</f>
        <v>เอกมงคลเลิศ</v>
      </c>
      <c r="K491" t="str">
        <f>IFERROR(__xludf.DUMMYFUNCTION("""COMPUTED_VALUE"""),"ฐิต์เดช เอกมงคลเลิศ")</f>
        <v>ฐิต์เดช เอกมงคลเลิศ</v>
      </c>
      <c r="L491" t="str">
        <f>IFERROR(__xludf.DUMMYFUNCTION("""COMPUTED_VALUE"""),"วี")</f>
        <v>วี</v>
      </c>
      <c r="M491" t="str">
        <f>IFERROR(__xludf.DUMMYFUNCTION("""COMPUTED_VALUE"""),"Senior Cabin Crew")</f>
        <v>Senior Cabin Crew</v>
      </c>
      <c r="N491" t="str">
        <f>IFERROR(__xludf.DUMMYFUNCTION("""COMPUTED_VALUE"""),"DMK")</f>
        <v>DMK</v>
      </c>
      <c r="O491" s="145" t="str">
        <f>IFERROR(__xludf.DUMMYFUNCTION("""COMPUTED_VALUE"""),"Toffy Home")</f>
        <v>Toffy Home</v>
      </c>
      <c r="P491" t="str">
        <f>IFERROR(__xludf.DUMMYFUNCTION("""COMPUTED_VALUE"""),"Active")</f>
        <v>Active</v>
      </c>
      <c r="R491" s="143">
        <f>IFERROR(__xludf.DUMMYFUNCTION("""COMPUTED_VALUE"""),31390.0)</f>
        <v>31390</v>
      </c>
      <c r="S491" s="146" t="str">
        <f>IFERROR(__xludf.DUMMYFUNCTION("""COMPUTED_VALUE"""),"081 010 0008")</f>
        <v>081 010 0008</v>
      </c>
      <c r="T491" s="147" t="str">
        <f>IFERROR(__xludf.DUMMYFUNCTION("""COMPUTED_VALUE"""),"1100400-13-9968")</f>
        <v>1100400-13-9968</v>
      </c>
      <c r="U491" t="str">
        <f>IFERROR(__xludf.DUMMYFUNCTION("""COMPUTED_VALUE"""),"AC2234187")</f>
        <v>AC2234187</v>
      </c>
      <c r="V491" s="148">
        <f>IFERROR(__xludf.DUMMYFUNCTION("""COMPUTED_VALUE"""),44284.0)</f>
        <v>44284</v>
      </c>
      <c r="W491" s="148">
        <f>IFERROR(__xludf.DUMMYFUNCTION("""COMPUTED_VALUE"""),47935.0)</f>
        <v>47935</v>
      </c>
      <c r="X491" s="149">
        <f>IFERROR(__xludf.DUMMYFUNCTION("""COMPUTED_VALUE"""),47754.0)</f>
        <v>47754</v>
      </c>
      <c r="Y491" t="str">
        <f>IFERROR(__xludf.DUMMYFUNCTION("""COMPUTED_VALUE"""),"ปลอดภัย")</f>
        <v>ปลอดภัย</v>
      </c>
      <c r="Z491" t="str">
        <f>IFERROR(__xludf.DUMMYFUNCTION("""COMPUTED_VALUE"""),"Bangkok")</f>
        <v>Bangkok</v>
      </c>
      <c r="AA491" t="str">
        <f>IFERROR(__xludf.DUMMYFUNCTION("""COMPUTED_VALUE"""),"Thonburi")</f>
        <v>Thonburi</v>
      </c>
      <c r="AB491" t="str">
        <f>IFERROR(__xludf.DUMMYFUNCTION("""COMPUTED_VALUE"""),"02 465 2909 / 089 456 6789")</f>
        <v>02 465 2909 / 089 456 6789</v>
      </c>
      <c r="AC491" t="str">
        <f>IFERROR(__xludf.DUMMYFUNCTION("""COMPUTED_VALUE"""),"Home / Duangporn")</f>
        <v>Home / Duangporn</v>
      </c>
      <c r="AD491" t="str">
        <f>IFERROR(__xludf.DUMMYFUNCTION("""COMPUTED_VALUE"""),"thideche@airasia.com")</f>
        <v>thideche@airasia.com</v>
      </c>
    </row>
    <row r="492">
      <c r="A492" s="142">
        <f>IFERROR(__xludf.DUMMYFUNCTION("""COMPUTED_VALUE"""),63.0)</f>
        <v>63</v>
      </c>
      <c r="B492" t="str">
        <f>IFERROR(__xludf.DUMMYFUNCTION("""COMPUTED_VALUE"""),"TAA5133")</f>
        <v>TAA5133</v>
      </c>
      <c r="C492">
        <f>IFERROR(__xludf.DUMMYFUNCTION("""COMPUTED_VALUE"""),1009770.0)</f>
        <v>1009770</v>
      </c>
      <c r="D492" t="str">
        <f>IFERROR(__xludf.DUMMYFUNCTION("""COMPUTED_VALUE"""),"Mr.")</f>
        <v>Mr.</v>
      </c>
      <c r="E492" t="str">
        <f>IFERROR(__xludf.DUMMYFUNCTION("""COMPUTED_VALUE"""),"Wuttiphat")</f>
        <v>Wuttiphat</v>
      </c>
      <c r="F492" t="str">
        <f>IFERROR(__xludf.DUMMYFUNCTION("""COMPUTED_VALUE"""),"Akenoot")</f>
        <v>Akenoot</v>
      </c>
      <c r="G492" t="str">
        <f>IFERROR(__xludf.DUMMYFUNCTION("""COMPUTED_VALUE"""),"Wuttiphat Akenoot")</f>
        <v>Wuttiphat Akenoot</v>
      </c>
      <c r="H492" t="str">
        <f>IFERROR(__xludf.DUMMYFUNCTION("""COMPUTED_VALUE"""),"นาย")</f>
        <v>นาย</v>
      </c>
      <c r="I492" t="str">
        <f>IFERROR(__xludf.DUMMYFUNCTION("""COMPUTED_VALUE"""),"วุฒิภัทร")</f>
        <v>วุฒิภัทร</v>
      </c>
      <c r="J492" t="str">
        <f>IFERROR(__xludf.DUMMYFUNCTION("""COMPUTED_VALUE"""),"เอกนุช")</f>
        <v>เอกนุช</v>
      </c>
      <c r="K492" t="str">
        <f>IFERROR(__xludf.DUMMYFUNCTION("""COMPUTED_VALUE"""),"วุฒิภัทร เอกนุช")</f>
        <v>วุฒิภัทร เอกนุช</v>
      </c>
      <c r="L492" t="str">
        <f>IFERROR(__xludf.DUMMYFUNCTION("""COMPUTED_VALUE"""),"คิม")</f>
        <v>คิม</v>
      </c>
      <c r="M492" t="str">
        <f>IFERROR(__xludf.DUMMYFUNCTION("""COMPUTED_VALUE"""),"Cabin Crew")</f>
        <v>Cabin Crew</v>
      </c>
      <c r="N492" t="str">
        <f>IFERROR(__xludf.DUMMYFUNCTION("""COMPUTED_VALUE"""),"DMK")</f>
        <v>DMK</v>
      </c>
      <c r="O492" s="145" t="str">
        <f>IFERROR(__xludf.DUMMYFUNCTION("""COMPUTED_VALUE"""),"Por+ Home")</f>
        <v>Por+ Home</v>
      </c>
      <c r="P492" t="str">
        <f>IFERROR(__xludf.DUMMYFUNCTION("""COMPUTED_VALUE"""),"Active")</f>
        <v>Active</v>
      </c>
      <c r="R492" s="143">
        <f>IFERROR(__xludf.DUMMYFUNCTION("""COMPUTED_VALUE"""),32166.0)</f>
        <v>32166</v>
      </c>
      <c r="S492" s="146" t="str">
        <f>IFERROR(__xludf.DUMMYFUNCTION("""COMPUTED_VALUE"""),"095 052 4191")</f>
        <v>095 052 4191</v>
      </c>
      <c r="T492" s="147" t="str">
        <f>IFERROR(__xludf.DUMMYFUNCTION("""COMPUTED_VALUE"""),"1600800-11-4739")</f>
        <v>1600800-11-4739</v>
      </c>
      <c r="U492" t="str">
        <f>IFERROR(__xludf.DUMMYFUNCTION("""COMPUTED_VALUE"""),"AC3585793")</f>
        <v>AC3585793</v>
      </c>
      <c r="V492" s="148">
        <f>IFERROR(__xludf.DUMMYFUNCTION("""COMPUTED_VALUE"""),44753.0)</f>
        <v>44753</v>
      </c>
      <c r="W492" s="148">
        <f>IFERROR(__xludf.DUMMYFUNCTION("""COMPUTED_VALUE"""),48405.0)</f>
        <v>48405</v>
      </c>
      <c r="X492" s="149">
        <f>IFERROR(__xludf.DUMMYFUNCTION("""COMPUTED_VALUE"""),48223.0)</f>
        <v>48223</v>
      </c>
      <c r="Y492" t="str">
        <f>IFERROR(__xludf.DUMMYFUNCTION("""COMPUTED_VALUE"""),"ปลอดภัย")</f>
        <v>ปลอดภัย</v>
      </c>
      <c r="Z492" t="str">
        <f>IFERROR(__xludf.DUMMYFUNCTION("""COMPUTED_VALUE"""),"Nakhon Sawan Province")</f>
        <v>Nakhon Sawan Province</v>
      </c>
      <c r="AA492" t="str">
        <f>IFERROR(__xludf.DUMMYFUNCTION("""COMPUTED_VALUE"""),"Nakhonsawan")</f>
        <v>Nakhonsawan</v>
      </c>
      <c r="AB492" t="str">
        <f>IFERROR(__xludf.DUMMYFUNCTION("""COMPUTED_VALUE"""),"087 204 2246")</f>
        <v>087 204 2246</v>
      </c>
      <c r="AC492" t="str">
        <f>IFERROR(__xludf.DUMMYFUNCTION("""COMPUTED_VALUE"""),"Father")</f>
        <v>Father</v>
      </c>
      <c r="AD492" t="str">
        <f>IFERROR(__xludf.DUMMYFUNCTION("""COMPUTED_VALUE"""),"wuttiphata@airasia.com")</f>
        <v>wuttiphata@airasia.com</v>
      </c>
    </row>
    <row r="493">
      <c r="AD493" t="str">
        <f>IFERROR(__xludf.DUMMYFUNCTION("""COMPUTED_VALUE"""),"")</f>
        <v/>
      </c>
    </row>
    <row r="494">
      <c r="A494" s="142">
        <f>IFERROR(__xludf.DUMMYFUNCTION("""COMPUTED_VALUE"""),64.0)</f>
        <v>64</v>
      </c>
      <c r="B494" t="str">
        <f>IFERROR(__xludf.DUMMYFUNCTION("""COMPUTED_VALUE"""),"TAA5131")</f>
        <v>TAA5131</v>
      </c>
      <c r="C494">
        <f>IFERROR(__xludf.DUMMYFUNCTION("""COMPUTED_VALUE"""),1009799.0)</f>
        <v>1009799</v>
      </c>
      <c r="D494" t="str">
        <f>IFERROR(__xludf.DUMMYFUNCTION("""COMPUTED_VALUE"""),"Mr.")</f>
        <v>Mr.</v>
      </c>
      <c r="E494" t="str">
        <f>IFERROR(__xludf.DUMMYFUNCTION("""COMPUTED_VALUE"""),"Kittirat")</f>
        <v>Kittirat</v>
      </c>
      <c r="F494" t="str">
        <f>IFERROR(__xludf.DUMMYFUNCTION("""COMPUTED_VALUE"""),"Aujsri")</f>
        <v>Aujsri</v>
      </c>
      <c r="G494" t="str">
        <f>IFERROR(__xludf.DUMMYFUNCTION("""COMPUTED_VALUE"""),"Kittirat Aujsri")</f>
        <v>Kittirat Aujsri</v>
      </c>
      <c r="H494" t="str">
        <f>IFERROR(__xludf.DUMMYFUNCTION("""COMPUTED_VALUE"""),"นาย")</f>
        <v>นาย</v>
      </c>
      <c r="I494" t="str">
        <f>IFERROR(__xludf.DUMMYFUNCTION("""COMPUTED_VALUE"""),"กฤติรัฐ")</f>
        <v>กฤติรัฐ</v>
      </c>
      <c r="J494" t="str">
        <f>IFERROR(__xludf.DUMMYFUNCTION("""COMPUTED_VALUE"""),"เอื้อศรี")</f>
        <v>เอื้อศรี</v>
      </c>
      <c r="K494" t="str">
        <f>IFERROR(__xludf.DUMMYFUNCTION("""COMPUTED_VALUE"""),"กฤติรัฐ เอื้อศรี")</f>
        <v>กฤติรัฐ เอื้อศรี</v>
      </c>
      <c r="L494" t="str">
        <f>IFERROR(__xludf.DUMMYFUNCTION("""COMPUTED_VALUE"""),"พีท")</f>
        <v>พีท</v>
      </c>
      <c r="M494" t="str">
        <f>IFERROR(__xludf.DUMMYFUNCTION("""COMPUTED_VALUE"""),"Cabin Crew")</f>
        <v>Cabin Crew</v>
      </c>
      <c r="N494" t="str">
        <f>IFERROR(__xludf.DUMMYFUNCTION("""COMPUTED_VALUE"""),"DMK")</f>
        <v>DMK</v>
      </c>
      <c r="O494" s="145" t="str">
        <f>IFERROR(__xludf.DUMMYFUNCTION("""COMPUTED_VALUE"""),"Por+ Home")</f>
        <v>Por+ Home</v>
      </c>
      <c r="P494" t="str">
        <f>IFERROR(__xludf.DUMMYFUNCTION("""COMPUTED_VALUE"""),"Active")</f>
        <v>Active</v>
      </c>
      <c r="R494" s="143">
        <f>IFERROR(__xludf.DUMMYFUNCTION("""COMPUTED_VALUE"""),31616.0)</f>
        <v>31616</v>
      </c>
      <c r="S494" s="146" t="str">
        <f>IFERROR(__xludf.DUMMYFUNCTION("""COMPUTED_VALUE"""),"080 088 6736")</f>
        <v>080 088 6736</v>
      </c>
      <c r="T494" s="147" t="str">
        <f>IFERROR(__xludf.DUMMYFUNCTION("""COMPUTED_VALUE"""),"1449900-08-6401")</f>
        <v>1449900-08-6401</v>
      </c>
      <c r="U494" t="str">
        <f>IFERROR(__xludf.DUMMYFUNCTION("""COMPUTED_VALUE"""),"AC4778504")</f>
        <v>AC4778504</v>
      </c>
      <c r="V494" s="148">
        <f>IFERROR(__xludf.DUMMYFUNCTION("""COMPUTED_VALUE"""),45040.0)</f>
        <v>45040</v>
      </c>
      <c r="W494" s="148">
        <f>IFERROR(__xludf.DUMMYFUNCTION("""COMPUTED_VALUE"""),48692.0)</f>
        <v>48692</v>
      </c>
      <c r="X494" s="149">
        <f>IFERROR(__xludf.DUMMYFUNCTION("""COMPUTED_VALUE"""),48510.0)</f>
        <v>48510</v>
      </c>
      <c r="Y494" t="str">
        <f>IFERROR(__xludf.DUMMYFUNCTION("""COMPUTED_VALUE"""),"ปลอดภัย")</f>
        <v>ปลอดภัย</v>
      </c>
      <c r="Z494" t="str">
        <f>IFERROR(__xludf.DUMMYFUNCTION("""COMPUTED_VALUE"""),"Maha Sarakham Province")</f>
        <v>Maha Sarakham Province</v>
      </c>
      <c r="AA494" t="str">
        <f>IFERROR(__xludf.DUMMYFUNCTION("""COMPUTED_VALUE"""),"Pathumwan")</f>
        <v>Pathumwan</v>
      </c>
      <c r="AB494" t="str">
        <f>IFERROR(__xludf.DUMMYFUNCTION("""COMPUTED_VALUE"""),"087 234 8505")</f>
        <v>087 234 8505</v>
      </c>
      <c r="AC494" t="str">
        <f>IFERROR(__xludf.DUMMYFUNCTION("""COMPUTED_VALUE"""),"Chuchart")</f>
        <v>Chuchart</v>
      </c>
      <c r="AD494" t="str">
        <f>IFERROR(__xludf.DUMMYFUNCTION("""COMPUTED_VALUE"""),"kittirata@airasia.com")</f>
        <v>kittirata@airasia.com</v>
      </c>
    </row>
    <row r="495">
      <c r="A495" s="142">
        <f>IFERROR(__xludf.DUMMYFUNCTION("""COMPUTED_VALUE"""),64.0)</f>
        <v>64</v>
      </c>
      <c r="B495" t="str">
        <f>IFERROR(__xludf.DUMMYFUNCTION("""COMPUTED_VALUE"""),"TAA5154")</f>
        <v>TAA5154</v>
      </c>
      <c r="C495">
        <f>IFERROR(__xludf.DUMMYFUNCTION("""COMPUTED_VALUE"""),1009809.0)</f>
        <v>1009809</v>
      </c>
      <c r="D495" t="str">
        <f>IFERROR(__xludf.DUMMYFUNCTION("""COMPUTED_VALUE"""),"Mr.")</f>
        <v>Mr.</v>
      </c>
      <c r="E495" t="str">
        <f>IFERROR(__xludf.DUMMYFUNCTION("""COMPUTED_VALUE"""),"Naphat")</f>
        <v>Naphat</v>
      </c>
      <c r="F495" t="str">
        <f>IFERROR(__xludf.DUMMYFUNCTION("""COMPUTED_VALUE"""),"Yantaragorn")</f>
        <v>Yantaragorn</v>
      </c>
      <c r="G495" t="str">
        <f>IFERROR(__xludf.DUMMYFUNCTION("""COMPUTED_VALUE"""),"Naphat Yantaragorn")</f>
        <v>Naphat Yantaragorn</v>
      </c>
      <c r="H495" t="str">
        <f>IFERROR(__xludf.DUMMYFUNCTION("""COMPUTED_VALUE"""),"นาย")</f>
        <v>นาย</v>
      </c>
      <c r="I495" t="str">
        <f>IFERROR(__xludf.DUMMYFUNCTION("""COMPUTED_VALUE"""),"ณภัทร")</f>
        <v>ณภัทร</v>
      </c>
      <c r="J495" t="str">
        <f>IFERROR(__xludf.DUMMYFUNCTION("""COMPUTED_VALUE"""),"ยันตรกร")</f>
        <v>ยันตรกร</v>
      </c>
      <c r="K495" t="str">
        <f>IFERROR(__xludf.DUMMYFUNCTION("""COMPUTED_VALUE"""),"ณภัทร ยันตรกร")</f>
        <v>ณภัทร ยันตรกร</v>
      </c>
      <c r="L495" t="str">
        <f>IFERROR(__xludf.DUMMYFUNCTION("""COMPUTED_VALUE"""),"นท")</f>
        <v>นท</v>
      </c>
      <c r="M495" t="str">
        <f>IFERROR(__xludf.DUMMYFUNCTION("""COMPUTED_VALUE"""),"Cabin Crew")</f>
        <v>Cabin Crew</v>
      </c>
      <c r="N495" t="str">
        <f>IFERROR(__xludf.DUMMYFUNCTION("""COMPUTED_VALUE"""),"DMK")</f>
        <v>DMK</v>
      </c>
      <c r="O495" s="145" t="str">
        <f>IFERROR(__xludf.DUMMYFUNCTION("""COMPUTED_VALUE"""),"Um Home")</f>
        <v>Um Home</v>
      </c>
      <c r="P495" t="str">
        <f>IFERROR(__xludf.DUMMYFUNCTION("""COMPUTED_VALUE"""),"Active")</f>
        <v>Active</v>
      </c>
      <c r="R495" s="143">
        <f>IFERROR(__xludf.DUMMYFUNCTION("""COMPUTED_VALUE"""),33267.0)</f>
        <v>33267</v>
      </c>
      <c r="S495" s="146" t="str">
        <f>IFERROR(__xludf.DUMMYFUNCTION("""COMPUTED_VALUE"""),"081-385-6029")</f>
        <v>081-385-6029</v>
      </c>
      <c r="T495" s="147" t="str">
        <f>IFERROR(__xludf.DUMMYFUNCTION("""COMPUTED_VALUE"""),"1509900-97-3422")</f>
        <v>1509900-97-3422</v>
      </c>
      <c r="U495" t="str">
        <f>IFERROR(__xludf.DUMMYFUNCTION("""COMPUTED_VALUE"""),"AC5366159")</f>
        <v>AC5366159</v>
      </c>
      <c r="V495" s="148">
        <f>IFERROR(__xludf.DUMMYFUNCTION("""COMPUTED_VALUE"""),45134.0)</f>
        <v>45134</v>
      </c>
      <c r="W495" s="148">
        <f>IFERROR(__xludf.DUMMYFUNCTION("""COMPUTED_VALUE"""),48786.0)</f>
        <v>48786</v>
      </c>
      <c r="X495" s="149">
        <f>IFERROR(__xludf.DUMMYFUNCTION("""COMPUTED_VALUE"""),48605.0)</f>
        <v>48605</v>
      </c>
      <c r="Y495" t="str">
        <f>IFERROR(__xludf.DUMMYFUNCTION("""COMPUTED_VALUE"""),"ปลอดภัย")</f>
        <v>ปลอดภัย</v>
      </c>
      <c r="Z495" t="str">
        <f>IFERROR(__xludf.DUMMYFUNCTION("""COMPUTED_VALUE"""),"Chiang Mai Province")</f>
        <v>Chiang Mai Province</v>
      </c>
      <c r="AA495" t="str">
        <f>IFERROR(__xludf.DUMMYFUNCTION("""COMPUTED_VALUE"""),"Chiangmai")</f>
        <v>Chiangmai</v>
      </c>
      <c r="AB495" t="str">
        <f>IFERROR(__xludf.DUMMYFUNCTION("""COMPUTED_VALUE"""),"081 993 2905")</f>
        <v>081 993 2905</v>
      </c>
      <c r="AC495" t="str">
        <f>IFERROR(__xludf.DUMMYFUNCTION("""COMPUTED_VALUE"""),"Patara")</f>
        <v>Patara</v>
      </c>
      <c r="AD495" t="str">
        <f>IFERROR(__xludf.DUMMYFUNCTION("""COMPUTED_VALUE"""),"naphaty@airasia.com")</f>
        <v>naphaty@airasia.com</v>
      </c>
    </row>
    <row r="496">
      <c r="A496" s="142">
        <f>IFERROR(__xludf.DUMMYFUNCTION("""COMPUTED_VALUE"""),64.0)</f>
        <v>64</v>
      </c>
      <c r="B496" t="str">
        <f>IFERROR(__xludf.DUMMYFUNCTION("""COMPUTED_VALUE"""),"TAA5140")</f>
        <v>TAA5140</v>
      </c>
      <c r="C496">
        <f>IFERROR(__xludf.DUMMYFUNCTION("""COMPUTED_VALUE"""),1009811.0)</f>
        <v>1009811</v>
      </c>
      <c r="D496" t="str">
        <f>IFERROR(__xludf.DUMMYFUNCTION("""COMPUTED_VALUE"""),"Ms.")</f>
        <v>Ms.</v>
      </c>
      <c r="E496" t="str">
        <f>IFERROR(__xludf.DUMMYFUNCTION("""COMPUTED_VALUE"""),"Natchanan")</f>
        <v>Natchanan</v>
      </c>
      <c r="F496" t="str">
        <f>IFERROR(__xludf.DUMMYFUNCTION("""COMPUTED_VALUE"""),"Pena Viegas ")</f>
        <v>Pena Viegas </v>
      </c>
      <c r="G496" t="str">
        <f>IFERROR(__xludf.DUMMYFUNCTION("""COMPUTED_VALUE"""),"Natchanan Pena Viegas")</f>
        <v>Natchanan Pena Viegas</v>
      </c>
      <c r="H496" t="str">
        <f>IFERROR(__xludf.DUMMYFUNCTION("""COMPUTED_VALUE"""),"นางสาว")</f>
        <v>นางสาว</v>
      </c>
      <c r="I496" t="str">
        <f>IFERROR(__xludf.DUMMYFUNCTION("""COMPUTED_VALUE"""),"ณัฐชนันต์")</f>
        <v>ณัฐชนันต์</v>
      </c>
      <c r="J496" t="str">
        <f>IFERROR(__xludf.DUMMYFUNCTION("""COMPUTED_VALUE"""),"เพนา เวียกัส (ไกรวิลาส)")</f>
        <v>เพนา เวียกัส (ไกรวิลาส)</v>
      </c>
      <c r="K496" t="str">
        <f>IFERROR(__xludf.DUMMYFUNCTION("""COMPUTED_VALUE"""),"ณัฐชนันต์ เพนา เวียกัส")</f>
        <v>ณัฐชนันต์ เพนา เวียกัส</v>
      </c>
      <c r="L496" t="str">
        <f>IFERROR(__xludf.DUMMYFUNCTION("""COMPUTED_VALUE"""),"อั๋น")</f>
        <v>อั๋น</v>
      </c>
      <c r="M496" t="str">
        <f>IFERROR(__xludf.DUMMYFUNCTION("""COMPUTED_VALUE"""),"Cabin Crew")</f>
        <v>Cabin Crew</v>
      </c>
      <c r="N496" t="str">
        <f>IFERROR(__xludf.DUMMYFUNCTION("""COMPUTED_VALUE"""),"DMK")</f>
        <v>DMK</v>
      </c>
      <c r="O496" s="145" t="str">
        <f>IFERROR(__xludf.DUMMYFUNCTION("""COMPUTED_VALUE"""),"Up Home")</f>
        <v>Up Home</v>
      </c>
      <c r="P496" t="str">
        <f>IFERROR(__xludf.DUMMYFUNCTION("""COMPUTED_VALUE"""),"Active")</f>
        <v>Active</v>
      </c>
      <c r="R496" s="143">
        <f>IFERROR(__xludf.DUMMYFUNCTION("""COMPUTED_VALUE"""),32496.0)</f>
        <v>32496</v>
      </c>
      <c r="S496" s="146">
        <f>IFERROR(__xludf.DUMMYFUNCTION("""COMPUTED_VALUE"""),9.19963622E8)</f>
        <v>919963622</v>
      </c>
      <c r="T496" s="147" t="str">
        <f>IFERROR(__xludf.DUMMYFUNCTION("""COMPUTED_VALUE"""),"1869900-09-3390")</f>
        <v>1869900-09-3390</v>
      </c>
      <c r="U496" t="str">
        <f>IFERROR(__xludf.DUMMYFUNCTION("""COMPUTED_VALUE"""),"AC2446821")</f>
        <v>AC2446821</v>
      </c>
      <c r="V496" s="148">
        <f>IFERROR(__xludf.DUMMYFUNCTION("""COMPUTED_VALUE"""),44460.0)</f>
        <v>44460</v>
      </c>
      <c r="W496" s="148">
        <f>IFERROR(__xludf.DUMMYFUNCTION("""COMPUTED_VALUE"""),48111.0)</f>
        <v>48111</v>
      </c>
      <c r="X496" s="149">
        <f>IFERROR(__xludf.DUMMYFUNCTION("""COMPUTED_VALUE"""),47927.0)</f>
        <v>47927</v>
      </c>
      <c r="Y496" t="str">
        <f>IFERROR(__xludf.DUMMYFUNCTION("""COMPUTED_VALUE"""),"ปลอดภัย")</f>
        <v>ปลอดภัย</v>
      </c>
      <c r="Z496" t="str">
        <f>IFERROR(__xludf.DUMMYFUNCTION("""COMPUTED_VALUE"""),"Chumphon Province")</f>
        <v>Chumphon Province</v>
      </c>
      <c r="AA496" t="str">
        <f>IFERROR(__xludf.DUMMYFUNCTION("""COMPUTED_VALUE"""),"Hyaykwang")</f>
        <v>Hyaykwang</v>
      </c>
      <c r="AB496" t="str">
        <f>IFERROR(__xludf.DUMMYFUNCTION("""COMPUTED_VALUE"""),"089 737 5134")</f>
        <v>089 737 5134</v>
      </c>
      <c r="AC496" t="str">
        <f>IFERROR(__xludf.DUMMYFUNCTION("""COMPUTED_VALUE"""),"Panjaporn")</f>
        <v>Panjaporn</v>
      </c>
      <c r="AD496" t="str">
        <f>IFERROR(__xludf.DUMMYFUNCTION("""COMPUTED_VALUE"""),"natchananp@airasia.com")</f>
        <v>natchananp@airasia.com</v>
      </c>
    </row>
    <row r="497">
      <c r="A497" s="142">
        <f>IFERROR(__xludf.DUMMYFUNCTION("""COMPUTED_VALUE"""),64.0)</f>
        <v>64</v>
      </c>
      <c r="B497" t="str">
        <f>IFERROR(__xludf.DUMMYFUNCTION("""COMPUTED_VALUE"""),"TAA5146")</f>
        <v>TAA5146</v>
      </c>
      <c r="C497">
        <f>IFERROR(__xludf.DUMMYFUNCTION("""COMPUTED_VALUE"""),1009816.0)</f>
        <v>1009816</v>
      </c>
      <c r="D497" t="str">
        <f>IFERROR(__xludf.DUMMYFUNCTION("""COMPUTED_VALUE"""),"Ms.")</f>
        <v>Ms.</v>
      </c>
      <c r="E497" t="str">
        <f>IFERROR(__xludf.DUMMYFUNCTION("""COMPUTED_VALUE"""),"Patteya")</f>
        <v>Patteya</v>
      </c>
      <c r="F497" t="str">
        <f>IFERROR(__xludf.DUMMYFUNCTION("""COMPUTED_VALUE"""),"Nukong")</f>
        <v>Nukong</v>
      </c>
      <c r="G497" t="str">
        <f>IFERROR(__xludf.DUMMYFUNCTION("""COMPUTED_VALUE"""),"Patteya Nukong")</f>
        <v>Patteya Nukong</v>
      </c>
      <c r="H497" t="str">
        <f>IFERROR(__xludf.DUMMYFUNCTION("""COMPUTED_VALUE"""),"นางสาว")</f>
        <v>นางสาว</v>
      </c>
      <c r="I497" t="str">
        <f>IFERROR(__xludf.DUMMYFUNCTION("""COMPUTED_VALUE"""),"ภัชธีญา")</f>
        <v>ภัชธีญา</v>
      </c>
      <c r="J497" t="str">
        <f>IFERROR(__xludf.DUMMYFUNCTION("""COMPUTED_VALUE"""),"หนูคง")</f>
        <v>หนูคง</v>
      </c>
      <c r="K497" t="str">
        <f>IFERROR(__xludf.DUMMYFUNCTION("""COMPUTED_VALUE"""),"ภัชธีญา หนูคง")</f>
        <v>ภัชธีญา หนูคง</v>
      </c>
      <c r="L497" t="str">
        <f>IFERROR(__xludf.DUMMYFUNCTION("""COMPUTED_VALUE"""),"เดียร์")</f>
        <v>เดียร์</v>
      </c>
      <c r="M497" t="str">
        <f>IFERROR(__xludf.DUMMYFUNCTION("""COMPUTED_VALUE"""),"Cabin Crew")</f>
        <v>Cabin Crew</v>
      </c>
      <c r="N497" t="str">
        <f>IFERROR(__xludf.DUMMYFUNCTION("""COMPUTED_VALUE"""),"DMK")</f>
        <v>DMK</v>
      </c>
      <c r="O497" s="145" t="str">
        <f>IFERROR(__xludf.DUMMYFUNCTION("""COMPUTED_VALUE"""),"Namfon Home")</f>
        <v>Namfon Home</v>
      </c>
      <c r="P497" t="str">
        <f>IFERROR(__xludf.DUMMYFUNCTION("""COMPUTED_VALUE"""),"Active")</f>
        <v>Active</v>
      </c>
      <c r="R497" s="143">
        <f>IFERROR(__xludf.DUMMYFUNCTION("""COMPUTED_VALUE"""),32927.0)</f>
        <v>32927</v>
      </c>
      <c r="S497" s="146" t="str">
        <f>IFERROR(__xludf.DUMMYFUNCTION("""COMPUTED_VALUE"""),"096 646 2656")</f>
        <v>096 646 2656</v>
      </c>
      <c r="T497" s="147" t="str">
        <f>IFERROR(__xludf.DUMMYFUNCTION("""COMPUTED_VALUE"""),"1100701-16-0427")</f>
        <v>1100701-16-0427</v>
      </c>
      <c r="U497" t="str">
        <f>IFERROR(__xludf.DUMMYFUNCTION("""COMPUTED_VALUE"""),"AD1133299")</f>
        <v>AD1133299</v>
      </c>
      <c r="V497" s="148">
        <f>IFERROR(__xludf.DUMMYFUNCTION("""COMPUTED_VALUE"""),45344.0)</f>
        <v>45344</v>
      </c>
      <c r="W497" s="148">
        <f>IFERROR(__xludf.DUMMYFUNCTION("""COMPUTED_VALUE"""),47170.0)</f>
        <v>47170</v>
      </c>
      <c r="X497" s="149">
        <f>IFERROR(__xludf.DUMMYFUNCTION("""COMPUTED_VALUE"""),46986.0)</f>
        <v>46986</v>
      </c>
      <c r="Y497" t="str">
        <f>IFERROR(__xludf.DUMMYFUNCTION("""COMPUTED_VALUE"""),"ปลอดภัย")</f>
        <v>ปลอดภัย</v>
      </c>
      <c r="Z497" t="str">
        <f>IFERROR(__xludf.DUMMYFUNCTION("""COMPUTED_VALUE"""),"Bangkok")</f>
        <v>Bangkok</v>
      </c>
      <c r="AA497" t="str">
        <f>IFERROR(__xludf.DUMMYFUNCTION("""COMPUTED_VALUE"""),"Bangrak")</f>
        <v>Bangrak</v>
      </c>
      <c r="AB497" t="str">
        <f>IFERROR(__xludf.DUMMYFUNCTION("""COMPUTED_VALUE"""),"02 233 4107 / 086 823 1951")</f>
        <v>02 233 4107 / 086 823 1951</v>
      </c>
      <c r="AC497" t="str">
        <f>IFERROR(__xludf.DUMMYFUNCTION("""COMPUTED_VALUE"""),"Home / Piyachai")</f>
        <v>Home / Piyachai</v>
      </c>
      <c r="AD497" t="str">
        <f>IFERROR(__xludf.DUMMYFUNCTION("""COMPUTED_VALUE"""),"patteyan@airasia.com")</f>
        <v>patteyan@airasia.com</v>
      </c>
    </row>
    <row r="498">
      <c r="A498" s="142">
        <f>IFERROR(__xludf.DUMMYFUNCTION("""COMPUTED_VALUE"""),64.0)</f>
        <v>64</v>
      </c>
      <c r="B498" t="str">
        <f>IFERROR(__xludf.DUMMYFUNCTION("""COMPUTED_VALUE"""),"TAA5145")</f>
        <v>TAA5145</v>
      </c>
      <c r="C498">
        <f>IFERROR(__xludf.DUMMYFUNCTION("""COMPUTED_VALUE"""),1009837.0)</f>
        <v>1009837</v>
      </c>
      <c r="D498" t="str">
        <f>IFERROR(__xludf.DUMMYFUNCTION("""COMPUTED_VALUE"""),"Ms.")</f>
        <v>Ms.</v>
      </c>
      <c r="E498" t="str">
        <f>IFERROR(__xludf.DUMMYFUNCTION("""COMPUTED_VALUE"""),"Toonkeawo")</f>
        <v>Toonkeawo</v>
      </c>
      <c r="F498" t="str">
        <f>IFERROR(__xludf.DUMMYFUNCTION("""COMPUTED_VALUE"""),"Shimada")</f>
        <v>Shimada</v>
      </c>
      <c r="G498" t="str">
        <f>IFERROR(__xludf.DUMMYFUNCTION("""COMPUTED_VALUE"""),"Toonkeawo Shimada")</f>
        <v>Toonkeawo Shimada</v>
      </c>
      <c r="H498" t="str">
        <f>IFERROR(__xludf.DUMMYFUNCTION("""COMPUTED_VALUE"""),"นางสาว")</f>
        <v>นางสาว</v>
      </c>
      <c r="I498" t="str">
        <f>IFERROR(__xludf.DUMMYFUNCTION("""COMPUTED_VALUE"""),"ทูลแก้ว")</f>
        <v>ทูลแก้ว</v>
      </c>
      <c r="J498" t="str">
        <f>IFERROR(__xludf.DUMMYFUNCTION("""COMPUTED_VALUE"""),"ชิมาดะ")</f>
        <v>ชิมาดะ</v>
      </c>
      <c r="K498" t="str">
        <f>IFERROR(__xludf.DUMMYFUNCTION("""COMPUTED_VALUE"""),"ทูลแก้ว ชิมาดะ")</f>
        <v>ทูลแก้ว ชิมาดะ</v>
      </c>
      <c r="L498" t="str">
        <f>IFERROR(__xludf.DUMMYFUNCTION("""COMPUTED_VALUE"""),"คาโอริ")</f>
        <v>คาโอริ</v>
      </c>
      <c r="M498" t="str">
        <f>IFERROR(__xludf.DUMMYFUNCTION("""COMPUTED_VALUE"""),"Cabin Crew - CNX")</f>
        <v>Cabin Crew - CNX</v>
      </c>
      <c r="N498" t="str">
        <f>IFERROR(__xludf.DUMMYFUNCTION("""COMPUTED_VALUE"""),"CNX")</f>
        <v>CNX</v>
      </c>
      <c r="O498" s="145" t="str">
        <f>IFERROR(__xludf.DUMMYFUNCTION("""COMPUTED_VALUE"""),"Up Home")</f>
        <v>Up Home</v>
      </c>
      <c r="P498" t="str">
        <f>IFERROR(__xludf.DUMMYFUNCTION("""COMPUTED_VALUE"""),"Active")</f>
        <v>Active</v>
      </c>
      <c r="R498" s="143">
        <f>IFERROR(__xludf.DUMMYFUNCTION("""COMPUTED_VALUE"""),33495.0)</f>
        <v>33495</v>
      </c>
      <c r="S498" s="146" t="str">
        <f>IFERROR(__xludf.DUMMYFUNCTION("""COMPUTED_VALUE"""),"086-655-9441")</f>
        <v>086-655-9441</v>
      </c>
      <c r="T498" s="147" t="str">
        <f>IFERROR(__xludf.DUMMYFUNCTION("""COMPUTED_VALUE"""),"1509901-06-7492")</f>
        <v>1509901-06-7492</v>
      </c>
      <c r="U498" t="str">
        <f>IFERROR(__xludf.DUMMYFUNCTION("""COMPUTED_VALUE"""),"AC5380943")</f>
        <v>AC5380943</v>
      </c>
      <c r="V498" s="148">
        <f>IFERROR(__xludf.DUMMYFUNCTION("""COMPUTED_VALUE"""),45141.0)</f>
        <v>45141</v>
      </c>
      <c r="W498" s="148">
        <f>IFERROR(__xludf.DUMMYFUNCTION("""COMPUTED_VALUE"""),48793.0)</f>
        <v>48793</v>
      </c>
      <c r="X498" s="149">
        <f>IFERROR(__xludf.DUMMYFUNCTION("""COMPUTED_VALUE"""),48612.0)</f>
        <v>48612</v>
      </c>
      <c r="Y498" t="str">
        <f>IFERROR(__xludf.DUMMYFUNCTION("""COMPUTED_VALUE"""),"ปลอดภัย")</f>
        <v>ปลอดภัย</v>
      </c>
      <c r="Z498" t="str">
        <f>IFERROR(__xludf.DUMMYFUNCTION("""COMPUTED_VALUE"""),"Chiang Mai Province")</f>
        <v>Chiang Mai Province</v>
      </c>
      <c r="AA498" t="str">
        <f>IFERROR(__xludf.DUMMYFUNCTION("""COMPUTED_VALUE"""),"Ladkrabang")</f>
        <v>Ladkrabang</v>
      </c>
      <c r="AB498" t="str">
        <f>IFERROR(__xludf.DUMMYFUNCTION("""COMPUTED_VALUE"""),"053 244506 / 094 051 1036")</f>
        <v>053 244506 / 094 051 1036</v>
      </c>
      <c r="AC498" t="str">
        <f>IFERROR(__xludf.DUMMYFUNCTION("""COMPUTED_VALUE"""),"Home / Benjaporn")</f>
        <v>Home / Benjaporn</v>
      </c>
      <c r="AD498" t="str">
        <f>IFERROR(__xludf.DUMMYFUNCTION("""COMPUTED_VALUE"""),"toonkeawos@airasia.com")</f>
        <v>toonkeawos@airasia.com</v>
      </c>
    </row>
    <row r="499">
      <c r="A499" s="142">
        <f>IFERROR(__xludf.DUMMYFUNCTION("""COMPUTED_VALUE"""),64.0)</f>
        <v>64</v>
      </c>
      <c r="B499" t="str">
        <f>IFERROR(__xludf.DUMMYFUNCTION("""COMPUTED_VALUE"""),"TAA5288")</f>
        <v>TAA5288</v>
      </c>
      <c r="C499">
        <f>IFERROR(__xludf.DUMMYFUNCTION("""COMPUTED_VALUE"""),1010430.0)</f>
        <v>1010430</v>
      </c>
      <c r="D499" t="str">
        <f>IFERROR(__xludf.DUMMYFUNCTION("""COMPUTED_VALUE"""),"Ms.")</f>
        <v>Ms.</v>
      </c>
      <c r="E499" t="str">
        <f>IFERROR(__xludf.DUMMYFUNCTION("""COMPUTED_VALUE"""),"Yamintar (Thapachcha)")</f>
        <v>Yamintar (Thapachcha)</v>
      </c>
      <c r="F499" t="str">
        <f>IFERROR(__xludf.DUMMYFUNCTION("""COMPUTED_VALUE"""),"Khanpimool")</f>
        <v>Khanpimool</v>
      </c>
      <c r="G499" t="str">
        <f>IFERROR(__xludf.DUMMYFUNCTION("""COMPUTED_VALUE"""),"Yamintar Khanpimool")</f>
        <v>Yamintar Khanpimool</v>
      </c>
      <c r="H499" t="str">
        <f>IFERROR(__xludf.DUMMYFUNCTION("""COMPUTED_VALUE"""),"นางสาว")</f>
        <v>นางสาว</v>
      </c>
      <c r="I499" t="str">
        <f>IFERROR(__xludf.DUMMYFUNCTION("""COMPUTED_VALUE"""),"ญามิณตาษ์ (ธภัชชา)")</f>
        <v>ญามิณตาษ์ (ธภัชชา)</v>
      </c>
      <c r="J499" t="str">
        <f>IFERROR(__xludf.DUMMYFUNCTION("""COMPUTED_VALUE"""),"ขันธิ์พิมูล")</f>
        <v>ขันธิ์พิมูล</v>
      </c>
      <c r="K499" t="str">
        <f>IFERROR(__xludf.DUMMYFUNCTION("""COMPUTED_VALUE"""),"ญามิณตาษ์ ขันธิ์พิมูล")</f>
        <v>ญามิณตาษ์ ขันธิ์พิมูล</v>
      </c>
      <c r="L499" t="str">
        <f>IFERROR(__xludf.DUMMYFUNCTION("""COMPUTED_VALUE"""),"มิน")</f>
        <v>มิน</v>
      </c>
      <c r="M499" t="str">
        <f>IFERROR(__xludf.DUMMYFUNCTION("""COMPUTED_VALUE"""),"Senior Cabin Crew")</f>
        <v>Senior Cabin Crew</v>
      </c>
      <c r="N499" t="str">
        <f>IFERROR(__xludf.DUMMYFUNCTION("""COMPUTED_VALUE"""),"DMK")</f>
        <v>DMK</v>
      </c>
      <c r="O499" s="145" t="str">
        <f>IFERROR(__xludf.DUMMYFUNCTION("""COMPUTED_VALUE"""),"Por+ Home")</f>
        <v>Por+ Home</v>
      </c>
      <c r="P499" t="str">
        <f>IFERROR(__xludf.DUMMYFUNCTION("""COMPUTED_VALUE"""),"Active")</f>
        <v>Active</v>
      </c>
      <c r="R499" s="143">
        <f>IFERROR(__xludf.DUMMYFUNCTION("""COMPUTED_VALUE"""),32416.0)</f>
        <v>32416</v>
      </c>
      <c r="S499" s="146" t="str">
        <f>IFERROR(__xludf.DUMMYFUNCTION("""COMPUTED_VALUE"""),"061 924 4655")</f>
        <v>061 924 4655</v>
      </c>
      <c r="T499" s="147">
        <f>IFERROR(__xludf.DUMMYFUNCTION("""COMPUTED_VALUE"""),1.149900140009E12)</f>
        <v>1149900140009</v>
      </c>
      <c r="U499" t="str">
        <f>IFERROR(__xludf.DUMMYFUNCTION("""COMPUTED_VALUE"""),"AC4360651")</f>
        <v>AC4360651</v>
      </c>
      <c r="V499" s="148">
        <f>IFERROR(__xludf.DUMMYFUNCTION("""COMPUTED_VALUE"""),44937.0)</f>
        <v>44937</v>
      </c>
      <c r="W499" s="148">
        <f>IFERROR(__xludf.DUMMYFUNCTION("""COMPUTED_VALUE"""),46762.0)</f>
        <v>46762</v>
      </c>
      <c r="X499" s="149">
        <f>IFERROR(__xludf.DUMMYFUNCTION("""COMPUTED_VALUE"""),46578.0)</f>
        <v>46578</v>
      </c>
      <c r="Y499" t="str">
        <f>IFERROR(__xludf.DUMMYFUNCTION("""COMPUTED_VALUE"""),"ปลอดภัย")</f>
        <v>ปลอดภัย</v>
      </c>
      <c r="Z499" t="str">
        <f>IFERROR(__xludf.DUMMYFUNCTION("""COMPUTED_VALUE"""),"Phra Nakhon Si Ayutthaya Province")</f>
        <v>Phra Nakhon Si Ayutthaya Province</v>
      </c>
      <c r="AA499" t="str">
        <f>IFERROR(__xludf.DUMMYFUNCTION("""COMPUTED_VALUE"""),"Phayathai")</f>
        <v>Phayathai</v>
      </c>
      <c r="AB499" t="str">
        <f>IFERROR(__xludf.DUMMYFUNCTION("""COMPUTED_VALUE"""),"086-388-4124")</f>
        <v>086-388-4124</v>
      </c>
      <c r="AC499" t="str">
        <f>IFERROR(__xludf.DUMMYFUNCTION("""COMPUTED_VALUE"""),"Brother")</f>
        <v>Brother</v>
      </c>
      <c r="AD499" t="str">
        <f>IFERROR(__xludf.DUMMYFUNCTION("""COMPUTED_VALUE"""),"yamintarkhanpimool@airasia.com")</f>
        <v>yamintarkhanpimool@airasia.com</v>
      </c>
    </row>
    <row r="500">
      <c r="A500" s="142">
        <f>IFERROR(__xludf.DUMMYFUNCTION("""COMPUTED_VALUE"""),64.0)</f>
        <v>64</v>
      </c>
      <c r="B500" t="str">
        <f>IFERROR(__xludf.DUMMYFUNCTION("""COMPUTED_VALUE"""),"TAA5546")</f>
        <v>TAA5546</v>
      </c>
      <c r="C500">
        <f>IFERROR(__xludf.DUMMYFUNCTION("""COMPUTED_VALUE"""),1010700.0)</f>
        <v>1010700</v>
      </c>
      <c r="D500" t="str">
        <f>IFERROR(__xludf.DUMMYFUNCTION("""COMPUTED_VALUE"""),"Ms.")</f>
        <v>Ms.</v>
      </c>
      <c r="E500" t="str">
        <f>IFERROR(__xludf.DUMMYFUNCTION("""COMPUTED_VALUE"""),"Buntika")</f>
        <v>Buntika</v>
      </c>
      <c r="F500" t="str">
        <f>IFERROR(__xludf.DUMMYFUNCTION("""COMPUTED_VALUE"""),"Wongkham")</f>
        <v>Wongkham</v>
      </c>
      <c r="G500" t="str">
        <f>IFERROR(__xludf.DUMMYFUNCTION("""COMPUTED_VALUE"""),"Buntika Wongkham")</f>
        <v>Buntika Wongkham</v>
      </c>
      <c r="H500" t="str">
        <f>IFERROR(__xludf.DUMMYFUNCTION("""COMPUTED_VALUE"""),"นางสาว")</f>
        <v>นางสาว</v>
      </c>
      <c r="I500" t="str">
        <f>IFERROR(__xludf.DUMMYFUNCTION("""COMPUTED_VALUE"""),"บุญฑิกา")</f>
        <v>บุญฑิกา</v>
      </c>
      <c r="J500" t="str">
        <f>IFERROR(__xludf.DUMMYFUNCTION("""COMPUTED_VALUE"""),"วงค์คำ")</f>
        <v>วงค์คำ</v>
      </c>
      <c r="K500" t="str">
        <f>IFERROR(__xludf.DUMMYFUNCTION("""COMPUTED_VALUE"""),"บุญฑิกา วงศ์คำ")</f>
        <v>บุญฑิกา วงศ์คำ</v>
      </c>
      <c r="L500" t="str">
        <f>IFERROR(__xludf.DUMMYFUNCTION("""COMPUTED_VALUE"""),"Parn")</f>
        <v>Parn</v>
      </c>
      <c r="M500" t="str">
        <f>IFERROR(__xludf.DUMMYFUNCTION("""COMPUTED_VALUE"""),"Senior Cabin Crew - CNX")</f>
        <v>Senior Cabin Crew - CNX</v>
      </c>
      <c r="N500" t="str">
        <f>IFERROR(__xludf.DUMMYFUNCTION("""COMPUTED_VALUE"""),"CNX")</f>
        <v>CNX</v>
      </c>
      <c r="O500" s="145" t="str">
        <f>IFERROR(__xludf.DUMMYFUNCTION("""COMPUTED_VALUE"""),"Up Home")</f>
        <v>Up Home</v>
      </c>
      <c r="P500" t="str">
        <f>IFERROR(__xludf.DUMMYFUNCTION("""COMPUTED_VALUE"""),"Active")</f>
        <v>Active</v>
      </c>
      <c r="R500" s="143">
        <f>IFERROR(__xludf.DUMMYFUNCTION("""COMPUTED_VALUE"""),32341.0)</f>
        <v>32341</v>
      </c>
      <c r="S500" s="146" t="str">
        <f>IFERROR(__xludf.DUMMYFUNCTION("""COMPUTED_VALUE"""),"085 864 7633")</f>
        <v>085 864 7633</v>
      </c>
      <c r="T500" s="147">
        <f>IFERROR(__xludf.DUMMYFUNCTION("""COMPUTED_VALUE"""),3.509900432193E12)</f>
        <v>3509900432193</v>
      </c>
      <c r="U500" t="str">
        <f>IFERROR(__xludf.DUMMYFUNCTION("""COMPUTED_VALUE"""),"AD2090934")</f>
        <v>AD2090934</v>
      </c>
      <c r="V500" s="148">
        <f>IFERROR(__xludf.DUMMYFUNCTION("""COMPUTED_VALUE"""),45726.0)</f>
        <v>45726</v>
      </c>
      <c r="W500" s="148">
        <f>IFERROR(__xludf.DUMMYFUNCTION("""COMPUTED_VALUE"""),49377.0)</f>
        <v>49377</v>
      </c>
      <c r="X500" s="149">
        <f>IFERROR(__xludf.DUMMYFUNCTION("""COMPUTED_VALUE"""),49196.0)</f>
        <v>49196</v>
      </c>
      <c r="Y500" t="str">
        <f>IFERROR(__xludf.DUMMYFUNCTION("""COMPUTED_VALUE"""),"ปลอดภัย")</f>
        <v>ปลอดภัย</v>
      </c>
      <c r="Z500" t="str">
        <f>IFERROR(__xludf.DUMMYFUNCTION("""COMPUTED_VALUE"""),"Chiang Mai Province")</f>
        <v>Chiang Mai Province</v>
      </c>
      <c r="AA500" t="str">
        <f>IFERROR(__xludf.DUMMYFUNCTION("""COMPUTED_VALUE"""),"Chiangmai")</f>
        <v>Chiangmai</v>
      </c>
      <c r="AB500" t="str">
        <f>IFERROR(__xludf.DUMMYFUNCTION("""COMPUTED_VALUE"""),"086 732 1921")</f>
        <v>086 732 1921</v>
      </c>
      <c r="AC500" t="str">
        <f>IFERROR(__xludf.DUMMYFUNCTION("""COMPUTED_VALUE"""),"Mother")</f>
        <v>Mother</v>
      </c>
      <c r="AD500" t="str">
        <f>IFERROR(__xludf.DUMMYFUNCTION("""COMPUTED_VALUE"""),"buntikawongkham@airasia.com")</f>
        <v>buntikawongkham@airasia.com</v>
      </c>
    </row>
    <row r="501">
      <c r="A501" s="142">
        <f>IFERROR(__xludf.DUMMYFUNCTION("""COMPUTED_VALUE"""),64.0)</f>
        <v>64</v>
      </c>
      <c r="B501" t="str">
        <f>IFERROR(__xludf.DUMMYFUNCTION("""COMPUTED_VALUE"""),"TAA5548")</f>
        <v>TAA5548</v>
      </c>
      <c r="C501">
        <f>IFERROR(__xludf.DUMMYFUNCTION("""COMPUTED_VALUE"""),1010731.0)</f>
        <v>1010731</v>
      </c>
      <c r="D501" t="str">
        <f>IFERROR(__xludf.DUMMYFUNCTION("""COMPUTED_VALUE"""),"Ms.")</f>
        <v>Ms.</v>
      </c>
      <c r="E501" t="str">
        <f>IFERROR(__xludf.DUMMYFUNCTION("""COMPUTED_VALUE"""),"Samatikan")</f>
        <v>Samatikan</v>
      </c>
      <c r="F501" t="str">
        <f>IFERROR(__xludf.DUMMYFUNCTION("""COMPUTED_VALUE"""),"Boonket")</f>
        <v>Boonket</v>
      </c>
      <c r="G501" t="str">
        <f>IFERROR(__xludf.DUMMYFUNCTION("""COMPUTED_VALUE"""),"Samatikan Boonket")</f>
        <v>Samatikan Boonket</v>
      </c>
      <c r="H501" t="str">
        <f>IFERROR(__xludf.DUMMYFUNCTION("""COMPUTED_VALUE"""),"นางสาว")</f>
        <v>นางสาว</v>
      </c>
      <c r="I501" t="str">
        <f>IFERROR(__xludf.DUMMYFUNCTION("""COMPUTED_VALUE"""),"สมาธิการ")</f>
        <v>สมาธิการ</v>
      </c>
      <c r="J501" t="str">
        <f>IFERROR(__xludf.DUMMYFUNCTION("""COMPUTED_VALUE"""),"บุญเกตุ")</f>
        <v>บุญเกตุ</v>
      </c>
      <c r="K501" t="str">
        <f>IFERROR(__xludf.DUMMYFUNCTION("""COMPUTED_VALUE"""),"สมาธิการ บุญเกตุ")</f>
        <v>สมาธิการ บุญเกตุ</v>
      </c>
      <c r="L501" t="str">
        <f>IFERROR(__xludf.DUMMYFUNCTION("""COMPUTED_VALUE"""),"ส้มหล่น")</f>
        <v>ส้มหล่น</v>
      </c>
      <c r="M501" t="str">
        <f>IFERROR(__xludf.DUMMYFUNCTION("""COMPUTED_VALUE"""),"Cabin Crew")</f>
        <v>Cabin Crew</v>
      </c>
      <c r="N501" t="str">
        <f>IFERROR(__xludf.DUMMYFUNCTION("""COMPUTED_VALUE"""),"DMK")</f>
        <v>DMK</v>
      </c>
      <c r="O501" s="145" t="str">
        <f>IFERROR(__xludf.DUMMYFUNCTION("""COMPUTED_VALUE"""),"Um Home")</f>
        <v>Um Home</v>
      </c>
      <c r="P501" t="str">
        <f>IFERROR(__xludf.DUMMYFUNCTION("""COMPUTED_VALUE"""),"Active")</f>
        <v>Active</v>
      </c>
      <c r="R501" s="143">
        <f>IFERROR(__xludf.DUMMYFUNCTION("""COMPUTED_VALUE"""),32807.0)</f>
        <v>32807</v>
      </c>
      <c r="S501" s="146" t="str">
        <f>IFERROR(__xludf.DUMMYFUNCTION("""COMPUTED_VALUE"""),"095-047-8889")</f>
        <v>095-047-8889</v>
      </c>
      <c r="T501" s="147">
        <f>IFERROR(__xludf.DUMMYFUNCTION("""COMPUTED_VALUE"""),1.600100344448E12)</f>
        <v>1600100344448</v>
      </c>
      <c r="U501" t="str">
        <f>IFERROR(__xludf.DUMMYFUNCTION("""COMPUTED_VALUE"""),"AC2495153")</f>
        <v>AC2495153</v>
      </c>
      <c r="V501" s="148">
        <f>IFERROR(__xludf.DUMMYFUNCTION("""COMPUTED_VALUE"""),44533.0)</f>
        <v>44533</v>
      </c>
      <c r="W501" s="148">
        <f>IFERROR(__xludf.DUMMYFUNCTION("""COMPUTED_VALUE"""),48184.0)</f>
        <v>48184</v>
      </c>
      <c r="X501" s="149">
        <f>IFERROR(__xludf.DUMMYFUNCTION("""COMPUTED_VALUE"""),48001.0)</f>
        <v>48001</v>
      </c>
      <c r="Y501" t="str">
        <f>IFERROR(__xludf.DUMMYFUNCTION("""COMPUTED_VALUE"""),"ปลอดภัย")</f>
        <v>ปลอดภัย</v>
      </c>
      <c r="Z501" t="str">
        <f>IFERROR(__xludf.DUMMYFUNCTION("""COMPUTED_VALUE"""),"Nakhon Sawan Province")</f>
        <v>Nakhon Sawan Province</v>
      </c>
      <c r="AA501" t="str">
        <f>IFERROR(__xludf.DUMMYFUNCTION("""COMPUTED_VALUE"""),"Nakhonsawan")</f>
        <v>Nakhonsawan</v>
      </c>
      <c r="AB501" t="str">
        <f>IFERROR(__xludf.DUMMYFUNCTION("""COMPUTED_VALUE"""),"081 680 9418 / 081 615 2015")</f>
        <v>081 680 9418 / 081 615 2015</v>
      </c>
      <c r="AC501" t="str">
        <f>IFERROR(__xludf.DUMMYFUNCTION("""COMPUTED_VALUE"""),"Mother / Father")</f>
        <v>Mother / Father</v>
      </c>
      <c r="AD501" t="str">
        <f>IFERROR(__xludf.DUMMYFUNCTION("""COMPUTED_VALUE"""),"samatikanb@airasia.com")</f>
        <v>samatikanb@airasia.com</v>
      </c>
    </row>
    <row r="502">
      <c r="AD502" t="str">
        <f>IFERROR(__xludf.DUMMYFUNCTION("""COMPUTED_VALUE"""),"")</f>
        <v/>
      </c>
    </row>
    <row r="503">
      <c r="A503" s="142">
        <f>IFERROR(__xludf.DUMMYFUNCTION("""COMPUTED_VALUE"""),65.0)</f>
        <v>65</v>
      </c>
      <c r="B503" t="str">
        <f>IFERROR(__xludf.DUMMYFUNCTION("""COMPUTED_VALUE"""),"TAA5506")</f>
        <v>TAA5506</v>
      </c>
      <c r="C503">
        <f>IFERROR(__xludf.DUMMYFUNCTION("""COMPUTED_VALUE"""),1010884.0)</f>
        <v>1010884</v>
      </c>
      <c r="D503" t="str">
        <f>IFERROR(__xludf.DUMMYFUNCTION("""COMPUTED_VALUE"""),"Mr.")</f>
        <v>Mr.</v>
      </c>
      <c r="E503" t="str">
        <f>IFERROR(__xludf.DUMMYFUNCTION("""COMPUTED_VALUE"""),"Gridsapol")</f>
        <v>Gridsapol</v>
      </c>
      <c r="F503" t="str">
        <f>IFERROR(__xludf.DUMMYFUNCTION("""COMPUTED_VALUE"""),"Kittipakorn")</f>
        <v>Kittipakorn</v>
      </c>
      <c r="G503" t="str">
        <f>IFERROR(__xludf.DUMMYFUNCTION("""COMPUTED_VALUE"""),"Gridsapol Kittipakorn")</f>
        <v>Gridsapol Kittipakorn</v>
      </c>
      <c r="H503" t="str">
        <f>IFERROR(__xludf.DUMMYFUNCTION("""COMPUTED_VALUE"""),"นาย")</f>
        <v>นาย</v>
      </c>
      <c r="I503" t="str">
        <f>IFERROR(__xludf.DUMMYFUNCTION("""COMPUTED_VALUE"""),"กฤศภณ")</f>
        <v>กฤศภณ</v>
      </c>
      <c r="J503" t="str">
        <f>IFERROR(__xludf.DUMMYFUNCTION("""COMPUTED_VALUE"""),"กิตติภากรณ์")</f>
        <v>กิตติภากรณ์</v>
      </c>
      <c r="K503" t="str">
        <f>IFERROR(__xludf.DUMMYFUNCTION("""COMPUTED_VALUE"""),"กฤศภณ กิตติภากรณ์")</f>
        <v>กฤศภณ กิตติภากรณ์</v>
      </c>
      <c r="L503" t="str">
        <f>IFERROR(__xludf.DUMMYFUNCTION("""COMPUTED_VALUE"""),"Benz")</f>
        <v>Benz</v>
      </c>
      <c r="M503" t="str">
        <f>IFERROR(__xludf.DUMMYFUNCTION("""COMPUTED_VALUE"""),"Senior Cabin Crew")</f>
        <v>Senior Cabin Crew</v>
      </c>
      <c r="N503" t="str">
        <f>IFERROR(__xludf.DUMMYFUNCTION("""COMPUTED_VALUE"""),"DMK")</f>
        <v>DMK</v>
      </c>
      <c r="O503" s="145" t="str">
        <f>IFERROR(__xludf.DUMMYFUNCTION("""COMPUTED_VALUE"""),"Namfon Home")</f>
        <v>Namfon Home</v>
      </c>
      <c r="P503" t="str">
        <f>IFERROR(__xludf.DUMMYFUNCTION("""COMPUTED_VALUE"""),"Active")</f>
        <v>Active</v>
      </c>
      <c r="R503" s="143">
        <f>IFERROR(__xludf.DUMMYFUNCTION("""COMPUTED_VALUE"""),32403.0)</f>
        <v>32403</v>
      </c>
      <c r="S503" s="146" t="str">
        <f>IFERROR(__xludf.DUMMYFUNCTION("""COMPUTED_VALUE"""),"097-424-1456")</f>
        <v>097-424-1456</v>
      </c>
      <c r="T503" s="147" t="str">
        <f>IFERROR(__xludf.DUMMYFUNCTION("""COMPUTED_VALUE"""),"1100400-35-0243")</f>
        <v>1100400-35-0243</v>
      </c>
      <c r="U503" t="str">
        <f>IFERROR(__xludf.DUMMYFUNCTION("""COMPUTED_VALUE"""),"AD1692850")</f>
        <v>AD1692850</v>
      </c>
      <c r="V503" s="148">
        <f>IFERROR(__xludf.DUMMYFUNCTION("""COMPUTED_VALUE"""),45327.0)</f>
        <v>45327</v>
      </c>
      <c r="W503" s="148">
        <f>IFERROR(__xludf.DUMMYFUNCTION("""COMPUTED_VALUE"""),48979.0)</f>
        <v>48979</v>
      </c>
      <c r="X503" s="149">
        <f>IFERROR(__xludf.DUMMYFUNCTION("""COMPUTED_VALUE"""),48795.0)</f>
        <v>48795</v>
      </c>
      <c r="Y503" t="str">
        <f>IFERROR(__xludf.DUMMYFUNCTION("""COMPUTED_VALUE"""),"ปลอดภัย")</f>
        <v>ปลอดภัย</v>
      </c>
      <c r="Z503" t="str">
        <f>IFERROR(__xludf.DUMMYFUNCTION("""COMPUTED_VALUE"""),"Bangkok")</f>
        <v>Bangkok</v>
      </c>
      <c r="AA503" t="str">
        <f>IFERROR(__xludf.DUMMYFUNCTION("""COMPUTED_VALUE"""),"Pasicharoen")</f>
        <v>Pasicharoen</v>
      </c>
      <c r="AB503" t="str">
        <f>IFERROR(__xludf.DUMMYFUNCTION("""COMPUTED_VALUE"""),"086 345 5397")</f>
        <v>086 345 5397</v>
      </c>
      <c r="AC503" t="str">
        <f>IFERROR(__xludf.DUMMYFUNCTION("""COMPUTED_VALUE"""),"Pakamon")</f>
        <v>Pakamon</v>
      </c>
      <c r="AD503" t="str">
        <f>IFERROR(__xludf.DUMMYFUNCTION("""COMPUTED_VALUE"""),"gridsapolk@airasia.com")</f>
        <v>gridsapolk@airasia.com</v>
      </c>
    </row>
    <row r="504">
      <c r="A504" s="142">
        <f>IFERROR(__xludf.DUMMYFUNCTION("""COMPUTED_VALUE"""),65.0)</f>
        <v>65</v>
      </c>
      <c r="B504" t="str">
        <f>IFERROR(__xludf.DUMMYFUNCTION("""COMPUTED_VALUE"""),"TAA5509")</f>
        <v>TAA5509</v>
      </c>
      <c r="C504">
        <f>IFERROR(__xludf.DUMMYFUNCTION("""COMPUTED_VALUE"""),1010904.0)</f>
        <v>1010904</v>
      </c>
      <c r="D504" t="str">
        <f>IFERROR(__xludf.DUMMYFUNCTION("""COMPUTED_VALUE"""),"Mr.")</f>
        <v>Mr.</v>
      </c>
      <c r="E504" t="str">
        <f>IFERROR(__xludf.DUMMYFUNCTION("""COMPUTED_VALUE"""),"Phadoongkiat")</f>
        <v>Phadoongkiat</v>
      </c>
      <c r="F504" t="str">
        <f>IFERROR(__xludf.DUMMYFUNCTION("""COMPUTED_VALUE"""),"Phanwilai")</f>
        <v>Phanwilai</v>
      </c>
      <c r="G504" t="str">
        <f>IFERROR(__xludf.DUMMYFUNCTION("""COMPUTED_VALUE"""),"Phadoongkiat Phanwilai")</f>
        <v>Phadoongkiat Phanwilai</v>
      </c>
      <c r="H504" t="str">
        <f>IFERROR(__xludf.DUMMYFUNCTION("""COMPUTED_VALUE"""),"นาย")</f>
        <v>นาย</v>
      </c>
      <c r="I504" t="str">
        <f>IFERROR(__xludf.DUMMYFUNCTION("""COMPUTED_VALUE"""),"ผดุงเกียรติ")</f>
        <v>ผดุงเกียรติ</v>
      </c>
      <c r="J504" t="str">
        <f>IFERROR(__xludf.DUMMYFUNCTION("""COMPUTED_VALUE"""),"พันธ์วิไล")</f>
        <v>พันธ์วิไล</v>
      </c>
      <c r="K504" t="str">
        <f>IFERROR(__xludf.DUMMYFUNCTION("""COMPUTED_VALUE"""),"ผดุงเกียรติ พันธ์วิไล")</f>
        <v>ผดุงเกียรติ พันธ์วิไล</v>
      </c>
      <c r="L504" t="str">
        <f>IFERROR(__xludf.DUMMYFUNCTION("""COMPUTED_VALUE"""),"Kio")</f>
        <v>Kio</v>
      </c>
      <c r="M504" t="str">
        <f>IFERROR(__xludf.DUMMYFUNCTION("""COMPUTED_VALUE"""),"Senior Cabin Crew")</f>
        <v>Senior Cabin Crew</v>
      </c>
      <c r="N504" t="str">
        <f>IFERROR(__xludf.DUMMYFUNCTION("""COMPUTED_VALUE"""),"DMK")</f>
        <v>DMK</v>
      </c>
      <c r="O504" s="145" t="str">
        <f>IFERROR(__xludf.DUMMYFUNCTION("""COMPUTED_VALUE"""),"Namfon Home")</f>
        <v>Namfon Home</v>
      </c>
      <c r="P504" t="str">
        <f>IFERROR(__xludf.DUMMYFUNCTION("""COMPUTED_VALUE"""),"Active")</f>
        <v>Active</v>
      </c>
      <c r="R504" s="143">
        <f>IFERROR(__xludf.DUMMYFUNCTION("""COMPUTED_VALUE"""),32116.0)</f>
        <v>32116</v>
      </c>
      <c r="S504" s="146" t="str">
        <f>IFERROR(__xludf.DUMMYFUNCTION("""COMPUTED_VALUE"""),"086-728-7178")</f>
        <v>086-728-7178</v>
      </c>
      <c r="T504" s="147" t="str">
        <f>IFERROR(__xludf.DUMMYFUNCTION("""COMPUTED_VALUE"""),"1509900-55-6198")</f>
        <v>1509900-55-6198</v>
      </c>
      <c r="U504" t="str">
        <f>IFERROR(__xludf.DUMMYFUNCTION("""COMPUTED_VALUE"""),"AC2317575")</f>
        <v>AC2317575</v>
      </c>
      <c r="V504" s="148">
        <f>IFERROR(__xludf.DUMMYFUNCTION("""COMPUTED_VALUE"""),44368.0)</f>
        <v>44368</v>
      </c>
      <c r="W504" s="148">
        <f>IFERROR(__xludf.DUMMYFUNCTION("""COMPUTED_VALUE"""),48019.0)</f>
        <v>48019</v>
      </c>
      <c r="X504" s="149">
        <f>IFERROR(__xludf.DUMMYFUNCTION("""COMPUTED_VALUE"""),47837.0)</f>
        <v>47837</v>
      </c>
      <c r="Y504" t="str">
        <f>IFERROR(__xludf.DUMMYFUNCTION("""COMPUTED_VALUE"""),"ปลอดภัย")</f>
        <v>ปลอดภัย</v>
      </c>
      <c r="Z504" t="str">
        <f>IFERROR(__xludf.DUMMYFUNCTION("""COMPUTED_VALUE"""),"Chiang Mai Province")</f>
        <v>Chiang Mai Province</v>
      </c>
      <c r="AA504" t="str">
        <f>IFERROR(__xludf.DUMMYFUNCTION("""COMPUTED_VALUE"""),"Chatujak")</f>
        <v>Chatujak</v>
      </c>
      <c r="AB504" t="str">
        <f>IFERROR(__xludf.DUMMYFUNCTION("""COMPUTED_VALUE"""),"084 222 0180")</f>
        <v>084 222 0180</v>
      </c>
      <c r="AC504" t="str">
        <f>IFERROR(__xludf.DUMMYFUNCTION("""COMPUTED_VALUE"""),"Sister")</f>
        <v>Sister</v>
      </c>
      <c r="AD504" t="str">
        <f>IFERROR(__xludf.DUMMYFUNCTION("""COMPUTED_VALUE"""),"phadoongkiatp@airasia.com")</f>
        <v>phadoongkiatp@airasia.com</v>
      </c>
    </row>
    <row r="505">
      <c r="A505" s="142">
        <f>IFERROR(__xludf.DUMMYFUNCTION("""COMPUTED_VALUE"""),65.0)</f>
        <v>65</v>
      </c>
      <c r="B505" t="str">
        <f>IFERROR(__xludf.DUMMYFUNCTION("""COMPUTED_VALUE"""),"TAA5510")</f>
        <v>TAA5510</v>
      </c>
      <c r="C505">
        <f>IFERROR(__xludf.DUMMYFUNCTION("""COMPUTED_VALUE"""),1010916.0)</f>
        <v>1010916</v>
      </c>
      <c r="D505" t="str">
        <f>IFERROR(__xludf.DUMMYFUNCTION("""COMPUTED_VALUE"""),"Mr.")</f>
        <v>Mr.</v>
      </c>
      <c r="E505" t="str">
        <f>IFERROR(__xludf.DUMMYFUNCTION("""COMPUTED_VALUE"""),"Sivakorn")</f>
        <v>Sivakorn</v>
      </c>
      <c r="F505" t="str">
        <f>IFERROR(__xludf.DUMMYFUNCTION("""COMPUTED_VALUE"""),"Sangsukiam")</f>
        <v>Sangsukiam</v>
      </c>
      <c r="G505" t="str">
        <f>IFERROR(__xludf.DUMMYFUNCTION("""COMPUTED_VALUE"""),"Sivakorn Sangsukiam")</f>
        <v>Sivakorn Sangsukiam</v>
      </c>
      <c r="H505" t="str">
        <f>IFERROR(__xludf.DUMMYFUNCTION("""COMPUTED_VALUE"""),"นาย")</f>
        <v>นาย</v>
      </c>
      <c r="I505" t="str">
        <f>IFERROR(__xludf.DUMMYFUNCTION("""COMPUTED_VALUE"""),"ศิวากร")</f>
        <v>ศิวากร</v>
      </c>
      <c r="J505" t="str">
        <f>IFERROR(__xludf.DUMMYFUNCTION("""COMPUTED_VALUE"""),"แสงสุขเอี่ยม")</f>
        <v>แสงสุขเอี่ยม</v>
      </c>
      <c r="K505" t="str">
        <f>IFERROR(__xludf.DUMMYFUNCTION("""COMPUTED_VALUE"""),"ศิวากร แสงสุขเอี่ยม")</f>
        <v>ศิวากร แสงสุขเอี่ยม</v>
      </c>
      <c r="L505" t="str">
        <f>IFERROR(__xludf.DUMMYFUNCTION("""COMPUTED_VALUE"""),"M")</f>
        <v>M</v>
      </c>
      <c r="M505" t="str">
        <f>IFERROR(__xludf.DUMMYFUNCTION("""COMPUTED_VALUE"""),"Senior Cabin Crew")</f>
        <v>Senior Cabin Crew</v>
      </c>
      <c r="N505" t="str">
        <f>IFERROR(__xludf.DUMMYFUNCTION("""COMPUTED_VALUE"""),"DMK")</f>
        <v>DMK</v>
      </c>
      <c r="O505" s="145" t="str">
        <f>IFERROR(__xludf.DUMMYFUNCTION("""COMPUTED_VALUE"""),"Por+ Home")</f>
        <v>Por+ Home</v>
      </c>
      <c r="P505" t="str">
        <f>IFERROR(__xludf.DUMMYFUNCTION("""COMPUTED_VALUE"""),"Active")</f>
        <v>Active</v>
      </c>
      <c r="Q505" t="str">
        <f>IFERROR(__xludf.DUMMYFUNCTION("""COMPUTED_VALUE"""),"SCC Line Checker 2025")</f>
        <v>SCC Line Checker 2025</v>
      </c>
      <c r="R505" s="143">
        <f>IFERROR(__xludf.DUMMYFUNCTION("""COMPUTED_VALUE"""),32633.0)</f>
        <v>32633</v>
      </c>
      <c r="S505" s="146" t="str">
        <f>IFERROR(__xludf.DUMMYFUNCTION("""COMPUTED_VALUE"""),"092 280 4926")</f>
        <v>092 280 4926</v>
      </c>
      <c r="T505" s="147" t="str">
        <f>IFERROR(__xludf.DUMMYFUNCTION("""COMPUTED_VALUE"""),"110150-03-4683")</f>
        <v>110150-03-4683</v>
      </c>
      <c r="U505" t="str">
        <f>IFERROR(__xludf.DUMMYFUNCTION("""COMPUTED_VALUE"""),"AC2284653")</f>
        <v>AC2284653</v>
      </c>
      <c r="V505" s="148">
        <f>IFERROR(__xludf.DUMMYFUNCTION("""COMPUTED_VALUE"""),44340.0)</f>
        <v>44340</v>
      </c>
      <c r="W505" s="148">
        <f>IFERROR(__xludf.DUMMYFUNCTION("""COMPUTED_VALUE"""),47991.0)</f>
        <v>47991</v>
      </c>
      <c r="X505" s="149">
        <f>IFERROR(__xludf.DUMMYFUNCTION("""COMPUTED_VALUE"""),47810.0)</f>
        <v>47810</v>
      </c>
      <c r="Y505" t="str">
        <f>IFERROR(__xludf.DUMMYFUNCTION("""COMPUTED_VALUE"""),"ปลอดภัย")</f>
        <v>ปลอดภัย</v>
      </c>
      <c r="Z505" t="str">
        <f>IFERROR(__xludf.DUMMYFUNCTION("""COMPUTED_VALUE"""),"Bangkok")</f>
        <v>Bangkok</v>
      </c>
      <c r="AA505" t="str">
        <f>IFERROR(__xludf.DUMMYFUNCTION("""COMPUTED_VALUE"""),"Samutsakorn")</f>
        <v>Samutsakorn</v>
      </c>
      <c r="AB505" t="str">
        <f>IFERROR(__xludf.DUMMYFUNCTION("""COMPUTED_VALUE"""),"097 029 3864")</f>
        <v>097 029 3864</v>
      </c>
      <c r="AC505" t="str">
        <f>IFERROR(__xludf.DUMMYFUNCTION("""COMPUTED_VALUE"""),"Mother")</f>
        <v>Mother</v>
      </c>
      <c r="AD505" t="str">
        <f>IFERROR(__xludf.DUMMYFUNCTION("""COMPUTED_VALUE"""),"sivakorns@airasia.com")</f>
        <v>sivakorns@airasia.com</v>
      </c>
    </row>
    <row r="506">
      <c r="A506" s="142">
        <f>IFERROR(__xludf.DUMMYFUNCTION("""COMPUTED_VALUE"""),65.0)</f>
        <v>65</v>
      </c>
      <c r="B506" t="str">
        <f>IFERROR(__xludf.DUMMYFUNCTION("""COMPUTED_VALUE"""),"TAA5547")</f>
        <v>TAA5547</v>
      </c>
      <c r="C506">
        <f>IFERROR(__xludf.DUMMYFUNCTION("""COMPUTED_VALUE"""),1010934.0)</f>
        <v>1010934</v>
      </c>
      <c r="D506" t="str">
        <f>IFERROR(__xludf.DUMMYFUNCTION("""COMPUTED_VALUE"""),"Mr.")</f>
        <v>Mr.</v>
      </c>
      <c r="E506" t="str">
        <f>IFERROR(__xludf.DUMMYFUNCTION("""COMPUTED_VALUE"""),"Werawat")</f>
        <v>Werawat</v>
      </c>
      <c r="F506" t="str">
        <f>IFERROR(__xludf.DUMMYFUNCTION("""COMPUTED_VALUE"""),"Sittipachaikul")</f>
        <v>Sittipachaikul</v>
      </c>
      <c r="G506" t="str">
        <f>IFERROR(__xludf.DUMMYFUNCTION("""COMPUTED_VALUE"""),"Werawat Sittipachaikul")</f>
        <v>Werawat Sittipachaikul</v>
      </c>
      <c r="H506" t="str">
        <f>IFERROR(__xludf.DUMMYFUNCTION("""COMPUTED_VALUE"""),"นาย")</f>
        <v>นาย</v>
      </c>
      <c r="I506" t="str">
        <f>IFERROR(__xludf.DUMMYFUNCTION("""COMPUTED_VALUE"""),"วีรวัฒน์")</f>
        <v>วีรวัฒน์</v>
      </c>
      <c r="J506" t="str">
        <f>IFERROR(__xludf.DUMMYFUNCTION("""COMPUTED_VALUE"""),"สิทธิพาชัยกุล")</f>
        <v>สิทธิพาชัยกุล</v>
      </c>
      <c r="K506" t="str">
        <f>IFERROR(__xludf.DUMMYFUNCTION("""COMPUTED_VALUE"""),"วีรวัฒน์ สิทธิพาชัยกุล")</f>
        <v>วีรวัฒน์ สิทธิพาชัยกุล</v>
      </c>
      <c r="L506" t="str">
        <f>IFERROR(__xludf.DUMMYFUNCTION("""COMPUTED_VALUE"""),"Top")</f>
        <v>Top</v>
      </c>
      <c r="M506" t="str">
        <f>IFERROR(__xludf.DUMMYFUNCTION("""COMPUTED_VALUE"""),"Senior Cabin Crew")</f>
        <v>Senior Cabin Crew</v>
      </c>
      <c r="N506" t="str">
        <f>IFERROR(__xludf.DUMMYFUNCTION("""COMPUTED_VALUE"""),"DMK")</f>
        <v>DMK</v>
      </c>
      <c r="O506" s="145" t="str">
        <f>IFERROR(__xludf.DUMMYFUNCTION("""COMPUTED_VALUE"""),"Namfon Home")</f>
        <v>Namfon Home</v>
      </c>
      <c r="P506" t="str">
        <f>IFERROR(__xludf.DUMMYFUNCTION("""COMPUTED_VALUE"""),"Active")</f>
        <v>Active</v>
      </c>
      <c r="Q506" t="str">
        <f>IFERROR(__xludf.DUMMYFUNCTION("""COMPUTED_VALUE"""),"Japanese Speaking")</f>
        <v>Japanese Speaking</v>
      </c>
      <c r="R506" s="143">
        <f>IFERROR(__xludf.DUMMYFUNCTION("""COMPUTED_VALUE"""),31321.0)</f>
        <v>31321</v>
      </c>
      <c r="S506" s="146" t="str">
        <f>IFERROR(__xludf.DUMMYFUNCTION("""COMPUTED_VALUE"""),"061 469 9166")</f>
        <v>061 469 9166</v>
      </c>
      <c r="T506" s="147">
        <f>IFERROR(__xludf.DUMMYFUNCTION("""COMPUTED_VALUE"""),1.100800190341E12)</f>
        <v>1100800190341</v>
      </c>
      <c r="U506" t="str">
        <f>IFERROR(__xludf.DUMMYFUNCTION("""COMPUTED_VALUE"""),"AC2290737")</f>
        <v>AC2290737</v>
      </c>
      <c r="V506" s="148">
        <f>IFERROR(__xludf.DUMMYFUNCTION("""COMPUTED_VALUE"""),44343.0)</f>
        <v>44343</v>
      </c>
      <c r="W506" s="148">
        <f>IFERROR(__xludf.DUMMYFUNCTION("""COMPUTED_VALUE"""),47994.0)</f>
        <v>47994</v>
      </c>
      <c r="X506" s="149">
        <f>IFERROR(__xludf.DUMMYFUNCTION("""COMPUTED_VALUE"""),47813.0)</f>
        <v>47813</v>
      </c>
      <c r="Y506" t="str">
        <f>IFERROR(__xludf.DUMMYFUNCTION("""COMPUTED_VALUE"""),"ปลอดภัย")</f>
        <v>ปลอดภัย</v>
      </c>
      <c r="Z506" t="str">
        <f>IFERROR(__xludf.DUMMYFUNCTION("""COMPUTED_VALUE"""),"Bangkok")</f>
        <v>Bangkok</v>
      </c>
      <c r="AA506" t="str">
        <f>IFERROR(__xludf.DUMMYFUNCTION("""COMPUTED_VALUE"""),"Pakkred")</f>
        <v>Pakkred</v>
      </c>
      <c r="AB506" t="str">
        <f>IFERROR(__xludf.DUMMYFUNCTION("""COMPUTED_VALUE"""),"087 455 7631")</f>
        <v>087 455 7631</v>
      </c>
      <c r="AC506" t="str">
        <f>IFERROR(__xludf.DUMMYFUNCTION("""COMPUTED_VALUE"""),"Mother")</f>
        <v>Mother</v>
      </c>
      <c r="AD506" t="str">
        <f>IFERROR(__xludf.DUMMYFUNCTION("""COMPUTED_VALUE"""),"werawats@airasia.com")</f>
        <v>werawats@airasia.com</v>
      </c>
    </row>
    <row r="507">
      <c r="A507" s="142">
        <f>IFERROR(__xludf.DUMMYFUNCTION("""COMPUTED_VALUE"""),65.0)</f>
        <v>65</v>
      </c>
      <c r="B507" t="str">
        <f>IFERROR(__xludf.DUMMYFUNCTION("""COMPUTED_VALUE"""),"TAA5508")</f>
        <v>TAA5508</v>
      </c>
      <c r="C507">
        <f>IFERROR(__xludf.DUMMYFUNCTION("""COMPUTED_VALUE"""),1010939.0)</f>
        <v>1010939</v>
      </c>
      <c r="D507" t="str">
        <f>IFERROR(__xludf.DUMMYFUNCTION("""COMPUTED_VALUE"""),"Mr.")</f>
        <v>Mr.</v>
      </c>
      <c r="E507" t="str">
        <f>IFERROR(__xludf.DUMMYFUNCTION("""COMPUTED_VALUE"""),"Yuwarat")</f>
        <v>Yuwarat</v>
      </c>
      <c r="F507" t="str">
        <f>IFERROR(__xludf.DUMMYFUNCTION("""COMPUTED_VALUE"""),"Meesap")</f>
        <v>Meesap</v>
      </c>
      <c r="G507" t="str">
        <f>IFERROR(__xludf.DUMMYFUNCTION("""COMPUTED_VALUE"""),"Yuwarat Meesap")</f>
        <v>Yuwarat Meesap</v>
      </c>
      <c r="H507" t="str">
        <f>IFERROR(__xludf.DUMMYFUNCTION("""COMPUTED_VALUE"""),"นาย")</f>
        <v>นาย</v>
      </c>
      <c r="I507" t="str">
        <f>IFERROR(__xludf.DUMMYFUNCTION("""COMPUTED_VALUE"""),"ยุวรัตน์")</f>
        <v>ยุวรัตน์</v>
      </c>
      <c r="J507" t="str">
        <f>IFERROR(__xludf.DUMMYFUNCTION("""COMPUTED_VALUE"""),"มีทรัพย์")</f>
        <v>มีทรัพย์</v>
      </c>
      <c r="K507" t="str">
        <f>IFERROR(__xludf.DUMMYFUNCTION("""COMPUTED_VALUE"""),"ยุวรัตน์ มีทรัพย์")</f>
        <v>ยุวรัตน์ มีทรัพย์</v>
      </c>
      <c r="L507" t="str">
        <f>IFERROR(__xludf.DUMMYFUNCTION("""COMPUTED_VALUE"""),"Ice")</f>
        <v>Ice</v>
      </c>
      <c r="M507" t="str">
        <f>IFERROR(__xludf.DUMMYFUNCTION("""COMPUTED_VALUE"""),"Senior Cabin Crew")</f>
        <v>Senior Cabin Crew</v>
      </c>
      <c r="N507" t="str">
        <f>IFERROR(__xludf.DUMMYFUNCTION("""COMPUTED_VALUE"""),"DMK")</f>
        <v>DMK</v>
      </c>
      <c r="O507" s="145" t="str">
        <f>IFERROR(__xludf.DUMMYFUNCTION("""COMPUTED_VALUE"""),"Nhui Home")</f>
        <v>Nhui Home</v>
      </c>
      <c r="P507" t="str">
        <f>IFERROR(__xludf.DUMMYFUNCTION("""COMPUTED_VALUE"""),"Active")</f>
        <v>Active</v>
      </c>
      <c r="R507" s="143">
        <f>IFERROR(__xludf.DUMMYFUNCTION("""COMPUTED_VALUE"""),32425.0)</f>
        <v>32425</v>
      </c>
      <c r="S507" s="146" t="str">
        <f>IFERROR(__xludf.DUMMYFUNCTION("""COMPUTED_VALUE"""),"086-055-9693")</f>
        <v>086-055-9693</v>
      </c>
      <c r="T507" s="147" t="str">
        <f>IFERROR(__xludf.DUMMYFUNCTION("""COMPUTED_VALUE"""),"1102001-02-8927")</f>
        <v>1102001-02-8927</v>
      </c>
      <c r="U507" t="str">
        <f>IFERROR(__xludf.DUMMYFUNCTION("""COMPUTED_VALUE"""),"AC8174264")</f>
        <v>AC8174264</v>
      </c>
      <c r="V507" s="148">
        <f>IFERROR(__xludf.DUMMYFUNCTION("""COMPUTED_VALUE"""),45980.0)</f>
        <v>45980</v>
      </c>
      <c r="W507" s="148">
        <f>IFERROR(__xludf.DUMMYFUNCTION("""COMPUTED_VALUE"""),47805.0)</f>
        <v>47805</v>
      </c>
      <c r="X507" s="149">
        <f>IFERROR(__xludf.DUMMYFUNCTION("""COMPUTED_VALUE"""),47621.0)</f>
        <v>47621</v>
      </c>
      <c r="Y507" t="str">
        <f>IFERROR(__xludf.DUMMYFUNCTION("""COMPUTED_VALUE"""),"ปลอดภัย")</f>
        <v>ปลอดภัย</v>
      </c>
      <c r="Z507" t="str">
        <f>IFERROR(__xludf.DUMMYFUNCTION("""COMPUTED_VALUE"""),"Bangkok")</f>
        <v>Bangkok</v>
      </c>
      <c r="AA507" t="str">
        <f>IFERROR(__xludf.DUMMYFUNCTION("""COMPUTED_VALUE"""),"Thalingchan")</f>
        <v>Thalingchan</v>
      </c>
      <c r="AB507" t="str">
        <f>IFERROR(__xludf.DUMMYFUNCTION("""COMPUTED_VALUE"""),"081 988 8267")</f>
        <v>081 988 8267</v>
      </c>
      <c r="AC507" t="str">
        <f>IFERROR(__xludf.DUMMYFUNCTION("""COMPUTED_VALUE"""),"Kantop")</f>
        <v>Kantop</v>
      </c>
      <c r="AD507" t="str">
        <f>IFERROR(__xludf.DUMMYFUNCTION("""COMPUTED_VALUE"""),"yuwaratm@airasia.com")</f>
        <v>yuwaratm@airasia.com</v>
      </c>
    </row>
    <row r="508">
      <c r="AD508" t="str">
        <f>IFERROR(__xludf.DUMMYFUNCTION("""COMPUTED_VALUE"""),"")</f>
        <v/>
      </c>
    </row>
    <row r="509">
      <c r="A509" s="142">
        <f>IFERROR(__xludf.DUMMYFUNCTION("""COMPUTED_VALUE"""),66.0)</f>
        <v>66</v>
      </c>
      <c r="B509" t="str">
        <f>IFERROR(__xludf.DUMMYFUNCTION("""COMPUTED_VALUE"""),"TAA5527")</f>
        <v>TAA5527</v>
      </c>
      <c r="C509">
        <f>IFERROR(__xludf.DUMMYFUNCTION("""COMPUTED_VALUE"""),1010879.0)</f>
        <v>1010879</v>
      </c>
      <c r="D509" t="str">
        <f>IFERROR(__xludf.DUMMYFUNCTION("""COMPUTED_VALUE"""),"Ms.")</f>
        <v>Ms.</v>
      </c>
      <c r="E509" t="str">
        <f>IFERROR(__xludf.DUMMYFUNCTION("""COMPUTED_VALUE"""),"Bhasana")</f>
        <v>Bhasana</v>
      </c>
      <c r="F509" t="str">
        <f>IFERROR(__xludf.DUMMYFUNCTION("""COMPUTED_VALUE"""),"Chindalat")</f>
        <v>Chindalat</v>
      </c>
      <c r="G509" t="str">
        <f>IFERROR(__xludf.DUMMYFUNCTION("""COMPUTED_VALUE"""),"Bhasana Chindalat")</f>
        <v>Bhasana Chindalat</v>
      </c>
      <c r="H509" t="str">
        <f>IFERROR(__xludf.DUMMYFUNCTION("""COMPUTED_VALUE"""),"นางสาว")</f>
        <v>นางสาว</v>
      </c>
      <c r="I509" t="str">
        <f>IFERROR(__xludf.DUMMYFUNCTION("""COMPUTED_VALUE"""),"ภาสณา")</f>
        <v>ภาสณา</v>
      </c>
      <c r="J509" t="str">
        <f>IFERROR(__xludf.DUMMYFUNCTION("""COMPUTED_VALUE"""),"จินดาลัทธ")</f>
        <v>จินดาลัทธ</v>
      </c>
      <c r="K509" t="str">
        <f>IFERROR(__xludf.DUMMYFUNCTION("""COMPUTED_VALUE"""),"ภาสณา จินดาลัทธ")</f>
        <v>ภาสณา จินดาลัทธ</v>
      </c>
      <c r="L509" t="str">
        <f>IFERROR(__xludf.DUMMYFUNCTION("""COMPUTED_VALUE"""),"กวาง")</f>
        <v>กวาง</v>
      </c>
      <c r="M509" t="str">
        <f>IFERROR(__xludf.DUMMYFUNCTION("""COMPUTED_VALUE"""),"Cabin Crew")</f>
        <v>Cabin Crew</v>
      </c>
      <c r="N509" t="str">
        <f>IFERROR(__xludf.DUMMYFUNCTION("""COMPUTED_VALUE"""),"DMK")</f>
        <v>DMK</v>
      </c>
      <c r="O509" s="145" t="str">
        <f>IFERROR(__xludf.DUMMYFUNCTION("""COMPUTED_VALUE"""),"Kor Home")</f>
        <v>Kor Home</v>
      </c>
      <c r="P509" t="str">
        <f>IFERROR(__xludf.DUMMYFUNCTION("""COMPUTED_VALUE"""),"Active")</f>
        <v>Active</v>
      </c>
      <c r="R509" s="143">
        <f>IFERROR(__xludf.DUMMYFUNCTION("""COMPUTED_VALUE"""),31828.0)</f>
        <v>31828</v>
      </c>
      <c r="S509" s="146" t="str">
        <f>IFERROR(__xludf.DUMMYFUNCTION("""COMPUTED_VALUE"""),"084-752-7508")</f>
        <v>084-752-7508</v>
      </c>
      <c r="T509" s="147" t="str">
        <f>IFERROR(__xludf.DUMMYFUNCTION("""COMPUTED_VALUE"""),"1120100-08-8667")</f>
        <v>1120100-08-8667</v>
      </c>
      <c r="U509" t="str">
        <f>IFERROR(__xludf.DUMMYFUNCTION("""COMPUTED_VALUE"""),"AC5885474")</f>
        <v>AC5885474</v>
      </c>
      <c r="V509" s="148">
        <f>IFERROR(__xludf.DUMMYFUNCTION("""COMPUTED_VALUE"""),45217.0)</f>
        <v>45217</v>
      </c>
      <c r="W509" s="148">
        <f>IFERROR(__xludf.DUMMYFUNCTION("""COMPUTED_VALUE"""),48869.0)</f>
        <v>48869</v>
      </c>
      <c r="X509" s="149">
        <f>IFERROR(__xludf.DUMMYFUNCTION("""COMPUTED_VALUE"""),48686.0)</f>
        <v>48686</v>
      </c>
      <c r="Y509" t="str">
        <f>IFERROR(__xludf.DUMMYFUNCTION("""COMPUTED_VALUE"""),"ปลอดภัย")</f>
        <v>ปลอดภัย</v>
      </c>
      <c r="Z509" t="str">
        <f>IFERROR(__xludf.DUMMYFUNCTION("""COMPUTED_VALUE"""),"Bangkok")</f>
        <v>Bangkok</v>
      </c>
      <c r="AA509" t="str">
        <f>IFERROR(__xludf.DUMMYFUNCTION("""COMPUTED_VALUE"""),"Lamlukka")</f>
        <v>Lamlukka</v>
      </c>
      <c r="AB509" t="str">
        <f>IFERROR(__xludf.DUMMYFUNCTION("""COMPUTED_VALUE"""),"02 153 8292 / 081 890 6751")</f>
        <v>02 153 8292 / 081 890 6751</v>
      </c>
      <c r="AC509" t="str">
        <f>IFERROR(__xludf.DUMMYFUNCTION("""COMPUTED_VALUE"""),"Kalayanee Chindalat")</f>
        <v>Kalayanee Chindalat</v>
      </c>
      <c r="AD509" t="str">
        <f>IFERROR(__xludf.DUMMYFUNCTION("""COMPUTED_VALUE"""),"bhasanac@airasia.com")</f>
        <v>bhasanac@airasia.com</v>
      </c>
    </row>
    <row r="510">
      <c r="A510" s="142">
        <f>IFERROR(__xludf.DUMMYFUNCTION("""COMPUTED_VALUE"""),66.0)</f>
        <v>66</v>
      </c>
      <c r="B510" t="str">
        <f>IFERROR(__xludf.DUMMYFUNCTION("""COMPUTED_VALUE"""),"TAA5520")</f>
        <v>TAA5520</v>
      </c>
      <c r="C510">
        <f>IFERROR(__xludf.DUMMYFUNCTION("""COMPUTED_VALUE"""),1010880.0)</f>
        <v>1010880</v>
      </c>
      <c r="D510" t="str">
        <f>IFERROR(__xludf.DUMMYFUNCTION("""COMPUTED_VALUE"""),"Ms.")</f>
        <v>Ms.</v>
      </c>
      <c r="E510" t="str">
        <f>IFERROR(__xludf.DUMMYFUNCTION("""COMPUTED_VALUE"""),"Chutima")</f>
        <v>Chutima</v>
      </c>
      <c r="F510" t="str">
        <f>IFERROR(__xludf.DUMMYFUNCTION("""COMPUTED_VALUE"""),"Thitisantikhun")</f>
        <v>Thitisantikhun</v>
      </c>
      <c r="G510" t="str">
        <f>IFERROR(__xludf.DUMMYFUNCTION("""COMPUTED_VALUE"""),"Chutima Thitisantikhun")</f>
        <v>Chutima Thitisantikhun</v>
      </c>
      <c r="H510" t="str">
        <f>IFERROR(__xludf.DUMMYFUNCTION("""COMPUTED_VALUE"""),"นางสาว")</f>
        <v>นางสาว</v>
      </c>
      <c r="I510" t="str">
        <f>IFERROR(__xludf.DUMMYFUNCTION("""COMPUTED_VALUE"""),"ชุติมา")</f>
        <v>ชุติมา</v>
      </c>
      <c r="J510" t="str">
        <f>IFERROR(__xludf.DUMMYFUNCTION("""COMPUTED_VALUE"""),"ธิติสันติคุณ")</f>
        <v>ธิติสันติคุณ</v>
      </c>
      <c r="K510" t="str">
        <f>IFERROR(__xludf.DUMMYFUNCTION("""COMPUTED_VALUE"""),"ชุติมา ธิติสันติคุณ")</f>
        <v>ชุติมา ธิติสันติคุณ</v>
      </c>
      <c r="L510" t="str">
        <f>IFERROR(__xludf.DUMMYFUNCTION("""COMPUTED_VALUE"""),"ฟิว / Fuse")</f>
        <v>ฟิว / Fuse</v>
      </c>
      <c r="M510" t="str">
        <f>IFERROR(__xludf.DUMMYFUNCTION("""COMPUTED_VALUE"""),"Cabin Crew")</f>
        <v>Cabin Crew</v>
      </c>
      <c r="N510" t="str">
        <f>IFERROR(__xludf.DUMMYFUNCTION("""COMPUTED_VALUE"""),"DMK")</f>
        <v>DMK</v>
      </c>
      <c r="O510" s="145" t="str">
        <f>IFERROR(__xludf.DUMMYFUNCTION("""COMPUTED_VALUE"""),"Up Home")</f>
        <v>Up Home</v>
      </c>
      <c r="P510" t="str">
        <f>IFERROR(__xludf.DUMMYFUNCTION("""COMPUTED_VALUE"""),"Active")</f>
        <v>Active</v>
      </c>
      <c r="R510" s="143">
        <f>IFERROR(__xludf.DUMMYFUNCTION("""COMPUTED_VALUE"""),32378.0)</f>
        <v>32378</v>
      </c>
      <c r="S510" s="146" t="str">
        <f>IFERROR(__xludf.DUMMYFUNCTION("""COMPUTED_VALUE"""),"062 693 5542")</f>
        <v>062 693 5542</v>
      </c>
      <c r="T510" s="147" t="str">
        <f>IFERROR(__xludf.DUMMYFUNCTION("""COMPUTED_VALUE"""),"1101401-39-7236")</f>
        <v>1101401-39-7236</v>
      </c>
      <c r="U510" t="str">
        <f>IFERROR(__xludf.DUMMYFUNCTION("""COMPUTED_VALUE"""),"AC4165899")</f>
        <v>AC4165899</v>
      </c>
      <c r="V510" s="148">
        <f>IFERROR(__xludf.DUMMYFUNCTION("""COMPUTED_VALUE"""),44887.0)</f>
        <v>44887</v>
      </c>
      <c r="W510" s="148">
        <f>IFERROR(__xludf.DUMMYFUNCTION("""COMPUTED_VALUE"""),48539.0)</f>
        <v>48539</v>
      </c>
      <c r="X510" s="149">
        <f>IFERROR(__xludf.DUMMYFUNCTION("""COMPUTED_VALUE"""),48355.0)</f>
        <v>48355</v>
      </c>
      <c r="Y510" t="str">
        <f>IFERROR(__xludf.DUMMYFUNCTION("""COMPUTED_VALUE"""),"ปลอดภัย")</f>
        <v>ปลอดภัย</v>
      </c>
      <c r="Z510" t="str">
        <f>IFERROR(__xludf.DUMMYFUNCTION("""COMPUTED_VALUE"""),"Bangkok")</f>
        <v>Bangkok</v>
      </c>
      <c r="AA510" t="str">
        <f>IFERROR(__xludf.DUMMYFUNCTION("""COMPUTED_VALUE"""),"Donmueang")</f>
        <v>Donmueang</v>
      </c>
      <c r="AB510" t="str">
        <f>IFERROR(__xludf.DUMMYFUNCTION("""COMPUTED_VALUE"""),"084 666 0492")</f>
        <v>084 666 0492</v>
      </c>
      <c r="AC510" t="str">
        <f>IFERROR(__xludf.DUMMYFUNCTION("""COMPUTED_VALUE"""),"Navarat Jirakorn")</f>
        <v>Navarat Jirakorn</v>
      </c>
      <c r="AD510" t="str">
        <f>IFERROR(__xludf.DUMMYFUNCTION("""COMPUTED_VALUE"""),"chutimat@airasia.com")</f>
        <v>chutimat@airasia.com</v>
      </c>
    </row>
    <row r="511">
      <c r="A511" s="142">
        <f>IFERROR(__xludf.DUMMYFUNCTION("""COMPUTED_VALUE"""),66.0)</f>
        <v>66</v>
      </c>
      <c r="B511" t="str">
        <f>IFERROR(__xludf.DUMMYFUNCTION("""COMPUTED_VALUE"""),"TAA5512")</f>
        <v>TAA5512</v>
      </c>
      <c r="C511">
        <f>IFERROR(__xludf.DUMMYFUNCTION("""COMPUTED_VALUE"""),1010890.0)</f>
        <v>1010890</v>
      </c>
      <c r="D511" t="str">
        <f>IFERROR(__xludf.DUMMYFUNCTION("""COMPUTED_VALUE"""),"Ms.")</f>
        <v>Ms.</v>
      </c>
      <c r="E511" t="str">
        <f>IFERROR(__xludf.DUMMYFUNCTION("""COMPUTED_VALUE"""),"Keetawan")</f>
        <v>Keetawan</v>
      </c>
      <c r="F511" t="str">
        <f>IFERROR(__xludf.DUMMYFUNCTION("""COMPUTED_VALUE"""),"Udomkiattikul (Pansomboon)")</f>
        <v>Udomkiattikul (Pansomboon)</v>
      </c>
      <c r="G511" t="str">
        <f>IFERROR(__xludf.DUMMYFUNCTION("""COMPUTED_VALUE"""),"Keetawan Udomkiattikul")</f>
        <v>Keetawan Udomkiattikul</v>
      </c>
      <c r="H511" t="str">
        <f>IFERROR(__xludf.DUMMYFUNCTION("""COMPUTED_VALUE"""),"นางสาว")</f>
        <v>นางสาว</v>
      </c>
      <c r="I511" t="str">
        <f>IFERROR(__xludf.DUMMYFUNCTION("""COMPUTED_VALUE"""),"คีตวัลย์")</f>
        <v>คีตวัลย์</v>
      </c>
      <c r="J511" t="str">
        <f>IFERROR(__xludf.DUMMYFUNCTION("""COMPUTED_VALUE"""),"อุดมเกียรติกูล (แผนสมบูรณ์)")</f>
        <v>อุดมเกียรติกูล (แผนสมบูรณ์)</v>
      </c>
      <c r="K511" t="str">
        <f>IFERROR(__xludf.DUMMYFUNCTION("""COMPUTED_VALUE"""),"คีตวัลย์ อุดมเกียรติกูล")</f>
        <v>คีตวัลย์ อุดมเกียรติกูล</v>
      </c>
      <c r="L511" t="str">
        <f>IFERROR(__xludf.DUMMYFUNCTION("""COMPUTED_VALUE"""),"แพร")</f>
        <v>แพร</v>
      </c>
      <c r="M511" t="str">
        <f>IFERROR(__xludf.DUMMYFUNCTION("""COMPUTED_VALUE"""),"Cabin Crew")</f>
        <v>Cabin Crew</v>
      </c>
      <c r="N511" t="str">
        <f>IFERROR(__xludf.DUMMYFUNCTION("""COMPUTED_VALUE"""),"DMK")</f>
        <v>DMK</v>
      </c>
      <c r="O511" s="145" t="str">
        <f>IFERROR(__xludf.DUMMYFUNCTION("""COMPUTED_VALUE"""),"Kor Home")</f>
        <v>Kor Home</v>
      </c>
      <c r="P511" t="str">
        <f>IFERROR(__xludf.DUMMYFUNCTION("""COMPUTED_VALUE"""),"Active")</f>
        <v>Active</v>
      </c>
      <c r="R511" s="143">
        <f>IFERROR(__xludf.DUMMYFUNCTION("""COMPUTED_VALUE"""),32407.0)</f>
        <v>32407</v>
      </c>
      <c r="S511" s="146" t="str">
        <f>IFERROR(__xludf.DUMMYFUNCTION("""COMPUTED_VALUE"""),"062-456-9269")</f>
        <v>062-456-9269</v>
      </c>
      <c r="T511" s="147" t="str">
        <f>IFERROR(__xludf.DUMMYFUNCTION("""COMPUTED_VALUE"""),"1600100-29-0615")</f>
        <v>1600100-29-0615</v>
      </c>
      <c r="U511" t="str">
        <f>IFERROR(__xludf.DUMMYFUNCTION("""COMPUTED_VALUE"""),"AC6234479")</f>
        <v>AC6234479</v>
      </c>
      <c r="V511" s="148">
        <f>IFERROR(__xludf.DUMMYFUNCTION("""COMPUTED_VALUE"""),45302.0)</f>
        <v>45302</v>
      </c>
      <c r="W511" s="148">
        <f>IFERROR(__xludf.DUMMYFUNCTION("""COMPUTED_VALUE"""),48954.0)</f>
        <v>48954</v>
      </c>
      <c r="X511" s="149">
        <f>IFERROR(__xludf.DUMMYFUNCTION("""COMPUTED_VALUE"""),48770.0)</f>
        <v>48770</v>
      </c>
      <c r="Y511" t="str">
        <f>IFERROR(__xludf.DUMMYFUNCTION("""COMPUTED_VALUE"""),"ปลอดภัย")</f>
        <v>ปลอดภัย</v>
      </c>
      <c r="Z511" t="str">
        <f>IFERROR(__xludf.DUMMYFUNCTION("""COMPUTED_VALUE"""),"Nakhon Sawan Province")</f>
        <v>Nakhon Sawan Province</v>
      </c>
      <c r="AA511" t="str">
        <f>IFERROR(__xludf.DUMMYFUNCTION("""COMPUTED_VALUE"""),"Jatujak")</f>
        <v>Jatujak</v>
      </c>
      <c r="AB511" t="str">
        <f>IFERROR(__xludf.DUMMYFUNCTION("""COMPUTED_VALUE"""),"081 918 5639")</f>
        <v>081 918 5639</v>
      </c>
      <c r="AC511" t="str">
        <f>IFERROR(__xludf.DUMMYFUNCTION("""COMPUTED_VALUE"""),"Daranee Matchona")</f>
        <v>Daranee Matchona</v>
      </c>
      <c r="AD511" t="str">
        <f>IFERROR(__xludf.DUMMYFUNCTION("""COMPUTED_VALUE"""),"keetawanu@airasia.com")</f>
        <v>keetawanu@airasia.com</v>
      </c>
    </row>
    <row r="512">
      <c r="A512" s="142">
        <f>IFERROR(__xludf.DUMMYFUNCTION("""COMPUTED_VALUE"""),66.0)</f>
        <v>66</v>
      </c>
      <c r="B512" t="str">
        <f>IFERROR(__xludf.DUMMYFUNCTION("""COMPUTED_VALUE"""),"TAA5524")</f>
        <v>TAA5524</v>
      </c>
      <c r="C512">
        <f>IFERROR(__xludf.DUMMYFUNCTION("""COMPUTED_VALUE"""),1010897.0)</f>
        <v>1010897</v>
      </c>
      <c r="D512" t="str">
        <f>IFERROR(__xludf.DUMMYFUNCTION("""COMPUTED_VALUE"""),"Ms.")</f>
        <v>Ms.</v>
      </c>
      <c r="E512" t="str">
        <f>IFERROR(__xludf.DUMMYFUNCTION("""COMPUTED_VALUE"""),"Natcharee")</f>
        <v>Natcharee</v>
      </c>
      <c r="F512" t="str">
        <f>IFERROR(__xludf.DUMMYFUNCTION("""COMPUTED_VALUE"""),"Wisespun")</f>
        <v>Wisespun</v>
      </c>
      <c r="G512" t="str">
        <f>IFERROR(__xludf.DUMMYFUNCTION("""COMPUTED_VALUE"""),"Natcharee Wisespun")</f>
        <v>Natcharee Wisespun</v>
      </c>
      <c r="H512" t="str">
        <f>IFERROR(__xludf.DUMMYFUNCTION("""COMPUTED_VALUE"""),"นางสาว")</f>
        <v>นางสาว</v>
      </c>
      <c r="I512" t="str">
        <f>IFERROR(__xludf.DUMMYFUNCTION("""COMPUTED_VALUE"""),"ณัชชารีย์")</f>
        <v>ณัชชารีย์</v>
      </c>
      <c r="J512" t="str">
        <f>IFERROR(__xludf.DUMMYFUNCTION("""COMPUTED_VALUE"""),"วิเศษพันธ์")</f>
        <v>วิเศษพันธ์</v>
      </c>
      <c r="K512" t="str">
        <f>IFERROR(__xludf.DUMMYFUNCTION("""COMPUTED_VALUE"""),"ณัชชารีย์ วิเศษพันธ์")</f>
        <v>ณัชชารีย์ วิเศษพันธ์</v>
      </c>
      <c r="L512" t="str">
        <f>IFERROR(__xludf.DUMMYFUNCTION("""COMPUTED_VALUE"""),"ป่าน")</f>
        <v>ป่าน</v>
      </c>
      <c r="M512" t="str">
        <f>IFERROR(__xludf.DUMMYFUNCTION("""COMPUTED_VALUE"""),"Cabin Crew")</f>
        <v>Cabin Crew</v>
      </c>
      <c r="N512" t="str">
        <f>IFERROR(__xludf.DUMMYFUNCTION("""COMPUTED_VALUE"""),"DMK")</f>
        <v>DMK</v>
      </c>
      <c r="O512" s="145" t="str">
        <f>IFERROR(__xludf.DUMMYFUNCTION("""COMPUTED_VALUE"""),"Kor Home")</f>
        <v>Kor Home</v>
      </c>
      <c r="P512" t="str">
        <f>IFERROR(__xludf.DUMMYFUNCTION("""COMPUTED_VALUE"""),"Active")</f>
        <v>Active</v>
      </c>
      <c r="R512" s="143">
        <f>IFERROR(__xludf.DUMMYFUNCTION("""COMPUTED_VALUE"""),32439.0)</f>
        <v>32439</v>
      </c>
      <c r="S512" s="146" t="str">
        <f>IFERROR(__xludf.DUMMYFUNCTION("""COMPUTED_VALUE"""),"089-094-8576")</f>
        <v>089-094-8576</v>
      </c>
      <c r="T512" s="147" t="str">
        <f>IFERROR(__xludf.DUMMYFUNCTION("""COMPUTED_VALUE"""),"1219800-09-3849")</f>
        <v>1219800-09-3849</v>
      </c>
      <c r="U512" t="str">
        <f>IFERROR(__xludf.DUMMYFUNCTION("""COMPUTED_VALUE"""),"AD1401734")</f>
        <v>AD1401734</v>
      </c>
      <c r="V512" s="148">
        <f>IFERROR(__xludf.DUMMYFUNCTION("""COMPUTED_VALUE"""),45238.0)</f>
        <v>45238</v>
      </c>
      <c r="W512" s="148">
        <f>IFERROR(__xludf.DUMMYFUNCTION("""COMPUTED_VALUE"""),48890.0)</f>
        <v>48890</v>
      </c>
      <c r="X512" s="149">
        <f>IFERROR(__xludf.DUMMYFUNCTION("""COMPUTED_VALUE"""),48706.0)</f>
        <v>48706</v>
      </c>
      <c r="Y512" t="str">
        <f>IFERROR(__xludf.DUMMYFUNCTION("""COMPUTED_VALUE"""),"ปลอดภัย")</f>
        <v>ปลอดภัย</v>
      </c>
      <c r="Z512" t="str">
        <f>IFERROR(__xludf.DUMMYFUNCTION("""COMPUTED_VALUE"""),"Rayong Province")</f>
        <v>Rayong Province</v>
      </c>
      <c r="AA512" t="str">
        <f>IFERROR(__xludf.DUMMYFUNCTION("""COMPUTED_VALUE"""),"Rayong")</f>
        <v>Rayong</v>
      </c>
      <c r="AB512" t="str">
        <f>IFERROR(__xludf.DUMMYFUNCTION("""COMPUTED_VALUE"""),"089 252 3787")</f>
        <v>089 252 3787</v>
      </c>
      <c r="AC512" t="str">
        <f>IFERROR(__xludf.DUMMYFUNCTION("""COMPUTED_VALUE"""),"Patita")</f>
        <v>Patita</v>
      </c>
      <c r="AD512" t="str">
        <f>IFERROR(__xludf.DUMMYFUNCTION("""COMPUTED_VALUE"""),"natchareew@airasia.com")</f>
        <v>natchareew@airasia.com</v>
      </c>
    </row>
    <row r="513">
      <c r="A513" s="142">
        <f>IFERROR(__xludf.DUMMYFUNCTION("""COMPUTED_VALUE"""),66.0)</f>
        <v>66</v>
      </c>
      <c r="B513" t="str">
        <f>IFERROR(__xludf.DUMMYFUNCTION("""COMPUTED_VALUE"""),"TAA5525")</f>
        <v>TAA5525</v>
      </c>
      <c r="C513">
        <f>IFERROR(__xludf.DUMMYFUNCTION("""COMPUTED_VALUE"""),1010905.0)</f>
        <v>1010905</v>
      </c>
      <c r="D513" t="str">
        <f>IFERROR(__xludf.DUMMYFUNCTION("""COMPUTED_VALUE"""),"Ms.")</f>
        <v>Ms.</v>
      </c>
      <c r="E513" t="str">
        <f>IFERROR(__xludf.DUMMYFUNCTION("""COMPUTED_VALUE"""),"Phiraya")</f>
        <v>Phiraya</v>
      </c>
      <c r="F513" t="str">
        <f>IFERROR(__xludf.DUMMYFUNCTION("""COMPUTED_VALUE"""),"Panthongkum")</f>
        <v>Panthongkum</v>
      </c>
      <c r="G513" t="str">
        <f>IFERROR(__xludf.DUMMYFUNCTION("""COMPUTED_VALUE"""),"Phiraya Panthongkum")</f>
        <v>Phiraya Panthongkum</v>
      </c>
      <c r="H513" t="str">
        <f>IFERROR(__xludf.DUMMYFUNCTION("""COMPUTED_VALUE"""),"นางสาว")</f>
        <v>นางสาว</v>
      </c>
      <c r="I513" t="str">
        <f>IFERROR(__xludf.DUMMYFUNCTION("""COMPUTED_VALUE"""),"พีรยา")</f>
        <v>พีรยา</v>
      </c>
      <c r="J513" t="str">
        <f>IFERROR(__xludf.DUMMYFUNCTION("""COMPUTED_VALUE"""),"ปานทองคำ")</f>
        <v>ปานทองคำ</v>
      </c>
      <c r="K513" t="str">
        <f>IFERROR(__xludf.DUMMYFUNCTION("""COMPUTED_VALUE"""),"พีรยา ปานทองคำ")</f>
        <v>พีรยา ปานทองคำ</v>
      </c>
      <c r="L513" t="str">
        <f>IFERROR(__xludf.DUMMYFUNCTION("""COMPUTED_VALUE"""),"Pla")</f>
        <v>Pla</v>
      </c>
      <c r="M513" t="str">
        <f>IFERROR(__xludf.DUMMYFUNCTION("""COMPUTED_VALUE"""),"Senior Cabin Crew")</f>
        <v>Senior Cabin Crew</v>
      </c>
      <c r="N513" t="str">
        <f>IFERROR(__xludf.DUMMYFUNCTION("""COMPUTED_VALUE"""),"DMK")</f>
        <v>DMK</v>
      </c>
      <c r="O513" s="145" t="str">
        <f>IFERROR(__xludf.DUMMYFUNCTION("""COMPUTED_VALUE"""),"Um Home")</f>
        <v>Um Home</v>
      </c>
      <c r="P513" t="str">
        <f>IFERROR(__xludf.DUMMYFUNCTION("""COMPUTED_VALUE"""),"Active")</f>
        <v>Active</v>
      </c>
      <c r="R513" s="143">
        <f>IFERROR(__xludf.DUMMYFUNCTION("""COMPUTED_VALUE"""),32547.0)</f>
        <v>32547</v>
      </c>
      <c r="S513" s="146" t="str">
        <f>IFERROR(__xludf.DUMMYFUNCTION("""COMPUTED_VALUE"""),"085-982-9356")</f>
        <v>085-982-9356</v>
      </c>
      <c r="T513" s="147" t="str">
        <f>IFERROR(__xludf.DUMMYFUNCTION("""COMPUTED_VALUE"""),"1100800-50-2962")</f>
        <v>1100800-50-2962</v>
      </c>
      <c r="U513" t="str">
        <f>IFERROR(__xludf.DUMMYFUNCTION("""COMPUTED_VALUE"""),"AD0231548")</f>
        <v>AD0231548</v>
      </c>
      <c r="V513" s="148">
        <f>IFERROR(__xludf.DUMMYFUNCTION("""COMPUTED_VALUE"""),44860.0)</f>
        <v>44860</v>
      </c>
      <c r="W513" s="148">
        <f>IFERROR(__xludf.DUMMYFUNCTION("""COMPUTED_VALUE"""),48512.0)</f>
        <v>48512</v>
      </c>
      <c r="X513" s="149">
        <f>IFERROR(__xludf.DUMMYFUNCTION("""COMPUTED_VALUE"""),48329.0)</f>
        <v>48329</v>
      </c>
      <c r="Y513" t="str">
        <f>IFERROR(__xludf.DUMMYFUNCTION("""COMPUTED_VALUE"""),"ปลอดภัย")</f>
        <v>ปลอดภัย</v>
      </c>
      <c r="Z513" t="str">
        <f>IFERROR(__xludf.DUMMYFUNCTION("""COMPUTED_VALUE"""),"Bangkok")</f>
        <v>Bangkok</v>
      </c>
      <c r="AA513" t="str">
        <f>IFERROR(__xludf.DUMMYFUNCTION("""COMPUTED_VALUE"""),"Phathumwan")</f>
        <v>Phathumwan</v>
      </c>
      <c r="AB513" t="str">
        <f>IFERROR(__xludf.DUMMYFUNCTION("""COMPUTED_VALUE"""),"02 613 9659 / 082 054 2899")</f>
        <v>02 613 9659 / 082 054 2899</v>
      </c>
      <c r="AC513" t="str">
        <f>IFERROR(__xludf.DUMMYFUNCTION("""COMPUTED_VALUE"""),"Prtuengtip")</f>
        <v>Prtuengtip</v>
      </c>
      <c r="AD513" t="str">
        <f>IFERROR(__xludf.DUMMYFUNCTION("""COMPUTED_VALUE"""),"phirayap@airasia.com")</f>
        <v>phirayap@airasia.com</v>
      </c>
    </row>
    <row r="514">
      <c r="A514" s="142">
        <f>IFERROR(__xludf.DUMMYFUNCTION("""COMPUTED_VALUE"""),66.0)</f>
        <v>66</v>
      </c>
      <c r="B514" t="str">
        <f>IFERROR(__xludf.DUMMYFUNCTION("""COMPUTED_VALUE"""),"TAA5532")</f>
        <v>TAA5532</v>
      </c>
      <c r="C514">
        <f>IFERROR(__xludf.DUMMYFUNCTION("""COMPUTED_VALUE"""),1010906.0)</f>
        <v>1010906</v>
      </c>
      <c r="D514" t="str">
        <f>IFERROR(__xludf.DUMMYFUNCTION("""COMPUTED_VALUE"""),"Mr.")</f>
        <v>Mr.</v>
      </c>
      <c r="E514" t="str">
        <f>IFERROR(__xludf.DUMMYFUNCTION("""COMPUTED_VALUE"""),"Pirathat")</f>
        <v>Pirathat</v>
      </c>
      <c r="F514" t="str">
        <f>IFERROR(__xludf.DUMMYFUNCTION("""COMPUTED_VALUE"""),"Tima")</f>
        <v>Tima</v>
      </c>
      <c r="G514" t="str">
        <f>IFERROR(__xludf.DUMMYFUNCTION("""COMPUTED_VALUE"""),"Pirathat Tima")</f>
        <v>Pirathat Tima</v>
      </c>
      <c r="H514" t="str">
        <f>IFERROR(__xludf.DUMMYFUNCTION("""COMPUTED_VALUE"""),"นาย")</f>
        <v>นาย</v>
      </c>
      <c r="I514" t="str">
        <f>IFERROR(__xludf.DUMMYFUNCTION("""COMPUTED_VALUE"""),"พีรธัช")</f>
        <v>พีรธัช</v>
      </c>
      <c r="J514" t="str">
        <f>IFERROR(__xludf.DUMMYFUNCTION("""COMPUTED_VALUE"""),"ทิมา")</f>
        <v>ทิมา</v>
      </c>
      <c r="K514" t="str">
        <f>IFERROR(__xludf.DUMMYFUNCTION("""COMPUTED_VALUE"""),"พีรธัช ทิมา")</f>
        <v>พีรธัช ทิมา</v>
      </c>
      <c r="L514" t="str">
        <f>IFERROR(__xludf.DUMMYFUNCTION("""COMPUTED_VALUE"""),"พิน")</f>
        <v>พิน</v>
      </c>
      <c r="M514" t="str">
        <f>IFERROR(__xludf.DUMMYFUNCTION("""COMPUTED_VALUE"""),"Cabin Crew - BKK")</f>
        <v>Cabin Crew - BKK</v>
      </c>
      <c r="N514" t="str">
        <f>IFERROR(__xludf.DUMMYFUNCTION("""COMPUTED_VALUE"""),"BKK")</f>
        <v>BKK</v>
      </c>
      <c r="O514" s="145" t="str">
        <f>IFERROR(__xludf.DUMMYFUNCTION("""COMPUTED_VALUE"""),"Nhui Home")</f>
        <v>Nhui Home</v>
      </c>
      <c r="P514" t="str">
        <f>IFERROR(__xludf.DUMMYFUNCTION("""COMPUTED_VALUE"""),"Active")</f>
        <v>Active</v>
      </c>
      <c r="R514" s="143">
        <f>IFERROR(__xludf.DUMMYFUNCTION("""COMPUTED_VALUE"""),32127.0)</f>
        <v>32127</v>
      </c>
      <c r="S514" s="146" t="str">
        <f>IFERROR(__xludf.DUMMYFUNCTION("""COMPUTED_VALUE"""),"081-346-8613")</f>
        <v>081-346-8613</v>
      </c>
      <c r="T514" s="147" t="str">
        <f>IFERROR(__xludf.DUMMYFUNCTION("""COMPUTED_VALUE"""),"1101401-19-4769")</f>
        <v>1101401-19-4769</v>
      </c>
      <c r="U514" t="str">
        <f>IFERROR(__xludf.DUMMYFUNCTION("""COMPUTED_VALUE"""),"AC6192108")</f>
        <v>AC6192108</v>
      </c>
      <c r="V514" s="148">
        <f>IFERROR(__xludf.DUMMYFUNCTION("""COMPUTED_VALUE"""),45273.0)</f>
        <v>45273</v>
      </c>
      <c r="W514" s="148">
        <f>IFERROR(__xludf.DUMMYFUNCTION("""COMPUTED_VALUE"""),48925.0)</f>
        <v>48925</v>
      </c>
      <c r="X514" s="149">
        <f>IFERROR(__xludf.DUMMYFUNCTION("""COMPUTED_VALUE"""),48742.0)</f>
        <v>48742</v>
      </c>
      <c r="Y514" t="str">
        <f>IFERROR(__xludf.DUMMYFUNCTION("""COMPUTED_VALUE"""),"ปลอดภัย")</f>
        <v>ปลอดภัย</v>
      </c>
      <c r="Z514" t="str">
        <f>IFERROR(__xludf.DUMMYFUNCTION("""COMPUTED_VALUE"""),"Bangkok")</f>
        <v>Bangkok</v>
      </c>
      <c r="AA514" t="str">
        <f>IFERROR(__xludf.DUMMYFUNCTION("""COMPUTED_VALUE"""),"Tiwanon")</f>
        <v>Tiwanon</v>
      </c>
      <c r="AB514" t="str">
        <f>IFERROR(__xludf.DUMMYFUNCTION("""COMPUTED_VALUE"""),"02 589 2227 / 081 803 6890 / 084 668 2606")</f>
        <v>02 589 2227 / 081 803 6890 / 084 668 2606</v>
      </c>
      <c r="AC514" t="str">
        <f>IFERROR(__xludf.DUMMYFUNCTION("""COMPUTED_VALUE"""),"Home / Narintr")</f>
        <v>Home / Narintr</v>
      </c>
      <c r="AD514" t="str">
        <f>IFERROR(__xludf.DUMMYFUNCTION("""COMPUTED_VALUE"""),"pirathatt@airasia.com")</f>
        <v>pirathatt@airasia.com</v>
      </c>
    </row>
    <row r="515">
      <c r="A515" s="142">
        <f>IFERROR(__xludf.DUMMYFUNCTION("""COMPUTED_VALUE"""),66.0)</f>
        <v>66</v>
      </c>
      <c r="B515" t="str">
        <f>IFERROR(__xludf.DUMMYFUNCTION("""COMPUTED_VALUE"""),"TAA5516")</f>
        <v>TAA5516</v>
      </c>
      <c r="C515">
        <f>IFERROR(__xludf.DUMMYFUNCTION("""COMPUTED_VALUE"""),1010915.0)</f>
        <v>1010915</v>
      </c>
      <c r="D515" t="str">
        <f>IFERROR(__xludf.DUMMYFUNCTION("""COMPUTED_VALUE"""),"Ms.")</f>
        <v>Ms.</v>
      </c>
      <c r="E515" t="str">
        <f>IFERROR(__xludf.DUMMYFUNCTION("""COMPUTED_VALUE"""),"Sirirut")</f>
        <v>Sirirut</v>
      </c>
      <c r="F515" t="str">
        <f>IFERROR(__xludf.DUMMYFUNCTION("""COMPUTED_VALUE"""),"Ruasomboon")</f>
        <v>Ruasomboon</v>
      </c>
      <c r="G515" t="str">
        <f>IFERROR(__xludf.DUMMYFUNCTION("""COMPUTED_VALUE"""),"Sirirut Ruasomboon")</f>
        <v>Sirirut Ruasomboon</v>
      </c>
      <c r="H515" t="str">
        <f>IFERROR(__xludf.DUMMYFUNCTION("""COMPUTED_VALUE"""),"นางสาว")</f>
        <v>นางสาว</v>
      </c>
      <c r="I515" t="str">
        <f>IFERROR(__xludf.DUMMYFUNCTION("""COMPUTED_VALUE"""),"ศิริรัตน์")</f>
        <v>ศิริรัตน์</v>
      </c>
      <c r="J515" t="str">
        <f>IFERROR(__xludf.DUMMYFUNCTION("""COMPUTED_VALUE"""),"หรือสมบูรณ์")</f>
        <v>หรือสมบูรณ์</v>
      </c>
      <c r="K515" t="str">
        <f>IFERROR(__xludf.DUMMYFUNCTION("""COMPUTED_VALUE"""),"ศิริรัตน์ หรือสมบูรณ์")</f>
        <v>ศิริรัตน์ หรือสมบูรณ์</v>
      </c>
      <c r="L515" t="str">
        <f>IFERROR(__xludf.DUMMYFUNCTION("""COMPUTED_VALUE"""),"Yo")</f>
        <v>Yo</v>
      </c>
      <c r="M515" t="str">
        <f>IFERROR(__xludf.DUMMYFUNCTION("""COMPUTED_VALUE"""),"Senior Cabin Crew")</f>
        <v>Senior Cabin Crew</v>
      </c>
      <c r="N515" t="str">
        <f>IFERROR(__xludf.DUMMYFUNCTION("""COMPUTED_VALUE"""),"DMK")</f>
        <v>DMK</v>
      </c>
      <c r="O515" s="145" t="str">
        <f>IFERROR(__xludf.DUMMYFUNCTION("""COMPUTED_VALUE"""),"Namfon Home")</f>
        <v>Namfon Home</v>
      </c>
      <c r="P515" t="str">
        <f>IFERROR(__xludf.DUMMYFUNCTION("""COMPUTED_VALUE"""),"Active")</f>
        <v>Active</v>
      </c>
      <c r="R515" s="143">
        <f>IFERROR(__xludf.DUMMYFUNCTION("""COMPUTED_VALUE"""),31410.0)</f>
        <v>31410</v>
      </c>
      <c r="S515" s="146" t="str">
        <f>IFERROR(__xludf.DUMMYFUNCTION("""COMPUTED_VALUE"""),"081-451-2363")</f>
        <v>081-451-2363</v>
      </c>
      <c r="T515" s="147" t="str">
        <f>IFERROR(__xludf.DUMMYFUNCTION("""COMPUTED_VALUE"""),"1102000-54-2724")</f>
        <v>1102000-54-2724</v>
      </c>
      <c r="U515" t="str">
        <f>IFERROR(__xludf.DUMMYFUNCTION("""COMPUTED_VALUE"""),"AC3168667")</f>
        <v>AC3168667</v>
      </c>
      <c r="V515" s="148">
        <f>IFERROR(__xludf.DUMMYFUNCTION("""COMPUTED_VALUE"""),44704.0)</f>
        <v>44704</v>
      </c>
      <c r="W515" s="148">
        <f>IFERROR(__xludf.DUMMYFUNCTION("""COMPUTED_VALUE"""),48356.0)</f>
        <v>48356</v>
      </c>
      <c r="X515" s="149">
        <f>IFERROR(__xludf.DUMMYFUNCTION("""COMPUTED_VALUE"""),48174.0)</f>
        <v>48174</v>
      </c>
      <c r="Y515" t="str">
        <f>IFERROR(__xludf.DUMMYFUNCTION("""COMPUTED_VALUE"""),"ปลอดภัย")</f>
        <v>ปลอดภัย</v>
      </c>
      <c r="Z515" t="str">
        <f>IFERROR(__xludf.DUMMYFUNCTION("""COMPUTED_VALUE"""),"Bangkok")</f>
        <v>Bangkok</v>
      </c>
      <c r="AA515" t="str">
        <f>IFERROR(__xludf.DUMMYFUNCTION("""COMPUTED_VALUE"""),"Bangplad")</f>
        <v>Bangplad</v>
      </c>
      <c r="AB515" t="str">
        <f>IFERROR(__xludf.DUMMYFUNCTION("""COMPUTED_VALUE"""),"02 808 0048")</f>
        <v>02 808 0048</v>
      </c>
      <c r="AC515" t="str">
        <f>IFERROR(__xludf.DUMMYFUNCTION("""COMPUTED_VALUE"""),"Home")</f>
        <v>Home</v>
      </c>
      <c r="AD515" t="str">
        <f>IFERROR(__xludf.DUMMYFUNCTION("""COMPUTED_VALUE"""),"sirirutr@airasia.com")</f>
        <v>sirirutr@airasia.com</v>
      </c>
    </row>
    <row r="516">
      <c r="A516" s="142">
        <f>IFERROR(__xludf.DUMMYFUNCTION("""COMPUTED_VALUE"""),66.0)</f>
        <v>66</v>
      </c>
      <c r="B516" t="str">
        <f>IFERROR(__xludf.DUMMYFUNCTION("""COMPUTED_VALUE"""),"TAA5521")</f>
        <v>TAA5521</v>
      </c>
      <c r="C516">
        <f>IFERROR(__xludf.DUMMYFUNCTION("""COMPUTED_VALUE"""),1010919.0)</f>
        <v>1010919</v>
      </c>
      <c r="D516" t="str">
        <f>IFERROR(__xludf.DUMMYFUNCTION("""COMPUTED_VALUE"""),"Mr.")</f>
        <v>Mr.</v>
      </c>
      <c r="E516" t="str">
        <f>IFERROR(__xludf.DUMMYFUNCTION("""COMPUTED_VALUE"""),"Suntorn")</f>
        <v>Suntorn</v>
      </c>
      <c r="F516" t="str">
        <f>IFERROR(__xludf.DUMMYFUNCTION("""COMPUTED_VALUE"""),"Srimasongserm")</f>
        <v>Srimasongserm</v>
      </c>
      <c r="G516" t="str">
        <f>IFERROR(__xludf.DUMMYFUNCTION("""COMPUTED_VALUE"""),"Suntorn Srimasongserm")</f>
        <v>Suntorn Srimasongserm</v>
      </c>
      <c r="H516" t="str">
        <f>IFERROR(__xludf.DUMMYFUNCTION("""COMPUTED_VALUE"""),"นาย")</f>
        <v>นาย</v>
      </c>
      <c r="I516" t="str">
        <f>IFERROR(__xludf.DUMMYFUNCTION("""COMPUTED_VALUE"""),"สุนทร")</f>
        <v>สุนทร</v>
      </c>
      <c r="J516" t="str">
        <f>IFERROR(__xludf.DUMMYFUNCTION("""COMPUTED_VALUE"""),"สีมาส่งเสริม")</f>
        <v>สีมาส่งเสริม</v>
      </c>
      <c r="K516" t="str">
        <f>IFERROR(__xludf.DUMMYFUNCTION("""COMPUTED_VALUE"""),"สุนทร สีมาส่งเสริม")</f>
        <v>สุนทร สีมาส่งเสริม</v>
      </c>
      <c r="L516" t="str">
        <f>IFERROR(__xludf.DUMMYFUNCTION("""COMPUTED_VALUE"""),"คุง")</f>
        <v>คุง</v>
      </c>
      <c r="M516" t="str">
        <f>IFERROR(__xludf.DUMMYFUNCTION("""COMPUTED_VALUE"""),"Senior Cabin Crew")</f>
        <v>Senior Cabin Crew</v>
      </c>
      <c r="N516" t="str">
        <f>IFERROR(__xludf.DUMMYFUNCTION("""COMPUTED_VALUE"""),"DMK")</f>
        <v>DMK</v>
      </c>
      <c r="O516" s="145" t="str">
        <f>IFERROR(__xludf.DUMMYFUNCTION("""COMPUTED_VALUE"""),"Um Home")</f>
        <v>Um Home</v>
      </c>
      <c r="P516" t="str">
        <f>IFERROR(__xludf.DUMMYFUNCTION("""COMPUTED_VALUE"""),"Active")</f>
        <v>Active</v>
      </c>
      <c r="R516" s="143">
        <f>IFERROR(__xludf.DUMMYFUNCTION("""COMPUTED_VALUE"""),32092.0)</f>
        <v>32092</v>
      </c>
      <c r="S516" s="146" t="str">
        <f>IFERROR(__xludf.DUMMYFUNCTION("""COMPUTED_VALUE"""),"086-525-5441")</f>
        <v>086-525-5441</v>
      </c>
      <c r="T516" s="147" t="str">
        <f>IFERROR(__xludf.DUMMYFUNCTION("""COMPUTED_VALUE"""),"1101800-26-8006")</f>
        <v>1101800-26-8006</v>
      </c>
      <c r="U516" t="str">
        <f>IFERROR(__xludf.DUMMYFUNCTION("""COMPUTED_VALUE"""),"AC2374804")</f>
        <v>AC2374804</v>
      </c>
      <c r="V516" s="148">
        <f>IFERROR(__xludf.DUMMYFUNCTION("""COMPUTED_VALUE"""),44390.0)</f>
        <v>44390</v>
      </c>
      <c r="W516" s="148">
        <f>IFERROR(__xludf.DUMMYFUNCTION("""COMPUTED_VALUE"""),48041.0)</f>
        <v>48041</v>
      </c>
      <c r="X516" s="149">
        <f>IFERROR(__xludf.DUMMYFUNCTION("""COMPUTED_VALUE"""),47860.0)</f>
        <v>47860</v>
      </c>
      <c r="Y516" t="str">
        <f>IFERROR(__xludf.DUMMYFUNCTION("""COMPUTED_VALUE"""),"ปลอดภัย")</f>
        <v>ปลอดภัย</v>
      </c>
      <c r="Z516" t="str">
        <f>IFERROR(__xludf.DUMMYFUNCTION("""COMPUTED_VALUE"""),"Bangkok")</f>
        <v>Bangkok</v>
      </c>
      <c r="AA516" t="str">
        <f>IFERROR(__xludf.DUMMYFUNCTION("""COMPUTED_VALUE"""),"Jomthong")</f>
        <v>Jomthong</v>
      </c>
      <c r="AB516" t="str">
        <f>IFERROR(__xludf.DUMMYFUNCTION("""COMPUTED_VALUE"""),"098 260 9778")</f>
        <v>098 260 9778</v>
      </c>
      <c r="AC516" t="str">
        <f>IFERROR(__xludf.DUMMYFUNCTION("""COMPUTED_VALUE"""),"Kanokporn")</f>
        <v>Kanokporn</v>
      </c>
      <c r="AD516" t="str">
        <f>IFERROR(__xludf.DUMMYFUNCTION("""COMPUTED_VALUE"""),"suntorns@airasia.com")</f>
        <v>suntorns@airasia.com</v>
      </c>
    </row>
    <row r="517">
      <c r="A517" s="142">
        <f>IFERROR(__xludf.DUMMYFUNCTION("""COMPUTED_VALUE"""),66.0)</f>
        <v>66</v>
      </c>
      <c r="B517" t="str">
        <f>IFERROR(__xludf.DUMMYFUNCTION("""COMPUTED_VALUE"""),"TAA5529")</f>
        <v>TAA5529</v>
      </c>
      <c r="C517">
        <f>IFERROR(__xludf.DUMMYFUNCTION("""COMPUTED_VALUE"""),1010922.0)</f>
        <v>1010922</v>
      </c>
      <c r="D517" t="str">
        <f>IFERROR(__xludf.DUMMYFUNCTION("""COMPUTED_VALUE"""),"Mr.")</f>
        <v>Mr.</v>
      </c>
      <c r="E517" t="str">
        <f>IFERROR(__xludf.DUMMYFUNCTION("""COMPUTED_VALUE"""),"Taks")</f>
        <v>Taks</v>
      </c>
      <c r="F517" t="str">
        <f>IFERROR(__xludf.DUMMYFUNCTION("""COMPUTED_VALUE"""),"Boonpradit")</f>
        <v>Boonpradit</v>
      </c>
      <c r="G517" t="str">
        <f>IFERROR(__xludf.DUMMYFUNCTION("""COMPUTED_VALUE"""),"Taks Boonpradit")</f>
        <v>Taks Boonpradit</v>
      </c>
      <c r="H517" t="str">
        <f>IFERROR(__xludf.DUMMYFUNCTION("""COMPUTED_VALUE"""),"นาย")</f>
        <v>นาย</v>
      </c>
      <c r="I517" t="str">
        <f>IFERROR(__xludf.DUMMYFUNCTION("""COMPUTED_VALUE"""),"ทักษ์")</f>
        <v>ทักษ์</v>
      </c>
      <c r="J517" t="str">
        <f>IFERROR(__xludf.DUMMYFUNCTION("""COMPUTED_VALUE"""),"บุญประดิษฐ์")</f>
        <v>บุญประดิษฐ์</v>
      </c>
      <c r="K517" t="str">
        <f>IFERROR(__xludf.DUMMYFUNCTION("""COMPUTED_VALUE"""),"ทักษ์ บุญประดิษฐ์")</f>
        <v>ทักษ์ บุญประดิษฐ์</v>
      </c>
      <c r="L517" t="str">
        <f>IFERROR(__xludf.DUMMYFUNCTION("""COMPUTED_VALUE"""),"Top")</f>
        <v>Top</v>
      </c>
      <c r="M517" t="str">
        <f>IFERROR(__xludf.DUMMYFUNCTION("""COMPUTED_VALUE"""),"Senior Cabin Crew")</f>
        <v>Senior Cabin Crew</v>
      </c>
      <c r="N517" t="str">
        <f>IFERROR(__xludf.DUMMYFUNCTION("""COMPUTED_VALUE"""),"DMK")</f>
        <v>DMK</v>
      </c>
      <c r="O517" s="145" t="str">
        <f>IFERROR(__xludf.DUMMYFUNCTION("""COMPUTED_VALUE"""),"Kor Home")</f>
        <v>Kor Home</v>
      </c>
      <c r="P517" t="str">
        <f>IFERROR(__xludf.DUMMYFUNCTION("""COMPUTED_VALUE"""),"Active")</f>
        <v>Active</v>
      </c>
      <c r="R517" s="143">
        <f>IFERROR(__xludf.DUMMYFUNCTION("""COMPUTED_VALUE"""),31926.0)</f>
        <v>31926</v>
      </c>
      <c r="S517" s="146" t="str">
        <f>IFERROR(__xludf.DUMMYFUNCTION("""COMPUTED_VALUE"""),"086-909-1114")</f>
        <v>086-909-1114</v>
      </c>
      <c r="T517" s="147" t="str">
        <f>IFERROR(__xludf.DUMMYFUNCTION("""COMPUTED_VALUE"""),"1101401-01-9410")</f>
        <v>1101401-01-9410</v>
      </c>
      <c r="U517" t="str">
        <f>IFERROR(__xludf.DUMMYFUNCTION("""COMPUTED_VALUE"""),"AC3972625")</f>
        <v>AC3972625</v>
      </c>
      <c r="V517" s="148">
        <f>IFERROR(__xludf.DUMMYFUNCTION("""COMPUTED_VALUE"""),44809.0)</f>
        <v>44809</v>
      </c>
      <c r="W517" s="148">
        <f>IFERROR(__xludf.DUMMYFUNCTION("""COMPUTED_VALUE"""),48461.0)</f>
        <v>48461</v>
      </c>
      <c r="X517" s="149">
        <f>IFERROR(__xludf.DUMMYFUNCTION("""COMPUTED_VALUE"""),48277.0)</f>
        <v>48277</v>
      </c>
      <c r="Y517" t="str">
        <f>IFERROR(__xludf.DUMMYFUNCTION("""COMPUTED_VALUE"""),"ปลอดภัย")</f>
        <v>ปลอดภัย</v>
      </c>
      <c r="Z517" t="str">
        <f>IFERROR(__xludf.DUMMYFUNCTION("""COMPUTED_VALUE"""),"Bangkok")</f>
        <v>Bangkok</v>
      </c>
      <c r="AA517" t="str">
        <f>IFERROR(__xludf.DUMMYFUNCTION("""COMPUTED_VALUE"""),"Saimai")</f>
        <v>Saimai</v>
      </c>
      <c r="AB517" t="str">
        <f>IFERROR(__xludf.DUMMYFUNCTION("""COMPUTED_VALUE"""),"087 636 1405 / 087 037 8009")</f>
        <v>087 636 1405 / 087 037 8009</v>
      </c>
      <c r="AC517" t="str">
        <f>IFERROR(__xludf.DUMMYFUNCTION("""COMPUTED_VALUE"""),"Russamee")</f>
        <v>Russamee</v>
      </c>
      <c r="AD517" t="str">
        <f>IFERROR(__xludf.DUMMYFUNCTION("""COMPUTED_VALUE"""),"taksb@airasia.com")</f>
        <v>taksb@airasia.com</v>
      </c>
    </row>
    <row r="518">
      <c r="A518" s="142">
        <f>IFERROR(__xludf.DUMMYFUNCTION("""COMPUTED_VALUE"""),66.0)</f>
        <v>66</v>
      </c>
      <c r="B518" t="str">
        <f>IFERROR(__xludf.DUMMYFUNCTION("""COMPUTED_VALUE"""),"TAA5513")</f>
        <v>TAA5513</v>
      </c>
      <c r="C518">
        <f>IFERROR(__xludf.DUMMYFUNCTION("""COMPUTED_VALUE"""),1010924.0)</f>
        <v>1010924</v>
      </c>
      <c r="D518" t="str">
        <f>IFERROR(__xludf.DUMMYFUNCTION("""COMPUTED_VALUE"""),"Ms.")</f>
        <v>Ms.</v>
      </c>
      <c r="E518" t="str">
        <f>IFERROR(__xludf.DUMMYFUNCTION("""COMPUTED_VALUE"""),"Thanarat")</f>
        <v>Thanarat</v>
      </c>
      <c r="F518" t="str">
        <f>IFERROR(__xludf.DUMMYFUNCTION("""COMPUTED_VALUE"""),"Juangpanich")</f>
        <v>Juangpanich</v>
      </c>
      <c r="G518" t="str">
        <f>IFERROR(__xludf.DUMMYFUNCTION("""COMPUTED_VALUE"""),"Thanarat Juangpanich")</f>
        <v>Thanarat Juangpanich</v>
      </c>
      <c r="H518" t="str">
        <f>IFERROR(__xludf.DUMMYFUNCTION("""COMPUTED_VALUE"""),"นางสาว")</f>
        <v>นางสาว</v>
      </c>
      <c r="I518" t="str">
        <f>IFERROR(__xludf.DUMMYFUNCTION("""COMPUTED_VALUE"""),"ธนารัตน์")</f>
        <v>ธนารัตน์</v>
      </c>
      <c r="J518" t="str">
        <f>IFERROR(__xludf.DUMMYFUNCTION("""COMPUTED_VALUE"""),"จ๋วงพานิช")</f>
        <v>จ๋วงพานิช</v>
      </c>
      <c r="K518" t="str">
        <f>IFERROR(__xludf.DUMMYFUNCTION("""COMPUTED_VALUE"""),"ธนารัตน์ จ๋วงพานิช")</f>
        <v>ธนารัตน์ จ๋วงพานิช</v>
      </c>
      <c r="L518" t="str">
        <f>IFERROR(__xludf.DUMMYFUNCTION("""COMPUTED_VALUE"""),"นิ")</f>
        <v>นิ</v>
      </c>
      <c r="M518" t="str">
        <f>IFERROR(__xludf.DUMMYFUNCTION("""COMPUTED_VALUE"""),"Senior Cabin Crew")</f>
        <v>Senior Cabin Crew</v>
      </c>
      <c r="N518" t="str">
        <f>IFERROR(__xludf.DUMMYFUNCTION("""COMPUTED_VALUE"""),"DMK")</f>
        <v>DMK</v>
      </c>
      <c r="O518" s="145" t="str">
        <f>IFERROR(__xludf.DUMMYFUNCTION("""COMPUTED_VALUE"""),"Toffy Home")</f>
        <v>Toffy Home</v>
      </c>
      <c r="P518" t="str">
        <f>IFERROR(__xludf.DUMMYFUNCTION("""COMPUTED_VALUE"""),"Active")</f>
        <v>Active</v>
      </c>
      <c r="R518" s="143">
        <f>IFERROR(__xludf.DUMMYFUNCTION("""COMPUTED_VALUE"""),32866.0)</f>
        <v>32866</v>
      </c>
      <c r="S518" s="146" t="str">
        <f>IFERROR(__xludf.DUMMYFUNCTION("""COMPUTED_VALUE"""),"092-424-9629")</f>
        <v>092-424-9629</v>
      </c>
      <c r="T518" s="147" t="str">
        <f>IFERROR(__xludf.DUMMYFUNCTION("""COMPUTED_VALUE"""),"1101401-68-5576")</f>
        <v>1101401-68-5576</v>
      </c>
      <c r="U518" t="str">
        <f>IFERROR(__xludf.DUMMYFUNCTION("""COMPUTED_VALUE"""),"AD1260947")</f>
        <v>AD1260947</v>
      </c>
      <c r="V518" s="148">
        <f>IFERROR(__xludf.DUMMYFUNCTION("""COMPUTED_VALUE"""),45197.0)</f>
        <v>45197</v>
      </c>
      <c r="W518" s="148">
        <f>IFERROR(__xludf.DUMMYFUNCTION("""COMPUTED_VALUE"""),48849.0)</f>
        <v>48849</v>
      </c>
      <c r="X518" s="149">
        <f>IFERROR(__xludf.DUMMYFUNCTION("""COMPUTED_VALUE"""),48665.0)</f>
        <v>48665</v>
      </c>
      <c r="Y518" t="str">
        <f>IFERROR(__xludf.DUMMYFUNCTION("""COMPUTED_VALUE"""),"ปลอดภัย")</f>
        <v>ปลอดภัย</v>
      </c>
      <c r="Z518" t="str">
        <f>IFERROR(__xludf.DUMMYFUNCTION("""COMPUTED_VALUE"""),"Bangkok")</f>
        <v>Bangkok</v>
      </c>
      <c r="AA518" t="str">
        <f>IFERROR(__xludf.DUMMYFUNCTION("""COMPUTED_VALUE"""),"Tung Song Hong")</f>
        <v>Tung Song Hong</v>
      </c>
      <c r="AB518" t="str">
        <f>IFERROR(__xludf.DUMMYFUNCTION("""COMPUTED_VALUE"""),"089 703 5094")</f>
        <v>089 703 5094</v>
      </c>
      <c r="AC518" t="str">
        <f>IFERROR(__xludf.DUMMYFUNCTION("""COMPUTED_VALUE"""),"Patthama")</f>
        <v>Patthama</v>
      </c>
      <c r="AD518" t="str">
        <f>IFERROR(__xludf.DUMMYFUNCTION("""COMPUTED_VALUE"""),"thanaratj@airasia.com")</f>
        <v>thanaratj@airasia.com</v>
      </c>
    </row>
    <row r="519">
      <c r="A519" s="142">
        <f>IFERROR(__xludf.DUMMYFUNCTION("""COMPUTED_VALUE"""),66.0)</f>
        <v>66</v>
      </c>
      <c r="B519" t="str">
        <f>IFERROR(__xludf.DUMMYFUNCTION("""COMPUTED_VALUE"""),"TAA5522")</f>
        <v>TAA5522</v>
      </c>
      <c r="C519">
        <f>IFERROR(__xludf.DUMMYFUNCTION("""COMPUTED_VALUE"""),1010925.0)</f>
        <v>1010925</v>
      </c>
      <c r="D519" t="str">
        <f>IFERROR(__xludf.DUMMYFUNCTION("""COMPUTED_VALUE"""),"Mr.")</f>
        <v>Mr.</v>
      </c>
      <c r="E519" t="str">
        <f>IFERROR(__xludf.DUMMYFUNCTION("""COMPUTED_VALUE"""),"Thanatdanai")</f>
        <v>Thanatdanai</v>
      </c>
      <c r="F519" t="str">
        <f>IFERROR(__xludf.DUMMYFUNCTION("""COMPUTED_VALUE"""),"Kaewchusen")</f>
        <v>Kaewchusen</v>
      </c>
      <c r="G519" t="str">
        <f>IFERROR(__xludf.DUMMYFUNCTION("""COMPUTED_VALUE"""),"Thanatdanai Kaewchusen")</f>
        <v>Thanatdanai Kaewchusen</v>
      </c>
      <c r="H519" t="str">
        <f>IFERROR(__xludf.DUMMYFUNCTION("""COMPUTED_VALUE"""),"นาย")</f>
        <v>นาย</v>
      </c>
      <c r="I519" t="str">
        <f>IFERROR(__xludf.DUMMYFUNCTION("""COMPUTED_VALUE"""),"ธนัชดนัย")</f>
        <v>ธนัชดนัย</v>
      </c>
      <c r="J519" t="str">
        <f>IFERROR(__xludf.DUMMYFUNCTION("""COMPUTED_VALUE"""),"แก้วชูเสน")</f>
        <v>แก้วชูเสน</v>
      </c>
      <c r="K519" t="str">
        <f>IFERROR(__xludf.DUMMYFUNCTION("""COMPUTED_VALUE"""),"ธนัชดนัย แก้วชูเสน")</f>
        <v>ธนัชดนัย แก้วชูเสน</v>
      </c>
      <c r="L519" t="str">
        <f>IFERROR(__xludf.DUMMYFUNCTION("""COMPUTED_VALUE"""),"ข้าวโอ้ต")</f>
        <v>ข้าวโอ้ต</v>
      </c>
      <c r="M519" t="str">
        <f>IFERROR(__xludf.DUMMYFUNCTION("""COMPUTED_VALUE"""),"Senior Cabin Crew")</f>
        <v>Senior Cabin Crew</v>
      </c>
      <c r="N519" t="str">
        <f>IFERROR(__xludf.DUMMYFUNCTION("""COMPUTED_VALUE"""),"DMK")</f>
        <v>DMK</v>
      </c>
      <c r="O519" s="145" t="str">
        <f>IFERROR(__xludf.DUMMYFUNCTION("""COMPUTED_VALUE"""),"Toffy Home")</f>
        <v>Toffy Home</v>
      </c>
      <c r="P519" t="str">
        <f>IFERROR(__xludf.DUMMYFUNCTION("""COMPUTED_VALUE"""),"V/LWP")</f>
        <v>V/LWP</v>
      </c>
      <c r="Q519" t="str">
        <f>IFERROR(__xludf.DUMMYFUNCTION("""COMPUTED_VALUE"""),"Chinese Speaking")</f>
        <v>Chinese Speaking</v>
      </c>
      <c r="R519" s="143">
        <f>IFERROR(__xludf.DUMMYFUNCTION("""COMPUTED_VALUE"""),32700.0)</f>
        <v>32700</v>
      </c>
      <c r="S519" s="146" t="str">
        <f>IFERROR(__xludf.DUMMYFUNCTION("""COMPUTED_VALUE"""),"086-697-5995")</f>
        <v>086-697-5995</v>
      </c>
      <c r="T519" s="147" t="str">
        <f>IFERROR(__xludf.DUMMYFUNCTION("""COMPUTED_VALUE"""),"1669900-13-5744")</f>
        <v>1669900-13-5744</v>
      </c>
      <c r="U519" t="str">
        <f>IFERROR(__xludf.DUMMYFUNCTION("""COMPUTED_VALUE"""),"AC6416053")</f>
        <v>AC6416053</v>
      </c>
      <c r="V519" s="148">
        <f>IFERROR(__xludf.DUMMYFUNCTION("""COMPUTED_VALUE"""),45363.0)</f>
        <v>45363</v>
      </c>
      <c r="W519" s="148">
        <f>IFERROR(__xludf.DUMMYFUNCTION("""COMPUTED_VALUE"""),49014.0)</f>
        <v>49014</v>
      </c>
      <c r="X519" s="149">
        <f>IFERROR(__xludf.DUMMYFUNCTION("""COMPUTED_VALUE"""),48833.0)</f>
        <v>48833</v>
      </c>
      <c r="Y519" t="str">
        <f>IFERROR(__xludf.DUMMYFUNCTION("""COMPUTED_VALUE"""),"ปลอดภัย")</f>
        <v>ปลอดภัย</v>
      </c>
      <c r="Z519" t="str">
        <f>IFERROR(__xludf.DUMMYFUNCTION("""COMPUTED_VALUE"""),"Phichit Province")</f>
        <v>Phichit Province</v>
      </c>
      <c r="AA519" t="str">
        <f>IFERROR(__xludf.DUMMYFUNCTION("""COMPUTED_VALUE"""),"Nonthaburi")</f>
        <v>Nonthaburi</v>
      </c>
      <c r="AB519" t="str">
        <f>IFERROR(__xludf.DUMMYFUNCTION("""COMPUTED_VALUE"""),"074 445 425 / 095 440 5924 / 089 203 1029")</f>
        <v>074 445 425 / 095 440 5924 / 089 203 1029</v>
      </c>
      <c r="AC519" t="str">
        <f>IFERROR(__xludf.DUMMYFUNCTION("""COMPUTED_VALUE"""),"Home / Boonyanut")</f>
        <v>Home / Boonyanut</v>
      </c>
      <c r="AD519" t="str">
        <f>IFERROR(__xludf.DUMMYFUNCTION("""COMPUTED_VALUE"""),"thanatdanaik@airasia.com")</f>
        <v>thanatdanaik@airasia.com</v>
      </c>
    </row>
    <row r="520">
      <c r="A520" s="142">
        <f>IFERROR(__xludf.DUMMYFUNCTION("""COMPUTED_VALUE"""),66.0)</f>
        <v>66</v>
      </c>
      <c r="B520" t="str">
        <f>IFERROR(__xludf.DUMMYFUNCTION("""COMPUTED_VALUE"""),"TAA5528")</f>
        <v>TAA5528</v>
      </c>
      <c r="C520">
        <f>IFERROR(__xludf.DUMMYFUNCTION("""COMPUTED_VALUE"""),1010926.0)</f>
        <v>1010926</v>
      </c>
      <c r="D520" t="str">
        <f>IFERROR(__xludf.DUMMYFUNCTION("""COMPUTED_VALUE"""),"Mr.")</f>
        <v>Mr.</v>
      </c>
      <c r="E520" t="str">
        <f>IFERROR(__xludf.DUMMYFUNCTION("""COMPUTED_VALUE"""),"Thanchanoth")</f>
        <v>Thanchanoth</v>
      </c>
      <c r="F520" t="str">
        <f>IFERROR(__xludf.DUMMYFUNCTION("""COMPUTED_VALUE"""),"Chiwnarupai")</f>
        <v>Chiwnarupai</v>
      </c>
      <c r="G520" t="str">
        <f>IFERROR(__xludf.DUMMYFUNCTION("""COMPUTED_VALUE"""),"Thanchanoth Chiwnarupai")</f>
        <v>Thanchanoth Chiwnarupai</v>
      </c>
      <c r="H520" t="str">
        <f>IFERROR(__xludf.DUMMYFUNCTION("""COMPUTED_VALUE"""),"นาย")</f>
        <v>นาย</v>
      </c>
      <c r="I520" t="str">
        <f>IFERROR(__xludf.DUMMYFUNCTION("""COMPUTED_VALUE"""),"ธัณชณท")</f>
        <v>ธัณชณท</v>
      </c>
      <c r="J520" t="str">
        <f>IFERROR(__xludf.DUMMYFUNCTION("""COMPUTED_VALUE"""),"ชิ้วนฤภัย")</f>
        <v>ชิ้วนฤภัย</v>
      </c>
      <c r="K520" t="str">
        <f>IFERROR(__xludf.DUMMYFUNCTION("""COMPUTED_VALUE"""),"ธัณชณท ชิ้วนฤภัย")</f>
        <v>ธัณชณท ชิ้วนฤภัย</v>
      </c>
      <c r="L520" t="str">
        <f>IFERROR(__xludf.DUMMYFUNCTION("""COMPUTED_VALUE"""),"แม็ก")</f>
        <v>แม็ก</v>
      </c>
      <c r="M520" t="str">
        <f>IFERROR(__xludf.DUMMYFUNCTION("""COMPUTED_VALUE"""),"Cabin Crew")</f>
        <v>Cabin Crew</v>
      </c>
      <c r="N520" t="str">
        <f>IFERROR(__xludf.DUMMYFUNCTION("""COMPUTED_VALUE"""),"DMK")</f>
        <v>DMK</v>
      </c>
      <c r="O520" s="145" t="str">
        <f>IFERROR(__xludf.DUMMYFUNCTION("""COMPUTED_VALUE"""),"Toffy Home")</f>
        <v>Toffy Home</v>
      </c>
      <c r="P520" t="str">
        <f>IFERROR(__xludf.DUMMYFUNCTION("""COMPUTED_VALUE"""),"Active")</f>
        <v>Active</v>
      </c>
      <c r="R520" s="143">
        <f>IFERROR(__xludf.DUMMYFUNCTION("""COMPUTED_VALUE"""),32549.0)</f>
        <v>32549</v>
      </c>
      <c r="S520" s="146" t="str">
        <f>IFERROR(__xludf.DUMMYFUNCTION("""COMPUTED_VALUE"""),"062 428 2926")</f>
        <v>062 428 2926</v>
      </c>
      <c r="T520" s="147" t="str">
        <f>IFERROR(__xludf.DUMMYFUNCTION("""COMPUTED_VALUE"""),"1739900-18-7808")</f>
        <v>1739900-18-7808</v>
      </c>
      <c r="U520" t="str">
        <f>IFERROR(__xludf.DUMMYFUNCTION("""COMPUTED_VALUE"""),"AC2904373")</f>
        <v>AC2904373</v>
      </c>
      <c r="V520" s="148">
        <f>IFERROR(__xludf.DUMMYFUNCTION("""COMPUTED_VALUE"""),44616.0)</f>
        <v>44616</v>
      </c>
      <c r="W520" s="148">
        <f>IFERROR(__xludf.DUMMYFUNCTION("""COMPUTED_VALUE"""),48267.0)</f>
        <v>48267</v>
      </c>
      <c r="X520" s="149">
        <f>IFERROR(__xludf.DUMMYFUNCTION("""COMPUTED_VALUE"""),48083.0)</f>
        <v>48083</v>
      </c>
      <c r="Y520" t="str">
        <f>IFERROR(__xludf.DUMMYFUNCTION("""COMPUTED_VALUE"""),"ปลอดภัย")</f>
        <v>ปลอดภัย</v>
      </c>
      <c r="Z520" t="str">
        <f>IFERROR(__xludf.DUMMYFUNCTION("""COMPUTED_VALUE"""),"Nakhon Pathom Province")</f>
        <v>Nakhon Pathom Province</v>
      </c>
      <c r="AA520" t="str">
        <f>IFERROR(__xludf.DUMMYFUNCTION("""COMPUTED_VALUE"""),"Huay Kwang")</f>
        <v>Huay Kwang</v>
      </c>
      <c r="AB520" t="str">
        <f>IFERROR(__xludf.DUMMYFUNCTION("""COMPUTED_VALUE"""),"034 344 226 / 081 917 7512")</f>
        <v>034 344 226 / 081 917 7512</v>
      </c>
      <c r="AC520" t="str">
        <f>IFERROR(__xludf.DUMMYFUNCTION("""COMPUTED_VALUE"""),"Home / Monchita")</f>
        <v>Home / Monchita</v>
      </c>
      <c r="AD520" t="str">
        <f>IFERROR(__xludf.DUMMYFUNCTION("""COMPUTED_VALUE"""),"thanchanothc@airasia.com")</f>
        <v>thanchanothc@airasia.com</v>
      </c>
    </row>
    <row r="521">
      <c r="A521" s="142">
        <f>IFERROR(__xludf.DUMMYFUNCTION("""COMPUTED_VALUE"""),66.0)</f>
        <v>66</v>
      </c>
      <c r="B521" t="str">
        <f>IFERROR(__xludf.DUMMYFUNCTION("""COMPUTED_VALUE"""),"TAA5511")</f>
        <v>TAA5511</v>
      </c>
      <c r="C521">
        <f>IFERROR(__xludf.DUMMYFUNCTION("""COMPUTED_VALUE"""),1010932.0)</f>
        <v>1010932</v>
      </c>
      <c r="D521" t="str">
        <f>IFERROR(__xludf.DUMMYFUNCTION("""COMPUTED_VALUE"""),"Ms.")</f>
        <v>Ms.</v>
      </c>
      <c r="E521" t="str">
        <f>IFERROR(__xludf.DUMMYFUNCTION("""COMPUTED_VALUE"""),"Wanunyapat")</f>
        <v>Wanunyapat</v>
      </c>
      <c r="F521" t="str">
        <f>IFERROR(__xludf.DUMMYFUNCTION("""COMPUTED_VALUE"""),"Wongvichien")</f>
        <v>Wongvichien</v>
      </c>
      <c r="G521" t="str">
        <f>IFERROR(__xludf.DUMMYFUNCTION("""COMPUTED_VALUE"""),"Wanunyapat Wongvichien")</f>
        <v>Wanunyapat Wongvichien</v>
      </c>
      <c r="H521" t="str">
        <f>IFERROR(__xludf.DUMMYFUNCTION("""COMPUTED_VALUE"""),"นางสาว")</f>
        <v>นางสาว</v>
      </c>
      <c r="I521" t="str">
        <f>IFERROR(__xludf.DUMMYFUNCTION("""COMPUTED_VALUE"""),"วณัญญาพัชร")</f>
        <v>วณัญญาพัชร</v>
      </c>
      <c r="J521" t="str">
        <f>IFERROR(__xludf.DUMMYFUNCTION("""COMPUTED_VALUE"""),"วงศ์วิเชียร")</f>
        <v>วงศ์วิเชียร</v>
      </c>
      <c r="K521" t="str">
        <f>IFERROR(__xludf.DUMMYFUNCTION("""COMPUTED_VALUE"""),"วณัญญาพัชร วงศ์วิเชียร")</f>
        <v>วณัญญาพัชร วงศ์วิเชียร</v>
      </c>
      <c r="L521" t="str">
        <f>IFERROR(__xludf.DUMMYFUNCTION("""COMPUTED_VALUE"""),"แทน")</f>
        <v>แทน</v>
      </c>
      <c r="M521" t="str">
        <f>IFERROR(__xludf.DUMMYFUNCTION("""COMPUTED_VALUE"""),"Senior Cabin Crew")</f>
        <v>Senior Cabin Crew</v>
      </c>
      <c r="N521" t="str">
        <f>IFERROR(__xludf.DUMMYFUNCTION("""COMPUTED_VALUE"""),"DMK")</f>
        <v>DMK</v>
      </c>
      <c r="O521" s="145" t="str">
        <f>IFERROR(__xludf.DUMMYFUNCTION("""COMPUTED_VALUE"""),"Toffy Home")</f>
        <v>Toffy Home</v>
      </c>
      <c r="P521" t="str">
        <f>IFERROR(__xludf.DUMMYFUNCTION("""COMPUTED_VALUE"""),"Active")</f>
        <v>Active</v>
      </c>
      <c r="R521" s="143">
        <f>IFERROR(__xludf.DUMMYFUNCTION("""COMPUTED_VALUE"""),31967.0)</f>
        <v>31967</v>
      </c>
      <c r="S521" s="146" t="str">
        <f>IFERROR(__xludf.DUMMYFUNCTION("""COMPUTED_VALUE"""),"061 596 1949")</f>
        <v>061 596 1949</v>
      </c>
      <c r="T521" s="147" t="str">
        <f>IFERROR(__xludf.DUMMYFUNCTION("""COMPUTED_VALUE"""),"1101401-04-2870")</f>
        <v>1101401-04-2870</v>
      </c>
      <c r="U521" t="str">
        <f>IFERROR(__xludf.DUMMYFUNCTION("""COMPUTED_VALUE"""),"AC8154876")</f>
        <v>AC8154876</v>
      </c>
      <c r="V521" s="148">
        <f>IFERROR(__xludf.DUMMYFUNCTION("""COMPUTED_VALUE"""),45870.0)</f>
        <v>45870</v>
      </c>
      <c r="W521" s="148">
        <f>IFERROR(__xludf.DUMMYFUNCTION("""COMPUTED_VALUE"""),49521.0)</f>
        <v>49521</v>
      </c>
      <c r="X521" s="149">
        <f>IFERROR(__xludf.DUMMYFUNCTION("""COMPUTED_VALUE"""),49340.0)</f>
        <v>49340</v>
      </c>
      <c r="Y521" t="str">
        <f>IFERROR(__xludf.DUMMYFUNCTION("""COMPUTED_VALUE"""),"ปลอดภัย")</f>
        <v>ปลอดภัย</v>
      </c>
      <c r="Z521" t="str">
        <f>IFERROR(__xludf.DUMMYFUNCTION("""COMPUTED_VALUE"""),"Bangkok")</f>
        <v>Bangkok</v>
      </c>
      <c r="AA521" t="str">
        <f>IFERROR(__xludf.DUMMYFUNCTION("""COMPUTED_VALUE"""),"Beungkum")</f>
        <v>Beungkum</v>
      </c>
      <c r="AB521" t="str">
        <f>IFERROR(__xludf.DUMMYFUNCTION("""COMPUTED_VALUE"""),"02 949 7998 / 081 854 1118")</f>
        <v>02 949 7998 / 081 854 1118</v>
      </c>
      <c r="AC521" t="str">
        <f>IFERROR(__xludf.DUMMYFUNCTION("""COMPUTED_VALUE"""),"Home / Scrum")</f>
        <v>Home / Scrum</v>
      </c>
      <c r="AD521" t="str">
        <f>IFERROR(__xludf.DUMMYFUNCTION("""COMPUTED_VALUE"""),"wanunyapatw@airasia.com")</f>
        <v>wanunyapatw@airasia.com</v>
      </c>
    </row>
    <row r="522">
      <c r="AD522" t="str">
        <f>IFERROR(__xludf.DUMMYFUNCTION("""COMPUTED_VALUE"""),"")</f>
        <v/>
      </c>
    </row>
    <row r="523">
      <c r="A523" s="142">
        <f>IFERROR(__xludf.DUMMYFUNCTION("""COMPUTED_VALUE"""),67.0)</f>
        <v>67</v>
      </c>
      <c r="B523" t="str">
        <f>IFERROR(__xludf.DUMMYFUNCTION("""COMPUTED_VALUE"""),"TAA5584")</f>
        <v>TAA5584</v>
      </c>
      <c r="C523">
        <f>IFERROR(__xludf.DUMMYFUNCTION("""COMPUTED_VALUE"""),1011303.0)</f>
        <v>1011303</v>
      </c>
      <c r="D523" t="str">
        <f>IFERROR(__xludf.DUMMYFUNCTION("""COMPUTED_VALUE"""),"Ms.")</f>
        <v>Ms.</v>
      </c>
      <c r="E523" t="str">
        <f>IFERROR(__xludf.DUMMYFUNCTION("""COMPUTED_VALUE"""),"Awassada")</f>
        <v>Awassada</v>
      </c>
      <c r="F523" t="str">
        <f>IFERROR(__xludf.DUMMYFUNCTION("""COMPUTED_VALUE"""),"Somprasertsri")</f>
        <v>Somprasertsri</v>
      </c>
      <c r="G523" t="str">
        <f>IFERROR(__xludf.DUMMYFUNCTION("""COMPUTED_VALUE"""),"Awassada Somprasertsri")</f>
        <v>Awassada Somprasertsri</v>
      </c>
      <c r="H523" t="str">
        <f>IFERROR(__xludf.DUMMYFUNCTION("""COMPUTED_VALUE"""),"นางสาว")</f>
        <v>นางสาว</v>
      </c>
      <c r="I523" t="str">
        <f>IFERROR(__xludf.DUMMYFUNCTION("""COMPUTED_VALUE"""),"อวัสดา")</f>
        <v>อวัสดา</v>
      </c>
      <c r="J523" t="str">
        <f>IFERROR(__xludf.DUMMYFUNCTION("""COMPUTED_VALUE"""),"สมประเสริฐศรี")</f>
        <v>สมประเสริฐศรี</v>
      </c>
      <c r="K523" t="str">
        <f>IFERROR(__xludf.DUMMYFUNCTION("""COMPUTED_VALUE"""),"อวัสดา สมประเสริฐศรี")</f>
        <v>อวัสดา สมประเสริฐศรี</v>
      </c>
      <c r="L523" t="str">
        <f>IFERROR(__xludf.DUMMYFUNCTION("""COMPUTED_VALUE"""),"Goi ก้อย")</f>
        <v>Goi ก้อย</v>
      </c>
      <c r="M523" t="str">
        <f>IFERROR(__xludf.DUMMYFUNCTION("""COMPUTED_VALUE"""),"Cabin Crew")</f>
        <v>Cabin Crew</v>
      </c>
      <c r="N523" t="str">
        <f>IFERROR(__xludf.DUMMYFUNCTION("""COMPUTED_VALUE"""),"DMK")</f>
        <v>DMK</v>
      </c>
      <c r="O523" s="145" t="str">
        <f>IFERROR(__xludf.DUMMYFUNCTION("""COMPUTED_VALUE"""),"Namfon Home")</f>
        <v>Namfon Home</v>
      </c>
      <c r="P523" t="str">
        <f>IFERROR(__xludf.DUMMYFUNCTION("""COMPUTED_VALUE"""),"V/LWP")</f>
        <v>V/LWP</v>
      </c>
      <c r="R523" s="143">
        <f>IFERROR(__xludf.DUMMYFUNCTION("""COMPUTED_VALUE"""),33232.0)</f>
        <v>33232</v>
      </c>
      <c r="S523" s="146" t="str">
        <f>IFERROR(__xludf.DUMMYFUNCTION("""COMPUTED_VALUE"""),"062-249-4596")</f>
        <v>062-249-4596</v>
      </c>
      <c r="T523" s="147" t="str">
        <f>IFERROR(__xludf.DUMMYFUNCTION("""COMPUTED_VALUE"""),"1909800-49-6149")</f>
        <v>1909800-49-6149</v>
      </c>
      <c r="U523" t="str">
        <f>IFERROR(__xludf.DUMMYFUNCTION("""COMPUTED_VALUE"""),"AD1515820")</f>
        <v>AD1515820</v>
      </c>
      <c r="V523" s="148">
        <f>IFERROR(__xludf.DUMMYFUNCTION("""COMPUTED_VALUE"""),45295.0)</f>
        <v>45295</v>
      </c>
      <c r="W523" s="148">
        <f>IFERROR(__xludf.DUMMYFUNCTION("""COMPUTED_VALUE"""),48947.0)</f>
        <v>48947</v>
      </c>
      <c r="X523" s="149">
        <f>IFERROR(__xludf.DUMMYFUNCTION("""COMPUTED_VALUE"""),48763.0)</f>
        <v>48763</v>
      </c>
      <c r="Y523" t="str">
        <f>IFERROR(__xludf.DUMMYFUNCTION("""COMPUTED_VALUE"""),"ปลอดภัย")</f>
        <v>ปลอดภัย</v>
      </c>
      <c r="Z523" t="str">
        <f>IFERROR(__xludf.DUMMYFUNCTION("""COMPUTED_VALUE"""),"Songkhla Province")</f>
        <v>Songkhla Province</v>
      </c>
      <c r="AA523" t="str">
        <f>IFERROR(__xludf.DUMMYFUNCTION("""COMPUTED_VALUE"""),"Suan Luang")</f>
        <v>Suan Luang</v>
      </c>
      <c r="AB523" t="str">
        <f>IFERROR(__xludf.DUMMYFUNCTION("""COMPUTED_VALUE"""),"0281-959-4799")</f>
        <v>0281-959-4799</v>
      </c>
      <c r="AC523" t="str">
        <f>IFERROR(__xludf.DUMMYFUNCTION("""COMPUTED_VALUE"""),"Ariya")</f>
        <v>Ariya</v>
      </c>
      <c r="AD523" t="str">
        <f>IFERROR(__xludf.DUMMYFUNCTION("""COMPUTED_VALUE"""),"awassadas@airasia.com")</f>
        <v>awassadas@airasia.com</v>
      </c>
    </row>
    <row r="524">
      <c r="A524" s="142">
        <f>IFERROR(__xludf.DUMMYFUNCTION("""COMPUTED_VALUE"""),67.0)</f>
        <v>67</v>
      </c>
      <c r="B524" t="str">
        <f>IFERROR(__xludf.DUMMYFUNCTION("""COMPUTED_VALUE"""),"TAA5585")</f>
        <v>TAA5585</v>
      </c>
      <c r="C524">
        <f>IFERROR(__xludf.DUMMYFUNCTION("""COMPUTED_VALUE"""),1011306.0)</f>
        <v>1011306</v>
      </c>
      <c r="D524" t="str">
        <f>IFERROR(__xludf.DUMMYFUNCTION("""COMPUTED_VALUE"""),"Ms.")</f>
        <v>Ms.</v>
      </c>
      <c r="E524" t="str">
        <f>IFERROR(__xludf.DUMMYFUNCTION("""COMPUTED_VALUE"""),"Kanthanuch")</f>
        <v>Kanthanuch</v>
      </c>
      <c r="F524" t="str">
        <f>IFERROR(__xludf.DUMMYFUNCTION("""COMPUTED_VALUE"""),"Boonlor")</f>
        <v>Boonlor</v>
      </c>
      <c r="G524" t="str">
        <f>IFERROR(__xludf.DUMMYFUNCTION("""COMPUTED_VALUE"""),"Kanthanuch Boonlor")</f>
        <v>Kanthanuch Boonlor</v>
      </c>
      <c r="H524" t="str">
        <f>IFERROR(__xludf.DUMMYFUNCTION("""COMPUTED_VALUE"""),"นางสาว")</f>
        <v>นางสาว</v>
      </c>
      <c r="I524" t="str">
        <f>IFERROR(__xludf.DUMMYFUNCTION("""COMPUTED_VALUE"""),"กัณฐนุช")</f>
        <v>กัณฐนุช</v>
      </c>
      <c r="J524" t="str">
        <f>IFERROR(__xludf.DUMMYFUNCTION("""COMPUTED_VALUE"""),"บุญหล่อ")</f>
        <v>บุญหล่อ</v>
      </c>
      <c r="K524" t="str">
        <f>IFERROR(__xludf.DUMMYFUNCTION("""COMPUTED_VALUE"""),"กัณฐนุช บุญหล่อ")</f>
        <v>กัณฐนุช บุญหล่อ</v>
      </c>
      <c r="L524" t="str">
        <f>IFERROR(__xludf.DUMMYFUNCTION("""COMPUTED_VALUE"""),"Tangmo แตงโม")</f>
        <v>Tangmo แตงโม</v>
      </c>
      <c r="M524" t="str">
        <f>IFERROR(__xludf.DUMMYFUNCTION("""COMPUTED_VALUE"""),"Senior Cabin Crew")</f>
        <v>Senior Cabin Crew</v>
      </c>
      <c r="N524" t="str">
        <f>IFERROR(__xludf.DUMMYFUNCTION("""COMPUTED_VALUE"""),"DMK")</f>
        <v>DMK</v>
      </c>
      <c r="O524" s="145" t="str">
        <f>IFERROR(__xludf.DUMMYFUNCTION("""COMPUTED_VALUE"""),"Por+ Home")</f>
        <v>Por+ Home</v>
      </c>
      <c r="P524" t="str">
        <f>IFERROR(__xludf.DUMMYFUNCTION("""COMPUTED_VALUE"""),"Active")</f>
        <v>Active</v>
      </c>
      <c r="R524" s="143">
        <f>IFERROR(__xludf.DUMMYFUNCTION("""COMPUTED_VALUE"""),32037.0)</f>
        <v>32037</v>
      </c>
      <c r="S524" s="146" t="str">
        <f>IFERROR(__xludf.DUMMYFUNCTION("""COMPUTED_VALUE"""),"085-935-4982")</f>
        <v>085-935-4982</v>
      </c>
      <c r="T524" s="147" t="str">
        <f>IFERROR(__xludf.DUMMYFUNCTION("""COMPUTED_VALUE"""),"1100200-33-9564")</f>
        <v>1100200-33-9564</v>
      </c>
      <c r="U524" t="str">
        <f>IFERROR(__xludf.DUMMYFUNCTION("""COMPUTED_VALUE"""),"AC2341440")</f>
        <v>AC2341440</v>
      </c>
      <c r="V524" s="148">
        <f>IFERROR(__xludf.DUMMYFUNCTION("""COMPUTED_VALUE"""),44382.0)</f>
        <v>44382</v>
      </c>
      <c r="W524" s="148">
        <f>IFERROR(__xludf.DUMMYFUNCTION("""COMPUTED_VALUE"""),48033.0)</f>
        <v>48033</v>
      </c>
      <c r="X524" s="149">
        <f>IFERROR(__xludf.DUMMYFUNCTION("""COMPUTED_VALUE"""),47852.0)</f>
        <v>47852</v>
      </c>
      <c r="Y524" t="str">
        <f>IFERROR(__xludf.DUMMYFUNCTION("""COMPUTED_VALUE"""),"ปลอดภัย")</f>
        <v>ปลอดภัย</v>
      </c>
      <c r="Z524" t="str">
        <f>IFERROR(__xludf.DUMMYFUNCTION("""COMPUTED_VALUE"""),"Bangkok")</f>
        <v>Bangkok</v>
      </c>
      <c r="AA524" t="str">
        <f>IFERROR(__xludf.DUMMYFUNCTION("""COMPUTED_VALUE"""),"Bangwa")</f>
        <v>Bangwa</v>
      </c>
      <c r="AB524" t="str">
        <f>IFERROR(__xludf.DUMMYFUNCTION("""COMPUTED_VALUE"""),"091995-2615")</f>
        <v>091995-2615</v>
      </c>
      <c r="AC524" t="str">
        <f>IFERROR(__xludf.DUMMYFUNCTION("""COMPUTED_VALUE"""),"Jakkapan")</f>
        <v>Jakkapan</v>
      </c>
      <c r="AD524" t="str">
        <f>IFERROR(__xludf.DUMMYFUNCTION("""COMPUTED_VALUE"""),"kanthanuchb@airasia.com")</f>
        <v>kanthanuchb@airasia.com</v>
      </c>
    </row>
    <row r="525">
      <c r="A525" s="142">
        <f>IFERROR(__xludf.DUMMYFUNCTION("""COMPUTED_VALUE"""),67.0)</f>
        <v>67</v>
      </c>
      <c r="B525" t="str">
        <f>IFERROR(__xludf.DUMMYFUNCTION("""COMPUTED_VALUE"""),"TAA5578")</f>
        <v>TAA5578</v>
      </c>
      <c r="C525">
        <f>IFERROR(__xludf.DUMMYFUNCTION("""COMPUTED_VALUE"""),1011307.0)</f>
        <v>1011307</v>
      </c>
      <c r="D525" t="str">
        <f>IFERROR(__xludf.DUMMYFUNCTION("""COMPUTED_VALUE"""),"Ms.")</f>
        <v>Ms.</v>
      </c>
      <c r="E525" t="str">
        <f>IFERROR(__xludf.DUMMYFUNCTION("""COMPUTED_VALUE"""),"Munnanicha")</f>
        <v>Munnanicha</v>
      </c>
      <c r="F525" t="str">
        <f>IFERROR(__xludf.DUMMYFUNCTION("""COMPUTED_VALUE"""),"Sarakong")</f>
        <v>Sarakong</v>
      </c>
      <c r="G525" t="str">
        <f>IFERROR(__xludf.DUMMYFUNCTION("""COMPUTED_VALUE"""),"Munnanicha Sarakong")</f>
        <v>Munnanicha Sarakong</v>
      </c>
      <c r="H525" t="str">
        <f>IFERROR(__xludf.DUMMYFUNCTION("""COMPUTED_VALUE"""),"นางสาว")</f>
        <v>นางสาว</v>
      </c>
      <c r="I525" t="str">
        <f>IFERROR(__xludf.DUMMYFUNCTION("""COMPUTED_VALUE"""),"มัญช์ณณิชา")</f>
        <v>มัญช์ณณิชา</v>
      </c>
      <c r="J525" t="str">
        <f>IFERROR(__xludf.DUMMYFUNCTION("""COMPUTED_VALUE"""),"สาระคง")</f>
        <v>สาระคง</v>
      </c>
      <c r="K525" t="str">
        <f>IFERROR(__xludf.DUMMYFUNCTION("""COMPUTED_VALUE"""),"มัญช์ณณิชา สาระคง")</f>
        <v>มัญช์ณณิชา สาระคง</v>
      </c>
      <c r="L525" t="str">
        <f>IFERROR(__xludf.DUMMYFUNCTION("""COMPUTED_VALUE"""),"Meaw เหมี่ยว")</f>
        <v>Meaw เหมี่ยว</v>
      </c>
      <c r="M525" t="str">
        <f>IFERROR(__xludf.DUMMYFUNCTION("""COMPUTED_VALUE"""),"Cabin Crew")</f>
        <v>Cabin Crew</v>
      </c>
      <c r="N525" t="str">
        <f>IFERROR(__xludf.DUMMYFUNCTION("""COMPUTED_VALUE"""),"DMK")</f>
        <v>DMK</v>
      </c>
      <c r="O525" s="145" t="str">
        <f>IFERROR(__xludf.DUMMYFUNCTION("""COMPUTED_VALUE"""),"Por+ Home")</f>
        <v>Por+ Home</v>
      </c>
      <c r="P525" t="str">
        <f>IFERROR(__xludf.DUMMYFUNCTION("""COMPUTED_VALUE"""),"Active")</f>
        <v>Active</v>
      </c>
      <c r="R525" s="143">
        <f>IFERROR(__xludf.DUMMYFUNCTION("""COMPUTED_VALUE"""),33241.0)</f>
        <v>33241</v>
      </c>
      <c r="S525" s="146" t="str">
        <f>IFERROR(__xludf.DUMMYFUNCTION("""COMPUTED_VALUE"""),"091 553 5664")</f>
        <v>091 553 5664</v>
      </c>
      <c r="T525" s="147" t="str">
        <f>IFERROR(__xludf.DUMMYFUNCTION("""COMPUTED_VALUE"""),"1909800-49-9831")</f>
        <v>1909800-49-9831</v>
      </c>
      <c r="U525" t="str">
        <f>IFERROR(__xludf.DUMMYFUNCTION("""COMPUTED_VALUE"""),"AC5895921")</f>
        <v>AC5895921</v>
      </c>
      <c r="V525" s="148">
        <f>IFERROR(__xludf.DUMMYFUNCTION("""COMPUTED_VALUE"""),45219.0)</f>
        <v>45219</v>
      </c>
      <c r="W525" s="148">
        <f>IFERROR(__xludf.DUMMYFUNCTION("""COMPUTED_VALUE"""),48871.0)</f>
        <v>48871</v>
      </c>
      <c r="X525" s="149">
        <f>IFERROR(__xludf.DUMMYFUNCTION("""COMPUTED_VALUE"""),48688.0)</f>
        <v>48688</v>
      </c>
      <c r="Y525" t="str">
        <f>IFERROR(__xludf.DUMMYFUNCTION("""COMPUTED_VALUE"""),"ปลอดภัย")</f>
        <v>ปลอดภัย</v>
      </c>
      <c r="Z525" t="str">
        <f>IFERROR(__xludf.DUMMYFUNCTION("""COMPUTED_VALUE"""),"Songkhla Province")</f>
        <v>Songkhla Province</v>
      </c>
      <c r="AA525" t="str">
        <f>IFERROR(__xludf.DUMMYFUNCTION("""COMPUTED_VALUE"""),"Rama 9")</f>
        <v>Rama 9</v>
      </c>
      <c r="AB525" t="str">
        <f>IFERROR(__xludf.DUMMYFUNCTION("""COMPUTED_VALUE"""),"086-940-3295")</f>
        <v>086-940-3295</v>
      </c>
      <c r="AC525" t="str">
        <f>IFERROR(__xludf.DUMMYFUNCTION("""COMPUTED_VALUE"""),"Viganda")</f>
        <v>Viganda</v>
      </c>
      <c r="AD525" t="str">
        <f>IFERROR(__xludf.DUMMYFUNCTION("""COMPUTED_VALUE"""),"munnanichas@airasia.com")</f>
        <v>munnanichas@airasia.com</v>
      </c>
    </row>
    <row r="526">
      <c r="A526" s="142">
        <f>IFERROR(__xludf.DUMMYFUNCTION("""COMPUTED_VALUE"""),67.0)</f>
        <v>67</v>
      </c>
      <c r="B526" t="str">
        <f>IFERROR(__xludf.DUMMYFUNCTION("""COMPUTED_VALUE"""),"TAA5573")</f>
        <v>TAA5573</v>
      </c>
      <c r="C526">
        <f>IFERROR(__xludf.DUMMYFUNCTION("""COMPUTED_VALUE"""),1011308.0)</f>
        <v>1011308</v>
      </c>
      <c r="D526" t="str">
        <f>IFERROR(__xludf.DUMMYFUNCTION("""COMPUTED_VALUE"""),"Ms.")</f>
        <v>Ms.</v>
      </c>
      <c r="E526" t="str">
        <f>IFERROR(__xludf.DUMMYFUNCTION("""COMPUTED_VALUE"""),"Narisa")</f>
        <v>Narisa</v>
      </c>
      <c r="F526" t="str">
        <f>IFERROR(__xludf.DUMMYFUNCTION("""COMPUTED_VALUE"""),"Jotikasathira")</f>
        <v>Jotikasathira</v>
      </c>
      <c r="G526" t="str">
        <f>IFERROR(__xludf.DUMMYFUNCTION("""COMPUTED_VALUE"""),"Narisa Jotikasathira")</f>
        <v>Narisa Jotikasathira</v>
      </c>
      <c r="H526" t="str">
        <f>IFERROR(__xludf.DUMMYFUNCTION("""COMPUTED_VALUE"""),"นางสาว")</f>
        <v>นางสาว</v>
      </c>
      <c r="I526" t="str">
        <f>IFERROR(__xludf.DUMMYFUNCTION("""COMPUTED_VALUE"""),"ณริสา")</f>
        <v>ณริสา</v>
      </c>
      <c r="J526" t="str">
        <f>IFERROR(__xludf.DUMMYFUNCTION("""COMPUTED_VALUE"""),"โชติกเสถียร")</f>
        <v>โชติกเสถียร</v>
      </c>
      <c r="K526" t="str">
        <f>IFERROR(__xludf.DUMMYFUNCTION("""COMPUTED_VALUE"""),"ณริสา โชติกเสถียร")</f>
        <v>ณริสา โชติกเสถียร</v>
      </c>
      <c r="L526" t="str">
        <f>IFERROR(__xludf.DUMMYFUNCTION("""COMPUTED_VALUE"""),"Ming หมิง")</f>
        <v>Ming หมิง</v>
      </c>
      <c r="M526" t="str">
        <f>IFERROR(__xludf.DUMMYFUNCTION("""COMPUTED_VALUE"""),"Cabin Crew - CNX")</f>
        <v>Cabin Crew - CNX</v>
      </c>
      <c r="N526" t="str">
        <f>IFERROR(__xludf.DUMMYFUNCTION("""COMPUTED_VALUE"""),"CNX")</f>
        <v>CNX</v>
      </c>
      <c r="O526" s="145" t="str">
        <f>IFERROR(__xludf.DUMMYFUNCTION("""COMPUTED_VALUE"""),"Up Home")</f>
        <v>Up Home</v>
      </c>
      <c r="P526" t="str">
        <f>IFERROR(__xludf.DUMMYFUNCTION("""COMPUTED_VALUE"""),"Active/V/DMK")</f>
        <v>Active/V/DMK</v>
      </c>
      <c r="Q526" t="str">
        <f>IFERROR(__xludf.DUMMYFUNCTION("""COMPUTED_VALUE"""),"Chinese Speaking")</f>
        <v>Chinese Speaking</v>
      </c>
      <c r="R526" s="143">
        <f>IFERROR(__xludf.DUMMYFUNCTION("""COMPUTED_VALUE"""),32558.0)</f>
        <v>32558</v>
      </c>
      <c r="S526" s="146" t="str">
        <f>IFERROR(__xludf.DUMMYFUNCTION("""COMPUTED_VALUE"""),"089 419 2954")</f>
        <v>089 419 2954</v>
      </c>
      <c r="T526" s="147" t="str">
        <f>IFERROR(__xludf.DUMMYFUNCTION("""COMPUTED_VALUE"""),"1860400-06-0991")</f>
        <v>1860400-06-0991</v>
      </c>
      <c r="U526" t="str">
        <f>IFERROR(__xludf.DUMMYFUNCTION("""COMPUTED_VALUE"""),"AD2128350")</f>
        <v>AD2128350</v>
      </c>
      <c r="V526" s="148">
        <f>IFERROR(__xludf.DUMMYFUNCTION("""COMPUTED_VALUE"""),45748.0)</f>
        <v>45748</v>
      </c>
      <c r="W526" s="148">
        <f>IFERROR(__xludf.DUMMYFUNCTION("""COMPUTED_VALUE"""),49399.0)</f>
        <v>49399</v>
      </c>
      <c r="X526" s="149">
        <f>IFERROR(__xludf.DUMMYFUNCTION("""COMPUTED_VALUE"""),49217.0)</f>
        <v>49217</v>
      </c>
      <c r="Y526" t="str">
        <f>IFERROR(__xludf.DUMMYFUNCTION("""COMPUTED_VALUE"""),"ปลอดภัย")</f>
        <v>ปลอดภัย</v>
      </c>
      <c r="Z526" t="str">
        <f>IFERROR(__xludf.DUMMYFUNCTION("""COMPUTED_VALUE"""),"Chumphon Province")</f>
        <v>Chumphon Province</v>
      </c>
      <c r="AA526" t="str">
        <f>IFERROR(__xludf.DUMMYFUNCTION("""COMPUTED_VALUE"""),"Lampang")</f>
        <v>Lampang</v>
      </c>
      <c r="AB526" t="str">
        <f>IFERROR(__xludf.DUMMYFUNCTION("""COMPUTED_VALUE"""),"095-706-3401")</f>
        <v>095-706-3401</v>
      </c>
      <c r="AC526" t="str">
        <f>IFERROR(__xludf.DUMMYFUNCTION("""COMPUTED_VALUE"""),"Ahttapron")</f>
        <v>Ahttapron</v>
      </c>
      <c r="AD526" t="str">
        <f>IFERROR(__xludf.DUMMYFUNCTION("""COMPUTED_VALUE"""),"narisaj@airasia.com")</f>
        <v>narisaj@airasia.com</v>
      </c>
    </row>
    <row r="527">
      <c r="A527" s="142">
        <f>IFERROR(__xludf.DUMMYFUNCTION("""COMPUTED_VALUE"""),67.0)</f>
        <v>67</v>
      </c>
      <c r="B527" t="str">
        <f>IFERROR(__xludf.DUMMYFUNCTION("""COMPUTED_VALUE"""),"TAA5586")</f>
        <v>TAA5586</v>
      </c>
      <c r="C527">
        <f>IFERROR(__xludf.DUMMYFUNCTION("""COMPUTED_VALUE"""),1011310.0)</f>
        <v>1011310</v>
      </c>
      <c r="D527" t="str">
        <f>IFERROR(__xludf.DUMMYFUNCTION("""COMPUTED_VALUE"""),"Ms.")</f>
        <v>Ms.</v>
      </c>
      <c r="E527" t="str">
        <f>IFERROR(__xludf.DUMMYFUNCTION("""COMPUTED_VALUE"""),"Nicha")</f>
        <v>Nicha</v>
      </c>
      <c r="F527" t="str">
        <f>IFERROR(__xludf.DUMMYFUNCTION("""COMPUTED_VALUE"""),"Manapradit")</f>
        <v>Manapradit</v>
      </c>
      <c r="G527" t="str">
        <f>IFERROR(__xludf.DUMMYFUNCTION("""COMPUTED_VALUE"""),"Nicha Manapradit")</f>
        <v>Nicha Manapradit</v>
      </c>
      <c r="H527" t="str">
        <f>IFERROR(__xludf.DUMMYFUNCTION("""COMPUTED_VALUE"""),"นางสาว")</f>
        <v>นางสาว</v>
      </c>
      <c r="I527" t="str">
        <f>IFERROR(__xludf.DUMMYFUNCTION("""COMPUTED_VALUE"""),"นิชา")</f>
        <v>นิชา</v>
      </c>
      <c r="J527" t="str">
        <f>IFERROR(__xludf.DUMMYFUNCTION("""COMPUTED_VALUE"""),"มานะประดิษฐ์")</f>
        <v>มานะประดิษฐ์</v>
      </c>
      <c r="K527" t="str">
        <f>IFERROR(__xludf.DUMMYFUNCTION("""COMPUTED_VALUE"""),"นิชา มานะประดิษฐ์")</f>
        <v>นิชา มานะประดิษฐ์</v>
      </c>
      <c r="L527" t="str">
        <f>IFERROR(__xludf.DUMMYFUNCTION("""COMPUTED_VALUE"""),"Fam แฟ้ม")</f>
        <v>Fam แฟ้ม</v>
      </c>
      <c r="M527" t="str">
        <f>IFERROR(__xludf.DUMMYFUNCTION("""COMPUTED_VALUE"""),"Senior Cabin Crew")</f>
        <v>Senior Cabin Crew</v>
      </c>
      <c r="N527" t="str">
        <f>IFERROR(__xludf.DUMMYFUNCTION("""COMPUTED_VALUE"""),"DMK")</f>
        <v>DMK</v>
      </c>
      <c r="O527" s="145" t="str">
        <f>IFERROR(__xludf.DUMMYFUNCTION("""COMPUTED_VALUE"""),"Kor Home")</f>
        <v>Kor Home</v>
      </c>
      <c r="P527" t="str">
        <f>IFERROR(__xludf.DUMMYFUNCTION("""COMPUTED_VALUE"""),"Active")</f>
        <v>Active</v>
      </c>
      <c r="R527" s="143">
        <f>IFERROR(__xludf.DUMMYFUNCTION("""COMPUTED_VALUE"""),32024.0)</f>
        <v>32024</v>
      </c>
      <c r="S527" s="146" t="str">
        <f>IFERROR(__xludf.DUMMYFUNCTION("""COMPUTED_VALUE"""),"087-129-8432")</f>
        <v>087-129-8432</v>
      </c>
      <c r="T527" s="147" t="str">
        <f>IFERROR(__xludf.DUMMYFUNCTION("""COMPUTED_VALUE"""),"1200100-16-3129")</f>
        <v>1200100-16-3129</v>
      </c>
      <c r="U527" t="str">
        <f>IFERROR(__xludf.DUMMYFUNCTION("""COMPUTED_VALUE"""),"AD1093778")</f>
        <v>AD1093778</v>
      </c>
      <c r="V527" s="148">
        <f>IFERROR(__xludf.DUMMYFUNCTION("""COMPUTED_VALUE"""),45065.0)</f>
        <v>45065</v>
      </c>
      <c r="W527" s="148">
        <f>IFERROR(__xludf.DUMMYFUNCTION("""COMPUTED_VALUE"""),48717.0)</f>
        <v>48717</v>
      </c>
      <c r="X527" s="149">
        <f>IFERROR(__xludf.DUMMYFUNCTION("""COMPUTED_VALUE"""),48536.0)</f>
        <v>48536</v>
      </c>
      <c r="Y527" t="str">
        <f>IFERROR(__xludf.DUMMYFUNCTION("""COMPUTED_VALUE"""),"ปลอดภัย")</f>
        <v>ปลอดภัย</v>
      </c>
      <c r="Z527" t="str">
        <f>IFERROR(__xludf.DUMMYFUNCTION("""COMPUTED_VALUE"""),"Chonburi Province")</f>
        <v>Chonburi Province</v>
      </c>
      <c r="AA527" t="str">
        <f>IFERROR(__xludf.DUMMYFUNCTION("""COMPUTED_VALUE"""),"Jatujak")</f>
        <v>Jatujak</v>
      </c>
      <c r="AB527" t="str">
        <f>IFERROR(__xludf.DUMMYFUNCTION("""COMPUTED_VALUE"""),"081-987-5358")</f>
        <v>081-987-5358</v>
      </c>
      <c r="AC527" t="str">
        <f>IFERROR(__xludf.DUMMYFUNCTION("""COMPUTED_VALUE"""),"Sakda")</f>
        <v>Sakda</v>
      </c>
      <c r="AD527" t="str">
        <f>IFERROR(__xludf.DUMMYFUNCTION("""COMPUTED_VALUE"""),"nicham@airasia.com")</f>
        <v>nicham@airasia.com</v>
      </c>
    </row>
    <row r="528">
      <c r="A528" s="142">
        <f>IFERROR(__xludf.DUMMYFUNCTION("""COMPUTED_VALUE"""),67.0)</f>
        <v>67</v>
      </c>
      <c r="B528" t="str">
        <f>IFERROR(__xludf.DUMMYFUNCTION("""COMPUTED_VALUE"""),"TAA5589")</f>
        <v>TAA5589</v>
      </c>
      <c r="C528">
        <f>IFERROR(__xludf.DUMMYFUNCTION("""COMPUTED_VALUE"""),1011312.0)</f>
        <v>1011312</v>
      </c>
      <c r="D528" t="str">
        <f>IFERROR(__xludf.DUMMYFUNCTION("""COMPUTED_VALUE"""),"Ms.")</f>
        <v>Ms.</v>
      </c>
      <c r="E528" t="str">
        <f>IFERROR(__xludf.DUMMYFUNCTION("""COMPUTED_VALUE"""),"Patchara")</f>
        <v>Patchara</v>
      </c>
      <c r="F528" t="str">
        <f>IFERROR(__xludf.DUMMYFUNCTION("""COMPUTED_VALUE"""),"Penpaijit")</f>
        <v>Penpaijit</v>
      </c>
      <c r="G528" t="str">
        <f>IFERROR(__xludf.DUMMYFUNCTION("""COMPUTED_VALUE"""),"Patchara Penpaijit")</f>
        <v>Patchara Penpaijit</v>
      </c>
      <c r="H528" t="str">
        <f>IFERROR(__xludf.DUMMYFUNCTION("""COMPUTED_VALUE"""),"นางสาว")</f>
        <v>นางสาว</v>
      </c>
      <c r="I528" t="str">
        <f>IFERROR(__xludf.DUMMYFUNCTION("""COMPUTED_VALUE"""),"พัชรา")</f>
        <v>พัชรา</v>
      </c>
      <c r="J528" t="str">
        <f>IFERROR(__xludf.DUMMYFUNCTION("""COMPUTED_VALUE"""),"เพ็ญไพจิตร์")</f>
        <v>เพ็ญไพจิตร์</v>
      </c>
      <c r="K528" t="str">
        <f>IFERROR(__xludf.DUMMYFUNCTION("""COMPUTED_VALUE"""),"พัชรา เพ็ญไพจิตร์")</f>
        <v>พัชรา เพ็ญไพจิตร์</v>
      </c>
      <c r="L528" t="str">
        <f>IFERROR(__xludf.DUMMYFUNCTION("""COMPUTED_VALUE"""),"Mai ใหม่")</f>
        <v>Mai ใหม่</v>
      </c>
      <c r="M528" t="str">
        <f>IFERROR(__xludf.DUMMYFUNCTION("""COMPUTED_VALUE"""),"Cabin Crew")</f>
        <v>Cabin Crew</v>
      </c>
      <c r="N528" t="str">
        <f>IFERROR(__xludf.DUMMYFUNCTION("""COMPUTED_VALUE"""),"DMK")</f>
        <v>DMK</v>
      </c>
      <c r="O528" s="145" t="str">
        <f>IFERROR(__xludf.DUMMYFUNCTION("""COMPUTED_VALUE"""),"Toffy Home")</f>
        <v>Toffy Home</v>
      </c>
      <c r="P528" t="str">
        <f>IFERROR(__xludf.DUMMYFUNCTION("""COMPUTED_VALUE"""),"Active")</f>
        <v>Active</v>
      </c>
      <c r="Q528" t="str">
        <f>IFERROR(__xludf.DUMMYFUNCTION("""COMPUTED_VALUE"""),"Korean Speaking")</f>
        <v>Korean Speaking</v>
      </c>
      <c r="R528" s="143">
        <f>IFERROR(__xludf.DUMMYFUNCTION("""COMPUTED_VALUE"""),33505.0)</f>
        <v>33505</v>
      </c>
      <c r="S528" s="146" t="str">
        <f>IFERROR(__xludf.DUMMYFUNCTION("""COMPUTED_VALUE"""),"083-587-5582")</f>
        <v>083-587-5582</v>
      </c>
      <c r="T528" s="147" t="str">
        <f>IFERROR(__xludf.DUMMYFUNCTION("""COMPUTED_VALUE"""),"1200100-36-9941")</f>
        <v>1200100-36-9941</v>
      </c>
      <c r="U528" t="str">
        <f>IFERROR(__xludf.DUMMYFUNCTION("""COMPUTED_VALUE"""),"AC4616229")</f>
        <v>AC4616229</v>
      </c>
      <c r="V528" s="148">
        <f>IFERROR(__xludf.DUMMYFUNCTION("""COMPUTED_VALUE"""),44999.0)</f>
        <v>44999</v>
      </c>
      <c r="W528" s="148">
        <f>IFERROR(__xludf.DUMMYFUNCTION("""COMPUTED_VALUE"""),48651.0)</f>
        <v>48651</v>
      </c>
      <c r="X528" s="149">
        <f>IFERROR(__xludf.DUMMYFUNCTION("""COMPUTED_VALUE"""),48470.0)</f>
        <v>48470</v>
      </c>
      <c r="Y528" t="str">
        <f>IFERROR(__xludf.DUMMYFUNCTION("""COMPUTED_VALUE"""),"ปลอดภัย")</f>
        <v>ปลอดภัย</v>
      </c>
      <c r="Z528" t="str">
        <f>IFERROR(__xludf.DUMMYFUNCTION("""COMPUTED_VALUE"""),"Chonburi Province")</f>
        <v>Chonburi Province</v>
      </c>
      <c r="AA528" t="str">
        <f>IFERROR(__xludf.DUMMYFUNCTION("""COMPUTED_VALUE"""),"Chachoengsao")</f>
        <v>Chachoengsao</v>
      </c>
      <c r="AB528" t="str">
        <f>IFERROR(__xludf.DUMMYFUNCTION("""COMPUTED_VALUE"""),"083-120-5399")</f>
        <v>083-120-5399</v>
      </c>
      <c r="AC528" t="str">
        <f>IFERROR(__xludf.DUMMYFUNCTION("""COMPUTED_VALUE"""),"Wimonrat")</f>
        <v>Wimonrat</v>
      </c>
      <c r="AD528" t="str">
        <f>IFERROR(__xludf.DUMMYFUNCTION("""COMPUTED_VALUE"""),"patcharae@airasia.com")</f>
        <v>patcharae@airasia.com</v>
      </c>
    </row>
    <row r="529">
      <c r="A529" s="142">
        <f>IFERROR(__xludf.DUMMYFUNCTION("""COMPUTED_VALUE"""),67.0)</f>
        <v>67</v>
      </c>
      <c r="B529" t="str">
        <f>IFERROR(__xludf.DUMMYFUNCTION("""COMPUTED_VALUE"""),"TAA5583")</f>
        <v>TAA5583</v>
      </c>
      <c r="C529">
        <f>IFERROR(__xludf.DUMMYFUNCTION("""COMPUTED_VALUE"""),1011314.0)</f>
        <v>1011314</v>
      </c>
      <c r="D529" t="str">
        <f>IFERROR(__xludf.DUMMYFUNCTION("""COMPUTED_VALUE"""),"Mr.")</f>
        <v>Mr.</v>
      </c>
      <c r="E529" t="str">
        <f>IFERROR(__xludf.DUMMYFUNCTION("""COMPUTED_VALUE"""),"Pichayapich")</f>
        <v>Pichayapich</v>
      </c>
      <c r="F529" t="str">
        <f>IFERROR(__xludf.DUMMYFUNCTION("""COMPUTED_VALUE"""),"Nimphya")</f>
        <v>Nimphya</v>
      </c>
      <c r="G529" t="str">
        <f>IFERROR(__xludf.DUMMYFUNCTION("""COMPUTED_VALUE"""),"Pichayapich Nimphya")</f>
        <v>Pichayapich Nimphya</v>
      </c>
      <c r="H529" t="str">
        <f>IFERROR(__xludf.DUMMYFUNCTION("""COMPUTED_VALUE"""),"นาย")</f>
        <v>นาย</v>
      </c>
      <c r="I529" t="str">
        <f>IFERROR(__xludf.DUMMYFUNCTION("""COMPUTED_VALUE"""),"พิชญพิชญ์")</f>
        <v>พิชญพิชญ์</v>
      </c>
      <c r="J529" t="str">
        <f>IFERROR(__xludf.DUMMYFUNCTION("""COMPUTED_VALUE"""),"นิ่มพยา")</f>
        <v>นิ่มพยา</v>
      </c>
      <c r="K529" t="str">
        <f>IFERROR(__xludf.DUMMYFUNCTION("""COMPUTED_VALUE"""),"พิชญพิชญ์ นิ่มพยา")</f>
        <v>พิชญพิชญ์ นิ่มพยา</v>
      </c>
      <c r="L529" t="str">
        <f>IFERROR(__xludf.DUMMYFUNCTION("""COMPUTED_VALUE"""),"Golf กอล์ฟ")</f>
        <v>Golf กอล์ฟ</v>
      </c>
      <c r="M529" t="str">
        <f>IFERROR(__xludf.DUMMYFUNCTION("""COMPUTED_VALUE"""),"Senior Cabin Crew")</f>
        <v>Senior Cabin Crew</v>
      </c>
      <c r="N529" t="str">
        <f>IFERROR(__xludf.DUMMYFUNCTION("""COMPUTED_VALUE"""),"DMK")</f>
        <v>DMK</v>
      </c>
      <c r="O529" s="145" t="str">
        <f>IFERROR(__xludf.DUMMYFUNCTION("""COMPUTED_VALUE"""),"Namfon Home")</f>
        <v>Namfon Home</v>
      </c>
      <c r="P529" t="str">
        <f>IFERROR(__xludf.DUMMYFUNCTION("""COMPUTED_VALUE"""),"Active")</f>
        <v>Active</v>
      </c>
      <c r="R529" s="143">
        <f>IFERROR(__xludf.DUMMYFUNCTION("""COMPUTED_VALUE"""),32787.0)</f>
        <v>32787</v>
      </c>
      <c r="S529" s="146" t="str">
        <f>IFERROR(__xludf.DUMMYFUNCTION("""COMPUTED_VALUE"""),"064-929-4554")</f>
        <v>064-929-4554</v>
      </c>
      <c r="T529" s="147" t="str">
        <f>IFERROR(__xludf.DUMMYFUNCTION("""COMPUTED_VALUE"""),"1259700-09-0473")</f>
        <v>1259700-09-0473</v>
      </c>
      <c r="U529" t="str">
        <f>IFERROR(__xludf.DUMMYFUNCTION("""COMPUTED_VALUE"""),"AC4684258")</f>
        <v>AC4684258</v>
      </c>
      <c r="V529" s="148">
        <f>IFERROR(__xludf.DUMMYFUNCTION("""COMPUTED_VALUE"""),45003.0)</f>
        <v>45003</v>
      </c>
      <c r="W529" s="148">
        <f>IFERROR(__xludf.DUMMYFUNCTION("""COMPUTED_VALUE"""),48655.0)</f>
        <v>48655</v>
      </c>
      <c r="X529" s="149">
        <f>IFERROR(__xludf.DUMMYFUNCTION("""COMPUTED_VALUE"""),48474.0)</f>
        <v>48474</v>
      </c>
      <c r="Y529" t="str">
        <f>IFERROR(__xludf.DUMMYFUNCTION("""COMPUTED_VALUE"""),"ปลอดภัย")</f>
        <v>ปลอดภัย</v>
      </c>
      <c r="Z529" t="str">
        <f>IFERROR(__xludf.DUMMYFUNCTION("""COMPUTED_VALUE"""),"Prachinburi Province")</f>
        <v>Prachinburi Province</v>
      </c>
      <c r="AA529" t="str">
        <f>IFERROR(__xludf.DUMMYFUNCTION("""COMPUTED_VALUE"""),"Sukhumvit")</f>
        <v>Sukhumvit</v>
      </c>
      <c r="AB529" t="str">
        <f>IFERROR(__xludf.DUMMYFUNCTION("""COMPUTED_VALUE"""),"089-251-0699")</f>
        <v>089-251-0699</v>
      </c>
      <c r="AC529" t="str">
        <f>IFERROR(__xludf.DUMMYFUNCTION("""COMPUTED_VALUE"""),"Anan")</f>
        <v>Anan</v>
      </c>
      <c r="AD529" t="str">
        <f>IFERROR(__xludf.DUMMYFUNCTION("""COMPUTED_VALUE"""),"pichayapichn@airasia.com")</f>
        <v>pichayapichn@airasia.com</v>
      </c>
    </row>
    <row r="530">
      <c r="A530" s="142">
        <f>IFERROR(__xludf.DUMMYFUNCTION("""COMPUTED_VALUE"""),67.0)</f>
        <v>67</v>
      </c>
      <c r="B530" t="str">
        <f>IFERROR(__xludf.DUMMYFUNCTION("""COMPUTED_VALUE"""),"TAA5580")</f>
        <v>TAA5580</v>
      </c>
      <c r="C530">
        <f>IFERROR(__xludf.DUMMYFUNCTION("""COMPUTED_VALUE"""),1011315.0)</f>
        <v>1011315</v>
      </c>
      <c r="D530" t="str">
        <f>IFERROR(__xludf.DUMMYFUNCTION("""COMPUTED_VALUE"""),"Ms.")</f>
        <v>Ms.</v>
      </c>
      <c r="E530" t="str">
        <f>IFERROR(__xludf.DUMMYFUNCTION("""COMPUTED_VALUE"""),"Pranapan")</f>
        <v>Pranapan</v>
      </c>
      <c r="F530" t="str">
        <f>IFERROR(__xludf.DUMMYFUNCTION("""COMPUTED_VALUE"""),"Songsuk (Kongprasert)")</f>
        <v>Songsuk (Kongprasert)</v>
      </c>
      <c r="G530" t="str">
        <f>IFERROR(__xludf.DUMMYFUNCTION("""COMPUTED_VALUE"""),"Pranapan Songsuk")</f>
        <v>Pranapan Songsuk</v>
      </c>
      <c r="H530" t="str">
        <f>IFERROR(__xludf.DUMMYFUNCTION("""COMPUTED_VALUE"""),"นางสาว")</f>
        <v>นางสาว</v>
      </c>
      <c r="I530" t="str">
        <f>IFERROR(__xludf.DUMMYFUNCTION("""COMPUTED_VALUE"""),"ปราณพรรณ")</f>
        <v>ปราณพรรณ</v>
      </c>
      <c r="J530" t="str">
        <f>IFERROR(__xludf.DUMMYFUNCTION("""COMPUTED_VALUE"""),"ซ้องสุข (คงประเสริฐ)")</f>
        <v>ซ้องสุข (คงประเสริฐ)</v>
      </c>
      <c r="K530" t="str">
        <f>IFERROR(__xludf.DUMMYFUNCTION("""COMPUTED_VALUE"""),"ปราณพรรณ ซ้องสุข")</f>
        <v>ปราณพรรณ ซ้องสุข</v>
      </c>
      <c r="L530" t="str">
        <f>IFERROR(__xludf.DUMMYFUNCTION("""COMPUTED_VALUE"""),"Blue บลู")</f>
        <v>Blue บลู</v>
      </c>
      <c r="M530" t="str">
        <f>IFERROR(__xludf.DUMMYFUNCTION("""COMPUTED_VALUE"""),"Cabin Crew")</f>
        <v>Cabin Crew</v>
      </c>
      <c r="N530" t="str">
        <f>IFERROR(__xludf.DUMMYFUNCTION("""COMPUTED_VALUE"""),"DMK")</f>
        <v>DMK</v>
      </c>
      <c r="O530" s="145" t="str">
        <f>IFERROR(__xludf.DUMMYFUNCTION("""COMPUTED_VALUE"""),"Kor Home")</f>
        <v>Kor Home</v>
      </c>
      <c r="P530" t="str">
        <f>IFERROR(__xludf.DUMMYFUNCTION("""COMPUTED_VALUE"""),"Active")</f>
        <v>Active</v>
      </c>
      <c r="R530" s="143">
        <f>IFERROR(__xludf.DUMMYFUNCTION("""COMPUTED_VALUE"""),31330.0)</f>
        <v>31330</v>
      </c>
      <c r="S530" s="146" t="str">
        <f>IFERROR(__xludf.DUMMYFUNCTION("""COMPUTED_VALUE"""),"080-424-1495")</f>
        <v>080-424-1495</v>
      </c>
      <c r="T530" s="147" t="str">
        <f>IFERROR(__xludf.DUMMYFUNCTION("""COMPUTED_VALUE"""),"1659900-10-1491")</f>
        <v>1659900-10-1491</v>
      </c>
      <c r="U530" t="str">
        <f>IFERROR(__xludf.DUMMYFUNCTION("""COMPUTED_VALUE"""),"AD0781183")</f>
        <v>AD0781183</v>
      </c>
      <c r="V530" s="148">
        <f>IFERROR(__xludf.DUMMYFUNCTION("""COMPUTED_VALUE"""),44953.0)</f>
        <v>44953</v>
      </c>
      <c r="W530" s="148">
        <f>IFERROR(__xludf.DUMMYFUNCTION("""COMPUTED_VALUE"""),46778.0)</f>
        <v>46778</v>
      </c>
      <c r="X530" s="149">
        <f>IFERROR(__xludf.DUMMYFUNCTION("""COMPUTED_VALUE"""),46594.0)</f>
        <v>46594</v>
      </c>
      <c r="Y530" t="str">
        <f>IFERROR(__xludf.DUMMYFUNCTION("""COMPUTED_VALUE"""),"ปลอดภัย")</f>
        <v>ปลอดภัย</v>
      </c>
      <c r="Z530" t="str">
        <f>IFERROR(__xludf.DUMMYFUNCTION("""COMPUTED_VALUE"""),"Phitsanulok Province")</f>
        <v>Phitsanulok Province</v>
      </c>
      <c r="AA530" t="str">
        <f>IFERROR(__xludf.DUMMYFUNCTION("""COMPUTED_VALUE"""),"Phitsanulok")</f>
        <v>Phitsanulok</v>
      </c>
      <c r="AB530" t="str">
        <f>IFERROR(__xludf.DUMMYFUNCTION("""COMPUTED_VALUE"""),"094-423-6551")</f>
        <v>094-423-6551</v>
      </c>
      <c r="AC530" t="str">
        <f>IFERROR(__xludf.DUMMYFUNCTION("""COMPUTED_VALUE"""),"Nongnuch")</f>
        <v>Nongnuch</v>
      </c>
      <c r="AD530" t="str">
        <f>IFERROR(__xludf.DUMMYFUNCTION("""COMPUTED_VALUE"""),"pranapans@airasia.com")</f>
        <v>pranapans@airasia.com</v>
      </c>
    </row>
    <row r="531">
      <c r="A531" s="142">
        <f>IFERROR(__xludf.DUMMYFUNCTION("""COMPUTED_VALUE"""),67.0)</f>
        <v>67</v>
      </c>
      <c r="B531" t="str">
        <f>IFERROR(__xludf.DUMMYFUNCTION("""COMPUTED_VALUE"""),"TAA5570")</f>
        <v>TAA5570</v>
      </c>
      <c r="C531">
        <f>IFERROR(__xludf.DUMMYFUNCTION("""COMPUTED_VALUE"""),1011318.0)</f>
        <v>1011318</v>
      </c>
      <c r="D531" t="str">
        <f>IFERROR(__xludf.DUMMYFUNCTION("""COMPUTED_VALUE"""),"Ms.")</f>
        <v>Ms.</v>
      </c>
      <c r="E531" t="str">
        <f>IFERROR(__xludf.DUMMYFUNCTION("""COMPUTED_VALUE"""),"Rudeemas")</f>
        <v>Rudeemas</v>
      </c>
      <c r="F531" t="str">
        <f>IFERROR(__xludf.DUMMYFUNCTION("""COMPUTED_VALUE"""),"Thiangthat")</f>
        <v>Thiangthat</v>
      </c>
      <c r="G531" t="str">
        <f>IFERROR(__xludf.DUMMYFUNCTION("""COMPUTED_VALUE"""),"Rudeemas Thiangthat")</f>
        <v>Rudeemas Thiangthat</v>
      </c>
      <c r="H531" t="str">
        <f>IFERROR(__xludf.DUMMYFUNCTION("""COMPUTED_VALUE"""),"นางสาว")</f>
        <v>นางสาว</v>
      </c>
      <c r="I531" t="str">
        <f>IFERROR(__xludf.DUMMYFUNCTION("""COMPUTED_VALUE"""),"ฤดีมาศ")</f>
        <v>ฤดีมาศ</v>
      </c>
      <c r="J531" t="str">
        <f>IFERROR(__xludf.DUMMYFUNCTION("""COMPUTED_VALUE"""),"เที่ยงทัศน์")</f>
        <v>เที่ยงทัศน์</v>
      </c>
      <c r="K531" t="str">
        <f>IFERROR(__xludf.DUMMYFUNCTION("""COMPUTED_VALUE"""),"ฤดีมาศ เที่ยงทัศน์")</f>
        <v>ฤดีมาศ เที่ยงทัศน์</v>
      </c>
      <c r="L531" t="str">
        <f>IFERROR(__xludf.DUMMYFUNCTION("""COMPUTED_VALUE"""),"Oil ออย")</f>
        <v>Oil ออย</v>
      </c>
      <c r="M531" t="str">
        <f>IFERROR(__xludf.DUMMYFUNCTION("""COMPUTED_VALUE"""),"Cabin Crew")</f>
        <v>Cabin Crew</v>
      </c>
      <c r="N531" t="str">
        <f>IFERROR(__xludf.DUMMYFUNCTION("""COMPUTED_VALUE"""),"DMK")</f>
        <v>DMK</v>
      </c>
      <c r="O531" s="145" t="str">
        <f>IFERROR(__xludf.DUMMYFUNCTION("""COMPUTED_VALUE"""),"Nhui Home")</f>
        <v>Nhui Home</v>
      </c>
      <c r="P531" t="str">
        <f>IFERROR(__xludf.DUMMYFUNCTION("""COMPUTED_VALUE"""),"Active")</f>
        <v>Active</v>
      </c>
      <c r="Q531" t="str">
        <f>IFERROR(__xludf.DUMMYFUNCTION("""COMPUTED_VALUE"""),"Japanese Speaking")</f>
        <v>Japanese Speaking</v>
      </c>
      <c r="R531" s="143">
        <f>IFERROR(__xludf.DUMMYFUNCTION("""COMPUTED_VALUE"""),33552.0)</f>
        <v>33552</v>
      </c>
      <c r="S531" s="146" t="str">
        <f>IFERROR(__xludf.DUMMYFUNCTION("""COMPUTED_VALUE"""),"089 992 6782")</f>
        <v>089 992 6782</v>
      </c>
      <c r="T531" s="147" t="str">
        <f>IFERROR(__xludf.DUMMYFUNCTION("""COMPUTED_VALUE"""),"1219900-32-8813")</f>
        <v>1219900-32-8813</v>
      </c>
      <c r="U531" t="str">
        <f>IFERROR(__xludf.DUMMYFUNCTION("""COMPUTED_VALUE"""),"AC7921966")</f>
        <v>AC7921966</v>
      </c>
      <c r="V531" s="148">
        <f>IFERROR(__xludf.DUMMYFUNCTION("""COMPUTED_VALUE"""),45674.0)</f>
        <v>45674</v>
      </c>
      <c r="W531" s="148">
        <f>IFERROR(__xludf.DUMMYFUNCTION("""COMPUTED_VALUE"""),49325.0)</f>
        <v>49325</v>
      </c>
      <c r="X531" s="149">
        <f>IFERROR(__xludf.DUMMYFUNCTION("""COMPUTED_VALUE"""),49141.0)</f>
        <v>49141</v>
      </c>
      <c r="Y531" t="str">
        <f>IFERROR(__xludf.DUMMYFUNCTION("""COMPUTED_VALUE"""),"ปลอดภัย")</f>
        <v>ปลอดภัย</v>
      </c>
      <c r="Z531" t="str">
        <f>IFERROR(__xludf.DUMMYFUNCTION("""COMPUTED_VALUE"""),"Rayong Province")</f>
        <v>Rayong Province</v>
      </c>
      <c r="AA531" t="str">
        <f>IFERROR(__xludf.DUMMYFUNCTION("""COMPUTED_VALUE"""),"Saimai")</f>
        <v>Saimai</v>
      </c>
      <c r="AB531" t="str">
        <f>IFERROR(__xludf.DUMMYFUNCTION("""COMPUTED_VALUE"""),"089-116-1507")</f>
        <v>089-116-1507</v>
      </c>
      <c r="AC531" t="str">
        <f>IFERROR(__xludf.DUMMYFUNCTION("""COMPUTED_VALUE"""),"Jitsupa")</f>
        <v>Jitsupa</v>
      </c>
      <c r="AD531" t="str">
        <f>IFERROR(__xludf.DUMMYFUNCTION("""COMPUTED_VALUE"""),"rudeemash@airasia.com")</f>
        <v>rudeemash@airasia.com</v>
      </c>
    </row>
    <row r="532">
      <c r="A532" s="142">
        <f>IFERROR(__xludf.DUMMYFUNCTION("""COMPUTED_VALUE"""),67.0)</f>
        <v>67</v>
      </c>
      <c r="B532" t="str">
        <f>IFERROR(__xludf.DUMMYFUNCTION("""COMPUTED_VALUE"""),"TAA5574")</f>
        <v>TAA5574</v>
      </c>
      <c r="C532">
        <f>IFERROR(__xludf.DUMMYFUNCTION("""COMPUTED_VALUE"""),1011319.0)</f>
        <v>1011319</v>
      </c>
      <c r="D532" t="str">
        <f>IFERROR(__xludf.DUMMYFUNCTION("""COMPUTED_VALUE"""),"Ms.")</f>
        <v>Ms.</v>
      </c>
      <c r="E532" t="str">
        <f>IFERROR(__xludf.DUMMYFUNCTION("""COMPUTED_VALUE"""),"Sakaow")</f>
        <v>Sakaow</v>
      </c>
      <c r="F532" t="str">
        <f>IFERROR(__xludf.DUMMYFUNCTION("""COMPUTED_VALUE"""),"Homtrakul (Ruaksasarn)")</f>
        <v>Homtrakul (Ruaksasarn)</v>
      </c>
      <c r="G532" t="str">
        <f>IFERROR(__xludf.DUMMYFUNCTION("""COMPUTED_VALUE"""),"Sakaow Homtrakul")</f>
        <v>Sakaow Homtrakul</v>
      </c>
      <c r="H532" t="str">
        <f>IFERROR(__xludf.DUMMYFUNCTION("""COMPUTED_VALUE"""),"นางสาว")</f>
        <v>นางสาว</v>
      </c>
      <c r="I532" t="str">
        <f>IFERROR(__xludf.DUMMYFUNCTION("""COMPUTED_VALUE"""),"สกาว")</f>
        <v>สกาว</v>
      </c>
      <c r="J532" t="str">
        <f>IFERROR(__xludf.DUMMYFUNCTION("""COMPUTED_VALUE"""),"หอมตระกูล (ฤกษะสาร)")</f>
        <v>หอมตระกูล (ฤกษะสาร)</v>
      </c>
      <c r="K532" t="str">
        <f>IFERROR(__xludf.DUMMYFUNCTION("""COMPUTED_VALUE"""),"สกาว หอมตระกูล")</f>
        <v>สกาว หอมตระกูล</v>
      </c>
      <c r="L532" t="str">
        <f>IFERROR(__xludf.DUMMYFUNCTION("""COMPUTED_VALUE"""),"Diamond")</f>
        <v>Diamond</v>
      </c>
      <c r="M532" t="str">
        <f>IFERROR(__xludf.DUMMYFUNCTION("""COMPUTED_VALUE"""),"Cabin Crew")</f>
        <v>Cabin Crew</v>
      </c>
      <c r="N532" t="str">
        <f>IFERROR(__xludf.DUMMYFUNCTION("""COMPUTED_VALUE"""),"DMK")</f>
        <v>DMK</v>
      </c>
      <c r="O532" s="145" t="str">
        <f>IFERROR(__xludf.DUMMYFUNCTION("""COMPUTED_VALUE"""),"Namfon Home")</f>
        <v>Namfon Home</v>
      </c>
      <c r="P532" t="str">
        <f>IFERROR(__xludf.DUMMYFUNCTION("""COMPUTED_VALUE"""),"V/LWP")</f>
        <v>V/LWP</v>
      </c>
      <c r="R532" s="143">
        <f>IFERROR(__xludf.DUMMYFUNCTION("""COMPUTED_VALUE"""),32993.0)</f>
        <v>32993</v>
      </c>
      <c r="S532" s="146" t="str">
        <f>IFERROR(__xludf.DUMMYFUNCTION("""COMPUTED_VALUE"""),"062-249-4598")</f>
        <v>062-249-4598</v>
      </c>
      <c r="T532" s="147" t="str">
        <f>IFERROR(__xludf.DUMMYFUNCTION("""COMPUTED_VALUE"""),"1103700-11-8519")</f>
        <v>1103700-11-8519</v>
      </c>
      <c r="U532" t="str">
        <f>IFERROR(__xludf.DUMMYFUNCTION("""COMPUTED_VALUE"""),"AD2236765")</f>
        <v>AD2236765</v>
      </c>
      <c r="V532" s="148">
        <f>IFERROR(__xludf.DUMMYFUNCTION("""COMPUTED_VALUE"""),45792.0)</f>
        <v>45792</v>
      </c>
      <c r="W532" s="148">
        <f>IFERROR(__xludf.DUMMYFUNCTION("""COMPUTED_VALUE"""),49443.0)</f>
        <v>49443</v>
      </c>
      <c r="X532" s="149">
        <f>IFERROR(__xludf.DUMMYFUNCTION("""COMPUTED_VALUE"""),49262.0)</f>
        <v>49262</v>
      </c>
      <c r="Y532" t="str">
        <f>IFERROR(__xludf.DUMMYFUNCTION("""COMPUTED_VALUE"""),"ปลอดภัย")</f>
        <v>ปลอดภัย</v>
      </c>
      <c r="Z532" t="str">
        <f>IFERROR(__xludf.DUMMYFUNCTION("""COMPUTED_VALUE"""),"Bangkok")</f>
        <v>Bangkok</v>
      </c>
      <c r="AA532" t="str">
        <f>IFERROR(__xludf.DUMMYFUNCTION("""COMPUTED_VALUE"""),"Bangkok Noi")</f>
        <v>Bangkok Noi</v>
      </c>
      <c r="AB532" t="str">
        <f>IFERROR(__xludf.DUMMYFUNCTION("""COMPUTED_VALUE"""),"089-696-2242")</f>
        <v>089-696-2242</v>
      </c>
      <c r="AC532" t="str">
        <f>IFERROR(__xludf.DUMMYFUNCTION("""COMPUTED_VALUE"""),"Kasem")</f>
        <v>Kasem</v>
      </c>
      <c r="AD532" t="str">
        <f>IFERROR(__xludf.DUMMYFUNCTION("""COMPUTED_VALUE"""),"sakaowh@airasia.com")</f>
        <v>sakaowh@airasia.com</v>
      </c>
    </row>
    <row r="533">
      <c r="A533" s="142">
        <f>IFERROR(__xludf.DUMMYFUNCTION("""COMPUTED_VALUE"""),67.0)</f>
        <v>67</v>
      </c>
      <c r="B533" t="str">
        <f>IFERROR(__xludf.DUMMYFUNCTION("""COMPUTED_VALUE"""),"TAA5576")</f>
        <v>TAA5576</v>
      </c>
      <c r="C533">
        <f>IFERROR(__xludf.DUMMYFUNCTION("""COMPUTED_VALUE"""),1011320.0)</f>
        <v>1011320</v>
      </c>
      <c r="D533" t="str">
        <f>IFERROR(__xludf.DUMMYFUNCTION("""COMPUTED_VALUE"""),"Mr.")</f>
        <v>Mr.</v>
      </c>
      <c r="E533" t="str">
        <f>IFERROR(__xludf.DUMMYFUNCTION("""COMPUTED_VALUE"""),"Sudhat")</f>
        <v>Sudhat</v>
      </c>
      <c r="F533" t="str">
        <f>IFERROR(__xludf.DUMMYFUNCTION("""COMPUTED_VALUE"""),"Bunnag")</f>
        <v>Bunnag</v>
      </c>
      <c r="G533" t="str">
        <f>IFERROR(__xludf.DUMMYFUNCTION("""COMPUTED_VALUE"""),"Sudhat Bunnag")</f>
        <v>Sudhat Bunnag</v>
      </c>
      <c r="H533" t="str">
        <f>IFERROR(__xludf.DUMMYFUNCTION("""COMPUTED_VALUE"""),"นาย")</f>
        <v>นาย</v>
      </c>
      <c r="I533" t="str">
        <f>IFERROR(__xludf.DUMMYFUNCTION("""COMPUTED_VALUE"""),"สุธัช")</f>
        <v>สุธัช</v>
      </c>
      <c r="J533" t="str">
        <f>IFERROR(__xludf.DUMMYFUNCTION("""COMPUTED_VALUE"""),"บุนนาค")</f>
        <v>บุนนาค</v>
      </c>
      <c r="K533" t="str">
        <f>IFERROR(__xludf.DUMMYFUNCTION("""COMPUTED_VALUE"""),"สุธัช บุนนาค")</f>
        <v>สุธัช บุนนาค</v>
      </c>
      <c r="L533" t="str">
        <f>IFERROR(__xludf.DUMMYFUNCTION("""COMPUTED_VALUE"""),"Arm อาร์ม")</f>
        <v>Arm อาร์ม</v>
      </c>
      <c r="M533" t="str">
        <f>IFERROR(__xludf.DUMMYFUNCTION("""COMPUTED_VALUE"""),"Cabin Crew")</f>
        <v>Cabin Crew</v>
      </c>
      <c r="N533" t="str">
        <f>IFERROR(__xludf.DUMMYFUNCTION("""COMPUTED_VALUE"""),"DMK")</f>
        <v>DMK</v>
      </c>
      <c r="O533" s="145" t="str">
        <f>IFERROR(__xludf.DUMMYFUNCTION("""COMPUTED_VALUE"""),"Um Home")</f>
        <v>Um Home</v>
      </c>
      <c r="P533" t="str">
        <f>IFERROR(__xludf.DUMMYFUNCTION("""COMPUTED_VALUE"""),"Active")</f>
        <v>Active</v>
      </c>
      <c r="R533" s="143">
        <f>IFERROR(__xludf.DUMMYFUNCTION("""COMPUTED_VALUE"""),32514.0)</f>
        <v>32514</v>
      </c>
      <c r="S533" s="146" t="str">
        <f>IFERROR(__xludf.DUMMYFUNCTION("""COMPUTED_VALUE"""),"087-686-6480")</f>
        <v>087-686-6480</v>
      </c>
      <c r="T533" s="147" t="str">
        <f>IFERROR(__xludf.DUMMYFUNCTION("""COMPUTED_VALUE"""),"1101401-53-5523")</f>
        <v>1101401-53-5523</v>
      </c>
      <c r="U533" t="str">
        <f>IFERROR(__xludf.DUMMYFUNCTION("""COMPUTED_VALUE"""),"AC7710369")</f>
        <v>AC7710369</v>
      </c>
      <c r="V533" s="148">
        <f>IFERROR(__xludf.DUMMYFUNCTION("""COMPUTED_VALUE"""),45859.0)</f>
        <v>45859</v>
      </c>
      <c r="W533" s="148">
        <f>IFERROR(__xludf.DUMMYFUNCTION("""COMPUTED_VALUE"""),49510.0)</f>
        <v>49510</v>
      </c>
      <c r="X533" s="149">
        <f>IFERROR(__xludf.DUMMYFUNCTION("""COMPUTED_VALUE"""),49329.0)</f>
        <v>49329</v>
      </c>
      <c r="Y533" t="str">
        <f>IFERROR(__xludf.DUMMYFUNCTION("""COMPUTED_VALUE"""),"ปลอดภัย")</f>
        <v>ปลอดภัย</v>
      </c>
      <c r="Z533" t="str">
        <f>IFERROR(__xludf.DUMMYFUNCTION("""COMPUTED_VALUE"""),"Bangkok")</f>
        <v>Bangkok</v>
      </c>
      <c r="AA533" t="str">
        <f>IFERROR(__xludf.DUMMYFUNCTION("""COMPUTED_VALUE"""),"Pathumthani")</f>
        <v>Pathumthani</v>
      </c>
      <c r="AB533" t="str">
        <f>IFERROR(__xludf.DUMMYFUNCTION("""COMPUTED_VALUE"""),"095-598-8999")</f>
        <v>095-598-8999</v>
      </c>
      <c r="AC533" t="str">
        <f>IFERROR(__xludf.DUMMYFUNCTION("""COMPUTED_VALUE"""),"Sarawit")</f>
        <v>Sarawit</v>
      </c>
      <c r="AD533" t="str">
        <f>IFERROR(__xludf.DUMMYFUNCTION("""COMPUTED_VALUE"""),"sudhatu@airasia.com")</f>
        <v>sudhatu@airasia.com</v>
      </c>
    </row>
    <row r="534">
      <c r="A534" s="142">
        <f>IFERROR(__xludf.DUMMYFUNCTION("""COMPUTED_VALUE"""),67.0)</f>
        <v>67</v>
      </c>
      <c r="B534" t="str">
        <f>IFERROR(__xludf.DUMMYFUNCTION("""COMPUTED_VALUE"""),"TAA5569")</f>
        <v>TAA5569</v>
      </c>
      <c r="C534">
        <f>IFERROR(__xludf.DUMMYFUNCTION("""COMPUTED_VALUE"""),1011321.0)</f>
        <v>1011321</v>
      </c>
      <c r="D534" t="str">
        <f>IFERROR(__xludf.DUMMYFUNCTION("""COMPUTED_VALUE"""),"Ms.")</f>
        <v>Ms.</v>
      </c>
      <c r="E534" t="str">
        <f>IFERROR(__xludf.DUMMYFUNCTION("""COMPUTED_VALUE"""),"Tasaneewan")</f>
        <v>Tasaneewan</v>
      </c>
      <c r="F534" t="str">
        <f>IFERROR(__xludf.DUMMYFUNCTION("""COMPUTED_VALUE"""),"Buri")</f>
        <v>Buri</v>
      </c>
      <c r="G534" t="str">
        <f>IFERROR(__xludf.DUMMYFUNCTION("""COMPUTED_VALUE"""),"Tasaneewan Buri")</f>
        <v>Tasaneewan Buri</v>
      </c>
      <c r="H534" t="str">
        <f>IFERROR(__xludf.DUMMYFUNCTION("""COMPUTED_VALUE"""),"นางสาว")</f>
        <v>นางสาว</v>
      </c>
      <c r="I534" t="str">
        <f>IFERROR(__xludf.DUMMYFUNCTION("""COMPUTED_VALUE"""),"ทัศนีววรณ")</f>
        <v>ทัศนีววรณ</v>
      </c>
      <c r="J534" t="str">
        <f>IFERROR(__xludf.DUMMYFUNCTION("""COMPUTED_VALUE"""),"บุรี")</f>
        <v>บุรี</v>
      </c>
      <c r="K534" t="str">
        <f>IFERROR(__xludf.DUMMYFUNCTION("""COMPUTED_VALUE"""),"ทัศนีววรณ บุรี")</f>
        <v>ทัศนีววรณ บุรี</v>
      </c>
      <c r="L534" t="str">
        <f>IFERROR(__xludf.DUMMYFUNCTION("""COMPUTED_VALUE"""),"Nink นิ้ง")</f>
        <v>Nink นิ้ง</v>
      </c>
      <c r="M534" t="str">
        <f>IFERROR(__xludf.DUMMYFUNCTION("""COMPUTED_VALUE"""),"Cabin Crew")</f>
        <v>Cabin Crew</v>
      </c>
      <c r="N534" t="str">
        <f>IFERROR(__xludf.DUMMYFUNCTION("""COMPUTED_VALUE"""),"DMK")</f>
        <v>DMK</v>
      </c>
      <c r="O534" s="145" t="str">
        <f>IFERROR(__xludf.DUMMYFUNCTION("""COMPUTED_VALUE"""),"Nhui Home")</f>
        <v>Nhui Home</v>
      </c>
      <c r="P534" t="str">
        <f>IFERROR(__xludf.DUMMYFUNCTION("""COMPUTED_VALUE"""),"Active")</f>
        <v>Active</v>
      </c>
      <c r="R534" s="143">
        <f>IFERROR(__xludf.DUMMYFUNCTION("""COMPUTED_VALUE"""),33662.0)</f>
        <v>33662</v>
      </c>
      <c r="S534" s="146" t="str">
        <f>IFERROR(__xludf.DUMMYFUNCTION("""COMPUTED_VALUE"""),"081-640-2356")</f>
        <v>081-640-2356</v>
      </c>
      <c r="T534" s="147" t="str">
        <f>IFERROR(__xludf.DUMMYFUNCTION("""COMPUTED_VALUE"""),"1103700-72-0740")</f>
        <v>1103700-72-0740</v>
      </c>
      <c r="U534" t="str">
        <f>IFERROR(__xludf.DUMMYFUNCTION("""COMPUTED_VALUE"""),"AC4043542")</f>
        <v>AC4043542</v>
      </c>
      <c r="V534" s="148">
        <f>IFERROR(__xludf.DUMMYFUNCTION("""COMPUTED_VALUE"""),44819.0)</f>
        <v>44819</v>
      </c>
      <c r="W534" s="148">
        <f>IFERROR(__xludf.DUMMYFUNCTION("""COMPUTED_VALUE"""),48471.0)</f>
        <v>48471</v>
      </c>
      <c r="X534" s="149">
        <f>IFERROR(__xludf.DUMMYFUNCTION("""COMPUTED_VALUE"""),48287.0)</f>
        <v>48287</v>
      </c>
      <c r="Y534" t="str">
        <f>IFERROR(__xludf.DUMMYFUNCTION("""COMPUTED_VALUE"""),"ปลอดภัย")</f>
        <v>ปลอดภัย</v>
      </c>
      <c r="Z534" t="str">
        <f>IFERROR(__xludf.DUMMYFUNCTION("""COMPUTED_VALUE"""),"Bangkok")</f>
        <v>Bangkok</v>
      </c>
      <c r="AA534" t="str">
        <f>IFERROR(__xludf.DUMMYFUNCTION("""COMPUTED_VALUE"""),"Jatujak")</f>
        <v>Jatujak</v>
      </c>
      <c r="AB534" t="str">
        <f>IFERROR(__xludf.DUMMYFUNCTION("""COMPUTED_VALUE"""),"085-807-6705")</f>
        <v>085-807-6705</v>
      </c>
      <c r="AC534" t="str">
        <f>IFERROR(__xludf.DUMMYFUNCTION("""COMPUTED_VALUE"""),"Nattaya")</f>
        <v>Nattaya</v>
      </c>
      <c r="AD534" t="str">
        <f>IFERROR(__xludf.DUMMYFUNCTION("""COMPUTED_VALUE"""),"tasaneewanb@airasia.com")</f>
        <v>tasaneewanb@airasia.com</v>
      </c>
    </row>
    <row r="535">
      <c r="A535" s="142">
        <f>IFERROR(__xludf.DUMMYFUNCTION("""COMPUTED_VALUE"""),67.0)</f>
        <v>67</v>
      </c>
      <c r="B535" t="str">
        <f>IFERROR(__xludf.DUMMYFUNCTION("""COMPUTED_VALUE"""),"TAA5587")</f>
        <v>TAA5587</v>
      </c>
      <c r="C535">
        <f>IFERROR(__xludf.DUMMYFUNCTION("""COMPUTED_VALUE"""),1011322.0)</f>
        <v>1011322</v>
      </c>
      <c r="D535" t="str">
        <f>IFERROR(__xludf.DUMMYFUNCTION("""COMPUTED_VALUE"""),"Ms.")</f>
        <v>Ms.</v>
      </c>
      <c r="E535" t="str">
        <f>IFERROR(__xludf.DUMMYFUNCTION("""COMPUTED_VALUE"""),"Thanaporn")</f>
        <v>Thanaporn</v>
      </c>
      <c r="F535" t="str">
        <f>IFERROR(__xludf.DUMMYFUNCTION("""COMPUTED_VALUE"""),"Thong-In")</f>
        <v>Thong-In</v>
      </c>
      <c r="G535" t="str">
        <f>IFERROR(__xludf.DUMMYFUNCTION("""COMPUTED_VALUE"""),"Thanaporn Thong-In")</f>
        <v>Thanaporn Thong-In</v>
      </c>
      <c r="H535" t="str">
        <f>IFERROR(__xludf.DUMMYFUNCTION("""COMPUTED_VALUE"""),"นางสาว")</f>
        <v>นางสาว</v>
      </c>
      <c r="I535" t="str">
        <f>IFERROR(__xludf.DUMMYFUNCTION("""COMPUTED_VALUE"""),"ธนภรณ์")</f>
        <v>ธนภรณ์</v>
      </c>
      <c r="J535" t="str">
        <f>IFERROR(__xludf.DUMMYFUNCTION("""COMPUTED_VALUE"""),"ทองอินทร์")</f>
        <v>ทองอินทร์</v>
      </c>
      <c r="K535" t="str">
        <f>IFERROR(__xludf.DUMMYFUNCTION("""COMPUTED_VALUE"""),"ธนภรณ์ ทองอินทร์")</f>
        <v>ธนภรณ์ ทองอินทร์</v>
      </c>
      <c r="L535" t="str">
        <f>IFERROR(__xludf.DUMMYFUNCTION("""COMPUTED_VALUE"""),"Prang ปราง")</f>
        <v>Prang ปราง</v>
      </c>
      <c r="M535" t="str">
        <f>IFERROR(__xludf.DUMMYFUNCTION("""COMPUTED_VALUE"""),"Senior Cabin Crew - BKK")</f>
        <v>Senior Cabin Crew - BKK</v>
      </c>
      <c r="N535" t="str">
        <f>IFERROR(__xludf.DUMMYFUNCTION("""COMPUTED_VALUE"""),"BKK")</f>
        <v>BKK</v>
      </c>
      <c r="O535" s="145" t="str">
        <f>IFERROR(__xludf.DUMMYFUNCTION("""COMPUTED_VALUE"""),"Nhui Home")</f>
        <v>Nhui Home</v>
      </c>
      <c r="P535" t="str">
        <f>IFERROR(__xludf.DUMMYFUNCTION("""COMPUTED_VALUE"""),"Active/V/DMK")</f>
        <v>Active/V/DMK</v>
      </c>
      <c r="R535" s="143">
        <f>IFERROR(__xludf.DUMMYFUNCTION("""COMPUTED_VALUE"""),33623.0)</f>
        <v>33623</v>
      </c>
      <c r="S535" s="146" t="str">
        <f>IFERROR(__xludf.DUMMYFUNCTION("""COMPUTED_VALUE"""),"087-543-0692")</f>
        <v>087-543-0692</v>
      </c>
      <c r="T535" s="147" t="str">
        <f>IFERROR(__xludf.DUMMYFUNCTION("""COMPUTED_VALUE"""),"1869900-16-0399")</f>
        <v>1869900-16-0399</v>
      </c>
      <c r="U535" t="str">
        <f>IFERROR(__xludf.DUMMYFUNCTION("""COMPUTED_VALUE"""),"AC2462501")</f>
        <v>AC2462501</v>
      </c>
      <c r="V535" s="148">
        <f>IFERROR(__xludf.DUMMYFUNCTION("""COMPUTED_VALUE"""),44468.0)</f>
        <v>44468</v>
      </c>
      <c r="W535" s="148">
        <f>IFERROR(__xludf.DUMMYFUNCTION("""COMPUTED_VALUE"""),48119.0)</f>
        <v>48119</v>
      </c>
      <c r="X535" s="149">
        <f>IFERROR(__xludf.DUMMYFUNCTION("""COMPUTED_VALUE"""),47935.0)</f>
        <v>47935</v>
      </c>
      <c r="Y535" t="str">
        <f>IFERROR(__xludf.DUMMYFUNCTION("""COMPUTED_VALUE"""),"ปลอดภัย")</f>
        <v>ปลอดภัย</v>
      </c>
      <c r="Z535" t="str">
        <f>IFERROR(__xludf.DUMMYFUNCTION("""COMPUTED_VALUE"""),"Chumphon Province")</f>
        <v>Chumphon Province</v>
      </c>
      <c r="AA535" t="str">
        <f>IFERROR(__xludf.DUMMYFUNCTION("""COMPUTED_VALUE"""),"Ladprao")</f>
        <v>Ladprao</v>
      </c>
      <c r="AB535" t="str">
        <f>IFERROR(__xludf.DUMMYFUNCTION("""COMPUTED_VALUE"""),"085-488-4379")</f>
        <v>085-488-4379</v>
      </c>
      <c r="AC535" t="str">
        <f>IFERROR(__xludf.DUMMYFUNCTION("""COMPUTED_VALUE"""),"Truenjit")</f>
        <v>Truenjit</v>
      </c>
      <c r="AD535" t="str">
        <f>IFERROR(__xludf.DUMMYFUNCTION("""COMPUTED_VALUE"""),"thanapornt@airasia.com")</f>
        <v>thanapornt@airasia.com</v>
      </c>
    </row>
    <row r="536">
      <c r="A536" s="142">
        <f>IFERROR(__xludf.DUMMYFUNCTION("""COMPUTED_VALUE"""),67.0)</f>
        <v>67</v>
      </c>
      <c r="B536" t="str">
        <f>IFERROR(__xludf.DUMMYFUNCTION("""COMPUTED_VALUE"""),"TAA5571")</f>
        <v>TAA5571</v>
      </c>
      <c r="C536">
        <f>IFERROR(__xludf.DUMMYFUNCTION("""COMPUTED_VALUE"""),1011323.0)</f>
        <v>1011323</v>
      </c>
      <c r="D536" t="str">
        <f>IFERROR(__xludf.DUMMYFUNCTION("""COMPUTED_VALUE"""),"Mr.")</f>
        <v>Mr.</v>
      </c>
      <c r="E536" t="str">
        <f>IFERROR(__xludf.DUMMYFUNCTION("""COMPUTED_VALUE"""),"Yommana")</f>
        <v>Yommana</v>
      </c>
      <c r="F536" t="str">
        <f>IFERROR(__xludf.DUMMYFUNCTION("""COMPUTED_VALUE"""),"Arunrat")</f>
        <v>Arunrat</v>
      </c>
      <c r="G536" t="str">
        <f>IFERROR(__xludf.DUMMYFUNCTION("""COMPUTED_VALUE"""),"Yommana Arunrat")</f>
        <v>Yommana Arunrat</v>
      </c>
      <c r="H536" t="str">
        <f>IFERROR(__xludf.DUMMYFUNCTION("""COMPUTED_VALUE"""),"นาย")</f>
        <v>นาย</v>
      </c>
      <c r="I536" t="str">
        <f>IFERROR(__xludf.DUMMYFUNCTION("""COMPUTED_VALUE"""),"ยมนา")</f>
        <v>ยมนา</v>
      </c>
      <c r="J536" t="str">
        <f>IFERROR(__xludf.DUMMYFUNCTION("""COMPUTED_VALUE"""),"อรุณรัตน์")</f>
        <v>อรุณรัตน์</v>
      </c>
      <c r="K536" t="str">
        <f>IFERROR(__xludf.DUMMYFUNCTION("""COMPUTED_VALUE"""),"ยมนา อรุณรัตน์")</f>
        <v>ยมนา อรุณรัตน์</v>
      </c>
      <c r="L536" t="str">
        <f>IFERROR(__xludf.DUMMYFUNCTION("""COMPUTED_VALUE"""),"M")</f>
        <v>M</v>
      </c>
      <c r="M536" t="str">
        <f>IFERROR(__xludf.DUMMYFUNCTION("""COMPUTED_VALUE"""),"Cabin Crew")</f>
        <v>Cabin Crew</v>
      </c>
      <c r="N536" t="str">
        <f>IFERROR(__xludf.DUMMYFUNCTION("""COMPUTED_VALUE"""),"DMK")</f>
        <v>DMK</v>
      </c>
      <c r="O536" s="145" t="str">
        <f>IFERROR(__xludf.DUMMYFUNCTION("""COMPUTED_VALUE"""),"Toffy Home")</f>
        <v>Toffy Home</v>
      </c>
      <c r="P536" t="str">
        <f>IFERROR(__xludf.DUMMYFUNCTION("""COMPUTED_VALUE"""),"Active")</f>
        <v>Active</v>
      </c>
      <c r="R536" s="143">
        <f>IFERROR(__xludf.DUMMYFUNCTION("""COMPUTED_VALUE"""),32894.0)</f>
        <v>32894</v>
      </c>
      <c r="S536" s="146" t="str">
        <f>IFERROR(__xludf.DUMMYFUNCTION("""COMPUTED_VALUE"""),"083-717- 9153")</f>
        <v>083-717- 9153</v>
      </c>
      <c r="T536" s="147" t="str">
        <f>IFERROR(__xludf.DUMMYFUNCTION("""COMPUTED_VALUE"""),"1101800-39-1681")</f>
        <v>1101800-39-1681</v>
      </c>
      <c r="U536" t="str">
        <f>IFERROR(__xludf.DUMMYFUNCTION("""COMPUTED_VALUE"""),"AC4778383")</f>
        <v>AC4778383</v>
      </c>
      <c r="V536" s="148">
        <f>IFERROR(__xludf.DUMMYFUNCTION("""COMPUTED_VALUE"""),45037.0)</f>
        <v>45037</v>
      </c>
      <c r="W536" s="148">
        <f>IFERROR(__xludf.DUMMYFUNCTION("""COMPUTED_VALUE"""),46863.0)</f>
        <v>46863</v>
      </c>
      <c r="X536" s="149">
        <f>IFERROR(__xludf.DUMMYFUNCTION("""COMPUTED_VALUE"""),46680.0)</f>
        <v>46680</v>
      </c>
      <c r="Y536" t="str">
        <f>IFERROR(__xludf.DUMMYFUNCTION("""COMPUTED_VALUE"""),"ปลอดภัย")</f>
        <v>ปลอดภัย</v>
      </c>
      <c r="Z536" t="str">
        <f>IFERROR(__xludf.DUMMYFUNCTION("""COMPUTED_VALUE"""),"Bangkok")</f>
        <v>Bangkok</v>
      </c>
      <c r="AA536" t="str">
        <f>IFERROR(__xludf.DUMMYFUNCTION("""COMPUTED_VALUE"""),"Samutprakan")</f>
        <v>Samutprakan</v>
      </c>
      <c r="AB536" t="str">
        <f>IFERROR(__xludf.DUMMYFUNCTION("""COMPUTED_VALUE"""),"080-274-4952")</f>
        <v>080-274-4952</v>
      </c>
      <c r="AC536" t="str">
        <f>IFERROR(__xludf.DUMMYFUNCTION("""COMPUTED_VALUE"""),"Nikoon")</f>
        <v>Nikoon</v>
      </c>
      <c r="AD536" t="str">
        <f>IFERROR(__xludf.DUMMYFUNCTION("""COMPUTED_VALUE"""),"yommanaa@airasia.com")</f>
        <v>yommanaa@airasia.com</v>
      </c>
    </row>
    <row r="537">
      <c r="AD537" t="str">
        <f>IFERROR(__xludf.DUMMYFUNCTION("""COMPUTED_VALUE"""),"")</f>
        <v/>
      </c>
    </row>
    <row r="538">
      <c r="A538" s="142">
        <f>IFERROR(__xludf.DUMMYFUNCTION("""COMPUTED_VALUE"""),68.0)</f>
        <v>68</v>
      </c>
      <c r="B538" t="str">
        <f>IFERROR(__xludf.DUMMYFUNCTION("""COMPUTED_VALUE"""),"TAA3082")</f>
        <v>TAA3082</v>
      </c>
      <c r="C538">
        <f>IFERROR(__xludf.DUMMYFUNCTION("""COMPUTED_VALUE"""),1004526.0)</f>
        <v>1004526</v>
      </c>
      <c r="D538" t="str">
        <f>IFERROR(__xludf.DUMMYFUNCTION("""COMPUTED_VALUE"""),"Ms.")</f>
        <v>Ms.</v>
      </c>
      <c r="E538" t="str">
        <f>IFERROR(__xludf.DUMMYFUNCTION("""COMPUTED_VALUE"""),"Karita")</f>
        <v>Karita</v>
      </c>
      <c r="F538" t="str">
        <f>IFERROR(__xludf.DUMMYFUNCTION("""COMPUTED_VALUE"""),"Champaphan ")</f>
        <v>Champaphan </v>
      </c>
      <c r="G538" t="str">
        <f>IFERROR(__xludf.DUMMYFUNCTION("""COMPUTED_VALUE"""),"Karita Champaphan")</f>
        <v>Karita Champaphan</v>
      </c>
      <c r="H538" t="str">
        <f>IFERROR(__xludf.DUMMYFUNCTION("""COMPUTED_VALUE"""),"นางสาว")</f>
        <v>นางสาว</v>
      </c>
      <c r="I538" t="str">
        <f>IFERROR(__xludf.DUMMYFUNCTION("""COMPUTED_VALUE"""),"ฆริตา")</f>
        <v>ฆริตา</v>
      </c>
      <c r="J538" t="str">
        <f>IFERROR(__xludf.DUMMYFUNCTION("""COMPUTED_VALUE"""),"จำปาพันธุ์ (พูนสีมา)")</f>
        <v>จำปาพันธุ์ (พูนสีมา)</v>
      </c>
      <c r="K538" t="str">
        <f>IFERROR(__xludf.DUMMYFUNCTION("""COMPUTED_VALUE"""),"ฆริตา จำปาพันธุ์")</f>
        <v>ฆริตา จำปาพันธุ์</v>
      </c>
      <c r="L538" t="str">
        <f>IFERROR(__xludf.DUMMYFUNCTION("""COMPUTED_VALUE"""),"แอร์")</f>
        <v>แอร์</v>
      </c>
      <c r="M538" t="str">
        <f>IFERROR(__xludf.DUMMYFUNCTION("""COMPUTED_VALUE"""),"Cabin Crew")</f>
        <v>Cabin Crew</v>
      </c>
      <c r="N538" t="str">
        <f>IFERROR(__xludf.DUMMYFUNCTION("""COMPUTED_VALUE"""),"DMK")</f>
        <v>DMK</v>
      </c>
      <c r="O538" s="145" t="str">
        <f>IFERROR(__xludf.DUMMYFUNCTION("""COMPUTED_VALUE"""),"Por+ Home")</f>
        <v>Por+ Home</v>
      </c>
      <c r="P538" t="str">
        <f>IFERROR(__xludf.DUMMYFUNCTION("""COMPUTED_VALUE"""),"Active")</f>
        <v>Active</v>
      </c>
      <c r="R538" s="143">
        <f>IFERROR(__xludf.DUMMYFUNCTION("""COMPUTED_VALUE"""),32557.0)</f>
        <v>32557</v>
      </c>
      <c r="S538" s="146" t="str">
        <f>IFERROR(__xludf.DUMMYFUNCTION("""COMPUTED_VALUE"""),"099-2653655")</f>
        <v>099-2653655</v>
      </c>
      <c r="T538" s="147" t="str">
        <f>IFERROR(__xludf.DUMMYFUNCTION("""COMPUTED_VALUE"""),"1302000-12-6745")</f>
        <v>1302000-12-6745</v>
      </c>
      <c r="U538" t="str">
        <f>IFERROR(__xludf.DUMMYFUNCTION("""COMPUTED_VALUE"""),"AC4692052")</f>
        <v>AC4692052</v>
      </c>
      <c r="V538" s="148">
        <f>IFERROR(__xludf.DUMMYFUNCTION("""COMPUTED_VALUE"""),45005.0)</f>
        <v>45005</v>
      </c>
      <c r="W538" s="148">
        <f>IFERROR(__xludf.DUMMYFUNCTION("""COMPUTED_VALUE"""),48657.0)</f>
        <v>48657</v>
      </c>
      <c r="X538" s="149">
        <f>IFERROR(__xludf.DUMMYFUNCTION("""COMPUTED_VALUE"""),48476.0)</f>
        <v>48476</v>
      </c>
      <c r="Y538" t="str">
        <f>IFERROR(__xludf.DUMMYFUNCTION("""COMPUTED_VALUE"""),"ปลอดภัย")</f>
        <v>ปลอดภัย</v>
      </c>
      <c r="Z538" t="str">
        <f>IFERROR(__xludf.DUMMYFUNCTION("""COMPUTED_VALUE"""),"Nakhon Ratchasima Province")</f>
        <v>Nakhon Ratchasima Province</v>
      </c>
      <c r="AA538" t="str">
        <f>IFERROR(__xludf.DUMMYFUNCTION("""COMPUTED_VALUE"""),"Donmueang")</f>
        <v>Donmueang</v>
      </c>
      <c r="AB538" t="str">
        <f>IFERROR(__xludf.DUMMYFUNCTION("""COMPUTED_VALUE"""),"087 259 8880")</f>
        <v>087 259 8880</v>
      </c>
      <c r="AC538" t="str">
        <f>IFERROR(__xludf.DUMMYFUNCTION("""COMPUTED_VALUE"""),"Atsawarak")</f>
        <v>Atsawarak</v>
      </c>
      <c r="AD538" t="str">
        <f>IFERROR(__xludf.DUMMYFUNCTION("""COMPUTED_VALUE"""),"karitac@airasia.com")</f>
        <v>karitac@airasia.com</v>
      </c>
    </row>
    <row r="539">
      <c r="A539" s="142">
        <f>IFERROR(__xludf.DUMMYFUNCTION("""COMPUTED_VALUE"""),68.0)</f>
        <v>68</v>
      </c>
      <c r="B539" t="str">
        <f>IFERROR(__xludf.DUMMYFUNCTION("""COMPUTED_VALUE"""),"TAA3123")</f>
        <v>TAA3123</v>
      </c>
      <c r="C539">
        <f>IFERROR(__xludf.DUMMYFUNCTION("""COMPUTED_VALUE"""),1004683.0)</f>
        <v>1004683</v>
      </c>
      <c r="D539" t="str">
        <f>IFERROR(__xludf.DUMMYFUNCTION("""COMPUTED_VALUE"""),"Mr.")</f>
        <v>Mr.</v>
      </c>
      <c r="E539" t="str">
        <f>IFERROR(__xludf.DUMMYFUNCTION("""COMPUTED_VALUE"""),"Prok")</f>
        <v>Prok</v>
      </c>
      <c r="F539" t="str">
        <f>IFERROR(__xludf.DUMMYFUNCTION("""COMPUTED_VALUE"""),"Lartham")</f>
        <v>Lartham</v>
      </c>
      <c r="G539" t="str">
        <f>IFERROR(__xludf.DUMMYFUNCTION("""COMPUTED_VALUE"""),"Prok Lartham")</f>
        <v>Prok Lartham</v>
      </c>
      <c r="H539" t="str">
        <f>IFERROR(__xludf.DUMMYFUNCTION("""COMPUTED_VALUE"""),"นาย")</f>
        <v>นาย</v>
      </c>
      <c r="I539" t="str">
        <f>IFERROR(__xludf.DUMMYFUNCTION("""COMPUTED_VALUE"""),"ปรก")</f>
        <v>ปรก</v>
      </c>
      <c r="J539" t="str">
        <f>IFERROR(__xludf.DUMMYFUNCTION("""COMPUTED_VALUE"""),"หล้าธรรม")</f>
        <v>หล้าธรรม</v>
      </c>
      <c r="K539" t="str">
        <f>IFERROR(__xludf.DUMMYFUNCTION("""COMPUTED_VALUE"""),"ปรก หล้าธรรม")</f>
        <v>ปรก หล้าธรรม</v>
      </c>
      <c r="L539" t="str">
        <f>IFERROR(__xludf.DUMMYFUNCTION("""COMPUTED_VALUE"""),"โป้")</f>
        <v>โป้</v>
      </c>
      <c r="M539" t="str">
        <f>IFERROR(__xludf.DUMMYFUNCTION("""COMPUTED_VALUE"""),"Cabin Crew - CNX")</f>
        <v>Cabin Crew - CNX</v>
      </c>
      <c r="N539" t="str">
        <f>IFERROR(__xludf.DUMMYFUNCTION("""COMPUTED_VALUE"""),"CNX")</f>
        <v>CNX</v>
      </c>
      <c r="O539" s="145" t="str">
        <f>IFERROR(__xludf.DUMMYFUNCTION("""COMPUTED_VALUE"""),"Up Home")</f>
        <v>Up Home</v>
      </c>
      <c r="P539" t="str">
        <f>IFERROR(__xludf.DUMMYFUNCTION("""COMPUTED_VALUE"""),"Active")</f>
        <v>Active</v>
      </c>
      <c r="R539" s="143">
        <f>IFERROR(__xludf.DUMMYFUNCTION("""COMPUTED_VALUE"""),32300.0)</f>
        <v>32300</v>
      </c>
      <c r="S539" s="146" t="str">
        <f>IFERROR(__xludf.DUMMYFUNCTION("""COMPUTED_VALUE"""),"098 226 4622 ")</f>
        <v>098 226 4622 </v>
      </c>
      <c r="T539" s="147" t="str">
        <f>IFERROR(__xludf.DUMMYFUNCTION("""COMPUTED_VALUE"""),"1579900-20-4178")</f>
        <v>1579900-20-4178</v>
      </c>
      <c r="U539" t="str">
        <f>IFERROR(__xludf.DUMMYFUNCTION("""COMPUTED_VALUE"""),"AC6452312")</f>
        <v>AC6452312</v>
      </c>
      <c r="V539" s="148">
        <f>IFERROR(__xludf.DUMMYFUNCTION("""COMPUTED_VALUE"""),45376.0)</f>
        <v>45376</v>
      </c>
      <c r="W539" s="148">
        <f>IFERROR(__xludf.DUMMYFUNCTION("""COMPUTED_VALUE"""),49027.0)</f>
        <v>49027</v>
      </c>
      <c r="X539" s="149">
        <f>IFERROR(__xludf.DUMMYFUNCTION("""COMPUTED_VALUE"""),48846.0)</f>
        <v>48846</v>
      </c>
      <c r="Y539" t="str">
        <f>IFERROR(__xludf.DUMMYFUNCTION("""COMPUTED_VALUE"""),"ปลอดภัย")</f>
        <v>ปลอดภัย</v>
      </c>
      <c r="Z539" t="str">
        <f>IFERROR(__xludf.DUMMYFUNCTION("""COMPUTED_VALUE"""),"Chiang Rai Province")</f>
        <v>Chiang Rai Province</v>
      </c>
      <c r="AA539" t="str">
        <f>IFERROR(__xludf.DUMMYFUNCTION("""COMPUTED_VALUE"""),"Donmueang")</f>
        <v>Donmueang</v>
      </c>
      <c r="AB539" t="str">
        <f>IFERROR(__xludf.DUMMYFUNCTION("""COMPUTED_VALUE"""),"080 597 9993")</f>
        <v>080 597 9993</v>
      </c>
      <c r="AC539" t="str">
        <f>IFERROR(__xludf.DUMMYFUNCTION("""COMPUTED_VALUE"""),"Wipada")</f>
        <v>Wipada</v>
      </c>
      <c r="AD539" t="str">
        <f>IFERROR(__xludf.DUMMYFUNCTION("""COMPUTED_VALUE"""),"prokl@airasia.com")</f>
        <v>prokl@airasia.com</v>
      </c>
    </row>
    <row r="540">
      <c r="A540" s="142">
        <f>IFERROR(__xludf.DUMMYFUNCTION("""COMPUTED_VALUE"""),68.0)</f>
        <v>68</v>
      </c>
      <c r="B540" t="str">
        <f>IFERROR(__xludf.DUMMYFUNCTION("""COMPUTED_VALUE"""),"TAA5734")</f>
        <v>TAA5734</v>
      </c>
      <c r="C540">
        <f>IFERROR(__xludf.DUMMYFUNCTION("""COMPUTED_VALUE"""),1011507.0)</f>
        <v>1011507</v>
      </c>
      <c r="D540" t="str">
        <f>IFERROR(__xludf.DUMMYFUNCTION("""COMPUTED_VALUE"""),"Ms.")</f>
        <v>Ms.</v>
      </c>
      <c r="E540" t="str">
        <f>IFERROR(__xludf.DUMMYFUNCTION("""COMPUTED_VALUE"""),"Weerinpimon (Isarapha)")</f>
        <v>Weerinpimon (Isarapha)</v>
      </c>
      <c r="F540" t="str">
        <f>IFERROR(__xludf.DUMMYFUNCTION("""COMPUTED_VALUE"""),"Rhuecharoen (Srimontrivegin)")</f>
        <v>Rhuecharoen (Srimontrivegin)</v>
      </c>
      <c r="G540" t="str">
        <f>IFERROR(__xludf.DUMMYFUNCTION("""COMPUTED_VALUE"""),"Weerinpimon Rhuecharoen")</f>
        <v>Weerinpimon Rhuecharoen</v>
      </c>
      <c r="H540" t="str">
        <f>IFERROR(__xludf.DUMMYFUNCTION("""COMPUTED_VALUE"""),"นางสาว")</f>
        <v>นางสาว</v>
      </c>
      <c r="I540" t="str">
        <f>IFERROR(__xludf.DUMMYFUNCTION("""COMPUTED_VALUE"""),"วีรินทร์พิมล (อิศราภาณิ์)")</f>
        <v>วีรินทร์พิมล (อิศราภาณิ์)</v>
      </c>
      <c r="J540" t="str">
        <f>IFERROR(__xludf.DUMMYFUNCTION("""COMPUTED_VALUE"""),"หรือเจริญ (ศรีมนตริเวคิน)")</f>
        <v>หรือเจริญ (ศรีมนตริเวคิน)</v>
      </c>
      <c r="K540" t="str">
        <f>IFERROR(__xludf.DUMMYFUNCTION("""COMPUTED_VALUE"""),"วีรินทร์พิมล หรือเจริญ")</f>
        <v>วีรินทร์พิมล หรือเจริญ</v>
      </c>
      <c r="L540" t="str">
        <f>IFERROR(__xludf.DUMMYFUNCTION("""COMPUTED_VALUE"""),"Meen")</f>
        <v>Meen</v>
      </c>
      <c r="M540" t="str">
        <f>IFERROR(__xludf.DUMMYFUNCTION("""COMPUTED_VALUE"""),"Cabin Crew")</f>
        <v>Cabin Crew</v>
      </c>
      <c r="N540" t="str">
        <f>IFERROR(__xludf.DUMMYFUNCTION("""COMPUTED_VALUE"""),"DMK")</f>
        <v>DMK</v>
      </c>
      <c r="O540" s="145" t="str">
        <f>IFERROR(__xludf.DUMMYFUNCTION("""COMPUTED_VALUE"""),"Nhui Home")</f>
        <v>Nhui Home</v>
      </c>
      <c r="P540" t="str">
        <f>IFERROR(__xludf.DUMMYFUNCTION("""COMPUTED_VALUE"""),"Active")</f>
        <v>Active</v>
      </c>
      <c r="R540" s="143">
        <f>IFERROR(__xludf.DUMMYFUNCTION("""COMPUTED_VALUE"""),32582.0)</f>
        <v>32582</v>
      </c>
      <c r="S540" s="146" t="str">
        <f>IFERROR(__xludf.DUMMYFUNCTION("""COMPUTED_VALUE"""),"099-626-4963")</f>
        <v>099-626-4963</v>
      </c>
      <c r="T540" s="147" t="str">
        <f>IFERROR(__xludf.DUMMYFUNCTION("""COMPUTED_VALUE"""),"1100200-45-3448")</f>
        <v>1100200-45-3448</v>
      </c>
      <c r="U540" t="str">
        <f>IFERROR(__xludf.DUMMYFUNCTION("""COMPUTED_VALUE"""),"AC5178975")</f>
        <v>AC5178975</v>
      </c>
      <c r="V540" s="148">
        <f>IFERROR(__xludf.DUMMYFUNCTION("""COMPUTED_VALUE"""),45104.0)</f>
        <v>45104</v>
      </c>
      <c r="W540" s="148">
        <f>IFERROR(__xludf.DUMMYFUNCTION("""COMPUTED_VALUE"""),48756.0)</f>
        <v>48756</v>
      </c>
      <c r="X540" s="149">
        <f>IFERROR(__xludf.DUMMYFUNCTION("""COMPUTED_VALUE"""),48574.0)</f>
        <v>48574</v>
      </c>
      <c r="Y540" t="str">
        <f>IFERROR(__xludf.DUMMYFUNCTION("""COMPUTED_VALUE"""),"ปลอดภัย")</f>
        <v>ปลอดภัย</v>
      </c>
      <c r="Z540" t="str">
        <f>IFERROR(__xludf.DUMMYFUNCTION("""COMPUTED_VALUE"""),"Bangkok")</f>
        <v>Bangkok</v>
      </c>
      <c r="AA540" t="str">
        <f>IFERROR(__xludf.DUMMYFUNCTION("""COMPUTED_VALUE"""),"Huaykwang")</f>
        <v>Huaykwang</v>
      </c>
      <c r="AB540" t="str">
        <f>IFERROR(__xludf.DUMMYFUNCTION("""COMPUTED_VALUE"""),"02 423 0129 / 086 318 6412 / 086 565 8828")</f>
        <v>02 423 0129 / 086 318 6412 / 086 565 8828</v>
      </c>
      <c r="AC540" t="str">
        <f>IFERROR(__xludf.DUMMYFUNCTION("""COMPUTED_VALUE"""),"Home / Mother")</f>
        <v>Home / Mother</v>
      </c>
      <c r="AD540" t="str">
        <f>IFERROR(__xludf.DUMMYFUNCTION("""COMPUTED_VALUE"""),"weerinpimonr@airasia.com")</f>
        <v>weerinpimonr@airasia.com</v>
      </c>
    </row>
    <row r="541">
      <c r="A541" s="142">
        <f>IFERROR(__xludf.DUMMYFUNCTION("""COMPUTED_VALUE"""),68.0)</f>
        <v>68</v>
      </c>
      <c r="B541" t="str">
        <f>IFERROR(__xludf.DUMMYFUNCTION("""COMPUTED_VALUE"""),"TAA5733")</f>
        <v>TAA5733</v>
      </c>
      <c r="C541">
        <f>IFERROR(__xludf.DUMMYFUNCTION("""COMPUTED_VALUE"""),1011509.0)</f>
        <v>1011509</v>
      </c>
      <c r="D541" t="str">
        <f>IFERROR(__xludf.DUMMYFUNCTION("""COMPUTED_VALUE"""),"Ms.")</f>
        <v>Ms.</v>
      </c>
      <c r="E541" t="str">
        <f>IFERROR(__xludf.DUMMYFUNCTION("""COMPUTED_VALUE"""),"Natcha")</f>
        <v>Natcha</v>
      </c>
      <c r="F541" t="str">
        <f>IFERROR(__xludf.DUMMYFUNCTION("""COMPUTED_VALUE"""),"Supakhong")</f>
        <v>Supakhong</v>
      </c>
      <c r="G541" t="str">
        <f>IFERROR(__xludf.DUMMYFUNCTION("""COMPUTED_VALUE"""),"Natcha Supakhong")</f>
        <v>Natcha Supakhong</v>
      </c>
      <c r="H541" t="str">
        <f>IFERROR(__xludf.DUMMYFUNCTION("""COMPUTED_VALUE"""),"นางสาว")</f>
        <v>นางสาว</v>
      </c>
      <c r="I541" t="str">
        <f>IFERROR(__xludf.DUMMYFUNCTION("""COMPUTED_VALUE"""),"นัฐชา")</f>
        <v>นัฐชา</v>
      </c>
      <c r="J541" t="str">
        <f>IFERROR(__xludf.DUMMYFUNCTION("""COMPUTED_VALUE"""),"สุภาโขง")</f>
        <v>สุภาโขง</v>
      </c>
      <c r="K541" t="str">
        <f>IFERROR(__xludf.DUMMYFUNCTION("""COMPUTED_VALUE"""),"นัฐชา สุภาโขง")</f>
        <v>นัฐชา สุภาโขง</v>
      </c>
      <c r="L541" t="str">
        <f>IFERROR(__xludf.DUMMYFUNCTION("""COMPUTED_VALUE"""),"Amm")</f>
        <v>Amm</v>
      </c>
      <c r="M541" t="str">
        <f>IFERROR(__xludf.DUMMYFUNCTION("""COMPUTED_VALUE"""),"Cabin Crew")</f>
        <v>Cabin Crew</v>
      </c>
      <c r="N541" t="str">
        <f>IFERROR(__xludf.DUMMYFUNCTION("""COMPUTED_VALUE"""),"DMK")</f>
        <v>DMK</v>
      </c>
      <c r="O541" s="145" t="str">
        <f>IFERROR(__xludf.DUMMYFUNCTION("""COMPUTED_VALUE"""),"Um Home")</f>
        <v>Um Home</v>
      </c>
      <c r="P541" t="str">
        <f>IFERROR(__xludf.DUMMYFUNCTION("""COMPUTED_VALUE"""),"Active")</f>
        <v>Active</v>
      </c>
      <c r="R541" s="143">
        <f>IFERROR(__xludf.DUMMYFUNCTION("""COMPUTED_VALUE"""),32936.0)</f>
        <v>32936</v>
      </c>
      <c r="S541" s="146" t="str">
        <f>IFERROR(__xludf.DUMMYFUNCTION("""COMPUTED_VALUE"""),"085-395-8333")</f>
        <v>085-395-8333</v>
      </c>
      <c r="T541" s="147" t="str">
        <f>IFERROR(__xludf.DUMMYFUNCTION("""COMPUTED_VALUE"""),"1319900-20-2665")</f>
        <v>1319900-20-2665</v>
      </c>
      <c r="U541" t="str">
        <f>IFERROR(__xludf.DUMMYFUNCTION("""COMPUTED_VALUE"""),"AC3984743")</f>
        <v>AC3984743</v>
      </c>
      <c r="V541" s="148">
        <f>IFERROR(__xludf.DUMMYFUNCTION("""COMPUTED_VALUE"""),44810.0)</f>
        <v>44810</v>
      </c>
      <c r="W541" s="148">
        <f>IFERROR(__xludf.DUMMYFUNCTION("""COMPUTED_VALUE"""),48462.0)</f>
        <v>48462</v>
      </c>
      <c r="X541" s="149">
        <f>IFERROR(__xludf.DUMMYFUNCTION("""COMPUTED_VALUE"""),48278.0)</f>
        <v>48278</v>
      </c>
      <c r="Y541" t="str">
        <f>IFERROR(__xludf.DUMMYFUNCTION("""COMPUTED_VALUE"""),"ปลอดภัย")</f>
        <v>ปลอดภัย</v>
      </c>
      <c r="Z541" t="str">
        <f>IFERROR(__xludf.DUMMYFUNCTION("""COMPUTED_VALUE"""),"Buriram Province")</f>
        <v>Buriram Province</v>
      </c>
      <c r="AA541" t="str">
        <f>IFERROR(__xludf.DUMMYFUNCTION("""COMPUTED_VALUE"""),"Ladkrabang")</f>
        <v>Ladkrabang</v>
      </c>
      <c r="AB541" t="str">
        <f>IFERROR(__xludf.DUMMYFUNCTION("""COMPUTED_VALUE"""),"081 646 4250")</f>
        <v>081 646 4250</v>
      </c>
      <c r="AC541" t="str">
        <f>IFERROR(__xludf.DUMMYFUNCTION("""COMPUTED_VALUE"""),"Doungjai")</f>
        <v>Doungjai</v>
      </c>
      <c r="AD541" t="str">
        <f>IFERROR(__xludf.DUMMYFUNCTION("""COMPUTED_VALUE"""),"natchau@airasia.com")</f>
        <v>natchau@airasia.com</v>
      </c>
    </row>
    <row r="542">
      <c r="A542" s="142">
        <f>IFERROR(__xludf.DUMMYFUNCTION("""COMPUTED_VALUE"""),68.0)</f>
        <v>68</v>
      </c>
      <c r="B542" t="str">
        <f>IFERROR(__xludf.DUMMYFUNCTION("""COMPUTED_VALUE"""),"TAA5743")</f>
        <v>TAA5743</v>
      </c>
      <c r="C542">
        <f>IFERROR(__xludf.DUMMYFUNCTION("""COMPUTED_VALUE"""),1011510.0)</f>
        <v>1011510</v>
      </c>
      <c r="D542" t="str">
        <f>IFERROR(__xludf.DUMMYFUNCTION("""COMPUTED_VALUE"""),"Mr.")</f>
        <v>Mr.</v>
      </c>
      <c r="E542" t="str">
        <f>IFERROR(__xludf.DUMMYFUNCTION("""COMPUTED_VALUE"""),"Nitinai")</f>
        <v>Nitinai</v>
      </c>
      <c r="F542" t="str">
        <f>IFERROR(__xludf.DUMMYFUNCTION("""COMPUTED_VALUE"""),"Chalongtrakul")</f>
        <v>Chalongtrakul</v>
      </c>
      <c r="G542" t="str">
        <f>IFERROR(__xludf.DUMMYFUNCTION("""COMPUTED_VALUE"""),"Nitinai Chalongtrakul")</f>
        <v>Nitinai Chalongtrakul</v>
      </c>
      <c r="H542" t="str">
        <f>IFERROR(__xludf.DUMMYFUNCTION("""COMPUTED_VALUE"""),"นาย")</f>
        <v>นาย</v>
      </c>
      <c r="I542" t="str">
        <f>IFERROR(__xludf.DUMMYFUNCTION("""COMPUTED_VALUE"""),"นิตินัย")</f>
        <v>นิตินัย</v>
      </c>
      <c r="J542" t="str">
        <f>IFERROR(__xludf.DUMMYFUNCTION("""COMPUTED_VALUE"""),"ฉลองตระกูล")</f>
        <v>ฉลองตระกูล</v>
      </c>
      <c r="K542" t="str">
        <f>IFERROR(__xludf.DUMMYFUNCTION("""COMPUTED_VALUE"""),"นิตินัย ฉลองตระกูล")</f>
        <v>นิตินัย ฉลองตระกูล</v>
      </c>
      <c r="L542" t="str">
        <f>IFERROR(__xludf.DUMMYFUNCTION("""COMPUTED_VALUE"""),"Lotus")</f>
        <v>Lotus</v>
      </c>
      <c r="M542" t="str">
        <f>IFERROR(__xludf.DUMMYFUNCTION("""COMPUTED_VALUE"""),"Senior Cabin Crew")</f>
        <v>Senior Cabin Crew</v>
      </c>
      <c r="N542" t="str">
        <f>IFERROR(__xludf.DUMMYFUNCTION("""COMPUTED_VALUE"""),"DMK")</f>
        <v>DMK</v>
      </c>
      <c r="O542" s="145" t="str">
        <f>IFERROR(__xludf.DUMMYFUNCTION("""COMPUTED_VALUE"""),"Toffy Home")</f>
        <v>Toffy Home</v>
      </c>
      <c r="P542" t="str">
        <f>IFERROR(__xludf.DUMMYFUNCTION("""COMPUTED_VALUE"""),"Active")</f>
        <v>Active</v>
      </c>
      <c r="R542" s="143">
        <f>IFERROR(__xludf.DUMMYFUNCTION("""COMPUTED_VALUE"""),32007.0)</f>
        <v>32007</v>
      </c>
      <c r="S542" s="146" t="str">
        <f>IFERROR(__xludf.DUMMYFUNCTION("""COMPUTED_VALUE"""),"085-580-0033")</f>
        <v>085-580-0033</v>
      </c>
      <c r="T542" s="147" t="str">
        <f>IFERROR(__xludf.DUMMYFUNCTION("""COMPUTED_VALUE"""),"1100800-36-9201")</f>
        <v>1100800-36-9201</v>
      </c>
      <c r="U542" t="str">
        <f>IFERROR(__xludf.DUMMYFUNCTION("""COMPUTED_VALUE"""),"AC6289043")</f>
        <v>AC6289043</v>
      </c>
      <c r="V542" s="148">
        <f>IFERROR(__xludf.DUMMYFUNCTION("""COMPUTED_VALUE"""),45282.0)</f>
        <v>45282</v>
      </c>
      <c r="W542" s="148">
        <f>IFERROR(__xludf.DUMMYFUNCTION("""COMPUTED_VALUE"""),48934.0)</f>
        <v>48934</v>
      </c>
      <c r="X542" s="149">
        <f>IFERROR(__xludf.DUMMYFUNCTION("""COMPUTED_VALUE"""),48751.0)</f>
        <v>48751</v>
      </c>
      <c r="Y542" t="str">
        <f>IFERROR(__xludf.DUMMYFUNCTION("""COMPUTED_VALUE"""),"ปลอดภัย")</f>
        <v>ปลอดภัย</v>
      </c>
      <c r="Z542" t="str">
        <f>IFERROR(__xludf.DUMMYFUNCTION("""COMPUTED_VALUE"""),"Bangkok")</f>
        <v>Bangkok</v>
      </c>
      <c r="AA542" t="str">
        <f>IFERROR(__xludf.DUMMYFUNCTION("""COMPUTED_VALUE"""),"Dindeang")</f>
        <v>Dindeang</v>
      </c>
      <c r="AB542" t="str">
        <f>IFERROR(__xludf.DUMMYFUNCTION("""COMPUTED_VALUE"""),"086 369 5332")</f>
        <v>086 369 5332</v>
      </c>
      <c r="AC542" t="str">
        <f>IFERROR(__xludf.DUMMYFUNCTION("""COMPUTED_VALUE"""),"Niramai")</f>
        <v>Niramai</v>
      </c>
      <c r="AD542" t="str">
        <f>IFERROR(__xludf.DUMMYFUNCTION("""COMPUTED_VALUE"""),"nitinaic@airasia.com")</f>
        <v>nitinaic@airasia.com</v>
      </c>
    </row>
    <row r="543">
      <c r="A543" s="142">
        <f>IFERROR(__xludf.DUMMYFUNCTION("""COMPUTED_VALUE"""),68.0)</f>
        <v>68</v>
      </c>
      <c r="B543" t="str">
        <f>IFERROR(__xludf.DUMMYFUNCTION("""COMPUTED_VALUE"""),"TAA5735")</f>
        <v>TAA5735</v>
      </c>
      <c r="C543">
        <f>IFERROR(__xludf.DUMMYFUNCTION("""COMPUTED_VALUE"""),1011513.0)</f>
        <v>1011513</v>
      </c>
      <c r="D543" t="str">
        <f>IFERROR(__xludf.DUMMYFUNCTION("""COMPUTED_VALUE"""),"Mr.")</f>
        <v>Mr.</v>
      </c>
      <c r="E543" t="str">
        <f>IFERROR(__xludf.DUMMYFUNCTION("""COMPUTED_VALUE"""),"Rawitnat")</f>
        <v>Rawitnat</v>
      </c>
      <c r="F543" t="str">
        <f>IFERROR(__xludf.DUMMYFUNCTION("""COMPUTED_VALUE"""),"Marayat")</f>
        <v>Marayat</v>
      </c>
      <c r="G543" t="str">
        <f>IFERROR(__xludf.DUMMYFUNCTION("""COMPUTED_VALUE"""),"Rawitnat Marayat")</f>
        <v>Rawitnat Marayat</v>
      </c>
      <c r="H543" t="str">
        <f>IFERROR(__xludf.DUMMYFUNCTION("""COMPUTED_VALUE"""),"นาย")</f>
        <v>นาย</v>
      </c>
      <c r="I543" t="str">
        <f>IFERROR(__xludf.DUMMYFUNCTION("""COMPUTED_VALUE"""),"รวิชญ์ณัฏฐ์")</f>
        <v>รวิชญ์ณัฏฐ์</v>
      </c>
      <c r="J543" t="str">
        <f>IFERROR(__xludf.DUMMYFUNCTION("""COMPUTED_VALUE"""),"มารยาตร์")</f>
        <v>มารยาตร์</v>
      </c>
      <c r="K543" t="str">
        <f>IFERROR(__xludf.DUMMYFUNCTION("""COMPUTED_VALUE"""),"รวิชญ์ณัฏฐ์ มารยาตร์")</f>
        <v>รวิชญ์ณัฏฐ์ มารยาตร์</v>
      </c>
      <c r="L543" t="str">
        <f>IFERROR(__xludf.DUMMYFUNCTION("""COMPUTED_VALUE"""),"โจ้")</f>
        <v>โจ้</v>
      </c>
      <c r="M543" t="str">
        <f>IFERROR(__xludf.DUMMYFUNCTION("""COMPUTED_VALUE"""),"Cabin Crew")</f>
        <v>Cabin Crew</v>
      </c>
      <c r="N543" t="str">
        <f>IFERROR(__xludf.DUMMYFUNCTION("""COMPUTED_VALUE"""),"DMK")</f>
        <v>DMK</v>
      </c>
      <c r="O543" s="145" t="str">
        <f>IFERROR(__xludf.DUMMYFUNCTION("""COMPUTED_VALUE"""),"Por+ Home")</f>
        <v>Por+ Home</v>
      </c>
      <c r="P543" t="str">
        <f>IFERROR(__xludf.DUMMYFUNCTION("""COMPUTED_VALUE"""),"Active")</f>
        <v>Active</v>
      </c>
      <c r="R543" s="143">
        <f>IFERROR(__xludf.DUMMYFUNCTION("""COMPUTED_VALUE"""),32961.0)</f>
        <v>32961</v>
      </c>
      <c r="S543" s="146" t="str">
        <f>IFERROR(__xludf.DUMMYFUNCTION("""COMPUTED_VALUE"""),"084-910-1752")</f>
        <v>084-910-1752</v>
      </c>
      <c r="T543" s="147" t="str">
        <f>IFERROR(__xludf.DUMMYFUNCTION("""COMPUTED_VALUE"""),"1809900-30-2509")</f>
        <v>1809900-30-2509</v>
      </c>
      <c r="U543" t="str">
        <f>IFERROR(__xludf.DUMMYFUNCTION("""COMPUTED_VALUE"""),"AC5238546")</f>
        <v>AC5238546</v>
      </c>
      <c r="V543" s="148">
        <f>IFERROR(__xludf.DUMMYFUNCTION("""COMPUTED_VALUE"""),45108.0)</f>
        <v>45108</v>
      </c>
      <c r="W543" s="148">
        <f>IFERROR(__xludf.DUMMYFUNCTION("""COMPUTED_VALUE"""),48760.0)</f>
        <v>48760</v>
      </c>
      <c r="X543" s="149">
        <f>IFERROR(__xludf.DUMMYFUNCTION("""COMPUTED_VALUE"""),48578.0)</f>
        <v>48578</v>
      </c>
      <c r="Y543" t="str">
        <f>IFERROR(__xludf.DUMMYFUNCTION("""COMPUTED_VALUE"""),"ปลอดภัย")</f>
        <v>ปลอดภัย</v>
      </c>
      <c r="Z543" t="str">
        <f>IFERROR(__xludf.DUMMYFUNCTION("""COMPUTED_VALUE"""),"Nakhon Si Thammarat Province")</f>
        <v>Nakhon Si Thammarat Province</v>
      </c>
      <c r="AA543" t="str">
        <f>IFERROR(__xludf.DUMMYFUNCTION("""COMPUTED_VALUE"""),"Jatujak")</f>
        <v>Jatujak</v>
      </c>
      <c r="AB543" t="str">
        <f>IFERROR(__xludf.DUMMYFUNCTION("""COMPUTED_VALUE"""),"02 587 5656 / 089 650 3313")</f>
        <v>02 587 5656 / 089 650 3313</v>
      </c>
      <c r="AC543" t="str">
        <f>IFERROR(__xludf.DUMMYFUNCTION("""COMPUTED_VALUE"""),"Home / Bussakorn")</f>
        <v>Home / Bussakorn</v>
      </c>
      <c r="AD543" t="str">
        <f>IFERROR(__xludf.DUMMYFUNCTION("""COMPUTED_VALUE"""),"rawitnatm@airasia.com")</f>
        <v>rawitnatm@airasia.com</v>
      </c>
    </row>
    <row r="544">
      <c r="A544" s="142">
        <f>IFERROR(__xludf.DUMMYFUNCTION("""COMPUTED_VALUE"""),68.0)</f>
        <v>68</v>
      </c>
      <c r="B544" t="str">
        <f>IFERROR(__xludf.DUMMYFUNCTION("""COMPUTED_VALUE"""),"TAA5744")</f>
        <v>TAA5744</v>
      </c>
      <c r="C544">
        <f>IFERROR(__xludf.DUMMYFUNCTION("""COMPUTED_VALUE"""),1011514.0)</f>
        <v>1011514</v>
      </c>
      <c r="D544" t="str">
        <f>IFERROR(__xludf.DUMMYFUNCTION("""COMPUTED_VALUE"""),"Ms.")</f>
        <v>Ms.</v>
      </c>
      <c r="E544" t="str">
        <f>IFERROR(__xludf.DUMMYFUNCTION("""COMPUTED_VALUE"""),"Phapada (Siriporn)")</f>
        <v>Phapada (Siriporn)</v>
      </c>
      <c r="F544" t="str">
        <f>IFERROR(__xludf.DUMMYFUNCTION("""COMPUTED_VALUE"""),"Chukavirote")</f>
        <v>Chukavirote</v>
      </c>
      <c r="G544" t="str">
        <f>IFERROR(__xludf.DUMMYFUNCTION("""COMPUTED_VALUE"""),"Phapada Chukavirote")</f>
        <v>Phapada Chukavirote</v>
      </c>
      <c r="H544" t="str">
        <f>IFERROR(__xludf.DUMMYFUNCTION("""COMPUTED_VALUE"""),"นางสาว")</f>
        <v>นางสาว</v>
      </c>
      <c r="I544" t="str">
        <f>IFERROR(__xludf.DUMMYFUNCTION("""COMPUTED_VALUE"""),"ปภาดา (สิริพร)")</f>
        <v>ปภาดา (สิริพร)</v>
      </c>
      <c r="J544" t="str">
        <f>IFERROR(__xludf.DUMMYFUNCTION("""COMPUTED_VALUE"""),"ฌูกะวิโรจน์")</f>
        <v>ฌูกะวิโรจน์</v>
      </c>
      <c r="K544" t="str">
        <f>IFERROR(__xludf.DUMMYFUNCTION("""COMPUTED_VALUE"""),"ปภาดา ฌูกะวิโรจน์")</f>
        <v>ปภาดา ฌูกะวิโรจน์</v>
      </c>
      <c r="L544" t="str">
        <f>IFERROR(__xludf.DUMMYFUNCTION("""COMPUTED_VALUE"""),"Pla")</f>
        <v>Pla</v>
      </c>
      <c r="M544" t="str">
        <f>IFERROR(__xludf.DUMMYFUNCTION("""COMPUTED_VALUE"""),"Cabin Crew")</f>
        <v>Cabin Crew</v>
      </c>
      <c r="N544" t="str">
        <f>IFERROR(__xludf.DUMMYFUNCTION("""COMPUTED_VALUE"""),"DMK")</f>
        <v>DMK</v>
      </c>
      <c r="O544" s="145" t="str">
        <f>IFERROR(__xludf.DUMMYFUNCTION("""COMPUTED_VALUE"""),"Um Home")</f>
        <v>Um Home</v>
      </c>
      <c r="P544" t="str">
        <f>IFERROR(__xludf.DUMMYFUNCTION("""COMPUTED_VALUE"""),"Active")</f>
        <v>Active</v>
      </c>
      <c r="R544" s="143">
        <f>IFERROR(__xludf.DUMMYFUNCTION("""COMPUTED_VALUE"""),33140.0)</f>
        <v>33140</v>
      </c>
      <c r="S544" s="146" t="str">
        <f>IFERROR(__xludf.DUMMYFUNCTION("""COMPUTED_VALUE"""),"086-993-4191")</f>
        <v>086-993-4191</v>
      </c>
      <c r="T544" s="147" t="str">
        <f>IFERROR(__xludf.DUMMYFUNCTION("""COMPUTED_VALUE"""),"1102700-05-3092")</f>
        <v>1102700-05-3092</v>
      </c>
      <c r="U544" t="str">
        <f>IFERROR(__xludf.DUMMYFUNCTION("""COMPUTED_VALUE"""),"AC4480148")</f>
        <v>AC4480148</v>
      </c>
      <c r="V544" s="148">
        <f>IFERROR(__xludf.DUMMYFUNCTION("""COMPUTED_VALUE"""),44977.0)</f>
        <v>44977</v>
      </c>
      <c r="W544" s="148">
        <f>IFERROR(__xludf.DUMMYFUNCTION("""COMPUTED_VALUE"""),48629.0)</f>
        <v>48629</v>
      </c>
      <c r="X544" s="149">
        <f>IFERROR(__xludf.DUMMYFUNCTION("""COMPUTED_VALUE"""),48445.0)</f>
        <v>48445</v>
      </c>
      <c r="Y544" t="str">
        <f>IFERROR(__xludf.DUMMYFUNCTION("""COMPUTED_VALUE"""),"ปลอดภัย")</f>
        <v>ปลอดภัย</v>
      </c>
      <c r="Z544" t="str">
        <f>IFERROR(__xludf.DUMMYFUNCTION("""COMPUTED_VALUE"""),"Bangkok")</f>
        <v>Bangkok</v>
      </c>
      <c r="AA544" t="str">
        <f>IFERROR(__xludf.DUMMYFUNCTION("""COMPUTED_VALUE"""),"Jatujak")</f>
        <v>Jatujak</v>
      </c>
      <c r="AB544" t="str">
        <f>IFERROR(__xludf.DUMMYFUNCTION("""COMPUTED_VALUE"""),"02 510 4729 / 086 315 0816")</f>
        <v>02 510 4729 / 086 315 0816</v>
      </c>
      <c r="AC544" t="str">
        <f>IFERROR(__xludf.DUMMYFUNCTION("""COMPUTED_VALUE"""),"Home / Sirima")</f>
        <v>Home / Sirima</v>
      </c>
      <c r="AD544" t="str">
        <f>IFERROR(__xludf.DUMMYFUNCTION("""COMPUTED_VALUE"""),"phapadac@airasia.com")</f>
        <v>phapadac@airasia.com</v>
      </c>
    </row>
    <row r="545">
      <c r="A545" s="142">
        <f>IFERROR(__xludf.DUMMYFUNCTION("""COMPUTED_VALUE"""),68.0)</f>
        <v>68</v>
      </c>
      <c r="B545" t="str">
        <f>IFERROR(__xludf.DUMMYFUNCTION("""COMPUTED_VALUE"""),"TAA5738")</f>
        <v>TAA5738</v>
      </c>
      <c r="C545">
        <f>IFERROR(__xludf.DUMMYFUNCTION("""COMPUTED_VALUE"""),1011515.0)</f>
        <v>1011515</v>
      </c>
      <c r="D545" t="str">
        <f>IFERROR(__xludf.DUMMYFUNCTION("""COMPUTED_VALUE"""),"Mr.")</f>
        <v>Mr.</v>
      </c>
      <c r="E545" t="str">
        <f>IFERROR(__xludf.DUMMYFUNCTION("""COMPUTED_VALUE"""),"Sopark")</f>
        <v>Sopark</v>
      </c>
      <c r="F545" t="str">
        <f>IFERROR(__xludf.DUMMYFUNCTION("""COMPUTED_VALUE"""),"Phosiri")</f>
        <v>Phosiri</v>
      </c>
      <c r="G545" t="str">
        <f>IFERROR(__xludf.DUMMYFUNCTION("""COMPUTED_VALUE"""),"Sopark Phosiri")</f>
        <v>Sopark Phosiri</v>
      </c>
      <c r="H545" t="str">
        <f>IFERROR(__xludf.DUMMYFUNCTION("""COMPUTED_VALUE"""),"นาย")</f>
        <v>นาย</v>
      </c>
      <c r="I545" t="str">
        <f>IFERROR(__xludf.DUMMYFUNCTION("""COMPUTED_VALUE"""),"โสภาคย์")</f>
        <v>โสภาคย์</v>
      </c>
      <c r="J545" t="str">
        <f>IFERROR(__xludf.DUMMYFUNCTION("""COMPUTED_VALUE"""),"โพธิ์ศิริ")</f>
        <v>โพธิ์ศิริ</v>
      </c>
      <c r="K545" t="str">
        <f>IFERROR(__xludf.DUMMYFUNCTION("""COMPUTED_VALUE"""),"โสภาคย์ โพธิ์ศิริ")</f>
        <v>โสภาคย์ โพธิ์ศิริ</v>
      </c>
      <c r="L545" t="str">
        <f>IFERROR(__xludf.DUMMYFUNCTION("""COMPUTED_VALUE"""),"Shan")</f>
        <v>Shan</v>
      </c>
      <c r="M545" t="str">
        <f>IFERROR(__xludf.DUMMYFUNCTION("""COMPUTED_VALUE"""),"Cabin Crew")</f>
        <v>Cabin Crew</v>
      </c>
      <c r="N545" t="str">
        <f>IFERROR(__xludf.DUMMYFUNCTION("""COMPUTED_VALUE"""),"DMK")</f>
        <v>DMK</v>
      </c>
      <c r="O545" s="145" t="str">
        <f>IFERROR(__xludf.DUMMYFUNCTION("""COMPUTED_VALUE"""),"Namfon Home")</f>
        <v>Namfon Home</v>
      </c>
      <c r="P545" t="str">
        <f>IFERROR(__xludf.DUMMYFUNCTION("""COMPUTED_VALUE"""),"Active")</f>
        <v>Active</v>
      </c>
      <c r="R545" s="143">
        <f>IFERROR(__xludf.DUMMYFUNCTION("""COMPUTED_VALUE"""),31827.0)</f>
        <v>31827</v>
      </c>
      <c r="S545" s="146" t="str">
        <f>IFERROR(__xludf.DUMMYFUNCTION("""COMPUTED_VALUE"""),"089-047-3636")</f>
        <v>089-047-3636</v>
      </c>
      <c r="T545" s="147" t="str">
        <f>IFERROR(__xludf.DUMMYFUNCTION("""COMPUTED_VALUE"""),"1101400-93-1140")</f>
        <v>1101400-93-1140</v>
      </c>
      <c r="U545" t="str">
        <f>IFERROR(__xludf.DUMMYFUNCTION("""COMPUTED_VALUE"""),"AD0760225")</f>
        <v>AD0760225</v>
      </c>
      <c r="V545" s="148">
        <f>IFERROR(__xludf.DUMMYFUNCTION("""COMPUTED_VALUE"""),44970.0)</f>
        <v>44970</v>
      </c>
      <c r="W545" s="148">
        <f>IFERROR(__xludf.DUMMYFUNCTION("""COMPUTED_VALUE"""),48622.0)</f>
        <v>48622</v>
      </c>
      <c r="X545" s="149">
        <f>IFERROR(__xludf.DUMMYFUNCTION("""COMPUTED_VALUE"""),48438.0)</f>
        <v>48438</v>
      </c>
      <c r="Y545" t="str">
        <f>IFERROR(__xludf.DUMMYFUNCTION("""COMPUTED_VALUE"""),"ปลอดภัย")</f>
        <v>ปลอดภัย</v>
      </c>
      <c r="Z545" t="str">
        <f>IFERROR(__xludf.DUMMYFUNCTION("""COMPUTED_VALUE"""),"Bangkok")</f>
        <v>Bangkok</v>
      </c>
      <c r="AA545" t="str">
        <f>IFERROR(__xludf.DUMMYFUNCTION("""COMPUTED_VALUE"""),"Nonthaburi")</f>
        <v>Nonthaburi</v>
      </c>
      <c r="AB545" t="str">
        <f>IFERROR(__xludf.DUMMYFUNCTION("""COMPUTED_VALUE"""),"02 526 7928 / 084 861 5888")</f>
        <v>02 526 7928 / 084 861 5888</v>
      </c>
      <c r="AC545" t="str">
        <f>IFERROR(__xludf.DUMMYFUNCTION("""COMPUTED_VALUE"""),"Home / Sethirun")</f>
        <v>Home / Sethirun</v>
      </c>
      <c r="AD545" t="str">
        <f>IFERROR(__xludf.DUMMYFUNCTION("""COMPUTED_VALUE"""),"soparkp@airasia.com")</f>
        <v>soparkp@airasia.com</v>
      </c>
    </row>
    <row r="546">
      <c r="A546" s="142">
        <f>IFERROR(__xludf.DUMMYFUNCTION("""COMPUTED_VALUE"""),68.0)</f>
        <v>68</v>
      </c>
      <c r="B546" t="str">
        <f>IFERROR(__xludf.DUMMYFUNCTION("""COMPUTED_VALUE"""),"TAA5741")</f>
        <v>TAA5741</v>
      </c>
      <c r="C546">
        <f>IFERROR(__xludf.DUMMYFUNCTION("""COMPUTED_VALUE"""),1011516.0)</f>
        <v>1011516</v>
      </c>
      <c r="D546" t="str">
        <f>IFERROR(__xludf.DUMMYFUNCTION("""COMPUTED_VALUE"""),"Mr.")</f>
        <v>Mr.</v>
      </c>
      <c r="E546" t="str">
        <f>IFERROR(__xludf.DUMMYFUNCTION("""COMPUTED_VALUE"""),"Thitipol")</f>
        <v>Thitipol</v>
      </c>
      <c r="F546" t="str">
        <f>IFERROR(__xludf.DUMMYFUNCTION("""COMPUTED_VALUE"""),"Soontorn-Anantakul")</f>
        <v>Soontorn-Anantakul</v>
      </c>
      <c r="G546" t="str">
        <f>IFERROR(__xludf.DUMMYFUNCTION("""COMPUTED_VALUE"""),"Thitipol Soontorn-Anantakul")</f>
        <v>Thitipol Soontorn-Anantakul</v>
      </c>
      <c r="H546" t="str">
        <f>IFERROR(__xludf.DUMMYFUNCTION("""COMPUTED_VALUE"""),"นาย")</f>
        <v>นาย</v>
      </c>
      <c r="I546" t="str">
        <f>IFERROR(__xludf.DUMMYFUNCTION("""COMPUTED_VALUE"""),"ฐิติพล")</f>
        <v>ฐิติพล</v>
      </c>
      <c r="J546" t="str">
        <f>IFERROR(__xludf.DUMMYFUNCTION("""COMPUTED_VALUE"""),"สุนทรอนันตกุล")</f>
        <v>สุนทรอนันตกุล</v>
      </c>
      <c r="K546" t="str">
        <f>IFERROR(__xludf.DUMMYFUNCTION("""COMPUTED_VALUE"""),"ฐิติพล สุนทรอนันตกุล")</f>
        <v>ฐิติพล สุนทรอนันตกุล</v>
      </c>
      <c r="L546" t="str">
        <f>IFERROR(__xludf.DUMMYFUNCTION("""COMPUTED_VALUE"""),"อู๋จี๊")</f>
        <v>อู๋จี๊</v>
      </c>
      <c r="M546" t="str">
        <f>IFERROR(__xludf.DUMMYFUNCTION("""COMPUTED_VALUE"""),"Cabin Crew")</f>
        <v>Cabin Crew</v>
      </c>
      <c r="N546" t="str">
        <f>IFERROR(__xludf.DUMMYFUNCTION("""COMPUTED_VALUE"""),"DMK")</f>
        <v>DMK</v>
      </c>
      <c r="O546" s="145" t="str">
        <f>IFERROR(__xludf.DUMMYFUNCTION("""COMPUTED_VALUE"""),"Um Home")</f>
        <v>Um Home</v>
      </c>
      <c r="P546" t="str">
        <f>IFERROR(__xludf.DUMMYFUNCTION("""COMPUTED_VALUE"""),"Active")</f>
        <v>Active</v>
      </c>
      <c r="R546" s="143">
        <f>IFERROR(__xludf.DUMMYFUNCTION("""COMPUTED_VALUE"""),32281.0)</f>
        <v>32281</v>
      </c>
      <c r="S546" s="146" t="str">
        <f>IFERROR(__xludf.DUMMYFUNCTION("""COMPUTED_VALUE"""),"081-689-1885")</f>
        <v>081-689-1885</v>
      </c>
      <c r="T546" s="147" t="str">
        <f>IFERROR(__xludf.DUMMYFUNCTION("""COMPUTED_VALUE"""),"1101401-31-8794")</f>
        <v>1101401-31-8794</v>
      </c>
      <c r="U546" t="str">
        <f>IFERROR(__xludf.DUMMYFUNCTION("""COMPUTED_VALUE"""),"AC5917713")</f>
        <v>AC5917713</v>
      </c>
      <c r="V546" s="148">
        <f>IFERROR(__xludf.DUMMYFUNCTION("""COMPUTED_VALUE"""),45224.0)</f>
        <v>45224</v>
      </c>
      <c r="W546" s="148">
        <f>IFERROR(__xludf.DUMMYFUNCTION("""COMPUTED_VALUE"""),48876.0)</f>
        <v>48876</v>
      </c>
      <c r="X546" s="149">
        <f>IFERROR(__xludf.DUMMYFUNCTION("""COMPUTED_VALUE"""),48693.0)</f>
        <v>48693</v>
      </c>
      <c r="Y546" t="str">
        <f>IFERROR(__xludf.DUMMYFUNCTION("""COMPUTED_VALUE"""),"ปลอดภัย")</f>
        <v>ปลอดภัย</v>
      </c>
      <c r="Z546" t="str">
        <f>IFERROR(__xludf.DUMMYFUNCTION("""COMPUTED_VALUE"""),"Bangkok")</f>
        <v>Bangkok</v>
      </c>
      <c r="AA546" t="str">
        <f>IFERROR(__xludf.DUMMYFUNCTION("""COMPUTED_VALUE"""),"Minburi")</f>
        <v>Minburi</v>
      </c>
      <c r="AB546" t="str">
        <f>IFERROR(__xludf.DUMMYFUNCTION("""COMPUTED_VALUE"""),"02 171 5019 / 081 456 8779")</f>
        <v>02 171 5019 / 081 456 8779</v>
      </c>
      <c r="AC546" t="str">
        <f>IFERROR(__xludf.DUMMYFUNCTION("""COMPUTED_VALUE"""),"Home / Pittayaporn")</f>
        <v>Home / Pittayaporn</v>
      </c>
      <c r="AD546" t="str">
        <f>IFERROR(__xludf.DUMMYFUNCTION("""COMPUTED_VALUE"""),"thitipols@airasia.com")</f>
        <v>thitipols@airasia.com</v>
      </c>
    </row>
    <row r="547">
      <c r="AD547" t="str">
        <f>IFERROR(__xludf.DUMMYFUNCTION("""COMPUTED_VALUE"""),"")</f>
        <v/>
      </c>
    </row>
    <row r="548">
      <c r="A548" s="142">
        <f>IFERROR(__xludf.DUMMYFUNCTION("""COMPUTED_VALUE"""),69.0)</f>
        <v>69</v>
      </c>
      <c r="B548" t="str">
        <f>IFERROR(__xludf.DUMMYFUNCTION("""COMPUTED_VALUE"""),"TAA3229")</f>
        <v>TAA3229</v>
      </c>
      <c r="C548">
        <f>IFERROR(__xludf.DUMMYFUNCTION("""COMPUTED_VALUE"""),1004950.0)</f>
        <v>1004950</v>
      </c>
      <c r="D548" t="str">
        <f>IFERROR(__xludf.DUMMYFUNCTION("""COMPUTED_VALUE"""),"Ms.")</f>
        <v>Ms.</v>
      </c>
      <c r="E548" t="str">
        <f>IFERROR(__xludf.DUMMYFUNCTION("""COMPUTED_VALUE"""),"Sirirat")</f>
        <v>Sirirat</v>
      </c>
      <c r="F548" t="str">
        <f>IFERROR(__xludf.DUMMYFUNCTION("""COMPUTED_VALUE"""),"Phummarin")</f>
        <v>Phummarin</v>
      </c>
      <c r="G548" t="str">
        <f>IFERROR(__xludf.DUMMYFUNCTION("""COMPUTED_VALUE"""),"Sirirat Phummarin")</f>
        <v>Sirirat Phummarin</v>
      </c>
      <c r="H548" t="str">
        <f>IFERROR(__xludf.DUMMYFUNCTION("""COMPUTED_VALUE"""),"นางสาว")</f>
        <v>นางสาว</v>
      </c>
      <c r="I548" t="str">
        <f>IFERROR(__xludf.DUMMYFUNCTION("""COMPUTED_VALUE"""),"ศิริรัตน์")</f>
        <v>ศิริรัตน์</v>
      </c>
      <c r="J548" t="str">
        <f>IFERROR(__xludf.DUMMYFUNCTION("""COMPUTED_VALUE"""),"ภุมรินทร์")</f>
        <v>ภุมรินทร์</v>
      </c>
      <c r="K548" t="str">
        <f>IFERROR(__xludf.DUMMYFUNCTION("""COMPUTED_VALUE"""),"ศิริรัตน์ ภุมรินทร์")</f>
        <v>ศิริรัตน์ ภุมรินทร์</v>
      </c>
      <c r="L548" t="str">
        <f>IFERROR(__xludf.DUMMYFUNCTION("""COMPUTED_VALUE"""),"Bee")</f>
        <v>Bee</v>
      </c>
      <c r="M548" t="str">
        <f>IFERROR(__xludf.DUMMYFUNCTION("""COMPUTED_VALUE"""),"Cabin Crew - HKT")</f>
        <v>Cabin Crew - HKT</v>
      </c>
      <c r="N548" t="str">
        <f>IFERROR(__xludf.DUMMYFUNCTION("""COMPUTED_VALUE"""),"HKT")</f>
        <v>HKT</v>
      </c>
      <c r="O548" s="145" t="str">
        <f>IFERROR(__xludf.DUMMYFUNCTION("""COMPUTED_VALUE"""),"Kor Home")</f>
        <v>Kor Home</v>
      </c>
      <c r="P548" t="str">
        <f>IFERROR(__xludf.DUMMYFUNCTION("""COMPUTED_VALUE"""),"Active")</f>
        <v>Active</v>
      </c>
      <c r="R548" s="143">
        <f>IFERROR(__xludf.DUMMYFUNCTION("""COMPUTED_VALUE"""),31283.0)</f>
        <v>31283</v>
      </c>
      <c r="S548" s="146" t="str">
        <f>IFERROR(__xludf.DUMMYFUNCTION("""COMPUTED_VALUE"""),"080-535-0845")</f>
        <v>080-535-0845</v>
      </c>
      <c r="T548" s="147" t="str">
        <f>IFERROR(__xludf.DUMMYFUNCTION("""COMPUTED_VALUE"""),"1820800-01-4023")</f>
        <v>1820800-01-4023</v>
      </c>
      <c r="U548" t="str">
        <f>IFERROR(__xludf.DUMMYFUNCTION("""COMPUTED_VALUE"""),"AC2776424")</f>
        <v>AC2776424</v>
      </c>
      <c r="V548" s="148">
        <f>IFERROR(__xludf.DUMMYFUNCTION("""COMPUTED_VALUE"""),44501.0)</f>
        <v>44501</v>
      </c>
      <c r="W548" s="148">
        <f>IFERROR(__xludf.DUMMYFUNCTION("""COMPUTED_VALUE"""),48152.0)</f>
        <v>48152</v>
      </c>
      <c r="X548" s="149">
        <f>IFERROR(__xludf.DUMMYFUNCTION("""COMPUTED_VALUE"""),47968.0)</f>
        <v>47968</v>
      </c>
      <c r="Y548" t="str">
        <f>IFERROR(__xludf.DUMMYFUNCTION("""COMPUTED_VALUE"""),"ปลอดภัย")</f>
        <v>ปลอดภัย</v>
      </c>
      <c r="Z548" t="str">
        <f>IFERROR(__xludf.DUMMYFUNCTION("""COMPUTED_VALUE"""),"Phang Nga Province")</f>
        <v>Phang Nga Province</v>
      </c>
      <c r="AA548" t="str">
        <f>IFERROR(__xludf.DUMMYFUNCTION("""COMPUTED_VALUE"""),"Phuket")</f>
        <v>Phuket</v>
      </c>
      <c r="AB548" t="str">
        <f>IFERROR(__xludf.DUMMYFUNCTION("""COMPUTED_VALUE"""),"082-287-3037")</f>
        <v>082-287-3037</v>
      </c>
      <c r="AC548" t="str">
        <f>IFERROR(__xludf.DUMMYFUNCTION("""COMPUTED_VALUE"""),"Wanthanee")</f>
        <v>Wanthanee</v>
      </c>
      <c r="AD548" t="str">
        <f>IFERROR(__xludf.DUMMYFUNCTION("""COMPUTED_VALUE"""),"siriratp@airasia.com")</f>
        <v>siriratp@airasia.com</v>
      </c>
    </row>
    <row r="549">
      <c r="A549" s="142">
        <f>IFERROR(__xludf.DUMMYFUNCTION("""COMPUTED_VALUE"""),69.0)</f>
        <v>69</v>
      </c>
      <c r="B549" t="str">
        <f>IFERROR(__xludf.DUMMYFUNCTION("""COMPUTED_VALUE"""),"TAA3479")</f>
        <v>TAA3479</v>
      </c>
      <c r="C549">
        <f>IFERROR(__xludf.DUMMYFUNCTION("""COMPUTED_VALUE"""),1005326.0)</f>
        <v>1005326</v>
      </c>
      <c r="D549" t="str">
        <f>IFERROR(__xludf.DUMMYFUNCTION("""COMPUTED_VALUE"""),"Mr.")</f>
        <v>Mr.</v>
      </c>
      <c r="E549" t="str">
        <f>IFERROR(__xludf.DUMMYFUNCTION("""COMPUTED_VALUE"""),"Pakornpoj")</f>
        <v>Pakornpoj</v>
      </c>
      <c r="F549" t="str">
        <f>IFERROR(__xludf.DUMMYFUNCTION("""COMPUTED_VALUE"""),"Lertsmitivant")</f>
        <v>Lertsmitivant</v>
      </c>
      <c r="G549" t="str">
        <f>IFERROR(__xludf.DUMMYFUNCTION("""COMPUTED_VALUE"""),"Pakornpoj Lertsmitivant")</f>
        <v>Pakornpoj Lertsmitivant</v>
      </c>
      <c r="H549" t="str">
        <f>IFERROR(__xludf.DUMMYFUNCTION("""COMPUTED_VALUE"""),"นาย")</f>
        <v>นาย</v>
      </c>
      <c r="I549" t="str">
        <f>IFERROR(__xludf.DUMMYFUNCTION("""COMPUTED_VALUE"""),"ปกรณ์พจน์")</f>
        <v>ปกรณ์พจน์</v>
      </c>
      <c r="J549" t="str">
        <f>IFERROR(__xludf.DUMMYFUNCTION("""COMPUTED_VALUE"""),"เลิศสมิติวันท์")</f>
        <v>เลิศสมิติวันท์</v>
      </c>
      <c r="K549" t="str">
        <f>IFERROR(__xludf.DUMMYFUNCTION("""COMPUTED_VALUE"""),"ปกรณ์พจน์ เลิศสมิติวันท์")</f>
        <v>ปกรณ์พจน์ เลิศสมิติวันท์</v>
      </c>
      <c r="L549" t="str">
        <f>IFERROR(__xludf.DUMMYFUNCTION("""COMPUTED_VALUE"""),"Mike")</f>
        <v>Mike</v>
      </c>
      <c r="M549" t="str">
        <f>IFERROR(__xludf.DUMMYFUNCTION("""COMPUTED_VALUE"""),"Cabin Crew")</f>
        <v>Cabin Crew</v>
      </c>
      <c r="N549" t="str">
        <f>IFERROR(__xludf.DUMMYFUNCTION("""COMPUTED_VALUE"""),"DMK")</f>
        <v>DMK</v>
      </c>
      <c r="O549" s="145" t="str">
        <f>IFERROR(__xludf.DUMMYFUNCTION("""COMPUTED_VALUE"""),"Um Home")</f>
        <v>Um Home</v>
      </c>
      <c r="P549" t="str">
        <f>IFERROR(__xludf.DUMMYFUNCTION("""COMPUTED_VALUE"""),"Active")</f>
        <v>Active</v>
      </c>
      <c r="R549" s="143">
        <f>IFERROR(__xludf.DUMMYFUNCTION("""COMPUTED_VALUE"""),31817.0)</f>
        <v>31817</v>
      </c>
      <c r="S549" s="146" t="str">
        <f>IFERROR(__xludf.DUMMYFUNCTION("""COMPUTED_VALUE"""),"095-241-6599")</f>
        <v>095-241-6599</v>
      </c>
      <c r="T549" s="147" t="str">
        <f>IFERROR(__xludf.DUMMYFUNCTION("""COMPUTED_VALUE"""),"1101400-92-8521")</f>
        <v>1101400-92-8521</v>
      </c>
      <c r="U549" t="str">
        <f>IFERROR(__xludf.DUMMYFUNCTION("""COMPUTED_VALUE"""),"AC8422562")</f>
        <v>AC8422562</v>
      </c>
      <c r="V549" s="148">
        <f>IFERROR(__xludf.DUMMYFUNCTION("""COMPUTED_VALUE"""),46107.0)</f>
        <v>46107</v>
      </c>
      <c r="W549" s="148">
        <f>IFERROR(__xludf.DUMMYFUNCTION("""COMPUTED_VALUE"""),49759.0)</f>
        <v>49759</v>
      </c>
      <c r="X549" s="149">
        <f>IFERROR(__xludf.DUMMYFUNCTION("""COMPUTED_VALUE"""),49577.0)</f>
        <v>49577</v>
      </c>
      <c r="Y549" t="str">
        <f>IFERROR(__xludf.DUMMYFUNCTION("""COMPUTED_VALUE"""),"ปลอดภัย")</f>
        <v>ปลอดภัย</v>
      </c>
      <c r="Z549" t="str">
        <f>IFERROR(__xludf.DUMMYFUNCTION("""COMPUTED_VALUE"""),"Bangkok")</f>
        <v>Bangkok</v>
      </c>
      <c r="AA549" t="str">
        <f>IFERROR(__xludf.DUMMYFUNCTION("""COMPUTED_VALUE"""),"Lumlukka")</f>
        <v>Lumlukka</v>
      </c>
      <c r="AB549" t="str">
        <f>IFERROR(__xludf.DUMMYFUNCTION("""COMPUTED_VALUE"""),"093-170-9571")</f>
        <v>093-170-9571</v>
      </c>
      <c r="AC549" t="str">
        <f>IFERROR(__xludf.DUMMYFUNCTION("""COMPUTED_VALUE"""),"Siripak")</f>
        <v>Siripak</v>
      </c>
      <c r="AD549" t="str">
        <f>IFERROR(__xludf.DUMMYFUNCTION("""COMPUTED_VALUE"""),"pakornpojl@airasia.com")</f>
        <v>pakornpojl@airasia.com</v>
      </c>
    </row>
    <row r="550">
      <c r="A550" s="142">
        <f>IFERROR(__xludf.DUMMYFUNCTION("""COMPUTED_VALUE"""),69.0)</f>
        <v>69</v>
      </c>
      <c r="B550" t="str">
        <f>IFERROR(__xludf.DUMMYFUNCTION("""COMPUTED_VALUE"""),"TAA5818")</f>
        <v>TAA5818</v>
      </c>
      <c r="C550">
        <f>IFERROR(__xludf.DUMMYFUNCTION("""COMPUTED_VALUE"""),1011716.0)</f>
        <v>1011716</v>
      </c>
      <c r="D550" t="str">
        <f>IFERROR(__xludf.DUMMYFUNCTION("""COMPUTED_VALUE"""),"Ms.")</f>
        <v>Ms.</v>
      </c>
      <c r="E550" t="str">
        <f>IFERROR(__xludf.DUMMYFUNCTION("""COMPUTED_VALUE"""),"Arjarree")</f>
        <v>Arjarree</v>
      </c>
      <c r="F550" t="str">
        <f>IFERROR(__xludf.DUMMYFUNCTION("""COMPUTED_VALUE"""),"Intharapaijit")</f>
        <v>Intharapaijit</v>
      </c>
      <c r="G550" t="str">
        <f>IFERROR(__xludf.DUMMYFUNCTION("""COMPUTED_VALUE"""),"Arjarree Intharapaijit")</f>
        <v>Arjarree Intharapaijit</v>
      </c>
      <c r="H550" t="str">
        <f>IFERROR(__xludf.DUMMYFUNCTION("""COMPUTED_VALUE"""),"นางสาว")</f>
        <v>นางสาว</v>
      </c>
      <c r="I550" t="str">
        <f>IFERROR(__xludf.DUMMYFUNCTION("""COMPUTED_VALUE"""),"อาจรีย์")</f>
        <v>อาจรีย์</v>
      </c>
      <c r="J550" t="str">
        <f>IFERROR(__xludf.DUMMYFUNCTION("""COMPUTED_VALUE"""),"อินทรไพจิตร")</f>
        <v>อินทรไพจิตร</v>
      </c>
      <c r="K550" t="str">
        <f>IFERROR(__xludf.DUMMYFUNCTION("""COMPUTED_VALUE"""),"อาจรีย์ อินทรไพจิตร")</f>
        <v>อาจรีย์ อินทรไพจิตร</v>
      </c>
      <c r="L550" t="str">
        <f>IFERROR(__xludf.DUMMYFUNCTION("""COMPUTED_VALUE"""),"Mim มิ้ม")</f>
        <v>Mim มิ้ม</v>
      </c>
      <c r="M550" t="str">
        <f>IFERROR(__xludf.DUMMYFUNCTION("""COMPUTED_VALUE"""),"Cabin Crew")</f>
        <v>Cabin Crew</v>
      </c>
      <c r="N550" t="str">
        <f>IFERROR(__xludf.DUMMYFUNCTION("""COMPUTED_VALUE"""),"DMK")</f>
        <v>DMK</v>
      </c>
      <c r="O550" s="145" t="str">
        <f>IFERROR(__xludf.DUMMYFUNCTION("""COMPUTED_VALUE"""),"Um Home")</f>
        <v>Um Home</v>
      </c>
      <c r="P550" t="str">
        <f>IFERROR(__xludf.DUMMYFUNCTION("""COMPUTED_VALUE"""),"V/LWP")</f>
        <v>V/LWP</v>
      </c>
      <c r="R550" s="143">
        <f>IFERROR(__xludf.DUMMYFUNCTION("""COMPUTED_VALUE"""),33139.0)</f>
        <v>33139</v>
      </c>
      <c r="S550" s="146" t="str">
        <f>IFERROR(__xludf.DUMMYFUNCTION("""COMPUTED_VALUE"""),"089 944 2379")</f>
        <v>089 944 2379</v>
      </c>
      <c r="T550" s="147" t="str">
        <f>IFERROR(__xludf.DUMMYFUNCTION("""COMPUTED_VALUE"""),"1600100-39-0750")</f>
        <v>1600100-39-0750</v>
      </c>
      <c r="U550" t="str">
        <f>IFERROR(__xludf.DUMMYFUNCTION("""COMPUTED_VALUE"""),"AD1677525")</f>
        <v>AD1677525</v>
      </c>
      <c r="V550" s="148">
        <f>IFERROR(__xludf.DUMMYFUNCTION("""COMPUTED_VALUE"""),45322.0)</f>
        <v>45322</v>
      </c>
      <c r="W550" s="148">
        <f>IFERROR(__xludf.DUMMYFUNCTION("""COMPUTED_VALUE"""),47148.0)</f>
        <v>47148</v>
      </c>
      <c r="X550" s="149">
        <f>IFERROR(__xludf.DUMMYFUNCTION("""COMPUTED_VALUE"""),46964.0)</f>
        <v>46964</v>
      </c>
      <c r="Y550" t="str">
        <f>IFERROR(__xludf.DUMMYFUNCTION("""COMPUTED_VALUE"""),"ปลอดภัย")</f>
        <v>ปลอดภัย</v>
      </c>
      <c r="Z550" t="str">
        <f>IFERROR(__xludf.DUMMYFUNCTION("""COMPUTED_VALUE"""),"Nakhon Sawan Province")</f>
        <v>Nakhon Sawan Province</v>
      </c>
      <c r="AA550" t="str">
        <f>IFERROR(__xludf.DUMMYFUNCTION("""COMPUTED_VALUE"""),"Jatujak")</f>
        <v>Jatujak</v>
      </c>
      <c r="AB550" t="str">
        <f>IFERROR(__xludf.DUMMYFUNCTION("""COMPUTED_VALUE"""),"081-727-8864")</f>
        <v>081-727-8864</v>
      </c>
      <c r="AC550" t="str">
        <f>IFERROR(__xludf.DUMMYFUNCTION("""COMPUTED_VALUE"""),"Prasert")</f>
        <v>Prasert</v>
      </c>
      <c r="AD550" t="str">
        <f>IFERROR(__xludf.DUMMYFUNCTION("""COMPUTED_VALUE"""),"arjarreei@airasia.com")</f>
        <v>arjarreei@airasia.com</v>
      </c>
    </row>
    <row r="551">
      <c r="A551" s="142">
        <f>IFERROR(__xludf.DUMMYFUNCTION("""COMPUTED_VALUE"""),69.0)</f>
        <v>69</v>
      </c>
      <c r="B551" t="str">
        <f>IFERROR(__xludf.DUMMYFUNCTION("""COMPUTED_VALUE"""),"TAA5810")</f>
        <v>TAA5810</v>
      </c>
      <c r="C551">
        <f>IFERROR(__xludf.DUMMYFUNCTION("""COMPUTED_VALUE"""),1011719.0)</f>
        <v>1011719</v>
      </c>
      <c r="D551" t="str">
        <f>IFERROR(__xludf.DUMMYFUNCTION("""COMPUTED_VALUE"""),"Ms.")</f>
        <v>Ms.</v>
      </c>
      <c r="E551" t="str">
        <f>IFERROR(__xludf.DUMMYFUNCTION("""COMPUTED_VALUE"""),"Chiraporn")</f>
        <v>Chiraporn</v>
      </c>
      <c r="F551" t="str">
        <f>IFERROR(__xludf.DUMMYFUNCTION("""COMPUTED_VALUE"""),"Suriwan")</f>
        <v>Suriwan</v>
      </c>
      <c r="G551" t="str">
        <f>IFERROR(__xludf.DUMMYFUNCTION("""COMPUTED_VALUE"""),"Chiraporn Suriwan")</f>
        <v>Chiraporn Suriwan</v>
      </c>
      <c r="H551" t="str">
        <f>IFERROR(__xludf.DUMMYFUNCTION("""COMPUTED_VALUE"""),"นางสาว")</f>
        <v>นางสาว</v>
      </c>
      <c r="I551" t="str">
        <f>IFERROR(__xludf.DUMMYFUNCTION("""COMPUTED_VALUE"""),"จิรพร")</f>
        <v>จิรพร</v>
      </c>
      <c r="J551" t="str">
        <f>IFERROR(__xludf.DUMMYFUNCTION("""COMPUTED_VALUE"""),"สุริวรรณ")</f>
        <v>สุริวรรณ</v>
      </c>
      <c r="K551" t="str">
        <f>IFERROR(__xludf.DUMMYFUNCTION("""COMPUTED_VALUE"""),"จิรพร สุริวรรณ")</f>
        <v>จิรพร สุริวรรณ</v>
      </c>
      <c r="L551" t="str">
        <f>IFERROR(__xludf.DUMMYFUNCTION("""COMPUTED_VALUE"""),"Aom ออม")</f>
        <v>Aom ออม</v>
      </c>
      <c r="M551" t="str">
        <f>IFERROR(__xludf.DUMMYFUNCTION("""COMPUTED_VALUE"""),"Cabin Crew")</f>
        <v>Cabin Crew</v>
      </c>
      <c r="N551" t="str">
        <f>IFERROR(__xludf.DUMMYFUNCTION("""COMPUTED_VALUE"""),"DMK")</f>
        <v>DMK</v>
      </c>
      <c r="O551" s="145" t="str">
        <f>IFERROR(__xludf.DUMMYFUNCTION("""COMPUTED_VALUE"""),"Namfon Home")</f>
        <v>Namfon Home</v>
      </c>
      <c r="P551" t="str">
        <f>IFERROR(__xludf.DUMMYFUNCTION("""COMPUTED_VALUE"""),"Active")</f>
        <v>Active</v>
      </c>
      <c r="R551" s="143">
        <f>IFERROR(__xludf.DUMMYFUNCTION("""COMPUTED_VALUE"""),33351.0)</f>
        <v>33351</v>
      </c>
      <c r="S551" s="146" t="str">
        <f>IFERROR(__xludf.DUMMYFUNCTION("""COMPUTED_VALUE"""),"086-884-1685")</f>
        <v>086-884-1685</v>
      </c>
      <c r="T551" s="147" t="str">
        <f>IFERROR(__xludf.DUMMYFUNCTION("""COMPUTED_VALUE"""),"1103700-43-8955")</f>
        <v>1103700-43-8955</v>
      </c>
      <c r="U551" t="str">
        <f>IFERROR(__xludf.DUMMYFUNCTION("""COMPUTED_VALUE"""),"AD1751653")</f>
        <v>AD1751653</v>
      </c>
      <c r="V551" s="148">
        <f>IFERROR(__xludf.DUMMYFUNCTION("""COMPUTED_VALUE"""),45441.0)</f>
        <v>45441</v>
      </c>
      <c r="W551" s="148">
        <f>IFERROR(__xludf.DUMMYFUNCTION("""COMPUTED_VALUE"""),49092.0)</f>
        <v>49092</v>
      </c>
      <c r="X551" s="149">
        <f>IFERROR(__xludf.DUMMYFUNCTION("""COMPUTED_VALUE"""),48911.0)</f>
        <v>48911</v>
      </c>
      <c r="Y551" t="str">
        <f>IFERROR(__xludf.DUMMYFUNCTION("""COMPUTED_VALUE"""),"ปลอดภัย")</f>
        <v>ปลอดภัย</v>
      </c>
      <c r="Z551" t="str">
        <f>IFERROR(__xludf.DUMMYFUNCTION("""COMPUTED_VALUE"""),"Bangkok")</f>
        <v>Bangkok</v>
      </c>
      <c r="AA551" t="str">
        <f>IFERROR(__xludf.DUMMYFUNCTION("""COMPUTED_VALUE"""),"Rajvitee")</f>
        <v>Rajvitee</v>
      </c>
      <c r="AB551" t="str">
        <f>IFERROR(__xludf.DUMMYFUNCTION("""COMPUTED_VALUE"""),"089-812-0084")</f>
        <v>089-812-0084</v>
      </c>
      <c r="AC551" t="str">
        <f>IFERROR(__xludf.DUMMYFUNCTION("""COMPUTED_VALUE"""),"Pattira")</f>
        <v>Pattira</v>
      </c>
      <c r="AD551" t="str">
        <f>IFERROR(__xludf.DUMMYFUNCTION("""COMPUTED_VALUE"""),"chiraporns@airasia.com")</f>
        <v>chiraporns@airasia.com</v>
      </c>
    </row>
    <row r="552">
      <c r="A552" s="142">
        <f>IFERROR(__xludf.DUMMYFUNCTION("""COMPUTED_VALUE"""),69.0)</f>
        <v>69</v>
      </c>
      <c r="B552" t="str">
        <f>IFERROR(__xludf.DUMMYFUNCTION("""COMPUTED_VALUE"""),"TAA5812")</f>
        <v>TAA5812</v>
      </c>
      <c r="C552">
        <f>IFERROR(__xludf.DUMMYFUNCTION("""COMPUTED_VALUE"""),1011720.0)</f>
        <v>1011720</v>
      </c>
      <c r="D552" t="str">
        <f>IFERROR(__xludf.DUMMYFUNCTION("""COMPUTED_VALUE"""),"Ms.")</f>
        <v>Ms.</v>
      </c>
      <c r="E552" t="str">
        <f>IFERROR(__xludf.DUMMYFUNCTION("""COMPUTED_VALUE"""),"Chomsorn")</f>
        <v>Chomsorn</v>
      </c>
      <c r="F552" t="str">
        <f>IFERROR(__xludf.DUMMYFUNCTION("""COMPUTED_VALUE"""),"Kongwiroj")</f>
        <v>Kongwiroj</v>
      </c>
      <c r="G552" t="str">
        <f>IFERROR(__xludf.DUMMYFUNCTION("""COMPUTED_VALUE"""),"Chomsorn Kongwiroj")</f>
        <v>Chomsorn Kongwiroj</v>
      </c>
      <c r="H552" t="str">
        <f>IFERROR(__xludf.DUMMYFUNCTION("""COMPUTED_VALUE"""),"นางสาว")</f>
        <v>นางสาว</v>
      </c>
      <c r="I552" t="str">
        <f>IFERROR(__xludf.DUMMYFUNCTION("""COMPUTED_VALUE"""),"ชมษร")</f>
        <v>ชมษร</v>
      </c>
      <c r="J552" t="str">
        <f>IFERROR(__xludf.DUMMYFUNCTION("""COMPUTED_VALUE"""),"คงวิโรจน์")</f>
        <v>คงวิโรจน์</v>
      </c>
      <c r="K552" t="str">
        <f>IFERROR(__xludf.DUMMYFUNCTION("""COMPUTED_VALUE"""),"ชมษร คงวิโรจน์")</f>
        <v>ชมษร คงวิโรจน์</v>
      </c>
      <c r="L552" t="str">
        <f>IFERROR(__xludf.DUMMYFUNCTION("""COMPUTED_VALUE"""),"Vhaan หวาน")</f>
        <v>Vhaan หวาน</v>
      </c>
      <c r="M552" t="str">
        <f>IFERROR(__xludf.DUMMYFUNCTION("""COMPUTED_VALUE"""),"Cabin Crew")</f>
        <v>Cabin Crew</v>
      </c>
      <c r="N552" t="str">
        <f>IFERROR(__xludf.DUMMYFUNCTION("""COMPUTED_VALUE"""),"DMK")</f>
        <v>DMK</v>
      </c>
      <c r="O552" s="145" t="str">
        <f>IFERROR(__xludf.DUMMYFUNCTION("""COMPUTED_VALUE"""),"Por+ Home")</f>
        <v>Por+ Home</v>
      </c>
      <c r="P552" t="str">
        <f>IFERROR(__xludf.DUMMYFUNCTION("""COMPUTED_VALUE"""),"Active")</f>
        <v>Active</v>
      </c>
      <c r="R552" s="143">
        <f>IFERROR(__xludf.DUMMYFUNCTION("""COMPUTED_VALUE"""),32930.0)</f>
        <v>32930</v>
      </c>
      <c r="S552" s="146" t="str">
        <f>IFERROR(__xludf.DUMMYFUNCTION("""COMPUTED_VALUE""")," ")</f>
        <v> </v>
      </c>
      <c r="T552" s="147" t="str">
        <f>IFERROR(__xludf.DUMMYFUNCTION("""COMPUTED_VALUE"""),"1102001-29-6441")</f>
        <v>1102001-29-6441</v>
      </c>
      <c r="U552" t="str">
        <f>IFERROR(__xludf.DUMMYFUNCTION("""COMPUTED_VALUE"""),"AD0976751")</f>
        <v>AD0976751</v>
      </c>
      <c r="V552" s="148">
        <f>IFERROR(__xludf.DUMMYFUNCTION("""COMPUTED_VALUE"""),45040.0)</f>
        <v>45040</v>
      </c>
      <c r="W552" s="148">
        <f>IFERROR(__xludf.DUMMYFUNCTION("""COMPUTED_VALUE"""),48692.0)</f>
        <v>48692</v>
      </c>
      <c r="X552" s="149">
        <f>IFERROR(__xludf.DUMMYFUNCTION("""COMPUTED_VALUE"""),48510.0)</f>
        <v>48510</v>
      </c>
      <c r="Y552" t="str">
        <f>IFERROR(__xludf.DUMMYFUNCTION("""COMPUTED_VALUE"""),"ปลอดภัย")</f>
        <v>ปลอดภัย</v>
      </c>
      <c r="Z552" t="str">
        <f>IFERROR(__xludf.DUMMYFUNCTION("""COMPUTED_VALUE"""),"Bangkok")</f>
        <v>Bangkok</v>
      </c>
      <c r="AA552" t="str">
        <f>IFERROR(__xludf.DUMMYFUNCTION("""COMPUTED_VALUE"""),"Bangkae")</f>
        <v>Bangkae</v>
      </c>
      <c r="AB552" t="str">
        <f>IFERROR(__xludf.DUMMYFUNCTION("""COMPUTED_VALUE"""),"080-445-2229")</f>
        <v>080-445-2229</v>
      </c>
      <c r="AC552" t="str">
        <f>IFERROR(__xludf.DUMMYFUNCTION("""COMPUTED_VALUE"""),"Apinya")</f>
        <v>Apinya</v>
      </c>
      <c r="AD552" t="str">
        <f>IFERROR(__xludf.DUMMYFUNCTION("""COMPUTED_VALUE"""),"chomsornk@airasia.com")</f>
        <v>chomsornk@airasia.com</v>
      </c>
    </row>
    <row r="553">
      <c r="A553" s="142">
        <f>IFERROR(__xludf.DUMMYFUNCTION("""COMPUTED_VALUE"""),69.0)</f>
        <v>69</v>
      </c>
      <c r="B553" t="str">
        <f>IFERROR(__xludf.DUMMYFUNCTION("""COMPUTED_VALUE"""),"TAA5814")</f>
        <v>TAA5814</v>
      </c>
      <c r="C553">
        <f>IFERROR(__xludf.DUMMYFUNCTION("""COMPUTED_VALUE"""),1011730.0)</f>
        <v>1011730</v>
      </c>
      <c r="D553" t="str">
        <f>IFERROR(__xludf.DUMMYFUNCTION("""COMPUTED_VALUE"""),"Mr.")</f>
        <v>Mr.</v>
      </c>
      <c r="E553" t="str">
        <f>IFERROR(__xludf.DUMMYFUNCTION("""COMPUTED_VALUE"""),"Keitiyot")</f>
        <v>Keitiyot</v>
      </c>
      <c r="F553" t="str">
        <f>IFERROR(__xludf.DUMMYFUNCTION("""COMPUTED_VALUE"""),"Chaisurisri")</f>
        <v>Chaisurisri</v>
      </c>
      <c r="G553" t="str">
        <f>IFERROR(__xludf.DUMMYFUNCTION("""COMPUTED_VALUE"""),"Keitiyot Chaisurisri")</f>
        <v>Keitiyot Chaisurisri</v>
      </c>
      <c r="H553" t="str">
        <f>IFERROR(__xludf.DUMMYFUNCTION("""COMPUTED_VALUE"""),"นาย")</f>
        <v>นาย</v>
      </c>
      <c r="I553" t="str">
        <f>IFERROR(__xludf.DUMMYFUNCTION("""COMPUTED_VALUE"""),"เกียรติยศ")</f>
        <v>เกียรติยศ</v>
      </c>
      <c r="J553" t="str">
        <f>IFERROR(__xludf.DUMMYFUNCTION("""COMPUTED_VALUE"""),"ฉายสุรีย์ศรี")</f>
        <v>ฉายสุรีย์ศรี</v>
      </c>
      <c r="K553" t="str">
        <f>IFERROR(__xludf.DUMMYFUNCTION("""COMPUTED_VALUE"""),"เกียรติยศ ฉายสุรีย์ศรี")</f>
        <v>เกียรติยศ ฉายสุรีย์ศรี</v>
      </c>
      <c r="L553" t="str">
        <f>IFERROR(__xludf.DUMMYFUNCTION("""COMPUTED_VALUE"""),"Card")</f>
        <v>Card</v>
      </c>
      <c r="M553" t="str">
        <f>IFERROR(__xludf.DUMMYFUNCTION("""COMPUTED_VALUE"""),"Cabin Crew")</f>
        <v>Cabin Crew</v>
      </c>
      <c r="N553" t="str">
        <f>IFERROR(__xludf.DUMMYFUNCTION("""COMPUTED_VALUE"""),"DMK")</f>
        <v>DMK</v>
      </c>
      <c r="O553" s="145" t="str">
        <f>IFERROR(__xludf.DUMMYFUNCTION("""COMPUTED_VALUE"""),"Um Home")</f>
        <v>Um Home</v>
      </c>
      <c r="P553" t="str">
        <f>IFERROR(__xludf.DUMMYFUNCTION("""COMPUTED_VALUE"""),"Active")</f>
        <v>Active</v>
      </c>
      <c r="Q553" t="str">
        <f>IFERROR(__xludf.DUMMYFUNCTION("""COMPUTED_VALUE"""),"Chinese Speaking")</f>
        <v>Chinese Speaking</v>
      </c>
      <c r="R553" s="143">
        <f>IFERROR(__xludf.DUMMYFUNCTION("""COMPUTED_VALUE"""),32879.0)</f>
        <v>32879</v>
      </c>
      <c r="S553" s="146" t="str">
        <f>IFERROR(__xludf.DUMMYFUNCTION("""COMPUTED_VALUE"""),"086-518-4826")</f>
        <v>086-518-4826</v>
      </c>
      <c r="T553" s="147" t="str">
        <f>IFERROR(__xludf.DUMMYFUNCTION("""COMPUTED_VALUE"""),"1120600-13-3866")</f>
        <v>1120600-13-3866</v>
      </c>
      <c r="U553" t="str">
        <f>IFERROR(__xludf.DUMMYFUNCTION("""COMPUTED_VALUE"""),"AC6145572")</f>
        <v>AC6145572</v>
      </c>
      <c r="V553" s="148">
        <f>IFERROR(__xludf.DUMMYFUNCTION("""COMPUTED_VALUE"""),45293.0)</f>
        <v>45293</v>
      </c>
      <c r="W553" s="150">
        <f>IFERROR(__xludf.DUMMYFUNCTION("""COMPUTED_VALUE"""),48945.0)</f>
        <v>48945</v>
      </c>
      <c r="X553" s="149">
        <f>IFERROR(__xludf.DUMMYFUNCTION("""COMPUTED_VALUE"""),48761.0)</f>
        <v>48761</v>
      </c>
      <c r="Y553" t="str">
        <f>IFERROR(__xludf.DUMMYFUNCTION("""COMPUTED_VALUE"""),"ปลอดภัย")</f>
        <v>ปลอดภัย</v>
      </c>
      <c r="Z553" t="str">
        <f>IFERROR(__xludf.DUMMYFUNCTION("""COMPUTED_VALUE"""),"Nonthaburi Province")</f>
        <v>Nonthaburi Province</v>
      </c>
      <c r="AA553" t="str">
        <f>IFERROR(__xludf.DUMMYFUNCTION("""COMPUTED_VALUE"""),"Jatujak")</f>
        <v>Jatujak</v>
      </c>
      <c r="AB553" t="str">
        <f>IFERROR(__xludf.DUMMYFUNCTION("""COMPUTED_VALUE"""),"087-984-1748")</f>
        <v>087-984-1748</v>
      </c>
      <c r="AC553" t="str">
        <f>IFERROR(__xludf.DUMMYFUNCTION("""COMPUTED_VALUE"""),"Kowit")</f>
        <v>Kowit</v>
      </c>
      <c r="AD553" t="str">
        <f>IFERROR(__xludf.DUMMYFUNCTION("""COMPUTED_VALUE"""),"keitiyotc@airasia.com")</f>
        <v>keitiyotc@airasia.com</v>
      </c>
    </row>
    <row r="554">
      <c r="A554" s="142">
        <f>IFERROR(__xludf.DUMMYFUNCTION("""COMPUTED_VALUE"""),69.0)</f>
        <v>69</v>
      </c>
      <c r="B554" t="str">
        <f>IFERROR(__xludf.DUMMYFUNCTION("""COMPUTED_VALUE"""),"TAA5816")</f>
        <v>TAA5816</v>
      </c>
      <c r="C554">
        <f>IFERROR(__xludf.DUMMYFUNCTION("""COMPUTED_VALUE"""),1011741.0)</f>
        <v>1011741</v>
      </c>
      <c r="D554" t="str">
        <f>IFERROR(__xludf.DUMMYFUNCTION("""COMPUTED_VALUE"""),"Ms.")</f>
        <v>Ms.</v>
      </c>
      <c r="E554" t="str">
        <f>IFERROR(__xludf.DUMMYFUNCTION("""COMPUTED_VALUE"""),"Naphak (Niyawan)")</f>
        <v>Naphak (Niyawan)</v>
      </c>
      <c r="F554" t="str">
        <f>IFERROR(__xludf.DUMMYFUNCTION("""COMPUTED_VALUE"""),"Aussanon (Kitvorawuth)")</f>
        <v>Aussanon (Kitvorawuth)</v>
      </c>
      <c r="G554" t="str">
        <f>IFERROR(__xludf.DUMMYFUNCTION("""COMPUTED_VALUE"""),"Naphak Aussanon")</f>
        <v>Naphak Aussanon</v>
      </c>
      <c r="H554" t="str">
        <f>IFERROR(__xludf.DUMMYFUNCTION("""COMPUTED_VALUE"""),"นางสาว")</f>
        <v>นางสาว</v>
      </c>
      <c r="I554" t="str">
        <f>IFERROR(__xludf.DUMMYFUNCTION("""COMPUTED_VALUE"""),"ณภัค (นิยวัน)")</f>
        <v>ณภัค (นิยวัน)</v>
      </c>
      <c r="J554" t="str">
        <f>IFERROR(__xludf.DUMMYFUNCTION("""COMPUTED_VALUE"""),"อัสสานนท์ (กิจวรวุฒิ)")</f>
        <v>อัสสานนท์ (กิจวรวุฒิ)</v>
      </c>
      <c r="K554" t="str">
        <f>IFERROR(__xludf.DUMMYFUNCTION("""COMPUTED_VALUE"""),"ณภัค อัสสานนท์")</f>
        <v>ณภัค อัสสานนท์</v>
      </c>
      <c r="L554" t="str">
        <f>IFERROR(__xludf.DUMMYFUNCTION("""COMPUTED_VALUE"""),"Faii ฝ้าย")</f>
        <v>Faii ฝ้าย</v>
      </c>
      <c r="M554" t="str">
        <f>IFERROR(__xludf.DUMMYFUNCTION("""COMPUTED_VALUE"""),"Cabin Crew")</f>
        <v>Cabin Crew</v>
      </c>
      <c r="N554" t="str">
        <f>IFERROR(__xludf.DUMMYFUNCTION("""COMPUTED_VALUE"""),"DMK")</f>
        <v>DMK</v>
      </c>
      <c r="O554" s="145" t="str">
        <f>IFERROR(__xludf.DUMMYFUNCTION("""COMPUTED_VALUE"""),"Toffy Home")</f>
        <v>Toffy Home</v>
      </c>
      <c r="P554" t="str">
        <f>IFERROR(__xludf.DUMMYFUNCTION("""COMPUTED_VALUE"""),"Active")</f>
        <v>Active</v>
      </c>
      <c r="R554" s="143">
        <f>IFERROR(__xludf.DUMMYFUNCTION("""COMPUTED_VALUE"""),32679.0)</f>
        <v>32679</v>
      </c>
      <c r="S554" s="146" t="str">
        <f>IFERROR(__xludf.DUMMYFUNCTION("""COMPUTED_VALUE"""),"062 554 2656")</f>
        <v>062 554 2656</v>
      </c>
      <c r="T554" s="147" t="str">
        <f>IFERROR(__xludf.DUMMYFUNCTION("""COMPUTED_VALUE"""),"1160100-25-5253")</f>
        <v>1160100-25-5253</v>
      </c>
      <c r="U554" t="str">
        <f>IFERROR(__xludf.DUMMYFUNCTION("""COMPUTED_VALUE"""),"AC8228038")</f>
        <v>AC8228038</v>
      </c>
      <c r="V554" s="148">
        <f>IFERROR(__xludf.DUMMYFUNCTION("""COMPUTED_VALUE"""),45741.0)</f>
        <v>45741</v>
      </c>
      <c r="W554" s="148">
        <f>IFERROR(__xludf.DUMMYFUNCTION("""COMPUTED_VALUE"""),49392.0)</f>
        <v>49392</v>
      </c>
      <c r="X554" s="149">
        <f>IFERROR(__xludf.DUMMYFUNCTION("""COMPUTED_VALUE"""),49211.0)</f>
        <v>49211</v>
      </c>
      <c r="Y554" t="str">
        <f>IFERROR(__xludf.DUMMYFUNCTION("""COMPUTED_VALUE"""),"ปลอดภัย")</f>
        <v>ปลอดภัย</v>
      </c>
      <c r="Z554" t="str">
        <f>IFERROR(__xludf.DUMMYFUNCTION("""COMPUTED_VALUE"""),"Lopburi Province")</f>
        <v>Lopburi Province</v>
      </c>
      <c r="AA554" t="str">
        <f>IFERROR(__xludf.DUMMYFUNCTION("""COMPUTED_VALUE"""),"Samutprakarn")</f>
        <v>Samutprakarn</v>
      </c>
      <c r="AB554" t="str">
        <f>IFERROR(__xludf.DUMMYFUNCTION("""COMPUTED_VALUE"""),"081-528-7900")</f>
        <v>081-528-7900</v>
      </c>
      <c r="AC554" t="str">
        <f>IFERROR(__xludf.DUMMYFUNCTION("""COMPUTED_VALUE"""),"Brother")</f>
        <v>Brother</v>
      </c>
      <c r="AD554" t="str">
        <f>IFERROR(__xludf.DUMMYFUNCTION("""COMPUTED_VALUE"""),"naphaka@airasia.com")</f>
        <v>naphaka@airasia.com</v>
      </c>
    </row>
    <row r="555">
      <c r="A555" s="142">
        <f>IFERROR(__xludf.DUMMYFUNCTION("""COMPUTED_VALUE"""),69.0)</f>
        <v>69</v>
      </c>
      <c r="B555" t="str">
        <f>IFERROR(__xludf.DUMMYFUNCTION("""COMPUTED_VALUE"""),"TAA5822")</f>
        <v>TAA5822</v>
      </c>
      <c r="C555">
        <f>IFERROR(__xludf.DUMMYFUNCTION("""COMPUTED_VALUE"""),1011743.0)</f>
        <v>1011743</v>
      </c>
      <c r="D555" t="str">
        <f>IFERROR(__xludf.DUMMYFUNCTION("""COMPUTED_VALUE"""),"Ms.")</f>
        <v>Ms.</v>
      </c>
      <c r="E555" t="str">
        <f>IFERROR(__xludf.DUMMYFUNCTION("""COMPUTED_VALUE"""),"Praditchaya")</f>
        <v>Praditchaya</v>
      </c>
      <c r="F555" t="str">
        <f>IFERROR(__xludf.DUMMYFUNCTION("""COMPUTED_VALUE"""),"La-ongpraw")</f>
        <v>La-ongpraw</v>
      </c>
      <c r="G555" t="str">
        <f>IFERROR(__xludf.DUMMYFUNCTION("""COMPUTED_VALUE"""),"Praditchaya La-ongpraw")</f>
        <v>Praditchaya La-ongpraw</v>
      </c>
      <c r="H555" t="str">
        <f>IFERROR(__xludf.DUMMYFUNCTION("""COMPUTED_VALUE"""),"นางสาว")</f>
        <v>นางสาว</v>
      </c>
      <c r="I555" t="str">
        <f>IFERROR(__xludf.DUMMYFUNCTION("""COMPUTED_VALUE"""),"ประดิชญา")</f>
        <v>ประดิชญา</v>
      </c>
      <c r="J555" t="str">
        <f>IFERROR(__xludf.DUMMYFUNCTION("""COMPUTED_VALUE"""),"ละอองพราว")</f>
        <v>ละอองพราว</v>
      </c>
      <c r="K555" t="str">
        <f>IFERROR(__xludf.DUMMYFUNCTION("""COMPUTED_VALUE"""),"ประดิชญา ละอองพราว")</f>
        <v>ประดิชญา ละอองพราว</v>
      </c>
      <c r="L555" t="str">
        <f>IFERROR(__xludf.DUMMYFUNCTION("""COMPUTED_VALUE"""),"Noomnim นุ่มนิ่ม")</f>
        <v>Noomnim นุ่มนิ่ม</v>
      </c>
      <c r="M555" t="str">
        <f>IFERROR(__xludf.DUMMYFUNCTION("""COMPUTED_VALUE"""),"Cabin Crew")</f>
        <v>Cabin Crew</v>
      </c>
      <c r="N555" t="str">
        <f>IFERROR(__xludf.DUMMYFUNCTION("""COMPUTED_VALUE"""),"DMK")</f>
        <v>DMK</v>
      </c>
      <c r="O555" s="145" t="str">
        <f>IFERROR(__xludf.DUMMYFUNCTION("""COMPUTED_VALUE"""),"Toffy Home")</f>
        <v>Toffy Home</v>
      </c>
      <c r="P555" t="str">
        <f>IFERROR(__xludf.DUMMYFUNCTION("""COMPUTED_VALUE"""),"Active")</f>
        <v>Active</v>
      </c>
      <c r="R555" s="143">
        <f>IFERROR(__xludf.DUMMYFUNCTION("""COMPUTED_VALUE"""),33436.0)</f>
        <v>33436</v>
      </c>
      <c r="S555" s="146" t="str">
        <f>IFERROR(__xludf.DUMMYFUNCTION("""COMPUTED_VALUE"""),"061 461 4454")</f>
        <v>061 461 4454</v>
      </c>
      <c r="T555" s="147" t="str">
        <f>IFERROR(__xludf.DUMMYFUNCTION("""COMPUTED_VALUE"""),"1839900-23-1237")</f>
        <v>1839900-23-1237</v>
      </c>
      <c r="U555" t="str">
        <f>IFERROR(__xludf.DUMMYFUNCTION("""COMPUTED_VALUE"""),"AC5561408")</f>
        <v>AC5561408</v>
      </c>
      <c r="V555" s="148">
        <f>IFERROR(__xludf.DUMMYFUNCTION("""COMPUTED_VALUE"""),45166.0)</f>
        <v>45166</v>
      </c>
      <c r="W555" s="148">
        <f>IFERROR(__xludf.DUMMYFUNCTION("""COMPUTED_VALUE"""),48818.0)</f>
        <v>48818</v>
      </c>
      <c r="X555" s="149">
        <f>IFERROR(__xludf.DUMMYFUNCTION("""COMPUTED_VALUE"""),48637.0)</f>
        <v>48637</v>
      </c>
      <c r="Y555" t="str">
        <f>IFERROR(__xludf.DUMMYFUNCTION("""COMPUTED_VALUE"""),"ปลอดภัย")</f>
        <v>ปลอดภัย</v>
      </c>
      <c r="Z555" t="str">
        <f>IFERROR(__xludf.DUMMYFUNCTION("""COMPUTED_VALUE"""),"Phuket Province")</f>
        <v>Phuket Province</v>
      </c>
      <c r="AA555" t="str">
        <f>IFERROR(__xludf.DUMMYFUNCTION("""COMPUTED_VALUE"""),"Phuket")</f>
        <v>Phuket</v>
      </c>
      <c r="AB555" t="str">
        <f>IFERROR(__xludf.DUMMYFUNCTION("""COMPUTED_VALUE"""),"092-445-4454")</f>
        <v>092-445-4454</v>
      </c>
      <c r="AC555" t="str">
        <f>IFERROR(__xludf.DUMMYFUNCTION("""COMPUTED_VALUE"""),"Father")</f>
        <v>Father</v>
      </c>
      <c r="AD555" t="str">
        <f>IFERROR(__xludf.DUMMYFUNCTION("""COMPUTED_VALUE"""),"praditchayal@airasia.com")</f>
        <v>praditchayal@airasia.com</v>
      </c>
    </row>
    <row r="556">
      <c r="A556" s="142">
        <f>IFERROR(__xludf.DUMMYFUNCTION("""COMPUTED_VALUE"""),69.0)</f>
        <v>69</v>
      </c>
      <c r="B556" t="str">
        <f>IFERROR(__xludf.DUMMYFUNCTION("""COMPUTED_VALUE"""),"TAA5821")</f>
        <v>TAA5821</v>
      </c>
      <c r="C556">
        <f>IFERROR(__xludf.DUMMYFUNCTION("""COMPUTED_VALUE"""),1011758.0)</f>
        <v>1011758</v>
      </c>
      <c r="D556" t="str">
        <f>IFERROR(__xludf.DUMMYFUNCTION("""COMPUTED_VALUE"""),"Ms.")</f>
        <v>Ms.</v>
      </c>
      <c r="E556" t="str">
        <f>IFERROR(__xludf.DUMMYFUNCTION("""COMPUTED_VALUE"""),"Suwannee")</f>
        <v>Suwannee</v>
      </c>
      <c r="F556" t="str">
        <f>IFERROR(__xludf.DUMMYFUNCTION("""COMPUTED_VALUE"""),"Phrueksachiwa")</f>
        <v>Phrueksachiwa</v>
      </c>
      <c r="G556" t="str">
        <f>IFERROR(__xludf.DUMMYFUNCTION("""COMPUTED_VALUE"""),"Suwannee Phrueksachiwa")</f>
        <v>Suwannee Phrueksachiwa</v>
      </c>
      <c r="H556" t="str">
        <f>IFERROR(__xludf.DUMMYFUNCTION("""COMPUTED_VALUE"""),"นางสาว")</f>
        <v>นางสาว</v>
      </c>
      <c r="I556" t="str">
        <f>IFERROR(__xludf.DUMMYFUNCTION("""COMPUTED_VALUE"""),"สุวรรณี")</f>
        <v>สุวรรณี</v>
      </c>
      <c r="J556" t="str">
        <f>IFERROR(__xludf.DUMMYFUNCTION("""COMPUTED_VALUE"""),"พฤกษาชีวะ")</f>
        <v>พฤกษาชีวะ</v>
      </c>
      <c r="K556" t="str">
        <f>IFERROR(__xludf.DUMMYFUNCTION("""COMPUTED_VALUE"""),"สุวรรณี พฤกษาชีวะ")</f>
        <v>สุวรรณี พฤกษาชีวะ</v>
      </c>
      <c r="L556" t="str">
        <f>IFERROR(__xludf.DUMMYFUNCTION("""COMPUTED_VALUE"""),"Sine ทราย")</f>
        <v>Sine ทราย</v>
      </c>
      <c r="M556" t="str">
        <f>IFERROR(__xludf.DUMMYFUNCTION("""COMPUTED_VALUE"""),"Senior Cabin Crew")</f>
        <v>Senior Cabin Crew</v>
      </c>
      <c r="N556" t="str">
        <f>IFERROR(__xludf.DUMMYFUNCTION("""COMPUTED_VALUE"""),"DMK")</f>
        <v>DMK</v>
      </c>
      <c r="O556" s="145" t="str">
        <f>IFERROR(__xludf.DUMMYFUNCTION("""COMPUTED_VALUE"""),"Um Home")</f>
        <v>Um Home</v>
      </c>
      <c r="P556" t="str">
        <f>IFERROR(__xludf.DUMMYFUNCTION("""COMPUTED_VALUE"""),"Active")</f>
        <v>Active</v>
      </c>
      <c r="R556" s="143">
        <f>IFERROR(__xludf.DUMMYFUNCTION("""COMPUTED_VALUE"""),32032.0)</f>
        <v>32032</v>
      </c>
      <c r="S556" s="146" t="str">
        <f>IFERROR(__xludf.DUMMYFUNCTION("""COMPUTED_VALUE"""),"085-150-4001")</f>
        <v>085-150-4001</v>
      </c>
      <c r="T556" s="147" t="str">
        <f>IFERROR(__xludf.DUMMYFUNCTION("""COMPUTED_VALUE"""),"1100400-28-6618")</f>
        <v>1100400-28-6618</v>
      </c>
      <c r="U556" t="str">
        <f>IFERROR(__xludf.DUMMYFUNCTION("""COMPUTED_VALUE"""),"AC2814159")</f>
        <v>AC2814159</v>
      </c>
      <c r="V556" s="148">
        <f>IFERROR(__xludf.DUMMYFUNCTION("""COMPUTED_VALUE"""),44512.0)</f>
        <v>44512</v>
      </c>
      <c r="W556" s="148">
        <f>IFERROR(__xludf.DUMMYFUNCTION("""COMPUTED_VALUE"""),48163.0)</f>
        <v>48163</v>
      </c>
      <c r="X556" s="149">
        <f>IFERROR(__xludf.DUMMYFUNCTION("""COMPUTED_VALUE"""),47979.0)</f>
        <v>47979</v>
      </c>
      <c r="Y556" t="str">
        <f>IFERROR(__xludf.DUMMYFUNCTION("""COMPUTED_VALUE"""),"ปลอดภัย")</f>
        <v>ปลอดภัย</v>
      </c>
      <c r="Z556" t="str">
        <f>IFERROR(__xludf.DUMMYFUNCTION("""COMPUTED_VALUE"""),"Bangkok")</f>
        <v>Bangkok</v>
      </c>
      <c r="AA556" t="str">
        <f>IFERROR(__xludf.DUMMYFUNCTION("""COMPUTED_VALUE"""),"Samutprakarn")</f>
        <v>Samutprakarn</v>
      </c>
      <c r="AB556" t="str">
        <f>IFERROR(__xludf.DUMMYFUNCTION("""COMPUTED_VALUE"""),"085-352-9360")</f>
        <v>085-352-9360</v>
      </c>
      <c r="AC556" t="str">
        <f>IFERROR(__xludf.DUMMYFUNCTION("""COMPUTED_VALUE"""),"Amporn")</f>
        <v>Amporn</v>
      </c>
      <c r="AD556" t="str">
        <f>IFERROR(__xludf.DUMMYFUNCTION("""COMPUTED_VALUE"""),"suwanneep@airasia.com")</f>
        <v>suwanneep@airasia.com</v>
      </c>
    </row>
    <row r="557">
      <c r="A557" s="142">
        <f>IFERROR(__xludf.DUMMYFUNCTION("""COMPUTED_VALUE"""),69.0)</f>
        <v>69</v>
      </c>
      <c r="B557" t="str">
        <f>IFERROR(__xludf.DUMMYFUNCTION("""COMPUTED_VALUE"""),"TAA5815")</f>
        <v>TAA5815</v>
      </c>
      <c r="C557">
        <f>IFERROR(__xludf.DUMMYFUNCTION("""COMPUTED_VALUE"""),1011759.0)</f>
        <v>1011759</v>
      </c>
      <c r="D557" t="str">
        <f>IFERROR(__xludf.DUMMYFUNCTION("""COMPUTED_VALUE"""),"Mr.")</f>
        <v>Mr.</v>
      </c>
      <c r="E557" t="str">
        <f>IFERROR(__xludf.DUMMYFUNCTION("""COMPUTED_VALUE"""),"Thanawat")</f>
        <v>Thanawat</v>
      </c>
      <c r="F557" t="str">
        <f>IFERROR(__xludf.DUMMYFUNCTION("""COMPUTED_VALUE"""),"Suphitukkul")</f>
        <v>Suphitukkul</v>
      </c>
      <c r="G557" t="str">
        <f>IFERROR(__xludf.DUMMYFUNCTION("""COMPUTED_VALUE"""),"Thanawat Suphitukkul")</f>
        <v>Thanawat Suphitukkul</v>
      </c>
      <c r="H557" t="str">
        <f>IFERROR(__xludf.DUMMYFUNCTION("""COMPUTED_VALUE"""),"นาย")</f>
        <v>นาย</v>
      </c>
      <c r="I557" t="str">
        <f>IFERROR(__xludf.DUMMYFUNCTION("""COMPUTED_VALUE"""),"ธนวัฒน์")</f>
        <v>ธนวัฒน์</v>
      </c>
      <c r="J557" t="str">
        <f>IFERROR(__xludf.DUMMYFUNCTION("""COMPUTED_VALUE"""),"สุพิทักษ์กุล")</f>
        <v>สุพิทักษ์กุล</v>
      </c>
      <c r="K557" t="str">
        <f>IFERROR(__xludf.DUMMYFUNCTION("""COMPUTED_VALUE"""),"ธนวัฒน์ สุพิทักษ์กุล")</f>
        <v>ธนวัฒน์ สุพิทักษ์กุล</v>
      </c>
      <c r="L557" t="str">
        <f>IFERROR(__xludf.DUMMYFUNCTION("""COMPUTED_VALUE"""),"Jay เจ")</f>
        <v>Jay เจ</v>
      </c>
      <c r="M557" t="str">
        <f>IFERROR(__xludf.DUMMYFUNCTION("""COMPUTED_VALUE"""),"Cabin Crew")</f>
        <v>Cabin Crew</v>
      </c>
      <c r="N557" t="str">
        <f>IFERROR(__xludf.DUMMYFUNCTION("""COMPUTED_VALUE"""),"DMK")</f>
        <v>DMK</v>
      </c>
      <c r="O557" s="145" t="str">
        <f>IFERROR(__xludf.DUMMYFUNCTION("""COMPUTED_VALUE"""),"Um Home")</f>
        <v>Um Home</v>
      </c>
      <c r="P557" t="str">
        <f>IFERROR(__xludf.DUMMYFUNCTION("""COMPUTED_VALUE"""),"Active")</f>
        <v>Active</v>
      </c>
      <c r="Q557" t="str">
        <f>IFERROR(__xludf.DUMMYFUNCTION("""COMPUTED_VALUE"""),"Japanese Speaking / Chinese Speaking")</f>
        <v>Japanese Speaking / Chinese Speaking</v>
      </c>
      <c r="R557" s="143">
        <f>IFERROR(__xludf.DUMMYFUNCTION("""COMPUTED_VALUE"""),33412.0)</f>
        <v>33412</v>
      </c>
      <c r="S557" s="146" t="str">
        <f>IFERROR(__xludf.DUMMYFUNCTION("""COMPUTED_VALUE"""),"099-052-8883")</f>
        <v>099-052-8883</v>
      </c>
      <c r="T557" s="147" t="str">
        <f>IFERROR(__xludf.DUMMYFUNCTION("""COMPUTED_VALUE"""),"1101500-51-2971")</f>
        <v>1101500-51-2971</v>
      </c>
      <c r="U557" t="str">
        <f>IFERROR(__xludf.DUMMYFUNCTION("""COMPUTED_VALUE"""),"AC6523834")</f>
        <v>AC6523834</v>
      </c>
      <c r="V557" s="148">
        <f>IFERROR(__xludf.DUMMYFUNCTION("""COMPUTED_VALUE"""),45375.0)</f>
        <v>45375</v>
      </c>
      <c r="W557" s="148">
        <f>IFERROR(__xludf.DUMMYFUNCTION("""COMPUTED_VALUE"""),49026.0)</f>
        <v>49026</v>
      </c>
      <c r="X557" s="149">
        <f>IFERROR(__xludf.DUMMYFUNCTION("""COMPUTED_VALUE"""),48845.0)</f>
        <v>48845</v>
      </c>
      <c r="Y557" t="str">
        <f>IFERROR(__xludf.DUMMYFUNCTION("""COMPUTED_VALUE"""),"ปลอดภัย")</f>
        <v>ปลอดภัย</v>
      </c>
      <c r="Z557" t="str">
        <f>IFERROR(__xludf.DUMMYFUNCTION("""COMPUTED_VALUE"""),"Bangkok")</f>
        <v>Bangkok</v>
      </c>
      <c r="AA557" t="str">
        <f>IFERROR(__xludf.DUMMYFUNCTION("""COMPUTED_VALUE"""),"Phasicharoen")</f>
        <v>Phasicharoen</v>
      </c>
      <c r="AB557" t="str">
        <f>IFERROR(__xludf.DUMMYFUNCTION("""COMPUTED_VALUE"""),"081-699-6260")</f>
        <v>081-699-6260</v>
      </c>
      <c r="AC557" t="str">
        <f>IFERROR(__xludf.DUMMYFUNCTION("""COMPUTED_VALUE"""),"Wichai")</f>
        <v>Wichai</v>
      </c>
      <c r="AD557" t="str">
        <f>IFERROR(__xludf.DUMMYFUNCTION("""COMPUTED_VALUE"""),"thanawatu@airasia.com")</f>
        <v>thanawatu@airasia.com</v>
      </c>
    </row>
    <row r="558">
      <c r="A558" s="142">
        <f>IFERROR(__xludf.DUMMYFUNCTION("""COMPUTED_VALUE"""),69.0)</f>
        <v>69</v>
      </c>
      <c r="B558" t="str">
        <f>IFERROR(__xludf.DUMMYFUNCTION("""COMPUTED_VALUE"""),"TAA5820")</f>
        <v>TAA5820</v>
      </c>
      <c r="C558">
        <f>IFERROR(__xludf.DUMMYFUNCTION("""COMPUTED_VALUE"""),1011762.0)</f>
        <v>1011762</v>
      </c>
      <c r="D558" t="str">
        <f>IFERROR(__xludf.DUMMYFUNCTION("""COMPUTED_VALUE"""),"Mr.")</f>
        <v>Mr.</v>
      </c>
      <c r="E558" t="str">
        <f>IFERROR(__xludf.DUMMYFUNCTION("""COMPUTED_VALUE"""),"Tritotsaporn")</f>
        <v>Tritotsaporn</v>
      </c>
      <c r="F558" t="str">
        <f>IFERROR(__xludf.DUMMYFUNCTION("""COMPUTED_VALUE"""),"Ketudat")</f>
        <v>Ketudat</v>
      </c>
      <c r="G558" t="str">
        <f>IFERROR(__xludf.DUMMYFUNCTION("""COMPUTED_VALUE"""),"Tritotsaporn Ketudat")</f>
        <v>Tritotsaporn Ketudat</v>
      </c>
      <c r="H558" t="str">
        <f>IFERROR(__xludf.DUMMYFUNCTION("""COMPUTED_VALUE"""),"นาย")</f>
        <v>นาย</v>
      </c>
      <c r="I558" t="str">
        <f>IFERROR(__xludf.DUMMYFUNCTION("""COMPUTED_VALUE"""),"ไตรทศพร")</f>
        <v>ไตรทศพร</v>
      </c>
      <c r="J558" t="str">
        <f>IFERROR(__xludf.DUMMYFUNCTION("""COMPUTED_VALUE"""),"เกตุทัต")</f>
        <v>เกตุทัต</v>
      </c>
      <c r="K558" t="str">
        <f>IFERROR(__xludf.DUMMYFUNCTION("""COMPUTED_VALUE"""),"ไตรทศพร เกตุทัต")</f>
        <v>ไตรทศพร เกตุทัต</v>
      </c>
      <c r="L558" t="str">
        <f>IFERROR(__xludf.DUMMYFUNCTION("""COMPUTED_VALUE"""),"Pae")</f>
        <v>Pae</v>
      </c>
      <c r="M558" t="str">
        <f>IFERROR(__xludf.DUMMYFUNCTION("""COMPUTED_VALUE"""),"Senior Cabin Crew")</f>
        <v>Senior Cabin Crew</v>
      </c>
      <c r="N558" t="str">
        <f>IFERROR(__xludf.DUMMYFUNCTION("""COMPUTED_VALUE"""),"DMK")</f>
        <v>DMK</v>
      </c>
      <c r="O558" s="145" t="str">
        <f>IFERROR(__xludf.DUMMYFUNCTION("""COMPUTED_VALUE"""),"Por+ Home")</f>
        <v>Por+ Home</v>
      </c>
      <c r="P558" t="str">
        <f>IFERROR(__xludf.DUMMYFUNCTION("""COMPUTED_VALUE"""),"Active")</f>
        <v>Active</v>
      </c>
      <c r="R558" s="143">
        <f>IFERROR(__xludf.DUMMYFUNCTION("""COMPUTED_VALUE"""),32069.0)</f>
        <v>32069</v>
      </c>
      <c r="S558" s="146" t="str">
        <f>IFERROR(__xludf.DUMMYFUNCTION("""COMPUTED_VALUE"""),"061-496-4963")</f>
        <v>061-496-4963</v>
      </c>
      <c r="T558" s="147" t="str">
        <f>IFERROR(__xludf.DUMMYFUNCTION("""COMPUTED_VALUE"""),"1100500-22-6455")</f>
        <v>1100500-22-6455</v>
      </c>
      <c r="U558" t="str">
        <f>IFERROR(__xludf.DUMMYFUNCTION("""COMPUTED_VALUE"""),"AC5722444")</f>
        <v>AC5722444</v>
      </c>
      <c r="V558" s="148">
        <f>IFERROR(__xludf.DUMMYFUNCTION("""COMPUTED_VALUE"""),45182.0)</f>
        <v>45182</v>
      </c>
      <c r="W558" s="148">
        <f>IFERROR(__xludf.DUMMYFUNCTION("""COMPUTED_VALUE"""),47008.0)</f>
        <v>47008</v>
      </c>
      <c r="X558" s="149">
        <f>IFERROR(__xludf.DUMMYFUNCTION("""COMPUTED_VALUE"""),46824.0)</f>
        <v>46824</v>
      </c>
      <c r="Y558" t="str">
        <f>IFERROR(__xludf.DUMMYFUNCTION("""COMPUTED_VALUE"""),"ปลอดภัย")</f>
        <v>ปลอดภัย</v>
      </c>
      <c r="Z558" t="str">
        <f>IFERROR(__xludf.DUMMYFUNCTION("""COMPUTED_VALUE"""),"Bangkok")</f>
        <v>Bangkok</v>
      </c>
      <c r="AA558" t="str">
        <f>IFERROR(__xludf.DUMMYFUNCTION("""COMPUTED_VALUE"""),"Donmuang")</f>
        <v>Donmuang</v>
      </c>
      <c r="AB558" t="str">
        <f>IFERROR(__xludf.DUMMYFUNCTION("""COMPUTED_VALUE"""),"081-267-9870")</f>
        <v>081-267-9870</v>
      </c>
      <c r="AC558" t="str">
        <f>IFERROR(__xludf.DUMMYFUNCTION("""COMPUTED_VALUE"""),"Pisamai")</f>
        <v>Pisamai</v>
      </c>
      <c r="AD558" t="str">
        <f>IFERROR(__xludf.DUMMYFUNCTION("""COMPUTED_VALUE"""),"tritotsapornk@airasia.com")</f>
        <v>tritotsapornk@airasia.com</v>
      </c>
    </row>
    <row r="559">
      <c r="AD559" t="str">
        <f>IFERROR(__xludf.DUMMYFUNCTION("""COMPUTED_VALUE"""),"")</f>
        <v/>
      </c>
    </row>
    <row r="560">
      <c r="A560" s="142">
        <f>IFERROR(__xludf.DUMMYFUNCTION("""COMPUTED_VALUE"""),70.0)</f>
        <v>70</v>
      </c>
      <c r="B560" t="str">
        <f>IFERROR(__xludf.DUMMYFUNCTION("""COMPUTED_VALUE"""),"TAA3901")</f>
        <v>TAA3901</v>
      </c>
      <c r="C560">
        <f>IFERROR(__xludf.DUMMYFUNCTION("""COMPUTED_VALUE"""),1005824.0)</f>
        <v>1005824</v>
      </c>
      <c r="D560" t="str">
        <f>IFERROR(__xludf.DUMMYFUNCTION("""COMPUTED_VALUE"""),"Ms.")</f>
        <v>Ms.</v>
      </c>
      <c r="E560" t="str">
        <f>IFERROR(__xludf.DUMMYFUNCTION("""COMPUTED_VALUE"""),"Panchita")</f>
        <v>Panchita</v>
      </c>
      <c r="F560" t="str">
        <f>IFERROR(__xludf.DUMMYFUNCTION("""COMPUTED_VALUE"""),"Swangarom")</f>
        <v>Swangarom</v>
      </c>
      <c r="G560" t="str">
        <f>IFERROR(__xludf.DUMMYFUNCTION("""COMPUTED_VALUE"""),"Panchita Swangarom")</f>
        <v>Panchita Swangarom</v>
      </c>
      <c r="H560" t="str">
        <f>IFERROR(__xludf.DUMMYFUNCTION("""COMPUTED_VALUE"""),"นางสาว")</f>
        <v>นางสาว</v>
      </c>
      <c r="I560" t="str">
        <f>IFERROR(__xludf.DUMMYFUNCTION("""COMPUTED_VALUE"""),"พัณณ์ชิตา")</f>
        <v>พัณณ์ชิตา</v>
      </c>
      <c r="J560" t="str">
        <f>IFERROR(__xludf.DUMMYFUNCTION("""COMPUTED_VALUE"""),"สว่างอารมย์")</f>
        <v>สว่างอารมย์</v>
      </c>
      <c r="K560" t="str">
        <f>IFERROR(__xludf.DUMMYFUNCTION("""COMPUTED_VALUE"""),"พัณณ์ชิตา สว่างอารมย์")</f>
        <v>พัณณ์ชิตา สว่างอารมย์</v>
      </c>
      <c r="L560" t="str">
        <f>IFERROR(__xludf.DUMMYFUNCTION("""COMPUTED_VALUE"""),"Preaw")</f>
        <v>Preaw</v>
      </c>
      <c r="M560" t="str">
        <f>IFERROR(__xludf.DUMMYFUNCTION("""COMPUTED_VALUE"""),"Cabin Crew")</f>
        <v>Cabin Crew</v>
      </c>
      <c r="N560" t="str">
        <f>IFERROR(__xludf.DUMMYFUNCTION("""COMPUTED_VALUE"""),"DMK")</f>
        <v>DMK</v>
      </c>
      <c r="O560" s="145" t="str">
        <f>IFERROR(__xludf.DUMMYFUNCTION("""COMPUTED_VALUE"""),"Nhui Home")</f>
        <v>Nhui Home</v>
      </c>
      <c r="P560" t="str">
        <f>IFERROR(__xludf.DUMMYFUNCTION("""COMPUTED_VALUE"""),"Active")</f>
        <v>Active</v>
      </c>
      <c r="R560" s="143">
        <f>IFERROR(__xludf.DUMMYFUNCTION("""COMPUTED_VALUE"""),32786.0)</f>
        <v>32786</v>
      </c>
      <c r="S560" s="146" t="str">
        <f>IFERROR(__xludf.DUMMYFUNCTION("""COMPUTED_VALUE"""),"091-436-1488")</f>
        <v>091-436-1488</v>
      </c>
      <c r="T560" s="147" t="str">
        <f>IFERROR(__xludf.DUMMYFUNCTION("""COMPUTED_VALUE"""),"1100500-36-5862")</f>
        <v>1100500-36-5862</v>
      </c>
      <c r="U560" t="str">
        <f>IFERROR(__xludf.DUMMYFUNCTION("""COMPUTED_VALUE"""),"AC2455544")</f>
        <v>AC2455544</v>
      </c>
      <c r="V560" s="148">
        <f>IFERROR(__xludf.DUMMYFUNCTION("""COMPUTED_VALUE"""),44466.0)</f>
        <v>44466</v>
      </c>
      <c r="W560" s="148">
        <f>IFERROR(__xludf.DUMMYFUNCTION("""COMPUTED_VALUE"""),48117.0)</f>
        <v>48117</v>
      </c>
      <c r="X560" s="149">
        <f>IFERROR(__xludf.DUMMYFUNCTION("""COMPUTED_VALUE"""),47933.0)</f>
        <v>47933</v>
      </c>
      <c r="Y560" t="str">
        <f>IFERROR(__xludf.DUMMYFUNCTION("""COMPUTED_VALUE"""),"ปลอดภัย")</f>
        <v>ปลอดภัย</v>
      </c>
      <c r="Z560" t="str">
        <f>IFERROR(__xludf.DUMMYFUNCTION("""COMPUTED_VALUE"""),"Bangkok")</f>
        <v>Bangkok</v>
      </c>
      <c r="AA560" t="str">
        <f>IFERROR(__xludf.DUMMYFUNCTION("""COMPUTED_VALUE"""),"Donmuang")</f>
        <v>Donmuang</v>
      </c>
      <c r="AB560" t="str">
        <f>IFERROR(__xludf.DUMMYFUNCTION("""COMPUTED_VALUE"""),"081-836-7447")</f>
        <v>081-836-7447</v>
      </c>
      <c r="AC560" t="str">
        <f>IFERROR(__xludf.DUMMYFUNCTION("""COMPUTED_VALUE"""),"Somsak")</f>
        <v>Somsak</v>
      </c>
      <c r="AD560" t="str">
        <f>IFERROR(__xludf.DUMMYFUNCTION("""COMPUTED_VALUE"""),"panchitas@airasia.com")</f>
        <v>panchitas@airasia.com</v>
      </c>
    </row>
    <row r="561">
      <c r="A561" s="142">
        <f>IFERROR(__xludf.DUMMYFUNCTION("""COMPUTED_VALUE"""),70.0)</f>
        <v>70</v>
      </c>
      <c r="B561" t="str">
        <f>IFERROR(__xludf.DUMMYFUNCTION("""COMPUTED_VALUE"""),"TAA3924")</f>
        <v>TAA3924</v>
      </c>
      <c r="C561">
        <f>IFERROR(__xludf.DUMMYFUNCTION("""COMPUTED_VALUE"""),1005906.0)</f>
        <v>1005906</v>
      </c>
      <c r="D561" t="str">
        <f>IFERROR(__xludf.DUMMYFUNCTION("""COMPUTED_VALUE"""),"Ms.")</f>
        <v>Ms.</v>
      </c>
      <c r="E561" t="str">
        <f>IFERROR(__xludf.DUMMYFUNCTION("""COMPUTED_VALUE"""),"Supatra")</f>
        <v>Supatra</v>
      </c>
      <c r="F561" t="str">
        <f>IFERROR(__xludf.DUMMYFUNCTION("""COMPUTED_VALUE"""),"Pokkhabut")</f>
        <v>Pokkhabut</v>
      </c>
      <c r="G561" t="str">
        <f>IFERROR(__xludf.DUMMYFUNCTION("""COMPUTED_VALUE"""),"Supatra Pokkhabut")</f>
        <v>Supatra Pokkhabut</v>
      </c>
      <c r="H561" t="str">
        <f>IFERROR(__xludf.DUMMYFUNCTION("""COMPUTED_VALUE"""),"นางสาว")</f>
        <v>นางสาว</v>
      </c>
      <c r="I561" t="str">
        <f>IFERROR(__xludf.DUMMYFUNCTION("""COMPUTED_VALUE"""),"สุพัตรา")</f>
        <v>สุพัตรา</v>
      </c>
      <c r="J561" t="str">
        <f>IFERROR(__xludf.DUMMYFUNCTION("""COMPUTED_VALUE"""),"โภกบุตร")</f>
        <v>โภกบุตร</v>
      </c>
      <c r="K561" t="str">
        <f>IFERROR(__xludf.DUMMYFUNCTION("""COMPUTED_VALUE"""),"สุพัตรา โภกบุตร")</f>
        <v>สุพัตรา โภกบุตร</v>
      </c>
      <c r="L561" t="str">
        <f>IFERROR(__xludf.DUMMYFUNCTION("""COMPUTED_VALUE"""),"Gift")</f>
        <v>Gift</v>
      </c>
      <c r="M561" t="str">
        <f>IFERROR(__xludf.DUMMYFUNCTION("""COMPUTED_VALUE"""),"Cabin Crew")</f>
        <v>Cabin Crew</v>
      </c>
      <c r="N561" t="str">
        <f>IFERROR(__xludf.DUMMYFUNCTION("""COMPUTED_VALUE"""),"DMK")</f>
        <v>DMK</v>
      </c>
      <c r="O561" s="145" t="str">
        <f>IFERROR(__xludf.DUMMYFUNCTION("""COMPUTED_VALUE"""),"Kor Home")</f>
        <v>Kor Home</v>
      </c>
      <c r="P561" t="str">
        <f>IFERROR(__xludf.DUMMYFUNCTION("""COMPUTED_VALUE"""),"Active")</f>
        <v>Active</v>
      </c>
      <c r="R561" s="143">
        <f>IFERROR(__xludf.DUMMYFUNCTION("""COMPUTED_VALUE"""),32718.0)</f>
        <v>32718</v>
      </c>
      <c r="S561" s="146" t="str">
        <f>IFERROR(__xludf.DUMMYFUNCTION("""COMPUTED_VALUE"""),"088-768-3778")</f>
        <v>088-768-3778</v>
      </c>
      <c r="T561" s="147" t="str">
        <f>IFERROR(__xludf.DUMMYFUNCTION("""COMPUTED_VALUE"""),"1820800-05-1182")</f>
        <v>1820800-05-1182</v>
      </c>
      <c r="U561" t="str">
        <f>IFERROR(__xludf.DUMMYFUNCTION("""COMPUTED_VALUE"""),"AC5520777")</f>
        <v>AC5520777</v>
      </c>
      <c r="V561" s="148">
        <f>IFERROR(__xludf.DUMMYFUNCTION("""COMPUTED_VALUE"""),45159.0)</f>
        <v>45159</v>
      </c>
      <c r="W561" s="148">
        <f>IFERROR(__xludf.DUMMYFUNCTION("""COMPUTED_VALUE"""),48811.0)</f>
        <v>48811</v>
      </c>
      <c r="X561" s="149">
        <f>IFERROR(__xludf.DUMMYFUNCTION("""COMPUTED_VALUE"""),48630.0)</f>
        <v>48630</v>
      </c>
      <c r="Y561" t="str">
        <f>IFERROR(__xludf.DUMMYFUNCTION("""COMPUTED_VALUE"""),"ปลอดภัย")</f>
        <v>ปลอดภัย</v>
      </c>
      <c r="Z561" t="str">
        <f>IFERROR(__xludf.DUMMYFUNCTION("""COMPUTED_VALUE"""),"Phang Nga Province")</f>
        <v>Phang Nga Province</v>
      </c>
      <c r="AA561" t="str">
        <f>IFERROR(__xludf.DUMMYFUNCTION("""COMPUTED_VALUE"""),"Jatujak")</f>
        <v>Jatujak</v>
      </c>
      <c r="AB561" t="str">
        <f>IFERROR(__xludf.DUMMYFUNCTION("""COMPUTED_VALUE"""),"082-520-9877")</f>
        <v>082-520-9877</v>
      </c>
      <c r="AC561" t="str">
        <f>IFERROR(__xludf.DUMMYFUNCTION("""COMPUTED_VALUE"""),"Victor Wang")</f>
        <v>Victor Wang</v>
      </c>
      <c r="AD561" t="str">
        <f>IFERROR(__xludf.DUMMYFUNCTION("""COMPUTED_VALUE"""),"supatrap@airasia.com")</f>
        <v>supatrap@airasia.com</v>
      </c>
    </row>
    <row r="562">
      <c r="A562" s="142">
        <f>IFERROR(__xludf.DUMMYFUNCTION("""COMPUTED_VALUE"""),70.0)</f>
        <v>70</v>
      </c>
      <c r="B562" t="str">
        <f>IFERROR(__xludf.DUMMYFUNCTION("""COMPUTED_VALUE"""),"TAA5988")</f>
        <v>TAA5988</v>
      </c>
      <c r="C562">
        <f>IFERROR(__xludf.DUMMYFUNCTION("""COMPUTED_VALUE"""),1012155.0)</f>
        <v>1012155</v>
      </c>
      <c r="D562" t="str">
        <f>IFERROR(__xludf.DUMMYFUNCTION("""COMPUTED_VALUE"""),"Ms.")</f>
        <v>Ms.</v>
      </c>
      <c r="E562" t="str">
        <f>IFERROR(__xludf.DUMMYFUNCTION("""COMPUTED_VALUE"""),"Duangsuree")</f>
        <v>Duangsuree</v>
      </c>
      <c r="F562" t="str">
        <f>IFERROR(__xludf.DUMMYFUNCTION("""COMPUTED_VALUE"""),"Krairatanalerk")</f>
        <v>Krairatanalerk</v>
      </c>
      <c r="G562" t="str">
        <f>IFERROR(__xludf.DUMMYFUNCTION("""COMPUTED_VALUE"""),"Duangsuree Krairatanalerk")</f>
        <v>Duangsuree Krairatanalerk</v>
      </c>
      <c r="H562" t="str">
        <f>IFERROR(__xludf.DUMMYFUNCTION("""COMPUTED_VALUE"""),"นางสาว")</f>
        <v>นางสาว</v>
      </c>
      <c r="I562" t="str">
        <f>IFERROR(__xludf.DUMMYFUNCTION("""COMPUTED_VALUE"""),"ดวงสุรีย์")</f>
        <v>ดวงสุรีย์</v>
      </c>
      <c r="J562" t="str">
        <f>IFERROR(__xludf.DUMMYFUNCTION("""COMPUTED_VALUE"""),"ไกรรัตน์ฤกษ์")</f>
        <v>ไกรรัตน์ฤกษ์</v>
      </c>
      <c r="K562" t="str">
        <f>IFERROR(__xludf.DUMMYFUNCTION("""COMPUTED_VALUE"""),"ดวงสุรีย์ ไกรรัตน์ฤกษ์")</f>
        <v>ดวงสุรีย์ ไกรรัตน์ฤกษ์</v>
      </c>
      <c r="L562" t="str">
        <f>IFERROR(__xludf.DUMMYFUNCTION("""COMPUTED_VALUE"""),"Eve")</f>
        <v>Eve</v>
      </c>
      <c r="M562" t="str">
        <f>IFERROR(__xludf.DUMMYFUNCTION("""COMPUTED_VALUE"""),"Cabin Crew")</f>
        <v>Cabin Crew</v>
      </c>
      <c r="N562" t="str">
        <f>IFERROR(__xludf.DUMMYFUNCTION("""COMPUTED_VALUE"""),"DMK")</f>
        <v>DMK</v>
      </c>
      <c r="O562" s="145" t="str">
        <f>IFERROR(__xludf.DUMMYFUNCTION("""COMPUTED_VALUE"""),"Um Home")</f>
        <v>Um Home</v>
      </c>
      <c r="P562" t="str">
        <f>IFERROR(__xludf.DUMMYFUNCTION("""COMPUTED_VALUE"""),"Active")</f>
        <v>Active</v>
      </c>
      <c r="R562" s="143">
        <f>IFERROR(__xludf.DUMMYFUNCTION("""COMPUTED_VALUE"""),32742.0)</f>
        <v>32742</v>
      </c>
      <c r="S562" s="146" t="str">
        <f>IFERROR(__xludf.DUMMYFUNCTION("""COMPUTED_VALUE"""),"064 245 5391 ")</f>
        <v>064 245 5391 </v>
      </c>
      <c r="T562" s="147" t="str">
        <f>IFERROR(__xludf.DUMMYFUNCTION("""COMPUTED_VALUE"""),"1101800-36-5087")</f>
        <v>1101800-36-5087</v>
      </c>
      <c r="U562" t="str">
        <f>IFERROR(__xludf.DUMMYFUNCTION("""COMPUTED_VALUE"""),"AC6223835")</f>
        <v>AC6223835</v>
      </c>
      <c r="V562" s="148">
        <f>IFERROR(__xludf.DUMMYFUNCTION("""COMPUTED_VALUE"""),45299.0)</f>
        <v>45299</v>
      </c>
      <c r="W562" s="148">
        <f>IFERROR(__xludf.DUMMYFUNCTION("""COMPUTED_VALUE"""),48951.0)</f>
        <v>48951</v>
      </c>
      <c r="X562" s="149">
        <f>IFERROR(__xludf.DUMMYFUNCTION("""COMPUTED_VALUE"""),48767.0)</f>
        <v>48767</v>
      </c>
      <c r="Y562" t="str">
        <f>IFERROR(__xludf.DUMMYFUNCTION("""COMPUTED_VALUE"""),"ปลอดภัย")</f>
        <v>ปลอดภัย</v>
      </c>
      <c r="Z562" t="str">
        <f>IFERROR(__xludf.DUMMYFUNCTION("""COMPUTED_VALUE"""),"Bangkok")</f>
        <v>Bangkok</v>
      </c>
      <c r="AA562" t="str">
        <f>IFERROR(__xludf.DUMMYFUNCTION("""COMPUTED_VALUE"""),"Bangplad")</f>
        <v>Bangplad</v>
      </c>
      <c r="AB562" t="str">
        <f>IFERROR(__xludf.DUMMYFUNCTION("""COMPUTED_VALUE"""),"086-550-1798")</f>
        <v>086-550-1798</v>
      </c>
      <c r="AC562" t="str">
        <f>IFERROR(__xludf.DUMMYFUNCTION("""COMPUTED_VALUE"""),"Ladawan")</f>
        <v>Ladawan</v>
      </c>
      <c r="AD562" t="str">
        <f>IFERROR(__xludf.DUMMYFUNCTION("""COMPUTED_VALUE"""),"duangsureek@airasia.com")</f>
        <v>duangsureek@airasia.com</v>
      </c>
    </row>
    <row r="563">
      <c r="A563" s="142">
        <f>IFERROR(__xludf.DUMMYFUNCTION("""COMPUTED_VALUE"""),70.0)</f>
        <v>70</v>
      </c>
      <c r="B563" t="str">
        <f>IFERROR(__xludf.DUMMYFUNCTION("""COMPUTED_VALUE"""),"TAA5986")</f>
        <v>TAA5986</v>
      </c>
      <c r="C563">
        <f>IFERROR(__xludf.DUMMYFUNCTION("""COMPUTED_VALUE"""),1012158.0)</f>
        <v>1012158</v>
      </c>
      <c r="D563" t="str">
        <f>IFERROR(__xludf.DUMMYFUNCTION("""COMPUTED_VALUE"""),"Mr.")</f>
        <v>Mr.</v>
      </c>
      <c r="E563" t="str">
        <f>IFERROR(__xludf.DUMMYFUNCTION("""COMPUTED_VALUE"""),"Itthipong")</f>
        <v>Itthipong</v>
      </c>
      <c r="F563" t="str">
        <f>IFERROR(__xludf.DUMMYFUNCTION("""COMPUTED_VALUE"""),"Itthipong")</f>
        <v>Itthipong</v>
      </c>
      <c r="G563" t="str">
        <f>IFERROR(__xludf.DUMMYFUNCTION("""COMPUTED_VALUE"""),"Itthipong Khanthonglor")</f>
        <v>Itthipong Khanthonglor</v>
      </c>
      <c r="H563" t="str">
        <f>IFERROR(__xludf.DUMMYFUNCTION("""COMPUTED_VALUE"""),"นาย")</f>
        <v>นาย</v>
      </c>
      <c r="I563" t="str">
        <f>IFERROR(__xludf.DUMMYFUNCTION("""COMPUTED_VALUE"""),"อิทธิพงษ์")</f>
        <v>อิทธิพงษ์</v>
      </c>
      <c r="J563" t="str">
        <f>IFERROR(__xludf.DUMMYFUNCTION("""COMPUTED_VALUE"""),"ขันทองหล่อ")</f>
        <v>ขันทองหล่อ</v>
      </c>
      <c r="K563" t="str">
        <f>IFERROR(__xludf.DUMMYFUNCTION("""COMPUTED_VALUE"""),"อิทธิพงษ์ ขันทองหล่อ")</f>
        <v>อิทธิพงษ์ ขันทองหล่อ</v>
      </c>
      <c r="L563" t="str">
        <f>IFERROR(__xludf.DUMMYFUNCTION("""COMPUTED_VALUE"""),"Ith อิฐ")</f>
        <v>Ith อิฐ</v>
      </c>
      <c r="M563" t="str">
        <f>IFERROR(__xludf.DUMMYFUNCTION("""COMPUTED_VALUE"""),"Cabin Crew")</f>
        <v>Cabin Crew</v>
      </c>
      <c r="N563" t="str">
        <f>IFERROR(__xludf.DUMMYFUNCTION("""COMPUTED_VALUE"""),"DMK")</f>
        <v>DMK</v>
      </c>
      <c r="O563" s="145" t="str">
        <f>IFERROR(__xludf.DUMMYFUNCTION("""COMPUTED_VALUE"""),"Nhui Home")</f>
        <v>Nhui Home</v>
      </c>
      <c r="P563" t="str">
        <f>IFERROR(__xludf.DUMMYFUNCTION("""COMPUTED_VALUE"""),"Active")</f>
        <v>Active</v>
      </c>
      <c r="R563" s="143">
        <f>IFERROR(__xludf.DUMMYFUNCTION("""COMPUTED_VALUE"""),32962.0)</f>
        <v>32962</v>
      </c>
      <c r="S563" s="146" t="str">
        <f>IFERROR(__xludf.DUMMYFUNCTION("""COMPUTED_VALUE"""),"083 060 2335")</f>
        <v>083 060 2335</v>
      </c>
      <c r="T563" s="147" t="str">
        <f>IFERROR(__xludf.DUMMYFUNCTION("""COMPUTED_VALUE"""),"1102200-07-3485")</f>
        <v>1102200-07-3485</v>
      </c>
      <c r="U563" t="str">
        <f>IFERROR(__xludf.DUMMYFUNCTION("""COMPUTED_VALUE"""),"AC6187517")</f>
        <v>AC6187517</v>
      </c>
      <c r="V563" s="148">
        <f>IFERROR(__xludf.DUMMYFUNCTION("""COMPUTED_VALUE"""),45272.0)</f>
        <v>45272</v>
      </c>
      <c r="W563" s="148">
        <f>IFERROR(__xludf.DUMMYFUNCTION("""COMPUTED_VALUE"""),48924.0)</f>
        <v>48924</v>
      </c>
      <c r="X563" s="149">
        <f>IFERROR(__xludf.DUMMYFUNCTION("""COMPUTED_VALUE"""),48741.0)</f>
        <v>48741</v>
      </c>
      <c r="Y563" t="str">
        <f>IFERROR(__xludf.DUMMYFUNCTION("""COMPUTED_VALUE"""),"ปลอดภัย")</f>
        <v>ปลอดภัย</v>
      </c>
      <c r="Z563" t="str">
        <f>IFERROR(__xludf.DUMMYFUNCTION("""COMPUTED_VALUE"""),"Bangkok")</f>
        <v>Bangkok</v>
      </c>
      <c r="AA563" t="str">
        <f>IFERROR(__xludf.DUMMYFUNCTION("""COMPUTED_VALUE"""),"Nakhonprathom")</f>
        <v>Nakhonprathom</v>
      </c>
      <c r="AB563" t="str">
        <f>IFERROR(__xludf.DUMMYFUNCTION("""COMPUTED_VALUE"""),"086-056-8103")</f>
        <v>086-056-8103</v>
      </c>
      <c r="AC563" t="str">
        <f>IFERROR(__xludf.DUMMYFUNCTION("""COMPUTED_VALUE"""),"Uraiwan")</f>
        <v>Uraiwan</v>
      </c>
      <c r="AD563" t="str">
        <f>IFERROR(__xludf.DUMMYFUNCTION("""COMPUTED_VALUE"""),"itthipongk@airasia.com")</f>
        <v>itthipongk@airasia.com</v>
      </c>
    </row>
    <row r="564">
      <c r="A564" s="142">
        <f>IFERROR(__xludf.DUMMYFUNCTION("""COMPUTED_VALUE"""),70.0)</f>
        <v>70</v>
      </c>
      <c r="B564" t="str">
        <f>IFERROR(__xludf.DUMMYFUNCTION("""COMPUTED_VALUE"""),"TAA5978")</f>
        <v>TAA5978</v>
      </c>
      <c r="C564">
        <f>IFERROR(__xludf.DUMMYFUNCTION("""COMPUTED_VALUE"""),1012166.0)</f>
        <v>1012166</v>
      </c>
      <c r="D564" t="str">
        <f>IFERROR(__xludf.DUMMYFUNCTION("""COMPUTED_VALUE"""),"Ms.")</f>
        <v>Ms.</v>
      </c>
      <c r="E564" t="str">
        <f>IFERROR(__xludf.DUMMYFUNCTION("""COMPUTED_VALUE"""),"Monthira")</f>
        <v>Monthira</v>
      </c>
      <c r="F564" t="str">
        <f>IFERROR(__xludf.DUMMYFUNCTION("""COMPUTED_VALUE"""),"Modesanga")</f>
        <v>Modesanga</v>
      </c>
      <c r="G564" t="str">
        <f>IFERROR(__xludf.DUMMYFUNCTION("""COMPUTED_VALUE"""),"Monthira Modesanga")</f>
        <v>Monthira Modesanga</v>
      </c>
      <c r="H564" t="str">
        <f>IFERROR(__xludf.DUMMYFUNCTION("""COMPUTED_VALUE"""),"นางสาว")</f>
        <v>นางสาว</v>
      </c>
      <c r="I564" t="str">
        <f>IFERROR(__xludf.DUMMYFUNCTION("""COMPUTED_VALUE"""),"มณฑิรา")</f>
        <v>มณฑิรา</v>
      </c>
      <c r="J564" t="str">
        <f>IFERROR(__xludf.DUMMYFUNCTION("""COMPUTED_VALUE"""),"โหมดสง่า")</f>
        <v>โหมดสง่า</v>
      </c>
      <c r="K564" t="str">
        <f>IFERROR(__xludf.DUMMYFUNCTION("""COMPUTED_VALUE"""),"มณฑิรา โหมดสง่า")</f>
        <v>มณฑิรา โหมดสง่า</v>
      </c>
      <c r="L564" t="str">
        <f>IFERROR(__xludf.DUMMYFUNCTION("""COMPUTED_VALUE"""),"Orn")</f>
        <v>Orn</v>
      </c>
      <c r="M564" t="str">
        <f>IFERROR(__xludf.DUMMYFUNCTION("""COMPUTED_VALUE"""),"Cabin Crew")</f>
        <v>Cabin Crew</v>
      </c>
      <c r="N564" t="str">
        <f>IFERROR(__xludf.DUMMYFUNCTION("""COMPUTED_VALUE"""),"DMK")</f>
        <v>DMK</v>
      </c>
      <c r="O564" s="145" t="str">
        <f>IFERROR(__xludf.DUMMYFUNCTION("""COMPUTED_VALUE"""),"Nhui Home")</f>
        <v>Nhui Home</v>
      </c>
      <c r="P564" t="str">
        <f>IFERROR(__xludf.DUMMYFUNCTION("""COMPUTED_VALUE"""),"Active")</f>
        <v>Active</v>
      </c>
      <c r="R564" s="143">
        <f>IFERROR(__xludf.DUMMYFUNCTION("""COMPUTED_VALUE"""),32877.0)</f>
        <v>32877</v>
      </c>
      <c r="S564" s="146" t="str">
        <f>IFERROR(__xludf.DUMMYFUNCTION("""COMPUTED_VALUE"""),"085-832-7458")</f>
        <v>085-832-7458</v>
      </c>
      <c r="T564" s="147" t="str">
        <f>IFERROR(__xludf.DUMMYFUNCTION("""COMPUTED_VALUE"""),"1100701-11-6495")</f>
        <v>1100701-11-6495</v>
      </c>
      <c r="U564" t="str">
        <f>IFERROR(__xludf.DUMMYFUNCTION("""COMPUTED_VALUE"""),"AC6191262")</f>
        <v>AC6191262</v>
      </c>
      <c r="V564" s="148">
        <f>IFERROR(__xludf.DUMMYFUNCTION("""COMPUTED_VALUE"""),45273.0)</f>
        <v>45273</v>
      </c>
      <c r="W564" s="148">
        <f>IFERROR(__xludf.DUMMYFUNCTION("""COMPUTED_VALUE"""),48925.0)</f>
        <v>48925</v>
      </c>
      <c r="X564" s="149">
        <f>IFERROR(__xludf.DUMMYFUNCTION("""COMPUTED_VALUE"""),48742.0)</f>
        <v>48742</v>
      </c>
      <c r="Y564" t="str">
        <f>IFERROR(__xludf.DUMMYFUNCTION("""COMPUTED_VALUE"""),"ปลอดภัย")</f>
        <v>ปลอดภัย</v>
      </c>
      <c r="Z564" t="str">
        <f>IFERROR(__xludf.DUMMYFUNCTION("""COMPUTED_VALUE"""),"Bangkok")</f>
        <v>Bangkok</v>
      </c>
      <c r="AA564" t="str">
        <f>IFERROR(__xludf.DUMMYFUNCTION("""COMPUTED_VALUE"""),"Bangsue")</f>
        <v>Bangsue</v>
      </c>
      <c r="AB564" t="str">
        <f>IFERROR(__xludf.DUMMYFUNCTION("""COMPUTED_VALUE"""),"086-556-8109")</f>
        <v>086-556-8109</v>
      </c>
      <c r="AC564" t="str">
        <f>IFERROR(__xludf.DUMMYFUNCTION("""COMPUTED_VALUE"""),"Chutima")</f>
        <v>Chutima</v>
      </c>
      <c r="AD564" t="str">
        <f>IFERROR(__xludf.DUMMYFUNCTION("""COMPUTED_VALUE"""),"monthiram@airasia.com")</f>
        <v>monthiram@airasia.com</v>
      </c>
    </row>
    <row r="565">
      <c r="A565" s="142">
        <f>IFERROR(__xludf.DUMMYFUNCTION("""COMPUTED_VALUE"""),70.0)</f>
        <v>70</v>
      </c>
      <c r="B565" t="str">
        <f>IFERROR(__xludf.DUMMYFUNCTION("""COMPUTED_VALUE"""),"TAA5982")</f>
        <v>TAA5982</v>
      </c>
      <c r="C565">
        <f>IFERROR(__xludf.DUMMYFUNCTION("""COMPUTED_VALUE"""),1012170.0)</f>
        <v>1012170</v>
      </c>
      <c r="D565" t="str">
        <f>IFERROR(__xludf.DUMMYFUNCTION("""COMPUTED_VALUE"""),"Ms.")</f>
        <v>Ms.</v>
      </c>
      <c r="E565" t="str">
        <f>IFERROR(__xludf.DUMMYFUNCTION("""COMPUTED_VALUE"""),"Natchanapatch")</f>
        <v>Natchanapatch</v>
      </c>
      <c r="F565" t="str">
        <f>IFERROR(__xludf.DUMMYFUNCTION("""COMPUTED_VALUE"""),"Sakunsmithikorn (Phalapruek)")</f>
        <v>Sakunsmithikorn (Phalapruek)</v>
      </c>
      <c r="G565" t="str">
        <f>IFERROR(__xludf.DUMMYFUNCTION("""COMPUTED_VALUE"""),"Natchanapatch Sakunsmithikorn ")</f>
        <v>Natchanapatch Sakunsmithikorn </v>
      </c>
      <c r="H565" t="str">
        <f>IFERROR(__xludf.DUMMYFUNCTION("""COMPUTED_VALUE"""),"นางสาว")</f>
        <v>นางสาว</v>
      </c>
      <c r="I565" t="str">
        <f>IFERROR(__xludf.DUMMYFUNCTION("""COMPUTED_VALUE"""),"ณัชณภัทร")</f>
        <v>ณัชณภัทร</v>
      </c>
      <c r="J565" t="str">
        <f>IFERROR(__xludf.DUMMYFUNCTION("""COMPUTED_VALUE"""),"สกุลสมิทธิกร (ผลาพฤกษ์)")</f>
        <v>สกุลสมิทธิกร (ผลาพฤกษ์)</v>
      </c>
      <c r="K565" t="str">
        <f>IFERROR(__xludf.DUMMYFUNCTION("""COMPUTED_VALUE"""),"ณัชณภัทร สกุลสมิทธิกร ")</f>
        <v>ณัชณภัทร สกุลสมิทธิกร </v>
      </c>
      <c r="L565" t="str">
        <f>IFERROR(__xludf.DUMMYFUNCTION("""COMPUTED_VALUE"""),"Nui นุ้ย")</f>
        <v>Nui นุ้ย</v>
      </c>
      <c r="M565" t="str">
        <f>IFERROR(__xludf.DUMMYFUNCTION("""COMPUTED_VALUE"""),"Cabin Crew")</f>
        <v>Cabin Crew</v>
      </c>
      <c r="N565" t="str">
        <f>IFERROR(__xludf.DUMMYFUNCTION("""COMPUTED_VALUE"""),"DMK")</f>
        <v>DMK</v>
      </c>
      <c r="O565" s="145" t="str">
        <f>IFERROR(__xludf.DUMMYFUNCTION("""COMPUTED_VALUE"""),"Namfon Home")</f>
        <v>Namfon Home</v>
      </c>
      <c r="P565" t="str">
        <f>IFERROR(__xludf.DUMMYFUNCTION("""COMPUTED_VALUE"""),"MATL")</f>
        <v>MATL</v>
      </c>
      <c r="Q565" t="str">
        <f>IFERROR(__xludf.DUMMYFUNCTION("""COMPUTED_VALUE"""),"Chinese Speaking")</f>
        <v>Chinese Speaking</v>
      </c>
      <c r="R565" s="143">
        <f>IFERROR(__xludf.DUMMYFUNCTION("""COMPUTED_VALUE"""),32965.0)</f>
        <v>32965</v>
      </c>
      <c r="S565" s="146" t="str">
        <f>IFERROR(__xludf.DUMMYFUNCTION("""COMPUTED_VALUE"""),"095-514-4499")</f>
        <v>095-514-4499</v>
      </c>
      <c r="T565" s="147" t="str">
        <f>IFERROR(__xludf.DUMMYFUNCTION("""COMPUTED_VALUE"""),"1419900-22-4196")</f>
        <v>1419900-22-4196</v>
      </c>
      <c r="U565" t="str">
        <f>IFERROR(__xludf.DUMMYFUNCTION("""COMPUTED_VALUE"""),"AD0778124")</f>
        <v>AD0778124</v>
      </c>
      <c r="V565" s="148">
        <f>IFERROR(__xludf.DUMMYFUNCTION("""COMPUTED_VALUE"""),44952.0)</f>
        <v>44952</v>
      </c>
      <c r="W565" s="148">
        <f>IFERROR(__xludf.DUMMYFUNCTION("""COMPUTED_VALUE"""),48604.0)</f>
        <v>48604</v>
      </c>
      <c r="X565" s="149">
        <f>IFERROR(__xludf.DUMMYFUNCTION("""COMPUTED_VALUE"""),48420.0)</f>
        <v>48420</v>
      </c>
      <c r="Y565" t="str">
        <f>IFERROR(__xludf.DUMMYFUNCTION("""COMPUTED_VALUE"""),"ปลอดภัย")</f>
        <v>ปลอดภัย</v>
      </c>
      <c r="Z565" t="str">
        <f>IFERROR(__xludf.DUMMYFUNCTION("""COMPUTED_VALUE"""),"Udon Thani Province")</f>
        <v>Udon Thani Province</v>
      </c>
      <c r="AA565" t="str">
        <f>IFERROR(__xludf.DUMMYFUNCTION("""COMPUTED_VALUE"""),"Bangkean")</f>
        <v>Bangkean</v>
      </c>
      <c r="AB565" t="str">
        <f>IFERROR(__xludf.DUMMYFUNCTION("""COMPUTED_VALUE"""),"084-785-9988/086-224-6565")</f>
        <v>084-785-9988/086-224-6565</v>
      </c>
      <c r="AC565" t="str">
        <f>IFERROR(__xludf.DUMMYFUNCTION("""COMPUTED_VALUE"""),"Narong Phalapruek")</f>
        <v>Narong Phalapruek</v>
      </c>
      <c r="AD565" t="str">
        <f>IFERROR(__xludf.DUMMYFUNCTION("""COMPUTED_VALUE"""),"natchanapatchs@airasia.com")</f>
        <v>natchanapatchs@airasia.com</v>
      </c>
    </row>
    <row r="566">
      <c r="A566" s="142">
        <f>IFERROR(__xludf.DUMMYFUNCTION("""COMPUTED_VALUE"""),70.0)</f>
        <v>70</v>
      </c>
      <c r="B566" t="str">
        <f>IFERROR(__xludf.DUMMYFUNCTION("""COMPUTED_VALUE"""),"TAA5985")</f>
        <v>TAA5985</v>
      </c>
      <c r="C566">
        <f>IFERROR(__xludf.DUMMYFUNCTION("""COMPUTED_VALUE"""),1012174.0)</f>
        <v>1012174</v>
      </c>
      <c r="D566" t="str">
        <f>IFERROR(__xludf.DUMMYFUNCTION("""COMPUTED_VALUE"""),"Mr.")</f>
        <v>Mr.</v>
      </c>
      <c r="E566" t="str">
        <f>IFERROR(__xludf.DUMMYFUNCTION("""COMPUTED_VALUE"""),"Parnnachai")</f>
        <v>Parnnachai</v>
      </c>
      <c r="F566" t="str">
        <f>IFERROR(__xludf.DUMMYFUNCTION("""COMPUTED_VALUE"""),"Srirat")</f>
        <v>Srirat</v>
      </c>
      <c r="G566" t="str">
        <f>IFERROR(__xludf.DUMMYFUNCTION("""COMPUTED_VALUE"""),"Parnnachai Srirat")</f>
        <v>Parnnachai Srirat</v>
      </c>
      <c r="H566" t="str">
        <f>IFERROR(__xludf.DUMMYFUNCTION("""COMPUTED_VALUE"""),"นาย")</f>
        <v>นาย</v>
      </c>
      <c r="I566" t="str">
        <f>IFERROR(__xludf.DUMMYFUNCTION("""COMPUTED_VALUE"""),"ปาณชัย")</f>
        <v>ปาณชัย</v>
      </c>
      <c r="J566" t="str">
        <f>IFERROR(__xludf.DUMMYFUNCTION("""COMPUTED_VALUE"""),"ศรีรัตน์")</f>
        <v>ศรีรัตน์</v>
      </c>
      <c r="K566" t="str">
        <f>IFERROR(__xludf.DUMMYFUNCTION("""COMPUTED_VALUE"""),"ปาณชัย ศรีรัตน์")</f>
        <v>ปาณชัย ศรีรัตน์</v>
      </c>
      <c r="L566" t="str">
        <f>IFERROR(__xludf.DUMMYFUNCTION("""COMPUTED_VALUE"""),"Ize ไอซ์")</f>
        <v>Ize ไอซ์</v>
      </c>
      <c r="M566" t="str">
        <f>IFERROR(__xludf.DUMMYFUNCTION("""COMPUTED_VALUE"""),"Senior Cabin Crew - BKK")</f>
        <v>Senior Cabin Crew - BKK</v>
      </c>
      <c r="N566" t="str">
        <f>IFERROR(__xludf.DUMMYFUNCTION("""COMPUTED_VALUE"""),"BKK")</f>
        <v>BKK</v>
      </c>
      <c r="O566" s="145" t="str">
        <f>IFERROR(__xludf.DUMMYFUNCTION("""COMPUTED_VALUE"""),"Nhui Home")</f>
        <v>Nhui Home</v>
      </c>
      <c r="P566" t="str">
        <f>IFERROR(__xludf.DUMMYFUNCTION("""COMPUTED_VALUE"""),"Active/V/DMK")</f>
        <v>Active/V/DMK</v>
      </c>
      <c r="R566" s="143">
        <f>IFERROR(__xludf.DUMMYFUNCTION("""COMPUTED_VALUE"""),32157.0)</f>
        <v>32157</v>
      </c>
      <c r="S566" s="146" t="str">
        <f>IFERROR(__xludf.DUMMYFUNCTION("""COMPUTED_VALUE"""),"063-532-8229")</f>
        <v>063-532-8229</v>
      </c>
      <c r="T566" s="147" t="str">
        <f>IFERROR(__xludf.DUMMYFUNCTION("""COMPUTED_VALUE"""),"1101401-21-4824")</f>
        <v>1101401-21-4824</v>
      </c>
      <c r="U566" t="str">
        <f>IFERROR(__xludf.DUMMYFUNCTION("""COMPUTED_VALUE"""),"AC3476312")</f>
        <v>AC3476312</v>
      </c>
      <c r="V566" s="148">
        <f>IFERROR(__xludf.DUMMYFUNCTION("""COMPUTED_VALUE"""),44742.0)</f>
        <v>44742</v>
      </c>
      <c r="W566" s="148">
        <f>IFERROR(__xludf.DUMMYFUNCTION("""COMPUTED_VALUE"""),48394.0)</f>
        <v>48394</v>
      </c>
      <c r="X566" s="149">
        <f>IFERROR(__xludf.DUMMYFUNCTION("""COMPUTED_VALUE"""),48211.0)</f>
        <v>48211</v>
      </c>
      <c r="Y566" t="str">
        <f>IFERROR(__xludf.DUMMYFUNCTION("""COMPUTED_VALUE"""),"ปลอดภัย")</f>
        <v>ปลอดภัย</v>
      </c>
      <c r="Z566" t="str">
        <f>IFERROR(__xludf.DUMMYFUNCTION("""COMPUTED_VALUE"""),"Bangkok")</f>
        <v>Bangkok</v>
      </c>
      <c r="AA566" t="str">
        <f>IFERROR(__xludf.DUMMYFUNCTION("""COMPUTED_VALUE"""),"Nawamin")</f>
        <v>Nawamin</v>
      </c>
      <c r="AB566" t="str">
        <f>IFERROR(__xludf.DUMMYFUNCTION("""COMPUTED_VALUE"""),"093-515-6265")</f>
        <v>093-515-6265</v>
      </c>
      <c r="AC566" t="str">
        <f>IFERROR(__xludf.DUMMYFUNCTION("""COMPUTED_VALUE"""),"Mother")</f>
        <v>Mother</v>
      </c>
      <c r="AD566" t="str">
        <f>IFERROR(__xludf.DUMMYFUNCTION("""COMPUTED_VALUE"""),"parnnachais@airasia.com")</f>
        <v>parnnachais@airasia.com</v>
      </c>
    </row>
    <row r="567">
      <c r="A567" s="142">
        <f>IFERROR(__xludf.DUMMYFUNCTION("""COMPUTED_VALUE"""),70.0)</f>
        <v>70</v>
      </c>
      <c r="B567" t="str">
        <f>IFERROR(__xludf.DUMMYFUNCTION("""COMPUTED_VALUE"""),"TAA5984")</f>
        <v>TAA5984</v>
      </c>
      <c r="C567">
        <f>IFERROR(__xludf.DUMMYFUNCTION("""COMPUTED_VALUE"""),1012182.0)</f>
        <v>1012182</v>
      </c>
      <c r="D567" t="str">
        <f>IFERROR(__xludf.DUMMYFUNCTION("""COMPUTED_VALUE"""),"Ms.")</f>
        <v>Ms.</v>
      </c>
      <c r="E567" t="str">
        <f>IFERROR(__xludf.DUMMYFUNCTION("""COMPUTED_VALUE"""),"Soikamol")</f>
        <v>Soikamol</v>
      </c>
      <c r="F567" t="str">
        <f>IFERROR(__xludf.DUMMYFUNCTION("""COMPUTED_VALUE"""),"Phonakhon")</f>
        <v>Phonakhon</v>
      </c>
      <c r="G567" t="str">
        <f>IFERROR(__xludf.DUMMYFUNCTION("""COMPUTED_VALUE"""),"Soikamol Phonakhon")</f>
        <v>Soikamol Phonakhon</v>
      </c>
      <c r="H567" t="str">
        <f>IFERROR(__xludf.DUMMYFUNCTION("""COMPUTED_VALUE"""),"นางสาว")</f>
        <v>นางสาว</v>
      </c>
      <c r="I567" t="str">
        <f>IFERROR(__xludf.DUMMYFUNCTION("""COMPUTED_VALUE"""),"สร้อยกมล")</f>
        <v>สร้อยกมล</v>
      </c>
      <c r="J567" t="str">
        <f>IFERROR(__xludf.DUMMYFUNCTION("""COMPUTED_VALUE"""),"โพธิ์นคร")</f>
        <v>โพธิ์นคร</v>
      </c>
      <c r="K567" t="str">
        <f>IFERROR(__xludf.DUMMYFUNCTION("""COMPUTED_VALUE"""),"สร้อยกมล โพธิ์นคร")</f>
        <v>สร้อยกมล โพธิ์นคร</v>
      </c>
      <c r="L567" t="str">
        <f>IFERROR(__xludf.DUMMYFUNCTION("""COMPUTED_VALUE"""),"Soi สร้อย")</f>
        <v>Soi สร้อย</v>
      </c>
      <c r="M567" t="str">
        <f>IFERROR(__xludf.DUMMYFUNCTION("""COMPUTED_VALUE"""),"Cabin Crew")</f>
        <v>Cabin Crew</v>
      </c>
      <c r="N567" t="str">
        <f>IFERROR(__xludf.DUMMYFUNCTION("""COMPUTED_VALUE"""),"DMK")</f>
        <v>DMK</v>
      </c>
      <c r="O567" s="145" t="str">
        <f>IFERROR(__xludf.DUMMYFUNCTION("""COMPUTED_VALUE"""),"Por+ Home")</f>
        <v>Por+ Home</v>
      </c>
      <c r="P567" t="str">
        <f>IFERROR(__xludf.DUMMYFUNCTION("""COMPUTED_VALUE"""),"Active")</f>
        <v>Active</v>
      </c>
      <c r="R567" s="143">
        <f>IFERROR(__xludf.DUMMYFUNCTION("""COMPUTED_VALUE"""),31964.0)</f>
        <v>31964</v>
      </c>
      <c r="S567" s="146" t="str">
        <f>IFERROR(__xludf.DUMMYFUNCTION("""COMPUTED_VALUE"""),"084-045-1650")</f>
        <v>084-045-1650</v>
      </c>
      <c r="T567" s="147" t="str">
        <f>IFERROR(__xludf.DUMMYFUNCTION("""COMPUTED_VALUE"""),"1609990-03-5434")</f>
        <v>1609990-03-5434</v>
      </c>
      <c r="U567" t="str">
        <f>IFERROR(__xludf.DUMMYFUNCTION("""COMPUTED_VALUE"""),"AC6010694")</f>
        <v>AC6010694</v>
      </c>
      <c r="V567" s="148">
        <f>IFERROR(__xludf.DUMMYFUNCTION("""COMPUTED_VALUE"""),45229.0)</f>
        <v>45229</v>
      </c>
      <c r="W567" s="148">
        <f>IFERROR(__xludf.DUMMYFUNCTION("""COMPUTED_VALUE"""),48881.0)</f>
        <v>48881</v>
      </c>
      <c r="X567" s="149">
        <f>IFERROR(__xludf.DUMMYFUNCTION("""COMPUTED_VALUE"""),48698.0)</f>
        <v>48698</v>
      </c>
      <c r="Y567" t="str">
        <f>IFERROR(__xludf.DUMMYFUNCTION("""COMPUTED_VALUE"""),"ปลอดภัย")</f>
        <v>ปลอดภัย</v>
      </c>
      <c r="Z567" t="str">
        <f>IFERROR(__xludf.DUMMYFUNCTION("""COMPUTED_VALUE"""),"Nakhon Sawan Province")</f>
        <v>Nakhon Sawan Province</v>
      </c>
      <c r="AA567" t="str">
        <f>IFERROR(__xludf.DUMMYFUNCTION("""COMPUTED_VALUE"""),"Bangkean")</f>
        <v>Bangkean</v>
      </c>
      <c r="AB567" t="str">
        <f>IFERROR(__xludf.DUMMYFUNCTION("""COMPUTED_VALUE"""),"086-196-5398")</f>
        <v>086-196-5398</v>
      </c>
      <c r="AC567" t="str">
        <f>IFERROR(__xludf.DUMMYFUNCTION("""COMPUTED_VALUE"""),"Vanee Phonakhon")</f>
        <v>Vanee Phonakhon</v>
      </c>
      <c r="AD567" t="str">
        <f>IFERROR(__xludf.DUMMYFUNCTION("""COMPUTED_VALUE"""),"soikamolp@airasia.com")</f>
        <v>soikamolp@airasia.com</v>
      </c>
    </row>
    <row r="568">
      <c r="A568" s="142">
        <f>IFERROR(__xludf.DUMMYFUNCTION("""COMPUTED_VALUE"""),70.0)</f>
        <v>70</v>
      </c>
      <c r="B568" t="str">
        <f>IFERROR(__xludf.DUMMYFUNCTION("""COMPUTED_VALUE"""),"TAA5983")</f>
        <v>TAA5983</v>
      </c>
      <c r="C568">
        <f>IFERROR(__xludf.DUMMYFUNCTION("""COMPUTED_VALUE"""),1012183.0)</f>
        <v>1012183</v>
      </c>
      <c r="D568" t="str">
        <f>IFERROR(__xludf.DUMMYFUNCTION("""COMPUTED_VALUE"""),"Mr.")</f>
        <v>Mr.</v>
      </c>
      <c r="E568" t="str">
        <f>IFERROR(__xludf.DUMMYFUNCTION("""COMPUTED_VALUE"""),"Tatree")</f>
        <v>Tatree</v>
      </c>
      <c r="F568" t="str">
        <f>IFERROR(__xludf.DUMMYFUNCTION("""COMPUTED_VALUE"""),"Phakaew")</f>
        <v>Phakaew</v>
      </c>
      <c r="G568" t="str">
        <f>IFERROR(__xludf.DUMMYFUNCTION("""COMPUTED_VALUE"""),"Tatree Phakaew")</f>
        <v>Tatree Phakaew</v>
      </c>
      <c r="H568" t="str">
        <f>IFERROR(__xludf.DUMMYFUNCTION("""COMPUTED_VALUE"""),"นาย")</f>
        <v>นาย</v>
      </c>
      <c r="I568" t="str">
        <f>IFERROR(__xludf.DUMMYFUNCTION("""COMPUTED_VALUE"""),"ธาตรี")</f>
        <v>ธาตรี</v>
      </c>
      <c r="J568" t="str">
        <f>IFERROR(__xludf.DUMMYFUNCTION("""COMPUTED_VALUE"""),"ผาแก้ว")</f>
        <v>ผาแก้ว</v>
      </c>
      <c r="K568" t="str">
        <f>IFERROR(__xludf.DUMMYFUNCTION("""COMPUTED_VALUE"""),"ธาตรี ผาแก้ว")</f>
        <v>ธาตรี ผาแก้ว</v>
      </c>
      <c r="L568" t="str">
        <f>IFERROR(__xludf.DUMMYFUNCTION("""COMPUTED_VALUE"""),"Buz บัส")</f>
        <v>Buz บัส</v>
      </c>
      <c r="M568" t="str">
        <f>IFERROR(__xludf.DUMMYFUNCTION("""COMPUTED_VALUE"""),"Cabin Crew")</f>
        <v>Cabin Crew</v>
      </c>
      <c r="N568" t="str">
        <f>IFERROR(__xludf.DUMMYFUNCTION("""COMPUTED_VALUE"""),"DMK")</f>
        <v>DMK</v>
      </c>
      <c r="O568" s="145" t="str">
        <f>IFERROR(__xludf.DUMMYFUNCTION("""COMPUTED_VALUE"""),"Por+ Home")</f>
        <v>Por+ Home</v>
      </c>
      <c r="P568" t="str">
        <f>IFERROR(__xludf.DUMMYFUNCTION("""COMPUTED_VALUE"""),"Active")</f>
        <v>Active</v>
      </c>
      <c r="R568" s="143">
        <f>IFERROR(__xludf.DUMMYFUNCTION("""COMPUTED_VALUE"""),32711.0)</f>
        <v>32711</v>
      </c>
      <c r="S568" s="146" t="str">
        <f>IFERROR(__xludf.DUMMYFUNCTION("""COMPUTED_VALUE"""),"092-942-4654")</f>
        <v>092-942-4654</v>
      </c>
      <c r="T568" s="147" t="str">
        <f>IFERROR(__xludf.DUMMYFUNCTION("""COMPUTED_VALUE"""),"1559900-14-9517")</f>
        <v>1559900-14-9517</v>
      </c>
      <c r="U568" t="str">
        <f>IFERROR(__xludf.DUMMYFUNCTION("""COMPUTED_VALUE"""),"AC4712116")</f>
        <v>AC4712116</v>
      </c>
      <c r="V568" s="148">
        <f>IFERROR(__xludf.DUMMYFUNCTION("""COMPUTED_VALUE"""),45006.0)</f>
        <v>45006</v>
      </c>
      <c r="W568" s="148">
        <f>IFERROR(__xludf.DUMMYFUNCTION("""COMPUTED_VALUE"""),48658.0)</f>
        <v>48658</v>
      </c>
      <c r="X568" s="149">
        <f>IFERROR(__xludf.DUMMYFUNCTION("""COMPUTED_VALUE"""),48477.0)</f>
        <v>48477</v>
      </c>
      <c r="Y568" t="str">
        <f>IFERROR(__xludf.DUMMYFUNCTION("""COMPUTED_VALUE"""),"ปลอดภัย")</f>
        <v>ปลอดภัย</v>
      </c>
      <c r="Z568" t="str">
        <f>IFERROR(__xludf.DUMMYFUNCTION("""COMPUTED_VALUE"""),"Nan Province")</f>
        <v>Nan Province</v>
      </c>
      <c r="AA568" t="str">
        <f>IFERROR(__xludf.DUMMYFUNCTION("""COMPUTED_VALUE"""),"Ratchadheve")</f>
        <v>Ratchadheve</v>
      </c>
      <c r="AB568" t="str">
        <f>IFERROR(__xludf.DUMMYFUNCTION("""COMPUTED_VALUE"""),"089-956-5435")</f>
        <v>089-956-5435</v>
      </c>
      <c r="AC568" t="str">
        <f>IFERROR(__xludf.DUMMYFUNCTION("""COMPUTED_VALUE"""),"Father")</f>
        <v>Father</v>
      </c>
      <c r="AD568" t="str">
        <f>IFERROR(__xludf.DUMMYFUNCTION("""COMPUTED_VALUE"""),"tatreep@airasia.com")</f>
        <v>tatreep@airasia.com</v>
      </c>
    </row>
    <row r="569">
      <c r="A569" s="142">
        <f>IFERROR(__xludf.DUMMYFUNCTION("""COMPUTED_VALUE"""),70.0)</f>
        <v>70</v>
      </c>
      <c r="B569" t="str">
        <f>IFERROR(__xludf.DUMMYFUNCTION("""COMPUTED_VALUE"""),"TAA5981")</f>
        <v>TAA5981</v>
      </c>
      <c r="C569">
        <f>IFERROR(__xludf.DUMMYFUNCTION("""COMPUTED_VALUE"""),1012186.0)</f>
        <v>1012186</v>
      </c>
      <c r="D569" t="str">
        <f>IFERROR(__xludf.DUMMYFUNCTION("""COMPUTED_VALUE"""),"Ms.")</f>
        <v>Ms.</v>
      </c>
      <c r="E569" t="str">
        <f>IFERROR(__xludf.DUMMYFUNCTION("""COMPUTED_VALUE"""),"Tulaporn")</f>
        <v>Tulaporn</v>
      </c>
      <c r="F569" t="str">
        <f>IFERROR(__xludf.DUMMYFUNCTION("""COMPUTED_VALUE"""),"Treetasent")</f>
        <v>Treetasent</v>
      </c>
      <c r="G569" t="str">
        <f>IFERROR(__xludf.DUMMYFUNCTION("""COMPUTED_VALUE"""),"Tulaporn Treetasent")</f>
        <v>Tulaporn Treetasent</v>
      </c>
      <c r="H569" t="str">
        <f>IFERROR(__xludf.DUMMYFUNCTION("""COMPUTED_VALUE"""),"นางสาว")</f>
        <v>นางสาว</v>
      </c>
      <c r="I569" t="str">
        <f>IFERROR(__xludf.DUMMYFUNCTION("""COMPUTED_VALUE"""),"ตุลพร")</f>
        <v>ตุลพร</v>
      </c>
      <c r="J569" t="str">
        <f>IFERROR(__xludf.DUMMYFUNCTION("""COMPUTED_VALUE"""),"ตรีทเศนทร์")</f>
        <v>ตรีทเศนทร์</v>
      </c>
      <c r="K569" t="str">
        <f>IFERROR(__xludf.DUMMYFUNCTION("""COMPUTED_VALUE"""),"ตุลพร ตรีทเศนทร์")</f>
        <v>ตุลพร ตรีทเศนทร์</v>
      </c>
      <c r="L569" t="str">
        <f>IFERROR(__xludf.DUMMYFUNCTION("""COMPUTED_VALUE"""),"Dew ดิว")</f>
        <v>Dew ดิว</v>
      </c>
      <c r="M569" t="str">
        <f>IFERROR(__xludf.DUMMYFUNCTION("""COMPUTED_VALUE"""),"Cabin Crew")</f>
        <v>Cabin Crew</v>
      </c>
      <c r="N569" t="str">
        <f>IFERROR(__xludf.DUMMYFUNCTION("""COMPUTED_VALUE"""),"DMK")</f>
        <v>DMK</v>
      </c>
      <c r="O569" s="145" t="str">
        <f>IFERROR(__xludf.DUMMYFUNCTION("""COMPUTED_VALUE"""),"Up Home")</f>
        <v>Up Home</v>
      </c>
      <c r="P569" t="str">
        <f>IFERROR(__xludf.DUMMYFUNCTION("""COMPUTED_VALUE"""),"Active")</f>
        <v>Active</v>
      </c>
      <c r="R569" s="143">
        <f>IFERROR(__xludf.DUMMYFUNCTION("""COMPUTED_VALUE"""),32445.0)</f>
        <v>32445</v>
      </c>
      <c r="S569" s="146" t="str">
        <f>IFERROR(__xludf.DUMMYFUNCTION("""COMPUTED_VALUE"""),"091-741-4207")</f>
        <v>091-741-4207</v>
      </c>
      <c r="T569" s="147" t="str">
        <f>IFERROR(__xludf.DUMMYFUNCTION("""COMPUTED_VALUE"""),"1129900-03-8425")</f>
        <v>1129900-03-8425</v>
      </c>
      <c r="U569" t="str">
        <f>IFERROR(__xludf.DUMMYFUNCTION("""COMPUTED_VALUE"""),"AC6229790")</f>
        <v>AC6229790</v>
      </c>
      <c r="V569" s="148">
        <f>IFERROR(__xludf.DUMMYFUNCTION("""COMPUTED_VALUE"""),45301.0)</f>
        <v>45301</v>
      </c>
      <c r="W569" s="148">
        <f>IFERROR(__xludf.DUMMYFUNCTION("""COMPUTED_VALUE"""),48953.0)</f>
        <v>48953</v>
      </c>
      <c r="X569" s="149">
        <f>IFERROR(__xludf.DUMMYFUNCTION("""COMPUTED_VALUE"""),48769.0)</f>
        <v>48769</v>
      </c>
      <c r="Y569" t="str">
        <f>IFERROR(__xludf.DUMMYFUNCTION("""COMPUTED_VALUE"""),"ปลอดภัย")</f>
        <v>ปลอดภัย</v>
      </c>
      <c r="Z569" t="str">
        <f>IFERROR(__xludf.DUMMYFUNCTION("""COMPUTED_VALUE"""),"Bangkok")</f>
        <v>Bangkok</v>
      </c>
      <c r="AA569" t="str">
        <f>IFERROR(__xludf.DUMMYFUNCTION("""COMPUTED_VALUE"""),"Jatujak")</f>
        <v>Jatujak</v>
      </c>
      <c r="AB569" t="str">
        <f>IFERROR(__xludf.DUMMYFUNCTION("""COMPUTED_VALUE"""),"085-917-3319")</f>
        <v>085-917-3319</v>
      </c>
      <c r="AC569" t="str">
        <f>IFERROR(__xludf.DUMMYFUNCTION("""COMPUTED_VALUE"""),"Kultida")</f>
        <v>Kultida</v>
      </c>
      <c r="AD569" t="str">
        <f>IFERROR(__xludf.DUMMYFUNCTION("""COMPUTED_VALUE"""),"tulapornt@airasia.com")</f>
        <v>tulapornt@airasia.com</v>
      </c>
    </row>
    <row r="570">
      <c r="A570" s="142">
        <f>IFERROR(__xludf.DUMMYFUNCTION("""COMPUTED_VALUE"""),70.0)</f>
        <v>70</v>
      </c>
      <c r="B570" t="str">
        <f>IFERROR(__xludf.DUMMYFUNCTION("""COMPUTED_VALUE"""),"TAA5980")</f>
        <v>TAA5980</v>
      </c>
      <c r="C570">
        <f>IFERROR(__xludf.DUMMYFUNCTION("""COMPUTED_VALUE"""),1012187.0)</f>
        <v>1012187</v>
      </c>
      <c r="D570" t="str">
        <f>IFERROR(__xludf.DUMMYFUNCTION("""COMPUTED_VALUE"""),"Ms.")</f>
        <v>Ms.</v>
      </c>
      <c r="E570" t="str">
        <f>IFERROR(__xludf.DUMMYFUNCTION("""COMPUTED_VALUE"""),"Warangkana")</f>
        <v>Warangkana</v>
      </c>
      <c r="F570" t="str">
        <f>IFERROR(__xludf.DUMMYFUNCTION("""COMPUTED_VALUE"""),"Mattaweewong")</f>
        <v>Mattaweewong</v>
      </c>
      <c r="G570" t="str">
        <f>IFERROR(__xludf.DUMMYFUNCTION("""COMPUTED_VALUE"""),"Warangkana Mattaweewong")</f>
        <v>Warangkana Mattaweewong</v>
      </c>
      <c r="H570" t="str">
        <f>IFERROR(__xludf.DUMMYFUNCTION("""COMPUTED_VALUE"""),"นางสาว")</f>
        <v>นางสาว</v>
      </c>
      <c r="I570" t="str">
        <f>IFERROR(__xludf.DUMMYFUNCTION("""COMPUTED_VALUE"""),"วรางคณา")</f>
        <v>วรางคณา</v>
      </c>
      <c r="J570" t="str">
        <f>IFERROR(__xludf.DUMMYFUNCTION("""COMPUTED_VALUE"""),"มัททวีวงศ์")</f>
        <v>มัททวีวงศ์</v>
      </c>
      <c r="K570" t="str">
        <f>IFERROR(__xludf.DUMMYFUNCTION("""COMPUTED_VALUE"""),"วรางคณา มัททวีวงศ์")</f>
        <v>วรางคณา มัททวีวงศ์</v>
      </c>
      <c r="L570" t="str">
        <f>IFERROR(__xludf.DUMMYFUNCTION("""COMPUTED_VALUE"""),"Mint มิ้น")</f>
        <v>Mint มิ้น</v>
      </c>
      <c r="M570" t="str">
        <f>IFERROR(__xludf.DUMMYFUNCTION("""COMPUTED_VALUE"""),"Cabin Crew")</f>
        <v>Cabin Crew</v>
      </c>
      <c r="N570" t="str">
        <f>IFERROR(__xludf.DUMMYFUNCTION("""COMPUTED_VALUE"""),"DMK")</f>
        <v>DMK</v>
      </c>
      <c r="O570" s="145" t="str">
        <f>IFERROR(__xludf.DUMMYFUNCTION("""COMPUTED_VALUE"""),"Nhui Home")</f>
        <v>Nhui Home</v>
      </c>
      <c r="P570" t="str">
        <f>IFERROR(__xludf.DUMMYFUNCTION("""COMPUTED_VALUE"""),"Active")</f>
        <v>Active</v>
      </c>
      <c r="R570" s="143">
        <f>IFERROR(__xludf.DUMMYFUNCTION("""COMPUTED_VALUE"""),33156.0)</f>
        <v>33156</v>
      </c>
      <c r="S570" s="146" t="str">
        <f>IFERROR(__xludf.DUMMYFUNCTION("""COMPUTED_VALUE"""),"099-2479794")</f>
        <v>099-2479794</v>
      </c>
      <c r="T570" s="147" t="str">
        <f>IFERROR(__xludf.DUMMYFUNCTION("""COMPUTED_VALUE"""),"1302000-15-0247")</f>
        <v>1302000-15-0247</v>
      </c>
      <c r="U570" t="str">
        <f>IFERROR(__xludf.DUMMYFUNCTION("""COMPUTED_VALUE"""),"AD1079948")</f>
        <v>AD1079948</v>
      </c>
      <c r="V570" s="148">
        <f>IFERROR(__xludf.DUMMYFUNCTION("""COMPUTED_VALUE"""),45061.0)</f>
        <v>45061</v>
      </c>
      <c r="W570" s="148">
        <f>IFERROR(__xludf.DUMMYFUNCTION("""COMPUTED_VALUE"""),48713.0)</f>
        <v>48713</v>
      </c>
      <c r="X570" s="149">
        <f>IFERROR(__xludf.DUMMYFUNCTION("""COMPUTED_VALUE"""),48532.0)</f>
        <v>48532</v>
      </c>
      <c r="Y570" t="str">
        <f>IFERROR(__xludf.DUMMYFUNCTION("""COMPUTED_VALUE"""),"ปลอดภัย")</f>
        <v>ปลอดภัย</v>
      </c>
      <c r="Z570" t="str">
        <f>IFERROR(__xludf.DUMMYFUNCTION("""COMPUTED_VALUE"""),"Nakhon Ratchasima Province")</f>
        <v>Nakhon Ratchasima Province</v>
      </c>
      <c r="AA570" t="str">
        <f>IFERROR(__xludf.DUMMYFUNCTION("""COMPUTED_VALUE"""),"Nakhonratchsima")</f>
        <v>Nakhonratchsima</v>
      </c>
      <c r="AB570" t="str">
        <f>IFERROR(__xludf.DUMMYFUNCTION("""COMPUTED_VALUE"""),"093-062-7669")</f>
        <v>093-062-7669</v>
      </c>
      <c r="AC570" t="str">
        <f>IFERROR(__xludf.DUMMYFUNCTION("""COMPUTED_VALUE"""),"Wanna(Mother)")</f>
        <v>Wanna(Mother)</v>
      </c>
      <c r="AD570" t="str">
        <f>IFERROR(__xludf.DUMMYFUNCTION("""COMPUTED_VALUE"""),"warangkanam@airasia.com")</f>
        <v>warangkanam@airasia.com</v>
      </c>
    </row>
    <row r="571">
      <c r="A571" s="142">
        <f>IFERROR(__xludf.DUMMYFUNCTION("""COMPUTED_VALUE"""),70.0)</f>
        <v>70</v>
      </c>
      <c r="B571" t="str">
        <f>IFERROR(__xludf.DUMMYFUNCTION("""COMPUTED_VALUE"""),"TAA6172")</f>
        <v>TAA6172</v>
      </c>
      <c r="C571">
        <f>IFERROR(__xludf.DUMMYFUNCTION("""COMPUTED_VALUE"""),1012188.0)</f>
        <v>1012188</v>
      </c>
      <c r="D571" t="str">
        <f>IFERROR(__xludf.DUMMYFUNCTION("""COMPUTED_VALUE"""),"Mr.")</f>
        <v>Mr.</v>
      </c>
      <c r="E571" t="str">
        <f>IFERROR(__xludf.DUMMYFUNCTION("""COMPUTED_VALUE"""),"Warut")</f>
        <v>Warut</v>
      </c>
      <c r="F571" t="str">
        <f>IFERROR(__xludf.DUMMYFUNCTION("""COMPUTED_VALUE"""),"Sritham")</f>
        <v>Sritham</v>
      </c>
      <c r="G571" t="str">
        <f>IFERROR(__xludf.DUMMYFUNCTION("""COMPUTED_VALUE"""),"Warut Sritham")</f>
        <v>Warut Sritham</v>
      </c>
      <c r="H571" t="str">
        <f>IFERROR(__xludf.DUMMYFUNCTION("""COMPUTED_VALUE"""),"นาย")</f>
        <v>นาย</v>
      </c>
      <c r="I571" t="str">
        <f>IFERROR(__xludf.DUMMYFUNCTION("""COMPUTED_VALUE"""),"วรุตม์")</f>
        <v>วรุตม์</v>
      </c>
      <c r="J571" t="str">
        <f>IFERROR(__xludf.DUMMYFUNCTION("""COMPUTED_VALUE"""),"ศรีธรรม")</f>
        <v>ศรีธรรม</v>
      </c>
      <c r="K571" t="str">
        <f>IFERROR(__xludf.DUMMYFUNCTION("""COMPUTED_VALUE"""),"วรุตม์ ศรีธรรม")</f>
        <v>วรุตม์ ศรีธรรม</v>
      </c>
      <c r="L571" t="str">
        <f>IFERROR(__xludf.DUMMYFUNCTION("""COMPUTED_VALUE"""),"ต๊อป Top")</f>
        <v>ต๊อป Top</v>
      </c>
      <c r="M571" t="str">
        <f>IFERROR(__xludf.DUMMYFUNCTION("""COMPUTED_VALUE"""),"Cabin Crew")</f>
        <v>Cabin Crew</v>
      </c>
      <c r="N571" t="str">
        <f>IFERROR(__xludf.DUMMYFUNCTION("""COMPUTED_VALUE"""),"DMK")</f>
        <v>DMK</v>
      </c>
      <c r="O571" s="145" t="str">
        <f>IFERROR(__xludf.DUMMYFUNCTION("""COMPUTED_VALUE"""),"Nhui Home")</f>
        <v>Nhui Home</v>
      </c>
      <c r="P571" t="str">
        <f>IFERROR(__xludf.DUMMYFUNCTION("""COMPUTED_VALUE"""),"Active")</f>
        <v>Active</v>
      </c>
      <c r="Q571" t="str">
        <f>IFERROR(__xludf.DUMMYFUNCTION("""COMPUTED_VALUE"""),"Chinese Speaking")</f>
        <v>Chinese Speaking</v>
      </c>
      <c r="R571" s="143">
        <f>IFERROR(__xludf.DUMMYFUNCTION("""COMPUTED_VALUE"""),33278.0)</f>
        <v>33278</v>
      </c>
      <c r="S571" s="146" t="str">
        <f>IFERROR(__xludf.DUMMYFUNCTION("""COMPUTED_VALUE"""),"081-999-1317")</f>
        <v>081-999-1317</v>
      </c>
      <c r="T571" s="147" t="str">
        <f>IFERROR(__xludf.DUMMYFUNCTION("""COMPUTED_VALUE"""),"1509900-97-7711")</f>
        <v>1509900-97-7711</v>
      </c>
      <c r="U571" t="str">
        <f>IFERROR(__xludf.DUMMYFUNCTION("""COMPUTED_VALUE"""),"AC2261839")</f>
        <v>AC2261839</v>
      </c>
      <c r="V571" s="148">
        <f>IFERROR(__xludf.DUMMYFUNCTION("""COMPUTED_VALUE"""),44319.0)</f>
        <v>44319</v>
      </c>
      <c r="W571" s="148">
        <f>IFERROR(__xludf.DUMMYFUNCTION("""COMPUTED_VALUE"""),47970.0)</f>
        <v>47970</v>
      </c>
      <c r="X571" s="149">
        <f>IFERROR(__xludf.DUMMYFUNCTION("""COMPUTED_VALUE"""),47789.0)</f>
        <v>47789</v>
      </c>
      <c r="Y571" t="str">
        <f>IFERROR(__xludf.DUMMYFUNCTION("""COMPUTED_VALUE"""),"ปลอดภัย")</f>
        <v>ปลอดภัย</v>
      </c>
      <c r="Z571" t="str">
        <f>IFERROR(__xludf.DUMMYFUNCTION("""COMPUTED_VALUE"""),"Chiang Mai Province")</f>
        <v>Chiang Mai Province</v>
      </c>
      <c r="AA571" t="str">
        <f>IFERROR(__xludf.DUMMYFUNCTION("""COMPUTED_VALUE"""),"Samutprakarn")</f>
        <v>Samutprakarn</v>
      </c>
      <c r="AB571" t="str">
        <f>IFERROR(__xludf.DUMMYFUNCTION("""COMPUTED_VALUE"""),"086-969-1100")</f>
        <v>086-969-1100</v>
      </c>
      <c r="AC571" t="str">
        <f>IFERROR(__xludf.DUMMYFUNCTION("""COMPUTED_VALUE"""),"Phasin")</f>
        <v>Phasin</v>
      </c>
      <c r="AD571" t="str">
        <f>IFERROR(__xludf.DUMMYFUNCTION("""COMPUTED_VALUE"""),"waruts@airasia.com")</f>
        <v>waruts@airasia.com</v>
      </c>
    </row>
    <row r="572">
      <c r="AD572" t="str">
        <f>IFERROR(__xludf.DUMMYFUNCTION("""COMPUTED_VALUE"""),"")</f>
        <v/>
      </c>
    </row>
    <row r="573">
      <c r="A573" s="142">
        <f>IFERROR(__xludf.DUMMYFUNCTION("""COMPUTED_VALUE"""),71.0)</f>
        <v>71</v>
      </c>
      <c r="B573" t="str">
        <f>IFERROR(__xludf.DUMMYFUNCTION("""COMPUTED_VALUE"""),"TAA5671")</f>
        <v>TAA5671</v>
      </c>
      <c r="C573">
        <f>IFERROR(__xludf.DUMMYFUNCTION("""COMPUTED_VALUE"""),1011053.0)</f>
        <v>1011053</v>
      </c>
      <c r="D573" t="str">
        <f>IFERROR(__xludf.DUMMYFUNCTION("""COMPUTED_VALUE"""),"Mr.")</f>
        <v>Mr.</v>
      </c>
      <c r="E573" t="str">
        <f>IFERROR(__xludf.DUMMYFUNCTION("""COMPUTED_VALUE"""),"Athit")</f>
        <v>Athit</v>
      </c>
      <c r="F573" t="str">
        <f>IFERROR(__xludf.DUMMYFUNCTION("""COMPUTED_VALUE"""),"Sornsiriwong")</f>
        <v>Sornsiriwong</v>
      </c>
      <c r="G573" t="str">
        <f>IFERROR(__xludf.DUMMYFUNCTION("""COMPUTED_VALUE"""),"Athit Sornsiriwong")</f>
        <v>Athit Sornsiriwong</v>
      </c>
      <c r="H573" t="str">
        <f>IFERROR(__xludf.DUMMYFUNCTION("""COMPUTED_VALUE"""),"นาย")</f>
        <v>นาย</v>
      </c>
      <c r="I573" t="str">
        <f>IFERROR(__xludf.DUMMYFUNCTION("""COMPUTED_VALUE"""),"อธิษฐ์")</f>
        <v>อธิษฐ์</v>
      </c>
      <c r="J573" t="str">
        <f>IFERROR(__xludf.DUMMYFUNCTION("""COMPUTED_VALUE"""),"ศรศิริวงศ์")</f>
        <v>ศรศิริวงศ์</v>
      </c>
      <c r="K573" t="str">
        <f>IFERROR(__xludf.DUMMYFUNCTION("""COMPUTED_VALUE"""),"อธิษฐ์ ศรศิริวงศ์")</f>
        <v>อธิษฐ์ ศรศิริวงศ์</v>
      </c>
      <c r="L573" t="str">
        <f>IFERROR(__xludf.DUMMYFUNCTION("""COMPUTED_VALUE"""),"Tee ตี๋")</f>
        <v>Tee ตี๋</v>
      </c>
      <c r="M573" t="str">
        <f>IFERROR(__xludf.DUMMYFUNCTION("""COMPUTED_VALUE"""),"Senior Cabin Crew")</f>
        <v>Senior Cabin Crew</v>
      </c>
      <c r="N573" t="str">
        <f>IFERROR(__xludf.DUMMYFUNCTION("""COMPUTED_VALUE"""),"DMK")</f>
        <v>DMK</v>
      </c>
      <c r="O573" s="145" t="str">
        <f>IFERROR(__xludf.DUMMYFUNCTION("""COMPUTED_VALUE"""),"Por+ Home")</f>
        <v>Por+ Home</v>
      </c>
      <c r="P573" t="str">
        <f>IFERROR(__xludf.DUMMYFUNCTION("""COMPUTED_VALUE"""),"Active")</f>
        <v>Active</v>
      </c>
      <c r="Q573" t="str">
        <f>IFERROR(__xludf.DUMMYFUNCTION("""COMPUTED_VALUE"""),"Chinese Speaking / Korean Speaking")</f>
        <v>Chinese Speaking / Korean Speaking</v>
      </c>
      <c r="R573" s="143">
        <f>IFERROR(__xludf.DUMMYFUNCTION("""COMPUTED_VALUE"""),32456.0)</f>
        <v>32456</v>
      </c>
      <c r="S573" s="146" t="str">
        <f>IFERROR(__xludf.DUMMYFUNCTION("""COMPUTED_VALUE"""),"088-244-4256")</f>
        <v>088-244-4256</v>
      </c>
      <c r="T573" s="147" t="str">
        <f>IFERROR(__xludf.DUMMYFUNCTION("""COMPUTED_VALUE"""),"1700400-12-4361")</f>
        <v>1700400-12-4361</v>
      </c>
      <c r="U573" t="str">
        <f>IFERROR(__xludf.DUMMYFUNCTION("""COMPUTED_VALUE"""),"AC2359726")</f>
        <v>AC2359726</v>
      </c>
      <c r="V573" s="148">
        <f>IFERROR(__xludf.DUMMYFUNCTION("""COMPUTED_VALUE"""),44271.0)</f>
        <v>44271</v>
      </c>
      <c r="W573" s="148">
        <f>IFERROR(__xludf.DUMMYFUNCTION("""COMPUTED_VALUE"""),47922.0)</f>
        <v>47922</v>
      </c>
      <c r="X573" s="149">
        <f>IFERROR(__xludf.DUMMYFUNCTION("""COMPUTED_VALUE"""),47741.0)</f>
        <v>47741</v>
      </c>
      <c r="Y573" t="str">
        <f>IFERROR(__xludf.DUMMYFUNCTION("""COMPUTED_VALUE"""),"ปลอดภัย")</f>
        <v>ปลอดภัย</v>
      </c>
      <c r="Z573" t="str">
        <f>IFERROR(__xludf.DUMMYFUNCTION("""COMPUTED_VALUE"""),"Ratchaburi Province")</f>
        <v>Ratchaburi Province</v>
      </c>
      <c r="AA573" t="str">
        <f>IFERROR(__xludf.DUMMYFUNCTION("""COMPUTED_VALUE"""),"Ratchaburi")</f>
        <v>Ratchaburi</v>
      </c>
      <c r="AB573" t="str">
        <f>IFERROR(__xludf.DUMMYFUNCTION("""COMPUTED_VALUE"""),"083-556-1556")</f>
        <v>083-556-1556</v>
      </c>
      <c r="AC573" t="str">
        <f>IFERROR(__xludf.DUMMYFUNCTION("""COMPUTED_VALUE"""),"Suvijak")</f>
        <v>Suvijak</v>
      </c>
      <c r="AD573" t="str">
        <f>IFERROR(__xludf.DUMMYFUNCTION("""COMPUTED_VALUE"""),"athits@airasia.com")</f>
        <v>athits@airasia.com</v>
      </c>
    </row>
    <row r="574">
      <c r="A574" s="142">
        <f>IFERROR(__xludf.DUMMYFUNCTION("""COMPUTED_VALUE"""),71.0)</f>
        <v>71</v>
      </c>
      <c r="B574" t="str">
        <f>IFERROR(__xludf.DUMMYFUNCTION("""COMPUTED_VALUE"""),"TAA5581")</f>
        <v>TAA5581</v>
      </c>
      <c r="C574">
        <f>IFERROR(__xludf.DUMMYFUNCTION("""COMPUTED_VALUE"""),1011058.0)</f>
        <v>1011058</v>
      </c>
      <c r="D574" t="str">
        <f>IFERROR(__xludf.DUMMYFUNCTION("""COMPUTED_VALUE"""),"Ms.")</f>
        <v>Ms.</v>
      </c>
      <c r="E574" t="str">
        <f>IFERROR(__xludf.DUMMYFUNCTION("""COMPUTED_VALUE"""),"Hunsa")</f>
        <v>Hunsa</v>
      </c>
      <c r="F574" t="str">
        <f>IFERROR(__xludf.DUMMYFUNCTION("""COMPUTED_VALUE"""),"Dechthanaphaisan")</f>
        <v>Dechthanaphaisan</v>
      </c>
      <c r="G574" t="str">
        <f>IFERROR(__xludf.DUMMYFUNCTION("""COMPUTED_VALUE"""),"Hunsa Dechthanaphaisan")</f>
        <v>Hunsa Dechthanaphaisan</v>
      </c>
      <c r="H574" t="str">
        <f>IFERROR(__xludf.DUMMYFUNCTION("""COMPUTED_VALUE"""),"นางสาว")</f>
        <v>นางสาว</v>
      </c>
      <c r="I574" t="str">
        <f>IFERROR(__xludf.DUMMYFUNCTION("""COMPUTED_VALUE"""),"หรรษา")</f>
        <v>หรรษา</v>
      </c>
      <c r="J574" t="str">
        <f>IFERROR(__xludf.DUMMYFUNCTION("""COMPUTED_VALUE"""),"เดชธนไพศาล")</f>
        <v>เดชธนไพศาล</v>
      </c>
      <c r="K574" t="str">
        <f>IFERROR(__xludf.DUMMYFUNCTION("""COMPUTED_VALUE"""),"หรรษา เดชธนไพศาล")</f>
        <v>หรรษา เดชธนไพศาล</v>
      </c>
      <c r="L574" t="str">
        <f>IFERROR(__xludf.DUMMYFUNCTION("""COMPUTED_VALUE"""),"Gib กิ๊บ")</f>
        <v>Gib กิ๊บ</v>
      </c>
      <c r="M574" t="str">
        <f>IFERROR(__xludf.DUMMYFUNCTION("""COMPUTED_VALUE"""),"Cabin Crew")</f>
        <v>Cabin Crew</v>
      </c>
      <c r="N574" t="str">
        <f>IFERROR(__xludf.DUMMYFUNCTION("""COMPUTED_VALUE"""),"DMK")</f>
        <v>DMK</v>
      </c>
      <c r="O574" s="145" t="str">
        <f>IFERROR(__xludf.DUMMYFUNCTION("""COMPUTED_VALUE"""),"Kor Home")</f>
        <v>Kor Home</v>
      </c>
      <c r="P574" t="str">
        <f>IFERROR(__xludf.DUMMYFUNCTION("""COMPUTED_VALUE"""),"Active")</f>
        <v>Active</v>
      </c>
      <c r="R574" s="143">
        <f>IFERROR(__xludf.DUMMYFUNCTION("""COMPUTED_VALUE"""),32256.0)</f>
        <v>32256</v>
      </c>
      <c r="S574" s="146" t="str">
        <f>IFERROR(__xludf.DUMMYFUNCTION("""COMPUTED_VALUE"""),"083-050-5496")</f>
        <v>083-050-5496</v>
      </c>
      <c r="T574" s="147" t="str">
        <f>IFERROR(__xludf.DUMMYFUNCTION("""COMPUTED_VALUE"""),"1100400-32-5001")</f>
        <v>1100400-32-5001</v>
      </c>
      <c r="U574" t="str">
        <f>IFERROR(__xludf.DUMMYFUNCTION("""COMPUTED_VALUE"""),"AD1026011")</f>
        <v>AD1026011</v>
      </c>
      <c r="V574" s="148">
        <f>IFERROR(__xludf.DUMMYFUNCTION("""COMPUTED_VALUE"""),45047.0)</f>
        <v>45047</v>
      </c>
      <c r="W574" s="148">
        <f>IFERROR(__xludf.DUMMYFUNCTION("""COMPUTED_VALUE"""),48699.0)</f>
        <v>48699</v>
      </c>
      <c r="X574" s="149">
        <f>IFERROR(__xludf.DUMMYFUNCTION("""COMPUTED_VALUE"""),48517.0)</f>
        <v>48517</v>
      </c>
      <c r="Y574" t="str">
        <f>IFERROR(__xludf.DUMMYFUNCTION("""COMPUTED_VALUE"""),"ปลอดภัย")</f>
        <v>ปลอดภัย</v>
      </c>
      <c r="Z574" t="str">
        <f>IFERROR(__xludf.DUMMYFUNCTION("""COMPUTED_VALUE"""),"Bangkok")</f>
        <v>Bangkok</v>
      </c>
      <c r="AA574" t="str">
        <f>IFERROR(__xludf.DUMMYFUNCTION("""COMPUTED_VALUE"""),"Bangjak")</f>
        <v>Bangjak</v>
      </c>
      <c r="AB574" t="str">
        <f>IFERROR(__xludf.DUMMYFUNCTION("""COMPUTED_VALUE"""),"087-673-3354")</f>
        <v>087-673-3354</v>
      </c>
      <c r="AC574" t="str">
        <f>IFERROR(__xludf.DUMMYFUNCTION("""COMPUTED_VALUE"""),"Nawat")</f>
        <v>Nawat</v>
      </c>
      <c r="AD574" t="str">
        <f>IFERROR(__xludf.DUMMYFUNCTION("""COMPUTED_VALUE"""),"hunsad@airasia.com")</f>
        <v>hunsad@airasia.com</v>
      </c>
    </row>
    <row r="575">
      <c r="A575" s="142">
        <f>IFERROR(__xludf.DUMMYFUNCTION("""COMPUTED_VALUE"""),71.0)</f>
        <v>71</v>
      </c>
      <c r="B575" t="str">
        <f>IFERROR(__xludf.DUMMYFUNCTION("""COMPUTED_VALUE"""),"TAA5668")</f>
        <v>TAA5668</v>
      </c>
      <c r="C575">
        <f>IFERROR(__xludf.DUMMYFUNCTION("""COMPUTED_VALUE"""),1011059.0)</f>
        <v>1011059</v>
      </c>
      <c r="D575" t="str">
        <f>IFERROR(__xludf.DUMMYFUNCTION("""COMPUTED_VALUE"""),"Ms.")</f>
        <v>Ms.</v>
      </c>
      <c r="E575" t="str">
        <f>IFERROR(__xludf.DUMMYFUNCTION("""COMPUTED_VALUE"""),"Janejira")</f>
        <v>Janejira</v>
      </c>
      <c r="F575" t="str">
        <f>IFERROR(__xludf.DUMMYFUNCTION("""COMPUTED_VALUE"""),"Kavetreerawat")</f>
        <v>Kavetreerawat</v>
      </c>
      <c r="G575" t="str">
        <f>IFERROR(__xludf.DUMMYFUNCTION("""COMPUTED_VALUE"""),"Janejira Kavetreerawat")</f>
        <v>Janejira Kavetreerawat</v>
      </c>
      <c r="H575" t="str">
        <f>IFERROR(__xludf.DUMMYFUNCTION("""COMPUTED_VALUE"""),"นางสาว")</f>
        <v>นางสาว</v>
      </c>
      <c r="I575" t="str">
        <f>IFERROR(__xludf.DUMMYFUNCTION("""COMPUTED_VALUE"""),"เจนจิรา")</f>
        <v>เจนจิรา</v>
      </c>
      <c r="J575" t="str">
        <f>IFERROR(__xludf.DUMMYFUNCTION("""COMPUTED_VALUE"""),"กวีธีระวัฒน์")</f>
        <v>กวีธีระวัฒน์</v>
      </c>
      <c r="K575" t="str">
        <f>IFERROR(__xludf.DUMMYFUNCTION("""COMPUTED_VALUE"""),"เจนจิรา กวีธีระวัฒน์")</f>
        <v>เจนจิรา กวีธีระวัฒน์</v>
      </c>
      <c r="L575" t="str">
        <f>IFERROR(__xludf.DUMMYFUNCTION("""COMPUTED_VALUE"""),"Jane")</f>
        <v>Jane</v>
      </c>
      <c r="M575" t="str">
        <f>IFERROR(__xludf.DUMMYFUNCTION("""COMPUTED_VALUE"""),"Cabin Crew")</f>
        <v>Cabin Crew</v>
      </c>
      <c r="N575" t="str">
        <f>IFERROR(__xludf.DUMMYFUNCTION("""COMPUTED_VALUE"""),"DMK")</f>
        <v>DMK</v>
      </c>
      <c r="O575" s="145" t="str">
        <f>IFERROR(__xludf.DUMMYFUNCTION("""COMPUTED_VALUE"""),"Up Home")</f>
        <v>Up Home</v>
      </c>
      <c r="P575" t="str">
        <f>IFERROR(__xludf.DUMMYFUNCTION("""COMPUTED_VALUE"""),"V/LWP")</f>
        <v>V/LWP</v>
      </c>
      <c r="R575" s="143">
        <f>IFERROR(__xludf.DUMMYFUNCTION("""COMPUTED_VALUE"""),32914.0)</f>
        <v>32914</v>
      </c>
      <c r="S575" s="146" t="str">
        <f>IFERROR(__xludf.DUMMYFUNCTION("""COMPUTED_VALUE"""),"086-348-0841")</f>
        <v>086-348-0841</v>
      </c>
      <c r="T575" s="147" t="str">
        <f>IFERROR(__xludf.DUMMYFUNCTION("""COMPUTED_VALUE"""),"1100800-59-7599")</f>
        <v>1100800-59-7599</v>
      </c>
      <c r="U575" t="str">
        <f>IFERROR(__xludf.DUMMYFUNCTION("""COMPUTED_VALUE"""),"AC5832112")</f>
        <v>AC5832112</v>
      </c>
      <c r="V575" s="148">
        <f>IFERROR(__xludf.DUMMYFUNCTION("""COMPUTED_VALUE"""),45194.0)</f>
        <v>45194</v>
      </c>
      <c r="W575" s="148">
        <f>IFERROR(__xludf.DUMMYFUNCTION("""COMPUTED_VALUE"""),48846.0)</f>
        <v>48846</v>
      </c>
      <c r="X575" s="149">
        <f>IFERROR(__xludf.DUMMYFUNCTION("""COMPUTED_VALUE"""),48662.0)</f>
        <v>48662</v>
      </c>
      <c r="Y575" t="str">
        <f>IFERROR(__xludf.DUMMYFUNCTION("""COMPUTED_VALUE"""),"ปลอดภัย")</f>
        <v>ปลอดภัย</v>
      </c>
      <c r="Z575" t="str">
        <f>IFERROR(__xludf.DUMMYFUNCTION("""COMPUTED_VALUE"""),"Bangkok")</f>
        <v>Bangkok</v>
      </c>
      <c r="AA575" t="str">
        <f>IFERROR(__xludf.DUMMYFUNCTION("""COMPUTED_VALUE"""),"Buengkum")</f>
        <v>Buengkum</v>
      </c>
      <c r="AB575" t="str">
        <f>IFERROR(__xludf.DUMMYFUNCTION("""COMPUTED_VALUE"""),"097-045-2204")</f>
        <v>097-045-2204</v>
      </c>
      <c r="AC575" t="str">
        <f>IFERROR(__xludf.DUMMYFUNCTION("""COMPUTED_VALUE"""),"Watcharee")</f>
        <v>Watcharee</v>
      </c>
      <c r="AD575" t="str">
        <f>IFERROR(__xludf.DUMMYFUNCTION("""COMPUTED_VALUE"""),"janejirak@airasia.com")</f>
        <v>janejirak@airasia.com</v>
      </c>
    </row>
    <row r="576">
      <c r="A576" s="142">
        <f>IFERROR(__xludf.DUMMYFUNCTION("""COMPUTED_VALUE"""),71.0)</f>
        <v>71</v>
      </c>
      <c r="B576" t="str">
        <f>IFERROR(__xludf.DUMMYFUNCTION("""COMPUTED_VALUE"""),"TAA5664")</f>
        <v>TAA5664</v>
      </c>
      <c r="C576">
        <f>IFERROR(__xludf.DUMMYFUNCTION("""COMPUTED_VALUE"""),1011060.0)</f>
        <v>1011060</v>
      </c>
      <c r="D576" t="str">
        <f>IFERROR(__xludf.DUMMYFUNCTION("""COMPUTED_VALUE"""),"Ms.")</f>
        <v>Ms.</v>
      </c>
      <c r="E576" t="str">
        <f>IFERROR(__xludf.DUMMYFUNCTION("""COMPUTED_VALUE"""),"Jariya")</f>
        <v>Jariya</v>
      </c>
      <c r="F576" t="str">
        <f>IFERROR(__xludf.DUMMYFUNCTION("""COMPUTED_VALUE"""),"Paopan")</f>
        <v>Paopan</v>
      </c>
      <c r="G576" t="str">
        <f>IFERROR(__xludf.DUMMYFUNCTION("""COMPUTED_VALUE"""),"Jariya Paopan")</f>
        <v>Jariya Paopan</v>
      </c>
      <c r="H576" t="str">
        <f>IFERROR(__xludf.DUMMYFUNCTION("""COMPUTED_VALUE"""),"นางสาว")</f>
        <v>นางสาว</v>
      </c>
      <c r="I576" t="str">
        <f>IFERROR(__xludf.DUMMYFUNCTION("""COMPUTED_VALUE"""),"จริยา")</f>
        <v>จริยา</v>
      </c>
      <c r="J576" t="str">
        <f>IFERROR(__xludf.DUMMYFUNCTION("""COMPUTED_VALUE"""),"เผ่าพันธ์")</f>
        <v>เผ่าพันธ์</v>
      </c>
      <c r="K576" t="str">
        <f>IFERROR(__xludf.DUMMYFUNCTION("""COMPUTED_VALUE"""),"จริยา เผ่าพันธ์")</f>
        <v>จริยา เผ่าพันธ์</v>
      </c>
      <c r="L576" t="str">
        <f>IFERROR(__xludf.DUMMYFUNCTION("""COMPUTED_VALUE"""),"Plair แพร")</f>
        <v>Plair แพร</v>
      </c>
      <c r="M576" t="str">
        <f>IFERROR(__xludf.DUMMYFUNCTION("""COMPUTED_VALUE"""),"Cabin Crew")</f>
        <v>Cabin Crew</v>
      </c>
      <c r="N576" t="str">
        <f>IFERROR(__xludf.DUMMYFUNCTION("""COMPUTED_VALUE"""),"DMK")</f>
        <v>DMK</v>
      </c>
      <c r="O576" s="145" t="str">
        <f>IFERROR(__xludf.DUMMYFUNCTION("""COMPUTED_VALUE"""),"Kor Home")</f>
        <v>Kor Home</v>
      </c>
      <c r="P576" t="str">
        <f>IFERROR(__xludf.DUMMYFUNCTION("""COMPUTED_VALUE"""),"Active")</f>
        <v>Active</v>
      </c>
      <c r="R576" s="143">
        <f>IFERROR(__xludf.DUMMYFUNCTION("""COMPUTED_VALUE"""),32923.0)</f>
        <v>32923</v>
      </c>
      <c r="S576" s="146" t="str">
        <f>IFERROR(__xludf.DUMMYFUNCTION("""COMPUTED_VALUE"""),"087 989 8795")</f>
        <v>087 989 8795</v>
      </c>
      <c r="T576" s="147" t="str">
        <f>IFERROR(__xludf.DUMMYFUNCTION("""COMPUTED_VALUE"""),"1101401-69-0472")</f>
        <v>1101401-69-0472</v>
      </c>
      <c r="U576" t="str">
        <f>IFERROR(__xludf.DUMMYFUNCTION("""COMPUTED_VALUE"""),"AD0125902")</f>
        <v>AD0125902</v>
      </c>
      <c r="V576" s="148">
        <f>IFERROR(__xludf.DUMMYFUNCTION("""COMPUTED_VALUE"""),44837.0)</f>
        <v>44837</v>
      </c>
      <c r="W576" s="148">
        <f>IFERROR(__xludf.DUMMYFUNCTION("""COMPUTED_VALUE"""),48489.0)</f>
        <v>48489</v>
      </c>
      <c r="X576" s="149">
        <f>IFERROR(__xludf.DUMMYFUNCTION("""COMPUTED_VALUE"""),48306.0)</f>
        <v>48306</v>
      </c>
      <c r="Y576" t="str">
        <f>IFERROR(__xludf.DUMMYFUNCTION("""COMPUTED_VALUE"""),"ปลอดภัย")</f>
        <v>ปลอดภัย</v>
      </c>
      <c r="Z576" t="str">
        <f>IFERROR(__xludf.DUMMYFUNCTION("""COMPUTED_VALUE"""),"Bangkok")</f>
        <v>Bangkok</v>
      </c>
      <c r="AA576" t="str">
        <f>IFERROR(__xludf.DUMMYFUNCTION("""COMPUTED_VALUE"""),"Jatujak")</f>
        <v>Jatujak</v>
      </c>
      <c r="AB576" t="str">
        <f>IFERROR(__xludf.DUMMYFUNCTION("""COMPUTED_VALUE"""),"089-218-4441")</f>
        <v>089-218-4441</v>
      </c>
      <c r="AC576" t="str">
        <f>IFERROR(__xludf.DUMMYFUNCTION("""COMPUTED_VALUE"""),"Arpa")</f>
        <v>Arpa</v>
      </c>
      <c r="AD576" t="str">
        <f>IFERROR(__xludf.DUMMYFUNCTION("""COMPUTED_VALUE"""),"jariyaa@airasia.com")</f>
        <v>jariyaa@airasia.com</v>
      </c>
    </row>
    <row r="577">
      <c r="A577" s="142">
        <f>IFERROR(__xludf.DUMMYFUNCTION("""COMPUTED_VALUE"""),71.0)</f>
        <v>71</v>
      </c>
      <c r="B577" t="str">
        <f>IFERROR(__xludf.DUMMYFUNCTION("""COMPUTED_VALUE"""),"TAA5661")</f>
        <v>TAA5661</v>
      </c>
      <c r="C577">
        <f>IFERROR(__xludf.DUMMYFUNCTION("""COMPUTED_VALUE"""),1011061.0)</f>
        <v>1011061</v>
      </c>
      <c r="D577" t="str">
        <f>IFERROR(__xludf.DUMMYFUNCTION("""COMPUTED_VALUE"""),"Ms.")</f>
        <v>Ms.</v>
      </c>
      <c r="E577" t="str">
        <f>IFERROR(__xludf.DUMMYFUNCTION("""COMPUTED_VALUE"""),"Jatuporn")</f>
        <v>Jatuporn</v>
      </c>
      <c r="F577" t="str">
        <f>IFERROR(__xludf.DUMMYFUNCTION("""COMPUTED_VALUE"""),"Samanchunt")</f>
        <v>Samanchunt</v>
      </c>
      <c r="G577" t="str">
        <f>IFERROR(__xludf.DUMMYFUNCTION("""COMPUTED_VALUE"""),"Jatuporn Samanchunt")</f>
        <v>Jatuporn Samanchunt</v>
      </c>
      <c r="H577" t="str">
        <f>IFERROR(__xludf.DUMMYFUNCTION("""COMPUTED_VALUE"""),"นางสาว")</f>
        <v>นางสาว</v>
      </c>
      <c r="I577" t="str">
        <f>IFERROR(__xludf.DUMMYFUNCTION("""COMPUTED_VALUE"""),"จตุภรณ์")</f>
        <v>จตุภรณ์</v>
      </c>
      <c r="J577" t="str">
        <f>IFERROR(__xludf.DUMMYFUNCTION("""COMPUTED_VALUE"""),"สมานฉันท์")</f>
        <v>สมานฉันท์</v>
      </c>
      <c r="K577" t="str">
        <f>IFERROR(__xludf.DUMMYFUNCTION("""COMPUTED_VALUE"""),"จตุภรณ์ สมานฉันท์")</f>
        <v>จตุภรณ์ สมานฉันท์</v>
      </c>
      <c r="L577" t="str">
        <f>IFERROR(__xludf.DUMMYFUNCTION("""COMPUTED_VALUE"""),"โปรด")</f>
        <v>โปรด</v>
      </c>
      <c r="M577" t="str">
        <f>IFERROR(__xludf.DUMMYFUNCTION("""COMPUTED_VALUE"""),"Cabin Crew")</f>
        <v>Cabin Crew</v>
      </c>
      <c r="N577" t="str">
        <f>IFERROR(__xludf.DUMMYFUNCTION("""COMPUTED_VALUE"""),"DMK")</f>
        <v>DMK</v>
      </c>
      <c r="O577" s="145" t="str">
        <f>IFERROR(__xludf.DUMMYFUNCTION("""COMPUTED_VALUE"""),"Por+ Home")</f>
        <v>Por+ Home</v>
      </c>
      <c r="P577" t="str">
        <f>IFERROR(__xludf.DUMMYFUNCTION("""COMPUTED_VALUE"""),"Active")</f>
        <v>Active</v>
      </c>
      <c r="R577" s="143">
        <f>IFERROR(__xludf.DUMMYFUNCTION("""COMPUTED_VALUE"""),32441.0)</f>
        <v>32441</v>
      </c>
      <c r="S577" s="146" t="str">
        <f>IFERROR(__xludf.DUMMYFUNCTION("""COMPUTED_VALUE"""),"094-6654932")</f>
        <v>094-6654932</v>
      </c>
      <c r="T577" s="147" t="str">
        <f>IFERROR(__xludf.DUMMYFUNCTION("""COMPUTED_VALUE"""),"1100700-90-4261")</f>
        <v>1100700-90-4261</v>
      </c>
      <c r="U577" t="str">
        <f>IFERROR(__xludf.DUMMYFUNCTION("""COMPUTED_VALUE"""),"AD1203890")</f>
        <v>AD1203890</v>
      </c>
      <c r="V577" s="148">
        <f>IFERROR(__xludf.DUMMYFUNCTION("""COMPUTED_VALUE"""),45322.0)</f>
        <v>45322</v>
      </c>
      <c r="W577" s="148">
        <f>IFERROR(__xludf.DUMMYFUNCTION("""COMPUTED_VALUE"""),48974.0)</f>
        <v>48974</v>
      </c>
      <c r="X577" s="149">
        <f>IFERROR(__xludf.DUMMYFUNCTION("""COMPUTED_VALUE"""),48790.0)</f>
        <v>48790</v>
      </c>
      <c r="Y577" t="str">
        <f>IFERROR(__xludf.DUMMYFUNCTION("""COMPUTED_VALUE"""),"ปลอดภัย")</f>
        <v>ปลอดภัย</v>
      </c>
      <c r="Z577" t="str">
        <f>IFERROR(__xludf.DUMMYFUNCTION("""COMPUTED_VALUE"""),"Bangkok")</f>
        <v>Bangkok</v>
      </c>
      <c r="AA577" t="str">
        <f>IFERROR(__xludf.DUMMYFUNCTION("""COMPUTED_VALUE"""),"Bang Plee")</f>
        <v>Bang Plee</v>
      </c>
      <c r="AB577" t="str">
        <f>IFERROR(__xludf.DUMMYFUNCTION("""COMPUTED_VALUE"""),"02 328 7516 / 086 324 6548")</f>
        <v>02 328 7516 / 086 324 6548</v>
      </c>
      <c r="AC577" t="str">
        <f>IFERROR(__xludf.DUMMYFUNCTION("""COMPUTED_VALUE"""),"Home / Mother")</f>
        <v>Home / Mother</v>
      </c>
      <c r="AD577" t="str">
        <f>IFERROR(__xludf.DUMMYFUNCTION("""COMPUTED_VALUE"""),"jatuporns@airasia.com")</f>
        <v>jatuporns@airasia.com</v>
      </c>
    </row>
    <row r="578">
      <c r="A578" s="142">
        <f>IFERROR(__xludf.DUMMYFUNCTION("""COMPUTED_VALUE"""),71.0)</f>
        <v>71</v>
      </c>
      <c r="B578" t="str">
        <f>IFERROR(__xludf.DUMMYFUNCTION("""COMPUTED_VALUE"""),"TAA5663")</f>
        <v>TAA5663</v>
      </c>
      <c r="C578">
        <f>IFERROR(__xludf.DUMMYFUNCTION("""COMPUTED_VALUE"""),1011062.0)</f>
        <v>1011062</v>
      </c>
      <c r="D578" t="str">
        <f>IFERROR(__xludf.DUMMYFUNCTION("""COMPUTED_VALUE"""),"Mr.")</f>
        <v>Mr.</v>
      </c>
      <c r="E578" t="str">
        <f>IFERROR(__xludf.DUMMYFUNCTION("""COMPUTED_VALUE"""),"Jutapong")</f>
        <v>Jutapong</v>
      </c>
      <c r="F578" t="str">
        <f>IFERROR(__xludf.DUMMYFUNCTION("""COMPUTED_VALUE"""),"Un-On")</f>
        <v>Un-On</v>
      </c>
      <c r="G578" t="str">
        <f>IFERROR(__xludf.DUMMYFUNCTION("""COMPUTED_VALUE"""),"Jutapong Un-On")</f>
        <v>Jutapong Un-On</v>
      </c>
      <c r="H578" t="str">
        <f>IFERROR(__xludf.DUMMYFUNCTION("""COMPUTED_VALUE"""),"นาย")</f>
        <v>นาย</v>
      </c>
      <c r="I578" t="str">
        <f>IFERROR(__xludf.DUMMYFUNCTION("""COMPUTED_VALUE"""),"จุฑาพงศ์")</f>
        <v>จุฑาพงศ์</v>
      </c>
      <c r="J578" t="str">
        <f>IFERROR(__xludf.DUMMYFUNCTION("""COMPUTED_VALUE"""),"อุ่นอ่อน")</f>
        <v>อุ่นอ่อน</v>
      </c>
      <c r="K578" t="str">
        <f>IFERROR(__xludf.DUMMYFUNCTION("""COMPUTED_VALUE"""),"จุฑาพงศ์ อุ่นอ่อน")</f>
        <v>จุฑาพงศ์ อุ่นอ่อน</v>
      </c>
      <c r="L578" t="str">
        <f>IFERROR(__xludf.DUMMYFUNCTION("""COMPUTED_VALUE"""),"Nat")</f>
        <v>Nat</v>
      </c>
      <c r="M578" t="str">
        <f>IFERROR(__xludf.DUMMYFUNCTION("""COMPUTED_VALUE"""),"Cabin Crew")</f>
        <v>Cabin Crew</v>
      </c>
      <c r="N578" t="str">
        <f>IFERROR(__xludf.DUMMYFUNCTION("""COMPUTED_VALUE"""),"DMK")</f>
        <v>DMK</v>
      </c>
      <c r="O578" s="145" t="str">
        <f>IFERROR(__xludf.DUMMYFUNCTION("""COMPUTED_VALUE"""),"Namfon Home")</f>
        <v>Namfon Home</v>
      </c>
      <c r="P578" t="str">
        <f>IFERROR(__xludf.DUMMYFUNCTION("""COMPUTED_VALUE"""),"Active")</f>
        <v>Active</v>
      </c>
      <c r="R578" s="143">
        <f>IFERROR(__xludf.DUMMYFUNCTION("""COMPUTED_VALUE"""),33025.0)</f>
        <v>33025</v>
      </c>
      <c r="S578" s="146">
        <f>IFERROR(__xludf.DUMMYFUNCTION("""COMPUTED_VALUE"""),6.55145669E8)</f>
        <v>655145669</v>
      </c>
      <c r="T578" s="147" t="str">
        <f>IFERROR(__xludf.DUMMYFUNCTION("""COMPUTED_VALUE"""),"1102001-34-0653")</f>
        <v>1102001-34-0653</v>
      </c>
      <c r="U578" t="str">
        <f>IFERROR(__xludf.DUMMYFUNCTION("""COMPUTED_VALUE"""),"AC4092867")</f>
        <v>AC4092867</v>
      </c>
      <c r="V578" s="148">
        <f>IFERROR(__xludf.DUMMYFUNCTION("""COMPUTED_VALUE"""),44839.0)</f>
        <v>44839</v>
      </c>
      <c r="W578" s="148">
        <f>IFERROR(__xludf.DUMMYFUNCTION("""COMPUTED_VALUE"""),48491.0)</f>
        <v>48491</v>
      </c>
      <c r="X578" s="149">
        <f>IFERROR(__xludf.DUMMYFUNCTION("""COMPUTED_VALUE"""),48308.0)</f>
        <v>48308</v>
      </c>
      <c r="Y578" t="str">
        <f>IFERROR(__xludf.DUMMYFUNCTION("""COMPUTED_VALUE"""),"ปลอดภัย")</f>
        <v>ปลอดภัย</v>
      </c>
      <c r="Z578" t="str">
        <f>IFERROR(__xludf.DUMMYFUNCTION("""COMPUTED_VALUE"""),"Bangkok")</f>
        <v>Bangkok</v>
      </c>
      <c r="AA578" t="str">
        <f>IFERROR(__xludf.DUMMYFUNCTION("""COMPUTED_VALUE"""),"Bangkhae")</f>
        <v>Bangkhae</v>
      </c>
      <c r="AB578" t="str">
        <f>IFERROR(__xludf.DUMMYFUNCTION("""COMPUTED_VALUE"""),"02 454 0858 / 081 938 7948")</f>
        <v>02 454 0858 / 081 938 7948</v>
      </c>
      <c r="AC578" t="str">
        <f>IFERROR(__xludf.DUMMYFUNCTION("""COMPUTED_VALUE"""),"Home / Sivakorn")</f>
        <v>Home / Sivakorn</v>
      </c>
      <c r="AD578" t="str">
        <f>IFERROR(__xludf.DUMMYFUNCTION("""COMPUTED_VALUE"""),"jutapongu@airasia.com")</f>
        <v>jutapongu@airasia.com</v>
      </c>
    </row>
    <row r="579">
      <c r="A579" s="142">
        <f>IFERROR(__xludf.DUMMYFUNCTION("""COMPUTED_VALUE"""),71.0)</f>
        <v>71</v>
      </c>
      <c r="B579" t="str">
        <f>IFERROR(__xludf.DUMMYFUNCTION("""COMPUTED_VALUE"""),"TAA5666")</f>
        <v>TAA5666</v>
      </c>
      <c r="C579">
        <f>IFERROR(__xludf.DUMMYFUNCTION("""COMPUTED_VALUE"""),1011065.0)</f>
        <v>1011065</v>
      </c>
      <c r="D579" t="str">
        <f>IFERROR(__xludf.DUMMYFUNCTION("""COMPUTED_VALUE"""),"Mr.")</f>
        <v>Mr.</v>
      </c>
      <c r="E579" t="str">
        <f>IFERROR(__xludf.DUMMYFUNCTION("""COMPUTED_VALUE"""),"krittapak")</f>
        <v>krittapak</v>
      </c>
      <c r="F579" t="str">
        <f>IFERROR(__xludf.DUMMYFUNCTION("""COMPUTED_VALUE"""),"Chuchuaisuwan")</f>
        <v>Chuchuaisuwan</v>
      </c>
      <c r="G579" t="str">
        <f>IFERROR(__xludf.DUMMYFUNCTION("""COMPUTED_VALUE"""),"Krittapak Chuchuaisuwan")</f>
        <v>Krittapak Chuchuaisuwan</v>
      </c>
      <c r="H579" t="str">
        <f>IFERROR(__xludf.DUMMYFUNCTION("""COMPUTED_VALUE"""),"นาย")</f>
        <v>นาย</v>
      </c>
      <c r="I579" t="str">
        <f>IFERROR(__xludf.DUMMYFUNCTION("""COMPUTED_VALUE"""),"กฤตาภัค")</f>
        <v>กฤตาภัค</v>
      </c>
      <c r="J579" t="str">
        <f>IFERROR(__xludf.DUMMYFUNCTION("""COMPUTED_VALUE"""),"ชูช่วยสุวรรณ")</f>
        <v>ชูช่วยสุวรรณ</v>
      </c>
      <c r="K579" t="str">
        <f>IFERROR(__xludf.DUMMYFUNCTION("""COMPUTED_VALUE"""),"กฤตาภัค ชูช่วยสุวรรณ")</f>
        <v>กฤตาภัค ชูช่วยสุวรรณ</v>
      </c>
      <c r="L579" t="str">
        <f>IFERROR(__xludf.DUMMYFUNCTION("""COMPUTED_VALUE"""),"Tone โตน")</f>
        <v>Tone โตน</v>
      </c>
      <c r="M579" t="str">
        <f>IFERROR(__xludf.DUMMYFUNCTION("""COMPUTED_VALUE"""),"Cabin Crew")</f>
        <v>Cabin Crew</v>
      </c>
      <c r="N579" t="str">
        <f>IFERROR(__xludf.DUMMYFUNCTION("""COMPUTED_VALUE"""),"DMK")</f>
        <v>DMK</v>
      </c>
      <c r="O579" s="145" t="str">
        <f>IFERROR(__xludf.DUMMYFUNCTION("""COMPUTED_VALUE"""),"Kor Home")</f>
        <v>Kor Home</v>
      </c>
      <c r="P579" t="str">
        <f>IFERROR(__xludf.DUMMYFUNCTION("""COMPUTED_VALUE"""),"Active")</f>
        <v>Active</v>
      </c>
      <c r="R579" s="143">
        <f>IFERROR(__xludf.DUMMYFUNCTION("""COMPUTED_VALUE"""),30211.0)</f>
        <v>30211</v>
      </c>
      <c r="S579" s="146" t="str">
        <f>IFERROR(__xludf.DUMMYFUNCTION("""COMPUTED_VALUE"""),"098-797-4282")</f>
        <v>098-797-4282</v>
      </c>
      <c r="T579" s="147" t="str">
        <f>IFERROR(__xludf.DUMMYFUNCTION("""COMPUTED_VALUE"""),"3841200-32-3707")</f>
        <v>3841200-32-3707</v>
      </c>
      <c r="U579" t="str">
        <f>IFERROR(__xludf.DUMMYFUNCTION("""COMPUTED_VALUE"""),"AD1755122")</f>
        <v>AD1755122</v>
      </c>
      <c r="V579" s="148">
        <f>IFERROR(__xludf.DUMMYFUNCTION("""COMPUTED_VALUE"""),45443.0)</f>
        <v>45443</v>
      </c>
      <c r="W579" s="148">
        <f>IFERROR(__xludf.DUMMYFUNCTION("""COMPUTED_VALUE"""),49094.0)</f>
        <v>49094</v>
      </c>
      <c r="X579" s="149">
        <f>IFERROR(__xludf.DUMMYFUNCTION("""COMPUTED_VALUE"""),48913.0)</f>
        <v>48913</v>
      </c>
      <c r="Y579" t="str">
        <f>IFERROR(__xludf.DUMMYFUNCTION("""COMPUTED_VALUE"""),"ปลอดภัย")</f>
        <v>ปลอดภัย</v>
      </c>
      <c r="Z579" t="str">
        <f>IFERROR(__xludf.DUMMYFUNCTION("""COMPUTED_VALUE"""),"Surat Thani Province")</f>
        <v>Surat Thani Province</v>
      </c>
      <c r="AA579" t="str">
        <f>IFERROR(__xludf.DUMMYFUNCTION("""COMPUTED_VALUE"""),"Jatujak")</f>
        <v>Jatujak</v>
      </c>
      <c r="AB579" t="str">
        <f>IFERROR(__xludf.DUMMYFUNCTION("""COMPUTED_VALUE"""),"089-210-0038")</f>
        <v>089-210-0038</v>
      </c>
      <c r="AC579" t="str">
        <f>IFERROR(__xludf.DUMMYFUNCTION("""COMPUTED_VALUE"""),"Pannatthat")</f>
        <v>Pannatthat</v>
      </c>
      <c r="AD579" t="str">
        <f>IFERROR(__xludf.DUMMYFUNCTION("""COMPUTED_VALUE"""),"krittapakc@airasia.com")</f>
        <v>krittapakc@airasia.com</v>
      </c>
    </row>
    <row r="580">
      <c r="A580" s="142">
        <f>IFERROR(__xludf.DUMMYFUNCTION("""COMPUTED_VALUE"""),71.0)</f>
        <v>71</v>
      </c>
      <c r="B580" t="str">
        <f>IFERROR(__xludf.DUMMYFUNCTION("""COMPUTED_VALUE"""),"TAA5674")</f>
        <v>TAA5674</v>
      </c>
      <c r="C580">
        <f>IFERROR(__xludf.DUMMYFUNCTION("""COMPUTED_VALUE"""),1011071.0)</f>
        <v>1011071</v>
      </c>
      <c r="D580" t="str">
        <f>IFERROR(__xludf.DUMMYFUNCTION("""COMPUTED_VALUE"""),"Ms.")</f>
        <v>Ms.</v>
      </c>
      <c r="E580" t="str">
        <f>IFERROR(__xludf.DUMMYFUNCTION("""COMPUTED_VALUE"""),"Puttinee")</f>
        <v>Puttinee</v>
      </c>
      <c r="F580" t="str">
        <f>IFERROR(__xludf.DUMMYFUNCTION("""COMPUTED_VALUE"""),"Satjapanpong (Kichpechr)")</f>
        <v>Satjapanpong (Kichpechr)</v>
      </c>
      <c r="G580" t="str">
        <f>IFERROR(__xludf.DUMMYFUNCTION("""COMPUTED_VALUE"""),"Puttinee Satjapanpong ")</f>
        <v>Puttinee Satjapanpong </v>
      </c>
      <c r="H580" t="str">
        <f>IFERROR(__xludf.DUMMYFUNCTION("""COMPUTED_VALUE"""),"นางสาว")</f>
        <v>นางสาว</v>
      </c>
      <c r="I580" t="str">
        <f>IFERROR(__xludf.DUMMYFUNCTION("""COMPUTED_VALUE"""),"พุทธินี")</f>
        <v>พุทธินี</v>
      </c>
      <c r="J580" t="str">
        <f>IFERROR(__xludf.DUMMYFUNCTION("""COMPUTED_VALUE"""),"สัจจพันธ์พงษ์ (กฤชเพ็ชร)")</f>
        <v>สัจจพันธ์พงษ์ (กฤชเพ็ชร)</v>
      </c>
      <c r="K580" t="str">
        <f>IFERROR(__xludf.DUMMYFUNCTION("""COMPUTED_VALUE"""),"พุทธินี สัจจพันธ์พงษ์ ")</f>
        <v>พุทธินี สัจจพันธ์พงษ์ </v>
      </c>
      <c r="L580" t="str">
        <f>IFERROR(__xludf.DUMMYFUNCTION("""COMPUTED_VALUE"""),"Aui อุ้ย")</f>
        <v>Aui อุ้ย</v>
      </c>
      <c r="M580" t="str">
        <f>IFERROR(__xludf.DUMMYFUNCTION("""COMPUTED_VALUE"""),"Cabin Crew")</f>
        <v>Cabin Crew</v>
      </c>
      <c r="N580" t="str">
        <f>IFERROR(__xludf.DUMMYFUNCTION("""COMPUTED_VALUE"""),"DMK")</f>
        <v>DMK</v>
      </c>
      <c r="O580" s="145" t="str">
        <f>IFERROR(__xludf.DUMMYFUNCTION("""COMPUTED_VALUE"""),"Nhui Home")</f>
        <v>Nhui Home</v>
      </c>
      <c r="P580" t="str">
        <f>IFERROR(__xludf.DUMMYFUNCTION("""COMPUTED_VALUE"""),"Active")</f>
        <v>Active</v>
      </c>
      <c r="R580" s="143">
        <f>IFERROR(__xludf.DUMMYFUNCTION("""COMPUTED_VALUE"""),32519.0)</f>
        <v>32519</v>
      </c>
      <c r="S580" s="146">
        <f>IFERROR(__xludf.DUMMYFUNCTION("""COMPUTED_VALUE"""),9.29942641E8)</f>
        <v>929942641</v>
      </c>
      <c r="T580" s="147" t="str">
        <f>IFERROR(__xludf.DUMMYFUNCTION("""COMPUTED_VALUE"""),"1101401-54-4069")</f>
        <v>1101401-54-4069</v>
      </c>
      <c r="U580" t="str">
        <f>IFERROR(__xludf.DUMMYFUNCTION("""COMPUTED_VALUE"""),"AD1087154")</f>
        <v>AD1087154</v>
      </c>
      <c r="V580" s="148">
        <f>IFERROR(__xludf.DUMMYFUNCTION("""COMPUTED_VALUE"""),45064.0)</f>
        <v>45064</v>
      </c>
      <c r="W580" s="148">
        <f>IFERROR(__xludf.DUMMYFUNCTION("""COMPUTED_VALUE"""),48716.0)</f>
        <v>48716</v>
      </c>
      <c r="X580" s="149">
        <f>IFERROR(__xludf.DUMMYFUNCTION("""COMPUTED_VALUE"""),48535.0)</f>
        <v>48535</v>
      </c>
      <c r="Y580" t="str">
        <f>IFERROR(__xludf.DUMMYFUNCTION("""COMPUTED_VALUE"""),"ปลอดภัย")</f>
        <v>ปลอดภัย</v>
      </c>
      <c r="Z580" t="str">
        <f>IFERROR(__xludf.DUMMYFUNCTION("""COMPUTED_VALUE"""),"Bangkok")</f>
        <v>Bangkok</v>
      </c>
      <c r="AA580" t="str">
        <f>IFERROR(__xludf.DUMMYFUNCTION("""COMPUTED_VALUE"""),"Buengkhum")</f>
        <v>Buengkhum</v>
      </c>
      <c r="AB580" t="str">
        <f>IFERROR(__xludf.DUMMYFUNCTION("""COMPUTED_VALUE"""),"081-910-6937")</f>
        <v>081-910-6937</v>
      </c>
      <c r="AC580" t="str">
        <f>IFERROR(__xludf.DUMMYFUNCTION("""COMPUTED_VALUE"""),"Sanya")</f>
        <v>Sanya</v>
      </c>
      <c r="AD580" t="str">
        <f>IFERROR(__xludf.DUMMYFUNCTION("""COMPUTED_VALUE"""),"puttinees@airasia.com")</f>
        <v>puttinees@airasia.com</v>
      </c>
    </row>
    <row r="581">
      <c r="A581" s="142">
        <f>IFERROR(__xludf.DUMMYFUNCTION("""COMPUTED_VALUE"""),71.0)</f>
        <v>71</v>
      </c>
      <c r="B581" t="str">
        <f>IFERROR(__xludf.DUMMYFUNCTION("""COMPUTED_VALUE"""),"TAA5665")</f>
        <v>TAA5665</v>
      </c>
      <c r="C581">
        <f>IFERROR(__xludf.DUMMYFUNCTION("""COMPUTED_VALUE"""),1011075.0)</f>
        <v>1011075</v>
      </c>
      <c r="D581" t="str">
        <f>IFERROR(__xludf.DUMMYFUNCTION("""COMPUTED_VALUE"""),"Ms.")</f>
        <v>Ms.</v>
      </c>
      <c r="E581" t="str">
        <f>IFERROR(__xludf.DUMMYFUNCTION("""COMPUTED_VALUE"""),"Sasisomapa")</f>
        <v>Sasisomapa</v>
      </c>
      <c r="F581" t="str">
        <f>IFERROR(__xludf.DUMMYFUNCTION("""COMPUTED_VALUE"""),"Vatchareewong Na Ayudthaya")</f>
        <v>Vatchareewong Na Ayudthaya</v>
      </c>
      <c r="G581" t="str">
        <f>IFERROR(__xludf.DUMMYFUNCTION("""COMPUTED_VALUE"""),"Sasisomapa Vatchareewong Na Ayudthaya")</f>
        <v>Sasisomapa Vatchareewong Na Ayudthaya</v>
      </c>
      <c r="H581" t="str">
        <f>IFERROR(__xludf.DUMMYFUNCTION("""COMPUTED_VALUE"""),"นางสาว")</f>
        <v>นางสาว</v>
      </c>
      <c r="I581" t="str">
        <f>IFERROR(__xludf.DUMMYFUNCTION("""COMPUTED_VALUE"""),"ศศิโสมาภา")</f>
        <v>ศศิโสมาภา</v>
      </c>
      <c r="J581" t="str">
        <f>IFERROR(__xludf.DUMMYFUNCTION("""COMPUTED_VALUE"""),"วัชรีวงศ์ ณ อยุธยา")</f>
        <v>วัชรีวงศ์ ณ อยุธยา</v>
      </c>
      <c r="K581" t="str">
        <f>IFERROR(__xludf.DUMMYFUNCTION("""COMPUTED_VALUE"""),"ศศิโสมาภา วัชรีวงศ์ ณ อยุธยา")</f>
        <v>ศศิโสมาภา วัชรีวงศ์ ณ อยุธยา</v>
      </c>
      <c r="L581" t="str">
        <f>IFERROR(__xludf.DUMMYFUNCTION("""COMPUTED_VALUE"""),"Noey เนย")</f>
        <v>Noey เนย</v>
      </c>
      <c r="M581" t="str">
        <f>IFERROR(__xludf.DUMMYFUNCTION("""COMPUTED_VALUE"""),"Cabin Crew - BKK")</f>
        <v>Cabin Crew - BKK</v>
      </c>
      <c r="N581" t="str">
        <f>IFERROR(__xludf.DUMMYFUNCTION("""COMPUTED_VALUE"""),"BKK")</f>
        <v>BKK</v>
      </c>
      <c r="O581" s="145" t="str">
        <f>IFERROR(__xludf.DUMMYFUNCTION("""COMPUTED_VALUE"""),"Nhui Home")</f>
        <v>Nhui Home</v>
      </c>
      <c r="P581" t="str">
        <f>IFERROR(__xludf.DUMMYFUNCTION("""COMPUTED_VALUE"""),"Active")</f>
        <v>Active</v>
      </c>
      <c r="R581" s="143">
        <f>IFERROR(__xludf.DUMMYFUNCTION("""COMPUTED_VALUE"""),32437.0)</f>
        <v>32437</v>
      </c>
      <c r="S581" s="146" t="str">
        <f>IFERROR(__xludf.DUMMYFUNCTION("""COMPUTED_VALUE"""),"062 249 4691")</f>
        <v>062 249 4691</v>
      </c>
      <c r="T581" s="147" t="str">
        <f>IFERROR(__xludf.DUMMYFUNCTION("""COMPUTED_VALUE"""),"1100600-17-2462")</f>
        <v>1100600-17-2462</v>
      </c>
      <c r="U581" t="str">
        <f>IFERROR(__xludf.DUMMYFUNCTION("""COMPUTED_VALUE"""),"AD0062521")</f>
        <v>AD0062521</v>
      </c>
      <c r="V581" s="148">
        <f>IFERROR(__xludf.DUMMYFUNCTION("""COMPUTED_VALUE"""),44830.0)</f>
        <v>44830</v>
      </c>
      <c r="W581" s="148">
        <f>IFERROR(__xludf.DUMMYFUNCTION("""COMPUTED_VALUE"""),46655.0)</f>
        <v>46655</v>
      </c>
      <c r="X581" s="149">
        <f>IFERROR(__xludf.DUMMYFUNCTION("""COMPUTED_VALUE"""),46471.0)</f>
        <v>46471</v>
      </c>
      <c r="Y581" t="str">
        <f>IFERROR(__xludf.DUMMYFUNCTION("""COMPUTED_VALUE"""),"ปลอดภัย")</f>
        <v>ปลอดภัย</v>
      </c>
      <c r="Z581" t="str">
        <f>IFERROR(__xludf.DUMMYFUNCTION("""COMPUTED_VALUE"""),"Bangkok")</f>
        <v>Bangkok</v>
      </c>
      <c r="AA581" t="str">
        <f>IFERROR(__xludf.DUMMYFUNCTION("""COMPUTED_VALUE"""),"Nimidmai")</f>
        <v>Nimidmai</v>
      </c>
      <c r="AB581" t="str">
        <f>IFERROR(__xludf.DUMMYFUNCTION("""COMPUTED_VALUE"""),"081-274-6220")</f>
        <v>081-274-6220</v>
      </c>
      <c r="AC581" t="str">
        <f>IFERROR(__xludf.DUMMYFUNCTION("""COMPUTED_VALUE"""),"Saifon")</f>
        <v>Saifon</v>
      </c>
      <c r="AD581" t="str">
        <f>IFERROR(__xludf.DUMMYFUNCTION("""COMPUTED_VALUE"""),"sasisomapav@airasia.com")</f>
        <v>sasisomapav@airasia.com</v>
      </c>
    </row>
    <row r="582">
      <c r="A582" s="142">
        <f>IFERROR(__xludf.DUMMYFUNCTION("""COMPUTED_VALUE"""),71.0)</f>
        <v>71</v>
      </c>
      <c r="B582" t="str">
        <f>IFERROR(__xludf.DUMMYFUNCTION("""COMPUTED_VALUE"""),"TAA5669")</f>
        <v>TAA5669</v>
      </c>
      <c r="C582">
        <f>IFERROR(__xludf.DUMMYFUNCTION("""COMPUTED_VALUE"""),1011082.0)</f>
        <v>1011082</v>
      </c>
      <c r="D582" t="str">
        <f>IFERROR(__xludf.DUMMYFUNCTION("""COMPUTED_VALUE"""),"Ms.")</f>
        <v>Ms.</v>
      </c>
      <c r="E582" t="str">
        <f>IFERROR(__xludf.DUMMYFUNCTION("""COMPUTED_VALUE"""),"Tida")</f>
        <v>Tida</v>
      </c>
      <c r="F582" t="str">
        <f>IFERROR(__xludf.DUMMYFUNCTION("""COMPUTED_VALUE"""),"Pheechapand")</f>
        <v>Pheechapand</v>
      </c>
      <c r="G582" t="str">
        <f>IFERROR(__xludf.DUMMYFUNCTION("""COMPUTED_VALUE"""),"Tida Pheechapand")</f>
        <v>Tida Pheechapand</v>
      </c>
      <c r="H582" t="str">
        <f>IFERROR(__xludf.DUMMYFUNCTION("""COMPUTED_VALUE"""),"นางสาว")</f>
        <v>นางสาว</v>
      </c>
      <c r="I582" t="str">
        <f>IFERROR(__xludf.DUMMYFUNCTION("""COMPUTED_VALUE"""),"ธิดา")</f>
        <v>ธิดา</v>
      </c>
      <c r="J582" t="str">
        <f>IFERROR(__xludf.DUMMYFUNCTION("""COMPUTED_VALUE"""),"พีชาพันธุ์")</f>
        <v>พีชาพันธุ์</v>
      </c>
      <c r="K582" t="str">
        <f>IFERROR(__xludf.DUMMYFUNCTION("""COMPUTED_VALUE"""),"ธิดา พีชาพันธุ์")</f>
        <v>ธิดา พีชาพันธุ์</v>
      </c>
      <c r="L582" t="str">
        <f>IFERROR(__xludf.DUMMYFUNCTION("""COMPUTED_VALUE"""),"June")</f>
        <v>June</v>
      </c>
      <c r="M582" t="str">
        <f>IFERROR(__xludf.DUMMYFUNCTION("""COMPUTED_VALUE"""),"Cabin Crew")</f>
        <v>Cabin Crew</v>
      </c>
      <c r="N582" t="str">
        <f>IFERROR(__xludf.DUMMYFUNCTION("""COMPUTED_VALUE"""),"DMK")</f>
        <v>DMK</v>
      </c>
      <c r="O582" s="145" t="str">
        <f>IFERROR(__xludf.DUMMYFUNCTION("""COMPUTED_VALUE"""),"Toffy Home")</f>
        <v>Toffy Home</v>
      </c>
      <c r="P582" t="str">
        <f>IFERROR(__xludf.DUMMYFUNCTION("""COMPUTED_VALUE"""),"Active")</f>
        <v>Active</v>
      </c>
      <c r="R582" s="143">
        <f>IFERROR(__xludf.DUMMYFUNCTION("""COMPUTED_VALUE"""),32683.0)</f>
        <v>32683</v>
      </c>
      <c r="S582" s="146" t="str">
        <f>IFERROR(__xludf.DUMMYFUNCTION("""COMPUTED_VALUE"""),"096-554-5199")</f>
        <v>096-554-5199</v>
      </c>
      <c r="T582" s="147" t="str">
        <f>IFERROR(__xludf.DUMMYFUNCTION("""COMPUTED_VALUE"""),"5103600-00-3089")</f>
        <v>5103600-00-3089</v>
      </c>
      <c r="U582" t="str">
        <f>IFERROR(__xludf.DUMMYFUNCTION("""COMPUTED_VALUE"""),"AC4488378")</f>
        <v>AC4488378</v>
      </c>
      <c r="V582" s="148">
        <f>IFERROR(__xludf.DUMMYFUNCTION("""COMPUTED_VALUE"""),44988.0)</f>
        <v>44988</v>
      </c>
      <c r="W582" s="148">
        <f>IFERROR(__xludf.DUMMYFUNCTION("""COMPUTED_VALUE"""),48640.0)</f>
        <v>48640</v>
      </c>
      <c r="X582" s="149">
        <f>IFERROR(__xludf.DUMMYFUNCTION("""COMPUTED_VALUE"""),48459.0)</f>
        <v>48459</v>
      </c>
      <c r="Y582" t="str">
        <f>IFERROR(__xludf.DUMMYFUNCTION("""COMPUTED_VALUE"""),"ปลอดภัย")</f>
        <v>ปลอดภัย</v>
      </c>
      <c r="Z582" t="str">
        <f>IFERROR(__xludf.DUMMYFUNCTION("""COMPUTED_VALUE"""),"Bangkok")</f>
        <v>Bangkok</v>
      </c>
      <c r="AA582" t="str">
        <f>IFERROR(__xludf.DUMMYFUNCTION("""COMPUTED_VALUE"""),"Thonburi")</f>
        <v>Thonburi</v>
      </c>
      <c r="AB582" t="str">
        <f>IFERROR(__xludf.DUMMYFUNCTION("""COMPUTED_VALUE"""),"089-205-9214")</f>
        <v>089-205-9214</v>
      </c>
      <c r="AC582" t="str">
        <f>IFERROR(__xludf.DUMMYFUNCTION("""COMPUTED_VALUE"""),"Munthana")</f>
        <v>Munthana</v>
      </c>
      <c r="AD582" t="str">
        <f>IFERROR(__xludf.DUMMYFUNCTION("""COMPUTED_VALUE"""),"tidap@airasia.com")</f>
        <v>tidap@airasia.com</v>
      </c>
    </row>
    <row r="583">
      <c r="A583" s="142">
        <f>IFERROR(__xludf.DUMMYFUNCTION("""COMPUTED_VALUE"""),71.0)</f>
        <v>71</v>
      </c>
      <c r="B583" t="str">
        <f>IFERROR(__xludf.DUMMYFUNCTION("""COMPUTED_VALUE"""),"TAA5662")</f>
        <v>TAA5662</v>
      </c>
      <c r="C583">
        <f>IFERROR(__xludf.DUMMYFUNCTION("""COMPUTED_VALUE"""),1011083.0)</f>
        <v>1011083</v>
      </c>
      <c r="D583" t="str">
        <f>IFERROR(__xludf.DUMMYFUNCTION("""COMPUTED_VALUE"""),"Ms.")</f>
        <v>Ms.</v>
      </c>
      <c r="E583" t="str">
        <f>IFERROR(__xludf.DUMMYFUNCTION("""COMPUTED_VALUE"""),"Wanliya")</f>
        <v>Wanliya</v>
      </c>
      <c r="F583" t="str">
        <f>IFERROR(__xludf.DUMMYFUNCTION("""COMPUTED_VALUE"""),"Choosiri")</f>
        <v>Choosiri</v>
      </c>
      <c r="G583" t="str">
        <f>IFERROR(__xludf.DUMMYFUNCTION("""COMPUTED_VALUE"""),"Wanliya Choosiri")</f>
        <v>Wanliya Choosiri</v>
      </c>
      <c r="H583" t="str">
        <f>IFERROR(__xludf.DUMMYFUNCTION("""COMPUTED_VALUE"""),"นางสาว")</f>
        <v>นางสาว</v>
      </c>
      <c r="I583" t="str">
        <f>IFERROR(__xludf.DUMMYFUNCTION("""COMPUTED_VALUE"""),"วัลลิยา")</f>
        <v>วัลลิยา</v>
      </c>
      <c r="J583" t="str">
        <f>IFERROR(__xludf.DUMMYFUNCTION("""COMPUTED_VALUE"""),"ชูศิริ")</f>
        <v>ชูศิริ</v>
      </c>
      <c r="K583" t="str">
        <f>IFERROR(__xludf.DUMMYFUNCTION("""COMPUTED_VALUE"""),"วัลลิยา ชูศิริ")</f>
        <v>วัลลิยา ชูศิริ</v>
      </c>
      <c r="L583" t="str">
        <f>IFERROR(__xludf.DUMMYFUNCTION("""COMPUTED_VALUE"""),"GookGik")</f>
        <v>GookGik</v>
      </c>
      <c r="M583" t="str">
        <f>IFERROR(__xludf.DUMMYFUNCTION("""COMPUTED_VALUE"""),"Cabin Crew")</f>
        <v>Cabin Crew</v>
      </c>
      <c r="N583" t="str">
        <f>IFERROR(__xludf.DUMMYFUNCTION("""COMPUTED_VALUE"""),"DMK")</f>
        <v>DMK</v>
      </c>
      <c r="O583" s="145" t="str">
        <f>IFERROR(__xludf.DUMMYFUNCTION("""COMPUTED_VALUE"""),"Por+ Home")</f>
        <v>Por+ Home</v>
      </c>
      <c r="P583" t="str">
        <f>IFERROR(__xludf.DUMMYFUNCTION("""COMPUTED_VALUE"""),"Active")</f>
        <v>Active</v>
      </c>
      <c r="R583" s="143">
        <f>IFERROR(__xludf.DUMMYFUNCTION("""COMPUTED_VALUE"""),32749.0)</f>
        <v>32749</v>
      </c>
      <c r="S583" s="146" t="str">
        <f>IFERROR(__xludf.DUMMYFUNCTION("""COMPUTED_VALUE"""),"082-942-6959")</f>
        <v>082-942-6959</v>
      </c>
      <c r="T583" s="147" t="str">
        <f>IFERROR(__xludf.DUMMYFUNCTION("""COMPUTED_VALUE"""),"1239900-13-0932")</f>
        <v>1239900-13-0932</v>
      </c>
      <c r="U583" t="str">
        <f>IFERROR(__xludf.DUMMYFUNCTION("""COMPUTED_VALUE"""),"AC6126374")</f>
        <v>AC6126374</v>
      </c>
      <c r="V583" s="148">
        <f>IFERROR(__xludf.DUMMYFUNCTION("""COMPUTED_VALUE"""),45647.0)</f>
        <v>45647</v>
      </c>
      <c r="W583" s="148">
        <f>IFERROR(__xludf.DUMMYFUNCTION("""COMPUTED_VALUE"""),48933.0)</f>
        <v>48933</v>
      </c>
      <c r="X583" s="149">
        <f>IFERROR(__xludf.DUMMYFUNCTION("""COMPUTED_VALUE"""),48750.0)</f>
        <v>48750</v>
      </c>
      <c r="Y583" t="str">
        <f>IFERROR(__xludf.DUMMYFUNCTION("""COMPUTED_VALUE"""),"ปลอดภัย")</f>
        <v>ปลอดภัย</v>
      </c>
      <c r="Z583" t="str">
        <f>IFERROR(__xludf.DUMMYFUNCTION("""COMPUTED_VALUE"""),"Trat Province")</f>
        <v>Trat Province</v>
      </c>
      <c r="AA583" t="str">
        <f>IFERROR(__xludf.DUMMYFUNCTION("""COMPUTED_VALUE"""),"Jatujak")</f>
        <v>Jatujak</v>
      </c>
      <c r="AB583" t="str">
        <f>IFERROR(__xludf.DUMMYFUNCTION("""COMPUTED_VALUE"""),"080 199 1992")</f>
        <v>080 199 1992</v>
      </c>
      <c r="AC583" t="str">
        <f>IFERROR(__xludf.DUMMYFUNCTION("""COMPUTED_VALUE"""),"Papawee")</f>
        <v>Papawee</v>
      </c>
      <c r="AD583" t="str">
        <f>IFERROR(__xludf.DUMMYFUNCTION("""COMPUTED_VALUE"""),"wanliyac@airasia.com")</f>
        <v>wanliyac@airasia.com</v>
      </c>
    </row>
    <row r="584">
      <c r="A584" s="142">
        <f>IFERROR(__xludf.DUMMYFUNCTION("""COMPUTED_VALUE"""),71.0)</f>
        <v>71</v>
      </c>
      <c r="B584" t="str">
        <f>IFERROR(__xludf.DUMMYFUNCTION("""COMPUTED_VALUE"""),"TAA5672")</f>
        <v>TAA5672</v>
      </c>
      <c r="C584">
        <f>IFERROR(__xludf.DUMMYFUNCTION("""COMPUTED_VALUE"""),1011084.0)</f>
        <v>1011084</v>
      </c>
      <c r="D584" t="str">
        <f>IFERROR(__xludf.DUMMYFUNCTION("""COMPUTED_VALUE"""),"Mr.")</f>
        <v>Mr.</v>
      </c>
      <c r="E584" t="str">
        <f>IFERROR(__xludf.DUMMYFUNCTION("""COMPUTED_VALUE"""),"Warich")</f>
        <v>Warich</v>
      </c>
      <c r="F584" t="str">
        <f>IFERROR(__xludf.DUMMYFUNCTION("""COMPUTED_VALUE"""),"Nathtigoon")</f>
        <v>Nathtigoon</v>
      </c>
      <c r="G584" t="str">
        <f>IFERROR(__xludf.DUMMYFUNCTION("""COMPUTED_VALUE"""),"Warich Nathtigoon")</f>
        <v>Warich Nathtigoon</v>
      </c>
      <c r="H584" t="str">
        <f>IFERROR(__xludf.DUMMYFUNCTION("""COMPUTED_VALUE"""),"นาย")</f>
        <v>นาย</v>
      </c>
      <c r="I584" t="str">
        <f>IFERROR(__xludf.DUMMYFUNCTION("""COMPUTED_VALUE"""),"วริชน์")</f>
        <v>วริชน์</v>
      </c>
      <c r="J584" t="str">
        <f>IFERROR(__xludf.DUMMYFUNCTION("""COMPUTED_VALUE"""),"นัทธิกูล")</f>
        <v>นัทธิกูล</v>
      </c>
      <c r="K584" t="str">
        <f>IFERROR(__xludf.DUMMYFUNCTION("""COMPUTED_VALUE"""),"วริชน์ นัทธิกูล")</f>
        <v>วริชน์ นัทธิกูล</v>
      </c>
      <c r="L584" t="str">
        <f>IFERROR(__xludf.DUMMYFUNCTION("""COMPUTED_VALUE"""),"Win")</f>
        <v>Win</v>
      </c>
      <c r="M584" t="str">
        <f>IFERROR(__xludf.DUMMYFUNCTION("""COMPUTED_VALUE"""),"Senior Cabin Crew - BKK")</f>
        <v>Senior Cabin Crew - BKK</v>
      </c>
      <c r="N584" t="str">
        <f>IFERROR(__xludf.DUMMYFUNCTION("""COMPUTED_VALUE"""),"BKK")</f>
        <v>BKK</v>
      </c>
      <c r="O584" s="145" t="str">
        <f>IFERROR(__xludf.DUMMYFUNCTION("""COMPUTED_VALUE"""),"Nhui Home")</f>
        <v>Nhui Home</v>
      </c>
      <c r="P584" t="str">
        <f>IFERROR(__xludf.DUMMYFUNCTION("""COMPUTED_VALUE"""),"Active/V/DMK")</f>
        <v>Active/V/DMK</v>
      </c>
      <c r="Q584" t="str">
        <f>IFERROR(__xludf.DUMMYFUNCTION("""COMPUTED_VALUE"""),"Chinese Speaking")</f>
        <v>Chinese Speaking</v>
      </c>
      <c r="R584" s="143">
        <f>IFERROR(__xludf.DUMMYFUNCTION("""COMPUTED_VALUE"""),32055.0)</f>
        <v>32055</v>
      </c>
      <c r="S584" s="146" t="str">
        <f>IFERROR(__xludf.DUMMYFUNCTION("""COMPUTED_VALUE"""),"092 259 7198")</f>
        <v>092 259 7198</v>
      </c>
      <c r="T584" s="147" t="str">
        <f>IFERROR(__xludf.DUMMYFUNCTION("""COMPUTED_VALUE"""),"1100700-72-5366")</f>
        <v>1100700-72-5366</v>
      </c>
      <c r="U584" t="str">
        <f>IFERROR(__xludf.DUMMYFUNCTION("""COMPUTED_VALUE"""),"AC2729011")</f>
        <v>AC2729011</v>
      </c>
      <c r="V584" s="148">
        <f>IFERROR(__xludf.DUMMYFUNCTION("""COMPUTED_VALUE"""),44476.0)</f>
        <v>44476</v>
      </c>
      <c r="W584" s="148">
        <f>IFERROR(__xludf.DUMMYFUNCTION("""COMPUTED_VALUE"""),48127.0)</f>
        <v>48127</v>
      </c>
      <c r="X584" s="149">
        <f>IFERROR(__xludf.DUMMYFUNCTION("""COMPUTED_VALUE"""),47944.0)</f>
        <v>47944</v>
      </c>
      <c r="Y584" t="str">
        <f>IFERROR(__xludf.DUMMYFUNCTION("""COMPUTED_VALUE"""),"ปลอดภัย")</f>
        <v>ปลอดภัย</v>
      </c>
      <c r="Z584" t="str">
        <f>IFERROR(__xludf.DUMMYFUNCTION("""COMPUTED_VALUE"""),"Bangkok")</f>
        <v>Bangkok</v>
      </c>
      <c r="AA584" t="str">
        <f>IFERROR(__xludf.DUMMYFUNCTION("""COMPUTED_VALUE"""),"Klongtoei")</f>
        <v>Klongtoei</v>
      </c>
      <c r="AB584" t="str">
        <f>IFERROR(__xludf.DUMMYFUNCTION("""COMPUTED_VALUE"""),"081-861-1718")</f>
        <v>081-861-1718</v>
      </c>
      <c r="AC584" t="str">
        <f>IFERROR(__xludf.DUMMYFUNCTION("""COMPUTED_VALUE"""),"Ubonrat")</f>
        <v>Ubonrat</v>
      </c>
      <c r="AD584" t="str">
        <f>IFERROR(__xludf.DUMMYFUNCTION("""COMPUTED_VALUE"""),"waricha@airasia.com")</f>
        <v>waricha@airasia.com</v>
      </c>
    </row>
    <row r="585">
      <c r="AD585" t="str">
        <f>IFERROR(__xludf.DUMMYFUNCTION("""COMPUTED_VALUE"""),"")</f>
        <v/>
      </c>
    </row>
    <row r="586">
      <c r="A586" s="142">
        <f>IFERROR(__xludf.DUMMYFUNCTION("""COMPUTED_VALUE"""),72.0)</f>
        <v>72</v>
      </c>
      <c r="B586" t="str">
        <f>IFERROR(__xludf.DUMMYFUNCTION("""COMPUTED_VALUE"""),"TAA5877")</f>
        <v>TAA5877</v>
      </c>
      <c r="C586">
        <f>IFERROR(__xludf.DUMMYFUNCTION("""COMPUTED_VALUE"""),1011500.0)</f>
        <v>1011500</v>
      </c>
      <c r="D586" t="str">
        <f>IFERROR(__xludf.DUMMYFUNCTION("""COMPUTED_VALUE"""),"Ms.")</f>
        <v>Ms.</v>
      </c>
      <c r="E586" t="str">
        <f>IFERROR(__xludf.DUMMYFUNCTION("""COMPUTED_VALUE"""),"Chonlada")</f>
        <v>Chonlada</v>
      </c>
      <c r="F586" t="str">
        <f>IFERROR(__xludf.DUMMYFUNCTION("""COMPUTED_VALUE"""),"Vongjun")</f>
        <v>Vongjun</v>
      </c>
      <c r="G586" t="str">
        <f>IFERROR(__xludf.DUMMYFUNCTION("""COMPUTED_VALUE"""),"Chonlada Vongjun")</f>
        <v>Chonlada Vongjun</v>
      </c>
      <c r="H586" t="str">
        <f>IFERROR(__xludf.DUMMYFUNCTION("""COMPUTED_VALUE"""),"นางสาว")</f>
        <v>นางสาว</v>
      </c>
      <c r="I586" t="str">
        <f>IFERROR(__xludf.DUMMYFUNCTION("""COMPUTED_VALUE"""),"ชลดา")</f>
        <v>ชลดา</v>
      </c>
      <c r="J586" t="str">
        <f>IFERROR(__xludf.DUMMYFUNCTION("""COMPUTED_VALUE"""),"วงษ์จันทร์")</f>
        <v>วงษ์จันทร์</v>
      </c>
      <c r="K586" t="str">
        <f>IFERROR(__xludf.DUMMYFUNCTION("""COMPUTED_VALUE"""),"ชลดา วงษ์จันทร์")</f>
        <v>ชลดา วงษ์จันทร์</v>
      </c>
      <c r="L586" t="str">
        <f>IFERROR(__xludf.DUMMYFUNCTION("""COMPUTED_VALUE"""),"ต้นฝ้าย")</f>
        <v>ต้นฝ้าย</v>
      </c>
      <c r="M586" t="str">
        <f>IFERROR(__xludf.DUMMYFUNCTION("""COMPUTED_VALUE"""),"Cabin Crew")</f>
        <v>Cabin Crew</v>
      </c>
      <c r="N586" t="str">
        <f>IFERROR(__xludf.DUMMYFUNCTION("""COMPUTED_VALUE"""),"DMK")</f>
        <v>DMK</v>
      </c>
      <c r="O586" s="145" t="str">
        <f>IFERROR(__xludf.DUMMYFUNCTION("""COMPUTED_VALUE"""),"Up Home")</f>
        <v>Up Home</v>
      </c>
      <c r="P586" t="str">
        <f>IFERROR(__xludf.DUMMYFUNCTION("""COMPUTED_VALUE"""),"Active")</f>
        <v>Active</v>
      </c>
      <c r="R586" s="143">
        <f>IFERROR(__xludf.DUMMYFUNCTION("""COMPUTED_VALUE"""),33117.0)</f>
        <v>33117</v>
      </c>
      <c r="S586" s="146" t="str">
        <f>IFERROR(__xludf.DUMMYFUNCTION("""COMPUTED_VALUE"""),"062 424 1662")</f>
        <v>062 424 1662</v>
      </c>
      <c r="T586" s="147" t="str">
        <f>IFERROR(__xludf.DUMMYFUNCTION("""COMPUTED_VALUE"""),"1600100-38-7104")</f>
        <v>1600100-38-7104</v>
      </c>
      <c r="U586" t="str">
        <f>IFERROR(__xludf.DUMMYFUNCTION("""COMPUTED_VALUE"""),"AC6685122")</f>
        <v>AC6685122</v>
      </c>
      <c r="V586" s="148">
        <f>IFERROR(__xludf.DUMMYFUNCTION("""COMPUTED_VALUE"""),45404.0)</f>
        <v>45404</v>
      </c>
      <c r="W586" s="148">
        <f>IFERROR(__xludf.DUMMYFUNCTION("""COMPUTED_VALUE"""),49055.0)</f>
        <v>49055</v>
      </c>
      <c r="X586" s="149">
        <f>IFERROR(__xludf.DUMMYFUNCTION("""COMPUTED_VALUE"""),48873.0)</f>
        <v>48873</v>
      </c>
      <c r="Y586" t="str">
        <f>IFERROR(__xludf.DUMMYFUNCTION("""COMPUTED_VALUE"""),"ปลอดภัย")</f>
        <v>ปลอดภัย</v>
      </c>
      <c r="Z586" t="str">
        <f>IFERROR(__xludf.DUMMYFUNCTION("""COMPUTED_VALUE"""),"Nakhon Sawan Province")</f>
        <v>Nakhon Sawan Province</v>
      </c>
      <c r="AA586" t="str">
        <f>IFERROR(__xludf.DUMMYFUNCTION("""COMPUTED_VALUE"""),"Sumpantawong")</f>
        <v>Sumpantawong</v>
      </c>
      <c r="AB586" t="str">
        <f>IFERROR(__xludf.DUMMYFUNCTION("""COMPUTED_VALUE"""),"084 337 7872")</f>
        <v>084 337 7872</v>
      </c>
      <c r="AC586" t="str">
        <f>IFERROR(__xludf.DUMMYFUNCTION("""COMPUTED_VALUE"""),"Mother")</f>
        <v>Mother</v>
      </c>
      <c r="AD586" t="str">
        <f>IFERROR(__xludf.DUMMYFUNCTION("""COMPUTED_VALUE"""),"chonladav@airasia.com")</f>
        <v>chonladav@airasia.com</v>
      </c>
    </row>
    <row r="587">
      <c r="A587" s="142">
        <f>IFERROR(__xludf.DUMMYFUNCTION("""COMPUTED_VALUE"""),72.0)</f>
        <v>72</v>
      </c>
      <c r="B587" t="str">
        <f>IFERROR(__xludf.DUMMYFUNCTION("""COMPUTED_VALUE"""),"TAA5879")</f>
        <v>TAA5879</v>
      </c>
      <c r="C587">
        <f>IFERROR(__xludf.DUMMYFUNCTION("""COMPUTED_VALUE"""),1011501.0)</f>
        <v>1011501</v>
      </c>
      <c r="D587" t="str">
        <f>IFERROR(__xludf.DUMMYFUNCTION("""COMPUTED_VALUE"""),"Ms.")</f>
        <v>Ms.</v>
      </c>
      <c r="E587" t="str">
        <f>IFERROR(__xludf.DUMMYFUNCTION("""COMPUTED_VALUE"""),"Jinbulla")</f>
        <v>Jinbulla</v>
      </c>
      <c r="F587" t="str">
        <f>IFERROR(__xludf.DUMMYFUNCTION("""COMPUTED_VALUE"""),"Pranom")</f>
        <v>Pranom</v>
      </c>
      <c r="G587" t="str">
        <f>IFERROR(__xludf.DUMMYFUNCTION("""COMPUTED_VALUE"""),"Jinbulla Pranom")</f>
        <v>Jinbulla Pranom</v>
      </c>
      <c r="H587" t="str">
        <f>IFERROR(__xludf.DUMMYFUNCTION("""COMPUTED_VALUE"""),"นางสาว")</f>
        <v>นางสาว</v>
      </c>
      <c r="I587" t="str">
        <f>IFERROR(__xludf.DUMMYFUNCTION("""COMPUTED_VALUE"""),"จิณห์บุลลา ")</f>
        <v>จิณห์บุลลา </v>
      </c>
      <c r="J587" t="str">
        <f>IFERROR(__xludf.DUMMYFUNCTION("""COMPUTED_VALUE"""),"ประนม")</f>
        <v>ประนม</v>
      </c>
      <c r="K587" t="str">
        <f>IFERROR(__xludf.DUMMYFUNCTION("""COMPUTED_VALUE"""),"จิณห์บุลลา ประนม")</f>
        <v>จิณห์บุลลา ประนม</v>
      </c>
      <c r="L587" t="str">
        <f>IFERROR(__xludf.DUMMYFUNCTION("""COMPUTED_VALUE"""),"ส้มโอ")</f>
        <v>ส้มโอ</v>
      </c>
      <c r="M587" t="str">
        <f>IFERROR(__xludf.DUMMYFUNCTION("""COMPUTED_VALUE"""),"Cabin Crew")</f>
        <v>Cabin Crew</v>
      </c>
      <c r="N587" t="str">
        <f>IFERROR(__xludf.DUMMYFUNCTION("""COMPUTED_VALUE"""),"DMK")</f>
        <v>DMK</v>
      </c>
      <c r="O587" s="145" t="str">
        <f>IFERROR(__xludf.DUMMYFUNCTION("""COMPUTED_VALUE"""),"Namfon Home")</f>
        <v>Namfon Home</v>
      </c>
      <c r="P587" t="str">
        <f>IFERROR(__xludf.DUMMYFUNCTION("""COMPUTED_VALUE"""),"Active")</f>
        <v>Active</v>
      </c>
      <c r="Q587" t="str">
        <f>IFERROR(__xludf.DUMMYFUNCTION("""COMPUTED_VALUE"""),"Japanese Speaking")</f>
        <v>Japanese Speaking</v>
      </c>
      <c r="R587" s="143">
        <f>IFERROR(__xludf.DUMMYFUNCTION("""COMPUTED_VALUE"""),32142.0)</f>
        <v>32142</v>
      </c>
      <c r="S587" s="146" t="str">
        <f>IFERROR(__xludf.DUMMYFUNCTION("""COMPUTED_VALUE"""),"092 470 7614")</f>
        <v>092 470 7614</v>
      </c>
      <c r="T587" s="147" t="str">
        <f>IFERROR(__xludf.DUMMYFUNCTION("""COMPUTED_VALUE"""),"1100600-13-2851")</f>
        <v>1100600-13-2851</v>
      </c>
      <c r="U587" t="str">
        <f>IFERROR(__xludf.DUMMYFUNCTION("""COMPUTED_VALUE"""),"AC7806569")</f>
        <v>AC7806569</v>
      </c>
      <c r="V587" s="148">
        <f>IFERROR(__xludf.DUMMYFUNCTION("""COMPUTED_VALUE"""),45660.0)</f>
        <v>45660</v>
      </c>
      <c r="W587" s="148">
        <f>IFERROR(__xludf.DUMMYFUNCTION("""COMPUTED_VALUE"""),49311.0)</f>
        <v>49311</v>
      </c>
      <c r="X587" s="149">
        <f>IFERROR(__xludf.DUMMYFUNCTION("""COMPUTED_VALUE"""),49127.0)</f>
        <v>49127</v>
      </c>
      <c r="Y587" t="str">
        <f>IFERROR(__xludf.DUMMYFUNCTION("""COMPUTED_VALUE"""),"ปลอดภัย")</f>
        <v>ปลอดภัย</v>
      </c>
      <c r="Z587" t="str">
        <f>IFERROR(__xludf.DUMMYFUNCTION("""COMPUTED_VALUE"""),"Bangkok")</f>
        <v>Bangkok</v>
      </c>
      <c r="AA587" t="str">
        <f>IFERROR(__xludf.DUMMYFUNCTION("""COMPUTED_VALUE"""),"Kannayao")</f>
        <v>Kannayao</v>
      </c>
      <c r="AB587" t="str">
        <f>IFERROR(__xludf.DUMMYFUNCTION("""COMPUTED_VALUE"""),"089 039 6357 / 02 509 7188")</f>
        <v>089 039 6357 / 02 509 7188</v>
      </c>
      <c r="AC587" t="str">
        <f>IFERROR(__xludf.DUMMYFUNCTION("""COMPUTED_VALUE"""),"Pornkamon / Home")</f>
        <v>Pornkamon / Home</v>
      </c>
      <c r="AD587" t="str">
        <f>IFERROR(__xludf.DUMMYFUNCTION("""COMPUTED_VALUE"""),"jinbullap@airasia.com")</f>
        <v>jinbullap@airasia.com</v>
      </c>
    </row>
    <row r="588">
      <c r="A588" s="142">
        <f>IFERROR(__xludf.DUMMYFUNCTION("""COMPUTED_VALUE"""),72.0)</f>
        <v>72</v>
      </c>
      <c r="B588" t="str">
        <f>IFERROR(__xludf.DUMMYFUNCTION("""COMPUTED_VALUE"""),"TAA5881")</f>
        <v>TAA5881</v>
      </c>
      <c r="C588">
        <f>IFERROR(__xludf.DUMMYFUNCTION("""COMPUTED_VALUE"""),1011502.0)</f>
        <v>1011502</v>
      </c>
      <c r="D588" t="str">
        <f>IFERROR(__xludf.DUMMYFUNCTION("""COMPUTED_VALUE"""),"Mr.")</f>
        <v>Mr.</v>
      </c>
      <c r="E588" t="str">
        <f>IFERROR(__xludf.DUMMYFUNCTION("""COMPUTED_VALUE"""),"Kritskorn (Kritsana)")</f>
        <v>Kritskorn (Kritsana)</v>
      </c>
      <c r="F588" t="str">
        <f>IFERROR(__xludf.DUMMYFUNCTION("""COMPUTED_VALUE"""),"Kathinthong")</f>
        <v>Kathinthong</v>
      </c>
      <c r="G588" t="str">
        <f>IFERROR(__xludf.DUMMYFUNCTION("""COMPUTED_VALUE"""),"Kritskorn Kathinthong")</f>
        <v>Kritskorn Kathinthong</v>
      </c>
      <c r="H588" t="str">
        <f>IFERROR(__xludf.DUMMYFUNCTION("""COMPUTED_VALUE"""),"นาย")</f>
        <v>นาย</v>
      </c>
      <c r="I588" t="str">
        <f>IFERROR(__xludf.DUMMYFUNCTION("""COMPUTED_VALUE"""),"กฤศกร (กฤษณะ)")</f>
        <v>กฤศกร (กฤษณะ)</v>
      </c>
      <c r="J588" t="str">
        <f>IFERROR(__xludf.DUMMYFUNCTION("""COMPUTED_VALUE"""),"กฐินทอง")</f>
        <v>กฐินทอง</v>
      </c>
      <c r="K588" t="str">
        <f>IFERROR(__xludf.DUMMYFUNCTION("""COMPUTED_VALUE"""),"กฤศกร กฐินทอง")</f>
        <v>กฤศกร กฐินทอง</v>
      </c>
      <c r="L588" t="str">
        <f>IFERROR(__xludf.DUMMYFUNCTION("""COMPUTED_VALUE"""),"อู๋ Ooh")</f>
        <v>อู๋ Ooh</v>
      </c>
      <c r="M588" t="str">
        <f>IFERROR(__xludf.DUMMYFUNCTION("""COMPUTED_VALUE"""),"Senior Cabin Crew")</f>
        <v>Senior Cabin Crew</v>
      </c>
      <c r="N588" t="str">
        <f>IFERROR(__xludf.DUMMYFUNCTION("""COMPUTED_VALUE"""),"DMK")</f>
        <v>DMK</v>
      </c>
      <c r="O588" s="145" t="str">
        <f>IFERROR(__xludf.DUMMYFUNCTION("""COMPUTED_VALUE"""),"Por+ Home")</f>
        <v>Por+ Home</v>
      </c>
      <c r="P588" t="str">
        <f>IFERROR(__xludf.DUMMYFUNCTION("""COMPUTED_VALUE"""),"Active")</f>
        <v>Active</v>
      </c>
      <c r="R588" s="143">
        <f>IFERROR(__xludf.DUMMYFUNCTION("""COMPUTED_VALUE"""),31707.0)</f>
        <v>31707</v>
      </c>
      <c r="S588" s="146" t="str">
        <f>IFERROR(__xludf.DUMMYFUNCTION("""COMPUTED_VALUE"""),"085 511 1519")</f>
        <v>085 511 1519</v>
      </c>
      <c r="T588" s="147">
        <f>IFERROR(__xludf.DUMMYFUNCTION("""COMPUTED_VALUE"""),1.10080030768E12)</f>
        <v>1100800307680</v>
      </c>
      <c r="U588" t="str">
        <f>IFERROR(__xludf.DUMMYFUNCTION("""COMPUTED_VALUE"""),"AC8018437")</f>
        <v>AC8018437</v>
      </c>
      <c r="V588" s="148">
        <f>IFERROR(__xludf.DUMMYFUNCTION("""COMPUTED_VALUE"""),45727.0)</f>
        <v>45727</v>
      </c>
      <c r="W588" s="148">
        <f>IFERROR(__xludf.DUMMYFUNCTION("""COMPUTED_VALUE"""),49378.0)</f>
        <v>49378</v>
      </c>
      <c r="X588" s="149">
        <f>IFERROR(__xludf.DUMMYFUNCTION("""COMPUTED_VALUE"""),49197.0)</f>
        <v>49197</v>
      </c>
      <c r="Y588" t="str">
        <f>IFERROR(__xludf.DUMMYFUNCTION("""COMPUTED_VALUE"""),"ปลอดภัย")</f>
        <v>ปลอดภัย</v>
      </c>
      <c r="Z588" t="str">
        <f>IFERROR(__xludf.DUMMYFUNCTION("""COMPUTED_VALUE"""),"Bangkok")</f>
        <v>Bangkok</v>
      </c>
      <c r="AA588" t="str">
        <f>IFERROR(__xludf.DUMMYFUNCTION("""COMPUTED_VALUE"""),"Suan Luang")</f>
        <v>Suan Luang</v>
      </c>
      <c r="AB588" t="str">
        <f>IFERROR(__xludf.DUMMYFUNCTION("""COMPUTED_VALUE"""),"081 488 2730")</f>
        <v>081 488 2730</v>
      </c>
      <c r="AC588" t="str">
        <f>IFERROR(__xludf.DUMMYFUNCTION("""COMPUTED_VALUE"""),"Jiraporn")</f>
        <v>Jiraporn</v>
      </c>
      <c r="AD588" t="str">
        <f>IFERROR(__xludf.DUMMYFUNCTION("""COMPUTED_VALUE"""),"kritskornk@airasia.com")</f>
        <v>kritskornk@airasia.com</v>
      </c>
    </row>
    <row r="589">
      <c r="A589" s="142">
        <f>IFERROR(__xludf.DUMMYFUNCTION("""COMPUTED_VALUE"""),72.0)</f>
        <v>72</v>
      </c>
      <c r="B589" t="str">
        <f>IFERROR(__xludf.DUMMYFUNCTION("""COMPUTED_VALUE"""),"TAA5878")</f>
        <v>TAA5878</v>
      </c>
      <c r="C589">
        <f>IFERROR(__xludf.DUMMYFUNCTION("""COMPUTED_VALUE"""),1011504.0)</f>
        <v>1011504</v>
      </c>
      <c r="D589" t="str">
        <f>IFERROR(__xludf.DUMMYFUNCTION("""COMPUTED_VALUE"""),"Ms.")</f>
        <v>Ms.</v>
      </c>
      <c r="E589" t="str">
        <f>IFERROR(__xludf.DUMMYFUNCTION("""COMPUTED_VALUE"""),"Punyanuch (Panthira)")</f>
        <v>Punyanuch (Panthira)</v>
      </c>
      <c r="F589" t="str">
        <f>IFERROR(__xludf.DUMMYFUNCTION("""COMPUTED_VALUE"""),"Skulnukulkit( Nukulkit)")</f>
        <v>Skulnukulkit( Nukulkit)</v>
      </c>
      <c r="G589" t="str">
        <f>IFERROR(__xludf.DUMMYFUNCTION("""COMPUTED_VALUE"""),"Punyanuch Skulnukulkit")</f>
        <v>Punyanuch Skulnukulkit</v>
      </c>
      <c r="H589" t="str">
        <f>IFERROR(__xludf.DUMMYFUNCTION("""COMPUTED_VALUE"""),"นางสาว")</f>
        <v>นางสาว</v>
      </c>
      <c r="I589" t="str">
        <f>IFERROR(__xludf.DUMMYFUNCTION("""COMPUTED_VALUE"""),"ปุณยนุช")</f>
        <v>ปุณยนุช</v>
      </c>
      <c r="J589" t="str">
        <f>IFERROR(__xludf.DUMMYFUNCTION("""COMPUTED_VALUE"""),"สกุลนุกูลกิจ")</f>
        <v>สกุลนุกูลกิจ</v>
      </c>
      <c r="K589" t="str">
        <f>IFERROR(__xludf.DUMMYFUNCTION("""COMPUTED_VALUE"""),"ปุณยนุช สกุลนุกูลกิจ")</f>
        <v>ปุณยนุช สกุลนุกูลกิจ</v>
      </c>
      <c r="L589" t="str">
        <f>IFERROR(__xludf.DUMMYFUNCTION("""COMPUTED_VALUE"""),"Pias")</f>
        <v>Pias</v>
      </c>
      <c r="M589" t="str">
        <f>IFERROR(__xludf.DUMMYFUNCTION("""COMPUTED_VALUE"""),"Cabin Crew")</f>
        <v>Cabin Crew</v>
      </c>
      <c r="N589" t="str">
        <f>IFERROR(__xludf.DUMMYFUNCTION("""COMPUTED_VALUE"""),"DMK")</f>
        <v>DMK</v>
      </c>
      <c r="O589" s="145" t="str">
        <f>IFERROR(__xludf.DUMMYFUNCTION("""COMPUTED_VALUE"""),"Toffy Home")</f>
        <v>Toffy Home</v>
      </c>
      <c r="P589" t="str">
        <f>IFERROR(__xludf.DUMMYFUNCTION("""COMPUTED_VALUE"""),"Active")</f>
        <v>Active</v>
      </c>
      <c r="R589" s="143">
        <f>IFERROR(__xludf.DUMMYFUNCTION("""COMPUTED_VALUE"""),32182.0)</f>
        <v>32182</v>
      </c>
      <c r="S589" s="146" t="str">
        <f>IFERROR(__xludf.DUMMYFUNCTION("""COMPUTED_VALUE"""),"065-6646164")</f>
        <v>065-6646164</v>
      </c>
      <c r="T589" s="147" t="str">
        <f>IFERROR(__xludf.DUMMYFUNCTION("""COMPUTED_VALUE"""),"1102800-27-9121")</f>
        <v>1102800-27-9121</v>
      </c>
      <c r="U589" t="str">
        <f>IFERROR(__xludf.DUMMYFUNCTION("""COMPUTED_VALUE"""),"AC7551621")</f>
        <v>AC7551621</v>
      </c>
      <c r="V589" s="148">
        <f>IFERROR(__xludf.DUMMYFUNCTION("""COMPUTED_VALUE"""),45566.0)</f>
        <v>45566</v>
      </c>
      <c r="W589" s="148">
        <f>IFERROR(__xludf.DUMMYFUNCTION("""COMPUTED_VALUE"""),47391.0)</f>
        <v>47391</v>
      </c>
      <c r="X589" s="149">
        <f>IFERROR(__xludf.DUMMYFUNCTION("""COMPUTED_VALUE"""),47207.0)</f>
        <v>47207</v>
      </c>
      <c r="Y589" t="str">
        <f>IFERROR(__xludf.DUMMYFUNCTION("""COMPUTED_VALUE"""),"ปลอดภัย")</f>
        <v>ปลอดภัย</v>
      </c>
      <c r="Z589" t="str">
        <f>IFERROR(__xludf.DUMMYFUNCTION("""COMPUTED_VALUE"""),"Bangkok")</f>
        <v>Bangkok</v>
      </c>
      <c r="AA589" t="str">
        <f>IFERROR(__xludf.DUMMYFUNCTION("""COMPUTED_VALUE"""),"Donmueang")</f>
        <v>Donmueang</v>
      </c>
      <c r="AB589" t="str">
        <f>IFERROR(__xludf.DUMMYFUNCTION("""COMPUTED_VALUE"""),"098 565 9224")</f>
        <v>098 565 9224</v>
      </c>
      <c r="AC589" t="str">
        <f>IFERROR(__xludf.DUMMYFUNCTION("""COMPUTED_VALUE"""),"Mother")</f>
        <v>Mother</v>
      </c>
      <c r="AD589" t="str">
        <f>IFERROR(__xludf.DUMMYFUNCTION("""COMPUTED_VALUE"""),"punyanuchs@airasia.com")</f>
        <v>punyanuchs@airasia.com</v>
      </c>
    </row>
    <row r="590">
      <c r="AD590" t="str">
        <f>IFERROR(__xludf.DUMMYFUNCTION("""COMPUTED_VALUE"""),"")</f>
        <v/>
      </c>
    </row>
    <row r="591">
      <c r="A591" s="142">
        <f>IFERROR(__xludf.DUMMYFUNCTION("""COMPUTED_VALUE"""),73.0)</f>
        <v>73</v>
      </c>
      <c r="B591" t="str">
        <f>IFERROR(__xludf.DUMMYFUNCTION("""COMPUTED_VALUE"""),"TAA6102")</f>
        <v>TAA6102</v>
      </c>
      <c r="C591">
        <f>IFERROR(__xludf.DUMMYFUNCTION("""COMPUTED_VALUE"""),1011800.0)</f>
        <v>1011800</v>
      </c>
      <c r="D591" t="str">
        <f>IFERROR(__xludf.DUMMYFUNCTION("""COMPUTED_VALUE"""),"Ms.")</f>
        <v>Ms.</v>
      </c>
      <c r="E591" t="str">
        <f>IFERROR(__xludf.DUMMYFUNCTION("""COMPUTED_VALUE"""),"Arisa")</f>
        <v>Arisa</v>
      </c>
      <c r="F591" t="str">
        <f>IFERROR(__xludf.DUMMYFUNCTION("""COMPUTED_VALUE"""),"Witthawaskul")</f>
        <v>Witthawaskul</v>
      </c>
      <c r="G591" t="str">
        <f>IFERROR(__xludf.DUMMYFUNCTION("""COMPUTED_VALUE"""),"Arisa Witthawaskul")</f>
        <v>Arisa Witthawaskul</v>
      </c>
      <c r="H591" t="str">
        <f>IFERROR(__xludf.DUMMYFUNCTION("""COMPUTED_VALUE"""),"นางสาว")</f>
        <v>นางสาว</v>
      </c>
      <c r="I591" t="str">
        <f>IFERROR(__xludf.DUMMYFUNCTION("""COMPUTED_VALUE"""),"อลิสา")</f>
        <v>อลิสา</v>
      </c>
      <c r="J591" t="str">
        <f>IFERROR(__xludf.DUMMYFUNCTION("""COMPUTED_VALUE"""),"วิทวัสกุล")</f>
        <v>วิทวัสกุล</v>
      </c>
      <c r="K591" t="str">
        <f>IFERROR(__xludf.DUMMYFUNCTION("""COMPUTED_VALUE"""),"อลิสา วิทวัสกุล")</f>
        <v>อลิสา วิทวัสกุล</v>
      </c>
      <c r="L591" t="str">
        <f>IFERROR(__xludf.DUMMYFUNCTION("""COMPUTED_VALUE"""),"แพม Pam")</f>
        <v>แพม Pam</v>
      </c>
      <c r="M591" t="str">
        <f>IFERROR(__xludf.DUMMYFUNCTION("""COMPUTED_VALUE"""),"Senior Cabin Crew")</f>
        <v>Senior Cabin Crew</v>
      </c>
      <c r="N591" t="str">
        <f>IFERROR(__xludf.DUMMYFUNCTION("""COMPUTED_VALUE"""),"DMK")</f>
        <v>DMK</v>
      </c>
      <c r="O591" s="145" t="str">
        <f>IFERROR(__xludf.DUMMYFUNCTION("""COMPUTED_VALUE"""),"Namfon Home")</f>
        <v>Namfon Home</v>
      </c>
      <c r="P591" t="str">
        <f>IFERROR(__xludf.DUMMYFUNCTION("""COMPUTED_VALUE"""),"Active")</f>
        <v>Active</v>
      </c>
      <c r="Q591" t="str">
        <f>IFERROR(__xludf.DUMMYFUNCTION("""COMPUTED_VALUE"""),"SCC Line Checker 2025")</f>
        <v>SCC Line Checker 2025</v>
      </c>
      <c r="R591" s="143">
        <f>IFERROR(__xludf.DUMMYFUNCTION("""COMPUTED_VALUE"""),30304.0)</f>
        <v>30304</v>
      </c>
      <c r="S591" s="146" t="str">
        <f>IFERROR(__xludf.DUMMYFUNCTION("""COMPUTED_VALUE"""),"095-295-1624")</f>
        <v>095-295-1624</v>
      </c>
      <c r="T591" s="147" t="str">
        <f>IFERROR(__xludf.DUMMYFUNCTION("""COMPUTED_VALUE"""),"3-1006-02906-93-1")</f>
        <v>3-1006-02906-93-1</v>
      </c>
      <c r="U591" t="str">
        <f>IFERROR(__xludf.DUMMYFUNCTION("""COMPUTED_VALUE"""),"AC2862085")</f>
        <v>AC2862085</v>
      </c>
      <c r="V591" s="148">
        <f>IFERROR(__xludf.DUMMYFUNCTION("""COMPUTED_VALUE"""),44600.0)</f>
        <v>44600</v>
      </c>
      <c r="W591" s="148">
        <f>IFERROR(__xludf.DUMMYFUNCTION("""COMPUTED_VALUE"""),48251.0)</f>
        <v>48251</v>
      </c>
      <c r="X591" s="149">
        <f>IFERROR(__xludf.DUMMYFUNCTION("""COMPUTED_VALUE"""),48067.0)</f>
        <v>48067</v>
      </c>
      <c r="Y591" t="str">
        <f>IFERROR(__xludf.DUMMYFUNCTION("""COMPUTED_VALUE"""),"ปลอดภัย")</f>
        <v>ปลอดภัย</v>
      </c>
      <c r="Z591" t="str">
        <f>IFERROR(__xludf.DUMMYFUNCTION("""COMPUTED_VALUE"""),"Bangkok")</f>
        <v>Bangkok</v>
      </c>
      <c r="AA591" t="str">
        <f>IFERROR(__xludf.DUMMYFUNCTION("""COMPUTED_VALUE"""),"Wangthonglang")</f>
        <v>Wangthonglang</v>
      </c>
      <c r="AB591" t="str">
        <f>IFERROR(__xludf.DUMMYFUNCTION("""COMPUTED_VALUE"""),"086-588-5006")</f>
        <v>086-588-5006</v>
      </c>
      <c r="AC591" t="str">
        <f>IFERROR(__xludf.DUMMYFUNCTION("""COMPUTED_VALUE"""),"Araya")</f>
        <v>Araya</v>
      </c>
      <c r="AD591" t="str">
        <f>IFERROR(__xludf.DUMMYFUNCTION("""COMPUTED_VALUE"""),"arisaw@airasia.com")</f>
        <v>arisaw@airasia.com</v>
      </c>
    </row>
    <row r="592">
      <c r="A592" s="142">
        <f>IFERROR(__xludf.DUMMYFUNCTION("""COMPUTED_VALUE"""),73.0)</f>
        <v>73</v>
      </c>
      <c r="B592" t="str">
        <f>IFERROR(__xludf.DUMMYFUNCTION("""COMPUTED_VALUE"""),"TAA6119")</f>
        <v>TAA6119</v>
      </c>
      <c r="C592">
        <f>IFERROR(__xludf.DUMMYFUNCTION("""COMPUTED_VALUE"""),1011806.0)</f>
        <v>1011806</v>
      </c>
      <c r="D592" t="str">
        <f>IFERROR(__xludf.DUMMYFUNCTION("""COMPUTED_VALUE"""),"Ms.")</f>
        <v>Ms.</v>
      </c>
      <c r="E592" t="str">
        <f>IFERROR(__xludf.DUMMYFUNCTION("""COMPUTED_VALUE"""),"Chonthicha")</f>
        <v>Chonthicha</v>
      </c>
      <c r="F592" t="str">
        <f>IFERROR(__xludf.DUMMYFUNCTION("""COMPUTED_VALUE"""),"Chanpanitkitchot")</f>
        <v>Chanpanitkitchot</v>
      </c>
      <c r="G592" t="str">
        <f>IFERROR(__xludf.DUMMYFUNCTION("""COMPUTED_VALUE"""),"Chonthicha Chanpanitkitchot")</f>
        <v>Chonthicha Chanpanitkitchot</v>
      </c>
      <c r="H592" t="str">
        <f>IFERROR(__xludf.DUMMYFUNCTION("""COMPUTED_VALUE"""),"นางสาว")</f>
        <v>นางสาว</v>
      </c>
      <c r="I592" t="str">
        <f>IFERROR(__xludf.DUMMYFUNCTION("""COMPUTED_VALUE"""),"ชลธิชา")</f>
        <v>ชลธิชา</v>
      </c>
      <c r="J592" t="str">
        <f>IFERROR(__xludf.DUMMYFUNCTION("""COMPUTED_VALUE"""),"ชาญพานิชกิจโชติ")</f>
        <v>ชาญพานิชกิจโชติ</v>
      </c>
      <c r="K592" t="str">
        <f>IFERROR(__xludf.DUMMYFUNCTION("""COMPUTED_VALUE"""),"ชลธิชา ชาญพานิชกิจโชติ")</f>
        <v>ชลธิชา ชาญพานิชกิจโชติ</v>
      </c>
      <c r="L592" t="str">
        <f>IFERROR(__xludf.DUMMYFUNCTION("""COMPUTED_VALUE"""),"ฝน Fon")</f>
        <v>ฝน Fon</v>
      </c>
      <c r="M592" t="str">
        <f>IFERROR(__xludf.DUMMYFUNCTION("""COMPUTED_VALUE"""),"Senior Cabin Crew - BKK")</f>
        <v>Senior Cabin Crew - BKK</v>
      </c>
      <c r="N592" t="str">
        <f>IFERROR(__xludf.DUMMYFUNCTION("""COMPUTED_VALUE"""),"BKK")</f>
        <v>BKK</v>
      </c>
      <c r="O592" s="145" t="str">
        <f>IFERROR(__xludf.DUMMYFUNCTION("""COMPUTED_VALUE"""),"Nhui Home")</f>
        <v>Nhui Home</v>
      </c>
      <c r="P592" t="str">
        <f>IFERROR(__xludf.DUMMYFUNCTION("""COMPUTED_VALUE"""),"Active")</f>
        <v>Active</v>
      </c>
      <c r="R592" s="143">
        <f>IFERROR(__xludf.DUMMYFUNCTION("""COMPUTED_VALUE"""),30215.0)</f>
        <v>30215</v>
      </c>
      <c r="S592" s="146" t="str">
        <f>IFERROR(__xludf.DUMMYFUNCTION("""COMPUTED_VALUE"""),"081-907-2014")</f>
        <v>081-907-2014</v>
      </c>
      <c r="T592" s="147" t="str">
        <f>IFERROR(__xludf.DUMMYFUNCTION("""COMPUTED_VALUE"""),"3-1101-01281-62-9")</f>
        <v>3-1101-01281-62-9</v>
      </c>
      <c r="U592" t="str">
        <f>IFERROR(__xludf.DUMMYFUNCTION("""COMPUTED_VALUE"""),"AC8234546")</f>
        <v>AC8234546</v>
      </c>
      <c r="V592" s="148">
        <f>IFERROR(__xludf.DUMMYFUNCTION("""COMPUTED_VALUE"""),45740.0)</f>
        <v>45740</v>
      </c>
      <c r="W592" s="148">
        <f>IFERROR(__xludf.DUMMYFUNCTION("""COMPUTED_VALUE"""),49391.0)</f>
        <v>49391</v>
      </c>
      <c r="X592" s="149">
        <f>IFERROR(__xludf.DUMMYFUNCTION("""COMPUTED_VALUE"""),49210.0)</f>
        <v>49210</v>
      </c>
      <c r="Y592" t="str">
        <f>IFERROR(__xludf.DUMMYFUNCTION("""COMPUTED_VALUE"""),"ปลอดภัย")</f>
        <v>ปลอดภัย</v>
      </c>
      <c r="Z592" t="str">
        <f>IFERROR(__xludf.DUMMYFUNCTION("""COMPUTED_VALUE"""),"Bangkok")</f>
        <v>Bangkok</v>
      </c>
      <c r="AA592" t="str">
        <f>IFERROR(__xludf.DUMMYFUNCTION("""COMPUTED_VALUE"""),"Samutpakan")</f>
        <v>Samutpakan</v>
      </c>
      <c r="AB592" t="str">
        <f>IFERROR(__xludf.DUMMYFUNCTION("""COMPUTED_VALUE"""),"089-892-8982")</f>
        <v>089-892-8982</v>
      </c>
      <c r="AC592" t="str">
        <f>IFERROR(__xludf.DUMMYFUNCTION("""COMPUTED_VALUE"""),"Chalermchai")</f>
        <v>Chalermchai</v>
      </c>
      <c r="AD592" t="str">
        <f>IFERROR(__xludf.DUMMYFUNCTION("""COMPUTED_VALUE"""),"chonthichac@airasia.com")</f>
        <v>chonthichac@airasia.com</v>
      </c>
    </row>
    <row r="593">
      <c r="A593" s="142">
        <f>IFERROR(__xludf.DUMMYFUNCTION("""COMPUTED_VALUE"""),73.0)</f>
        <v>73</v>
      </c>
      <c r="B593" t="str">
        <f>IFERROR(__xludf.DUMMYFUNCTION("""COMPUTED_VALUE"""),"TAA6100")</f>
        <v>TAA6100</v>
      </c>
      <c r="C593">
        <f>IFERROR(__xludf.DUMMYFUNCTION("""COMPUTED_VALUE"""),1011807.0)</f>
        <v>1011807</v>
      </c>
      <c r="D593" t="str">
        <f>IFERROR(__xludf.DUMMYFUNCTION("""COMPUTED_VALUE"""),"Ms.")</f>
        <v>Ms.</v>
      </c>
      <c r="E593" t="str">
        <f>IFERROR(__xludf.DUMMYFUNCTION("""COMPUTED_VALUE"""),"Chulalak")</f>
        <v>Chulalak</v>
      </c>
      <c r="F593" t="str">
        <f>IFERROR(__xludf.DUMMYFUNCTION("""COMPUTED_VALUE"""),"Raksafoongchon")</f>
        <v>Raksafoongchon</v>
      </c>
      <c r="G593" t="str">
        <f>IFERROR(__xludf.DUMMYFUNCTION("""COMPUTED_VALUE"""),"Chulalak Raksafoongchon")</f>
        <v>Chulalak Raksafoongchon</v>
      </c>
      <c r="H593" t="str">
        <f>IFERROR(__xludf.DUMMYFUNCTION("""COMPUTED_VALUE"""),"นางสาว")</f>
        <v>นางสาว</v>
      </c>
      <c r="I593" t="str">
        <f>IFERROR(__xludf.DUMMYFUNCTION("""COMPUTED_VALUE"""),"จุฬาลักษณ์")</f>
        <v>จุฬาลักษณ์</v>
      </c>
      <c r="J593" t="str">
        <f>IFERROR(__xludf.DUMMYFUNCTION("""COMPUTED_VALUE"""),"รักษาฝูงชน")</f>
        <v>รักษาฝูงชน</v>
      </c>
      <c r="K593" t="str">
        <f>IFERROR(__xludf.DUMMYFUNCTION("""COMPUTED_VALUE"""),"จุฬาลักษณ์ รักษาฝูงชน")</f>
        <v>จุฬาลักษณ์ รักษาฝูงชน</v>
      </c>
      <c r="L593" t="str">
        <f>IFERROR(__xludf.DUMMYFUNCTION("""COMPUTED_VALUE"""),"เปิ้ล Apple")</f>
        <v>เปิ้ล Apple</v>
      </c>
      <c r="M593" t="str">
        <f>IFERROR(__xludf.DUMMYFUNCTION("""COMPUTED_VALUE"""),"Cabin Crew")</f>
        <v>Cabin Crew</v>
      </c>
      <c r="N593" t="str">
        <f>IFERROR(__xludf.DUMMYFUNCTION("""COMPUTED_VALUE"""),"DMK")</f>
        <v>DMK</v>
      </c>
      <c r="O593" s="145" t="str">
        <f>IFERROR(__xludf.DUMMYFUNCTION("""COMPUTED_VALUE"""),"Por+ Home")</f>
        <v>Por+ Home</v>
      </c>
      <c r="P593" t="str">
        <f>IFERROR(__xludf.DUMMYFUNCTION("""COMPUTED_VALUE"""),"Active")</f>
        <v>Active</v>
      </c>
      <c r="R593" s="143">
        <f>IFERROR(__xludf.DUMMYFUNCTION("""COMPUTED_VALUE"""),31491.0)</f>
        <v>31491</v>
      </c>
      <c r="S593" s="146" t="str">
        <f>IFERROR(__xludf.DUMMYFUNCTION("""COMPUTED_VALUE""")," 096-9616916")</f>
        <v> 096-9616916</v>
      </c>
      <c r="T593" s="147" t="str">
        <f>IFERROR(__xludf.DUMMYFUNCTION("""COMPUTED_VALUE"""),"1-5299-00142-55-5")</f>
        <v>1-5299-00142-55-5</v>
      </c>
      <c r="U593" t="str">
        <f>IFERROR(__xludf.DUMMYFUNCTION("""COMPUTED_VALUE"""),"AC3583005")</f>
        <v>AC3583005</v>
      </c>
      <c r="V593" s="148">
        <f>IFERROR(__xludf.DUMMYFUNCTION("""COMPUTED_VALUE"""),44748.0)</f>
        <v>44748</v>
      </c>
      <c r="W593" s="148">
        <f>IFERROR(__xludf.DUMMYFUNCTION("""COMPUTED_VALUE"""),46575.0)</f>
        <v>46575</v>
      </c>
      <c r="X593" s="149">
        <f>IFERROR(__xludf.DUMMYFUNCTION("""COMPUTED_VALUE"""),46394.0)</f>
        <v>46394</v>
      </c>
      <c r="Y593" t="str">
        <f>IFERROR(__xludf.DUMMYFUNCTION("""COMPUTED_VALUE"""),"ปลอดภัย")</f>
        <v>ปลอดภัย</v>
      </c>
      <c r="Z593" t="str">
        <f>IFERROR(__xludf.DUMMYFUNCTION("""COMPUTED_VALUE"""),"Lampang Province")</f>
        <v>Lampang Province</v>
      </c>
      <c r="AA593" t="str">
        <f>IFERROR(__xludf.DUMMYFUNCTION("""COMPUTED_VALUE"""),"Suanluang")</f>
        <v>Suanluang</v>
      </c>
      <c r="AB593" t="str">
        <f>IFERROR(__xludf.DUMMYFUNCTION("""COMPUTED_VALUE"""),"086-659-3692")</f>
        <v>086-659-3692</v>
      </c>
      <c r="AC593" t="str">
        <f>IFERROR(__xludf.DUMMYFUNCTION("""COMPUTED_VALUE"""),"Srisuntorn")</f>
        <v>Srisuntorn</v>
      </c>
      <c r="AD593" t="str">
        <f>IFERROR(__xludf.DUMMYFUNCTION("""COMPUTED_VALUE"""),"chulalakr@airasia.com")</f>
        <v>chulalakr@airasia.com</v>
      </c>
    </row>
    <row r="594">
      <c r="A594" s="142">
        <f>IFERROR(__xludf.DUMMYFUNCTION("""COMPUTED_VALUE"""),73.0)</f>
        <v>73</v>
      </c>
      <c r="B594" t="str">
        <f>IFERROR(__xludf.DUMMYFUNCTION("""COMPUTED_VALUE"""),"TAA6112")</f>
        <v>TAA6112</v>
      </c>
      <c r="C594">
        <f>IFERROR(__xludf.DUMMYFUNCTION("""COMPUTED_VALUE"""),1011811.0)</f>
        <v>1011811</v>
      </c>
      <c r="D594" t="str">
        <f>IFERROR(__xludf.DUMMYFUNCTION("""COMPUTED_VALUE"""),"Ms.")</f>
        <v>Ms.</v>
      </c>
      <c r="E594" t="str">
        <f>IFERROR(__xludf.DUMMYFUNCTION("""COMPUTED_VALUE"""),"Jinnapitch")</f>
        <v>Jinnapitch</v>
      </c>
      <c r="F594" t="str">
        <f>IFERROR(__xludf.DUMMYFUNCTION("""COMPUTED_VALUE"""),"Napisitsopa (Watanabe)")</f>
        <v>Napisitsopa (Watanabe)</v>
      </c>
      <c r="G594" t="str">
        <f>IFERROR(__xludf.DUMMYFUNCTION("""COMPUTED_VALUE"""),"Jinnapitch Napisitsopa")</f>
        <v>Jinnapitch Napisitsopa</v>
      </c>
      <c r="H594" t="str">
        <f>IFERROR(__xludf.DUMMYFUNCTION("""COMPUTED_VALUE"""),"นางสาว")</f>
        <v>นางสาว</v>
      </c>
      <c r="I594" t="str">
        <f>IFERROR(__xludf.DUMMYFUNCTION("""COMPUTED_VALUE"""),"จินพิชญ์")</f>
        <v>จินพิชญ์</v>
      </c>
      <c r="J594" t="str">
        <f>IFERROR(__xludf.DUMMYFUNCTION("""COMPUTED_VALUE"""),"ณพิสิษฐ์โสภา(วาทานาเบ้)")</f>
        <v>ณพิสิษฐ์โสภา(วาทานาเบ้)</v>
      </c>
      <c r="K594" t="str">
        <f>IFERROR(__xludf.DUMMYFUNCTION("""COMPUTED_VALUE"""),"จินพิชญ์ ณพิสิษฐ์โสภา")</f>
        <v>จินพิชญ์ ณพิสิษฐ์โสภา</v>
      </c>
      <c r="L594" t="str">
        <f>IFERROR(__xludf.DUMMYFUNCTION("""COMPUTED_VALUE"""),"เอ๋ Ehh")</f>
        <v>เอ๋ Ehh</v>
      </c>
      <c r="M594" t="str">
        <f>IFERROR(__xludf.DUMMYFUNCTION("""COMPUTED_VALUE"""),"Cabin Crew")</f>
        <v>Cabin Crew</v>
      </c>
      <c r="N594" t="str">
        <f>IFERROR(__xludf.DUMMYFUNCTION("""COMPUTED_VALUE"""),"DMK")</f>
        <v>DMK</v>
      </c>
      <c r="O594" s="145" t="str">
        <f>IFERROR(__xludf.DUMMYFUNCTION("""COMPUTED_VALUE"""),"Nhui Home")</f>
        <v>Nhui Home</v>
      </c>
      <c r="P594" t="str">
        <f>IFERROR(__xludf.DUMMYFUNCTION("""COMPUTED_VALUE"""),"Active")</f>
        <v>Active</v>
      </c>
      <c r="R594" s="143">
        <f>IFERROR(__xludf.DUMMYFUNCTION("""COMPUTED_VALUE"""),29889.0)</f>
        <v>29889</v>
      </c>
      <c r="S594" s="146" t="str">
        <f>IFERROR(__xludf.DUMMYFUNCTION("""COMPUTED_VALUE"""),"086-614-4955")</f>
        <v>086-614-4955</v>
      </c>
      <c r="T594" s="147" t="str">
        <f>IFERROR(__xludf.DUMMYFUNCTION("""COMPUTED_VALUE"""),"3-2199-00009-68-4")</f>
        <v>3-2199-00009-68-4</v>
      </c>
      <c r="U594" t="str">
        <f>IFERROR(__xludf.DUMMYFUNCTION("""COMPUTED_VALUE"""),"AC3660334")</f>
        <v>AC3660334</v>
      </c>
      <c r="V594" s="148">
        <f>IFERROR(__xludf.DUMMYFUNCTION("""COMPUTED_VALUE"""),44764.0)</f>
        <v>44764</v>
      </c>
      <c r="W594" s="148">
        <f>IFERROR(__xludf.DUMMYFUNCTION("""COMPUTED_VALUE"""),48416.0)</f>
        <v>48416</v>
      </c>
      <c r="X594" s="149">
        <f>IFERROR(__xludf.DUMMYFUNCTION("""COMPUTED_VALUE"""),48234.0)</f>
        <v>48234</v>
      </c>
      <c r="Y594" t="str">
        <f>IFERROR(__xludf.DUMMYFUNCTION("""COMPUTED_VALUE"""),"ปลอดภัย")</f>
        <v>ปลอดภัย</v>
      </c>
      <c r="Z594" t="str">
        <f>IFERROR(__xludf.DUMMYFUNCTION("""COMPUTED_VALUE"""),"Rayong Province")</f>
        <v>Rayong Province</v>
      </c>
      <c r="AA594" t="str">
        <f>IFERROR(__xludf.DUMMYFUNCTION("""COMPUTED_VALUE"""),"Nonthaburi")</f>
        <v>Nonthaburi</v>
      </c>
      <c r="AB594" t="str">
        <f>IFERROR(__xludf.DUMMYFUNCTION("""COMPUTED_VALUE"""),"087-280-2254")</f>
        <v>087-280-2254</v>
      </c>
      <c r="AC594" t="str">
        <f>IFERROR(__xludf.DUMMYFUNCTION("""COMPUTED_VALUE"""),"Hiroaki Watanabe")</f>
        <v>Hiroaki Watanabe</v>
      </c>
      <c r="AD594" t="str">
        <f>IFERROR(__xludf.DUMMYFUNCTION("""COMPUTED_VALUE"""),"jinnapitchn@airasia.com")</f>
        <v>jinnapitchn@airasia.com</v>
      </c>
    </row>
    <row r="595">
      <c r="A595" s="142">
        <f>IFERROR(__xludf.DUMMYFUNCTION("""COMPUTED_VALUE"""),73.0)</f>
        <v>73</v>
      </c>
      <c r="B595" t="str">
        <f>IFERROR(__xludf.DUMMYFUNCTION("""COMPUTED_VALUE"""),"TAA6118")</f>
        <v>TAA6118</v>
      </c>
      <c r="C595">
        <f>IFERROR(__xludf.DUMMYFUNCTION("""COMPUTED_VALUE"""),1011813.0)</f>
        <v>1011813</v>
      </c>
      <c r="D595" t="str">
        <f>IFERROR(__xludf.DUMMYFUNCTION("""COMPUTED_VALUE"""),"Ms.")</f>
        <v>Ms.</v>
      </c>
      <c r="E595" t="str">
        <f>IFERROR(__xludf.DUMMYFUNCTION("""COMPUTED_VALUE"""),"Kathaleeya")</f>
        <v>Kathaleeya</v>
      </c>
      <c r="F595" t="str">
        <f>IFERROR(__xludf.DUMMYFUNCTION("""COMPUTED_VALUE"""),"Jaroensuk")</f>
        <v>Jaroensuk</v>
      </c>
      <c r="G595" t="str">
        <f>IFERROR(__xludf.DUMMYFUNCTION("""COMPUTED_VALUE"""),"Kathaleeya Jaroensuk")</f>
        <v>Kathaleeya Jaroensuk</v>
      </c>
      <c r="H595" t="str">
        <f>IFERROR(__xludf.DUMMYFUNCTION("""COMPUTED_VALUE"""),"นางสาว")</f>
        <v>นางสาว</v>
      </c>
      <c r="I595" t="str">
        <f>IFERROR(__xludf.DUMMYFUNCTION("""COMPUTED_VALUE"""),"คัทลียา")</f>
        <v>คัทลียา</v>
      </c>
      <c r="J595" t="str">
        <f>IFERROR(__xludf.DUMMYFUNCTION("""COMPUTED_VALUE"""),"เจริญสุข")</f>
        <v>เจริญสุข</v>
      </c>
      <c r="K595" t="str">
        <f>IFERROR(__xludf.DUMMYFUNCTION("""COMPUTED_VALUE"""),"คัทลียา เจริญสุข")</f>
        <v>คัทลียา เจริญสุข</v>
      </c>
      <c r="L595" t="str">
        <f>IFERROR(__xludf.DUMMYFUNCTION("""COMPUTED_VALUE"""),"ติ๊ก Tik")</f>
        <v>ติ๊ก Tik</v>
      </c>
      <c r="M595" t="str">
        <f>IFERROR(__xludf.DUMMYFUNCTION("""COMPUTED_VALUE"""),"Cabin Crew")</f>
        <v>Cabin Crew</v>
      </c>
      <c r="N595" t="str">
        <f>IFERROR(__xludf.DUMMYFUNCTION("""COMPUTED_VALUE"""),"DMK")</f>
        <v>DMK</v>
      </c>
      <c r="O595" s="145" t="str">
        <f>IFERROR(__xludf.DUMMYFUNCTION("""COMPUTED_VALUE"""),"Up Home")</f>
        <v>Up Home</v>
      </c>
      <c r="P595" t="str">
        <f>IFERROR(__xludf.DUMMYFUNCTION("""COMPUTED_VALUE"""),"Active")</f>
        <v>Active</v>
      </c>
      <c r="R595" s="143">
        <f>IFERROR(__xludf.DUMMYFUNCTION("""COMPUTED_VALUE"""),29647.0)</f>
        <v>29647</v>
      </c>
      <c r="S595" s="146" t="str">
        <f>IFERROR(__xludf.DUMMYFUNCTION("""COMPUTED_VALUE"""),"086-569-4046")</f>
        <v>086-569-4046</v>
      </c>
      <c r="T595" s="147" t="str">
        <f>IFERROR(__xludf.DUMMYFUNCTION("""COMPUTED_VALUE"""),"3-6599-00617-19-2")</f>
        <v>3-6599-00617-19-2</v>
      </c>
      <c r="U595" t="str">
        <f>IFERROR(__xludf.DUMMYFUNCTION("""COMPUTED_VALUE"""),"AC2697728")</f>
        <v>AC2697728</v>
      </c>
      <c r="V595" s="148">
        <f>IFERROR(__xludf.DUMMYFUNCTION("""COMPUTED_VALUE"""),44587.0)</f>
        <v>44587</v>
      </c>
      <c r="W595" s="148">
        <f>IFERROR(__xludf.DUMMYFUNCTION("""COMPUTED_VALUE"""),48238.0)</f>
        <v>48238</v>
      </c>
      <c r="X595" s="149">
        <f>IFERROR(__xludf.DUMMYFUNCTION("""COMPUTED_VALUE"""),48054.0)</f>
        <v>48054</v>
      </c>
      <c r="Y595" t="str">
        <f>IFERROR(__xludf.DUMMYFUNCTION("""COMPUTED_VALUE"""),"ปลอดภัย")</f>
        <v>ปลอดภัย</v>
      </c>
      <c r="Z595" t="str">
        <f>IFERROR(__xludf.DUMMYFUNCTION("""COMPUTED_VALUE"""),"Phitsanulok Province")</f>
        <v>Phitsanulok Province</v>
      </c>
      <c r="AA595" t="str">
        <f>IFERROR(__xludf.DUMMYFUNCTION("""COMPUTED_VALUE"""),"Nonthaburi")</f>
        <v>Nonthaburi</v>
      </c>
      <c r="AB595" t="str">
        <f>IFERROR(__xludf.DUMMYFUNCTION("""COMPUTED_VALUE"""),"089-859-5471")</f>
        <v>089-859-5471</v>
      </c>
      <c r="AC595" t="str">
        <f>IFERROR(__xludf.DUMMYFUNCTION("""COMPUTED_VALUE"""),"Tawach")</f>
        <v>Tawach</v>
      </c>
      <c r="AD595" t="str">
        <f>IFERROR(__xludf.DUMMYFUNCTION("""COMPUTED_VALUE"""),"kathaleeyaj@airasia.com")</f>
        <v>kathaleeyaj@airasia.com</v>
      </c>
    </row>
    <row r="596">
      <c r="A596" s="142">
        <f>IFERROR(__xludf.DUMMYFUNCTION("""COMPUTED_VALUE"""),73.0)</f>
        <v>73</v>
      </c>
      <c r="B596" t="str">
        <f>IFERROR(__xludf.DUMMYFUNCTION("""COMPUTED_VALUE"""),"TAA6096")</f>
        <v>TAA6096</v>
      </c>
      <c r="C596">
        <f>IFERROR(__xludf.DUMMYFUNCTION("""COMPUTED_VALUE"""),1011816.0)</f>
        <v>1011816</v>
      </c>
      <c r="D596" t="str">
        <f>IFERROR(__xludf.DUMMYFUNCTION("""COMPUTED_VALUE"""),"Ms.")</f>
        <v>Ms.</v>
      </c>
      <c r="E596" t="str">
        <f>IFERROR(__xludf.DUMMYFUNCTION("""COMPUTED_VALUE"""),"Michelle")</f>
        <v>Michelle</v>
      </c>
      <c r="F596" t="str">
        <f>IFERROR(__xludf.DUMMYFUNCTION("""COMPUTED_VALUE"""),"Potaya")</f>
        <v>Potaya</v>
      </c>
      <c r="G596" t="str">
        <f>IFERROR(__xludf.DUMMYFUNCTION("""COMPUTED_VALUE"""),"Michelle Potaya")</f>
        <v>Michelle Potaya</v>
      </c>
      <c r="H596" t="str">
        <f>IFERROR(__xludf.DUMMYFUNCTION("""COMPUTED_VALUE"""),"นางสาว")</f>
        <v>นางสาว</v>
      </c>
      <c r="I596" t="str">
        <f>IFERROR(__xludf.DUMMYFUNCTION("""COMPUTED_VALUE"""),"มิเชล")</f>
        <v>มิเชล</v>
      </c>
      <c r="J596" t="str">
        <f>IFERROR(__xludf.DUMMYFUNCTION("""COMPUTED_VALUE"""),"โพทะยะ")</f>
        <v>โพทะยะ</v>
      </c>
      <c r="K596" t="str">
        <f>IFERROR(__xludf.DUMMYFUNCTION("""COMPUTED_VALUE"""),"มิเชล โพทะยะ")</f>
        <v>มิเชล โพทะยะ</v>
      </c>
      <c r="L596" t="str">
        <f>IFERROR(__xludf.DUMMYFUNCTION("""COMPUTED_VALUE"""),"มิ้งค์ Mink")</f>
        <v>มิ้งค์ Mink</v>
      </c>
      <c r="M596" t="str">
        <f>IFERROR(__xludf.DUMMYFUNCTION("""COMPUTED_VALUE"""),"Cabin Crew - BKK")</f>
        <v>Cabin Crew - BKK</v>
      </c>
      <c r="N596" t="str">
        <f>IFERROR(__xludf.DUMMYFUNCTION("""COMPUTED_VALUE"""),"BKK")</f>
        <v>BKK</v>
      </c>
      <c r="O596" s="145" t="str">
        <f>IFERROR(__xludf.DUMMYFUNCTION("""COMPUTED_VALUE"""),"Nhui Home")</f>
        <v>Nhui Home</v>
      </c>
      <c r="P596" t="str">
        <f>IFERROR(__xludf.DUMMYFUNCTION("""COMPUTED_VALUE"""),"Active/V/DMK")</f>
        <v>Active/V/DMK</v>
      </c>
      <c r="R596" s="143">
        <f>IFERROR(__xludf.DUMMYFUNCTION("""COMPUTED_VALUE"""),29918.0)</f>
        <v>29918</v>
      </c>
      <c r="S596" s="146" t="str">
        <f>IFERROR(__xludf.DUMMYFUNCTION("""COMPUTED_VALUE"""),"092-694-0886")</f>
        <v>092-694-0886</v>
      </c>
      <c r="T596" s="147" t="str">
        <f>IFERROR(__xludf.DUMMYFUNCTION("""COMPUTED_VALUE"""),"3-1006-03388-18-7")</f>
        <v>3-1006-03388-18-7</v>
      </c>
      <c r="U596" t="str">
        <f>IFERROR(__xludf.DUMMYFUNCTION("""COMPUTED_VALUE"""),"AC5392125")</f>
        <v>AC5392125</v>
      </c>
      <c r="V596" s="148">
        <f>IFERROR(__xludf.DUMMYFUNCTION("""COMPUTED_VALUE"""),45149.0)</f>
        <v>45149</v>
      </c>
      <c r="W596" s="148">
        <f>IFERROR(__xludf.DUMMYFUNCTION("""COMPUTED_VALUE"""),48801.0)</f>
        <v>48801</v>
      </c>
      <c r="X596" s="149">
        <f>IFERROR(__xludf.DUMMYFUNCTION("""COMPUTED_VALUE"""),48620.0)</f>
        <v>48620</v>
      </c>
      <c r="Y596" t="str">
        <f>IFERROR(__xludf.DUMMYFUNCTION("""COMPUTED_VALUE"""),"ปลอดภัย")</f>
        <v>ปลอดภัย</v>
      </c>
      <c r="Z596" t="str">
        <f>IFERROR(__xludf.DUMMYFUNCTION("""COMPUTED_VALUE"""),"Bangkok")</f>
        <v>Bangkok</v>
      </c>
      <c r="AA596" t="str">
        <f>IFERROR(__xludf.DUMMYFUNCTION("""COMPUTED_VALUE"""),"Ladprao")</f>
        <v>Ladprao</v>
      </c>
      <c r="AB596" t="str">
        <f>IFERROR(__xludf.DUMMYFUNCTION("""COMPUTED_VALUE"""),"084-756-0088")</f>
        <v>084-756-0088</v>
      </c>
      <c r="AC596" t="str">
        <f>IFERROR(__xludf.DUMMYFUNCTION("""COMPUTED_VALUE"""),"Pakvipa")</f>
        <v>Pakvipa</v>
      </c>
      <c r="AD596" t="str">
        <f>IFERROR(__xludf.DUMMYFUNCTION("""COMPUTED_VALUE"""),"michellep@airasia.com")</f>
        <v>michellep@airasia.com</v>
      </c>
    </row>
    <row r="597">
      <c r="A597" s="142">
        <f>IFERROR(__xludf.DUMMYFUNCTION("""COMPUTED_VALUE"""),73.0)</f>
        <v>73</v>
      </c>
      <c r="B597" t="str">
        <f>IFERROR(__xludf.DUMMYFUNCTION("""COMPUTED_VALUE"""),"TAA6097")</f>
        <v>TAA6097</v>
      </c>
      <c r="C597">
        <f>IFERROR(__xludf.DUMMYFUNCTION("""COMPUTED_VALUE"""),1011820.0)</f>
        <v>1011820</v>
      </c>
      <c r="D597" t="str">
        <f>IFERROR(__xludf.DUMMYFUNCTION("""COMPUTED_VALUE"""),"Mr.")</f>
        <v>Mr.</v>
      </c>
      <c r="E597" t="str">
        <f>IFERROR(__xludf.DUMMYFUNCTION("""COMPUTED_VALUE"""),"Nitithorn")</f>
        <v>Nitithorn</v>
      </c>
      <c r="F597" t="str">
        <f>IFERROR(__xludf.DUMMYFUNCTION("""COMPUTED_VALUE"""),"Chiangpradit")</f>
        <v>Chiangpradit</v>
      </c>
      <c r="G597" t="str">
        <f>IFERROR(__xludf.DUMMYFUNCTION("""COMPUTED_VALUE"""),"Nitithorn Chiangpradit")</f>
        <v>Nitithorn Chiangpradit</v>
      </c>
      <c r="H597" t="str">
        <f>IFERROR(__xludf.DUMMYFUNCTION("""COMPUTED_VALUE"""),"นาย")</f>
        <v>นาย</v>
      </c>
      <c r="I597" t="str">
        <f>IFERROR(__xludf.DUMMYFUNCTION("""COMPUTED_VALUE"""),"นิติธร")</f>
        <v>นิติธร</v>
      </c>
      <c r="J597" t="str">
        <f>IFERROR(__xludf.DUMMYFUNCTION("""COMPUTED_VALUE"""),"เจียงประดิษฐ์")</f>
        <v>เจียงประดิษฐ์</v>
      </c>
      <c r="K597" t="str">
        <f>IFERROR(__xludf.DUMMYFUNCTION("""COMPUTED_VALUE"""),"นิติธร เจียงประดิษฐ์")</f>
        <v>นิติธร เจียงประดิษฐ์</v>
      </c>
      <c r="L597" t="str">
        <f>IFERROR(__xludf.DUMMYFUNCTION("""COMPUTED_VALUE"""),"บาส Bas")</f>
        <v>บาส Bas</v>
      </c>
      <c r="M597" t="str">
        <f>IFERROR(__xludf.DUMMYFUNCTION("""COMPUTED_VALUE"""),"Cabin Crew")</f>
        <v>Cabin Crew</v>
      </c>
      <c r="N597" t="str">
        <f>IFERROR(__xludf.DUMMYFUNCTION("""COMPUTED_VALUE"""),"DMK")</f>
        <v>DMK</v>
      </c>
      <c r="O597" s="145" t="str">
        <f>IFERROR(__xludf.DUMMYFUNCTION("""COMPUTED_VALUE"""),"Toffy Home")</f>
        <v>Toffy Home</v>
      </c>
      <c r="P597" t="str">
        <f>IFERROR(__xludf.DUMMYFUNCTION("""COMPUTED_VALUE"""),"Active")</f>
        <v>Active</v>
      </c>
      <c r="R597" s="143">
        <f>IFERROR(__xludf.DUMMYFUNCTION("""COMPUTED_VALUE"""),32854.0)</f>
        <v>32854</v>
      </c>
      <c r="S597" s="146" t="str">
        <f>IFERROR(__xludf.DUMMYFUNCTION("""COMPUTED_VALUE"""),"086-887-3353")</f>
        <v>086-887-3353</v>
      </c>
      <c r="T597" s="147" t="str">
        <f>IFERROR(__xludf.DUMMYFUNCTION("""COMPUTED_VALUE"""),"1-1020-01259-29-5")</f>
        <v>1-1020-01259-29-5</v>
      </c>
      <c r="U597" t="str">
        <f>IFERROR(__xludf.DUMMYFUNCTION("""COMPUTED_VALUE"""),"AC4927577")</f>
        <v>AC4927577</v>
      </c>
      <c r="V597" s="148">
        <f>IFERROR(__xludf.DUMMYFUNCTION("""COMPUTED_VALUE"""),45055.0)</f>
        <v>45055</v>
      </c>
      <c r="W597" s="148">
        <f>IFERROR(__xludf.DUMMYFUNCTION("""COMPUTED_VALUE"""),48707.0)</f>
        <v>48707</v>
      </c>
      <c r="X597" s="149">
        <f>IFERROR(__xludf.DUMMYFUNCTION("""COMPUTED_VALUE"""),48526.0)</f>
        <v>48526</v>
      </c>
      <c r="Y597" t="str">
        <f>IFERROR(__xludf.DUMMYFUNCTION("""COMPUTED_VALUE"""),"ปลอดภัย")</f>
        <v>ปลอดภัย</v>
      </c>
      <c r="Z597" t="str">
        <f>IFERROR(__xludf.DUMMYFUNCTION("""COMPUTED_VALUE"""),"Bangkok")</f>
        <v>Bangkok</v>
      </c>
      <c r="AA597" t="str">
        <f>IFERROR(__xludf.DUMMYFUNCTION("""COMPUTED_VALUE"""),"Bangkhen")</f>
        <v>Bangkhen</v>
      </c>
      <c r="AB597" t="str">
        <f>IFERROR(__xludf.DUMMYFUNCTION("""COMPUTED_VALUE"""),"094-898-1962")</f>
        <v>094-898-1962</v>
      </c>
      <c r="AC597" t="str">
        <f>IFERROR(__xludf.DUMMYFUNCTION("""COMPUTED_VALUE"""),"Yosita")</f>
        <v>Yosita</v>
      </c>
      <c r="AD597" t="str">
        <f>IFERROR(__xludf.DUMMYFUNCTION("""COMPUTED_VALUE"""),"nitithornc@airasia.com")</f>
        <v>nitithornc@airasia.com</v>
      </c>
    </row>
    <row r="598">
      <c r="A598" s="142">
        <f>IFERROR(__xludf.DUMMYFUNCTION("""COMPUTED_VALUE"""),73.0)</f>
        <v>73</v>
      </c>
      <c r="B598" t="str">
        <f>IFERROR(__xludf.DUMMYFUNCTION("""COMPUTED_VALUE"""),"TAA6106")</f>
        <v>TAA6106</v>
      </c>
      <c r="C598">
        <f>IFERROR(__xludf.DUMMYFUNCTION("""COMPUTED_VALUE"""),1011824.0)</f>
        <v>1011824</v>
      </c>
      <c r="D598" t="str">
        <f>IFERROR(__xludf.DUMMYFUNCTION("""COMPUTED_VALUE"""),"Ms.")</f>
        <v>Ms.</v>
      </c>
      <c r="E598" t="str">
        <f>IFERROR(__xludf.DUMMYFUNCTION("""COMPUTED_VALUE"""),"Pimnipa")</f>
        <v>Pimnipa</v>
      </c>
      <c r="F598" t="str">
        <f>IFERROR(__xludf.DUMMYFUNCTION("""COMPUTED_VALUE"""),"Limpatawonpong")</f>
        <v>Limpatawonpong</v>
      </c>
      <c r="G598" t="str">
        <f>IFERROR(__xludf.DUMMYFUNCTION("""COMPUTED_VALUE"""),"Pimnipa Limpatawonpong")</f>
        <v>Pimnipa Limpatawonpong</v>
      </c>
      <c r="H598" t="str">
        <f>IFERROR(__xludf.DUMMYFUNCTION("""COMPUTED_VALUE"""),"นางสาว")</f>
        <v>นางสาว</v>
      </c>
      <c r="I598" t="str">
        <f>IFERROR(__xludf.DUMMYFUNCTION("""COMPUTED_VALUE"""),"พิมพ์นิภา")</f>
        <v>พิมพ์นิภา</v>
      </c>
      <c r="J598" t="str">
        <f>IFERROR(__xludf.DUMMYFUNCTION("""COMPUTED_VALUE"""),"ลิมปะถาวรพงศ์")</f>
        <v>ลิมปะถาวรพงศ์</v>
      </c>
      <c r="K598" t="str">
        <f>IFERROR(__xludf.DUMMYFUNCTION("""COMPUTED_VALUE"""),"พิมพ์นิภา ลิมปะถาวรพงศ์")</f>
        <v>พิมพ์นิภา ลิมปะถาวรพงศ์</v>
      </c>
      <c r="L598" t="str">
        <f>IFERROR(__xludf.DUMMYFUNCTION("""COMPUTED_VALUE"""),"บุ๊ค Book")</f>
        <v>บุ๊ค Book</v>
      </c>
      <c r="M598" t="str">
        <f>IFERROR(__xludf.DUMMYFUNCTION("""COMPUTED_VALUE"""),"Cabin Crew")</f>
        <v>Cabin Crew</v>
      </c>
      <c r="N598" t="str">
        <f>IFERROR(__xludf.DUMMYFUNCTION("""COMPUTED_VALUE"""),"DMK")</f>
        <v>DMK</v>
      </c>
      <c r="O598" s="145" t="str">
        <f>IFERROR(__xludf.DUMMYFUNCTION("""COMPUTED_VALUE"""),"Up Home")</f>
        <v>Up Home</v>
      </c>
      <c r="P598" t="str">
        <f>IFERROR(__xludf.DUMMYFUNCTION("""COMPUTED_VALUE"""),"Active")</f>
        <v>Active</v>
      </c>
      <c r="R598" s="143">
        <f>IFERROR(__xludf.DUMMYFUNCTION("""COMPUTED_VALUE"""),31638.0)</f>
        <v>31638</v>
      </c>
      <c r="S598" s="146" t="str">
        <f>IFERROR(__xludf.DUMMYFUNCTION("""COMPUTED_VALUE"""),"098-249-6625")</f>
        <v>098-249-6625</v>
      </c>
      <c r="T598" s="147" t="str">
        <f>IFERROR(__xludf.DUMMYFUNCTION("""COMPUTED_VALUE"""),"1-1004-00221-53-2")</f>
        <v>1-1004-00221-53-2</v>
      </c>
      <c r="U598" t="str">
        <f>IFERROR(__xludf.DUMMYFUNCTION("""COMPUTED_VALUE"""),"AC2887275")</f>
        <v>AC2887275</v>
      </c>
      <c r="V598" s="148">
        <f>IFERROR(__xludf.DUMMYFUNCTION("""COMPUTED_VALUE"""),44613.0)</f>
        <v>44613</v>
      </c>
      <c r="W598" s="148">
        <f>IFERROR(__xludf.DUMMYFUNCTION("""COMPUTED_VALUE"""),48264.0)</f>
        <v>48264</v>
      </c>
      <c r="X598" s="149">
        <f>IFERROR(__xludf.DUMMYFUNCTION("""COMPUTED_VALUE"""),48080.0)</f>
        <v>48080</v>
      </c>
      <c r="Y598" t="str">
        <f>IFERROR(__xludf.DUMMYFUNCTION("""COMPUTED_VALUE"""),"ปลอดภัย")</f>
        <v>ปลอดภัย</v>
      </c>
      <c r="Z598" t="str">
        <f>IFERROR(__xludf.DUMMYFUNCTION("""COMPUTED_VALUE"""),"Bangkok")</f>
        <v>Bangkok</v>
      </c>
      <c r="AA598" t="str">
        <f>IFERROR(__xludf.DUMMYFUNCTION("""COMPUTED_VALUE"""),"Rama 2")</f>
        <v>Rama 2</v>
      </c>
      <c r="AB598" t="str">
        <f>IFERROR(__xludf.DUMMYFUNCTION("""COMPUTED_VALUE"""),"087-565-2244")</f>
        <v>087-565-2244</v>
      </c>
      <c r="AC598" t="str">
        <f>IFERROR(__xludf.DUMMYFUNCTION("""COMPUTED_VALUE"""),"Wanna")</f>
        <v>Wanna</v>
      </c>
      <c r="AD598" t="str">
        <f>IFERROR(__xludf.DUMMYFUNCTION("""COMPUTED_VALUE"""),"pimnipal@airasia.com")</f>
        <v>pimnipal@airasia.com</v>
      </c>
    </row>
    <row r="599">
      <c r="A599" s="142">
        <f>IFERROR(__xludf.DUMMYFUNCTION("""COMPUTED_VALUE"""),73.0)</f>
        <v>73</v>
      </c>
      <c r="B599" t="str">
        <f>IFERROR(__xludf.DUMMYFUNCTION("""COMPUTED_VALUE"""),"TAA6116")</f>
        <v>TAA6116</v>
      </c>
      <c r="C599">
        <f>IFERROR(__xludf.DUMMYFUNCTION("""COMPUTED_VALUE"""),1011825.0)</f>
        <v>1011825</v>
      </c>
      <c r="D599" t="str">
        <f>IFERROR(__xludf.DUMMYFUNCTION("""COMPUTED_VALUE"""),"Mr.")</f>
        <v>Mr.</v>
      </c>
      <c r="E599" t="str">
        <f>IFERROR(__xludf.DUMMYFUNCTION("""COMPUTED_VALUE"""),"Pinu")</f>
        <v>Pinu</v>
      </c>
      <c r="F599" t="str">
        <f>IFERROR(__xludf.DUMMYFUNCTION("""COMPUTED_VALUE"""),"Saiseenopakun")</f>
        <v>Saiseenopakun</v>
      </c>
      <c r="G599" t="str">
        <f>IFERROR(__xludf.DUMMYFUNCTION("""COMPUTED_VALUE"""),"Pinu Saiseenopakun")</f>
        <v>Pinu Saiseenopakun</v>
      </c>
      <c r="H599" t="str">
        <f>IFERROR(__xludf.DUMMYFUNCTION("""COMPUTED_VALUE"""),"นาย")</f>
        <v>นาย</v>
      </c>
      <c r="I599" t="str">
        <f>IFERROR(__xludf.DUMMYFUNCTION("""COMPUTED_VALUE"""),"พิณุ")</f>
        <v>พิณุ</v>
      </c>
      <c r="J599" t="str">
        <f>IFERROR(__xludf.DUMMYFUNCTION("""COMPUTED_VALUE"""),"สายสีนพคุณ")</f>
        <v>สายสีนพคุณ</v>
      </c>
      <c r="K599" t="str">
        <f>IFERROR(__xludf.DUMMYFUNCTION("""COMPUTED_VALUE"""),"พิณุ สายสีนพคุณ")</f>
        <v>พิณุ สายสีนพคุณ</v>
      </c>
      <c r="L599" t="str">
        <f>IFERROR(__xludf.DUMMYFUNCTION("""COMPUTED_VALUE"""),"แดม Dam")</f>
        <v>แดม Dam</v>
      </c>
      <c r="M599" t="str">
        <f>IFERROR(__xludf.DUMMYFUNCTION("""COMPUTED_VALUE"""),"Cabin Crew - CNX")</f>
        <v>Cabin Crew - CNX</v>
      </c>
      <c r="N599" t="str">
        <f>IFERROR(__xludf.DUMMYFUNCTION("""COMPUTED_VALUE"""),"CNX")</f>
        <v>CNX</v>
      </c>
      <c r="O599" s="145" t="str">
        <f>IFERROR(__xludf.DUMMYFUNCTION("""COMPUTED_VALUE"""),"Up Home")</f>
        <v>Up Home</v>
      </c>
      <c r="P599" t="str">
        <f>IFERROR(__xludf.DUMMYFUNCTION("""COMPUTED_VALUE"""),"Active")</f>
        <v>Active</v>
      </c>
      <c r="R599" s="143">
        <f>IFERROR(__xludf.DUMMYFUNCTION("""COMPUTED_VALUE"""),29881.0)</f>
        <v>29881</v>
      </c>
      <c r="S599" s="146" t="str">
        <f>IFERROR(__xludf.DUMMYFUNCTION("""COMPUTED_VALUE"""),"081-366-8951")</f>
        <v>081-366-8951</v>
      </c>
      <c r="T599" s="147" t="str">
        <f>IFERROR(__xludf.DUMMYFUNCTION("""COMPUTED_VALUE"""),"3-5402-00215-29-9")</f>
        <v>3-5402-00215-29-9</v>
      </c>
      <c r="U599" t="str">
        <f>IFERROR(__xludf.DUMMYFUNCTION("""COMPUTED_VALUE"""),"AC279865")</f>
        <v>AC279865</v>
      </c>
      <c r="V599" s="148">
        <f>IFERROR(__xludf.DUMMYFUNCTION("""COMPUTED_VALUE"""),44510.0)</f>
        <v>44510</v>
      </c>
      <c r="W599" s="148">
        <f>IFERROR(__xludf.DUMMYFUNCTION("""COMPUTED_VALUE"""),48161.0)</f>
        <v>48161</v>
      </c>
      <c r="X599" s="149">
        <f>IFERROR(__xludf.DUMMYFUNCTION("""COMPUTED_VALUE"""),47977.0)</f>
        <v>47977</v>
      </c>
      <c r="Y599" t="str">
        <f>IFERROR(__xludf.DUMMYFUNCTION("""COMPUTED_VALUE"""),"ปลอดภัย")</f>
        <v>ปลอดภัย</v>
      </c>
      <c r="Z599" t="str">
        <f>IFERROR(__xludf.DUMMYFUNCTION("""COMPUTED_VALUE"""),"Phrae Province")</f>
        <v>Phrae Province</v>
      </c>
      <c r="AA599" t="str">
        <f>IFERROR(__xludf.DUMMYFUNCTION("""COMPUTED_VALUE"""),"Donmuang")</f>
        <v>Donmuang</v>
      </c>
      <c r="AB599" t="str">
        <f>IFERROR(__xludf.DUMMYFUNCTION("""COMPUTED_VALUE"""),"086-264-2436")</f>
        <v>086-264-2436</v>
      </c>
      <c r="AC599" t="str">
        <f>IFERROR(__xludf.DUMMYFUNCTION("""COMPUTED_VALUE"""),"Watcharin")</f>
        <v>Watcharin</v>
      </c>
      <c r="AD599" t="str">
        <f>IFERROR(__xludf.DUMMYFUNCTION("""COMPUTED_VALUE"""),"pinus@airasia.com")</f>
        <v>pinus@airasia.com</v>
      </c>
    </row>
    <row r="600">
      <c r="A600" s="142">
        <f>IFERROR(__xludf.DUMMYFUNCTION("""COMPUTED_VALUE"""),73.0)</f>
        <v>73</v>
      </c>
      <c r="B600" t="str">
        <f>IFERROR(__xludf.DUMMYFUNCTION("""COMPUTED_VALUE"""),"TAA6093")</f>
        <v>TAA6093</v>
      </c>
      <c r="C600">
        <f>IFERROR(__xludf.DUMMYFUNCTION("""COMPUTED_VALUE"""),1011829.0)</f>
        <v>1011829</v>
      </c>
      <c r="D600" t="str">
        <f>IFERROR(__xludf.DUMMYFUNCTION("""COMPUTED_VALUE"""),"Ms.")</f>
        <v>Ms.</v>
      </c>
      <c r="E600" t="str">
        <f>IFERROR(__xludf.DUMMYFUNCTION("""COMPUTED_VALUE"""),"Primlisa")</f>
        <v>Primlisa</v>
      </c>
      <c r="F600" t="str">
        <f>IFERROR(__xludf.DUMMYFUNCTION("""COMPUTED_VALUE"""),"Tatha")</f>
        <v>Tatha</v>
      </c>
      <c r="G600" t="str">
        <f>IFERROR(__xludf.DUMMYFUNCTION("""COMPUTED_VALUE"""),"Primlisa Tatha")</f>
        <v>Primlisa Tatha</v>
      </c>
      <c r="H600" t="str">
        <f>IFERROR(__xludf.DUMMYFUNCTION("""COMPUTED_VALUE"""),"นางสาว")</f>
        <v>นางสาว</v>
      </c>
      <c r="I600" t="str">
        <f>IFERROR(__xludf.DUMMYFUNCTION("""COMPUTED_VALUE"""),"พริมลิษา")</f>
        <v>พริมลิษา</v>
      </c>
      <c r="J600" t="str">
        <f>IFERROR(__xludf.DUMMYFUNCTION("""COMPUTED_VALUE"""),"ตะถา")</f>
        <v>ตะถา</v>
      </c>
      <c r="K600" t="str">
        <f>IFERROR(__xludf.DUMMYFUNCTION("""COMPUTED_VALUE"""),"พริมลิษา ตะถา")</f>
        <v>พริมลิษา ตะถา</v>
      </c>
      <c r="L600" t="str">
        <f>IFERROR(__xludf.DUMMYFUNCTION("""COMPUTED_VALUE"""),"เนเน่ Nene")</f>
        <v>เนเน่ Nene</v>
      </c>
      <c r="M600" t="str">
        <f>IFERROR(__xludf.DUMMYFUNCTION("""COMPUTED_VALUE"""),"Senior Cabin Crew")</f>
        <v>Senior Cabin Crew</v>
      </c>
      <c r="N600" t="str">
        <f>IFERROR(__xludf.DUMMYFUNCTION("""COMPUTED_VALUE"""),"DMK")</f>
        <v>DMK</v>
      </c>
      <c r="O600" s="145" t="str">
        <f>IFERROR(__xludf.DUMMYFUNCTION("""COMPUTED_VALUE"""),"Um Home")</f>
        <v>Um Home</v>
      </c>
      <c r="P600" t="str">
        <f>IFERROR(__xludf.DUMMYFUNCTION("""COMPUTED_VALUE"""),"Active")</f>
        <v>Active</v>
      </c>
      <c r="R600" s="143">
        <f>IFERROR(__xludf.DUMMYFUNCTION("""COMPUTED_VALUE"""),31631.0)</f>
        <v>31631</v>
      </c>
      <c r="S600" s="146" t="str">
        <f>IFERROR(__xludf.DUMMYFUNCTION("""COMPUTED_VALUE"""),"085-100-5665")</f>
        <v>085-100-5665</v>
      </c>
      <c r="T600" s="147" t="str">
        <f>IFERROR(__xludf.DUMMYFUNCTION("""COMPUTED_VALUE"""),"1-1007-00516-48-1")</f>
        <v>1-1007-00516-48-1</v>
      </c>
      <c r="U600" t="str">
        <f>IFERROR(__xludf.DUMMYFUNCTION("""COMPUTED_VALUE"""),"AC5800815")</f>
        <v>AC5800815</v>
      </c>
      <c r="V600" s="148">
        <f>IFERROR(__xludf.DUMMYFUNCTION("""COMPUTED_VALUE"""),45230.0)</f>
        <v>45230</v>
      </c>
      <c r="W600" s="148">
        <f>IFERROR(__xludf.DUMMYFUNCTION("""COMPUTED_VALUE"""),47056.0)</f>
        <v>47056</v>
      </c>
      <c r="X600" s="149">
        <f>IFERROR(__xludf.DUMMYFUNCTION("""COMPUTED_VALUE"""),46873.0)</f>
        <v>46873</v>
      </c>
      <c r="Y600" t="str">
        <f>IFERROR(__xludf.DUMMYFUNCTION("""COMPUTED_VALUE"""),"ปลอดภัย")</f>
        <v>ปลอดภัย</v>
      </c>
      <c r="Z600" t="str">
        <f>IFERROR(__xludf.DUMMYFUNCTION("""COMPUTED_VALUE"""),"Bangkok")</f>
        <v>Bangkok</v>
      </c>
      <c r="AA600" t="str">
        <f>IFERROR(__xludf.DUMMYFUNCTION("""COMPUTED_VALUE"""),"Bangkhen")</f>
        <v>Bangkhen</v>
      </c>
      <c r="AB600" t="str">
        <f>IFERROR(__xludf.DUMMYFUNCTION("""COMPUTED_VALUE"""),"098-002-3563")</f>
        <v>098-002-3563</v>
      </c>
      <c r="AC600" t="str">
        <f>IFERROR(__xludf.DUMMYFUNCTION("""COMPUTED_VALUE"""),"Ramida")</f>
        <v>Ramida</v>
      </c>
      <c r="AD600" t="str">
        <f>IFERROR(__xludf.DUMMYFUNCTION("""COMPUTED_VALUE"""),"primlisat@airasia.com")</f>
        <v>primlisat@airasia.com</v>
      </c>
    </row>
    <row r="601">
      <c r="A601" s="142">
        <f>IFERROR(__xludf.DUMMYFUNCTION("""COMPUTED_VALUE"""),73.0)</f>
        <v>73</v>
      </c>
      <c r="B601" t="str">
        <f>IFERROR(__xludf.DUMMYFUNCTION("""COMPUTED_VALUE"""),"TAA6108")</f>
        <v>TAA6108</v>
      </c>
      <c r="C601">
        <f>IFERROR(__xludf.DUMMYFUNCTION("""COMPUTED_VALUE"""),1011830.0)</f>
        <v>1011830</v>
      </c>
      <c r="D601" t="str">
        <f>IFERROR(__xludf.DUMMYFUNCTION("""COMPUTED_VALUE"""),"Mr.")</f>
        <v>Mr.</v>
      </c>
      <c r="E601" t="str">
        <f>IFERROR(__xludf.DUMMYFUNCTION("""COMPUTED_VALUE"""),"Rathaphon")</f>
        <v>Rathaphon</v>
      </c>
      <c r="F601" t="str">
        <f>IFERROR(__xludf.DUMMYFUNCTION("""COMPUTED_VALUE"""),"Pratheappornsak")</f>
        <v>Pratheappornsak</v>
      </c>
      <c r="G601" t="str">
        <f>IFERROR(__xludf.DUMMYFUNCTION("""COMPUTED_VALUE"""),"Rathaphon Pratheappornsak")</f>
        <v>Rathaphon Pratheappornsak</v>
      </c>
      <c r="H601" t="str">
        <f>IFERROR(__xludf.DUMMYFUNCTION("""COMPUTED_VALUE"""),"นาย")</f>
        <v>นาย</v>
      </c>
      <c r="I601" t="str">
        <f>IFERROR(__xludf.DUMMYFUNCTION("""COMPUTED_VALUE"""),"รัฐพล")</f>
        <v>รัฐพล</v>
      </c>
      <c r="J601" t="str">
        <f>IFERROR(__xludf.DUMMYFUNCTION("""COMPUTED_VALUE"""),"ประทีปพรศักดิ์")</f>
        <v>ประทีปพรศักดิ์</v>
      </c>
      <c r="K601" t="str">
        <f>IFERROR(__xludf.DUMMYFUNCTION("""COMPUTED_VALUE"""),"รัฐพล ประทีปพรศักดิ์")</f>
        <v>รัฐพล ประทีปพรศักดิ์</v>
      </c>
      <c r="L601" t="str">
        <f>IFERROR(__xludf.DUMMYFUNCTION("""COMPUTED_VALUE"""),"โอ O")</f>
        <v>โอ O</v>
      </c>
      <c r="M601" t="str">
        <f>IFERROR(__xludf.DUMMYFUNCTION("""COMPUTED_VALUE"""),"Senior Cabin Crew")</f>
        <v>Senior Cabin Crew</v>
      </c>
      <c r="N601" t="str">
        <f>IFERROR(__xludf.DUMMYFUNCTION("""COMPUTED_VALUE"""),"DMK")</f>
        <v>DMK</v>
      </c>
      <c r="O601" s="145" t="str">
        <f>IFERROR(__xludf.DUMMYFUNCTION("""COMPUTED_VALUE"""),"Um Home")</f>
        <v>Um Home</v>
      </c>
      <c r="P601" t="str">
        <f>IFERROR(__xludf.DUMMYFUNCTION("""COMPUTED_VALUE"""),"Active")</f>
        <v>Active</v>
      </c>
      <c r="Q601" t="str">
        <f>IFERROR(__xludf.DUMMYFUNCTION("""COMPUTED_VALUE"""),"Chinese Speaking / SCC Line Checker 2025")</f>
        <v>Chinese Speaking / SCC Line Checker 2025</v>
      </c>
      <c r="R601" s="143">
        <f>IFERROR(__xludf.DUMMYFUNCTION("""COMPUTED_VALUE"""),31015.0)</f>
        <v>31015</v>
      </c>
      <c r="S601" s="146" t="str">
        <f>IFERROR(__xludf.DUMMYFUNCTION("""COMPUTED_VALUE"""),"081-889-0998")</f>
        <v>081-889-0998</v>
      </c>
      <c r="T601" s="147" t="str">
        <f>IFERROR(__xludf.DUMMYFUNCTION("""COMPUTED_VALUE"""),"1-1020-00177-55-4")</f>
        <v>1-1020-00177-55-4</v>
      </c>
      <c r="U601" t="str">
        <f>IFERROR(__xludf.DUMMYFUNCTION("""COMPUTED_VALUE"""),"AC2836137")</f>
        <v>AC2836137</v>
      </c>
      <c r="V601" s="148">
        <f>IFERROR(__xludf.DUMMYFUNCTION("""COMPUTED_VALUE"""),44523.0)</f>
        <v>44523</v>
      </c>
      <c r="W601" s="148">
        <f>IFERROR(__xludf.DUMMYFUNCTION("""COMPUTED_VALUE"""),48174.0)</f>
        <v>48174</v>
      </c>
      <c r="X601" s="149">
        <f>IFERROR(__xludf.DUMMYFUNCTION("""COMPUTED_VALUE"""),47990.0)</f>
        <v>47990</v>
      </c>
      <c r="Y601" t="str">
        <f>IFERROR(__xludf.DUMMYFUNCTION("""COMPUTED_VALUE"""),"ปลอดภัย")</f>
        <v>ปลอดภัย</v>
      </c>
      <c r="Z601" t="str">
        <f>IFERROR(__xludf.DUMMYFUNCTION("""COMPUTED_VALUE"""),"Bangkok")</f>
        <v>Bangkok</v>
      </c>
      <c r="AA601" t="str">
        <f>IFERROR(__xludf.DUMMYFUNCTION("""COMPUTED_VALUE"""),"Nonthaburi")</f>
        <v>Nonthaburi</v>
      </c>
      <c r="AB601" t="str">
        <f>IFERROR(__xludf.DUMMYFUNCTION("""COMPUTED_VALUE"""),"089-129-0998")</f>
        <v>089-129-0998</v>
      </c>
      <c r="AC601" t="str">
        <f>IFERROR(__xludf.DUMMYFUNCTION("""COMPUTED_VALUE"""),"Chumpol")</f>
        <v>Chumpol</v>
      </c>
      <c r="AD601" t="str">
        <f>IFERROR(__xludf.DUMMYFUNCTION("""COMPUTED_VALUE"""),"rathaphonp@airasia.com")</f>
        <v>rathaphonp@airasia.com</v>
      </c>
    </row>
    <row r="602">
      <c r="A602" s="142">
        <f>IFERROR(__xludf.DUMMYFUNCTION("""COMPUTED_VALUE"""),73.0)</f>
        <v>73</v>
      </c>
      <c r="B602" t="str">
        <f>IFERROR(__xludf.DUMMYFUNCTION("""COMPUTED_VALUE"""),"TAA6092")</f>
        <v>TAA6092</v>
      </c>
      <c r="C602">
        <f>IFERROR(__xludf.DUMMYFUNCTION("""COMPUTED_VALUE"""),1011836.0)</f>
        <v>1011836</v>
      </c>
      <c r="D602" t="str">
        <f>IFERROR(__xludf.DUMMYFUNCTION("""COMPUTED_VALUE"""),"Mr.")</f>
        <v>Mr.</v>
      </c>
      <c r="E602" t="str">
        <f>IFERROR(__xludf.DUMMYFUNCTION("""COMPUTED_VALUE"""),"Sirapong (Natthanon)")</f>
        <v>Sirapong (Natthanon)</v>
      </c>
      <c r="F602" t="str">
        <f>IFERROR(__xludf.DUMMYFUNCTION("""COMPUTED_VALUE"""),"Charoenwutbhawonrat")</f>
        <v>Charoenwutbhawonrat</v>
      </c>
      <c r="G602" t="str">
        <f>IFERROR(__xludf.DUMMYFUNCTION("""COMPUTED_VALUE"""),"Sirapong Charoenwutbhawonrat")</f>
        <v>Sirapong Charoenwutbhawonrat</v>
      </c>
      <c r="H602" t="str">
        <f>IFERROR(__xludf.DUMMYFUNCTION("""COMPUTED_VALUE"""),"นาย")</f>
        <v>นาย</v>
      </c>
      <c r="I602" t="str">
        <f>IFERROR(__xludf.DUMMYFUNCTION("""COMPUTED_VALUE"""),"ศิรพงศ์ (ณัฐธนนท์)")</f>
        <v>ศิรพงศ์ (ณัฐธนนท์)</v>
      </c>
      <c r="J602" t="str">
        <f>IFERROR(__xludf.DUMMYFUNCTION("""COMPUTED_VALUE"""),"เจริญวุฒิบวรรัฐ")</f>
        <v>เจริญวุฒิบวรรัฐ</v>
      </c>
      <c r="K602" t="str">
        <f>IFERROR(__xludf.DUMMYFUNCTION("""COMPUTED_VALUE"""),"ศิรพงศ์ เจริญวุฒิบวรรัฐ")</f>
        <v>ศิรพงศ์ เจริญวุฒิบวรรัฐ</v>
      </c>
      <c r="L602" t="str">
        <f>IFERROR(__xludf.DUMMYFUNCTION("""COMPUTED_VALUE"""),"อั้ม Umm")</f>
        <v>อั้ม Umm</v>
      </c>
      <c r="M602" t="str">
        <f>IFERROR(__xludf.DUMMYFUNCTION("""COMPUTED_VALUE"""),"Senior Cabin Crew - BKK")</f>
        <v>Senior Cabin Crew - BKK</v>
      </c>
      <c r="N602" t="str">
        <f>IFERROR(__xludf.DUMMYFUNCTION("""COMPUTED_VALUE"""),"BKK")</f>
        <v>BKK</v>
      </c>
      <c r="O602" s="145" t="str">
        <f>IFERROR(__xludf.DUMMYFUNCTION("""COMPUTED_VALUE"""),"Nhui Home")</f>
        <v>Nhui Home</v>
      </c>
      <c r="P602" t="str">
        <f>IFERROR(__xludf.DUMMYFUNCTION("""COMPUTED_VALUE"""),"Active")</f>
        <v>Active</v>
      </c>
      <c r="R602" s="143">
        <f>IFERROR(__xludf.DUMMYFUNCTION("""COMPUTED_VALUE"""),29335.0)</f>
        <v>29335</v>
      </c>
      <c r="S602" s="146" t="str">
        <f>IFERROR(__xludf.DUMMYFUNCTION("""COMPUTED_VALUE"""),"092-594-9266")</f>
        <v>092-594-9266</v>
      </c>
      <c r="T602" s="147" t="str">
        <f>IFERROR(__xludf.DUMMYFUNCTION("""COMPUTED_VALUE"""),"3-1006-02544-82-7")</f>
        <v>3-1006-02544-82-7</v>
      </c>
      <c r="U602" t="str">
        <f>IFERROR(__xludf.DUMMYFUNCTION("""COMPUTED_VALUE"""),"AC5892104")</f>
        <v>AC5892104</v>
      </c>
      <c r="V602" s="148">
        <f>IFERROR(__xludf.DUMMYFUNCTION("""COMPUTED_VALUE"""),45218.0)</f>
        <v>45218</v>
      </c>
      <c r="W602" s="148">
        <f>IFERROR(__xludf.DUMMYFUNCTION("""COMPUTED_VALUE"""),48870.0)</f>
        <v>48870</v>
      </c>
      <c r="X602" s="149">
        <f>IFERROR(__xludf.DUMMYFUNCTION("""COMPUTED_VALUE"""),48687.0)</f>
        <v>48687</v>
      </c>
      <c r="Y602" t="str">
        <f>IFERROR(__xludf.DUMMYFUNCTION("""COMPUTED_VALUE"""),"ปลอดภัย")</f>
        <v>ปลอดภัย</v>
      </c>
      <c r="Z602" t="str">
        <f>IFERROR(__xludf.DUMMYFUNCTION("""COMPUTED_VALUE"""),"Bangkok")</f>
        <v>Bangkok</v>
      </c>
      <c r="AA602" t="str">
        <f>IFERROR(__xludf.DUMMYFUNCTION("""COMPUTED_VALUE"""),"Samutpakan")</f>
        <v>Samutpakan</v>
      </c>
      <c r="AB602" t="str">
        <f>IFERROR(__xludf.DUMMYFUNCTION("""COMPUTED_VALUE"""),"082-495-1199")</f>
        <v>082-495-1199</v>
      </c>
      <c r="AC602" t="str">
        <f>IFERROR(__xludf.DUMMYFUNCTION("""COMPUTED_VALUE"""),"Anuwat")</f>
        <v>Anuwat</v>
      </c>
      <c r="AD602" t="str">
        <f>IFERROR(__xludf.DUMMYFUNCTION("""COMPUTED_VALUE"""),"sirapongh@airasia.com")</f>
        <v>sirapongh@airasia.com</v>
      </c>
    </row>
    <row r="603">
      <c r="A603" s="142">
        <f>IFERROR(__xludf.DUMMYFUNCTION("""COMPUTED_VALUE"""),73.0)</f>
        <v>73</v>
      </c>
      <c r="B603" t="str">
        <f>IFERROR(__xludf.DUMMYFUNCTION("""COMPUTED_VALUE"""),"TAA6104")</f>
        <v>TAA6104</v>
      </c>
      <c r="C603">
        <f>IFERROR(__xludf.DUMMYFUNCTION("""COMPUTED_VALUE"""),1011838.0)</f>
        <v>1011838</v>
      </c>
      <c r="D603" t="str">
        <f>IFERROR(__xludf.DUMMYFUNCTION("""COMPUTED_VALUE"""),"Ms.")</f>
        <v>Ms.</v>
      </c>
      <c r="E603" t="str">
        <f>IFERROR(__xludf.DUMMYFUNCTION("""COMPUTED_VALUE"""),"Supichaya")</f>
        <v>Supichaya</v>
      </c>
      <c r="F603" t="str">
        <f>IFERROR(__xludf.DUMMYFUNCTION("""COMPUTED_VALUE"""),"Tongthip")</f>
        <v>Tongthip</v>
      </c>
      <c r="G603" t="str">
        <f>IFERROR(__xludf.DUMMYFUNCTION("""COMPUTED_VALUE"""),"Supichaya Tongthip")</f>
        <v>Supichaya Tongthip</v>
      </c>
      <c r="H603" t="str">
        <f>IFERROR(__xludf.DUMMYFUNCTION("""COMPUTED_VALUE"""),"นางสาว")</f>
        <v>นางสาว</v>
      </c>
      <c r="I603" t="str">
        <f>IFERROR(__xludf.DUMMYFUNCTION("""COMPUTED_VALUE"""),"สุพิชญา")</f>
        <v>สุพิชญา</v>
      </c>
      <c r="J603" t="str">
        <f>IFERROR(__xludf.DUMMYFUNCTION("""COMPUTED_VALUE"""),"ทองทิพย์")</f>
        <v>ทองทิพย์</v>
      </c>
      <c r="K603" t="str">
        <f>IFERROR(__xludf.DUMMYFUNCTION("""COMPUTED_VALUE"""),"สุพิชญา ทองทิพย์")</f>
        <v>สุพิชญา ทองทิพย์</v>
      </c>
      <c r="L603" t="str">
        <f>IFERROR(__xludf.DUMMYFUNCTION("""COMPUTED_VALUE"""),"แก้ม Tam")</f>
        <v>แก้ม Tam</v>
      </c>
      <c r="M603" t="str">
        <f>IFERROR(__xludf.DUMMYFUNCTION("""COMPUTED_VALUE"""),"Cabin Crew - CNX")</f>
        <v>Cabin Crew - CNX</v>
      </c>
      <c r="N603" t="str">
        <f>IFERROR(__xludf.DUMMYFUNCTION("""COMPUTED_VALUE"""),"CNX")</f>
        <v>CNX</v>
      </c>
      <c r="O603" s="145" t="str">
        <f>IFERROR(__xludf.DUMMYFUNCTION("""COMPUTED_VALUE"""),"Up Home")</f>
        <v>Up Home</v>
      </c>
      <c r="P603" t="str">
        <f>IFERROR(__xludf.DUMMYFUNCTION("""COMPUTED_VALUE"""),"Active")</f>
        <v>Active</v>
      </c>
      <c r="R603" s="143">
        <f>IFERROR(__xludf.DUMMYFUNCTION("""COMPUTED_VALUE"""),31297.0)</f>
        <v>31297</v>
      </c>
      <c r="S603" s="146" t="str">
        <f>IFERROR(__xludf.DUMMYFUNCTION("""COMPUTED_VALUE"""),"081-968-9195")</f>
        <v>081-968-9195</v>
      </c>
      <c r="T603" s="147" t="str">
        <f>IFERROR(__xludf.DUMMYFUNCTION("""COMPUTED_VALUE"""),"1-5099-00234-64-6")</f>
        <v>1-5099-00234-64-6</v>
      </c>
      <c r="U603" t="str">
        <f>IFERROR(__xludf.DUMMYFUNCTION("""COMPUTED_VALUE"""),"AC7910758")</f>
        <v>AC7910758</v>
      </c>
      <c r="V603" s="148">
        <f>IFERROR(__xludf.DUMMYFUNCTION("""COMPUTED_VALUE"""),45659.0)</f>
        <v>45659</v>
      </c>
      <c r="W603" s="148">
        <f>IFERROR(__xludf.DUMMYFUNCTION("""COMPUTED_VALUE"""),49310.0)</f>
        <v>49310</v>
      </c>
      <c r="X603" s="149">
        <f>IFERROR(__xludf.DUMMYFUNCTION("""COMPUTED_VALUE"""),49126.0)</f>
        <v>49126</v>
      </c>
      <c r="Y603" t="str">
        <f>IFERROR(__xludf.DUMMYFUNCTION("""COMPUTED_VALUE"""),"ปลอดภัย")</f>
        <v>ปลอดภัย</v>
      </c>
      <c r="Z603" t="str">
        <f>IFERROR(__xludf.DUMMYFUNCTION("""COMPUTED_VALUE"""),"Chiang Mai Province")</f>
        <v>Chiang Mai Province</v>
      </c>
      <c r="AA603" t="str">
        <f>IFERROR(__xludf.DUMMYFUNCTION("""COMPUTED_VALUE"""),"Phayatai")</f>
        <v>Phayatai</v>
      </c>
      <c r="AB603" t="str">
        <f>IFERROR(__xludf.DUMMYFUNCTION("""COMPUTED_VALUE"""),"092-592-6464")</f>
        <v>092-592-6464</v>
      </c>
      <c r="AC603" t="str">
        <f>IFERROR(__xludf.DUMMYFUNCTION("""COMPUTED_VALUE"""),"Wanvisa")</f>
        <v>Wanvisa</v>
      </c>
      <c r="AD603" t="str">
        <f>IFERROR(__xludf.DUMMYFUNCTION("""COMPUTED_VALUE"""),"supichayat@airasia.com")</f>
        <v>supichayat@airasia.com</v>
      </c>
    </row>
    <row r="604">
      <c r="A604" s="142">
        <f>IFERROR(__xludf.DUMMYFUNCTION("""COMPUTED_VALUE"""),73.0)</f>
        <v>73</v>
      </c>
      <c r="B604" t="str">
        <f>IFERROR(__xludf.DUMMYFUNCTION("""COMPUTED_VALUE"""),"TAA6111")</f>
        <v>TAA6111</v>
      </c>
      <c r="C604">
        <f>IFERROR(__xludf.DUMMYFUNCTION("""COMPUTED_VALUE"""),1011843.0)</f>
        <v>1011843</v>
      </c>
      <c r="D604" t="str">
        <f>IFERROR(__xludf.DUMMYFUNCTION("""COMPUTED_VALUE"""),"Mr.")</f>
        <v>Mr.</v>
      </c>
      <c r="E604" t="str">
        <f>IFERROR(__xludf.DUMMYFUNCTION("""COMPUTED_VALUE"""),"Teetawat")</f>
        <v>Teetawat</v>
      </c>
      <c r="F604" t="str">
        <f>IFERROR(__xludf.DUMMYFUNCTION("""COMPUTED_VALUE"""),"Vanaphuti")</f>
        <v>Vanaphuti</v>
      </c>
      <c r="G604" t="str">
        <f>IFERROR(__xludf.DUMMYFUNCTION("""COMPUTED_VALUE"""),"Teetawat Vanaphuti")</f>
        <v>Teetawat Vanaphuti</v>
      </c>
      <c r="H604" t="str">
        <f>IFERROR(__xludf.DUMMYFUNCTION("""COMPUTED_VALUE"""),"นาย")</f>
        <v>นาย</v>
      </c>
      <c r="I604" t="str">
        <f>IFERROR(__xludf.DUMMYFUNCTION("""COMPUTED_VALUE"""),"ธีร์ธวัช")</f>
        <v>ธีร์ธวัช</v>
      </c>
      <c r="J604" t="str">
        <f>IFERROR(__xludf.DUMMYFUNCTION("""COMPUTED_VALUE"""),"วนะภูติ")</f>
        <v>วนะภูติ</v>
      </c>
      <c r="K604" t="str">
        <f>IFERROR(__xludf.DUMMYFUNCTION("""COMPUTED_VALUE"""),"ธีร์ธวัช วนะภูติ")</f>
        <v>ธีร์ธวัช วนะภูติ</v>
      </c>
      <c r="L604" t="str">
        <f>IFERROR(__xludf.DUMMYFUNCTION("""COMPUTED_VALUE"""),"เชน Shane")</f>
        <v>เชน Shane</v>
      </c>
      <c r="M604" t="str">
        <f>IFERROR(__xludf.DUMMYFUNCTION("""COMPUTED_VALUE"""),"Cabin Crew")</f>
        <v>Cabin Crew</v>
      </c>
      <c r="N604" t="str">
        <f>IFERROR(__xludf.DUMMYFUNCTION("""COMPUTED_VALUE"""),"DMK")</f>
        <v>DMK</v>
      </c>
      <c r="O604" s="145" t="str">
        <f>IFERROR(__xludf.DUMMYFUNCTION("""COMPUTED_VALUE"""),"Toffy Home")</f>
        <v>Toffy Home</v>
      </c>
      <c r="P604" t="str">
        <f>IFERROR(__xludf.DUMMYFUNCTION("""COMPUTED_VALUE"""),"Active")</f>
        <v>Active</v>
      </c>
      <c r="R604" s="143">
        <f>IFERROR(__xludf.DUMMYFUNCTION("""COMPUTED_VALUE"""),32722.0)</f>
        <v>32722</v>
      </c>
      <c r="S604" s="146" t="str">
        <f>IFERROR(__xludf.DUMMYFUNCTION("""COMPUTED_VALUE"""),"084-356-1942")</f>
        <v>084-356-1942</v>
      </c>
      <c r="T604" s="147" t="str">
        <f>IFERROR(__xludf.DUMMYFUNCTION("""COMPUTED_VALUE"""),"1-1014-01659-84-2")</f>
        <v>1-1014-01659-84-2</v>
      </c>
      <c r="U604" t="str">
        <f>IFERROR(__xludf.DUMMYFUNCTION("""COMPUTED_VALUE"""),"AC5966295")</f>
        <v>AC5966295</v>
      </c>
      <c r="V604" s="148">
        <f>IFERROR(__xludf.DUMMYFUNCTION("""COMPUTED_VALUE"""),45258.0)</f>
        <v>45258</v>
      </c>
      <c r="W604" s="148">
        <f>IFERROR(__xludf.DUMMYFUNCTION("""COMPUTED_VALUE"""),48910.0)</f>
        <v>48910</v>
      </c>
      <c r="X604" s="149">
        <f>IFERROR(__xludf.DUMMYFUNCTION("""COMPUTED_VALUE"""),48726.0)</f>
        <v>48726</v>
      </c>
      <c r="Y604" t="str">
        <f>IFERROR(__xludf.DUMMYFUNCTION("""COMPUTED_VALUE"""),"ปลอดภัย")</f>
        <v>ปลอดภัย</v>
      </c>
      <c r="Z604" t="str">
        <f>IFERROR(__xludf.DUMMYFUNCTION("""COMPUTED_VALUE"""),"Bangkok")</f>
        <v>Bangkok</v>
      </c>
      <c r="AA604" t="str">
        <f>IFERROR(__xludf.DUMMYFUNCTION("""COMPUTED_VALUE"""),"Rama 6")</f>
        <v>Rama 6</v>
      </c>
      <c r="AB604" t="str">
        <f>IFERROR(__xludf.DUMMYFUNCTION("""COMPUTED_VALUE"""),"085-352-7284")</f>
        <v>085-352-7284</v>
      </c>
      <c r="AC604" t="str">
        <f>IFERROR(__xludf.DUMMYFUNCTION("""COMPUTED_VALUE"""),"Banjong")</f>
        <v>Banjong</v>
      </c>
      <c r="AD604" t="str">
        <f>IFERROR(__xludf.DUMMYFUNCTION("""COMPUTED_VALUE"""),"teetawatv@airasia.com")</f>
        <v>teetawatv@airasia.com</v>
      </c>
    </row>
    <row r="605">
      <c r="A605" s="142">
        <f>IFERROR(__xludf.DUMMYFUNCTION("""COMPUTED_VALUE"""),73.0)</f>
        <v>73</v>
      </c>
      <c r="B605" t="str">
        <f>IFERROR(__xludf.DUMMYFUNCTION("""COMPUTED_VALUE"""),"TAA6094")</f>
        <v>TAA6094</v>
      </c>
      <c r="C605">
        <f>IFERROR(__xludf.DUMMYFUNCTION("""COMPUTED_VALUE"""),1011844.0)</f>
        <v>1011844</v>
      </c>
      <c r="D605" t="str">
        <f>IFERROR(__xludf.DUMMYFUNCTION("""COMPUTED_VALUE"""),"Ms.")</f>
        <v>Ms.</v>
      </c>
      <c r="E605" t="str">
        <f>IFERROR(__xludf.DUMMYFUNCTION("""COMPUTED_VALUE"""),"Thanyaporn")</f>
        <v>Thanyaporn</v>
      </c>
      <c r="F605" t="str">
        <f>IFERROR(__xludf.DUMMYFUNCTION("""COMPUTED_VALUE"""),"Vaivattana")</f>
        <v>Vaivattana</v>
      </c>
      <c r="G605" t="str">
        <f>IFERROR(__xludf.DUMMYFUNCTION("""COMPUTED_VALUE"""),"Thanyaporn Vaivattana")</f>
        <v>Thanyaporn Vaivattana</v>
      </c>
      <c r="H605" t="str">
        <f>IFERROR(__xludf.DUMMYFUNCTION("""COMPUTED_VALUE"""),"นางสาว")</f>
        <v>นางสาว</v>
      </c>
      <c r="I605" t="str">
        <f>IFERROR(__xludf.DUMMYFUNCTION("""COMPUTED_VALUE"""),"ธัญพร")</f>
        <v>ธัญพร</v>
      </c>
      <c r="J605" t="str">
        <f>IFERROR(__xludf.DUMMYFUNCTION("""COMPUTED_VALUE"""),"วัยวัฒนะ")</f>
        <v>วัยวัฒนะ</v>
      </c>
      <c r="K605" t="str">
        <f>IFERROR(__xludf.DUMMYFUNCTION("""COMPUTED_VALUE"""),"ธัญพร วัยวัฒนะ")</f>
        <v>ธัญพร วัยวัฒนะ</v>
      </c>
      <c r="L605" t="str">
        <f>IFERROR(__xludf.DUMMYFUNCTION("""COMPUTED_VALUE"""),"แนท Natt")</f>
        <v>แนท Natt</v>
      </c>
      <c r="M605" t="str">
        <f>IFERROR(__xludf.DUMMYFUNCTION("""COMPUTED_VALUE"""),"Cabin Crew")</f>
        <v>Cabin Crew</v>
      </c>
      <c r="N605" t="str">
        <f>IFERROR(__xludf.DUMMYFUNCTION("""COMPUTED_VALUE"""),"DMK")</f>
        <v>DMK</v>
      </c>
      <c r="O605" s="145" t="str">
        <f>IFERROR(__xludf.DUMMYFUNCTION("""COMPUTED_VALUE"""),"Toffy Home")</f>
        <v>Toffy Home</v>
      </c>
      <c r="P605" t="str">
        <f>IFERROR(__xludf.DUMMYFUNCTION("""COMPUTED_VALUE"""),"Active")</f>
        <v>Active</v>
      </c>
      <c r="R605" s="143">
        <f>IFERROR(__xludf.DUMMYFUNCTION("""COMPUTED_VALUE"""),31628.0)</f>
        <v>31628</v>
      </c>
      <c r="S605" s="146" t="str">
        <f>IFERROR(__xludf.DUMMYFUNCTION("""COMPUTED_VALUE"""),"062-6964241")</f>
        <v>062-6964241</v>
      </c>
      <c r="T605" s="147" t="str">
        <f>IFERROR(__xludf.DUMMYFUNCTION("""COMPUTED_VALUE"""),"1-1008-00295-85-1")</f>
        <v>1-1008-00295-85-1</v>
      </c>
      <c r="U605" t="str">
        <f>IFERROR(__xludf.DUMMYFUNCTION("""COMPUTED_VALUE"""),"AC4361039")</f>
        <v>AC4361039</v>
      </c>
      <c r="V605" s="148">
        <f>IFERROR(__xludf.DUMMYFUNCTION("""COMPUTED_VALUE"""),44938.0)</f>
        <v>44938</v>
      </c>
      <c r="W605" s="148">
        <f>IFERROR(__xludf.DUMMYFUNCTION("""COMPUTED_VALUE"""),48590.0)</f>
        <v>48590</v>
      </c>
      <c r="X605" s="149">
        <f>IFERROR(__xludf.DUMMYFUNCTION("""COMPUTED_VALUE"""),48406.0)</f>
        <v>48406</v>
      </c>
      <c r="Y605" t="str">
        <f>IFERROR(__xludf.DUMMYFUNCTION("""COMPUTED_VALUE"""),"ปลอดภัย")</f>
        <v>ปลอดภัย</v>
      </c>
      <c r="Z605" t="str">
        <f>IFERROR(__xludf.DUMMYFUNCTION("""COMPUTED_VALUE"""),"Bangkok")</f>
        <v>Bangkok</v>
      </c>
      <c r="AA605" t="str">
        <f>IFERROR(__xludf.DUMMYFUNCTION("""COMPUTED_VALUE"""),"Suanluang")</f>
        <v>Suanluang</v>
      </c>
      <c r="AB605" t="str">
        <f>IFERROR(__xludf.DUMMYFUNCTION("""COMPUTED_VALUE"""),"089-926-7537")</f>
        <v>089-926-7537</v>
      </c>
      <c r="AC605" t="str">
        <f>IFERROR(__xludf.DUMMYFUNCTION("""COMPUTED_VALUE"""),"Chatchawal")</f>
        <v>Chatchawal</v>
      </c>
      <c r="AD605" t="str">
        <f>IFERROR(__xludf.DUMMYFUNCTION("""COMPUTED_VALUE"""),"thanyapornv@airasia.com")</f>
        <v>thanyapornv@airasia.com</v>
      </c>
    </row>
    <row r="606">
      <c r="A606" s="142">
        <f>IFERROR(__xludf.DUMMYFUNCTION("""COMPUTED_VALUE"""),73.0)</f>
        <v>73</v>
      </c>
      <c r="B606" t="str">
        <f>IFERROR(__xludf.DUMMYFUNCTION("""COMPUTED_VALUE"""),"TAA6114")</f>
        <v>TAA6114</v>
      </c>
      <c r="C606">
        <f>IFERROR(__xludf.DUMMYFUNCTION("""COMPUTED_VALUE"""),1011845.0)</f>
        <v>1011845</v>
      </c>
      <c r="D606" t="str">
        <f>IFERROR(__xludf.DUMMYFUNCTION("""COMPUTED_VALUE"""),"Ms.")</f>
        <v>Ms.</v>
      </c>
      <c r="E606" t="str">
        <f>IFERROR(__xludf.DUMMYFUNCTION("""COMPUTED_VALUE"""),"Thitima")</f>
        <v>Thitima</v>
      </c>
      <c r="F606" t="str">
        <f>IFERROR(__xludf.DUMMYFUNCTION("""COMPUTED_VALUE"""),"Yoosaeng")</f>
        <v>Yoosaeng</v>
      </c>
      <c r="G606" t="str">
        <f>IFERROR(__xludf.DUMMYFUNCTION("""COMPUTED_VALUE"""),"Thitima Yoosaeng")</f>
        <v>Thitima Yoosaeng</v>
      </c>
      <c r="H606" t="str">
        <f>IFERROR(__xludf.DUMMYFUNCTION("""COMPUTED_VALUE"""),"นางสาว")</f>
        <v>นางสาว</v>
      </c>
      <c r="I606" t="str">
        <f>IFERROR(__xludf.DUMMYFUNCTION("""COMPUTED_VALUE"""),"ธิติมา")</f>
        <v>ธิติมา</v>
      </c>
      <c r="J606" t="str">
        <f>IFERROR(__xludf.DUMMYFUNCTION("""COMPUTED_VALUE"""),"อยู่แสง")</f>
        <v>อยู่แสง</v>
      </c>
      <c r="K606" t="str">
        <f>IFERROR(__xludf.DUMMYFUNCTION("""COMPUTED_VALUE"""),"ธิติมา อยู่แสง")</f>
        <v>ธิติมา อยู่แสง</v>
      </c>
      <c r="L606" t="str">
        <f>IFERROR(__xludf.DUMMYFUNCTION("""COMPUTED_VALUE"""),"ก้อย Koi")</f>
        <v>ก้อย Koi</v>
      </c>
      <c r="M606" t="str">
        <f>IFERROR(__xludf.DUMMYFUNCTION("""COMPUTED_VALUE"""),"Cabin Crew")</f>
        <v>Cabin Crew</v>
      </c>
      <c r="N606" t="str">
        <f>IFERROR(__xludf.DUMMYFUNCTION("""COMPUTED_VALUE"""),"DMK")</f>
        <v>DMK</v>
      </c>
      <c r="O606" s="145" t="str">
        <f>IFERROR(__xludf.DUMMYFUNCTION("""COMPUTED_VALUE"""),"Kor Home")</f>
        <v>Kor Home</v>
      </c>
      <c r="P606" t="str">
        <f>IFERROR(__xludf.DUMMYFUNCTION("""COMPUTED_VALUE"""),"Active")</f>
        <v>Active</v>
      </c>
      <c r="R606" s="143">
        <f>IFERROR(__xludf.DUMMYFUNCTION("""COMPUTED_VALUE"""),30104.0)</f>
        <v>30104</v>
      </c>
      <c r="S606" s="146" t="str">
        <f>IFERROR(__xludf.DUMMYFUNCTION("""COMPUTED_VALUE"""),"099-959-1955")</f>
        <v>099-959-1955</v>
      </c>
      <c r="T606" s="147" t="str">
        <f>IFERROR(__xludf.DUMMYFUNCTION("""COMPUTED_VALUE"""),"3-1005-02531-76-6")</f>
        <v>3-1005-02531-76-6</v>
      </c>
      <c r="U606" t="str">
        <f>IFERROR(__xludf.DUMMYFUNCTION("""COMPUTED_VALUE"""),"AC7590954")</f>
        <v>AC7590954</v>
      </c>
      <c r="V606" s="148">
        <f>IFERROR(__xludf.DUMMYFUNCTION("""COMPUTED_VALUE"""),45581.0)</f>
        <v>45581</v>
      </c>
      <c r="W606" s="148">
        <f>IFERROR(__xludf.DUMMYFUNCTION("""COMPUTED_VALUE"""),49232.0)</f>
        <v>49232</v>
      </c>
      <c r="X606" s="149">
        <f>IFERROR(__xludf.DUMMYFUNCTION("""COMPUTED_VALUE"""),49049.0)</f>
        <v>49049</v>
      </c>
      <c r="Y606" t="str">
        <f>IFERROR(__xludf.DUMMYFUNCTION("""COMPUTED_VALUE"""),"ปลอดภัย")</f>
        <v>ปลอดภัย</v>
      </c>
      <c r="Z606" t="str">
        <f>IFERROR(__xludf.DUMMYFUNCTION("""COMPUTED_VALUE"""),"Bangkok")</f>
        <v>Bangkok</v>
      </c>
      <c r="AA606" t="str">
        <f>IFERROR(__xludf.DUMMYFUNCTION("""COMPUTED_VALUE"""),"Bangkhen")</f>
        <v>Bangkhen</v>
      </c>
      <c r="AB606" t="str">
        <f>IFERROR(__xludf.DUMMYFUNCTION("""COMPUTED_VALUE"""),"081-811-6975")</f>
        <v>081-811-6975</v>
      </c>
      <c r="AC606" t="str">
        <f>IFERROR(__xludf.DUMMYFUNCTION("""COMPUTED_VALUE"""),"Chana")</f>
        <v>Chana</v>
      </c>
      <c r="AD606" t="str">
        <f>IFERROR(__xludf.DUMMYFUNCTION("""COMPUTED_VALUE"""),"thitimay@airasia.com")</f>
        <v>thitimay@airasia.com</v>
      </c>
    </row>
    <row r="607">
      <c r="A607" s="142">
        <f>IFERROR(__xludf.DUMMYFUNCTION("""COMPUTED_VALUE"""),73.0)</f>
        <v>73</v>
      </c>
      <c r="B607" t="str">
        <f>IFERROR(__xludf.DUMMYFUNCTION("""COMPUTED_VALUE"""),"TAA6098")</f>
        <v>TAA6098</v>
      </c>
      <c r="C607">
        <f>IFERROR(__xludf.DUMMYFUNCTION("""COMPUTED_VALUE"""),1011846.0)</f>
        <v>1011846</v>
      </c>
      <c r="D607" t="str">
        <f>IFERROR(__xludf.DUMMYFUNCTION("""COMPUTED_VALUE"""),"Ms.")</f>
        <v>Ms.</v>
      </c>
      <c r="E607" t="str">
        <f>IFERROR(__xludf.DUMMYFUNCTION("""COMPUTED_VALUE"""),"Waleeporn")</f>
        <v>Waleeporn</v>
      </c>
      <c r="F607" t="str">
        <f>IFERROR(__xludf.DUMMYFUNCTION("""COMPUTED_VALUE"""),"Jongkaewwattana")</f>
        <v>Jongkaewwattana</v>
      </c>
      <c r="G607" t="str">
        <f>IFERROR(__xludf.DUMMYFUNCTION("""COMPUTED_VALUE"""),"Waleeporn Jongkaewwattana")</f>
        <v>Waleeporn Jongkaewwattana</v>
      </c>
      <c r="H607" t="str">
        <f>IFERROR(__xludf.DUMMYFUNCTION("""COMPUTED_VALUE"""),"นางสาว")</f>
        <v>นางสาว</v>
      </c>
      <c r="I607" t="str">
        <f>IFERROR(__xludf.DUMMYFUNCTION("""COMPUTED_VALUE"""),"วลีภรณ์")</f>
        <v>วลีภรณ์</v>
      </c>
      <c r="J607" t="str">
        <f>IFERROR(__xludf.DUMMYFUNCTION("""COMPUTED_VALUE"""),"จงแก้ววัฒนา")</f>
        <v>จงแก้ววัฒนา</v>
      </c>
      <c r="K607" t="str">
        <f>IFERROR(__xludf.DUMMYFUNCTION("""COMPUTED_VALUE"""),"วลีภรณ์ จงแก้ววัฒนา")</f>
        <v>วลีภรณ์ จงแก้ววัฒนา</v>
      </c>
      <c r="L607" t="str">
        <f>IFERROR(__xludf.DUMMYFUNCTION("""COMPUTED_VALUE"""),"เอิน Earn")</f>
        <v>เอิน Earn</v>
      </c>
      <c r="M607" t="str">
        <f>IFERROR(__xludf.DUMMYFUNCTION("""COMPUTED_VALUE"""),"Cabin Crew")</f>
        <v>Cabin Crew</v>
      </c>
      <c r="N607" t="str">
        <f>IFERROR(__xludf.DUMMYFUNCTION("""COMPUTED_VALUE"""),"DMK")</f>
        <v>DMK</v>
      </c>
      <c r="O607" s="145" t="str">
        <f>IFERROR(__xludf.DUMMYFUNCTION("""COMPUTED_VALUE"""),"Nhui Home")</f>
        <v>Nhui Home</v>
      </c>
      <c r="P607" t="str">
        <f>IFERROR(__xludf.DUMMYFUNCTION("""COMPUTED_VALUE"""),"Active")</f>
        <v>Active</v>
      </c>
      <c r="R607" s="143">
        <f>IFERROR(__xludf.DUMMYFUNCTION("""COMPUTED_VALUE"""),30720.0)</f>
        <v>30720</v>
      </c>
      <c r="S607" s="146">
        <f>IFERROR(__xludf.DUMMYFUNCTION("""COMPUTED_VALUE"""),9.42694287E8)</f>
        <v>942694287</v>
      </c>
      <c r="T607" s="147" t="str">
        <f>IFERROR(__xludf.DUMMYFUNCTION("""COMPUTED_VALUE"""),"1-7098-00003-01-2")</f>
        <v>1-7098-00003-01-2</v>
      </c>
      <c r="U607" t="str">
        <f>IFERROR(__xludf.DUMMYFUNCTION("""COMPUTED_VALUE"""),"AD1344035")</f>
        <v>AD1344035</v>
      </c>
      <c r="V607" s="148">
        <f>IFERROR(__xludf.DUMMYFUNCTION("""COMPUTED_VALUE"""),45343.0)</f>
        <v>45343</v>
      </c>
      <c r="W607" s="148">
        <f>IFERROR(__xludf.DUMMYFUNCTION("""COMPUTED_VALUE"""),48995.0)</f>
        <v>48995</v>
      </c>
      <c r="X607" s="149">
        <f>IFERROR(__xludf.DUMMYFUNCTION("""COMPUTED_VALUE"""),48811.0)</f>
        <v>48811</v>
      </c>
      <c r="Y607" t="str">
        <f>IFERROR(__xludf.DUMMYFUNCTION("""COMPUTED_VALUE"""),"ปลอดภัย")</f>
        <v>ปลอดภัย</v>
      </c>
      <c r="Z607" t="str">
        <f>IFERROR(__xludf.DUMMYFUNCTION("""COMPUTED_VALUE"""),"Ratchaburi Province")</f>
        <v>Ratchaburi Province</v>
      </c>
      <c r="AA607" t="str">
        <f>IFERROR(__xludf.DUMMYFUNCTION("""COMPUTED_VALUE"""),"Pathumtani")</f>
        <v>Pathumtani</v>
      </c>
      <c r="AB607" t="str">
        <f>IFERROR(__xludf.DUMMYFUNCTION("""COMPUTED_VALUE"""),"085-550-5785")</f>
        <v>085-550-5785</v>
      </c>
      <c r="AC607" t="str">
        <f>IFERROR(__xludf.DUMMYFUNCTION("""COMPUTED_VALUE"""),"Lucksamee")</f>
        <v>Lucksamee</v>
      </c>
      <c r="AD607" t="str">
        <f>IFERROR(__xludf.DUMMYFUNCTION("""COMPUTED_VALUE"""),"waleepornj@airasia.com")</f>
        <v>waleepornj@airasia.com</v>
      </c>
    </row>
    <row r="608">
      <c r="A608" s="142">
        <f>IFERROR(__xludf.DUMMYFUNCTION("""COMPUTED_VALUE"""),73.0)</f>
        <v>73</v>
      </c>
      <c r="B608" t="str">
        <f>IFERROR(__xludf.DUMMYFUNCTION("""COMPUTED_VALUE"""),"TAA6113")</f>
        <v>TAA6113</v>
      </c>
      <c r="C608">
        <f>IFERROR(__xludf.DUMMYFUNCTION("""COMPUTED_VALUE"""),1011848.0)</f>
        <v>1011848</v>
      </c>
      <c r="D608" t="str">
        <f>IFERROR(__xludf.DUMMYFUNCTION("""COMPUTED_VALUE"""),"Mr.")</f>
        <v>Mr.</v>
      </c>
      <c r="E608" t="str">
        <f>IFERROR(__xludf.DUMMYFUNCTION("""COMPUTED_VALUE"""),"Wiput")</f>
        <v>Wiput</v>
      </c>
      <c r="F608" t="str">
        <f>IFERROR(__xludf.DUMMYFUNCTION("""COMPUTED_VALUE"""),"Janvanichstaporn")</f>
        <v>Janvanichstaporn</v>
      </c>
      <c r="G608" t="str">
        <f>IFERROR(__xludf.DUMMYFUNCTION("""COMPUTED_VALUE"""),"Wiput Janvanichstaporn")</f>
        <v>Wiput Janvanichstaporn</v>
      </c>
      <c r="H608" t="str">
        <f>IFERROR(__xludf.DUMMYFUNCTION("""COMPUTED_VALUE"""),"นาย")</f>
        <v>นาย</v>
      </c>
      <c r="I608" t="str">
        <f>IFERROR(__xludf.DUMMYFUNCTION("""COMPUTED_VALUE"""),"วิพุธ")</f>
        <v>วิพุธ</v>
      </c>
      <c r="J608" t="str">
        <f>IFERROR(__xludf.DUMMYFUNCTION("""COMPUTED_VALUE"""),"เจนวณิชสถาพร")</f>
        <v>เจนวณิชสถาพร</v>
      </c>
      <c r="K608" t="str">
        <f>IFERROR(__xludf.DUMMYFUNCTION("""COMPUTED_VALUE"""),"วิพุธ เจนวณิชสถาพร")</f>
        <v>วิพุธ เจนวณิชสถาพร</v>
      </c>
      <c r="L608" t="str">
        <f>IFERROR(__xludf.DUMMYFUNCTION("""COMPUTED_VALUE"""),"โหน่ง Nhong")</f>
        <v>โหน่ง Nhong</v>
      </c>
      <c r="M608" t="str">
        <f>IFERROR(__xludf.DUMMYFUNCTION("""COMPUTED_VALUE"""),"Senior Cabin Crew")</f>
        <v>Senior Cabin Crew</v>
      </c>
      <c r="N608" t="str">
        <f>IFERROR(__xludf.DUMMYFUNCTION("""COMPUTED_VALUE"""),"DMK")</f>
        <v>DMK</v>
      </c>
      <c r="O608" s="145" t="str">
        <f>IFERROR(__xludf.DUMMYFUNCTION("""COMPUTED_VALUE"""),"Nhui Home")</f>
        <v>Nhui Home</v>
      </c>
      <c r="P608" t="str">
        <f>IFERROR(__xludf.DUMMYFUNCTION("""COMPUTED_VALUE"""),"Active")</f>
        <v>Active</v>
      </c>
      <c r="R608" s="143">
        <f>IFERROR(__xludf.DUMMYFUNCTION("""COMPUTED_VALUE"""),32688.0)</f>
        <v>32688</v>
      </c>
      <c r="S608" s="146" t="str">
        <f>IFERROR(__xludf.DUMMYFUNCTION("""COMPUTED_VALUE"""),"062-302-1428")</f>
        <v>062-302-1428</v>
      </c>
      <c r="T608" s="147" t="str">
        <f>IFERROR(__xludf.DUMMYFUNCTION("""COMPUTED_VALUE"""),"1-7399-00204-69-9")</f>
        <v>1-7399-00204-69-9</v>
      </c>
      <c r="U608" t="str">
        <f>IFERROR(__xludf.DUMMYFUNCTION("""COMPUTED_VALUE"""),"AC7087401")</f>
        <v>AC7087401</v>
      </c>
      <c r="V608" s="148">
        <f>IFERROR(__xludf.DUMMYFUNCTION("""COMPUTED_VALUE"""),45601.0)</f>
        <v>45601</v>
      </c>
      <c r="W608" s="148">
        <f>IFERROR(__xludf.DUMMYFUNCTION("""COMPUTED_VALUE"""),49252.0)</f>
        <v>49252</v>
      </c>
      <c r="X608" s="149">
        <f>IFERROR(__xludf.DUMMYFUNCTION("""COMPUTED_VALUE"""),49068.0)</f>
        <v>49068</v>
      </c>
      <c r="Y608" t="str">
        <f>IFERROR(__xludf.DUMMYFUNCTION("""COMPUTED_VALUE"""),"ปลอดภัย")</f>
        <v>ปลอดภัย</v>
      </c>
      <c r="Z608" t="str">
        <f>IFERROR(__xludf.DUMMYFUNCTION("""COMPUTED_VALUE"""),"Nakhon Pathom Province")</f>
        <v>Nakhon Pathom Province</v>
      </c>
      <c r="AA608" t="str">
        <f>IFERROR(__xludf.DUMMYFUNCTION("""COMPUTED_VALUE"""),"Nakornpathom")</f>
        <v>Nakornpathom</v>
      </c>
      <c r="AB608" t="str">
        <f>IFERROR(__xludf.DUMMYFUNCTION("""COMPUTED_VALUE"""),"081-423-3812")</f>
        <v>081-423-3812</v>
      </c>
      <c r="AC608" t="str">
        <f>IFERROR(__xludf.DUMMYFUNCTION("""COMPUTED_VALUE"""),"Niran")</f>
        <v>Niran</v>
      </c>
      <c r="AD608" t="str">
        <f>IFERROR(__xludf.DUMMYFUNCTION("""COMPUTED_VALUE"""),"wiputj@airasia.com")</f>
        <v>wiputj@airasia.com</v>
      </c>
    </row>
    <row r="609">
      <c r="AD609" t="str">
        <f>IFERROR(__xludf.DUMMYFUNCTION("""COMPUTED_VALUE"""),"")</f>
        <v/>
      </c>
    </row>
    <row r="610">
      <c r="A610" s="142">
        <f>IFERROR(__xludf.DUMMYFUNCTION("""COMPUTED_VALUE"""),74.0)</f>
        <v>74</v>
      </c>
      <c r="B610" t="str">
        <f>IFERROR(__xludf.DUMMYFUNCTION("""COMPUTED_VALUE"""),"TAA6126")</f>
        <v>TAA6126</v>
      </c>
      <c r="C610">
        <f>IFERROR(__xludf.DUMMYFUNCTION("""COMPUTED_VALUE"""),1012355.0)</f>
        <v>1012355</v>
      </c>
      <c r="D610" t="str">
        <f>IFERROR(__xludf.DUMMYFUNCTION("""COMPUTED_VALUE"""),"Mr.")</f>
        <v>Mr.</v>
      </c>
      <c r="E610" t="str">
        <f>IFERROR(__xludf.DUMMYFUNCTION("""COMPUTED_VALUE"""),"Benjapol")</f>
        <v>Benjapol</v>
      </c>
      <c r="F610" t="str">
        <f>IFERROR(__xludf.DUMMYFUNCTION("""COMPUTED_VALUE"""),"Boriruklert")</f>
        <v>Boriruklert</v>
      </c>
      <c r="G610" t="str">
        <f>IFERROR(__xludf.DUMMYFUNCTION("""COMPUTED_VALUE"""),"Benjapol Boriruklert")</f>
        <v>Benjapol Boriruklert</v>
      </c>
      <c r="H610" t="str">
        <f>IFERROR(__xludf.DUMMYFUNCTION("""COMPUTED_VALUE"""),"นาย")</f>
        <v>นาย</v>
      </c>
      <c r="I610" t="str">
        <f>IFERROR(__xludf.DUMMYFUNCTION("""COMPUTED_VALUE"""),"เบญจพล")</f>
        <v>เบญจพล</v>
      </c>
      <c r="J610" t="str">
        <f>IFERROR(__xludf.DUMMYFUNCTION("""COMPUTED_VALUE"""),"บริรักษ์เลิศ")</f>
        <v>บริรักษ์เลิศ</v>
      </c>
      <c r="K610" t="str">
        <f>IFERROR(__xludf.DUMMYFUNCTION("""COMPUTED_VALUE"""),"เบญจพล บริรักษ์เลิศ")</f>
        <v>เบญจพล บริรักษ์เลิศ</v>
      </c>
      <c r="L610" t="str">
        <f>IFERROR(__xludf.DUMMYFUNCTION("""COMPUTED_VALUE"""),"เบน Ben")</f>
        <v>เบน Ben</v>
      </c>
      <c r="M610" t="str">
        <f>IFERROR(__xludf.DUMMYFUNCTION("""COMPUTED_VALUE"""),"Cabin Crew - CNX")</f>
        <v>Cabin Crew - CNX</v>
      </c>
      <c r="N610" t="str">
        <f>IFERROR(__xludf.DUMMYFUNCTION("""COMPUTED_VALUE"""),"CNX")</f>
        <v>CNX</v>
      </c>
      <c r="O610" s="145" t="str">
        <f>IFERROR(__xludf.DUMMYFUNCTION("""COMPUTED_VALUE"""),"Up Home")</f>
        <v>Up Home</v>
      </c>
      <c r="P610" t="str">
        <f>IFERROR(__xludf.DUMMYFUNCTION("""COMPUTED_VALUE"""),"Active")</f>
        <v>Active</v>
      </c>
      <c r="Q610" t="str">
        <f>IFERROR(__xludf.DUMMYFUNCTION("""COMPUTED_VALUE"""),"Chinese Speaking")</f>
        <v>Chinese Speaking</v>
      </c>
      <c r="R610" s="143">
        <f>IFERROR(__xludf.DUMMYFUNCTION("""COMPUTED_VALUE"""),33280.0)</f>
        <v>33280</v>
      </c>
      <c r="S610" s="146" t="str">
        <f>IFERROR(__xludf.DUMMYFUNCTION("""COMPUTED_VALUE"""),"089-956-8680")</f>
        <v>089-956-8680</v>
      </c>
      <c r="T610" s="147" t="str">
        <f>IFERROR(__xludf.DUMMYFUNCTION("""COMPUTED_VALUE"""),"1-5399-00304-32-6")</f>
        <v>1-5399-00304-32-6</v>
      </c>
      <c r="U610" t="str">
        <f>IFERROR(__xludf.DUMMYFUNCTION("""COMPUTED_VALUE"""),"AC2217911")</f>
        <v>AC2217911</v>
      </c>
      <c r="V610" s="148">
        <f>IFERROR(__xludf.DUMMYFUNCTION("""COMPUTED_VALUE"""),44271.0)</f>
        <v>44271</v>
      </c>
      <c r="W610" s="148">
        <f>IFERROR(__xludf.DUMMYFUNCTION("""COMPUTED_VALUE"""),47922.0)</f>
        <v>47922</v>
      </c>
      <c r="X610" s="149">
        <f>IFERROR(__xludf.DUMMYFUNCTION("""COMPUTED_VALUE"""),47741.0)</f>
        <v>47741</v>
      </c>
      <c r="Y610" t="str">
        <f>IFERROR(__xludf.DUMMYFUNCTION("""COMPUTED_VALUE"""),"ปลอดภัย")</f>
        <v>ปลอดภัย</v>
      </c>
      <c r="Z610" t="str">
        <f>IFERROR(__xludf.DUMMYFUNCTION("""COMPUTED_VALUE"""),"Uttaradit Province")</f>
        <v>Uttaradit Province</v>
      </c>
      <c r="AA610" t="str">
        <f>IFERROR(__xludf.DUMMYFUNCTION("""COMPUTED_VALUE"""),"Chiangmai")</f>
        <v>Chiangmai</v>
      </c>
      <c r="AB610" t="str">
        <f>IFERROR(__xludf.DUMMYFUNCTION("""COMPUTED_VALUE"""),"080-508-0409")</f>
        <v>080-508-0409</v>
      </c>
      <c r="AC610" t="str">
        <f>IFERROR(__xludf.DUMMYFUNCTION("""COMPUTED_VALUE"""),"Bunjurd")</f>
        <v>Bunjurd</v>
      </c>
      <c r="AD610" t="str">
        <f>IFERROR(__xludf.DUMMYFUNCTION("""COMPUTED_VALUE"""),"benjapolb@airasia.com")</f>
        <v>benjapolb@airasia.com</v>
      </c>
    </row>
    <row r="611">
      <c r="A611" s="142">
        <f>IFERROR(__xludf.DUMMYFUNCTION("""COMPUTED_VALUE"""),74.0)</f>
        <v>74</v>
      </c>
      <c r="B611" t="str">
        <f>IFERROR(__xludf.DUMMYFUNCTION("""COMPUTED_VALUE"""),"TAA6135")</f>
        <v>TAA6135</v>
      </c>
      <c r="C611">
        <f>IFERROR(__xludf.DUMMYFUNCTION("""COMPUTED_VALUE"""),1012357.0)</f>
        <v>1012357</v>
      </c>
      <c r="D611" t="str">
        <f>IFERROR(__xludf.DUMMYFUNCTION("""COMPUTED_VALUE"""),"Mr.")</f>
        <v>Mr.</v>
      </c>
      <c r="E611" t="str">
        <f>IFERROR(__xludf.DUMMYFUNCTION("""COMPUTED_VALUE"""),"Ekkaphon")</f>
        <v>Ekkaphon</v>
      </c>
      <c r="F611" t="str">
        <f>IFERROR(__xludf.DUMMYFUNCTION("""COMPUTED_VALUE"""),"Mengchuai")</f>
        <v>Mengchuai</v>
      </c>
      <c r="G611" t="str">
        <f>IFERROR(__xludf.DUMMYFUNCTION("""COMPUTED_VALUE"""),"Ekkaphon Mengchuai")</f>
        <v>Ekkaphon Mengchuai</v>
      </c>
      <c r="H611" t="str">
        <f>IFERROR(__xludf.DUMMYFUNCTION("""COMPUTED_VALUE"""),"นาย")</f>
        <v>นาย</v>
      </c>
      <c r="I611" t="str">
        <f>IFERROR(__xludf.DUMMYFUNCTION("""COMPUTED_VALUE"""),"เอกพล")</f>
        <v>เอกพล</v>
      </c>
      <c r="J611" t="str">
        <f>IFERROR(__xludf.DUMMYFUNCTION("""COMPUTED_VALUE"""),"เม่งช่วย")</f>
        <v>เม่งช่วย</v>
      </c>
      <c r="K611" t="str">
        <f>IFERROR(__xludf.DUMMYFUNCTION("""COMPUTED_VALUE"""),"เอกพล เม่งช่วย")</f>
        <v>เอกพล เม่งช่วย</v>
      </c>
      <c r="L611" t="str">
        <f>IFERROR(__xludf.DUMMYFUNCTION("""COMPUTED_VALUE"""),"จอม Jomm")</f>
        <v>จอม Jomm</v>
      </c>
      <c r="M611" t="str">
        <f>IFERROR(__xludf.DUMMYFUNCTION("""COMPUTED_VALUE"""),"Cabin Crew")</f>
        <v>Cabin Crew</v>
      </c>
      <c r="N611" t="str">
        <f>IFERROR(__xludf.DUMMYFUNCTION("""COMPUTED_VALUE"""),"DMK")</f>
        <v>DMK</v>
      </c>
      <c r="O611" s="145" t="str">
        <f>IFERROR(__xludf.DUMMYFUNCTION("""COMPUTED_VALUE"""),"Por+ Home")</f>
        <v>Por+ Home</v>
      </c>
      <c r="P611" t="str">
        <f>IFERROR(__xludf.DUMMYFUNCTION("""COMPUTED_VALUE"""),"Active")</f>
        <v>Active</v>
      </c>
      <c r="R611" s="143">
        <f>IFERROR(__xludf.DUMMYFUNCTION("""COMPUTED_VALUE"""),30573.0)</f>
        <v>30573</v>
      </c>
      <c r="S611" s="146" t="str">
        <f>IFERROR(__xludf.DUMMYFUNCTION("""COMPUTED_VALUE"""),"084-144-8945")</f>
        <v>084-144-8945</v>
      </c>
      <c r="T611" s="147" t="str">
        <f>IFERROR(__xludf.DUMMYFUNCTION("""COMPUTED_VALUE"""),"3-9299-00308-36-7")</f>
        <v>3-9299-00308-36-7</v>
      </c>
      <c r="U611" t="str">
        <f>IFERROR(__xludf.DUMMYFUNCTION("""COMPUTED_VALUE"""),"AC6759315")</f>
        <v>AC6759315</v>
      </c>
      <c r="V611" s="148">
        <f>IFERROR(__xludf.DUMMYFUNCTION("""COMPUTED_VALUE"""),45425.0)</f>
        <v>45425</v>
      </c>
      <c r="W611" s="148">
        <f>IFERROR(__xludf.DUMMYFUNCTION("""COMPUTED_VALUE"""),49076.0)</f>
        <v>49076</v>
      </c>
      <c r="X611" s="149">
        <f>IFERROR(__xludf.DUMMYFUNCTION("""COMPUTED_VALUE"""),48895.0)</f>
        <v>48895</v>
      </c>
      <c r="Y611" t="str">
        <f>IFERROR(__xludf.DUMMYFUNCTION("""COMPUTED_VALUE"""),"ปลอดภัย")</f>
        <v>ปลอดภัย</v>
      </c>
      <c r="Z611" t="str">
        <f>IFERROR(__xludf.DUMMYFUNCTION("""COMPUTED_VALUE"""),"Trang Province")</f>
        <v>Trang Province</v>
      </c>
      <c r="AA611" t="str">
        <f>IFERROR(__xludf.DUMMYFUNCTION("""COMPUTED_VALUE"""),"Ladprao")</f>
        <v>Ladprao</v>
      </c>
      <c r="AB611" t="str">
        <f>IFERROR(__xludf.DUMMYFUNCTION("""COMPUTED_VALUE"""),"089-724-5012")</f>
        <v>089-724-5012</v>
      </c>
      <c r="AC611" t="str">
        <f>IFERROR(__xludf.DUMMYFUNCTION("""COMPUTED_VALUE"""),"Atita")</f>
        <v>Atita</v>
      </c>
      <c r="AD611" t="str">
        <f>IFERROR(__xludf.DUMMYFUNCTION("""COMPUTED_VALUE"""),"ekkaphonm@airasia.com")</f>
        <v>ekkaphonm@airasia.com</v>
      </c>
    </row>
    <row r="612">
      <c r="A612" s="142">
        <f>IFERROR(__xludf.DUMMYFUNCTION("""COMPUTED_VALUE"""),74.0)</f>
        <v>74</v>
      </c>
      <c r="B612" t="str">
        <f>IFERROR(__xludf.DUMMYFUNCTION("""COMPUTED_VALUE"""),"TAA6140")</f>
        <v>TAA6140</v>
      </c>
      <c r="C612">
        <f>IFERROR(__xludf.DUMMYFUNCTION("""COMPUTED_VALUE"""),1012358.0)</f>
        <v>1012358</v>
      </c>
      <c r="D612" t="str">
        <f>IFERROR(__xludf.DUMMYFUNCTION("""COMPUTED_VALUE"""),"Ms.")</f>
        <v>Ms.</v>
      </c>
      <c r="E612" t="str">
        <f>IFERROR(__xludf.DUMMYFUNCTION("""COMPUTED_VALUE"""),"Kohchamon")</f>
        <v>Kohchamon</v>
      </c>
      <c r="F612" t="str">
        <f>IFERROR(__xludf.DUMMYFUNCTION("""COMPUTED_VALUE"""),"Pithayapitpat")</f>
        <v>Pithayapitpat</v>
      </c>
      <c r="G612" t="str">
        <f>IFERROR(__xludf.DUMMYFUNCTION("""COMPUTED_VALUE"""),"Kohchamon Pithayapitpat")</f>
        <v>Kohchamon Pithayapitpat</v>
      </c>
      <c r="H612" t="str">
        <f>IFERROR(__xludf.DUMMYFUNCTION("""COMPUTED_VALUE"""),"นางสาว")</f>
        <v>นางสาว</v>
      </c>
      <c r="I612" t="str">
        <f>IFERROR(__xludf.DUMMYFUNCTION("""COMPUTED_VALUE"""),"กชมน")</f>
        <v>กชมน</v>
      </c>
      <c r="J612" t="str">
        <f>IFERROR(__xludf.DUMMYFUNCTION("""COMPUTED_VALUE"""),"พิทยาพิพัฒน์")</f>
        <v>พิทยาพิพัฒน์</v>
      </c>
      <c r="K612" t="str">
        <f>IFERROR(__xludf.DUMMYFUNCTION("""COMPUTED_VALUE"""),"กชมน พิทยาพิพัฒน์")</f>
        <v>กชมน พิทยาพิพัฒน์</v>
      </c>
      <c r="L612" t="str">
        <f>IFERROR(__xludf.DUMMYFUNCTION("""COMPUTED_VALUE"""),"เรย์ Ray")</f>
        <v>เรย์ Ray</v>
      </c>
      <c r="M612" t="str">
        <f>IFERROR(__xludf.DUMMYFUNCTION("""COMPUTED_VALUE"""),"Cabin Crew")</f>
        <v>Cabin Crew</v>
      </c>
      <c r="N612" t="str">
        <f>IFERROR(__xludf.DUMMYFUNCTION("""COMPUTED_VALUE"""),"DMK")</f>
        <v>DMK</v>
      </c>
      <c r="O612" s="145" t="str">
        <f>IFERROR(__xludf.DUMMYFUNCTION("""COMPUTED_VALUE"""),"Kor Home")</f>
        <v>Kor Home</v>
      </c>
      <c r="P612" t="str">
        <f>IFERROR(__xludf.DUMMYFUNCTION("""COMPUTED_VALUE"""),"Active")</f>
        <v>Active</v>
      </c>
      <c r="Q612" t="str">
        <f>IFERROR(__xludf.DUMMYFUNCTION("""COMPUTED_VALUE"""),"Chinese Speaking")</f>
        <v>Chinese Speaking</v>
      </c>
      <c r="R612" s="143">
        <f>IFERROR(__xludf.DUMMYFUNCTION("""COMPUTED_VALUE"""),33008.0)</f>
        <v>33008</v>
      </c>
      <c r="S612" s="146" t="str">
        <f>IFERROR(__xludf.DUMMYFUNCTION("""COMPUTED_VALUE"""),"083-578-9578")</f>
        <v>083-578-9578</v>
      </c>
      <c r="T612" s="147" t="str">
        <f>IFERROR(__xludf.DUMMYFUNCTION("""COMPUTED_VALUE"""),"1-1004-00453-42-5")</f>
        <v>1-1004-00453-42-5</v>
      </c>
      <c r="U612" t="str">
        <f>IFERROR(__xludf.DUMMYFUNCTION("""COMPUTED_VALUE"""),"AC6680548")</f>
        <v>AC6680548</v>
      </c>
      <c r="V612" s="148">
        <f>IFERROR(__xludf.DUMMYFUNCTION("""COMPUTED_VALUE"""),45403.0)</f>
        <v>45403</v>
      </c>
      <c r="W612" s="148">
        <f>IFERROR(__xludf.DUMMYFUNCTION("""COMPUTED_VALUE"""),49054.0)</f>
        <v>49054</v>
      </c>
      <c r="X612" s="149">
        <f>IFERROR(__xludf.DUMMYFUNCTION("""COMPUTED_VALUE"""),48872.0)</f>
        <v>48872</v>
      </c>
      <c r="Y612" t="str">
        <f>IFERROR(__xludf.DUMMYFUNCTION("""COMPUTED_VALUE"""),"ปลอดภัย")</f>
        <v>ปลอดภัย</v>
      </c>
      <c r="Z612" t="str">
        <f>IFERROR(__xludf.DUMMYFUNCTION("""COMPUTED_VALUE"""),"Bangkok")</f>
        <v>Bangkok</v>
      </c>
      <c r="AA612" t="str">
        <f>IFERROR(__xludf.DUMMYFUNCTION("""COMPUTED_VALUE"""),"Bangrak")</f>
        <v>Bangrak</v>
      </c>
      <c r="AB612" t="str">
        <f>IFERROR(__xludf.DUMMYFUNCTION("""COMPUTED_VALUE"""),"086-407-4737")</f>
        <v>086-407-4737</v>
      </c>
      <c r="AC612" t="str">
        <f>IFERROR(__xludf.DUMMYFUNCTION("""COMPUTED_VALUE"""),"Vachira")</f>
        <v>Vachira</v>
      </c>
      <c r="AD612" t="str">
        <f>IFERROR(__xludf.DUMMYFUNCTION("""COMPUTED_VALUE"""),"kohchamonp@airasia.com")</f>
        <v>kohchamonp@airasia.com</v>
      </c>
    </row>
    <row r="613">
      <c r="A613" s="142">
        <f>IFERROR(__xludf.DUMMYFUNCTION("""COMPUTED_VALUE"""),74.0)</f>
        <v>74</v>
      </c>
      <c r="B613" t="str">
        <f>IFERROR(__xludf.DUMMYFUNCTION("""COMPUTED_VALUE"""),"TAA6123")</f>
        <v>TAA6123</v>
      </c>
      <c r="C613">
        <f>IFERROR(__xludf.DUMMYFUNCTION("""COMPUTED_VALUE"""),1012359.0)</f>
        <v>1012359</v>
      </c>
      <c r="D613" t="str">
        <f>IFERROR(__xludf.DUMMYFUNCTION("""COMPUTED_VALUE"""),"Ms.")</f>
        <v>Ms.</v>
      </c>
      <c r="E613" t="str">
        <f>IFERROR(__xludf.DUMMYFUNCTION("""COMPUTED_VALUE"""),"Kotchakon")</f>
        <v>Kotchakon</v>
      </c>
      <c r="F613" t="str">
        <f>IFERROR(__xludf.DUMMYFUNCTION("""COMPUTED_VALUE"""),"Kanchanamethakul")</f>
        <v>Kanchanamethakul</v>
      </c>
      <c r="G613" t="str">
        <f>IFERROR(__xludf.DUMMYFUNCTION("""COMPUTED_VALUE"""),"Kotchakon Kanchanamethakul")</f>
        <v>Kotchakon Kanchanamethakul</v>
      </c>
      <c r="H613" t="str">
        <f>IFERROR(__xludf.DUMMYFUNCTION("""COMPUTED_VALUE"""),"นางสาว")</f>
        <v>นางสาว</v>
      </c>
      <c r="I613" t="str">
        <f>IFERROR(__xludf.DUMMYFUNCTION("""COMPUTED_VALUE"""),"กชกร")</f>
        <v>กชกร</v>
      </c>
      <c r="J613" t="str">
        <f>IFERROR(__xludf.DUMMYFUNCTION("""COMPUTED_VALUE"""),"กาญจนเมธากุล")</f>
        <v>กาญจนเมธากุล</v>
      </c>
      <c r="K613" t="str">
        <f>IFERROR(__xludf.DUMMYFUNCTION("""COMPUTED_VALUE"""),"กชกร กาญจนเมธากุล")</f>
        <v>กชกร กาญจนเมธากุล</v>
      </c>
      <c r="L613" t="str">
        <f>IFERROR(__xludf.DUMMYFUNCTION("""COMPUTED_VALUE"""),"เน็ต Net")</f>
        <v>เน็ต Net</v>
      </c>
      <c r="M613" t="str">
        <f>IFERROR(__xludf.DUMMYFUNCTION("""COMPUTED_VALUE"""),"Cabin Crew")</f>
        <v>Cabin Crew</v>
      </c>
      <c r="N613" t="str">
        <f>IFERROR(__xludf.DUMMYFUNCTION("""COMPUTED_VALUE"""),"DMK")</f>
        <v>DMK</v>
      </c>
      <c r="O613" s="145" t="str">
        <f>IFERROR(__xludf.DUMMYFUNCTION("""COMPUTED_VALUE"""),"Um Home")</f>
        <v>Um Home</v>
      </c>
      <c r="P613" t="str">
        <f>IFERROR(__xludf.DUMMYFUNCTION("""COMPUTED_VALUE"""),"Active")</f>
        <v>Active</v>
      </c>
      <c r="Q613" t="str">
        <f>IFERROR(__xludf.DUMMYFUNCTION("""COMPUTED_VALUE"""),"Chinese Speaking")</f>
        <v>Chinese Speaking</v>
      </c>
      <c r="R613" s="143">
        <f>IFERROR(__xludf.DUMMYFUNCTION("""COMPUTED_VALUE"""),33672.0)</f>
        <v>33672</v>
      </c>
      <c r="S613" s="146" t="str">
        <f>IFERROR(__xludf.DUMMYFUNCTION("""COMPUTED_VALUE"""),"088-506-7290")</f>
        <v>088-506-7290</v>
      </c>
      <c r="T613" s="147" t="str">
        <f>IFERROR(__xludf.DUMMYFUNCTION("""COMPUTED_VALUE"""),"1-1037-00607-39-1")</f>
        <v>1-1037-00607-39-1</v>
      </c>
      <c r="U613" t="str">
        <f>IFERROR(__xludf.DUMMYFUNCTION("""COMPUTED_VALUE"""),"AC2692656")</f>
        <v>AC2692656</v>
      </c>
      <c r="V613" s="148">
        <f>IFERROR(__xludf.DUMMYFUNCTION("""COMPUTED_VALUE"""),44585.0)</f>
        <v>44585</v>
      </c>
      <c r="W613" s="148">
        <f>IFERROR(__xludf.DUMMYFUNCTION("""COMPUTED_VALUE"""),48236.0)</f>
        <v>48236</v>
      </c>
      <c r="X613" s="149">
        <f>IFERROR(__xludf.DUMMYFUNCTION("""COMPUTED_VALUE"""),48052.0)</f>
        <v>48052</v>
      </c>
      <c r="Y613" t="str">
        <f>IFERROR(__xludf.DUMMYFUNCTION("""COMPUTED_VALUE"""),"ปลอดภัย")</f>
        <v>ปลอดภัย</v>
      </c>
      <c r="Z613" t="str">
        <f>IFERROR(__xludf.DUMMYFUNCTION("""COMPUTED_VALUE"""),"Bangkok")</f>
        <v>Bangkok</v>
      </c>
      <c r="AA613" t="str">
        <f>IFERROR(__xludf.DUMMYFUNCTION("""COMPUTED_VALUE"""),"Jatujak")</f>
        <v>Jatujak</v>
      </c>
      <c r="AB613" t="str">
        <f>IFERROR(__xludf.DUMMYFUNCTION("""COMPUTED_VALUE"""),"084-184-9462")</f>
        <v>084-184-9462</v>
      </c>
      <c r="AC613" t="str">
        <f>IFERROR(__xludf.DUMMYFUNCTION("""COMPUTED_VALUE"""),"Jaruwan")</f>
        <v>Jaruwan</v>
      </c>
      <c r="AD613" t="str">
        <f>IFERROR(__xludf.DUMMYFUNCTION("""COMPUTED_VALUE"""),"kotchakonk@airasia.com")</f>
        <v>kotchakonk@airasia.com</v>
      </c>
    </row>
    <row r="614">
      <c r="A614" s="142">
        <f>IFERROR(__xludf.DUMMYFUNCTION("""COMPUTED_VALUE"""),74.0)</f>
        <v>74</v>
      </c>
      <c r="B614" t="str">
        <f>IFERROR(__xludf.DUMMYFUNCTION("""COMPUTED_VALUE"""),"TAA6125")</f>
        <v>TAA6125</v>
      </c>
      <c r="C614">
        <f>IFERROR(__xludf.DUMMYFUNCTION("""COMPUTED_VALUE"""),1012360.0)</f>
        <v>1012360</v>
      </c>
      <c r="D614" t="str">
        <f>IFERROR(__xludf.DUMMYFUNCTION("""COMPUTED_VALUE"""),"Ms.")</f>
        <v>Ms.</v>
      </c>
      <c r="E614" t="str">
        <f>IFERROR(__xludf.DUMMYFUNCTION("""COMPUTED_VALUE"""),"Mintra")</f>
        <v>Mintra</v>
      </c>
      <c r="F614" t="str">
        <f>IFERROR(__xludf.DUMMYFUNCTION("""COMPUTED_VALUE"""),"Tunta-A-Riya")</f>
        <v>Tunta-A-Riya</v>
      </c>
      <c r="G614" t="str">
        <f>IFERROR(__xludf.DUMMYFUNCTION("""COMPUTED_VALUE"""),"Mintra Tunta-A-Riya")</f>
        <v>Mintra Tunta-A-Riya</v>
      </c>
      <c r="H614" t="str">
        <f>IFERROR(__xludf.DUMMYFUNCTION("""COMPUTED_VALUE"""),"นางสาว")</f>
        <v>นางสาว</v>
      </c>
      <c r="I614" t="str">
        <f>IFERROR(__xludf.DUMMYFUNCTION("""COMPUTED_VALUE"""),"มินตรา")</f>
        <v>มินตรา</v>
      </c>
      <c r="J614" t="str">
        <f>IFERROR(__xludf.DUMMYFUNCTION("""COMPUTED_VALUE"""),"ตันฑอาริยะ")</f>
        <v>ตันฑอาริยะ</v>
      </c>
      <c r="K614" t="str">
        <f>IFERROR(__xludf.DUMMYFUNCTION("""COMPUTED_VALUE"""),"มินตรา ตันฑอาริยะ")</f>
        <v>มินตรา ตันฑอาริยะ</v>
      </c>
      <c r="L614" t="str">
        <f>IFERROR(__xludf.DUMMYFUNCTION("""COMPUTED_VALUE"""),"มิ้น Mint")</f>
        <v>มิ้น Mint</v>
      </c>
      <c r="M614" t="str">
        <f>IFERROR(__xludf.DUMMYFUNCTION("""COMPUTED_VALUE"""),"Cabin Crew")</f>
        <v>Cabin Crew</v>
      </c>
      <c r="N614" t="str">
        <f>IFERROR(__xludf.DUMMYFUNCTION("""COMPUTED_VALUE"""),"DMK")</f>
        <v>DMK</v>
      </c>
      <c r="O614" s="145" t="str">
        <f>IFERROR(__xludf.DUMMYFUNCTION("""COMPUTED_VALUE"""),"Um Home")</f>
        <v>Um Home</v>
      </c>
      <c r="P614" t="str">
        <f>IFERROR(__xludf.DUMMYFUNCTION("""COMPUTED_VALUE"""),"Active")</f>
        <v>Active</v>
      </c>
      <c r="Q614" t="str">
        <f>IFERROR(__xludf.DUMMYFUNCTION("""COMPUTED_VALUE"""),"Chinese Speaking")</f>
        <v>Chinese Speaking</v>
      </c>
      <c r="R614" s="143">
        <f>IFERROR(__xludf.DUMMYFUNCTION("""COMPUTED_VALUE"""),32760.0)</f>
        <v>32760</v>
      </c>
      <c r="S614" s="146" t="str">
        <f>IFERROR(__xludf.DUMMYFUNCTION("""COMPUTED_VALUE"""),"088-491-2414")</f>
        <v>088-491-2414</v>
      </c>
      <c r="T614" s="147" t="str">
        <f>IFERROR(__xludf.DUMMYFUNCTION("""COMPUTED_VALUE"""),"1-1004-00411-88-9")</f>
        <v>1-1004-00411-88-9</v>
      </c>
      <c r="U614" t="str">
        <f>IFERROR(__xludf.DUMMYFUNCTION("""COMPUTED_VALUE"""),"AC7241004")</f>
        <v>AC7241004</v>
      </c>
      <c r="V614" s="148">
        <f>IFERROR(__xludf.DUMMYFUNCTION("""COMPUTED_VALUE"""),45660.0)</f>
        <v>45660</v>
      </c>
      <c r="W614" s="148">
        <f>IFERROR(__xludf.DUMMYFUNCTION("""COMPUTED_VALUE"""),49311.0)</f>
        <v>49311</v>
      </c>
      <c r="X614" s="149">
        <f>IFERROR(__xludf.DUMMYFUNCTION("""COMPUTED_VALUE"""),49127.0)</f>
        <v>49127</v>
      </c>
      <c r="Y614" t="str">
        <f>IFERROR(__xludf.DUMMYFUNCTION("""COMPUTED_VALUE"""),"ปลอดภัย")</f>
        <v>ปลอดภัย</v>
      </c>
      <c r="Z614" t="str">
        <f>IFERROR(__xludf.DUMMYFUNCTION("""COMPUTED_VALUE"""),"Bangkok")</f>
        <v>Bangkok</v>
      </c>
      <c r="AA614" t="str">
        <f>IFERROR(__xludf.DUMMYFUNCTION("""COMPUTED_VALUE"""),"Huai-kwang")</f>
        <v>Huai-kwang</v>
      </c>
      <c r="AB614" t="str">
        <f>IFERROR(__xludf.DUMMYFUNCTION("""COMPUTED_VALUE"""),"086-712-8512")</f>
        <v>086-712-8512</v>
      </c>
      <c r="AC614" t="str">
        <f>IFERROR(__xludf.DUMMYFUNCTION("""COMPUTED_VALUE"""),"Nopparat")</f>
        <v>Nopparat</v>
      </c>
      <c r="AD614" t="str">
        <f>IFERROR(__xludf.DUMMYFUNCTION("""COMPUTED_VALUE"""),"mintrau@airasia.com")</f>
        <v>mintrau@airasia.com</v>
      </c>
    </row>
    <row r="615">
      <c r="A615" s="142">
        <f>IFERROR(__xludf.DUMMYFUNCTION("""COMPUTED_VALUE"""),74.0)</f>
        <v>74</v>
      </c>
      <c r="B615" t="str">
        <f>IFERROR(__xludf.DUMMYFUNCTION("""COMPUTED_VALUE"""),"TAA6136")</f>
        <v>TAA6136</v>
      </c>
      <c r="C615">
        <f>IFERROR(__xludf.DUMMYFUNCTION("""COMPUTED_VALUE"""),1012361.0)</f>
        <v>1012361</v>
      </c>
      <c r="D615" t="str">
        <f>IFERROR(__xludf.DUMMYFUNCTION("""COMPUTED_VALUE"""),"Ms.")</f>
        <v>Ms.</v>
      </c>
      <c r="E615" t="str">
        <f>IFERROR(__xludf.DUMMYFUNCTION("""COMPUTED_VALUE"""),"Natcha")</f>
        <v>Natcha</v>
      </c>
      <c r="F615" t="str">
        <f>IFERROR(__xludf.DUMMYFUNCTION("""COMPUTED_VALUE"""),"Poopong")</f>
        <v>Poopong</v>
      </c>
      <c r="G615" t="str">
        <f>IFERROR(__xludf.DUMMYFUNCTION("""COMPUTED_VALUE"""),"Natcha Poopong")</f>
        <v>Natcha Poopong</v>
      </c>
      <c r="H615" t="str">
        <f>IFERROR(__xludf.DUMMYFUNCTION("""COMPUTED_VALUE"""),"นางสาว")</f>
        <v>นางสาว</v>
      </c>
      <c r="I615" t="str">
        <f>IFERROR(__xludf.DUMMYFUNCTION("""COMPUTED_VALUE"""),"ณัฐชา")</f>
        <v>ณัฐชา</v>
      </c>
      <c r="J615" t="str">
        <f>IFERROR(__xludf.DUMMYFUNCTION("""COMPUTED_VALUE"""),"ภู่พงษ์")</f>
        <v>ภู่พงษ์</v>
      </c>
      <c r="K615" t="str">
        <f>IFERROR(__xludf.DUMMYFUNCTION("""COMPUTED_VALUE"""),"ณัฐชา ภู่พงษ์")</f>
        <v>ณัฐชา ภู่พงษ์</v>
      </c>
      <c r="L615" t="str">
        <f>IFERROR(__xludf.DUMMYFUNCTION("""COMPUTED_VALUE"""),"Natcha")</f>
        <v>Natcha</v>
      </c>
      <c r="M615" t="str">
        <f>IFERROR(__xludf.DUMMYFUNCTION("""COMPUTED_VALUE"""),"Senior Cabin Crew")</f>
        <v>Senior Cabin Crew</v>
      </c>
      <c r="N615" t="str">
        <f>IFERROR(__xludf.DUMMYFUNCTION("""COMPUTED_VALUE"""),"DMK")</f>
        <v>DMK</v>
      </c>
      <c r="O615" s="145" t="str">
        <f>IFERROR(__xludf.DUMMYFUNCTION("""COMPUTED_VALUE"""),"Up Home")</f>
        <v>Up Home</v>
      </c>
      <c r="P615" t="str">
        <f>IFERROR(__xludf.DUMMYFUNCTION("""COMPUTED_VALUE"""),"Active")</f>
        <v>Active</v>
      </c>
      <c r="R615" s="143">
        <f>IFERROR(__xludf.DUMMYFUNCTION("""COMPUTED_VALUE"""),32717.0)</f>
        <v>32717</v>
      </c>
      <c r="S615" s="146" t="str">
        <f>IFERROR(__xludf.DUMMYFUNCTION("""COMPUTED_VALUE"""),"085-134-9859")</f>
        <v>085-134-9859</v>
      </c>
      <c r="T615" s="147" t="str">
        <f>IFERROR(__xludf.DUMMYFUNCTION("""COMPUTED_VALUE"""),"5-2299-00017-57-8")</f>
        <v>5-2299-00017-57-8</v>
      </c>
      <c r="U615" t="str">
        <f>IFERROR(__xludf.DUMMYFUNCTION("""COMPUTED_VALUE"""),"AC5617846")</f>
        <v>AC5617846</v>
      </c>
      <c r="V615" s="148">
        <f>IFERROR(__xludf.DUMMYFUNCTION("""COMPUTED_VALUE"""),45166.0)</f>
        <v>45166</v>
      </c>
      <c r="W615" s="148">
        <f>IFERROR(__xludf.DUMMYFUNCTION("""COMPUTED_VALUE"""),48818.0)</f>
        <v>48818</v>
      </c>
      <c r="X615" s="149">
        <f>IFERROR(__xludf.DUMMYFUNCTION("""COMPUTED_VALUE"""),48637.0)</f>
        <v>48637</v>
      </c>
      <c r="Y615" t="str">
        <f>IFERROR(__xludf.DUMMYFUNCTION("""COMPUTED_VALUE"""),"ปลอดภัย")</f>
        <v>ปลอดภัย</v>
      </c>
      <c r="Z615" t="str">
        <f>IFERROR(__xludf.DUMMYFUNCTION("""COMPUTED_VALUE"""),"Bangkok")</f>
        <v>Bangkok</v>
      </c>
      <c r="AA615" t="str">
        <f>IFERROR(__xludf.DUMMYFUNCTION("""COMPUTED_VALUE"""),"Ladprao")</f>
        <v>Ladprao</v>
      </c>
      <c r="AB615" t="str">
        <f>IFERROR(__xludf.DUMMYFUNCTION("""COMPUTED_VALUE"""),"087-920-9131")</f>
        <v>087-920-9131</v>
      </c>
      <c r="AC615" t="str">
        <f>IFERROR(__xludf.DUMMYFUNCTION("""COMPUTED_VALUE"""),"Pipaporn")</f>
        <v>Pipaporn</v>
      </c>
      <c r="AD615" t="str">
        <f>IFERROR(__xludf.DUMMYFUNCTION("""COMPUTED_VALUE"""),"natchag@airasia.com")</f>
        <v>natchag@airasia.com</v>
      </c>
    </row>
    <row r="616">
      <c r="A616" s="142">
        <f>IFERROR(__xludf.DUMMYFUNCTION("""COMPUTED_VALUE"""),74.0)</f>
        <v>74</v>
      </c>
      <c r="B616" t="str">
        <f>IFERROR(__xludf.DUMMYFUNCTION("""COMPUTED_VALUE"""),"TAA6131")</f>
        <v>TAA6131</v>
      </c>
      <c r="C616">
        <f>IFERROR(__xludf.DUMMYFUNCTION("""COMPUTED_VALUE"""),1012362.0)</f>
        <v>1012362</v>
      </c>
      <c r="D616" t="str">
        <f>IFERROR(__xludf.DUMMYFUNCTION("""COMPUTED_VALUE"""),"Ms.")</f>
        <v>Ms.</v>
      </c>
      <c r="E616" t="str">
        <f>IFERROR(__xludf.DUMMYFUNCTION("""COMPUTED_VALUE"""),"Patcharagorn")</f>
        <v>Patcharagorn</v>
      </c>
      <c r="F616" t="str">
        <f>IFERROR(__xludf.DUMMYFUNCTION("""COMPUTED_VALUE"""),"Chankhong")</f>
        <v>Chankhong</v>
      </c>
      <c r="G616" t="str">
        <f>IFERROR(__xludf.DUMMYFUNCTION("""COMPUTED_VALUE"""),"Patcharagorn Chankhong")</f>
        <v>Patcharagorn Chankhong</v>
      </c>
      <c r="H616" t="str">
        <f>IFERROR(__xludf.DUMMYFUNCTION("""COMPUTED_VALUE"""),"นางสาว")</f>
        <v>นางสาว</v>
      </c>
      <c r="I616" t="str">
        <f>IFERROR(__xludf.DUMMYFUNCTION("""COMPUTED_VALUE"""),"พัชรากร")</f>
        <v>พัชรากร</v>
      </c>
      <c r="J616" t="str">
        <f>IFERROR(__xludf.DUMMYFUNCTION("""COMPUTED_VALUE"""),"จันทร์คง")</f>
        <v>จันทร์คง</v>
      </c>
      <c r="K616" t="str">
        <f>IFERROR(__xludf.DUMMYFUNCTION("""COMPUTED_VALUE"""),"พัชรากร จันทร์คง")</f>
        <v>พัชรากร จันทร์คง</v>
      </c>
      <c r="L616" t="str">
        <f>IFERROR(__xludf.DUMMYFUNCTION("""COMPUTED_VALUE"""),"กวาง Kwang")</f>
        <v>กวาง Kwang</v>
      </c>
      <c r="M616" t="str">
        <f>IFERROR(__xludf.DUMMYFUNCTION("""COMPUTED_VALUE"""),"Cabin Crew")</f>
        <v>Cabin Crew</v>
      </c>
      <c r="N616" t="str">
        <f>IFERROR(__xludf.DUMMYFUNCTION("""COMPUTED_VALUE"""),"DMK")</f>
        <v>DMK</v>
      </c>
      <c r="O616" s="145" t="str">
        <f>IFERROR(__xludf.DUMMYFUNCTION("""COMPUTED_VALUE"""),"Nhui Home")</f>
        <v>Nhui Home</v>
      </c>
      <c r="P616" t="str">
        <f>IFERROR(__xludf.DUMMYFUNCTION("""COMPUTED_VALUE"""),"Active")</f>
        <v>Active</v>
      </c>
      <c r="Q616" t="str">
        <f>IFERROR(__xludf.DUMMYFUNCTION("""COMPUTED_VALUE"""),"Chinese Speaking")</f>
        <v>Chinese Speaking</v>
      </c>
      <c r="R616" s="143">
        <f>IFERROR(__xludf.DUMMYFUNCTION("""COMPUTED_VALUE"""),33185.0)</f>
        <v>33185</v>
      </c>
      <c r="S616" s="146" t="str">
        <f>IFERROR(__xludf.DUMMYFUNCTION("""COMPUTED_VALUE"""),"091-942-4228")</f>
        <v>091-942-4228</v>
      </c>
      <c r="T616" s="147" t="str">
        <f>IFERROR(__xludf.DUMMYFUNCTION("""COMPUTED_VALUE"""),"1-1037-00268-94-4")</f>
        <v>1-1037-00268-94-4</v>
      </c>
      <c r="U616" t="str">
        <f>IFERROR(__xludf.DUMMYFUNCTION("""COMPUTED_VALUE"""),"AD1825305")</f>
        <v>AD1825305</v>
      </c>
      <c r="V616" s="148">
        <f>IFERROR(__xludf.DUMMYFUNCTION("""COMPUTED_VALUE"""),45464.0)</f>
        <v>45464</v>
      </c>
      <c r="W616" s="148">
        <f>IFERROR(__xludf.DUMMYFUNCTION("""COMPUTED_VALUE"""),49115.0)</f>
        <v>49115</v>
      </c>
      <c r="X616" s="149">
        <f>IFERROR(__xludf.DUMMYFUNCTION("""COMPUTED_VALUE"""),48933.0)</f>
        <v>48933</v>
      </c>
      <c r="Y616" t="str">
        <f>IFERROR(__xludf.DUMMYFUNCTION("""COMPUTED_VALUE"""),"ปลอดภัย")</f>
        <v>ปลอดภัย</v>
      </c>
      <c r="Z616" t="str">
        <f>IFERROR(__xludf.DUMMYFUNCTION("""COMPUTED_VALUE"""),"Bangkok")</f>
        <v>Bangkok</v>
      </c>
      <c r="AA616" t="str">
        <f>IFERROR(__xludf.DUMMYFUNCTION("""COMPUTED_VALUE"""),"Bangkhen")</f>
        <v>Bangkhen</v>
      </c>
      <c r="AB616" t="str">
        <f>IFERROR(__xludf.DUMMYFUNCTION("""COMPUTED_VALUE"""),"081-833-5633")</f>
        <v>081-833-5633</v>
      </c>
      <c r="AC616" t="str">
        <f>IFERROR(__xludf.DUMMYFUNCTION("""COMPUTED_VALUE"""),"Kittichai")</f>
        <v>Kittichai</v>
      </c>
      <c r="AD616" t="str">
        <f>IFERROR(__xludf.DUMMYFUNCTION("""COMPUTED_VALUE"""),"patcharagornc@airasia.com")</f>
        <v>patcharagornc@airasia.com</v>
      </c>
    </row>
    <row r="617">
      <c r="A617" s="142">
        <f>IFERROR(__xludf.DUMMYFUNCTION("""COMPUTED_VALUE"""),74.0)</f>
        <v>74</v>
      </c>
      <c r="B617" t="str">
        <f>IFERROR(__xludf.DUMMYFUNCTION("""COMPUTED_VALUE"""),"TAA6137")</f>
        <v>TAA6137</v>
      </c>
      <c r="C617">
        <f>IFERROR(__xludf.DUMMYFUNCTION("""COMPUTED_VALUE"""),1012365.0)</f>
        <v>1012365</v>
      </c>
      <c r="D617" t="str">
        <f>IFERROR(__xludf.DUMMYFUNCTION("""COMPUTED_VALUE"""),"Ms.")</f>
        <v>Ms.</v>
      </c>
      <c r="E617" t="str">
        <f>IFERROR(__xludf.DUMMYFUNCTION("""COMPUTED_VALUE"""),"Manassaphorn (Ployphan)")</f>
        <v>Manassaphorn (Ployphan)</v>
      </c>
      <c r="F617" t="str">
        <f>IFERROR(__xludf.DUMMYFUNCTION("""COMPUTED_VALUE"""),"Boonprasertwattana")</f>
        <v>Boonprasertwattana</v>
      </c>
      <c r="G617" t="str">
        <f>IFERROR(__xludf.DUMMYFUNCTION("""COMPUTED_VALUE"""),"Manassaphorn Boonprasertwattana")</f>
        <v>Manassaphorn Boonprasertwattana</v>
      </c>
      <c r="H617" t="str">
        <f>IFERROR(__xludf.DUMMYFUNCTION("""COMPUTED_VALUE"""),"นางสาว")</f>
        <v>นางสาว</v>
      </c>
      <c r="I617" t="str">
        <f>IFERROR(__xludf.DUMMYFUNCTION("""COMPUTED_VALUE"""),"มนัสภรณ์  (พลอยพรรณ)")</f>
        <v>มนัสภรณ์  (พลอยพรรณ)</v>
      </c>
      <c r="J617" t="str">
        <f>IFERROR(__xludf.DUMMYFUNCTION("""COMPUTED_VALUE"""),"บุญประเสริฐวัฒนา")</f>
        <v>บุญประเสริฐวัฒนา</v>
      </c>
      <c r="K617" t="str">
        <f>IFERROR(__xludf.DUMMYFUNCTION("""COMPUTED_VALUE"""),"มนัสภรณ์  บุญประเสริฐวัฒนา")</f>
        <v>มนัสภรณ์  บุญประเสริฐวัฒนา</v>
      </c>
      <c r="L617" t="str">
        <f>IFERROR(__xludf.DUMMYFUNCTION("""COMPUTED_VALUE"""),"น้ำทิพย์ Namthip")</f>
        <v>น้ำทิพย์ Namthip</v>
      </c>
      <c r="M617" t="str">
        <f>IFERROR(__xludf.DUMMYFUNCTION("""COMPUTED_VALUE"""),"Senior Cabin Crew")</f>
        <v>Senior Cabin Crew</v>
      </c>
      <c r="N617" t="str">
        <f>IFERROR(__xludf.DUMMYFUNCTION("""COMPUTED_VALUE"""),"DMK")</f>
        <v>DMK</v>
      </c>
      <c r="O617" s="145" t="str">
        <f>IFERROR(__xludf.DUMMYFUNCTION("""COMPUTED_VALUE"""),"Namfon Home")</f>
        <v>Namfon Home</v>
      </c>
      <c r="P617" t="str">
        <f>IFERROR(__xludf.DUMMYFUNCTION("""COMPUTED_VALUE"""),"Active")</f>
        <v>Active</v>
      </c>
      <c r="Q617" t="str">
        <f>IFERROR(__xludf.DUMMYFUNCTION("""COMPUTED_VALUE"""),"Chinese Speaking")</f>
        <v>Chinese Speaking</v>
      </c>
      <c r="R617" s="143">
        <f>IFERROR(__xludf.DUMMYFUNCTION("""COMPUTED_VALUE"""),33476.0)</f>
        <v>33476</v>
      </c>
      <c r="S617" s="146" t="str">
        <f>IFERROR(__xludf.DUMMYFUNCTION("""COMPUTED_VALUE"""),"094 479 4149")</f>
        <v>094 479 4149</v>
      </c>
      <c r="T617" s="147" t="str">
        <f>IFERROR(__xludf.DUMMYFUNCTION("""COMPUTED_VALUE"""),"1-1008-00729-59-2")</f>
        <v>1-1008-00729-59-2</v>
      </c>
      <c r="U617" t="str">
        <f>IFERROR(__xludf.DUMMYFUNCTION("""COMPUTED_VALUE"""),"AC2915200")</f>
        <v>AC2915200</v>
      </c>
      <c r="V617" s="148">
        <f>IFERROR(__xludf.DUMMYFUNCTION("""COMPUTED_VALUE"""),44621.0)</f>
        <v>44621</v>
      </c>
      <c r="W617" s="148">
        <f>IFERROR(__xludf.DUMMYFUNCTION("""COMPUTED_VALUE"""),48273.0)</f>
        <v>48273</v>
      </c>
      <c r="X617" s="149">
        <f>IFERROR(__xludf.DUMMYFUNCTION("""COMPUTED_VALUE"""),48089.0)</f>
        <v>48089</v>
      </c>
      <c r="Y617" t="str">
        <f>IFERROR(__xludf.DUMMYFUNCTION("""COMPUTED_VALUE"""),"ปลอดภัย")</f>
        <v>ปลอดภัย</v>
      </c>
      <c r="Z617" t="str">
        <f>IFERROR(__xludf.DUMMYFUNCTION("""COMPUTED_VALUE"""),"Bangkok")</f>
        <v>Bangkok</v>
      </c>
      <c r="AA617" t="str">
        <f>IFERROR(__xludf.DUMMYFUNCTION("""COMPUTED_VALUE"""),"Bangbon")</f>
        <v>Bangbon</v>
      </c>
      <c r="AB617" t="str">
        <f>IFERROR(__xludf.DUMMYFUNCTION("""COMPUTED_VALUE"""),"081-454-8695")</f>
        <v>081-454-8695</v>
      </c>
      <c r="AC617" t="str">
        <f>IFERROR(__xludf.DUMMYFUNCTION("""COMPUTED_VALUE"""),"Nida")</f>
        <v>Nida</v>
      </c>
      <c r="AD617" t="str">
        <f>IFERROR(__xludf.DUMMYFUNCTION("""COMPUTED_VALUE"""),"manassaphornb@airasia.com")</f>
        <v>manassaphornb@airasia.com</v>
      </c>
    </row>
    <row r="618">
      <c r="A618" s="142">
        <f>IFERROR(__xludf.DUMMYFUNCTION("""COMPUTED_VALUE"""),74.0)</f>
        <v>74</v>
      </c>
      <c r="B618" t="str">
        <f>IFERROR(__xludf.DUMMYFUNCTION("""COMPUTED_VALUE"""),"TAA6127")</f>
        <v>TAA6127</v>
      </c>
      <c r="C618">
        <f>IFERROR(__xludf.DUMMYFUNCTION("""COMPUTED_VALUE"""),1012366.0)</f>
        <v>1012366</v>
      </c>
      <c r="D618" t="str">
        <f>IFERROR(__xludf.DUMMYFUNCTION("""COMPUTED_VALUE"""),"Mr.")</f>
        <v>Mr.</v>
      </c>
      <c r="E618" t="str">
        <f>IFERROR(__xludf.DUMMYFUNCTION("""COMPUTED_VALUE"""),"Ronnachai")</f>
        <v>Ronnachai</v>
      </c>
      <c r="F618" t="str">
        <f>IFERROR(__xludf.DUMMYFUNCTION("""COMPUTED_VALUE"""),"Wannarat")</f>
        <v>Wannarat</v>
      </c>
      <c r="G618" t="str">
        <f>IFERROR(__xludf.DUMMYFUNCTION("""COMPUTED_VALUE"""),"Ronnachai Wannarat")</f>
        <v>Ronnachai Wannarat</v>
      </c>
      <c r="H618" t="str">
        <f>IFERROR(__xludf.DUMMYFUNCTION("""COMPUTED_VALUE"""),"นาย")</f>
        <v>นาย</v>
      </c>
      <c r="I618" t="str">
        <f>IFERROR(__xludf.DUMMYFUNCTION("""COMPUTED_VALUE"""),"รณชัย")</f>
        <v>รณชัย</v>
      </c>
      <c r="J618" t="str">
        <f>IFERROR(__xludf.DUMMYFUNCTION("""COMPUTED_VALUE"""),"วรรณรัตน์")</f>
        <v>วรรณรัตน์</v>
      </c>
      <c r="K618" t="str">
        <f>IFERROR(__xludf.DUMMYFUNCTION("""COMPUTED_VALUE"""),"รณชัย วรรณรัตน์")</f>
        <v>รณชัย วรรณรัตน์</v>
      </c>
      <c r="L618" t="str">
        <f>IFERROR(__xludf.DUMMYFUNCTION("""COMPUTED_VALUE"""),"ณะ Na")</f>
        <v>ณะ Na</v>
      </c>
      <c r="M618" t="str">
        <f>IFERROR(__xludf.DUMMYFUNCTION("""COMPUTED_VALUE"""),"Cabin Crew")</f>
        <v>Cabin Crew</v>
      </c>
      <c r="N618" t="str">
        <f>IFERROR(__xludf.DUMMYFUNCTION("""COMPUTED_VALUE"""),"DMK")</f>
        <v>DMK</v>
      </c>
      <c r="O618" s="145" t="str">
        <f>IFERROR(__xludf.DUMMYFUNCTION("""COMPUTED_VALUE"""),"Kor Home")</f>
        <v>Kor Home</v>
      </c>
      <c r="P618" t="str">
        <f>IFERROR(__xludf.DUMMYFUNCTION("""COMPUTED_VALUE"""),"Active")</f>
        <v>Active</v>
      </c>
      <c r="Q618" t="str">
        <f>IFERROR(__xludf.DUMMYFUNCTION("""COMPUTED_VALUE"""),"Chinese Speaking")</f>
        <v>Chinese Speaking</v>
      </c>
      <c r="R618" s="143">
        <f>IFERROR(__xludf.DUMMYFUNCTION("""COMPUTED_VALUE"""),31792.0)</f>
        <v>31792</v>
      </c>
      <c r="S618" s="146" t="str">
        <f>IFERROR(__xludf.DUMMYFUNCTION("""COMPUTED_VALUE"""),"090-103-2828")</f>
        <v>090-103-2828</v>
      </c>
      <c r="T618" s="147" t="str">
        <f>IFERROR(__xludf.DUMMYFUNCTION("""COMPUTED_VALUE"""),"1-5099-00450-42-0")</f>
        <v>1-5099-00450-42-0</v>
      </c>
      <c r="U618" t="str">
        <f>IFERROR(__xludf.DUMMYFUNCTION("""COMPUTED_VALUE"""),"AC2920960")</f>
        <v>AC2920960</v>
      </c>
      <c r="V618" s="148">
        <f>IFERROR(__xludf.DUMMYFUNCTION("""COMPUTED_VALUE"""),44623.0)</f>
        <v>44623</v>
      </c>
      <c r="W618" s="148">
        <f>IFERROR(__xludf.DUMMYFUNCTION("""COMPUTED_VALUE"""),48275.0)</f>
        <v>48275</v>
      </c>
      <c r="X618" s="149">
        <f>IFERROR(__xludf.DUMMYFUNCTION("""COMPUTED_VALUE"""),48093.0)</f>
        <v>48093</v>
      </c>
      <c r="Y618" t="str">
        <f>IFERROR(__xludf.DUMMYFUNCTION("""COMPUTED_VALUE"""),"ปลอดภัย")</f>
        <v>ปลอดภัย</v>
      </c>
      <c r="Z618" t="str">
        <f>IFERROR(__xludf.DUMMYFUNCTION("""COMPUTED_VALUE"""),"Chiang Mai Province")</f>
        <v>Chiang Mai Province</v>
      </c>
      <c r="AA618" t="str">
        <f>IFERROR(__xludf.DUMMYFUNCTION("""COMPUTED_VALUE"""),"Ladkrabang")</f>
        <v>Ladkrabang</v>
      </c>
      <c r="AB618" t="str">
        <f>IFERROR(__xludf.DUMMYFUNCTION("""COMPUTED_VALUE"""),"089-953-6017")</f>
        <v>089-953-6017</v>
      </c>
      <c r="AC618" t="str">
        <f>IFERROR(__xludf.DUMMYFUNCTION("""COMPUTED_VALUE"""),"Ganjanat")</f>
        <v>Ganjanat</v>
      </c>
      <c r="AD618" t="str">
        <f>IFERROR(__xludf.DUMMYFUNCTION("""COMPUTED_VALUE"""),"ronnachaiw@airasia.com")</f>
        <v>ronnachaiw@airasia.com</v>
      </c>
    </row>
    <row r="619">
      <c r="A619" s="142">
        <f>IFERROR(__xludf.DUMMYFUNCTION("""COMPUTED_VALUE"""),74.0)</f>
        <v>74</v>
      </c>
      <c r="B619" t="str">
        <f>IFERROR(__xludf.DUMMYFUNCTION("""COMPUTED_VALUE"""),"TAA6121")</f>
        <v>TAA6121</v>
      </c>
      <c r="C619">
        <f>IFERROR(__xludf.DUMMYFUNCTION("""COMPUTED_VALUE"""),1012369.0)</f>
        <v>1012369</v>
      </c>
      <c r="D619" t="str">
        <f>IFERROR(__xludf.DUMMYFUNCTION("""COMPUTED_VALUE"""),"Ms.")</f>
        <v>Ms.</v>
      </c>
      <c r="E619" t="str">
        <f>IFERROR(__xludf.DUMMYFUNCTION("""COMPUTED_VALUE"""),"Savitree")</f>
        <v>Savitree</v>
      </c>
      <c r="F619" t="str">
        <f>IFERROR(__xludf.DUMMYFUNCTION("""COMPUTED_VALUE"""),"Sukprakop (Sukprakob)")</f>
        <v>Sukprakop (Sukprakob)</v>
      </c>
      <c r="G619" t="str">
        <f>IFERROR(__xludf.DUMMYFUNCTION("""COMPUTED_VALUE"""),"Savitree Sukprakop")</f>
        <v>Savitree Sukprakop</v>
      </c>
      <c r="H619" t="str">
        <f>IFERROR(__xludf.DUMMYFUNCTION("""COMPUTED_VALUE"""),"นางสาว")</f>
        <v>นางสาว</v>
      </c>
      <c r="I619" t="str">
        <f>IFERROR(__xludf.DUMMYFUNCTION("""COMPUTED_VALUE"""),"สาวิตรี")</f>
        <v>สาวิตรี</v>
      </c>
      <c r="J619" t="str">
        <f>IFERROR(__xludf.DUMMYFUNCTION("""COMPUTED_VALUE"""),"สุขประกอบ")</f>
        <v>สุขประกอบ</v>
      </c>
      <c r="K619" t="str">
        <f>IFERROR(__xludf.DUMMYFUNCTION("""COMPUTED_VALUE"""),"สาวิตรี สุขประกอบ")</f>
        <v>สาวิตรี สุขประกอบ</v>
      </c>
      <c r="L619" t="str">
        <f>IFERROR(__xludf.DUMMYFUNCTION("""COMPUTED_VALUE"""),"อุ๊ Au")</f>
        <v>อุ๊ Au</v>
      </c>
      <c r="M619" t="str">
        <f>IFERROR(__xludf.DUMMYFUNCTION("""COMPUTED_VALUE"""),"Cabin Crew")</f>
        <v>Cabin Crew</v>
      </c>
      <c r="N619" t="str">
        <f>IFERROR(__xludf.DUMMYFUNCTION("""COMPUTED_VALUE"""),"DMK")</f>
        <v>DMK</v>
      </c>
      <c r="O619" s="145" t="str">
        <f>IFERROR(__xludf.DUMMYFUNCTION("""COMPUTED_VALUE"""),"Kor Home")</f>
        <v>Kor Home</v>
      </c>
      <c r="P619" t="str">
        <f>IFERROR(__xludf.DUMMYFUNCTION("""COMPUTED_VALUE"""),"Active")</f>
        <v>Active</v>
      </c>
      <c r="Q619" t="str">
        <f>IFERROR(__xludf.DUMMYFUNCTION("""COMPUTED_VALUE"""),"Chinese Speaking")</f>
        <v>Chinese Speaking</v>
      </c>
      <c r="R619" s="143">
        <f>IFERROR(__xludf.DUMMYFUNCTION("""COMPUTED_VALUE"""),32974.0)</f>
        <v>32974</v>
      </c>
      <c r="S619" s="146" t="str">
        <f>IFERROR(__xludf.DUMMYFUNCTION("""COMPUTED_VALUE"""),"085-556-8607")</f>
        <v>085-556-8607</v>
      </c>
      <c r="T619" s="147" t="str">
        <f>IFERROR(__xludf.DUMMYFUNCTION("""COMPUTED_VALUE"""),"1-1007-01171-82-8")</f>
        <v>1-1007-01171-82-8</v>
      </c>
      <c r="U619" t="str">
        <f>IFERROR(__xludf.DUMMYFUNCTION("""COMPUTED_VALUE"""),"AC4955940")</f>
        <v>AC4955940</v>
      </c>
      <c r="V619" s="148">
        <f>IFERROR(__xludf.DUMMYFUNCTION("""COMPUTED_VALUE"""),45069.0)</f>
        <v>45069</v>
      </c>
      <c r="W619" s="148">
        <f>IFERROR(__xludf.DUMMYFUNCTION("""COMPUTED_VALUE"""),48721.0)</f>
        <v>48721</v>
      </c>
      <c r="X619" s="149">
        <f>IFERROR(__xludf.DUMMYFUNCTION("""COMPUTED_VALUE"""),48540.0)</f>
        <v>48540</v>
      </c>
      <c r="Y619" t="str">
        <f>IFERROR(__xludf.DUMMYFUNCTION("""COMPUTED_VALUE"""),"ปลอดภัย")</f>
        <v>ปลอดภัย</v>
      </c>
      <c r="Z619" t="str">
        <f>IFERROR(__xludf.DUMMYFUNCTION("""COMPUTED_VALUE"""),"Bangkok")</f>
        <v>Bangkok</v>
      </c>
      <c r="AA619" t="str">
        <f>IFERROR(__xludf.DUMMYFUNCTION("""COMPUTED_VALUE"""),"Pathumwan")</f>
        <v>Pathumwan</v>
      </c>
      <c r="AB619" t="str">
        <f>IFERROR(__xludf.DUMMYFUNCTION("""COMPUTED_VALUE"""),"081-361-1122")</f>
        <v>081-361-1122</v>
      </c>
      <c r="AC619" t="str">
        <f>IFERROR(__xludf.DUMMYFUNCTION("""COMPUTED_VALUE"""),"Chavakorn")</f>
        <v>Chavakorn</v>
      </c>
      <c r="AD619" t="str">
        <f>IFERROR(__xludf.DUMMYFUNCTION("""COMPUTED_VALUE"""),"savitrees@airasia.com")</f>
        <v>savitrees@airasia.com</v>
      </c>
    </row>
    <row r="620">
      <c r="A620" s="142">
        <f>IFERROR(__xludf.DUMMYFUNCTION("""COMPUTED_VALUE"""),74.0)</f>
        <v>74</v>
      </c>
      <c r="B620" t="str">
        <f>IFERROR(__xludf.DUMMYFUNCTION("""COMPUTED_VALUE"""),"TAA6124")</f>
        <v>TAA6124</v>
      </c>
      <c r="C620">
        <f>IFERROR(__xludf.DUMMYFUNCTION("""COMPUTED_VALUE"""),1012370.0)</f>
        <v>1012370</v>
      </c>
      <c r="D620" t="str">
        <f>IFERROR(__xludf.DUMMYFUNCTION("""COMPUTED_VALUE"""),"Mr.")</f>
        <v>Mr.</v>
      </c>
      <c r="E620" t="str">
        <f>IFERROR(__xludf.DUMMYFUNCTION("""COMPUTED_VALUE"""),"Thanapiphat (Toranin)")</f>
        <v>Thanapiphat (Toranin)</v>
      </c>
      <c r="F620" t="str">
        <f>IFERROR(__xludf.DUMMYFUNCTION("""COMPUTED_VALUE"""),"Kasempitirat (Kasempiti)")</f>
        <v>Kasempitirat (Kasempiti)</v>
      </c>
      <c r="G620" t="str">
        <f>IFERROR(__xludf.DUMMYFUNCTION("""COMPUTED_VALUE"""),"Thanapiphat Kasempitirat")</f>
        <v>Thanapiphat Kasempitirat</v>
      </c>
      <c r="H620" t="str">
        <f>IFERROR(__xludf.DUMMYFUNCTION("""COMPUTED_VALUE"""),"นาย")</f>
        <v>นาย</v>
      </c>
      <c r="I620" t="str">
        <f>IFERROR(__xludf.DUMMYFUNCTION("""COMPUTED_VALUE"""),"ธนพิพัฒน์ (ธรณินทร์)")</f>
        <v>ธนพิพัฒน์ (ธรณินทร์)</v>
      </c>
      <c r="J620" t="str">
        <f>IFERROR(__xludf.DUMMYFUNCTION("""COMPUTED_VALUE"""),"เกษมปิติรัตน์ (เกษมปิติ)")</f>
        <v>เกษมปิติรัตน์ (เกษมปิติ)</v>
      </c>
      <c r="K620" t="str">
        <f>IFERROR(__xludf.DUMMYFUNCTION("""COMPUTED_VALUE"""),"ธนพิพัฒน์ เกษมปิติรัตน์")</f>
        <v>ธนพิพัฒน์ เกษมปิติรัตน์</v>
      </c>
      <c r="L620" t="str">
        <f>IFERROR(__xludf.DUMMYFUNCTION("""COMPUTED_VALUE"""),"เต้ Tae")</f>
        <v>เต้ Tae</v>
      </c>
      <c r="M620" t="str">
        <f>IFERROR(__xludf.DUMMYFUNCTION("""COMPUTED_VALUE"""),"Cabin Crew")</f>
        <v>Cabin Crew</v>
      </c>
      <c r="N620" t="str">
        <f>IFERROR(__xludf.DUMMYFUNCTION("""COMPUTED_VALUE"""),"DMK")</f>
        <v>DMK</v>
      </c>
      <c r="O620" s="145" t="str">
        <f>IFERROR(__xludf.DUMMYFUNCTION("""COMPUTED_VALUE"""),"Por+ Home")</f>
        <v>Por+ Home</v>
      </c>
      <c r="P620" t="str">
        <f>IFERROR(__xludf.DUMMYFUNCTION("""COMPUTED_VALUE"""),"Active")</f>
        <v>Active</v>
      </c>
      <c r="Q620" t="str">
        <f>IFERROR(__xludf.DUMMYFUNCTION("""COMPUTED_VALUE"""),"Chinese Speaking")</f>
        <v>Chinese Speaking</v>
      </c>
      <c r="R620" s="143">
        <f>IFERROR(__xludf.DUMMYFUNCTION("""COMPUTED_VALUE"""),33806.0)</f>
        <v>33806</v>
      </c>
      <c r="S620" s="146" t="str">
        <f>IFERROR(__xludf.DUMMYFUNCTION("""COMPUTED_VALUE"""),"087-565-0177")</f>
        <v>087-565-0177</v>
      </c>
      <c r="T620" s="147" t="str">
        <f>IFERROR(__xludf.DUMMYFUNCTION("""COMPUTED_VALUE"""),"1-9098-00658-55-6")</f>
        <v>1-9098-00658-55-6</v>
      </c>
      <c r="U620" t="str">
        <f>IFERROR(__xludf.DUMMYFUNCTION("""COMPUTED_VALUE"""),"AC8418540")</f>
        <v>AC8418540</v>
      </c>
      <c r="V620" s="148">
        <f>IFERROR(__xludf.DUMMYFUNCTION("""COMPUTED_VALUE"""),46066.0)</f>
        <v>46066</v>
      </c>
      <c r="W620" s="148">
        <f>IFERROR(__xludf.DUMMYFUNCTION("""COMPUTED_VALUE"""),49717.0)</f>
        <v>49717</v>
      </c>
      <c r="X620" s="149">
        <f>IFERROR(__xludf.DUMMYFUNCTION("""COMPUTED_VALUE"""),49533.0)</f>
        <v>49533</v>
      </c>
      <c r="Y620" t="str">
        <f>IFERROR(__xludf.DUMMYFUNCTION("""COMPUTED_VALUE"""),"ปลอดภัย")</f>
        <v>ปลอดภัย</v>
      </c>
      <c r="Z620" t="str">
        <f>IFERROR(__xludf.DUMMYFUNCTION("""COMPUTED_VALUE"""),"Songkhla Province")</f>
        <v>Songkhla Province</v>
      </c>
      <c r="AA620" t="str">
        <f>IFERROR(__xludf.DUMMYFUNCTION("""COMPUTED_VALUE"""),"Phuket")</f>
        <v>Phuket</v>
      </c>
      <c r="AB620" t="str">
        <f>IFERROR(__xludf.DUMMYFUNCTION("""COMPUTED_VALUE"""),"089-586-9852")</f>
        <v>089-586-9852</v>
      </c>
      <c r="AC620" t="str">
        <f>IFERROR(__xludf.DUMMYFUNCTION("""COMPUTED_VALUE"""),"Khanisorn")</f>
        <v>Khanisorn</v>
      </c>
      <c r="AD620" t="str">
        <f>IFERROR(__xludf.DUMMYFUNCTION("""COMPUTED_VALUE"""),"thanapiphatkas@airasia.com ")</f>
        <v>thanapiphatkas@airasia.com </v>
      </c>
    </row>
    <row r="621">
      <c r="A621" s="142">
        <f>IFERROR(__xludf.DUMMYFUNCTION("""COMPUTED_VALUE"""),74.0)</f>
        <v>74</v>
      </c>
      <c r="B621" t="str">
        <f>IFERROR(__xludf.DUMMYFUNCTION("""COMPUTED_VALUE"""),"TAA6133")</f>
        <v>TAA6133</v>
      </c>
      <c r="C621">
        <f>IFERROR(__xludf.DUMMYFUNCTION("""COMPUTED_VALUE"""),1012371.0)</f>
        <v>1012371</v>
      </c>
      <c r="D621" t="str">
        <f>IFERROR(__xludf.DUMMYFUNCTION("""COMPUTED_VALUE"""),"Ms.")</f>
        <v>Ms.</v>
      </c>
      <c r="E621" t="str">
        <f>IFERROR(__xludf.DUMMYFUNCTION("""COMPUTED_VALUE"""),"Tunyakarn")</f>
        <v>Tunyakarn</v>
      </c>
      <c r="F621" t="str">
        <f>IFERROR(__xludf.DUMMYFUNCTION("""COMPUTED_VALUE"""),"Boonchuay")</f>
        <v>Boonchuay</v>
      </c>
      <c r="G621" t="str">
        <f>IFERROR(__xludf.DUMMYFUNCTION("""COMPUTED_VALUE"""),"Tunyakarn Boonchuay")</f>
        <v>Tunyakarn Boonchuay</v>
      </c>
      <c r="H621" t="str">
        <f>IFERROR(__xludf.DUMMYFUNCTION("""COMPUTED_VALUE"""),"นางสาว")</f>
        <v>นางสาว</v>
      </c>
      <c r="I621" t="str">
        <f>IFERROR(__xludf.DUMMYFUNCTION("""COMPUTED_VALUE"""),"ธันยกานต์")</f>
        <v>ธันยกานต์</v>
      </c>
      <c r="J621" t="str">
        <f>IFERROR(__xludf.DUMMYFUNCTION("""COMPUTED_VALUE"""),"บุญช่วย")</f>
        <v>บุญช่วย</v>
      </c>
      <c r="K621" t="str">
        <f>IFERROR(__xludf.DUMMYFUNCTION("""COMPUTED_VALUE"""),"ธันยกานต์ บุญช่วย")</f>
        <v>ธันยกานต์ บุญช่วย</v>
      </c>
      <c r="L621" t="str">
        <f>IFERROR(__xludf.DUMMYFUNCTION("""COMPUTED_VALUE"""),"พิมพลอย Pimploi")</f>
        <v>พิมพลอย Pimploi</v>
      </c>
      <c r="M621" t="str">
        <f>IFERROR(__xludf.DUMMYFUNCTION("""COMPUTED_VALUE"""),"Cabin Crew - BKK")</f>
        <v>Cabin Crew - BKK</v>
      </c>
      <c r="N621" t="str">
        <f>IFERROR(__xludf.DUMMYFUNCTION("""COMPUTED_VALUE"""),"BKK")</f>
        <v>BKK</v>
      </c>
      <c r="O621" s="145" t="str">
        <f>IFERROR(__xludf.DUMMYFUNCTION("""COMPUTED_VALUE"""),"Nhui Home")</f>
        <v>Nhui Home</v>
      </c>
      <c r="P621" t="str">
        <f>IFERROR(__xludf.DUMMYFUNCTION("""COMPUTED_VALUE"""),"Active")</f>
        <v>Active</v>
      </c>
      <c r="R621" s="143">
        <f>IFERROR(__xludf.DUMMYFUNCTION("""COMPUTED_VALUE"""),32638.0)</f>
        <v>32638</v>
      </c>
      <c r="S621" s="146" t="str">
        <f>IFERROR(__xludf.DUMMYFUNCTION("""COMPUTED_VALUE"""),"062-442-2822")</f>
        <v>062-442-2822</v>
      </c>
      <c r="T621" s="147" t="str">
        <f>IFERROR(__xludf.DUMMYFUNCTION("""COMPUTED_VALUE"""),"1-1005-00331-78-0")</f>
        <v>1-1005-00331-78-0</v>
      </c>
      <c r="U621" t="str">
        <f>IFERROR(__xludf.DUMMYFUNCTION("""COMPUTED_VALUE"""),"AC6349053")</f>
        <v>AC6349053</v>
      </c>
      <c r="V621" s="148">
        <f>IFERROR(__xludf.DUMMYFUNCTION("""COMPUTED_VALUE"""),45351.0)</f>
        <v>45351</v>
      </c>
      <c r="W621" s="148">
        <f>IFERROR(__xludf.DUMMYFUNCTION("""COMPUTED_VALUE"""),47176.0)</f>
        <v>47176</v>
      </c>
      <c r="X621" s="149">
        <f>IFERROR(__xludf.DUMMYFUNCTION("""COMPUTED_VALUE"""),46992.0)</f>
        <v>46992</v>
      </c>
      <c r="Y621" t="str">
        <f>IFERROR(__xludf.DUMMYFUNCTION("""COMPUTED_VALUE"""),"ปลอดภัย")</f>
        <v>ปลอดภัย</v>
      </c>
      <c r="Z621" t="str">
        <f>IFERROR(__xludf.DUMMYFUNCTION("""COMPUTED_VALUE"""),"Bangkok")</f>
        <v>Bangkok</v>
      </c>
      <c r="AA621" t="str">
        <f>IFERROR(__xludf.DUMMYFUNCTION("""COMPUTED_VALUE"""),"Huai-kwang")</f>
        <v>Huai-kwang</v>
      </c>
      <c r="AB621" t="str">
        <f>IFERROR(__xludf.DUMMYFUNCTION("""COMPUTED_VALUE"""),"081-814-5743")</f>
        <v>081-814-5743</v>
      </c>
      <c r="AC621" t="str">
        <f>IFERROR(__xludf.DUMMYFUNCTION("""COMPUTED_VALUE"""),"Pattamaporn")</f>
        <v>Pattamaporn</v>
      </c>
      <c r="AD621" t="str">
        <f>IFERROR(__xludf.DUMMYFUNCTION("""COMPUTED_VALUE"""),"tunyakarnb@airasia.com")</f>
        <v>tunyakarnb@airasia.com</v>
      </c>
    </row>
    <row r="622">
      <c r="A622" s="142">
        <f>IFERROR(__xludf.DUMMYFUNCTION("""COMPUTED_VALUE"""),74.0)</f>
        <v>74</v>
      </c>
      <c r="B622" t="str">
        <f>IFERROR(__xludf.DUMMYFUNCTION("""COMPUTED_VALUE"""),"TAA6138")</f>
        <v>TAA6138</v>
      </c>
      <c r="C622">
        <f>IFERROR(__xludf.DUMMYFUNCTION("""COMPUTED_VALUE"""),1012372.0)</f>
        <v>1012372</v>
      </c>
      <c r="D622" t="str">
        <f>IFERROR(__xludf.DUMMYFUNCTION("""COMPUTED_VALUE"""),"Ms.")</f>
        <v>Ms.</v>
      </c>
      <c r="E622" t="str">
        <f>IFERROR(__xludf.DUMMYFUNCTION("""COMPUTED_VALUE"""),"Vinida")</f>
        <v>Vinida</v>
      </c>
      <c r="F622" t="str">
        <f>IFERROR(__xludf.DUMMYFUNCTION("""COMPUTED_VALUE"""),"Ma")</f>
        <v>Ma</v>
      </c>
      <c r="G622" t="str">
        <f>IFERROR(__xludf.DUMMYFUNCTION("""COMPUTED_VALUE"""),"Vinida Ma")</f>
        <v>Vinida Ma</v>
      </c>
      <c r="H622" t="str">
        <f>IFERROR(__xludf.DUMMYFUNCTION("""COMPUTED_VALUE"""),"นางสาว")</f>
        <v>นางสาว</v>
      </c>
      <c r="I622" t="str">
        <f>IFERROR(__xludf.DUMMYFUNCTION("""COMPUTED_VALUE"""),"วินิดา")</f>
        <v>วินิดา</v>
      </c>
      <c r="J622" t="str">
        <f>IFERROR(__xludf.DUMMYFUNCTION("""COMPUTED_VALUE"""),"หม่า")</f>
        <v>หม่า</v>
      </c>
      <c r="K622" t="str">
        <f>IFERROR(__xludf.DUMMYFUNCTION("""COMPUTED_VALUE"""),"วินิดา หม่า")</f>
        <v>วินิดา หม่า</v>
      </c>
      <c r="L622" t="str">
        <f>IFERROR(__xludf.DUMMYFUNCTION("""COMPUTED_VALUE"""),"หลิน Lin")</f>
        <v>หลิน Lin</v>
      </c>
      <c r="M622" t="str">
        <f>IFERROR(__xludf.DUMMYFUNCTION("""COMPUTED_VALUE"""),"Senior Cabin Crew")</f>
        <v>Senior Cabin Crew</v>
      </c>
      <c r="N622" t="str">
        <f>IFERROR(__xludf.DUMMYFUNCTION("""COMPUTED_VALUE"""),"DMK")</f>
        <v>DMK</v>
      </c>
      <c r="O622" s="145" t="str">
        <f>IFERROR(__xludf.DUMMYFUNCTION("""COMPUTED_VALUE"""),"Kor Home")</f>
        <v>Kor Home</v>
      </c>
      <c r="P622" t="str">
        <f>IFERROR(__xludf.DUMMYFUNCTION("""COMPUTED_VALUE"""),"Active")</f>
        <v>Active</v>
      </c>
      <c r="Q622" t="str">
        <f>IFERROR(__xludf.DUMMYFUNCTION("""COMPUTED_VALUE"""),"Chinese Speaking")</f>
        <v>Chinese Speaking</v>
      </c>
      <c r="R622" s="143">
        <f>IFERROR(__xludf.DUMMYFUNCTION("""COMPUTED_VALUE"""),33670.0)</f>
        <v>33670</v>
      </c>
      <c r="S622" s="146" t="str">
        <f>IFERROR(__xludf.DUMMYFUNCTION("""COMPUTED_VALUE"""),"081-700-7577")</f>
        <v>081-700-7577</v>
      </c>
      <c r="T622" s="147" t="str">
        <f>IFERROR(__xludf.DUMMYFUNCTION("""COMPUTED_VALUE"""),"5-1018-00046-84-7")</f>
        <v>5-1018-00046-84-7</v>
      </c>
      <c r="U622" t="str">
        <f>IFERROR(__xludf.DUMMYFUNCTION("""COMPUTED_VALUE"""),"AC5924316")</f>
        <v>AC5924316</v>
      </c>
      <c r="V622" s="148">
        <f>IFERROR(__xludf.DUMMYFUNCTION("""COMPUTED_VALUE"""),45237.0)</f>
        <v>45237</v>
      </c>
      <c r="W622" s="148">
        <f>IFERROR(__xludf.DUMMYFUNCTION("""COMPUTED_VALUE"""),48891.0)</f>
        <v>48891</v>
      </c>
      <c r="X622" s="149">
        <f>IFERROR(__xludf.DUMMYFUNCTION("""COMPUTED_VALUE"""),48707.0)</f>
        <v>48707</v>
      </c>
      <c r="Y622" t="str">
        <f>IFERROR(__xludf.DUMMYFUNCTION("""COMPUTED_VALUE"""),"ปลอดภัย")</f>
        <v>ปลอดภัย</v>
      </c>
      <c r="Z622" t="str">
        <f>IFERROR(__xludf.DUMMYFUNCTION("""COMPUTED_VALUE"""),"Bangkok")</f>
        <v>Bangkok</v>
      </c>
      <c r="AA622" t="str">
        <f>IFERROR(__xludf.DUMMYFUNCTION("""COMPUTED_VALUE"""),"Bangbon")</f>
        <v>Bangbon</v>
      </c>
      <c r="AB622" t="str">
        <f>IFERROR(__xludf.DUMMYFUNCTION("""COMPUTED_VALUE"""),"081-822-2053")</f>
        <v>081-822-2053</v>
      </c>
      <c r="AC622" t="str">
        <f>IFERROR(__xludf.DUMMYFUNCTION("""COMPUTED_VALUE"""),"Pittaya")</f>
        <v>Pittaya</v>
      </c>
      <c r="AD622" t="str">
        <f>IFERROR(__xludf.DUMMYFUNCTION("""COMPUTED_VALUE"""),"vinidam@airasia.com")</f>
        <v>vinidam@airasia.com</v>
      </c>
    </row>
    <row r="623">
      <c r="AD623" t="str">
        <f>IFERROR(__xludf.DUMMYFUNCTION("""COMPUTED_VALUE"""),"")</f>
        <v/>
      </c>
    </row>
    <row r="624">
      <c r="A624" s="142">
        <f>IFERROR(__xludf.DUMMYFUNCTION("""COMPUTED_VALUE"""),75.0)</f>
        <v>75</v>
      </c>
      <c r="B624" t="str">
        <f>IFERROR(__xludf.DUMMYFUNCTION("""COMPUTED_VALUE"""),"TAA6496")</f>
        <v>TAA6496</v>
      </c>
      <c r="C624">
        <f>IFERROR(__xludf.DUMMYFUNCTION("""COMPUTED_VALUE"""),1012970.0)</f>
        <v>1012970</v>
      </c>
      <c r="D624" t="str">
        <f>IFERROR(__xludf.DUMMYFUNCTION("""COMPUTED_VALUE"""),"Mr.")</f>
        <v>Mr.</v>
      </c>
      <c r="E624" t="str">
        <f>IFERROR(__xludf.DUMMYFUNCTION("""COMPUTED_VALUE"""),"Amornwech")</f>
        <v>Amornwech</v>
      </c>
      <c r="F624" t="str">
        <f>IFERROR(__xludf.DUMMYFUNCTION("""COMPUTED_VALUE"""),"Jullanate")</f>
        <v>Jullanate</v>
      </c>
      <c r="G624" t="str">
        <f>IFERROR(__xludf.DUMMYFUNCTION("""COMPUTED_VALUE"""),"Amornwech Jullanate")</f>
        <v>Amornwech Jullanate</v>
      </c>
      <c r="H624" t="str">
        <f>IFERROR(__xludf.DUMMYFUNCTION("""COMPUTED_VALUE"""),"นาย")</f>
        <v>นาย</v>
      </c>
      <c r="I624" t="str">
        <f>IFERROR(__xludf.DUMMYFUNCTION("""COMPUTED_VALUE"""),"อมรเวช")</f>
        <v>อมรเวช</v>
      </c>
      <c r="J624" t="str">
        <f>IFERROR(__xludf.DUMMYFUNCTION("""COMPUTED_VALUE"""),"จุลเนตร")</f>
        <v>จุลเนตร</v>
      </c>
      <c r="K624" t="str">
        <f>IFERROR(__xludf.DUMMYFUNCTION("""COMPUTED_VALUE"""),"อมรเวช จุลเนตร")</f>
        <v>อมรเวช จุลเนตร</v>
      </c>
      <c r="L624" t="str">
        <f>IFERROR(__xludf.DUMMYFUNCTION("""COMPUTED_VALUE"""),"จ๊อบ/Jobie")</f>
        <v>จ๊อบ/Jobie</v>
      </c>
      <c r="M624" t="str">
        <f>IFERROR(__xludf.DUMMYFUNCTION("""COMPUTED_VALUE"""),"Cabin Crew - BKK")</f>
        <v>Cabin Crew - BKK</v>
      </c>
      <c r="N624" t="str">
        <f>IFERROR(__xludf.DUMMYFUNCTION("""COMPUTED_VALUE"""),"BKK")</f>
        <v>BKK</v>
      </c>
      <c r="O624" s="145" t="str">
        <f>IFERROR(__xludf.DUMMYFUNCTION("""COMPUTED_VALUE"""),"Nhui Home")</f>
        <v>Nhui Home</v>
      </c>
      <c r="P624" t="str">
        <f>IFERROR(__xludf.DUMMYFUNCTION("""COMPUTED_VALUE"""),"Active")</f>
        <v>Active</v>
      </c>
      <c r="R624" s="143">
        <f>IFERROR(__xludf.DUMMYFUNCTION("""COMPUTED_VALUE"""),32719.0)</f>
        <v>32719</v>
      </c>
      <c r="S624" s="146" t="str">
        <f>IFERROR(__xludf.DUMMYFUNCTION("""COMPUTED_VALUE"""),"093-592-5261")</f>
        <v>093-592-5261</v>
      </c>
      <c r="T624" s="147" t="str">
        <f>IFERROR(__xludf.DUMMYFUNCTION("""COMPUTED_VALUE"""),"1100600-23-5570")</f>
        <v>1100600-23-5570</v>
      </c>
      <c r="U624" t="str">
        <f>IFERROR(__xludf.DUMMYFUNCTION("""COMPUTED_VALUE"""),"AC3720433")</f>
        <v>AC3720433</v>
      </c>
      <c r="V624" s="148">
        <f>IFERROR(__xludf.DUMMYFUNCTION("""COMPUTED_VALUE"""),44774.0)</f>
        <v>44774</v>
      </c>
      <c r="W624" s="148">
        <f>IFERROR(__xludf.DUMMYFUNCTION("""COMPUTED_VALUE"""),48426.0)</f>
        <v>48426</v>
      </c>
      <c r="X624" s="149">
        <f>IFERROR(__xludf.DUMMYFUNCTION("""COMPUTED_VALUE"""),48244.0)</f>
        <v>48244</v>
      </c>
      <c r="Y624" t="str">
        <f>IFERROR(__xludf.DUMMYFUNCTION("""COMPUTED_VALUE"""),"ปลอดภัย")</f>
        <v>ปลอดภัย</v>
      </c>
      <c r="Z624" t="str">
        <f>IFERROR(__xludf.DUMMYFUNCTION("""COMPUTED_VALUE"""),"Bangkok")</f>
        <v>Bangkok</v>
      </c>
      <c r="AA624" t="str">
        <f>IFERROR(__xludf.DUMMYFUNCTION("""COMPUTED_VALUE"""),"Sapaansoong")</f>
        <v>Sapaansoong</v>
      </c>
      <c r="AB624" t="str">
        <f>IFERROR(__xludf.DUMMYFUNCTION("""COMPUTED_VALUE"""),"086-314-2661")</f>
        <v>086-314-2661</v>
      </c>
      <c r="AC624" t="str">
        <f>IFERROR(__xludf.DUMMYFUNCTION("""COMPUTED_VALUE"""),"Father")</f>
        <v>Father</v>
      </c>
      <c r="AD624" t="str">
        <f>IFERROR(__xludf.DUMMYFUNCTION("""COMPUTED_VALUE"""),"amornwechj@airasia.com")</f>
        <v>amornwechj@airasia.com</v>
      </c>
    </row>
    <row r="625">
      <c r="A625" s="142">
        <f>IFERROR(__xludf.DUMMYFUNCTION("""COMPUTED_VALUE"""),75.0)</f>
        <v>75</v>
      </c>
      <c r="B625" t="str">
        <f>IFERROR(__xludf.DUMMYFUNCTION("""COMPUTED_VALUE"""),"TAA6497")</f>
        <v>TAA6497</v>
      </c>
      <c r="C625">
        <f>IFERROR(__xludf.DUMMYFUNCTION("""COMPUTED_VALUE"""),1012975.0)</f>
        <v>1012975</v>
      </c>
      <c r="D625" t="str">
        <f>IFERROR(__xludf.DUMMYFUNCTION("""COMPUTED_VALUE"""),"Ms.")</f>
        <v>Ms.</v>
      </c>
      <c r="E625" t="str">
        <f>IFERROR(__xludf.DUMMYFUNCTION("""COMPUTED_VALUE"""),"Chalintara")</f>
        <v>Chalintara</v>
      </c>
      <c r="F625" t="str">
        <f>IFERROR(__xludf.DUMMYFUNCTION("""COMPUTED_VALUE"""),"Chinaratana")</f>
        <v>Chinaratana</v>
      </c>
      <c r="G625" t="str">
        <f>IFERROR(__xludf.DUMMYFUNCTION("""COMPUTED_VALUE"""),"Chalintara Chinaratana")</f>
        <v>Chalintara Chinaratana</v>
      </c>
      <c r="H625" t="str">
        <f>IFERROR(__xludf.DUMMYFUNCTION("""COMPUTED_VALUE"""),"นางสาว")</f>
        <v>นางสาว</v>
      </c>
      <c r="I625" t="str">
        <f>IFERROR(__xludf.DUMMYFUNCTION("""COMPUTED_VALUE"""),"ชลินทรา")</f>
        <v>ชลินทรา</v>
      </c>
      <c r="J625" t="str">
        <f>IFERROR(__xludf.DUMMYFUNCTION("""COMPUTED_VALUE"""),"จินารัตน์")</f>
        <v>จินารัตน์</v>
      </c>
      <c r="K625" t="str">
        <f>IFERROR(__xludf.DUMMYFUNCTION("""COMPUTED_VALUE"""),"ชลินทรา จินารัตน์")</f>
        <v>ชลินทรา จินารัตน์</v>
      </c>
      <c r="L625" t="str">
        <f>IFERROR(__xludf.DUMMYFUNCTION("""COMPUTED_VALUE"""),"Jib / จิ๊บ")</f>
        <v>Jib / จิ๊บ</v>
      </c>
      <c r="M625" t="str">
        <f>IFERROR(__xludf.DUMMYFUNCTION("""COMPUTED_VALUE"""),"Cabin Crew")</f>
        <v>Cabin Crew</v>
      </c>
      <c r="N625" t="str">
        <f>IFERROR(__xludf.DUMMYFUNCTION("""COMPUTED_VALUE"""),"DMK")</f>
        <v>DMK</v>
      </c>
      <c r="O625" s="145" t="str">
        <f>IFERROR(__xludf.DUMMYFUNCTION("""COMPUTED_VALUE"""),"Kor Home")</f>
        <v>Kor Home</v>
      </c>
      <c r="P625" t="str">
        <f>IFERROR(__xludf.DUMMYFUNCTION("""COMPUTED_VALUE"""),"Active")</f>
        <v>Active</v>
      </c>
      <c r="R625" s="143">
        <f>IFERROR(__xludf.DUMMYFUNCTION("""COMPUTED_VALUE"""),30768.0)</f>
        <v>30768</v>
      </c>
      <c r="S625" s="146" t="str">
        <f>IFERROR(__xludf.DUMMYFUNCTION("""COMPUTED_VALUE"""),"096-151-4464")</f>
        <v>096-151-4464</v>
      </c>
      <c r="T625" s="147" t="str">
        <f>IFERROR(__xludf.DUMMYFUNCTION("""COMPUTED_VALUE"""),"1349900-01-0201")</f>
        <v>1349900-01-0201</v>
      </c>
      <c r="U625" t="str">
        <f>IFERROR(__xludf.DUMMYFUNCTION("""COMPUTED_VALUE"""),"AD1579438")</f>
        <v>AD1579438</v>
      </c>
      <c r="V625" s="148">
        <f>IFERROR(__xludf.DUMMYFUNCTION("""COMPUTED_VALUE"""),45307.0)</f>
        <v>45307</v>
      </c>
      <c r="W625" s="148">
        <f>IFERROR(__xludf.DUMMYFUNCTION("""COMPUTED_VALUE"""),48959.0)</f>
        <v>48959</v>
      </c>
      <c r="X625" s="149">
        <f>IFERROR(__xludf.DUMMYFUNCTION("""COMPUTED_VALUE"""),48775.0)</f>
        <v>48775</v>
      </c>
      <c r="Y625" t="str">
        <f>IFERROR(__xludf.DUMMYFUNCTION("""COMPUTED_VALUE"""),"ปลอดภัย")</f>
        <v>ปลอดภัย</v>
      </c>
      <c r="Z625" t="str">
        <f>IFERROR(__xludf.DUMMYFUNCTION("""COMPUTED_VALUE"""),"Ubon Ratchathani Province")</f>
        <v>Ubon Ratchathani Province</v>
      </c>
      <c r="AA625" t="str">
        <f>IFERROR(__xludf.DUMMYFUNCTION("""COMPUTED_VALUE"""),"Jatujak")</f>
        <v>Jatujak</v>
      </c>
      <c r="AB625" t="str">
        <f>IFERROR(__xludf.DUMMYFUNCTION("""COMPUTED_VALUE"""),"089-681-9328")</f>
        <v>089-681-9328</v>
      </c>
      <c r="AC625" t="str">
        <f>IFERROR(__xludf.DUMMYFUNCTION("""COMPUTED_VALUE"""),"Sister")</f>
        <v>Sister</v>
      </c>
      <c r="AD625" t="str">
        <f>IFERROR(__xludf.DUMMYFUNCTION("""COMPUTED_VALUE"""),"chalintarac@airasia.com")</f>
        <v>chalintarac@airasia.com</v>
      </c>
    </row>
    <row r="626">
      <c r="A626" s="142">
        <f>IFERROR(__xludf.DUMMYFUNCTION("""COMPUTED_VALUE"""),75.0)</f>
        <v>75</v>
      </c>
      <c r="B626" t="str">
        <f>IFERROR(__xludf.DUMMYFUNCTION("""COMPUTED_VALUE"""),"TAA6494")</f>
        <v>TAA6494</v>
      </c>
      <c r="C626">
        <f>IFERROR(__xludf.DUMMYFUNCTION("""COMPUTED_VALUE"""),1012981.0)</f>
        <v>1012981</v>
      </c>
      <c r="D626" t="str">
        <f>IFERROR(__xludf.DUMMYFUNCTION("""COMPUTED_VALUE"""),"Mr.")</f>
        <v>Mr.</v>
      </c>
      <c r="E626" t="str">
        <f>IFERROR(__xludf.DUMMYFUNCTION("""COMPUTED_VALUE"""),"Chinakrit")</f>
        <v>Chinakrit</v>
      </c>
      <c r="F626" t="str">
        <f>IFERROR(__xludf.DUMMYFUNCTION("""COMPUTED_VALUE"""),"Boonyapiwat")</f>
        <v>Boonyapiwat</v>
      </c>
      <c r="G626" t="str">
        <f>IFERROR(__xludf.DUMMYFUNCTION("""COMPUTED_VALUE"""),"Chinakrit Boonyapiwat")</f>
        <v>Chinakrit Boonyapiwat</v>
      </c>
      <c r="H626" t="str">
        <f>IFERROR(__xludf.DUMMYFUNCTION("""COMPUTED_VALUE"""),"นาย")</f>
        <v>นาย</v>
      </c>
      <c r="I626" t="str">
        <f>IFERROR(__xludf.DUMMYFUNCTION("""COMPUTED_VALUE"""),"ชินกฤต")</f>
        <v>ชินกฤต</v>
      </c>
      <c r="J626" t="str">
        <f>IFERROR(__xludf.DUMMYFUNCTION("""COMPUTED_VALUE"""),"บุญญาภิวัฒน์")</f>
        <v>บุญญาภิวัฒน์</v>
      </c>
      <c r="K626" t="str">
        <f>IFERROR(__xludf.DUMMYFUNCTION("""COMPUTED_VALUE"""),"ชินกฤต บุญญาภิวัฒน์")</f>
        <v>ชินกฤต บุญญาภิวัฒน์</v>
      </c>
      <c r="L626" t="str">
        <f>IFERROR(__xludf.DUMMYFUNCTION("""COMPUTED_VALUE"""),"Ong / อ๋อง")</f>
        <v>Ong / อ๋อง</v>
      </c>
      <c r="M626" t="str">
        <f>IFERROR(__xludf.DUMMYFUNCTION("""COMPUTED_VALUE"""),"Cabin Crew")</f>
        <v>Cabin Crew</v>
      </c>
      <c r="N626" t="str">
        <f>IFERROR(__xludf.DUMMYFUNCTION("""COMPUTED_VALUE"""),"DMK")</f>
        <v>DMK</v>
      </c>
      <c r="O626" s="145" t="str">
        <f>IFERROR(__xludf.DUMMYFUNCTION("""COMPUTED_VALUE"""),"Kor Home")</f>
        <v>Kor Home</v>
      </c>
      <c r="P626" t="str">
        <f>IFERROR(__xludf.DUMMYFUNCTION("""COMPUTED_VALUE"""),"Active")</f>
        <v>Active</v>
      </c>
      <c r="R626" s="143">
        <f>IFERROR(__xludf.DUMMYFUNCTION("""COMPUTED_VALUE"""),32829.0)</f>
        <v>32829</v>
      </c>
      <c r="S626" s="146" t="str">
        <f>IFERROR(__xludf.DUMMYFUNCTION("""COMPUTED_VALUE"""),"095-629-2654")</f>
        <v>095-629-2654</v>
      </c>
      <c r="T626" s="147" t="str">
        <f>IFERROR(__xludf.DUMMYFUNCTION("""COMPUTED_VALUE"""),"1100600-19-1416")</f>
        <v>1100600-19-1416</v>
      </c>
      <c r="U626" t="str">
        <f>IFERROR(__xludf.DUMMYFUNCTION("""COMPUTED_VALUE"""),"AC5252025")</f>
        <v>AC5252025</v>
      </c>
      <c r="V626" s="148">
        <f>IFERROR(__xludf.DUMMYFUNCTION("""COMPUTED_VALUE"""),45109.0)</f>
        <v>45109</v>
      </c>
      <c r="W626" s="148">
        <f>IFERROR(__xludf.DUMMYFUNCTION("""COMPUTED_VALUE"""),48761.0)</f>
        <v>48761</v>
      </c>
      <c r="X626" s="149">
        <f>IFERROR(__xludf.DUMMYFUNCTION("""COMPUTED_VALUE"""),48580.0)</f>
        <v>48580</v>
      </c>
      <c r="Y626" t="str">
        <f>IFERROR(__xludf.DUMMYFUNCTION("""COMPUTED_VALUE"""),"ปลอดภัย")</f>
        <v>ปลอดภัย</v>
      </c>
      <c r="Z626" t="str">
        <f>IFERROR(__xludf.DUMMYFUNCTION("""COMPUTED_VALUE"""),"Bangkok")</f>
        <v>Bangkok</v>
      </c>
      <c r="AA626" t="str">
        <f>IFERROR(__xludf.DUMMYFUNCTION("""COMPUTED_VALUE"""),"Bangkapi")</f>
        <v>Bangkapi</v>
      </c>
      <c r="AB626" t="str">
        <f>IFERROR(__xludf.DUMMYFUNCTION("""COMPUTED_VALUE"""),"081-829-7714")</f>
        <v>081-829-7714</v>
      </c>
      <c r="AC626" t="str">
        <f>IFERROR(__xludf.DUMMYFUNCTION("""COMPUTED_VALUE"""),"Mother")</f>
        <v>Mother</v>
      </c>
      <c r="AD626" t="str">
        <f>IFERROR(__xludf.DUMMYFUNCTION("""COMPUTED_VALUE"""),"chinakritb@airasia.com")</f>
        <v>chinakritb@airasia.com</v>
      </c>
    </row>
    <row r="627">
      <c r="A627" s="142">
        <f>IFERROR(__xludf.DUMMYFUNCTION("""COMPUTED_VALUE"""),75.0)</f>
        <v>75</v>
      </c>
      <c r="B627" t="str">
        <f>IFERROR(__xludf.DUMMYFUNCTION("""COMPUTED_VALUE"""),"TAA6498")</f>
        <v>TAA6498</v>
      </c>
      <c r="C627">
        <f>IFERROR(__xludf.DUMMYFUNCTION("""COMPUTED_VALUE"""),1012984.0)</f>
        <v>1012984</v>
      </c>
      <c r="D627" t="str">
        <f>IFERROR(__xludf.DUMMYFUNCTION("""COMPUTED_VALUE"""),"Ms.")</f>
        <v>Ms.</v>
      </c>
      <c r="E627" t="str">
        <f>IFERROR(__xludf.DUMMYFUNCTION("""COMPUTED_VALUE"""),"Issaree")</f>
        <v>Issaree</v>
      </c>
      <c r="F627" t="str">
        <f>IFERROR(__xludf.DUMMYFUNCTION("""COMPUTED_VALUE"""),"Opasvimud")</f>
        <v>Opasvimud</v>
      </c>
      <c r="G627" t="str">
        <f>IFERROR(__xludf.DUMMYFUNCTION("""COMPUTED_VALUE"""),"Issaree Opasvimud")</f>
        <v>Issaree Opasvimud</v>
      </c>
      <c r="H627" t="str">
        <f>IFERROR(__xludf.DUMMYFUNCTION("""COMPUTED_VALUE"""),"นางสาว")</f>
        <v>นางสาว</v>
      </c>
      <c r="I627" t="str">
        <f>IFERROR(__xludf.DUMMYFUNCTION("""COMPUTED_VALUE"""),"อิสรีย์")</f>
        <v>อิสรีย์</v>
      </c>
      <c r="J627" t="str">
        <f>IFERROR(__xludf.DUMMYFUNCTION("""COMPUTED_VALUE"""),"โอภาสวิมุตติ์")</f>
        <v>โอภาสวิมุตติ์</v>
      </c>
      <c r="K627" t="str">
        <f>IFERROR(__xludf.DUMMYFUNCTION("""COMPUTED_VALUE"""),"อิสรีย์ โอภาสวิมุตติ์")</f>
        <v>อิสรีย์ โอภาสวิมุตติ์</v>
      </c>
      <c r="L627" t="str">
        <f>IFERROR(__xludf.DUMMYFUNCTION("""COMPUTED_VALUE"""),"Poupee/ปูเป้")</f>
        <v>Poupee/ปูเป้</v>
      </c>
      <c r="M627" t="str">
        <f>IFERROR(__xludf.DUMMYFUNCTION("""COMPUTED_VALUE"""),"Cabin Crew")</f>
        <v>Cabin Crew</v>
      </c>
      <c r="N627" t="str">
        <f>IFERROR(__xludf.DUMMYFUNCTION("""COMPUTED_VALUE"""),"DMK")</f>
        <v>DMK</v>
      </c>
      <c r="O627" s="145" t="str">
        <f>IFERROR(__xludf.DUMMYFUNCTION("""COMPUTED_VALUE"""),"Kor Home")</f>
        <v>Kor Home</v>
      </c>
      <c r="P627" t="str">
        <f>IFERROR(__xludf.DUMMYFUNCTION("""COMPUTED_VALUE"""),"Active")</f>
        <v>Active</v>
      </c>
      <c r="R627" s="143">
        <f>IFERROR(__xludf.DUMMYFUNCTION("""COMPUTED_VALUE"""),30364.0)</f>
        <v>30364</v>
      </c>
      <c r="S627" s="146" t="str">
        <f>IFERROR(__xludf.DUMMYFUNCTION("""COMPUTED_VALUE"""),"086-565-2423")</f>
        <v>086-565-2423</v>
      </c>
      <c r="T627" s="147" t="str">
        <f>IFERROR(__xludf.DUMMYFUNCTION("""COMPUTED_VALUE"""),"3101400-52-1045")</f>
        <v>3101400-52-1045</v>
      </c>
      <c r="U627" t="str">
        <f>IFERROR(__xludf.DUMMYFUNCTION("""COMPUTED_VALUE"""),"AC4359717")</f>
        <v>AC4359717</v>
      </c>
      <c r="V627" s="148">
        <f>IFERROR(__xludf.DUMMYFUNCTION("""COMPUTED_VALUE"""),44936.0)</f>
        <v>44936</v>
      </c>
      <c r="W627" s="148">
        <f>IFERROR(__xludf.DUMMYFUNCTION("""COMPUTED_VALUE"""),48588.0)</f>
        <v>48588</v>
      </c>
      <c r="X627" s="149">
        <f>IFERROR(__xludf.DUMMYFUNCTION("""COMPUTED_VALUE"""),48404.0)</f>
        <v>48404</v>
      </c>
      <c r="Y627" t="str">
        <f>IFERROR(__xludf.DUMMYFUNCTION("""COMPUTED_VALUE"""),"ปลอดภัย")</f>
        <v>ปลอดภัย</v>
      </c>
      <c r="Z627" t="str">
        <f>IFERROR(__xludf.DUMMYFUNCTION("""COMPUTED_VALUE"""),"Bangkok")</f>
        <v>Bangkok</v>
      </c>
      <c r="AA627" t="str">
        <f>IFERROR(__xludf.DUMMYFUNCTION("""COMPUTED_VALUE"""),"Nongkheam")</f>
        <v>Nongkheam</v>
      </c>
      <c r="AB627" t="str">
        <f>IFERROR(__xludf.DUMMYFUNCTION("""COMPUTED_VALUE"""),"095-932-8244")</f>
        <v>095-932-8244</v>
      </c>
      <c r="AC627" t="str">
        <f>IFERROR(__xludf.DUMMYFUNCTION("""COMPUTED_VALUE"""),"Mother")</f>
        <v>Mother</v>
      </c>
      <c r="AD627" t="str">
        <f>IFERROR(__xludf.DUMMYFUNCTION("""COMPUTED_VALUE"""),"issareeo@airasia.com")</f>
        <v>issareeo@airasia.com</v>
      </c>
    </row>
    <row r="628">
      <c r="A628" s="142">
        <f>IFERROR(__xludf.DUMMYFUNCTION("""COMPUTED_VALUE"""),75.0)</f>
        <v>75</v>
      </c>
      <c r="B628" t="str">
        <f>IFERROR(__xludf.DUMMYFUNCTION("""COMPUTED_VALUE"""),"TAA6502")</f>
        <v>TAA6502</v>
      </c>
      <c r="C628">
        <f>IFERROR(__xludf.DUMMYFUNCTION("""COMPUTED_VALUE"""),1012989.0)</f>
        <v>1012989</v>
      </c>
      <c r="D628" t="str">
        <f>IFERROR(__xludf.DUMMYFUNCTION("""COMPUTED_VALUE"""),"Mr.")</f>
        <v>Mr.</v>
      </c>
      <c r="E628" t="str">
        <f>IFERROR(__xludf.DUMMYFUNCTION("""COMPUTED_VALUE"""),"Kitibodee")</f>
        <v>Kitibodee</v>
      </c>
      <c r="F628" t="str">
        <f>IFERROR(__xludf.DUMMYFUNCTION("""COMPUTED_VALUE"""),"Harnkunthamart")</f>
        <v>Harnkunthamart</v>
      </c>
      <c r="G628" t="str">
        <f>IFERROR(__xludf.DUMMYFUNCTION("""COMPUTED_VALUE"""),"Kitibodee Harnkunthamart")</f>
        <v>Kitibodee Harnkunthamart</v>
      </c>
      <c r="H628" t="str">
        <f>IFERROR(__xludf.DUMMYFUNCTION("""COMPUTED_VALUE"""),"นาย")</f>
        <v>นาย</v>
      </c>
      <c r="I628" t="str">
        <f>IFERROR(__xludf.DUMMYFUNCTION("""COMPUTED_VALUE"""),"กิติบดี")</f>
        <v>กิติบดี</v>
      </c>
      <c r="J628" t="str">
        <f>IFERROR(__xludf.DUMMYFUNCTION("""COMPUTED_VALUE"""),"หาญคันธมาศ")</f>
        <v>หาญคันธมาศ</v>
      </c>
      <c r="K628" t="str">
        <f>IFERROR(__xludf.DUMMYFUNCTION("""COMPUTED_VALUE"""),"กิติบดี หาญคันธมาศ")</f>
        <v>กิติบดี หาญคันธมาศ</v>
      </c>
      <c r="L628" t="str">
        <f>IFERROR(__xludf.DUMMYFUNCTION("""COMPUTED_VALUE"""),"Mim / มิ้ม")</f>
        <v>Mim / มิ้ม</v>
      </c>
      <c r="M628" t="str">
        <f>IFERROR(__xludf.DUMMYFUNCTION("""COMPUTED_VALUE"""),"Senior Cabin Crew")</f>
        <v>Senior Cabin Crew</v>
      </c>
      <c r="N628" t="str">
        <f>IFERROR(__xludf.DUMMYFUNCTION("""COMPUTED_VALUE"""),"DMK")</f>
        <v>DMK</v>
      </c>
      <c r="O628" s="145" t="str">
        <f>IFERROR(__xludf.DUMMYFUNCTION("""COMPUTED_VALUE"""),"Up Home")</f>
        <v>Up Home</v>
      </c>
      <c r="P628" t="str">
        <f>IFERROR(__xludf.DUMMYFUNCTION("""COMPUTED_VALUE"""),"Active")</f>
        <v>Active</v>
      </c>
      <c r="R628" s="143">
        <f>IFERROR(__xludf.DUMMYFUNCTION("""COMPUTED_VALUE"""),31142.0)</f>
        <v>31142</v>
      </c>
      <c r="S628" s="146" t="str">
        <f>IFERROR(__xludf.DUMMYFUNCTION("""COMPUTED_VALUE"""),"093-265-8468")</f>
        <v>093-265-8468</v>
      </c>
      <c r="T628" s="147" t="str">
        <f>IFERROR(__xludf.DUMMYFUNCTION("""COMPUTED_VALUE"""),"1869900-01-7715")</f>
        <v>1869900-01-7715</v>
      </c>
      <c r="U628" t="str">
        <f>IFERROR(__xludf.DUMMYFUNCTION("""COMPUTED_VALUE"""),"AC3883464")</f>
        <v>AC3883464</v>
      </c>
      <c r="V628" s="148">
        <f>IFERROR(__xludf.DUMMYFUNCTION("""COMPUTED_VALUE"""),44795.0)</f>
        <v>44795</v>
      </c>
      <c r="W628" s="148">
        <f>IFERROR(__xludf.DUMMYFUNCTION("""COMPUTED_VALUE"""),48447.0)</f>
        <v>48447</v>
      </c>
      <c r="X628" s="149">
        <f>IFERROR(__xludf.DUMMYFUNCTION("""COMPUTED_VALUE"""),48265.0)</f>
        <v>48265</v>
      </c>
      <c r="Y628" t="str">
        <f>IFERROR(__xludf.DUMMYFUNCTION("""COMPUTED_VALUE"""),"ปลอดภัย")</f>
        <v>ปลอดภัย</v>
      </c>
      <c r="Z628" t="str">
        <f>IFERROR(__xludf.DUMMYFUNCTION("""COMPUTED_VALUE"""),"Chumphon Province")</f>
        <v>Chumphon Province</v>
      </c>
      <c r="AA628" t="str">
        <f>IFERROR(__xludf.DUMMYFUNCTION("""COMPUTED_VALUE"""),"Chiangmai")</f>
        <v>Chiangmai</v>
      </c>
      <c r="AB628" t="str">
        <f>IFERROR(__xludf.DUMMYFUNCTION("""COMPUTED_VALUE"""),"086-659-5060")</f>
        <v>086-659-5060</v>
      </c>
      <c r="AC628" t="str">
        <f>IFERROR(__xludf.DUMMYFUNCTION("""COMPUTED_VALUE"""),"Mother")</f>
        <v>Mother</v>
      </c>
      <c r="AD628" t="str">
        <f>IFERROR(__xludf.DUMMYFUNCTION("""COMPUTED_VALUE"""),"kitibodeea@airasia.com")</f>
        <v>kitibodeea@airasia.com</v>
      </c>
    </row>
    <row r="629">
      <c r="A629" s="142">
        <f>IFERROR(__xludf.DUMMYFUNCTION("""COMPUTED_VALUE"""),75.0)</f>
        <v>75</v>
      </c>
      <c r="B629" t="str">
        <f>IFERROR(__xludf.DUMMYFUNCTION("""COMPUTED_VALUE"""),"TAA6501")</f>
        <v>TAA6501</v>
      </c>
      <c r="C629">
        <f>IFERROR(__xludf.DUMMYFUNCTION("""COMPUTED_VALUE"""),1013000.0)</f>
        <v>1013000</v>
      </c>
      <c r="D629" t="str">
        <f>IFERROR(__xludf.DUMMYFUNCTION("""COMPUTED_VALUE"""),"Ms.")</f>
        <v>Ms.</v>
      </c>
      <c r="E629" t="str">
        <f>IFERROR(__xludf.DUMMYFUNCTION("""COMPUTED_VALUE"""),"Matsarin")</f>
        <v>Matsarin</v>
      </c>
      <c r="F629" t="str">
        <f>IFERROR(__xludf.DUMMYFUNCTION("""COMPUTED_VALUE"""),"Kaprasob")</f>
        <v>Kaprasob</v>
      </c>
      <c r="G629" t="str">
        <f>IFERROR(__xludf.DUMMYFUNCTION("""COMPUTED_VALUE"""),"Matsarin Kaprasob")</f>
        <v>Matsarin Kaprasob</v>
      </c>
      <c r="H629" t="str">
        <f>IFERROR(__xludf.DUMMYFUNCTION("""COMPUTED_VALUE"""),"นางสาว")</f>
        <v>นางสาว</v>
      </c>
      <c r="I629" t="str">
        <f>IFERROR(__xludf.DUMMYFUNCTION("""COMPUTED_VALUE"""),"มาศรินทร์")</f>
        <v>มาศรินทร์</v>
      </c>
      <c r="J629" t="str">
        <f>IFERROR(__xludf.DUMMYFUNCTION("""COMPUTED_VALUE"""),"คะประสบ")</f>
        <v>คะประสบ</v>
      </c>
      <c r="K629" t="str">
        <f>IFERROR(__xludf.DUMMYFUNCTION("""COMPUTED_VALUE"""),"มาศรินทร์ คะประสบ")</f>
        <v>มาศรินทร์ คะประสบ</v>
      </c>
      <c r="L629" t="str">
        <f>IFERROR(__xludf.DUMMYFUNCTION("""COMPUTED_VALUE"""),"Mas / มาศ")</f>
        <v>Mas / มาศ</v>
      </c>
      <c r="M629" t="str">
        <f>IFERROR(__xludf.DUMMYFUNCTION("""COMPUTED_VALUE"""),"Cabin Crew")</f>
        <v>Cabin Crew</v>
      </c>
      <c r="N629" t="str">
        <f>IFERROR(__xludf.DUMMYFUNCTION("""COMPUTED_VALUE"""),"DMK")</f>
        <v>DMK</v>
      </c>
      <c r="O629" s="145" t="str">
        <f>IFERROR(__xludf.DUMMYFUNCTION("""COMPUTED_VALUE"""),"Kor Home")</f>
        <v>Kor Home</v>
      </c>
      <c r="P629" t="str">
        <f>IFERROR(__xludf.DUMMYFUNCTION("""COMPUTED_VALUE"""),"Active")</f>
        <v>Active</v>
      </c>
      <c r="R629" s="143">
        <f>IFERROR(__xludf.DUMMYFUNCTION("""COMPUTED_VALUE"""),32420.0)</f>
        <v>32420</v>
      </c>
      <c r="S629" s="146" t="str">
        <f>IFERROR(__xludf.DUMMYFUNCTION("""COMPUTED_VALUE"""),"089-932-1835")</f>
        <v>089-932-1835</v>
      </c>
      <c r="T629" s="147" t="str">
        <f>IFERROR(__xludf.DUMMYFUNCTION("""COMPUTED_VALUE"""),"2110400-02-6240")</f>
        <v>2110400-02-6240</v>
      </c>
      <c r="U629" t="str">
        <f>IFERROR(__xludf.DUMMYFUNCTION("""COMPUTED_VALUE"""),"AC6151324")</f>
        <v>AC6151324</v>
      </c>
      <c r="V629" s="148">
        <f>IFERROR(__xludf.DUMMYFUNCTION("""COMPUTED_VALUE"""),45261.0)</f>
        <v>45261</v>
      </c>
      <c r="W629" s="148">
        <f>IFERROR(__xludf.DUMMYFUNCTION("""COMPUTED_VALUE"""),48913.0)</f>
        <v>48913</v>
      </c>
      <c r="X629" s="149">
        <f>IFERROR(__xludf.DUMMYFUNCTION("""COMPUTED_VALUE"""),48729.0)</f>
        <v>48729</v>
      </c>
      <c r="Y629" t="str">
        <f>IFERROR(__xludf.DUMMYFUNCTION("""COMPUTED_VALUE"""),"ปลอดภัย")</f>
        <v>ปลอดภัย</v>
      </c>
      <c r="Z629" t="str">
        <f>IFERROR(__xludf.DUMMYFUNCTION("""COMPUTED_VALUE"""),"Samut Prakan Province")</f>
        <v>Samut Prakan Province</v>
      </c>
      <c r="AA629" t="str">
        <f>IFERROR(__xludf.DUMMYFUNCTION("""COMPUTED_VALUE"""),"Huaykwang")</f>
        <v>Huaykwang</v>
      </c>
      <c r="AB629" t="str">
        <f>IFERROR(__xludf.DUMMYFUNCTION("""COMPUTED_VALUE"""),"088-294-8990")</f>
        <v>088-294-8990</v>
      </c>
      <c r="AC629" t="str">
        <f>IFERROR(__xludf.DUMMYFUNCTION("""COMPUTED_VALUE"""),"Brother")</f>
        <v>Brother</v>
      </c>
      <c r="AD629" t="str">
        <f>IFERROR(__xludf.DUMMYFUNCTION("""COMPUTED_VALUE"""),"matsarink@airasia.com")</f>
        <v>matsarink@airasia.com</v>
      </c>
    </row>
    <row r="630">
      <c r="A630" s="142">
        <f>IFERROR(__xludf.DUMMYFUNCTION("""COMPUTED_VALUE"""),75.0)</f>
        <v>75</v>
      </c>
      <c r="B630" t="str">
        <f>IFERROR(__xludf.DUMMYFUNCTION("""COMPUTED_VALUE"""),"TAA6513")</f>
        <v>TAA6513</v>
      </c>
      <c r="C630">
        <f>IFERROR(__xludf.DUMMYFUNCTION("""COMPUTED_VALUE"""),1013018.0)</f>
        <v>1013018</v>
      </c>
      <c r="D630" t="str">
        <f>IFERROR(__xludf.DUMMYFUNCTION("""COMPUTED_VALUE"""),"Mr.")</f>
        <v>Mr.</v>
      </c>
      <c r="E630" t="str">
        <f>IFERROR(__xludf.DUMMYFUNCTION("""COMPUTED_VALUE"""),"Panuwat")</f>
        <v>Panuwat</v>
      </c>
      <c r="F630" t="str">
        <f>IFERROR(__xludf.DUMMYFUNCTION("""COMPUTED_VALUE"""),"Warunyaporn")</f>
        <v>Warunyaporn</v>
      </c>
      <c r="G630" t="str">
        <f>IFERROR(__xludf.DUMMYFUNCTION("""COMPUTED_VALUE"""),"Panuwat Warunyaporn")</f>
        <v>Panuwat Warunyaporn</v>
      </c>
      <c r="H630" t="str">
        <f>IFERROR(__xludf.DUMMYFUNCTION("""COMPUTED_VALUE"""),"นาย")</f>
        <v>นาย</v>
      </c>
      <c r="I630" t="str">
        <f>IFERROR(__xludf.DUMMYFUNCTION("""COMPUTED_VALUE"""),"ภานุวัฒน์")</f>
        <v>ภานุวัฒน์</v>
      </c>
      <c r="J630" t="str">
        <f>IFERROR(__xludf.DUMMYFUNCTION("""COMPUTED_VALUE"""),"วรัญญาพร")</f>
        <v>วรัญญาพร</v>
      </c>
      <c r="K630" t="str">
        <f>IFERROR(__xludf.DUMMYFUNCTION("""COMPUTED_VALUE"""),"ภานุวัฒน์ วรัญญาพร")</f>
        <v>ภานุวัฒน์ วรัญญาพร</v>
      </c>
      <c r="L630" t="str">
        <f>IFERROR(__xludf.DUMMYFUNCTION("""COMPUTED_VALUE"""),"Sand/แซน")</f>
        <v>Sand/แซน</v>
      </c>
      <c r="M630" t="str">
        <f>IFERROR(__xludf.DUMMYFUNCTION("""COMPUTED_VALUE"""),"Senior Cabin Crew")</f>
        <v>Senior Cabin Crew</v>
      </c>
      <c r="N630" t="str">
        <f>IFERROR(__xludf.DUMMYFUNCTION("""COMPUTED_VALUE"""),"DMK")</f>
        <v>DMK</v>
      </c>
      <c r="O630" s="145" t="str">
        <f>IFERROR(__xludf.DUMMYFUNCTION("""COMPUTED_VALUE"""),"Toffy Home")</f>
        <v>Toffy Home</v>
      </c>
      <c r="P630" t="str">
        <f>IFERROR(__xludf.DUMMYFUNCTION("""COMPUTED_VALUE"""),"Active")</f>
        <v>Active</v>
      </c>
      <c r="R630" s="143">
        <f>IFERROR(__xludf.DUMMYFUNCTION("""COMPUTED_VALUE"""),32000.0)</f>
        <v>32000</v>
      </c>
      <c r="S630" s="146" t="str">
        <f>IFERROR(__xludf.DUMMYFUNCTION("""COMPUTED_VALUE"""),"098-261-6624")</f>
        <v>098-261-6624</v>
      </c>
      <c r="T630" s="147" t="str">
        <f>IFERROR(__xludf.DUMMYFUNCTION("""COMPUTED_VALUE"""),"1100400-28-0890")</f>
        <v>1100400-28-0890</v>
      </c>
      <c r="U630" t="str">
        <f>IFERROR(__xludf.DUMMYFUNCTION("""COMPUTED_VALUE"""),"AD1300961")</f>
        <v>AD1300961</v>
      </c>
      <c r="V630" s="148">
        <f>IFERROR(__xludf.DUMMYFUNCTION("""COMPUTED_VALUE"""),45335.0)</f>
        <v>45335</v>
      </c>
      <c r="W630" s="148">
        <f>IFERROR(__xludf.DUMMYFUNCTION("""COMPUTED_VALUE"""),48987.0)</f>
        <v>48987</v>
      </c>
      <c r="X630" s="149">
        <f>IFERROR(__xludf.DUMMYFUNCTION("""COMPUTED_VALUE"""),48803.0)</f>
        <v>48803</v>
      </c>
      <c r="Y630" t="str">
        <f>IFERROR(__xludf.DUMMYFUNCTION("""COMPUTED_VALUE"""),"ปลอดภัย")</f>
        <v>ปลอดภัย</v>
      </c>
      <c r="Z630" t="str">
        <f>IFERROR(__xludf.DUMMYFUNCTION("""COMPUTED_VALUE"""),"Bangkok")</f>
        <v>Bangkok</v>
      </c>
      <c r="AA630" t="str">
        <f>IFERROR(__xludf.DUMMYFUNCTION("""COMPUTED_VALUE"""),"Jatujak")</f>
        <v>Jatujak</v>
      </c>
      <c r="AB630" t="str">
        <f>IFERROR(__xludf.DUMMYFUNCTION("""COMPUTED_VALUE"""),"081-552-4928/081-817-8347")</f>
        <v>081-552-4928/081-817-8347</v>
      </c>
      <c r="AC630" t="str">
        <f>IFERROR(__xludf.DUMMYFUNCTION("""COMPUTED_VALUE"""),"Sister")</f>
        <v>Sister</v>
      </c>
      <c r="AD630" t="str">
        <f>IFERROR(__xludf.DUMMYFUNCTION("""COMPUTED_VALUE"""),"panuwatw@airasia.com")</f>
        <v>panuwatw@airasia.com</v>
      </c>
    </row>
    <row r="631">
      <c r="A631" s="142">
        <f>IFERROR(__xludf.DUMMYFUNCTION("""COMPUTED_VALUE"""),75.0)</f>
        <v>75</v>
      </c>
      <c r="B631" t="str">
        <f>IFERROR(__xludf.DUMMYFUNCTION("""COMPUTED_VALUE"""),"TAA6511")</f>
        <v>TAA6511</v>
      </c>
      <c r="C631">
        <f>IFERROR(__xludf.DUMMYFUNCTION("""COMPUTED_VALUE"""),1013019.0)</f>
        <v>1013019</v>
      </c>
      <c r="D631" t="str">
        <f>IFERROR(__xludf.DUMMYFUNCTION("""COMPUTED_VALUE"""),"Ms.")</f>
        <v>Ms.</v>
      </c>
      <c r="E631" t="str">
        <f>IFERROR(__xludf.DUMMYFUNCTION("""COMPUTED_VALUE"""),"Parujee")</f>
        <v>Parujee</v>
      </c>
      <c r="F631" t="str">
        <f>IFERROR(__xludf.DUMMYFUNCTION("""COMPUTED_VALUE"""),"Charoensook")</f>
        <v>Charoensook</v>
      </c>
      <c r="G631" t="str">
        <f>IFERROR(__xludf.DUMMYFUNCTION("""COMPUTED_VALUE"""),"Parujee Charoensook")</f>
        <v>Parujee Charoensook</v>
      </c>
      <c r="H631" t="str">
        <f>IFERROR(__xludf.DUMMYFUNCTION("""COMPUTED_VALUE"""),"นางสาว")</f>
        <v>นางสาว</v>
      </c>
      <c r="I631" t="str">
        <f>IFERROR(__xludf.DUMMYFUNCTION("""COMPUTED_VALUE"""),"ภารุจีร์")</f>
        <v>ภารุจีร์</v>
      </c>
      <c r="J631" t="str">
        <f>IFERROR(__xludf.DUMMYFUNCTION("""COMPUTED_VALUE"""),"เจริญสุข")</f>
        <v>เจริญสุข</v>
      </c>
      <c r="K631" t="str">
        <f>IFERROR(__xludf.DUMMYFUNCTION("""COMPUTED_VALUE"""),"ภารุจีร์ เจริญสุข")</f>
        <v>ภารุจีร์ เจริญสุข</v>
      </c>
      <c r="L631" t="str">
        <f>IFERROR(__xludf.DUMMYFUNCTION("""COMPUTED_VALUE"""),"Poom / ปุ้ม")</f>
        <v>Poom / ปุ้ม</v>
      </c>
      <c r="M631" t="str">
        <f>IFERROR(__xludf.DUMMYFUNCTION("""COMPUTED_VALUE"""),"Cabin Crew")</f>
        <v>Cabin Crew</v>
      </c>
      <c r="N631" t="str">
        <f>IFERROR(__xludf.DUMMYFUNCTION("""COMPUTED_VALUE"""),"DMK")</f>
        <v>DMK</v>
      </c>
      <c r="O631" s="145" t="str">
        <f>IFERROR(__xludf.DUMMYFUNCTION("""COMPUTED_VALUE"""),"Um Home")</f>
        <v>Um Home</v>
      </c>
      <c r="P631" t="str">
        <f>IFERROR(__xludf.DUMMYFUNCTION("""COMPUTED_VALUE"""),"Active")</f>
        <v>Active</v>
      </c>
      <c r="R631" s="143">
        <f>IFERROR(__xludf.DUMMYFUNCTION("""COMPUTED_VALUE"""),30518.0)</f>
        <v>30518</v>
      </c>
      <c r="S631" s="146" t="str">
        <f>IFERROR(__xludf.DUMMYFUNCTION("""COMPUTED_VALUE"""),"089-7938690")</f>
        <v>089-7938690</v>
      </c>
      <c r="T631" s="147" t="str">
        <f>IFERROR(__xludf.DUMMYFUNCTION("""COMPUTED_VALUE"""),"5200200-00-5170")</f>
        <v>5200200-00-5170</v>
      </c>
      <c r="U631" t="str">
        <f>IFERROR(__xludf.DUMMYFUNCTION("""COMPUTED_VALUE"""),"AC8084610")</f>
        <v>AC8084610</v>
      </c>
      <c r="V631" s="148">
        <f>IFERROR(__xludf.DUMMYFUNCTION("""COMPUTED_VALUE"""),45702.0)</f>
        <v>45702</v>
      </c>
      <c r="W631" s="148">
        <f>IFERROR(__xludf.DUMMYFUNCTION("""COMPUTED_VALUE"""),49353.0)</f>
        <v>49353</v>
      </c>
      <c r="X631" s="149">
        <f>IFERROR(__xludf.DUMMYFUNCTION("""COMPUTED_VALUE"""),49169.0)</f>
        <v>49169</v>
      </c>
      <c r="Y631" t="str">
        <f>IFERROR(__xludf.DUMMYFUNCTION("""COMPUTED_VALUE"""),"ปลอดภัย")</f>
        <v>ปลอดภัย</v>
      </c>
      <c r="Z631" t="str">
        <f>IFERROR(__xludf.DUMMYFUNCTION("""COMPUTED_VALUE"""),"Chonburi Province")</f>
        <v>Chonburi Province</v>
      </c>
      <c r="AA631" t="str">
        <f>IFERROR(__xludf.DUMMYFUNCTION("""COMPUTED_VALUE"""),"Banbung")</f>
        <v>Banbung</v>
      </c>
      <c r="AB631" t="str">
        <f>IFERROR(__xludf.DUMMYFUNCTION("""COMPUTED_VALUE"""),"083-112-2995")</f>
        <v>083-112-2995</v>
      </c>
      <c r="AC631" t="str">
        <f>IFERROR(__xludf.DUMMYFUNCTION("""COMPUTED_VALUE"""),"Mother")</f>
        <v>Mother</v>
      </c>
      <c r="AD631" t="str">
        <f>IFERROR(__xludf.DUMMYFUNCTION("""COMPUTED_VALUE"""),"parujeec@airasia.com")</f>
        <v>parujeec@airasia.com</v>
      </c>
    </row>
    <row r="632">
      <c r="A632" s="142">
        <f>IFERROR(__xludf.DUMMYFUNCTION("""COMPUTED_VALUE"""),75.0)</f>
        <v>75</v>
      </c>
      <c r="B632" t="str">
        <f>IFERROR(__xludf.DUMMYFUNCTION("""COMPUTED_VALUE"""),"TAA6499")</f>
        <v>TAA6499</v>
      </c>
      <c r="C632">
        <f>IFERROR(__xludf.DUMMYFUNCTION("""COMPUTED_VALUE"""),1013023.0)</f>
        <v>1013023</v>
      </c>
      <c r="D632" t="str">
        <f>IFERROR(__xludf.DUMMYFUNCTION("""COMPUTED_VALUE"""),"Ms.")</f>
        <v>Ms.</v>
      </c>
      <c r="E632" t="str">
        <f>IFERROR(__xludf.DUMMYFUNCTION("""COMPUTED_VALUE"""),"Pinyapat")</f>
        <v>Pinyapat</v>
      </c>
      <c r="F632" t="str">
        <f>IFERROR(__xludf.DUMMYFUNCTION("""COMPUTED_VALUE"""),"Methawatthanasin")</f>
        <v>Methawatthanasin</v>
      </c>
      <c r="G632" t="str">
        <f>IFERROR(__xludf.DUMMYFUNCTION("""COMPUTED_VALUE"""),"Pinyapat Methawatthanasin")</f>
        <v>Pinyapat Methawatthanasin</v>
      </c>
      <c r="H632" t="str">
        <f>IFERROR(__xludf.DUMMYFUNCTION("""COMPUTED_VALUE"""),"นางสาว")</f>
        <v>นางสาว</v>
      </c>
      <c r="I632" t="str">
        <f>IFERROR(__xludf.DUMMYFUNCTION("""COMPUTED_VALUE"""),"ภิญญาพัชร์")</f>
        <v>ภิญญาพัชร์</v>
      </c>
      <c r="J632" t="str">
        <f>IFERROR(__xludf.DUMMYFUNCTION("""COMPUTED_VALUE"""),"เมธวัฒน์ธนสิน")</f>
        <v>เมธวัฒน์ธนสิน</v>
      </c>
      <c r="K632" t="str">
        <f>IFERROR(__xludf.DUMMYFUNCTION("""COMPUTED_VALUE"""),"ภิญญาพัชร์ เมธวัฒน์ธนสิน")</f>
        <v>ภิญญาพัชร์ เมธวัฒน์ธนสิน</v>
      </c>
      <c r="L632" t="str">
        <f>IFERROR(__xludf.DUMMYFUNCTION("""COMPUTED_VALUE"""),"กิฟ / Gift")</f>
        <v>กิฟ / Gift</v>
      </c>
      <c r="M632" t="str">
        <f>IFERROR(__xludf.DUMMYFUNCTION("""COMPUTED_VALUE"""),"Cabin Crew")</f>
        <v>Cabin Crew</v>
      </c>
      <c r="N632" t="str">
        <f>IFERROR(__xludf.DUMMYFUNCTION("""COMPUTED_VALUE"""),"DMK")</f>
        <v>DMK</v>
      </c>
      <c r="O632" s="145" t="str">
        <f>IFERROR(__xludf.DUMMYFUNCTION("""COMPUTED_VALUE"""),"Por+ Home")</f>
        <v>Por+ Home</v>
      </c>
      <c r="P632" t="str">
        <f>IFERROR(__xludf.DUMMYFUNCTION("""COMPUTED_VALUE"""),"Active")</f>
        <v>Active</v>
      </c>
      <c r="R632" s="143">
        <f>IFERROR(__xludf.DUMMYFUNCTION("""COMPUTED_VALUE"""),30696.0)</f>
        <v>30696</v>
      </c>
      <c r="S632" s="146" t="str">
        <f>IFERROR(__xludf.DUMMYFUNCTION("""COMPUTED_VALUE"""),"083 549 5165")</f>
        <v>083 549 5165</v>
      </c>
      <c r="T632" s="147" t="str">
        <f>IFERROR(__xludf.DUMMYFUNCTION("""COMPUTED_VALUE"""),"1101400-00-9895")</f>
        <v>1101400-00-9895</v>
      </c>
      <c r="U632" t="str">
        <f>IFERROR(__xludf.DUMMYFUNCTION("""COMPUTED_VALUE"""),"AC2808809")</f>
        <v>AC2808809</v>
      </c>
      <c r="V632" s="148">
        <f>IFERROR(__xludf.DUMMYFUNCTION("""COMPUTED_VALUE"""),44510.0)</f>
        <v>44510</v>
      </c>
      <c r="W632" s="148">
        <f>IFERROR(__xludf.DUMMYFUNCTION("""COMPUTED_VALUE"""),48161.0)</f>
        <v>48161</v>
      </c>
      <c r="X632" s="149">
        <f>IFERROR(__xludf.DUMMYFUNCTION("""COMPUTED_VALUE"""),47977.0)</f>
        <v>47977</v>
      </c>
      <c r="Y632" t="str">
        <f>IFERROR(__xludf.DUMMYFUNCTION("""COMPUTED_VALUE"""),"ปลอดภัย")</f>
        <v>ปลอดภัย</v>
      </c>
      <c r="Z632" t="str">
        <f>IFERROR(__xludf.DUMMYFUNCTION("""COMPUTED_VALUE"""),"Bangkok")</f>
        <v>Bangkok</v>
      </c>
      <c r="AA632" t="str">
        <f>IFERROR(__xludf.DUMMYFUNCTION("""COMPUTED_VALUE"""),"Laksi")</f>
        <v>Laksi</v>
      </c>
      <c r="AB632" t="str">
        <f>IFERROR(__xludf.DUMMYFUNCTION("""COMPUTED_VALUE"""),"089-770-0363")</f>
        <v>089-770-0363</v>
      </c>
      <c r="AC632" t="str">
        <f>IFERROR(__xludf.DUMMYFUNCTION("""COMPUTED_VALUE"""),"Sister")</f>
        <v>Sister</v>
      </c>
      <c r="AD632" t="str">
        <f>IFERROR(__xludf.DUMMYFUNCTION("""COMPUTED_VALUE"""),"pinyapatm@airasia.com")</f>
        <v>pinyapatm@airasia.com</v>
      </c>
    </row>
    <row r="633">
      <c r="A633" s="142">
        <f>IFERROR(__xludf.DUMMYFUNCTION("""COMPUTED_VALUE"""),75.0)</f>
        <v>75</v>
      </c>
      <c r="B633" t="str">
        <f>IFERROR(__xludf.DUMMYFUNCTION("""COMPUTED_VALUE"""),"TAA6508")</f>
        <v>TAA6508</v>
      </c>
      <c r="C633">
        <f>IFERROR(__xludf.DUMMYFUNCTION("""COMPUTED_VALUE"""),1013025.0)</f>
        <v>1013025</v>
      </c>
      <c r="D633" t="str">
        <f>IFERROR(__xludf.DUMMYFUNCTION("""COMPUTED_VALUE"""),"Ms.")</f>
        <v>Ms.</v>
      </c>
      <c r="E633" t="str">
        <f>IFERROR(__xludf.DUMMYFUNCTION("""COMPUTED_VALUE"""),"Pirawan")</f>
        <v>Pirawan</v>
      </c>
      <c r="F633" t="str">
        <f>IFERROR(__xludf.DUMMYFUNCTION("""COMPUTED_VALUE"""),"Sarobol")</f>
        <v>Sarobol</v>
      </c>
      <c r="G633" t="str">
        <f>IFERROR(__xludf.DUMMYFUNCTION("""COMPUTED_VALUE"""),"Pirawan Sarobol")</f>
        <v>Pirawan Sarobol</v>
      </c>
      <c r="H633" t="str">
        <f>IFERROR(__xludf.DUMMYFUNCTION("""COMPUTED_VALUE"""),"นางสาว")</f>
        <v>นางสาว</v>
      </c>
      <c r="I633" t="str">
        <f>IFERROR(__xludf.DUMMYFUNCTION("""COMPUTED_VALUE"""),"พิรวรรณ")</f>
        <v>พิรวรรณ</v>
      </c>
      <c r="J633" t="str">
        <f>IFERROR(__xludf.DUMMYFUNCTION("""COMPUTED_VALUE"""),"สโรบล")</f>
        <v>สโรบล</v>
      </c>
      <c r="K633" t="str">
        <f>IFERROR(__xludf.DUMMYFUNCTION("""COMPUTED_VALUE"""),"พิรวรรณ สโรบล")</f>
        <v>พิรวรรณ สโรบล</v>
      </c>
      <c r="L633" t="str">
        <f>IFERROR(__xludf.DUMMYFUNCTION("""COMPUTED_VALUE"""),"Tawarn / ตาหวาน")</f>
        <v>Tawarn / ตาหวาน</v>
      </c>
      <c r="M633" t="str">
        <f>IFERROR(__xludf.DUMMYFUNCTION("""COMPUTED_VALUE"""),"Cabin Crew")</f>
        <v>Cabin Crew</v>
      </c>
      <c r="N633" t="str">
        <f>IFERROR(__xludf.DUMMYFUNCTION("""COMPUTED_VALUE"""),"DMK")</f>
        <v>DMK</v>
      </c>
      <c r="O633" s="145" t="str">
        <f>IFERROR(__xludf.DUMMYFUNCTION("""COMPUTED_VALUE"""),"Toffy Home")</f>
        <v>Toffy Home</v>
      </c>
      <c r="P633" t="str">
        <f>IFERROR(__xludf.DUMMYFUNCTION("""COMPUTED_VALUE"""),"Active")</f>
        <v>Active</v>
      </c>
      <c r="R633" s="143">
        <f>IFERROR(__xludf.DUMMYFUNCTION("""COMPUTED_VALUE"""),33003.0)</f>
        <v>33003</v>
      </c>
      <c r="S633" s="146" t="str">
        <f>IFERROR(__xludf.DUMMYFUNCTION("""COMPUTED_VALUE"""),"084-145-5580")</f>
        <v>084-145-5580</v>
      </c>
      <c r="T633" s="147" t="str">
        <f>IFERROR(__xludf.DUMMYFUNCTION("""COMPUTED_VALUE"""),"1103700-12-6791")</f>
        <v>1103700-12-6791</v>
      </c>
      <c r="U633" t="str">
        <f>IFERROR(__xludf.DUMMYFUNCTION("""COMPUTED_VALUE"""),"AC7966211")</f>
        <v>AC7966211</v>
      </c>
      <c r="V633" s="148">
        <f>IFERROR(__xludf.DUMMYFUNCTION("""COMPUTED_VALUE"""),45709.0)</f>
        <v>45709</v>
      </c>
      <c r="W633" s="148">
        <f>IFERROR(__xludf.DUMMYFUNCTION("""COMPUTED_VALUE"""),49360.0)</f>
        <v>49360</v>
      </c>
      <c r="X633" s="149">
        <f>IFERROR(__xludf.DUMMYFUNCTION("""COMPUTED_VALUE"""),49176.0)</f>
        <v>49176</v>
      </c>
      <c r="Y633" t="str">
        <f>IFERROR(__xludf.DUMMYFUNCTION("""COMPUTED_VALUE"""),"ปลอดภัย")</f>
        <v>ปลอดภัย</v>
      </c>
      <c r="Z633" t="str">
        <f>IFERROR(__xludf.DUMMYFUNCTION("""COMPUTED_VALUE"""),"Bangkok")</f>
        <v>Bangkok</v>
      </c>
      <c r="AA633" t="str">
        <f>IFERROR(__xludf.DUMMYFUNCTION("""COMPUTED_VALUE"""),"Bangplad")</f>
        <v>Bangplad</v>
      </c>
      <c r="AB633" t="str">
        <f>IFERROR(__xludf.DUMMYFUNCTION("""COMPUTED_VALUE"""),"081-933-4673")</f>
        <v>081-933-4673</v>
      </c>
      <c r="AC633" t="str">
        <f>IFERROR(__xludf.DUMMYFUNCTION("""COMPUTED_VALUE"""),"Mother")</f>
        <v>Mother</v>
      </c>
      <c r="AD633" t="str">
        <f>IFERROR(__xludf.DUMMYFUNCTION("""COMPUTED_VALUE"""),"pirawans@airasia.com")</f>
        <v>pirawans@airasia.com</v>
      </c>
    </row>
    <row r="634">
      <c r="A634" s="142">
        <f>IFERROR(__xludf.DUMMYFUNCTION("""COMPUTED_VALUE"""),75.0)</f>
        <v>75</v>
      </c>
      <c r="B634" t="str">
        <f>IFERROR(__xludf.DUMMYFUNCTION("""COMPUTED_VALUE"""),"TAA6510")</f>
        <v>TAA6510</v>
      </c>
      <c r="C634">
        <f>IFERROR(__xludf.DUMMYFUNCTION("""COMPUTED_VALUE"""),1013028.0)</f>
        <v>1013028</v>
      </c>
      <c r="D634" t="str">
        <f>IFERROR(__xludf.DUMMYFUNCTION("""COMPUTED_VALUE"""),"Ms.")</f>
        <v>Ms.</v>
      </c>
      <c r="E634" t="str">
        <f>IFERROR(__xludf.DUMMYFUNCTION("""COMPUTED_VALUE"""),"Premaporn")</f>
        <v>Premaporn</v>
      </c>
      <c r="F634" t="str">
        <f>IFERROR(__xludf.DUMMYFUNCTION("""COMPUTED_VALUE"""),"Preechanonda")</f>
        <v>Preechanonda</v>
      </c>
      <c r="G634" t="str">
        <f>IFERROR(__xludf.DUMMYFUNCTION("""COMPUTED_VALUE"""),"Premaporn Preechanonda")</f>
        <v>Premaporn Preechanonda</v>
      </c>
      <c r="H634" t="str">
        <f>IFERROR(__xludf.DUMMYFUNCTION("""COMPUTED_VALUE"""),"นางสาว")</f>
        <v>นางสาว</v>
      </c>
      <c r="I634" t="str">
        <f>IFERROR(__xludf.DUMMYFUNCTION("""COMPUTED_VALUE"""),"เปรมาภรณ์")</f>
        <v>เปรมาภรณ์</v>
      </c>
      <c r="J634" t="str">
        <f>IFERROR(__xludf.DUMMYFUNCTION("""COMPUTED_VALUE"""),"ปรีชานนท์")</f>
        <v>ปรีชานนท์</v>
      </c>
      <c r="K634" t="str">
        <f>IFERROR(__xludf.DUMMYFUNCTION("""COMPUTED_VALUE"""),"เปรมาภรณ์ ปรีชานนท์")</f>
        <v>เปรมาภรณ์ ปรีชานนท์</v>
      </c>
      <c r="L634" t="str">
        <f>IFERROR(__xludf.DUMMYFUNCTION("""COMPUTED_VALUE"""),"Yam/แยม")</f>
        <v>Yam/แยม</v>
      </c>
      <c r="M634" t="str">
        <f>IFERROR(__xludf.DUMMYFUNCTION("""COMPUTED_VALUE"""),"Cabin Crew - BKK")</f>
        <v>Cabin Crew - BKK</v>
      </c>
      <c r="N634" t="str">
        <f>IFERROR(__xludf.DUMMYFUNCTION("""COMPUTED_VALUE"""),"BKK")</f>
        <v>BKK</v>
      </c>
      <c r="O634" s="145" t="str">
        <f>IFERROR(__xludf.DUMMYFUNCTION("""COMPUTED_VALUE"""),"Nhui Home")</f>
        <v>Nhui Home</v>
      </c>
      <c r="P634" t="str">
        <f>IFERROR(__xludf.DUMMYFUNCTION("""COMPUTED_VALUE"""),"Active")</f>
        <v>Active</v>
      </c>
      <c r="R634" s="143">
        <f>IFERROR(__xludf.DUMMYFUNCTION("""COMPUTED_VALUE"""),32744.0)</f>
        <v>32744</v>
      </c>
      <c r="S634" s="146" t="str">
        <f>IFERROR(__xludf.DUMMYFUNCTION("""COMPUTED_VALUE"""),"086-776-4929")</f>
        <v>086-776-4929</v>
      </c>
      <c r="T634" s="147" t="str">
        <f>IFERROR(__xludf.DUMMYFUNCTION("""COMPUTED_VALUE"""),"1101500-36-8765")</f>
        <v>1101500-36-8765</v>
      </c>
      <c r="U634" t="str">
        <f>IFERROR(__xludf.DUMMYFUNCTION("""COMPUTED_VALUE"""),"AC2540053")</f>
        <v>AC2540053</v>
      </c>
      <c r="V634" s="148">
        <f>IFERROR(__xludf.DUMMYFUNCTION("""COMPUTED_VALUE"""),44642.0)</f>
        <v>44642</v>
      </c>
      <c r="W634" s="148">
        <f>IFERROR(__xludf.DUMMYFUNCTION("""COMPUTED_VALUE"""),46467.0)</f>
        <v>46467</v>
      </c>
      <c r="X634" s="149">
        <f>IFERROR(__xludf.DUMMYFUNCTION("""COMPUTED_VALUE"""),46286.0)</f>
        <v>46286</v>
      </c>
      <c r="Y634" t="str">
        <f>IFERROR(__xludf.DUMMYFUNCTION("""COMPUTED_VALUE"""),"ปลอดภัย")</f>
        <v>ปลอดภัย</v>
      </c>
      <c r="Z634" t="str">
        <f>IFERROR(__xludf.DUMMYFUNCTION("""COMPUTED_VALUE"""),"Bangkok")</f>
        <v>Bangkok</v>
      </c>
      <c r="AA634" t="str">
        <f>IFERROR(__xludf.DUMMYFUNCTION("""COMPUTED_VALUE"""),"Wattana")</f>
        <v>Wattana</v>
      </c>
      <c r="AB634" t="str">
        <f>IFERROR(__xludf.DUMMYFUNCTION("""COMPUTED_VALUE"""),"087-490-1012")</f>
        <v>087-490-1012</v>
      </c>
      <c r="AC634" t="str">
        <f>IFERROR(__xludf.DUMMYFUNCTION("""COMPUTED_VALUE"""),"Mother")</f>
        <v>Mother</v>
      </c>
      <c r="AD634" t="str">
        <f>IFERROR(__xludf.DUMMYFUNCTION("""COMPUTED_VALUE"""),"premapornp@airasia.com")</f>
        <v>premapornp@airasia.com</v>
      </c>
    </row>
    <row r="635">
      <c r="A635" s="142">
        <f>IFERROR(__xludf.DUMMYFUNCTION("""COMPUTED_VALUE"""),75.0)</f>
        <v>75</v>
      </c>
      <c r="B635" t="str">
        <f>IFERROR(__xludf.DUMMYFUNCTION("""COMPUTED_VALUE"""),"TAA6500")</f>
        <v>TAA6500</v>
      </c>
      <c r="C635">
        <f>IFERROR(__xludf.DUMMYFUNCTION("""COMPUTED_VALUE"""),1013031.0)</f>
        <v>1013031</v>
      </c>
      <c r="D635" t="str">
        <f>IFERROR(__xludf.DUMMYFUNCTION("""COMPUTED_VALUE"""),"Ms.")</f>
        <v>Ms.</v>
      </c>
      <c r="E635" t="str">
        <f>IFERROR(__xludf.DUMMYFUNCTION("""COMPUTED_VALUE"""),"Sasima")</f>
        <v>Sasima</v>
      </c>
      <c r="F635" t="str">
        <f>IFERROR(__xludf.DUMMYFUNCTION("""COMPUTED_VALUE"""),"Boonthanakorn")</f>
        <v>Boonthanakorn</v>
      </c>
      <c r="G635" t="str">
        <f>IFERROR(__xludf.DUMMYFUNCTION("""COMPUTED_VALUE"""),"Sasima Boonthanakorn")</f>
        <v>Sasima Boonthanakorn</v>
      </c>
      <c r="H635" t="str">
        <f>IFERROR(__xludf.DUMMYFUNCTION("""COMPUTED_VALUE"""),"นางสาว")</f>
        <v>นางสาว</v>
      </c>
      <c r="I635" t="str">
        <f>IFERROR(__xludf.DUMMYFUNCTION("""COMPUTED_VALUE"""),"ศศิมา")</f>
        <v>ศศิมา</v>
      </c>
      <c r="J635" t="str">
        <f>IFERROR(__xludf.DUMMYFUNCTION("""COMPUTED_VALUE"""),"บุญธนากร")</f>
        <v>บุญธนากร</v>
      </c>
      <c r="K635" t="str">
        <f>IFERROR(__xludf.DUMMYFUNCTION("""COMPUTED_VALUE"""),"ศศิมา บุญธนากร")</f>
        <v>ศศิมา บุญธนากร</v>
      </c>
      <c r="L635" t="str">
        <f>IFERROR(__xludf.DUMMYFUNCTION("""COMPUTED_VALUE"""),"Pook/ปุ๊ก")</f>
        <v>Pook/ปุ๊ก</v>
      </c>
      <c r="M635" t="str">
        <f>IFERROR(__xludf.DUMMYFUNCTION("""COMPUTED_VALUE"""),"Cabin Crew")</f>
        <v>Cabin Crew</v>
      </c>
      <c r="N635" t="str">
        <f>IFERROR(__xludf.DUMMYFUNCTION("""COMPUTED_VALUE"""),"DMK")</f>
        <v>DMK</v>
      </c>
      <c r="O635" s="145" t="str">
        <f>IFERROR(__xludf.DUMMYFUNCTION("""COMPUTED_VALUE"""),"Nhui Home")</f>
        <v>Nhui Home</v>
      </c>
      <c r="P635" t="str">
        <f>IFERROR(__xludf.DUMMYFUNCTION("""COMPUTED_VALUE"""),"V/LWP")</f>
        <v>V/LWP</v>
      </c>
      <c r="R635" s="143">
        <f>IFERROR(__xludf.DUMMYFUNCTION("""COMPUTED_VALUE"""),31376.0)</f>
        <v>31376</v>
      </c>
      <c r="S635" s="146" t="str">
        <f>IFERROR(__xludf.DUMMYFUNCTION("""COMPUTED_VALUE"""),"099-3942259")</f>
        <v>099-3942259</v>
      </c>
      <c r="T635" s="147" t="str">
        <f>IFERROR(__xludf.DUMMYFUNCTION("""COMPUTED_VALUE"""),"1102000-34-5686")</f>
        <v>1102000-34-5686</v>
      </c>
      <c r="U635" t="str">
        <f>IFERROR(__xludf.DUMMYFUNCTION("""COMPUTED_VALUE"""),"AC3158571")</f>
        <v>AC3158571</v>
      </c>
      <c r="V635" s="148">
        <f>IFERROR(__xludf.DUMMYFUNCTION("""COMPUTED_VALUE"""),44700.0)</f>
        <v>44700</v>
      </c>
      <c r="W635" s="148">
        <f>IFERROR(__xludf.DUMMYFUNCTION("""COMPUTED_VALUE"""),48352.0)</f>
        <v>48352</v>
      </c>
      <c r="X635" s="149">
        <f>IFERROR(__xludf.DUMMYFUNCTION("""COMPUTED_VALUE"""),48170.0)</f>
        <v>48170</v>
      </c>
      <c r="Y635" t="str">
        <f>IFERROR(__xludf.DUMMYFUNCTION("""COMPUTED_VALUE"""),"ปลอดภัย")</f>
        <v>ปลอดภัย</v>
      </c>
      <c r="Z635" t="str">
        <f>IFERROR(__xludf.DUMMYFUNCTION("""COMPUTED_VALUE"""),"Bangkok")</f>
        <v>Bangkok</v>
      </c>
      <c r="AA635" t="str">
        <f>IFERROR(__xludf.DUMMYFUNCTION("""COMPUTED_VALUE"""),"Bangkae")</f>
        <v>Bangkae</v>
      </c>
      <c r="AB635" t="str">
        <f>IFERROR(__xludf.DUMMYFUNCTION("""COMPUTED_VALUE"""),"085-812-2408")</f>
        <v>085-812-2408</v>
      </c>
      <c r="AC635" t="str">
        <f>IFERROR(__xludf.DUMMYFUNCTION("""COMPUTED_VALUE"""),"Sister")</f>
        <v>Sister</v>
      </c>
      <c r="AD635" t="str">
        <f>IFERROR(__xludf.DUMMYFUNCTION("""COMPUTED_VALUE"""),"sasimab@airasia.com")</f>
        <v>sasimab@airasia.com</v>
      </c>
    </row>
    <row r="636">
      <c r="A636" s="142">
        <f>IFERROR(__xludf.DUMMYFUNCTION("""COMPUTED_VALUE"""),75.0)</f>
        <v>75</v>
      </c>
      <c r="B636" t="str">
        <f>IFERROR(__xludf.DUMMYFUNCTION("""COMPUTED_VALUE"""),"TAA6493")</f>
        <v>TAA6493</v>
      </c>
      <c r="C636">
        <f>IFERROR(__xludf.DUMMYFUNCTION("""COMPUTED_VALUE"""),1013033.0)</f>
        <v>1013033</v>
      </c>
      <c r="D636" t="str">
        <f>IFERROR(__xludf.DUMMYFUNCTION("""COMPUTED_VALUE"""),"Ms.")</f>
        <v>Ms.</v>
      </c>
      <c r="E636" t="str">
        <f>IFERROR(__xludf.DUMMYFUNCTION("""COMPUTED_VALUE"""),"Sirirat")</f>
        <v>Sirirat</v>
      </c>
      <c r="F636" t="str">
        <f>IFERROR(__xludf.DUMMYFUNCTION("""COMPUTED_VALUE"""),"Thampipat")</f>
        <v>Thampipat</v>
      </c>
      <c r="G636" t="str">
        <f>IFERROR(__xludf.DUMMYFUNCTION("""COMPUTED_VALUE"""),"Sirirat Thampipat")</f>
        <v>Sirirat Thampipat</v>
      </c>
      <c r="H636" t="str">
        <f>IFERROR(__xludf.DUMMYFUNCTION("""COMPUTED_VALUE"""),"นางสาว")</f>
        <v>นางสาว</v>
      </c>
      <c r="I636" t="str">
        <f>IFERROR(__xludf.DUMMYFUNCTION("""COMPUTED_VALUE"""),"สิริรัตน์")</f>
        <v>สิริรัตน์</v>
      </c>
      <c r="J636" t="str">
        <f>IFERROR(__xludf.DUMMYFUNCTION("""COMPUTED_VALUE"""),"ธรรมพิพัฒน์")</f>
        <v>ธรรมพิพัฒน์</v>
      </c>
      <c r="K636" t="str">
        <f>IFERROR(__xludf.DUMMYFUNCTION("""COMPUTED_VALUE"""),"สิริรัตน์ ธรรมพิพัฒน์")</f>
        <v>สิริรัตน์ ธรรมพิพัฒน์</v>
      </c>
      <c r="L636" t="str">
        <f>IFERROR(__xludf.DUMMYFUNCTION("""COMPUTED_VALUE"""),"Bee/บี")</f>
        <v>Bee/บี</v>
      </c>
      <c r="M636" t="str">
        <f>IFERROR(__xludf.DUMMYFUNCTION("""COMPUTED_VALUE"""),"Cabin Crew")</f>
        <v>Cabin Crew</v>
      </c>
      <c r="N636" t="str">
        <f>IFERROR(__xludf.DUMMYFUNCTION("""COMPUTED_VALUE"""),"DMK")</f>
        <v>DMK</v>
      </c>
      <c r="O636" s="145" t="str">
        <f>IFERROR(__xludf.DUMMYFUNCTION("""COMPUTED_VALUE"""),"Namfon Home")</f>
        <v>Namfon Home</v>
      </c>
      <c r="P636" t="str">
        <f>IFERROR(__xludf.DUMMYFUNCTION("""COMPUTED_VALUE"""),"Active")</f>
        <v>Active</v>
      </c>
      <c r="R636" s="143">
        <f>IFERROR(__xludf.DUMMYFUNCTION("""COMPUTED_VALUE"""),32753.0)</f>
        <v>32753</v>
      </c>
      <c r="S636" s="146" t="str">
        <f>IFERROR(__xludf.DUMMYFUNCTION("""COMPUTED_VALUE"""),"089-693-6962")</f>
        <v>089-693-6962</v>
      </c>
      <c r="T636" s="147" t="str">
        <f>IFERROR(__xludf.DUMMYFUNCTION("""COMPUTED_VALUE"""),"1101401-67-6445")</f>
        <v>1101401-67-6445</v>
      </c>
      <c r="U636" t="str">
        <f>IFERROR(__xludf.DUMMYFUNCTION("""COMPUTED_VALUE"""),"AC5215380")</f>
        <v>AC5215380</v>
      </c>
      <c r="V636" s="148">
        <f>IFERROR(__xludf.DUMMYFUNCTION("""COMPUTED_VALUE"""),45120.0)</f>
        <v>45120</v>
      </c>
      <c r="W636" s="148">
        <f>IFERROR(__xludf.DUMMYFUNCTION("""COMPUTED_VALUE"""),48772.0)</f>
        <v>48772</v>
      </c>
      <c r="X636" s="149">
        <f>IFERROR(__xludf.DUMMYFUNCTION("""COMPUTED_VALUE"""),48591.0)</f>
        <v>48591</v>
      </c>
      <c r="Y636" t="str">
        <f>IFERROR(__xludf.DUMMYFUNCTION("""COMPUTED_VALUE"""),"ปลอดภัย")</f>
        <v>ปลอดภัย</v>
      </c>
      <c r="Z636" t="str">
        <f>IFERROR(__xludf.DUMMYFUNCTION("""COMPUTED_VALUE"""),"Bangkok")</f>
        <v>Bangkok</v>
      </c>
      <c r="AA636" t="str">
        <f>IFERROR(__xludf.DUMMYFUNCTION("""COMPUTED_VALUE"""),"Nonthaburi")</f>
        <v>Nonthaburi</v>
      </c>
      <c r="AB636" t="str">
        <f>IFERROR(__xludf.DUMMYFUNCTION("""COMPUTED_VALUE"""),"086-789-6558")</f>
        <v>086-789-6558</v>
      </c>
      <c r="AC636" t="str">
        <f>IFERROR(__xludf.DUMMYFUNCTION("""COMPUTED_VALUE"""),"Father")</f>
        <v>Father</v>
      </c>
      <c r="AD636" t="str">
        <f>IFERROR(__xludf.DUMMYFUNCTION("""COMPUTED_VALUE"""),"siriratt@airasia.com")</f>
        <v>siriratt@airasia.com</v>
      </c>
    </row>
    <row r="637">
      <c r="A637" s="142">
        <f>IFERROR(__xludf.DUMMYFUNCTION("""COMPUTED_VALUE"""),75.0)</f>
        <v>75</v>
      </c>
      <c r="B637" t="str">
        <f>IFERROR(__xludf.DUMMYFUNCTION("""COMPUTED_VALUE"""),"TAA6509")</f>
        <v>TAA6509</v>
      </c>
      <c r="C637">
        <f>IFERROR(__xludf.DUMMYFUNCTION("""COMPUTED_VALUE"""),1013034.0)</f>
        <v>1013034</v>
      </c>
      <c r="D637" t="str">
        <f>IFERROR(__xludf.DUMMYFUNCTION("""COMPUTED_VALUE"""),"Mr.")</f>
        <v>Mr.</v>
      </c>
      <c r="E637" t="str">
        <f>IFERROR(__xludf.DUMMYFUNCTION("""COMPUTED_VALUE"""),"Sitthiphan")</f>
        <v>Sitthiphan</v>
      </c>
      <c r="F637" t="str">
        <f>IFERROR(__xludf.DUMMYFUNCTION("""COMPUTED_VALUE"""),"Chansawang")</f>
        <v>Chansawang</v>
      </c>
      <c r="G637" t="str">
        <f>IFERROR(__xludf.DUMMYFUNCTION("""COMPUTED_VALUE"""),"Sitthiphan Chansawang")</f>
        <v>Sitthiphan Chansawang</v>
      </c>
      <c r="H637" t="str">
        <f>IFERROR(__xludf.DUMMYFUNCTION("""COMPUTED_VALUE"""),"นาย")</f>
        <v>นาย</v>
      </c>
      <c r="I637" t="str">
        <f>IFERROR(__xludf.DUMMYFUNCTION("""COMPUTED_VALUE"""),"สิทธิพันธ์")</f>
        <v>สิทธิพันธ์</v>
      </c>
      <c r="J637" t="str">
        <f>IFERROR(__xludf.DUMMYFUNCTION("""COMPUTED_VALUE"""),"จันทร์สว่าง")</f>
        <v>จันทร์สว่าง</v>
      </c>
      <c r="K637" t="str">
        <f>IFERROR(__xludf.DUMMYFUNCTION("""COMPUTED_VALUE"""),"สิทธิพันธ์ จันทร์สว่าง")</f>
        <v>สิทธิพันธ์ จันทร์สว่าง</v>
      </c>
      <c r="L637" t="str">
        <f>IFERROR(__xludf.DUMMYFUNCTION("""COMPUTED_VALUE"""),"Patrick / แพท")</f>
        <v>Patrick / แพท</v>
      </c>
      <c r="M637" t="str">
        <f>IFERROR(__xludf.DUMMYFUNCTION("""COMPUTED_VALUE"""),"Cabin Crew")</f>
        <v>Cabin Crew</v>
      </c>
      <c r="N637" t="str">
        <f>IFERROR(__xludf.DUMMYFUNCTION("""COMPUTED_VALUE"""),"DMK")</f>
        <v>DMK</v>
      </c>
      <c r="O637" s="145" t="str">
        <f>IFERROR(__xludf.DUMMYFUNCTION("""COMPUTED_VALUE"""),"Namfon Home")</f>
        <v>Namfon Home</v>
      </c>
      <c r="P637" t="str">
        <f>IFERROR(__xludf.DUMMYFUNCTION("""COMPUTED_VALUE"""),"Active")</f>
        <v>Active</v>
      </c>
      <c r="R637" s="143">
        <f>IFERROR(__xludf.DUMMYFUNCTION("""COMPUTED_VALUE"""),33198.0)</f>
        <v>33198</v>
      </c>
      <c r="S637" s="146" t="str">
        <f>IFERROR(__xludf.DUMMYFUNCTION("""COMPUTED_VALUE"""),"092 991 6662")</f>
        <v>092 991 6662</v>
      </c>
      <c r="T637" s="147" t="str">
        <f>IFERROR(__xludf.DUMMYFUNCTION("""COMPUTED_VALUE"""),"1229900-37-3665")</f>
        <v>1229900-37-3665</v>
      </c>
      <c r="U637" t="str">
        <f>IFERROR(__xludf.DUMMYFUNCTION("""COMPUTED_VALUE"""),"AC7464515")</f>
        <v>AC7464515</v>
      </c>
      <c r="V637" s="148">
        <f>IFERROR(__xludf.DUMMYFUNCTION("""COMPUTED_VALUE"""),45593.0)</f>
        <v>45593</v>
      </c>
      <c r="W637" s="148">
        <f>IFERROR(__xludf.DUMMYFUNCTION("""COMPUTED_VALUE"""),49244.0)</f>
        <v>49244</v>
      </c>
      <c r="X637" s="149">
        <f>IFERROR(__xludf.DUMMYFUNCTION("""COMPUTED_VALUE"""),49061.0)</f>
        <v>49061</v>
      </c>
      <c r="Y637" t="str">
        <f>IFERROR(__xludf.DUMMYFUNCTION("""COMPUTED_VALUE"""),"ปลอดภัย")</f>
        <v>ปลอดภัย</v>
      </c>
      <c r="Z637" t="str">
        <f>IFERROR(__xludf.DUMMYFUNCTION("""COMPUTED_VALUE"""),"Chanthaburi Province")</f>
        <v>Chanthaburi Province</v>
      </c>
      <c r="AA637" t="str">
        <f>IFERROR(__xludf.DUMMYFUNCTION("""COMPUTED_VALUE"""),"Khonkaen")</f>
        <v>Khonkaen</v>
      </c>
      <c r="AB637" t="str">
        <f>IFERROR(__xludf.DUMMYFUNCTION("""COMPUTED_VALUE"""),"087-379-7315")</f>
        <v>087-379-7315</v>
      </c>
      <c r="AC637" t="str">
        <f>IFERROR(__xludf.DUMMYFUNCTION("""COMPUTED_VALUE"""),"Father")</f>
        <v>Father</v>
      </c>
      <c r="AD637" t="str">
        <f>IFERROR(__xludf.DUMMYFUNCTION("""COMPUTED_VALUE"""),"sitthiphanc@airasia.com")</f>
        <v>sitthiphanc@airasia.com</v>
      </c>
    </row>
    <row r="638">
      <c r="A638" s="142">
        <f>IFERROR(__xludf.DUMMYFUNCTION("""COMPUTED_VALUE"""),75.0)</f>
        <v>75</v>
      </c>
      <c r="B638" t="str">
        <f>IFERROR(__xludf.DUMMYFUNCTION("""COMPUTED_VALUE"""),"TAA6506")</f>
        <v>TAA6506</v>
      </c>
      <c r="C638">
        <f>IFERROR(__xludf.DUMMYFUNCTION("""COMPUTED_VALUE"""),1013048.0)</f>
        <v>1013048</v>
      </c>
      <c r="D638" t="str">
        <f>IFERROR(__xludf.DUMMYFUNCTION("""COMPUTED_VALUE"""),"Ms.")</f>
        <v>Ms.</v>
      </c>
      <c r="E638" t="str">
        <f>IFERROR(__xludf.DUMMYFUNCTION("""COMPUTED_VALUE"""),"Thanchanok")</f>
        <v>Thanchanok</v>
      </c>
      <c r="F638" t="str">
        <f>IFERROR(__xludf.DUMMYFUNCTION("""COMPUTED_VALUE"""),"Srisawang")</f>
        <v>Srisawang</v>
      </c>
      <c r="G638" t="str">
        <f>IFERROR(__xludf.DUMMYFUNCTION("""COMPUTED_VALUE"""),"Thanchanok Srisawang")</f>
        <v>Thanchanok Srisawang</v>
      </c>
      <c r="H638" t="str">
        <f>IFERROR(__xludf.DUMMYFUNCTION("""COMPUTED_VALUE"""),"นางสาว")</f>
        <v>นางสาว</v>
      </c>
      <c r="I638" t="str">
        <f>IFERROR(__xludf.DUMMYFUNCTION("""COMPUTED_VALUE"""),"ธันย์ชนก")</f>
        <v>ธันย์ชนก</v>
      </c>
      <c r="J638" t="str">
        <f>IFERROR(__xludf.DUMMYFUNCTION("""COMPUTED_VALUE"""),"ศรีสว่าง")</f>
        <v>ศรีสว่าง</v>
      </c>
      <c r="K638" t="str">
        <f>IFERROR(__xludf.DUMMYFUNCTION("""COMPUTED_VALUE"""),"ธันย์ชนก ศรีสว่าง")</f>
        <v>ธันย์ชนก ศรีสว่าง</v>
      </c>
      <c r="L638" t="str">
        <f>IFERROR(__xludf.DUMMYFUNCTION("""COMPUTED_VALUE"""),"Nink/นิ้ง")</f>
        <v>Nink/นิ้ง</v>
      </c>
      <c r="M638" t="str">
        <f>IFERROR(__xludf.DUMMYFUNCTION("""COMPUTED_VALUE"""),"Senior Cabin Crew")</f>
        <v>Senior Cabin Crew</v>
      </c>
      <c r="N638" t="str">
        <f>IFERROR(__xludf.DUMMYFUNCTION("""COMPUTED_VALUE"""),"DMK")</f>
        <v>DMK</v>
      </c>
      <c r="O638" s="145" t="str">
        <f>IFERROR(__xludf.DUMMYFUNCTION("""COMPUTED_VALUE"""),"Um Home")</f>
        <v>Um Home</v>
      </c>
      <c r="P638" t="str">
        <f>IFERROR(__xludf.DUMMYFUNCTION("""COMPUTED_VALUE"""),"Active")</f>
        <v>Active</v>
      </c>
      <c r="R638" s="143">
        <f>IFERROR(__xludf.DUMMYFUNCTION("""COMPUTED_VALUE"""),33196.0)</f>
        <v>33196</v>
      </c>
      <c r="S638" s="146" t="str">
        <f>IFERROR(__xludf.DUMMYFUNCTION("""COMPUTED_VALUE"""),"065-626-2947")</f>
        <v>065-626-2947</v>
      </c>
      <c r="T638" s="147" t="str">
        <f>IFERROR(__xludf.DUMMYFUNCTION("""COMPUTED_VALUE"""),"1509900-94-1041")</f>
        <v>1509900-94-1041</v>
      </c>
      <c r="U638" t="str">
        <f>IFERROR(__xludf.DUMMYFUNCTION("""COMPUTED_VALUE"""),"AD0277054")</f>
        <v>AD0277054</v>
      </c>
      <c r="V638" s="148">
        <f>IFERROR(__xludf.DUMMYFUNCTION("""COMPUTED_VALUE"""),44866.0)</f>
        <v>44866</v>
      </c>
      <c r="W638" s="148">
        <f>IFERROR(__xludf.DUMMYFUNCTION("""COMPUTED_VALUE"""),48518.0)</f>
        <v>48518</v>
      </c>
      <c r="X638" s="149">
        <f>IFERROR(__xludf.DUMMYFUNCTION("""COMPUTED_VALUE"""),48334.0)</f>
        <v>48334</v>
      </c>
      <c r="Y638" t="str">
        <f>IFERROR(__xludf.DUMMYFUNCTION("""COMPUTED_VALUE"""),"ปลอดภัย")</f>
        <v>ปลอดภัย</v>
      </c>
      <c r="Z638" t="str">
        <f>IFERROR(__xludf.DUMMYFUNCTION("""COMPUTED_VALUE"""),"Chiang Mai Province")</f>
        <v>Chiang Mai Province</v>
      </c>
      <c r="AA638" t="str">
        <f>IFERROR(__xludf.DUMMYFUNCTION("""COMPUTED_VALUE"""),"Muang")</f>
        <v>Muang</v>
      </c>
      <c r="AB638" t="str">
        <f>IFERROR(__xludf.DUMMYFUNCTION("""COMPUTED_VALUE"""),"087-305-6591")</f>
        <v>087-305-6591</v>
      </c>
      <c r="AC638" t="str">
        <f>IFERROR(__xludf.DUMMYFUNCTION("""COMPUTED_VALUE"""),"Sister")</f>
        <v>Sister</v>
      </c>
      <c r="AD638" t="str">
        <f>IFERROR(__xludf.DUMMYFUNCTION("""COMPUTED_VALUE"""),"thanchanoks@airasia.com")</f>
        <v>thanchanoks@airasia.com</v>
      </c>
    </row>
    <row r="639">
      <c r="AD639" t="str">
        <f>IFERROR(__xludf.DUMMYFUNCTION("""COMPUTED_VALUE"""),"")</f>
        <v/>
      </c>
    </row>
    <row r="640">
      <c r="A640" s="142">
        <f>IFERROR(__xludf.DUMMYFUNCTION("""COMPUTED_VALUE"""),76.0)</f>
        <v>76</v>
      </c>
      <c r="B640" t="str">
        <f>IFERROR(__xludf.DUMMYFUNCTION("""COMPUTED_VALUE"""),"TAA6371")</f>
        <v>TAA6371</v>
      </c>
      <c r="C640">
        <f>IFERROR(__xludf.DUMMYFUNCTION("""COMPUTED_VALUE"""),1012892.0)</f>
        <v>1012892</v>
      </c>
      <c r="D640" t="str">
        <f>IFERROR(__xludf.DUMMYFUNCTION("""COMPUTED_VALUE"""),"Ms.")</f>
        <v>Ms.</v>
      </c>
      <c r="E640" t="str">
        <f>IFERROR(__xludf.DUMMYFUNCTION("""COMPUTED_VALUE"""),"Apinya")</f>
        <v>Apinya</v>
      </c>
      <c r="F640" t="str">
        <f>IFERROR(__xludf.DUMMYFUNCTION("""COMPUTED_VALUE"""),"Phiphatwatanarkul")</f>
        <v>Phiphatwatanarkul</v>
      </c>
      <c r="G640" t="str">
        <f>IFERROR(__xludf.DUMMYFUNCTION("""COMPUTED_VALUE"""),"Apinya Phiphatwatanarkul")</f>
        <v>Apinya Phiphatwatanarkul</v>
      </c>
      <c r="H640" t="str">
        <f>IFERROR(__xludf.DUMMYFUNCTION("""COMPUTED_VALUE"""),"นางสาว")</f>
        <v>นางสาว</v>
      </c>
      <c r="I640" t="str">
        <f>IFERROR(__xludf.DUMMYFUNCTION("""COMPUTED_VALUE"""),"อภิญญา")</f>
        <v>อภิญญา</v>
      </c>
      <c r="J640" t="str">
        <f>IFERROR(__xludf.DUMMYFUNCTION("""COMPUTED_VALUE"""),"พิพัฒนวัฒนากุล")</f>
        <v>พิพัฒนวัฒนากุล</v>
      </c>
      <c r="K640" t="str">
        <f>IFERROR(__xludf.DUMMYFUNCTION("""COMPUTED_VALUE"""),"อภิญญา พิพัฒนวัฒนากุล")</f>
        <v>อภิญญา พิพัฒนวัฒนากุล</v>
      </c>
      <c r="L640" t="str">
        <f>IFERROR(__xludf.DUMMYFUNCTION("""COMPUTED_VALUE"""),"หนาม")</f>
        <v>หนาม</v>
      </c>
      <c r="M640" t="str">
        <f>IFERROR(__xludf.DUMMYFUNCTION("""COMPUTED_VALUE"""),"Cabin Crew")</f>
        <v>Cabin Crew</v>
      </c>
      <c r="N640" t="str">
        <f>IFERROR(__xludf.DUMMYFUNCTION("""COMPUTED_VALUE"""),"DMK")</f>
        <v>DMK</v>
      </c>
      <c r="O640" s="145" t="str">
        <f>IFERROR(__xludf.DUMMYFUNCTION("""COMPUTED_VALUE"""),"Nhui Home")</f>
        <v>Nhui Home</v>
      </c>
      <c r="P640" t="str">
        <f>IFERROR(__xludf.DUMMYFUNCTION("""COMPUTED_VALUE"""),"Active")</f>
        <v>Active</v>
      </c>
      <c r="R640" s="143">
        <f>IFERROR(__xludf.DUMMYFUNCTION("""COMPUTED_VALUE"""),33741.0)</f>
        <v>33741</v>
      </c>
      <c r="S640" s="146" t="str">
        <f>IFERROR(__xludf.DUMMYFUNCTION("""COMPUTED_VALUE"""),"093 915 9297")</f>
        <v>093 915 9297</v>
      </c>
      <c r="T640" s="147" t="str">
        <f>IFERROR(__xludf.DUMMYFUNCTION("""COMPUTED_VALUE"""),"1309900-76-6054")</f>
        <v>1309900-76-6054</v>
      </c>
      <c r="U640" t="str">
        <f>IFERROR(__xludf.DUMMYFUNCTION("""COMPUTED_VALUE"""),"AC6230105")</f>
        <v>AC6230105</v>
      </c>
      <c r="V640" s="148">
        <f>IFERROR(__xludf.DUMMYFUNCTION("""COMPUTED_VALUE"""),45302.0)</f>
        <v>45302</v>
      </c>
      <c r="W640" s="148">
        <f>IFERROR(__xludf.DUMMYFUNCTION("""COMPUTED_VALUE"""),48954.0)</f>
        <v>48954</v>
      </c>
      <c r="X640" s="149">
        <f>IFERROR(__xludf.DUMMYFUNCTION("""COMPUTED_VALUE"""),48770.0)</f>
        <v>48770</v>
      </c>
      <c r="Y640" t="str">
        <f>IFERROR(__xludf.DUMMYFUNCTION("""COMPUTED_VALUE"""),"ปลอดภัย")</f>
        <v>ปลอดภัย</v>
      </c>
      <c r="Z640" t="str">
        <f>IFERROR(__xludf.DUMMYFUNCTION("""COMPUTED_VALUE"""),"Nakhon Ratchasima Province")</f>
        <v>Nakhon Ratchasima Province</v>
      </c>
      <c r="AA640" t="str">
        <f>IFERROR(__xludf.DUMMYFUNCTION("""COMPUTED_VALUE"""),"Bangphat")</f>
        <v>Bangphat</v>
      </c>
      <c r="AB640" t="str">
        <f>IFERROR(__xludf.DUMMYFUNCTION("""COMPUTED_VALUE"""),"098 103 5946")</f>
        <v>098 103 5946</v>
      </c>
      <c r="AC640" t="str">
        <f>IFERROR(__xludf.DUMMYFUNCTION("""COMPUTED_VALUE"""),"ประดับดวง สิงห์น้อย")</f>
        <v>ประดับดวง สิงห์น้อย</v>
      </c>
      <c r="AD640" t="str">
        <f>IFERROR(__xludf.DUMMYFUNCTION("""COMPUTED_VALUE"""),"apinyah@airasia.com")</f>
        <v>apinyah@airasia.com</v>
      </c>
    </row>
    <row r="641">
      <c r="A641" s="142">
        <f>IFERROR(__xludf.DUMMYFUNCTION("""COMPUTED_VALUE"""),76.0)</f>
        <v>76</v>
      </c>
      <c r="B641" t="str">
        <f>IFERROR(__xludf.DUMMYFUNCTION("""COMPUTED_VALUE"""),"TAA6359")</f>
        <v>TAA6359</v>
      </c>
      <c r="C641">
        <f>IFERROR(__xludf.DUMMYFUNCTION("""COMPUTED_VALUE"""),1012893.0)</f>
        <v>1012893</v>
      </c>
      <c r="D641" t="str">
        <f>IFERROR(__xludf.DUMMYFUNCTION("""COMPUTED_VALUE"""),"Ms.")</f>
        <v>Ms.</v>
      </c>
      <c r="E641" t="str">
        <f>IFERROR(__xludf.DUMMYFUNCTION("""COMPUTED_VALUE"""),"Areeya")</f>
        <v>Areeya</v>
      </c>
      <c r="F641" t="str">
        <f>IFERROR(__xludf.DUMMYFUNCTION("""COMPUTED_VALUE"""),"Payap")</f>
        <v>Payap</v>
      </c>
      <c r="G641" t="str">
        <f>IFERROR(__xludf.DUMMYFUNCTION("""COMPUTED_VALUE"""),"Areeya Payap")</f>
        <v>Areeya Payap</v>
      </c>
      <c r="H641" t="str">
        <f>IFERROR(__xludf.DUMMYFUNCTION("""COMPUTED_VALUE"""),"นางสาว")</f>
        <v>นางสาว</v>
      </c>
      <c r="I641" t="str">
        <f>IFERROR(__xludf.DUMMYFUNCTION("""COMPUTED_VALUE"""),"อารียา")</f>
        <v>อารียา</v>
      </c>
      <c r="J641" t="str">
        <f>IFERROR(__xludf.DUMMYFUNCTION("""COMPUTED_VALUE"""),"พายัพ")</f>
        <v>พายัพ</v>
      </c>
      <c r="K641" t="str">
        <f>IFERROR(__xludf.DUMMYFUNCTION("""COMPUTED_VALUE"""),"อารียา พายัพ")</f>
        <v>อารียา พายัพ</v>
      </c>
      <c r="L641" t="str">
        <f>IFERROR(__xludf.DUMMYFUNCTION("""COMPUTED_VALUE"""),"ยิ้ม")</f>
        <v>ยิ้ม</v>
      </c>
      <c r="M641" t="str">
        <f>IFERROR(__xludf.DUMMYFUNCTION("""COMPUTED_VALUE"""),"Senior Cabin Crew")</f>
        <v>Senior Cabin Crew</v>
      </c>
      <c r="N641" t="str">
        <f>IFERROR(__xludf.DUMMYFUNCTION("""COMPUTED_VALUE"""),"DMK")</f>
        <v>DMK</v>
      </c>
      <c r="O641" s="145" t="str">
        <f>IFERROR(__xludf.DUMMYFUNCTION("""COMPUTED_VALUE"""),"Um Home")</f>
        <v>Um Home</v>
      </c>
      <c r="P641" t="str">
        <f>IFERROR(__xludf.DUMMYFUNCTION("""COMPUTED_VALUE"""),"Active")</f>
        <v>Active</v>
      </c>
      <c r="Q641" t="str">
        <f>IFERROR(__xludf.DUMMYFUNCTION("""COMPUTED_VALUE"""),"Chinese Speaking")</f>
        <v>Chinese Speaking</v>
      </c>
      <c r="R641" s="143">
        <f>IFERROR(__xludf.DUMMYFUNCTION("""COMPUTED_VALUE"""),33433.0)</f>
        <v>33433</v>
      </c>
      <c r="S641" s="146" t="str">
        <f>IFERROR(__xludf.DUMMYFUNCTION("""COMPUTED_VALUE"""),"082 242 9193")</f>
        <v>082 242 9193</v>
      </c>
      <c r="T641" s="147" t="str">
        <f>IFERROR(__xludf.DUMMYFUNCTION("""COMPUTED_VALUE"""),"1549900-26-0272")</f>
        <v>1549900-26-0272</v>
      </c>
      <c r="U641" t="str">
        <f>IFERROR(__xludf.DUMMYFUNCTION("""COMPUTED_VALUE"""),"AC2856636")</f>
        <v>AC2856636</v>
      </c>
      <c r="V641" s="148">
        <f>IFERROR(__xludf.DUMMYFUNCTION("""COMPUTED_VALUE"""),44600.0)</f>
        <v>44600</v>
      </c>
      <c r="W641" s="148">
        <f>IFERROR(__xludf.DUMMYFUNCTION("""COMPUTED_VALUE"""),48251.0)</f>
        <v>48251</v>
      </c>
      <c r="X641" s="149">
        <f>IFERROR(__xludf.DUMMYFUNCTION("""COMPUTED_VALUE"""),48067.0)</f>
        <v>48067</v>
      </c>
      <c r="Y641" t="str">
        <f>IFERROR(__xludf.DUMMYFUNCTION("""COMPUTED_VALUE"""),"ปลอดภัย")</f>
        <v>ปลอดภัย</v>
      </c>
      <c r="Z641" t="str">
        <f>IFERROR(__xludf.DUMMYFUNCTION("""COMPUTED_VALUE"""),"Phrae Province")</f>
        <v>Phrae Province</v>
      </c>
      <c r="AA641" t="str">
        <f>IFERROR(__xludf.DUMMYFUNCTION("""COMPUTED_VALUE"""),"Phuket")</f>
        <v>Phuket</v>
      </c>
      <c r="AB641" t="str">
        <f>IFERROR(__xludf.DUMMYFUNCTION("""COMPUTED_VALUE"""),"-")</f>
        <v>-</v>
      </c>
      <c r="AC641" t="str">
        <f>IFERROR(__xludf.DUMMYFUNCTION("""COMPUTED_VALUE"""),"-")</f>
        <v>-</v>
      </c>
      <c r="AD641" t="str">
        <f>IFERROR(__xludf.DUMMYFUNCTION("""COMPUTED_VALUE"""),"areeyap@airasia.com")</f>
        <v>areeyap@airasia.com</v>
      </c>
    </row>
    <row r="642">
      <c r="A642" s="142">
        <f>IFERROR(__xludf.DUMMYFUNCTION("""COMPUTED_VALUE"""),76.0)</f>
        <v>76</v>
      </c>
      <c r="B642" t="str">
        <f>IFERROR(__xludf.DUMMYFUNCTION("""COMPUTED_VALUE"""),"TAA6362")</f>
        <v>TAA6362</v>
      </c>
      <c r="C642">
        <f>IFERROR(__xludf.DUMMYFUNCTION("""COMPUTED_VALUE"""),1012894.0)</f>
        <v>1012894</v>
      </c>
      <c r="D642" t="str">
        <f>IFERROR(__xludf.DUMMYFUNCTION("""COMPUTED_VALUE"""),"Ms.")</f>
        <v>Ms.</v>
      </c>
      <c r="E642" t="str">
        <f>IFERROR(__xludf.DUMMYFUNCTION("""COMPUTED_VALUE"""),"Issarawadee")</f>
        <v>Issarawadee</v>
      </c>
      <c r="F642" t="str">
        <f>IFERROR(__xludf.DUMMYFUNCTION("""COMPUTED_VALUE"""),"Chaihan")</f>
        <v>Chaihan</v>
      </c>
      <c r="G642" t="str">
        <f>IFERROR(__xludf.DUMMYFUNCTION("""COMPUTED_VALUE"""),"Issarawadee Chaihan")</f>
        <v>Issarawadee Chaihan</v>
      </c>
      <c r="H642" t="str">
        <f>IFERROR(__xludf.DUMMYFUNCTION("""COMPUTED_VALUE"""),"นางสาว")</f>
        <v>นางสาว</v>
      </c>
      <c r="I642" t="str">
        <f>IFERROR(__xludf.DUMMYFUNCTION("""COMPUTED_VALUE"""),"อิสราวดี")</f>
        <v>อิสราวดี</v>
      </c>
      <c r="J642" t="str">
        <f>IFERROR(__xludf.DUMMYFUNCTION("""COMPUTED_VALUE"""),"ไชยหาญ")</f>
        <v>ไชยหาญ</v>
      </c>
      <c r="K642" t="str">
        <f>IFERROR(__xludf.DUMMYFUNCTION("""COMPUTED_VALUE"""),"อิสราวดี ไชยหาญ")</f>
        <v>อิสราวดี ไชยหาญ</v>
      </c>
      <c r="L642" t="str">
        <f>IFERROR(__xludf.DUMMYFUNCTION("""COMPUTED_VALUE"""),"น้ำ")</f>
        <v>น้ำ</v>
      </c>
      <c r="M642" t="str">
        <f>IFERROR(__xludf.DUMMYFUNCTION("""COMPUTED_VALUE"""),"Cabin Crew")</f>
        <v>Cabin Crew</v>
      </c>
      <c r="N642" t="str">
        <f>IFERROR(__xludf.DUMMYFUNCTION("""COMPUTED_VALUE"""),"DMK")</f>
        <v>DMK</v>
      </c>
      <c r="O642" s="145" t="str">
        <f>IFERROR(__xludf.DUMMYFUNCTION("""COMPUTED_VALUE"""),"Toffy Home")</f>
        <v>Toffy Home</v>
      </c>
      <c r="P642" t="str">
        <f>IFERROR(__xludf.DUMMYFUNCTION("""COMPUTED_VALUE"""),"Active")</f>
        <v>Active</v>
      </c>
      <c r="Q642" t="str">
        <f>IFERROR(__xludf.DUMMYFUNCTION("""COMPUTED_VALUE"""),"Chinese Speaking")</f>
        <v>Chinese Speaking</v>
      </c>
      <c r="R642" s="143">
        <f>IFERROR(__xludf.DUMMYFUNCTION("""COMPUTED_VALUE"""),33885.0)</f>
        <v>33885</v>
      </c>
      <c r="S642" s="146" t="str">
        <f>IFERROR(__xludf.DUMMYFUNCTION("""COMPUTED_VALUE"""),"083-9924864")</f>
        <v>083-9924864</v>
      </c>
      <c r="T642" s="147" t="str">
        <f>IFERROR(__xludf.DUMMYFUNCTION("""COMPUTED_VALUE"""),"1900200-06-1127")</f>
        <v>1900200-06-1127</v>
      </c>
      <c r="U642" t="str">
        <f>IFERROR(__xludf.DUMMYFUNCTION("""COMPUTED_VALUE"""),"AD1955608")</f>
        <v>AD1955608</v>
      </c>
      <c r="V642" s="149">
        <f>IFERROR(__xludf.DUMMYFUNCTION("""COMPUTED_VALUE"""),45499.0)</f>
        <v>45499</v>
      </c>
      <c r="W642" s="148">
        <f>IFERROR(__xludf.DUMMYFUNCTION("""COMPUTED_VALUE"""),49150.0)</f>
        <v>49150</v>
      </c>
      <c r="X642" s="149">
        <f>IFERROR(__xludf.DUMMYFUNCTION("""COMPUTED_VALUE"""),48969.0)</f>
        <v>48969</v>
      </c>
      <c r="Y642" t="str">
        <f>IFERROR(__xludf.DUMMYFUNCTION("""COMPUTED_VALUE"""),"ปลอดภัย")</f>
        <v>ปลอดภัย</v>
      </c>
      <c r="Z642" t="str">
        <f>IFERROR(__xludf.DUMMYFUNCTION("""COMPUTED_VALUE"""),"Songkhla Province")</f>
        <v>Songkhla Province</v>
      </c>
      <c r="AA642" t="str">
        <f>IFERROR(__xludf.DUMMYFUNCTION("""COMPUTED_VALUE"""),"Songkhla")</f>
        <v>Songkhla</v>
      </c>
      <c r="AB642" t="str">
        <f>IFERROR(__xludf.DUMMYFUNCTION("""COMPUTED_VALUE"""),"095 575 3799")</f>
        <v>095 575 3799</v>
      </c>
      <c r="AC642" t="str">
        <f>IFERROR(__xludf.DUMMYFUNCTION("""COMPUTED_VALUE"""),"Mother")</f>
        <v>Mother</v>
      </c>
      <c r="AD642" t="str">
        <f>IFERROR(__xludf.DUMMYFUNCTION("""COMPUTED_VALUE"""),"issarawadeec@airasia.com")</f>
        <v>issarawadeec@airasia.com</v>
      </c>
    </row>
    <row r="643">
      <c r="A643" s="142">
        <f>IFERROR(__xludf.DUMMYFUNCTION("""COMPUTED_VALUE"""),76.0)</f>
        <v>76</v>
      </c>
      <c r="B643" t="str">
        <f>IFERROR(__xludf.DUMMYFUNCTION("""COMPUTED_VALUE"""),"TAA6363")</f>
        <v>TAA6363</v>
      </c>
      <c r="C643">
        <f>IFERROR(__xludf.DUMMYFUNCTION("""COMPUTED_VALUE"""),1012895.0)</f>
        <v>1012895</v>
      </c>
      <c r="D643" t="str">
        <f>IFERROR(__xludf.DUMMYFUNCTION("""COMPUTED_VALUE"""),"Mr.")</f>
        <v>Mr.</v>
      </c>
      <c r="E643" t="str">
        <f>IFERROR(__xludf.DUMMYFUNCTION("""COMPUTED_VALUE"""),"Pannawach (Nutchanon)")</f>
        <v>Pannawach (Nutchanon)</v>
      </c>
      <c r="F643" t="str">
        <f>IFERROR(__xludf.DUMMYFUNCTION("""COMPUTED_VALUE"""),"Kiatmethinpol (Wattanalee)")</f>
        <v>Kiatmethinpol (Wattanalee)</v>
      </c>
      <c r="G643" t="str">
        <f>IFERROR(__xludf.DUMMYFUNCTION("""COMPUTED_VALUE"""),"Pannawach Kiatmethinpol")</f>
        <v>Pannawach Kiatmethinpol</v>
      </c>
      <c r="H643" t="str">
        <f>IFERROR(__xludf.DUMMYFUNCTION("""COMPUTED_VALUE"""),"นาย")</f>
        <v>นาย</v>
      </c>
      <c r="I643" t="str">
        <f>IFERROR(__xludf.DUMMYFUNCTION("""COMPUTED_VALUE"""),"ปัณณวัชร์ (ณัฐชนน)")</f>
        <v>ปัณณวัชร์ (ณัฐชนน)</v>
      </c>
      <c r="J643" t="str">
        <f>IFERROR(__xludf.DUMMYFUNCTION("""COMPUTED_VALUE"""),"เกียรติเมธินพล (วัฒนลี)")</f>
        <v>เกียรติเมธินพล (วัฒนลี)</v>
      </c>
      <c r="K643" t="str">
        <f>IFERROR(__xludf.DUMMYFUNCTION("""COMPUTED_VALUE"""),"ปัณณวัชร์ เกียรติเมธินพล")</f>
        <v>ปัณณวัชร์ เกียรติเมธินพล</v>
      </c>
      <c r="L643" t="str">
        <f>IFERROR(__xludf.DUMMYFUNCTION("""COMPUTED_VALUE"""),"Non")</f>
        <v>Non</v>
      </c>
      <c r="M643" t="str">
        <f>IFERROR(__xludf.DUMMYFUNCTION("""COMPUTED_VALUE"""),"Cabin Crew")</f>
        <v>Cabin Crew</v>
      </c>
      <c r="N643" t="str">
        <f>IFERROR(__xludf.DUMMYFUNCTION("""COMPUTED_VALUE"""),"DMK")</f>
        <v>DMK</v>
      </c>
      <c r="O643" s="145" t="str">
        <f>IFERROR(__xludf.DUMMYFUNCTION("""COMPUTED_VALUE"""),"Kor Home")</f>
        <v>Kor Home</v>
      </c>
      <c r="P643" t="str">
        <f>IFERROR(__xludf.DUMMYFUNCTION("""COMPUTED_VALUE"""),"Active")</f>
        <v>Active</v>
      </c>
      <c r="R643" s="143">
        <f>IFERROR(__xludf.DUMMYFUNCTION("""COMPUTED_VALUE"""),33343.0)</f>
        <v>33343</v>
      </c>
      <c r="S643" s="146" t="str">
        <f>IFERROR(__xludf.DUMMYFUNCTION("""COMPUTED_VALUE"""),"085 115 8959")</f>
        <v>085 115 8959</v>
      </c>
      <c r="T643" s="147" t="str">
        <f>IFERROR(__xludf.DUMMYFUNCTION("""COMPUTED_VALUE"""),"1103300-03-6302")</f>
        <v>1103300-03-6302</v>
      </c>
      <c r="U643" t="str">
        <f>IFERROR(__xludf.DUMMYFUNCTION("""COMPUTED_VALUE"""),"AC5629025")</f>
        <v>AC5629025</v>
      </c>
      <c r="V643" s="148">
        <f>IFERROR(__xludf.DUMMYFUNCTION("""COMPUTED_VALUE"""),45173.0)</f>
        <v>45173</v>
      </c>
      <c r="W643" s="148">
        <f>IFERROR(__xludf.DUMMYFUNCTION("""COMPUTED_VALUE"""),48825.0)</f>
        <v>48825</v>
      </c>
      <c r="X643" s="149">
        <f>IFERROR(__xludf.DUMMYFUNCTION("""COMPUTED_VALUE"""),48641.0)</f>
        <v>48641</v>
      </c>
      <c r="Y643" t="str">
        <f>IFERROR(__xludf.DUMMYFUNCTION("""COMPUTED_VALUE"""),"ปลอดภัย")</f>
        <v>ปลอดภัย</v>
      </c>
      <c r="Z643" t="str">
        <f>IFERROR(__xludf.DUMMYFUNCTION("""COMPUTED_VALUE"""),"Bangkok")</f>
        <v>Bangkok</v>
      </c>
      <c r="AA643" t="str">
        <f>IFERROR(__xludf.DUMMYFUNCTION("""COMPUTED_VALUE"""),"Klongtoey")</f>
        <v>Klongtoey</v>
      </c>
      <c r="AB643" t="str">
        <f>IFERROR(__xludf.DUMMYFUNCTION("""COMPUTED_VALUE"""),"089 455 9542")</f>
        <v>089 455 9542</v>
      </c>
      <c r="AC643" t="str">
        <f>IFERROR(__xludf.DUMMYFUNCTION("""COMPUTED_VALUE"""),"Putthi Wattanalee")</f>
        <v>Putthi Wattanalee</v>
      </c>
      <c r="AD643" t="str">
        <f>IFERROR(__xludf.DUMMYFUNCTION("""COMPUTED_VALUE"""),"pannawachk@airasia.com")</f>
        <v>pannawachk@airasia.com</v>
      </c>
    </row>
    <row r="644">
      <c r="A644" s="142">
        <f>IFERROR(__xludf.DUMMYFUNCTION("""COMPUTED_VALUE"""),76.0)</f>
        <v>76</v>
      </c>
      <c r="B644" t="str">
        <f>IFERROR(__xludf.DUMMYFUNCTION("""COMPUTED_VALUE"""),"TAA6366")</f>
        <v>TAA6366</v>
      </c>
      <c r="C644">
        <f>IFERROR(__xludf.DUMMYFUNCTION("""COMPUTED_VALUE"""),1012896.0)</f>
        <v>1012896</v>
      </c>
      <c r="D644" t="str">
        <f>IFERROR(__xludf.DUMMYFUNCTION("""COMPUTED_VALUE"""),"Mr.")</f>
        <v>Mr.</v>
      </c>
      <c r="E644" t="str">
        <f>IFERROR(__xludf.DUMMYFUNCTION("""COMPUTED_VALUE"""),"Nuttawut")</f>
        <v>Nuttawut</v>
      </c>
      <c r="F644" t="str">
        <f>IFERROR(__xludf.DUMMYFUNCTION("""COMPUTED_VALUE"""),"Choonam")</f>
        <v>Choonam</v>
      </c>
      <c r="G644" t="str">
        <f>IFERROR(__xludf.DUMMYFUNCTION("""COMPUTED_VALUE"""),"Nuttawut Choonam")</f>
        <v>Nuttawut Choonam</v>
      </c>
      <c r="H644" t="str">
        <f>IFERROR(__xludf.DUMMYFUNCTION("""COMPUTED_VALUE"""),"นาย")</f>
        <v>นาย</v>
      </c>
      <c r="I644" t="str">
        <f>IFERROR(__xludf.DUMMYFUNCTION("""COMPUTED_VALUE"""),"ณัฐวุฒิ")</f>
        <v>ณัฐวุฒิ</v>
      </c>
      <c r="J644" t="str">
        <f>IFERROR(__xludf.DUMMYFUNCTION("""COMPUTED_VALUE"""),"ชูนาม")</f>
        <v>ชูนาม</v>
      </c>
      <c r="K644" t="str">
        <f>IFERROR(__xludf.DUMMYFUNCTION("""COMPUTED_VALUE"""),"ณัฐวุฒิ ชูนาม")</f>
        <v>ณัฐวุฒิ ชูนาม</v>
      </c>
      <c r="L644" t="str">
        <f>IFERROR(__xludf.DUMMYFUNCTION("""COMPUTED_VALUE"""),"อาร์ม")</f>
        <v>อาร์ม</v>
      </c>
      <c r="M644" t="str">
        <f>IFERROR(__xludf.DUMMYFUNCTION("""COMPUTED_VALUE"""),"Cabin Crew - BKK")</f>
        <v>Cabin Crew - BKK</v>
      </c>
      <c r="N644" t="str">
        <f>IFERROR(__xludf.DUMMYFUNCTION("""COMPUTED_VALUE"""),"BKK")</f>
        <v>BKK</v>
      </c>
      <c r="O644" s="145" t="str">
        <f>IFERROR(__xludf.DUMMYFUNCTION("""COMPUTED_VALUE"""),"Nhui Home")</f>
        <v>Nhui Home</v>
      </c>
      <c r="P644" t="str">
        <f>IFERROR(__xludf.DUMMYFUNCTION("""COMPUTED_VALUE"""),"Active")</f>
        <v>Active</v>
      </c>
      <c r="R644" s="143">
        <f>IFERROR(__xludf.DUMMYFUNCTION("""COMPUTED_VALUE"""),33197.0)</f>
        <v>33197</v>
      </c>
      <c r="S644" s="146" t="str">
        <f>IFERROR(__xludf.DUMMYFUNCTION("""COMPUTED_VALUE"""),"089 745 4708")</f>
        <v>089 745 4708</v>
      </c>
      <c r="T644" s="147" t="str">
        <f>IFERROR(__xludf.DUMMYFUNCTION("""COMPUTED_VALUE"""),"1709900-57-9340")</f>
        <v>1709900-57-9340</v>
      </c>
      <c r="U644" t="str">
        <f>IFERROR(__xludf.DUMMYFUNCTION("""COMPUTED_VALUE"""),"AC3537765")</f>
        <v>AC3537765</v>
      </c>
      <c r="V644" s="148">
        <f>IFERROR(__xludf.DUMMYFUNCTION("""COMPUTED_VALUE"""),44747.0)</f>
        <v>44747</v>
      </c>
      <c r="W644" s="148">
        <f>IFERROR(__xludf.DUMMYFUNCTION("""COMPUTED_VALUE"""),48399.0)</f>
        <v>48399</v>
      </c>
      <c r="X644" s="149">
        <f>IFERROR(__xludf.DUMMYFUNCTION("""COMPUTED_VALUE"""),48217.0)</f>
        <v>48217</v>
      </c>
      <c r="Y644" t="str">
        <f>IFERROR(__xludf.DUMMYFUNCTION("""COMPUTED_VALUE"""),"ปลอดภัย")</f>
        <v>ปลอดภัย</v>
      </c>
      <c r="Z644" t="str">
        <f>IFERROR(__xludf.DUMMYFUNCTION("""COMPUTED_VALUE"""),"Ratchaburi Province")</f>
        <v>Ratchaburi Province</v>
      </c>
      <c r="AA644" t="str">
        <f>IFERROR(__xludf.DUMMYFUNCTION("""COMPUTED_VALUE"""),"Din Deang")</f>
        <v>Din Deang</v>
      </c>
      <c r="AB644" t="str">
        <f>IFERROR(__xludf.DUMMYFUNCTION("""COMPUTED_VALUE"""),"087 926 1314")</f>
        <v>087 926 1314</v>
      </c>
      <c r="AC644" t="str">
        <f>IFERROR(__xludf.DUMMYFUNCTION("""COMPUTED_VALUE"""),"Somsri Choonam")</f>
        <v>Somsri Choonam</v>
      </c>
      <c r="AD644" t="str">
        <f>IFERROR(__xludf.DUMMYFUNCTION("""COMPUTED_VALUE"""),"nuttawuth@airasia.com")</f>
        <v>nuttawuth@airasia.com</v>
      </c>
    </row>
    <row r="645">
      <c r="A645" s="142">
        <f>IFERROR(__xludf.DUMMYFUNCTION("""COMPUTED_VALUE"""),76.0)</f>
        <v>76</v>
      </c>
      <c r="B645" t="str">
        <f>IFERROR(__xludf.DUMMYFUNCTION("""COMPUTED_VALUE"""),"TAA6364")</f>
        <v>TAA6364</v>
      </c>
      <c r="C645">
        <f>IFERROR(__xludf.DUMMYFUNCTION("""COMPUTED_VALUE"""),1012898.0)</f>
        <v>1012898</v>
      </c>
      <c r="D645" t="str">
        <f>IFERROR(__xludf.DUMMYFUNCTION("""COMPUTED_VALUE"""),"Mr.")</f>
        <v>Mr.</v>
      </c>
      <c r="E645" t="str">
        <f>IFERROR(__xludf.DUMMYFUNCTION("""COMPUTED_VALUE"""),"Paranyu")</f>
        <v>Paranyu</v>
      </c>
      <c r="F645" t="str">
        <f>IFERROR(__xludf.DUMMYFUNCTION("""COMPUTED_VALUE"""),"Sukthanakij")</f>
        <v>Sukthanakij</v>
      </c>
      <c r="G645" t="str">
        <f>IFERROR(__xludf.DUMMYFUNCTION("""COMPUTED_VALUE"""),"Paranyu Sukthanakij")</f>
        <v>Paranyu Sukthanakij</v>
      </c>
      <c r="H645" t="str">
        <f>IFERROR(__xludf.DUMMYFUNCTION("""COMPUTED_VALUE"""),"นาย")</f>
        <v>นาย</v>
      </c>
      <c r="I645" t="str">
        <f>IFERROR(__xludf.DUMMYFUNCTION("""COMPUTED_VALUE"""),"ภรัณยู")</f>
        <v>ภรัณยู</v>
      </c>
      <c r="J645" t="str">
        <f>IFERROR(__xludf.DUMMYFUNCTION("""COMPUTED_VALUE"""),"สุขธนกิจ")</f>
        <v>สุขธนกิจ</v>
      </c>
      <c r="K645" t="str">
        <f>IFERROR(__xludf.DUMMYFUNCTION("""COMPUTED_VALUE"""),"ภรัณยู สุขธนกิจ")</f>
        <v>ภรัณยู สุขธนกิจ</v>
      </c>
      <c r="L645" t="str">
        <f>IFERROR(__xludf.DUMMYFUNCTION("""COMPUTED_VALUE"""),"ซัน")</f>
        <v>ซัน</v>
      </c>
      <c r="M645" t="str">
        <f>IFERROR(__xludf.DUMMYFUNCTION("""COMPUTED_VALUE"""),"Senior Cabin Crew")</f>
        <v>Senior Cabin Crew</v>
      </c>
      <c r="N645" t="str">
        <f>IFERROR(__xludf.DUMMYFUNCTION("""COMPUTED_VALUE"""),"DMK")</f>
        <v>DMK</v>
      </c>
      <c r="O645" s="145" t="str">
        <f>IFERROR(__xludf.DUMMYFUNCTION("""COMPUTED_VALUE"""),"Namfon Home")</f>
        <v>Namfon Home</v>
      </c>
      <c r="P645" t="str">
        <f>IFERROR(__xludf.DUMMYFUNCTION("""COMPUTED_VALUE"""),"Active")</f>
        <v>Active</v>
      </c>
      <c r="R645" s="143">
        <f>IFERROR(__xludf.DUMMYFUNCTION("""COMPUTED_VALUE"""),33359.0)</f>
        <v>33359</v>
      </c>
      <c r="S645" s="146" t="str">
        <f>IFERROR(__xludf.DUMMYFUNCTION("""COMPUTED_VALUE"""),"094 446 4163")</f>
        <v>094 446 4163</v>
      </c>
      <c r="T645" s="147" t="str">
        <f>IFERROR(__xludf.DUMMYFUNCTION("""COMPUTED_VALUE"""),"1100400-51-5722")</f>
        <v>1100400-51-5722</v>
      </c>
      <c r="U645" t="str">
        <f>IFERROR(__xludf.DUMMYFUNCTION("""COMPUTED_VALUE"""),"AC3008529")</f>
        <v>AC3008529</v>
      </c>
      <c r="V645" s="148">
        <f>IFERROR(__xludf.DUMMYFUNCTION("""COMPUTED_VALUE"""),44671.0)</f>
        <v>44671</v>
      </c>
      <c r="W645" s="148">
        <f>IFERROR(__xludf.DUMMYFUNCTION("""COMPUTED_VALUE"""),48323.0)</f>
        <v>48323</v>
      </c>
      <c r="X645" s="149">
        <f>IFERROR(__xludf.DUMMYFUNCTION("""COMPUTED_VALUE"""),48140.0)</f>
        <v>48140</v>
      </c>
      <c r="Y645" t="str">
        <f>IFERROR(__xludf.DUMMYFUNCTION("""COMPUTED_VALUE"""),"ปลอดภัย")</f>
        <v>ปลอดภัย</v>
      </c>
      <c r="Z645" t="str">
        <f>IFERROR(__xludf.DUMMYFUNCTION("""COMPUTED_VALUE"""),"Bangkok")</f>
        <v>Bangkok</v>
      </c>
      <c r="AA645" t="str">
        <f>IFERROR(__xludf.DUMMYFUNCTION("""COMPUTED_VALUE"""),"Wang Thong Lang")</f>
        <v>Wang Thong Lang</v>
      </c>
      <c r="AB645" t="str">
        <f>IFERROR(__xludf.DUMMYFUNCTION("""COMPUTED_VALUE"""),"089 116 2480")</f>
        <v>089 116 2480</v>
      </c>
      <c r="AC645" t="str">
        <f>IFERROR(__xludf.DUMMYFUNCTION("""COMPUTED_VALUE"""),"Somsak Sukthanakij")</f>
        <v>Somsak Sukthanakij</v>
      </c>
      <c r="AD645" t="str">
        <f>IFERROR(__xludf.DUMMYFUNCTION("""COMPUTED_VALUE"""),"paranyus@airasia.com")</f>
        <v>paranyus@airasia.com</v>
      </c>
    </row>
    <row r="646">
      <c r="A646" s="142">
        <f>IFERROR(__xludf.DUMMYFUNCTION("""COMPUTED_VALUE"""),76.0)</f>
        <v>76</v>
      </c>
      <c r="B646" t="str">
        <f>IFERROR(__xludf.DUMMYFUNCTION("""COMPUTED_VALUE"""),"TAA6369")</f>
        <v>TAA6369</v>
      </c>
      <c r="C646">
        <f>IFERROR(__xludf.DUMMYFUNCTION("""COMPUTED_VALUE"""),1012899.0)</f>
        <v>1012899</v>
      </c>
      <c r="D646" t="str">
        <f>IFERROR(__xludf.DUMMYFUNCTION("""COMPUTED_VALUE"""),"Mr.")</f>
        <v>Mr.</v>
      </c>
      <c r="E646" t="str">
        <f>IFERROR(__xludf.DUMMYFUNCTION("""COMPUTED_VALUE"""),"Pichaya")</f>
        <v>Pichaya</v>
      </c>
      <c r="F646" t="str">
        <f>IFERROR(__xludf.DUMMYFUNCTION("""COMPUTED_VALUE"""),"Sonthigorn")</f>
        <v>Sonthigorn</v>
      </c>
      <c r="G646" t="str">
        <f>IFERROR(__xludf.DUMMYFUNCTION("""COMPUTED_VALUE"""),"Pichaya Sonthigorn")</f>
        <v>Pichaya Sonthigorn</v>
      </c>
      <c r="H646" t="str">
        <f>IFERROR(__xludf.DUMMYFUNCTION("""COMPUTED_VALUE"""),"นาย")</f>
        <v>นาย</v>
      </c>
      <c r="I646" t="str">
        <f>IFERROR(__xludf.DUMMYFUNCTION("""COMPUTED_VALUE"""),"พิชญะ")</f>
        <v>พิชญะ</v>
      </c>
      <c r="J646" t="str">
        <f>IFERROR(__xludf.DUMMYFUNCTION("""COMPUTED_VALUE"""),"สนธิกรณ์")</f>
        <v>สนธิกรณ์</v>
      </c>
      <c r="K646" t="str">
        <f>IFERROR(__xludf.DUMMYFUNCTION("""COMPUTED_VALUE"""),"พิชญะ สนธิกรณ์")</f>
        <v>พิชญะ สนธิกรณ์</v>
      </c>
      <c r="L646" t="str">
        <f>IFERROR(__xludf.DUMMYFUNCTION("""COMPUTED_VALUE"""),"พี")</f>
        <v>พี</v>
      </c>
      <c r="M646" t="str">
        <f>IFERROR(__xludf.DUMMYFUNCTION("""COMPUTED_VALUE"""),"Senior Cabin Crew")</f>
        <v>Senior Cabin Crew</v>
      </c>
      <c r="N646" t="str">
        <f>IFERROR(__xludf.DUMMYFUNCTION("""COMPUTED_VALUE"""),"DMK")</f>
        <v>DMK</v>
      </c>
      <c r="O646" s="145" t="str">
        <f>IFERROR(__xludf.DUMMYFUNCTION("""COMPUTED_VALUE"""),"Por+ Home")</f>
        <v>Por+ Home</v>
      </c>
      <c r="P646" t="str">
        <f>IFERROR(__xludf.DUMMYFUNCTION("""COMPUTED_VALUE"""),"Active")</f>
        <v>Active</v>
      </c>
      <c r="R646" s="143">
        <f>IFERROR(__xludf.DUMMYFUNCTION("""COMPUTED_VALUE"""),33347.0)</f>
        <v>33347</v>
      </c>
      <c r="S646" s="146" t="str">
        <f>IFERROR(__xludf.DUMMYFUNCTION("""COMPUTED_VALUE"""),"085 559 5979")</f>
        <v>085 559 5979</v>
      </c>
      <c r="T646" s="147" t="str">
        <f>IFERROR(__xludf.DUMMYFUNCTION("""COMPUTED_VALUE"""),"1250100-19-3117")</f>
        <v>1250100-19-3117</v>
      </c>
      <c r="U646" t="str">
        <f>IFERROR(__xludf.DUMMYFUNCTION("""COMPUTED_VALUE"""),"AC3083615")</f>
        <v>AC3083615</v>
      </c>
      <c r="V646" s="148">
        <f>IFERROR(__xludf.DUMMYFUNCTION("""COMPUTED_VALUE"""),44686.0)</f>
        <v>44686</v>
      </c>
      <c r="W646" s="148">
        <f>IFERROR(__xludf.DUMMYFUNCTION("""COMPUTED_VALUE"""),48338.0)</f>
        <v>48338</v>
      </c>
      <c r="X646" s="149">
        <f>IFERROR(__xludf.DUMMYFUNCTION("""COMPUTED_VALUE"""),48156.0)</f>
        <v>48156</v>
      </c>
      <c r="Y646" t="str">
        <f>IFERROR(__xludf.DUMMYFUNCTION("""COMPUTED_VALUE"""),"ปลอดภัย")</f>
        <v>ปลอดภัย</v>
      </c>
      <c r="Z646" t="str">
        <f>IFERROR(__xludf.DUMMYFUNCTION("""COMPUTED_VALUE"""),"Prachinburi Province")</f>
        <v>Prachinburi Province</v>
      </c>
      <c r="AA646" t="str">
        <f>IFERROR(__xludf.DUMMYFUNCTION("""COMPUTED_VALUE"""),"Sara Buri")</f>
        <v>Sara Buri</v>
      </c>
      <c r="AB646" t="str">
        <f>IFERROR(__xludf.DUMMYFUNCTION("""COMPUTED_VALUE"""),"086 387 0813")</f>
        <v>086 387 0813</v>
      </c>
      <c r="AC646" t="str">
        <f>IFERROR(__xludf.DUMMYFUNCTION("""COMPUTED_VALUE"""),"Kuljira Boonsaner")</f>
        <v>Kuljira Boonsaner</v>
      </c>
      <c r="AD646" t="str">
        <f>IFERROR(__xludf.DUMMYFUNCTION("""COMPUTED_VALUE"""),"pichayas@airasia.com")</f>
        <v>pichayas@airasia.com</v>
      </c>
    </row>
    <row r="647">
      <c r="A647" s="142">
        <f>IFERROR(__xludf.DUMMYFUNCTION("""COMPUTED_VALUE"""),76.0)</f>
        <v>76</v>
      </c>
      <c r="B647" t="str">
        <f>IFERROR(__xludf.DUMMYFUNCTION("""COMPUTED_VALUE"""),"TAA6379")</f>
        <v>TAA6379</v>
      </c>
      <c r="C647">
        <f>IFERROR(__xludf.DUMMYFUNCTION("""COMPUTED_VALUE"""),1012900.0)</f>
        <v>1012900</v>
      </c>
      <c r="D647" t="str">
        <f>IFERROR(__xludf.DUMMYFUNCTION("""COMPUTED_VALUE"""),"Ms.")</f>
        <v>Ms.</v>
      </c>
      <c r="E647" t="str">
        <f>IFERROR(__xludf.DUMMYFUNCTION("""COMPUTED_VALUE"""),"Ratchadaporn")</f>
        <v>Ratchadaporn</v>
      </c>
      <c r="F647" t="str">
        <f>IFERROR(__xludf.DUMMYFUNCTION("""COMPUTED_VALUE"""),"Trakoolchai (Nongkarn)")</f>
        <v>Trakoolchai (Nongkarn)</v>
      </c>
      <c r="G647" t="str">
        <f>IFERROR(__xludf.DUMMYFUNCTION("""COMPUTED_VALUE"""),"Ratchadaporn Trakoolchai ")</f>
        <v>Ratchadaporn Trakoolchai </v>
      </c>
      <c r="H647" t="str">
        <f>IFERROR(__xludf.DUMMYFUNCTION("""COMPUTED_VALUE"""),"นางสาว")</f>
        <v>นางสาว</v>
      </c>
      <c r="I647" t="str">
        <f>IFERROR(__xludf.DUMMYFUNCTION("""COMPUTED_VALUE"""),"รัชฎาภรณ์")</f>
        <v>รัชฎาภรณ์</v>
      </c>
      <c r="J647" t="str">
        <f>IFERROR(__xludf.DUMMYFUNCTION("""COMPUTED_VALUE"""),"ตระกูลชัย (น้องการ)")</f>
        <v>ตระกูลชัย (น้องการ)</v>
      </c>
      <c r="K647" t="str">
        <f>IFERROR(__xludf.DUMMYFUNCTION("""COMPUTED_VALUE"""),"รัชฎาภรณ์ ตระกูลชัย")</f>
        <v>รัชฎาภรณ์ ตระกูลชัย</v>
      </c>
      <c r="L647" t="str">
        <f>IFERROR(__xludf.DUMMYFUNCTION("""COMPUTED_VALUE"""),"มิว")</f>
        <v>มิว</v>
      </c>
      <c r="M647" t="str">
        <f>IFERROR(__xludf.DUMMYFUNCTION("""COMPUTED_VALUE"""),"Cabin Crew - BKK")</f>
        <v>Cabin Crew - BKK</v>
      </c>
      <c r="N647" t="str">
        <f>IFERROR(__xludf.DUMMYFUNCTION("""COMPUTED_VALUE"""),"BKK")</f>
        <v>BKK</v>
      </c>
      <c r="O647" s="145" t="str">
        <f>IFERROR(__xludf.DUMMYFUNCTION("""COMPUTED_VALUE"""),"Nhui Home")</f>
        <v>Nhui Home</v>
      </c>
      <c r="P647" t="str">
        <f>IFERROR(__xludf.DUMMYFUNCTION("""COMPUTED_VALUE"""),"Active")</f>
        <v>Active</v>
      </c>
      <c r="R647" s="143">
        <f>IFERROR(__xludf.DUMMYFUNCTION("""COMPUTED_VALUE"""),32750.0)</f>
        <v>32750</v>
      </c>
      <c r="S647" s="146" t="str">
        <f>IFERROR(__xludf.DUMMYFUNCTION("""COMPUTED_VALUE"""),"084 299 6145")</f>
        <v>084 299 6145</v>
      </c>
      <c r="T647" s="147" t="str">
        <f>IFERROR(__xludf.DUMMYFUNCTION("""COMPUTED_VALUE"""),"1559900-15-1899")</f>
        <v>1559900-15-1899</v>
      </c>
      <c r="U647" t="str">
        <f>IFERROR(__xludf.DUMMYFUNCTION("""COMPUTED_VALUE"""),"AC5657047")</f>
        <v>AC5657047</v>
      </c>
      <c r="V647" s="148">
        <f>IFERROR(__xludf.DUMMYFUNCTION("""COMPUTED_VALUE"""),45176.0)</f>
        <v>45176</v>
      </c>
      <c r="W647" s="148">
        <f>IFERROR(__xludf.DUMMYFUNCTION("""COMPUTED_VALUE"""),48828.0)</f>
        <v>48828</v>
      </c>
      <c r="X647" s="149">
        <f>IFERROR(__xludf.DUMMYFUNCTION("""COMPUTED_VALUE"""),48644.0)</f>
        <v>48644</v>
      </c>
      <c r="Y647" t="str">
        <f>IFERROR(__xludf.DUMMYFUNCTION("""COMPUTED_VALUE"""),"ปลอดภัย")</f>
        <v>ปลอดภัย</v>
      </c>
      <c r="Z647" t="str">
        <f>IFERROR(__xludf.DUMMYFUNCTION("""COMPUTED_VALUE"""),"Nan Province")</f>
        <v>Nan Province</v>
      </c>
      <c r="AA647" t="str">
        <f>IFERROR(__xludf.DUMMYFUNCTION("""COMPUTED_VALUE"""),"Ladkrabang")</f>
        <v>Ladkrabang</v>
      </c>
      <c r="AB647" t="str">
        <f>IFERROR(__xludf.DUMMYFUNCTION("""COMPUTED_VALUE"""),"092 654 2254")</f>
        <v>092 654 2254</v>
      </c>
      <c r="AC647" t="str">
        <f>IFERROR(__xludf.DUMMYFUNCTION("""COMPUTED_VALUE"""),"Malee Nongkarn")</f>
        <v>Malee Nongkarn</v>
      </c>
      <c r="AD647" t="str">
        <f>IFERROR(__xludf.DUMMYFUNCTION("""COMPUTED_VALUE"""),"ratchadaporntrakool@airasia.com")</f>
        <v>ratchadaporntrakool@airasia.com</v>
      </c>
    </row>
    <row r="648">
      <c r="A648" s="142">
        <f>IFERROR(__xludf.DUMMYFUNCTION("""COMPUTED_VALUE"""),76.0)</f>
        <v>76</v>
      </c>
      <c r="B648" t="str">
        <f>IFERROR(__xludf.DUMMYFUNCTION("""COMPUTED_VALUE"""),"TAA6367")</f>
        <v>TAA6367</v>
      </c>
      <c r="C648">
        <f>IFERROR(__xludf.DUMMYFUNCTION("""COMPUTED_VALUE"""),1012901.0)</f>
        <v>1012901</v>
      </c>
      <c r="D648" t="str">
        <f>IFERROR(__xludf.DUMMYFUNCTION("""COMPUTED_VALUE"""),"Ms.")</f>
        <v>Ms.</v>
      </c>
      <c r="E648" t="str">
        <f>IFERROR(__xludf.DUMMYFUNCTION("""COMPUTED_VALUE"""),"Sandao")</f>
        <v>Sandao</v>
      </c>
      <c r="F648" t="str">
        <f>IFERROR(__xludf.DUMMYFUNCTION("""COMPUTED_VALUE"""),"Siriwarunrak")</f>
        <v>Siriwarunrak</v>
      </c>
      <c r="G648" t="str">
        <f>IFERROR(__xludf.DUMMYFUNCTION("""COMPUTED_VALUE"""),"Sandao Siriwarunrak")</f>
        <v>Sandao Siriwarunrak</v>
      </c>
      <c r="H648" t="str">
        <f>IFERROR(__xludf.DUMMYFUNCTION("""COMPUTED_VALUE"""),"นางสาว")</f>
        <v>นางสาว</v>
      </c>
      <c r="I648" t="str">
        <f>IFERROR(__xludf.DUMMYFUNCTION("""COMPUTED_VALUE"""),"แสนดาว")</f>
        <v>แสนดาว</v>
      </c>
      <c r="J648" t="str">
        <f>IFERROR(__xludf.DUMMYFUNCTION("""COMPUTED_VALUE"""),"ศิริวรุณรักษ์")</f>
        <v>ศิริวรุณรักษ์</v>
      </c>
      <c r="K648" t="str">
        <f>IFERROR(__xludf.DUMMYFUNCTION("""COMPUTED_VALUE"""),"แสนดาว ศิริวรุณรักษ์")</f>
        <v>แสนดาว ศิริวรุณรักษ์</v>
      </c>
      <c r="L648" t="str">
        <f>IFERROR(__xludf.DUMMYFUNCTION("""COMPUTED_VALUE"""),"มะเหมี่ยว")</f>
        <v>มะเหมี่ยว</v>
      </c>
      <c r="M648" t="str">
        <f>IFERROR(__xludf.DUMMYFUNCTION("""COMPUTED_VALUE"""),"Cabin Crew")</f>
        <v>Cabin Crew</v>
      </c>
      <c r="N648" t="str">
        <f>IFERROR(__xludf.DUMMYFUNCTION("""COMPUTED_VALUE"""),"DMK")</f>
        <v>DMK</v>
      </c>
      <c r="O648" s="145" t="str">
        <f>IFERROR(__xludf.DUMMYFUNCTION("""COMPUTED_VALUE"""),"Kor Home")</f>
        <v>Kor Home</v>
      </c>
      <c r="P648" t="str">
        <f>IFERROR(__xludf.DUMMYFUNCTION("""COMPUTED_VALUE"""),"Active")</f>
        <v>Active</v>
      </c>
      <c r="R648" s="143">
        <f>IFERROR(__xludf.DUMMYFUNCTION("""COMPUTED_VALUE"""),33132.0)</f>
        <v>33132</v>
      </c>
      <c r="S648" s="146" t="str">
        <f>IFERROR(__xludf.DUMMYFUNCTION("""COMPUTED_VALUE"""),"089 944 8820")</f>
        <v>089 944 8820</v>
      </c>
      <c r="T648" s="147" t="str">
        <f>IFERROR(__xludf.DUMMYFUNCTION("""COMPUTED_VALUE"""),"1419900-24-2453")</f>
        <v>1419900-24-2453</v>
      </c>
      <c r="U648" t="str">
        <f>IFERROR(__xludf.DUMMYFUNCTION("""COMPUTED_VALUE"""),"AC6441538")</f>
        <v>AC6441538</v>
      </c>
      <c r="V648" s="148">
        <f>IFERROR(__xludf.DUMMYFUNCTION("""COMPUTED_VALUE"""),45355.0)</f>
        <v>45355</v>
      </c>
      <c r="W648" s="148">
        <f>IFERROR(__xludf.DUMMYFUNCTION("""COMPUTED_VALUE"""),49006.0)</f>
        <v>49006</v>
      </c>
      <c r="X648" s="149">
        <f>IFERROR(__xludf.DUMMYFUNCTION("""COMPUTED_VALUE"""),48825.0)</f>
        <v>48825</v>
      </c>
      <c r="Y648" t="str">
        <f>IFERROR(__xludf.DUMMYFUNCTION("""COMPUTED_VALUE"""),"ปลอดภัย")</f>
        <v>ปลอดภัย</v>
      </c>
      <c r="Z648" t="str">
        <f>IFERROR(__xludf.DUMMYFUNCTION("""COMPUTED_VALUE"""),"Udon Thani Province")</f>
        <v>Udon Thani Province</v>
      </c>
      <c r="AA648" t="str">
        <f>IFERROR(__xludf.DUMMYFUNCTION("""COMPUTED_VALUE"""),"Bangkok Yai")</f>
        <v>Bangkok Yai</v>
      </c>
      <c r="AB648" t="str">
        <f>IFERROR(__xludf.DUMMYFUNCTION("""COMPUTED_VALUE"""),"086 222 7681")</f>
        <v>086 222 7681</v>
      </c>
      <c r="AC648" t="str">
        <f>IFERROR(__xludf.DUMMYFUNCTION("""COMPUTED_VALUE"""),"Dujdao Siriwarunrak")</f>
        <v>Dujdao Siriwarunrak</v>
      </c>
      <c r="AD648" t="str">
        <f>IFERROR(__xludf.DUMMYFUNCTION("""COMPUTED_VALUE"""),"sandaos@airasia.com")</f>
        <v>sandaos@airasia.com</v>
      </c>
    </row>
    <row r="649">
      <c r="A649" s="142">
        <f>IFERROR(__xludf.DUMMYFUNCTION("""COMPUTED_VALUE"""),76.0)</f>
        <v>76</v>
      </c>
      <c r="B649" t="str">
        <f>IFERROR(__xludf.DUMMYFUNCTION("""COMPUTED_VALUE"""),"TAA6361")</f>
        <v>TAA6361</v>
      </c>
      <c r="C649">
        <f>IFERROR(__xludf.DUMMYFUNCTION("""COMPUTED_VALUE"""),1012902.0)</f>
        <v>1012902</v>
      </c>
      <c r="D649" t="str">
        <f>IFERROR(__xludf.DUMMYFUNCTION("""COMPUTED_VALUE"""),"Ms.")</f>
        <v>Ms.</v>
      </c>
      <c r="E649" t="str">
        <f>IFERROR(__xludf.DUMMYFUNCTION("""COMPUTED_VALUE"""),"Saowarat")</f>
        <v>Saowarat</v>
      </c>
      <c r="F649" t="str">
        <f>IFERROR(__xludf.DUMMYFUNCTION("""COMPUTED_VALUE"""),"Sowa")</f>
        <v>Sowa</v>
      </c>
      <c r="G649" t="str">
        <f>IFERROR(__xludf.DUMMYFUNCTION("""COMPUTED_VALUE"""),"Saowarat Sowa")</f>
        <v>Saowarat Sowa</v>
      </c>
      <c r="H649" t="str">
        <f>IFERROR(__xludf.DUMMYFUNCTION("""COMPUTED_VALUE"""),"นางสาว")</f>
        <v>นางสาว</v>
      </c>
      <c r="I649" t="str">
        <f>IFERROR(__xludf.DUMMYFUNCTION("""COMPUTED_VALUE"""),"เสาวรัตน์")</f>
        <v>เสาวรัตน์</v>
      </c>
      <c r="J649" t="str">
        <f>IFERROR(__xludf.DUMMYFUNCTION("""COMPUTED_VALUE"""),"โสวะ")</f>
        <v>โสวะ</v>
      </c>
      <c r="K649" t="str">
        <f>IFERROR(__xludf.DUMMYFUNCTION("""COMPUTED_VALUE"""),"เสาวรัตน์ โสวะ")</f>
        <v>เสาวรัตน์ โสวะ</v>
      </c>
      <c r="L649" t="str">
        <f>IFERROR(__xludf.DUMMYFUNCTION("""COMPUTED_VALUE"""),"ไอซ์")</f>
        <v>ไอซ์</v>
      </c>
      <c r="M649" t="str">
        <f>IFERROR(__xludf.DUMMYFUNCTION("""COMPUTED_VALUE"""),"Cabin Crew")</f>
        <v>Cabin Crew</v>
      </c>
      <c r="N649" t="str">
        <f>IFERROR(__xludf.DUMMYFUNCTION("""COMPUTED_VALUE"""),"DMK")</f>
        <v>DMK</v>
      </c>
      <c r="O649" s="145" t="str">
        <f>IFERROR(__xludf.DUMMYFUNCTION("""COMPUTED_VALUE"""),"Up Home")</f>
        <v>Up Home</v>
      </c>
      <c r="P649" t="str">
        <f>IFERROR(__xludf.DUMMYFUNCTION("""COMPUTED_VALUE"""),"Active")</f>
        <v>Active</v>
      </c>
      <c r="Q649" t="str">
        <f>IFERROR(__xludf.DUMMYFUNCTION("""COMPUTED_VALUE"""),"Chinese Speaking")</f>
        <v>Chinese Speaking</v>
      </c>
      <c r="R649" s="143">
        <f>IFERROR(__xludf.DUMMYFUNCTION("""COMPUTED_VALUE"""),32613.0)</f>
        <v>32613</v>
      </c>
      <c r="S649" s="146" t="str">
        <f>IFERROR(__xludf.DUMMYFUNCTION("""COMPUTED_VALUE"""),"089 559 6514")</f>
        <v>089 559 6514</v>
      </c>
      <c r="T649" s="147" t="str">
        <f>IFERROR(__xludf.DUMMYFUNCTION("""COMPUTED_VALUE"""),"1509900-72-2233")</f>
        <v>1509900-72-2233</v>
      </c>
      <c r="U649" t="str">
        <f>IFERROR(__xludf.DUMMYFUNCTION("""COMPUTED_VALUE"""),"AC7500282")</f>
        <v>AC7500282</v>
      </c>
      <c r="V649" s="150">
        <f>IFERROR(__xludf.DUMMYFUNCTION("""COMPUTED_VALUE"""),45545.0)</f>
        <v>45545</v>
      </c>
      <c r="W649" s="148">
        <f>IFERROR(__xludf.DUMMYFUNCTION("""COMPUTED_VALUE"""),49196.0)</f>
        <v>49196</v>
      </c>
      <c r="X649" s="149">
        <f>IFERROR(__xludf.DUMMYFUNCTION("""COMPUTED_VALUE"""),49012.0)</f>
        <v>49012</v>
      </c>
      <c r="Y649" t="str">
        <f>IFERROR(__xludf.DUMMYFUNCTION("""COMPUTED_VALUE"""),"ปลอดภัย")</f>
        <v>ปลอดภัย</v>
      </c>
      <c r="Z649" t="str">
        <f>IFERROR(__xludf.DUMMYFUNCTION("""COMPUTED_VALUE"""),"Chiang Mai Province")</f>
        <v>Chiang Mai Province</v>
      </c>
      <c r="AA649" t="str">
        <f>IFERROR(__xludf.DUMMYFUNCTION("""COMPUTED_VALUE"""),"Sukhunvit")</f>
        <v>Sukhunvit</v>
      </c>
      <c r="AB649" t="str">
        <f>IFERROR(__xludf.DUMMYFUNCTION("""COMPUTED_VALUE"""),"089 611 1419")</f>
        <v>089 611 1419</v>
      </c>
      <c r="AC649" t="str">
        <f>IFERROR(__xludf.DUMMYFUNCTION("""COMPUTED_VALUE"""),"Somjit Sowa")</f>
        <v>Somjit Sowa</v>
      </c>
      <c r="AD649" t="str">
        <f>IFERROR(__xludf.DUMMYFUNCTION("""COMPUTED_VALUE"""),"saowarats@airasia.com")</f>
        <v>saowarats@airasia.com</v>
      </c>
    </row>
    <row r="650">
      <c r="A650" s="142">
        <f>IFERROR(__xludf.DUMMYFUNCTION("""COMPUTED_VALUE"""),76.0)</f>
        <v>76</v>
      </c>
      <c r="B650" t="str">
        <f>IFERROR(__xludf.DUMMYFUNCTION("""COMPUTED_VALUE"""),"TAA6378")</f>
        <v>TAA6378</v>
      </c>
      <c r="C650">
        <f>IFERROR(__xludf.DUMMYFUNCTION("""COMPUTED_VALUE"""),1012904.0)</f>
        <v>1012904</v>
      </c>
      <c r="D650" t="str">
        <f>IFERROR(__xludf.DUMMYFUNCTION("""COMPUTED_VALUE"""),"Mr.")</f>
        <v>Mr.</v>
      </c>
      <c r="E650" t="str">
        <f>IFERROR(__xludf.DUMMYFUNCTION("""COMPUTED_VALUE"""),"Suteerapong")</f>
        <v>Suteerapong</v>
      </c>
      <c r="F650" t="str">
        <f>IFERROR(__xludf.DUMMYFUNCTION("""COMPUTED_VALUE"""),"Sawangwong")</f>
        <v>Sawangwong</v>
      </c>
      <c r="G650" t="str">
        <f>IFERROR(__xludf.DUMMYFUNCTION("""COMPUTED_VALUE"""),"Suteerapong Sawangwong")</f>
        <v>Suteerapong Sawangwong</v>
      </c>
      <c r="H650" t="str">
        <f>IFERROR(__xludf.DUMMYFUNCTION("""COMPUTED_VALUE"""),"นาย")</f>
        <v>นาย</v>
      </c>
      <c r="I650" t="str">
        <f>IFERROR(__xludf.DUMMYFUNCTION("""COMPUTED_VALUE"""),"สุธีระพงษ์")</f>
        <v>สุธีระพงษ์</v>
      </c>
      <c r="J650" t="str">
        <f>IFERROR(__xludf.DUMMYFUNCTION("""COMPUTED_VALUE"""),"สว่างวงศ์")</f>
        <v>สว่างวงศ์</v>
      </c>
      <c r="K650" t="str">
        <f>IFERROR(__xludf.DUMMYFUNCTION("""COMPUTED_VALUE"""),"สุธีระพงษ์ สว่างวงศ์")</f>
        <v>สุธีระพงษ์ สว่างวงศ์</v>
      </c>
      <c r="L650" t="str">
        <f>IFERROR(__xludf.DUMMYFUNCTION("""COMPUTED_VALUE"""),"เอฟ")</f>
        <v>เอฟ</v>
      </c>
      <c r="M650" t="str">
        <f>IFERROR(__xludf.DUMMYFUNCTION("""COMPUTED_VALUE"""),"Cabin Crew")</f>
        <v>Cabin Crew</v>
      </c>
      <c r="N650" t="str">
        <f>IFERROR(__xludf.DUMMYFUNCTION("""COMPUTED_VALUE"""),"DMK")</f>
        <v>DMK</v>
      </c>
      <c r="O650" s="145" t="str">
        <f>IFERROR(__xludf.DUMMYFUNCTION("""COMPUTED_VALUE"""),"Namfon Home")</f>
        <v>Namfon Home</v>
      </c>
      <c r="P650" t="str">
        <f>IFERROR(__xludf.DUMMYFUNCTION("""COMPUTED_VALUE"""),"Active")</f>
        <v>Active</v>
      </c>
      <c r="R650" s="143">
        <f>IFERROR(__xludf.DUMMYFUNCTION("""COMPUTED_VALUE"""),31718.0)</f>
        <v>31718</v>
      </c>
      <c r="S650" s="146" t="str">
        <f>IFERROR(__xludf.DUMMYFUNCTION("""COMPUTED_VALUE"""),"081 297 1422")</f>
        <v>081 297 1422</v>
      </c>
      <c r="T650" s="147" t="str">
        <f>IFERROR(__xludf.DUMMYFUNCTION("""COMPUTED_VALUE"""),"1800200-03-4350")</f>
        <v>1800200-03-4350</v>
      </c>
      <c r="U650" t="str">
        <f>IFERROR(__xludf.DUMMYFUNCTION("""COMPUTED_VALUE"""),"AC7463520")</f>
        <v>AC7463520</v>
      </c>
      <c r="V650" s="148">
        <f>IFERROR(__xludf.DUMMYFUNCTION("""COMPUTED_VALUE"""),45593.0)</f>
        <v>45593</v>
      </c>
      <c r="W650" s="148">
        <f>IFERROR(__xludf.DUMMYFUNCTION("""COMPUTED_VALUE"""),49244.0)</f>
        <v>49244</v>
      </c>
      <c r="X650" s="149">
        <f>IFERROR(__xludf.DUMMYFUNCTION("""COMPUTED_VALUE"""),49061.0)</f>
        <v>49061</v>
      </c>
      <c r="Y650" t="str">
        <f>IFERROR(__xludf.DUMMYFUNCTION("""COMPUTED_VALUE"""),"ปลอดภัย")</f>
        <v>ปลอดภัย</v>
      </c>
      <c r="Z650" t="str">
        <f>IFERROR(__xludf.DUMMYFUNCTION("""COMPUTED_VALUE"""),"Nakhon Si Thammarat Province")</f>
        <v>Nakhon Si Thammarat Province</v>
      </c>
      <c r="AA650" t="str">
        <f>IFERROR(__xludf.DUMMYFUNCTION("""COMPUTED_VALUE"""),"Chom Thong")</f>
        <v>Chom Thong</v>
      </c>
      <c r="AB650" t="str">
        <f>IFERROR(__xludf.DUMMYFUNCTION("""COMPUTED_VALUE"""),"081 877 6771")</f>
        <v>081 877 6771</v>
      </c>
      <c r="AC650" t="str">
        <f>IFERROR(__xludf.DUMMYFUNCTION("""COMPUTED_VALUE"""),"ตรีภาค ทัตศรี")</f>
        <v>ตรีภาค ทัตศรี</v>
      </c>
      <c r="AD650" t="str">
        <f>IFERROR(__xludf.DUMMYFUNCTION("""COMPUTED_VALUE"""),"suteerapongs@airasia.com")</f>
        <v>suteerapongs@airasia.com</v>
      </c>
    </row>
    <row r="651">
      <c r="A651" s="142">
        <f>IFERROR(__xludf.DUMMYFUNCTION("""COMPUTED_VALUE"""),76.0)</f>
        <v>76</v>
      </c>
      <c r="B651" t="str">
        <f>IFERROR(__xludf.DUMMYFUNCTION("""COMPUTED_VALUE"""),"TAA6377")</f>
        <v>TAA6377</v>
      </c>
      <c r="C651">
        <f>IFERROR(__xludf.DUMMYFUNCTION("""COMPUTED_VALUE"""),1012905.0)</f>
        <v>1012905</v>
      </c>
      <c r="D651" t="str">
        <f>IFERROR(__xludf.DUMMYFUNCTION("""COMPUTED_VALUE"""),"Ms.")</f>
        <v>Ms.</v>
      </c>
      <c r="E651" t="str">
        <f>IFERROR(__xludf.DUMMYFUNCTION("""COMPUTED_VALUE"""),"Paweerisa (Taratikal)")</f>
        <v>Paweerisa (Taratikal)</v>
      </c>
      <c r="F651" t="str">
        <f>IFERROR(__xludf.DUMMYFUNCTION("""COMPUTED_VALUE"""),"Tantijaratchai (Saiwan)")</f>
        <v>Tantijaratchai (Saiwan)</v>
      </c>
      <c r="G651" t="str">
        <f>IFERROR(__xludf.DUMMYFUNCTION("""COMPUTED_VALUE"""),"Paweerisa Tantijaratchai")</f>
        <v>Paweerisa Tantijaratchai</v>
      </c>
      <c r="H651" t="str">
        <f>IFERROR(__xludf.DUMMYFUNCTION("""COMPUTED_VALUE"""),"นางสาว")</f>
        <v>นางสาว</v>
      </c>
      <c r="I651" t="str">
        <f>IFERROR(__xludf.DUMMYFUNCTION("""COMPUTED_VALUE"""),"ปวีณ์ริศา (ธาราติกาล)")</f>
        <v>ปวีณ์ริศา (ธาราติกาล)</v>
      </c>
      <c r="J651" t="str">
        <f>IFERROR(__xludf.DUMMYFUNCTION("""COMPUTED_VALUE"""),"ตันติจรัสไชย (สายวัน)")</f>
        <v>ตันติจรัสไชย (สายวัน)</v>
      </c>
      <c r="K651" t="str">
        <f>IFERROR(__xludf.DUMMYFUNCTION("""COMPUTED_VALUE"""),"ปวีณ์ริศา ตันติจรัสไชย")</f>
        <v>ปวีณ์ริศา ตันติจรัสไชย</v>
      </c>
      <c r="L651" t="str">
        <f>IFERROR(__xludf.DUMMYFUNCTION("""COMPUTED_VALUE"""),"ตูเช่")</f>
        <v>ตูเช่</v>
      </c>
      <c r="M651" t="str">
        <f>IFERROR(__xludf.DUMMYFUNCTION("""COMPUTED_VALUE"""),"Cabin Crew")</f>
        <v>Cabin Crew</v>
      </c>
      <c r="N651" t="str">
        <f>IFERROR(__xludf.DUMMYFUNCTION("""COMPUTED_VALUE"""),"DMK")</f>
        <v>DMK</v>
      </c>
      <c r="O651" s="145" t="str">
        <f>IFERROR(__xludf.DUMMYFUNCTION("""COMPUTED_VALUE"""),"Namfon Home")</f>
        <v>Namfon Home</v>
      </c>
      <c r="P651" t="str">
        <f>IFERROR(__xludf.DUMMYFUNCTION("""COMPUTED_VALUE"""),"Active")</f>
        <v>Active</v>
      </c>
      <c r="R651" s="143">
        <f>IFERROR(__xludf.DUMMYFUNCTION("""COMPUTED_VALUE"""),32294.0)</f>
        <v>32294</v>
      </c>
      <c r="S651" s="146" t="str">
        <f>IFERROR(__xludf.DUMMYFUNCTION("""COMPUTED_VALUE"""),"092 250 8172")</f>
        <v>092 250 8172</v>
      </c>
      <c r="T651" s="147" t="str">
        <f>IFERROR(__xludf.DUMMYFUNCTION("""COMPUTED_VALUE"""),"1321000-13-9315")</f>
        <v>1321000-13-9315</v>
      </c>
      <c r="U651" t="str">
        <f>IFERROR(__xludf.DUMMYFUNCTION("""COMPUTED_VALUE"""),"AC6367522")</f>
        <v>AC6367522</v>
      </c>
      <c r="V651" s="148">
        <f>IFERROR(__xludf.DUMMYFUNCTION("""COMPUTED_VALUE"""),45355.0)</f>
        <v>45355</v>
      </c>
      <c r="W651" s="148">
        <f>IFERROR(__xludf.DUMMYFUNCTION("""COMPUTED_VALUE"""),49006.0)</f>
        <v>49006</v>
      </c>
      <c r="X651" s="149">
        <f>IFERROR(__xludf.DUMMYFUNCTION("""COMPUTED_VALUE"""),48825.0)</f>
        <v>48825</v>
      </c>
      <c r="Y651" t="str">
        <f>IFERROR(__xludf.DUMMYFUNCTION("""COMPUTED_VALUE"""),"ปลอดภัย")</f>
        <v>ปลอดภัย</v>
      </c>
      <c r="Z651" t="str">
        <f>IFERROR(__xludf.DUMMYFUNCTION("""COMPUTED_VALUE"""),"Surin Province")</f>
        <v>Surin Province</v>
      </c>
      <c r="AA651" t="str">
        <f>IFERROR(__xludf.DUMMYFUNCTION("""COMPUTED_VALUE"""),"Chonburi")</f>
        <v>Chonburi</v>
      </c>
      <c r="AB651" t="str">
        <f>IFERROR(__xludf.DUMMYFUNCTION("""COMPUTED_VALUE"""),"081 670 6151")</f>
        <v>081 670 6151</v>
      </c>
      <c r="AC651" t="str">
        <f>IFERROR(__xludf.DUMMYFUNCTION("""COMPUTED_VALUE"""),"Anong Saiwan")</f>
        <v>Anong Saiwan</v>
      </c>
      <c r="AD651" t="str">
        <f>IFERROR(__xludf.DUMMYFUNCTION("""COMPUTED_VALUE"""),"paweerisat@airasia.com")</f>
        <v>paweerisat@airasia.com</v>
      </c>
    </row>
    <row r="652">
      <c r="A652" s="142">
        <f>IFERROR(__xludf.DUMMYFUNCTION("""COMPUTED_VALUE"""),76.0)</f>
        <v>76</v>
      </c>
      <c r="B652" t="str">
        <f>IFERROR(__xludf.DUMMYFUNCTION("""COMPUTED_VALUE"""),"TAA6376")</f>
        <v>TAA6376</v>
      </c>
      <c r="C652">
        <f>IFERROR(__xludf.DUMMYFUNCTION("""COMPUTED_VALUE"""),1012906.0)</f>
        <v>1012906</v>
      </c>
      <c r="D652" t="str">
        <f>IFERROR(__xludf.DUMMYFUNCTION("""COMPUTED_VALUE"""),"Mr.")</f>
        <v>Mr.</v>
      </c>
      <c r="E652" t="str">
        <f>IFERROR(__xludf.DUMMYFUNCTION("""COMPUTED_VALUE"""),"Thanametth")</f>
        <v>Thanametth</v>
      </c>
      <c r="F652" t="str">
        <f>IFERROR(__xludf.DUMMYFUNCTION("""COMPUTED_VALUE"""),"Wachiradatsathien")</f>
        <v>Wachiradatsathien</v>
      </c>
      <c r="G652" t="str">
        <f>IFERROR(__xludf.DUMMYFUNCTION("""COMPUTED_VALUE"""),"Thanametth Wachiradatsathien")</f>
        <v>Thanametth Wachiradatsathien</v>
      </c>
      <c r="H652" t="str">
        <f>IFERROR(__xludf.DUMMYFUNCTION("""COMPUTED_VALUE"""),"นาย")</f>
        <v>นาย</v>
      </c>
      <c r="I652" t="str">
        <f>IFERROR(__xludf.DUMMYFUNCTION("""COMPUTED_VALUE"""),"ธนะเมศฐ์")</f>
        <v>ธนะเมศฐ์</v>
      </c>
      <c r="J652" t="str">
        <f>IFERROR(__xludf.DUMMYFUNCTION("""COMPUTED_VALUE"""),"วชิรเดชเสถียร")</f>
        <v>วชิรเดชเสถียร</v>
      </c>
      <c r="K652" t="str">
        <f>IFERROR(__xludf.DUMMYFUNCTION("""COMPUTED_VALUE"""),"ธนะเมศฐ์ วชิรเดชเสถียร")</f>
        <v>ธนะเมศฐ์ วชิรเดชเสถียร</v>
      </c>
      <c r="L652" t="str">
        <f>IFERROR(__xludf.DUMMYFUNCTION("""COMPUTED_VALUE"""),"เฮง")</f>
        <v>เฮง</v>
      </c>
      <c r="M652" t="str">
        <f>IFERROR(__xludf.DUMMYFUNCTION("""COMPUTED_VALUE"""),"Cabin Crew")</f>
        <v>Cabin Crew</v>
      </c>
      <c r="N652" t="str">
        <f>IFERROR(__xludf.DUMMYFUNCTION("""COMPUTED_VALUE"""),"DMK")</f>
        <v>DMK</v>
      </c>
      <c r="O652" s="145" t="str">
        <f>IFERROR(__xludf.DUMMYFUNCTION("""COMPUTED_VALUE"""),"Kor Home")</f>
        <v>Kor Home</v>
      </c>
      <c r="P652" t="str">
        <f>IFERROR(__xludf.DUMMYFUNCTION("""COMPUTED_VALUE"""),"Active")</f>
        <v>Active</v>
      </c>
      <c r="R652" s="143">
        <f>IFERROR(__xludf.DUMMYFUNCTION("""COMPUTED_VALUE"""),32745.0)</f>
        <v>32745</v>
      </c>
      <c r="S652" s="146" t="str">
        <f>IFERROR(__xludf.DUMMYFUNCTION("""COMPUTED_VALUE"""),"087 505 8751")</f>
        <v>087 505 8751</v>
      </c>
      <c r="T652" s="147" t="str">
        <f>IFERROR(__xludf.DUMMYFUNCTION("""COMPUTED_VALUE"""),"1209700-25-5286")</f>
        <v>1209700-25-5286</v>
      </c>
      <c r="U652" t="str">
        <f>IFERROR(__xludf.DUMMYFUNCTION("""COMPUTED_VALUE"""),"AC5541102")</f>
        <v>AC5541102</v>
      </c>
      <c r="V652" s="148">
        <f>IFERROR(__xludf.DUMMYFUNCTION("""COMPUTED_VALUE"""),45162.0)</f>
        <v>45162</v>
      </c>
      <c r="W652" s="148">
        <f>IFERROR(__xludf.DUMMYFUNCTION("""COMPUTED_VALUE"""),48814.0)</f>
        <v>48814</v>
      </c>
      <c r="X652" s="149">
        <f>IFERROR(__xludf.DUMMYFUNCTION("""COMPUTED_VALUE"""),48633.0)</f>
        <v>48633</v>
      </c>
      <c r="Y652" t="str">
        <f>IFERROR(__xludf.DUMMYFUNCTION("""COMPUTED_VALUE"""),"ปลอดภัย")</f>
        <v>ปลอดภัย</v>
      </c>
      <c r="Z652" t="str">
        <f>IFERROR(__xludf.DUMMYFUNCTION("""COMPUTED_VALUE"""),"Chonburi Province")</f>
        <v>Chonburi Province</v>
      </c>
      <c r="AA652" t="str">
        <f>IFERROR(__xludf.DUMMYFUNCTION("""COMPUTED_VALUE"""),"Klongtoey")</f>
        <v>Klongtoey</v>
      </c>
      <c r="AB652" t="str">
        <f>IFERROR(__xludf.DUMMYFUNCTION("""COMPUTED_VALUE"""),"080 220 5225")</f>
        <v>080 220 5225</v>
      </c>
      <c r="AC652" t="str">
        <f>IFERROR(__xludf.DUMMYFUNCTION("""COMPUTED_VALUE"""),"Apinya Wachiradatsathien")</f>
        <v>Apinya Wachiradatsathien</v>
      </c>
      <c r="AD652" t="str">
        <f>IFERROR(__xludf.DUMMYFUNCTION("""COMPUTED_VALUE"""),"thanametthw@airasia.com")</f>
        <v>thanametthw@airasia.com</v>
      </c>
    </row>
    <row r="653">
      <c r="A653" s="142">
        <f>IFERROR(__xludf.DUMMYFUNCTION("""COMPUTED_VALUE"""),76.0)</f>
        <v>76</v>
      </c>
      <c r="B653" t="str">
        <f>IFERROR(__xludf.DUMMYFUNCTION("""COMPUTED_VALUE"""),"TAA6374")</f>
        <v>TAA6374</v>
      </c>
      <c r="C653">
        <f>IFERROR(__xludf.DUMMYFUNCTION("""COMPUTED_VALUE"""),1012907.0)</f>
        <v>1012907</v>
      </c>
      <c r="D653" t="str">
        <f>IFERROR(__xludf.DUMMYFUNCTION("""COMPUTED_VALUE"""),"Ms.")</f>
        <v>Ms.</v>
      </c>
      <c r="E653" t="str">
        <f>IFERROR(__xludf.DUMMYFUNCTION("""COMPUTED_VALUE"""),"Thiranuch")</f>
        <v>Thiranuch</v>
      </c>
      <c r="F653" t="str">
        <f>IFERROR(__xludf.DUMMYFUNCTION("""COMPUTED_VALUE"""),"Chantavarin")</f>
        <v>Chantavarin</v>
      </c>
      <c r="G653" t="str">
        <f>IFERROR(__xludf.DUMMYFUNCTION("""COMPUTED_VALUE"""),"Thiranuch Chantavarin")</f>
        <v>Thiranuch Chantavarin</v>
      </c>
      <c r="H653" t="str">
        <f>IFERROR(__xludf.DUMMYFUNCTION("""COMPUTED_VALUE"""),"นางสาว")</f>
        <v>นางสาว</v>
      </c>
      <c r="I653" t="str">
        <f>IFERROR(__xludf.DUMMYFUNCTION("""COMPUTED_VALUE"""),"ถิรนุช")</f>
        <v>ถิรนุช</v>
      </c>
      <c r="J653" t="str">
        <f>IFERROR(__xludf.DUMMYFUNCTION("""COMPUTED_VALUE"""),"จันทวรินทร์")</f>
        <v>จันทวรินทร์</v>
      </c>
      <c r="K653" t="str">
        <f>IFERROR(__xludf.DUMMYFUNCTION("""COMPUTED_VALUE"""),"ถิรนุช จันทวรินทร์")</f>
        <v>ถิรนุช จันทวรินทร์</v>
      </c>
      <c r="L653" t="str">
        <f>IFERROR(__xludf.DUMMYFUNCTION("""COMPUTED_VALUE"""),"ป่าน")</f>
        <v>ป่าน</v>
      </c>
      <c r="M653" t="str">
        <f>IFERROR(__xludf.DUMMYFUNCTION("""COMPUTED_VALUE"""),"Senior Cabin Crew")</f>
        <v>Senior Cabin Crew</v>
      </c>
      <c r="N653" t="str">
        <f>IFERROR(__xludf.DUMMYFUNCTION("""COMPUTED_VALUE"""),"DMK")</f>
        <v>DMK</v>
      </c>
      <c r="O653" s="145" t="str">
        <f>IFERROR(__xludf.DUMMYFUNCTION("""COMPUTED_VALUE"""),"Namfon Home")</f>
        <v>Namfon Home</v>
      </c>
      <c r="P653" t="str">
        <f>IFERROR(__xludf.DUMMYFUNCTION("""COMPUTED_VALUE"""),"Active")</f>
        <v>Active</v>
      </c>
      <c r="R653" s="143">
        <f>IFERROR(__xludf.DUMMYFUNCTION("""COMPUTED_VALUE"""),34237.0)</f>
        <v>34237</v>
      </c>
      <c r="S653" s="146" t="str">
        <f>IFERROR(__xludf.DUMMYFUNCTION("""COMPUTED_VALUE"""),"062 469 6690 ")</f>
        <v>062 469 6690 </v>
      </c>
      <c r="T653" s="147" t="str">
        <f>IFERROR(__xludf.DUMMYFUNCTION("""COMPUTED_VALUE"""),"1103701-19-4740")</f>
        <v>1103701-19-4740</v>
      </c>
      <c r="U653" t="str">
        <f>IFERROR(__xludf.DUMMYFUNCTION("""COMPUTED_VALUE"""),"AD1620164")</f>
        <v>AD1620164</v>
      </c>
      <c r="V653" s="148">
        <f>IFERROR(__xludf.DUMMYFUNCTION("""COMPUTED_VALUE"""),45316.0)</f>
        <v>45316</v>
      </c>
      <c r="W653" s="148">
        <f>IFERROR(__xludf.DUMMYFUNCTION("""COMPUTED_VALUE"""),48968.0)</f>
        <v>48968</v>
      </c>
      <c r="X653" s="149">
        <f>IFERROR(__xludf.DUMMYFUNCTION("""COMPUTED_VALUE"""),48784.0)</f>
        <v>48784</v>
      </c>
      <c r="Y653" t="str">
        <f>IFERROR(__xludf.DUMMYFUNCTION("""COMPUTED_VALUE"""),"ปลอดภัย")</f>
        <v>ปลอดภัย</v>
      </c>
      <c r="Z653" t="str">
        <f>IFERROR(__xludf.DUMMYFUNCTION("""COMPUTED_VALUE"""),"Bangkok")</f>
        <v>Bangkok</v>
      </c>
      <c r="AA653" t="str">
        <f>IFERROR(__xludf.DUMMYFUNCTION("""COMPUTED_VALUE"""),"Huaykwang")</f>
        <v>Huaykwang</v>
      </c>
      <c r="AB653" t="str">
        <f>IFERROR(__xludf.DUMMYFUNCTION("""COMPUTED_VALUE"""),"086 898 0900")</f>
        <v>086 898 0900</v>
      </c>
      <c r="AC653" t="str">
        <f>IFERROR(__xludf.DUMMYFUNCTION("""COMPUTED_VALUE"""),"Wanna Chatavarin")</f>
        <v>Wanna Chatavarin</v>
      </c>
      <c r="AD653" t="str">
        <f>IFERROR(__xludf.DUMMYFUNCTION("""COMPUTED_VALUE"""),"thiranuchc@airasia.com")</f>
        <v>thiranuchc@airasia.com</v>
      </c>
    </row>
    <row r="654">
      <c r="A654" s="142">
        <f>IFERROR(__xludf.DUMMYFUNCTION("""COMPUTED_VALUE"""),76.0)</f>
        <v>76</v>
      </c>
      <c r="B654" t="str">
        <f>IFERROR(__xludf.DUMMYFUNCTION("""COMPUTED_VALUE"""),"TAA6368")</f>
        <v>TAA6368</v>
      </c>
      <c r="C654">
        <f>IFERROR(__xludf.DUMMYFUNCTION("""COMPUTED_VALUE"""),1012908.0)</f>
        <v>1012908</v>
      </c>
      <c r="D654" t="str">
        <f>IFERROR(__xludf.DUMMYFUNCTION("""COMPUTED_VALUE"""),"Ms.")</f>
        <v>Ms.</v>
      </c>
      <c r="E654" t="str">
        <f>IFERROR(__xludf.DUMMYFUNCTION("""COMPUTED_VALUE"""),"Worakamol")</f>
        <v>Worakamol</v>
      </c>
      <c r="F654" t="str">
        <f>IFERROR(__xludf.DUMMYFUNCTION("""COMPUTED_VALUE"""),"Tiamboonprasert")</f>
        <v>Tiamboonprasert</v>
      </c>
      <c r="G654" t="str">
        <f>IFERROR(__xludf.DUMMYFUNCTION("""COMPUTED_VALUE"""),"Worakamol Tiamboonprasert")</f>
        <v>Worakamol Tiamboonprasert</v>
      </c>
      <c r="H654" t="str">
        <f>IFERROR(__xludf.DUMMYFUNCTION("""COMPUTED_VALUE"""),"นางสาว")</f>
        <v>นางสาว</v>
      </c>
      <c r="I654" t="str">
        <f>IFERROR(__xludf.DUMMYFUNCTION("""COMPUTED_VALUE"""),"วรกมล")</f>
        <v>วรกมล</v>
      </c>
      <c r="J654" t="str">
        <f>IFERROR(__xludf.DUMMYFUNCTION("""COMPUTED_VALUE"""),"เทียมบุญประเสริฐ")</f>
        <v>เทียมบุญประเสริฐ</v>
      </c>
      <c r="K654" t="str">
        <f>IFERROR(__xludf.DUMMYFUNCTION("""COMPUTED_VALUE"""),"วรกมล เทียมบุญประเสริฐ")</f>
        <v>วรกมล เทียมบุญประเสริฐ</v>
      </c>
      <c r="L654" t="str">
        <f>IFERROR(__xludf.DUMMYFUNCTION("""COMPUTED_VALUE"""),"ขวัญใจ")</f>
        <v>ขวัญใจ</v>
      </c>
      <c r="M654" t="str">
        <f>IFERROR(__xludf.DUMMYFUNCTION("""COMPUTED_VALUE"""),"Cabin Crew - BKK")</f>
        <v>Cabin Crew - BKK</v>
      </c>
      <c r="N654" t="str">
        <f>IFERROR(__xludf.DUMMYFUNCTION("""COMPUTED_VALUE"""),"BKK")</f>
        <v>BKK</v>
      </c>
      <c r="O654" s="145" t="str">
        <f>IFERROR(__xludf.DUMMYFUNCTION("""COMPUTED_VALUE"""),"Nhui Home")</f>
        <v>Nhui Home</v>
      </c>
      <c r="P654" t="str">
        <f>IFERROR(__xludf.DUMMYFUNCTION("""COMPUTED_VALUE"""),"LWP")</f>
        <v>LWP</v>
      </c>
      <c r="R654" s="143">
        <f>IFERROR(__xludf.DUMMYFUNCTION("""COMPUTED_VALUE"""),32958.0)</f>
        <v>32958</v>
      </c>
      <c r="S654" s="146" t="str">
        <f>IFERROR(__xludf.DUMMYFUNCTION("""COMPUTED_VALUE"""),"090 971 2239")</f>
        <v>090 971 2239</v>
      </c>
      <c r="T654" s="147" t="str">
        <f>IFERROR(__xludf.DUMMYFUNCTION("""COMPUTED_VALUE"""),"1102700-02-0241")</f>
        <v>1102700-02-0241</v>
      </c>
      <c r="U654" t="str">
        <f>IFERROR(__xludf.DUMMYFUNCTION("""COMPUTED_VALUE"""),"AD1968513")</f>
        <v>AD1968513</v>
      </c>
      <c r="V654" s="148">
        <f>IFERROR(__xludf.DUMMYFUNCTION("""COMPUTED_VALUE"""),45503.0)</f>
        <v>45503</v>
      </c>
      <c r="W654" s="148">
        <f>IFERROR(__xludf.DUMMYFUNCTION("""COMPUTED_VALUE"""),49154.0)</f>
        <v>49154</v>
      </c>
      <c r="X654" s="149">
        <f>IFERROR(__xludf.DUMMYFUNCTION("""COMPUTED_VALUE"""),48973.0)</f>
        <v>48973</v>
      </c>
      <c r="Y654" t="str">
        <f>IFERROR(__xludf.DUMMYFUNCTION("""COMPUTED_VALUE"""),"ปลอดภัย")</f>
        <v>ปลอดภัย</v>
      </c>
      <c r="Z654" t="str">
        <f>IFERROR(__xludf.DUMMYFUNCTION("""COMPUTED_VALUE"""),"Bangkok")</f>
        <v>Bangkok</v>
      </c>
      <c r="AA654" t="str">
        <f>IFERROR(__xludf.DUMMYFUNCTION("""COMPUTED_VALUE"""),"Beungkhum")</f>
        <v>Beungkhum</v>
      </c>
      <c r="AB654" t="str">
        <f>IFERROR(__xludf.DUMMYFUNCTION("""COMPUTED_VALUE"""),"085 045 8384")</f>
        <v>085 045 8384</v>
      </c>
      <c r="AC654" t="str">
        <f>IFERROR(__xludf.DUMMYFUNCTION("""COMPUTED_VALUE"""),"Kallaya Tiamboonprasert")</f>
        <v>Kallaya Tiamboonprasert</v>
      </c>
      <c r="AD654" t="str">
        <f>IFERROR(__xludf.DUMMYFUNCTION("""COMPUTED_VALUE"""),"worakamolt@airasia.com")</f>
        <v>worakamolt@airasia.com</v>
      </c>
    </row>
    <row r="655">
      <c r="AD655" t="str">
        <f>IFERROR(__xludf.DUMMYFUNCTION("""COMPUTED_VALUE"""),"")</f>
        <v/>
      </c>
    </row>
    <row r="656">
      <c r="A656" s="142">
        <f>IFERROR(__xludf.DUMMYFUNCTION("""COMPUTED_VALUE"""),77.0)</f>
        <v>77</v>
      </c>
      <c r="B656" t="str">
        <f>IFERROR(__xludf.DUMMYFUNCTION("""COMPUTED_VALUE"""),"TAA7112")</f>
        <v>TAA7112</v>
      </c>
      <c r="C656">
        <f>IFERROR(__xludf.DUMMYFUNCTION("""COMPUTED_VALUE"""),1005329.0)</f>
        <v>1005329</v>
      </c>
      <c r="D656" t="str">
        <f>IFERROR(__xludf.DUMMYFUNCTION("""COMPUTED_VALUE"""),"Ms.")</f>
        <v>Ms.</v>
      </c>
      <c r="E656" t="str">
        <f>IFERROR(__xludf.DUMMYFUNCTION("""COMPUTED_VALUE"""),"Thunchanok")</f>
        <v>Thunchanok</v>
      </c>
      <c r="F656" t="str">
        <f>IFERROR(__xludf.DUMMYFUNCTION("""COMPUTED_VALUE"""),"Phasukcharoen")</f>
        <v>Phasukcharoen</v>
      </c>
      <c r="G656" t="str">
        <f>IFERROR(__xludf.DUMMYFUNCTION("""COMPUTED_VALUE"""),"Thunchanok Phasukcharoen")</f>
        <v>Thunchanok Phasukcharoen</v>
      </c>
      <c r="H656" t="str">
        <f>IFERROR(__xludf.DUMMYFUNCTION("""COMPUTED_VALUE"""),"นางสาว")</f>
        <v>นางสาว</v>
      </c>
      <c r="I656" t="str">
        <f>IFERROR(__xludf.DUMMYFUNCTION("""COMPUTED_VALUE"""),"ธัญชนก")</f>
        <v>ธัญชนก</v>
      </c>
      <c r="J656" t="str">
        <f>IFERROR(__xludf.DUMMYFUNCTION("""COMPUTED_VALUE"""),"ผาสุขเจริญ")</f>
        <v>ผาสุขเจริญ</v>
      </c>
      <c r="K656" t="str">
        <f>IFERROR(__xludf.DUMMYFUNCTION("""COMPUTED_VALUE"""),"ธัญชนก ผาสุขเจริญ")</f>
        <v>ธัญชนก ผาสุขเจริญ</v>
      </c>
      <c r="L656" t="str">
        <f>IFERROR(__xludf.DUMMYFUNCTION("""COMPUTED_VALUE"""),"เป้")</f>
        <v>เป้</v>
      </c>
      <c r="M656" t="str">
        <f>IFERROR(__xludf.DUMMYFUNCTION("""COMPUTED_VALUE"""),"Cabin Crew")</f>
        <v>Cabin Crew</v>
      </c>
      <c r="N656" t="str">
        <f>IFERROR(__xludf.DUMMYFUNCTION("""COMPUTED_VALUE"""),"DMK")</f>
        <v>DMK</v>
      </c>
      <c r="O656" s="145" t="str">
        <f>IFERROR(__xludf.DUMMYFUNCTION("""COMPUTED_VALUE"""),"Up Home")</f>
        <v>Up Home</v>
      </c>
      <c r="P656" t="str">
        <f>IFERROR(__xludf.DUMMYFUNCTION("""COMPUTED_VALUE"""),"Active")</f>
        <v>Active</v>
      </c>
      <c r="R656" s="143">
        <f>IFERROR(__xludf.DUMMYFUNCTION("""COMPUTED_VALUE"""),32972.0)</f>
        <v>32972</v>
      </c>
      <c r="S656" s="146" t="str">
        <f>IFERROR(__xludf.DUMMYFUNCTION("""COMPUTED_VALUE"""),"087 079 9377")</f>
        <v>087 079 9377</v>
      </c>
      <c r="T656" s="147" t="str">
        <f>IFERROR(__xludf.DUMMYFUNCTION("""COMPUTED_VALUE"""),"1103700-10-7452")</f>
        <v>1103700-10-7452</v>
      </c>
      <c r="U656" t="str">
        <f>IFERROR(__xludf.DUMMYFUNCTION("""COMPUTED_VALUE"""),"AC2674743")</f>
        <v>AC2674743</v>
      </c>
      <c r="V656" s="148">
        <f>IFERROR(__xludf.DUMMYFUNCTION("""COMPUTED_VALUE"""),44576.0)</f>
        <v>44576</v>
      </c>
      <c r="W656" s="148">
        <f>IFERROR(__xludf.DUMMYFUNCTION("""COMPUTED_VALUE"""),48227.0)</f>
        <v>48227</v>
      </c>
      <c r="X656" s="149">
        <f>IFERROR(__xludf.DUMMYFUNCTION("""COMPUTED_VALUE"""),48043.0)</f>
        <v>48043</v>
      </c>
      <c r="Y656" t="str">
        <f>IFERROR(__xludf.DUMMYFUNCTION("""COMPUTED_VALUE"""),"ปลอดภัย")</f>
        <v>ปลอดภัย</v>
      </c>
      <c r="Z656" t="str">
        <f>IFERROR(__xludf.DUMMYFUNCTION("""COMPUTED_VALUE"""),"Bangkok")</f>
        <v>Bangkok</v>
      </c>
      <c r="AA656" t="str">
        <f>IFERROR(__xludf.DUMMYFUNCTION("""COMPUTED_VALUE"""),"Payathai")</f>
        <v>Payathai</v>
      </c>
      <c r="AB656" t="str">
        <f>IFERROR(__xludf.DUMMYFUNCTION("""COMPUTED_VALUE"""),"081 829 1703")</f>
        <v>081 829 1703</v>
      </c>
      <c r="AC656" t="str">
        <f>IFERROR(__xludf.DUMMYFUNCTION("""COMPUTED_VALUE"""),"Somphon Phasukcharoen")</f>
        <v>Somphon Phasukcharoen</v>
      </c>
      <c r="AD656" t="str">
        <f>IFERROR(__xludf.DUMMYFUNCTION("""COMPUTED_VALUE"""),"thunchanokp@airasia.com")</f>
        <v>thunchanokp@airasia.com</v>
      </c>
    </row>
    <row r="657">
      <c r="A657" s="142">
        <f>IFERROR(__xludf.DUMMYFUNCTION("""COMPUTED_VALUE"""),77.0)</f>
        <v>77</v>
      </c>
      <c r="B657" t="str">
        <f>IFERROR(__xludf.DUMMYFUNCTION("""COMPUTED_VALUE"""),"TAA6395")</f>
        <v>TAA6395</v>
      </c>
      <c r="C657">
        <f>IFERROR(__xludf.DUMMYFUNCTION("""COMPUTED_VALUE"""),1013168.0)</f>
        <v>1013168</v>
      </c>
      <c r="D657" t="str">
        <f>IFERROR(__xludf.DUMMYFUNCTION("""COMPUTED_VALUE"""),"Mr.")</f>
        <v>Mr.</v>
      </c>
      <c r="E657" t="str">
        <f>IFERROR(__xludf.DUMMYFUNCTION("""COMPUTED_VALUE"""),"Anun")</f>
        <v>Anun</v>
      </c>
      <c r="F657" t="str">
        <f>IFERROR(__xludf.DUMMYFUNCTION("""COMPUTED_VALUE"""),"Sumethanonthasak")</f>
        <v>Sumethanonthasak</v>
      </c>
      <c r="G657" t="str">
        <f>IFERROR(__xludf.DUMMYFUNCTION("""COMPUTED_VALUE"""),"Anun Sumethanonthasak")</f>
        <v>Anun Sumethanonthasak</v>
      </c>
      <c r="H657" t="str">
        <f>IFERROR(__xludf.DUMMYFUNCTION("""COMPUTED_VALUE"""),"นาย")</f>
        <v>นาย</v>
      </c>
      <c r="I657" t="str">
        <f>IFERROR(__xludf.DUMMYFUNCTION("""COMPUTED_VALUE"""),"อานันท์")</f>
        <v>อานันท์</v>
      </c>
      <c r="J657" t="str">
        <f>IFERROR(__xludf.DUMMYFUNCTION("""COMPUTED_VALUE"""),"สุเมธานนทศักดิ์")</f>
        <v>สุเมธานนทศักดิ์</v>
      </c>
      <c r="K657" t="str">
        <f>IFERROR(__xludf.DUMMYFUNCTION("""COMPUTED_VALUE"""),"อานันท์ สุเมธานนทศักดิ์")</f>
        <v>อานันท์ สุเมธานนทศักดิ์</v>
      </c>
      <c r="L657" t="str">
        <f>IFERROR(__xludf.DUMMYFUNCTION("""COMPUTED_VALUE"""),"โต๊ะ")</f>
        <v>โต๊ะ</v>
      </c>
      <c r="M657" t="str">
        <f>IFERROR(__xludf.DUMMYFUNCTION("""COMPUTED_VALUE"""),"Cabin Crew")</f>
        <v>Cabin Crew</v>
      </c>
      <c r="N657" t="str">
        <f>IFERROR(__xludf.DUMMYFUNCTION("""COMPUTED_VALUE"""),"DMK")</f>
        <v>DMK</v>
      </c>
      <c r="O657" s="145" t="str">
        <f>IFERROR(__xludf.DUMMYFUNCTION("""COMPUTED_VALUE"""),"Por+ Home")</f>
        <v>Por+ Home</v>
      </c>
      <c r="P657" t="str">
        <f>IFERROR(__xludf.DUMMYFUNCTION("""COMPUTED_VALUE"""),"Active")</f>
        <v>Active</v>
      </c>
      <c r="R657" s="143">
        <f>IFERROR(__xludf.DUMMYFUNCTION("""COMPUTED_VALUE"""),32696.0)</f>
        <v>32696</v>
      </c>
      <c r="S657" s="146" t="str">
        <f>IFERROR(__xludf.DUMMYFUNCTION("""COMPUTED_VALUE"""),"086 959 5696")</f>
        <v>086 959 5696</v>
      </c>
      <c r="T657" s="147" t="str">
        <f>IFERROR(__xludf.DUMMYFUNCTION("""COMPUTED_VALUE"""),"1102001-16-6254")</f>
        <v>1102001-16-6254</v>
      </c>
      <c r="U657" t="str">
        <f>IFERROR(__xludf.DUMMYFUNCTION("""COMPUTED_VALUE"""),"AC7133697")</f>
        <v>AC7133697</v>
      </c>
      <c r="V657" s="148">
        <f>IFERROR(__xludf.DUMMYFUNCTION("""COMPUTED_VALUE"""),45496.0)</f>
        <v>45496</v>
      </c>
      <c r="W657" s="148">
        <f>IFERROR(__xludf.DUMMYFUNCTION("""COMPUTED_VALUE"""),49147.0)</f>
        <v>49147</v>
      </c>
      <c r="X657" s="149">
        <f>IFERROR(__xludf.DUMMYFUNCTION("""COMPUTED_VALUE"""),48966.0)</f>
        <v>48966</v>
      </c>
      <c r="Y657" t="str">
        <f>IFERROR(__xludf.DUMMYFUNCTION("""COMPUTED_VALUE"""),"ปลอดภัย")</f>
        <v>ปลอดภัย</v>
      </c>
      <c r="Z657" t="str">
        <f>IFERROR(__xludf.DUMMYFUNCTION("""COMPUTED_VALUE"""),"Bangkok")</f>
        <v>Bangkok</v>
      </c>
      <c r="AA657" t="str">
        <f>IFERROR(__xludf.DUMMYFUNCTION("""COMPUTED_VALUE"""),"Bang Sue")</f>
        <v>Bang Sue</v>
      </c>
      <c r="AB657" t="str">
        <f>IFERROR(__xludf.DUMMYFUNCTION("""COMPUTED_VALUE"""),"086 807 5566 / 02 585 0033")</f>
        <v>086 807 5566 / 02 585 0033</v>
      </c>
      <c r="AC657" t="str">
        <f>IFERROR(__xludf.DUMMYFUNCTION("""COMPUTED_VALUE"""),"Chatsatorn Sumetthanonthasak / Home")</f>
        <v>Chatsatorn Sumetthanonthasak / Home</v>
      </c>
      <c r="AD657" t="str">
        <f>IFERROR(__xludf.DUMMYFUNCTION("""COMPUTED_VALUE"""),"anuns@airasia.com")</f>
        <v>anuns@airasia.com</v>
      </c>
    </row>
    <row r="658">
      <c r="A658" s="142">
        <f>IFERROR(__xludf.DUMMYFUNCTION("""COMPUTED_VALUE"""),77.0)</f>
        <v>77</v>
      </c>
      <c r="B658" t="str">
        <f>IFERROR(__xludf.DUMMYFUNCTION("""COMPUTED_VALUE"""),"TAA6388")</f>
        <v>TAA6388</v>
      </c>
      <c r="C658">
        <f>IFERROR(__xludf.DUMMYFUNCTION("""COMPUTED_VALUE"""),1013173.0)</f>
        <v>1013173</v>
      </c>
      <c r="D658" t="str">
        <f>IFERROR(__xludf.DUMMYFUNCTION("""COMPUTED_VALUE"""),"Ms.")</f>
        <v>Ms.</v>
      </c>
      <c r="E658" t="str">
        <f>IFERROR(__xludf.DUMMYFUNCTION("""COMPUTED_VALUE"""),"Juthatip")</f>
        <v>Juthatip</v>
      </c>
      <c r="F658" t="str">
        <f>IFERROR(__xludf.DUMMYFUNCTION("""COMPUTED_VALUE"""),"Narin")</f>
        <v>Narin</v>
      </c>
      <c r="G658" t="str">
        <f>IFERROR(__xludf.DUMMYFUNCTION("""COMPUTED_VALUE"""),"Juthatip Narin")</f>
        <v>Juthatip Narin</v>
      </c>
      <c r="H658" t="str">
        <f>IFERROR(__xludf.DUMMYFUNCTION("""COMPUTED_VALUE"""),"นางสาว")</f>
        <v>นางสาว</v>
      </c>
      <c r="I658" t="str">
        <f>IFERROR(__xludf.DUMMYFUNCTION("""COMPUTED_VALUE"""),"จุฑาทิพ")</f>
        <v>จุฑาทิพ</v>
      </c>
      <c r="J658" t="str">
        <f>IFERROR(__xludf.DUMMYFUNCTION("""COMPUTED_VALUE"""),"นรินทร์")</f>
        <v>นรินทร์</v>
      </c>
      <c r="K658" t="str">
        <f>IFERROR(__xludf.DUMMYFUNCTION("""COMPUTED_VALUE"""),"จุฑาทิพ นรินทร์")</f>
        <v>จุฑาทิพ นรินทร์</v>
      </c>
      <c r="L658" t="str">
        <f>IFERROR(__xludf.DUMMYFUNCTION("""COMPUTED_VALUE"""),"ทิพ")</f>
        <v>ทิพ</v>
      </c>
      <c r="M658" t="str">
        <f>IFERROR(__xludf.DUMMYFUNCTION("""COMPUTED_VALUE"""),"Cabin Crew - CNX")</f>
        <v>Cabin Crew - CNX</v>
      </c>
      <c r="N658" t="str">
        <f>IFERROR(__xludf.DUMMYFUNCTION("""COMPUTED_VALUE"""),"CNX")</f>
        <v>CNX</v>
      </c>
      <c r="O658" s="145" t="str">
        <f>IFERROR(__xludf.DUMMYFUNCTION("""COMPUTED_VALUE"""),"Up Home")</f>
        <v>Up Home</v>
      </c>
      <c r="P658" t="str">
        <f>IFERROR(__xludf.DUMMYFUNCTION("""COMPUTED_VALUE"""),"Active")</f>
        <v>Active</v>
      </c>
      <c r="R658" s="143">
        <f>IFERROR(__xludf.DUMMYFUNCTION("""COMPUTED_VALUE"""),32425.0)</f>
        <v>32425</v>
      </c>
      <c r="S658" s="146" t="str">
        <f>IFERROR(__xludf.DUMMYFUNCTION("""COMPUTED_VALUE"""),"097 441 9949")</f>
        <v>097 441 9949</v>
      </c>
      <c r="T658" s="147" t="str">
        <f>IFERROR(__xludf.DUMMYFUNCTION("""COMPUTED_VALUE"""),"1101401-44-4579")</f>
        <v>1101401-44-4579</v>
      </c>
      <c r="U658" t="str">
        <f>IFERROR(__xludf.DUMMYFUNCTION("""COMPUTED_VALUE"""),"AC5419985")</f>
        <v>AC5419985</v>
      </c>
      <c r="V658" s="148">
        <f>IFERROR(__xludf.DUMMYFUNCTION("""COMPUTED_VALUE"""),45145.0)</f>
        <v>45145</v>
      </c>
      <c r="W658" s="148">
        <f>IFERROR(__xludf.DUMMYFUNCTION("""COMPUTED_VALUE"""),48797.0)</f>
        <v>48797</v>
      </c>
      <c r="X658" s="149">
        <f>IFERROR(__xludf.DUMMYFUNCTION("""COMPUTED_VALUE"""),48616.0)</f>
        <v>48616</v>
      </c>
      <c r="Y658" t="str">
        <f>IFERROR(__xludf.DUMMYFUNCTION("""COMPUTED_VALUE"""),"ปลอดภัย")</f>
        <v>ปลอดภัย</v>
      </c>
      <c r="Z658" t="str">
        <f>IFERROR(__xludf.DUMMYFUNCTION("""COMPUTED_VALUE"""),"Bangkok")</f>
        <v>Bangkok</v>
      </c>
      <c r="AA658" t="str">
        <f>IFERROR(__xludf.DUMMYFUNCTION("""COMPUTED_VALUE"""),"Lad Phrao")</f>
        <v>Lad Phrao</v>
      </c>
      <c r="AB658" t="str">
        <f>IFERROR(__xludf.DUMMYFUNCTION("""COMPUTED_VALUE"""),"084 156 2955")</f>
        <v>084 156 2955</v>
      </c>
      <c r="AC658" t="str">
        <f>IFERROR(__xludf.DUMMYFUNCTION("""COMPUTED_VALUE"""),"Suthada Srikhot")</f>
        <v>Suthada Srikhot</v>
      </c>
      <c r="AD658" t="str">
        <f>IFERROR(__xludf.DUMMYFUNCTION("""COMPUTED_VALUE"""),"juthatipn@airasia.com")</f>
        <v>juthatipn@airasia.com</v>
      </c>
    </row>
    <row r="659">
      <c r="A659" s="142">
        <f>IFERROR(__xludf.DUMMYFUNCTION("""COMPUTED_VALUE"""),77.0)</f>
        <v>77</v>
      </c>
      <c r="B659" t="str">
        <f>IFERROR(__xludf.DUMMYFUNCTION("""COMPUTED_VALUE"""),"TAA6400")</f>
        <v>TAA6400</v>
      </c>
      <c r="C659">
        <f>IFERROR(__xludf.DUMMYFUNCTION("""COMPUTED_VALUE"""),1013174.0)</f>
        <v>1013174</v>
      </c>
      <c r="D659" t="str">
        <f>IFERROR(__xludf.DUMMYFUNCTION("""COMPUTED_VALUE"""),"Ms.")</f>
        <v>Ms.</v>
      </c>
      <c r="E659" t="str">
        <f>IFERROR(__xludf.DUMMYFUNCTION("""COMPUTED_VALUE"""),"Kanthida")</f>
        <v>Kanthida</v>
      </c>
      <c r="F659" t="str">
        <f>IFERROR(__xludf.DUMMYFUNCTION("""COMPUTED_VALUE"""),"Srisupawadee")</f>
        <v>Srisupawadee</v>
      </c>
      <c r="G659" t="str">
        <f>IFERROR(__xludf.DUMMYFUNCTION("""COMPUTED_VALUE"""),"Kanthida Srisupawadee")</f>
        <v>Kanthida Srisupawadee</v>
      </c>
      <c r="H659" t="str">
        <f>IFERROR(__xludf.DUMMYFUNCTION("""COMPUTED_VALUE"""),"นางสาว")</f>
        <v>นางสาว</v>
      </c>
      <c r="I659" t="str">
        <f>IFERROR(__xludf.DUMMYFUNCTION("""COMPUTED_VALUE"""),"กานต์ธิดา")</f>
        <v>กานต์ธิดา</v>
      </c>
      <c r="J659" t="str">
        <f>IFERROR(__xludf.DUMMYFUNCTION("""COMPUTED_VALUE"""),"ศรีสุภาวดี")</f>
        <v>ศรีสุภาวดี</v>
      </c>
      <c r="K659" t="str">
        <f>IFERROR(__xludf.DUMMYFUNCTION("""COMPUTED_VALUE"""),"กานต์ธิดา ศรีสุภาวดี")</f>
        <v>กานต์ธิดา ศรีสุภาวดี</v>
      </c>
      <c r="L659" t="str">
        <f>IFERROR(__xludf.DUMMYFUNCTION("""COMPUTED_VALUE"""),"นัตโตะ")</f>
        <v>นัตโตะ</v>
      </c>
      <c r="M659" t="str">
        <f>IFERROR(__xludf.DUMMYFUNCTION("""COMPUTED_VALUE"""),"Cabin Crew")</f>
        <v>Cabin Crew</v>
      </c>
      <c r="N659" t="str">
        <f>IFERROR(__xludf.DUMMYFUNCTION("""COMPUTED_VALUE"""),"DMK")</f>
        <v>DMK</v>
      </c>
      <c r="O659" s="145" t="str">
        <f>IFERROR(__xludf.DUMMYFUNCTION("""COMPUTED_VALUE"""),"Por+ Home")</f>
        <v>Por+ Home</v>
      </c>
      <c r="P659" t="str">
        <f>IFERROR(__xludf.DUMMYFUNCTION("""COMPUTED_VALUE"""),"Active")</f>
        <v>Active</v>
      </c>
      <c r="R659" s="143">
        <f>IFERROR(__xludf.DUMMYFUNCTION("""COMPUTED_VALUE"""),32721.0)</f>
        <v>32721</v>
      </c>
      <c r="S659" s="146" t="str">
        <f>IFERROR(__xludf.DUMMYFUNCTION("""COMPUTED_VALUE"""),"089 455 4227")</f>
        <v>089 455 4227</v>
      </c>
      <c r="T659" s="147" t="str">
        <f>IFERROR(__xludf.DUMMYFUNCTION("""COMPUTED_VALUE"""),"1101800-36-0328")</f>
        <v>1101800-36-0328</v>
      </c>
      <c r="U659" t="str">
        <f>IFERROR(__xludf.DUMMYFUNCTION("""COMPUTED_VALUE"""),"AC7469532")</f>
        <v>AC7469532</v>
      </c>
      <c r="V659" s="148">
        <f>IFERROR(__xludf.DUMMYFUNCTION("""COMPUTED_VALUE"""),45596.0)</f>
        <v>45596</v>
      </c>
      <c r="W659" s="148">
        <f>IFERROR(__xludf.DUMMYFUNCTION("""COMPUTED_VALUE"""),49247.0)</f>
        <v>49247</v>
      </c>
      <c r="X659" s="149">
        <f>IFERROR(__xludf.DUMMYFUNCTION("""COMPUTED_VALUE"""),49064.0)</f>
        <v>49064</v>
      </c>
      <c r="Y659" t="str">
        <f>IFERROR(__xludf.DUMMYFUNCTION("""COMPUTED_VALUE"""),"ปลอดภัย")</f>
        <v>ปลอดภัย</v>
      </c>
      <c r="Z659" t="str">
        <f>IFERROR(__xludf.DUMMYFUNCTION("""COMPUTED_VALUE"""),"Bangkok")</f>
        <v>Bangkok</v>
      </c>
      <c r="AA659" t="str">
        <f>IFERROR(__xludf.DUMMYFUNCTION("""COMPUTED_VALUE"""),"Ratburana")</f>
        <v>Ratburana</v>
      </c>
      <c r="AB659" t="str">
        <f>IFERROR(__xludf.DUMMYFUNCTION("""COMPUTED_VALUE"""),"081 721 9391")</f>
        <v>081 721 9391</v>
      </c>
      <c r="AC659" t="str">
        <f>IFERROR(__xludf.DUMMYFUNCTION("""COMPUTED_VALUE"""),"Chanokkan Srisupawadee")</f>
        <v>Chanokkan Srisupawadee</v>
      </c>
      <c r="AD659" t="str">
        <f>IFERROR(__xludf.DUMMYFUNCTION("""COMPUTED_VALUE"""),"kanthidas@airasia.com")</f>
        <v>kanthidas@airasia.com</v>
      </c>
    </row>
    <row r="660">
      <c r="A660" s="142">
        <f>IFERROR(__xludf.DUMMYFUNCTION("""COMPUTED_VALUE"""),77.0)</f>
        <v>77</v>
      </c>
      <c r="B660" t="str">
        <f>IFERROR(__xludf.DUMMYFUNCTION("""COMPUTED_VALUE"""),"TAA6386")</f>
        <v>TAA6386</v>
      </c>
      <c r="C660">
        <f>IFERROR(__xludf.DUMMYFUNCTION("""COMPUTED_VALUE"""),1013177.0)</f>
        <v>1013177</v>
      </c>
      <c r="D660" t="str">
        <f>IFERROR(__xludf.DUMMYFUNCTION("""COMPUTED_VALUE"""),"Ms.")</f>
        <v>Ms.</v>
      </c>
      <c r="E660" t="str">
        <f>IFERROR(__xludf.DUMMYFUNCTION("""COMPUTED_VALUE"""),"Chayanit (Sariyaphat)")</f>
        <v>Chayanit (Sariyaphat)</v>
      </c>
      <c r="F660" t="str">
        <f>IFERROR(__xludf.DUMMYFUNCTION("""COMPUTED_VALUE"""),"Panichphuwaset (Thanatthanaset)")</f>
        <v>Panichphuwaset (Thanatthanaset)</v>
      </c>
      <c r="G660" t="str">
        <f>IFERROR(__xludf.DUMMYFUNCTION("""COMPUTED_VALUE"""),"Chayanit Panichphuwaset")</f>
        <v>Chayanit Panichphuwaset</v>
      </c>
      <c r="H660" t="str">
        <f>IFERROR(__xludf.DUMMYFUNCTION("""COMPUTED_VALUE"""),"นางสาว")</f>
        <v>นางสาว</v>
      </c>
      <c r="I660" t="str">
        <f>IFERROR(__xludf.DUMMYFUNCTION("""COMPUTED_VALUE"""),"ชญานิศวร์ (ศริญาภัสร์)")</f>
        <v>ชญานิศวร์ (ศริญาภัสร์)</v>
      </c>
      <c r="J660" t="str">
        <f>IFERROR(__xludf.DUMMYFUNCTION("""COMPUTED_VALUE"""),"พณิชภูวเศรษฐ์ (ธนัชธนเศรษฐ์)")</f>
        <v>พณิชภูวเศรษฐ์ (ธนัชธนเศรษฐ์)</v>
      </c>
      <c r="K660" t="str">
        <f>IFERROR(__xludf.DUMMYFUNCTION("""COMPUTED_VALUE"""),"ชญานิศวร์ พณิชภูวเศรษฐ์")</f>
        <v>ชญานิศวร์ พณิชภูวเศรษฐ์</v>
      </c>
      <c r="L660" t="str">
        <f>IFERROR(__xludf.DUMMYFUNCTION("""COMPUTED_VALUE"""),"หมิว")</f>
        <v>หมิว</v>
      </c>
      <c r="M660" t="str">
        <f>IFERROR(__xludf.DUMMYFUNCTION("""COMPUTED_VALUE"""),"Cabin Crew - BKK")</f>
        <v>Cabin Crew - BKK</v>
      </c>
      <c r="N660" t="str">
        <f>IFERROR(__xludf.DUMMYFUNCTION("""COMPUTED_VALUE"""),"BKK")</f>
        <v>BKK</v>
      </c>
      <c r="O660" s="145" t="str">
        <f>IFERROR(__xludf.DUMMYFUNCTION("""COMPUTED_VALUE"""),"Nhui Home")</f>
        <v>Nhui Home</v>
      </c>
      <c r="P660" t="str">
        <f>IFERROR(__xludf.DUMMYFUNCTION("""COMPUTED_VALUE"""),"Active")</f>
        <v>Active</v>
      </c>
      <c r="Q660" t="str">
        <f>IFERROR(__xludf.DUMMYFUNCTION("""COMPUTED_VALUE"""),"Chinese Speaking")</f>
        <v>Chinese Speaking</v>
      </c>
      <c r="R660" s="143">
        <f>IFERROR(__xludf.DUMMYFUNCTION("""COMPUTED_VALUE"""),33822.0)</f>
        <v>33822</v>
      </c>
      <c r="S660" s="146">
        <f>IFERROR(__xludf.DUMMYFUNCTION("""COMPUTED_VALUE"""),6.39629965E8)</f>
        <v>639629965</v>
      </c>
      <c r="T660" s="147" t="str">
        <f>IFERROR(__xludf.DUMMYFUNCTION("""COMPUTED_VALUE"""),"1100800-81-7548")</f>
        <v>1100800-81-7548</v>
      </c>
      <c r="U660" t="str">
        <f>IFERROR(__xludf.DUMMYFUNCTION("""COMPUTED_VALUE"""),"AC2904944")</f>
        <v>AC2904944</v>
      </c>
      <c r="V660" s="148">
        <f>IFERROR(__xludf.DUMMYFUNCTION("""COMPUTED_VALUE"""),44616.0)</f>
        <v>44616</v>
      </c>
      <c r="W660" s="148">
        <f>IFERROR(__xludf.DUMMYFUNCTION("""COMPUTED_VALUE"""),46441.0)</f>
        <v>46441</v>
      </c>
      <c r="X660" s="149">
        <f>IFERROR(__xludf.DUMMYFUNCTION("""COMPUTED_VALUE"""),46257.0)</f>
        <v>46257</v>
      </c>
      <c r="Y660" t="str">
        <f>IFERROR(__xludf.DUMMYFUNCTION("""COMPUTED_VALUE"""),"ปลอดภัย")</f>
        <v>ปลอดภัย</v>
      </c>
      <c r="Z660" t="str">
        <f>IFERROR(__xludf.DUMMYFUNCTION("""COMPUTED_VALUE"""),"Bangkok")</f>
        <v>Bangkok</v>
      </c>
      <c r="AA660" t="str">
        <f>IFERROR(__xludf.DUMMYFUNCTION("""COMPUTED_VALUE"""),"Wangtonglang")</f>
        <v>Wangtonglang</v>
      </c>
      <c r="AB660" t="str">
        <f>IFERROR(__xludf.DUMMYFUNCTION("""COMPUTED_VALUE"""),"092-696-5050")</f>
        <v>092-696-5050</v>
      </c>
      <c r="AC660" t="str">
        <f>IFERROR(__xludf.DUMMYFUNCTION("""COMPUTED_VALUE"""),"Ms. Siriporn")</f>
        <v>Ms. Siriporn</v>
      </c>
      <c r="AD660" t="str">
        <f>IFERROR(__xludf.DUMMYFUNCTION("""COMPUTED_VALUE"""),"sariyaphatt@airasia.com")</f>
        <v>sariyaphatt@airasia.com</v>
      </c>
    </row>
    <row r="661">
      <c r="A661" s="142">
        <f>IFERROR(__xludf.DUMMYFUNCTION("""COMPUTED_VALUE"""),77.0)</f>
        <v>77</v>
      </c>
      <c r="B661" t="str">
        <f>IFERROR(__xludf.DUMMYFUNCTION("""COMPUTED_VALUE"""),"TAA6393")</f>
        <v>TAA6393</v>
      </c>
      <c r="C661">
        <f>IFERROR(__xludf.DUMMYFUNCTION("""COMPUTED_VALUE"""),1013178.0)</f>
        <v>1013178</v>
      </c>
      <c r="D661" t="str">
        <f>IFERROR(__xludf.DUMMYFUNCTION("""COMPUTED_VALUE"""),"Mr.")</f>
        <v>Mr.</v>
      </c>
      <c r="E661" t="str">
        <f>IFERROR(__xludf.DUMMYFUNCTION("""COMPUTED_VALUE"""),"Niharoon")</f>
        <v>Niharoon</v>
      </c>
      <c r="F661" t="str">
        <f>IFERROR(__xludf.DUMMYFUNCTION("""COMPUTED_VALUE"""),"Sulaiman")</f>
        <v>Sulaiman</v>
      </c>
      <c r="G661" t="str">
        <f>IFERROR(__xludf.DUMMYFUNCTION("""COMPUTED_VALUE"""),"Niharoon Sulaiman")</f>
        <v>Niharoon Sulaiman</v>
      </c>
      <c r="H661" t="str">
        <f>IFERROR(__xludf.DUMMYFUNCTION("""COMPUTED_VALUE"""),"นาย")</f>
        <v>นาย</v>
      </c>
      <c r="I661" t="str">
        <f>IFERROR(__xludf.DUMMYFUNCTION("""COMPUTED_VALUE"""),"นิฮารูน")</f>
        <v>นิฮารูน</v>
      </c>
      <c r="J661" t="str">
        <f>IFERROR(__xludf.DUMMYFUNCTION("""COMPUTED_VALUE"""),"สุไลมาน")</f>
        <v>สุไลมาน</v>
      </c>
      <c r="K661" t="str">
        <f>IFERROR(__xludf.DUMMYFUNCTION("""COMPUTED_VALUE"""),"นิฮารูน สุไลมาน")</f>
        <v>นิฮารูน สุไลมาน</v>
      </c>
      <c r="L661" t="str">
        <f>IFERROR(__xludf.DUMMYFUNCTION("""COMPUTED_VALUE"""),"ฮารูน")</f>
        <v>ฮารูน</v>
      </c>
      <c r="M661" t="str">
        <f>IFERROR(__xludf.DUMMYFUNCTION("""COMPUTED_VALUE"""),"Cabin Crew - CNX")</f>
        <v>Cabin Crew - CNX</v>
      </c>
      <c r="N661" t="str">
        <f>IFERROR(__xludf.DUMMYFUNCTION("""COMPUTED_VALUE"""),"CNX")</f>
        <v>CNX</v>
      </c>
      <c r="O661" s="145" t="str">
        <f>IFERROR(__xludf.DUMMYFUNCTION("""COMPUTED_VALUE"""),"Up Home")</f>
        <v>Up Home</v>
      </c>
      <c r="P661" t="str">
        <f>IFERROR(__xludf.DUMMYFUNCTION("""COMPUTED_VALUE"""),"Active")</f>
        <v>Active</v>
      </c>
      <c r="R661" s="143">
        <f>IFERROR(__xludf.DUMMYFUNCTION("""COMPUTED_VALUE"""),34157.0)</f>
        <v>34157</v>
      </c>
      <c r="S661" s="146" t="str">
        <f>IFERROR(__xludf.DUMMYFUNCTION("""COMPUTED_VALUE"""),"093 583 3013")</f>
        <v>093 583 3013</v>
      </c>
      <c r="T661" s="147" t="str">
        <f>IFERROR(__xludf.DUMMYFUNCTION("""COMPUTED_VALUE"""),"1959900-36-3141")</f>
        <v>1959900-36-3141</v>
      </c>
      <c r="U661" t="str">
        <f>IFERROR(__xludf.DUMMYFUNCTION("""COMPUTED_VALUE"""),"AC2499170")</f>
        <v>AC2499170</v>
      </c>
      <c r="V661" s="148">
        <f>IFERROR(__xludf.DUMMYFUNCTION("""COMPUTED_VALUE"""),44912.0)</f>
        <v>44912</v>
      </c>
      <c r="W661" s="148">
        <f>IFERROR(__xludf.DUMMYFUNCTION("""COMPUTED_VALUE"""),48198.0)</f>
        <v>48198</v>
      </c>
      <c r="X661" s="149">
        <f>IFERROR(__xludf.DUMMYFUNCTION("""COMPUTED_VALUE"""),48015.0)</f>
        <v>48015</v>
      </c>
      <c r="Y661" t="str">
        <f>IFERROR(__xludf.DUMMYFUNCTION("""COMPUTED_VALUE"""),"ปลอดภัย")</f>
        <v>ปลอดภัย</v>
      </c>
      <c r="Z661" t="str">
        <f>IFERROR(__xludf.DUMMYFUNCTION("""COMPUTED_VALUE"""),"Yala Province")</f>
        <v>Yala Province</v>
      </c>
      <c r="AA661" t="str">
        <f>IFERROR(__xludf.DUMMYFUNCTION("""COMPUTED_VALUE"""),"Pattani")</f>
        <v>Pattani</v>
      </c>
      <c r="AB661" t="str">
        <f>IFERROR(__xludf.DUMMYFUNCTION("""COMPUTED_VALUE"""),"081 969 7879")</f>
        <v>081 969 7879</v>
      </c>
      <c r="AC661" t="str">
        <f>IFERROR(__xludf.DUMMYFUNCTION("""COMPUTED_VALUE"""),"Sunsurang Sulaiman")</f>
        <v>Sunsurang Sulaiman</v>
      </c>
      <c r="AD661" t="str">
        <f>IFERROR(__xludf.DUMMYFUNCTION("""COMPUTED_VALUE"""),"niharoons@airasia.com")</f>
        <v>niharoons@airasia.com</v>
      </c>
    </row>
    <row r="662">
      <c r="A662" s="142">
        <f>IFERROR(__xludf.DUMMYFUNCTION("""COMPUTED_VALUE"""),77.0)</f>
        <v>77</v>
      </c>
      <c r="B662" t="str">
        <f>IFERROR(__xludf.DUMMYFUNCTION("""COMPUTED_VALUE"""),"TAA6398")</f>
        <v>TAA6398</v>
      </c>
      <c r="C662">
        <f>IFERROR(__xludf.DUMMYFUNCTION("""COMPUTED_VALUE"""),1013179.0)</f>
        <v>1013179</v>
      </c>
      <c r="D662" t="str">
        <f>IFERROR(__xludf.DUMMYFUNCTION("""COMPUTED_VALUE"""),"Ms.")</f>
        <v>Ms.</v>
      </c>
      <c r="E662" t="str">
        <f>IFERROR(__xludf.DUMMYFUNCTION("""COMPUTED_VALUE"""),"Nunapat")</f>
        <v>Nunapat</v>
      </c>
      <c r="F662" t="str">
        <f>IFERROR(__xludf.DUMMYFUNCTION("""COMPUTED_VALUE"""),"Towakul")</f>
        <v>Towakul</v>
      </c>
      <c r="G662" t="str">
        <f>IFERROR(__xludf.DUMMYFUNCTION("""COMPUTED_VALUE"""),"Nunapat Towakul")</f>
        <v>Nunapat Towakul</v>
      </c>
      <c r="H662" t="str">
        <f>IFERROR(__xludf.DUMMYFUNCTION("""COMPUTED_VALUE"""),"นางสาว")</f>
        <v>นางสาว</v>
      </c>
      <c r="I662" t="str">
        <f>IFERROR(__xludf.DUMMYFUNCTION("""COMPUTED_VALUE"""),"นันท์นภัส")</f>
        <v>นันท์นภัส</v>
      </c>
      <c r="J662" t="str">
        <f>IFERROR(__xludf.DUMMYFUNCTION("""COMPUTED_VALUE"""),"โต๋ววากุล")</f>
        <v>โต๋ววากุล</v>
      </c>
      <c r="K662" t="str">
        <f>IFERROR(__xludf.DUMMYFUNCTION("""COMPUTED_VALUE"""),"นันท์นภัส โต๋ววากุล")</f>
        <v>นันท์นภัส โต๋ววากุล</v>
      </c>
      <c r="L662" t="str">
        <f>IFERROR(__xludf.DUMMYFUNCTION("""COMPUTED_VALUE"""),"เต๋า")</f>
        <v>เต๋า</v>
      </c>
      <c r="M662" t="str">
        <f>IFERROR(__xludf.DUMMYFUNCTION("""COMPUTED_VALUE"""),"Cabin Crew")</f>
        <v>Cabin Crew</v>
      </c>
      <c r="N662" t="str">
        <f>IFERROR(__xludf.DUMMYFUNCTION("""COMPUTED_VALUE"""),"DMK")</f>
        <v>DMK</v>
      </c>
      <c r="O662" s="145" t="str">
        <f>IFERROR(__xludf.DUMMYFUNCTION("""COMPUTED_VALUE"""),"Por+ Home")</f>
        <v>Por+ Home</v>
      </c>
      <c r="P662" t="str">
        <f>IFERROR(__xludf.DUMMYFUNCTION("""COMPUTED_VALUE"""),"Active")</f>
        <v>Active</v>
      </c>
      <c r="R662" s="143">
        <f>IFERROR(__xludf.DUMMYFUNCTION("""COMPUTED_VALUE"""),30844.0)</f>
        <v>30844</v>
      </c>
      <c r="S662" s="146" t="str">
        <f>IFERROR(__xludf.DUMMYFUNCTION("""COMPUTED_VALUE"""),"086 352 3659")</f>
        <v>086 352 3659</v>
      </c>
      <c r="T662" s="147" t="str">
        <f>IFERROR(__xludf.DUMMYFUNCTION("""COMPUTED_VALUE"""),"1100800-04-6029")</f>
        <v>1100800-04-6029</v>
      </c>
      <c r="U662" t="str">
        <f>IFERROR(__xludf.DUMMYFUNCTION("""COMPUTED_VALUE"""),"AC2721489")</f>
        <v>AC2721489</v>
      </c>
      <c r="V662" s="148">
        <f>IFERROR(__xludf.DUMMYFUNCTION("""COMPUTED_VALUE"""),44474.0)</f>
        <v>44474</v>
      </c>
      <c r="W662" s="148">
        <f>IFERROR(__xludf.DUMMYFUNCTION("""COMPUTED_VALUE"""),48125.0)</f>
        <v>48125</v>
      </c>
      <c r="X662" s="149">
        <f>IFERROR(__xludf.DUMMYFUNCTION("""COMPUTED_VALUE"""),47942.0)</f>
        <v>47942</v>
      </c>
      <c r="Y662" t="str">
        <f>IFERROR(__xludf.DUMMYFUNCTION("""COMPUTED_VALUE"""),"ปลอดภัย")</f>
        <v>ปลอดภัย</v>
      </c>
      <c r="Z662" t="str">
        <f>IFERROR(__xludf.DUMMYFUNCTION("""COMPUTED_VALUE"""),"Bangkok")</f>
        <v>Bangkok</v>
      </c>
      <c r="AA662" t="str">
        <f>IFERROR(__xludf.DUMMYFUNCTION("""COMPUTED_VALUE"""),"Beungkhum")</f>
        <v>Beungkhum</v>
      </c>
      <c r="AB662" t="str">
        <f>IFERROR(__xludf.DUMMYFUNCTION("""COMPUTED_VALUE"""),"086 778 0107")</f>
        <v>086 778 0107</v>
      </c>
      <c r="AC662" t="str">
        <f>IFERROR(__xludf.DUMMYFUNCTION("""COMPUTED_VALUE"""),"Prayode Towakul")</f>
        <v>Prayode Towakul</v>
      </c>
      <c r="AD662" t="str">
        <f>IFERROR(__xludf.DUMMYFUNCTION("""COMPUTED_VALUE"""),"nunapatt@airasia.com")</f>
        <v>nunapatt@airasia.com</v>
      </c>
    </row>
    <row r="663">
      <c r="A663" s="142">
        <f>IFERROR(__xludf.DUMMYFUNCTION("""COMPUTED_VALUE"""),77.0)</f>
        <v>77</v>
      </c>
      <c r="B663" t="str">
        <f>IFERROR(__xludf.DUMMYFUNCTION("""COMPUTED_VALUE"""),"TAA6390")</f>
        <v>TAA6390</v>
      </c>
      <c r="C663">
        <f>IFERROR(__xludf.DUMMYFUNCTION("""COMPUTED_VALUE"""),1013180.0)</f>
        <v>1013180</v>
      </c>
      <c r="D663" t="str">
        <f>IFERROR(__xludf.DUMMYFUNCTION("""COMPUTED_VALUE"""),"Ms.")</f>
        <v>Ms.</v>
      </c>
      <c r="E663" t="str">
        <f>IFERROR(__xludf.DUMMYFUNCTION("""COMPUTED_VALUE"""),"Nuttinee")</f>
        <v>Nuttinee</v>
      </c>
      <c r="F663" t="str">
        <f>IFERROR(__xludf.DUMMYFUNCTION("""COMPUTED_VALUE"""),"Rattana-u-dom (Kwanduan)")</f>
        <v>Rattana-u-dom (Kwanduan)</v>
      </c>
      <c r="G663" t="str">
        <f>IFERROR(__xludf.DUMMYFUNCTION("""COMPUTED_VALUE"""),"Nuttinee Rattana-u-dom")</f>
        <v>Nuttinee Rattana-u-dom</v>
      </c>
      <c r="H663" t="str">
        <f>IFERROR(__xludf.DUMMYFUNCTION("""COMPUTED_VALUE"""),"นางสาว")</f>
        <v>นางสาว</v>
      </c>
      <c r="I663" t="str">
        <f>IFERROR(__xludf.DUMMYFUNCTION("""COMPUTED_VALUE"""),"ณัฏฐิณี")</f>
        <v>ณัฏฐิณี</v>
      </c>
      <c r="J663" t="str">
        <f>IFERROR(__xludf.DUMMYFUNCTION("""COMPUTED_VALUE"""),"รัตนอุดม (ขวัญเดือน) ")</f>
        <v>รัตนอุดม (ขวัญเดือน) </v>
      </c>
      <c r="K663" t="str">
        <f>IFERROR(__xludf.DUMMYFUNCTION("""COMPUTED_VALUE"""),"ณัฏฐิณี รัตนอุดม")</f>
        <v>ณัฏฐิณี รัตนอุดม</v>
      </c>
      <c r="L663" t="str">
        <f>IFERROR(__xludf.DUMMYFUNCTION("""COMPUTED_VALUE"""),"แป้ง")</f>
        <v>แป้ง</v>
      </c>
      <c r="M663" t="str">
        <f>IFERROR(__xludf.DUMMYFUNCTION("""COMPUTED_VALUE"""),"Senior Cabin Crew")</f>
        <v>Senior Cabin Crew</v>
      </c>
      <c r="N663" t="str">
        <f>IFERROR(__xludf.DUMMYFUNCTION("""COMPUTED_VALUE"""),"DMK")</f>
        <v>DMK</v>
      </c>
      <c r="O663" s="145" t="str">
        <f>IFERROR(__xludf.DUMMYFUNCTION("""COMPUTED_VALUE"""),"Namfon Home")</f>
        <v>Namfon Home</v>
      </c>
      <c r="P663" t="str">
        <f>IFERROR(__xludf.DUMMYFUNCTION("""COMPUTED_VALUE"""),"Active")</f>
        <v>Active</v>
      </c>
      <c r="R663" s="143">
        <f>IFERROR(__xludf.DUMMYFUNCTION("""COMPUTED_VALUE"""),33794.0)</f>
        <v>33794</v>
      </c>
      <c r="S663" s="146" t="str">
        <f>IFERROR(__xludf.DUMMYFUNCTION("""COMPUTED_VALUE"""),"088 761 3234")</f>
        <v>088 761 3234</v>
      </c>
      <c r="T663" s="147" t="str">
        <f>IFERROR(__xludf.DUMMYFUNCTION("""COMPUTED_VALUE"""),"2840100-02-5055")</f>
        <v>2840100-02-5055</v>
      </c>
      <c r="U663" t="str">
        <f>IFERROR(__xludf.DUMMYFUNCTION("""COMPUTED_VALUE"""),"AC2364260")</f>
        <v>AC2364260</v>
      </c>
      <c r="V663" s="148">
        <f>IFERROR(__xludf.DUMMYFUNCTION("""COMPUTED_VALUE"""),45882.0)</f>
        <v>45882</v>
      </c>
      <c r="W663" s="148">
        <f>IFERROR(__xludf.DUMMYFUNCTION("""COMPUTED_VALUE"""),49533.0)</f>
        <v>49533</v>
      </c>
      <c r="X663" s="149">
        <f>IFERROR(__xludf.DUMMYFUNCTION("""COMPUTED_VALUE"""),49352.0)</f>
        <v>49352</v>
      </c>
      <c r="Y663" t="str">
        <f>IFERROR(__xludf.DUMMYFUNCTION("""COMPUTED_VALUE"""),"ปลอดภัย")</f>
        <v>ปลอดภัย</v>
      </c>
      <c r="Z663" t="str">
        <f>IFERROR(__xludf.DUMMYFUNCTION("""COMPUTED_VALUE"""),"Surat Thani Province")</f>
        <v>Surat Thani Province</v>
      </c>
      <c r="AA663" t="str">
        <f>IFERROR(__xludf.DUMMYFUNCTION("""COMPUTED_VALUE"""),"Krabi")</f>
        <v>Krabi</v>
      </c>
      <c r="AB663" t="str">
        <f>IFERROR(__xludf.DUMMYFUNCTION("""COMPUTED_VALUE"""),"081 747 8785")</f>
        <v>081 747 8785</v>
      </c>
      <c r="AC663" t="str">
        <f>IFERROR(__xludf.DUMMYFUNCTION("""COMPUTED_VALUE"""),"Mongkol Kwanduan")</f>
        <v>Mongkol Kwanduan</v>
      </c>
      <c r="AD663" t="str">
        <f>IFERROR(__xludf.DUMMYFUNCTION("""COMPUTED_VALUE"""),"nuttineer@airasia.com")</f>
        <v>nuttineer@airasia.com</v>
      </c>
    </row>
    <row r="664">
      <c r="A664" s="142">
        <f>IFERROR(__xludf.DUMMYFUNCTION("""COMPUTED_VALUE"""),77.0)</f>
        <v>77</v>
      </c>
      <c r="B664" t="str">
        <f>IFERROR(__xludf.DUMMYFUNCTION("""COMPUTED_VALUE"""),"TAA6391")</f>
        <v>TAA6391</v>
      </c>
      <c r="C664">
        <f>IFERROR(__xludf.DUMMYFUNCTION("""COMPUTED_VALUE"""),1013181.0)</f>
        <v>1013181</v>
      </c>
      <c r="D664" t="str">
        <f>IFERROR(__xludf.DUMMYFUNCTION("""COMPUTED_VALUE"""),"Ms.")</f>
        <v>Ms.</v>
      </c>
      <c r="E664" t="str">
        <f>IFERROR(__xludf.DUMMYFUNCTION("""COMPUTED_VALUE"""),"Pattorn")</f>
        <v>Pattorn</v>
      </c>
      <c r="F664" t="str">
        <f>IFERROR(__xludf.DUMMYFUNCTION("""COMPUTED_VALUE"""),"Kitthathamrong")</f>
        <v>Kitthathamrong</v>
      </c>
      <c r="G664" t="str">
        <f>IFERROR(__xludf.DUMMYFUNCTION("""COMPUTED_VALUE"""),"Pattorn Kitthathamrong")</f>
        <v>Pattorn Kitthathamrong</v>
      </c>
      <c r="H664" t="str">
        <f>IFERROR(__xludf.DUMMYFUNCTION("""COMPUTED_VALUE"""),"นางสาว")</f>
        <v>นางสาว</v>
      </c>
      <c r="I664" t="str">
        <f>IFERROR(__xludf.DUMMYFUNCTION("""COMPUTED_VALUE"""),"ภัทธ์ธรณ์")</f>
        <v>ภัทธ์ธรณ์</v>
      </c>
      <c r="J664" t="str">
        <f>IFERROR(__xludf.DUMMYFUNCTION("""COMPUTED_VALUE"""),"กิตธาธำรง")</f>
        <v>กิตธาธำรง</v>
      </c>
      <c r="K664" t="str">
        <f>IFERROR(__xludf.DUMMYFUNCTION("""COMPUTED_VALUE"""),"ภัทธ์ธรณ์ กิตธาธำรง")</f>
        <v>ภัทธ์ธรณ์ กิตธาธำรง</v>
      </c>
      <c r="L664" t="str">
        <f>IFERROR(__xludf.DUMMYFUNCTION("""COMPUTED_VALUE"""),"ฟา")</f>
        <v>ฟา</v>
      </c>
      <c r="M664" t="str">
        <f>IFERROR(__xludf.DUMMYFUNCTION("""COMPUTED_VALUE"""),"Cabin Crew")</f>
        <v>Cabin Crew</v>
      </c>
      <c r="N664" t="str">
        <f>IFERROR(__xludf.DUMMYFUNCTION("""COMPUTED_VALUE"""),"DMK")</f>
        <v>DMK</v>
      </c>
      <c r="O664" s="145" t="str">
        <f>IFERROR(__xludf.DUMMYFUNCTION("""COMPUTED_VALUE"""),"Nhui Home")</f>
        <v>Nhui Home</v>
      </c>
      <c r="P664" t="str">
        <f>IFERROR(__xludf.DUMMYFUNCTION("""COMPUTED_VALUE"""),"Active")</f>
        <v>Active</v>
      </c>
      <c r="R664" s="143">
        <f>IFERROR(__xludf.DUMMYFUNCTION("""COMPUTED_VALUE"""),33531.0)</f>
        <v>33531</v>
      </c>
      <c r="S664" s="146" t="str">
        <f>IFERROR(__xludf.DUMMYFUNCTION("""COMPUTED_VALUE"""),"082 429 4665")</f>
        <v>082 429 4665</v>
      </c>
      <c r="T664" s="147" t="str">
        <f>IFERROR(__xludf.DUMMYFUNCTION("""COMPUTED_VALUE"""),"1419900-29-1896")</f>
        <v>1419900-29-1896</v>
      </c>
      <c r="U664" t="str">
        <f>IFERROR(__xludf.DUMMYFUNCTION("""COMPUTED_VALUE"""),"AC2691743")</f>
        <v>AC2691743</v>
      </c>
      <c r="V664" s="148">
        <f>IFERROR(__xludf.DUMMYFUNCTION("""COMPUTED_VALUE"""),44585.0)</f>
        <v>44585</v>
      </c>
      <c r="W664" s="148">
        <f>IFERROR(__xludf.DUMMYFUNCTION("""COMPUTED_VALUE"""),48236.0)</f>
        <v>48236</v>
      </c>
      <c r="X664" s="149">
        <f>IFERROR(__xludf.DUMMYFUNCTION("""COMPUTED_VALUE"""),48052.0)</f>
        <v>48052</v>
      </c>
      <c r="Y664" t="str">
        <f>IFERROR(__xludf.DUMMYFUNCTION("""COMPUTED_VALUE"""),"ปลอดภัย")</f>
        <v>ปลอดภัย</v>
      </c>
      <c r="Z664" t="str">
        <f>IFERROR(__xludf.DUMMYFUNCTION("""COMPUTED_VALUE"""),"Udon Thani Province")</f>
        <v>Udon Thani Province</v>
      </c>
      <c r="AA664" t="str">
        <f>IFERROR(__xludf.DUMMYFUNCTION("""COMPUTED_VALUE"""),"Din Deang")</f>
        <v>Din Deang</v>
      </c>
      <c r="AB664" t="str">
        <f>IFERROR(__xludf.DUMMYFUNCTION("""COMPUTED_VALUE"""),"085 011 9929")</f>
        <v>085 011 9929</v>
      </c>
      <c r="AC664" t="str">
        <f>IFERROR(__xludf.DUMMYFUNCTION("""COMPUTED_VALUE"""),"Teetanart Kitthathamrong")</f>
        <v>Teetanart Kitthathamrong</v>
      </c>
      <c r="AD664" t="str">
        <f>IFERROR(__xludf.DUMMYFUNCTION("""COMPUTED_VALUE"""),"pattornk@airasia.com")</f>
        <v>pattornk@airasia.com</v>
      </c>
    </row>
    <row r="665">
      <c r="A665" s="142">
        <f>IFERROR(__xludf.DUMMYFUNCTION("""COMPUTED_VALUE"""),77.0)</f>
        <v>77</v>
      </c>
      <c r="B665" t="str">
        <f>IFERROR(__xludf.DUMMYFUNCTION("""COMPUTED_VALUE"""),"TAA6384")</f>
        <v>TAA6384</v>
      </c>
      <c r="C665">
        <f>IFERROR(__xludf.DUMMYFUNCTION("""COMPUTED_VALUE"""),1013184.0)</f>
        <v>1013184</v>
      </c>
      <c r="D665" t="str">
        <f>IFERROR(__xludf.DUMMYFUNCTION("""COMPUTED_VALUE"""),"Ms.")</f>
        <v>Ms.</v>
      </c>
      <c r="E665" t="str">
        <f>IFERROR(__xludf.DUMMYFUNCTION("""COMPUTED_VALUE"""),"Pinnarat")</f>
        <v>Pinnarat</v>
      </c>
      <c r="F665" t="str">
        <f>IFERROR(__xludf.DUMMYFUNCTION("""COMPUTED_VALUE"""),"Mawinthon")</f>
        <v>Mawinthon</v>
      </c>
      <c r="G665" t="str">
        <f>IFERROR(__xludf.DUMMYFUNCTION("""COMPUTED_VALUE"""),"Pinnarat Mawinthon")</f>
        <v>Pinnarat Mawinthon</v>
      </c>
      <c r="H665" t="str">
        <f>IFERROR(__xludf.DUMMYFUNCTION("""COMPUTED_VALUE"""),"นางสาว")</f>
        <v>นางสาว</v>
      </c>
      <c r="I665" t="str">
        <f>IFERROR(__xludf.DUMMYFUNCTION("""COMPUTED_VALUE"""),"พิณรัตน์")</f>
        <v>พิณรัตน์</v>
      </c>
      <c r="J665" t="str">
        <f>IFERROR(__xludf.DUMMYFUNCTION("""COMPUTED_VALUE"""),"มะวิญธร")</f>
        <v>มะวิญธร</v>
      </c>
      <c r="K665" t="str">
        <f>IFERROR(__xludf.DUMMYFUNCTION("""COMPUTED_VALUE"""),"พิณรัตน์ มะวิญธร")</f>
        <v>พิณรัตน์ มะวิญธร</v>
      </c>
      <c r="L665" t="str">
        <f>IFERROR(__xludf.DUMMYFUNCTION("""COMPUTED_VALUE"""),"Tiffany / Um")</f>
        <v>Tiffany / Um</v>
      </c>
      <c r="M665" t="str">
        <f>IFERROR(__xludf.DUMMYFUNCTION("""COMPUTED_VALUE"""),"Cabin Crew")</f>
        <v>Cabin Crew</v>
      </c>
      <c r="N665" t="str">
        <f>IFERROR(__xludf.DUMMYFUNCTION("""COMPUTED_VALUE"""),"DMK")</f>
        <v>DMK</v>
      </c>
      <c r="O665" s="145" t="str">
        <f>IFERROR(__xludf.DUMMYFUNCTION("""COMPUTED_VALUE"""),"Namfon Home")</f>
        <v>Namfon Home</v>
      </c>
      <c r="P665" t="str">
        <f>IFERROR(__xludf.DUMMYFUNCTION("""COMPUTED_VALUE"""),"Active")</f>
        <v>Active</v>
      </c>
      <c r="Q665" t="str">
        <f>IFERROR(__xludf.DUMMYFUNCTION("""COMPUTED_VALUE"""),"Chinese Speaking")</f>
        <v>Chinese Speaking</v>
      </c>
      <c r="R665" s="143">
        <f>IFERROR(__xludf.DUMMYFUNCTION("""COMPUTED_VALUE"""),33008.0)</f>
        <v>33008</v>
      </c>
      <c r="S665" s="146" t="str">
        <f>IFERROR(__xludf.DUMMYFUNCTION("""COMPUTED_VALUE"""),"063 978 9642")</f>
        <v>063 978 9642</v>
      </c>
      <c r="T665" s="147" t="str">
        <f>IFERROR(__xludf.DUMMYFUNCTION("""COMPUTED_VALUE"""),"1103700-14-6890")</f>
        <v>1103700-14-6890</v>
      </c>
      <c r="U665" t="str">
        <f>IFERROR(__xludf.DUMMYFUNCTION("""COMPUTED_VALUE"""),"AC5192210")</f>
        <v>AC5192210</v>
      </c>
      <c r="V665" s="150">
        <f>IFERROR(__xludf.DUMMYFUNCTION("""COMPUTED_VALUE"""),45322.0)</f>
        <v>45322</v>
      </c>
      <c r="W665" s="148">
        <f>IFERROR(__xludf.DUMMYFUNCTION("""COMPUTED_VALUE"""),48974.0)</f>
        <v>48974</v>
      </c>
      <c r="X665" s="149">
        <f>IFERROR(__xludf.DUMMYFUNCTION("""COMPUTED_VALUE"""),48790.0)</f>
        <v>48790</v>
      </c>
      <c r="Y665" t="str">
        <f>IFERROR(__xludf.DUMMYFUNCTION("""COMPUTED_VALUE"""),"ปลอดภัย")</f>
        <v>ปลอดภัย</v>
      </c>
      <c r="Z665" t="str">
        <f>IFERROR(__xludf.DUMMYFUNCTION("""COMPUTED_VALUE"""),"Bangkok")</f>
        <v>Bangkok</v>
      </c>
      <c r="AA665" t="str">
        <f>IFERROR(__xludf.DUMMYFUNCTION("""COMPUTED_VALUE"""),"Ayutthaya")</f>
        <v>Ayutthaya</v>
      </c>
      <c r="AB665" t="str">
        <f>IFERROR(__xludf.DUMMYFUNCTION("""COMPUTED_VALUE"""),"081 496 8282")</f>
        <v>081 496 8282</v>
      </c>
      <c r="AC665" t="str">
        <f>IFERROR(__xludf.DUMMYFUNCTION("""COMPUTED_VALUE"""),"Bourwonluck Mawinthan")</f>
        <v>Bourwonluck Mawinthan</v>
      </c>
      <c r="AD665" t="str">
        <f>IFERROR(__xludf.DUMMYFUNCTION("""COMPUTED_VALUE"""),"pinnaratm@airasia.com")</f>
        <v>pinnaratm@airasia.com</v>
      </c>
    </row>
    <row r="666">
      <c r="A666" s="142">
        <f>IFERROR(__xludf.DUMMYFUNCTION("""COMPUTED_VALUE"""),77.0)</f>
        <v>77</v>
      </c>
      <c r="B666" t="str">
        <f>IFERROR(__xludf.DUMMYFUNCTION("""COMPUTED_VALUE"""),"TAA6397")</f>
        <v>TAA6397</v>
      </c>
      <c r="C666">
        <f>IFERROR(__xludf.DUMMYFUNCTION("""COMPUTED_VALUE"""),1013185.0)</f>
        <v>1013185</v>
      </c>
      <c r="D666" t="str">
        <f>IFERROR(__xludf.DUMMYFUNCTION("""COMPUTED_VALUE"""),"Mr.")</f>
        <v>Mr.</v>
      </c>
      <c r="E666" t="str">
        <f>IFERROR(__xludf.DUMMYFUNCTION("""COMPUTED_VALUE"""),"Pongsak")</f>
        <v>Pongsak</v>
      </c>
      <c r="F666" t="str">
        <f>IFERROR(__xludf.DUMMYFUNCTION("""COMPUTED_VALUE"""),"Sangdee")</f>
        <v>Sangdee</v>
      </c>
      <c r="G666" t="str">
        <f>IFERROR(__xludf.DUMMYFUNCTION("""COMPUTED_VALUE"""),"Pongsak Sangdee")</f>
        <v>Pongsak Sangdee</v>
      </c>
      <c r="H666" t="str">
        <f>IFERROR(__xludf.DUMMYFUNCTION("""COMPUTED_VALUE"""),"นาย")</f>
        <v>นาย</v>
      </c>
      <c r="I666" t="str">
        <f>IFERROR(__xludf.DUMMYFUNCTION("""COMPUTED_VALUE"""),"พงศ์ศักดิ์")</f>
        <v>พงศ์ศักดิ์</v>
      </c>
      <c r="J666" t="str">
        <f>IFERROR(__xludf.DUMMYFUNCTION("""COMPUTED_VALUE"""),"สังข์ดี")</f>
        <v>สังข์ดี</v>
      </c>
      <c r="K666" t="str">
        <f>IFERROR(__xludf.DUMMYFUNCTION("""COMPUTED_VALUE"""),"พงศ์ศักดิ์ สังข์ดี")</f>
        <v>พงศ์ศักดิ์ สังข์ดี</v>
      </c>
      <c r="L666" t="str">
        <f>IFERROR(__xludf.DUMMYFUNCTION("""COMPUTED_VALUE"""),"น้ำ")</f>
        <v>น้ำ</v>
      </c>
      <c r="M666" t="str">
        <f>IFERROR(__xludf.DUMMYFUNCTION("""COMPUTED_VALUE"""),"Cabin Crew")</f>
        <v>Cabin Crew</v>
      </c>
      <c r="N666" t="str">
        <f>IFERROR(__xludf.DUMMYFUNCTION("""COMPUTED_VALUE"""),"DMK")</f>
        <v>DMK</v>
      </c>
      <c r="O666" s="145" t="str">
        <f>IFERROR(__xludf.DUMMYFUNCTION("""COMPUTED_VALUE"""),"Toffy Home")</f>
        <v>Toffy Home</v>
      </c>
      <c r="P666" t="str">
        <f>IFERROR(__xludf.DUMMYFUNCTION("""COMPUTED_VALUE"""),"Active")</f>
        <v>Active</v>
      </c>
      <c r="R666" s="143">
        <f>IFERROR(__xludf.DUMMYFUNCTION("""COMPUTED_VALUE"""),32468.0)</f>
        <v>32468</v>
      </c>
      <c r="S666" s="146" t="str">
        <f>IFERROR(__xludf.DUMMYFUNCTION("""COMPUTED_VALUE"""),"083 077 5380")</f>
        <v>083 077 5380</v>
      </c>
      <c r="T666" s="147" t="str">
        <f>IFERROR(__xludf.DUMMYFUNCTION("""COMPUTED_VALUE"""),"2809900-02-1320")</f>
        <v>2809900-02-1320</v>
      </c>
      <c r="U666" t="str">
        <f>IFERROR(__xludf.DUMMYFUNCTION("""COMPUTED_VALUE"""),"AC5564711")</f>
        <v>AC5564711</v>
      </c>
      <c r="V666" s="148">
        <f>IFERROR(__xludf.DUMMYFUNCTION("""COMPUTED_VALUE"""),45167.0)</f>
        <v>45167</v>
      </c>
      <c r="W666" s="148">
        <f>IFERROR(__xludf.DUMMYFUNCTION("""COMPUTED_VALUE"""),46993.0)</f>
        <v>46993</v>
      </c>
      <c r="X666" s="149">
        <f>IFERROR(__xludf.DUMMYFUNCTION("""COMPUTED_VALUE"""),46811.0)</f>
        <v>46811</v>
      </c>
      <c r="Y666" t="str">
        <f>IFERROR(__xludf.DUMMYFUNCTION("""COMPUTED_VALUE"""),"ปลอดภัย")</f>
        <v>ปลอดภัย</v>
      </c>
      <c r="Z666" t="str">
        <f>IFERROR(__xludf.DUMMYFUNCTION("""COMPUTED_VALUE"""),"Nakhon Si Thammarat Province")</f>
        <v>Nakhon Si Thammarat Province</v>
      </c>
      <c r="AA666" t="str">
        <f>IFERROR(__xludf.DUMMYFUNCTION("""COMPUTED_VALUE"""),"Ramkhamhaeng")</f>
        <v>Ramkhamhaeng</v>
      </c>
      <c r="AB666" t="str">
        <f>IFERROR(__xludf.DUMMYFUNCTION("""COMPUTED_VALUE"""),"089 680 0081")</f>
        <v>089 680 0081</v>
      </c>
      <c r="AC666" t="str">
        <f>IFERROR(__xludf.DUMMYFUNCTION("""COMPUTED_VALUE"""),"Kangkiat Wangsawat")</f>
        <v>Kangkiat Wangsawat</v>
      </c>
      <c r="AD666" t="str">
        <f>IFERROR(__xludf.DUMMYFUNCTION("""COMPUTED_VALUE"""),"pongsakn@airasia.com")</f>
        <v>pongsakn@airasia.com</v>
      </c>
    </row>
    <row r="667">
      <c r="A667" s="142">
        <f>IFERROR(__xludf.DUMMYFUNCTION("""COMPUTED_VALUE"""),77.0)</f>
        <v>77</v>
      </c>
      <c r="B667" t="str">
        <f>IFERROR(__xludf.DUMMYFUNCTION("""COMPUTED_VALUE"""),"TAA6392")</f>
        <v>TAA6392</v>
      </c>
      <c r="C667">
        <f>IFERROR(__xludf.DUMMYFUNCTION("""COMPUTED_VALUE"""),1013186.0)</f>
        <v>1013186</v>
      </c>
      <c r="D667" t="str">
        <f>IFERROR(__xludf.DUMMYFUNCTION("""COMPUTED_VALUE"""),"Ms.")</f>
        <v>Ms.</v>
      </c>
      <c r="E667" t="str">
        <f>IFERROR(__xludf.DUMMYFUNCTION("""COMPUTED_VALUE"""),"Pornthiwa")</f>
        <v>Pornthiwa</v>
      </c>
      <c r="F667" t="str">
        <f>IFERROR(__xludf.DUMMYFUNCTION("""COMPUTED_VALUE"""),"Promthong")</f>
        <v>Promthong</v>
      </c>
      <c r="G667" t="str">
        <f>IFERROR(__xludf.DUMMYFUNCTION("""COMPUTED_VALUE"""),"Pornthiwa Promthong")</f>
        <v>Pornthiwa Promthong</v>
      </c>
      <c r="H667" t="str">
        <f>IFERROR(__xludf.DUMMYFUNCTION("""COMPUTED_VALUE"""),"นางสาว")</f>
        <v>นางสาว</v>
      </c>
      <c r="I667" t="str">
        <f>IFERROR(__xludf.DUMMYFUNCTION("""COMPUTED_VALUE"""),"พรทิวา")</f>
        <v>พรทิวา</v>
      </c>
      <c r="J667" t="str">
        <f>IFERROR(__xludf.DUMMYFUNCTION("""COMPUTED_VALUE"""),"พรมทอง")</f>
        <v>พรมทอง</v>
      </c>
      <c r="K667" t="str">
        <f>IFERROR(__xludf.DUMMYFUNCTION("""COMPUTED_VALUE"""),"พรทิวา พรมทอง")</f>
        <v>พรทิวา พรมทอง</v>
      </c>
      <c r="L667" t="str">
        <f>IFERROR(__xludf.DUMMYFUNCTION("""COMPUTED_VALUE"""),"ปูนิ่ม")</f>
        <v>ปูนิ่ม</v>
      </c>
      <c r="M667" t="str">
        <f>IFERROR(__xludf.DUMMYFUNCTION("""COMPUTED_VALUE"""),"Cabin Crew - CNX")</f>
        <v>Cabin Crew - CNX</v>
      </c>
      <c r="N667" t="str">
        <f>IFERROR(__xludf.DUMMYFUNCTION("""COMPUTED_VALUE"""),"CNX")</f>
        <v>CNX</v>
      </c>
      <c r="O667" s="145" t="str">
        <f>IFERROR(__xludf.DUMMYFUNCTION("""COMPUTED_VALUE"""),"Up Home")</f>
        <v>Up Home</v>
      </c>
      <c r="P667" t="str">
        <f>IFERROR(__xludf.DUMMYFUNCTION("""COMPUTED_VALUE"""),"Active")</f>
        <v>Active</v>
      </c>
      <c r="R667" s="143">
        <f>IFERROR(__xludf.DUMMYFUNCTION("""COMPUTED_VALUE"""),32627.0)</f>
        <v>32627</v>
      </c>
      <c r="S667" s="146" t="str">
        <f>IFERROR(__xludf.DUMMYFUNCTION("""COMPUTED_VALUE"""),"099 641 6527")</f>
        <v>099 641 6527</v>
      </c>
      <c r="T667" s="147" t="str">
        <f>IFERROR(__xludf.DUMMYFUNCTION("""COMPUTED_VALUE"""),"1100700-99-5371")</f>
        <v>1100700-99-5371</v>
      </c>
      <c r="U667" t="str">
        <f>IFERROR(__xludf.DUMMYFUNCTION("""COMPUTED_VALUE"""),"AC6831954")</f>
        <v>AC6831954</v>
      </c>
      <c r="V667" s="148">
        <f>IFERROR(__xludf.DUMMYFUNCTION("""COMPUTED_VALUE"""),45442.0)</f>
        <v>45442</v>
      </c>
      <c r="W667" s="148">
        <f>IFERROR(__xludf.DUMMYFUNCTION("""COMPUTED_VALUE"""),49093.0)</f>
        <v>49093</v>
      </c>
      <c r="X667" s="149">
        <f>IFERROR(__xludf.DUMMYFUNCTION("""COMPUTED_VALUE"""),48912.0)</f>
        <v>48912</v>
      </c>
      <c r="Y667" t="str">
        <f>IFERROR(__xludf.DUMMYFUNCTION("""COMPUTED_VALUE"""),"ปลอดภัย")</f>
        <v>ปลอดภัย</v>
      </c>
      <c r="Z667" t="str">
        <f>IFERROR(__xludf.DUMMYFUNCTION("""COMPUTED_VALUE"""),"Samut Prakan")</f>
        <v>Samut Prakan</v>
      </c>
      <c r="AA667" t="str">
        <f>IFERROR(__xludf.DUMMYFUNCTION("""COMPUTED_VALUE"""),"Samut Prakan")</f>
        <v>Samut Prakan</v>
      </c>
      <c r="AB667" t="str">
        <f>IFERROR(__xludf.DUMMYFUNCTION("""COMPUTED_VALUE"""),"084 010 6346")</f>
        <v>084 010 6346</v>
      </c>
      <c r="AC667" t="str">
        <f>IFERROR(__xludf.DUMMYFUNCTION("""COMPUTED_VALUE"""),"Noosin Promthong")</f>
        <v>Noosin Promthong</v>
      </c>
      <c r="AD667" t="str">
        <f>IFERROR(__xludf.DUMMYFUNCTION("""COMPUTED_VALUE"""),"pornthiwap@airasia.com")</f>
        <v>pornthiwap@airasia.com</v>
      </c>
    </row>
    <row r="668">
      <c r="A668" s="142">
        <f>IFERROR(__xludf.DUMMYFUNCTION("""COMPUTED_VALUE"""),77.0)</f>
        <v>77</v>
      </c>
      <c r="B668" t="str">
        <f>IFERROR(__xludf.DUMMYFUNCTION("""COMPUTED_VALUE"""),"TAA6387")</f>
        <v>TAA6387</v>
      </c>
      <c r="C668">
        <f>IFERROR(__xludf.DUMMYFUNCTION("""COMPUTED_VALUE"""),1013187.0)</f>
        <v>1013187</v>
      </c>
      <c r="D668" t="str">
        <f>IFERROR(__xludf.DUMMYFUNCTION("""COMPUTED_VALUE"""),"Ms.")</f>
        <v>Ms.</v>
      </c>
      <c r="E668" t="str">
        <f>IFERROR(__xludf.DUMMYFUNCTION("""COMPUTED_VALUE"""),"Sirilak")</f>
        <v>Sirilak</v>
      </c>
      <c r="F668" t="str">
        <f>IFERROR(__xludf.DUMMYFUNCTION("""COMPUTED_VALUE"""),"Chaiwisut")</f>
        <v>Chaiwisut</v>
      </c>
      <c r="G668" t="str">
        <f>IFERROR(__xludf.DUMMYFUNCTION("""COMPUTED_VALUE"""),"Sirilak Chaiwisut")</f>
        <v>Sirilak Chaiwisut</v>
      </c>
      <c r="H668" t="str">
        <f>IFERROR(__xludf.DUMMYFUNCTION("""COMPUTED_VALUE"""),"นางสาว")</f>
        <v>นางสาว</v>
      </c>
      <c r="I668" t="str">
        <f>IFERROR(__xludf.DUMMYFUNCTION("""COMPUTED_VALUE"""),"สิริลักษณ์")</f>
        <v>สิริลักษณ์</v>
      </c>
      <c r="J668" t="str">
        <f>IFERROR(__xludf.DUMMYFUNCTION("""COMPUTED_VALUE"""),"ชัยวิสุทธิ์")</f>
        <v>ชัยวิสุทธิ์</v>
      </c>
      <c r="K668" t="str">
        <f>IFERROR(__xludf.DUMMYFUNCTION("""COMPUTED_VALUE"""),"สิริลักษณ์ ชัยวิสุทธิ์")</f>
        <v>สิริลักษณ์ ชัยวิสุทธิ์</v>
      </c>
      <c r="L668" t="str">
        <f>IFERROR(__xludf.DUMMYFUNCTION("""COMPUTED_VALUE"""),"Belle")</f>
        <v>Belle</v>
      </c>
      <c r="M668" t="str">
        <f>IFERROR(__xludf.DUMMYFUNCTION("""COMPUTED_VALUE"""),"Senior Cabin Crew")</f>
        <v>Senior Cabin Crew</v>
      </c>
      <c r="N668" t="str">
        <f>IFERROR(__xludf.DUMMYFUNCTION("""COMPUTED_VALUE"""),"DMK")</f>
        <v>DMK</v>
      </c>
      <c r="O668" s="145" t="str">
        <f>IFERROR(__xludf.DUMMYFUNCTION("""COMPUTED_VALUE"""),"Toffy Home")</f>
        <v>Toffy Home</v>
      </c>
      <c r="P668" t="str">
        <f>IFERROR(__xludf.DUMMYFUNCTION("""COMPUTED_VALUE"""),"Active")</f>
        <v>Active</v>
      </c>
      <c r="R668" s="143">
        <f>IFERROR(__xludf.DUMMYFUNCTION("""COMPUTED_VALUE"""),33591.0)</f>
        <v>33591</v>
      </c>
      <c r="S668" s="146" t="str">
        <f>IFERROR(__xludf.DUMMYFUNCTION("""COMPUTED_VALUE"""),"064-6296641")</f>
        <v>064-6296641</v>
      </c>
      <c r="T668" s="147" t="str">
        <f>IFERROR(__xludf.DUMMYFUNCTION("""COMPUTED_VALUE"""),"1639900-14-9621")</f>
        <v>1639900-14-9621</v>
      </c>
      <c r="U668" t="str">
        <f>IFERROR(__xludf.DUMMYFUNCTION("""COMPUTED_VALUE"""),"AC6414859")</f>
        <v>AC6414859</v>
      </c>
      <c r="V668" s="148">
        <f>IFERROR(__xludf.DUMMYFUNCTION("""COMPUTED_VALUE"""),45363.0)</f>
        <v>45363</v>
      </c>
      <c r="W668" s="148">
        <f>IFERROR(__xludf.DUMMYFUNCTION("""COMPUTED_VALUE"""),49014.0)</f>
        <v>49014</v>
      </c>
      <c r="X668" s="149">
        <f>IFERROR(__xludf.DUMMYFUNCTION("""COMPUTED_VALUE"""),48833.0)</f>
        <v>48833</v>
      </c>
      <c r="Y668" t="str">
        <f>IFERROR(__xludf.DUMMYFUNCTION("""COMPUTED_VALUE"""),"ปลอดภัย")</f>
        <v>ปลอดภัย</v>
      </c>
      <c r="Z668" t="str">
        <f>IFERROR(__xludf.DUMMYFUNCTION("""COMPUTED_VALUE"""),"Tak Province")</f>
        <v>Tak Province</v>
      </c>
      <c r="AA668" t="str">
        <f>IFERROR(__xludf.DUMMYFUNCTION("""COMPUTED_VALUE"""),"Chonburi")</f>
        <v>Chonburi</v>
      </c>
      <c r="AB668" t="str">
        <f>IFERROR(__xludf.DUMMYFUNCTION("""COMPUTED_VALUE"""),"089 754 1896")</f>
        <v>089 754 1896</v>
      </c>
      <c r="AC668" t="str">
        <f>IFERROR(__xludf.DUMMYFUNCTION("""COMPUTED_VALUE"""),"Pornpisamai Chaiwisut")</f>
        <v>Pornpisamai Chaiwisut</v>
      </c>
      <c r="AD668" t="str">
        <f>IFERROR(__xludf.DUMMYFUNCTION("""COMPUTED_VALUE"""),"sirilakc@airasia.com")</f>
        <v>sirilakc@airasia.com</v>
      </c>
    </row>
    <row r="669">
      <c r="A669" s="142">
        <f>IFERROR(__xludf.DUMMYFUNCTION("""COMPUTED_VALUE"""),77.0)</f>
        <v>77</v>
      </c>
      <c r="B669" t="str">
        <f>IFERROR(__xludf.DUMMYFUNCTION("""COMPUTED_VALUE"""),"TAA6385")</f>
        <v>TAA6385</v>
      </c>
      <c r="C669">
        <f>IFERROR(__xludf.DUMMYFUNCTION("""COMPUTED_VALUE"""),1013188.0)</f>
        <v>1013188</v>
      </c>
      <c r="D669" t="str">
        <f>IFERROR(__xludf.DUMMYFUNCTION("""COMPUTED_VALUE"""),"Ms.")</f>
        <v>Ms.</v>
      </c>
      <c r="E669" t="str">
        <f>IFERROR(__xludf.DUMMYFUNCTION("""COMPUTED_VALUE"""),"Sunisa")</f>
        <v>Sunisa</v>
      </c>
      <c r="F669" t="str">
        <f>IFERROR(__xludf.DUMMYFUNCTION("""COMPUTED_VALUE"""),"Graiwong")</f>
        <v>Graiwong</v>
      </c>
      <c r="G669" t="str">
        <f>IFERROR(__xludf.DUMMYFUNCTION("""COMPUTED_VALUE"""),"Sunisa Graiwong")</f>
        <v>Sunisa Graiwong</v>
      </c>
      <c r="H669" t="str">
        <f>IFERROR(__xludf.DUMMYFUNCTION("""COMPUTED_VALUE"""),"นางสาว")</f>
        <v>นางสาว</v>
      </c>
      <c r="I669" t="str">
        <f>IFERROR(__xludf.DUMMYFUNCTION("""COMPUTED_VALUE"""),"สุนิสา")</f>
        <v>สุนิสา</v>
      </c>
      <c r="J669" t="str">
        <f>IFERROR(__xludf.DUMMYFUNCTION("""COMPUTED_VALUE"""),"ไกรวงศ์")</f>
        <v>ไกรวงศ์</v>
      </c>
      <c r="K669" t="str">
        <f>IFERROR(__xludf.DUMMYFUNCTION("""COMPUTED_VALUE"""),"สุนิสา ไกรวงศ์")</f>
        <v>สุนิสา ไกรวงศ์</v>
      </c>
      <c r="L669" t="str">
        <f>IFERROR(__xludf.DUMMYFUNCTION("""COMPUTED_VALUE"""),"หนึ่ง")</f>
        <v>หนึ่ง</v>
      </c>
      <c r="M669" t="str">
        <f>IFERROR(__xludf.DUMMYFUNCTION("""COMPUTED_VALUE"""),"Cabin Crew")</f>
        <v>Cabin Crew</v>
      </c>
      <c r="N669" t="str">
        <f>IFERROR(__xludf.DUMMYFUNCTION("""COMPUTED_VALUE"""),"DMK")</f>
        <v>DMK</v>
      </c>
      <c r="O669" s="145" t="str">
        <f>IFERROR(__xludf.DUMMYFUNCTION("""COMPUTED_VALUE"""),"Namfon Home")</f>
        <v>Namfon Home</v>
      </c>
      <c r="P669" t="str">
        <f>IFERROR(__xludf.DUMMYFUNCTION("""COMPUTED_VALUE"""),"Active")</f>
        <v>Active</v>
      </c>
      <c r="Q669" t="str">
        <f>IFERROR(__xludf.DUMMYFUNCTION("""COMPUTED_VALUE"""),"Chinese Speaking")</f>
        <v>Chinese Speaking</v>
      </c>
      <c r="R669" s="143">
        <f>IFERROR(__xludf.DUMMYFUNCTION("""COMPUTED_VALUE"""),33117.0)</f>
        <v>33117</v>
      </c>
      <c r="S669" s="146" t="str">
        <f>IFERROR(__xludf.DUMMYFUNCTION("""COMPUTED_VALUE"""),"090 123 8627")</f>
        <v>090 123 8627</v>
      </c>
      <c r="T669" s="147" t="str">
        <f>IFERROR(__xludf.DUMMYFUNCTION("""COMPUTED_VALUE"""),"1102001-39-7337")</f>
        <v>1102001-39-7337</v>
      </c>
      <c r="U669" t="str">
        <f>IFERROR(__xludf.DUMMYFUNCTION("""COMPUTED_VALUE"""),"ac4529248")</f>
        <v>ac4529248</v>
      </c>
      <c r="V669" s="148">
        <f>IFERROR(__xludf.DUMMYFUNCTION("""COMPUTED_VALUE"""),44981.0)</f>
        <v>44981</v>
      </c>
      <c r="W669" s="148">
        <f>IFERROR(__xludf.DUMMYFUNCTION("""COMPUTED_VALUE"""),48633.0)</f>
        <v>48633</v>
      </c>
      <c r="X669" s="149">
        <f>IFERROR(__xludf.DUMMYFUNCTION("""COMPUTED_VALUE"""),48449.0)</f>
        <v>48449</v>
      </c>
      <c r="Y669" t="str">
        <f>IFERROR(__xludf.DUMMYFUNCTION("""COMPUTED_VALUE"""),"ปลอดภัย")</f>
        <v>ปลอดภัย</v>
      </c>
      <c r="Z669" t="str">
        <f>IFERROR(__xludf.DUMMYFUNCTION("""COMPUTED_VALUE"""),"Bangkok")</f>
        <v>Bangkok</v>
      </c>
      <c r="AA669" t="str">
        <f>IFERROR(__xludf.DUMMYFUNCTION("""COMPUTED_VALUE"""),"Bangkok Noi")</f>
        <v>Bangkok Noi</v>
      </c>
      <c r="AB669" t="str">
        <f>IFERROR(__xludf.DUMMYFUNCTION("""COMPUTED_VALUE"""),"094 494 9502")</f>
        <v>094 494 9502</v>
      </c>
      <c r="AC669" t="str">
        <f>IFERROR(__xludf.DUMMYFUNCTION("""COMPUTED_VALUE"""),"Kanchana Sinlapawilat")</f>
        <v>Kanchana Sinlapawilat</v>
      </c>
      <c r="AD669" t="str">
        <f>IFERROR(__xludf.DUMMYFUNCTION("""COMPUTED_VALUE"""),"sunisag@airasia.com")</f>
        <v>sunisag@airasia.com</v>
      </c>
    </row>
    <row r="670">
      <c r="A670" s="142">
        <f>IFERROR(__xludf.DUMMYFUNCTION("""COMPUTED_VALUE"""),77.0)</f>
        <v>77</v>
      </c>
      <c r="B670" t="str">
        <f>IFERROR(__xludf.DUMMYFUNCTION("""COMPUTED_VALUE"""),"TAA6380")</f>
        <v>TAA6380</v>
      </c>
      <c r="C670">
        <f>IFERROR(__xludf.DUMMYFUNCTION("""COMPUTED_VALUE"""),1013189.0)</f>
        <v>1013189</v>
      </c>
      <c r="D670" t="str">
        <f>IFERROR(__xludf.DUMMYFUNCTION("""COMPUTED_VALUE"""),"Mr.")</f>
        <v>Mr.</v>
      </c>
      <c r="E670" t="str">
        <f>IFERROR(__xludf.DUMMYFUNCTION("""COMPUTED_VALUE"""),"Supakrit")</f>
        <v>Supakrit</v>
      </c>
      <c r="F670" t="str">
        <f>IFERROR(__xludf.DUMMYFUNCTION("""COMPUTED_VALUE"""),"Khongvittaya")</f>
        <v>Khongvittaya</v>
      </c>
      <c r="G670" t="str">
        <f>IFERROR(__xludf.DUMMYFUNCTION("""COMPUTED_VALUE"""),"Supakrit Khongvittaya")</f>
        <v>Supakrit Khongvittaya</v>
      </c>
      <c r="H670" t="str">
        <f>IFERROR(__xludf.DUMMYFUNCTION("""COMPUTED_VALUE"""),"นาย")</f>
        <v>นาย</v>
      </c>
      <c r="I670" t="str">
        <f>IFERROR(__xludf.DUMMYFUNCTION("""COMPUTED_VALUE"""),"ศุภกฤต")</f>
        <v>ศุภกฤต</v>
      </c>
      <c r="J670" t="str">
        <f>IFERROR(__xludf.DUMMYFUNCTION("""COMPUTED_VALUE"""),"คงวิทยา")</f>
        <v>คงวิทยา</v>
      </c>
      <c r="K670" t="str">
        <f>IFERROR(__xludf.DUMMYFUNCTION("""COMPUTED_VALUE"""),"ศุภกฤต คงวิทยา")</f>
        <v>ศุภกฤต คงวิทยา</v>
      </c>
      <c r="L670" t="str">
        <f>IFERROR(__xludf.DUMMYFUNCTION("""COMPUTED_VALUE"""),"Mac")</f>
        <v>Mac</v>
      </c>
      <c r="M670" t="str">
        <f>IFERROR(__xludf.DUMMYFUNCTION("""COMPUTED_VALUE"""),"Cabin Crew")</f>
        <v>Cabin Crew</v>
      </c>
      <c r="N670" t="str">
        <f>IFERROR(__xludf.DUMMYFUNCTION("""COMPUTED_VALUE"""),"DMK")</f>
        <v>DMK</v>
      </c>
      <c r="O670" s="145" t="str">
        <f>IFERROR(__xludf.DUMMYFUNCTION("""COMPUTED_VALUE"""),"Por+ Home")</f>
        <v>Por+ Home</v>
      </c>
      <c r="P670" t="str">
        <f>IFERROR(__xludf.DUMMYFUNCTION("""COMPUTED_VALUE"""),"Active")</f>
        <v>Active</v>
      </c>
      <c r="Q670" t="str">
        <f>IFERROR(__xludf.DUMMYFUNCTION("""COMPUTED_VALUE"""),"Chinese Speaking")</f>
        <v>Chinese Speaking</v>
      </c>
      <c r="R670" s="143">
        <f>IFERROR(__xludf.DUMMYFUNCTION("""COMPUTED_VALUE"""),33732.0)</f>
        <v>33732</v>
      </c>
      <c r="S670" s="146" t="str">
        <f>IFERROR(__xludf.DUMMYFUNCTION("""COMPUTED_VALUE"""),"096 308 8903")</f>
        <v>096 308 8903</v>
      </c>
      <c r="T670" s="147" t="str">
        <f>IFERROR(__xludf.DUMMYFUNCTION("""COMPUTED_VALUE"""),"1101401-93-8911")</f>
        <v>1101401-93-8911</v>
      </c>
      <c r="U670" t="str">
        <f>IFERROR(__xludf.DUMMYFUNCTION("""COMPUTED_VALUE"""),"AC6111564")</f>
        <v>AC6111564</v>
      </c>
      <c r="V670" s="148">
        <f>IFERROR(__xludf.DUMMYFUNCTION("""COMPUTED_VALUE"""),45272.0)</f>
        <v>45272</v>
      </c>
      <c r="W670" s="148">
        <f>IFERROR(__xludf.DUMMYFUNCTION("""COMPUTED_VALUE"""),48924.0)</f>
        <v>48924</v>
      </c>
      <c r="X670" s="149">
        <f>IFERROR(__xludf.DUMMYFUNCTION("""COMPUTED_VALUE"""),48741.0)</f>
        <v>48741</v>
      </c>
      <c r="Y670" t="str">
        <f>IFERROR(__xludf.DUMMYFUNCTION("""COMPUTED_VALUE"""),"ปลอดภัย")</f>
        <v>ปลอดภัย</v>
      </c>
      <c r="Z670" t="str">
        <f>IFERROR(__xludf.DUMMYFUNCTION("""COMPUTED_VALUE"""),"Bangkok")</f>
        <v>Bangkok</v>
      </c>
      <c r="AA670" t="str">
        <f>IFERROR(__xludf.DUMMYFUNCTION("""COMPUTED_VALUE"""),"Jatijak")</f>
        <v>Jatijak</v>
      </c>
      <c r="AB670" t="str">
        <f>IFERROR(__xludf.DUMMYFUNCTION("""COMPUTED_VALUE"""),"099 236 1965")</f>
        <v>099 236 1965</v>
      </c>
      <c r="AC670" t="str">
        <f>IFERROR(__xludf.DUMMYFUNCTION("""COMPUTED_VALUE"""),"Srisamon Khongvittaya")</f>
        <v>Srisamon Khongvittaya</v>
      </c>
      <c r="AD670" t="str">
        <f>IFERROR(__xludf.DUMMYFUNCTION("""COMPUTED_VALUE"""),"supakritk@airasia.com")</f>
        <v>supakritk@airasia.com</v>
      </c>
    </row>
    <row r="671">
      <c r="A671" s="142">
        <f>IFERROR(__xludf.DUMMYFUNCTION("""COMPUTED_VALUE"""),77.0)</f>
        <v>77</v>
      </c>
      <c r="B671" t="str">
        <f>IFERROR(__xludf.DUMMYFUNCTION("""COMPUTED_VALUE"""),"TAA6381")</f>
        <v>TAA6381</v>
      </c>
      <c r="C671">
        <f>IFERROR(__xludf.DUMMYFUNCTION("""COMPUTED_VALUE"""),1013190.0)</f>
        <v>1013190</v>
      </c>
      <c r="D671" t="str">
        <f>IFERROR(__xludf.DUMMYFUNCTION("""COMPUTED_VALUE"""),"Ms.")</f>
        <v>Ms.</v>
      </c>
      <c r="E671" t="str">
        <f>IFERROR(__xludf.DUMMYFUNCTION("""COMPUTED_VALUE"""),"Thamonwan")</f>
        <v>Thamonwan</v>
      </c>
      <c r="F671" t="str">
        <f>IFERROR(__xludf.DUMMYFUNCTION("""COMPUTED_VALUE"""),"Chokumpornpan")</f>
        <v>Chokumpornpan</v>
      </c>
      <c r="G671" t="str">
        <f>IFERROR(__xludf.DUMMYFUNCTION("""COMPUTED_VALUE"""),"Thamonwan Chokumpornpan")</f>
        <v>Thamonwan Chokumpornpan</v>
      </c>
      <c r="H671" t="str">
        <f>IFERROR(__xludf.DUMMYFUNCTION("""COMPUTED_VALUE"""),"นางสาว")</f>
        <v>นางสาว</v>
      </c>
      <c r="I671" t="str">
        <f>IFERROR(__xludf.DUMMYFUNCTION("""COMPUTED_VALUE"""),"ธมลวรรณ")</f>
        <v>ธมลวรรณ</v>
      </c>
      <c r="J671" t="str">
        <f>IFERROR(__xludf.DUMMYFUNCTION("""COMPUTED_VALUE"""),"โชคอัมพรพรรณ")</f>
        <v>โชคอัมพรพรรณ</v>
      </c>
      <c r="K671" t="str">
        <f>IFERROR(__xludf.DUMMYFUNCTION("""COMPUTED_VALUE"""),"ธมลวรรณ โชคอัมพรพรรณ")</f>
        <v>ธมลวรรณ โชคอัมพรพรรณ</v>
      </c>
      <c r="L671" t="str">
        <f>IFERROR(__xludf.DUMMYFUNCTION("""COMPUTED_VALUE"""),"จุ๊บจิ๊บ")</f>
        <v>จุ๊บจิ๊บ</v>
      </c>
      <c r="M671" t="str">
        <f>IFERROR(__xludf.DUMMYFUNCTION("""COMPUTED_VALUE"""),"Cabin Crew")</f>
        <v>Cabin Crew</v>
      </c>
      <c r="N671" t="str">
        <f>IFERROR(__xludf.DUMMYFUNCTION("""COMPUTED_VALUE"""),"DMK")</f>
        <v>DMK</v>
      </c>
      <c r="O671" s="145" t="str">
        <f>IFERROR(__xludf.DUMMYFUNCTION("""COMPUTED_VALUE"""),"Toffy Home")</f>
        <v>Toffy Home</v>
      </c>
      <c r="P671" t="str">
        <f>IFERROR(__xludf.DUMMYFUNCTION("""COMPUTED_VALUE"""),"Active")</f>
        <v>Active</v>
      </c>
      <c r="Q671" t="str">
        <f>IFERROR(__xludf.DUMMYFUNCTION("""COMPUTED_VALUE"""),"Chinese Speaking")</f>
        <v>Chinese Speaking</v>
      </c>
      <c r="R671" s="143">
        <f>IFERROR(__xludf.DUMMYFUNCTION("""COMPUTED_VALUE"""),33463.0)</f>
        <v>33463</v>
      </c>
      <c r="S671" s="146" t="str">
        <f>IFERROR(__xludf.DUMMYFUNCTION("""COMPUTED_VALUE"""),"098 903 8971")</f>
        <v>098 903 8971</v>
      </c>
      <c r="T671" s="147" t="str">
        <f>IFERROR(__xludf.DUMMYFUNCTION("""COMPUTED_VALUE"""),"1579900-37-7935")</f>
        <v>1579900-37-7935</v>
      </c>
      <c r="U671" t="str">
        <f>IFERROR(__xludf.DUMMYFUNCTION("""COMPUTED_VALUE"""),"AD1576658")</f>
        <v>AD1576658</v>
      </c>
      <c r="V671" s="148">
        <f>IFERROR(__xludf.DUMMYFUNCTION("""COMPUTED_VALUE"""),45307.0)</f>
        <v>45307</v>
      </c>
      <c r="W671" s="148">
        <f>IFERROR(__xludf.DUMMYFUNCTION("""COMPUTED_VALUE"""),48959.0)</f>
        <v>48959</v>
      </c>
      <c r="X671" s="149">
        <f>IFERROR(__xludf.DUMMYFUNCTION("""COMPUTED_VALUE"""),48775.0)</f>
        <v>48775</v>
      </c>
      <c r="Y671" t="str">
        <f>IFERROR(__xludf.DUMMYFUNCTION("""COMPUTED_VALUE"""),"ปลอดภัย")</f>
        <v>ปลอดภัย</v>
      </c>
      <c r="Z671" t="str">
        <f>IFERROR(__xludf.DUMMYFUNCTION("""COMPUTED_VALUE"""),"Chiang Rai Province")</f>
        <v>Chiang Rai Province</v>
      </c>
      <c r="AA671" t="str">
        <f>IFERROR(__xludf.DUMMYFUNCTION("""COMPUTED_VALUE"""),"Don Mueang")</f>
        <v>Don Mueang</v>
      </c>
      <c r="AB671" t="str">
        <f>IFERROR(__xludf.DUMMYFUNCTION("""COMPUTED_VALUE"""),"061 293 6043")</f>
        <v>061 293 6043</v>
      </c>
      <c r="AC671" t="str">
        <f>IFERROR(__xludf.DUMMYFUNCTION("""COMPUTED_VALUE"""),"Kanjana Chokumpornpan")</f>
        <v>Kanjana Chokumpornpan</v>
      </c>
      <c r="AD671" t="str">
        <f>IFERROR(__xludf.DUMMYFUNCTION("""COMPUTED_VALUE"""),"thamonwanh@airasia.com")</f>
        <v>thamonwanh@airasia.com</v>
      </c>
    </row>
    <row r="672">
      <c r="A672" s="142">
        <f>IFERROR(__xludf.DUMMYFUNCTION("""COMPUTED_VALUE"""),77.0)</f>
        <v>77</v>
      </c>
      <c r="B672" t="str">
        <f>IFERROR(__xludf.DUMMYFUNCTION("""COMPUTED_VALUE"""),"TAA6382")</f>
        <v>TAA6382</v>
      </c>
      <c r="C672">
        <f>IFERROR(__xludf.DUMMYFUNCTION("""COMPUTED_VALUE"""),1013192.0)</f>
        <v>1013192</v>
      </c>
      <c r="D672" t="str">
        <f>IFERROR(__xludf.DUMMYFUNCTION("""COMPUTED_VALUE"""),"Ms.")</f>
        <v>Ms.</v>
      </c>
      <c r="E672" t="str">
        <f>IFERROR(__xludf.DUMMYFUNCTION("""COMPUTED_VALUE"""),"Thiptanya")</f>
        <v>Thiptanya</v>
      </c>
      <c r="F672" t="str">
        <f>IFERROR(__xludf.DUMMYFUNCTION("""COMPUTED_VALUE"""),"Phosri")</f>
        <v>Phosri</v>
      </c>
      <c r="G672" t="str">
        <f>IFERROR(__xludf.DUMMYFUNCTION("""COMPUTED_VALUE"""),"Thiptanya Phosri")</f>
        <v>Thiptanya Phosri</v>
      </c>
      <c r="H672" t="str">
        <f>IFERROR(__xludf.DUMMYFUNCTION("""COMPUTED_VALUE"""),"นางสาว")</f>
        <v>นางสาว</v>
      </c>
      <c r="I672" t="str">
        <f>IFERROR(__xludf.DUMMYFUNCTION("""COMPUTED_VALUE"""),"ทิพย์ธัญญา")</f>
        <v>ทิพย์ธัญญา</v>
      </c>
      <c r="J672" t="str">
        <f>IFERROR(__xludf.DUMMYFUNCTION("""COMPUTED_VALUE"""),"โพธิ์ศรี")</f>
        <v>โพธิ์ศรี</v>
      </c>
      <c r="K672" t="str">
        <f>IFERROR(__xludf.DUMMYFUNCTION("""COMPUTED_VALUE"""),"ทิพย์ธัญญา โพธิ์ศรี")</f>
        <v>ทิพย์ธัญญา โพธิ์ศรี</v>
      </c>
      <c r="L672" t="str">
        <f>IFERROR(__xludf.DUMMYFUNCTION("""COMPUTED_VALUE"""),"Opal")</f>
        <v>Opal</v>
      </c>
      <c r="M672" t="str">
        <f>IFERROR(__xludf.DUMMYFUNCTION("""COMPUTED_VALUE"""),"Cabin Crew")</f>
        <v>Cabin Crew</v>
      </c>
      <c r="N672" t="str">
        <f>IFERROR(__xludf.DUMMYFUNCTION("""COMPUTED_VALUE"""),"DMK")</f>
        <v>DMK</v>
      </c>
      <c r="O672" s="145" t="str">
        <f>IFERROR(__xludf.DUMMYFUNCTION("""COMPUTED_VALUE"""),"Kor Home")</f>
        <v>Kor Home</v>
      </c>
      <c r="P672" t="str">
        <f>IFERROR(__xludf.DUMMYFUNCTION("""COMPUTED_VALUE"""),"Active")</f>
        <v>Active</v>
      </c>
      <c r="Q672" t="str">
        <f>IFERROR(__xludf.DUMMYFUNCTION("""COMPUTED_VALUE"""),"Chinese Speaking")</f>
        <v>Chinese Speaking</v>
      </c>
      <c r="R672" s="143">
        <f>IFERROR(__xludf.DUMMYFUNCTION("""COMPUTED_VALUE"""),33230.0)</f>
        <v>33230</v>
      </c>
      <c r="S672" s="146" t="str">
        <f>IFERROR(__xludf.DUMMYFUNCTION("""COMPUTED_VALUE"""),"061-9236554")</f>
        <v>061-9236554</v>
      </c>
      <c r="T672" s="147" t="str">
        <f>IFERROR(__xludf.DUMMYFUNCTION("""COMPUTED_VALUE"""),"1909800-49-5240")</f>
        <v>1909800-49-5240</v>
      </c>
      <c r="U672" t="str">
        <f>IFERROR(__xludf.DUMMYFUNCTION("""COMPUTED_VALUE"""),"AC6702928")</f>
        <v>AC6702928</v>
      </c>
      <c r="V672" s="148">
        <f>IFERROR(__xludf.DUMMYFUNCTION("""COMPUTED_VALUE"""),45407.0)</f>
        <v>45407</v>
      </c>
      <c r="W672" s="148">
        <f>IFERROR(__xludf.DUMMYFUNCTION("""COMPUTED_VALUE"""),49058.0)</f>
        <v>49058</v>
      </c>
      <c r="X672" s="149">
        <f>IFERROR(__xludf.DUMMYFUNCTION("""COMPUTED_VALUE"""),48876.0)</f>
        <v>48876</v>
      </c>
      <c r="Y672" t="str">
        <f>IFERROR(__xludf.DUMMYFUNCTION("""COMPUTED_VALUE"""),"ปลอดภัย")</f>
        <v>ปลอดภัย</v>
      </c>
      <c r="Z672" t="str">
        <f>IFERROR(__xludf.DUMMYFUNCTION("""COMPUTED_VALUE"""),"Songkhla Province")</f>
        <v>Songkhla Province</v>
      </c>
      <c r="AA672" t="str">
        <f>IFERROR(__xludf.DUMMYFUNCTION("""COMPUTED_VALUE"""),"Huai Kwang")</f>
        <v>Huai Kwang</v>
      </c>
      <c r="AB672" t="str">
        <f>IFERROR(__xludf.DUMMYFUNCTION("""COMPUTED_VALUE"""),"081 896 1145")</f>
        <v>081 896 1145</v>
      </c>
      <c r="AC672" t="str">
        <f>IFERROR(__xludf.DUMMYFUNCTION("""COMPUTED_VALUE"""),"Awanya Khumngern")</f>
        <v>Awanya Khumngern</v>
      </c>
      <c r="AD672" t="str">
        <f>IFERROR(__xludf.DUMMYFUNCTION("""COMPUTED_VALUE"""),"thiptanyap@airasia.com")</f>
        <v>thiptanyap@airasia.com</v>
      </c>
    </row>
    <row r="673">
      <c r="A673" s="142">
        <f>IFERROR(__xludf.DUMMYFUNCTION("""COMPUTED_VALUE"""),77.0)</f>
        <v>77</v>
      </c>
      <c r="B673" t="str">
        <f>IFERROR(__xludf.DUMMYFUNCTION("""COMPUTED_VALUE"""),"TAA6389")</f>
        <v>TAA6389</v>
      </c>
      <c r="C673">
        <f>IFERROR(__xludf.DUMMYFUNCTION("""COMPUTED_VALUE"""),1013194.0)</f>
        <v>1013194</v>
      </c>
      <c r="D673" t="str">
        <f>IFERROR(__xludf.DUMMYFUNCTION("""COMPUTED_VALUE"""),"Mr.")</f>
        <v>Mr.</v>
      </c>
      <c r="E673" t="str">
        <f>IFERROR(__xludf.DUMMYFUNCTION("""COMPUTED_VALUE"""),"Touch")</f>
        <v>Touch</v>
      </c>
      <c r="F673" t="str">
        <f>IFERROR(__xludf.DUMMYFUNCTION("""COMPUTED_VALUE"""),"Meechamnan")</f>
        <v>Meechamnan</v>
      </c>
      <c r="G673" t="str">
        <f>IFERROR(__xludf.DUMMYFUNCTION("""COMPUTED_VALUE"""),"Touch Meechamnan")</f>
        <v>Touch Meechamnan</v>
      </c>
      <c r="H673" t="str">
        <f>IFERROR(__xludf.DUMMYFUNCTION("""COMPUTED_VALUE"""),"นาย")</f>
        <v>นาย</v>
      </c>
      <c r="I673" t="str">
        <f>IFERROR(__xludf.DUMMYFUNCTION("""COMPUTED_VALUE"""),"ธรรศ")</f>
        <v>ธรรศ</v>
      </c>
      <c r="J673" t="str">
        <f>IFERROR(__xludf.DUMMYFUNCTION("""COMPUTED_VALUE"""),"มีชำนาญ")</f>
        <v>มีชำนาญ</v>
      </c>
      <c r="K673" t="str">
        <f>IFERROR(__xludf.DUMMYFUNCTION("""COMPUTED_VALUE"""),"ธรรศ มีชำนาญ")</f>
        <v>ธรรศ มีชำนาญ</v>
      </c>
      <c r="L673" t="str">
        <f>IFERROR(__xludf.DUMMYFUNCTION("""COMPUTED_VALUE"""),"Touch")</f>
        <v>Touch</v>
      </c>
      <c r="M673" t="str">
        <f>IFERROR(__xludf.DUMMYFUNCTION("""COMPUTED_VALUE"""),"Cabin Crew - CNX")</f>
        <v>Cabin Crew - CNX</v>
      </c>
      <c r="N673" t="str">
        <f>IFERROR(__xludf.DUMMYFUNCTION("""COMPUTED_VALUE"""),"CNX")</f>
        <v>CNX</v>
      </c>
      <c r="O673" s="145" t="str">
        <f>IFERROR(__xludf.DUMMYFUNCTION("""COMPUTED_VALUE"""),"Up Home")</f>
        <v>Up Home</v>
      </c>
      <c r="P673" t="str">
        <f>IFERROR(__xludf.DUMMYFUNCTION("""COMPUTED_VALUE"""),"Active")</f>
        <v>Active</v>
      </c>
      <c r="R673" s="143">
        <f>IFERROR(__xludf.DUMMYFUNCTION("""COMPUTED_VALUE"""),33294.0)</f>
        <v>33294</v>
      </c>
      <c r="S673" s="146" t="str">
        <f>IFERROR(__xludf.DUMMYFUNCTION("""COMPUTED_VALUE"""),"061 535 656")</f>
        <v>061 535 656</v>
      </c>
      <c r="T673" s="147" t="str">
        <f>IFERROR(__xludf.DUMMYFUNCTION("""COMPUTED_VALUE"""),"1509900-98-7644")</f>
        <v>1509900-98-7644</v>
      </c>
      <c r="U673" t="str">
        <f>IFERROR(__xludf.DUMMYFUNCTION("""COMPUTED_VALUE"""),"AC3500692")</f>
        <v>AC3500692</v>
      </c>
      <c r="V673" s="150">
        <f>IFERROR(__xludf.DUMMYFUNCTION("""COMPUTED_VALUE"""),44742.0)</f>
        <v>44742</v>
      </c>
      <c r="W673" s="148">
        <f>IFERROR(__xludf.DUMMYFUNCTION("""COMPUTED_VALUE"""),48394.0)</f>
        <v>48394</v>
      </c>
      <c r="X673" s="149">
        <f>IFERROR(__xludf.DUMMYFUNCTION("""COMPUTED_VALUE"""),48211.0)</f>
        <v>48211</v>
      </c>
      <c r="Y673" t="str">
        <f>IFERROR(__xludf.DUMMYFUNCTION("""COMPUTED_VALUE"""),"ปลอดภัย")</f>
        <v>ปลอดภัย</v>
      </c>
      <c r="Z673" t="str">
        <f>IFERROR(__xludf.DUMMYFUNCTION("""COMPUTED_VALUE"""),"Chiang Mai Province")</f>
        <v>Chiang Mai Province</v>
      </c>
      <c r="AA673" t="str">
        <f>IFERROR(__xludf.DUMMYFUNCTION("""COMPUTED_VALUE"""),"Onnut")</f>
        <v>Onnut</v>
      </c>
      <c r="AB673" t="str">
        <f>IFERROR(__xludf.DUMMYFUNCTION("""COMPUTED_VALUE"""),"085 617 9830")</f>
        <v>085 617 9830</v>
      </c>
      <c r="AC673" t="str">
        <f>IFERROR(__xludf.DUMMYFUNCTION("""COMPUTED_VALUE"""),"Thawin Meechamnan")</f>
        <v>Thawin Meechamnan</v>
      </c>
      <c r="AD673" t="str">
        <f>IFERROR(__xludf.DUMMYFUNCTION("""COMPUTED_VALUE"""),"touchm@airasia.com")</f>
        <v>touchm@airasia.com</v>
      </c>
    </row>
    <row r="674">
      <c r="AD674" t="str">
        <f>IFERROR(__xludf.DUMMYFUNCTION("""COMPUTED_VALUE"""),"")</f>
        <v/>
      </c>
    </row>
    <row r="675">
      <c r="A675" s="142">
        <f>IFERROR(__xludf.DUMMYFUNCTION("""COMPUTED_VALUE"""),78.0)</f>
        <v>78</v>
      </c>
      <c r="B675" t="str">
        <f>IFERROR(__xludf.DUMMYFUNCTION("""COMPUTED_VALUE"""),"TAA6718")</f>
        <v>TAA6718</v>
      </c>
      <c r="C675">
        <f>IFERROR(__xludf.DUMMYFUNCTION("""COMPUTED_VALUE"""),1014058.0)</f>
        <v>1014058</v>
      </c>
      <c r="D675" t="str">
        <f>IFERROR(__xludf.DUMMYFUNCTION("""COMPUTED_VALUE"""),"Ms.")</f>
        <v>Ms.</v>
      </c>
      <c r="E675" t="str">
        <f>IFERROR(__xludf.DUMMYFUNCTION("""COMPUTED_VALUE"""),"Budfa")</f>
        <v>Budfa</v>
      </c>
      <c r="F675" t="str">
        <f>IFERROR(__xludf.DUMMYFUNCTION("""COMPUTED_VALUE"""),"Morasuk")</f>
        <v>Morasuk</v>
      </c>
      <c r="G675" t="str">
        <f>IFERROR(__xludf.DUMMYFUNCTION("""COMPUTED_VALUE"""),"Budfa Morasuk")</f>
        <v>Budfa Morasuk</v>
      </c>
      <c r="H675" t="str">
        <f>IFERROR(__xludf.DUMMYFUNCTION("""COMPUTED_VALUE"""),"นางสาว")</f>
        <v>นางสาว</v>
      </c>
      <c r="I675" t="str">
        <f>IFERROR(__xludf.DUMMYFUNCTION("""COMPUTED_VALUE"""),"บุศย์ฟ้า")</f>
        <v>บุศย์ฟ้า</v>
      </c>
      <c r="J675" t="str">
        <f>IFERROR(__xludf.DUMMYFUNCTION("""COMPUTED_VALUE"""),"โมราสุข")</f>
        <v>โมราสุข</v>
      </c>
      <c r="K675" t="str">
        <f>IFERROR(__xludf.DUMMYFUNCTION("""COMPUTED_VALUE"""),"บุศย์ฟ้า โมราสุข")</f>
        <v>บุศย์ฟ้า โมราสุข</v>
      </c>
      <c r="L675" t="str">
        <f>IFERROR(__xludf.DUMMYFUNCTION("""COMPUTED_VALUE"""),"Fah / ฟ้า")</f>
        <v>Fah / ฟ้า</v>
      </c>
      <c r="M675" t="str">
        <f>IFERROR(__xludf.DUMMYFUNCTION("""COMPUTED_VALUE"""),"Cabin Crew")</f>
        <v>Cabin Crew</v>
      </c>
      <c r="N675" t="str">
        <f>IFERROR(__xludf.DUMMYFUNCTION("""COMPUTED_VALUE"""),"DMK")</f>
        <v>DMK</v>
      </c>
      <c r="O675" s="145" t="str">
        <f>IFERROR(__xludf.DUMMYFUNCTION("""COMPUTED_VALUE"""),"Por+ Home")</f>
        <v>Por+ Home</v>
      </c>
      <c r="P675" t="str">
        <f>IFERROR(__xludf.DUMMYFUNCTION("""COMPUTED_VALUE"""),"V/LWP")</f>
        <v>V/LWP</v>
      </c>
      <c r="R675" s="143">
        <f>IFERROR(__xludf.DUMMYFUNCTION("""COMPUTED_VALUE"""),33421.0)</f>
        <v>33421</v>
      </c>
      <c r="S675" s="146" t="str">
        <f>IFERROR(__xludf.DUMMYFUNCTION("""COMPUTED_VALUE"""),"094-624-2698")</f>
        <v>094-624-2698</v>
      </c>
      <c r="T675" s="147" t="str">
        <f>IFERROR(__xludf.DUMMYFUNCTION("""COMPUTED_VALUE"""),"1509901-01-9552")</f>
        <v>1509901-01-9552</v>
      </c>
      <c r="U675" t="str">
        <f>IFERROR(__xludf.DUMMYFUNCTION("""COMPUTED_VALUE"""),"AC2835545")</f>
        <v>AC2835545</v>
      </c>
      <c r="V675" s="148">
        <f>IFERROR(__xludf.DUMMYFUNCTION("""COMPUTED_VALUE"""),44522.0)</f>
        <v>44522</v>
      </c>
      <c r="W675" s="148">
        <f>IFERROR(__xludf.DUMMYFUNCTION("""COMPUTED_VALUE"""),48173.0)</f>
        <v>48173</v>
      </c>
      <c r="X675" s="149">
        <f>IFERROR(__xludf.DUMMYFUNCTION("""COMPUTED_VALUE"""),47989.0)</f>
        <v>47989</v>
      </c>
      <c r="Y675" t="str">
        <f>IFERROR(__xludf.DUMMYFUNCTION("""COMPUTED_VALUE"""),"ปลอดภัย")</f>
        <v>ปลอดภัย</v>
      </c>
      <c r="Z675" t="str">
        <f>IFERROR(__xludf.DUMMYFUNCTION("""COMPUTED_VALUE"""),"Chiang Mai Province")</f>
        <v>Chiang Mai Province</v>
      </c>
      <c r="AA675" t="str">
        <f>IFERROR(__xludf.DUMMYFUNCTION("""COMPUTED_VALUE"""),"Bangkhen")</f>
        <v>Bangkhen</v>
      </c>
      <c r="AB675" t="str">
        <f>IFERROR(__xludf.DUMMYFUNCTION("""COMPUTED_VALUE"""),"083 161 0528")</f>
        <v>083 161 0528</v>
      </c>
      <c r="AC675" t="str">
        <f>IFERROR(__xludf.DUMMYFUNCTION("""COMPUTED_VALUE"""),"Laksanee Morasuk")</f>
        <v>Laksanee Morasuk</v>
      </c>
      <c r="AD675" t="str">
        <f>IFERROR(__xludf.DUMMYFUNCTION("""COMPUTED_VALUE"""),"budfam@airasia.com")</f>
        <v>budfam@airasia.com</v>
      </c>
    </row>
    <row r="676">
      <c r="A676" s="142">
        <f>IFERROR(__xludf.DUMMYFUNCTION("""COMPUTED_VALUE"""),78.0)</f>
        <v>78</v>
      </c>
      <c r="B676" t="str">
        <f>IFERROR(__xludf.DUMMYFUNCTION("""COMPUTED_VALUE"""),"TAA6721")</f>
        <v>TAA6721</v>
      </c>
      <c r="C676">
        <f>IFERROR(__xludf.DUMMYFUNCTION("""COMPUTED_VALUE"""),1014064.0)</f>
        <v>1014064</v>
      </c>
      <c r="D676" t="str">
        <f>IFERROR(__xludf.DUMMYFUNCTION("""COMPUTED_VALUE"""),"Ms.")</f>
        <v>Ms.</v>
      </c>
      <c r="E676" t="str">
        <f>IFERROR(__xludf.DUMMYFUNCTION("""COMPUTED_VALUE"""),"Jaraspak")</f>
        <v>Jaraspak</v>
      </c>
      <c r="F676" t="str">
        <f>IFERROR(__xludf.DUMMYFUNCTION("""COMPUTED_VALUE"""),"Plengkhum")</f>
        <v>Plengkhum</v>
      </c>
      <c r="G676" t="str">
        <f>IFERROR(__xludf.DUMMYFUNCTION("""COMPUTED_VALUE"""),"Jaraspak Plengkhum")</f>
        <v>Jaraspak Plengkhum</v>
      </c>
      <c r="H676" t="str">
        <f>IFERROR(__xludf.DUMMYFUNCTION("""COMPUTED_VALUE"""),"นางสาว")</f>
        <v>นางสาว</v>
      </c>
      <c r="I676" t="str">
        <f>IFERROR(__xludf.DUMMYFUNCTION("""COMPUTED_VALUE"""),"จรัสพักตร์")</f>
        <v>จรัสพักตร์</v>
      </c>
      <c r="J676" t="str">
        <f>IFERROR(__xludf.DUMMYFUNCTION("""COMPUTED_VALUE"""),"เปล่งขำ")</f>
        <v>เปล่งขำ</v>
      </c>
      <c r="K676" t="str">
        <f>IFERROR(__xludf.DUMMYFUNCTION("""COMPUTED_VALUE"""),"จรัสพักตร์ เปล่งขำ")</f>
        <v>จรัสพักตร์ เปล่งขำ</v>
      </c>
      <c r="L676" t="str">
        <f>IFERROR(__xludf.DUMMYFUNCTION("""COMPUTED_VALUE"""),"Khwan/ ขวัญ")</f>
        <v>Khwan/ ขวัญ</v>
      </c>
      <c r="M676" t="str">
        <f>IFERROR(__xludf.DUMMYFUNCTION("""COMPUTED_VALUE"""),"Senior Cabin Crew")</f>
        <v>Senior Cabin Crew</v>
      </c>
      <c r="N676" t="str">
        <f>IFERROR(__xludf.DUMMYFUNCTION("""COMPUTED_VALUE"""),"DMK")</f>
        <v>DMK</v>
      </c>
      <c r="O676" s="145" t="str">
        <f>IFERROR(__xludf.DUMMYFUNCTION("""COMPUTED_VALUE"""),"Up Home")</f>
        <v>Up Home</v>
      </c>
      <c r="P676" t="str">
        <f>IFERROR(__xludf.DUMMYFUNCTION("""COMPUTED_VALUE"""),"V/LWP")</f>
        <v>V/LWP</v>
      </c>
      <c r="R676" s="143">
        <f>IFERROR(__xludf.DUMMYFUNCTION("""COMPUTED_VALUE"""),32881.0)</f>
        <v>32881</v>
      </c>
      <c r="S676" s="146" t="str">
        <f>IFERROR(__xludf.DUMMYFUNCTION("""COMPUTED_VALUE"""),"085 188 9582")</f>
        <v>085 188 9582</v>
      </c>
      <c r="T676" s="147" t="str">
        <f>IFERROR(__xludf.DUMMYFUNCTION("""COMPUTED_VALUE"""),"1100500-40-1583")</f>
        <v>1100500-40-1583</v>
      </c>
      <c r="U676" t="str">
        <f>IFERROR(__xludf.DUMMYFUNCTION("""COMPUTED_VALUE"""),"AD0617703")</f>
        <v>AD0617703</v>
      </c>
      <c r="V676" s="148">
        <f>IFERROR(__xludf.DUMMYFUNCTION("""COMPUTED_VALUE"""),44934.0)</f>
        <v>44934</v>
      </c>
      <c r="W676" s="148">
        <f>IFERROR(__xludf.DUMMYFUNCTION("""COMPUTED_VALUE"""),48586.0)</f>
        <v>48586</v>
      </c>
      <c r="X676" s="149">
        <f>IFERROR(__xludf.DUMMYFUNCTION("""COMPUTED_VALUE"""),48402.0)</f>
        <v>48402</v>
      </c>
      <c r="Y676" t="str">
        <f>IFERROR(__xludf.DUMMYFUNCTION("""COMPUTED_VALUE"""),"ปลอดภัย")</f>
        <v>ปลอดภัย</v>
      </c>
      <c r="Z676" t="str">
        <f>IFERROR(__xludf.DUMMYFUNCTION("""COMPUTED_VALUE"""),"Bangkok")</f>
        <v>Bangkok</v>
      </c>
      <c r="AA676" t="str">
        <f>IFERROR(__xludf.DUMMYFUNCTION("""COMPUTED_VALUE"""),"Pakkred")</f>
        <v>Pakkred</v>
      </c>
      <c r="AB676" t="str">
        <f>IFERROR(__xludf.DUMMYFUNCTION("""COMPUTED_VALUE"""),"081 844 1044")</f>
        <v>081 844 1044</v>
      </c>
      <c r="AC676" t="str">
        <f>IFERROR(__xludf.DUMMYFUNCTION("""COMPUTED_VALUE"""),"Ekapasana Plengkhum (Father)")</f>
        <v>Ekapasana Plengkhum (Father)</v>
      </c>
      <c r="AD676" t="str">
        <f>IFERROR(__xludf.DUMMYFUNCTION("""COMPUTED_VALUE"""),"jaraspakp@airasia.com")</f>
        <v>jaraspakp@airasia.com</v>
      </c>
    </row>
    <row r="677">
      <c r="A677" s="142">
        <f>IFERROR(__xludf.DUMMYFUNCTION("""COMPUTED_VALUE"""),78.0)</f>
        <v>78</v>
      </c>
      <c r="B677" t="str">
        <f>IFERROR(__xludf.DUMMYFUNCTION("""COMPUTED_VALUE"""),"TAA6715")</f>
        <v>TAA6715</v>
      </c>
      <c r="C677">
        <f>IFERROR(__xludf.DUMMYFUNCTION("""COMPUTED_VALUE"""),1014067.0)</f>
        <v>1014067</v>
      </c>
      <c r="D677" t="str">
        <f>IFERROR(__xludf.DUMMYFUNCTION("""COMPUTED_VALUE"""),"Ms.")</f>
        <v>Ms.</v>
      </c>
      <c r="E677" t="str">
        <f>IFERROR(__xludf.DUMMYFUNCTION("""COMPUTED_VALUE"""),"Kedvarang")</f>
        <v>Kedvarang</v>
      </c>
      <c r="F677" t="str">
        <f>IFERROR(__xludf.DUMMYFUNCTION("""COMPUTED_VALUE"""),"Pikoonted")</f>
        <v>Pikoonted</v>
      </c>
      <c r="G677" t="str">
        <f>IFERROR(__xludf.DUMMYFUNCTION("""COMPUTED_VALUE"""),"Kedvarang Pikoonted")</f>
        <v>Kedvarang Pikoonted</v>
      </c>
      <c r="H677" t="str">
        <f>IFERROR(__xludf.DUMMYFUNCTION("""COMPUTED_VALUE"""),"นางสาว")</f>
        <v>นางสาว</v>
      </c>
      <c r="I677" t="str">
        <f>IFERROR(__xludf.DUMMYFUNCTION("""COMPUTED_VALUE"""),"เกษวรางค์")</f>
        <v>เกษวรางค์</v>
      </c>
      <c r="J677" t="str">
        <f>IFERROR(__xludf.DUMMYFUNCTION("""COMPUTED_VALUE"""),"พิกุลเทศ")</f>
        <v>พิกุลเทศ</v>
      </c>
      <c r="K677" t="str">
        <f>IFERROR(__xludf.DUMMYFUNCTION("""COMPUTED_VALUE"""),"เกษวรางค์ พิกุลเทศ")</f>
        <v>เกษวรางค์ พิกุลเทศ</v>
      </c>
      <c r="L677" t="str">
        <f>IFERROR(__xludf.DUMMYFUNCTION("""COMPUTED_VALUE"""),"Palm / ปาล์ม")</f>
        <v>Palm / ปาล์ม</v>
      </c>
      <c r="M677" t="str">
        <f>IFERROR(__xludf.DUMMYFUNCTION("""COMPUTED_VALUE"""),"Cabin Crew")</f>
        <v>Cabin Crew</v>
      </c>
      <c r="N677" t="str">
        <f>IFERROR(__xludf.DUMMYFUNCTION("""COMPUTED_VALUE"""),"DMK")</f>
        <v>DMK</v>
      </c>
      <c r="O677" s="145" t="str">
        <f>IFERROR(__xludf.DUMMYFUNCTION("""COMPUTED_VALUE"""),"Por+ Home")</f>
        <v>Por+ Home</v>
      </c>
      <c r="P677" t="str">
        <f>IFERROR(__xludf.DUMMYFUNCTION("""COMPUTED_VALUE"""),"Active")</f>
        <v>Active</v>
      </c>
      <c r="R677" s="143">
        <f>IFERROR(__xludf.DUMMYFUNCTION("""COMPUTED_VALUE"""),33038.0)</f>
        <v>33038</v>
      </c>
      <c r="S677" s="146" t="str">
        <f>IFERROR(__xludf.DUMMYFUNCTION("""COMPUTED_VALUE"""),"095 594 6854")</f>
        <v>095 594 6854</v>
      </c>
      <c r="T677" s="147" t="str">
        <f>IFERROR(__xludf.DUMMYFUNCTION("""COMPUTED_VALUE"""),"1960600-08-2415")</f>
        <v>1960600-08-2415</v>
      </c>
      <c r="U677" t="str">
        <f>IFERROR(__xludf.DUMMYFUNCTION("""COMPUTED_VALUE"""),"AC2772282")</f>
        <v>AC2772282</v>
      </c>
      <c r="V677" s="148">
        <f>IFERROR(__xludf.DUMMYFUNCTION("""COMPUTED_VALUE"""),44496.0)</f>
        <v>44496</v>
      </c>
      <c r="W677" s="148">
        <f>IFERROR(__xludf.DUMMYFUNCTION("""COMPUTED_VALUE"""),48147.0)</f>
        <v>48147</v>
      </c>
      <c r="X677" s="149">
        <f>IFERROR(__xludf.DUMMYFUNCTION("""COMPUTED_VALUE"""),47964.0)</f>
        <v>47964</v>
      </c>
      <c r="Y677" t="str">
        <f>IFERROR(__xludf.DUMMYFUNCTION("""COMPUTED_VALUE"""),"ปลอดภัย")</f>
        <v>ปลอดภัย</v>
      </c>
      <c r="Z677" t="str">
        <f>IFERROR(__xludf.DUMMYFUNCTION("""COMPUTED_VALUE"""),"Narathiwat Province")</f>
        <v>Narathiwat Province</v>
      </c>
      <c r="AA677" t="str">
        <f>IFERROR(__xludf.DUMMYFUNCTION("""COMPUTED_VALUE"""),"Ladkrabang")</f>
        <v>Ladkrabang</v>
      </c>
      <c r="AB677" t="str">
        <f>IFERROR(__xludf.DUMMYFUNCTION("""COMPUTED_VALUE"""),"081 978 2504")</f>
        <v>081 978 2504</v>
      </c>
      <c r="AC677" t="str">
        <f>IFERROR(__xludf.DUMMYFUNCTION("""COMPUTED_VALUE"""),"Supin Chookeaw")</f>
        <v>Supin Chookeaw</v>
      </c>
      <c r="AD677" t="str">
        <f>IFERROR(__xludf.DUMMYFUNCTION("""COMPUTED_VALUE"""),"kedvarangp@airasia.com")</f>
        <v>kedvarangp@airasia.com</v>
      </c>
    </row>
    <row r="678">
      <c r="A678" s="142">
        <f>IFERROR(__xludf.DUMMYFUNCTION("""COMPUTED_VALUE"""),78.0)</f>
        <v>78</v>
      </c>
      <c r="B678" t="str">
        <f>IFERROR(__xludf.DUMMYFUNCTION("""COMPUTED_VALUE"""),"TAA6712")</f>
        <v>TAA6712</v>
      </c>
      <c r="C678">
        <f>IFERROR(__xludf.DUMMYFUNCTION("""COMPUTED_VALUE"""),1014078.0)</f>
        <v>1014078</v>
      </c>
      <c r="D678" t="str">
        <f>IFERROR(__xludf.DUMMYFUNCTION("""COMPUTED_VALUE"""),"Ms.")</f>
        <v>Ms.</v>
      </c>
      <c r="E678" t="str">
        <f>IFERROR(__xludf.DUMMYFUNCTION("""COMPUTED_VALUE"""),"Ornphicha")</f>
        <v>Ornphicha</v>
      </c>
      <c r="F678" t="str">
        <f>IFERROR(__xludf.DUMMYFUNCTION("""COMPUTED_VALUE"""),"Phisanbanjerdkul")</f>
        <v>Phisanbanjerdkul</v>
      </c>
      <c r="G678" t="str">
        <f>IFERROR(__xludf.DUMMYFUNCTION("""COMPUTED_VALUE"""),"Ornphicha Phisanbanjerdkul")</f>
        <v>Ornphicha Phisanbanjerdkul</v>
      </c>
      <c r="H678" t="str">
        <f>IFERROR(__xludf.DUMMYFUNCTION("""COMPUTED_VALUE"""),"นางสาว")</f>
        <v>นางสาว</v>
      </c>
      <c r="I678" t="str">
        <f>IFERROR(__xludf.DUMMYFUNCTION("""COMPUTED_VALUE"""),"อรภิชา")</f>
        <v>อรภิชา</v>
      </c>
      <c r="J678" t="str">
        <f>IFERROR(__xludf.DUMMYFUNCTION("""COMPUTED_VALUE"""),"พิศาลบรรเจิดกุล")</f>
        <v>พิศาลบรรเจิดกุล</v>
      </c>
      <c r="K678" t="str">
        <f>IFERROR(__xludf.DUMMYFUNCTION("""COMPUTED_VALUE"""),"อรภิชา พิศาลบรรเจิดกุล")</f>
        <v>อรภิชา พิศาลบรรเจิดกุล</v>
      </c>
      <c r="L678" t="str">
        <f>IFERROR(__xludf.DUMMYFUNCTION("""COMPUTED_VALUE"""),"Ploy / พลอย")</f>
        <v>Ploy / พลอย</v>
      </c>
      <c r="M678" t="str">
        <f>IFERROR(__xludf.DUMMYFUNCTION("""COMPUTED_VALUE"""),"Cabin Crew")</f>
        <v>Cabin Crew</v>
      </c>
      <c r="N678" t="str">
        <f>IFERROR(__xludf.DUMMYFUNCTION("""COMPUTED_VALUE"""),"DMK")</f>
        <v>DMK</v>
      </c>
      <c r="O678" s="145" t="str">
        <f>IFERROR(__xludf.DUMMYFUNCTION("""COMPUTED_VALUE"""),"Namfon Home")</f>
        <v>Namfon Home</v>
      </c>
      <c r="P678" t="str">
        <f>IFERROR(__xludf.DUMMYFUNCTION("""COMPUTED_VALUE"""),"Active")</f>
        <v>Active</v>
      </c>
      <c r="R678" s="143">
        <f>IFERROR(__xludf.DUMMYFUNCTION("""COMPUTED_VALUE"""),32720.0)</f>
        <v>32720</v>
      </c>
      <c r="S678" s="146" t="str">
        <f>IFERROR(__xludf.DUMMYFUNCTION("""COMPUTED_VALUE"""),"064 454 4563")</f>
        <v>064 454 4563</v>
      </c>
      <c r="T678" s="147" t="str">
        <f>IFERROR(__xludf.DUMMYFUNCTION("""COMPUTED_VALUE"""),"1101200-19-4320")</f>
        <v>1101200-19-4320</v>
      </c>
      <c r="U678" t="str">
        <f>IFERROR(__xludf.DUMMYFUNCTION("""COMPUTED_VALUE"""),"AC6411156")</f>
        <v>AC6411156</v>
      </c>
      <c r="V678" s="148">
        <f>IFERROR(__xludf.DUMMYFUNCTION("""COMPUTED_VALUE"""),45362.0)</f>
        <v>45362</v>
      </c>
      <c r="W678" s="148">
        <f>IFERROR(__xludf.DUMMYFUNCTION("""COMPUTED_VALUE"""),49013.0)</f>
        <v>49013</v>
      </c>
      <c r="X678" s="149">
        <f>IFERROR(__xludf.DUMMYFUNCTION("""COMPUTED_VALUE"""),48832.0)</f>
        <v>48832</v>
      </c>
      <c r="Y678" t="str">
        <f>IFERROR(__xludf.DUMMYFUNCTION("""COMPUTED_VALUE"""),"ปลอดภัย")</f>
        <v>ปลอดภัย</v>
      </c>
      <c r="Z678" t="str">
        <f>IFERROR(__xludf.DUMMYFUNCTION("""COMPUTED_VALUE"""),"Bangkok")</f>
        <v>Bangkok</v>
      </c>
      <c r="AA678" t="str">
        <f>IFERROR(__xludf.DUMMYFUNCTION("""COMPUTED_VALUE"""),"Bangrak")</f>
        <v>Bangrak</v>
      </c>
      <c r="AB678" t="str">
        <f>IFERROR(__xludf.DUMMYFUNCTION("""COMPUTED_VALUE"""),"084 443 1009")</f>
        <v>084 443 1009</v>
      </c>
      <c r="AC678" t="str">
        <f>IFERROR(__xludf.DUMMYFUNCTION("""COMPUTED_VALUE"""),"Apisak Phisanbanjerdkul")</f>
        <v>Apisak Phisanbanjerdkul</v>
      </c>
      <c r="AD678" t="str">
        <f>IFERROR(__xludf.DUMMYFUNCTION("""COMPUTED_VALUE"""),"ornphichap@airasia.com")</f>
        <v>ornphichap@airasia.com</v>
      </c>
    </row>
    <row r="679">
      <c r="A679" s="142">
        <f>IFERROR(__xludf.DUMMYFUNCTION("""COMPUTED_VALUE"""),78.0)</f>
        <v>78</v>
      </c>
      <c r="B679" t="str">
        <f>IFERROR(__xludf.DUMMYFUNCTION("""COMPUTED_VALUE"""),"TAA6726")</f>
        <v>TAA6726</v>
      </c>
      <c r="C679">
        <f>IFERROR(__xludf.DUMMYFUNCTION("""COMPUTED_VALUE"""),1014080.0)</f>
        <v>1014080</v>
      </c>
      <c r="D679" t="str">
        <f>IFERROR(__xludf.DUMMYFUNCTION("""COMPUTED_VALUE"""),"Ms.")</f>
        <v>Ms.</v>
      </c>
      <c r="E679" t="str">
        <f>IFERROR(__xludf.DUMMYFUNCTION("""COMPUTED_VALUE"""),"Phalinsu")</f>
        <v>Phalinsu</v>
      </c>
      <c r="F679" t="str">
        <f>IFERROR(__xludf.DUMMYFUNCTION("""COMPUTED_VALUE"""),"Angsunakul")</f>
        <v>Angsunakul</v>
      </c>
      <c r="G679" t="str">
        <f>IFERROR(__xludf.DUMMYFUNCTION("""COMPUTED_VALUE"""),"Phalinsu Angsunakul")</f>
        <v>Phalinsu Angsunakul</v>
      </c>
      <c r="H679" t="str">
        <f>IFERROR(__xludf.DUMMYFUNCTION("""COMPUTED_VALUE"""),"นางสาว")</f>
        <v>นางสาว</v>
      </c>
      <c r="I679" t="str">
        <f>IFERROR(__xludf.DUMMYFUNCTION("""COMPUTED_VALUE"""),"ผลินสุ")</f>
        <v>ผลินสุ</v>
      </c>
      <c r="J679" t="str">
        <f>IFERROR(__xludf.DUMMYFUNCTION("""COMPUTED_VALUE"""),"อังศุนากุล")</f>
        <v>อังศุนากุล</v>
      </c>
      <c r="K679" t="str">
        <f>IFERROR(__xludf.DUMMYFUNCTION("""COMPUTED_VALUE"""),"ผลินสุ อังศุนากุล")</f>
        <v>ผลินสุ อังศุนากุล</v>
      </c>
      <c r="L679" t="str">
        <f>IFERROR(__xludf.DUMMYFUNCTION("""COMPUTED_VALUE"""),"Elle / แอล")</f>
        <v>Elle / แอล</v>
      </c>
      <c r="M679" t="str">
        <f>IFERROR(__xludf.DUMMYFUNCTION("""COMPUTED_VALUE"""),"Cabin Crew")</f>
        <v>Cabin Crew</v>
      </c>
      <c r="N679" t="str">
        <f>IFERROR(__xludf.DUMMYFUNCTION("""COMPUTED_VALUE"""),"DMK")</f>
        <v>DMK</v>
      </c>
      <c r="O679" s="145" t="str">
        <f>IFERROR(__xludf.DUMMYFUNCTION("""COMPUTED_VALUE"""),"Namfon Home")</f>
        <v>Namfon Home</v>
      </c>
      <c r="P679" t="str">
        <f>IFERROR(__xludf.DUMMYFUNCTION("""COMPUTED_VALUE"""),"Active")</f>
        <v>Active</v>
      </c>
      <c r="R679" s="143">
        <f>IFERROR(__xludf.DUMMYFUNCTION("""COMPUTED_VALUE"""),34282.0)</f>
        <v>34282</v>
      </c>
      <c r="S679" s="146" t="str">
        <f>IFERROR(__xludf.DUMMYFUNCTION("""COMPUTED_VALUE"""),"095-295-1989")</f>
        <v>095-295-1989</v>
      </c>
      <c r="T679" s="147" t="str">
        <f>IFERROR(__xludf.DUMMYFUNCTION("""COMPUTED_VALUE"""),"1100400-66-8367")</f>
        <v>1100400-66-8367</v>
      </c>
      <c r="U679" t="str">
        <f>IFERROR(__xludf.DUMMYFUNCTION("""COMPUTED_VALUE"""),"AC4321265")</f>
        <v>AC4321265</v>
      </c>
      <c r="V679" s="148">
        <f>IFERROR(__xludf.DUMMYFUNCTION("""COMPUTED_VALUE"""),44923.0)</f>
        <v>44923</v>
      </c>
      <c r="W679" s="148">
        <f>IFERROR(__xludf.DUMMYFUNCTION("""COMPUTED_VALUE"""),48575.0)</f>
        <v>48575</v>
      </c>
      <c r="X679" s="149">
        <f>IFERROR(__xludf.DUMMYFUNCTION("""COMPUTED_VALUE"""),48392.0)</f>
        <v>48392</v>
      </c>
      <c r="Y679" t="str">
        <f>IFERROR(__xludf.DUMMYFUNCTION("""COMPUTED_VALUE"""),"ปลอดภัย")</f>
        <v>ปลอดภัย</v>
      </c>
      <c r="Z679" t="str">
        <f>IFERROR(__xludf.DUMMYFUNCTION("""COMPUTED_VALUE"""),"Bangkok")</f>
        <v>Bangkok</v>
      </c>
      <c r="AA679" t="str">
        <f>IFERROR(__xludf.DUMMYFUNCTION("""COMPUTED_VALUE"""),"Nonthaburi")</f>
        <v>Nonthaburi</v>
      </c>
      <c r="AB679" t="str">
        <f>IFERROR(__xludf.DUMMYFUNCTION("""COMPUTED_VALUE"""),"089 483 3906")</f>
        <v>089 483 3906</v>
      </c>
      <c r="AC679" t="str">
        <f>IFERROR(__xludf.DUMMYFUNCTION("""COMPUTED_VALUE"""),"Patchara Angsunakul")</f>
        <v>Patchara Angsunakul</v>
      </c>
      <c r="AD679" t="str">
        <f>IFERROR(__xludf.DUMMYFUNCTION("""COMPUTED_VALUE"""),"phalinsua@airasia.com")</f>
        <v>phalinsua@airasia.com</v>
      </c>
    </row>
    <row r="680">
      <c r="A680" s="142">
        <f>IFERROR(__xludf.DUMMYFUNCTION("""COMPUTED_VALUE"""),78.0)</f>
        <v>78</v>
      </c>
      <c r="B680" t="str">
        <f>IFERROR(__xludf.DUMMYFUNCTION("""COMPUTED_VALUE"""),"TAA6713")</f>
        <v>TAA6713</v>
      </c>
      <c r="C680">
        <f>IFERROR(__xludf.DUMMYFUNCTION("""COMPUTED_VALUE"""),1014083.0)</f>
        <v>1014083</v>
      </c>
      <c r="D680" t="str">
        <f>IFERROR(__xludf.DUMMYFUNCTION("""COMPUTED_VALUE"""),"Mrs.")</f>
        <v>Mrs.</v>
      </c>
      <c r="E680" t="str">
        <f>IFERROR(__xludf.DUMMYFUNCTION("""COMPUTED_VALUE"""),"Pimarthorn")</f>
        <v>Pimarthorn</v>
      </c>
      <c r="F680" t="str">
        <f>IFERROR(__xludf.DUMMYFUNCTION("""COMPUTED_VALUE"""),"Martin (Charuwana)")</f>
        <v>Martin (Charuwana)</v>
      </c>
      <c r="G680" t="str">
        <f>IFERROR(__xludf.DUMMYFUNCTION("""COMPUTED_VALUE"""),"Pimarthorn Martin")</f>
        <v>Pimarthorn Martin</v>
      </c>
      <c r="H680" t="str">
        <f>IFERROR(__xludf.DUMMYFUNCTION("""COMPUTED_VALUE"""),"นาง")</f>
        <v>นาง</v>
      </c>
      <c r="I680" t="str">
        <f>IFERROR(__xludf.DUMMYFUNCTION("""COMPUTED_VALUE"""),"พิมพ์อาทร")</f>
        <v>พิมพ์อาทร</v>
      </c>
      <c r="J680" t="str">
        <f>IFERROR(__xludf.DUMMYFUNCTION("""COMPUTED_VALUE"""),"มาติน (จารุวรรณ)")</f>
        <v>มาติน (จารุวรรณ)</v>
      </c>
      <c r="K680" t="str">
        <f>IFERROR(__xludf.DUMMYFUNCTION("""COMPUTED_VALUE"""),"พิมพ์อาทร มาติน")</f>
        <v>พิมพ์อาทร มาติน</v>
      </c>
      <c r="L680" t="str">
        <f>IFERROR(__xludf.DUMMYFUNCTION("""COMPUTED_VALUE"""),"Jung / จัง")</f>
        <v>Jung / จัง</v>
      </c>
      <c r="M680" t="str">
        <f>IFERROR(__xludf.DUMMYFUNCTION("""COMPUTED_VALUE"""),"Cabin Crew")</f>
        <v>Cabin Crew</v>
      </c>
      <c r="N680" t="str">
        <f>IFERROR(__xludf.DUMMYFUNCTION("""COMPUTED_VALUE"""),"DMK")</f>
        <v>DMK</v>
      </c>
      <c r="O680" s="145" t="str">
        <f>IFERROR(__xludf.DUMMYFUNCTION("""COMPUTED_VALUE"""),"Namfon Home")</f>
        <v>Namfon Home</v>
      </c>
      <c r="P680" t="str">
        <f>IFERROR(__xludf.DUMMYFUNCTION("""COMPUTED_VALUE"""),"V/LWP")</f>
        <v>V/LWP</v>
      </c>
      <c r="R680" s="143">
        <f>IFERROR(__xludf.DUMMYFUNCTION("""COMPUTED_VALUE"""),32802.0)</f>
        <v>32802</v>
      </c>
      <c r="S680" s="146" t="str">
        <f>IFERROR(__xludf.DUMMYFUNCTION("""COMPUTED_VALUE"""),"094 995 9594")</f>
        <v>094 995 9594</v>
      </c>
      <c r="T680" s="147" t="str">
        <f>IFERROR(__xludf.DUMMYFUNCTION("""COMPUTED_VALUE"""),"1102001-23-2443")</f>
        <v>1102001-23-2443</v>
      </c>
      <c r="U680" t="str">
        <f>IFERROR(__xludf.DUMMYFUNCTION("""COMPUTED_VALUE"""),"AC4685354")</f>
        <v>AC4685354</v>
      </c>
      <c r="V680" s="148">
        <f>IFERROR(__xludf.DUMMYFUNCTION("""COMPUTED_VALUE"""),45003.0)</f>
        <v>45003</v>
      </c>
      <c r="W680" s="148">
        <f>IFERROR(__xludf.DUMMYFUNCTION("""COMPUTED_VALUE"""),48655.0)</f>
        <v>48655</v>
      </c>
      <c r="X680" s="149">
        <f>IFERROR(__xludf.DUMMYFUNCTION("""COMPUTED_VALUE"""),48474.0)</f>
        <v>48474</v>
      </c>
      <c r="Y680" t="str">
        <f>IFERROR(__xludf.DUMMYFUNCTION("""COMPUTED_VALUE"""),"ปลอดภัย")</f>
        <v>ปลอดภัย</v>
      </c>
      <c r="Z680" t="str">
        <f>IFERROR(__xludf.DUMMYFUNCTION("""COMPUTED_VALUE"""),"Bangkok")</f>
        <v>Bangkok</v>
      </c>
      <c r="AA680" t="str">
        <f>IFERROR(__xludf.DUMMYFUNCTION("""COMPUTED_VALUE"""),"Taweewattana")</f>
        <v>Taweewattana</v>
      </c>
      <c r="AB680" t="str">
        <f>IFERROR(__xludf.DUMMYFUNCTION("""COMPUTED_VALUE"""),"089 771 8459")</f>
        <v>089 771 8459</v>
      </c>
      <c r="AC680" t="str">
        <f>IFERROR(__xludf.DUMMYFUNCTION("""COMPUTED_VALUE"""),"Chaweewan Charuwana")</f>
        <v>Chaweewan Charuwana</v>
      </c>
      <c r="AD680" t="str">
        <f>IFERROR(__xludf.DUMMYFUNCTION("""COMPUTED_VALUE"""),"pimarthornmartin@airasia.com")</f>
        <v>pimarthornmartin@airasia.com</v>
      </c>
    </row>
    <row r="681">
      <c r="A681" s="142">
        <f>IFERROR(__xludf.DUMMYFUNCTION("""COMPUTED_VALUE"""),78.0)</f>
        <v>78</v>
      </c>
      <c r="B681" t="str">
        <f>IFERROR(__xludf.DUMMYFUNCTION("""COMPUTED_VALUE"""),"TAA6727")</f>
        <v>TAA6727</v>
      </c>
      <c r="C681">
        <f>IFERROR(__xludf.DUMMYFUNCTION("""COMPUTED_VALUE"""),1014086.0)</f>
        <v>1014086</v>
      </c>
      <c r="D681" t="str">
        <f>IFERROR(__xludf.DUMMYFUNCTION("""COMPUTED_VALUE"""),"Ms.")</f>
        <v>Ms.</v>
      </c>
      <c r="E681" t="str">
        <f>IFERROR(__xludf.DUMMYFUNCTION("""COMPUTED_VALUE"""),"Shutimon")</f>
        <v>Shutimon</v>
      </c>
      <c r="F681" t="str">
        <f>IFERROR(__xludf.DUMMYFUNCTION("""COMPUTED_VALUE"""),"Srisanguansakul")</f>
        <v>Srisanguansakul</v>
      </c>
      <c r="G681" t="str">
        <f>IFERROR(__xludf.DUMMYFUNCTION("""COMPUTED_VALUE"""),"Shutimon Srisanguansakul")</f>
        <v>Shutimon Srisanguansakul</v>
      </c>
      <c r="H681" t="str">
        <f>IFERROR(__xludf.DUMMYFUNCTION("""COMPUTED_VALUE"""),"นางสาว")</f>
        <v>นางสาว</v>
      </c>
      <c r="I681" t="str">
        <f>IFERROR(__xludf.DUMMYFUNCTION("""COMPUTED_VALUE"""),"ชุติมณฑน์")</f>
        <v>ชุติมณฑน์</v>
      </c>
      <c r="J681" t="str">
        <f>IFERROR(__xludf.DUMMYFUNCTION("""COMPUTED_VALUE"""),"ศรีสงวนสกุล")</f>
        <v>ศรีสงวนสกุล</v>
      </c>
      <c r="K681" t="str">
        <f>IFERROR(__xludf.DUMMYFUNCTION("""COMPUTED_VALUE"""),"ชุติมณฑน์ ศรีสงวนสกุล")</f>
        <v>ชุติมณฑน์ ศรีสงวนสกุล</v>
      </c>
      <c r="L681" t="str">
        <f>IFERROR(__xludf.DUMMYFUNCTION("""COMPUTED_VALUE"""),"Nink / นิ้ง")</f>
        <v>Nink / นิ้ง</v>
      </c>
      <c r="M681" t="str">
        <f>IFERROR(__xludf.DUMMYFUNCTION("""COMPUTED_VALUE"""),"Cabin Crew")</f>
        <v>Cabin Crew</v>
      </c>
      <c r="N681" t="str">
        <f>IFERROR(__xludf.DUMMYFUNCTION("""COMPUTED_VALUE"""),"DMK")</f>
        <v>DMK</v>
      </c>
      <c r="O681" s="145" t="str">
        <f>IFERROR(__xludf.DUMMYFUNCTION("""COMPUTED_VALUE"""),"Por+ Home")</f>
        <v>Por+ Home</v>
      </c>
      <c r="P681" t="str">
        <f>IFERROR(__xludf.DUMMYFUNCTION("""COMPUTED_VALUE"""),"Active")</f>
        <v>Active</v>
      </c>
      <c r="R681" s="143">
        <f>IFERROR(__xludf.DUMMYFUNCTION("""COMPUTED_VALUE"""),34397.0)</f>
        <v>34397</v>
      </c>
      <c r="S681" s="146">
        <f>IFERROR(__xludf.DUMMYFUNCTION("""COMPUTED_VALUE"""),8.03616549E8)</f>
        <v>803616549</v>
      </c>
      <c r="T681" s="147" t="str">
        <f>IFERROR(__xludf.DUMMYFUNCTION("""COMPUTED_VALUE"""),"1103100-23-9650")</f>
        <v>1103100-23-9650</v>
      </c>
      <c r="U681" t="str">
        <f>IFERROR(__xludf.DUMMYFUNCTION("""COMPUTED_VALUE"""),"AC3093467")</f>
        <v>AC3093467</v>
      </c>
      <c r="V681" s="148">
        <f>IFERROR(__xludf.DUMMYFUNCTION("""COMPUTED_VALUE"""),44687.0)</f>
        <v>44687</v>
      </c>
      <c r="W681" s="148">
        <f>IFERROR(__xludf.DUMMYFUNCTION("""COMPUTED_VALUE"""),48339.0)</f>
        <v>48339</v>
      </c>
      <c r="X681" s="149">
        <f>IFERROR(__xludf.DUMMYFUNCTION("""COMPUTED_VALUE"""),48157.0)</f>
        <v>48157</v>
      </c>
      <c r="Y681" t="str">
        <f>IFERROR(__xludf.DUMMYFUNCTION("""COMPUTED_VALUE"""),"ปลอดภัย")</f>
        <v>ปลอดภัย</v>
      </c>
      <c r="Z681" t="str">
        <f>IFERROR(__xludf.DUMMYFUNCTION("""COMPUTED_VALUE"""),"Bangkok")</f>
        <v>Bangkok</v>
      </c>
      <c r="AA681" t="str">
        <f>IFERROR(__xludf.DUMMYFUNCTION("""COMPUTED_VALUE"""),"Bangkhorleam")</f>
        <v>Bangkhorleam</v>
      </c>
      <c r="AB681" t="str">
        <f>IFERROR(__xludf.DUMMYFUNCTION("""COMPUTED_VALUE"""),"087 678 4336")</f>
        <v>087 678 4336</v>
      </c>
      <c r="AC681" t="str">
        <f>IFERROR(__xludf.DUMMYFUNCTION("""COMPUTED_VALUE"""),"Chirdpong (Father)")</f>
        <v>Chirdpong (Father)</v>
      </c>
      <c r="AD681" t="str">
        <f>IFERROR(__xludf.DUMMYFUNCTION("""COMPUTED_VALUE"""),"shutimons@airasia.com")</f>
        <v>shutimons@airasia.com</v>
      </c>
    </row>
    <row r="682">
      <c r="A682" s="142">
        <f>IFERROR(__xludf.DUMMYFUNCTION("""COMPUTED_VALUE"""),78.0)</f>
        <v>78</v>
      </c>
      <c r="B682" t="str">
        <f>IFERROR(__xludf.DUMMYFUNCTION("""COMPUTED_VALUE"""),"TAA6708")</f>
        <v>TAA6708</v>
      </c>
      <c r="C682">
        <f>IFERROR(__xludf.DUMMYFUNCTION("""COMPUTED_VALUE"""),1014087.0)</f>
        <v>1014087</v>
      </c>
      <c r="D682" t="str">
        <f>IFERROR(__xludf.DUMMYFUNCTION("""COMPUTED_VALUE"""),"Mr.")</f>
        <v>Mr.</v>
      </c>
      <c r="E682" t="str">
        <f>IFERROR(__xludf.DUMMYFUNCTION("""COMPUTED_VALUE"""),"Sirawit")</f>
        <v>Sirawit</v>
      </c>
      <c r="F682" t="str">
        <f>IFERROR(__xludf.DUMMYFUNCTION("""COMPUTED_VALUE"""),"Kamrapit")</f>
        <v>Kamrapit</v>
      </c>
      <c r="G682" t="str">
        <f>IFERROR(__xludf.DUMMYFUNCTION("""COMPUTED_VALUE"""),"Sirawit Kamrapit")</f>
        <v>Sirawit Kamrapit</v>
      </c>
      <c r="H682" t="str">
        <f>IFERROR(__xludf.DUMMYFUNCTION("""COMPUTED_VALUE"""),"นาย")</f>
        <v>นาย</v>
      </c>
      <c r="I682" t="str">
        <f>IFERROR(__xludf.DUMMYFUNCTION("""COMPUTED_VALUE"""),"สิรวิชญ์")</f>
        <v>สิรวิชญ์</v>
      </c>
      <c r="J682" t="str">
        <f>IFERROR(__xludf.DUMMYFUNCTION("""COMPUTED_VALUE"""),"คำราพิช")</f>
        <v>คำราพิช</v>
      </c>
      <c r="K682" t="str">
        <f>IFERROR(__xludf.DUMMYFUNCTION("""COMPUTED_VALUE"""),"สิรวิชญ์ คำราพิช")</f>
        <v>สิรวิชญ์ คำราพิช</v>
      </c>
      <c r="L682" t="str">
        <f>IFERROR(__xludf.DUMMYFUNCTION("""COMPUTED_VALUE"""),"Ben / เบ็น")</f>
        <v>Ben / เบ็น</v>
      </c>
      <c r="M682" t="str">
        <f>IFERROR(__xludf.DUMMYFUNCTION("""COMPUTED_VALUE"""),"Cabin Crew - CNX")</f>
        <v>Cabin Crew - CNX</v>
      </c>
      <c r="N682" t="str">
        <f>IFERROR(__xludf.DUMMYFUNCTION("""COMPUTED_VALUE"""),"CNX")</f>
        <v>CNX</v>
      </c>
      <c r="O682" s="145" t="str">
        <f>IFERROR(__xludf.DUMMYFUNCTION("""COMPUTED_VALUE"""),"Up Home")</f>
        <v>Up Home</v>
      </c>
      <c r="P682" t="str">
        <f>IFERROR(__xludf.DUMMYFUNCTION("""COMPUTED_VALUE"""),"Active")</f>
        <v>Active</v>
      </c>
      <c r="R682" s="143">
        <f>IFERROR(__xludf.DUMMYFUNCTION("""COMPUTED_VALUE"""),33731.0)</f>
        <v>33731</v>
      </c>
      <c r="S682" s="146" t="str">
        <f>IFERROR(__xludf.DUMMYFUNCTION("""COMPUTED_VALUE"""),"086 114 0197")</f>
        <v>086 114 0197</v>
      </c>
      <c r="T682" s="147" t="str">
        <f>IFERROR(__xludf.DUMMYFUNCTION("""COMPUTED_VALUE"""),"1509901-16-0018")</f>
        <v>1509901-16-0018</v>
      </c>
      <c r="U682" t="str">
        <f>IFERROR(__xludf.DUMMYFUNCTION("""COMPUTED_VALUE"""),"AD0699586")</f>
        <v>AD0699586</v>
      </c>
      <c r="V682" s="148">
        <f>IFERROR(__xludf.DUMMYFUNCTION("""COMPUTED_VALUE"""),44949.0)</f>
        <v>44949</v>
      </c>
      <c r="W682" s="148">
        <f>IFERROR(__xludf.DUMMYFUNCTION("""COMPUTED_VALUE"""),48601.0)</f>
        <v>48601</v>
      </c>
      <c r="X682" s="149">
        <f>IFERROR(__xludf.DUMMYFUNCTION("""COMPUTED_VALUE"""),48417.0)</f>
        <v>48417</v>
      </c>
      <c r="Y682" t="str">
        <f>IFERROR(__xludf.DUMMYFUNCTION("""COMPUTED_VALUE"""),"ปลอดภัย")</f>
        <v>ปลอดภัย</v>
      </c>
      <c r="Z682" t="str">
        <f>IFERROR(__xludf.DUMMYFUNCTION("""COMPUTED_VALUE"""),"Chiang Mai Province")</f>
        <v>Chiang Mai Province</v>
      </c>
      <c r="AA682" t="str">
        <f>IFERROR(__xludf.DUMMYFUNCTION("""COMPUTED_VALUE"""),"Phrakanong-Nua")</f>
        <v>Phrakanong-Nua</v>
      </c>
      <c r="AB682" t="str">
        <f>IFERROR(__xludf.DUMMYFUNCTION("""COMPUTED_VALUE"""),"089 555 9898")</f>
        <v>089 555 9898</v>
      </c>
      <c r="AC682" t="str">
        <f>IFERROR(__xludf.DUMMYFUNCTION("""COMPUTED_VALUE"""),"Wichan Kamrapit")</f>
        <v>Wichan Kamrapit</v>
      </c>
      <c r="AD682" t="str">
        <f>IFERROR(__xludf.DUMMYFUNCTION("""COMPUTED_VALUE"""),"sirawitk@airasia.com")</f>
        <v>sirawitk@airasia.com</v>
      </c>
    </row>
    <row r="683">
      <c r="A683" s="142">
        <f>IFERROR(__xludf.DUMMYFUNCTION("""COMPUTED_VALUE"""),78.0)</f>
        <v>78</v>
      </c>
      <c r="B683" t="str">
        <f>IFERROR(__xludf.DUMMYFUNCTION("""COMPUTED_VALUE"""),"TAA6720")</f>
        <v>TAA6720</v>
      </c>
      <c r="C683">
        <f>IFERROR(__xludf.DUMMYFUNCTION("""COMPUTED_VALUE"""),1014088.0)</f>
        <v>1014088</v>
      </c>
      <c r="D683" t="str">
        <f>IFERROR(__xludf.DUMMYFUNCTION("""COMPUTED_VALUE"""),"Ms.")</f>
        <v>Ms.</v>
      </c>
      <c r="E683" t="str">
        <f>IFERROR(__xludf.DUMMYFUNCTION("""COMPUTED_VALUE"""),"Supatchaya")</f>
        <v>Supatchaya</v>
      </c>
      <c r="F683" t="str">
        <f>IFERROR(__xludf.DUMMYFUNCTION("""COMPUTED_VALUE"""),"Buaprasertying")</f>
        <v>Buaprasertying</v>
      </c>
      <c r="G683" t="str">
        <f>IFERROR(__xludf.DUMMYFUNCTION("""COMPUTED_VALUE"""),"Supatchaya Buaprasertying")</f>
        <v>Supatchaya Buaprasertying</v>
      </c>
      <c r="H683" t="str">
        <f>IFERROR(__xludf.DUMMYFUNCTION("""COMPUTED_VALUE"""),"นางสาว")</f>
        <v>นางสาว</v>
      </c>
      <c r="I683" t="str">
        <f>IFERROR(__xludf.DUMMYFUNCTION("""COMPUTED_VALUE"""),"ศุภัชญา")</f>
        <v>ศุภัชญา</v>
      </c>
      <c r="J683" t="str">
        <f>IFERROR(__xludf.DUMMYFUNCTION("""COMPUTED_VALUE"""),"บัวประเสริฐยิ่ง")</f>
        <v>บัวประเสริฐยิ่ง</v>
      </c>
      <c r="K683" t="str">
        <f>IFERROR(__xludf.DUMMYFUNCTION("""COMPUTED_VALUE"""),"ศุภัชญา บัวประเสริฐยิ่ง")</f>
        <v>ศุภัชญา บัวประเสริฐยิ่ง</v>
      </c>
      <c r="L683" t="str">
        <f>IFERROR(__xludf.DUMMYFUNCTION("""COMPUTED_VALUE"""),"Cartoon / การ์ตูน")</f>
        <v>Cartoon / การ์ตูน</v>
      </c>
      <c r="M683" t="str">
        <f>IFERROR(__xludf.DUMMYFUNCTION("""COMPUTED_VALUE"""),"Cabin Crew - CNX")</f>
        <v>Cabin Crew - CNX</v>
      </c>
      <c r="N683" t="str">
        <f>IFERROR(__xludf.DUMMYFUNCTION("""COMPUTED_VALUE"""),"CNX")</f>
        <v>CNX</v>
      </c>
      <c r="O683" s="145" t="str">
        <f>IFERROR(__xludf.DUMMYFUNCTION("""COMPUTED_VALUE"""),"Up Home")</f>
        <v>Up Home</v>
      </c>
      <c r="P683" t="str">
        <f>IFERROR(__xludf.DUMMYFUNCTION("""COMPUTED_VALUE"""),"Active")</f>
        <v>Active</v>
      </c>
      <c r="R683" s="143">
        <f>IFERROR(__xludf.DUMMYFUNCTION("""COMPUTED_VALUE"""),33186.0)</f>
        <v>33186</v>
      </c>
      <c r="S683" s="146" t="str">
        <f>IFERROR(__xludf.DUMMYFUNCTION("""COMPUTED_VALUE"""),"091-8010990")</f>
        <v>091-8010990</v>
      </c>
      <c r="T683" s="147" t="str">
        <f>IFERROR(__xludf.DUMMYFUNCTION("""COMPUTED_VALUE"""),"1500500-07-8185")</f>
        <v>1500500-07-8185</v>
      </c>
      <c r="U683" t="str">
        <f>IFERROR(__xludf.DUMMYFUNCTION("""COMPUTED_VALUE"""),"AC7182179")</f>
        <v>AC7182179</v>
      </c>
      <c r="V683" s="148">
        <f>IFERROR(__xludf.DUMMYFUNCTION("""COMPUTED_VALUE"""),45504.0)</f>
        <v>45504</v>
      </c>
      <c r="W683" s="148">
        <f>IFERROR(__xludf.DUMMYFUNCTION("""COMPUTED_VALUE"""),49155.0)</f>
        <v>49155</v>
      </c>
      <c r="X683" s="149">
        <f>IFERROR(__xludf.DUMMYFUNCTION("""COMPUTED_VALUE"""),48974.0)</f>
        <v>48974</v>
      </c>
      <c r="Y683" t="str">
        <f>IFERROR(__xludf.DUMMYFUNCTION("""COMPUTED_VALUE"""),"ปลอดภัย")</f>
        <v>ปลอดภัย</v>
      </c>
      <c r="Z683" t="str">
        <f>IFERROR(__xludf.DUMMYFUNCTION("""COMPUTED_VALUE"""),"Chiang Mai Province")</f>
        <v>Chiang Mai Province</v>
      </c>
      <c r="AA683" t="str">
        <f>IFERROR(__xludf.DUMMYFUNCTION("""COMPUTED_VALUE"""),"Phayathai")</f>
        <v>Phayathai</v>
      </c>
      <c r="AB683" t="str">
        <f>IFERROR(__xludf.DUMMYFUNCTION("""COMPUTED_VALUE"""),"089 997 5525")</f>
        <v>089 997 5525</v>
      </c>
      <c r="AC683" t="str">
        <f>IFERROR(__xludf.DUMMYFUNCTION("""COMPUTED_VALUE"""),"Waewdao Buaprasertying (Mother)")</f>
        <v>Waewdao Buaprasertying (Mother)</v>
      </c>
      <c r="AD683" t="str">
        <f>IFERROR(__xludf.DUMMYFUNCTION("""COMPUTED_VALUE"""),"supatchayab@airasia.com")</f>
        <v>supatchayab@airasia.com</v>
      </c>
    </row>
    <row r="684">
      <c r="A684" s="142">
        <f>IFERROR(__xludf.DUMMYFUNCTION("""COMPUTED_VALUE"""),78.0)</f>
        <v>78</v>
      </c>
      <c r="B684" t="str">
        <f>IFERROR(__xludf.DUMMYFUNCTION("""COMPUTED_VALUE"""),"TAA6723")</f>
        <v>TAA6723</v>
      </c>
      <c r="C684">
        <f>IFERROR(__xludf.DUMMYFUNCTION("""COMPUTED_VALUE"""),1014092.0)</f>
        <v>1014092</v>
      </c>
      <c r="D684" t="str">
        <f>IFERROR(__xludf.DUMMYFUNCTION("""COMPUTED_VALUE"""),"Ms.")</f>
        <v>Ms.</v>
      </c>
      <c r="E684" t="str">
        <f>IFERROR(__xludf.DUMMYFUNCTION("""COMPUTED_VALUE"""),"Varatorn")</f>
        <v>Varatorn</v>
      </c>
      <c r="F684" t="str">
        <f>IFERROR(__xludf.DUMMYFUNCTION("""COMPUTED_VALUE"""),"Sitisarn")</f>
        <v>Sitisarn</v>
      </c>
      <c r="G684" t="str">
        <f>IFERROR(__xludf.DUMMYFUNCTION("""COMPUTED_VALUE"""),"Varatorn Sitisarn")</f>
        <v>Varatorn Sitisarn</v>
      </c>
      <c r="H684" t="str">
        <f>IFERROR(__xludf.DUMMYFUNCTION("""COMPUTED_VALUE"""),"นางสาว")</f>
        <v>นางสาว</v>
      </c>
      <c r="I684" t="str">
        <f>IFERROR(__xludf.DUMMYFUNCTION("""COMPUTED_VALUE"""),"วราทร")</f>
        <v>วราทร</v>
      </c>
      <c r="J684" t="str">
        <f>IFERROR(__xludf.DUMMYFUNCTION("""COMPUTED_VALUE"""),"สิทธิสาร")</f>
        <v>สิทธิสาร</v>
      </c>
      <c r="K684" t="str">
        <f>IFERROR(__xludf.DUMMYFUNCTION("""COMPUTED_VALUE"""),"วราทร สิทธิสาร")</f>
        <v>วราทร สิทธิสาร</v>
      </c>
      <c r="L684" t="str">
        <f>IFERROR(__xludf.DUMMYFUNCTION("""COMPUTED_VALUE"""),"Pim / พิม")</f>
        <v>Pim / พิม</v>
      </c>
      <c r="M684" t="str">
        <f>IFERROR(__xludf.DUMMYFUNCTION("""COMPUTED_VALUE"""),"Senior Cabin Crew")</f>
        <v>Senior Cabin Crew</v>
      </c>
      <c r="N684" t="str">
        <f>IFERROR(__xludf.DUMMYFUNCTION("""COMPUTED_VALUE"""),"DMK")</f>
        <v>DMK</v>
      </c>
      <c r="O684" s="145" t="str">
        <f>IFERROR(__xludf.DUMMYFUNCTION("""COMPUTED_VALUE"""),"Um Home")</f>
        <v>Um Home</v>
      </c>
      <c r="P684" t="str">
        <f>IFERROR(__xludf.DUMMYFUNCTION("""COMPUTED_VALUE"""),"Active")</f>
        <v>Active</v>
      </c>
      <c r="R684" s="143">
        <f>IFERROR(__xludf.DUMMYFUNCTION("""COMPUTED_VALUE"""),33870.0)</f>
        <v>33870</v>
      </c>
      <c r="S684" s="146" t="str">
        <f>IFERROR(__xludf.DUMMYFUNCTION("""COMPUTED_VALUE"""),"089 671 5414")</f>
        <v>089 671 5414</v>
      </c>
      <c r="T684" s="147" t="str">
        <f>IFERROR(__xludf.DUMMYFUNCTION("""COMPUTED_VALUE"""),"1103700-89-6759")</f>
        <v>1103700-89-6759</v>
      </c>
      <c r="U684" t="str">
        <f>IFERROR(__xludf.DUMMYFUNCTION("""COMPUTED_VALUE"""),"AD1525281")</f>
        <v>AD1525281</v>
      </c>
      <c r="V684" s="148">
        <f>IFERROR(__xludf.DUMMYFUNCTION("""COMPUTED_VALUE"""),45298.0)</f>
        <v>45298</v>
      </c>
      <c r="W684" s="148">
        <f>IFERROR(__xludf.DUMMYFUNCTION("""COMPUTED_VALUE"""),48950.0)</f>
        <v>48950</v>
      </c>
      <c r="X684" s="149">
        <f>IFERROR(__xludf.DUMMYFUNCTION("""COMPUTED_VALUE"""),48766.0)</f>
        <v>48766</v>
      </c>
      <c r="Y684" t="str">
        <f>IFERROR(__xludf.DUMMYFUNCTION("""COMPUTED_VALUE"""),"ปลอดภัย")</f>
        <v>ปลอดภัย</v>
      </c>
      <c r="Z684" t="str">
        <f>IFERROR(__xludf.DUMMYFUNCTION("""COMPUTED_VALUE"""),"Bangkok")</f>
        <v>Bangkok</v>
      </c>
      <c r="AA684" t="str">
        <f>IFERROR(__xludf.DUMMYFUNCTION("""COMPUTED_VALUE"""),"Nakornchaisri")</f>
        <v>Nakornchaisri</v>
      </c>
      <c r="AB684" t="str">
        <f>IFERROR(__xludf.DUMMYFUNCTION("""COMPUTED_VALUE"""),"081 732 3317")</f>
        <v>081 732 3317</v>
      </c>
      <c r="AC684" t="str">
        <f>IFERROR(__xludf.DUMMYFUNCTION("""COMPUTED_VALUE"""),"Morakot Sitisarn")</f>
        <v>Morakot Sitisarn</v>
      </c>
      <c r="AD684" t="str">
        <f>IFERROR(__xludf.DUMMYFUNCTION("""COMPUTED_VALUE"""),"varatorns@airasia.com")</f>
        <v>varatorns@airasia.com</v>
      </c>
    </row>
    <row r="685">
      <c r="AD685" t="str">
        <f>IFERROR(__xludf.DUMMYFUNCTION("""COMPUTED_VALUE"""),"")</f>
        <v/>
      </c>
    </row>
    <row r="686">
      <c r="A686" s="142">
        <f>IFERROR(__xludf.DUMMYFUNCTION("""COMPUTED_VALUE"""),79.0)</f>
        <v>79</v>
      </c>
      <c r="B686" t="str">
        <f>IFERROR(__xludf.DUMMYFUNCTION("""COMPUTED_VALUE"""),"TAA3602")</f>
        <v>TAA3602</v>
      </c>
      <c r="C686">
        <f>IFERROR(__xludf.DUMMYFUNCTION("""COMPUTED_VALUE"""),1005434.0)</f>
        <v>1005434</v>
      </c>
      <c r="D686" t="str">
        <f>IFERROR(__xludf.DUMMYFUNCTION("""COMPUTED_VALUE"""),"Ms.")</f>
        <v>Ms.</v>
      </c>
      <c r="E686" t="str">
        <f>IFERROR(__xludf.DUMMYFUNCTION("""COMPUTED_VALUE"""),"Kesinee")</f>
        <v>Kesinee</v>
      </c>
      <c r="F686" t="str">
        <f>IFERROR(__xludf.DUMMYFUNCTION("""COMPUTED_VALUE"""),"Kaewbut")</f>
        <v>Kaewbut</v>
      </c>
      <c r="G686" t="str">
        <f>IFERROR(__xludf.DUMMYFUNCTION("""COMPUTED_VALUE"""),"Kesinee Kaewbut")</f>
        <v>Kesinee Kaewbut</v>
      </c>
      <c r="H686" t="str">
        <f>IFERROR(__xludf.DUMMYFUNCTION("""COMPUTED_VALUE"""),"นางสาว")</f>
        <v>นางสาว</v>
      </c>
      <c r="I686" t="str">
        <f>IFERROR(__xludf.DUMMYFUNCTION("""COMPUTED_VALUE"""),"เกศิณีย์")</f>
        <v>เกศิณีย์</v>
      </c>
      <c r="J686" t="str">
        <f>IFERROR(__xludf.DUMMYFUNCTION("""COMPUTED_VALUE"""),"แก้วบุตร")</f>
        <v>แก้วบุตร</v>
      </c>
      <c r="K686" t="str">
        <f>IFERROR(__xludf.DUMMYFUNCTION("""COMPUTED_VALUE"""),"เกศิณีย์ แก้วบุตร")</f>
        <v>เกศิณีย์ แก้วบุตร</v>
      </c>
      <c r="L686" t="str">
        <f>IFERROR(__xludf.DUMMYFUNCTION("""COMPUTED_VALUE"""),"yui/ยุ้ย")</f>
        <v>yui/ยุ้ย</v>
      </c>
      <c r="M686" t="str">
        <f>IFERROR(__xludf.DUMMYFUNCTION("""COMPUTED_VALUE"""),"Cabin Crew - CNX")</f>
        <v>Cabin Crew - CNX</v>
      </c>
      <c r="N686" t="str">
        <f>IFERROR(__xludf.DUMMYFUNCTION("""COMPUTED_VALUE"""),"CNX")</f>
        <v>CNX</v>
      </c>
      <c r="O686" s="145" t="str">
        <f>IFERROR(__xludf.DUMMYFUNCTION("""COMPUTED_VALUE"""),"Up Home")</f>
        <v>Up Home</v>
      </c>
      <c r="P686" t="str">
        <f>IFERROR(__xludf.DUMMYFUNCTION("""COMPUTED_VALUE"""),"Active")</f>
        <v>Active</v>
      </c>
      <c r="R686" s="143">
        <f>IFERROR(__xludf.DUMMYFUNCTION("""COMPUTED_VALUE"""),31761.0)</f>
        <v>31761</v>
      </c>
      <c r="S686" s="146" t="str">
        <f>IFERROR(__xludf.DUMMYFUNCTION("""COMPUTED_VALUE"""),"094-4232695")</f>
        <v>094-4232695</v>
      </c>
      <c r="T686" s="147" t="str">
        <f>IFERROR(__xludf.DUMMYFUNCTION("""COMPUTED_VALUE"""),"1 5299 00203 86 4")</f>
        <v>1 5299 00203 86 4</v>
      </c>
      <c r="U686" t="str">
        <f>IFERROR(__xludf.DUMMYFUNCTION("""COMPUTED_VALUE"""),"AC2631112")</f>
        <v>AC2631112</v>
      </c>
      <c r="V686" s="148">
        <f>IFERROR(__xludf.DUMMYFUNCTION("""COMPUTED_VALUE"""),44917.0)</f>
        <v>44917</v>
      </c>
      <c r="W686" s="148">
        <f>IFERROR(__xludf.DUMMYFUNCTION("""COMPUTED_VALUE"""),48203.0)</f>
        <v>48203</v>
      </c>
      <c r="X686" s="149">
        <f>IFERROR(__xludf.DUMMYFUNCTION("""COMPUTED_VALUE"""),48020.0)</f>
        <v>48020</v>
      </c>
      <c r="Y686" t="str">
        <f>IFERROR(__xludf.DUMMYFUNCTION("""COMPUTED_VALUE"""),"ปลอดภัย")</f>
        <v>ปลอดภัย</v>
      </c>
      <c r="Z686" t="str">
        <f>IFERROR(__xludf.DUMMYFUNCTION("""COMPUTED_VALUE"""),"Lampang Province")</f>
        <v>Lampang Province</v>
      </c>
      <c r="AA686" t="str">
        <f>IFERROR(__xludf.DUMMYFUNCTION("""COMPUTED_VALUE"""),"Ladkrabang")</f>
        <v>Ladkrabang</v>
      </c>
      <c r="AB686" t="str">
        <f>IFERROR(__xludf.DUMMYFUNCTION("""COMPUTED_VALUE"""),"095 947 4553/ 094 879 6454")</f>
        <v>095 947 4553/ 094 879 6454</v>
      </c>
      <c r="AC686" t="str">
        <f>IFERROR(__xludf.DUMMYFUNCTION("""COMPUTED_VALUE"""),"Noppakul Sakornchonlatarn (Friend)")</f>
        <v>Noppakul Sakornchonlatarn (Friend)</v>
      </c>
      <c r="AD686" t="str">
        <f>IFERROR(__xludf.DUMMYFUNCTION("""COMPUTED_VALUE"""),"kesineek@airasia.com")</f>
        <v>kesineek@airasia.com</v>
      </c>
    </row>
    <row r="687">
      <c r="A687" s="142">
        <f>IFERROR(__xludf.DUMMYFUNCTION("""COMPUTED_VALUE"""),79.0)</f>
        <v>79</v>
      </c>
      <c r="B687" t="str">
        <f>IFERROR(__xludf.DUMMYFUNCTION("""COMPUTED_VALUE"""),"TAA4429")</f>
        <v>TAA4429</v>
      </c>
      <c r="C687">
        <f>IFERROR(__xludf.DUMMYFUNCTION("""COMPUTED_VALUE"""),1006960.0)</f>
        <v>1006960</v>
      </c>
      <c r="D687" t="str">
        <f>IFERROR(__xludf.DUMMYFUNCTION("""COMPUTED_VALUE"""),"Ms.")</f>
        <v>Ms.</v>
      </c>
      <c r="E687" t="str">
        <f>IFERROR(__xludf.DUMMYFUNCTION("""COMPUTED_VALUE"""),"Natnicha")</f>
        <v>Natnicha</v>
      </c>
      <c r="F687" t="str">
        <f>IFERROR(__xludf.DUMMYFUNCTION("""COMPUTED_VALUE"""),"Chumnuan")</f>
        <v>Chumnuan</v>
      </c>
      <c r="G687" t="str">
        <f>IFERROR(__xludf.DUMMYFUNCTION("""COMPUTED_VALUE"""),"Natnicha Chumnuan")</f>
        <v>Natnicha Chumnuan</v>
      </c>
      <c r="H687" t="str">
        <f>IFERROR(__xludf.DUMMYFUNCTION("""COMPUTED_VALUE"""),"นางสาว")</f>
        <v>นางสาว</v>
      </c>
      <c r="I687" t="str">
        <f>IFERROR(__xludf.DUMMYFUNCTION("""COMPUTED_VALUE"""),"ณัฐณิชา")</f>
        <v>ณัฐณิชา</v>
      </c>
      <c r="J687" t="str">
        <f>IFERROR(__xludf.DUMMYFUNCTION("""COMPUTED_VALUE"""),"ชุมนวน")</f>
        <v>ชุมนวน</v>
      </c>
      <c r="K687" t="str">
        <f>IFERROR(__xludf.DUMMYFUNCTION("""COMPUTED_VALUE"""),"ณัฐณิชา ชุมนวน")</f>
        <v>ณัฐณิชา ชุมนวน</v>
      </c>
      <c r="L687" t="str">
        <f>IFERROR(__xludf.DUMMYFUNCTION("""COMPUTED_VALUE"""),"Gam/แก้ม")</f>
        <v>Gam/แก้ม</v>
      </c>
      <c r="M687" t="str">
        <f>IFERROR(__xludf.DUMMYFUNCTION("""COMPUTED_VALUE"""),"Cabin Crew")</f>
        <v>Cabin Crew</v>
      </c>
      <c r="N687" t="str">
        <f>IFERROR(__xludf.DUMMYFUNCTION("""COMPUTED_VALUE"""),"DMK")</f>
        <v>DMK</v>
      </c>
      <c r="O687" s="145" t="str">
        <f>IFERROR(__xludf.DUMMYFUNCTION("""COMPUTED_VALUE"""),"Kor Home")</f>
        <v>Kor Home</v>
      </c>
      <c r="P687" t="str">
        <f>IFERROR(__xludf.DUMMYFUNCTION("""COMPUTED_VALUE"""),"Active")</f>
        <v>Active</v>
      </c>
      <c r="R687" s="143">
        <f>IFERROR(__xludf.DUMMYFUNCTION("""COMPUTED_VALUE"""),33178.0)</f>
        <v>33178</v>
      </c>
      <c r="S687" s="146" t="str">
        <f>IFERROR(__xludf.DUMMYFUNCTION("""COMPUTED_VALUE"""),"093-1407197")</f>
        <v>093-1407197</v>
      </c>
      <c r="T687" s="147" t="str">
        <f>IFERROR(__xludf.DUMMYFUNCTION("""COMPUTED_VALUE"""),"2 8399 00022 88 1")</f>
        <v>2 8399 00022 88 1</v>
      </c>
      <c r="U687" t="str">
        <f>IFERROR(__xludf.DUMMYFUNCTION("""COMPUTED_VALUE"""),"AC5771888")</f>
        <v>AC5771888</v>
      </c>
      <c r="V687" s="148">
        <f>IFERROR(__xludf.DUMMYFUNCTION("""COMPUTED_VALUE"""),45215.0)</f>
        <v>45215</v>
      </c>
      <c r="W687" s="148">
        <f>IFERROR(__xludf.DUMMYFUNCTION("""COMPUTED_VALUE"""),48867.0)</f>
        <v>48867</v>
      </c>
      <c r="X687" s="149">
        <f>IFERROR(__xludf.DUMMYFUNCTION("""COMPUTED_VALUE"""),48684.0)</f>
        <v>48684</v>
      </c>
      <c r="Y687" t="str">
        <f>IFERROR(__xludf.DUMMYFUNCTION("""COMPUTED_VALUE"""),"ปลอดภัย")</f>
        <v>ปลอดภัย</v>
      </c>
      <c r="Z687" t="str">
        <f>IFERROR(__xludf.DUMMYFUNCTION("""COMPUTED_VALUE"""),"Phuket Province")</f>
        <v>Phuket Province</v>
      </c>
      <c r="AA687" t="str">
        <f>IFERROR(__xludf.DUMMYFUNCTION("""COMPUTED_VALUE"""),"Phuket")</f>
        <v>Phuket</v>
      </c>
      <c r="AB687" t="str">
        <f>IFERROR(__xludf.DUMMYFUNCTION("""COMPUTED_VALUE"""),"081 477 4454")</f>
        <v>081 477 4454</v>
      </c>
      <c r="AC687" t="str">
        <f>IFERROR(__xludf.DUMMYFUNCTION("""COMPUTED_VALUE"""),"Varaporn Rattanapatoomwong(Mother)")</f>
        <v>Varaporn Rattanapatoomwong(Mother)</v>
      </c>
      <c r="AD687" t="str">
        <f>IFERROR(__xludf.DUMMYFUNCTION("""COMPUTED_VALUE"""),"natnichac@airasia.com")</f>
        <v>natnichac@airasia.com</v>
      </c>
    </row>
    <row r="688">
      <c r="A688" s="142">
        <f>IFERROR(__xludf.DUMMYFUNCTION("""COMPUTED_VALUE"""),79.0)</f>
        <v>79</v>
      </c>
      <c r="B688" t="str">
        <f>IFERROR(__xludf.DUMMYFUNCTION("""COMPUTED_VALUE"""),"TAA4659")</f>
        <v>TAA4659</v>
      </c>
      <c r="C688">
        <f>IFERROR(__xludf.DUMMYFUNCTION("""COMPUTED_VALUE"""),1007181.0)</f>
        <v>1007181</v>
      </c>
      <c r="D688" t="str">
        <f>IFERROR(__xludf.DUMMYFUNCTION("""COMPUTED_VALUE"""),"Ms.")</f>
        <v>Ms.</v>
      </c>
      <c r="E688" t="str">
        <f>IFERROR(__xludf.DUMMYFUNCTION("""COMPUTED_VALUE"""),"Warisara")</f>
        <v>Warisara</v>
      </c>
      <c r="F688" t="str">
        <f>IFERROR(__xludf.DUMMYFUNCTION("""COMPUTED_VALUE"""),"Sutta")</f>
        <v>Sutta</v>
      </c>
      <c r="G688" t="str">
        <f>IFERROR(__xludf.DUMMYFUNCTION("""COMPUTED_VALUE"""),"Warisara Sutta")</f>
        <v>Warisara Sutta</v>
      </c>
      <c r="H688" t="str">
        <f>IFERROR(__xludf.DUMMYFUNCTION("""COMPUTED_VALUE"""),"นางสาว")</f>
        <v>นางสาว</v>
      </c>
      <c r="I688" t="str">
        <f>IFERROR(__xludf.DUMMYFUNCTION("""COMPUTED_VALUE"""),"วริศรา")</f>
        <v>วริศรา</v>
      </c>
      <c r="J688" t="str">
        <f>IFERROR(__xludf.DUMMYFUNCTION("""COMPUTED_VALUE"""),"สุดตา")</f>
        <v>สุดตา</v>
      </c>
      <c r="K688" t="str">
        <f>IFERROR(__xludf.DUMMYFUNCTION("""COMPUTED_VALUE"""),"วริศรา สุดตา")</f>
        <v>วริศรา สุดตา</v>
      </c>
      <c r="L688" t="str">
        <f>IFERROR(__xludf.DUMMYFUNCTION("""COMPUTED_VALUE"""),"Mc/แมค")</f>
        <v>Mc/แมค</v>
      </c>
      <c r="M688" t="str">
        <f>IFERROR(__xludf.DUMMYFUNCTION("""COMPUTED_VALUE"""),"Senior Cabin Crew")</f>
        <v>Senior Cabin Crew</v>
      </c>
      <c r="N688" t="str">
        <f>IFERROR(__xludf.DUMMYFUNCTION("""COMPUTED_VALUE"""),"DMK")</f>
        <v>DMK</v>
      </c>
      <c r="O688" s="145" t="str">
        <f>IFERROR(__xludf.DUMMYFUNCTION("""COMPUTED_VALUE"""),"Por+ Home")</f>
        <v>Por+ Home</v>
      </c>
      <c r="P688" t="str">
        <f>IFERROR(__xludf.DUMMYFUNCTION("""COMPUTED_VALUE"""),"Active")</f>
        <v>Active</v>
      </c>
      <c r="R688" s="143">
        <f>IFERROR(__xludf.DUMMYFUNCTION("""COMPUTED_VALUE"""),33555.0)</f>
        <v>33555</v>
      </c>
      <c r="S688" s="146" t="str">
        <f>IFERROR(__xludf.DUMMYFUNCTION("""COMPUTED_VALUE"""),"089-5249538")</f>
        <v>089-5249538</v>
      </c>
      <c r="T688" s="147" t="str">
        <f>IFERROR(__xludf.DUMMYFUNCTION("""COMPUTED_VALUE"""),"1 1031 00094 80 5")</f>
        <v>1 1031 00094 80 5</v>
      </c>
      <c r="U688" t="str">
        <f>IFERROR(__xludf.DUMMYFUNCTION("""COMPUTED_VALUE"""),"AC2966734")</f>
        <v>AC2966734</v>
      </c>
      <c r="V688" s="148">
        <f>IFERROR(__xludf.DUMMYFUNCTION("""COMPUTED_VALUE"""),44643.0)</f>
        <v>44643</v>
      </c>
      <c r="W688" s="148">
        <f>IFERROR(__xludf.DUMMYFUNCTION("""COMPUTED_VALUE"""),48295.0)</f>
        <v>48295</v>
      </c>
      <c r="X688" s="149">
        <f>IFERROR(__xludf.DUMMYFUNCTION("""COMPUTED_VALUE"""),48113.0)</f>
        <v>48113</v>
      </c>
      <c r="Y688" t="str">
        <f>IFERROR(__xludf.DUMMYFUNCTION("""COMPUTED_VALUE"""),"ปลอดภัย")</f>
        <v>ปลอดภัย</v>
      </c>
      <c r="Z688" t="str">
        <f>IFERROR(__xludf.DUMMYFUNCTION("""COMPUTED_VALUE"""),"Bangkok")</f>
        <v>Bangkok</v>
      </c>
      <c r="AA688" t="str">
        <f>IFERROR(__xludf.DUMMYFUNCTION("""COMPUTED_VALUE"""),"Donmueang")</f>
        <v>Donmueang</v>
      </c>
      <c r="AB688" t="str">
        <f>IFERROR(__xludf.DUMMYFUNCTION("""COMPUTED_VALUE"""),"093 186 2012")</f>
        <v>093 186 2012</v>
      </c>
      <c r="AC688" t="str">
        <f>IFERROR(__xludf.DUMMYFUNCTION("""COMPUTED_VALUE"""),"Chanya Sudta(Mother)")</f>
        <v>Chanya Sudta(Mother)</v>
      </c>
      <c r="AD688" t="str">
        <f>IFERROR(__xludf.DUMMYFUNCTION("""COMPUTED_VALUE"""),"warisaras@airasia.com")</f>
        <v>warisaras@airasia.com</v>
      </c>
    </row>
    <row r="689">
      <c r="A689" s="142">
        <f>IFERROR(__xludf.DUMMYFUNCTION("""COMPUTED_VALUE"""),79.0)</f>
        <v>79</v>
      </c>
      <c r="B689" t="str">
        <f>IFERROR(__xludf.DUMMYFUNCTION("""COMPUTED_VALUE"""),"TAA6871")</f>
        <v>TAA6871</v>
      </c>
      <c r="C689">
        <f>IFERROR(__xludf.DUMMYFUNCTION("""COMPUTED_VALUE"""),1014308.0)</f>
        <v>1014308</v>
      </c>
      <c r="D689" t="str">
        <f>IFERROR(__xludf.DUMMYFUNCTION("""COMPUTED_VALUE"""),"Ms.")</f>
        <v>Ms.</v>
      </c>
      <c r="E689" t="str">
        <f>IFERROR(__xludf.DUMMYFUNCTION("""COMPUTED_VALUE"""),"Asama")</f>
        <v>Asama</v>
      </c>
      <c r="F689" t="str">
        <f>IFERROR(__xludf.DUMMYFUNCTION("""COMPUTED_VALUE"""),"Thunyavacharakul")</f>
        <v>Thunyavacharakul</v>
      </c>
      <c r="G689" t="str">
        <f>IFERROR(__xludf.DUMMYFUNCTION("""COMPUTED_VALUE"""),"Asama Thunyavacharakul")</f>
        <v>Asama Thunyavacharakul</v>
      </c>
      <c r="H689" t="str">
        <f>IFERROR(__xludf.DUMMYFUNCTION("""COMPUTED_VALUE"""),"นางสาว")</f>
        <v>นางสาว</v>
      </c>
      <c r="I689" t="str">
        <f>IFERROR(__xludf.DUMMYFUNCTION("""COMPUTED_VALUE"""),"อสมา")</f>
        <v>อสมา</v>
      </c>
      <c r="J689" t="str">
        <f>IFERROR(__xludf.DUMMYFUNCTION("""COMPUTED_VALUE"""),"ธัญญวัชรกุล")</f>
        <v>ธัญญวัชรกุล</v>
      </c>
      <c r="K689" t="str">
        <f>IFERROR(__xludf.DUMMYFUNCTION("""COMPUTED_VALUE"""),"อสมา ธัญญวัชรกุล")</f>
        <v>อสมา ธัญญวัชรกุล</v>
      </c>
      <c r="L689" t="str">
        <f>IFERROR(__xludf.DUMMYFUNCTION("""COMPUTED_VALUE"""),"Jha/จ๋า")</f>
        <v>Jha/จ๋า</v>
      </c>
      <c r="M689" t="str">
        <f>IFERROR(__xludf.DUMMYFUNCTION("""COMPUTED_VALUE"""),"Cabin Crew")</f>
        <v>Cabin Crew</v>
      </c>
      <c r="N689" t="str">
        <f>IFERROR(__xludf.DUMMYFUNCTION("""COMPUTED_VALUE"""),"DMK")</f>
        <v>DMK</v>
      </c>
      <c r="O689" s="145" t="str">
        <f>IFERROR(__xludf.DUMMYFUNCTION("""COMPUTED_VALUE"""),"Up Home")</f>
        <v>Up Home</v>
      </c>
      <c r="P689" t="str">
        <f>IFERROR(__xludf.DUMMYFUNCTION("""COMPUTED_VALUE"""),"Active")</f>
        <v>Active</v>
      </c>
      <c r="Q689" t="str">
        <f>IFERROR(__xludf.DUMMYFUNCTION("""COMPUTED_VALUE"""),"Chinese Speaking")</f>
        <v>Chinese Speaking</v>
      </c>
      <c r="R689" s="143">
        <f>IFERROR(__xludf.DUMMYFUNCTION("""COMPUTED_VALUE"""),32961.0)</f>
        <v>32961</v>
      </c>
      <c r="S689" s="146" t="str">
        <f>IFERROR(__xludf.DUMMYFUNCTION("""COMPUTED_VALUE"""),"081-6946315")</f>
        <v>081-6946315</v>
      </c>
      <c r="T689" s="147" t="str">
        <f>IFERROR(__xludf.DUMMYFUNCTION("""COMPUTED_VALUE"""),"1 1004 00447 59 0")</f>
        <v>1 1004 00447 59 0</v>
      </c>
      <c r="U689" t="str">
        <f>IFERROR(__xludf.DUMMYFUNCTION("""COMPUTED_VALUE"""),"AC2881472")</f>
        <v>AC2881472</v>
      </c>
      <c r="V689" s="148">
        <f>IFERROR(__xludf.DUMMYFUNCTION("""COMPUTED_VALUE"""),44609.0)</f>
        <v>44609</v>
      </c>
      <c r="W689" s="148">
        <f>IFERROR(__xludf.DUMMYFUNCTION("""COMPUTED_VALUE"""),48260.0)</f>
        <v>48260</v>
      </c>
      <c r="X689" s="149">
        <f>IFERROR(__xludf.DUMMYFUNCTION("""COMPUTED_VALUE"""),48076.0)</f>
        <v>48076</v>
      </c>
      <c r="Y689" t="str">
        <f>IFERROR(__xludf.DUMMYFUNCTION("""COMPUTED_VALUE"""),"ปลอดภัย")</f>
        <v>ปลอดภัย</v>
      </c>
      <c r="Z689" t="str">
        <f>IFERROR(__xludf.DUMMYFUNCTION("""COMPUTED_VALUE"""),"Bangkok")</f>
        <v>Bangkok</v>
      </c>
      <c r="AA689" t="str">
        <f>IFERROR(__xludf.DUMMYFUNCTION("""COMPUTED_VALUE"""),"Bangkhen")</f>
        <v>Bangkhen</v>
      </c>
      <c r="AB689" t="str">
        <f>IFERROR(__xludf.DUMMYFUNCTION("""COMPUTED_VALUE"""),"081 645 5808")</f>
        <v>081 645 5808</v>
      </c>
      <c r="AC689" t="str">
        <f>IFERROR(__xludf.DUMMYFUNCTION("""COMPUTED_VALUE"""),"Sopha Thunyavacharakul (Mother)")</f>
        <v>Sopha Thunyavacharakul (Mother)</v>
      </c>
      <c r="AD689" t="str">
        <f>IFERROR(__xludf.DUMMYFUNCTION("""COMPUTED_VALUE"""),"asamat@airasia.com")</f>
        <v>asamat@airasia.com</v>
      </c>
    </row>
    <row r="690">
      <c r="A690" s="142">
        <f>IFERROR(__xludf.DUMMYFUNCTION("""COMPUTED_VALUE"""),79.0)</f>
        <v>79</v>
      </c>
      <c r="B690" t="str">
        <f>IFERROR(__xludf.DUMMYFUNCTION("""COMPUTED_VALUE"""),"TAA6867")</f>
        <v>TAA6867</v>
      </c>
      <c r="C690">
        <f>IFERROR(__xludf.DUMMYFUNCTION("""COMPUTED_VALUE"""),1014312.0)</f>
        <v>1014312</v>
      </c>
      <c r="D690" t="str">
        <f>IFERROR(__xludf.DUMMYFUNCTION("""COMPUTED_VALUE"""),"Ms.")</f>
        <v>Ms.</v>
      </c>
      <c r="E690" t="str">
        <f>IFERROR(__xludf.DUMMYFUNCTION("""COMPUTED_VALUE"""),"Chadaporn")</f>
        <v>Chadaporn</v>
      </c>
      <c r="F690" t="str">
        <f>IFERROR(__xludf.DUMMYFUNCTION("""COMPUTED_VALUE"""),"Pliankham")</f>
        <v>Pliankham</v>
      </c>
      <c r="G690" t="str">
        <f>IFERROR(__xludf.DUMMYFUNCTION("""COMPUTED_VALUE"""),"Chadaporn Pliankham")</f>
        <v>Chadaporn Pliankham</v>
      </c>
      <c r="H690" t="str">
        <f>IFERROR(__xludf.DUMMYFUNCTION("""COMPUTED_VALUE"""),"นางสาว")</f>
        <v>นางสาว</v>
      </c>
      <c r="I690" t="str">
        <f>IFERROR(__xludf.DUMMYFUNCTION("""COMPUTED_VALUE"""),"ชฎาพร")</f>
        <v>ชฎาพร</v>
      </c>
      <c r="J690" t="str">
        <f>IFERROR(__xludf.DUMMYFUNCTION("""COMPUTED_VALUE"""),"เปลี่ยนขำ")</f>
        <v>เปลี่ยนขำ</v>
      </c>
      <c r="K690" t="str">
        <f>IFERROR(__xludf.DUMMYFUNCTION("""COMPUTED_VALUE"""),"ชฎาพร เปลี่ยนขำ")</f>
        <v>ชฎาพร เปลี่ยนขำ</v>
      </c>
      <c r="L690" t="str">
        <f>IFERROR(__xludf.DUMMYFUNCTION("""COMPUTED_VALUE"""),"Whan/หวาน")</f>
        <v>Whan/หวาน</v>
      </c>
      <c r="M690" t="str">
        <f>IFERROR(__xludf.DUMMYFUNCTION("""COMPUTED_VALUE"""),"Cabin Crew")</f>
        <v>Cabin Crew</v>
      </c>
      <c r="N690" t="str">
        <f>IFERROR(__xludf.DUMMYFUNCTION("""COMPUTED_VALUE"""),"DMK")</f>
        <v>DMK</v>
      </c>
      <c r="O690" s="145" t="str">
        <f>IFERROR(__xludf.DUMMYFUNCTION("""COMPUTED_VALUE"""),"Namfon Home")</f>
        <v>Namfon Home</v>
      </c>
      <c r="P690" t="str">
        <f>IFERROR(__xludf.DUMMYFUNCTION("""COMPUTED_VALUE"""),"Active")</f>
        <v>Active</v>
      </c>
      <c r="Q690" t="str">
        <f>IFERROR(__xludf.DUMMYFUNCTION("""COMPUTED_VALUE"""),"Chinese Speaking")</f>
        <v>Chinese Speaking</v>
      </c>
      <c r="R690" s="143">
        <f>IFERROR(__xludf.DUMMYFUNCTION("""COMPUTED_VALUE"""),32736.0)</f>
        <v>32736</v>
      </c>
      <c r="S690" s="146" t="str">
        <f>IFERROR(__xludf.DUMMYFUNCTION("""COMPUTED_VALUE"""),"095-551-4995")</f>
        <v>095-551-4995</v>
      </c>
      <c r="T690" s="147" t="str">
        <f>IFERROR(__xludf.DUMMYFUNCTION("""COMPUTED_VALUE"""),"1 7499 00186 98 4")</f>
        <v>1 7499 00186 98 4</v>
      </c>
      <c r="U690" t="str">
        <f>IFERROR(__xludf.DUMMYFUNCTION("""COMPUTED_VALUE"""),"AC6681913")</f>
        <v>AC6681913</v>
      </c>
      <c r="V690" s="148">
        <f>IFERROR(__xludf.DUMMYFUNCTION("""COMPUTED_VALUE"""),45404.0)</f>
        <v>45404</v>
      </c>
      <c r="W690" s="148">
        <f>IFERROR(__xludf.DUMMYFUNCTION("""COMPUTED_VALUE"""),49055.0)</f>
        <v>49055</v>
      </c>
      <c r="X690" s="149">
        <f>IFERROR(__xludf.DUMMYFUNCTION("""COMPUTED_VALUE"""),48873.0)</f>
        <v>48873</v>
      </c>
      <c r="Y690" t="str">
        <f>IFERROR(__xludf.DUMMYFUNCTION("""COMPUTED_VALUE"""),"ปลอดภัย")</f>
        <v>ปลอดภัย</v>
      </c>
      <c r="Z690" t="str">
        <f>IFERROR(__xludf.DUMMYFUNCTION("""COMPUTED_VALUE"""),"Samut Sakhon Province")</f>
        <v>Samut Sakhon Province</v>
      </c>
      <c r="AA690" t="str">
        <f>IFERROR(__xludf.DUMMYFUNCTION("""COMPUTED_VALUE"""),"Rama2")</f>
        <v>Rama2</v>
      </c>
      <c r="AB690" t="str">
        <f>IFERROR(__xludf.DUMMYFUNCTION("""COMPUTED_VALUE"""),"081 489 4268")</f>
        <v>081 489 4268</v>
      </c>
      <c r="AC690" t="str">
        <f>IFERROR(__xludf.DUMMYFUNCTION("""COMPUTED_VALUE"""),"Chatchawan Pliankham (Father)")</f>
        <v>Chatchawan Pliankham (Father)</v>
      </c>
      <c r="AD690" t="str">
        <f>IFERROR(__xludf.DUMMYFUNCTION("""COMPUTED_VALUE"""),"chadapornl@airasia.com")</f>
        <v>chadapornl@airasia.com</v>
      </c>
    </row>
    <row r="691">
      <c r="A691" s="142">
        <f>IFERROR(__xludf.DUMMYFUNCTION("""COMPUTED_VALUE"""),79.0)</f>
        <v>79</v>
      </c>
      <c r="B691" t="str">
        <f>IFERROR(__xludf.DUMMYFUNCTION("""COMPUTED_VALUE"""),"TAA6864")</f>
        <v>TAA6864</v>
      </c>
      <c r="C691">
        <f>IFERROR(__xludf.DUMMYFUNCTION("""COMPUTED_VALUE"""),1014313.0)</f>
        <v>1014313</v>
      </c>
      <c r="D691" t="str">
        <f>IFERROR(__xludf.DUMMYFUNCTION("""COMPUTED_VALUE"""),"Mr.")</f>
        <v>Mr.</v>
      </c>
      <c r="E691" t="str">
        <f>IFERROR(__xludf.DUMMYFUNCTION("""COMPUTED_VALUE"""),"Chatchon")</f>
        <v>Chatchon</v>
      </c>
      <c r="F691" t="str">
        <f>IFERROR(__xludf.DUMMYFUNCTION("""COMPUTED_VALUE"""),"Kawinkul")</f>
        <v>Kawinkul</v>
      </c>
      <c r="G691" t="str">
        <f>IFERROR(__xludf.DUMMYFUNCTION("""COMPUTED_VALUE"""),"Chatchon Kawinkul")</f>
        <v>Chatchon Kawinkul</v>
      </c>
      <c r="H691" t="str">
        <f>IFERROR(__xludf.DUMMYFUNCTION("""COMPUTED_VALUE"""),"นาย")</f>
        <v>นาย</v>
      </c>
      <c r="I691" t="str">
        <f>IFERROR(__xludf.DUMMYFUNCTION("""COMPUTED_VALUE"""),"ชัชชล")</f>
        <v>ชัชชล</v>
      </c>
      <c r="J691" t="str">
        <f>IFERROR(__xludf.DUMMYFUNCTION("""COMPUTED_VALUE"""),"กวินกุล")</f>
        <v>กวินกุล</v>
      </c>
      <c r="K691" t="str">
        <f>IFERROR(__xludf.DUMMYFUNCTION("""COMPUTED_VALUE"""),"ชัชชล กวินกุล")</f>
        <v>ชัชชล กวินกุล</v>
      </c>
      <c r="L691" t="str">
        <f>IFERROR(__xludf.DUMMYFUNCTION("""COMPUTED_VALUE"""),"Dees/ดีส")</f>
        <v>Dees/ดีส</v>
      </c>
      <c r="M691" t="str">
        <f>IFERROR(__xludf.DUMMYFUNCTION("""COMPUTED_VALUE"""),"Cabin Crew - CNX")</f>
        <v>Cabin Crew - CNX</v>
      </c>
      <c r="N691" t="str">
        <f>IFERROR(__xludf.DUMMYFUNCTION("""COMPUTED_VALUE"""),"CNX")</f>
        <v>CNX</v>
      </c>
      <c r="O691" s="145" t="str">
        <f>IFERROR(__xludf.DUMMYFUNCTION("""COMPUTED_VALUE"""),"Up Home")</f>
        <v>Up Home</v>
      </c>
      <c r="P691" t="str">
        <f>IFERROR(__xludf.DUMMYFUNCTION("""COMPUTED_VALUE"""),"Active")</f>
        <v>Active</v>
      </c>
      <c r="Q691" t="str">
        <f>IFERROR(__xludf.DUMMYFUNCTION("""COMPUTED_VALUE"""),"Chinese Speaking")</f>
        <v>Chinese Speaking</v>
      </c>
      <c r="R691" s="143">
        <f>IFERROR(__xludf.DUMMYFUNCTION("""COMPUTED_VALUE"""),34040.0)</f>
        <v>34040</v>
      </c>
      <c r="S691" s="146" t="str">
        <f>IFERROR(__xludf.DUMMYFUNCTION("""COMPUTED_VALUE"""),"087-3023673")</f>
        <v>087-3023673</v>
      </c>
      <c r="T691" s="147" t="str">
        <f>IFERROR(__xludf.DUMMYFUNCTION("""COMPUTED_VALUE"""),"1 5099 01271 22 7")</f>
        <v>1 5099 01271 22 7</v>
      </c>
      <c r="U691" t="str">
        <f>IFERROR(__xludf.DUMMYFUNCTION("""COMPUTED_VALUE"""),"AC3662236")</f>
        <v>AC3662236</v>
      </c>
      <c r="V691" s="148">
        <f>IFERROR(__xludf.DUMMYFUNCTION("""COMPUTED_VALUE"""),44764.0)</f>
        <v>44764</v>
      </c>
      <c r="W691" s="148">
        <f>IFERROR(__xludf.DUMMYFUNCTION("""COMPUTED_VALUE"""),48416.0)</f>
        <v>48416</v>
      </c>
      <c r="X691" s="149">
        <f>IFERROR(__xludf.DUMMYFUNCTION("""COMPUTED_VALUE"""),48234.0)</f>
        <v>48234</v>
      </c>
      <c r="Y691" t="str">
        <f>IFERROR(__xludf.DUMMYFUNCTION("""COMPUTED_VALUE"""),"ปลอดภัย")</f>
        <v>ปลอดภัย</v>
      </c>
      <c r="Z691" t="str">
        <f>IFERROR(__xludf.DUMMYFUNCTION("""COMPUTED_VALUE"""),"Chiang Mai Province")</f>
        <v>Chiang Mai Province</v>
      </c>
      <c r="AA691" t="str">
        <f>IFERROR(__xludf.DUMMYFUNCTION("""COMPUTED_VALUE"""),"Chiang Mai")</f>
        <v>Chiang Mai</v>
      </c>
      <c r="AB691" t="str">
        <f>IFERROR(__xludf.DUMMYFUNCTION("""COMPUTED_VALUE"""),"087 182 6251")</f>
        <v>087 182 6251</v>
      </c>
      <c r="AC691" t="str">
        <f>IFERROR(__xludf.DUMMYFUNCTION("""COMPUTED_VALUE"""),"Ornanong Kawinkul (Mother)")</f>
        <v>Ornanong Kawinkul (Mother)</v>
      </c>
      <c r="AD691" t="str">
        <f>IFERROR(__xludf.DUMMYFUNCTION("""COMPUTED_VALUE"""),"chatchonk@airasia.com")</f>
        <v>chatchonk@airasia.com</v>
      </c>
    </row>
    <row r="692">
      <c r="A692" s="142">
        <f>IFERROR(__xludf.DUMMYFUNCTION("""COMPUTED_VALUE"""),79.0)</f>
        <v>79</v>
      </c>
      <c r="B692" t="str">
        <f>IFERROR(__xludf.DUMMYFUNCTION("""COMPUTED_VALUE"""),"TAA6858")</f>
        <v>TAA6858</v>
      </c>
      <c r="C692">
        <f>IFERROR(__xludf.DUMMYFUNCTION("""COMPUTED_VALUE"""),1014316.0)</f>
        <v>1014316</v>
      </c>
      <c r="D692" t="str">
        <f>IFERROR(__xludf.DUMMYFUNCTION("""COMPUTED_VALUE"""),"Mr.")</f>
        <v>Mr.</v>
      </c>
      <c r="E692" t="str">
        <f>IFERROR(__xludf.DUMMYFUNCTION("""COMPUTED_VALUE"""),"Eakapol")</f>
        <v>Eakapol</v>
      </c>
      <c r="F692" t="str">
        <f>IFERROR(__xludf.DUMMYFUNCTION("""COMPUTED_VALUE"""),"Tuncharoen")</f>
        <v>Tuncharoen</v>
      </c>
      <c r="G692" t="str">
        <f>IFERROR(__xludf.DUMMYFUNCTION("""COMPUTED_VALUE"""),"Eakapol Tuncharoen")</f>
        <v>Eakapol Tuncharoen</v>
      </c>
      <c r="H692" t="str">
        <f>IFERROR(__xludf.DUMMYFUNCTION("""COMPUTED_VALUE"""),"นาย")</f>
        <v>นาย</v>
      </c>
      <c r="I692" t="str">
        <f>IFERROR(__xludf.DUMMYFUNCTION("""COMPUTED_VALUE"""),"เอกพล")</f>
        <v>เอกพล</v>
      </c>
      <c r="J692" t="str">
        <f>IFERROR(__xludf.DUMMYFUNCTION("""COMPUTED_VALUE"""),"ตันเจริญ")</f>
        <v>ตันเจริญ</v>
      </c>
      <c r="K692" t="str">
        <f>IFERROR(__xludf.DUMMYFUNCTION("""COMPUTED_VALUE"""),"เอกพล ตันเจริญ")</f>
        <v>เอกพล ตันเจริญ</v>
      </c>
      <c r="L692" t="str">
        <f>IFERROR(__xludf.DUMMYFUNCTION("""COMPUTED_VALUE"""),"Golf/กอล์ฟ")</f>
        <v>Golf/กอล์ฟ</v>
      </c>
      <c r="M692" t="str">
        <f>IFERROR(__xludf.DUMMYFUNCTION("""COMPUTED_VALUE"""),"Senior Cabin Crew")</f>
        <v>Senior Cabin Crew</v>
      </c>
      <c r="N692" t="str">
        <f>IFERROR(__xludf.DUMMYFUNCTION("""COMPUTED_VALUE"""),"DMK")</f>
        <v>DMK</v>
      </c>
      <c r="O692" s="145" t="str">
        <f>IFERROR(__xludf.DUMMYFUNCTION("""COMPUTED_VALUE"""),"Um Home")</f>
        <v>Um Home</v>
      </c>
      <c r="P692" t="str">
        <f>IFERROR(__xludf.DUMMYFUNCTION("""COMPUTED_VALUE"""),"V/LWP")</f>
        <v>V/LWP</v>
      </c>
      <c r="Q692" t="str">
        <f>IFERROR(__xludf.DUMMYFUNCTION("""COMPUTED_VALUE"""),"Chinese Speaking")</f>
        <v>Chinese Speaking</v>
      </c>
      <c r="R692" s="143">
        <f>IFERROR(__xludf.DUMMYFUNCTION("""COMPUTED_VALUE"""),33196.0)</f>
        <v>33196</v>
      </c>
      <c r="S692" s="146" t="str">
        <f>IFERROR(__xludf.DUMMYFUNCTION("""COMPUTED_VALUE"""),"065-192-8935")</f>
        <v>065-192-8935</v>
      </c>
      <c r="T692" s="147" t="str">
        <f>IFERROR(__xludf.DUMMYFUNCTION("""COMPUTED_VALUE"""),"1 1008 00650 01 5")</f>
        <v>1 1008 00650 01 5</v>
      </c>
      <c r="U692" t="str">
        <f>IFERROR(__xludf.DUMMYFUNCTION("""COMPUTED_VALUE"""),"AC4644554")</f>
        <v>AC4644554</v>
      </c>
      <c r="V692" s="148">
        <f>IFERROR(__xludf.DUMMYFUNCTION("""COMPUTED_VALUE"""),44994.0)</f>
        <v>44994</v>
      </c>
      <c r="W692" s="148">
        <f>IFERROR(__xludf.DUMMYFUNCTION("""COMPUTED_VALUE"""),48646.0)</f>
        <v>48646</v>
      </c>
      <c r="X692" s="149">
        <f>IFERROR(__xludf.DUMMYFUNCTION("""COMPUTED_VALUE"""),48465.0)</f>
        <v>48465</v>
      </c>
      <c r="Y692" t="str">
        <f>IFERROR(__xludf.DUMMYFUNCTION("""COMPUTED_VALUE"""),"ปลอดภัย")</f>
        <v>ปลอดภัย</v>
      </c>
      <c r="Z692" t="str">
        <f>IFERROR(__xludf.DUMMYFUNCTION("""COMPUTED_VALUE"""),"Bangkok")</f>
        <v>Bangkok</v>
      </c>
      <c r="AA692" t="str">
        <f>IFERROR(__xludf.DUMMYFUNCTION("""COMPUTED_VALUE"""),"PatumThani")</f>
        <v>PatumThani</v>
      </c>
      <c r="AB692" t="str">
        <f>IFERROR(__xludf.DUMMYFUNCTION("""COMPUTED_VALUE"""),"086 411 4103")</f>
        <v>086 411 4103</v>
      </c>
      <c r="AC692" t="str">
        <f>IFERROR(__xludf.DUMMYFUNCTION("""COMPUTED_VALUE"""),"Kulisara Pakkingmuang(Mother)")</f>
        <v>Kulisara Pakkingmuang(Mother)</v>
      </c>
      <c r="AD692" t="str">
        <f>IFERROR(__xludf.DUMMYFUNCTION("""COMPUTED_VALUE"""),"eakapolt@airasia.com")</f>
        <v>eakapolt@airasia.com</v>
      </c>
    </row>
    <row r="693">
      <c r="A693" s="142">
        <f>IFERROR(__xludf.DUMMYFUNCTION("""COMPUTED_VALUE"""),79.0)</f>
        <v>79</v>
      </c>
      <c r="B693" t="str">
        <f>IFERROR(__xludf.DUMMYFUNCTION("""COMPUTED_VALUE"""),"TAA6866")</f>
        <v>TAA6866</v>
      </c>
      <c r="C693">
        <f>IFERROR(__xludf.DUMMYFUNCTION("""COMPUTED_VALUE"""),1014327.0)</f>
        <v>1014327</v>
      </c>
      <c r="D693" t="str">
        <f>IFERROR(__xludf.DUMMYFUNCTION("""COMPUTED_VALUE"""),"Mr.")</f>
        <v>Mr.</v>
      </c>
      <c r="E693" t="str">
        <f>IFERROR(__xludf.DUMMYFUNCTION("""COMPUTED_VALUE"""),"Jirapong")</f>
        <v>Jirapong</v>
      </c>
      <c r="F693" t="str">
        <f>IFERROR(__xludf.DUMMYFUNCTION("""COMPUTED_VALUE"""),"Paisarnsupakit")</f>
        <v>Paisarnsupakit</v>
      </c>
      <c r="G693" t="str">
        <f>IFERROR(__xludf.DUMMYFUNCTION("""COMPUTED_VALUE"""),"Jirapong Paisarnsupakit")</f>
        <v>Jirapong Paisarnsupakit</v>
      </c>
      <c r="H693" t="str">
        <f>IFERROR(__xludf.DUMMYFUNCTION("""COMPUTED_VALUE"""),"นาย")</f>
        <v>นาย</v>
      </c>
      <c r="I693" t="str">
        <f>IFERROR(__xludf.DUMMYFUNCTION("""COMPUTED_VALUE"""),"จิรพงษ์")</f>
        <v>จิรพงษ์</v>
      </c>
      <c r="J693" t="str">
        <f>IFERROR(__xludf.DUMMYFUNCTION("""COMPUTED_VALUE"""),"ไพศาลศุภกิจ")</f>
        <v>ไพศาลศุภกิจ</v>
      </c>
      <c r="K693" t="str">
        <f>IFERROR(__xludf.DUMMYFUNCTION("""COMPUTED_VALUE"""),"จิรพงษ์ ไพศาลศุภกิจ")</f>
        <v>จิรพงษ์ ไพศาลศุภกิจ</v>
      </c>
      <c r="L693" t="str">
        <f>IFERROR(__xludf.DUMMYFUNCTION("""COMPUTED_VALUE"""),"Kai/ไก่")</f>
        <v>Kai/ไก่</v>
      </c>
      <c r="M693" t="str">
        <f>IFERROR(__xludf.DUMMYFUNCTION("""COMPUTED_VALUE"""),"Cabin Crew - CNX")</f>
        <v>Cabin Crew - CNX</v>
      </c>
      <c r="N693" t="str">
        <f>IFERROR(__xludf.DUMMYFUNCTION("""COMPUTED_VALUE"""),"CNX")</f>
        <v>CNX</v>
      </c>
      <c r="O693" s="145" t="str">
        <f>IFERROR(__xludf.DUMMYFUNCTION("""COMPUTED_VALUE"""),"Up Home")</f>
        <v>Up Home</v>
      </c>
      <c r="P693" t="str">
        <f>IFERROR(__xludf.DUMMYFUNCTION("""COMPUTED_VALUE"""),"Active")</f>
        <v>Active</v>
      </c>
      <c r="Q693" t="str">
        <f>IFERROR(__xludf.DUMMYFUNCTION("""COMPUTED_VALUE"""),"Chinese Speaking")</f>
        <v>Chinese Speaking</v>
      </c>
      <c r="R693" s="143">
        <f>IFERROR(__xludf.DUMMYFUNCTION("""COMPUTED_VALUE"""),33559.0)</f>
        <v>33559</v>
      </c>
      <c r="S693" s="146" t="str">
        <f>IFERROR(__xludf.DUMMYFUNCTION("""COMPUTED_VALUE"""),"062-3895515")</f>
        <v>062-3895515</v>
      </c>
      <c r="T693" s="147" t="str">
        <f>IFERROR(__xludf.DUMMYFUNCTION("""COMPUTED_VALUE"""),"1 5099 01092 67 5")</f>
        <v>1 5099 01092 67 5</v>
      </c>
      <c r="U693" t="str">
        <f>IFERROR(__xludf.DUMMYFUNCTION("""COMPUTED_VALUE"""),"AC7933425")</f>
        <v>AC7933425</v>
      </c>
      <c r="V693" s="148">
        <f>IFERROR(__xludf.DUMMYFUNCTION("""COMPUTED_VALUE"""),45667.0)</f>
        <v>45667</v>
      </c>
      <c r="W693" s="148">
        <f>IFERROR(__xludf.DUMMYFUNCTION("""COMPUTED_VALUE"""),49318.0)</f>
        <v>49318</v>
      </c>
      <c r="X693" s="149">
        <f>IFERROR(__xludf.DUMMYFUNCTION("""COMPUTED_VALUE"""),49134.0)</f>
        <v>49134</v>
      </c>
      <c r="Y693" t="str">
        <f>IFERROR(__xludf.DUMMYFUNCTION("""COMPUTED_VALUE"""),"ปลอดภัย")</f>
        <v>ปลอดภัย</v>
      </c>
      <c r="Z693" t="str">
        <f>IFERROR(__xludf.DUMMYFUNCTION("""COMPUTED_VALUE"""),"Chiang Mai Province")</f>
        <v>Chiang Mai Province</v>
      </c>
      <c r="AA693" t="str">
        <f>IFERROR(__xludf.DUMMYFUNCTION("""COMPUTED_VALUE"""),"Chiang Mai")</f>
        <v>Chiang Mai</v>
      </c>
      <c r="AB693" t="str">
        <f>IFERROR(__xludf.DUMMYFUNCTION("""COMPUTED_VALUE"""),"089 429 4270")</f>
        <v>089 429 4270</v>
      </c>
      <c r="AC693" t="str">
        <f>IFERROR(__xludf.DUMMYFUNCTION("""COMPUTED_VALUE"""),"Tarathip Paisarnsupakit (Sister)")</f>
        <v>Tarathip Paisarnsupakit (Sister)</v>
      </c>
      <c r="AD693" t="str">
        <f>IFERROR(__xludf.DUMMYFUNCTION("""COMPUTED_VALUE"""),"jirapongp@airasia.com")</f>
        <v>jirapongp@airasia.com</v>
      </c>
    </row>
    <row r="694">
      <c r="A694" s="142">
        <f>IFERROR(__xludf.DUMMYFUNCTION("""COMPUTED_VALUE"""),79.0)</f>
        <v>79</v>
      </c>
      <c r="B694" t="str">
        <f>IFERROR(__xludf.DUMMYFUNCTION("""COMPUTED_VALUE"""),"TAA6870")</f>
        <v>TAA6870</v>
      </c>
      <c r="C694">
        <f>IFERROR(__xludf.DUMMYFUNCTION("""COMPUTED_VALUE"""),1014329.0)</f>
        <v>1014329</v>
      </c>
      <c r="D694" t="str">
        <f>IFERROR(__xludf.DUMMYFUNCTION("""COMPUTED_VALUE"""),"Ms.")</f>
        <v>Ms.</v>
      </c>
      <c r="E694" t="str">
        <f>IFERROR(__xludf.DUMMYFUNCTION("""COMPUTED_VALUE"""),"Kanicha")</f>
        <v>Kanicha</v>
      </c>
      <c r="F694" t="str">
        <f>IFERROR(__xludf.DUMMYFUNCTION("""COMPUTED_VALUE"""),"Sae-toen")</f>
        <v>Sae-toen</v>
      </c>
      <c r="G694" t="str">
        <f>IFERROR(__xludf.DUMMYFUNCTION("""COMPUTED_VALUE"""),"Kanicha Sae-toen")</f>
        <v>Kanicha Sae-toen</v>
      </c>
      <c r="H694" t="str">
        <f>IFERROR(__xludf.DUMMYFUNCTION("""COMPUTED_VALUE"""),"นางสาว")</f>
        <v>นางสาว</v>
      </c>
      <c r="I694" t="str">
        <f>IFERROR(__xludf.DUMMYFUNCTION("""COMPUTED_VALUE"""),"ขณิชา")</f>
        <v>ขณิชา</v>
      </c>
      <c r="J694" t="str">
        <f>IFERROR(__xludf.DUMMYFUNCTION("""COMPUTED_VALUE"""),"แซ่เติ๋น")</f>
        <v>แซ่เติ๋น</v>
      </c>
      <c r="K694" t="str">
        <f>IFERROR(__xludf.DUMMYFUNCTION("""COMPUTED_VALUE"""),"ขณิชา แซ่เติ๋น")</f>
        <v>ขณิชา แซ่เติ๋น</v>
      </c>
      <c r="L694" t="str">
        <f>IFERROR(__xludf.DUMMYFUNCTION("""COMPUTED_VALUE"""),"Tye/ต่าย")</f>
        <v>Tye/ต่าย</v>
      </c>
      <c r="M694" t="str">
        <f>IFERROR(__xludf.DUMMYFUNCTION("""COMPUTED_VALUE"""),"Cabin Crew")</f>
        <v>Cabin Crew</v>
      </c>
      <c r="N694" t="str">
        <f>IFERROR(__xludf.DUMMYFUNCTION("""COMPUTED_VALUE"""),"DMK")</f>
        <v>DMK</v>
      </c>
      <c r="O694" s="145" t="str">
        <f>IFERROR(__xludf.DUMMYFUNCTION("""COMPUTED_VALUE"""),"Kor Home")</f>
        <v>Kor Home</v>
      </c>
      <c r="P694" t="str">
        <f>IFERROR(__xludf.DUMMYFUNCTION("""COMPUTED_VALUE"""),"MATL")</f>
        <v>MATL</v>
      </c>
      <c r="Q694" t="str">
        <f>IFERROR(__xludf.DUMMYFUNCTION("""COMPUTED_VALUE"""),"Chinese Speaking")</f>
        <v>Chinese Speaking</v>
      </c>
      <c r="R694" s="143">
        <f>IFERROR(__xludf.DUMMYFUNCTION("""COMPUTED_VALUE"""),33276.0)</f>
        <v>33276</v>
      </c>
      <c r="S694" s="146" t="str">
        <f>IFERROR(__xludf.DUMMYFUNCTION("""COMPUTED_VALUE"""),"096-3255638")</f>
        <v>096-3255638</v>
      </c>
      <c r="T694" s="147" t="str">
        <f>IFERROR(__xludf.DUMMYFUNCTION("""COMPUTED_VALUE"""),"1 1037 00379 95 9")</f>
        <v>1 1037 00379 95 9</v>
      </c>
      <c r="U694" t="str">
        <f>IFERROR(__xludf.DUMMYFUNCTION("""COMPUTED_VALUE"""),"AC2864864")</f>
        <v>AC2864864</v>
      </c>
      <c r="V694" s="148">
        <f>IFERROR(__xludf.DUMMYFUNCTION("""COMPUTED_VALUE"""),44599.0)</f>
        <v>44599</v>
      </c>
      <c r="W694" s="148">
        <f>IFERROR(__xludf.DUMMYFUNCTION("""COMPUTED_VALUE"""),48250.0)</f>
        <v>48250</v>
      </c>
      <c r="X694" s="149">
        <f>IFERROR(__xludf.DUMMYFUNCTION("""COMPUTED_VALUE"""),48066.0)</f>
        <v>48066</v>
      </c>
      <c r="Y694" t="str">
        <f>IFERROR(__xludf.DUMMYFUNCTION("""COMPUTED_VALUE"""),"ปลอดภัย")</f>
        <v>ปลอดภัย</v>
      </c>
      <c r="Z694" t="str">
        <f>IFERROR(__xludf.DUMMYFUNCTION("""COMPUTED_VALUE"""),"Bangkok")</f>
        <v>Bangkok</v>
      </c>
      <c r="AA694" t="str">
        <f>IFERROR(__xludf.DUMMYFUNCTION("""COMPUTED_VALUE"""),"Khohong")</f>
        <v>Khohong</v>
      </c>
      <c r="AB694" t="str">
        <f>IFERROR(__xludf.DUMMYFUNCTION("""COMPUTED_VALUE"""),"086 957 6452")</f>
        <v>086 957 6452</v>
      </c>
      <c r="AC694" t="str">
        <f>IFERROR(__xludf.DUMMYFUNCTION("""COMPUTED_VALUE"""),"Mayuree Sae-toen (Mother)")</f>
        <v>Mayuree Sae-toen (Mother)</v>
      </c>
      <c r="AD694" t="str">
        <f>IFERROR(__xludf.DUMMYFUNCTION("""COMPUTED_VALUE"""),"kanichas@airasia.com")</f>
        <v>kanichas@airasia.com</v>
      </c>
    </row>
    <row r="695">
      <c r="A695" s="142">
        <f>IFERROR(__xludf.DUMMYFUNCTION("""COMPUTED_VALUE"""),79.0)</f>
        <v>79</v>
      </c>
      <c r="B695" t="str">
        <f>IFERROR(__xludf.DUMMYFUNCTION("""COMPUTED_VALUE"""),"TAA6860")</f>
        <v>TAA6860</v>
      </c>
      <c r="C695">
        <f>IFERROR(__xludf.DUMMYFUNCTION("""COMPUTED_VALUE"""),1014346.0)</f>
        <v>1014346</v>
      </c>
      <c r="D695" t="str">
        <f>IFERROR(__xludf.DUMMYFUNCTION("""COMPUTED_VALUE"""),"Mr.")</f>
        <v>Mr.</v>
      </c>
      <c r="E695" t="str">
        <f>IFERROR(__xludf.DUMMYFUNCTION("""COMPUTED_VALUE"""),"Narongchai")</f>
        <v>Narongchai</v>
      </c>
      <c r="F695" t="str">
        <f>IFERROR(__xludf.DUMMYFUNCTION("""COMPUTED_VALUE"""),"Mongkolchartthai")</f>
        <v>Mongkolchartthai</v>
      </c>
      <c r="G695" t="str">
        <f>IFERROR(__xludf.DUMMYFUNCTION("""COMPUTED_VALUE"""),"Narongchai Mongkolchartthai")</f>
        <v>Narongchai Mongkolchartthai</v>
      </c>
      <c r="H695" t="str">
        <f>IFERROR(__xludf.DUMMYFUNCTION("""COMPUTED_VALUE"""),"นาย")</f>
        <v>นาย</v>
      </c>
      <c r="I695" t="str">
        <f>IFERROR(__xludf.DUMMYFUNCTION("""COMPUTED_VALUE"""),"ณรงค์ชัย")</f>
        <v>ณรงค์ชัย</v>
      </c>
      <c r="J695" t="str">
        <f>IFERROR(__xludf.DUMMYFUNCTION("""COMPUTED_VALUE"""),"มงคลชาติไทย")</f>
        <v>มงคลชาติไทย</v>
      </c>
      <c r="K695" t="str">
        <f>IFERROR(__xludf.DUMMYFUNCTION("""COMPUTED_VALUE"""),"ณรงค์ชัย มงคลชาติไทย")</f>
        <v>ณรงค์ชัย มงคลชาติไทย</v>
      </c>
      <c r="L695" t="str">
        <f>IFERROR(__xludf.DUMMYFUNCTION("""COMPUTED_VALUE"""),"Tom/ต้อม")</f>
        <v>Tom/ต้อม</v>
      </c>
      <c r="M695" t="str">
        <f>IFERROR(__xludf.DUMMYFUNCTION("""COMPUTED_VALUE"""),"Cabin Crew")</f>
        <v>Cabin Crew</v>
      </c>
      <c r="N695" t="str">
        <f>IFERROR(__xludf.DUMMYFUNCTION("""COMPUTED_VALUE"""),"DMK")</f>
        <v>DMK</v>
      </c>
      <c r="O695" s="145" t="str">
        <f>IFERROR(__xludf.DUMMYFUNCTION("""COMPUTED_VALUE"""),"Toffy Home")</f>
        <v>Toffy Home</v>
      </c>
      <c r="P695" t="str">
        <f>IFERROR(__xludf.DUMMYFUNCTION("""COMPUTED_VALUE"""),"Active")</f>
        <v>Active</v>
      </c>
      <c r="Q695" t="str">
        <f>IFERROR(__xludf.DUMMYFUNCTION("""COMPUTED_VALUE"""),"Chinese Speaking")</f>
        <v>Chinese Speaking</v>
      </c>
      <c r="R695" s="143">
        <f>IFERROR(__xludf.DUMMYFUNCTION("""COMPUTED_VALUE"""),33212.0)</f>
        <v>33212</v>
      </c>
      <c r="S695" s="146" t="str">
        <f>IFERROR(__xludf.DUMMYFUNCTION("""COMPUTED_VALUE"""),"098-492-9656")</f>
        <v>098-492-9656</v>
      </c>
      <c r="T695" s="147" t="str">
        <f>IFERROR(__xludf.DUMMYFUNCTION("""COMPUTED_VALUE"""),"1 1006 00199 10 7")</f>
        <v>1 1006 00199 10 7</v>
      </c>
      <c r="U695" t="str">
        <f>IFERROR(__xludf.DUMMYFUNCTION("""COMPUTED_VALUE"""),"AC4644553")</f>
        <v>AC4644553</v>
      </c>
      <c r="V695" s="148">
        <f>IFERROR(__xludf.DUMMYFUNCTION("""COMPUTED_VALUE"""),44994.0)</f>
        <v>44994</v>
      </c>
      <c r="W695" s="148">
        <f>IFERROR(__xludf.DUMMYFUNCTION("""COMPUTED_VALUE"""),48646.0)</f>
        <v>48646</v>
      </c>
      <c r="X695" s="149">
        <f>IFERROR(__xludf.DUMMYFUNCTION("""COMPUTED_VALUE"""),48465.0)</f>
        <v>48465</v>
      </c>
      <c r="Y695" t="str">
        <f>IFERROR(__xludf.DUMMYFUNCTION("""COMPUTED_VALUE"""),"ปลอดภัย")</f>
        <v>ปลอดภัย</v>
      </c>
      <c r="Z695" t="str">
        <f>IFERROR(__xludf.DUMMYFUNCTION("""COMPUTED_VALUE"""),"Bangkok")</f>
        <v>Bangkok</v>
      </c>
      <c r="AA695" t="str">
        <f>IFERROR(__xludf.DUMMYFUNCTION("""COMPUTED_VALUE"""),"Saphansung")</f>
        <v>Saphansung</v>
      </c>
      <c r="AB695" t="str">
        <f>IFERROR(__xludf.DUMMYFUNCTION("""COMPUTED_VALUE"""),"061 561 9694")</f>
        <v>061 561 9694</v>
      </c>
      <c r="AC695" t="str">
        <f>IFERROR(__xludf.DUMMYFUNCTION("""COMPUTED_VALUE"""),"Pongnapat (Brother)")</f>
        <v>Pongnapat (Brother)</v>
      </c>
      <c r="AD695" t="str">
        <f>IFERROR(__xludf.DUMMYFUNCTION("""COMPUTED_VALUE"""),"narongchaim@airasia.com")</f>
        <v>narongchaim@airasia.com</v>
      </c>
    </row>
    <row r="696">
      <c r="A696" s="142">
        <f>IFERROR(__xludf.DUMMYFUNCTION("""COMPUTED_VALUE"""),79.0)</f>
        <v>79</v>
      </c>
      <c r="B696" t="str">
        <f>IFERROR(__xludf.DUMMYFUNCTION("""COMPUTED_VALUE"""),"TAA6862")</f>
        <v>TAA6862</v>
      </c>
      <c r="C696">
        <f>IFERROR(__xludf.DUMMYFUNCTION("""COMPUTED_VALUE"""),1014353.0)</f>
        <v>1014353</v>
      </c>
      <c r="D696" t="str">
        <f>IFERROR(__xludf.DUMMYFUNCTION("""COMPUTED_VALUE"""),"Ms.")</f>
        <v>Ms.</v>
      </c>
      <c r="E696" t="str">
        <f>IFERROR(__xludf.DUMMYFUNCTION("""COMPUTED_VALUE"""),"Pornnapat")</f>
        <v>Pornnapat</v>
      </c>
      <c r="F696" t="str">
        <f>IFERROR(__xludf.DUMMYFUNCTION("""COMPUTED_VALUE"""),"Kittimontreechai")</f>
        <v>Kittimontreechai</v>
      </c>
      <c r="G696" t="str">
        <f>IFERROR(__xludf.DUMMYFUNCTION("""COMPUTED_VALUE"""),"Pornnapat Kittimontreechai")</f>
        <v>Pornnapat Kittimontreechai</v>
      </c>
      <c r="H696" t="str">
        <f>IFERROR(__xludf.DUMMYFUNCTION("""COMPUTED_VALUE"""),"นางสาว")</f>
        <v>นางสาว</v>
      </c>
      <c r="I696" t="str">
        <f>IFERROR(__xludf.DUMMYFUNCTION("""COMPUTED_VALUE"""),"พรนภัส")</f>
        <v>พรนภัส</v>
      </c>
      <c r="J696" t="str">
        <f>IFERROR(__xludf.DUMMYFUNCTION("""COMPUTED_VALUE"""),"กิตติมนตรีชัย")</f>
        <v>กิตติมนตรีชัย</v>
      </c>
      <c r="K696" t="str">
        <f>IFERROR(__xludf.DUMMYFUNCTION("""COMPUTED_VALUE"""),"พรนภัส กิตติมนตรีชัย")</f>
        <v>พรนภัส กิตติมนตรีชัย</v>
      </c>
      <c r="L696" t="str">
        <f>IFERROR(__xludf.DUMMYFUNCTION("""COMPUTED_VALUE"""),"Amy/เอมี่")</f>
        <v>Amy/เอมี่</v>
      </c>
      <c r="M696" t="str">
        <f>IFERROR(__xludf.DUMMYFUNCTION("""COMPUTED_VALUE"""),"Cabin Crew")</f>
        <v>Cabin Crew</v>
      </c>
      <c r="N696" t="str">
        <f>IFERROR(__xludf.DUMMYFUNCTION("""COMPUTED_VALUE"""),"DMK")</f>
        <v>DMK</v>
      </c>
      <c r="O696" s="145" t="str">
        <f>IFERROR(__xludf.DUMMYFUNCTION("""COMPUTED_VALUE"""),"Toffy Home")</f>
        <v>Toffy Home</v>
      </c>
      <c r="P696" t="str">
        <f>IFERROR(__xludf.DUMMYFUNCTION("""COMPUTED_VALUE"""),"Active")</f>
        <v>Active</v>
      </c>
      <c r="Q696" t="str">
        <f>IFERROR(__xludf.DUMMYFUNCTION("""COMPUTED_VALUE"""),"Chinese Speaking")</f>
        <v>Chinese Speaking</v>
      </c>
      <c r="R696" s="143">
        <f>IFERROR(__xludf.DUMMYFUNCTION("""COMPUTED_VALUE"""),32650.0)</f>
        <v>32650</v>
      </c>
      <c r="S696" s="146" t="str">
        <f>IFERROR(__xludf.DUMMYFUNCTION("""COMPUTED_VALUE"""),"085-664-6660")</f>
        <v>085-664-6660</v>
      </c>
      <c r="T696" s="147" t="str">
        <f>IFERROR(__xludf.DUMMYFUNCTION("""COMPUTED_VALUE"""),"1 1008 00517 00 5")</f>
        <v>1 1008 00517 00 5</v>
      </c>
      <c r="U696" t="str">
        <f>IFERROR(__xludf.DUMMYFUNCTION("""COMPUTED_VALUE"""),"AC7448397")</f>
        <v>AC7448397</v>
      </c>
      <c r="V696" s="148">
        <f>IFERROR(__xludf.DUMMYFUNCTION("""COMPUTED_VALUE"""),45587.0)</f>
        <v>45587</v>
      </c>
      <c r="W696" s="148">
        <f>IFERROR(__xludf.DUMMYFUNCTION("""COMPUTED_VALUE"""),49238.0)</f>
        <v>49238</v>
      </c>
      <c r="X696" s="149">
        <f>IFERROR(__xludf.DUMMYFUNCTION("""COMPUTED_VALUE"""),49055.0)</f>
        <v>49055</v>
      </c>
      <c r="Y696" t="str">
        <f>IFERROR(__xludf.DUMMYFUNCTION("""COMPUTED_VALUE"""),"ปลอดภัย")</f>
        <v>ปลอดภัย</v>
      </c>
      <c r="Z696" t="str">
        <f>IFERROR(__xludf.DUMMYFUNCTION("""COMPUTED_VALUE"""),"Bangkok")</f>
        <v>Bangkok</v>
      </c>
      <c r="AA696" t="str">
        <f>IFERROR(__xludf.DUMMYFUNCTION("""COMPUTED_VALUE"""),"Nonthaburi")</f>
        <v>Nonthaburi</v>
      </c>
      <c r="AB696" t="str">
        <f>IFERROR(__xludf.DUMMYFUNCTION("""COMPUTED_VALUE"""),"084 439 6231")</f>
        <v>084 439 6231</v>
      </c>
      <c r="AC696" t="str">
        <f>IFERROR(__xludf.DUMMYFUNCTION("""COMPUTED_VALUE"""),"Somchai (Father)")</f>
        <v>Somchai (Father)</v>
      </c>
      <c r="AD696" t="str">
        <f>IFERROR(__xludf.DUMMYFUNCTION("""COMPUTED_VALUE"""),"pornnapatk@airasia.com")</f>
        <v>pornnapatk@airasia.com</v>
      </c>
    </row>
    <row r="697">
      <c r="A697" s="142">
        <f>IFERROR(__xludf.DUMMYFUNCTION("""COMPUTED_VALUE"""),79.0)</f>
        <v>79</v>
      </c>
      <c r="B697" t="str">
        <f>IFERROR(__xludf.DUMMYFUNCTION("""COMPUTED_VALUE"""),"TAA6863")</f>
        <v>TAA6863</v>
      </c>
      <c r="C697">
        <f>IFERROR(__xludf.DUMMYFUNCTION("""COMPUTED_VALUE"""),1014359.0)</f>
        <v>1014359</v>
      </c>
      <c r="D697" t="str">
        <f>IFERROR(__xludf.DUMMYFUNCTION("""COMPUTED_VALUE"""),"Ms.")</f>
        <v>Ms.</v>
      </c>
      <c r="E697" t="str">
        <f>IFERROR(__xludf.DUMMYFUNCTION("""COMPUTED_VALUE"""),"Rattiporn")</f>
        <v>Rattiporn</v>
      </c>
      <c r="F697" t="str">
        <f>IFERROR(__xludf.DUMMYFUNCTION("""COMPUTED_VALUE"""),"Thongarch")</f>
        <v>Thongarch</v>
      </c>
      <c r="G697" t="str">
        <f>IFERROR(__xludf.DUMMYFUNCTION("""COMPUTED_VALUE"""),"Rattiporn Thongarch")</f>
        <v>Rattiporn Thongarch</v>
      </c>
      <c r="H697" t="str">
        <f>IFERROR(__xludf.DUMMYFUNCTION("""COMPUTED_VALUE"""),"นางสาว")</f>
        <v>นางสาว</v>
      </c>
      <c r="I697" t="str">
        <f>IFERROR(__xludf.DUMMYFUNCTION("""COMPUTED_VALUE"""),"รัชติภรณ์")</f>
        <v>รัชติภรณ์</v>
      </c>
      <c r="J697" t="str">
        <f>IFERROR(__xludf.DUMMYFUNCTION("""COMPUTED_VALUE"""),"ธงอาจ")</f>
        <v>ธงอาจ</v>
      </c>
      <c r="K697" t="str">
        <f>IFERROR(__xludf.DUMMYFUNCTION("""COMPUTED_VALUE"""),"รัชติภรณ์ ธงอาจ")</f>
        <v>รัชติภรณ์ ธงอาจ</v>
      </c>
      <c r="L697" t="str">
        <f>IFERROR(__xludf.DUMMYFUNCTION("""COMPUTED_VALUE"""),"Bew/บิว")</f>
        <v>Bew/บิว</v>
      </c>
      <c r="M697" t="str">
        <f>IFERROR(__xludf.DUMMYFUNCTION("""COMPUTED_VALUE"""),"Cabin Crew")</f>
        <v>Cabin Crew</v>
      </c>
      <c r="N697" t="str">
        <f>IFERROR(__xludf.DUMMYFUNCTION("""COMPUTED_VALUE"""),"DMK")</f>
        <v>DMK</v>
      </c>
      <c r="O697" s="145" t="str">
        <f>IFERROR(__xludf.DUMMYFUNCTION("""COMPUTED_VALUE"""),"Namfon Home")</f>
        <v>Namfon Home</v>
      </c>
      <c r="P697" t="str">
        <f>IFERROR(__xludf.DUMMYFUNCTION("""COMPUTED_VALUE"""),"Active")</f>
        <v>Active</v>
      </c>
      <c r="R697" s="143">
        <f>IFERROR(__xludf.DUMMYFUNCTION("""COMPUTED_VALUE"""),32782.0)</f>
        <v>32782</v>
      </c>
      <c r="S697" s="146" t="str">
        <f>IFERROR(__xludf.DUMMYFUNCTION("""COMPUTED_VALUE"""),"087-8730553")</f>
        <v>087-8730553</v>
      </c>
      <c r="T697" s="147" t="str">
        <f>IFERROR(__xludf.DUMMYFUNCTION("""COMPUTED_VALUE"""),"1 3302 00054 76 2")</f>
        <v>1 3302 00054 76 2</v>
      </c>
      <c r="U697" t="str">
        <f>IFERROR(__xludf.DUMMYFUNCTION("""COMPUTED_VALUE"""),"AC3659763")</f>
        <v>AC3659763</v>
      </c>
      <c r="V697" s="148">
        <f>IFERROR(__xludf.DUMMYFUNCTION("""COMPUTED_VALUE"""),44764.0)</f>
        <v>44764</v>
      </c>
      <c r="W697" s="148">
        <f>IFERROR(__xludf.DUMMYFUNCTION("""COMPUTED_VALUE"""),48416.0)</f>
        <v>48416</v>
      </c>
      <c r="X697" s="149">
        <f>IFERROR(__xludf.DUMMYFUNCTION("""COMPUTED_VALUE"""),48234.0)</f>
        <v>48234</v>
      </c>
      <c r="Y697" t="str">
        <f>IFERROR(__xludf.DUMMYFUNCTION("""COMPUTED_VALUE"""),"ปลอดภัย")</f>
        <v>ปลอดภัย</v>
      </c>
      <c r="Z697" t="str">
        <f>IFERROR(__xludf.DUMMYFUNCTION("""COMPUTED_VALUE"""),"Sisaket Province")</f>
        <v>Sisaket Province</v>
      </c>
      <c r="AA697" t="str">
        <f>IFERROR(__xludf.DUMMYFUNCTION("""COMPUTED_VALUE"""),"Saimai")</f>
        <v>Saimai</v>
      </c>
      <c r="AB697" t="str">
        <f>IFERROR(__xludf.DUMMYFUNCTION("""COMPUTED_VALUE"""),"084 526 5682")</f>
        <v>084 526 5682</v>
      </c>
      <c r="AC697" t="str">
        <f>IFERROR(__xludf.DUMMYFUNCTION("""COMPUTED_VALUE"""),"Wiraporn (Sister)")</f>
        <v>Wiraporn (Sister)</v>
      </c>
      <c r="AD697" t="str">
        <f>IFERROR(__xludf.DUMMYFUNCTION("""COMPUTED_VALUE"""),"rattipornt@airasia.com")</f>
        <v>rattipornt@airasia.com</v>
      </c>
    </row>
    <row r="698">
      <c r="A698" s="142">
        <f>IFERROR(__xludf.DUMMYFUNCTION("""COMPUTED_VALUE"""),79.0)</f>
        <v>79</v>
      </c>
      <c r="B698" t="str">
        <f>IFERROR(__xludf.DUMMYFUNCTION("""COMPUTED_VALUE"""),"TAA6859")</f>
        <v>TAA6859</v>
      </c>
      <c r="C698">
        <f>IFERROR(__xludf.DUMMYFUNCTION("""COMPUTED_VALUE"""),1014369.0)</f>
        <v>1014369</v>
      </c>
      <c r="D698" t="str">
        <f>IFERROR(__xludf.DUMMYFUNCTION("""COMPUTED_VALUE"""),"Ms.")</f>
        <v>Ms.</v>
      </c>
      <c r="E698" t="str">
        <f>IFERROR(__xludf.DUMMYFUNCTION("""COMPUTED_VALUE"""),"Tanednit")</f>
        <v>Tanednit</v>
      </c>
      <c r="F698" t="str">
        <f>IFERROR(__xludf.DUMMYFUNCTION("""COMPUTED_VALUE"""),"Thitipichakul")</f>
        <v>Thitipichakul</v>
      </c>
      <c r="G698" t="str">
        <f>IFERROR(__xludf.DUMMYFUNCTION("""COMPUTED_VALUE"""),"Tanednit Thitipichakul")</f>
        <v>Tanednit Thitipichakul</v>
      </c>
      <c r="H698" t="str">
        <f>IFERROR(__xludf.DUMMYFUNCTION("""COMPUTED_VALUE"""),"นางสาว")</f>
        <v>นางสาว</v>
      </c>
      <c r="I698" t="str">
        <f>IFERROR(__xludf.DUMMYFUNCTION("""COMPUTED_VALUE"""),"ธเนศนิตว์")</f>
        <v>ธเนศนิตว์</v>
      </c>
      <c r="J698" t="str">
        <f>IFERROR(__xludf.DUMMYFUNCTION("""COMPUTED_VALUE"""),"ฐิติพิชญ์กุล")</f>
        <v>ฐิติพิชญ์กุล</v>
      </c>
      <c r="K698" t="str">
        <f>IFERROR(__xludf.DUMMYFUNCTION("""COMPUTED_VALUE"""),"ธเนศนิตว์ ฐิติพิชญ์กุล")</f>
        <v>ธเนศนิตว์ ฐิติพิชญ์กุล</v>
      </c>
      <c r="L698" t="str">
        <f>IFERROR(__xludf.DUMMYFUNCTION("""COMPUTED_VALUE"""),"Piab/เหมือนเปี๊ยบ")</f>
        <v>Piab/เหมือนเปี๊ยบ</v>
      </c>
      <c r="M698" t="str">
        <f>IFERROR(__xludf.DUMMYFUNCTION("""COMPUTED_VALUE"""),"Cabin Crew - CNX")</f>
        <v>Cabin Crew - CNX</v>
      </c>
      <c r="N698" t="str">
        <f>IFERROR(__xludf.DUMMYFUNCTION("""COMPUTED_VALUE"""),"CNX")</f>
        <v>CNX</v>
      </c>
      <c r="O698" s="145" t="str">
        <f>IFERROR(__xludf.DUMMYFUNCTION("""COMPUTED_VALUE"""),"Up Home")</f>
        <v>Up Home</v>
      </c>
      <c r="P698" t="str">
        <f>IFERROR(__xludf.DUMMYFUNCTION("""COMPUTED_VALUE"""),"Active")</f>
        <v>Active</v>
      </c>
      <c r="Q698" t="str">
        <f>IFERROR(__xludf.DUMMYFUNCTION("""COMPUTED_VALUE"""),"Chinese Speaking")</f>
        <v>Chinese Speaking</v>
      </c>
      <c r="R698" s="143">
        <f>IFERROR(__xludf.DUMMYFUNCTION("""COMPUTED_VALUE"""),33613.0)</f>
        <v>33613</v>
      </c>
      <c r="S698" s="146" t="str">
        <f>IFERROR(__xludf.DUMMYFUNCTION("""COMPUTED_VALUE"""),"063-5694461")</f>
        <v>063-5694461</v>
      </c>
      <c r="T698" s="147" t="str">
        <f>IFERROR(__xludf.DUMMYFUNCTION("""COMPUTED_VALUE"""),"1 5099 01084 46 0")</f>
        <v>1 5099 01084 46 0</v>
      </c>
      <c r="U698" t="str">
        <f>IFERROR(__xludf.DUMMYFUNCTION("""COMPUTED_VALUE"""),"AC8011977")</f>
        <v>AC8011977</v>
      </c>
      <c r="V698" s="148">
        <f>IFERROR(__xludf.DUMMYFUNCTION("""COMPUTED_VALUE"""),45705.0)</f>
        <v>45705</v>
      </c>
      <c r="W698" s="150">
        <f>IFERROR(__xludf.DUMMYFUNCTION("""COMPUTED_VALUE"""),49356.0)</f>
        <v>49356</v>
      </c>
      <c r="X698" s="149">
        <f>IFERROR(__xludf.DUMMYFUNCTION("""COMPUTED_VALUE"""),49172.0)</f>
        <v>49172</v>
      </c>
      <c r="Y698" t="str">
        <f>IFERROR(__xludf.DUMMYFUNCTION("""COMPUTED_VALUE"""),"ปลอดภัย")</f>
        <v>ปลอดภัย</v>
      </c>
      <c r="Z698" t="str">
        <f>IFERROR(__xludf.DUMMYFUNCTION("""COMPUTED_VALUE"""),"Chiang Mai Province")</f>
        <v>Chiang Mai Province</v>
      </c>
      <c r="AA698" t="str">
        <f>IFERROR(__xludf.DUMMYFUNCTION("""COMPUTED_VALUE"""),"Chatuchak")</f>
        <v>Chatuchak</v>
      </c>
      <c r="AB698" t="str">
        <f>IFERROR(__xludf.DUMMYFUNCTION("""COMPUTED_VALUE"""),"092 468 8503")</f>
        <v>092 468 8503</v>
      </c>
      <c r="AC698" t="str">
        <f>IFERROR(__xludf.DUMMYFUNCTION("""COMPUTED_VALUE"""),"Kanyawee Thitipichakul(Mother)")</f>
        <v>Kanyawee Thitipichakul(Mother)</v>
      </c>
      <c r="AD698" t="str">
        <f>IFERROR(__xludf.DUMMYFUNCTION("""COMPUTED_VALUE"""),"tanednitt@airasia.com")</f>
        <v>tanednitt@airasia.com</v>
      </c>
    </row>
    <row r="699">
      <c r="AD699" t="str">
        <f>IFERROR(__xludf.DUMMYFUNCTION("""COMPUTED_VALUE"""),"")</f>
        <v/>
      </c>
    </row>
    <row r="700">
      <c r="A700" s="142">
        <f>IFERROR(__xludf.DUMMYFUNCTION("""COMPUTED_VALUE"""),80.0)</f>
        <v>80</v>
      </c>
      <c r="B700" t="str">
        <f>IFERROR(__xludf.DUMMYFUNCTION("""COMPUTED_VALUE"""),"TAA4168")</f>
        <v>TAA4168</v>
      </c>
      <c r="C700">
        <f>IFERROR(__xludf.DUMMYFUNCTION("""COMPUTED_VALUE"""),1006318.0)</f>
        <v>1006318</v>
      </c>
      <c r="D700" t="str">
        <f>IFERROR(__xludf.DUMMYFUNCTION("""COMPUTED_VALUE"""),"Mr.")</f>
        <v>Mr.</v>
      </c>
      <c r="E700" t="str">
        <f>IFERROR(__xludf.DUMMYFUNCTION("""COMPUTED_VALUE"""),"Kritsada")</f>
        <v>Kritsada</v>
      </c>
      <c r="F700" t="str">
        <f>IFERROR(__xludf.DUMMYFUNCTION("""COMPUTED_VALUE"""),"Tangpriyarak")</f>
        <v>Tangpriyarak</v>
      </c>
      <c r="G700" t="str">
        <f>IFERROR(__xludf.DUMMYFUNCTION("""COMPUTED_VALUE"""),"Kritsada Tangpriyarak")</f>
        <v>Kritsada Tangpriyarak</v>
      </c>
      <c r="H700" t="str">
        <f>IFERROR(__xludf.DUMMYFUNCTION("""COMPUTED_VALUE"""),"นาย")</f>
        <v>นาย</v>
      </c>
      <c r="I700" t="str">
        <f>IFERROR(__xludf.DUMMYFUNCTION("""COMPUTED_VALUE"""),"กฤษฎา")</f>
        <v>กฤษฎา</v>
      </c>
      <c r="J700" t="str">
        <f>IFERROR(__xludf.DUMMYFUNCTION("""COMPUTED_VALUE"""),"ตั้งปรียารักษ์")</f>
        <v>ตั้งปรียารักษ์</v>
      </c>
      <c r="K700" t="str">
        <f>IFERROR(__xludf.DUMMYFUNCTION("""COMPUTED_VALUE"""),"กฤษฎา ตั้งปรียารักษ์")</f>
        <v>กฤษฎา ตั้งปรียารักษ์</v>
      </c>
      <c r="L700" t="str">
        <f>IFERROR(__xludf.DUMMYFUNCTION("""COMPUTED_VALUE"""),"Got/ก๊อต")</f>
        <v>Got/ก๊อต</v>
      </c>
      <c r="M700" t="str">
        <f>IFERROR(__xludf.DUMMYFUNCTION("""COMPUTED_VALUE"""),"Cabin Crew")</f>
        <v>Cabin Crew</v>
      </c>
      <c r="N700" t="str">
        <f>IFERROR(__xludf.DUMMYFUNCTION("""COMPUTED_VALUE"""),"DMK")</f>
        <v>DMK</v>
      </c>
      <c r="O700" s="145" t="str">
        <f>IFERROR(__xludf.DUMMYFUNCTION("""COMPUTED_VALUE"""),"Nhui Home")</f>
        <v>Nhui Home</v>
      </c>
      <c r="P700" t="str">
        <f>IFERROR(__xludf.DUMMYFUNCTION("""COMPUTED_VALUE"""),"Active")</f>
        <v>Active</v>
      </c>
      <c r="Q700" t="str">
        <f>IFERROR(__xludf.DUMMYFUNCTION("""COMPUTED_VALUE"""),"Chinese Speaking")</f>
        <v>Chinese Speaking</v>
      </c>
      <c r="R700" s="143">
        <f>IFERROR(__xludf.DUMMYFUNCTION("""COMPUTED_VALUE"""),33129.0)</f>
        <v>33129</v>
      </c>
      <c r="S700" s="146" t="str">
        <f>IFERROR(__xludf.DUMMYFUNCTION("""COMPUTED_VALUE"""),"062 080 0111")</f>
        <v>062 080 0111</v>
      </c>
      <c r="T700" s="147" t="str">
        <f>IFERROR(__xludf.DUMMYFUNCTION("""COMPUTED_VALUE"""),"1 9299 00242 56 4")</f>
        <v>1 9299 00242 56 4</v>
      </c>
      <c r="U700" t="str">
        <f>IFERROR(__xludf.DUMMYFUNCTION("""COMPUTED_VALUE"""),"AC7013271")</f>
        <v>AC7013271</v>
      </c>
      <c r="V700" s="148">
        <f>IFERROR(__xludf.DUMMYFUNCTION("""COMPUTED_VALUE"""),45643.0)</f>
        <v>45643</v>
      </c>
      <c r="W700" s="148">
        <f>IFERROR(__xludf.DUMMYFUNCTION("""COMPUTED_VALUE"""),49294.0)</f>
        <v>49294</v>
      </c>
      <c r="X700" s="149">
        <f>IFERROR(__xludf.DUMMYFUNCTION("""COMPUTED_VALUE"""),49111.0)</f>
        <v>49111</v>
      </c>
      <c r="Y700" t="str">
        <f>IFERROR(__xludf.DUMMYFUNCTION("""COMPUTED_VALUE"""),"ปลอดภัย")</f>
        <v>ปลอดภัย</v>
      </c>
      <c r="Z700" t="str">
        <f>IFERROR(__xludf.DUMMYFUNCTION("""COMPUTED_VALUE"""),"Trang Province")</f>
        <v>Trang Province</v>
      </c>
      <c r="AA700" t="str">
        <f>IFERROR(__xludf.DUMMYFUNCTION("""COMPUTED_VALUE"""),"Trang")</f>
        <v>Trang</v>
      </c>
      <c r="AB700" t="str">
        <f>IFERROR(__xludf.DUMMYFUNCTION("""COMPUTED_VALUE"""),"089 731 1758")</f>
        <v>089 731 1758</v>
      </c>
      <c r="AC700" t="str">
        <f>IFERROR(__xludf.DUMMYFUNCTION("""COMPUTED_VALUE"""),"ผกามาศ ตั้งปรียารักษณ์(มารดา)")</f>
        <v>ผกามาศ ตั้งปรียารักษณ์(มารดา)</v>
      </c>
      <c r="AD700" t="str">
        <f>IFERROR(__xludf.DUMMYFUNCTION("""COMPUTED_VALUE"""),"kritsadat@airasia.com")</f>
        <v>kritsadat@airasia.com</v>
      </c>
    </row>
    <row r="701">
      <c r="A701" s="142">
        <f>IFERROR(__xludf.DUMMYFUNCTION("""COMPUTED_VALUE"""),80.0)</f>
        <v>80</v>
      </c>
      <c r="B701" t="str">
        <f>IFERROR(__xludf.DUMMYFUNCTION("""COMPUTED_VALUE"""),"TAA7003")</f>
        <v>TAA7003</v>
      </c>
      <c r="C701">
        <f>IFERROR(__xludf.DUMMYFUNCTION("""COMPUTED_VALUE"""),1015083.0)</f>
        <v>1015083</v>
      </c>
      <c r="D701" t="str">
        <f>IFERROR(__xludf.DUMMYFUNCTION("""COMPUTED_VALUE"""),"Ms.")</f>
        <v>Ms.</v>
      </c>
      <c r="E701" t="str">
        <f>IFERROR(__xludf.DUMMYFUNCTION("""COMPUTED_VALUE"""),"Kunyanutt")</f>
        <v>Kunyanutt</v>
      </c>
      <c r="F701" t="str">
        <f>IFERROR(__xludf.DUMMYFUNCTION("""COMPUTED_VALUE"""),"Pongthong")</f>
        <v>Pongthong</v>
      </c>
      <c r="G701" t="str">
        <f>IFERROR(__xludf.DUMMYFUNCTION("""COMPUTED_VALUE"""),"Kunyanutt Pongthong")</f>
        <v>Kunyanutt Pongthong</v>
      </c>
      <c r="H701" t="str">
        <f>IFERROR(__xludf.DUMMYFUNCTION("""COMPUTED_VALUE"""),"นางสาว")</f>
        <v>นางสาว</v>
      </c>
      <c r="I701" t="str">
        <f>IFERROR(__xludf.DUMMYFUNCTION("""COMPUTED_VALUE"""),"กัญญณัช")</f>
        <v>กัญญณัช</v>
      </c>
      <c r="J701" t="str">
        <f>IFERROR(__xludf.DUMMYFUNCTION("""COMPUTED_VALUE"""),"พงษ์ทอง")</f>
        <v>พงษ์ทอง</v>
      </c>
      <c r="K701" t="str">
        <f>IFERROR(__xludf.DUMMYFUNCTION("""COMPUTED_VALUE"""),"กัญญณัช พงษ์ทอง")</f>
        <v>กัญญณัช พงษ์ทอง</v>
      </c>
      <c r="L701" t="str">
        <f>IFERROR(__xludf.DUMMYFUNCTION("""COMPUTED_VALUE"""),"Sody / โซดา")</f>
        <v>Sody / โซดา</v>
      </c>
      <c r="M701" t="str">
        <f>IFERROR(__xludf.DUMMYFUNCTION("""COMPUTED_VALUE"""),"Cabin Crew")</f>
        <v>Cabin Crew</v>
      </c>
      <c r="N701" t="str">
        <f>IFERROR(__xludf.DUMMYFUNCTION("""COMPUTED_VALUE"""),"DMK")</f>
        <v>DMK</v>
      </c>
      <c r="O701" s="145" t="str">
        <f>IFERROR(__xludf.DUMMYFUNCTION("""COMPUTED_VALUE"""),"Por+ Home")</f>
        <v>Por+ Home</v>
      </c>
      <c r="P701" t="str">
        <f>IFERROR(__xludf.DUMMYFUNCTION("""COMPUTED_VALUE"""),"Active")</f>
        <v>Active</v>
      </c>
      <c r="R701" s="143">
        <f>IFERROR(__xludf.DUMMYFUNCTION("""COMPUTED_VALUE"""),33480.0)</f>
        <v>33480</v>
      </c>
      <c r="S701" s="146" t="str">
        <f>IFERROR(__xludf.DUMMYFUNCTION("""COMPUTED_VALUE"""),"095 242 6391")</f>
        <v>095 242 6391</v>
      </c>
      <c r="T701" s="147" t="str">
        <f>IFERROR(__xludf.DUMMYFUNCTION("""COMPUTED_VALUE"""),"1129900-12-5492")</f>
        <v>1129900-12-5492</v>
      </c>
      <c r="U701" t="str">
        <f>IFERROR(__xludf.DUMMYFUNCTION("""COMPUTED_VALUE"""),"AC5520268")</f>
        <v>AC5520268</v>
      </c>
      <c r="V701" s="148">
        <f>IFERROR(__xludf.DUMMYFUNCTION("""COMPUTED_VALUE"""),45159.0)</f>
        <v>45159</v>
      </c>
      <c r="W701" s="148">
        <f>IFERROR(__xludf.DUMMYFUNCTION("""COMPUTED_VALUE"""),46985.0)</f>
        <v>46985</v>
      </c>
      <c r="X701" s="149">
        <f>IFERROR(__xludf.DUMMYFUNCTION("""COMPUTED_VALUE"""),46803.0)</f>
        <v>46803</v>
      </c>
      <c r="Y701" t="str">
        <f>IFERROR(__xludf.DUMMYFUNCTION("""COMPUTED_VALUE"""),"ปลอดภัย")</f>
        <v>ปลอดภัย</v>
      </c>
      <c r="Z701" t="str">
        <f>IFERROR(__xludf.DUMMYFUNCTION("""COMPUTED_VALUE"""),"Nonthaburi Province")</f>
        <v>Nonthaburi Province</v>
      </c>
      <c r="AA701" t="str">
        <f>IFERROR(__xludf.DUMMYFUNCTION("""COMPUTED_VALUE"""),"Parkret")</f>
        <v>Parkret</v>
      </c>
      <c r="AB701" t="str">
        <f>IFERROR(__xludf.DUMMYFUNCTION("""COMPUTED_VALUE"""),"098 830 9595")</f>
        <v>098 830 9595</v>
      </c>
      <c r="AC701" t="str">
        <f>IFERROR(__xludf.DUMMYFUNCTION("""COMPUTED_VALUE"""),"Paweewiroon Saisupan (Mother)")</f>
        <v>Paweewiroon Saisupan (Mother)</v>
      </c>
      <c r="AD701" t="str">
        <f>IFERROR(__xludf.DUMMYFUNCTION("""COMPUTED_VALUE"""),"kunyanuttp@airasia.com")</f>
        <v>kunyanuttp@airasia.com</v>
      </c>
    </row>
    <row r="702">
      <c r="A702" s="142">
        <f>IFERROR(__xludf.DUMMYFUNCTION("""COMPUTED_VALUE"""),80.0)</f>
        <v>80</v>
      </c>
      <c r="B702" t="str">
        <f>IFERROR(__xludf.DUMMYFUNCTION("""COMPUTED_VALUE"""),"TAA7018")</f>
        <v>TAA7018</v>
      </c>
      <c r="C702">
        <f>IFERROR(__xludf.DUMMYFUNCTION("""COMPUTED_VALUE"""),1015087.0)</f>
        <v>1015087</v>
      </c>
      <c r="D702" t="str">
        <f>IFERROR(__xludf.DUMMYFUNCTION("""COMPUTED_VALUE"""),"Ms.")</f>
        <v>Ms.</v>
      </c>
      <c r="E702" t="str">
        <f>IFERROR(__xludf.DUMMYFUNCTION("""COMPUTED_VALUE"""),"Narumon")</f>
        <v>Narumon</v>
      </c>
      <c r="F702" t="str">
        <f>IFERROR(__xludf.DUMMYFUNCTION("""COMPUTED_VALUE"""),"Paungtam")</f>
        <v>Paungtam</v>
      </c>
      <c r="G702" t="str">
        <f>IFERROR(__xludf.DUMMYFUNCTION("""COMPUTED_VALUE"""),"Narumon Paungtam")</f>
        <v>Narumon Paungtam</v>
      </c>
      <c r="H702" t="str">
        <f>IFERROR(__xludf.DUMMYFUNCTION("""COMPUTED_VALUE"""),"นางสาว")</f>
        <v>นางสาว</v>
      </c>
      <c r="I702" t="str">
        <f>IFERROR(__xludf.DUMMYFUNCTION("""COMPUTED_VALUE"""),"นฤมล")</f>
        <v>นฤมล</v>
      </c>
      <c r="J702" t="str">
        <f>IFERROR(__xludf.DUMMYFUNCTION("""COMPUTED_VALUE"""),"พวงธรรม")</f>
        <v>พวงธรรม</v>
      </c>
      <c r="K702" t="str">
        <f>IFERROR(__xludf.DUMMYFUNCTION("""COMPUTED_VALUE"""),"นฤมล พวงธรรม")</f>
        <v>นฤมล พวงธรรม</v>
      </c>
      <c r="L702" t="str">
        <f>IFERROR(__xludf.DUMMYFUNCTION("""COMPUTED_VALUE"""),"Nun / นุ่น")</f>
        <v>Nun / นุ่น</v>
      </c>
      <c r="M702" t="str">
        <f>IFERROR(__xludf.DUMMYFUNCTION("""COMPUTED_VALUE"""),"Cabin Crew")</f>
        <v>Cabin Crew</v>
      </c>
      <c r="N702" t="str">
        <f>IFERROR(__xludf.DUMMYFUNCTION("""COMPUTED_VALUE"""),"DMK")</f>
        <v>DMK</v>
      </c>
      <c r="O702" s="145" t="str">
        <f>IFERROR(__xludf.DUMMYFUNCTION("""COMPUTED_VALUE"""),"Up Home")</f>
        <v>Up Home</v>
      </c>
      <c r="P702" t="str">
        <f>IFERROR(__xludf.DUMMYFUNCTION("""COMPUTED_VALUE"""),"Active")</f>
        <v>Active</v>
      </c>
      <c r="R702" s="143">
        <f>IFERROR(__xludf.DUMMYFUNCTION("""COMPUTED_VALUE"""),33842.0)</f>
        <v>33842</v>
      </c>
      <c r="S702" s="146" t="str">
        <f>IFERROR(__xludf.DUMMYFUNCTION("""COMPUTED_VALUE"""),"082 659 3155")</f>
        <v>082 659 3155</v>
      </c>
      <c r="T702" s="147" t="str">
        <f>IFERROR(__xludf.DUMMYFUNCTION("""COMPUTED_VALUE"""),"1100701-57-2296")</f>
        <v>1100701-57-2296</v>
      </c>
      <c r="U702" t="str">
        <f>IFERROR(__xludf.DUMMYFUNCTION("""COMPUTED_VALUE"""),"AC6781638")</f>
        <v>AC6781638</v>
      </c>
      <c r="V702" s="148">
        <f>IFERROR(__xludf.DUMMYFUNCTION("""COMPUTED_VALUE"""),45432.0)</f>
        <v>45432</v>
      </c>
      <c r="W702" s="148">
        <f>IFERROR(__xludf.DUMMYFUNCTION("""COMPUTED_VALUE"""),49083.0)</f>
        <v>49083</v>
      </c>
      <c r="X702" s="149">
        <f>IFERROR(__xludf.DUMMYFUNCTION("""COMPUTED_VALUE"""),48902.0)</f>
        <v>48902</v>
      </c>
      <c r="Y702" t="str">
        <f>IFERROR(__xludf.DUMMYFUNCTION("""COMPUTED_VALUE"""),"ปลอดภัย")</f>
        <v>ปลอดภัย</v>
      </c>
      <c r="Z702" t="str">
        <f>IFERROR(__xludf.DUMMYFUNCTION("""COMPUTED_VALUE"""),"Bangkok")</f>
        <v>Bangkok</v>
      </c>
      <c r="AA702" t="str">
        <f>IFERROR(__xludf.DUMMYFUNCTION("""COMPUTED_VALUE"""),"Klong Toey")</f>
        <v>Klong Toey</v>
      </c>
      <c r="AB702" t="str">
        <f>IFERROR(__xludf.DUMMYFUNCTION("""COMPUTED_VALUE"""),"081 372 9382")</f>
        <v>081 372 9382</v>
      </c>
      <c r="AC702" t="str">
        <f>IFERROR(__xludf.DUMMYFUNCTION("""COMPUTED_VALUE"""),"Somjai Saetang (Mother)")</f>
        <v>Somjai Saetang (Mother)</v>
      </c>
      <c r="AD702" t="str">
        <f>IFERROR(__xludf.DUMMYFUNCTION("""COMPUTED_VALUE"""),"narumonp@airasia.com")</f>
        <v>narumonp@airasia.com</v>
      </c>
    </row>
    <row r="703">
      <c r="A703" s="142">
        <f>IFERROR(__xludf.DUMMYFUNCTION("""COMPUTED_VALUE"""),80.0)</f>
        <v>80</v>
      </c>
      <c r="B703" t="str">
        <f>IFERROR(__xludf.DUMMYFUNCTION("""COMPUTED_VALUE"""),"TAA7016")</f>
        <v>TAA7016</v>
      </c>
      <c r="C703">
        <f>IFERROR(__xludf.DUMMYFUNCTION("""COMPUTED_VALUE"""),1015091.0)</f>
        <v>1015091</v>
      </c>
      <c r="D703" t="str">
        <f>IFERROR(__xludf.DUMMYFUNCTION("""COMPUTED_VALUE"""),"Ms.")</f>
        <v>Ms.</v>
      </c>
      <c r="E703" t="str">
        <f>IFERROR(__xludf.DUMMYFUNCTION("""COMPUTED_VALUE"""),"Nutpattra")</f>
        <v>Nutpattra</v>
      </c>
      <c r="F703" t="str">
        <f>IFERROR(__xludf.DUMMYFUNCTION("""COMPUTED_VALUE"""),"Kokanutaporn (Thongkaimuk)")</f>
        <v>Kokanutaporn (Thongkaimuk)</v>
      </c>
      <c r="G703" t="str">
        <f>IFERROR(__xludf.DUMMYFUNCTION("""COMPUTED_VALUE"""),"Nutpattra Kokanutaporn ")</f>
        <v>Nutpattra Kokanutaporn </v>
      </c>
      <c r="H703" t="str">
        <f>IFERROR(__xludf.DUMMYFUNCTION("""COMPUTED_VALUE"""),"นางสาว")</f>
        <v>นางสาว</v>
      </c>
      <c r="I703" t="str">
        <f>IFERROR(__xludf.DUMMYFUNCTION("""COMPUTED_VALUE"""),"ณัฐภัทรา")</f>
        <v>ณัฐภัทรา</v>
      </c>
      <c r="J703" t="str">
        <f>IFERROR(__xludf.DUMMYFUNCTION("""COMPUTED_VALUE"""),"โกกนุทาภรณ์ (ทองไข่มุกด์)")</f>
        <v>โกกนุทาภรณ์ (ทองไข่มุกด์)</v>
      </c>
      <c r="K703" t="str">
        <f>IFERROR(__xludf.DUMMYFUNCTION("""COMPUTED_VALUE"""),"ณัฐภัทรา โกกนุทาภรณ์")</f>
        <v>ณัฐภัทรา โกกนุทาภรณ์</v>
      </c>
      <c r="L703" t="str">
        <f>IFERROR(__xludf.DUMMYFUNCTION("""COMPUTED_VALUE"""),"Miny / มิ้น")</f>
        <v>Miny / มิ้น</v>
      </c>
      <c r="M703" t="str">
        <f>IFERROR(__xludf.DUMMYFUNCTION("""COMPUTED_VALUE"""),"Cabin Crew")</f>
        <v>Cabin Crew</v>
      </c>
      <c r="N703" t="str">
        <f>IFERROR(__xludf.DUMMYFUNCTION("""COMPUTED_VALUE"""),"DMK")</f>
        <v>DMK</v>
      </c>
      <c r="O703" s="145" t="str">
        <f>IFERROR(__xludf.DUMMYFUNCTION("""COMPUTED_VALUE"""),"Por+ Home")</f>
        <v>Por+ Home</v>
      </c>
      <c r="P703" t="str">
        <f>IFERROR(__xludf.DUMMYFUNCTION("""COMPUTED_VALUE"""),"Active")</f>
        <v>Active</v>
      </c>
      <c r="R703" s="143">
        <f>IFERROR(__xludf.DUMMYFUNCTION("""COMPUTED_VALUE"""),33770.0)</f>
        <v>33770</v>
      </c>
      <c r="S703" s="146" t="str">
        <f>IFERROR(__xludf.DUMMYFUNCTION("""COMPUTED_VALUE"""),"090 901 1517")</f>
        <v>090 901 1517</v>
      </c>
      <c r="T703" s="147" t="str">
        <f>IFERROR(__xludf.DUMMYFUNCTION("""COMPUTED_VALUE"""),"1101500-59-6806")</f>
        <v>1101500-59-6806</v>
      </c>
      <c r="U703" t="str">
        <f>IFERROR(__xludf.DUMMYFUNCTION("""COMPUTED_VALUE"""),"AC4874515")</f>
        <v>AC4874515</v>
      </c>
      <c r="V703" s="148">
        <f>IFERROR(__xludf.DUMMYFUNCTION("""COMPUTED_VALUE"""),45041.0)</f>
        <v>45041</v>
      </c>
      <c r="W703" s="148">
        <f>IFERROR(__xludf.DUMMYFUNCTION("""COMPUTED_VALUE"""),48693.0)</f>
        <v>48693</v>
      </c>
      <c r="X703" s="149">
        <f>IFERROR(__xludf.DUMMYFUNCTION("""COMPUTED_VALUE"""),48511.0)</f>
        <v>48511</v>
      </c>
      <c r="Y703" t="str">
        <f>IFERROR(__xludf.DUMMYFUNCTION("""COMPUTED_VALUE"""),"ปลอดภัย")</f>
        <v>ปลอดภัย</v>
      </c>
      <c r="Z703" t="str">
        <f>IFERROR(__xludf.DUMMYFUNCTION("""COMPUTED_VALUE"""),"Bangkok")</f>
        <v>Bangkok</v>
      </c>
      <c r="AA703" t="str">
        <f>IFERROR(__xludf.DUMMYFUNCTION("""COMPUTED_VALUE"""),"Thonburi")</f>
        <v>Thonburi</v>
      </c>
      <c r="AB703" t="str">
        <f>IFERROR(__xludf.DUMMYFUNCTION("""COMPUTED_VALUE"""),"087 688 0395")</f>
        <v>087 688 0395</v>
      </c>
      <c r="AC703" t="str">
        <f>IFERROR(__xludf.DUMMYFUNCTION("""COMPUTED_VALUE"""),"Kornchanok Butsing (Mother)")</f>
        <v>Kornchanok Butsing (Mother)</v>
      </c>
      <c r="AD703" t="str">
        <f>IFERROR(__xludf.DUMMYFUNCTION("""COMPUTED_VALUE"""),"nutpattrak@airasia.com")</f>
        <v>nutpattrak@airasia.com</v>
      </c>
    </row>
    <row r="704">
      <c r="A704" s="142">
        <f>IFERROR(__xludf.DUMMYFUNCTION("""COMPUTED_VALUE"""),80.0)</f>
        <v>80</v>
      </c>
      <c r="B704" t="str">
        <f>IFERROR(__xludf.DUMMYFUNCTION("""COMPUTED_VALUE"""),"TAA7011")</f>
        <v>TAA7011</v>
      </c>
      <c r="C704">
        <f>IFERROR(__xludf.DUMMYFUNCTION("""COMPUTED_VALUE"""),1015092.0)</f>
        <v>1015092</v>
      </c>
      <c r="D704" t="str">
        <f>IFERROR(__xludf.DUMMYFUNCTION("""COMPUTED_VALUE"""),"Ms.")</f>
        <v>Ms.</v>
      </c>
      <c r="E704" t="str">
        <f>IFERROR(__xludf.DUMMYFUNCTION("""COMPUTED_VALUE"""),"Phavinee")</f>
        <v>Phavinee</v>
      </c>
      <c r="F704" t="str">
        <f>IFERROR(__xludf.DUMMYFUNCTION("""COMPUTED_VALUE"""),"Sripablhom")</f>
        <v>Sripablhom</v>
      </c>
      <c r="G704" t="str">
        <f>IFERROR(__xludf.DUMMYFUNCTION("""COMPUTED_VALUE"""),"Phavinee Sripablhom")</f>
        <v>Phavinee Sripablhom</v>
      </c>
      <c r="H704" t="str">
        <f>IFERROR(__xludf.DUMMYFUNCTION("""COMPUTED_VALUE"""),"นางสาว")</f>
        <v>นางสาว</v>
      </c>
      <c r="I704" t="str">
        <f>IFERROR(__xludf.DUMMYFUNCTION("""COMPUTED_VALUE"""),"ภาวินี")</f>
        <v>ภาวินี</v>
      </c>
      <c r="J704" t="str">
        <f>IFERROR(__xludf.DUMMYFUNCTION("""COMPUTED_VALUE"""),"ศรีปราบหล่ม")</f>
        <v>ศรีปราบหล่ม</v>
      </c>
      <c r="K704" t="str">
        <f>IFERROR(__xludf.DUMMYFUNCTION("""COMPUTED_VALUE"""),"ภาวินี ศรีปราบหล่ม")</f>
        <v>ภาวินี ศรีปราบหล่ม</v>
      </c>
      <c r="L704" t="str">
        <f>IFERROR(__xludf.DUMMYFUNCTION("""COMPUTED_VALUE"""),"Bew / บิว")</f>
        <v>Bew / บิว</v>
      </c>
      <c r="M704" t="str">
        <f>IFERROR(__xludf.DUMMYFUNCTION("""COMPUTED_VALUE"""),"Cabin Crew")</f>
        <v>Cabin Crew</v>
      </c>
      <c r="N704" t="str">
        <f>IFERROR(__xludf.DUMMYFUNCTION("""COMPUTED_VALUE"""),"DMK")</f>
        <v>DMK</v>
      </c>
      <c r="O704" s="145" t="str">
        <f>IFERROR(__xludf.DUMMYFUNCTION("""COMPUTED_VALUE"""),"Kor Home")</f>
        <v>Kor Home</v>
      </c>
      <c r="P704" t="str">
        <f>IFERROR(__xludf.DUMMYFUNCTION("""COMPUTED_VALUE"""),"Active")</f>
        <v>Active</v>
      </c>
      <c r="R704" s="143">
        <f>IFERROR(__xludf.DUMMYFUNCTION("""COMPUTED_VALUE"""),33393.0)</f>
        <v>33393</v>
      </c>
      <c r="S704" s="146" t="str">
        <f>IFERROR(__xludf.DUMMYFUNCTION("""COMPUTED_VALUE"""),"092 271 7951")</f>
        <v>092 271 7951</v>
      </c>
      <c r="T704" s="147" t="str">
        <f>IFERROR(__xludf.DUMMYFUNCTION("""COMPUTED_VALUE"""),"1411600-13-5875")</f>
        <v>1411600-13-5875</v>
      </c>
      <c r="U704" t="str">
        <f>IFERROR(__xludf.DUMMYFUNCTION("""COMPUTED_VALUE"""),"AC7918250")</f>
        <v>AC7918250</v>
      </c>
      <c r="V704" s="148">
        <f>IFERROR(__xludf.DUMMYFUNCTION("""COMPUTED_VALUE"""),45663.0)</f>
        <v>45663</v>
      </c>
      <c r="W704" s="148">
        <f>IFERROR(__xludf.DUMMYFUNCTION("""COMPUTED_VALUE"""),49314.0)</f>
        <v>49314</v>
      </c>
      <c r="X704" s="149">
        <f>IFERROR(__xludf.DUMMYFUNCTION("""COMPUTED_VALUE"""),49130.0)</f>
        <v>49130</v>
      </c>
      <c r="Y704" t="str">
        <f>IFERROR(__xludf.DUMMYFUNCTION("""COMPUTED_VALUE"""),"ปลอดภัย")</f>
        <v>ปลอดภัย</v>
      </c>
      <c r="Z704" t="str">
        <f>IFERROR(__xludf.DUMMYFUNCTION("""COMPUTED_VALUE"""),"Udon Thani Province")</f>
        <v>Udon Thani Province</v>
      </c>
      <c r="AA704" t="str">
        <f>IFERROR(__xludf.DUMMYFUNCTION("""COMPUTED_VALUE"""),"Pathumthani")</f>
        <v>Pathumthani</v>
      </c>
      <c r="AB704" t="str">
        <f>IFERROR(__xludf.DUMMYFUNCTION("""COMPUTED_VALUE"""),"089 894 8092")</f>
        <v>089 894 8092</v>
      </c>
      <c r="AC704" t="str">
        <f>IFERROR(__xludf.DUMMYFUNCTION("""COMPUTED_VALUE"""),"Upatham Sripablhom (Father)")</f>
        <v>Upatham Sripablhom (Father)</v>
      </c>
      <c r="AD704" t="str">
        <f>IFERROR(__xludf.DUMMYFUNCTION("""COMPUTED_VALUE"""),"phavinees@airasia.com")</f>
        <v>phavinees@airasia.com</v>
      </c>
    </row>
    <row r="705">
      <c r="A705" s="142">
        <f>IFERROR(__xludf.DUMMYFUNCTION("""COMPUTED_VALUE"""),80.0)</f>
        <v>80</v>
      </c>
      <c r="B705" t="str">
        <f>IFERROR(__xludf.DUMMYFUNCTION("""COMPUTED_VALUE"""),"TAA7000")</f>
        <v>TAA7000</v>
      </c>
      <c r="C705">
        <f>IFERROR(__xludf.DUMMYFUNCTION("""COMPUTED_VALUE"""),1015093.0)</f>
        <v>1015093</v>
      </c>
      <c r="D705" t="str">
        <f>IFERROR(__xludf.DUMMYFUNCTION("""COMPUTED_VALUE"""),"Mr.")</f>
        <v>Mr.</v>
      </c>
      <c r="E705" t="str">
        <f>IFERROR(__xludf.DUMMYFUNCTION("""COMPUTED_VALUE"""),"Sampan")</f>
        <v>Sampan</v>
      </c>
      <c r="F705" t="str">
        <f>IFERROR(__xludf.DUMMYFUNCTION("""COMPUTED_VALUE"""),"Simpalipan")</f>
        <v>Simpalipan</v>
      </c>
      <c r="G705" t="str">
        <f>IFERROR(__xludf.DUMMYFUNCTION("""COMPUTED_VALUE"""),"Sampan Simpalipan")</f>
        <v>Sampan Simpalipan</v>
      </c>
      <c r="H705" t="str">
        <f>IFERROR(__xludf.DUMMYFUNCTION("""COMPUTED_VALUE"""),"นาย")</f>
        <v>นาย</v>
      </c>
      <c r="I705" t="str">
        <f>IFERROR(__xludf.DUMMYFUNCTION("""COMPUTED_VALUE"""),"แซมแพน")</f>
        <v>แซมแพน</v>
      </c>
      <c r="J705" t="str">
        <f>IFERROR(__xludf.DUMMYFUNCTION("""COMPUTED_VALUE"""),"สิมพลิพันธ์")</f>
        <v>สิมพลิพันธ์</v>
      </c>
      <c r="K705" t="str">
        <f>IFERROR(__xludf.DUMMYFUNCTION("""COMPUTED_VALUE"""),"แซมแพน สิมพลิพันธ์")</f>
        <v>แซมแพน สิมพลิพันธ์</v>
      </c>
      <c r="L705" t="str">
        <f>IFERROR(__xludf.DUMMYFUNCTION("""COMPUTED_VALUE"""),"Sam / แซม")</f>
        <v>Sam / แซม</v>
      </c>
      <c r="M705" t="str">
        <f>IFERROR(__xludf.DUMMYFUNCTION("""COMPUTED_VALUE"""),"Senior Cabin Crew")</f>
        <v>Senior Cabin Crew</v>
      </c>
      <c r="N705" t="str">
        <f>IFERROR(__xludf.DUMMYFUNCTION("""COMPUTED_VALUE"""),"DMK")</f>
        <v>DMK</v>
      </c>
      <c r="O705" s="145" t="str">
        <f>IFERROR(__xludf.DUMMYFUNCTION("""COMPUTED_VALUE"""),"Por+ Home")</f>
        <v>Por+ Home</v>
      </c>
      <c r="P705" t="str">
        <f>IFERROR(__xludf.DUMMYFUNCTION("""COMPUTED_VALUE"""),"Active")</f>
        <v>Active</v>
      </c>
      <c r="R705" s="143">
        <f>IFERROR(__xludf.DUMMYFUNCTION("""COMPUTED_VALUE"""),32781.0)</f>
        <v>32781</v>
      </c>
      <c r="S705" s="146" t="str">
        <f>IFERROR(__xludf.DUMMYFUNCTION("""COMPUTED_VALUE"""),"090-239-3245")</f>
        <v>090-239-3245</v>
      </c>
      <c r="T705" s="147" t="str">
        <f>IFERROR(__xludf.DUMMYFUNCTION("""COMPUTED_VALUE"""),"1101401-67-7875")</f>
        <v>1101401-67-7875</v>
      </c>
      <c r="U705" t="str">
        <f>IFERROR(__xludf.DUMMYFUNCTION("""COMPUTED_VALUE"""),"AC6441851")</f>
        <v>AC6441851</v>
      </c>
      <c r="V705" s="148">
        <f>IFERROR(__xludf.DUMMYFUNCTION("""COMPUTED_VALUE"""),45355.0)</f>
        <v>45355</v>
      </c>
      <c r="W705" s="148">
        <f>IFERROR(__xludf.DUMMYFUNCTION("""COMPUTED_VALUE"""),49006.0)</f>
        <v>49006</v>
      </c>
      <c r="X705" s="149">
        <f>IFERROR(__xludf.DUMMYFUNCTION("""COMPUTED_VALUE"""),48825.0)</f>
        <v>48825</v>
      </c>
      <c r="Y705" t="str">
        <f>IFERROR(__xludf.DUMMYFUNCTION("""COMPUTED_VALUE"""),"ปลอดภัย")</f>
        <v>ปลอดภัย</v>
      </c>
      <c r="Z705" t="str">
        <f>IFERROR(__xludf.DUMMYFUNCTION("""COMPUTED_VALUE"""),"Bangkok")</f>
        <v>Bangkok</v>
      </c>
      <c r="AA705" t="str">
        <f>IFERROR(__xludf.DUMMYFUNCTION("""COMPUTED_VALUE"""),"Huaikwang")</f>
        <v>Huaikwang</v>
      </c>
      <c r="AB705" t="str">
        <f>IFERROR(__xludf.DUMMYFUNCTION("""COMPUTED_VALUE"""),"081 978 4515")</f>
        <v>081 978 4515</v>
      </c>
      <c r="AC705" t="str">
        <f>IFERROR(__xludf.DUMMYFUNCTION("""COMPUTED_VALUE"""),"Saruttaya Amornprasert (Mother)")</f>
        <v>Saruttaya Amornprasert (Mother)</v>
      </c>
      <c r="AD705" t="str">
        <f>IFERROR(__xludf.DUMMYFUNCTION("""COMPUTED_VALUE"""),"sampans@airasia.com")</f>
        <v>sampans@airasia.com</v>
      </c>
    </row>
    <row r="706">
      <c r="A706" s="142">
        <f>IFERROR(__xludf.DUMMYFUNCTION("""COMPUTED_VALUE"""),80.0)</f>
        <v>80</v>
      </c>
      <c r="B706" t="str">
        <f>IFERROR(__xludf.DUMMYFUNCTION("""COMPUTED_VALUE"""),"TAA7008")</f>
        <v>TAA7008</v>
      </c>
      <c r="C706">
        <f>IFERROR(__xludf.DUMMYFUNCTION("""COMPUTED_VALUE"""),1015094.0)</f>
        <v>1015094</v>
      </c>
      <c r="D706" t="str">
        <f>IFERROR(__xludf.DUMMYFUNCTION("""COMPUTED_VALUE"""),"Mr.")</f>
        <v>Mr.</v>
      </c>
      <c r="E706" t="str">
        <f>IFERROR(__xludf.DUMMYFUNCTION("""COMPUTED_VALUE"""),"Thanachai (Pheephat)")</f>
        <v>Thanachai (Pheephat)</v>
      </c>
      <c r="F706" t="str">
        <f>IFERROR(__xludf.DUMMYFUNCTION("""COMPUTED_VALUE"""),"Janjamras")</f>
        <v>Janjamras</v>
      </c>
      <c r="G706" t="str">
        <f>IFERROR(__xludf.DUMMYFUNCTION("""COMPUTED_VALUE"""),"Pheephat Janjamras")</f>
        <v>Pheephat Janjamras</v>
      </c>
      <c r="H706" t="str">
        <f>IFERROR(__xludf.DUMMYFUNCTION("""COMPUTED_VALUE"""),"นาย")</f>
        <v>นาย</v>
      </c>
      <c r="I706" t="str">
        <f>IFERROR(__xludf.DUMMYFUNCTION("""COMPUTED_VALUE"""),"ธนชัย (ภีม์พัฒน์)")</f>
        <v>ธนชัย (ภีม์พัฒน์)</v>
      </c>
      <c r="J706" t="str">
        <f>IFERROR(__xludf.DUMMYFUNCTION("""COMPUTED_VALUE"""),"จั่นจำรัส")</f>
        <v>จั่นจำรัส</v>
      </c>
      <c r="K706" t="str">
        <f>IFERROR(__xludf.DUMMYFUNCTION("""COMPUTED_VALUE"""),"ภีม์พัฒน์ จั่นจำรัส")</f>
        <v>ภีม์พัฒน์ จั่นจำรัส</v>
      </c>
      <c r="L706" t="str">
        <f>IFERROR(__xludf.DUMMYFUNCTION("""COMPUTED_VALUE"""),"Bon / บอน")</f>
        <v>Bon / บอน</v>
      </c>
      <c r="M706" t="str">
        <f>IFERROR(__xludf.DUMMYFUNCTION("""COMPUTED_VALUE"""),"Cabin Crew")</f>
        <v>Cabin Crew</v>
      </c>
      <c r="N706" t="str">
        <f>IFERROR(__xludf.DUMMYFUNCTION("""COMPUTED_VALUE"""),"DMK")</f>
        <v>DMK</v>
      </c>
      <c r="O706" s="145" t="str">
        <f>IFERROR(__xludf.DUMMYFUNCTION("""COMPUTED_VALUE"""),"Um Home")</f>
        <v>Um Home</v>
      </c>
      <c r="P706" t="str">
        <f>IFERROR(__xludf.DUMMYFUNCTION("""COMPUTED_VALUE"""),"Active")</f>
        <v>Active</v>
      </c>
      <c r="R706" s="143">
        <f>IFERROR(__xludf.DUMMYFUNCTION("""COMPUTED_VALUE"""),33057.0)</f>
        <v>33057</v>
      </c>
      <c r="S706" s="146" t="str">
        <f>IFERROR(__xludf.DUMMYFUNCTION("""COMPUTED_VALUE"""),"087 497 4315")</f>
        <v>087 497 4315</v>
      </c>
      <c r="T706" s="147" t="str">
        <f>IFERROR(__xludf.DUMMYFUNCTION("""COMPUTED_VALUE"""),"1101800-40-4431")</f>
        <v>1101800-40-4431</v>
      </c>
      <c r="U706" t="str">
        <f>IFERROR(__xludf.DUMMYFUNCTION("""COMPUTED_VALUE"""),"AD3389943")</f>
        <v>AD3389943</v>
      </c>
      <c r="V706" s="148">
        <f>IFERROR(__xludf.DUMMYFUNCTION("""COMPUTED_VALUE"""),46142.0)</f>
        <v>46142</v>
      </c>
      <c r="W706" s="148">
        <f>IFERROR(__xludf.DUMMYFUNCTION("""COMPUTED_VALUE"""),49794.0)</f>
        <v>49794</v>
      </c>
      <c r="X706" s="149">
        <f>IFERROR(__xludf.DUMMYFUNCTION("""COMPUTED_VALUE"""),49611.0)</f>
        <v>49611</v>
      </c>
      <c r="Y706" t="str">
        <f>IFERROR(__xludf.DUMMYFUNCTION("""COMPUTED_VALUE"""),"ปลอดภัย")</f>
        <v>ปลอดภัย</v>
      </c>
      <c r="Z706" t="str">
        <f>IFERROR(__xludf.DUMMYFUNCTION("""COMPUTED_VALUE"""),"Bangkok")</f>
        <v>Bangkok</v>
      </c>
      <c r="AA706" t="str">
        <f>IFERROR(__xludf.DUMMYFUNCTION("""COMPUTED_VALUE"""),"Phuttamonthon")</f>
        <v>Phuttamonthon</v>
      </c>
      <c r="AB706" t="str">
        <f>IFERROR(__xludf.DUMMYFUNCTION("""COMPUTED_VALUE"""),"089 740 6145")</f>
        <v>089 740 6145</v>
      </c>
      <c r="AC706" t="str">
        <f>IFERROR(__xludf.DUMMYFUNCTION("""COMPUTED_VALUE"""),"Boonchuey janjumrus")</f>
        <v>Boonchuey janjumrus</v>
      </c>
      <c r="AD706" t="str">
        <f>IFERROR(__xludf.DUMMYFUNCTION("""COMPUTED_VALUE"""),"pheephatj@airasia.com")</f>
        <v>pheephatj@airasia.com</v>
      </c>
    </row>
    <row r="707">
      <c r="A707" s="142">
        <f>IFERROR(__xludf.DUMMYFUNCTION("""COMPUTED_VALUE"""),80.0)</f>
        <v>80</v>
      </c>
      <c r="B707" t="str">
        <f>IFERROR(__xludf.DUMMYFUNCTION("""COMPUTED_VALUE"""),"TAA7019")</f>
        <v>TAA7019</v>
      </c>
      <c r="C707">
        <f>IFERROR(__xludf.DUMMYFUNCTION("""COMPUTED_VALUE"""),1015096.0)</f>
        <v>1015096</v>
      </c>
      <c r="D707" t="str">
        <f>IFERROR(__xludf.DUMMYFUNCTION("""COMPUTED_VALUE"""),"Ms.")</f>
        <v>Ms.</v>
      </c>
      <c r="E707" t="str">
        <f>IFERROR(__xludf.DUMMYFUNCTION("""COMPUTED_VALUE"""),"Thiranart")</f>
        <v>Thiranart</v>
      </c>
      <c r="F707" t="str">
        <f>IFERROR(__xludf.DUMMYFUNCTION("""COMPUTED_VALUE"""),"Ponglongkhum")</f>
        <v>Ponglongkhum</v>
      </c>
      <c r="G707" t="str">
        <f>IFERROR(__xludf.DUMMYFUNCTION("""COMPUTED_VALUE"""),"Thiranart Ponglongkhum")</f>
        <v>Thiranart Ponglongkhum</v>
      </c>
      <c r="H707" t="str">
        <f>IFERROR(__xludf.DUMMYFUNCTION("""COMPUTED_VALUE"""),"นางสาว")</f>
        <v>นางสาว</v>
      </c>
      <c r="I707" t="str">
        <f>IFERROR(__xludf.DUMMYFUNCTION("""COMPUTED_VALUE"""),"ธีรนาฏ")</f>
        <v>ธีรนาฏ</v>
      </c>
      <c r="J707" t="str">
        <f>IFERROR(__xludf.DUMMYFUNCTION("""COMPUTED_VALUE"""),"ป้องล่องคำ")</f>
        <v>ป้องล่องคำ</v>
      </c>
      <c r="K707" t="str">
        <f>IFERROR(__xludf.DUMMYFUNCTION("""COMPUTED_VALUE"""),"ธีรนาฏ ป้องล่องคำ")</f>
        <v>ธีรนาฏ ป้องล่องคำ</v>
      </c>
      <c r="L707" t="str">
        <f>IFERROR(__xludf.DUMMYFUNCTION("""COMPUTED_VALUE"""),"Aun / อัน")</f>
        <v>Aun / อัน</v>
      </c>
      <c r="M707" t="str">
        <f>IFERROR(__xludf.DUMMYFUNCTION("""COMPUTED_VALUE"""),"Cabin Crew")</f>
        <v>Cabin Crew</v>
      </c>
      <c r="N707" t="str">
        <f>IFERROR(__xludf.DUMMYFUNCTION("""COMPUTED_VALUE"""),"DMK")</f>
        <v>DMK</v>
      </c>
      <c r="O707" s="145" t="str">
        <f>IFERROR(__xludf.DUMMYFUNCTION("""COMPUTED_VALUE"""),"Um Home")</f>
        <v>Um Home</v>
      </c>
      <c r="P707" t="str">
        <f>IFERROR(__xludf.DUMMYFUNCTION("""COMPUTED_VALUE"""),"Active")</f>
        <v>Active</v>
      </c>
      <c r="R707" s="143">
        <f>IFERROR(__xludf.DUMMYFUNCTION("""COMPUTED_VALUE"""),33373.0)</f>
        <v>33373</v>
      </c>
      <c r="S707" s="146" t="str">
        <f>IFERROR(__xludf.DUMMYFUNCTION("""COMPUTED_VALUE"""),"096 191 5669")</f>
        <v>096 191 5669</v>
      </c>
      <c r="T707" s="147" t="str">
        <f>IFERROR(__xludf.DUMMYFUNCTION("""COMPUTED_VALUE"""),"1103700-46-5138")</f>
        <v>1103700-46-5138</v>
      </c>
      <c r="U707" t="str">
        <f>IFERROR(__xludf.DUMMYFUNCTION("""COMPUTED_VALUE"""),"AC6984720")</f>
        <v>AC6984720</v>
      </c>
      <c r="V707" s="148">
        <f>IFERROR(__xludf.DUMMYFUNCTION("""COMPUTED_VALUE"""),45622.0)</f>
        <v>45622</v>
      </c>
      <c r="W707" s="150">
        <f>IFERROR(__xludf.DUMMYFUNCTION("""COMPUTED_VALUE"""),49273.0)</f>
        <v>49273</v>
      </c>
      <c r="X707" s="149">
        <f>IFERROR(__xludf.DUMMYFUNCTION("""COMPUTED_VALUE"""),49089.0)</f>
        <v>49089</v>
      </c>
      <c r="Y707" t="str">
        <f>IFERROR(__xludf.DUMMYFUNCTION("""COMPUTED_VALUE"""),"ปลอดภัย")</f>
        <v>ปลอดภัย</v>
      </c>
      <c r="Z707" t="str">
        <f>IFERROR(__xludf.DUMMYFUNCTION("""COMPUTED_VALUE"""),"Bangkok")</f>
        <v>Bangkok</v>
      </c>
      <c r="AA707" t="str">
        <f>IFERROR(__xludf.DUMMYFUNCTION("""COMPUTED_VALUE"""),"Bangkapi")</f>
        <v>Bangkapi</v>
      </c>
      <c r="AB707" t="str">
        <f>IFERROR(__xludf.DUMMYFUNCTION("""COMPUTED_VALUE"""),"081 265 7777")</f>
        <v>081 265 7777</v>
      </c>
      <c r="AC707" t="str">
        <f>IFERROR(__xludf.DUMMYFUNCTION("""COMPUTED_VALUE"""),"Komkrit Chatchaidej (Friend)")</f>
        <v>Komkrit Chatchaidej (Friend)</v>
      </c>
      <c r="AD707" t="str">
        <f>IFERROR(__xludf.DUMMYFUNCTION("""COMPUTED_VALUE"""),"thiranartp@airasia.com")</f>
        <v>thiranartp@airasia.com</v>
      </c>
    </row>
    <row r="708">
      <c r="AD708" t="str">
        <f>IFERROR(__xludf.DUMMYFUNCTION("""COMPUTED_VALUE"""),"")</f>
        <v/>
      </c>
    </row>
    <row r="709">
      <c r="A709" s="142">
        <f>IFERROR(__xludf.DUMMYFUNCTION("""COMPUTED_VALUE"""),81.0)</f>
        <v>81</v>
      </c>
      <c r="B709" t="str">
        <f>IFERROR(__xludf.DUMMYFUNCTION("""COMPUTED_VALUE"""),"TAA7065")</f>
        <v>TAA7065</v>
      </c>
      <c r="C709">
        <f>IFERROR(__xludf.DUMMYFUNCTION("""COMPUTED_VALUE"""),1015391.0)</f>
        <v>1015391</v>
      </c>
      <c r="D709" t="str">
        <f>IFERROR(__xludf.DUMMYFUNCTION("""COMPUTED_VALUE"""),"Ms.")</f>
        <v>Ms.</v>
      </c>
      <c r="E709" t="str">
        <f>IFERROR(__xludf.DUMMYFUNCTION("""COMPUTED_VALUE"""),"CHINTAPA")</f>
        <v>CHINTAPA</v>
      </c>
      <c r="F709" t="str">
        <f>IFERROR(__xludf.DUMMYFUNCTION("""COMPUTED_VALUE"""),"SUKHARN")</f>
        <v>SUKHARN</v>
      </c>
      <c r="G709" t="str">
        <f>IFERROR(__xludf.DUMMYFUNCTION("""COMPUTED_VALUE"""),"Chintapa Sukharn")</f>
        <v>Chintapa Sukharn</v>
      </c>
      <c r="H709" t="str">
        <f>IFERROR(__xludf.DUMMYFUNCTION("""COMPUTED_VALUE"""),"นางสาว")</f>
        <v>นางสาว</v>
      </c>
      <c r="I709" t="str">
        <f>IFERROR(__xludf.DUMMYFUNCTION("""COMPUTED_VALUE"""),"จินตาภา")</f>
        <v>จินตาภา</v>
      </c>
      <c r="J709" t="str">
        <f>IFERROR(__xludf.DUMMYFUNCTION("""COMPUTED_VALUE"""),"ศึกหาญ")</f>
        <v>ศึกหาญ</v>
      </c>
      <c r="K709" t="str">
        <f>IFERROR(__xludf.DUMMYFUNCTION("""COMPUTED_VALUE"""),"จินตาภา ศึกหาญ")</f>
        <v>จินตาภา ศึกหาญ</v>
      </c>
      <c r="L709" t="str">
        <f>IFERROR(__xludf.DUMMYFUNCTION("""COMPUTED_VALUE"""),"Tarn ตาล")</f>
        <v>Tarn ตาล</v>
      </c>
      <c r="M709" t="str">
        <f>IFERROR(__xludf.DUMMYFUNCTION("""COMPUTED_VALUE"""),"Cabin Crew")</f>
        <v>Cabin Crew</v>
      </c>
      <c r="N709" t="str">
        <f>IFERROR(__xludf.DUMMYFUNCTION("""COMPUTED_VALUE"""),"DMK")</f>
        <v>DMK</v>
      </c>
      <c r="O709" s="145" t="str">
        <f>IFERROR(__xludf.DUMMYFUNCTION("""COMPUTED_VALUE"""),"Um Home")</f>
        <v>Um Home</v>
      </c>
      <c r="P709" t="str">
        <f>IFERROR(__xludf.DUMMYFUNCTION("""COMPUTED_VALUE"""),"Active")</f>
        <v>Active</v>
      </c>
      <c r="R709" s="143">
        <f>IFERROR(__xludf.DUMMYFUNCTION("""COMPUTED_VALUE"""),32563.0)</f>
        <v>32563</v>
      </c>
      <c r="S709" s="146" t="str">
        <f>IFERROR(__xludf.DUMMYFUNCTION("""COMPUTED_VALUE"""),"086 488 1188")</f>
        <v>086 488 1188</v>
      </c>
      <c r="T709" s="147" t="str">
        <f>IFERROR(__xludf.DUMMYFUNCTION("""COMPUTED_VALUE"""),"1-8401-00243-92-5")</f>
        <v>1-8401-00243-92-5</v>
      </c>
      <c r="U709" t="str">
        <f>IFERROR(__xludf.DUMMYFUNCTION("""COMPUTED_VALUE"""),"AC3290593")</f>
        <v>AC3290593</v>
      </c>
      <c r="V709" s="148">
        <f>IFERROR(__xludf.DUMMYFUNCTION("""COMPUTED_VALUE"""),44718.0)</f>
        <v>44718</v>
      </c>
      <c r="W709" s="148">
        <f>IFERROR(__xludf.DUMMYFUNCTION("""COMPUTED_VALUE"""),48370.0)</f>
        <v>48370</v>
      </c>
      <c r="X709" s="149">
        <f>IFERROR(__xludf.DUMMYFUNCTION("""COMPUTED_VALUE"""),48187.0)</f>
        <v>48187</v>
      </c>
      <c r="Y709" t="str">
        <f>IFERROR(__xludf.DUMMYFUNCTION("""COMPUTED_VALUE"""),"ปลอดภัย")</f>
        <v>ปลอดภัย</v>
      </c>
      <c r="Z709" t="str">
        <f>IFERROR(__xludf.DUMMYFUNCTION("""COMPUTED_VALUE"""),"Surat Thani Province")</f>
        <v>Surat Thani Province</v>
      </c>
      <c r="AA709" t="str">
        <f>IFERROR(__xludf.DUMMYFUNCTION("""COMPUTED_VALUE"""),"Bangkok")</f>
        <v>Bangkok</v>
      </c>
      <c r="AB709" t="str">
        <f>IFERROR(__xludf.DUMMYFUNCTION("""COMPUTED_VALUE"""),"081 541 5552")</f>
        <v>081 541 5552</v>
      </c>
      <c r="AC709" t="str">
        <f>IFERROR(__xludf.DUMMYFUNCTION("""COMPUTED_VALUE"""),"Nongyao Sukharn(Mother)")</f>
        <v>Nongyao Sukharn(Mother)</v>
      </c>
      <c r="AD709" t="str">
        <f>IFERROR(__xludf.DUMMYFUNCTION("""COMPUTED_VALUE"""),"chintapas@airasia.com")</f>
        <v>chintapas@airasia.com</v>
      </c>
    </row>
    <row r="710">
      <c r="A710" s="142">
        <f>IFERROR(__xludf.DUMMYFUNCTION("""COMPUTED_VALUE"""),81.0)</f>
        <v>81</v>
      </c>
      <c r="B710" t="str">
        <f>IFERROR(__xludf.DUMMYFUNCTION("""COMPUTED_VALUE"""),"TAA7055")</f>
        <v>TAA7055</v>
      </c>
      <c r="C710">
        <f>IFERROR(__xludf.DUMMYFUNCTION("""COMPUTED_VALUE"""),1015394.0)</f>
        <v>1015394</v>
      </c>
      <c r="D710" t="str">
        <f>IFERROR(__xludf.DUMMYFUNCTION("""COMPUTED_VALUE"""),"Mr.")</f>
        <v>Mr.</v>
      </c>
      <c r="E710" t="str">
        <f>IFERROR(__xludf.DUMMYFUNCTION("""COMPUTED_VALUE"""),"Kawin")</f>
        <v>Kawin</v>
      </c>
      <c r="F710" t="str">
        <f>IFERROR(__xludf.DUMMYFUNCTION("""COMPUTED_VALUE"""),"Panpipat")</f>
        <v>Panpipat</v>
      </c>
      <c r="G710" t="str">
        <f>IFERROR(__xludf.DUMMYFUNCTION("""COMPUTED_VALUE"""),"Kawin Panpipat")</f>
        <v>Kawin Panpipat</v>
      </c>
      <c r="H710" t="str">
        <f>IFERROR(__xludf.DUMMYFUNCTION("""COMPUTED_VALUE"""),"นาย")</f>
        <v>นาย</v>
      </c>
      <c r="I710" t="str">
        <f>IFERROR(__xludf.DUMMYFUNCTION("""COMPUTED_VALUE"""),"กวิน")</f>
        <v>กวิน</v>
      </c>
      <c r="J710" t="str">
        <f>IFERROR(__xludf.DUMMYFUNCTION("""COMPUTED_VALUE"""),"พันธุ์พิพัฒน์")</f>
        <v>พันธุ์พิพัฒน์</v>
      </c>
      <c r="K710" t="str">
        <f>IFERROR(__xludf.DUMMYFUNCTION("""COMPUTED_VALUE"""),"กวิน พันธุ์พิพัฒน์")</f>
        <v>กวิน พันธุ์พิพัฒน์</v>
      </c>
      <c r="L710" t="str">
        <f>IFERROR(__xludf.DUMMYFUNCTION("""COMPUTED_VALUE"""),"Team ทีม")</f>
        <v>Team ทีม</v>
      </c>
      <c r="M710" t="str">
        <f>IFERROR(__xludf.DUMMYFUNCTION("""COMPUTED_VALUE"""),"Cabin Crew")</f>
        <v>Cabin Crew</v>
      </c>
      <c r="N710" t="str">
        <f>IFERROR(__xludf.DUMMYFUNCTION("""COMPUTED_VALUE"""),"DMK")</f>
        <v>DMK</v>
      </c>
      <c r="O710" s="145" t="str">
        <f>IFERROR(__xludf.DUMMYFUNCTION("""COMPUTED_VALUE"""),"Kor Home")</f>
        <v>Kor Home</v>
      </c>
      <c r="P710" t="str">
        <f>IFERROR(__xludf.DUMMYFUNCTION("""COMPUTED_VALUE"""),"Active")</f>
        <v>Active</v>
      </c>
      <c r="R710" s="143">
        <f>IFERROR(__xludf.DUMMYFUNCTION("""COMPUTED_VALUE"""),32993.0)</f>
        <v>32993</v>
      </c>
      <c r="S710" s="146" t="str">
        <f>IFERROR(__xludf.DUMMYFUNCTION("""COMPUTED_VALUE"""),"091 005 1000")</f>
        <v>091 005 1000</v>
      </c>
      <c r="T710" s="147" t="str">
        <f>IFERROR(__xludf.DUMMYFUNCTION("""COMPUTED_VALUE"""),"1-1037-00124-17-9")</f>
        <v>1-1037-00124-17-9</v>
      </c>
      <c r="U710" t="str">
        <f>IFERROR(__xludf.DUMMYFUNCTION("""COMPUTED_VALUE"""),"AC6633285")</f>
        <v>AC6633285</v>
      </c>
      <c r="V710" s="148">
        <f>IFERROR(__xludf.DUMMYFUNCTION("""COMPUTED_VALUE"""),45419.0)</f>
        <v>45419</v>
      </c>
      <c r="W710" s="148">
        <f>IFERROR(__xludf.DUMMYFUNCTION("""COMPUTED_VALUE"""),49070.0)</f>
        <v>49070</v>
      </c>
      <c r="X710" s="149">
        <f>IFERROR(__xludf.DUMMYFUNCTION("""COMPUTED_VALUE"""),48889.0)</f>
        <v>48889</v>
      </c>
      <c r="Y710" t="str">
        <f>IFERROR(__xludf.DUMMYFUNCTION("""COMPUTED_VALUE"""),"ปลอดภัย")</f>
        <v>ปลอดภัย</v>
      </c>
      <c r="Z710" t="str">
        <f>IFERROR(__xludf.DUMMYFUNCTION("""COMPUTED_VALUE"""),"Bangkok")</f>
        <v>Bangkok</v>
      </c>
      <c r="AA710" t="str">
        <f>IFERROR(__xludf.DUMMYFUNCTION("""COMPUTED_VALUE"""),"Nakornsrithammarat")</f>
        <v>Nakornsrithammarat</v>
      </c>
      <c r="AB710" t="str">
        <f>IFERROR(__xludf.DUMMYFUNCTION("""COMPUTED_VALUE"""),"086 907 7270")</f>
        <v>086 907 7270</v>
      </c>
      <c r="AC710" t="str">
        <f>IFERROR(__xludf.DUMMYFUNCTION("""COMPUTED_VALUE"""),"Kawee Panpipat (Brother)")</f>
        <v>Kawee Panpipat (Brother)</v>
      </c>
      <c r="AD710" t="str">
        <f>IFERROR(__xludf.DUMMYFUNCTION("""COMPUTED_VALUE"""),"kawinp@airasia.com")</f>
        <v>kawinp@airasia.com</v>
      </c>
    </row>
    <row r="711">
      <c r="A711" s="142">
        <f>IFERROR(__xludf.DUMMYFUNCTION("""COMPUTED_VALUE"""),81.0)</f>
        <v>81</v>
      </c>
      <c r="B711" t="str">
        <f>IFERROR(__xludf.DUMMYFUNCTION("""COMPUTED_VALUE"""),"TAA7058")</f>
        <v>TAA7058</v>
      </c>
      <c r="C711">
        <f>IFERROR(__xludf.DUMMYFUNCTION("""COMPUTED_VALUE"""),1015404.0)</f>
        <v>1015404</v>
      </c>
      <c r="D711" t="str">
        <f>IFERROR(__xludf.DUMMYFUNCTION("""COMPUTED_VALUE"""),"Ms.")</f>
        <v>Ms.</v>
      </c>
      <c r="E711" t="str">
        <f>IFERROR(__xludf.DUMMYFUNCTION("""COMPUTED_VALUE"""),"Nutchanart")</f>
        <v>Nutchanart</v>
      </c>
      <c r="F711" t="str">
        <f>IFERROR(__xludf.DUMMYFUNCTION("""COMPUTED_VALUE"""),"Wanmasae")</f>
        <v>Wanmasae</v>
      </c>
      <c r="G711" t="str">
        <f>IFERROR(__xludf.DUMMYFUNCTION("""COMPUTED_VALUE"""),"Nutchanart Wanmasae")</f>
        <v>Nutchanart Wanmasae</v>
      </c>
      <c r="H711" t="str">
        <f>IFERROR(__xludf.DUMMYFUNCTION("""COMPUTED_VALUE"""),"นางสาว")</f>
        <v>นางสาว</v>
      </c>
      <c r="I711" t="str">
        <f>IFERROR(__xludf.DUMMYFUNCTION("""COMPUTED_VALUE"""),"นุชนาถ")</f>
        <v>นุชนาถ</v>
      </c>
      <c r="J711" t="str">
        <f>IFERROR(__xludf.DUMMYFUNCTION("""COMPUTED_VALUE"""),"หวันมาแซะ")</f>
        <v>หวันมาแซะ</v>
      </c>
      <c r="K711" t="str">
        <f>IFERROR(__xludf.DUMMYFUNCTION("""COMPUTED_VALUE"""),"นุชนาถ หวันมาแซะ")</f>
        <v>นุชนาถ หวันมาแซะ</v>
      </c>
      <c r="L711" t="str">
        <f>IFERROR(__xludf.DUMMYFUNCTION("""COMPUTED_VALUE"""),"Tarn ตาล")</f>
        <v>Tarn ตาล</v>
      </c>
      <c r="M711" t="str">
        <f>IFERROR(__xludf.DUMMYFUNCTION("""COMPUTED_VALUE"""),"Cabin Crew - BKK")</f>
        <v>Cabin Crew - BKK</v>
      </c>
      <c r="N711" t="str">
        <f>IFERROR(__xludf.DUMMYFUNCTION("""COMPUTED_VALUE"""),"BKK")</f>
        <v>BKK</v>
      </c>
      <c r="O711" s="145" t="str">
        <f>IFERROR(__xludf.DUMMYFUNCTION("""COMPUTED_VALUE"""),"Nhui Home")</f>
        <v>Nhui Home</v>
      </c>
      <c r="P711" t="str">
        <f>IFERROR(__xludf.DUMMYFUNCTION("""COMPUTED_VALUE"""),"Active")</f>
        <v>Active</v>
      </c>
      <c r="R711" s="143">
        <f>IFERROR(__xludf.DUMMYFUNCTION("""COMPUTED_VALUE"""),33565.0)</f>
        <v>33565</v>
      </c>
      <c r="S711" s="146" t="str">
        <f>IFERROR(__xludf.DUMMYFUNCTION("""COMPUTED_VALUE"""),"089 654 8509")</f>
        <v>089 654 8509</v>
      </c>
      <c r="T711" s="147" t="str">
        <f>IFERROR(__xludf.DUMMYFUNCTION("""COMPUTED_VALUE"""),"1-9599-00297-29-6")</f>
        <v>1-9599-00297-29-6</v>
      </c>
      <c r="U711" t="str">
        <f>IFERROR(__xludf.DUMMYFUNCTION("""COMPUTED_VALUE"""),"AC3948901")</f>
        <v>AC3948901</v>
      </c>
      <c r="V711" s="148">
        <f>IFERROR(__xludf.DUMMYFUNCTION("""COMPUTED_VALUE"""),44804.0)</f>
        <v>44804</v>
      </c>
      <c r="W711" s="148">
        <f>IFERROR(__xludf.DUMMYFUNCTION("""COMPUTED_VALUE"""),48456.0)</f>
        <v>48456</v>
      </c>
      <c r="X711" s="149">
        <f>IFERROR(__xludf.DUMMYFUNCTION("""COMPUTED_VALUE"""),48273.0)</f>
        <v>48273</v>
      </c>
      <c r="Y711" t="str">
        <f>IFERROR(__xludf.DUMMYFUNCTION("""COMPUTED_VALUE"""),"ปลอดภัย")</f>
        <v>ปลอดภัย</v>
      </c>
      <c r="Z711" t="str">
        <f>IFERROR(__xludf.DUMMYFUNCTION("""COMPUTED_VALUE"""),"Yala Province")</f>
        <v>Yala Province</v>
      </c>
      <c r="AA711" t="str">
        <f>IFERROR(__xludf.DUMMYFUNCTION("""COMPUTED_VALUE"""),"Hatyai")</f>
        <v>Hatyai</v>
      </c>
      <c r="AB711" t="str">
        <f>IFERROR(__xludf.DUMMYFUNCTION("""COMPUTED_VALUE"""),"089 4899890")</f>
        <v>089 4899890</v>
      </c>
      <c r="AC711" t="str">
        <f>IFERROR(__xludf.DUMMYFUNCTION("""COMPUTED_VALUE"""),"Gorngrew Wanmasae(Mother)")</f>
        <v>Gorngrew Wanmasae(Mother)</v>
      </c>
      <c r="AD711" t="str">
        <f>IFERROR(__xludf.DUMMYFUNCTION("""COMPUTED_VALUE"""),"nutchanartw@airasia.com")</f>
        <v>nutchanartw@airasia.com</v>
      </c>
    </row>
    <row r="712">
      <c r="A712" s="142">
        <f>IFERROR(__xludf.DUMMYFUNCTION("""COMPUTED_VALUE"""),81.0)</f>
        <v>81</v>
      </c>
      <c r="B712" t="str">
        <f>IFERROR(__xludf.DUMMYFUNCTION("""COMPUTED_VALUE"""),"TAA7070")</f>
        <v>TAA7070</v>
      </c>
      <c r="C712">
        <f>IFERROR(__xludf.DUMMYFUNCTION("""COMPUTED_VALUE"""),1015405.0)</f>
        <v>1015405</v>
      </c>
      <c r="D712" t="str">
        <f>IFERROR(__xludf.DUMMYFUNCTION("""COMPUTED_VALUE"""),"Mr.")</f>
        <v>Mr.</v>
      </c>
      <c r="E712" t="str">
        <f>IFERROR(__xludf.DUMMYFUNCTION("""COMPUTED_VALUE"""),"Nuttapon")</f>
        <v>Nuttapon</v>
      </c>
      <c r="F712" t="str">
        <f>IFERROR(__xludf.DUMMYFUNCTION("""COMPUTED_VALUE"""),"Pungjun")</f>
        <v>Pungjun</v>
      </c>
      <c r="G712" t="str">
        <f>IFERROR(__xludf.DUMMYFUNCTION("""COMPUTED_VALUE"""),"Nuttapon Pungjun")</f>
        <v>Nuttapon Pungjun</v>
      </c>
      <c r="H712" t="str">
        <f>IFERROR(__xludf.DUMMYFUNCTION("""COMPUTED_VALUE"""),"นาย")</f>
        <v>นาย</v>
      </c>
      <c r="I712" t="str">
        <f>IFERROR(__xludf.DUMMYFUNCTION("""COMPUTED_VALUE"""),"ณัฐพล")</f>
        <v>ณัฐพล</v>
      </c>
      <c r="J712" t="str">
        <f>IFERROR(__xludf.DUMMYFUNCTION("""COMPUTED_VALUE"""),"พวงจันทร์")</f>
        <v>พวงจันทร์</v>
      </c>
      <c r="K712" t="str">
        <f>IFERROR(__xludf.DUMMYFUNCTION("""COMPUTED_VALUE"""),"ณัฐพล พวงจันทร์")</f>
        <v>ณัฐพล พวงจันทร์</v>
      </c>
      <c r="L712" t="str">
        <f>IFERROR(__xludf.DUMMYFUNCTION("""COMPUTED_VALUE"""),"Bank แบงค์")</f>
        <v>Bank แบงค์</v>
      </c>
      <c r="M712" t="str">
        <f>IFERROR(__xludf.DUMMYFUNCTION("""COMPUTED_VALUE"""),"Senior Cabin Crew")</f>
        <v>Senior Cabin Crew</v>
      </c>
      <c r="N712" t="str">
        <f>IFERROR(__xludf.DUMMYFUNCTION("""COMPUTED_VALUE"""),"DMK")</f>
        <v>DMK</v>
      </c>
      <c r="O712" s="145" t="str">
        <f>IFERROR(__xludf.DUMMYFUNCTION("""COMPUTED_VALUE"""),"Por+ Home")</f>
        <v>Por+ Home</v>
      </c>
      <c r="P712" t="str">
        <f>IFERROR(__xludf.DUMMYFUNCTION("""COMPUTED_VALUE"""),"Active")</f>
        <v>Active</v>
      </c>
      <c r="R712" s="143">
        <f>IFERROR(__xludf.DUMMYFUNCTION("""COMPUTED_VALUE"""),33959.0)</f>
        <v>33959</v>
      </c>
      <c r="S712" s="146" t="str">
        <f>IFERROR(__xludf.DUMMYFUNCTION("""COMPUTED_VALUE"""),"064 283 4666 ")</f>
        <v>064 283 4666 </v>
      </c>
      <c r="T712" s="147" t="str">
        <f>IFERROR(__xludf.DUMMYFUNCTION("""COMPUTED_VALUE"""),"1-1002-00796-89-2")</f>
        <v>1-1002-00796-89-2</v>
      </c>
      <c r="U712" t="str">
        <f>IFERROR(__xludf.DUMMYFUNCTION("""COMPUTED_VALUE"""),"AC3980114")</f>
        <v>AC3980114</v>
      </c>
      <c r="V712" s="148">
        <f>IFERROR(__xludf.DUMMYFUNCTION("""COMPUTED_VALUE"""),44809.0)</f>
        <v>44809</v>
      </c>
      <c r="W712" s="148">
        <f>IFERROR(__xludf.DUMMYFUNCTION("""COMPUTED_VALUE"""),48461.0)</f>
        <v>48461</v>
      </c>
      <c r="X712" s="149">
        <f>IFERROR(__xludf.DUMMYFUNCTION("""COMPUTED_VALUE"""),48277.0)</f>
        <v>48277</v>
      </c>
      <c r="Y712" t="str">
        <f>IFERROR(__xludf.DUMMYFUNCTION("""COMPUTED_VALUE"""),"ปลอดภัย")</f>
        <v>ปลอดภัย</v>
      </c>
      <c r="Z712" t="str">
        <f>IFERROR(__xludf.DUMMYFUNCTION("""COMPUTED_VALUE"""),"Bangkok")</f>
        <v>Bangkok</v>
      </c>
      <c r="AA712" t="str">
        <f>IFERROR(__xludf.DUMMYFUNCTION("""COMPUTED_VALUE"""),"Nonthaburi")</f>
        <v>Nonthaburi</v>
      </c>
      <c r="AB712" t="str">
        <f>IFERROR(__xludf.DUMMYFUNCTION("""COMPUTED_VALUE"""),"089 442 8082")</f>
        <v>089 442 8082</v>
      </c>
      <c r="AC712" t="str">
        <f>IFERROR(__xludf.DUMMYFUNCTION("""COMPUTED_VALUE"""),"Alongkorn Pungjun(Father)")</f>
        <v>Alongkorn Pungjun(Father)</v>
      </c>
      <c r="AD712" t="str">
        <f>IFERROR(__xludf.DUMMYFUNCTION("""COMPUTED_VALUE"""),"nuttaponj@airasia.com")</f>
        <v>nuttaponj@airasia.com</v>
      </c>
    </row>
    <row r="713">
      <c r="A713" s="142">
        <f>IFERROR(__xludf.DUMMYFUNCTION("""COMPUTED_VALUE"""),81.0)</f>
        <v>81</v>
      </c>
      <c r="B713" t="str">
        <f>IFERROR(__xludf.DUMMYFUNCTION("""COMPUTED_VALUE"""),"TAA7064")</f>
        <v>TAA7064</v>
      </c>
      <c r="C713">
        <f>IFERROR(__xludf.DUMMYFUNCTION("""COMPUTED_VALUE"""),1015406.0)</f>
        <v>1015406</v>
      </c>
      <c r="D713" t="str">
        <f>IFERROR(__xludf.DUMMYFUNCTION("""COMPUTED_VALUE"""),"Mr.")</f>
        <v>Mr.</v>
      </c>
      <c r="E713" t="str">
        <f>IFERROR(__xludf.DUMMYFUNCTION("""COMPUTED_VALUE"""),"Perati")</f>
        <v>Perati</v>
      </c>
      <c r="F713" t="str">
        <f>IFERROR(__xludf.DUMMYFUNCTION("""COMPUTED_VALUE"""),"Ardwong")</f>
        <v>Ardwong</v>
      </c>
      <c r="G713" t="str">
        <f>IFERROR(__xludf.DUMMYFUNCTION("""COMPUTED_VALUE"""),"Perati Ardwong")</f>
        <v>Perati Ardwong</v>
      </c>
      <c r="H713" t="str">
        <f>IFERROR(__xludf.DUMMYFUNCTION("""COMPUTED_VALUE"""),"นาย")</f>
        <v>นาย</v>
      </c>
      <c r="I713" t="str">
        <f>IFERROR(__xludf.DUMMYFUNCTION("""COMPUTED_VALUE"""),"ปีรติ")</f>
        <v>ปีรติ</v>
      </c>
      <c r="J713" t="str">
        <f>IFERROR(__xludf.DUMMYFUNCTION("""COMPUTED_VALUE"""),"อาจวงษ์")</f>
        <v>อาจวงษ์</v>
      </c>
      <c r="K713" t="str">
        <f>IFERROR(__xludf.DUMMYFUNCTION("""COMPUTED_VALUE"""),"ปีรติ อาจวงษ์")</f>
        <v>ปีรติ อาจวงษ์</v>
      </c>
      <c r="L713" t="str">
        <f>IFERROR(__xludf.DUMMYFUNCTION("""COMPUTED_VALUE"""),"Prame เปรม")</f>
        <v>Prame เปรม</v>
      </c>
      <c r="M713" t="str">
        <f>IFERROR(__xludf.DUMMYFUNCTION("""COMPUTED_VALUE"""),"Senior Cabin Crew")</f>
        <v>Senior Cabin Crew</v>
      </c>
      <c r="N713" t="str">
        <f>IFERROR(__xludf.DUMMYFUNCTION("""COMPUTED_VALUE"""),"DMK")</f>
        <v>DMK</v>
      </c>
      <c r="O713" s="145" t="str">
        <f>IFERROR(__xludf.DUMMYFUNCTION("""COMPUTED_VALUE"""),"Nhui Home")</f>
        <v>Nhui Home</v>
      </c>
      <c r="P713" t="str">
        <f>IFERROR(__xludf.DUMMYFUNCTION("""COMPUTED_VALUE"""),"Active")</f>
        <v>Active</v>
      </c>
      <c r="R713" s="143">
        <f>IFERROR(__xludf.DUMMYFUNCTION("""COMPUTED_VALUE"""),33692.0)</f>
        <v>33692</v>
      </c>
      <c r="S713" s="146" t="str">
        <f>IFERROR(__xludf.DUMMYFUNCTION("""COMPUTED_VALUE"""),"096 886 4770")</f>
        <v>096 886 4770</v>
      </c>
      <c r="T713" s="147" t="str">
        <f>IFERROR(__xludf.DUMMYFUNCTION("""COMPUTED_VALUE"""),"1-1037-00745-92-1")</f>
        <v>1-1037-00745-92-1</v>
      </c>
      <c r="U713" t="str">
        <f>IFERROR(__xludf.DUMMYFUNCTION("""COMPUTED_VALUE"""),"AC8189030")</f>
        <v>AC8189030</v>
      </c>
      <c r="V713" s="148">
        <f>IFERROR(__xludf.DUMMYFUNCTION("""COMPUTED_VALUE"""),46069.0)</f>
        <v>46069</v>
      </c>
      <c r="W713" s="148">
        <f>IFERROR(__xludf.DUMMYFUNCTION("""COMPUTED_VALUE"""),49720.0)</f>
        <v>49720</v>
      </c>
      <c r="X713" s="149">
        <f>IFERROR(__xludf.DUMMYFUNCTION("""COMPUTED_VALUE"""),49536.0)</f>
        <v>49536</v>
      </c>
      <c r="Y713" t="str">
        <f>IFERROR(__xludf.DUMMYFUNCTION("""COMPUTED_VALUE"""),"ปลอดภัย")</f>
        <v>ปลอดภัย</v>
      </c>
      <c r="Z713" t="str">
        <f>IFERROR(__xludf.DUMMYFUNCTION("""COMPUTED_VALUE"""),"Bangkok")</f>
        <v>Bangkok</v>
      </c>
      <c r="AA713" t="str">
        <f>IFERROR(__xludf.DUMMYFUNCTION("""COMPUTED_VALUE"""),"Bangkok")</f>
        <v>Bangkok</v>
      </c>
      <c r="AB713" t="str">
        <f>IFERROR(__xludf.DUMMYFUNCTION("""COMPUTED_VALUE"""),"087 551 5197")</f>
        <v>087 551 5197</v>
      </c>
      <c r="AC713" t="str">
        <f>IFERROR(__xludf.DUMMYFUNCTION("""COMPUTED_VALUE"""),"Neeranuch Ardwong (Mother)")</f>
        <v>Neeranuch Ardwong (Mother)</v>
      </c>
      <c r="AD713" t="str">
        <f>IFERROR(__xludf.DUMMYFUNCTION("""COMPUTED_VALUE"""),"peratia@airasia.com")</f>
        <v>peratia@airasia.com</v>
      </c>
    </row>
    <row r="714">
      <c r="A714" s="142">
        <f>IFERROR(__xludf.DUMMYFUNCTION("""COMPUTED_VALUE"""),81.0)</f>
        <v>81</v>
      </c>
      <c r="B714" t="str">
        <f>IFERROR(__xludf.DUMMYFUNCTION("""COMPUTED_VALUE"""),"TAA7057")</f>
        <v>TAA7057</v>
      </c>
      <c r="C714">
        <f>IFERROR(__xludf.DUMMYFUNCTION("""COMPUTED_VALUE"""),1015408.0)</f>
        <v>1015408</v>
      </c>
      <c r="D714" t="str">
        <f>IFERROR(__xludf.DUMMYFUNCTION("""COMPUTED_VALUE"""),"Ms.")</f>
        <v>Ms.</v>
      </c>
      <c r="E714" t="str">
        <f>IFERROR(__xludf.DUMMYFUNCTION("""COMPUTED_VALUE"""),"Pornpimol")</f>
        <v>Pornpimol</v>
      </c>
      <c r="F714" t="str">
        <f>IFERROR(__xludf.DUMMYFUNCTION("""COMPUTED_VALUE"""),"Chorruengsak")</f>
        <v>Chorruengsak</v>
      </c>
      <c r="G714" t="str">
        <f>IFERROR(__xludf.DUMMYFUNCTION("""COMPUTED_VALUE"""),"Pornpimol Chorruengsak")</f>
        <v>Pornpimol Chorruengsak</v>
      </c>
      <c r="H714" t="str">
        <f>IFERROR(__xludf.DUMMYFUNCTION("""COMPUTED_VALUE"""),"นางสาว")</f>
        <v>นางสาว</v>
      </c>
      <c r="I714" t="str">
        <f>IFERROR(__xludf.DUMMYFUNCTION("""COMPUTED_VALUE"""),"พรพิมล")</f>
        <v>พรพิมล</v>
      </c>
      <c r="J714" t="str">
        <f>IFERROR(__xludf.DUMMYFUNCTION("""COMPUTED_VALUE"""),"ช่อเรืองศักดิ์")</f>
        <v>ช่อเรืองศักดิ์</v>
      </c>
      <c r="K714" t="str">
        <f>IFERROR(__xludf.DUMMYFUNCTION("""COMPUTED_VALUE"""),"พรพิมล ช่อเรืองศักดิ์")</f>
        <v>พรพิมล ช่อเรืองศักดิ์</v>
      </c>
      <c r="L714" t="str">
        <f>IFERROR(__xludf.DUMMYFUNCTION("""COMPUTED_VALUE"""),"Eye อาย")</f>
        <v>Eye อาย</v>
      </c>
      <c r="M714" t="str">
        <f>IFERROR(__xludf.DUMMYFUNCTION("""COMPUTED_VALUE"""),"Cabin Crew")</f>
        <v>Cabin Crew</v>
      </c>
      <c r="N714" t="str">
        <f>IFERROR(__xludf.DUMMYFUNCTION("""COMPUTED_VALUE"""),"DMK")</f>
        <v>DMK</v>
      </c>
      <c r="O714" s="145" t="str">
        <f>IFERROR(__xludf.DUMMYFUNCTION("""COMPUTED_VALUE"""),"Nhui Home")</f>
        <v>Nhui Home</v>
      </c>
      <c r="P714" t="str">
        <f>IFERROR(__xludf.DUMMYFUNCTION("""COMPUTED_VALUE"""),"Active")</f>
        <v>Active</v>
      </c>
      <c r="R714" s="143">
        <f>IFERROR(__xludf.DUMMYFUNCTION("""COMPUTED_VALUE"""),33206.0)</f>
        <v>33206</v>
      </c>
      <c r="S714" s="146" t="str">
        <f>IFERROR(__xludf.DUMMYFUNCTION("""COMPUTED_VALUE"""),"086 292 5436")</f>
        <v>086 292 5436</v>
      </c>
      <c r="T714" s="147" t="str">
        <f>IFERROR(__xludf.DUMMYFUNCTION("""COMPUTED_VALUE"""),"1-9098-00491-26-1")</f>
        <v>1-9098-00491-26-1</v>
      </c>
      <c r="U714" t="str">
        <f>IFERROR(__xludf.DUMMYFUNCTION("""COMPUTED_VALUE"""),"AC6112258")</f>
        <v>AC6112258</v>
      </c>
      <c r="V714" s="148">
        <f>IFERROR(__xludf.DUMMYFUNCTION("""COMPUTED_VALUE"""),45277.0)</f>
        <v>45277</v>
      </c>
      <c r="W714" s="148">
        <f>IFERROR(__xludf.DUMMYFUNCTION("""COMPUTED_VALUE"""),48929.0)</f>
        <v>48929</v>
      </c>
      <c r="X714" s="149">
        <f>IFERROR(__xludf.DUMMYFUNCTION("""COMPUTED_VALUE"""),48746.0)</f>
        <v>48746</v>
      </c>
      <c r="Y714" t="str">
        <f>IFERROR(__xludf.DUMMYFUNCTION("""COMPUTED_VALUE"""),"ปลอดภัย")</f>
        <v>ปลอดภัย</v>
      </c>
      <c r="Z714" t="str">
        <f>IFERROR(__xludf.DUMMYFUNCTION("""COMPUTED_VALUE"""),"Songkhla Province")</f>
        <v>Songkhla Province</v>
      </c>
      <c r="AA714" t="str">
        <f>IFERROR(__xludf.DUMMYFUNCTION("""COMPUTED_VALUE"""),"Songkhla")</f>
        <v>Songkhla</v>
      </c>
      <c r="AB714" t="str">
        <f>IFERROR(__xludf.DUMMYFUNCTION("""COMPUTED_VALUE"""),"080 541 4805")</f>
        <v>080 541 4805</v>
      </c>
      <c r="AC714" t="str">
        <f>IFERROR(__xludf.DUMMYFUNCTION("""COMPUTED_VALUE"""),"Supichit Chorruengsak(Father)")</f>
        <v>Supichit Chorruengsak(Father)</v>
      </c>
      <c r="AD714" t="str">
        <f>IFERROR(__xludf.DUMMYFUNCTION("""COMPUTED_VALUE"""),"pornpimolh@airasia.com")</f>
        <v>pornpimolh@airasia.com</v>
      </c>
    </row>
    <row r="715">
      <c r="A715" s="142">
        <f>IFERROR(__xludf.DUMMYFUNCTION("""COMPUTED_VALUE"""),81.0)</f>
        <v>81</v>
      </c>
      <c r="B715" t="str">
        <f>IFERROR(__xludf.DUMMYFUNCTION("""COMPUTED_VALUE"""),"TAA7056")</f>
        <v>TAA7056</v>
      </c>
      <c r="C715">
        <f>IFERROR(__xludf.DUMMYFUNCTION("""COMPUTED_VALUE"""),1015412.0)</f>
        <v>1015412</v>
      </c>
      <c r="D715" t="str">
        <f>IFERROR(__xludf.DUMMYFUNCTION("""COMPUTED_VALUE"""),"Mr.")</f>
        <v>Mr.</v>
      </c>
      <c r="E715" t="str">
        <f>IFERROR(__xludf.DUMMYFUNCTION("""COMPUTED_VALUE"""),"Sitthiphath")</f>
        <v>Sitthiphath</v>
      </c>
      <c r="F715" t="str">
        <f>IFERROR(__xludf.DUMMYFUNCTION("""COMPUTED_VALUE"""),"Ratanaborvornsethi")</f>
        <v>Ratanaborvornsethi</v>
      </c>
      <c r="G715" t="str">
        <f>IFERROR(__xludf.DUMMYFUNCTION("""COMPUTED_VALUE"""),"Sitthiphath Ratanaborvornsethi")</f>
        <v>Sitthiphath Ratanaborvornsethi</v>
      </c>
      <c r="H715" t="str">
        <f>IFERROR(__xludf.DUMMYFUNCTION("""COMPUTED_VALUE"""),"นาย")</f>
        <v>นาย</v>
      </c>
      <c r="I715" t="str">
        <f>IFERROR(__xludf.DUMMYFUNCTION("""COMPUTED_VALUE"""),"ศิษฐิพัช")</f>
        <v>ศิษฐิพัช</v>
      </c>
      <c r="J715" t="str">
        <f>IFERROR(__xludf.DUMMYFUNCTION("""COMPUTED_VALUE"""),"รัตนบวรเศรษฐ์")</f>
        <v>รัตนบวรเศรษฐ์</v>
      </c>
      <c r="K715" t="str">
        <f>IFERROR(__xludf.DUMMYFUNCTION("""COMPUTED_VALUE"""),"ศิษฐิพัช รัตนบวรเศรษฐ์")</f>
        <v>ศิษฐิพัช รัตนบวรเศรษฐ์</v>
      </c>
      <c r="L715" t="str">
        <f>IFERROR(__xludf.DUMMYFUNCTION("""COMPUTED_VALUE"""),"Modern โมเดิร์น")</f>
        <v>Modern โมเดิร์น</v>
      </c>
      <c r="M715" t="str">
        <f>IFERROR(__xludf.DUMMYFUNCTION("""COMPUTED_VALUE"""),"Cabin Crew")</f>
        <v>Cabin Crew</v>
      </c>
      <c r="N715" t="str">
        <f>IFERROR(__xludf.DUMMYFUNCTION("""COMPUTED_VALUE"""),"DMK")</f>
        <v>DMK</v>
      </c>
      <c r="O715" s="145" t="str">
        <f>IFERROR(__xludf.DUMMYFUNCTION("""COMPUTED_VALUE"""),"Um Home")</f>
        <v>Um Home</v>
      </c>
      <c r="P715" t="str">
        <f>IFERROR(__xludf.DUMMYFUNCTION("""COMPUTED_VALUE"""),"V/LWP")</f>
        <v>V/LWP</v>
      </c>
      <c r="R715" s="143">
        <f>IFERROR(__xludf.DUMMYFUNCTION("""COMPUTED_VALUE"""),32737.0)</f>
        <v>32737</v>
      </c>
      <c r="S715" s="146">
        <f>IFERROR(__xludf.DUMMYFUNCTION("""COMPUTED_VALUE"""),9.41495199E8)</f>
        <v>941495199</v>
      </c>
      <c r="T715" s="147" t="str">
        <f>IFERROR(__xludf.DUMMYFUNCTION("""COMPUTED_VALUE"""),"1-1014-01660-67-1")</f>
        <v>1-1014-01660-67-1</v>
      </c>
      <c r="U715" t="str">
        <f>IFERROR(__xludf.DUMMYFUNCTION("""COMPUTED_VALUE"""),"AC4778442")</f>
        <v>AC4778442</v>
      </c>
      <c r="V715" s="148">
        <f>IFERROR(__xludf.DUMMYFUNCTION("""COMPUTED_VALUE"""),45040.0)</f>
        <v>45040</v>
      </c>
      <c r="W715" s="148">
        <f>IFERROR(__xludf.DUMMYFUNCTION("""COMPUTED_VALUE"""),48692.0)</f>
        <v>48692</v>
      </c>
      <c r="X715" s="149">
        <f>IFERROR(__xludf.DUMMYFUNCTION("""COMPUTED_VALUE"""),48510.0)</f>
        <v>48510</v>
      </c>
      <c r="Y715" t="str">
        <f>IFERROR(__xludf.DUMMYFUNCTION("""COMPUTED_VALUE"""),"ปลอดภัย")</f>
        <v>ปลอดภัย</v>
      </c>
      <c r="Z715" t="str">
        <f>IFERROR(__xludf.DUMMYFUNCTION("""COMPUTED_VALUE"""),"Bangkok")</f>
        <v>Bangkok</v>
      </c>
      <c r="AA715" t="str">
        <f>IFERROR(__xludf.DUMMYFUNCTION("""COMPUTED_VALUE"""),"Nonthaburi")</f>
        <v>Nonthaburi</v>
      </c>
      <c r="AB715" t="str">
        <f>IFERROR(__xludf.DUMMYFUNCTION("""COMPUTED_VALUE"""),"081 846 5080")</f>
        <v>081 846 5080</v>
      </c>
      <c r="AC715" t="str">
        <f>IFERROR(__xludf.DUMMYFUNCTION("""COMPUTED_VALUE"""),"Pooncharas Ratanaborvrnsethi (Mother)")</f>
        <v>Pooncharas Ratanaborvrnsethi (Mother)</v>
      </c>
      <c r="AD715" t="str">
        <f>IFERROR(__xludf.DUMMYFUNCTION("""COMPUTED_VALUE"""),"sitthiphathr@airasia.com")</f>
        <v>sitthiphathr@airasia.com</v>
      </c>
    </row>
    <row r="716">
      <c r="A716" s="142">
        <f>IFERROR(__xludf.DUMMYFUNCTION("""COMPUTED_VALUE"""),81.0)</f>
        <v>81</v>
      </c>
      <c r="B716" t="str">
        <f>IFERROR(__xludf.DUMMYFUNCTION("""COMPUTED_VALUE"""),"TAA7071")</f>
        <v>TAA7071</v>
      </c>
      <c r="C716">
        <f>IFERROR(__xludf.DUMMYFUNCTION("""COMPUTED_VALUE"""),1015414.0)</f>
        <v>1015414</v>
      </c>
      <c r="D716" t="str">
        <f>IFERROR(__xludf.DUMMYFUNCTION("""COMPUTED_VALUE"""),"Mr.")</f>
        <v>Mr.</v>
      </c>
      <c r="E716" t="str">
        <f>IFERROR(__xludf.DUMMYFUNCTION("""COMPUTED_VALUE"""),"TARADOL")</f>
        <v>TARADOL</v>
      </c>
      <c r="F716" t="str">
        <f>IFERROR(__xludf.DUMMYFUNCTION("""COMPUTED_VALUE"""),"POOMSAWANG")</f>
        <v>POOMSAWANG</v>
      </c>
      <c r="G716" t="str">
        <f>IFERROR(__xludf.DUMMYFUNCTION("""COMPUTED_VALUE"""),"TARADOL POOMSAWANG")</f>
        <v>TARADOL POOMSAWANG</v>
      </c>
      <c r="H716" t="str">
        <f>IFERROR(__xludf.DUMMYFUNCTION("""COMPUTED_VALUE"""),"นาย")</f>
        <v>นาย</v>
      </c>
      <c r="I716" t="str">
        <f>IFERROR(__xludf.DUMMYFUNCTION("""COMPUTED_VALUE"""),"ธราดล")</f>
        <v>ธราดล</v>
      </c>
      <c r="J716" t="str">
        <f>IFERROR(__xludf.DUMMYFUNCTION("""COMPUTED_VALUE"""),"พุ่มสว่าง")</f>
        <v>พุ่มสว่าง</v>
      </c>
      <c r="K716" t="str">
        <f>IFERROR(__xludf.DUMMYFUNCTION("""COMPUTED_VALUE"""),"ธราดล พุ่มสว่าง")</f>
        <v>ธราดล พุ่มสว่าง</v>
      </c>
      <c r="L716" t="str">
        <f>IFERROR(__xludf.DUMMYFUNCTION("""COMPUTED_VALUE"""),"Earth เอิร์ท")</f>
        <v>Earth เอิร์ท</v>
      </c>
      <c r="M716" t="str">
        <f>IFERROR(__xludf.DUMMYFUNCTION("""COMPUTED_VALUE"""),"Cabin Crew")</f>
        <v>Cabin Crew</v>
      </c>
      <c r="N716" t="str">
        <f>IFERROR(__xludf.DUMMYFUNCTION("""COMPUTED_VALUE"""),"DMK")</f>
        <v>DMK</v>
      </c>
      <c r="O716" s="145" t="str">
        <f>IFERROR(__xludf.DUMMYFUNCTION("""COMPUTED_VALUE"""),"Por+ Home")</f>
        <v>Por+ Home</v>
      </c>
      <c r="P716" t="str">
        <f>IFERROR(__xludf.DUMMYFUNCTION("""COMPUTED_VALUE"""),"Active")</f>
        <v>Active</v>
      </c>
      <c r="R716" s="143">
        <f>IFERROR(__xludf.DUMMYFUNCTION("""COMPUTED_VALUE"""),30486.0)</f>
        <v>30486</v>
      </c>
      <c r="S716" s="146" t="str">
        <f>IFERROR(__xludf.DUMMYFUNCTION("""COMPUTED_VALUE"""),"098 535 4693")</f>
        <v>098 535 4693</v>
      </c>
      <c r="T716" s="147" t="str">
        <f>IFERROR(__xludf.DUMMYFUNCTION("""COMPUTED_VALUE"""),"3-1006-00335-90-2")</f>
        <v>3-1006-00335-90-2</v>
      </c>
      <c r="U716" t="str">
        <f>IFERROR(__xludf.DUMMYFUNCTION("""COMPUTED_VALUE"""),"AC6689869")</f>
        <v>AC6689869</v>
      </c>
      <c r="V716" s="148">
        <f>IFERROR(__xludf.DUMMYFUNCTION("""COMPUTED_VALUE"""),45406.0)</f>
        <v>45406</v>
      </c>
      <c r="W716" s="148">
        <f>IFERROR(__xludf.DUMMYFUNCTION("""COMPUTED_VALUE"""),49057.0)</f>
        <v>49057</v>
      </c>
      <c r="X716" s="149">
        <f>IFERROR(__xludf.DUMMYFUNCTION("""COMPUTED_VALUE"""),48875.0)</f>
        <v>48875</v>
      </c>
      <c r="Y716" t="str">
        <f>IFERROR(__xludf.DUMMYFUNCTION("""COMPUTED_VALUE"""),"ปลอดภัย")</f>
        <v>ปลอดภัย</v>
      </c>
      <c r="Z716" t="str">
        <f>IFERROR(__xludf.DUMMYFUNCTION("""COMPUTED_VALUE"""),"Bangkok")</f>
        <v>Bangkok</v>
      </c>
      <c r="AA716" t="str">
        <f>IFERROR(__xludf.DUMMYFUNCTION("""COMPUTED_VALUE"""),"Bangkok")</f>
        <v>Bangkok</v>
      </c>
      <c r="AB716" t="str">
        <f>IFERROR(__xludf.DUMMYFUNCTION("""COMPUTED_VALUE"""),"081 827 1981")</f>
        <v>081 827 1981</v>
      </c>
      <c r="AC716" t="str">
        <f>IFERROR(__xludf.DUMMYFUNCTION("""COMPUTED_VALUE"""),"Aumrawadee Hasunha(Mother)")</f>
        <v>Aumrawadee Hasunha(Mother)</v>
      </c>
      <c r="AD716" t="str">
        <f>IFERROR(__xludf.DUMMYFUNCTION("""COMPUTED_VALUE"""),"taradolp@airasia.com")</f>
        <v>taradolp@airasia.com</v>
      </c>
    </row>
    <row r="717">
      <c r="AD717" t="str">
        <f>IFERROR(__xludf.DUMMYFUNCTION("""COMPUTED_VALUE"""),"")</f>
        <v/>
      </c>
    </row>
    <row r="718">
      <c r="A718" s="142">
        <f>IFERROR(__xludf.DUMMYFUNCTION("""COMPUTED_VALUE"""),82.0)</f>
        <v>82</v>
      </c>
      <c r="B718" t="str">
        <f>IFERROR(__xludf.DUMMYFUNCTION("""COMPUTED_VALUE"""),"TAA7089")</f>
        <v>TAA7089</v>
      </c>
      <c r="C718">
        <f>IFERROR(__xludf.DUMMYFUNCTION("""COMPUTED_VALUE"""),1014656.0)</f>
        <v>1014656</v>
      </c>
      <c r="D718" t="str">
        <f>IFERROR(__xludf.DUMMYFUNCTION("""COMPUTED_VALUE"""),"Ms.")</f>
        <v>Ms.</v>
      </c>
      <c r="E718" t="str">
        <f>IFERROR(__xludf.DUMMYFUNCTION("""COMPUTED_VALUE"""),"Chanisa")</f>
        <v>Chanisa</v>
      </c>
      <c r="F718" t="str">
        <f>IFERROR(__xludf.DUMMYFUNCTION("""COMPUTED_VALUE"""),"Kongthaisereekul")</f>
        <v>Kongthaisereekul</v>
      </c>
      <c r="G718" t="str">
        <f>IFERROR(__xludf.DUMMYFUNCTION("""COMPUTED_VALUE"""),"Chanisa Kongthaisereekul")</f>
        <v>Chanisa Kongthaisereekul</v>
      </c>
      <c r="H718" t="str">
        <f>IFERROR(__xludf.DUMMYFUNCTION("""COMPUTED_VALUE"""),"นางสาว")</f>
        <v>นางสาว</v>
      </c>
      <c r="I718" t="str">
        <f>IFERROR(__xludf.DUMMYFUNCTION("""COMPUTED_VALUE"""),"ชนิศา")</f>
        <v>ชนิศา</v>
      </c>
      <c r="J718" t="str">
        <f>IFERROR(__xludf.DUMMYFUNCTION("""COMPUTED_VALUE"""),"คงไทยเสรีกุล")</f>
        <v>คงไทยเสรีกุล</v>
      </c>
      <c r="K718" t="str">
        <f>IFERROR(__xludf.DUMMYFUNCTION("""COMPUTED_VALUE"""),"ชนิศา คงไทยเสรีกุล")</f>
        <v>ชนิศา คงไทยเสรีกุล</v>
      </c>
      <c r="L718" t="str">
        <f>IFERROR(__xludf.DUMMYFUNCTION("""COMPUTED_VALUE"""),"Nung / หนุง")</f>
        <v>Nung / หนุง</v>
      </c>
      <c r="M718" t="str">
        <f>IFERROR(__xludf.DUMMYFUNCTION("""COMPUTED_VALUE"""),"Cabin Crew")</f>
        <v>Cabin Crew</v>
      </c>
      <c r="N718" t="str">
        <f>IFERROR(__xludf.DUMMYFUNCTION("""COMPUTED_VALUE"""),"DMK")</f>
        <v>DMK</v>
      </c>
      <c r="O718" s="145" t="str">
        <f>IFERROR(__xludf.DUMMYFUNCTION("""COMPUTED_VALUE"""),"Um Home")</f>
        <v>Um Home</v>
      </c>
      <c r="P718" t="str">
        <f>IFERROR(__xludf.DUMMYFUNCTION("""COMPUTED_VALUE"""),"Active")</f>
        <v>Active</v>
      </c>
      <c r="Q718" t="str">
        <f>IFERROR(__xludf.DUMMYFUNCTION("""COMPUTED_VALUE"""),"Chinese Speaking")</f>
        <v>Chinese Speaking</v>
      </c>
      <c r="R718" s="143">
        <f>IFERROR(__xludf.DUMMYFUNCTION("""COMPUTED_VALUE"""),32333.0)</f>
        <v>32333</v>
      </c>
      <c r="S718" s="146" t="str">
        <f>IFERROR(__xludf.DUMMYFUNCTION("""COMPUTED_VALUE"""),"065-914-2364")</f>
        <v>065-914-2364</v>
      </c>
      <c r="T718" s="147" t="str">
        <f>IFERROR(__xludf.DUMMYFUNCTION("""COMPUTED_VALUE"""),"1-1008-00440-08-8")</f>
        <v>1-1008-00440-08-8</v>
      </c>
      <c r="U718" t="str">
        <f>IFERROR(__xludf.DUMMYFUNCTION("""COMPUTED_VALUE"""),"AD1045215")</f>
        <v>AD1045215</v>
      </c>
      <c r="V718" s="148">
        <f>IFERROR(__xludf.DUMMYFUNCTION("""COMPUTED_VALUE"""),45054.0)</f>
        <v>45054</v>
      </c>
      <c r="W718" s="148">
        <f>IFERROR(__xludf.DUMMYFUNCTION("""COMPUTED_VALUE"""),48706.0)</f>
        <v>48706</v>
      </c>
      <c r="X718" s="149">
        <f>IFERROR(__xludf.DUMMYFUNCTION("""COMPUTED_VALUE"""),48525.0)</f>
        <v>48525</v>
      </c>
      <c r="Y718" t="str">
        <f>IFERROR(__xludf.DUMMYFUNCTION("""COMPUTED_VALUE"""),"ปลอดภัย")</f>
        <v>ปลอดภัย</v>
      </c>
      <c r="Z718" t="str">
        <f>IFERROR(__xludf.DUMMYFUNCTION("""COMPUTED_VALUE"""),"Bangkok")</f>
        <v>Bangkok</v>
      </c>
      <c r="AA718" t="str">
        <f>IFERROR(__xludf.DUMMYFUNCTION("""COMPUTED_VALUE"""),"Yannawa")</f>
        <v>Yannawa</v>
      </c>
      <c r="AB718" t="str">
        <f>IFERROR(__xludf.DUMMYFUNCTION("""COMPUTED_VALUE"""),"081-834-8828")</f>
        <v>081-834-8828</v>
      </c>
      <c r="AC718" t="str">
        <f>IFERROR(__xludf.DUMMYFUNCTION("""COMPUTED_VALUE"""),"Vichein Kongthaisereekul (Father)")</f>
        <v>Vichein Kongthaisereekul (Father)</v>
      </c>
      <c r="AD718" t="str">
        <f>IFERROR(__xludf.DUMMYFUNCTION("""COMPUTED_VALUE"""),"chanisak@airasia.com")</f>
        <v>chanisak@airasia.com</v>
      </c>
    </row>
    <row r="719">
      <c r="A719" s="142">
        <f>IFERROR(__xludf.DUMMYFUNCTION("""COMPUTED_VALUE"""),82.0)</f>
        <v>82</v>
      </c>
      <c r="B719" t="str">
        <f>IFERROR(__xludf.DUMMYFUNCTION("""COMPUTED_VALUE"""),"TAA7084")</f>
        <v>TAA7084</v>
      </c>
      <c r="C719">
        <f>IFERROR(__xludf.DUMMYFUNCTION("""COMPUTED_VALUE"""),1014662.0)</f>
        <v>1014662</v>
      </c>
      <c r="D719" t="str">
        <f>IFERROR(__xludf.DUMMYFUNCTION("""COMPUTED_VALUE"""),"Ms.")</f>
        <v>Ms.</v>
      </c>
      <c r="E719" t="str">
        <f>IFERROR(__xludf.DUMMYFUNCTION("""COMPUTED_VALUE"""),"Duangkamon")</f>
        <v>Duangkamon</v>
      </c>
      <c r="F719" t="str">
        <f>IFERROR(__xludf.DUMMYFUNCTION("""COMPUTED_VALUE"""),"Wongjareanyong")</f>
        <v>Wongjareanyong</v>
      </c>
      <c r="G719" t="str">
        <f>IFERROR(__xludf.DUMMYFUNCTION("""COMPUTED_VALUE"""),"Duangkamon Wongjareanyong")</f>
        <v>Duangkamon Wongjareanyong</v>
      </c>
      <c r="H719" t="str">
        <f>IFERROR(__xludf.DUMMYFUNCTION("""COMPUTED_VALUE"""),"นางสาว")</f>
        <v>นางสาว</v>
      </c>
      <c r="I719" t="str">
        <f>IFERROR(__xludf.DUMMYFUNCTION("""COMPUTED_VALUE"""),"ดวงกมล")</f>
        <v>ดวงกมล</v>
      </c>
      <c r="J719" t="str">
        <f>IFERROR(__xludf.DUMMYFUNCTION("""COMPUTED_VALUE"""),"วงศ์เจริญยง")</f>
        <v>วงศ์เจริญยง</v>
      </c>
      <c r="K719" t="str">
        <f>IFERROR(__xludf.DUMMYFUNCTION("""COMPUTED_VALUE"""),"ดวงกมล วงศ์เจริญยง")</f>
        <v>ดวงกมล วงศ์เจริญยง</v>
      </c>
      <c r="L719" t="str">
        <f>IFERROR(__xludf.DUMMYFUNCTION("""COMPUTED_VALUE"""),"jib / จิ๊บ")</f>
        <v>jib / จิ๊บ</v>
      </c>
      <c r="M719" t="str">
        <f>IFERROR(__xludf.DUMMYFUNCTION("""COMPUTED_VALUE"""),"Cabin Crew")</f>
        <v>Cabin Crew</v>
      </c>
      <c r="N719" t="str">
        <f>IFERROR(__xludf.DUMMYFUNCTION("""COMPUTED_VALUE"""),"DMK")</f>
        <v>DMK</v>
      </c>
      <c r="O719" s="145" t="str">
        <f>IFERROR(__xludf.DUMMYFUNCTION("""COMPUTED_VALUE"""),"Kor Home")</f>
        <v>Kor Home</v>
      </c>
      <c r="P719" t="str">
        <f>IFERROR(__xludf.DUMMYFUNCTION("""COMPUTED_VALUE"""),"Active")</f>
        <v>Active</v>
      </c>
      <c r="R719" s="143">
        <f>IFERROR(__xludf.DUMMYFUNCTION("""COMPUTED_VALUE"""),29906.0)</f>
        <v>29906</v>
      </c>
      <c r="S719" s="146" t="str">
        <f>IFERROR(__xludf.DUMMYFUNCTION("""COMPUTED_VALUE"""),"062-2565678")</f>
        <v>062-2565678</v>
      </c>
      <c r="T719" s="147" t="str">
        <f>IFERROR(__xludf.DUMMYFUNCTION("""COMPUTED_VALUE"""),"3-1012-03404-46-1")</f>
        <v>3-1012-03404-46-1</v>
      </c>
      <c r="U719" t="str">
        <f>IFERROR(__xludf.DUMMYFUNCTION("""COMPUTED_VALUE"""),"AC8290125")</f>
        <v>AC8290125</v>
      </c>
      <c r="V719" s="148">
        <f>IFERROR(__xludf.DUMMYFUNCTION("""COMPUTED_VALUE"""),45854.0)</f>
        <v>45854</v>
      </c>
      <c r="W719" s="148">
        <f>IFERROR(__xludf.DUMMYFUNCTION("""COMPUTED_VALUE"""),49505.0)</f>
        <v>49505</v>
      </c>
      <c r="X719" s="149">
        <f>IFERROR(__xludf.DUMMYFUNCTION("""COMPUTED_VALUE"""),49324.0)</f>
        <v>49324</v>
      </c>
      <c r="Y719" t="str">
        <f>IFERROR(__xludf.DUMMYFUNCTION("""COMPUTED_VALUE"""),"ปลอดภัย")</f>
        <v>ปลอดภัย</v>
      </c>
      <c r="Z719" t="str">
        <f>IFERROR(__xludf.DUMMYFUNCTION("""COMPUTED_VALUE"""),"Bangkok")</f>
        <v>Bangkok</v>
      </c>
      <c r="AA719" t="str">
        <f>IFERROR(__xludf.DUMMYFUNCTION("""COMPUTED_VALUE"""),"Dindang")</f>
        <v>Dindang</v>
      </c>
      <c r="AB719" t="str">
        <f>IFERROR(__xludf.DUMMYFUNCTION("""COMPUTED_VALUE"""),"087-506-6866")</f>
        <v>087-506-6866</v>
      </c>
      <c r="AC719" t="str">
        <f>IFERROR(__xludf.DUMMYFUNCTION("""COMPUTED_VALUE"""),"Sangduien Wongjareanyong (Sister)")</f>
        <v>Sangduien Wongjareanyong (Sister)</v>
      </c>
      <c r="AD719" t="str">
        <f>IFERROR(__xludf.DUMMYFUNCTION("""COMPUTED_VALUE"""),"duangkamonw@airasia.com")</f>
        <v>duangkamonw@airasia.com</v>
      </c>
    </row>
    <row r="720">
      <c r="A720" s="142">
        <f>IFERROR(__xludf.DUMMYFUNCTION("""COMPUTED_VALUE"""),82.0)</f>
        <v>82</v>
      </c>
      <c r="B720" t="str">
        <f>IFERROR(__xludf.DUMMYFUNCTION("""COMPUTED_VALUE"""),"TAA7093")</f>
        <v>TAA7093</v>
      </c>
      <c r="C720">
        <f>IFERROR(__xludf.DUMMYFUNCTION("""COMPUTED_VALUE"""),1014664.0)</f>
        <v>1014664</v>
      </c>
      <c r="D720" t="str">
        <f>IFERROR(__xludf.DUMMYFUNCTION("""COMPUTED_VALUE"""),"Ms.")</f>
        <v>Ms.</v>
      </c>
      <c r="E720" t="str">
        <f>IFERROR(__xludf.DUMMYFUNCTION("""COMPUTED_VALUE"""),"Grittaya")</f>
        <v>Grittaya</v>
      </c>
      <c r="F720" t="str">
        <f>IFERROR(__xludf.DUMMYFUNCTION("""COMPUTED_VALUE"""),"Yotharos")</f>
        <v>Yotharos</v>
      </c>
      <c r="G720" t="str">
        <f>IFERROR(__xludf.DUMMYFUNCTION("""COMPUTED_VALUE"""),"Grittaya Yotharos")</f>
        <v>Grittaya Yotharos</v>
      </c>
      <c r="H720" t="str">
        <f>IFERROR(__xludf.DUMMYFUNCTION("""COMPUTED_VALUE"""),"นางสาว")</f>
        <v>นางสาว</v>
      </c>
      <c r="I720" t="str">
        <f>IFERROR(__xludf.DUMMYFUNCTION("""COMPUTED_VALUE"""),"กฤตยา")</f>
        <v>กฤตยา</v>
      </c>
      <c r="J720" t="str">
        <f>IFERROR(__xludf.DUMMYFUNCTION("""COMPUTED_VALUE"""),"โยธารส")</f>
        <v>โยธารส</v>
      </c>
      <c r="K720" t="str">
        <f>IFERROR(__xludf.DUMMYFUNCTION("""COMPUTED_VALUE"""),"กฤตยา โยธารส")</f>
        <v>กฤตยา โยธารส</v>
      </c>
      <c r="L720" t="str">
        <f>IFERROR(__xludf.DUMMYFUNCTION("""COMPUTED_VALUE"""),"Pang / แป้ง")</f>
        <v>Pang / แป้ง</v>
      </c>
      <c r="M720" t="str">
        <f>IFERROR(__xludf.DUMMYFUNCTION("""COMPUTED_VALUE"""),"Cabin Crew - CNX")</f>
        <v>Cabin Crew - CNX</v>
      </c>
      <c r="N720" t="str">
        <f>IFERROR(__xludf.DUMMYFUNCTION("""COMPUTED_VALUE"""),"CNX")</f>
        <v>CNX</v>
      </c>
      <c r="O720" s="145" t="str">
        <f>IFERROR(__xludf.DUMMYFUNCTION("""COMPUTED_VALUE"""),"Up Home")</f>
        <v>Up Home</v>
      </c>
      <c r="P720" t="str">
        <f>IFERROR(__xludf.DUMMYFUNCTION("""COMPUTED_VALUE"""),"Active")</f>
        <v>Active</v>
      </c>
      <c r="R720" s="143">
        <f>IFERROR(__xludf.DUMMYFUNCTION("""COMPUTED_VALUE"""),33161.0)</f>
        <v>33161</v>
      </c>
      <c r="S720" s="146" t="str">
        <f>IFERROR(__xludf.DUMMYFUNCTION("""COMPUTED_VALUE"""),"085-050-0146")</f>
        <v>085-050-0146</v>
      </c>
      <c r="T720" s="147" t="str">
        <f>IFERROR(__xludf.DUMMYFUNCTION("""COMPUTED_VALUE"""),"1-6799-00202-94-8")</f>
        <v>1-6799-00202-94-8</v>
      </c>
      <c r="U720" t="str">
        <f>IFERROR(__xludf.DUMMYFUNCTION("""COMPUTED_VALUE"""),"AC7562020")</f>
        <v>AC7562020</v>
      </c>
      <c r="V720" s="148">
        <f>IFERROR(__xludf.DUMMYFUNCTION("""COMPUTED_VALUE"""),45551.0)</f>
        <v>45551</v>
      </c>
      <c r="W720" s="149">
        <f>IFERROR(__xludf.DUMMYFUNCTION("""COMPUTED_VALUE"""),49202.0)</f>
        <v>49202</v>
      </c>
      <c r="X720" s="149">
        <f>IFERROR(__xludf.DUMMYFUNCTION("""COMPUTED_VALUE"""),49018.0)</f>
        <v>49018</v>
      </c>
      <c r="Y720" t="str">
        <f>IFERROR(__xludf.DUMMYFUNCTION("""COMPUTED_VALUE"""),"ปลอดภัย")</f>
        <v>ปลอดภัย</v>
      </c>
      <c r="Z720" t="str">
        <f>IFERROR(__xludf.DUMMYFUNCTION("""COMPUTED_VALUE"""),"Phetchabun Province")</f>
        <v>Phetchabun Province</v>
      </c>
      <c r="AA720" t="str">
        <f>IFERROR(__xludf.DUMMYFUNCTION("""COMPUTED_VALUE"""),"Bangkhen")</f>
        <v>Bangkhen</v>
      </c>
      <c r="AB720" t="str">
        <f>IFERROR(__xludf.DUMMYFUNCTION("""COMPUTED_VALUE"""),"091-843-9380")</f>
        <v>091-843-9380</v>
      </c>
      <c r="AC720" t="str">
        <f>IFERROR(__xludf.DUMMYFUNCTION("""COMPUTED_VALUE"""),"Pireesak Yotharos (Father)")</f>
        <v>Pireesak Yotharos (Father)</v>
      </c>
      <c r="AD720" t="str">
        <f>IFERROR(__xludf.DUMMYFUNCTION("""COMPUTED_VALUE"""),"grittayay@airasia.com")</f>
        <v>grittayay@airasia.com</v>
      </c>
    </row>
    <row r="721">
      <c r="A721" s="142">
        <f>IFERROR(__xludf.DUMMYFUNCTION("""COMPUTED_VALUE"""),82.0)</f>
        <v>82</v>
      </c>
      <c r="B721" t="str">
        <f>IFERROR(__xludf.DUMMYFUNCTION("""COMPUTED_VALUE"""),"TAA7098")</f>
        <v>TAA7098</v>
      </c>
      <c r="C721">
        <f>IFERROR(__xludf.DUMMYFUNCTION("""COMPUTED_VALUE"""),1014665.0)</f>
        <v>1014665</v>
      </c>
      <c r="D721" t="str">
        <f>IFERROR(__xludf.DUMMYFUNCTION("""COMPUTED_VALUE"""),"Ms.")</f>
        <v>Ms.</v>
      </c>
      <c r="E721" t="str">
        <f>IFERROR(__xludf.DUMMYFUNCTION("""COMPUTED_VALUE"""),"Jaruwan")</f>
        <v>Jaruwan</v>
      </c>
      <c r="F721" t="str">
        <f>IFERROR(__xludf.DUMMYFUNCTION("""COMPUTED_VALUE"""),"Charoenratanapirom")</f>
        <v>Charoenratanapirom</v>
      </c>
      <c r="G721" t="str">
        <f>IFERROR(__xludf.DUMMYFUNCTION("""COMPUTED_VALUE"""),"Jaruwan Charoenratanapirom")</f>
        <v>Jaruwan Charoenratanapirom</v>
      </c>
      <c r="H721" t="str">
        <f>IFERROR(__xludf.DUMMYFUNCTION("""COMPUTED_VALUE"""),"นางสาว")</f>
        <v>นางสาว</v>
      </c>
      <c r="I721" t="str">
        <f>IFERROR(__xludf.DUMMYFUNCTION("""COMPUTED_VALUE"""),"จารุวรรณ์")</f>
        <v>จารุวรรณ์</v>
      </c>
      <c r="J721" t="str">
        <f>IFERROR(__xludf.DUMMYFUNCTION("""COMPUTED_VALUE"""),"เจริญรัตนาภิรมย์")</f>
        <v>เจริญรัตนาภิรมย์</v>
      </c>
      <c r="K721" t="str">
        <f>IFERROR(__xludf.DUMMYFUNCTION("""COMPUTED_VALUE"""),"จารุวรรณ์ เจริญรัตนาภิรมย์")</f>
        <v>จารุวรรณ์ เจริญรัตนาภิรมย์</v>
      </c>
      <c r="L721" t="str">
        <f>IFERROR(__xludf.DUMMYFUNCTION("""COMPUTED_VALUE"""),"Earn / เอิน")</f>
        <v>Earn / เอิน</v>
      </c>
      <c r="M721" t="str">
        <f>IFERROR(__xludf.DUMMYFUNCTION("""COMPUTED_VALUE"""),"Cabin Crew")</f>
        <v>Cabin Crew</v>
      </c>
      <c r="N721" t="str">
        <f>IFERROR(__xludf.DUMMYFUNCTION("""COMPUTED_VALUE"""),"DMK")</f>
        <v>DMK</v>
      </c>
      <c r="O721" s="145" t="str">
        <f>IFERROR(__xludf.DUMMYFUNCTION("""COMPUTED_VALUE"""),"Um Home")</f>
        <v>Um Home</v>
      </c>
      <c r="P721" t="str">
        <f>IFERROR(__xludf.DUMMYFUNCTION("""COMPUTED_VALUE"""),"V/LWP")</f>
        <v>V/LWP</v>
      </c>
      <c r="R721" s="143">
        <f>IFERROR(__xludf.DUMMYFUNCTION("""COMPUTED_VALUE"""),33125.0)</f>
        <v>33125</v>
      </c>
      <c r="S721" s="146" t="str">
        <f>IFERROR(__xludf.DUMMYFUNCTION("""COMPUTED_VALUE"""),"089-789-1269")</f>
        <v>089-789-1269</v>
      </c>
      <c r="T721" s="147" t="str">
        <f>IFERROR(__xludf.DUMMYFUNCTION("""COMPUTED_VALUE"""),"1-1037-00220-02-0")</f>
        <v>1-1037-00220-02-0</v>
      </c>
      <c r="U721" t="str">
        <f>IFERROR(__xludf.DUMMYFUNCTION("""COMPUTED_VALUE"""),"AD3436356")</f>
        <v>AD3436356</v>
      </c>
      <c r="V721" s="148">
        <f>IFERROR(__xludf.DUMMYFUNCTION("""COMPUTED_VALUE"""),46154.0)</f>
        <v>46154</v>
      </c>
      <c r="W721" s="148">
        <f>IFERROR(__xludf.DUMMYFUNCTION("""COMPUTED_VALUE"""),49806.0)</f>
        <v>49806</v>
      </c>
      <c r="X721" s="149">
        <f>IFERROR(__xludf.DUMMYFUNCTION("""COMPUTED_VALUE"""),49624.0)</f>
        <v>49624</v>
      </c>
      <c r="Y721" t="str">
        <f>IFERROR(__xludf.DUMMYFUNCTION("""COMPUTED_VALUE"""),"ปลอดภัย")</f>
        <v>ปลอดภัย</v>
      </c>
      <c r="Z721" t="str">
        <f>IFERROR(__xludf.DUMMYFUNCTION("""COMPUTED_VALUE"""),"Bangkok")</f>
        <v>Bangkok</v>
      </c>
      <c r="AA721" t="str">
        <f>IFERROR(__xludf.DUMMYFUNCTION("""COMPUTED_VALUE"""),"Jatujak")</f>
        <v>Jatujak</v>
      </c>
      <c r="AB721" t="str">
        <f>IFERROR(__xludf.DUMMYFUNCTION("""COMPUTED_VALUE"""),"081-642-2026")</f>
        <v>081-642-2026</v>
      </c>
      <c r="AC721" t="str">
        <f>IFERROR(__xludf.DUMMYFUNCTION("""COMPUTED_VALUE"""),"Sarat Charoenratanapirom (Brother)")</f>
        <v>Sarat Charoenratanapirom (Brother)</v>
      </c>
      <c r="AD721" t="str">
        <f>IFERROR(__xludf.DUMMYFUNCTION("""COMPUTED_VALUE"""),"jaruwana@airasia.com")</f>
        <v>jaruwana@airasia.com</v>
      </c>
    </row>
    <row r="722">
      <c r="A722" s="142">
        <f>IFERROR(__xludf.DUMMYFUNCTION("""COMPUTED_VALUE"""),82.0)</f>
        <v>82</v>
      </c>
      <c r="B722" t="str">
        <f>IFERROR(__xludf.DUMMYFUNCTION("""COMPUTED_VALUE"""),"TAA7078")</f>
        <v>TAA7078</v>
      </c>
      <c r="C722">
        <f>IFERROR(__xludf.DUMMYFUNCTION("""COMPUTED_VALUE"""),1014666.0)</f>
        <v>1014666</v>
      </c>
      <c r="D722" t="str">
        <f>IFERROR(__xludf.DUMMYFUNCTION("""COMPUTED_VALUE"""),"Mr.")</f>
        <v>Mr.</v>
      </c>
      <c r="E722" t="str">
        <f>IFERROR(__xludf.DUMMYFUNCTION("""COMPUTED_VALUE"""),"Kanatsanan")</f>
        <v>Kanatsanan</v>
      </c>
      <c r="F722" t="str">
        <f>IFERROR(__xludf.DUMMYFUNCTION("""COMPUTED_VALUE"""),"Wichitthararak")</f>
        <v>Wichitthararak</v>
      </c>
      <c r="G722" t="str">
        <f>IFERROR(__xludf.DUMMYFUNCTION("""COMPUTED_VALUE"""),"Kanatsanan Wichitthararak")</f>
        <v>Kanatsanan Wichitthararak</v>
      </c>
      <c r="H722" t="str">
        <f>IFERROR(__xludf.DUMMYFUNCTION("""COMPUTED_VALUE"""),"นาย")</f>
        <v>นาย</v>
      </c>
      <c r="I722" t="str">
        <f>IFERROR(__xludf.DUMMYFUNCTION("""COMPUTED_VALUE"""),"คณัสนันท์")</f>
        <v>คณัสนันท์</v>
      </c>
      <c r="J722" t="str">
        <f>IFERROR(__xludf.DUMMYFUNCTION("""COMPUTED_VALUE"""),"วิชิตธารารักษ์")</f>
        <v>วิชิตธารารักษ์</v>
      </c>
      <c r="K722" t="str">
        <f>IFERROR(__xludf.DUMMYFUNCTION("""COMPUTED_VALUE"""),"คณัสนันท์ วิชิตธารารักษ์")</f>
        <v>คณัสนันท์ วิชิตธารารักษ์</v>
      </c>
      <c r="L722" t="str">
        <f>IFERROR(__xludf.DUMMYFUNCTION("""COMPUTED_VALUE"""),"Oh / โอ้")</f>
        <v>Oh / โอ้</v>
      </c>
      <c r="M722" t="str">
        <f>IFERROR(__xludf.DUMMYFUNCTION("""COMPUTED_VALUE"""),"Cabin Crew")</f>
        <v>Cabin Crew</v>
      </c>
      <c r="N722" t="str">
        <f>IFERROR(__xludf.DUMMYFUNCTION("""COMPUTED_VALUE"""),"DMK")</f>
        <v>DMK</v>
      </c>
      <c r="O722" s="145" t="str">
        <f>IFERROR(__xludf.DUMMYFUNCTION("""COMPUTED_VALUE"""),"Up Home")</f>
        <v>Up Home</v>
      </c>
      <c r="P722" t="str">
        <f>IFERROR(__xludf.DUMMYFUNCTION("""COMPUTED_VALUE"""),"Active")</f>
        <v>Active</v>
      </c>
      <c r="R722" s="143">
        <f>IFERROR(__xludf.DUMMYFUNCTION("""COMPUTED_VALUE"""),32417.0)</f>
        <v>32417</v>
      </c>
      <c r="S722" s="146" t="str">
        <f>IFERROR(__xludf.DUMMYFUNCTION("""COMPUTED_VALUE"""),"098 814 9285")</f>
        <v>098 814 9285</v>
      </c>
      <c r="T722" s="147" t="str">
        <f>IFERROR(__xludf.DUMMYFUNCTION("""COMPUTED_VALUE"""),"1-7706-00113-52-5")</f>
        <v>1-7706-00113-52-5</v>
      </c>
      <c r="U722" t="str">
        <f>IFERROR(__xludf.DUMMYFUNCTION("""COMPUTED_VALUE"""),"AD1749499")</f>
        <v>AD1749499</v>
      </c>
      <c r="V722" s="148">
        <f>IFERROR(__xludf.DUMMYFUNCTION("""COMPUTED_VALUE"""),45440.0)</f>
        <v>45440</v>
      </c>
      <c r="W722" s="148">
        <f>IFERROR(__xludf.DUMMYFUNCTION("""COMPUTED_VALUE"""),49091.0)</f>
        <v>49091</v>
      </c>
      <c r="X722" s="149">
        <f>IFERROR(__xludf.DUMMYFUNCTION("""COMPUTED_VALUE"""),48910.0)</f>
        <v>48910</v>
      </c>
      <c r="Y722" t="str">
        <f>IFERROR(__xludf.DUMMYFUNCTION("""COMPUTED_VALUE"""),"ปลอดภัย")</f>
        <v>ปลอดภัย</v>
      </c>
      <c r="Z722" t="str">
        <f>IFERROR(__xludf.DUMMYFUNCTION("""COMPUTED_VALUE"""),"Prachuap Khiri Khan Province")</f>
        <v>Prachuap Khiri Khan Province</v>
      </c>
      <c r="AA722" t="str">
        <f>IFERROR(__xludf.DUMMYFUNCTION("""COMPUTED_VALUE"""),"Rama2")</f>
        <v>Rama2</v>
      </c>
      <c r="AB722" t="str">
        <f>IFERROR(__xludf.DUMMYFUNCTION("""COMPUTED_VALUE"""),"081-893-8279")</f>
        <v>081-893-8279</v>
      </c>
      <c r="AC722" t="str">
        <f>IFERROR(__xludf.DUMMYFUNCTION("""COMPUTED_VALUE"""),"Athis Wichitthararak (Father)")</f>
        <v>Athis Wichitthararak (Father)</v>
      </c>
      <c r="AD722" t="str">
        <f>IFERROR(__xludf.DUMMYFUNCTION("""COMPUTED_VALUE"""),"kanatsananw@airasia.com")</f>
        <v>kanatsananw@airasia.com</v>
      </c>
    </row>
    <row r="723">
      <c r="A723" s="142">
        <f>IFERROR(__xludf.DUMMYFUNCTION("""COMPUTED_VALUE"""),82.0)</f>
        <v>82</v>
      </c>
      <c r="B723" t="str">
        <f>IFERROR(__xludf.DUMMYFUNCTION("""COMPUTED_VALUE"""),"TAA7095")</f>
        <v>TAA7095</v>
      </c>
      <c r="C723">
        <f>IFERROR(__xludf.DUMMYFUNCTION("""COMPUTED_VALUE"""),1014669.0)</f>
        <v>1014669</v>
      </c>
      <c r="D723" t="str">
        <f>IFERROR(__xludf.DUMMYFUNCTION("""COMPUTED_VALUE"""),"Ms.")</f>
        <v>Ms.</v>
      </c>
      <c r="E723" t="str">
        <f>IFERROR(__xludf.DUMMYFUNCTION("""COMPUTED_VALUE"""),"Kodchaporn")</f>
        <v>Kodchaporn</v>
      </c>
      <c r="F723" t="str">
        <f>IFERROR(__xludf.DUMMYFUNCTION("""COMPUTED_VALUE"""),"Thanpaisan")</f>
        <v>Thanpaisan</v>
      </c>
      <c r="G723" t="str">
        <f>IFERROR(__xludf.DUMMYFUNCTION("""COMPUTED_VALUE"""),"Kodchaporn Thanpaisan")</f>
        <v>Kodchaporn Thanpaisan</v>
      </c>
      <c r="H723" t="str">
        <f>IFERROR(__xludf.DUMMYFUNCTION("""COMPUTED_VALUE"""),"นางสาว")</f>
        <v>นางสาว</v>
      </c>
      <c r="I723" t="str">
        <f>IFERROR(__xludf.DUMMYFUNCTION("""COMPUTED_VALUE"""),"กชพร")</f>
        <v>กชพร</v>
      </c>
      <c r="J723" t="str">
        <f>IFERROR(__xludf.DUMMYFUNCTION("""COMPUTED_VALUE"""),"ธารไพศาล")</f>
        <v>ธารไพศาล</v>
      </c>
      <c r="K723" t="str">
        <f>IFERROR(__xludf.DUMMYFUNCTION("""COMPUTED_VALUE"""),"กชพร ธารไพศาล")</f>
        <v>กชพร ธารไพศาล</v>
      </c>
      <c r="L723" t="str">
        <f>IFERROR(__xludf.DUMMYFUNCTION("""COMPUTED_VALUE"""),"Dream/ดรีม")</f>
        <v>Dream/ดรีม</v>
      </c>
      <c r="M723" t="str">
        <f>IFERROR(__xludf.DUMMYFUNCTION("""COMPUTED_VALUE"""),"Cabin Crew")</f>
        <v>Cabin Crew</v>
      </c>
      <c r="N723" t="str">
        <f>IFERROR(__xludf.DUMMYFUNCTION("""COMPUTED_VALUE"""),"DMK")</f>
        <v>DMK</v>
      </c>
      <c r="O723" s="145" t="str">
        <f>IFERROR(__xludf.DUMMYFUNCTION("""COMPUTED_VALUE"""),"Um Home")</f>
        <v>Um Home</v>
      </c>
      <c r="P723" t="str">
        <f>IFERROR(__xludf.DUMMYFUNCTION("""COMPUTED_VALUE"""),"Active")</f>
        <v>Active</v>
      </c>
      <c r="R723" s="143">
        <f>IFERROR(__xludf.DUMMYFUNCTION("""COMPUTED_VALUE"""),31663.0)</f>
        <v>31663</v>
      </c>
      <c r="S723" s="146">
        <f>IFERROR(__xludf.DUMMYFUNCTION("""COMPUTED_VALUE"""),8.14010298E8)</f>
        <v>814010298</v>
      </c>
      <c r="T723" s="147" t="str">
        <f>IFERROR(__xludf.DUMMYFUNCTION("""COMPUTED_VALUE"""),"1-1014-00791-36-4")</f>
        <v>1-1014-00791-36-4</v>
      </c>
      <c r="U723" t="str">
        <f>IFERROR(__xludf.DUMMYFUNCTION("""COMPUTED_VALUE"""),"AC6984720")</f>
        <v>AC6984720</v>
      </c>
      <c r="V723" s="148">
        <f>IFERROR(__xludf.DUMMYFUNCTION("""COMPUTED_VALUE"""),45987.0)</f>
        <v>45987</v>
      </c>
      <c r="W723" s="148">
        <f>IFERROR(__xludf.DUMMYFUNCTION("""COMPUTED_VALUE"""),49273.0)</f>
        <v>49273</v>
      </c>
      <c r="X723" s="149">
        <f>IFERROR(__xludf.DUMMYFUNCTION("""COMPUTED_VALUE"""),49089.0)</f>
        <v>49089</v>
      </c>
      <c r="Y723" t="str">
        <f>IFERROR(__xludf.DUMMYFUNCTION("""COMPUTED_VALUE"""),"ปลอดภัย")</f>
        <v>ปลอดภัย</v>
      </c>
      <c r="Z723" t="str">
        <f>IFERROR(__xludf.DUMMYFUNCTION("""COMPUTED_VALUE"""),"Bangkok")</f>
        <v>Bangkok</v>
      </c>
      <c r="AA723" t="str">
        <f>IFERROR(__xludf.DUMMYFUNCTION("""COMPUTED_VALUE"""),"Pathumthani")</f>
        <v>Pathumthani</v>
      </c>
      <c r="AB723" t="str">
        <f>IFERROR(__xludf.DUMMYFUNCTION("""COMPUTED_VALUE"""),"081-838-8189")</f>
        <v>081-838-8189</v>
      </c>
      <c r="AC723" t="str">
        <f>IFERROR(__xludf.DUMMYFUNCTION("""COMPUTED_VALUE"""),"Kodchapan Willshire (Mother)")</f>
        <v>Kodchapan Willshire (Mother)</v>
      </c>
      <c r="AD723" t="str">
        <f>IFERROR(__xludf.DUMMYFUNCTION("""COMPUTED_VALUE"""),"kodchapornt@airasia.com")</f>
        <v>kodchapornt@airasia.com</v>
      </c>
    </row>
    <row r="724">
      <c r="A724" s="142">
        <f>IFERROR(__xludf.DUMMYFUNCTION("""COMPUTED_VALUE"""),82.0)</f>
        <v>82</v>
      </c>
      <c r="B724" t="str">
        <f>IFERROR(__xludf.DUMMYFUNCTION("""COMPUTED_VALUE"""),"TAA7086")</f>
        <v>TAA7086</v>
      </c>
      <c r="C724">
        <f>IFERROR(__xludf.DUMMYFUNCTION("""COMPUTED_VALUE"""),1014670.0)</f>
        <v>1014670</v>
      </c>
      <c r="D724" t="str">
        <f>IFERROR(__xludf.DUMMYFUNCTION("""COMPUTED_VALUE"""),"Ms.")</f>
        <v>Ms.</v>
      </c>
      <c r="E724" t="str">
        <f>IFERROR(__xludf.DUMMYFUNCTION("""COMPUTED_VALUE"""),"Napapat (Chalupat)")</f>
        <v>Napapat (Chalupat)</v>
      </c>
      <c r="F724" t="str">
        <f>IFERROR(__xludf.DUMMYFUNCTION("""COMPUTED_VALUE"""),"Suwannawong")</f>
        <v>Suwannawong</v>
      </c>
      <c r="G724" t="str">
        <f>IFERROR(__xludf.DUMMYFUNCTION("""COMPUTED_VALUE"""),"Napapat Suwannawong")</f>
        <v>Napapat Suwannawong</v>
      </c>
      <c r="H724" t="str">
        <f>IFERROR(__xludf.DUMMYFUNCTION("""COMPUTED_VALUE"""),"นางสาว")</f>
        <v>นางสาว</v>
      </c>
      <c r="I724" t="str">
        <f>IFERROR(__xludf.DUMMYFUNCTION("""COMPUTED_VALUE"""),"ญปภัช(จาฬุภัทร)")</f>
        <v>ญปภัช(จาฬุภัทร)</v>
      </c>
      <c r="J724" t="str">
        <f>IFERROR(__xludf.DUMMYFUNCTION("""COMPUTED_VALUE"""),"สุวรรณวงศ์")</f>
        <v>สุวรรณวงศ์</v>
      </c>
      <c r="K724" t="str">
        <f>IFERROR(__xludf.DUMMYFUNCTION("""COMPUTED_VALUE"""),"ณปภัช(จาฬุภัทร) สุวรรณวงศ์")</f>
        <v>ณปภัช(จาฬุภัทร) สุวรรณวงศ์</v>
      </c>
      <c r="L724" t="str">
        <f>IFERROR(__xludf.DUMMYFUNCTION("""COMPUTED_VALUE"""),"Fai / ฝ้าย")</f>
        <v>Fai / ฝ้าย</v>
      </c>
      <c r="M724" t="str">
        <f>IFERROR(__xludf.DUMMYFUNCTION("""COMPUTED_VALUE"""),"Cabin Crew")</f>
        <v>Cabin Crew</v>
      </c>
      <c r="N724" t="str">
        <f>IFERROR(__xludf.DUMMYFUNCTION("""COMPUTED_VALUE"""),"DMK")</f>
        <v>DMK</v>
      </c>
      <c r="O724" s="145" t="str">
        <f>IFERROR(__xludf.DUMMYFUNCTION("""COMPUTED_VALUE"""),"Toffy Home")</f>
        <v>Toffy Home</v>
      </c>
      <c r="P724" t="str">
        <f>IFERROR(__xludf.DUMMYFUNCTION("""COMPUTED_VALUE"""),"Active")</f>
        <v>Active</v>
      </c>
      <c r="R724" s="143">
        <f>IFERROR(__xludf.DUMMYFUNCTION("""COMPUTED_VALUE"""),30988.0)</f>
        <v>30988</v>
      </c>
      <c r="S724" s="146">
        <f>IFERROR(__xludf.DUMMYFUNCTION("""COMPUTED_VALUE"""),9.56694462E8)</f>
        <v>956694462</v>
      </c>
      <c r="T724" s="147" t="str">
        <f>IFERROR(__xludf.DUMMYFUNCTION("""COMPUTED_VALUE"""),"1-6001-00040-64-3")</f>
        <v>1-6001-00040-64-3</v>
      </c>
      <c r="U724" t="str">
        <f>IFERROR(__xludf.DUMMYFUNCTION("""COMPUTED_VALUE"""),"AC8178752")</f>
        <v>AC8178752</v>
      </c>
      <c r="V724" s="148">
        <f>IFERROR(__xludf.DUMMYFUNCTION("""COMPUTED_VALUE"""),46038.0)</f>
        <v>46038</v>
      </c>
      <c r="W724" s="148">
        <f>IFERROR(__xludf.DUMMYFUNCTION("""COMPUTED_VALUE"""),49689.0)</f>
        <v>49689</v>
      </c>
      <c r="X724" s="149">
        <f>IFERROR(__xludf.DUMMYFUNCTION("""COMPUTED_VALUE"""),49505.0)</f>
        <v>49505</v>
      </c>
      <c r="Y724" t="str">
        <f>IFERROR(__xludf.DUMMYFUNCTION("""COMPUTED_VALUE"""),"ปลอดภัย")</f>
        <v>ปลอดภัย</v>
      </c>
      <c r="Z724" t="str">
        <f>IFERROR(__xludf.DUMMYFUNCTION("""COMPUTED_VALUE"""),"Nakhon Sawan Province")</f>
        <v>Nakhon Sawan Province</v>
      </c>
      <c r="AA724" t="str">
        <f>IFERROR(__xludf.DUMMYFUNCTION("""COMPUTED_VALUE"""),"Bangkapi")</f>
        <v>Bangkapi</v>
      </c>
      <c r="AB724" t="str">
        <f>IFERROR(__xludf.DUMMYFUNCTION("""COMPUTED_VALUE"""),"095-642-4466")</f>
        <v>095-642-4466</v>
      </c>
      <c r="AC724" t="str">
        <f>IFERROR(__xludf.DUMMYFUNCTION("""COMPUTED_VALUE"""),"Sumanee Wutthithanawiwat (Mother)")</f>
        <v>Sumanee Wutthithanawiwat (Mother)</v>
      </c>
      <c r="AD724" t="str">
        <f>IFERROR(__xludf.DUMMYFUNCTION("""COMPUTED_VALUE"""),"napapats@airasia.com")</f>
        <v>napapats@airasia.com</v>
      </c>
    </row>
    <row r="725">
      <c r="A725" s="142">
        <f>IFERROR(__xludf.DUMMYFUNCTION("""COMPUTED_VALUE"""),82.0)</f>
        <v>82</v>
      </c>
      <c r="B725" t="str">
        <f>IFERROR(__xludf.DUMMYFUNCTION("""COMPUTED_VALUE"""),"TAA7087")</f>
        <v>TAA7087</v>
      </c>
      <c r="C725">
        <f>IFERROR(__xludf.DUMMYFUNCTION("""COMPUTED_VALUE"""),1014671.0)</f>
        <v>1014671</v>
      </c>
      <c r="D725" t="str">
        <f>IFERROR(__xludf.DUMMYFUNCTION("""COMPUTED_VALUE"""),"Ms.")</f>
        <v>Ms.</v>
      </c>
      <c r="E725" t="str">
        <f>IFERROR(__xludf.DUMMYFUNCTION("""COMPUTED_VALUE"""),"Nattawalai")</f>
        <v>Nattawalai</v>
      </c>
      <c r="F725" t="str">
        <f>IFERROR(__xludf.DUMMYFUNCTION("""COMPUTED_VALUE"""),"Buranaphatthana")</f>
        <v>Buranaphatthana</v>
      </c>
      <c r="G725" t="str">
        <f>IFERROR(__xludf.DUMMYFUNCTION("""COMPUTED_VALUE"""),"Nattawalai Buranaphatthana")</f>
        <v>Nattawalai Buranaphatthana</v>
      </c>
      <c r="H725" t="str">
        <f>IFERROR(__xludf.DUMMYFUNCTION("""COMPUTED_VALUE"""),"นางสาว")</f>
        <v>นางสาว</v>
      </c>
      <c r="I725" t="str">
        <f>IFERROR(__xludf.DUMMYFUNCTION("""COMPUTED_VALUE"""),"ณัฐวลัย")</f>
        <v>ณัฐวลัย</v>
      </c>
      <c r="J725" t="str">
        <f>IFERROR(__xludf.DUMMYFUNCTION("""COMPUTED_VALUE"""),"บูรณพัฒนา")</f>
        <v>บูรณพัฒนา</v>
      </c>
      <c r="K725" t="str">
        <f>IFERROR(__xludf.DUMMYFUNCTION("""COMPUTED_VALUE"""),"ณัฐวลัย บูรณพัฒนา")</f>
        <v>ณัฐวลัย บูรณพัฒนา</v>
      </c>
      <c r="L725" t="str">
        <f>IFERROR(__xludf.DUMMYFUNCTION("""COMPUTED_VALUE"""),"OFF / อ๊อฟ")</f>
        <v>OFF / อ๊อฟ</v>
      </c>
      <c r="M725" t="str">
        <f>IFERROR(__xludf.DUMMYFUNCTION("""COMPUTED_VALUE"""),"Cabin Crew - CNX")</f>
        <v>Cabin Crew - CNX</v>
      </c>
      <c r="N725" t="str">
        <f>IFERROR(__xludf.DUMMYFUNCTION("""COMPUTED_VALUE"""),"CNX")</f>
        <v>CNX</v>
      </c>
      <c r="O725" s="145" t="str">
        <f>IFERROR(__xludf.DUMMYFUNCTION("""COMPUTED_VALUE"""),"Up Home")</f>
        <v>Up Home</v>
      </c>
      <c r="P725" t="str">
        <f>IFERROR(__xludf.DUMMYFUNCTION("""COMPUTED_VALUE"""),"Active")</f>
        <v>Active</v>
      </c>
      <c r="R725" s="143">
        <f>IFERROR(__xludf.DUMMYFUNCTION("""COMPUTED_VALUE"""),32643.0)</f>
        <v>32643</v>
      </c>
      <c r="S725" s="146" t="str">
        <f>IFERROR(__xludf.DUMMYFUNCTION("""COMPUTED_VALUE"""),"094-7838546")</f>
        <v>094-7838546</v>
      </c>
      <c r="T725" s="147" t="str">
        <f>IFERROR(__xludf.DUMMYFUNCTION("""COMPUTED_VALUE"""),"1-5099-00735-61-1")</f>
        <v>1-5099-00735-61-1</v>
      </c>
      <c r="U725" t="str">
        <f>IFERROR(__xludf.DUMMYFUNCTION("""COMPUTED_VALUE"""),"AC4903107")</f>
        <v>AC4903107</v>
      </c>
      <c r="V725" s="148">
        <f>IFERROR(__xludf.DUMMYFUNCTION("""COMPUTED_VALUE"""),45044.0)</f>
        <v>45044</v>
      </c>
      <c r="W725" s="148">
        <f>IFERROR(__xludf.DUMMYFUNCTION("""COMPUTED_VALUE"""),48696.0)</f>
        <v>48696</v>
      </c>
      <c r="X725" s="149">
        <f>IFERROR(__xludf.DUMMYFUNCTION("""COMPUTED_VALUE"""),48514.0)</f>
        <v>48514</v>
      </c>
      <c r="Y725" t="str">
        <f>IFERROR(__xludf.DUMMYFUNCTION("""COMPUTED_VALUE"""),"ปลอดภัย")</f>
        <v>ปลอดภัย</v>
      </c>
      <c r="Z725" t="str">
        <f>IFERROR(__xludf.DUMMYFUNCTION("""COMPUTED_VALUE"""),"Chiang Mai Province")</f>
        <v>Chiang Mai Province</v>
      </c>
      <c r="AA725" t="str">
        <f>IFERROR(__xludf.DUMMYFUNCTION("""COMPUTED_VALUE"""),"Pakkret")</f>
        <v>Pakkret</v>
      </c>
      <c r="AB725" t="str">
        <f>IFERROR(__xludf.DUMMYFUNCTION("""COMPUTED_VALUE"""),"087-188-8188")</f>
        <v>087-188-8188</v>
      </c>
      <c r="AC725" t="str">
        <f>IFERROR(__xludf.DUMMYFUNCTION("""COMPUTED_VALUE"""),"Manoon Bujranaphatthana (Father)")</f>
        <v>Manoon Bujranaphatthana (Father)</v>
      </c>
      <c r="AD725" t="str">
        <f>IFERROR(__xludf.DUMMYFUNCTION("""COMPUTED_VALUE"""),"nattawalaib@airasia.com")</f>
        <v>nattawalaib@airasia.com</v>
      </c>
    </row>
    <row r="726">
      <c r="A726" s="142">
        <f>IFERROR(__xludf.DUMMYFUNCTION("""COMPUTED_VALUE"""),82.0)</f>
        <v>82</v>
      </c>
      <c r="B726" t="str">
        <f>IFERROR(__xludf.DUMMYFUNCTION("""COMPUTED_VALUE"""),"TAA7083")</f>
        <v>TAA7083</v>
      </c>
      <c r="C726">
        <f>IFERROR(__xludf.DUMMYFUNCTION("""COMPUTED_VALUE"""),1014672.0)</f>
        <v>1014672</v>
      </c>
      <c r="D726" t="str">
        <f>IFERROR(__xludf.DUMMYFUNCTION("""COMPUTED_VALUE"""),"Mr.")</f>
        <v>Mr.</v>
      </c>
      <c r="E726" t="str">
        <f>IFERROR(__xludf.DUMMYFUNCTION("""COMPUTED_VALUE"""),"Parinya")</f>
        <v>Parinya</v>
      </c>
      <c r="F726" t="str">
        <f>IFERROR(__xludf.DUMMYFUNCTION("""COMPUTED_VALUE"""),"Khumruk")</f>
        <v>Khumruk</v>
      </c>
      <c r="G726" t="str">
        <f>IFERROR(__xludf.DUMMYFUNCTION("""COMPUTED_VALUE"""),"Parinya Khumruk")</f>
        <v>Parinya Khumruk</v>
      </c>
      <c r="H726" t="str">
        <f>IFERROR(__xludf.DUMMYFUNCTION("""COMPUTED_VALUE"""),"นาย")</f>
        <v>นาย</v>
      </c>
      <c r="I726" t="str">
        <f>IFERROR(__xludf.DUMMYFUNCTION("""COMPUTED_VALUE"""),"ปริญญา")</f>
        <v>ปริญญา</v>
      </c>
      <c r="J726" t="str">
        <f>IFERROR(__xludf.DUMMYFUNCTION("""COMPUTED_VALUE"""),"คุ้มรักษ์")</f>
        <v>คุ้มรักษ์</v>
      </c>
      <c r="K726" t="str">
        <f>IFERROR(__xludf.DUMMYFUNCTION("""COMPUTED_VALUE"""),"ปริญญา คุ้มรักษ์")</f>
        <v>ปริญญา คุ้มรักษ์</v>
      </c>
      <c r="L726" t="str">
        <f>IFERROR(__xludf.DUMMYFUNCTION("""COMPUTED_VALUE"""),"Aoddy / โอ๊ดดี้")</f>
        <v>Aoddy / โอ๊ดดี้</v>
      </c>
      <c r="M726" t="str">
        <f>IFERROR(__xludf.DUMMYFUNCTION("""COMPUTED_VALUE"""),"Cabin Crew")</f>
        <v>Cabin Crew</v>
      </c>
      <c r="N726" t="str">
        <f>IFERROR(__xludf.DUMMYFUNCTION("""COMPUTED_VALUE"""),"DMK")</f>
        <v>DMK</v>
      </c>
      <c r="O726" s="145" t="str">
        <f>IFERROR(__xludf.DUMMYFUNCTION("""COMPUTED_VALUE"""),"Nhui Home")</f>
        <v>Nhui Home</v>
      </c>
      <c r="P726" t="str">
        <f>IFERROR(__xludf.DUMMYFUNCTION("""COMPUTED_VALUE"""),"Active")</f>
        <v>Active</v>
      </c>
      <c r="R726" s="143">
        <f>IFERROR(__xludf.DUMMYFUNCTION("""COMPUTED_VALUE"""),32485.0)</f>
        <v>32485</v>
      </c>
      <c r="S726" s="146" t="str">
        <f>IFERROR(__xludf.DUMMYFUNCTION("""COMPUTED_VALUE"""),"096-569-9653")</f>
        <v>096-569-9653</v>
      </c>
      <c r="T726" s="147" t="str">
        <f>IFERROR(__xludf.DUMMYFUNCTION("""COMPUTED_VALUE"""),"1-1014-01486-70-1")</f>
        <v>1-1014-01486-70-1</v>
      </c>
      <c r="U726" t="str">
        <f>IFERROR(__xludf.DUMMYFUNCTION("""COMPUTED_VALUE"""),"AC7443572")</f>
        <v>AC7443572</v>
      </c>
      <c r="V726" s="148">
        <f>IFERROR(__xludf.DUMMYFUNCTION("""COMPUTED_VALUE"""),45585.0)</f>
        <v>45585</v>
      </c>
      <c r="W726" s="148">
        <f>IFERROR(__xludf.DUMMYFUNCTION("""COMPUTED_VALUE"""),49236.0)</f>
        <v>49236</v>
      </c>
      <c r="X726" s="149">
        <f>IFERROR(__xludf.DUMMYFUNCTION("""COMPUTED_VALUE"""),49053.0)</f>
        <v>49053</v>
      </c>
      <c r="Y726" t="str">
        <f>IFERROR(__xludf.DUMMYFUNCTION("""COMPUTED_VALUE"""),"ปลอดภัย")</f>
        <v>ปลอดภัย</v>
      </c>
      <c r="Z726" t="str">
        <f>IFERROR(__xludf.DUMMYFUNCTION("""COMPUTED_VALUE"""),"Bangkok")</f>
        <v>Bangkok</v>
      </c>
      <c r="AA726" t="str">
        <f>IFERROR(__xludf.DUMMYFUNCTION("""COMPUTED_VALUE"""),"Talingchan")</f>
        <v>Talingchan</v>
      </c>
      <c r="AB726" t="str">
        <f>IFERROR(__xludf.DUMMYFUNCTION("""COMPUTED_VALUE"""),"093-915-6997")</f>
        <v>093-915-6997</v>
      </c>
      <c r="AC726" t="str">
        <f>IFERROR(__xludf.DUMMYFUNCTION("""COMPUTED_VALUE"""),"Lamul Lunkhuntod (Mother)")</f>
        <v>Lamul Lunkhuntod (Mother)</v>
      </c>
      <c r="AD726" t="str">
        <f>IFERROR(__xludf.DUMMYFUNCTION("""COMPUTED_VALUE"""),"parinyam@airasia.com")</f>
        <v>parinyam@airasia.com</v>
      </c>
    </row>
    <row r="727">
      <c r="A727" s="142">
        <f>IFERROR(__xludf.DUMMYFUNCTION("""COMPUTED_VALUE"""),82.0)</f>
        <v>82</v>
      </c>
      <c r="B727" t="str">
        <f>IFERROR(__xludf.DUMMYFUNCTION("""COMPUTED_VALUE"""),"TAA7081")</f>
        <v>TAA7081</v>
      </c>
      <c r="C727">
        <f>IFERROR(__xludf.DUMMYFUNCTION("""COMPUTED_VALUE"""),1014673.0)</f>
        <v>1014673</v>
      </c>
      <c r="D727" t="str">
        <f>IFERROR(__xludf.DUMMYFUNCTION("""COMPUTED_VALUE"""),"Ms.")</f>
        <v>Ms.</v>
      </c>
      <c r="E727" t="str">
        <f>IFERROR(__xludf.DUMMYFUNCTION("""COMPUTED_VALUE"""),"Pim")</f>
        <v>Pim</v>
      </c>
      <c r="F727" t="str">
        <f>IFERROR(__xludf.DUMMYFUNCTION("""COMPUTED_VALUE"""),"Thitichaitawat")</f>
        <v>Thitichaitawat</v>
      </c>
      <c r="G727" t="str">
        <f>IFERROR(__xludf.DUMMYFUNCTION("""COMPUTED_VALUE"""),"Pim Thitichaitawat")</f>
        <v>Pim Thitichaitawat</v>
      </c>
      <c r="H727" t="str">
        <f>IFERROR(__xludf.DUMMYFUNCTION("""COMPUTED_VALUE"""),"นางสาว")</f>
        <v>นางสาว</v>
      </c>
      <c r="I727" t="str">
        <f>IFERROR(__xludf.DUMMYFUNCTION("""COMPUTED_VALUE"""),"พิม")</f>
        <v>พิม</v>
      </c>
      <c r="J727" t="str">
        <f>IFERROR(__xludf.DUMMYFUNCTION("""COMPUTED_VALUE"""),"ฐิติชัยธวัช")</f>
        <v>ฐิติชัยธวัช</v>
      </c>
      <c r="K727" t="str">
        <f>IFERROR(__xludf.DUMMYFUNCTION("""COMPUTED_VALUE"""),"พิม ฐิติชัยธวัช")</f>
        <v>พิม ฐิติชัยธวัช</v>
      </c>
      <c r="L727" t="str">
        <f>IFERROR(__xludf.DUMMYFUNCTION("""COMPUTED_VALUE"""),"Pim / พิม")</f>
        <v>Pim / พิม</v>
      </c>
      <c r="M727" t="str">
        <f>IFERROR(__xludf.DUMMYFUNCTION("""COMPUTED_VALUE"""),"Cabin Crew - BKK")</f>
        <v>Cabin Crew - BKK</v>
      </c>
      <c r="N727" t="str">
        <f>IFERROR(__xludf.DUMMYFUNCTION("""COMPUTED_VALUE"""),"BKK")</f>
        <v>BKK</v>
      </c>
      <c r="O727" s="145" t="str">
        <f>IFERROR(__xludf.DUMMYFUNCTION("""COMPUTED_VALUE"""),"Nhui Home")</f>
        <v>Nhui Home</v>
      </c>
      <c r="P727" t="str">
        <f>IFERROR(__xludf.DUMMYFUNCTION("""COMPUTED_VALUE"""),"Active")</f>
        <v>Active</v>
      </c>
      <c r="R727" s="143">
        <f>IFERROR(__xludf.DUMMYFUNCTION("""COMPUTED_VALUE"""),33197.0)</f>
        <v>33197</v>
      </c>
      <c r="S727" s="146" t="str">
        <f>IFERROR(__xludf.DUMMYFUNCTION("""COMPUTED_VALUE"""),"094-9324497")</f>
        <v>094-9324497</v>
      </c>
      <c r="T727" s="147" t="str">
        <f>IFERROR(__xludf.DUMMYFUNCTION("""COMPUTED_VALUE"""),"1-1037-00310-48-7")</f>
        <v>1-1037-00310-48-7</v>
      </c>
      <c r="U727" t="str">
        <f>IFERROR(__xludf.DUMMYFUNCTION("""COMPUTED_VALUE"""),"AC2657783")</f>
        <v>AC2657783</v>
      </c>
      <c r="V727" s="148">
        <f>IFERROR(__xludf.DUMMYFUNCTION("""COMPUTED_VALUE"""),44567.0)</f>
        <v>44567</v>
      </c>
      <c r="W727" s="148">
        <f>IFERROR(__xludf.DUMMYFUNCTION("""COMPUTED_VALUE"""),48218.0)</f>
        <v>48218</v>
      </c>
      <c r="X727" s="149">
        <f>IFERROR(__xludf.DUMMYFUNCTION("""COMPUTED_VALUE"""),48034.0)</f>
        <v>48034</v>
      </c>
      <c r="Y727" t="str">
        <f>IFERROR(__xludf.DUMMYFUNCTION("""COMPUTED_VALUE"""),"ปลอดภัย")</f>
        <v>ปลอดภัย</v>
      </c>
      <c r="Z727" t="str">
        <f>IFERROR(__xludf.DUMMYFUNCTION("""COMPUTED_VALUE"""),"Bangkok")</f>
        <v>Bangkok</v>
      </c>
      <c r="AA727" t="str">
        <f>IFERROR(__xludf.DUMMYFUNCTION("""COMPUTED_VALUE"""),"Latkrabang")</f>
        <v>Latkrabang</v>
      </c>
      <c r="AB727" t="str">
        <f>IFERROR(__xludf.DUMMYFUNCTION("""COMPUTED_VALUE"""),"084-657-9222")</f>
        <v>084-657-9222</v>
      </c>
      <c r="AC727" t="str">
        <f>IFERROR(__xludf.DUMMYFUNCTION("""COMPUTED_VALUE"""),"Tawat Thitichaitawat (Father)")</f>
        <v>Tawat Thitichaitawat (Father)</v>
      </c>
      <c r="AD727" t="str">
        <f>IFERROR(__xludf.DUMMYFUNCTION("""COMPUTED_VALUE"""),"pimt@airasia.com")</f>
        <v>pimt@airasia.com</v>
      </c>
    </row>
    <row r="728">
      <c r="A728" s="142">
        <f>IFERROR(__xludf.DUMMYFUNCTION("""COMPUTED_VALUE"""),82.0)</f>
        <v>82</v>
      </c>
      <c r="B728" t="str">
        <f>IFERROR(__xludf.DUMMYFUNCTION("""COMPUTED_VALUE"""),"TAA7077")</f>
        <v>TAA7077</v>
      </c>
      <c r="C728">
        <f>IFERROR(__xludf.DUMMYFUNCTION("""COMPUTED_VALUE"""),1014675.0)</f>
        <v>1014675</v>
      </c>
      <c r="D728" t="str">
        <f>IFERROR(__xludf.DUMMYFUNCTION("""COMPUTED_VALUE"""),"Ms.")</f>
        <v>Ms.</v>
      </c>
      <c r="E728" t="str">
        <f>IFERROR(__xludf.DUMMYFUNCTION("""COMPUTED_VALUE"""),"SARANYA")</f>
        <v>SARANYA</v>
      </c>
      <c r="F728" t="str">
        <f>IFERROR(__xludf.DUMMYFUNCTION("""COMPUTED_VALUE"""),"AMLEE")</f>
        <v>AMLEE</v>
      </c>
      <c r="G728" t="str">
        <f>IFERROR(__xludf.DUMMYFUNCTION("""COMPUTED_VALUE"""),"Saranya Amlee")</f>
        <v>Saranya Amlee</v>
      </c>
      <c r="H728" t="str">
        <f>IFERROR(__xludf.DUMMYFUNCTION("""COMPUTED_VALUE"""),"นางสาว")</f>
        <v>นางสาว</v>
      </c>
      <c r="I728" t="str">
        <f>IFERROR(__xludf.DUMMYFUNCTION("""COMPUTED_VALUE"""),"ศรัญญา")</f>
        <v>ศรัญญา</v>
      </c>
      <c r="J728" t="str">
        <f>IFERROR(__xludf.DUMMYFUNCTION("""COMPUTED_VALUE"""),"อัมลีย์")</f>
        <v>อัมลีย์</v>
      </c>
      <c r="K728" t="str">
        <f>IFERROR(__xludf.DUMMYFUNCTION("""COMPUTED_VALUE"""),"ศรัญญา อัมลีย์")</f>
        <v>ศรัญญา อัมลีย์</v>
      </c>
      <c r="L728" t="str">
        <f>IFERROR(__xludf.DUMMYFUNCTION("""COMPUTED_VALUE"""),"Ya / ญา")</f>
        <v>Ya / ญา</v>
      </c>
      <c r="M728" t="str">
        <f>IFERROR(__xludf.DUMMYFUNCTION("""COMPUTED_VALUE"""),"Cabin Crew")</f>
        <v>Cabin Crew</v>
      </c>
      <c r="N728" t="str">
        <f>IFERROR(__xludf.DUMMYFUNCTION("""COMPUTED_VALUE"""),"DMK")</f>
        <v>DMK</v>
      </c>
      <c r="O728" s="145" t="str">
        <f>IFERROR(__xludf.DUMMYFUNCTION("""COMPUTED_VALUE"""),"Um Home")</f>
        <v>Um Home</v>
      </c>
      <c r="P728" t="str">
        <f>IFERROR(__xludf.DUMMYFUNCTION("""COMPUTED_VALUE"""),"Active")</f>
        <v>Active</v>
      </c>
      <c r="R728" s="143">
        <f>IFERROR(__xludf.DUMMYFUNCTION("""COMPUTED_VALUE"""),32466.0)</f>
        <v>32466</v>
      </c>
      <c r="S728" s="146" t="str">
        <f>IFERROR(__xludf.DUMMYFUNCTION("""COMPUTED_VALUE"""),"094-054-5940")</f>
        <v>094-054-5940</v>
      </c>
      <c r="T728" s="147" t="str">
        <f>IFERROR(__xludf.DUMMYFUNCTION("""COMPUTED_VALUE"""),"1-1004-00364-08-2")</f>
        <v>1-1004-00364-08-2</v>
      </c>
      <c r="U728" t="str">
        <f>IFERROR(__xludf.DUMMYFUNCTION("""COMPUTED_VALUE"""),"AD0583864")</f>
        <v>AD0583864</v>
      </c>
      <c r="V728" s="148">
        <f>IFERROR(__xludf.DUMMYFUNCTION("""COMPUTED_VALUE"""),44930.0)</f>
        <v>44930</v>
      </c>
      <c r="W728" s="148">
        <f>IFERROR(__xludf.DUMMYFUNCTION("""COMPUTED_VALUE"""),46025.0)</f>
        <v>46025</v>
      </c>
      <c r="X728" s="149">
        <f>IFERROR(__xludf.DUMMYFUNCTION("""COMPUTED_VALUE"""),45841.0)</f>
        <v>45841</v>
      </c>
      <c r="Y728" t="str">
        <f>IFERROR(__xludf.DUMMYFUNCTION("""COMPUTED_VALUE"""),"เกินระยะเวลา")</f>
        <v>เกินระยะเวลา</v>
      </c>
      <c r="Z728" t="str">
        <f>IFERROR(__xludf.DUMMYFUNCTION("""COMPUTED_VALUE"""),"Bangkok")</f>
        <v>Bangkok</v>
      </c>
      <c r="AA728" t="str">
        <f>IFERROR(__xludf.DUMMYFUNCTION("""COMPUTED_VALUE"""),"Nonthaburi")</f>
        <v>Nonthaburi</v>
      </c>
      <c r="AB728" t="str">
        <f>IFERROR(__xludf.DUMMYFUNCTION("""COMPUTED_VALUE"""),"098-565-0956")</f>
        <v>098-565-0956</v>
      </c>
      <c r="AC728" t="str">
        <f>IFERROR(__xludf.DUMMYFUNCTION("""COMPUTED_VALUE"""),"Waeota Amlee (Mother)")</f>
        <v>Waeota Amlee (Mother)</v>
      </c>
      <c r="AD728" t="str">
        <f>IFERROR(__xludf.DUMMYFUNCTION("""COMPUTED_VALUE"""),"saranyam@airasia.com")</f>
        <v>saranyam@airasia.com</v>
      </c>
    </row>
    <row r="729">
      <c r="A729" s="142">
        <f>IFERROR(__xludf.DUMMYFUNCTION("""COMPUTED_VALUE"""),82.0)</f>
        <v>82</v>
      </c>
      <c r="B729" t="str">
        <f>IFERROR(__xludf.DUMMYFUNCTION("""COMPUTED_VALUE"""),"TAA7092")</f>
        <v>TAA7092</v>
      </c>
      <c r="C729">
        <f>IFERROR(__xludf.DUMMYFUNCTION("""COMPUTED_VALUE"""),1014676.0)</f>
        <v>1014676</v>
      </c>
      <c r="D729" t="str">
        <f>IFERROR(__xludf.DUMMYFUNCTION("""COMPUTED_VALUE"""),"Ms.")</f>
        <v>Ms.</v>
      </c>
      <c r="E729" t="str">
        <f>IFERROR(__xludf.DUMMYFUNCTION("""COMPUTED_VALUE"""),"Sowikorn")</f>
        <v>Sowikorn</v>
      </c>
      <c r="F729" t="str">
        <f>IFERROR(__xludf.DUMMYFUNCTION("""COMPUTED_VALUE"""),"Chomchuen")</f>
        <v>Chomchuen</v>
      </c>
      <c r="G729" t="str">
        <f>IFERROR(__xludf.DUMMYFUNCTION("""COMPUTED_VALUE"""),"Sowikorn Chomchuen")</f>
        <v>Sowikorn Chomchuen</v>
      </c>
      <c r="H729" t="str">
        <f>IFERROR(__xludf.DUMMYFUNCTION("""COMPUTED_VALUE"""),"นางสาว")</f>
        <v>นางสาว</v>
      </c>
      <c r="I729" t="str">
        <f>IFERROR(__xludf.DUMMYFUNCTION("""COMPUTED_VALUE"""),"โสวิกร")</f>
        <v>โสวิกร</v>
      </c>
      <c r="J729" t="str">
        <f>IFERROR(__xludf.DUMMYFUNCTION("""COMPUTED_VALUE"""),"ชมชื่น")</f>
        <v>ชมชื่น</v>
      </c>
      <c r="K729" t="str">
        <f>IFERROR(__xludf.DUMMYFUNCTION("""COMPUTED_VALUE"""),"โสวิกร ชมชื่น")</f>
        <v>โสวิกร ชมชื่น</v>
      </c>
      <c r="L729" t="str">
        <f>IFERROR(__xludf.DUMMYFUNCTION("""COMPUTED_VALUE"""),"So / โส")</f>
        <v>So / โส</v>
      </c>
      <c r="M729" t="str">
        <f>IFERROR(__xludf.DUMMYFUNCTION("""COMPUTED_VALUE"""),"Cabin Crew")</f>
        <v>Cabin Crew</v>
      </c>
      <c r="N729" t="str">
        <f>IFERROR(__xludf.DUMMYFUNCTION("""COMPUTED_VALUE"""),"DMK")</f>
        <v>DMK</v>
      </c>
      <c r="O729" s="145" t="str">
        <f>IFERROR(__xludf.DUMMYFUNCTION("""COMPUTED_VALUE"""),"Nhui Home")</f>
        <v>Nhui Home</v>
      </c>
      <c r="P729" t="str">
        <f>IFERROR(__xludf.DUMMYFUNCTION("""COMPUTED_VALUE"""),"Active")</f>
        <v>Active</v>
      </c>
      <c r="R729" s="143">
        <f>IFERROR(__xludf.DUMMYFUNCTION("""COMPUTED_VALUE"""),31555.0)</f>
        <v>31555</v>
      </c>
      <c r="S729" s="146" t="str">
        <f>IFERROR(__xludf.DUMMYFUNCTION("""COMPUTED_VALUE"""),"097-232-6553")</f>
        <v>097-232-6553</v>
      </c>
      <c r="T729" s="147" t="str">
        <f>IFERROR(__xludf.DUMMYFUNCTION("""COMPUTED_VALUE"""),"1-1020-00614-11-3")</f>
        <v>1-1020-00614-11-3</v>
      </c>
      <c r="U729" t="str">
        <f>IFERROR(__xludf.DUMMYFUNCTION("""COMPUTED_VALUE"""),"AC5875589")</f>
        <v>AC5875589</v>
      </c>
      <c r="V729" s="148">
        <f>IFERROR(__xludf.DUMMYFUNCTION("""COMPUTED_VALUE"""),45216.0)</f>
        <v>45216</v>
      </c>
      <c r="W729" s="148">
        <f>IFERROR(__xludf.DUMMYFUNCTION("""COMPUTED_VALUE"""),48868.0)</f>
        <v>48868</v>
      </c>
      <c r="X729" s="149">
        <f>IFERROR(__xludf.DUMMYFUNCTION("""COMPUTED_VALUE"""),48685.0)</f>
        <v>48685</v>
      </c>
      <c r="Y729" t="str">
        <f>IFERROR(__xludf.DUMMYFUNCTION("""COMPUTED_VALUE"""),"ปลอดภัย")</f>
        <v>ปลอดภัย</v>
      </c>
      <c r="Z729" t="str">
        <f>IFERROR(__xludf.DUMMYFUNCTION("""COMPUTED_VALUE"""),"Bangkok")</f>
        <v>Bangkok</v>
      </c>
      <c r="AA729" t="str">
        <f>IFERROR(__xludf.DUMMYFUNCTION("""COMPUTED_VALUE"""),"Saimai")</f>
        <v>Saimai</v>
      </c>
      <c r="AB729" t="str">
        <f>IFERROR(__xludf.DUMMYFUNCTION("""COMPUTED_VALUE"""),"089-810-0657")</f>
        <v>089-810-0657</v>
      </c>
      <c r="AC729" t="str">
        <f>IFERROR(__xludf.DUMMYFUNCTION("""COMPUTED_VALUE"""),"Boonicha Chomchuen (Mother)")</f>
        <v>Boonicha Chomchuen (Mother)</v>
      </c>
      <c r="AD729" t="str">
        <f>IFERROR(__xludf.DUMMYFUNCTION("""COMPUTED_VALUE"""),"sowikornc@airasia.com")</f>
        <v>sowikornc@airasia.com</v>
      </c>
    </row>
    <row r="730">
      <c r="A730" s="142">
        <f>IFERROR(__xludf.DUMMYFUNCTION("""COMPUTED_VALUE"""),82.0)</f>
        <v>82</v>
      </c>
      <c r="B730" t="str">
        <f>IFERROR(__xludf.DUMMYFUNCTION("""COMPUTED_VALUE"""),"TAA7079")</f>
        <v>TAA7079</v>
      </c>
      <c r="C730">
        <f>IFERROR(__xludf.DUMMYFUNCTION("""COMPUTED_VALUE"""),1014678.0)</f>
        <v>1014678</v>
      </c>
      <c r="D730" t="str">
        <f>IFERROR(__xludf.DUMMYFUNCTION("""COMPUTED_VALUE"""),"Mr.")</f>
        <v>Mr.</v>
      </c>
      <c r="E730" t="str">
        <f>IFERROR(__xludf.DUMMYFUNCTION("""COMPUTED_VALUE"""),"supapong")</f>
        <v>supapong</v>
      </c>
      <c r="F730" t="str">
        <f>IFERROR(__xludf.DUMMYFUNCTION("""COMPUTED_VALUE"""),"kwanon")</f>
        <v>kwanon</v>
      </c>
      <c r="G730" t="str">
        <f>IFERROR(__xludf.DUMMYFUNCTION("""COMPUTED_VALUE"""),"Supapong Kwanon")</f>
        <v>Supapong Kwanon</v>
      </c>
      <c r="H730" t="str">
        <f>IFERROR(__xludf.DUMMYFUNCTION("""COMPUTED_VALUE"""),"นาย")</f>
        <v>นาย</v>
      </c>
      <c r="I730" t="str">
        <f>IFERROR(__xludf.DUMMYFUNCTION("""COMPUTED_VALUE"""),"ศุภพงษ์")</f>
        <v>ศุภพงษ์</v>
      </c>
      <c r="J730" t="str">
        <f>IFERROR(__xludf.DUMMYFUNCTION("""COMPUTED_VALUE"""),"ขวัญอ่อน")</f>
        <v>ขวัญอ่อน</v>
      </c>
      <c r="K730" t="str">
        <f>IFERROR(__xludf.DUMMYFUNCTION("""COMPUTED_VALUE"""),"ศุภพงษ์ ขวัญอ่อน")</f>
        <v>ศุภพงษ์ ขวัญอ่อน</v>
      </c>
      <c r="L730" t="str">
        <f>IFERROR(__xludf.DUMMYFUNCTION("""COMPUTED_VALUE"""),"Jo / โจ้")</f>
        <v>Jo / โจ้</v>
      </c>
      <c r="M730" t="str">
        <f>IFERROR(__xludf.DUMMYFUNCTION("""COMPUTED_VALUE"""),"Cabin Crew")</f>
        <v>Cabin Crew</v>
      </c>
      <c r="N730" t="str">
        <f>IFERROR(__xludf.DUMMYFUNCTION("""COMPUTED_VALUE"""),"DMK")</f>
        <v>DMK</v>
      </c>
      <c r="O730" s="145" t="str">
        <f>IFERROR(__xludf.DUMMYFUNCTION("""COMPUTED_VALUE"""),"Namfon Home")</f>
        <v>Namfon Home</v>
      </c>
      <c r="P730" t="str">
        <f>IFERROR(__xludf.DUMMYFUNCTION("""COMPUTED_VALUE"""),"Active")</f>
        <v>Active</v>
      </c>
      <c r="R730" s="143">
        <f>IFERROR(__xludf.DUMMYFUNCTION("""COMPUTED_VALUE"""),27928.0)</f>
        <v>27928</v>
      </c>
      <c r="S730" s="146" t="str">
        <f>IFERROR(__xludf.DUMMYFUNCTION("""COMPUTED_VALUE"""),"095-447-1887")</f>
        <v>095-447-1887</v>
      </c>
      <c r="T730" s="147" t="str">
        <f>IFERROR(__xludf.DUMMYFUNCTION("""COMPUTED_VALUE"""),"3-1002-00209-20-9")</f>
        <v>3-1002-00209-20-9</v>
      </c>
      <c r="U730" t="str">
        <f>IFERROR(__xludf.DUMMYFUNCTION("""COMPUTED_VALUE"""),"AC4484859")</f>
        <v>AC4484859</v>
      </c>
      <c r="V730" s="148">
        <f>IFERROR(__xludf.DUMMYFUNCTION("""COMPUTED_VALUE"""),44985.0)</f>
        <v>44985</v>
      </c>
      <c r="W730" s="148">
        <f>IFERROR(__xludf.DUMMYFUNCTION("""COMPUTED_VALUE"""),48637.0)</f>
        <v>48637</v>
      </c>
      <c r="X730" s="149">
        <f>IFERROR(__xludf.DUMMYFUNCTION("""COMPUTED_VALUE"""),48453.0)</f>
        <v>48453</v>
      </c>
      <c r="Y730" t="str">
        <f>IFERROR(__xludf.DUMMYFUNCTION("""COMPUTED_VALUE"""),"ปลอดภัย")</f>
        <v>ปลอดภัย</v>
      </c>
      <c r="Z730" t="str">
        <f>IFERROR(__xludf.DUMMYFUNCTION("""COMPUTED_VALUE"""),"Bangkok")</f>
        <v>Bangkok</v>
      </c>
      <c r="AA730" t="str">
        <f>IFERROR(__xludf.DUMMYFUNCTION("""COMPUTED_VALUE"""),"Bangbauthong")</f>
        <v>Bangbauthong</v>
      </c>
      <c r="AB730" t="str">
        <f>IFERROR(__xludf.DUMMYFUNCTION("""COMPUTED_VALUE"""),"096-6786721")</f>
        <v>096-6786721</v>
      </c>
      <c r="AC730" t="str">
        <f>IFERROR(__xludf.DUMMYFUNCTION("""COMPUTED_VALUE"""),"Jeerapha Kwanon (Mother)")</f>
        <v>Jeerapha Kwanon (Mother)</v>
      </c>
      <c r="AD730" t="str">
        <f>IFERROR(__xludf.DUMMYFUNCTION("""COMPUTED_VALUE"""),"supapongk@airasia.com")</f>
        <v>supapongk@airasia.com</v>
      </c>
    </row>
    <row r="731">
      <c r="A731" s="142">
        <f>IFERROR(__xludf.DUMMYFUNCTION("""COMPUTED_VALUE"""),82.0)</f>
        <v>82</v>
      </c>
      <c r="B731" t="str">
        <f>IFERROR(__xludf.DUMMYFUNCTION("""COMPUTED_VALUE"""),"TAA7100")</f>
        <v>TAA7100</v>
      </c>
      <c r="C731">
        <f>IFERROR(__xludf.DUMMYFUNCTION("""COMPUTED_VALUE"""),1014679.0)</f>
        <v>1014679</v>
      </c>
      <c r="D731" t="str">
        <f>IFERROR(__xludf.DUMMYFUNCTION("""COMPUTED_VALUE"""),"Ms.")</f>
        <v>Ms.</v>
      </c>
      <c r="E731" t="str">
        <f>IFERROR(__xludf.DUMMYFUNCTION("""COMPUTED_VALUE"""),"Raiya (Suraiya)")</f>
        <v>Raiya (Suraiya)</v>
      </c>
      <c r="F731" t="str">
        <f>IFERROR(__xludf.DUMMYFUNCTION("""COMPUTED_VALUE"""),"Wattanapong (Wanprarat)")</f>
        <v>Wattanapong (Wanprarat)</v>
      </c>
      <c r="G731" t="str">
        <f>IFERROR(__xludf.DUMMYFUNCTION("""COMPUTED_VALUE"""),"Raiya Wattanapong")</f>
        <v>Raiya Wattanapong</v>
      </c>
      <c r="H731" t="str">
        <f>IFERROR(__xludf.DUMMYFUNCTION("""COMPUTED_VALUE"""),"นางสาว")</f>
        <v>นางสาว</v>
      </c>
      <c r="I731" t="str">
        <f>IFERROR(__xludf.DUMMYFUNCTION("""COMPUTED_VALUE"""),"รัยญา (สุรัยญา)")</f>
        <v>รัยญา (สุรัยญา)</v>
      </c>
      <c r="J731" t="str">
        <f>IFERROR(__xludf.DUMMYFUNCTION("""COMPUTED_VALUE"""),"วัฒนพงศ์ (หวันประรัตน์)")</f>
        <v>วัฒนพงศ์ (หวันประรัตน์)</v>
      </c>
      <c r="K731" t="str">
        <f>IFERROR(__xludf.DUMMYFUNCTION("""COMPUTED_VALUE"""),"รัยญา วัฒนพงศ์")</f>
        <v>รัยญา วัฒนพงศ์</v>
      </c>
      <c r="L731" t="str">
        <f>IFERROR(__xludf.DUMMYFUNCTION("""COMPUTED_VALUE"""),"Yah / หยา")</f>
        <v>Yah / หยา</v>
      </c>
      <c r="M731" t="str">
        <f>IFERROR(__xludf.DUMMYFUNCTION("""COMPUTED_VALUE"""),"Senior Cabin Crew")</f>
        <v>Senior Cabin Crew</v>
      </c>
      <c r="N731" t="str">
        <f>IFERROR(__xludf.DUMMYFUNCTION("""COMPUTED_VALUE"""),"DMK")</f>
        <v>DMK</v>
      </c>
      <c r="O731" s="145" t="str">
        <f>IFERROR(__xludf.DUMMYFUNCTION("""COMPUTED_VALUE"""),"Toffy Home")</f>
        <v>Toffy Home</v>
      </c>
      <c r="P731" t="str">
        <f>IFERROR(__xludf.DUMMYFUNCTION("""COMPUTED_VALUE"""),"Active")</f>
        <v>Active</v>
      </c>
      <c r="R731" s="143">
        <f>IFERROR(__xludf.DUMMYFUNCTION("""COMPUTED_VALUE"""),32986.0)</f>
        <v>32986</v>
      </c>
      <c r="S731" s="146" t="str">
        <f>IFERROR(__xludf.DUMMYFUNCTION("""COMPUTED_VALUE"""),"083-311-2900")</f>
        <v>083-311-2900</v>
      </c>
      <c r="T731" s="147" t="str">
        <f>IFERROR(__xludf.DUMMYFUNCTION("""COMPUTED_VALUE"""),"1-6599-00383-69-1")</f>
        <v>1-6599-00383-69-1</v>
      </c>
      <c r="U731" t="str">
        <f>IFERROR(__xludf.DUMMYFUNCTION("""COMPUTED_VALUE"""),"AD2241559")</f>
        <v>AD2241559</v>
      </c>
      <c r="V731" s="148">
        <f>IFERROR(__xludf.DUMMYFUNCTION("""COMPUTED_VALUE"""),45783.0)</f>
        <v>45783</v>
      </c>
      <c r="W731" s="148">
        <f>IFERROR(__xludf.DUMMYFUNCTION("""COMPUTED_VALUE"""),49434.0)</f>
        <v>49434</v>
      </c>
      <c r="X731" s="149">
        <f>IFERROR(__xludf.DUMMYFUNCTION("""COMPUTED_VALUE"""),49253.0)</f>
        <v>49253</v>
      </c>
      <c r="Y731" t="str">
        <f>IFERROR(__xludf.DUMMYFUNCTION("""COMPUTED_VALUE"""),"ปลอดภัย")</f>
        <v>ปลอดภัย</v>
      </c>
      <c r="Z731" t="str">
        <f>IFERROR(__xludf.DUMMYFUNCTION("""COMPUTED_VALUE"""),"Phitsanulok Province")</f>
        <v>Phitsanulok Province</v>
      </c>
      <c r="AA731" t="str">
        <f>IFERROR(__xludf.DUMMYFUNCTION("""COMPUTED_VALUE"""),"Pathumthani")</f>
        <v>Pathumthani</v>
      </c>
      <c r="AB731" t="str">
        <f>IFERROR(__xludf.DUMMYFUNCTION("""COMPUTED_VALUE"""),"081-757-5861")</f>
        <v>081-757-5861</v>
      </c>
      <c r="AC731" t="str">
        <f>IFERROR(__xludf.DUMMYFUNCTION("""COMPUTED_VALUE"""),"Supenpa Sakharo (Aunt)")</f>
        <v>Supenpa Sakharo (Aunt)</v>
      </c>
      <c r="AD731" t="str">
        <f>IFERROR(__xludf.DUMMYFUNCTION("""COMPUTED_VALUE"""),"raiyaw@airasia.com")</f>
        <v>raiyaw@airasia.com</v>
      </c>
    </row>
    <row r="732">
      <c r="A732" s="142">
        <f>IFERROR(__xludf.DUMMYFUNCTION("""COMPUTED_VALUE"""),82.0)</f>
        <v>82</v>
      </c>
      <c r="B732" t="str">
        <f>IFERROR(__xludf.DUMMYFUNCTION("""COMPUTED_VALUE"""),"TAA7096")</f>
        <v>TAA7096</v>
      </c>
      <c r="C732">
        <f>IFERROR(__xludf.DUMMYFUNCTION("""COMPUTED_VALUE"""),1014680.0)</f>
        <v>1014680</v>
      </c>
      <c r="D732" t="str">
        <f>IFERROR(__xludf.DUMMYFUNCTION("""COMPUTED_VALUE"""),"Ms.")</f>
        <v>Ms.</v>
      </c>
      <c r="E732" t="str">
        <f>IFERROR(__xludf.DUMMYFUNCTION("""COMPUTED_VALUE"""),"Sutaros")</f>
        <v>Sutaros</v>
      </c>
      <c r="F732" t="str">
        <f>IFERROR(__xludf.DUMMYFUNCTION("""COMPUTED_VALUE"""),"Lompoonsuk")</f>
        <v>Lompoonsuk</v>
      </c>
      <c r="G732" t="str">
        <f>IFERROR(__xludf.DUMMYFUNCTION("""COMPUTED_VALUE"""),"Sutaros Lompoonsuk")</f>
        <v>Sutaros Lompoonsuk</v>
      </c>
      <c r="H732" t="str">
        <f>IFERROR(__xludf.DUMMYFUNCTION("""COMPUTED_VALUE"""),"นางสาว")</f>
        <v>นางสาว</v>
      </c>
      <c r="I732" t="str">
        <f>IFERROR(__xludf.DUMMYFUNCTION("""COMPUTED_VALUE"""),"สุธารส")</f>
        <v>สุธารส</v>
      </c>
      <c r="J732" t="str">
        <f>IFERROR(__xludf.DUMMYFUNCTION("""COMPUTED_VALUE"""),"ล้อมพูนสุข")</f>
        <v>ล้อมพูนสุข</v>
      </c>
      <c r="K732" t="str">
        <f>IFERROR(__xludf.DUMMYFUNCTION("""COMPUTED_VALUE"""),"สุธารส ล้อมพูนสุข")</f>
        <v>สุธารส ล้อมพูนสุข</v>
      </c>
      <c r="L732" t="str">
        <f>IFERROR(__xludf.DUMMYFUNCTION("""COMPUTED_VALUE"""),"Fah / ฟ้า")</f>
        <v>Fah / ฟ้า</v>
      </c>
      <c r="M732" t="str">
        <f>IFERROR(__xludf.DUMMYFUNCTION("""COMPUTED_VALUE"""),"Cabin Crew")</f>
        <v>Cabin Crew</v>
      </c>
      <c r="N732" t="str">
        <f>IFERROR(__xludf.DUMMYFUNCTION("""COMPUTED_VALUE"""),"DMK")</f>
        <v>DMK</v>
      </c>
      <c r="O732" s="145" t="str">
        <f>IFERROR(__xludf.DUMMYFUNCTION("""COMPUTED_VALUE"""),"Up Home")</f>
        <v>Up Home</v>
      </c>
      <c r="P732" t="str">
        <f>IFERROR(__xludf.DUMMYFUNCTION("""COMPUTED_VALUE"""),"Active")</f>
        <v>Active</v>
      </c>
      <c r="R732" s="143">
        <f>IFERROR(__xludf.DUMMYFUNCTION("""COMPUTED_VALUE"""),32560.0)</f>
        <v>32560</v>
      </c>
      <c r="S732" s="146" t="str">
        <f>IFERROR(__xludf.DUMMYFUNCTION("""COMPUTED_VALUE"""),"081-1326511")</f>
        <v>081-1326511</v>
      </c>
      <c r="T732" s="147" t="str">
        <f>IFERROR(__xludf.DUMMYFUNCTION("""COMPUTED_VALUE"""),"1-7706-00116-06-1")</f>
        <v>1-7706-00116-06-1</v>
      </c>
      <c r="U732" t="str">
        <f>IFERROR(__xludf.DUMMYFUNCTION("""COMPUTED_VALUE"""),"AC6471881")</f>
        <v>AC6471881</v>
      </c>
      <c r="V732" s="148">
        <f>IFERROR(__xludf.DUMMYFUNCTION("""COMPUTED_VALUE"""),45399.0)</f>
        <v>45399</v>
      </c>
      <c r="W732" s="148">
        <f>IFERROR(__xludf.DUMMYFUNCTION("""COMPUTED_VALUE"""),49050.0)</f>
        <v>49050</v>
      </c>
      <c r="X732" s="149">
        <f>IFERROR(__xludf.DUMMYFUNCTION("""COMPUTED_VALUE"""),48868.0)</f>
        <v>48868</v>
      </c>
      <c r="Y732" t="str">
        <f>IFERROR(__xludf.DUMMYFUNCTION("""COMPUTED_VALUE"""),"ปลอดภัย")</f>
        <v>ปลอดภัย</v>
      </c>
      <c r="Z732" t="str">
        <f>IFERROR(__xludf.DUMMYFUNCTION("""COMPUTED_VALUE"""),"Prachuap Khiri Khan Province")</f>
        <v>Prachuap Khiri Khan Province</v>
      </c>
      <c r="AA732" t="str">
        <f>IFERROR(__xludf.DUMMYFUNCTION("""COMPUTED_VALUE"""),"Bangkhen")</f>
        <v>Bangkhen</v>
      </c>
      <c r="AB732" t="str">
        <f>IFERROR(__xludf.DUMMYFUNCTION("""COMPUTED_VALUE"""),"089-837-5099")</f>
        <v>089-837-5099</v>
      </c>
      <c r="AC732" t="str">
        <f>IFERROR(__xludf.DUMMYFUNCTION("""COMPUTED_VALUE"""),"Suchart Lompoonsuk (Father)")</f>
        <v>Suchart Lompoonsuk (Father)</v>
      </c>
      <c r="AD732" t="str">
        <f>IFERROR(__xludf.DUMMYFUNCTION("""COMPUTED_VALUE"""),"sutarosl@airasia.com")</f>
        <v>sutarosl@airasia.com</v>
      </c>
    </row>
    <row r="733">
      <c r="A733" s="142">
        <f>IFERROR(__xludf.DUMMYFUNCTION("""COMPUTED_VALUE"""),82.0)</f>
        <v>82</v>
      </c>
      <c r="B733" t="str">
        <f>IFERROR(__xludf.DUMMYFUNCTION("""COMPUTED_VALUE"""),"TAA7091")</f>
        <v>TAA7091</v>
      </c>
      <c r="C733">
        <f>IFERROR(__xludf.DUMMYFUNCTION("""COMPUTED_VALUE"""),1014682.0)</f>
        <v>1014682</v>
      </c>
      <c r="D733" t="str">
        <f>IFERROR(__xludf.DUMMYFUNCTION("""COMPUTED_VALUE"""),"Mr.")</f>
        <v>Mr.</v>
      </c>
      <c r="E733" t="str">
        <f>IFERROR(__xludf.DUMMYFUNCTION("""COMPUTED_VALUE"""),"Thakorn")</f>
        <v>Thakorn</v>
      </c>
      <c r="F733" t="str">
        <f>IFERROR(__xludf.DUMMYFUNCTION("""COMPUTED_VALUE"""),"Angkananuchat")</f>
        <v>Angkananuchat</v>
      </c>
      <c r="G733" t="str">
        <f>IFERROR(__xludf.DUMMYFUNCTION("""COMPUTED_VALUE"""),"Thakorn Angkananuchat")</f>
        <v>Thakorn Angkananuchat</v>
      </c>
      <c r="H733" t="str">
        <f>IFERROR(__xludf.DUMMYFUNCTION("""COMPUTED_VALUE"""),"นาย")</f>
        <v>นาย</v>
      </c>
      <c r="I733" t="str">
        <f>IFERROR(__xludf.DUMMYFUNCTION("""COMPUTED_VALUE"""),"ฐากร")</f>
        <v>ฐากร</v>
      </c>
      <c r="J733" t="str">
        <f>IFERROR(__xludf.DUMMYFUNCTION("""COMPUTED_VALUE"""),"อังคณานุชาติ")</f>
        <v>อังคณานุชาติ</v>
      </c>
      <c r="K733" t="str">
        <f>IFERROR(__xludf.DUMMYFUNCTION("""COMPUTED_VALUE"""),"ฐากร อังคณานุชาติ")</f>
        <v>ฐากร อังคณานุชาติ</v>
      </c>
      <c r="L733" t="str">
        <f>IFERROR(__xludf.DUMMYFUNCTION("""COMPUTED_VALUE"""),"Arm / อาร์ม")</f>
        <v>Arm / อาร์ม</v>
      </c>
      <c r="M733" t="str">
        <f>IFERROR(__xludf.DUMMYFUNCTION("""COMPUTED_VALUE"""),"Cabin Crew - CNX")</f>
        <v>Cabin Crew - CNX</v>
      </c>
      <c r="N733" t="str">
        <f>IFERROR(__xludf.DUMMYFUNCTION("""COMPUTED_VALUE"""),"CNX")</f>
        <v>CNX</v>
      </c>
      <c r="O733" s="145" t="str">
        <f>IFERROR(__xludf.DUMMYFUNCTION("""COMPUTED_VALUE"""),"Up Home")</f>
        <v>Up Home</v>
      </c>
      <c r="P733" t="str">
        <f>IFERROR(__xludf.DUMMYFUNCTION("""COMPUTED_VALUE"""),"Active")</f>
        <v>Active</v>
      </c>
      <c r="R733" s="143">
        <f>IFERROR(__xludf.DUMMYFUNCTION("""COMPUTED_VALUE"""),32863.0)</f>
        <v>32863</v>
      </c>
      <c r="S733" s="146" t="str">
        <f>IFERROR(__xludf.DUMMYFUNCTION("""COMPUTED_VALUE"""),"083-699-5757")</f>
        <v>083-699-5757</v>
      </c>
      <c r="T733" s="147" t="str">
        <f>IFERROR(__xludf.DUMMYFUNCTION("""COMPUTED_VALUE"""),"1-5799-00277-77-9")</f>
        <v>1-5799-00277-77-9</v>
      </c>
      <c r="U733" t="str">
        <f>IFERROR(__xludf.DUMMYFUNCTION("""COMPUTED_VALUE"""),"AC2828301")</f>
        <v>AC2828301</v>
      </c>
      <c r="V733" s="148">
        <f>IFERROR(__xludf.DUMMYFUNCTION("""COMPUTED_VALUE"""),44522.0)</f>
        <v>44522</v>
      </c>
      <c r="W733" s="148">
        <f>IFERROR(__xludf.DUMMYFUNCTION("""COMPUTED_VALUE"""),48173.0)</f>
        <v>48173</v>
      </c>
      <c r="X733" s="149">
        <f>IFERROR(__xludf.DUMMYFUNCTION("""COMPUTED_VALUE"""),47989.0)</f>
        <v>47989</v>
      </c>
      <c r="Y733" t="str">
        <f>IFERROR(__xludf.DUMMYFUNCTION("""COMPUTED_VALUE"""),"ปลอดภัย")</f>
        <v>ปลอดภัย</v>
      </c>
      <c r="Z733" t="str">
        <f>IFERROR(__xludf.DUMMYFUNCTION("""COMPUTED_VALUE"""),"Chiang Rai Province")</f>
        <v>Chiang Rai Province</v>
      </c>
      <c r="AA733" t="str">
        <f>IFERROR(__xludf.DUMMYFUNCTION("""COMPUTED_VALUE"""),"Beungkum")</f>
        <v>Beungkum</v>
      </c>
      <c r="AB733" t="str">
        <f>IFERROR(__xludf.DUMMYFUNCTION("""COMPUTED_VALUE"""),"086-320-4679")</f>
        <v>086-320-4679</v>
      </c>
      <c r="AC733" t="str">
        <f>IFERROR(__xludf.DUMMYFUNCTION("""COMPUTED_VALUE"""),"Puttimet Ungkananuchat (Brother)")</f>
        <v>Puttimet Ungkananuchat (Brother)</v>
      </c>
      <c r="AD733" t="str">
        <f>IFERROR(__xludf.DUMMYFUNCTION("""COMPUTED_VALUE"""),"thakorna@airasia.com")</f>
        <v>thakorna@airasia.com</v>
      </c>
    </row>
    <row r="734">
      <c r="A734" s="142">
        <f>IFERROR(__xludf.DUMMYFUNCTION("""COMPUTED_VALUE"""),82.0)</f>
        <v>82</v>
      </c>
      <c r="B734" t="str">
        <f>IFERROR(__xludf.DUMMYFUNCTION("""COMPUTED_VALUE"""),"TAA7080")</f>
        <v>TAA7080</v>
      </c>
      <c r="C734">
        <f>IFERROR(__xludf.DUMMYFUNCTION("""COMPUTED_VALUE"""),1014683.0)</f>
        <v>1014683</v>
      </c>
      <c r="D734" t="str">
        <f>IFERROR(__xludf.DUMMYFUNCTION("""COMPUTED_VALUE"""),"Mr.")</f>
        <v>Mr.</v>
      </c>
      <c r="E734" t="str">
        <f>IFERROR(__xludf.DUMMYFUNCTION("""COMPUTED_VALUE"""),"Trin")</f>
        <v>Trin</v>
      </c>
      <c r="F734" t="str">
        <f>IFERROR(__xludf.DUMMYFUNCTION("""COMPUTED_VALUE"""),"Supredanuwat")</f>
        <v>Supredanuwat</v>
      </c>
      <c r="G734" t="str">
        <f>IFERROR(__xludf.DUMMYFUNCTION("""COMPUTED_VALUE"""),"Trin Supredanuwat")</f>
        <v>Trin Supredanuwat</v>
      </c>
      <c r="H734" t="str">
        <f>IFERROR(__xludf.DUMMYFUNCTION("""COMPUTED_VALUE"""),"นาย")</f>
        <v>นาย</v>
      </c>
      <c r="I734" t="str">
        <f>IFERROR(__xludf.DUMMYFUNCTION("""COMPUTED_VALUE"""),"ตฤณ")</f>
        <v>ตฤณ</v>
      </c>
      <c r="J734" t="str">
        <f>IFERROR(__xludf.DUMMYFUNCTION("""COMPUTED_VALUE"""),"สุปรีดานุวัฒน์")</f>
        <v>สุปรีดานุวัฒน์</v>
      </c>
      <c r="K734" t="str">
        <f>IFERROR(__xludf.DUMMYFUNCTION("""COMPUTED_VALUE"""),"ตฤณ สุปรีดานุวัฒน์")</f>
        <v>ตฤณ สุปรีดานุวัฒน์</v>
      </c>
      <c r="L734" t="str">
        <f>IFERROR(__xludf.DUMMYFUNCTION("""COMPUTED_VALUE"""),"Hock / ฮ๊อก")</f>
        <v>Hock / ฮ๊อก</v>
      </c>
      <c r="M734" t="str">
        <f>IFERROR(__xludf.DUMMYFUNCTION("""COMPUTED_VALUE"""),"Cabin Crew")</f>
        <v>Cabin Crew</v>
      </c>
      <c r="N734" t="str">
        <f>IFERROR(__xludf.DUMMYFUNCTION("""COMPUTED_VALUE"""),"DMK")</f>
        <v>DMK</v>
      </c>
      <c r="O734" s="145" t="str">
        <f>IFERROR(__xludf.DUMMYFUNCTION("""COMPUTED_VALUE"""),"Nhui Home")</f>
        <v>Nhui Home</v>
      </c>
      <c r="P734" t="str">
        <f>IFERROR(__xludf.DUMMYFUNCTION("""COMPUTED_VALUE"""),"Active")</f>
        <v>Active</v>
      </c>
      <c r="Q734" t="str">
        <f>IFERROR(__xludf.DUMMYFUNCTION("""COMPUTED_VALUE"""),"Chinese Speaking")</f>
        <v>Chinese Speaking</v>
      </c>
      <c r="R734" s="143">
        <f>IFERROR(__xludf.DUMMYFUNCTION("""COMPUTED_VALUE"""),32544.0)</f>
        <v>32544</v>
      </c>
      <c r="S734" s="146" t="str">
        <f>IFERROR(__xludf.DUMMYFUNCTION("""COMPUTED_VALUE"""),"099 836 3623")</f>
        <v>099 836 3623</v>
      </c>
      <c r="T734" s="147" t="str">
        <f>IFERROR(__xludf.DUMMYFUNCTION("""COMPUTED_VALUE"""),"1-1004-00378-88-1")</f>
        <v>1-1004-00378-88-1</v>
      </c>
      <c r="U734" t="str">
        <f>IFERROR(__xludf.DUMMYFUNCTION("""COMPUTED_VALUE"""),"AC6447119")</f>
        <v>AC6447119</v>
      </c>
      <c r="V734" s="148">
        <f>IFERROR(__xludf.DUMMYFUNCTION("""COMPUTED_VALUE"""),45369.0)</f>
        <v>45369</v>
      </c>
      <c r="W734" s="148">
        <f>IFERROR(__xludf.DUMMYFUNCTION("""COMPUTED_VALUE"""),49020.0)</f>
        <v>49020</v>
      </c>
      <c r="X734" s="149">
        <f>IFERROR(__xludf.DUMMYFUNCTION("""COMPUTED_VALUE"""),48839.0)</f>
        <v>48839</v>
      </c>
      <c r="Y734" t="str">
        <f>IFERROR(__xludf.DUMMYFUNCTION("""COMPUTED_VALUE"""),"ปลอดภัย")</f>
        <v>ปลอดภัย</v>
      </c>
      <c r="Z734" t="str">
        <f>IFERROR(__xludf.DUMMYFUNCTION("""COMPUTED_VALUE"""),"Bangkok")</f>
        <v>Bangkok</v>
      </c>
      <c r="AA734" t="str">
        <f>IFERROR(__xludf.DUMMYFUNCTION("""COMPUTED_VALUE"""),"Ratchatewee")</f>
        <v>Ratchatewee</v>
      </c>
      <c r="AB734" t="str">
        <f>IFERROR(__xludf.DUMMYFUNCTION("""COMPUTED_VALUE"""),"085-516-8686")</f>
        <v>085-516-8686</v>
      </c>
      <c r="AC734" t="str">
        <f>IFERROR(__xludf.DUMMYFUNCTION("""COMPUTED_VALUE"""),"Orathai Manmontri (Aunty)")</f>
        <v>Orathai Manmontri (Aunty)</v>
      </c>
      <c r="AD734" t="str">
        <f>IFERROR(__xludf.DUMMYFUNCTION("""COMPUTED_VALUE"""),"trins@airasia.com")</f>
        <v>trins@airasia.com</v>
      </c>
    </row>
    <row r="735">
      <c r="A735" s="142">
        <f>IFERROR(__xludf.DUMMYFUNCTION("""COMPUTED_VALUE"""),82.0)</f>
        <v>82</v>
      </c>
      <c r="B735" t="str">
        <f>IFERROR(__xludf.DUMMYFUNCTION("""COMPUTED_VALUE"""),"TAA7076")</f>
        <v>TAA7076</v>
      </c>
      <c r="C735">
        <f>IFERROR(__xludf.DUMMYFUNCTION("""COMPUTED_VALUE"""),1014684.0)</f>
        <v>1014684</v>
      </c>
      <c r="D735" t="str">
        <f>IFERROR(__xludf.DUMMYFUNCTION("""COMPUTED_VALUE"""),"Ms.")</f>
        <v>Ms.</v>
      </c>
      <c r="E735" t="str">
        <f>IFERROR(__xludf.DUMMYFUNCTION("""COMPUTED_VALUE"""),"Vanprae")</f>
        <v>Vanprae</v>
      </c>
      <c r="F735" t="str">
        <f>IFERROR(__xludf.DUMMYFUNCTION("""COMPUTED_VALUE"""),"Thipmanee")</f>
        <v>Thipmanee</v>
      </c>
      <c r="G735" t="str">
        <f>IFERROR(__xludf.DUMMYFUNCTION("""COMPUTED_VALUE"""),"Vanprae Thipmanee")</f>
        <v>Vanprae Thipmanee</v>
      </c>
      <c r="H735" t="str">
        <f>IFERROR(__xludf.DUMMYFUNCTION("""COMPUTED_VALUE"""),"นางสาว")</f>
        <v>นางสาว</v>
      </c>
      <c r="I735" t="str">
        <f>IFERROR(__xludf.DUMMYFUNCTION("""COMPUTED_VALUE"""),"ว่านแพร")</f>
        <v>ว่านแพร</v>
      </c>
      <c r="J735" t="str">
        <f>IFERROR(__xludf.DUMMYFUNCTION("""COMPUTED_VALUE"""),"ทิพย์มณี")</f>
        <v>ทิพย์มณี</v>
      </c>
      <c r="K735" t="str">
        <f>IFERROR(__xludf.DUMMYFUNCTION("""COMPUTED_VALUE"""),"ว่านแพร ทิพย์มณี")</f>
        <v>ว่านแพร ทิพย์มณี</v>
      </c>
      <c r="L735" t="str">
        <f>IFERROR(__xludf.DUMMYFUNCTION("""COMPUTED_VALUE"""),"Van / ว่าน")</f>
        <v>Van / ว่าน</v>
      </c>
      <c r="M735" t="str">
        <f>IFERROR(__xludf.DUMMYFUNCTION("""COMPUTED_VALUE"""),"Cabin Crew")</f>
        <v>Cabin Crew</v>
      </c>
      <c r="N735" t="str">
        <f>IFERROR(__xludf.DUMMYFUNCTION("""COMPUTED_VALUE"""),"DMK")</f>
        <v>DMK</v>
      </c>
      <c r="O735" s="145" t="str">
        <f>IFERROR(__xludf.DUMMYFUNCTION("""COMPUTED_VALUE"""),"Um Home")</f>
        <v>Um Home</v>
      </c>
      <c r="P735" t="str">
        <f>IFERROR(__xludf.DUMMYFUNCTION("""COMPUTED_VALUE"""),"LWPP")</f>
        <v>LWPP</v>
      </c>
      <c r="R735" s="143">
        <f>IFERROR(__xludf.DUMMYFUNCTION("""COMPUTED_VALUE"""),32442.0)</f>
        <v>32442</v>
      </c>
      <c r="S735" s="146" t="str">
        <f>IFERROR(__xludf.DUMMYFUNCTION("""COMPUTED_VALUE"""),"087-383-4929")</f>
        <v>087-383-4929</v>
      </c>
      <c r="T735" s="147" t="str">
        <f>IFERROR(__xludf.DUMMYFUNCTION("""COMPUTED_VALUE"""),"1-8699-00090-79-0")</f>
        <v>1-8699-00090-79-0</v>
      </c>
      <c r="U735" t="str">
        <f>IFERROR(__xludf.DUMMYFUNCTION("""COMPUTED_VALUE"""),"AD1827018")</f>
        <v>AD1827018</v>
      </c>
      <c r="V735" s="148">
        <f>IFERROR(__xludf.DUMMYFUNCTION("""COMPUTED_VALUE"""),45464.0)</f>
        <v>45464</v>
      </c>
      <c r="W735" s="148">
        <f>IFERROR(__xludf.DUMMYFUNCTION("""COMPUTED_VALUE"""),49115.0)</f>
        <v>49115</v>
      </c>
      <c r="X735" s="149">
        <f>IFERROR(__xludf.DUMMYFUNCTION("""COMPUTED_VALUE"""),48933.0)</f>
        <v>48933</v>
      </c>
      <c r="Y735" t="str">
        <f>IFERROR(__xludf.DUMMYFUNCTION("""COMPUTED_VALUE"""),"ปลอดภัย")</f>
        <v>ปลอดภัย</v>
      </c>
      <c r="Z735" t="str">
        <f>IFERROR(__xludf.DUMMYFUNCTION("""COMPUTED_VALUE"""),"Chumphon Province")</f>
        <v>Chumphon Province</v>
      </c>
      <c r="AA735" t="str">
        <f>IFERROR(__xludf.DUMMYFUNCTION("""COMPUTED_VALUE"""),"Ladprow")</f>
        <v>Ladprow</v>
      </c>
      <c r="AB735" t="str">
        <f>IFERROR(__xludf.DUMMYFUNCTION("""COMPUTED_VALUE"""),"086-889-2040")</f>
        <v>086-889-2040</v>
      </c>
      <c r="AC735" t="str">
        <f>IFERROR(__xludf.DUMMYFUNCTION("""COMPUTED_VALUE"""),"Pin-a-nong Thipmanee (Mother)")</f>
        <v>Pin-a-nong Thipmanee (Mother)</v>
      </c>
      <c r="AD735" t="str">
        <f>IFERROR(__xludf.DUMMYFUNCTION("""COMPUTED_VALUE"""),"vanpraet@airasia.com")</f>
        <v>vanpraet@airasia.com</v>
      </c>
    </row>
    <row r="736">
      <c r="A736" s="142">
        <f>IFERROR(__xludf.DUMMYFUNCTION("""COMPUTED_VALUE"""),82.0)</f>
        <v>82</v>
      </c>
      <c r="B736" t="str">
        <f>IFERROR(__xludf.DUMMYFUNCTION("""COMPUTED_VALUE"""),"TAA7073")</f>
        <v>TAA7073</v>
      </c>
      <c r="C736">
        <f>IFERROR(__xludf.DUMMYFUNCTION("""COMPUTED_VALUE"""),1014685.0)</f>
        <v>1014685</v>
      </c>
      <c r="D736" t="str">
        <f>IFERROR(__xludf.DUMMYFUNCTION("""COMPUTED_VALUE"""),"Ms.")</f>
        <v>Ms.</v>
      </c>
      <c r="E736" t="str">
        <f>IFERROR(__xludf.DUMMYFUNCTION("""COMPUTED_VALUE"""),"Varalak")</f>
        <v>Varalak</v>
      </c>
      <c r="F736" t="str">
        <f>IFERROR(__xludf.DUMMYFUNCTION("""COMPUTED_VALUE"""),"Sriyaranya (Pattaveedanan)")</f>
        <v>Sriyaranya (Pattaveedanan)</v>
      </c>
      <c r="G736" t="str">
        <f>IFERROR(__xludf.DUMMYFUNCTION("""COMPUTED_VALUE"""),"Varalak Sriyaranya")</f>
        <v>Varalak Sriyaranya</v>
      </c>
      <c r="H736" t="str">
        <f>IFERROR(__xludf.DUMMYFUNCTION("""COMPUTED_VALUE"""),"นางสาว")</f>
        <v>นางสาว</v>
      </c>
      <c r="I736" t="str">
        <f>IFERROR(__xludf.DUMMYFUNCTION("""COMPUTED_VALUE"""),"วราลักษณ์")</f>
        <v>วราลักษณ์</v>
      </c>
      <c r="J736" t="str">
        <f>IFERROR(__xludf.DUMMYFUNCTION("""COMPUTED_VALUE"""),"ศรียารัณย (ปฐวีดานันท์)")</f>
        <v>ศรียารัณย (ปฐวีดานันท์)</v>
      </c>
      <c r="K736" t="str">
        <f>IFERROR(__xludf.DUMMYFUNCTION("""COMPUTED_VALUE"""),"วราลักษณ์ ศรียารัณย")</f>
        <v>วราลักษณ์ ศรียารัณย</v>
      </c>
      <c r="L736" t="str">
        <f>IFERROR(__xludf.DUMMYFUNCTION("""COMPUTED_VALUE"""),"Yam / แยม")</f>
        <v>Yam / แยม</v>
      </c>
      <c r="M736" t="str">
        <f>IFERROR(__xludf.DUMMYFUNCTION("""COMPUTED_VALUE"""),"Cabin Crew - CNX")</f>
        <v>Cabin Crew - CNX</v>
      </c>
      <c r="N736" t="str">
        <f>IFERROR(__xludf.DUMMYFUNCTION("""COMPUTED_VALUE"""),"CNX")</f>
        <v>CNX</v>
      </c>
      <c r="O736" s="145" t="str">
        <f>IFERROR(__xludf.DUMMYFUNCTION("""COMPUTED_VALUE"""),"Up Home")</f>
        <v>Up Home</v>
      </c>
      <c r="P736" t="str">
        <f>IFERROR(__xludf.DUMMYFUNCTION("""COMPUTED_VALUE"""),"Active")</f>
        <v>Active</v>
      </c>
      <c r="R736" s="143">
        <f>IFERROR(__xludf.DUMMYFUNCTION("""COMPUTED_VALUE"""),31567.0)</f>
        <v>31567</v>
      </c>
      <c r="S736" s="146" t="str">
        <f>IFERROR(__xludf.DUMMYFUNCTION("""COMPUTED_VALUE"""),"086-657-6566")</f>
        <v>086-657-6566</v>
      </c>
      <c r="T736" s="147" t="str">
        <f>IFERROR(__xludf.DUMMYFUNCTION("""COMPUTED_VALUE"""),"1-5099-00372-64-0")</f>
        <v>1-5099-00372-64-0</v>
      </c>
      <c r="U736" t="str">
        <f>IFERROR(__xludf.DUMMYFUNCTION("""COMPUTED_VALUE"""),"AD2824121")</f>
        <v>AD2824121</v>
      </c>
      <c r="V736" s="148">
        <f>IFERROR(__xludf.DUMMYFUNCTION("""COMPUTED_VALUE"""),46064.0)</f>
        <v>46064</v>
      </c>
      <c r="W736" s="148">
        <f>IFERROR(__xludf.DUMMYFUNCTION("""COMPUTED_VALUE"""),49715.0)</f>
        <v>49715</v>
      </c>
      <c r="X736" s="149">
        <f>IFERROR(__xludf.DUMMYFUNCTION("""COMPUTED_VALUE"""),49531.0)</f>
        <v>49531</v>
      </c>
      <c r="Y736" t="str">
        <f>IFERROR(__xludf.DUMMYFUNCTION("""COMPUTED_VALUE"""),"ปลอดภัย")</f>
        <v>ปลอดภัย</v>
      </c>
      <c r="Z736" t="str">
        <f>IFERROR(__xludf.DUMMYFUNCTION("""COMPUTED_VALUE"""),"Chiang Mai Province")</f>
        <v>Chiang Mai Province</v>
      </c>
      <c r="AA736" t="str">
        <f>IFERROR(__xludf.DUMMYFUNCTION("""COMPUTED_VALUE"""),"Chiang Mai")</f>
        <v>Chiang Mai</v>
      </c>
      <c r="AB736" t="str">
        <f>IFERROR(__xludf.DUMMYFUNCTION("""COMPUTED_VALUE"""),"095-797-8953")</f>
        <v>095-797-8953</v>
      </c>
      <c r="AC736" t="str">
        <f>IFERROR(__xludf.DUMMYFUNCTION("""COMPUTED_VALUE"""),"Muntiga Sriyaranya (Mother)")</f>
        <v>Muntiga Sriyaranya (Mother)</v>
      </c>
      <c r="AD736" t="str">
        <f>IFERROR(__xludf.DUMMYFUNCTION("""COMPUTED_VALUE"""),"varalaksri@airasia.com")</f>
        <v>varalaksri@airasia.com</v>
      </c>
    </row>
    <row r="737">
      <c r="A737" s="142">
        <f>IFERROR(__xludf.DUMMYFUNCTION("""COMPUTED_VALUE"""),82.0)</f>
        <v>82</v>
      </c>
      <c r="B737" t="str">
        <f>IFERROR(__xludf.DUMMYFUNCTION("""COMPUTED_VALUE"""),"TAA7094")</f>
        <v>TAA7094</v>
      </c>
      <c r="C737">
        <f>IFERROR(__xludf.DUMMYFUNCTION("""COMPUTED_VALUE"""),1014686.0)</f>
        <v>1014686</v>
      </c>
      <c r="D737" t="str">
        <f>IFERROR(__xludf.DUMMYFUNCTION("""COMPUTED_VALUE"""),"Ms.")</f>
        <v>Ms.</v>
      </c>
      <c r="E737" t="str">
        <f>IFERROR(__xludf.DUMMYFUNCTION("""COMPUTED_VALUE"""),"Varissara")</f>
        <v>Varissara</v>
      </c>
      <c r="F737" t="str">
        <f>IFERROR(__xludf.DUMMYFUNCTION("""COMPUTED_VALUE"""),"Rattana")</f>
        <v>Rattana</v>
      </c>
      <c r="G737" t="str">
        <f>IFERROR(__xludf.DUMMYFUNCTION("""COMPUTED_VALUE"""),"Varissara Rattana")</f>
        <v>Varissara Rattana</v>
      </c>
      <c r="H737" t="str">
        <f>IFERROR(__xludf.DUMMYFUNCTION("""COMPUTED_VALUE"""),"นางสาว")</f>
        <v>นางสาว</v>
      </c>
      <c r="I737" t="str">
        <f>IFERROR(__xludf.DUMMYFUNCTION("""COMPUTED_VALUE"""),"วริศรา")</f>
        <v>วริศรา</v>
      </c>
      <c r="J737" t="str">
        <f>IFERROR(__xludf.DUMMYFUNCTION("""COMPUTED_VALUE"""),"รัตนะ")</f>
        <v>รัตนะ</v>
      </c>
      <c r="K737" t="str">
        <f>IFERROR(__xludf.DUMMYFUNCTION("""COMPUTED_VALUE"""),"วริศรา รัตนะ")</f>
        <v>วริศรา รัตนะ</v>
      </c>
      <c r="L737" t="str">
        <f>IFERROR(__xludf.DUMMYFUNCTION("""COMPUTED_VALUE"""),"Faii / ฝ้าย")</f>
        <v>Faii / ฝ้าย</v>
      </c>
      <c r="M737" t="str">
        <f>IFERROR(__xludf.DUMMYFUNCTION("""COMPUTED_VALUE"""),"Senior Cabin Crew")</f>
        <v>Senior Cabin Crew</v>
      </c>
      <c r="N737" t="str">
        <f>IFERROR(__xludf.DUMMYFUNCTION("""COMPUTED_VALUE"""),"DMK")</f>
        <v>DMK</v>
      </c>
      <c r="O737" s="145" t="str">
        <f>IFERROR(__xludf.DUMMYFUNCTION("""COMPUTED_VALUE"""),"Um Home")</f>
        <v>Um Home</v>
      </c>
      <c r="P737" t="str">
        <f>IFERROR(__xludf.DUMMYFUNCTION("""COMPUTED_VALUE"""),"Active")</f>
        <v>Active</v>
      </c>
      <c r="R737" s="143">
        <f>IFERROR(__xludf.DUMMYFUNCTION("""COMPUTED_VALUE"""),33492.0)</f>
        <v>33492</v>
      </c>
      <c r="S737" s="146" t="str">
        <f>IFERROR(__xludf.DUMMYFUNCTION("""COMPUTED_VALUE"""),"089-772-2560")</f>
        <v>089-772-2560</v>
      </c>
      <c r="T737" s="147" t="str">
        <f>IFERROR(__xludf.DUMMYFUNCTION("""COMPUTED_VALUE"""),"1-1008-00732-37-2")</f>
        <v>1-1008-00732-37-2</v>
      </c>
      <c r="U737" t="str">
        <f>IFERROR(__xludf.DUMMYFUNCTION("""COMPUTED_VALUE"""),"AD2126847")</f>
        <v>AD2126847</v>
      </c>
      <c r="V737" s="148">
        <f>IFERROR(__xludf.DUMMYFUNCTION("""COMPUTED_VALUE"""),45736.0)</f>
        <v>45736</v>
      </c>
      <c r="W737" s="148">
        <f>IFERROR(__xludf.DUMMYFUNCTION("""COMPUTED_VALUE"""),49381.0)</f>
        <v>49381</v>
      </c>
      <c r="X737" s="149">
        <f>IFERROR(__xludf.DUMMYFUNCTION("""COMPUTED_VALUE"""),49200.0)</f>
        <v>49200</v>
      </c>
      <c r="Y737" t="str">
        <f>IFERROR(__xludf.DUMMYFUNCTION("""COMPUTED_VALUE"""),"ปลอดภัย")</f>
        <v>ปลอดภัย</v>
      </c>
      <c r="Z737" t="str">
        <f>IFERROR(__xludf.DUMMYFUNCTION("""COMPUTED_VALUE"""),"Bangkok")</f>
        <v>Bangkok</v>
      </c>
      <c r="AA737" t="str">
        <f>IFERROR(__xludf.DUMMYFUNCTION("""COMPUTED_VALUE"""),"Jatujak")</f>
        <v>Jatujak</v>
      </c>
      <c r="AB737" t="str">
        <f>IFERROR(__xludf.DUMMYFUNCTION("""COMPUTED_VALUE"""),"089-121-6337")</f>
        <v>089-121-6337</v>
      </c>
      <c r="AC737" t="str">
        <f>IFERROR(__xludf.DUMMYFUNCTION("""COMPUTED_VALUE"""),"Nattana Rattana (Mother)")</f>
        <v>Nattana Rattana (Mother)</v>
      </c>
      <c r="AD737" t="str">
        <f>IFERROR(__xludf.DUMMYFUNCTION("""COMPUTED_VALUE"""),"varissarar@airasia.com")</f>
        <v>varissarar@airasia.com</v>
      </c>
    </row>
    <row r="738">
      <c r="A738" s="142">
        <f>IFERROR(__xludf.DUMMYFUNCTION("""COMPUTED_VALUE"""),82.0)</f>
        <v>82</v>
      </c>
      <c r="B738" t="str">
        <f>IFERROR(__xludf.DUMMYFUNCTION("""COMPUTED_VALUE"""),"TAA7088")</f>
        <v>TAA7088</v>
      </c>
      <c r="C738">
        <f>IFERROR(__xludf.DUMMYFUNCTION("""COMPUTED_VALUE"""),1014687.0)</f>
        <v>1014687</v>
      </c>
      <c r="D738" t="str">
        <f>IFERROR(__xludf.DUMMYFUNCTION("""COMPUTED_VALUE"""),"Mr.")</f>
        <v>Mr.</v>
      </c>
      <c r="E738" t="str">
        <f>IFERROR(__xludf.DUMMYFUNCTION("""COMPUTED_VALUE"""),"Witpapon")</f>
        <v>Witpapon</v>
      </c>
      <c r="F738" t="str">
        <f>IFERROR(__xludf.DUMMYFUNCTION("""COMPUTED_VALUE"""),"Thaingamsilp")</f>
        <v>Thaingamsilp</v>
      </c>
      <c r="G738" t="str">
        <f>IFERROR(__xludf.DUMMYFUNCTION("""COMPUTED_VALUE"""),"Witpapon Thaingamsilp")</f>
        <v>Witpapon Thaingamsilp</v>
      </c>
      <c r="H738" t="str">
        <f>IFERROR(__xludf.DUMMYFUNCTION("""COMPUTED_VALUE"""),"นาย")</f>
        <v>นาย</v>
      </c>
      <c r="I738" t="str">
        <f>IFERROR(__xludf.DUMMYFUNCTION("""COMPUTED_VALUE"""),"วิชญ์ปพล")</f>
        <v>วิชญ์ปพล</v>
      </c>
      <c r="J738" t="str">
        <f>IFERROR(__xludf.DUMMYFUNCTION("""COMPUTED_VALUE"""),"ไทยงามศิลป์")</f>
        <v>ไทยงามศิลป์</v>
      </c>
      <c r="K738" t="str">
        <f>IFERROR(__xludf.DUMMYFUNCTION("""COMPUTED_VALUE"""),"วิชญ์ปพล ไทยงามศิลป์")</f>
        <v>วิชญ์ปพล ไทยงามศิลป์</v>
      </c>
      <c r="L738" t="str">
        <f>IFERROR(__xludf.DUMMYFUNCTION("""COMPUTED_VALUE"""),"Book/บุ๊ค")</f>
        <v>Book/บุ๊ค</v>
      </c>
      <c r="M738" t="str">
        <f>IFERROR(__xludf.DUMMYFUNCTION("""COMPUTED_VALUE"""),"Senior Cabin Crew")</f>
        <v>Senior Cabin Crew</v>
      </c>
      <c r="N738" t="str">
        <f>IFERROR(__xludf.DUMMYFUNCTION("""COMPUTED_VALUE"""),"DMK")</f>
        <v>DMK</v>
      </c>
      <c r="O738" s="145" t="str">
        <f>IFERROR(__xludf.DUMMYFUNCTION("""COMPUTED_VALUE"""),"Nhui Home")</f>
        <v>Nhui Home</v>
      </c>
      <c r="P738" t="str">
        <f>IFERROR(__xludf.DUMMYFUNCTION("""COMPUTED_VALUE"""),"Active")</f>
        <v>Active</v>
      </c>
      <c r="R738" s="143">
        <f>IFERROR(__xludf.DUMMYFUNCTION("""COMPUTED_VALUE"""),30341.0)</f>
        <v>30341</v>
      </c>
      <c r="S738" s="146" t="str">
        <f>IFERROR(__xludf.DUMMYFUNCTION("""COMPUTED_VALUE"""),"098-6355494")</f>
        <v>098-6355494</v>
      </c>
      <c r="T738" s="147" t="str">
        <f>IFERROR(__xludf.DUMMYFUNCTION("""COMPUTED_VALUE"""),"3-7299-00012-57-5")</f>
        <v>3-7299-00012-57-5</v>
      </c>
      <c r="U738" t="str">
        <f>IFERROR(__xludf.DUMMYFUNCTION("""COMPUTED_VALUE"""),"AD0758223")</f>
        <v>AD0758223</v>
      </c>
      <c r="V738" s="148">
        <f>IFERROR(__xludf.DUMMYFUNCTION("""COMPUTED_VALUE"""),45701.0)</f>
        <v>45701</v>
      </c>
      <c r="W738" s="148">
        <f>IFERROR(__xludf.DUMMYFUNCTION("""COMPUTED_VALUE"""),48622.0)</f>
        <v>48622</v>
      </c>
      <c r="X738" s="149">
        <f>IFERROR(__xludf.DUMMYFUNCTION("""COMPUTED_VALUE"""),48438.0)</f>
        <v>48438</v>
      </c>
      <c r="Y738" t="str">
        <f>IFERROR(__xludf.DUMMYFUNCTION("""COMPUTED_VALUE"""),"ปลอดภัย")</f>
        <v>ปลอดภัย</v>
      </c>
      <c r="Z738" t="str">
        <f>IFERROR(__xludf.DUMMYFUNCTION("""COMPUTED_VALUE"""),"Chanthaburi Province")</f>
        <v>Chanthaburi Province</v>
      </c>
      <c r="AA738" t="str">
        <f>IFERROR(__xludf.DUMMYFUNCTION("""COMPUTED_VALUE"""),"Suphanburi")</f>
        <v>Suphanburi</v>
      </c>
      <c r="AB738" t="str">
        <f>IFERROR(__xludf.DUMMYFUNCTION("""COMPUTED_VALUE"""),"062-324-6154")</f>
        <v>062-324-6154</v>
      </c>
      <c r="AC738" t="str">
        <f>IFERROR(__xludf.DUMMYFUNCTION("""COMPUTED_VALUE"""),"Kwanratt Thaingamsilp (Sister)")</f>
        <v>Kwanratt Thaingamsilp (Sister)</v>
      </c>
      <c r="AD738" t="str">
        <f>IFERROR(__xludf.DUMMYFUNCTION("""COMPUTED_VALUE"""),"witpapont@airasia.com")</f>
        <v>witpapont@airasia.com</v>
      </c>
    </row>
    <row r="739">
      <c r="AD739" t="str">
        <f>IFERROR(__xludf.DUMMYFUNCTION("""COMPUTED_VALUE"""),"")</f>
        <v/>
      </c>
    </row>
    <row r="740">
      <c r="A740" s="142">
        <f>IFERROR(__xludf.DUMMYFUNCTION("""COMPUTED_VALUE"""),83.0)</f>
        <v>83</v>
      </c>
      <c r="B740" t="str">
        <f>IFERROR(__xludf.DUMMYFUNCTION("""COMPUTED_VALUE"""),"TAA3162")</f>
        <v>TAA3162</v>
      </c>
      <c r="C740">
        <f>IFERROR(__xludf.DUMMYFUNCTION("""COMPUTED_VALUE"""),1004729.0)</f>
        <v>1004729</v>
      </c>
      <c r="D740" t="str">
        <f>IFERROR(__xludf.DUMMYFUNCTION("""COMPUTED_VALUE"""),"Ms.")</f>
        <v>Ms.</v>
      </c>
      <c r="E740" t="str">
        <f>IFERROR(__xludf.DUMMYFUNCTION("""COMPUTED_VALUE"""),"Sasimon")</f>
        <v>Sasimon</v>
      </c>
      <c r="F740" t="str">
        <f>IFERROR(__xludf.DUMMYFUNCTION("""COMPUTED_VALUE"""),"Chamnansarn")</f>
        <v>Chamnansarn</v>
      </c>
      <c r="G740" t="str">
        <f>IFERROR(__xludf.DUMMYFUNCTION("""COMPUTED_VALUE"""),"Sasimon Chamnansarn")</f>
        <v>Sasimon Chamnansarn</v>
      </c>
      <c r="H740" t="str">
        <f>IFERROR(__xludf.DUMMYFUNCTION("""COMPUTED_VALUE"""),"นางสาว")</f>
        <v>นางสาว</v>
      </c>
      <c r="I740" t="str">
        <f>IFERROR(__xludf.DUMMYFUNCTION("""COMPUTED_VALUE"""),"ศศิมนต์")</f>
        <v>ศศิมนต์</v>
      </c>
      <c r="J740" t="str">
        <f>IFERROR(__xludf.DUMMYFUNCTION("""COMPUTED_VALUE"""),"ชำนาญสาร")</f>
        <v>ชำนาญสาร</v>
      </c>
      <c r="K740" t="str">
        <f>IFERROR(__xludf.DUMMYFUNCTION("""COMPUTED_VALUE"""),"ศศิมนต์ ชำนาญสาร")</f>
        <v>ศศิมนต์ ชำนาญสาร</v>
      </c>
      <c r="L740" t="str">
        <f>IFERROR(__xludf.DUMMYFUNCTION("""COMPUTED_VALUE"""),"Pimm / พิม")</f>
        <v>Pimm / พิม</v>
      </c>
      <c r="M740" t="str">
        <f>IFERROR(__xludf.DUMMYFUNCTION("""COMPUTED_VALUE"""),"Cabin Crew")</f>
        <v>Cabin Crew</v>
      </c>
      <c r="N740" t="str">
        <f>IFERROR(__xludf.DUMMYFUNCTION("""COMPUTED_VALUE"""),"DMK")</f>
        <v>DMK</v>
      </c>
      <c r="O740" s="145" t="str">
        <f>IFERROR(__xludf.DUMMYFUNCTION("""COMPUTED_VALUE"""),"Um Home")</f>
        <v>Um Home</v>
      </c>
      <c r="P740" t="str">
        <f>IFERROR(__xludf.DUMMYFUNCTION("""COMPUTED_VALUE"""),"V/LWP")</f>
        <v>V/LWP</v>
      </c>
      <c r="R740" s="143">
        <f>IFERROR(__xludf.DUMMYFUNCTION("""COMPUTED_VALUE"""),29987.0)</f>
        <v>29987</v>
      </c>
      <c r="S740" s="146" t="str">
        <f>IFERROR(__xludf.DUMMYFUNCTION("""COMPUTED_VALUE"""),"094-542-9151")</f>
        <v>094-542-9151</v>
      </c>
      <c r="T740" s="147">
        <f>IFERROR(__xludf.DUMMYFUNCTION("""COMPUTED_VALUE"""),3.4199000197E12)</f>
        <v>3419900019700</v>
      </c>
      <c r="U740" t="str">
        <f>IFERROR(__xludf.DUMMYFUNCTION("""COMPUTED_VALUE"""),"AD2241830")</f>
        <v>AD2241830</v>
      </c>
      <c r="V740" s="148">
        <f>IFERROR(__xludf.DUMMYFUNCTION("""COMPUTED_VALUE"""),45785.0)</f>
        <v>45785</v>
      </c>
      <c r="W740" s="148">
        <f>IFERROR(__xludf.DUMMYFUNCTION("""COMPUTED_VALUE"""),49436.0)</f>
        <v>49436</v>
      </c>
      <c r="X740" s="149">
        <f>IFERROR(__xludf.DUMMYFUNCTION("""COMPUTED_VALUE"""),49255.0)</f>
        <v>49255</v>
      </c>
      <c r="Y740" t="str">
        <f>IFERROR(__xludf.DUMMYFUNCTION("""COMPUTED_VALUE"""),"ปลอดภัย")</f>
        <v>ปลอดภัย</v>
      </c>
      <c r="Z740" t="str">
        <f>IFERROR(__xludf.DUMMYFUNCTION("""COMPUTED_VALUE"""),"Udon Thani Province")</f>
        <v>Udon Thani Province</v>
      </c>
      <c r="AA740" t="str">
        <f>IFERROR(__xludf.DUMMYFUNCTION("""COMPUTED_VALUE"""),"Udon Thani")</f>
        <v>Udon Thani</v>
      </c>
      <c r="AB740" t="str">
        <f>IFERROR(__xludf.DUMMYFUNCTION("""COMPUTED_VALUE"""),"081-975-6495")</f>
        <v>081-975-6495</v>
      </c>
      <c r="AC740" t="str">
        <f>IFERROR(__xludf.DUMMYFUNCTION("""COMPUTED_VALUE"""),"Choopak Chamnansarn (mother)")</f>
        <v>Choopak Chamnansarn (mother)</v>
      </c>
      <c r="AD740" t="str">
        <f>IFERROR(__xludf.DUMMYFUNCTION("""COMPUTED_VALUE"""),"sasimonc@airasia.com")</f>
        <v>sasimonc@airasia.com</v>
      </c>
    </row>
    <row r="741">
      <c r="A741" s="142">
        <f>IFERROR(__xludf.DUMMYFUNCTION("""COMPUTED_VALUE"""),83.0)</f>
        <v>83</v>
      </c>
      <c r="B741" t="str">
        <f>IFERROR(__xludf.DUMMYFUNCTION("""COMPUTED_VALUE"""),"TAA3696")</f>
        <v>TAA3696</v>
      </c>
      <c r="C741">
        <f>IFERROR(__xludf.DUMMYFUNCTION("""COMPUTED_VALUE"""),1005618.0)</f>
        <v>1005618</v>
      </c>
      <c r="D741" t="str">
        <f>IFERROR(__xludf.DUMMYFUNCTION("""COMPUTED_VALUE"""),"Mr.")</f>
        <v>Mr.</v>
      </c>
      <c r="E741" t="str">
        <f>IFERROR(__xludf.DUMMYFUNCTION("""COMPUTED_VALUE"""),"Anutapong")</f>
        <v>Anutapong</v>
      </c>
      <c r="F741" t="str">
        <f>IFERROR(__xludf.DUMMYFUNCTION("""COMPUTED_VALUE"""),"Saengchot")</f>
        <v>Saengchot</v>
      </c>
      <c r="G741" t="str">
        <f>IFERROR(__xludf.DUMMYFUNCTION("""COMPUTED_VALUE"""),"Anutapong Saengchot")</f>
        <v>Anutapong Saengchot</v>
      </c>
      <c r="H741" t="str">
        <f>IFERROR(__xludf.DUMMYFUNCTION("""COMPUTED_VALUE"""),"นาย")</f>
        <v>นาย</v>
      </c>
      <c r="I741" t="str">
        <f>IFERROR(__xludf.DUMMYFUNCTION("""COMPUTED_VALUE"""),"อนุตพงศ์")</f>
        <v>อนุตพงศ์</v>
      </c>
      <c r="J741" t="str">
        <f>IFERROR(__xludf.DUMMYFUNCTION("""COMPUTED_VALUE"""),"แสงโชติ")</f>
        <v>แสงโชติ</v>
      </c>
      <c r="K741" t="str">
        <f>IFERROR(__xludf.DUMMYFUNCTION("""COMPUTED_VALUE"""),"อนุตพงศ์ แสงโชติ")</f>
        <v>อนุตพงศ์ แสงโชติ</v>
      </c>
      <c r="L741" t="str">
        <f>IFERROR(__xludf.DUMMYFUNCTION("""COMPUTED_VALUE"""),"First / เฟิส")</f>
        <v>First / เฟิส</v>
      </c>
      <c r="M741" t="str">
        <f>IFERROR(__xludf.DUMMYFUNCTION("""COMPUTED_VALUE"""),"Cabin Crew")</f>
        <v>Cabin Crew</v>
      </c>
      <c r="N741" t="str">
        <f>IFERROR(__xludf.DUMMYFUNCTION("""COMPUTED_VALUE"""),"DMK")</f>
        <v>DMK</v>
      </c>
      <c r="O741" s="145" t="str">
        <f>IFERROR(__xludf.DUMMYFUNCTION("""COMPUTED_VALUE"""),"Por+ Home")</f>
        <v>Por+ Home</v>
      </c>
      <c r="P741" t="str">
        <f>IFERROR(__xludf.DUMMYFUNCTION("""COMPUTED_VALUE"""),"Active")</f>
        <v>Active</v>
      </c>
      <c r="R741" s="143">
        <f>IFERROR(__xludf.DUMMYFUNCTION("""COMPUTED_VALUE"""),31725.0)</f>
        <v>31725</v>
      </c>
      <c r="S741" s="146" t="str">
        <f>IFERROR(__xludf.DUMMYFUNCTION("""COMPUTED_VALUE"""),"062-994-9429")</f>
        <v>062-994-9429</v>
      </c>
      <c r="T741" s="147">
        <f>IFERROR(__xludf.DUMMYFUNCTION("""COMPUTED_VALUE"""),1.509900426383E12)</f>
        <v>1509900426383</v>
      </c>
      <c r="U741" t="str">
        <f>IFERROR(__xludf.DUMMYFUNCTION("""COMPUTED_VALUE"""),"AC2228322")</f>
        <v>AC2228322</v>
      </c>
      <c r="V741" s="148">
        <f>IFERROR(__xludf.DUMMYFUNCTION("""COMPUTED_VALUE"""),44278.0)</f>
        <v>44278</v>
      </c>
      <c r="W741" s="148">
        <f>IFERROR(__xludf.DUMMYFUNCTION("""COMPUTED_VALUE"""),47929.0)</f>
        <v>47929</v>
      </c>
      <c r="X741" s="149">
        <f>IFERROR(__xludf.DUMMYFUNCTION("""COMPUTED_VALUE"""),47748.0)</f>
        <v>47748</v>
      </c>
      <c r="Y741" t="str">
        <f>IFERROR(__xludf.DUMMYFUNCTION("""COMPUTED_VALUE"""),"ปลอดภัย")</f>
        <v>ปลอดภัย</v>
      </c>
      <c r="Z741" t="str">
        <f>IFERROR(__xludf.DUMMYFUNCTION("""COMPUTED_VALUE"""),"Chiang Mai Province")</f>
        <v>Chiang Mai Province</v>
      </c>
      <c r="AA741" t="str">
        <f>IFERROR(__xludf.DUMMYFUNCTION("""COMPUTED_VALUE"""),"Chiangmai")</f>
        <v>Chiangmai</v>
      </c>
      <c r="AB741" t="str">
        <f>IFERROR(__xludf.DUMMYFUNCTION("""COMPUTED_VALUE"""),"080-496-0485")</f>
        <v>080-496-0485</v>
      </c>
      <c r="AC741" t="str">
        <f>IFERROR(__xludf.DUMMYFUNCTION("""COMPUTED_VALUE"""),"Jittanan Saengchot (Mother)")</f>
        <v>Jittanan Saengchot (Mother)</v>
      </c>
      <c r="AD741" t="str">
        <f>IFERROR(__xludf.DUMMYFUNCTION("""COMPUTED_VALUE"""),"anutapongs@airasia.com")</f>
        <v>anutapongs@airasia.com</v>
      </c>
    </row>
    <row r="742">
      <c r="A742" s="142">
        <f>IFERROR(__xludf.DUMMYFUNCTION("""COMPUTED_VALUE"""),83.0)</f>
        <v>83</v>
      </c>
      <c r="B742" t="str">
        <f>IFERROR(__xludf.DUMMYFUNCTION("""COMPUTED_VALUE"""),"TAA3779")</f>
        <v>TAA3779</v>
      </c>
      <c r="C742">
        <f>IFERROR(__xludf.DUMMYFUNCTION("""COMPUTED_VALUE"""),1005776.0)</f>
        <v>1005776</v>
      </c>
      <c r="D742" t="str">
        <f>IFERROR(__xludf.DUMMYFUNCTION("""COMPUTED_VALUE"""),"Ms.")</f>
        <v>Ms.</v>
      </c>
      <c r="E742" t="str">
        <f>IFERROR(__xludf.DUMMYFUNCTION("""COMPUTED_VALUE"""),"Konkamon")</f>
        <v>Konkamon</v>
      </c>
      <c r="F742" t="str">
        <f>IFERROR(__xludf.DUMMYFUNCTION("""COMPUTED_VALUE"""),"Saengwanloi")</f>
        <v>Saengwanloi</v>
      </c>
      <c r="G742" t="str">
        <f>IFERROR(__xludf.DUMMYFUNCTION("""COMPUTED_VALUE"""),"Konkamon Saengwanloi")</f>
        <v>Konkamon Saengwanloi</v>
      </c>
      <c r="H742" t="str">
        <f>IFERROR(__xludf.DUMMYFUNCTION("""COMPUTED_VALUE"""),"นางสาว")</f>
        <v>นางสาว</v>
      </c>
      <c r="I742" t="str">
        <f>IFERROR(__xludf.DUMMYFUNCTION("""COMPUTED_VALUE"""),"กรกมล")</f>
        <v>กรกมล</v>
      </c>
      <c r="J742" t="str">
        <f>IFERROR(__xludf.DUMMYFUNCTION("""COMPUTED_VALUE"""),"แสงวันลอย")</f>
        <v>แสงวันลอย</v>
      </c>
      <c r="K742" t="str">
        <f>IFERROR(__xludf.DUMMYFUNCTION("""COMPUTED_VALUE"""),"กรกมล แสงวันลอย")</f>
        <v>กรกมล แสงวันลอย</v>
      </c>
      <c r="L742" t="str">
        <f>IFERROR(__xludf.DUMMYFUNCTION("""COMPUTED_VALUE"""),"FAH/ฟ้า")</f>
        <v>FAH/ฟ้า</v>
      </c>
      <c r="M742" t="str">
        <f>IFERROR(__xludf.DUMMYFUNCTION("""COMPUTED_VALUE"""),"Cabin Crew")</f>
        <v>Cabin Crew</v>
      </c>
      <c r="N742" t="str">
        <f>IFERROR(__xludf.DUMMYFUNCTION("""COMPUTED_VALUE"""),"DMK")</f>
        <v>DMK</v>
      </c>
      <c r="O742" s="145" t="str">
        <f>IFERROR(__xludf.DUMMYFUNCTION("""COMPUTED_VALUE"""),"Nhui Home")</f>
        <v>Nhui Home</v>
      </c>
      <c r="P742" t="str">
        <f>IFERROR(__xludf.DUMMYFUNCTION("""COMPUTED_VALUE"""),"Active")</f>
        <v>Active</v>
      </c>
      <c r="R742" s="143">
        <f>IFERROR(__xludf.DUMMYFUNCTION("""COMPUTED_VALUE"""),31918.0)</f>
        <v>31918</v>
      </c>
      <c r="S742" s="146">
        <f>IFERROR(__xludf.DUMMYFUNCTION("""COMPUTED_VALUE"""),8.29933559E8)</f>
        <v>829933559</v>
      </c>
      <c r="T742" s="147">
        <f>IFERROR(__xludf.DUMMYFUNCTION("""COMPUTED_VALUE"""),1.959900121643E12)</f>
        <v>1959900121643</v>
      </c>
      <c r="U742" t="str">
        <f>IFERROR(__xludf.DUMMYFUNCTION("""COMPUTED_VALUE"""),"AD1032147")</f>
        <v>AD1032147</v>
      </c>
      <c r="V742" s="148">
        <f>IFERROR(__xludf.DUMMYFUNCTION("""COMPUTED_VALUE"""),45091.0)</f>
        <v>45091</v>
      </c>
      <c r="W742" s="148">
        <f>IFERROR(__xludf.DUMMYFUNCTION("""COMPUTED_VALUE"""),48743.0)</f>
        <v>48743</v>
      </c>
      <c r="X742" s="149">
        <f>IFERROR(__xludf.DUMMYFUNCTION("""COMPUTED_VALUE"""),48561.0)</f>
        <v>48561</v>
      </c>
      <c r="Y742" t="str">
        <f>IFERROR(__xludf.DUMMYFUNCTION("""COMPUTED_VALUE"""),"ปลอดภัย")</f>
        <v>ปลอดภัย</v>
      </c>
      <c r="Z742" t="str">
        <f>IFERROR(__xludf.DUMMYFUNCTION("""COMPUTED_VALUE"""),"Yala Province")</f>
        <v>Yala Province</v>
      </c>
      <c r="AA742" t="str">
        <f>IFERROR(__xludf.DUMMYFUNCTION("""COMPUTED_VALUE"""),"Jatujak")</f>
        <v>Jatujak</v>
      </c>
      <c r="AB742" t="str">
        <f>IFERROR(__xludf.DUMMYFUNCTION("""COMPUTED_VALUE"""),"087 359 1959")</f>
        <v>087 359 1959</v>
      </c>
      <c r="AC742" t="str">
        <f>IFERROR(__xludf.DUMMYFUNCTION("""COMPUTED_VALUE"""),"Pariyes sawasklin")</f>
        <v>Pariyes sawasklin</v>
      </c>
      <c r="AD742" t="str">
        <f>IFERROR(__xludf.DUMMYFUNCTION("""COMPUTED_VALUE"""),"konkamons@airasia.com")</f>
        <v>konkamons@airasia.com</v>
      </c>
    </row>
    <row r="743">
      <c r="A743" s="142">
        <f>IFERROR(__xludf.DUMMYFUNCTION("""COMPUTED_VALUE"""),83.0)</f>
        <v>83</v>
      </c>
      <c r="B743" t="str">
        <f>IFERROR(__xludf.DUMMYFUNCTION("""COMPUTED_VALUE"""),"TAA4448")</f>
        <v>TAA4448</v>
      </c>
      <c r="C743">
        <f>IFERROR(__xludf.DUMMYFUNCTION("""COMPUTED_VALUE"""),1006846.0)</f>
        <v>1006846</v>
      </c>
      <c r="D743" t="str">
        <f>IFERROR(__xludf.DUMMYFUNCTION("""COMPUTED_VALUE"""),"Ms.")</f>
        <v>Ms.</v>
      </c>
      <c r="E743" t="str">
        <f>IFERROR(__xludf.DUMMYFUNCTION("""COMPUTED_VALUE"""),"Sasikarn")</f>
        <v>Sasikarn</v>
      </c>
      <c r="F743" t="str">
        <f>IFERROR(__xludf.DUMMYFUNCTION("""COMPUTED_VALUE"""),"Khampan")</f>
        <v>Khampan</v>
      </c>
      <c r="G743" t="str">
        <f>IFERROR(__xludf.DUMMYFUNCTION("""COMPUTED_VALUE"""),"Sasikarn Khampan")</f>
        <v>Sasikarn Khampan</v>
      </c>
      <c r="H743" t="str">
        <f>IFERROR(__xludf.DUMMYFUNCTION("""COMPUTED_VALUE"""),"นางสาว")</f>
        <v>นางสาว</v>
      </c>
      <c r="I743" t="str">
        <f>IFERROR(__xludf.DUMMYFUNCTION("""COMPUTED_VALUE"""),"ศศิกานต์")</f>
        <v>ศศิกานต์</v>
      </c>
      <c r="J743" t="str">
        <f>IFERROR(__xludf.DUMMYFUNCTION("""COMPUTED_VALUE"""),"คำพรรณ์")</f>
        <v>คำพรรณ์</v>
      </c>
      <c r="K743" t="str">
        <f>IFERROR(__xludf.DUMMYFUNCTION("""COMPUTED_VALUE"""),"ศศิกานต์ คำพรรณ์")</f>
        <v>ศศิกานต์ คำพรรณ์</v>
      </c>
      <c r="L743" t="str">
        <f>IFERROR(__xludf.DUMMYFUNCTION("""COMPUTED_VALUE"""),"Nack / แน็ค")</f>
        <v>Nack / แน็ค</v>
      </c>
      <c r="M743" t="str">
        <f>IFERROR(__xludf.DUMMYFUNCTION("""COMPUTED_VALUE"""),"Cabin Crew")</f>
        <v>Cabin Crew</v>
      </c>
      <c r="N743" t="str">
        <f>IFERROR(__xludf.DUMMYFUNCTION("""COMPUTED_VALUE"""),"DMK")</f>
        <v>DMK</v>
      </c>
      <c r="O743" s="145" t="str">
        <f>IFERROR(__xludf.DUMMYFUNCTION("""COMPUTED_VALUE"""),"Up Home")</f>
        <v>Up Home</v>
      </c>
      <c r="P743" t="str">
        <f>IFERROR(__xludf.DUMMYFUNCTION("""COMPUTED_VALUE"""),"Active")</f>
        <v>Active</v>
      </c>
      <c r="R743" s="143">
        <f>IFERROR(__xludf.DUMMYFUNCTION("""COMPUTED_VALUE"""),33144.0)</f>
        <v>33144</v>
      </c>
      <c r="S743" s="146" t="str">
        <f>IFERROR(__xludf.DUMMYFUNCTION("""COMPUTED_VALUE"""),"083-096-4239")</f>
        <v>083-096-4239</v>
      </c>
      <c r="T743" s="147">
        <f>IFERROR(__xludf.DUMMYFUNCTION("""COMPUTED_VALUE"""),1.809900332807E12)</f>
        <v>1809900332807</v>
      </c>
      <c r="U743" t="str">
        <f>IFERROR(__xludf.DUMMYFUNCTION("""COMPUTED_VALUE"""),"AC2249610")</f>
        <v>AC2249610</v>
      </c>
      <c r="V743" s="148">
        <f>IFERROR(__xludf.DUMMYFUNCTION("""COMPUTED_VALUE"""),44305.0)</f>
        <v>44305</v>
      </c>
      <c r="W743" s="148">
        <f>IFERROR(__xludf.DUMMYFUNCTION("""COMPUTED_VALUE"""),47956.0)</f>
        <v>47956</v>
      </c>
      <c r="X743" s="149">
        <f>IFERROR(__xludf.DUMMYFUNCTION("""COMPUTED_VALUE"""),47774.0)</f>
        <v>47774</v>
      </c>
      <c r="Y743" t="str">
        <f>IFERROR(__xludf.DUMMYFUNCTION("""COMPUTED_VALUE"""),"ปลอดภัย")</f>
        <v>ปลอดภัย</v>
      </c>
      <c r="Z743" t="str">
        <f>IFERROR(__xludf.DUMMYFUNCTION("""COMPUTED_VALUE"""),"Nakhon Si Thammarat Province")</f>
        <v>Nakhon Si Thammarat Province</v>
      </c>
      <c r="AA743" t="str">
        <f>IFERROR(__xludf.DUMMYFUNCTION("""COMPUTED_VALUE"""),"Nonthaburi")</f>
        <v>Nonthaburi</v>
      </c>
      <c r="AB743" t="str">
        <f>IFERROR(__xludf.DUMMYFUNCTION("""COMPUTED_VALUE"""),"086-840-8960")</f>
        <v>086-840-8960</v>
      </c>
      <c r="AC743" t="str">
        <f>IFERROR(__xludf.DUMMYFUNCTION("""COMPUTED_VALUE"""),"Saranya Madaree (mother)")</f>
        <v>Saranya Madaree (mother)</v>
      </c>
      <c r="AD743" t="str">
        <f>IFERROR(__xludf.DUMMYFUNCTION("""COMPUTED_VALUE"""),"sasikarnk@airasia.com")</f>
        <v>sasikarnk@airasia.com</v>
      </c>
    </row>
    <row r="744">
      <c r="A744" s="142">
        <f>IFERROR(__xludf.DUMMYFUNCTION("""COMPUTED_VALUE"""),83.0)</f>
        <v>83</v>
      </c>
      <c r="B744" t="str">
        <f>IFERROR(__xludf.DUMMYFUNCTION("""COMPUTED_VALUE"""),"TAA4655")</f>
        <v>TAA4655</v>
      </c>
      <c r="C744">
        <f>IFERROR(__xludf.DUMMYFUNCTION("""COMPUTED_VALUE"""),1007308.0)</f>
        <v>1007308</v>
      </c>
      <c r="D744" t="str">
        <f>IFERROR(__xludf.DUMMYFUNCTION("""COMPUTED_VALUE"""),"Mr.")</f>
        <v>Mr.</v>
      </c>
      <c r="E744" t="str">
        <f>IFERROR(__xludf.DUMMYFUNCTION("""COMPUTED_VALUE"""),"Pichai")</f>
        <v>Pichai</v>
      </c>
      <c r="F744" t="str">
        <f>IFERROR(__xludf.DUMMYFUNCTION("""COMPUTED_VALUE"""),"Jareerattanachart")</f>
        <v>Jareerattanachart</v>
      </c>
      <c r="G744" t="str">
        <f>IFERROR(__xludf.DUMMYFUNCTION("""COMPUTED_VALUE"""),"Pichai Jareerattanachart")</f>
        <v>Pichai Jareerattanachart</v>
      </c>
      <c r="H744" t="str">
        <f>IFERROR(__xludf.DUMMYFUNCTION("""COMPUTED_VALUE"""),"นาย")</f>
        <v>นาย</v>
      </c>
      <c r="I744" t="str">
        <f>IFERROR(__xludf.DUMMYFUNCTION("""COMPUTED_VALUE"""),"พิชัย")</f>
        <v>พิชัย</v>
      </c>
      <c r="J744" t="str">
        <f>IFERROR(__xludf.DUMMYFUNCTION("""COMPUTED_VALUE"""),"จรีรัตนชาติ")</f>
        <v>จรีรัตนชาติ</v>
      </c>
      <c r="K744" t="str">
        <f>IFERROR(__xludf.DUMMYFUNCTION("""COMPUTED_VALUE"""),"พิชัย จรีรัตนชาติ")</f>
        <v>พิชัย จรีรัตนชาติ</v>
      </c>
      <c r="L744" t="str">
        <f>IFERROR(__xludf.DUMMYFUNCTION("""COMPUTED_VALUE"""),"Beer / เบียร์")</f>
        <v>Beer / เบียร์</v>
      </c>
      <c r="M744" t="str">
        <f>IFERROR(__xludf.DUMMYFUNCTION("""COMPUTED_VALUE"""),"Senior Cabin Crew")</f>
        <v>Senior Cabin Crew</v>
      </c>
      <c r="N744" t="str">
        <f>IFERROR(__xludf.DUMMYFUNCTION("""COMPUTED_VALUE"""),"DMK")</f>
        <v>DMK</v>
      </c>
      <c r="O744" s="145" t="str">
        <f>IFERROR(__xludf.DUMMYFUNCTION("""COMPUTED_VALUE"""),"Por+ Home")</f>
        <v>Por+ Home</v>
      </c>
      <c r="P744" t="str">
        <f>IFERROR(__xludf.DUMMYFUNCTION("""COMPUTED_VALUE"""),"Active")</f>
        <v>Active</v>
      </c>
      <c r="R744" s="143">
        <f>IFERROR(__xludf.DUMMYFUNCTION("""COMPUTED_VALUE"""),33506.0)</f>
        <v>33506</v>
      </c>
      <c r="S744" s="146" t="str">
        <f>IFERROR(__xludf.DUMMYFUNCTION("""COMPUTED_VALUE"""),"095-936-4685")</f>
        <v>095-936-4685</v>
      </c>
      <c r="T744" s="147">
        <f>IFERROR(__xludf.DUMMYFUNCTION("""COMPUTED_VALUE"""),1.129900128343E12)</f>
        <v>1129900128343</v>
      </c>
      <c r="U744" t="str">
        <f>IFERROR(__xludf.DUMMYFUNCTION("""COMPUTED_VALUE"""),"AC2775182")</f>
        <v>AC2775182</v>
      </c>
      <c r="V744" s="148">
        <f>IFERROR(__xludf.DUMMYFUNCTION("""COMPUTED_VALUE"""),44501.0)</f>
        <v>44501</v>
      </c>
      <c r="W744" s="148">
        <f>IFERROR(__xludf.DUMMYFUNCTION("""COMPUTED_VALUE"""),48152.0)</f>
        <v>48152</v>
      </c>
      <c r="X744" s="149">
        <f>IFERROR(__xludf.DUMMYFUNCTION("""COMPUTED_VALUE"""),47968.0)</f>
        <v>47968</v>
      </c>
      <c r="Y744" t="str">
        <f>IFERROR(__xludf.DUMMYFUNCTION("""COMPUTED_VALUE"""),"ปลอดภัย")</f>
        <v>ปลอดภัย</v>
      </c>
      <c r="Z744" t="str">
        <f>IFERROR(__xludf.DUMMYFUNCTION("""COMPUTED_VALUE"""),"Nonthaburi Province")</f>
        <v>Nonthaburi Province</v>
      </c>
      <c r="AA744" t="str">
        <f>IFERROR(__xludf.DUMMYFUNCTION("""COMPUTED_VALUE"""),"Pakkred")</f>
        <v>Pakkred</v>
      </c>
      <c r="AB744" t="str">
        <f>IFERROR(__xludf.DUMMYFUNCTION("""COMPUTED_VALUE"""),"082-482-9298")</f>
        <v>082-482-9298</v>
      </c>
      <c r="AC744" t="str">
        <f>IFERROR(__xludf.DUMMYFUNCTION("""COMPUTED_VALUE"""),"Arunwan Jareerattanachart (Mother)")</f>
        <v>Arunwan Jareerattanachart (Mother)</v>
      </c>
      <c r="AD744" t="str">
        <f>IFERROR(__xludf.DUMMYFUNCTION("""COMPUTED_VALUE"""),"pichaij@airasia.com")</f>
        <v>pichaij@airasia.com</v>
      </c>
    </row>
    <row r="745">
      <c r="A745" s="142">
        <f>IFERROR(__xludf.DUMMYFUNCTION("""COMPUTED_VALUE"""),83.0)</f>
        <v>83</v>
      </c>
      <c r="B745" t="str">
        <f>IFERROR(__xludf.DUMMYFUNCTION("""COMPUTED_VALUE"""),"TAA4787")</f>
        <v>TAA4787</v>
      </c>
      <c r="C745">
        <f>IFERROR(__xludf.DUMMYFUNCTION("""COMPUTED_VALUE"""),1007641.0)</f>
        <v>1007641</v>
      </c>
      <c r="D745" t="str">
        <f>IFERROR(__xludf.DUMMYFUNCTION("""COMPUTED_VALUE"""),"Ms.")</f>
        <v>Ms.</v>
      </c>
      <c r="E745" t="str">
        <f>IFERROR(__xludf.DUMMYFUNCTION("""COMPUTED_VALUE"""),"Chontisa")</f>
        <v>Chontisa</v>
      </c>
      <c r="F745" t="str">
        <f>IFERROR(__xludf.DUMMYFUNCTION("""COMPUTED_VALUE"""),"Supasri")</f>
        <v>Supasri</v>
      </c>
      <c r="G745" t="str">
        <f>IFERROR(__xludf.DUMMYFUNCTION("""COMPUTED_VALUE"""),"Chontisa Supasri")</f>
        <v>Chontisa Supasri</v>
      </c>
      <c r="H745" t="str">
        <f>IFERROR(__xludf.DUMMYFUNCTION("""COMPUTED_VALUE"""),"นางสาว")</f>
        <v>นางสาว</v>
      </c>
      <c r="I745" t="str">
        <f>IFERROR(__xludf.DUMMYFUNCTION("""COMPUTED_VALUE"""),"ชลธิสา")</f>
        <v>ชลธิสา</v>
      </c>
      <c r="J745" t="str">
        <f>IFERROR(__xludf.DUMMYFUNCTION("""COMPUTED_VALUE"""),"สุภาศรี")</f>
        <v>สุภาศรี</v>
      </c>
      <c r="K745" t="str">
        <f>IFERROR(__xludf.DUMMYFUNCTION("""COMPUTED_VALUE"""),"ชลธิสา สุภาศรี")</f>
        <v>ชลธิสา สุภาศรี</v>
      </c>
      <c r="L745" t="str">
        <f>IFERROR(__xludf.DUMMYFUNCTION("""COMPUTED_VALUE"""),"Naum / น้ำ")</f>
        <v>Naum / น้ำ</v>
      </c>
      <c r="M745" t="str">
        <f>IFERROR(__xludf.DUMMYFUNCTION("""COMPUTED_VALUE"""),"Cabin Crew - CNX")</f>
        <v>Cabin Crew - CNX</v>
      </c>
      <c r="N745" t="str">
        <f>IFERROR(__xludf.DUMMYFUNCTION("""COMPUTED_VALUE"""),"CNX")</f>
        <v>CNX</v>
      </c>
      <c r="O745" s="145" t="str">
        <f>IFERROR(__xludf.DUMMYFUNCTION("""COMPUTED_VALUE"""),"Up Home")</f>
        <v>Up Home</v>
      </c>
      <c r="P745" t="str">
        <f>IFERROR(__xludf.DUMMYFUNCTION("""COMPUTED_VALUE"""),"Active")</f>
        <v>Active</v>
      </c>
      <c r="R745" s="143">
        <f>IFERROR(__xludf.DUMMYFUNCTION("""COMPUTED_VALUE"""),32370.0)</f>
        <v>32370</v>
      </c>
      <c r="S745" s="146" t="str">
        <f>IFERROR(__xludf.DUMMYFUNCTION("""COMPUTED_VALUE"""),"080-033-5587")</f>
        <v>080-033-5587</v>
      </c>
      <c r="T745" s="147">
        <f>IFERROR(__xludf.DUMMYFUNCTION("""COMPUTED_VALUE"""),1.509900637317E12)</f>
        <v>1509900637317</v>
      </c>
      <c r="U745" t="str">
        <f>IFERROR(__xludf.DUMMYFUNCTION("""COMPUTED_VALUE"""),"AC4476214")</f>
        <v>AC4476214</v>
      </c>
      <c r="V745" s="148">
        <f>IFERROR(__xludf.DUMMYFUNCTION("""COMPUTED_VALUE"""),44967.0)</f>
        <v>44967</v>
      </c>
      <c r="W745" s="148">
        <f>IFERROR(__xludf.DUMMYFUNCTION("""COMPUTED_VALUE"""),48619.0)</f>
        <v>48619</v>
      </c>
      <c r="X745" s="149">
        <f>IFERROR(__xludf.DUMMYFUNCTION("""COMPUTED_VALUE"""),48435.0)</f>
        <v>48435</v>
      </c>
      <c r="Y745" t="str">
        <f>IFERROR(__xludf.DUMMYFUNCTION("""COMPUTED_VALUE"""),"ปลอดภัย")</f>
        <v>ปลอดภัย</v>
      </c>
      <c r="Z745" t="str">
        <f>IFERROR(__xludf.DUMMYFUNCTION("""COMPUTED_VALUE"""),"Chiang Mai Province")</f>
        <v>Chiang Mai Province</v>
      </c>
      <c r="AA745" t="str">
        <f>IFERROR(__xludf.DUMMYFUNCTION("""COMPUTED_VALUE"""),"Jatujak")</f>
        <v>Jatujak</v>
      </c>
      <c r="AB745" t="str">
        <f>IFERROR(__xludf.DUMMYFUNCTION("""COMPUTED_VALUE"""),"090-668-8855")</f>
        <v>090-668-8855</v>
      </c>
      <c r="AC745" t="str">
        <f>IFERROR(__xludf.DUMMYFUNCTION("""COMPUTED_VALUE"""),"Nutthapon Ekachant")</f>
        <v>Nutthapon Ekachant</v>
      </c>
      <c r="AD745" t="str">
        <f>IFERROR(__xludf.DUMMYFUNCTION("""COMPUTED_VALUE"""),"chontisas@airasia.com")</f>
        <v>chontisas@airasia.com</v>
      </c>
    </row>
    <row r="746">
      <c r="A746" s="142">
        <f>IFERROR(__xludf.DUMMYFUNCTION("""COMPUTED_VALUE"""),83.0)</f>
        <v>83</v>
      </c>
      <c r="B746" t="str">
        <f>IFERROR(__xludf.DUMMYFUNCTION("""COMPUTED_VALUE"""),"TAA4785")</f>
        <v>TAA4785</v>
      </c>
      <c r="C746">
        <f>IFERROR(__xludf.DUMMYFUNCTION("""COMPUTED_VALUE"""),1007646.0)</f>
        <v>1007646</v>
      </c>
      <c r="D746" t="str">
        <f>IFERROR(__xludf.DUMMYFUNCTION("""COMPUTED_VALUE"""),"Ms.")</f>
        <v>Ms.</v>
      </c>
      <c r="E746" t="str">
        <f>IFERROR(__xludf.DUMMYFUNCTION("""COMPUTED_VALUE"""),"Lalita")</f>
        <v>Lalita</v>
      </c>
      <c r="F746" t="str">
        <f>IFERROR(__xludf.DUMMYFUNCTION("""COMPUTED_VALUE"""),"Sakolcholchawalit")</f>
        <v>Sakolcholchawalit</v>
      </c>
      <c r="G746" t="str">
        <f>IFERROR(__xludf.DUMMYFUNCTION("""COMPUTED_VALUE"""),"Lalita Sakolcholchawalit")</f>
        <v>Lalita Sakolcholchawalit</v>
      </c>
      <c r="H746" t="str">
        <f>IFERROR(__xludf.DUMMYFUNCTION("""COMPUTED_VALUE"""),"นางสาว")</f>
        <v>นางสาว</v>
      </c>
      <c r="I746" t="str">
        <f>IFERROR(__xludf.DUMMYFUNCTION("""COMPUTED_VALUE"""),"ลลิตา")</f>
        <v>ลลิตา</v>
      </c>
      <c r="J746" t="str">
        <f>IFERROR(__xludf.DUMMYFUNCTION("""COMPUTED_VALUE"""),"สกลชลชวลิต")</f>
        <v>สกลชลชวลิต</v>
      </c>
      <c r="K746" t="str">
        <f>IFERROR(__xludf.DUMMYFUNCTION("""COMPUTED_VALUE"""),"ลลิตา สกลชลชวลิต")</f>
        <v>ลลิตา สกลชลชวลิต</v>
      </c>
      <c r="L746" t="str">
        <f>IFERROR(__xludf.DUMMYFUNCTION("""COMPUTED_VALUE"""),"โจลี่")</f>
        <v>โจลี่</v>
      </c>
      <c r="M746" t="str">
        <f>IFERROR(__xludf.DUMMYFUNCTION("""COMPUTED_VALUE"""),"Cabin Crew")</f>
        <v>Cabin Crew</v>
      </c>
      <c r="N746" t="str">
        <f>IFERROR(__xludf.DUMMYFUNCTION("""COMPUTED_VALUE"""),"DMK")</f>
        <v>DMK</v>
      </c>
      <c r="O746" s="145" t="str">
        <f>IFERROR(__xludf.DUMMYFUNCTION("""COMPUTED_VALUE"""),"Namfon Home")</f>
        <v>Namfon Home</v>
      </c>
      <c r="P746" t="str">
        <f>IFERROR(__xludf.DUMMYFUNCTION("""COMPUTED_VALUE"""),"Active")</f>
        <v>Active</v>
      </c>
      <c r="R746" s="143">
        <f>IFERROR(__xludf.DUMMYFUNCTION("""COMPUTED_VALUE"""),32267.0)</f>
        <v>32267</v>
      </c>
      <c r="S746" s="146" t="str">
        <f>IFERROR(__xludf.DUMMYFUNCTION("""COMPUTED_VALUE"""),"094-264-9964 ")</f>
        <v>094-264-9964 </v>
      </c>
      <c r="T746" s="147">
        <f>IFERROR(__xludf.DUMMYFUNCTION("""COMPUTED_VALUE"""),1.269900078141E12)</f>
        <v>1269900078141</v>
      </c>
      <c r="U746" t="str">
        <f>IFERROR(__xludf.DUMMYFUNCTION("""COMPUTED_VALUE"""),"AD1206503")</f>
        <v>AD1206503</v>
      </c>
      <c r="V746" s="148">
        <f>IFERROR(__xludf.DUMMYFUNCTION("""COMPUTED_VALUE"""),45327.0)</f>
        <v>45327</v>
      </c>
      <c r="W746" s="148">
        <f>IFERROR(__xludf.DUMMYFUNCTION("""COMPUTED_VALUE"""),48979.0)</f>
        <v>48979</v>
      </c>
      <c r="X746" s="149">
        <f>IFERROR(__xludf.DUMMYFUNCTION("""COMPUTED_VALUE"""),48795.0)</f>
        <v>48795</v>
      </c>
      <c r="Y746" t="str">
        <f>IFERROR(__xludf.DUMMYFUNCTION("""COMPUTED_VALUE"""),"ปลอดภัย")</f>
        <v>ปลอดภัย</v>
      </c>
      <c r="Z746" t="str">
        <f>IFERROR(__xludf.DUMMYFUNCTION("""COMPUTED_VALUE"""),"Nakhon Nayok Province")</f>
        <v>Nakhon Nayok Province</v>
      </c>
      <c r="AA746" t="str">
        <f>IFERROR(__xludf.DUMMYFUNCTION("""COMPUTED_VALUE"""),"Bangkhen")</f>
        <v>Bangkhen</v>
      </c>
      <c r="AB746" t="str">
        <f>IFERROR(__xludf.DUMMYFUNCTION("""COMPUTED_VALUE"""),"086-0438965")</f>
        <v>086-0438965</v>
      </c>
      <c r="AC746" t="str">
        <f>IFERROR(__xludf.DUMMYFUNCTION("""COMPUTED_VALUE"""),"Wiroj Sakolcholchawalit (mother)")</f>
        <v>Wiroj Sakolcholchawalit (mother)</v>
      </c>
      <c r="AD746" t="str">
        <f>IFERROR(__xludf.DUMMYFUNCTION("""COMPUTED_VALUE"""),"lalitas@airasia.com")</f>
        <v>lalitas@airasia.com</v>
      </c>
    </row>
    <row r="747">
      <c r="A747" s="142">
        <f>IFERROR(__xludf.DUMMYFUNCTION("""COMPUTED_VALUE"""),83.0)</f>
        <v>83</v>
      </c>
      <c r="B747" t="str">
        <f>IFERROR(__xludf.DUMMYFUNCTION("""COMPUTED_VALUE"""),"TAA7291")</f>
        <v>TAA7291</v>
      </c>
      <c r="C747">
        <f>IFERROR(__xludf.DUMMYFUNCTION("""COMPUTED_VALUE"""),1016176.0)</f>
        <v>1016176</v>
      </c>
      <c r="D747" t="str">
        <f>IFERROR(__xludf.DUMMYFUNCTION("""COMPUTED_VALUE"""),"Ms.")</f>
        <v>Ms.</v>
      </c>
      <c r="E747" t="str">
        <f>IFERROR(__xludf.DUMMYFUNCTION("""COMPUTED_VALUE"""),"Boontarika")</f>
        <v>Boontarika</v>
      </c>
      <c r="F747" t="str">
        <f>IFERROR(__xludf.DUMMYFUNCTION("""COMPUTED_VALUE"""),"Charoenpong")</f>
        <v>Charoenpong</v>
      </c>
      <c r="G747" t="str">
        <f>IFERROR(__xludf.DUMMYFUNCTION("""COMPUTED_VALUE"""),"Boontarika Charoenpong")</f>
        <v>Boontarika Charoenpong</v>
      </c>
      <c r="H747" t="str">
        <f>IFERROR(__xludf.DUMMYFUNCTION("""COMPUTED_VALUE"""),"นางสาว")</f>
        <v>นางสาว</v>
      </c>
      <c r="I747" t="str">
        <f>IFERROR(__xludf.DUMMYFUNCTION("""COMPUTED_VALUE"""),"บุณฑริกา")</f>
        <v>บุณฑริกา</v>
      </c>
      <c r="J747" t="str">
        <f>IFERROR(__xludf.DUMMYFUNCTION("""COMPUTED_VALUE"""),"เจริญพงศ์")</f>
        <v>เจริญพงศ์</v>
      </c>
      <c r="K747" t="str">
        <f>IFERROR(__xludf.DUMMYFUNCTION("""COMPUTED_VALUE"""),"บุณฑริกา เจริญพงศ์")</f>
        <v>บุณฑริกา เจริญพงศ์</v>
      </c>
      <c r="L747" t="str">
        <f>IFERROR(__xludf.DUMMYFUNCTION("""COMPUTED_VALUE"""),"Por /ปอ")</f>
        <v>Por /ปอ</v>
      </c>
      <c r="M747" t="str">
        <f>IFERROR(__xludf.DUMMYFUNCTION("""COMPUTED_VALUE"""),"Cabin Crew")</f>
        <v>Cabin Crew</v>
      </c>
      <c r="N747" t="str">
        <f>IFERROR(__xludf.DUMMYFUNCTION("""COMPUTED_VALUE"""),"DMK")</f>
        <v>DMK</v>
      </c>
      <c r="O747" s="145" t="str">
        <f>IFERROR(__xludf.DUMMYFUNCTION("""COMPUTED_VALUE"""),"Um Home")</f>
        <v>Um Home</v>
      </c>
      <c r="P747" t="str">
        <f>IFERROR(__xludf.DUMMYFUNCTION("""COMPUTED_VALUE"""),"Active")</f>
        <v>Active</v>
      </c>
      <c r="R747" s="143">
        <f>IFERROR(__xludf.DUMMYFUNCTION("""COMPUTED_VALUE"""),32170.0)</f>
        <v>32170</v>
      </c>
      <c r="S747" s="146" t="str">
        <f>IFERROR(__xludf.DUMMYFUNCTION("""COMPUTED_VALUE"""),"081-498-4774")</f>
        <v>081-498-4774</v>
      </c>
      <c r="T747" s="147" t="str">
        <f>IFERROR(__xludf.DUMMYFUNCTION("""COMPUTED_VALUE"""),"1101401-23-7140")</f>
        <v>1101401-23-7140</v>
      </c>
      <c r="U747" t="str">
        <f>IFERROR(__xludf.DUMMYFUNCTION("""COMPUTED_VALUE"""),"AC2225003")</f>
        <v>AC2225003</v>
      </c>
      <c r="V747" s="148">
        <f>IFERROR(__xludf.DUMMYFUNCTION("""COMPUTED_VALUE"""),44274.0)</f>
        <v>44274</v>
      </c>
      <c r="W747" s="148">
        <f>IFERROR(__xludf.DUMMYFUNCTION("""COMPUTED_VALUE"""),47925.0)</f>
        <v>47925</v>
      </c>
      <c r="X747" s="149">
        <f>IFERROR(__xludf.DUMMYFUNCTION("""COMPUTED_VALUE"""),47744.0)</f>
        <v>47744</v>
      </c>
      <c r="Y747" t="str">
        <f>IFERROR(__xludf.DUMMYFUNCTION("""COMPUTED_VALUE"""),"ปลอดภัย")</f>
        <v>ปลอดภัย</v>
      </c>
      <c r="Z747" t="str">
        <f>IFERROR(__xludf.DUMMYFUNCTION("""COMPUTED_VALUE"""),"Bangkok")</f>
        <v>Bangkok</v>
      </c>
      <c r="AA747" t="str">
        <f>IFERROR(__xludf.DUMMYFUNCTION("""COMPUTED_VALUE"""),"Buenggum")</f>
        <v>Buenggum</v>
      </c>
      <c r="AB747" t="str">
        <f>IFERROR(__xludf.DUMMYFUNCTION("""COMPUTED_VALUE"""),"081-835-6459")</f>
        <v>081-835-6459</v>
      </c>
      <c r="AC747" t="str">
        <f>IFERROR(__xludf.DUMMYFUNCTION("""COMPUTED_VALUE"""),"Udom Charoenpong (father)")</f>
        <v>Udom Charoenpong (father)</v>
      </c>
      <c r="AD747" t="str">
        <f>IFERROR(__xludf.DUMMYFUNCTION("""COMPUTED_VALUE"""),"boontarikac@airasia.com")</f>
        <v>boontarikac@airasia.com</v>
      </c>
    </row>
    <row r="748">
      <c r="A748" s="142">
        <f>IFERROR(__xludf.DUMMYFUNCTION("""COMPUTED_VALUE"""),83.0)</f>
        <v>83</v>
      </c>
      <c r="B748" t="str">
        <f>IFERROR(__xludf.DUMMYFUNCTION("""COMPUTED_VALUE"""),"TAA7286")</f>
        <v>TAA7286</v>
      </c>
      <c r="C748">
        <f>IFERROR(__xludf.DUMMYFUNCTION("""COMPUTED_VALUE"""),1016195.0)</f>
        <v>1016195</v>
      </c>
      <c r="D748" t="str">
        <f>IFERROR(__xludf.DUMMYFUNCTION("""COMPUTED_VALUE"""),"Ms.")</f>
        <v>Ms.</v>
      </c>
      <c r="E748" t="str">
        <f>IFERROR(__xludf.DUMMYFUNCTION("""COMPUTED_VALUE"""),"Keerati")</f>
        <v>Keerati</v>
      </c>
      <c r="F748" t="str">
        <f>IFERROR(__xludf.DUMMYFUNCTION("""COMPUTED_VALUE"""),"Sooksai")</f>
        <v>Sooksai</v>
      </c>
      <c r="G748" t="str">
        <f>IFERROR(__xludf.DUMMYFUNCTION("""COMPUTED_VALUE"""),"Keerati Sooksai")</f>
        <v>Keerati Sooksai</v>
      </c>
      <c r="H748" t="str">
        <f>IFERROR(__xludf.DUMMYFUNCTION("""COMPUTED_VALUE"""),"นางสาว")</f>
        <v>นางสาว</v>
      </c>
      <c r="I748" t="str">
        <f>IFERROR(__xludf.DUMMYFUNCTION("""COMPUTED_VALUE"""),"กีรติ")</f>
        <v>กีรติ</v>
      </c>
      <c r="J748" t="str">
        <f>IFERROR(__xludf.DUMMYFUNCTION("""COMPUTED_VALUE"""),"สุกใส")</f>
        <v>สุกใส</v>
      </c>
      <c r="K748" t="str">
        <f>IFERROR(__xludf.DUMMYFUNCTION("""COMPUTED_VALUE"""),"กีรติ สุกใส")</f>
        <v>กีรติ สุกใส</v>
      </c>
      <c r="L748" t="str">
        <f>IFERROR(__xludf.DUMMYFUNCTION("""COMPUTED_VALUE"""),"Tong /ต้อง")</f>
        <v>Tong /ต้อง</v>
      </c>
      <c r="M748" t="str">
        <f>IFERROR(__xludf.DUMMYFUNCTION("""COMPUTED_VALUE"""),"Cabin Crew")</f>
        <v>Cabin Crew</v>
      </c>
      <c r="N748" t="str">
        <f>IFERROR(__xludf.DUMMYFUNCTION("""COMPUTED_VALUE"""),"DMK")</f>
        <v>DMK</v>
      </c>
      <c r="O748" s="145" t="str">
        <f>IFERROR(__xludf.DUMMYFUNCTION("""COMPUTED_VALUE"""),"Namfon Home")</f>
        <v>Namfon Home</v>
      </c>
      <c r="P748" t="str">
        <f>IFERROR(__xludf.DUMMYFUNCTION("""COMPUTED_VALUE"""),"V/LWP")</f>
        <v>V/LWP</v>
      </c>
      <c r="R748" s="143">
        <f>IFERROR(__xludf.DUMMYFUNCTION("""COMPUTED_VALUE"""),33194.0)</f>
        <v>33194</v>
      </c>
      <c r="S748" s="146" t="str">
        <f>IFERROR(__xludf.DUMMYFUNCTION("""COMPUTED_VALUE"""),"084-8032410")</f>
        <v>084-8032410</v>
      </c>
      <c r="T748" s="147" t="str">
        <f>IFERROR(__xludf.DUMMYFUNCTION("""COMPUTED_VALUE"""),"1549900-23-6096")</f>
        <v>1549900-23-6096</v>
      </c>
      <c r="U748" t="str">
        <f>IFERROR(__xludf.DUMMYFUNCTION("""COMPUTED_VALUE"""),"AC6008805")</f>
        <v>AC6008805</v>
      </c>
      <c r="V748" s="148">
        <f>IFERROR(__xludf.DUMMYFUNCTION("""COMPUTED_VALUE"""),45229.0)</f>
        <v>45229</v>
      </c>
      <c r="W748" s="148">
        <f>IFERROR(__xludf.DUMMYFUNCTION("""COMPUTED_VALUE"""),48881.0)</f>
        <v>48881</v>
      </c>
      <c r="X748" s="149">
        <f>IFERROR(__xludf.DUMMYFUNCTION("""COMPUTED_VALUE"""),48698.0)</f>
        <v>48698</v>
      </c>
      <c r="Y748" t="str">
        <f>IFERROR(__xludf.DUMMYFUNCTION("""COMPUTED_VALUE"""),"ปลอดภัย")</f>
        <v>ปลอดภัย</v>
      </c>
      <c r="Z748" t="str">
        <f>IFERROR(__xludf.DUMMYFUNCTION("""COMPUTED_VALUE"""),"Phrae Province")</f>
        <v>Phrae Province</v>
      </c>
      <c r="AA748" t="str">
        <f>IFERROR(__xludf.DUMMYFUNCTION("""COMPUTED_VALUE"""),"Phrae")</f>
        <v>Phrae</v>
      </c>
      <c r="AB748" t="str">
        <f>IFERROR(__xludf.DUMMYFUNCTION("""COMPUTED_VALUE"""),"093-1389586")</f>
        <v>093-1389586</v>
      </c>
      <c r="AC748" t="str">
        <f>IFERROR(__xludf.DUMMYFUNCTION("""COMPUTED_VALUE"""),"Sooktiwan Chumjai(mother)")</f>
        <v>Sooktiwan Chumjai(mother)</v>
      </c>
      <c r="AD748" t="str">
        <f>IFERROR(__xludf.DUMMYFUNCTION("""COMPUTED_VALUE"""),"keeratii@airasia.com")</f>
        <v>keeratii@airasia.com</v>
      </c>
    </row>
    <row r="749">
      <c r="A749" s="142">
        <f>IFERROR(__xludf.DUMMYFUNCTION("""COMPUTED_VALUE"""),83.0)</f>
        <v>83</v>
      </c>
      <c r="B749" t="str">
        <f>IFERROR(__xludf.DUMMYFUNCTION("""COMPUTED_VALUE"""),"TAA7284")</f>
        <v>TAA7284</v>
      </c>
      <c r="C749">
        <f>IFERROR(__xludf.DUMMYFUNCTION("""COMPUTED_VALUE"""),1016197.0)</f>
        <v>1016197</v>
      </c>
      <c r="D749" t="str">
        <f>IFERROR(__xludf.DUMMYFUNCTION("""COMPUTED_VALUE"""),"Ms.")</f>
        <v>Ms.</v>
      </c>
      <c r="E749" t="str">
        <f>IFERROR(__xludf.DUMMYFUNCTION("""COMPUTED_VALUE"""),"Kornchanok")</f>
        <v>Kornchanok</v>
      </c>
      <c r="F749" t="str">
        <f>IFERROR(__xludf.DUMMYFUNCTION("""COMPUTED_VALUE"""),"Ruamsanit")</f>
        <v>Ruamsanit</v>
      </c>
      <c r="G749" t="str">
        <f>IFERROR(__xludf.DUMMYFUNCTION("""COMPUTED_VALUE"""),"Kornchanok Ruamsanit")</f>
        <v>Kornchanok Ruamsanit</v>
      </c>
      <c r="H749" t="str">
        <f>IFERROR(__xludf.DUMMYFUNCTION("""COMPUTED_VALUE"""),"นางสาว")</f>
        <v>นางสาว</v>
      </c>
      <c r="I749" t="str">
        <f>IFERROR(__xludf.DUMMYFUNCTION("""COMPUTED_VALUE"""),"กรชนก")</f>
        <v>กรชนก</v>
      </c>
      <c r="J749" t="str">
        <f>IFERROR(__xludf.DUMMYFUNCTION("""COMPUTED_VALUE"""),"ร่วมสนิท")</f>
        <v>ร่วมสนิท</v>
      </c>
      <c r="K749" t="str">
        <f>IFERROR(__xludf.DUMMYFUNCTION("""COMPUTED_VALUE"""),"กรชนก ร่วมสนิท")</f>
        <v>กรชนก ร่วมสนิท</v>
      </c>
      <c r="L749" t="str">
        <f>IFERROR(__xludf.DUMMYFUNCTION("""COMPUTED_VALUE"""),"Pang / แป้ง")</f>
        <v>Pang / แป้ง</v>
      </c>
      <c r="M749" t="str">
        <f>IFERROR(__xludf.DUMMYFUNCTION("""COMPUTED_VALUE"""),"Cabin Crew")</f>
        <v>Cabin Crew</v>
      </c>
      <c r="N749" t="str">
        <f>IFERROR(__xludf.DUMMYFUNCTION("""COMPUTED_VALUE"""),"DMK")</f>
        <v>DMK</v>
      </c>
      <c r="O749" s="145" t="str">
        <f>IFERROR(__xludf.DUMMYFUNCTION("""COMPUTED_VALUE"""),"Kor Home")</f>
        <v>Kor Home</v>
      </c>
      <c r="P749" t="str">
        <f>IFERROR(__xludf.DUMMYFUNCTION("""COMPUTED_VALUE"""),"Active")</f>
        <v>Active</v>
      </c>
      <c r="R749" s="143">
        <f>IFERROR(__xludf.DUMMYFUNCTION("""COMPUTED_VALUE"""),32160.0)</f>
        <v>32160</v>
      </c>
      <c r="S749" s="146" t="str">
        <f>IFERROR(__xludf.DUMMYFUNCTION("""COMPUTED_VALUE"""),"089-045-1964")</f>
        <v>089-045-1964</v>
      </c>
      <c r="T749" s="147" t="str">
        <f>IFERROR(__xludf.DUMMYFUNCTION("""COMPUTED_VALUE"""),"1102000-90-7854")</f>
        <v>1102000-90-7854</v>
      </c>
      <c r="U749" t="str">
        <f>IFERROR(__xludf.DUMMYFUNCTION("""COMPUTED_VALUE"""),"AC2359705")</f>
        <v>AC2359705</v>
      </c>
      <c r="V749" s="148">
        <f>IFERROR(__xludf.DUMMYFUNCTION("""COMPUTED_VALUE"""),44271.0)</f>
        <v>44271</v>
      </c>
      <c r="W749" s="148">
        <f>IFERROR(__xludf.DUMMYFUNCTION("""COMPUTED_VALUE"""),47922.0)</f>
        <v>47922</v>
      </c>
      <c r="X749" s="149">
        <f>IFERROR(__xludf.DUMMYFUNCTION("""COMPUTED_VALUE"""),47741.0)</f>
        <v>47741</v>
      </c>
      <c r="Y749" t="str">
        <f>IFERROR(__xludf.DUMMYFUNCTION("""COMPUTED_VALUE"""),"ปลอดภัย")</f>
        <v>ปลอดภัย</v>
      </c>
      <c r="Z749" t="str">
        <f>IFERROR(__xludf.DUMMYFUNCTION("""COMPUTED_VALUE"""),"Bangkok")</f>
        <v>Bangkok</v>
      </c>
      <c r="AA749" t="str">
        <f>IFERROR(__xludf.DUMMYFUNCTION("""COMPUTED_VALUE"""),"Bangkhuntien")</f>
        <v>Bangkhuntien</v>
      </c>
      <c r="AB749" t="str">
        <f>IFERROR(__xludf.DUMMYFUNCTION("""COMPUTED_VALUE"""),"091-739-4211")</f>
        <v>091-739-4211</v>
      </c>
      <c r="AC749" t="str">
        <f>IFERROR(__xludf.DUMMYFUNCTION("""COMPUTED_VALUE"""),"Weerapong Sarasilp")</f>
        <v>Weerapong Sarasilp</v>
      </c>
      <c r="AD749" t="str">
        <f>IFERROR(__xludf.DUMMYFUNCTION("""COMPUTED_VALUE"""),"kornchanokr@airasia.com")</f>
        <v>kornchanokr@airasia.com</v>
      </c>
    </row>
    <row r="750">
      <c r="A750" s="142">
        <f>IFERROR(__xludf.DUMMYFUNCTION("""COMPUTED_VALUE"""),83.0)</f>
        <v>83</v>
      </c>
      <c r="B750" t="str">
        <f>IFERROR(__xludf.DUMMYFUNCTION("""COMPUTED_VALUE"""),"TAA7282")</f>
        <v>TAA7282</v>
      </c>
      <c r="C750">
        <f>IFERROR(__xludf.DUMMYFUNCTION("""COMPUTED_VALUE"""),1016206.0)</f>
        <v>1016206</v>
      </c>
      <c r="D750" t="str">
        <f>IFERROR(__xludf.DUMMYFUNCTION("""COMPUTED_VALUE"""),"Ms.")</f>
        <v>Ms.</v>
      </c>
      <c r="E750" t="str">
        <f>IFERROR(__xludf.DUMMYFUNCTION("""COMPUTED_VALUE"""),"Nisara")</f>
        <v>Nisara</v>
      </c>
      <c r="F750" t="str">
        <f>IFERROR(__xludf.DUMMYFUNCTION("""COMPUTED_VALUE"""),"Aimwong")</f>
        <v>Aimwong</v>
      </c>
      <c r="G750" t="str">
        <f>IFERROR(__xludf.DUMMYFUNCTION("""COMPUTED_VALUE"""),"Nisara Aimwong")</f>
        <v>Nisara Aimwong</v>
      </c>
      <c r="H750" t="str">
        <f>IFERROR(__xludf.DUMMYFUNCTION("""COMPUTED_VALUE"""),"นางสาว")</f>
        <v>นางสาว</v>
      </c>
      <c r="I750" t="str">
        <f>IFERROR(__xludf.DUMMYFUNCTION("""COMPUTED_VALUE"""),"ณิศรา")</f>
        <v>ณิศรา</v>
      </c>
      <c r="J750" t="str">
        <f>IFERROR(__xludf.DUMMYFUNCTION("""COMPUTED_VALUE"""),"เอมวงษ์")</f>
        <v>เอมวงษ์</v>
      </c>
      <c r="K750" t="str">
        <f>IFERROR(__xludf.DUMMYFUNCTION("""COMPUTED_VALUE"""),"ณิศรา เอมวงษ์")</f>
        <v>ณิศรา เอมวงษ์</v>
      </c>
      <c r="L750" t="str">
        <f>IFERROR(__xludf.DUMMYFUNCTION("""COMPUTED_VALUE"""),"Belle/เบลล์")</f>
        <v>Belle/เบลล์</v>
      </c>
      <c r="M750" t="str">
        <f>IFERROR(__xludf.DUMMYFUNCTION("""COMPUTED_VALUE"""),"Cabin Crew - BKK")</f>
        <v>Cabin Crew - BKK</v>
      </c>
      <c r="N750" t="str">
        <f>IFERROR(__xludf.DUMMYFUNCTION("""COMPUTED_VALUE"""),"BKK")</f>
        <v>BKK</v>
      </c>
      <c r="O750" s="145" t="str">
        <f>IFERROR(__xludf.DUMMYFUNCTION("""COMPUTED_VALUE"""),"Nhui Home")</f>
        <v>Nhui Home</v>
      </c>
      <c r="P750" t="str">
        <f>IFERROR(__xludf.DUMMYFUNCTION("""COMPUTED_VALUE"""),"Active/V/DMK")</f>
        <v>Active/V/DMK</v>
      </c>
      <c r="R750" s="143">
        <f>IFERROR(__xludf.DUMMYFUNCTION("""COMPUTED_VALUE"""),33962.0)</f>
        <v>33962</v>
      </c>
      <c r="S750" s="146" t="str">
        <f>IFERROR(__xludf.DUMMYFUNCTION("""COMPUTED_VALUE"""),"093-942-4924")</f>
        <v>093-942-4924</v>
      </c>
      <c r="T750" s="147" t="str">
        <f>IFERROR(__xludf.DUMMYFUNCTION("""COMPUTED_VALUE"""),"1100500-95-8103")</f>
        <v>1100500-95-8103</v>
      </c>
      <c r="U750" t="str">
        <f>IFERROR(__xludf.DUMMYFUNCTION("""COMPUTED_VALUE"""),"AC5825641")</f>
        <v>AC5825641</v>
      </c>
      <c r="V750" s="148">
        <f>IFERROR(__xludf.DUMMYFUNCTION("""COMPUTED_VALUE"""),45192.0)</f>
        <v>45192</v>
      </c>
      <c r="W750" s="148">
        <f>IFERROR(__xludf.DUMMYFUNCTION("""COMPUTED_VALUE"""),48844.0)</f>
        <v>48844</v>
      </c>
      <c r="X750" s="149">
        <f>IFERROR(__xludf.DUMMYFUNCTION("""COMPUTED_VALUE"""),48660.0)</f>
        <v>48660</v>
      </c>
      <c r="Y750" t="str">
        <f>IFERROR(__xludf.DUMMYFUNCTION("""COMPUTED_VALUE"""),"ปลอดภัย")</f>
        <v>ปลอดภัย</v>
      </c>
      <c r="Z750" t="str">
        <f>IFERROR(__xludf.DUMMYFUNCTION("""COMPUTED_VALUE"""),"Bangkok")</f>
        <v>Bangkok</v>
      </c>
      <c r="AB750" t="str">
        <f>IFERROR(__xludf.DUMMYFUNCTION("""COMPUTED_VALUE"""),"089 154 9935")</f>
        <v>089 154 9935</v>
      </c>
      <c r="AC750" t="str">
        <f>IFERROR(__xludf.DUMMYFUNCTION("""COMPUTED_VALUE"""),"Suchanya kittisriworawat (Mother)")</f>
        <v>Suchanya kittisriworawat (Mother)</v>
      </c>
      <c r="AD750" t="str">
        <f>IFERROR(__xludf.DUMMYFUNCTION("""COMPUTED_VALUE"""),"nisaraa@airasia.com")</f>
        <v>nisaraa@airasia.com</v>
      </c>
    </row>
    <row r="751">
      <c r="A751" s="142">
        <f>IFERROR(__xludf.DUMMYFUNCTION("""COMPUTED_VALUE"""),83.0)</f>
        <v>83</v>
      </c>
      <c r="B751" t="str">
        <f>IFERROR(__xludf.DUMMYFUNCTION("""COMPUTED_VALUE"""),"TAA7288")</f>
        <v>TAA7288</v>
      </c>
      <c r="C751">
        <f>IFERROR(__xludf.DUMMYFUNCTION("""COMPUTED_VALUE"""),1016214.0)</f>
        <v>1016214</v>
      </c>
      <c r="D751" t="str">
        <f>IFERROR(__xludf.DUMMYFUNCTION("""COMPUTED_VALUE"""),"Mr.")</f>
        <v>Mr.</v>
      </c>
      <c r="E751" t="str">
        <f>IFERROR(__xludf.DUMMYFUNCTION("""COMPUTED_VALUE"""),"Passakorn")</f>
        <v>Passakorn</v>
      </c>
      <c r="F751" t="str">
        <f>IFERROR(__xludf.DUMMYFUNCTION("""COMPUTED_VALUE"""),"Porncharoon")</f>
        <v>Porncharoon</v>
      </c>
      <c r="G751" t="str">
        <f>IFERROR(__xludf.DUMMYFUNCTION("""COMPUTED_VALUE"""),"Passakorn Porncharoon")</f>
        <v>Passakorn Porncharoon</v>
      </c>
      <c r="H751" t="str">
        <f>IFERROR(__xludf.DUMMYFUNCTION("""COMPUTED_VALUE"""),"นาย")</f>
        <v>นาย</v>
      </c>
      <c r="I751" t="str">
        <f>IFERROR(__xludf.DUMMYFUNCTION("""COMPUTED_VALUE"""),"พัสกร")</f>
        <v>พัสกร</v>
      </c>
      <c r="J751" t="str">
        <f>IFERROR(__xludf.DUMMYFUNCTION("""COMPUTED_VALUE"""),"พรจรูญ")</f>
        <v>พรจรูญ</v>
      </c>
      <c r="K751" t="str">
        <f>IFERROR(__xludf.DUMMYFUNCTION("""COMPUTED_VALUE"""),"พัสกร พรจรูญ")</f>
        <v>พัสกร พรจรูญ</v>
      </c>
      <c r="L751" t="str">
        <f>IFERROR(__xludf.DUMMYFUNCTION("""COMPUTED_VALUE"""),"Max/แมกซ์")</f>
        <v>Max/แมกซ์</v>
      </c>
      <c r="M751" t="str">
        <f>IFERROR(__xludf.DUMMYFUNCTION("""COMPUTED_VALUE"""),"Cabin Crew")</f>
        <v>Cabin Crew</v>
      </c>
      <c r="N751" t="str">
        <f>IFERROR(__xludf.DUMMYFUNCTION("""COMPUTED_VALUE"""),"DMK")</f>
        <v>DMK</v>
      </c>
      <c r="O751" s="145" t="str">
        <f>IFERROR(__xludf.DUMMYFUNCTION("""COMPUTED_VALUE"""),"Kor Home")</f>
        <v>Kor Home</v>
      </c>
      <c r="P751" t="str">
        <f>IFERROR(__xludf.DUMMYFUNCTION("""COMPUTED_VALUE"""),"Active")</f>
        <v>Active</v>
      </c>
      <c r="R751" s="143">
        <f>IFERROR(__xludf.DUMMYFUNCTION("""COMPUTED_VALUE"""),33597.0)</f>
        <v>33597</v>
      </c>
      <c r="S751" s="146" t="str">
        <f>IFERROR(__xludf.DUMMYFUNCTION("""COMPUTED_VALUE"""),"081-926-4294")</f>
        <v>081-926-4294</v>
      </c>
      <c r="T751" s="147" t="str">
        <f>IFERROR(__xludf.DUMMYFUNCTION("""COMPUTED_VALUE"""),"1102001-65-5883")</f>
        <v>1102001-65-5883</v>
      </c>
      <c r="U751" t="str">
        <f>IFERROR(__xludf.DUMMYFUNCTION("""COMPUTED_VALUE"""),"AC7315757")</f>
        <v>AC7315757</v>
      </c>
      <c r="V751" s="148">
        <f>IFERROR(__xludf.DUMMYFUNCTION("""COMPUTED_VALUE"""),45550.0)</f>
        <v>45550</v>
      </c>
      <c r="W751" s="148">
        <f>IFERROR(__xludf.DUMMYFUNCTION("""COMPUTED_VALUE"""),49201.0)</f>
        <v>49201</v>
      </c>
      <c r="X751" s="149">
        <f>IFERROR(__xludf.DUMMYFUNCTION("""COMPUTED_VALUE"""),49017.0)</f>
        <v>49017</v>
      </c>
      <c r="Y751" t="str">
        <f>IFERROR(__xludf.DUMMYFUNCTION("""COMPUTED_VALUE"""),"ปลอดภัย")</f>
        <v>ปลอดภัย</v>
      </c>
      <c r="Z751" t="str">
        <f>IFERROR(__xludf.DUMMYFUNCTION("""COMPUTED_VALUE"""),"Bangkok")</f>
        <v>Bangkok</v>
      </c>
      <c r="AA751" t="str">
        <f>IFERROR(__xludf.DUMMYFUNCTION("""COMPUTED_VALUE"""),"Bangyekhun")</f>
        <v>Bangyekhun</v>
      </c>
      <c r="AB751" t="str">
        <f>IFERROR(__xludf.DUMMYFUNCTION("""COMPUTED_VALUE"""),"095-948-2656")</f>
        <v>095-948-2656</v>
      </c>
      <c r="AC751" t="str">
        <f>IFERROR(__xludf.DUMMYFUNCTION("""COMPUTED_VALUE"""),"Somjai Porncharoon (mother)")</f>
        <v>Somjai Porncharoon (mother)</v>
      </c>
      <c r="AD751" t="str">
        <f>IFERROR(__xludf.DUMMYFUNCTION("""COMPUTED_VALUE"""),"passakornp@airasia.com")</f>
        <v>passakornp@airasia.com</v>
      </c>
    </row>
    <row r="752">
      <c r="A752" s="142">
        <f>IFERROR(__xludf.DUMMYFUNCTION("""COMPUTED_VALUE"""),83.0)</f>
        <v>83</v>
      </c>
      <c r="B752" t="str">
        <f>IFERROR(__xludf.DUMMYFUNCTION("""COMPUTED_VALUE"""),"TAA7289")</f>
        <v>TAA7289</v>
      </c>
      <c r="C752">
        <f>IFERROR(__xludf.DUMMYFUNCTION("""COMPUTED_VALUE"""),1016229.0)</f>
        <v>1016229</v>
      </c>
      <c r="D752" t="str">
        <f>IFERROR(__xludf.DUMMYFUNCTION("""COMPUTED_VALUE"""),"Ms.")</f>
        <v>Ms.</v>
      </c>
      <c r="E752" t="str">
        <f>IFERROR(__xludf.DUMMYFUNCTION("""COMPUTED_VALUE"""),"Sutharat")</f>
        <v>Sutharat</v>
      </c>
      <c r="F752" t="str">
        <f>IFERROR(__xludf.DUMMYFUNCTION("""COMPUTED_VALUE"""),"Chimdid")</f>
        <v>Chimdid</v>
      </c>
      <c r="G752" t="str">
        <f>IFERROR(__xludf.DUMMYFUNCTION("""COMPUTED_VALUE"""),"Sutharat Chimdid")</f>
        <v>Sutharat Chimdid</v>
      </c>
      <c r="H752" t="str">
        <f>IFERROR(__xludf.DUMMYFUNCTION("""COMPUTED_VALUE"""),"นางสาว")</f>
        <v>นางสาว</v>
      </c>
      <c r="I752" t="str">
        <f>IFERROR(__xludf.DUMMYFUNCTION("""COMPUTED_VALUE"""),"สุฑารัตน์")</f>
        <v>สุฑารัตน์</v>
      </c>
      <c r="J752" t="str">
        <f>IFERROR(__xludf.DUMMYFUNCTION("""COMPUTED_VALUE"""),"ฉิมดิษฐ")</f>
        <v>ฉิมดิษฐ</v>
      </c>
      <c r="K752" t="str">
        <f>IFERROR(__xludf.DUMMYFUNCTION("""COMPUTED_VALUE"""),"สุฑารัตน์ ฉิมดิษฐ")</f>
        <v>สุฑารัตน์ ฉิมดิษฐ</v>
      </c>
      <c r="L752" t="str">
        <f>IFERROR(__xludf.DUMMYFUNCTION("""COMPUTED_VALUE"""),"Amm/ แอม")</f>
        <v>Amm/ แอม</v>
      </c>
      <c r="M752" t="str">
        <f>IFERROR(__xludf.DUMMYFUNCTION("""COMPUTED_VALUE"""),"Cabin Crew")</f>
        <v>Cabin Crew</v>
      </c>
      <c r="N752" t="str">
        <f>IFERROR(__xludf.DUMMYFUNCTION("""COMPUTED_VALUE"""),"DMK")</f>
        <v>DMK</v>
      </c>
      <c r="O752" s="145" t="str">
        <f>IFERROR(__xludf.DUMMYFUNCTION("""COMPUTED_VALUE"""),"Um Home")</f>
        <v>Um Home</v>
      </c>
      <c r="P752" t="str">
        <f>IFERROR(__xludf.DUMMYFUNCTION("""COMPUTED_VALUE"""),"Active")</f>
        <v>Active</v>
      </c>
      <c r="R752" s="143">
        <f>IFERROR(__xludf.DUMMYFUNCTION("""COMPUTED_VALUE"""),32268.0)</f>
        <v>32268</v>
      </c>
      <c r="S752" s="146" t="str">
        <f>IFERROR(__xludf.DUMMYFUNCTION("""COMPUTED_VALUE"""),"099-905-1545")</f>
        <v>099-905-1545</v>
      </c>
      <c r="T752" s="147">
        <f>IFERROR(__xludf.DUMMYFUNCTION("""COMPUTED_VALUE"""),1.809900201711E12)</f>
        <v>1809900201711</v>
      </c>
      <c r="U752" t="str">
        <f>IFERROR(__xludf.DUMMYFUNCTION("""COMPUTED_VALUE"""),"AD2240940")</f>
        <v>AD2240940</v>
      </c>
      <c r="V752" s="148">
        <f>IFERROR(__xludf.DUMMYFUNCTION("""COMPUTED_VALUE"""),45777.0)</f>
        <v>45777</v>
      </c>
      <c r="W752" s="148">
        <f>IFERROR(__xludf.DUMMYFUNCTION("""COMPUTED_VALUE"""),49428.0)</f>
        <v>49428</v>
      </c>
      <c r="X752" s="149">
        <f>IFERROR(__xludf.DUMMYFUNCTION("""COMPUTED_VALUE"""),49246.0)</f>
        <v>49246</v>
      </c>
      <c r="Y752" t="str">
        <f>IFERROR(__xludf.DUMMYFUNCTION("""COMPUTED_VALUE"""),"ปลอดภัย")</f>
        <v>ปลอดภัย</v>
      </c>
      <c r="Z752" t="str">
        <f>IFERROR(__xludf.DUMMYFUNCTION("""COMPUTED_VALUE"""),"Nakhon Si Thammarat Province")</f>
        <v>Nakhon Si Thammarat Province</v>
      </c>
      <c r="AA752" t="str">
        <f>IFERROR(__xludf.DUMMYFUNCTION("""COMPUTED_VALUE"""),"DONMUEANG")</f>
        <v>DONMUEANG</v>
      </c>
      <c r="AB752" t="str">
        <f>IFERROR(__xludf.DUMMYFUNCTION("""COMPUTED_VALUE"""),"091-849-6509")</f>
        <v>091-849-6509</v>
      </c>
      <c r="AC752" t="str">
        <f>IFERROR(__xludf.DUMMYFUNCTION("""COMPUTED_VALUE"""),"Aimon Khammeang(mother)")</f>
        <v>Aimon Khammeang(mother)</v>
      </c>
      <c r="AD752" t="str">
        <f>IFERROR(__xludf.DUMMYFUNCTION("""COMPUTED_VALUE"""),"sutharatc@airasia.com")</f>
        <v>sutharatc@airasia.com</v>
      </c>
    </row>
    <row r="753">
      <c r="A753" s="142">
        <f>IFERROR(__xludf.DUMMYFUNCTION("""COMPUTED_VALUE"""),83.0)</f>
        <v>83</v>
      </c>
      <c r="B753" t="str">
        <f>IFERROR(__xludf.DUMMYFUNCTION("""COMPUTED_VALUE"""),"TAA7283")</f>
        <v>TAA7283</v>
      </c>
      <c r="C753">
        <f>IFERROR(__xludf.DUMMYFUNCTION("""COMPUTED_VALUE"""),1016232.0)</f>
        <v>1016232</v>
      </c>
      <c r="D753" t="str">
        <f>IFERROR(__xludf.DUMMYFUNCTION("""COMPUTED_VALUE"""),"Ms.")</f>
        <v>Ms.</v>
      </c>
      <c r="E753" t="str">
        <f>IFERROR(__xludf.DUMMYFUNCTION("""COMPUTED_VALUE"""),"Thanyachatchanok")</f>
        <v>Thanyachatchanok</v>
      </c>
      <c r="F753" t="str">
        <f>IFERROR(__xludf.DUMMYFUNCTION("""COMPUTED_VALUE"""),"Bamrungsapsakul")</f>
        <v>Bamrungsapsakul</v>
      </c>
      <c r="G753" t="str">
        <f>IFERROR(__xludf.DUMMYFUNCTION("""COMPUTED_VALUE"""),"Thanyachatchanok Bamrungsapsakul")</f>
        <v>Thanyachatchanok Bamrungsapsakul</v>
      </c>
      <c r="H753" t="str">
        <f>IFERROR(__xludf.DUMMYFUNCTION("""COMPUTED_VALUE"""),"นางสาว")</f>
        <v>นางสาว</v>
      </c>
      <c r="I753" t="str">
        <f>IFERROR(__xludf.DUMMYFUNCTION("""COMPUTED_VALUE"""),"ธัญฉัตรชนก")</f>
        <v>ธัญฉัตรชนก</v>
      </c>
      <c r="J753" t="str">
        <f>IFERROR(__xludf.DUMMYFUNCTION("""COMPUTED_VALUE"""),"บำรุงทรัพย์สกุล")</f>
        <v>บำรุงทรัพย์สกุล</v>
      </c>
      <c r="K753" t="str">
        <f>IFERROR(__xludf.DUMMYFUNCTION("""COMPUTED_VALUE"""),"ธัญฉัตรชนก บำรุงทรัพย์สกุล")</f>
        <v>ธัญฉัตรชนก บำรุงทรัพย์สกุล</v>
      </c>
      <c r="L753" t="str">
        <f>IFERROR(__xludf.DUMMYFUNCTION("""COMPUTED_VALUE"""),"Jam/แจม")</f>
        <v>Jam/แจม</v>
      </c>
      <c r="M753" t="str">
        <f>IFERROR(__xludf.DUMMYFUNCTION("""COMPUTED_VALUE"""),"Cabin Crew")</f>
        <v>Cabin Crew</v>
      </c>
      <c r="N753" t="str">
        <f>IFERROR(__xludf.DUMMYFUNCTION("""COMPUTED_VALUE"""),"DMK")</f>
        <v>DMK</v>
      </c>
      <c r="O753" s="145" t="str">
        <f>IFERROR(__xludf.DUMMYFUNCTION("""COMPUTED_VALUE"""),"Por+ Home")</f>
        <v>Por+ Home</v>
      </c>
      <c r="P753" t="str">
        <f>IFERROR(__xludf.DUMMYFUNCTION("""COMPUTED_VALUE"""),"Active")</f>
        <v>Active</v>
      </c>
      <c r="R753" s="143">
        <f>IFERROR(__xludf.DUMMYFUNCTION("""COMPUTED_VALUE"""),34064.0)</f>
        <v>34064</v>
      </c>
      <c r="S753" s="146" t="str">
        <f>IFERROR(__xludf.DUMMYFUNCTION("""COMPUTED_VALUE""")," 064-236-6424")</f>
        <v> 064-236-6424</v>
      </c>
      <c r="T753" s="147" t="str">
        <f>IFERROR(__xludf.DUMMYFUNCTION("""COMPUTED_VALUE"""),"1103300-09-3128")</f>
        <v>1103300-09-3128</v>
      </c>
      <c r="U753" t="str">
        <f>IFERROR(__xludf.DUMMYFUNCTION("""COMPUTED_VALUE"""),"AC4695215")</f>
        <v>AC4695215</v>
      </c>
      <c r="V753" s="148">
        <f>IFERROR(__xludf.DUMMYFUNCTION("""COMPUTED_VALUE"""),45008.0)</f>
        <v>45008</v>
      </c>
      <c r="W753" s="148">
        <f>IFERROR(__xludf.DUMMYFUNCTION("""COMPUTED_VALUE"""),48660.0)</f>
        <v>48660</v>
      </c>
      <c r="X753" s="149">
        <f>IFERROR(__xludf.DUMMYFUNCTION("""COMPUTED_VALUE"""),48479.0)</f>
        <v>48479</v>
      </c>
      <c r="Y753" t="str">
        <f>IFERROR(__xludf.DUMMYFUNCTION("""COMPUTED_VALUE"""),"ปลอดภัย")</f>
        <v>ปลอดภัย</v>
      </c>
      <c r="Z753" t="str">
        <f>IFERROR(__xludf.DUMMYFUNCTION("""COMPUTED_VALUE"""),"Bangkok")</f>
        <v>Bangkok</v>
      </c>
      <c r="AA753" t="str">
        <f>IFERROR(__xludf.DUMMYFUNCTION("""COMPUTED_VALUE"""),"Klongtoey")</f>
        <v>Klongtoey</v>
      </c>
      <c r="AB753" t="str">
        <f>IFERROR(__xludf.DUMMYFUNCTION("""COMPUTED_VALUE"""),"081-617-9283")</f>
        <v>081-617-9283</v>
      </c>
      <c r="AC753" t="str">
        <f>IFERROR(__xludf.DUMMYFUNCTION("""COMPUTED_VALUE"""),"Duangsamorn Samasilpa(Mother)")</f>
        <v>Duangsamorn Samasilpa(Mother)</v>
      </c>
      <c r="AD753" t="str">
        <f>IFERROR(__xludf.DUMMYFUNCTION("""COMPUTED_VALUE"""),"thanyachatchanokb@airasia.com")</f>
        <v>thanyachatchanokb@airasia.com</v>
      </c>
    </row>
    <row r="754">
      <c r="AD754" t="str">
        <f>IFERROR(__xludf.DUMMYFUNCTION("""COMPUTED_VALUE"""),"")</f>
        <v/>
      </c>
    </row>
    <row r="755">
      <c r="A755" s="142">
        <f>IFERROR(__xludf.DUMMYFUNCTION("""COMPUTED_VALUE"""),84.0)</f>
        <v>84</v>
      </c>
      <c r="B755" t="str">
        <f>IFERROR(__xludf.DUMMYFUNCTION("""COMPUTED_VALUE"""),"TAA2062")</f>
        <v>TAA2062</v>
      </c>
      <c r="C755">
        <f>IFERROR(__xludf.DUMMYFUNCTION("""COMPUTED_VALUE"""),1002299.0)</f>
        <v>1002299</v>
      </c>
      <c r="D755" t="str">
        <f>IFERROR(__xludf.DUMMYFUNCTION("""COMPUTED_VALUE"""),"Ms.")</f>
        <v>Ms.</v>
      </c>
      <c r="E755" t="str">
        <f>IFERROR(__xludf.DUMMYFUNCTION("""COMPUTED_VALUE"""),"Arisara")</f>
        <v>Arisara</v>
      </c>
      <c r="F755" t="str">
        <f>IFERROR(__xludf.DUMMYFUNCTION("""COMPUTED_VALUE"""),"Wongsatitsathein")</f>
        <v>Wongsatitsathein</v>
      </c>
      <c r="G755" t="str">
        <f>IFERROR(__xludf.DUMMYFUNCTION("""COMPUTED_VALUE"""),"Arisara Wongsatitsathein")</f>
        <v>Arisara Wongsatitsathein</v>
      </c>
      <c r="H755" t="str">
        <f>IFERROR(__xludf.DUMMYFUNCTION("""COMPUTED_VALUE"""),"นางสาว")</f>
        <v>นางสาว</v>
      </c>
      <c r="I755" t="str">
        <f>IFERROR(__xludf.DUMMYFUNCTION("""COMPUTED_VALUE"""),"อริศรา")</f>
        <v>อริศรา</v>
      </c>
      <c r="J755" t="str">
        <f>IFERROR(__xludf.DUMMYFUNCTION("""COMPUTED_VALUE"""),"วงศ์สถิตเสถียร")</f>
        <v>วงศ์สถิตเสถียร</v>
      </c>
      <c r="K755" t="str">
        <f>IFERROR(__xludf.DUMMYFUNCTION("""COMPUTED_VALUE"""),"อริศรา วงศ์สถิตเสถียร")</f>
        <v>อริศรา วงศ์สถิตเสถียร</v>
      </c>
      <c r="L755" t="str">
        <f>IFERROR(__xludf.DUMMYFUNCTION("""COMPUTED_VALUE"""),"Aum อุ๋ม")</f>
        <v>Aum อุ๋ม</v>
      </c>
      <c r="M755" t="str">
        <f>IFERROR(__xludf.DUMMYFUNCTION("""COMPUTED_VALUE"""),"Cabin Crew")</f>
        <v>Cabin Crew</v>
      </c>
      <c r="N755" t="str">
        <f>IFERROR(__xludf.DUMMYFUNCTION("""COMPUTED_VALUE"""),"DMK")</f>
        <v>DMK</v>
      </c>
      <c r="O755" s="145" t="str">
        <f>IFERROR(__xludf.DUMMYFUNCTION("""COMPUTED_VALUE"""),"Um Home")</f>
        <v>Um Home</v>
      </c>
      <c r="P755" t="str">
        <f>IFERROR(__xludf.DUMMYFUNCTION("""COMPUTED_VALUE"""),"Active")</f>
        <v>Active</v>
      </c>
      <c r="R755" s="143">
        <f>IFERROR(__xludf.DUMMYFUNCTION("""COMPUTED_VALUE"""),30966.0)</f>
        <v>30966</v>
      </c>
      <c r="S755" s="146" t="str">
        <f>IFERROR(__xludf.DUMMYFUNCTION("""COMPUTED_VALUE"""),"089-688-9705")</f>
        <v>089-688-9705</v>
      </c>
      <c r="T755" s="147">
        <f>IFERROR(__xludf.DUMMYFUNCTION("""COMPUTED_VALUE"""),1.100800081134E12)</f>
        <v>1100800081134</v>
      </c>
      <c r="U755" t="str">
        <f>IFERROR(__xludf.DUMMYFUNCTION("""COMPUTED_VALUE"""),"AC4055778")</f>
        <v>AC4055778</v>
      </c>
      <c r="V755" s="148">
        <f>IFERROR(__xludf.DUMMYFUNCTION("""COMPUTED_VALUE"""),44821.0)</f>
        <v>44821</v>
      </c>
      <c r="W755" s="148">
        <f>IFERROR(__xludf.DUMMYFUNCTION("""COMPUTED_VALUE"""),48473.0)</f>
        <v>48473</v>
      </c>
      <c r="X755" s="149">
        <f>IFERROR(__xludf.DUMMYFUNCTION("""COMPUTED_VALUE"""),48289.0)</f>
        <v>48289</v>
      </c>
      <c r="Y755" t="str">
        <f>IFERROR(__xludf.DUMMYFUNCTION("""COMPUTED_VALUE"""),"ปลอดภัย")</f>
        <v>ปลอดภัย</v>
      </c>
      <c r="Z755" t="str">
        <f>IFERROR(__xludf.DUMMYFUNCTION("""COMPUTED_VALUE"""),"Bangkok")</f>
        <v>Bangkok</v>
      </c>
      <c r="AA755" t="str">
        <f>IFERROR(__xludf.DUMMYFUNCTION("""COMPUTED_VALUE"""),"Bangkok")</f>
        <v>Bangkok</v>
      </c>
      <c r="AB755" t="str">
        <f>IFERROR(__xludf.DUMMYFUNCTION("""COMPUTED_VALUE"""),"081-436-8291")</f>
        <v>081-436-8291</v>
      </c>
      <c r="AC755" t="str">
        <f>IFERROR(__xludf.DUMMYFUNCTION("""COMPUTED_VALUE"""),"Bubpa Pramphet (Aunt)")</f>
        <v>Bubpa Pramphet (Aunt)</v>
      </c>
      <c r="AD755" t="str">
        <f>IFERROR(__xludf.DUMMYFUNCTION("""COMPUTED_VALUE"""),"arisaraw@airasia.com")</f>
        <v>arisaraw@airasia.com</v>
      </c>
    </row>
    <row r="756">
      <c r="A756" s="142">
        <f>IFERROR(__xludf.DUMMYFUNCTION("""COMPUTED_VALUE"""),84.0)</f>
        <v>84</v>
      </c>
      <c r="B756" t="str">
        <f>IFERROR(__xludf.DUMMYFUNCTION("""COMPUTED_VALUE"""),"TAA2789")</f>
        <v>TAA2789</v>
      </c>
      <c r="C756">
        <f>IFERROR(__xludf.DUMMYFUNCTION("""COMPUTED_VALUE"""),1003957.0)</f>
        <v>1003957</v>
      </c>
      <c r="D756" t="str">
        <f>IFERROR(__xludf.DUMMYFUNCTION("""COMPUTED_VALUE"""),"Ms.")</f>
        <v>Ms.</v>
      </c>
      <c r="E756" t="str">
        <f>IFERROR(__xludf.DUMMYFUNCTION("""COMPUTED_VALUE"""),"Benjawan")</f>
        <v>Benjawan</v>
      </c>
      <c r="F756" t="str">
        <f>IFERROR(__xludf.DUMMYFUNCTION("""COMPUTED_VALUE"""),"Kongrod")</f>
        <v>Kongrod</v>
      </c>
      <c r="G756" t="str">
        <f>IFERROR(__xludf.DUMMYFUNCTION("""COMPUTED_VALUE"""),"Benjawan Kongrod")</f>
        <v>Benjawan Kongrod</v>
      </c>
      <c r="H756" t="str">
        <f>IFERROR(__xludf.DUMMYFUNCTION("""COMPUTED_VALUE"""),"นางสาว")</f>
        <v>นางสาว</v>
      </c>
      <c r="I756" t="str">
        <f>IFERROR(__xludf.DUMMYFUNCTION("""COMPUTED_VALUE"""),"เบญจวรรณ")</f>
        <v>เบญจวรรณ</v>
      </c>
      <c r="J756" t="str">
        <f>IFERROR(__xludf.DUMMYFUNCTION("""COMPUTED_VALUE"""),"คงรอด")</f>
        <v>คงรอด</v>
      </c>
      <c r="K756" t="str">
        <f>IFERROR(__xludf.DUMMYFUNCTION("""COMPUTED_VALUE"""),"เบญจวรรณ คงรอด")</f>
        <v>เบญจวรรณ คงรอด</v>
      </c>
      <c r="L756" t="str">
        <f>IFERROR(__xludf.DUMMYFUNCTION("""COMPUTED_VALUE"""),"mai")</f>
        <v>mai</v>
      </c>
      <c r="M756" t="str">
        <f>IFERROR(__xludf.DUMMYFUNCTION("""COMPUTED_VALUE"""),"Cabin Crew")</f>
        <v>Cabin Crew</v>
      </c>
      <c r="N756" t="str">
        <f>IFERROR(__xludf.DUMMYFUNCTION("""COMPUTED_VALUE"""),"DMK")</f>
        <v>DMK</v>
      </c>
      <c r="O756" s="145" t="str">
        <f>IFERROR(__xludf.DUMMYFUNCTION("""COMPUTED_VALUE"""),"Por+ Home")</f>
        <v>Por+ Home</v>
      </c>
      <c r="P756" t="str">
        <f>IFERROR(__xludf.DUMMYFUNCTION("""COMPUTED_VALUE"""),"Active")</f>
        <v>Active</v>
      </c>
      <c r="R756" s="143">
        <f>IFERROR(__xludf.DUMMYFUNCTION("""COMPUTED_VALUE"""),31911.0)</f>
        <v>31911</v>
      </c>
      <c r="S756" s="146" t="str">
        <f>IFERROR(__xludf.DUMMYFUNCTION("""COMPUTED_VALUE"""),"086-394-9466")</f>
        <v>086-394-9466</v>
      </c>
      <c r="T756" s="147">
        <f>IFERROR(__xludf.DUMMYFUNCTION("""COMPUTED_VALUE"""),1.20010014986E12)</f>
        <v>1200100149860</v>
      </c>
      <c r="U756" t="str">
        <f>IFERROR(__xludf.DUMMYFUNCTION("""COMPUTED_VALUE"""),"AC2311058")</f>
        <v>AC2311058</v>
      </c>
      <c r="V756" s="148">
        <f>IFERROR(__xludf.DUMMYFUNCTION("""COMPUTED_VALUE"""),44358.0)</f>
        <v>44358</v>
      </c>
      <c r="W756" s="148">
        <f>IFERROR(__xludf.DUMMYFUNCTION("""COMPUTED_VALUE"""),48009.0)</f>
        <v>48009</v>
      </c>
      <c r="X756" s="149">
        <f>IFERROR(__xludf.DUMMYFUNCTION("""COMPUTED_VALUE"""),47827.0)</f>
        <v>47827</v>
      </c>
      <c r="Y756" t="str">
        <f>IFERROR(__xludf.DUMMYFUNCTION("""COMPUTED_VALUE"""),"ปลอดภัย")</f>
        <v>ปลอดภัย</v>
      </c>
      <c r="Z756" t="str">
        <f>IFERROR(__xludf.DUMMYFUNCTION("""COMPUTED_VALUE"""),"Chonburi Province")</f>
        <v>Chonburi Province</v>
      </c>
      <c r="AA756" t="str">
        <f>IFERROR(__xludf.DUMMYFUNCTION("""COMPUTED_VALUE"""),"Bangkok")</f>
        <v>Bangkok</v>
      </c>
      <c r="AB756" t="str">
        <f>IFERROR(__xludf.DUMMYFUNCTION("""COMPUTED_VALUE"""),"081-638-6739")</f>
        <v>081-638-6739</v>
      </c>
      <c r="AC756" t="str">
        <f>IFERROR(__xludf.DUMMYFUNCTION("""COMPUTED_VALUE"""),"Nongyao Pongrat(Aunt)")</f>
        <v>Nongyao Pongrat(Aunt)</v>
      </c>
      <c r="AD756" t="str">
        <f>IFERROR(__xludf.DUMMYFUNCTION("""COMPUTED_VALUE"""),"benjawank@airasia.com")</f>
        <v>benjawank@airasia.com</v>
      </c>
    </row>
    <row r="757">
      <c r="A757" s="142">
        <f>IFERROR(__xludf.DUMMYFUNCTION("""COMPUTED_VALUE"""),84.0)</f>
        <v>84</v>
      </c>
      <c r="B757" t="str">
        <f>IFERROR(__xludf.DUMMYFUNCTION("""COMPUTED_VALUE"""),"TAA3312")</f>
        <v>TAA3312</v>
      </c>
      <c r="C757">
        <f>IFERROR(__xludf.DUMMYFUNCTION("""COMPUTED_VALUE"""),1005051.0)</f>
        <v>1005051</v>
      </c>
      <c r="D757" t="str">
        <f>IFERROR(__xludf.DUMMYFUNCTION("""COMPUTED_VALUE"""),"Mr.")</f>
        <v>Mr.</v>
      </c>
      <c r="E757" t="str">
        <f>IFERROR(__xludf.DUMMYFUNCTION("""COMPUTED_VALUE"""),"Upatcha")</f>
        <v>Upatcha</v>
      </c>
      <c r="F757" t="str">
        <f>IFERROR(__xludf.DUMMYFUNCTION("""COMPUTED_VALUE"""),"Chaikaew")</f>
        <v>Chaikaew</v>
      </c>
      <c r="G757" t="str">
        <f>IFERROR(__xludf.DUMMYFUNCTION("""COMPUTED_VALUE"""),"Upatcha Chaikaew")</f>
        <v>Upatcha Chaikaew</v>
      </c>
      <c r="H757" t="str">
        <f>IFERROR(__xludf.DUMMYFUNCTION("""COMPUTED_VALUE"""),"นาย")</f>
        <v>นาย</v>
      </c>
      <c r="I757" t="str">
        <f>IFERROR(__xludf.DUMMYFUNCTION("""COMPUTED_VALUE"""),"อุปัชฌาย์")</f>
        <v>อุปัชฌาย์</v>
      </c>
      <c r="J757" t="str">
        <f>IFERROR(__xludf.DUMMYFUNCTION("""COMPUTED_VALUE"""),"ชัยแก้ว")</f>
        <v>ชัยแก้ว</v>
      </c>
      <c r="K757" t="str">
        <f>IFERROR(__xludf.DUMMYFUNCTION("""COMPUTED_VALUE"""),"อุปัชฌาย์ ชัยแก้ว")</f>
        <v>อุปัชฌาย์ ชัยแก้ว</v>
      </c>
      <c r="L757" t="str">
        <f>IFERROR(__xludf.DUMMYFUNCTION("""COMPUTED_VALUE"""),"Oat โอ๊ต")</f>
        <v>Oat โอ๊ต</v>
      </c>
      <c r="M757" t="str">
        <f>IFERROR(__xludf.DUMMYFUNCTION("""COMPUTED_VALUE"""),"Cabin Crew")</f>
        <v>Cabin Crew</v>
      </c>
      <c r="N757" t="str">
        <f>IFERROR(__xludf.DUMMYFUNCTION("""COMPUTED_VALUE"""),"DMK")</f>
        <v>DMK</v>
      </c>
      <c r="O757" s="145" t="str">
        <f>IFERROR(__xludf.DUMMYFUNCTION("""COMPUTED_VALUE"""),"Kor Home")</f>
        <v>Kor Home</v>
      </c>
      <c r="P757" t="str">
        <f>IFERROR(__xludf.DUMMYFUNCTION("""COMPUTED_VALUE"""),"Active")</f>
        <v>Active</v>
      </c>
      <c r="R757" s="143">
        <f>IFERROR(__xludf.DUMMYFUNCTION("""COMPUTED_VALUE"""),31687.0)</f>
        <v>31687</v>
      </c>
      <c r="S757" s="146" t="str">
        <f>IFERROR(__xludf.DUMMYFUNCTION("""COMPUTED_VALUE"""),"089-981-8183")</f>
        <v>089-981-8183</v>
      </c>
      <c r="T757" s="147">
        <f>IFERROR(__xludf.DUMMYFUNCTION("""COMPUTED_VALUE"""),1.119900108709E12)</f>
        <v>1119900108709</v>
      </c>
      <c r="U757" t="str">
        <f>IFERROR(__xludf.DUMMYFUNCTION("""COMPUTED_VALUE"""),"AC2266125")</f>
        <v>AC2266125</v>
      </c>
      <c r="V757" s="148">
        <f>IFERROR(__xludf.DUMMYFUNCTION("""COMPUTED_VALUE"""),44321.0)</f>
        <v>44321</v>
      </c>
      <c r="W757" s="148">
        <f>IFERROR(__xludf.DUMMYFUNCTION("""COMPUTED_VALUE"""),47972.0)</f>
        <v>47972</v>
      </c>
      <c r="X757" s="149">
        <f>IFERROR(__xludf.DUMMYFUNCTION("""COMPUTED_VALUE"""),47791.0)</f>
        <v>47791</v>
      </c>
      <c r="Y757" t="str">
        <f>IFERROR(__xludf.DUMMYFUNCTION("""COMPUTED_VALUE"""),"ปลอดภัย")</f>
        <v>ปลอดภัย</v>
      </c>
      <c r="Z757" t="str">
        <f>IFERROR(__xludf.DUMMYFUNCTION("""COMPUTED_VALUE"""),"Samut Prakan Province")</f>
        <v>Samut Prakan Province</v>
      </c>
      <c r="AA757" t="str">
        <f>IFERROR(__xludf.DUMMYFUNCTION("""COMPUTED_VALUE"""),"Bangkok")</f>
        <v>Bangkok</v>
      </c>
      <c r="AB757" t="str">
        <f>IFERROR(__xludf.DUMMYFUNCTION("""COMPUTED_VALUE"""),"087-929-4991")</f>
        <v>087-929-4991</v>
      </c>
      <c r="AC757" t="str">
        <f>IFERROR(__xludf.DUMMYFUNCTION("""COMPUTED_VALUE"""),"Suttisa Bunmueang")</f>
        <v>Suttisa Bunmueang</v>
      </c>
      <c r="AD757" t="str">
        <f>IFERROR(__xludf.DUMMYFUNCTION("""COMPUTED_VALUE"""),"upatchac@airasia.com")</f>
        <v>upatchac@airasia.com</v>
      </c>
    </row>
    <row r="758">
      <c r="A758" s="142">
        <f>IFERROR(__xludf.DUMMYFUNCTION("""COMPUTED_VALUE"""),84.0)</f>
        <v>84</v>
      </c>
      <c r="B758" t="str">
        <f>IFERROR(__xludf.DUMMYFUNCTION("""COMPUTED_VALUE"""),"TAA3485")</f>
        <v>TAA3485</v>
      </c>
      <c r="C758">
        <f>IFERROR(__xludf.DUMMYFUNCTION("""COMPUTED_VALUE"""),1005365.0)</f>
        <v>1005365</v>
      </c>
      <c r="D758" t="str">
        <f>IFERROR(__xludf.DUMMYFUNCTION("""COMPUTED_VALUE"""),"Ms.")</f>
        <v>Ms.</v>
      </c>
      <c r="E758" t="str">
        <f>IFERROR(__xludf.DUMMYFUNCTION("""COMPUTED_VALUE"""),"Nattida")</f>
        <v>Nattida</v>
      </c>
      <c r="F758" t="str">
        <f>IFERROR(__xludf.DUMMYFUNCTION("""COMPUTED_VALUE"""),"Nakkaree")</f>
        <v>Nakkaree</v>
      </c>
      <c r="G758" t="str">
        <f>IFERROR(__xludf.DUMMYFUNCTION("""COMPUTED_VALUE"""),"Nattida Nakkaree")</f>
        <v>Nattida Nakkaree</v>
      </c>
      <c r="H758" t="str">
        <f>IFERROR(__xludf.DUMMYFUNCTION("""COMPUTED_VALUE"""),"นางสาว")</f>
        <v>นางสาว</v>
      </c>
      <c r="I758" t="str">
        <f>IFERROR(__xludf.DUMMYFUNCTION("""COMPUTED_VALUE"""),"ณัฐธิดา")</f>
        <v>ณัฐธิดา</v>
      </c>
      <c r="J758" t="str">
        <f>IFERROR(__xludf.DUMMYFUNCTION("""COMPUTED_VALUE"""),"นักการีย์")</f>
        <v>นักการีย์</v>
      </c>
      <c r="K758" t="str">
        <f>IFERROR(__xludf.DUMMYFUNCTION("""COMPUTED_VALUE"""),"ณัฐธิดา นักการีย์")</f>
        <v>ณัฐธิดา นักการีย์</v>
      </c>
      <c r="L758" t="str">
        <f>IFERROR(__xludf.DUMMYFUNCTION("""COMPUTED_VALUE"""),"Nune นุ่น")</f>
        <v>Nune นุ่น</v>
      </c>
      <c r="M758" t="str">
        <f>IFERROR(__xludf.DUMMYFUNCTION("""COMPUTED_VALUE"""),"Cabin Crew")</f>
        <v>Cabin Crew</v>
      </c>
      <c r="N758" t="str">
        <f>IFERROR(__xludf.DUMMYFUNCTION("""COMPUTED_VALUE"""),"DMK")</f>
        <v>DMK</v>
      </c>
      <c r="O758" s="145" t="str">
        <f>IFERROR(__xludf.DUMMYFUNCTION("""COMPUTED_VALUE"""),"Toffy Home")</f>
        <v>Toffy Home</v>
      </c>
      <c r="P758" t="str">
        <f>IFERROR(__xludf.DUMMYFUNCTION("""COMPUTED_VALUE"""),"Active")</f>
        <v>Active</v>
      </c>
      <c r="R758" s="143">
        <f>IFERROR(__xludf.DUMMYFUNCTION("""COMPUTED_VALUE"""),31212.0)</f>
        <v>31212</v>
      </c>
      <c r="S758" s="146" t="str">
        <f>IFERROR(__xludf.DUMMYFUNCTION("""COMPUTED_VALUE"""),"086-916-7200")</f>
        <v>086-916-7200</v>
      </c>
      <c r="T758" s="147">
        <f>IFERROR(__xludf.DUMMYFUNCTION("""COMPUTED_VALUE"""),1.509900203058E12)</f>
        <v>1509900203058</v>
      </c>
      <c r="U758" t="str">
        <f>IFERROR(__xludf.DUMMYFUNCTION("""COMPUTED_VALUE"""),"AC5079600")</f>
        <v>AC5079600</v>
      </c>
      <c r="V758" s="148">
        <f>IFERROR(__xludf.DUMMYFUNCTION("""COMPUTED_VALUE"""),45083.0)</f>
        <v>45083</v>
      </c>
      <c r="W758" s="148">
        <f>IFERROR(__xludf.DUMMYFUNCTION("""COMPUTED_VALUE"""),48735.0)</f>
        <v>48735</v>
      </c>
      <c r="X758" s="149">
        <f>IFERROR(__xludf.DUMMYFUNCTION("""COMPUTED_VALUE"""),48553.0)</f>
        <v>48553</v>
      </c>
      <c r="Y758" t="str">
        <f>IFERROR(__xludf.DUMMYFUNCTION("""COMPUTED_VALUE"""),"ปลอดภัย")</f>
        <v>ปลอดภัย</v>
      </c>
      <c r="Z758" t="str">
        <f>IFERROR(__xludf.DUMMYFUNCTION("""COMPUTED_VALUE"""),"Chiang Mai Province")</f>
        <v>Chiang Mai Province</v>
      </c>
      <c r="AA758" t="str">
        <f>IFERROR(__xludf.DUMMYFUNCTION("""COMPUTED_VALUE"""),"Pathumthani")</f>
        <v>Pathumthani</v>
      </c>
      <c r="AB758" t="str">
        <f>IFERROR(__xludf.DUMMYFUNCTION("""COMPUTED_VALUE"""),"089-637-9405")</f>
        <v>089-637-9405</v>
      </c>
      <c r="AC758" t="str">
        <f>IFERROR(__xludf.DUMMYFUNCTION("""COMPUTED_VALUE"""),"Nitchanum Nakkaree (Sister)")</f>
        <v>Nitchanum Nakkaree (Sister)</v>
      </c>
      <c r="AD758" t="str">
        <f>IFERROR(__xludf.DUMMYFUNCTION("""COMPUTED_VALUE"""),"nattidan@airasia.com")</f>
        <v>nattidan@airasia.com</v>
      </c>
    </row>
    <row r="759">
      <c r="A759" s="142">
        <f>IFERROR(__xludf.DUMMYFUNCTION("""COMPUTED_VALUE"""),84.0)</f>
        <v>84</v>
      </c>
      <c r="B759" t="str">
        <f>IFERROR(__xludf.DUMMYFUNCTION("""COMPUTED_VALUE"""),"TAA3292")</f>
        <v>TAA3292</v>
      </c>
      <c r="C759">
        <f>IFERROR(__xludf.DUMMYFUNCTION("""COMPUTED_VALUE"""),1005415.0)</f>
        <v>1005415</v>
      </c>
      <c r="D759" t="str">
        <f>IFERROR(__xludf.DUMMYFUNCTION("""COMPUTED_VALUE"""),"Mr.")</f>
        <v>Mr.</v>
      </c>
      <c r="E759" t="str">
        <f>IFERROR(__xludf.DUMMYFUNCTION("""COMPUTED_VALUE"""),"Ati")</f>
        <v>Ati</v>
      </c>
      <c r="F759" t="str">
        <f>IFERROR(__xludf.DUMMYFUNCTION("""COMPUTED_VALUE"""),"Sa-ngiamjit")</f>
        <v>Sa-ngiamjit</v>
      </c>
      <c r="G759" t="str">
        <f>IFERROR(__xludf.DUMMYFUNCTION("""COMPUTED_VALUE"""),"Ati Sa-ngiamjit")</f>
        <v>Ati Sa-ngiamjit</v>
      </c>
      <c r="H759" t="str">
        <f>IFERROR(__xludf.DUMMYFUNCTION("""COMPUTED_VALUE"""),"นาย")</f>
        <v>นาย</v>
      </c>
      <c r="I759" t="str">
        <f>IFERROR(__xludf.DUMMYFUNCTION("""COMPUTED_VALUE"""),"อติ")</f>
        <v>อติ</v>
      </c>
      <c r="J759" t="str">
        <f>IFERROR(__xludf.DUMMYFUNCTION("""COMPUTED_VALUE"""),"เสงี่ยมจิตร")</f>
        <v>เสงี่ยมจิตร</v>
      </c>
      <c r="K759" t="str">
        <f>IFERROR(__xludf.DUMMYFUNCTION("""COMPUTED_VALUE"""),"อติ เสงี่ยมจิตร")</f>
        <v>อติ เสงี่ยมจิตร</v>
      </c>
      <c r="L759" t="str">
        <f>IFERROR(__xludf.DUMMYFUNCTION("""COMPUTED_VALUE"""),"Atom อะตอม")</f>
        <v>Atom อะตอม</v>
      </c>
      <c r="M759" t="str">
        <f>IFERROR(__xludf.DUMMYFUNCTION("""COMPUTED_VALUE"""),"Cabin Crew - CNX")</f>
        <v>Cabin Crew - CNX</v>
      </c>
      <c r="N759" t="str">
        <f>IFERROR(__xludf.DUMMYFUNCTION("""COMPUTED_VALUE"""),"CNX")</f>
        <v>CNX</v>
      </c>
      <c r="O759" s="145" t="str">
        <f>IFERROR(__xludf.DUMMYFUNCTION("""COMPUTED_VALUE"""),"Up Home")</f>
        <v>Up Home</v>
      </c>
      <c r="P759" t="str">
        <f>IFERROR(__xludf.DUMMYFUNCTION("""COMPUTED_VALUE"""),"Active")</f>
        <v>Active</v>
      </c>
      <c r="R759" s="143">
        <f>IFERROR(__xludf.DUMMYFUNCTION("""COMPUTED_VALUE"""),31590.0)</f>
        <v>31590</v>
      </c>
      <c r="S759" s="146" t="str">
        <f>IFERROR(__xludf.DUMMYFUNCTION("""COMPUTED_VALUE"""),"084-6161331")</f>
        <v>084-6161331</v>
      </c>
      <c r="T759" s="147">
        <f>IFERROR(__xludf.DUMMYFUNCTION("""COMPUTED_VALUE"""),1.101400725281E12)</f>
        <v>1101400725281</v>
      </c>
      <c r="U759" t="str">
        <f>IFERROR(__xludf.DUMMYFUNCTION("""COMPUTED_VALUE"""),"AD2187814")</f>
        <v>AD2187814</v>
      </c>
      <c r="V759" s="148">
        <f>IFERROR(__xludf.DUMMYFUNCTION("""COMPUTED_VALUE"""),45747.0)</f>
        <v>45747</v>
      </c>
      <c r="W759" s="148">
        <f>IFERROR(__xludf.DUMMYFUNCTION("""COMPUTED_VALUE"""),49398.0)</f>
        <v>49398</v>
      </c>
      <c r="X759" s="149">
        <f>IFERROR(__xludf.DUMMYFUNCTION("""COMPUTED_VALUE"""),49217.0)</f>
        <v>49217</v>
      </c>
      <c r="Y759" t="str">
        <f>IFERROR(__xludf.DUMMYFUNCTION("""COMPUTED_VALUE"""),"ปลอดภัย")</f>
        <v>ปลอดภัย</v>
      </c>
      <c r="Z759" t="str">
        <f>IFERROR(__xludf.DUMMYFUNCTION("""COMPUTED_VALUE"""),"Bangkok")</f>
        <v>Bangkok</v>
      </c>
      <c r="AA759" t="str">
        <f>IFERROR(__xludf.DUMMYFUNCTION("""COMPUTED_VALUE"""),"Chiang Mai")</f>
        <v>Chiang Mai</v>
      </c>
      <c r="AB759" t="str">
        <f>IFERROR(__xludf.DUMMYFUNCTION("""COMPUTED_VALUE"""),"086-123-5700")</f>
        <v>086-123-5700</v>
      </c>
      <c r="AC759" t="str">
        <f>IFERROR(__xludf.DUMMYFUNCTION("""COMPUTED_VALUE"""),"Montri Sa-ngiamjit (Father)")</f>
        <v>Montri Sa-ngiamjit (Father)</v>
      </c>
      <c r="AD759" t="str">
        <f>IFERROR(__xludf.DUMMYFUNCTION("""COMPUTED_VALUE"""),"atis@airasia.com")</f>
        <v>atis@airasia.com</v>
      </c>
    </row>
    <row r="760">
      <c r="A760" s="142">
        <f>IFERROR(__xludf.DUMMYFUNCTION("""COMPUTED_VALUE"""),84.0)</f>
        <v>84</v>
      </c>
      <c r="B760" t="str">
        <f>IFERROR(__xludf.DUMMYFUNCTION("""COMPUTED_VALUE"""),"TAA4279")</f>
        <v>TAA4279</v>
      </c>
      <c r="C760">
        <f>IFERROR(__xludf.DUMMYFUNCTION("""COMPUTED_VALUE"""),1006593.0)</f>
        <v>1006593</v>
      </c>
      <c r="D760" t="str">
        <f>IFERROR(__xludf.DUMMYFUNCTION("""COMPUTED_VALUE"""),"Ms.")</f>
        <v>Ms.</v>
      </c>
      <c r="E760" t="str">
        <f>IFERROR(__xludf.DUMMYFUNCTION("""COMPUTED_VALUE"""),"Bhataranan")</f>
        <v>Bhataranan</v>
      </c>
      <c r="F760" t="str">
        <f>IFERROR(__xludf.DUMMYFUNCTION("""COMPUTED_VALUE"""),"Tanaree")</f>
        <v>Tanaree</v>
      </c>
      <c r="G760" t="str">
        <f>IFERROR(__xludf.DUMMYFUNCTION("""COMPUTED_VALUE"""),"Bhataranan Tanaree")</f>
        <v>Bhataranan Tanaree</v>
      </c>
      <c r="H760" t="str">
        <f>IFERROR(__xludf.DUMMYFUNCTION("""COMPUTED_VALUE"""),"นางสาว")</f>
        <v>นางสาว</v>
      </c>
      <c r="I760" t="str">
        <f>IFERROR(__xludf.DUMMYFUNCTION("""COMPUTED_VALUE"""),"ภัทรนันทน์")</f>
        <v>ภัทรนันทน์</v>
      </c>
      <c r="J760" t="str">
        <f>IFERROR(__xludf.DUMMYFUNCTION("""COMPUTED_VALUE"""),"ตันอารีย์")</f>
        <v>ตันอารีย์</v>
      </c>
      <c r="K760" t="str">
        <f>IFERROR(__xludf.DUMMYFUNCTION("""COMPUTED_VALUE"""),"ภัทรนันทน์ ตันอารีย์")</f>
        <v>ภัทรนันทน์ ตันอารีย์</v>
      </c>
      <c r="L760" t="str">
        <f>IFERROR(__xludf.DUMMYFUNCTION("""COMPUTED_VALUE"""),"Atom อะตอม")</f>
        <v>Atom อะตอม</v>
      </c>
      <c r="M760" t="str">
        <f>IFERROR(__xludf.DUMMYFUNCTION("""COMPUTED_VALUE"""),"Cabin Crew")</f>
        <v>Cabin Crew</v>
      </c>
      <c r="N760" t="str">
        <f>IFERROR(__xludf.DUMMYFUNCTION("""COMPUTED_VALUE"""),"DMK")</f>
        <v>DMK</v>
      </c>
      <c r="O760" s="145" t="str">
        <f>IFERROR(__xludf.DUMMYFUNCTION("""COMPUTED_VALUE"""),"Namfon Home")</f>
        <v>Namfon Home</v>
      </c>
      <c r="P760" t="str">
        <f>IFERROR(__xludf.DUMMYFUNCTION("""COMPUTED_VALUE"""),"Active")</f>
        <v>Active</v>
      </c>
      <c r="R760" s="143">
        <f>IFERROR(__xludf.DUMMYFUNCTION("""COMPUTED_VALUE"""),33281.0)</f>
        <v>33281</v>
      </c>
      <c r="S760" s="146" t="str">
        <f>IFERROR(__xludf.DUMMYFUNCTION("""COMPUTED_VALUE"""),"064-442-9295")</f>
        <v>064-442-9295</v>
      </c>
      <c r="T760" s="147">
        <f>IFERROR(__xludf.DUMMYFUNCTION("""COMPUTED_VALUE"""),1.10140188708E12)</f>
        <v>1101401887080</v>
      </c>
      <c r="U760" t="str">
        <f>IFERROR(__xludf.DUMMYFUNCTION("""COMPUTED_VALUE"""),"AC8185901")</f>
        <v>AC8185901</v>
      </c>
      <c r="V760" s="148">
        <f>IFERROR(__xludf.DUMMYFUNCTION("""COMPUTED_VALUE"""),46036.0)</f>
        <v>46036</v>
      </c>
      <c r="W760" s="148">
        <f>IFERROR(__xludf.DUMMYFUNCTION("""COMPUTED_VALUE"""),49687.0)</f>
        <v>49687</v>
      </c>
      <c r="X760" s="149">
        <f>IFERROR(__xludf.DUMMYFUNCTION("""COMPUTED_VALUE"""),49503.0)</f>
        <v>49503</v>
      </c>
      <c r="Y760" t="str">
        <f>IFERROR(__xludf.DUMMYFUNCTION("""COMPUTED_VALUE"""),"ปลอดภัย")</f>
        <v>ปลอดภัย</v>
      </c>
      <c r="Z760" t="str">
        <f>IFERROR(__xludf.DUMMYFUNCTION("""COMPUTED_VALUE"""),"Bangkok")</f>
        <v>Bangkok</v>
      </c>
      <c r="AA760" t="str">
        <f>IFERROR(__xludf.DUMMYFUNCTION("""COMPUTED_VALUE"""),"Bangkok")</f>
        <v>Bangkok</v>
      </c>
      <c r="AB760" t="str">
        <f>IFERROR(__xludf.DUMMYFUNCTION("""COMPUTED_VALUE"""),"092-874-2878")</f>
        <v>092-874-2878</v>
      </c>
      <c r="AC760" t="str">
        <f>IFERROR(__xludf.DUMMYFUNCTION("""COMPUTED_VALUE"""),"Piyanan Tanaree")</f>
        <v>Piyanan Tanaree</v>
      </c>
      <c r="AD760" t="str">
        <f>IFERROR(__xludf.DUMMYFUNCTION("""COMPUTED_VALUE"""),"bhataranant@airasia.com")</f>
        <v>bhataranant@airasia.com</v>
      </c>
    </row>
    <row r="761">
      <c r="A761" s="142">
        <f>IFERROR(__xludf.DUMMYFUNCTION("""COMPUTED_VALUE"""),84.0)</f>
        <v>84</v>
      </c>
      <c r="B761" t="str">
        <f>IFERROR(__xludf.DUMMYFUNCTION("""COMPUTED_VALUE"""),"TAA4446")</f>
        <v>TAA4446</v>
      </c>
      <c r="C761">
        <f>IFERROR(__xludf.DUMMYFUNCTION("""COMPUTED_VALUE"""),1006850.0)</f>
        <v>1006850</v>
      </c>
      <c r="D761" t="str">
        <f>IFERROR(__xludf.DUMMYFUNCTION("""COMPUTED_VALUE"""),"Ms.")</f>
        <v>Ms.</v>
      </c>
      <c r="E761" t="str">
        <f>IFERROR(__xludf.DUMMYFUNCTION("""COMPUTED_VALUE"""),"Tanapat")</f>
        <v>Tanapat</v>
      </c>
      <c r="F761" t="str">
        <f>IFERROR(__xludf.DUMMYFUNCTION("""COMPUTED_VALUE"""),"Srimuang")</f>
        <v>Srimuang</v>
      </c>
      <c r="G761" t="str">
        <f>IFERROR(__xludf.DUMMYFUNCTION("""COMPUTED_VALUE"""),"Tanapat Srimuang")</f>
        <v>Tanapat Srimuang</v>
      </c>
      <c r="H761" t="str">
        <f>IFERROR(__xludf.DUMMYFUNCTION("""COMPUTED_VALUE"""),"นางสาว")</f>
        <v>นางสาว</v>
      </c>
      <c r="I761" t="str">
        <f>IFERROR(__xludf.DUMMYFUNCTION("""COMPUTED_VALUE"""),"ธนภัทร")</f>
        <v>ธนภัทร</v>
      </c>
      <c r="J761" t="str">
        <f>IFERROR(__xludf.DUMMYFUNCTION("""COMPUTED_VALUE"""),"ศรีม่วง")</f>
        <v>ศรีม่วง</v>
      </c>
      <c r="K761" t="str">
        <f>IFERROR(__xludf.DUMMYFUNCTION("""COMPUTED_VALUE"""),"ธนภัทร ศรีม่วง")</f>
        <v>ธนภัทร ศรีม่วง</v>
      </c>
      <c r="L761" t="str">
        <f>IFERROR(__xludf.DUMMYFUNCTION("""COMPUTED_VALUE"""),"Tonliew ต้นหลิว")</f>
        <v>Tonliew ต้นหลิว</v>
      </c>
      <c r="M761" t="str">
        <f>IFERROR(__xludf.DUMMYFUNCTION("""COMPUTED_VALUE"""),"Cabin Crew")</f>
        <v>Cabin Crew</v>
      </c>
      <c r="N761" t="str">
        <f>IFERROR(__xludf.DUMMYFUNCTION("""COMPUTED_VALUE"""),"DMK")</f>
        <v>DMK</v>
      </c>
      <c r="O761" s="145" t="str">
        <f>IFERROR(__xludf.DUMMYFUNCTION("""COMPUTED_VALUE"""),"Um Home")</f>
        <v>Um Home</v>
      </c>
      <c r="P761" t="str">
        <f>IFERROR(__xludf.DUMMYFUNCTION("""COMPUTED_VALUE"""),"Active")</f>
        <v>Active</v>
      </c>
      <c r="R761" s="143">
        <f>IFERROR(__xludf.DUMMYFUNCTION("""COMPUTED_VALUE"""),33245.0)</f>
        <v>33245</v>
      </c>
      <c r="S761" s="146" t="str">
        <f>IFERROR(__xludf.DUMMYFUNCTION("""COMPUTED_VALUE"""),"086-887-7470")</f>
        <v>086-887-7470</v>
      </c>
      <c r="T761" s="147">
        <f>IFERROR(__xludf.DUMMYFUNCTION("""COMPUTED_VALUE"""),1.100701290614E12)</f>
        <v>1100701290614</v>
      </c>
      <c r="U761" t="str">
        <f>IFERROR(__xludf.DUMMYFUNCTION("""COMPUTED_VALUE"""),"AC2248372")</f>
        <v>AC2248372</v>
      </c>
      <c r="V761" s="148">
        <f>IFERROR(__xludf.DUMMYFUNCTION("""COMPUTED_VALUE"""),44305.0)</f>
        <v>44305</v>
      </c>
      <c r="W761" s="148">
        <f>IFERROR(__xludf.DUMMYFUNCTION("""COMPUTED_VALUE"""),47956.0)</f>
        <v>47956</v>
      </c>
      <c r="X761" s="149">
        <f>IFERROR(__xludf.DUMMYFUNCTION("""COMPUTED_VALUE"""),47774.0)</f>
        <v>47774</v>
      </c>
      <c r="Y761" t="str">
        <f>IFERROR(__xludf.DUMMYFUNCTION("""COMPUTED_VALUE"""),"ปลอดภัย")</f>
        <v>ปลอดภัย</v>
      </c>
      <c r="Z761" t="str">
        <f>IFERROR(__xludf.DUMMYFUNCTION("""COMPUTED_VALUE"""),"Bangkok")</f>
        <v>Bangkok</v>
      </c>
      <c r="AA761" t="str">
        <f>IFERROR(__xludf.DUMMYFUNCTION("""COMPUTED_VALUE"""),"Bangkok")</f>
        <v>Bangkok</v>
      </c>
      <c r="AB761" t="str">
        <f>IFERROR(__xludf.DUMMYFUNCTION("""COMPUTED_VALUE"""),"083-9291625")</f>
        <v>083-9291625</v>
      </c>
      <c r="AC761" t="str">
        <f>IFERROR(__xludf.DUMMYFUNCTION("""COMPUTED_VALUE"""),"Kanda Srimuang (Mother)")</f>
        <v>Kanda Srimuang (Mother)</v>
      </c>
      <c r="AD761" t="str">
        <f>IFERROR(__xludf.DUMMYFUNCTION("""COMPUTED_VALUE"""),"tanapatr@airasia.com")</f>
        <v>tanapatr@airasia.com</v>
      </c>
    </row>
    <row r="762">
      <c r="A762" s="142">
        <f>IFERROR(__xludf.DUMMYFUNCTION("""COMPUTED_VALUE"""),84.0)</f>
        <v>84</v>
      </c>
      <c r="B762" t="str">
        <f>IFERROR(__xludf.DUMMYFUNCTION("""COMPUTED_VALUE"""),"TAA4649")</f>
        <v>TAA4649</v>
      </c>
      <c r="C762">
        <f>IFERROR(__xludf.DUMMYFUNCTION("""COMPUTED_VALUE"""),1007286.0)</f>
        <v>1007286</v>
      </c>
      <c r="D762" t="str">
        <f>IFERROR(__xludf.DUMMYFUNCTION("""COMPUTED_VALUE"""),"Ms.")</f>
        <v>Ms.</v>
      </c>
      <c r="E762" t="str">
        <f>IFERROR(__xludf.DUMMYFUNCTION("""COMPUTED_VALUE"""),"Benyathip")</f>
        <v>Benyathip</v>
      </c>
      <c r="F762" t="str">
        <f>IFERROR(__xludf.DUMMYFUNCTION("""COMPUTED_VALUE"""),"Eiamchai")</f>
        <v>Eiamchai</v>
      </c>
      <c r="G762" t="str">
        <f>IFERROR(__xludf.DUMMYFUNCTION("""COMPUTED_VALUE"""),"Benyathip Eiamchai")</f>
        <v>Benyathip Eiamchai</v>
      </c>
      <c r="H762" t="str">
        <f>IFERROR(__xludf.DUMMYFUNCTION("""COMPUTED_VALUE"""),"นางสาว")</f>
        <v>นางสาว</v>
      </c>
      <c r="I762" t="str">
        <f>IFERROR(__xludf.DUMMYFUNCTION("""COMPUTED_VALUE"""),"เบญญทิพย์")</f>
        <v>เบญญทิพย์</v>
      </c>
      <c r="J762" t="str">
        <f>IFERROR(__xludf.DUMMYFUNCTION("""COMPUTED_VALUE"""),"เอี่ยมชัย")</f>
        <v>เอี่ยมชัย</v>
      </c>
      <c r="K762" t="str">
        <f>IFERROR(__xludf.DUMMYFUNCTION("""COMPUTED_VALUE"""),"เบญญทิพย์ เอี่ยมชัย")</f>
        <v>เบญญทิพย์ เอี่ยมชัย</v>
      </c>
      <c r="L762" t="str">
        <f>IFERROR(__xludf.DUMMYFUNCTION("""COMPUTED_VALUE"""),"Thip ทิพย์")</f>
        <v>Thip ทิพย์</v>
      </c>
      <c r="M762" t="str">
        <f>IFERROR(__xludf.DUMMYFUNCTION("""COMPUTED_VALUE"""),"Cabin Crew")</f>
        <v>Cabin Crew</v>
      </c>
      <c r="N762" t="str">
        <f>IFERROR(__xludf.DUMMYFUNCTION("""COMPUTED_VALUE"""),"DMK")</f>
        <v>DMK</v>
      </c>
      <c r="O762" s="145" t="str">
        <f>IFERROR(__xludf.DUMMYFUNCTION("""COMPUTED_VALUE"""),"Toffy Home")</f>
        <v>Toffy Home</v>
      </c>
      <c r="P762" t="str">
        <f>IFERROR(__xludf.DUMMYFUNCTION("""COMPUTED_VALUE"""),"Active")</f>
        <v>Active</v>
      </c>
      <c r="R762" s="143">
        <f>IFERROR(__xludf.DUMMYFUNCTION("""COMPUTED_VALUE"""),33015.0)</f>
        <v>33015</v>
      </c>
      <c r="S762" s="146" t="str">
        <f>IFERROR(__xludf.DUMMYFUNCTION("""COMPUTED_VALUE"""),"099-054-6224")</f>
        <v>099-054-6224</v>
      </c>
      <c r="T762" s="147">
        <f>IFERROR(__xludf.DUMMYFUNCTION("""COMPUTED_VALUE"""),1.100500475714E12)</f>
        <v>1100500475714</v>
      </c>
      <c r="U762" t="str">
        <f>IFERROR(__xludf.DUMMYFUNCTION("""COMPUTED_VALUE"""),"AD1810254")</f>
        <v>AD1810254</v>
      </c>
      <c r="V762" s="148">
        <f>IFERROR(__xludf.DUMMYFUNCTION("""COMPUTED_VALUE"""),45457.0)</f>
        <v>45457</v>
      </c>
      <c r="W762" s="148">
        <f>IFERROR(__xludf.DUMMYFUNCTION("""COMPUTED_VALUE"""),49108.0)</f>
        <v>49108</v>
      </c>
      <c r="X762" s="149">
        <f>IFERROR(__xludf.DUMMYFUNCTION("""COMPUTED_VALUE"""),48926.0)</f>
        <v>48926</v>
      </c>
      <c r="Y762" t="str">
        <f>IFERROR(__xludf.DUMMYFUNCTION("""COMPUTED_VALUE"""),"ปลอดภัย")</f>
        <v>ปลอดภัย</v>
      </c>
      <c r="Z762" t="str">
        <f>IFERROR(__xludf.DUMMYFUNCTION("""COMPUTED_VALUE"""),"Bangkok")</f>
        <v>Bangkok</v>
      </c>
      <c r="AA762" t="str">
        <f>IFERROR(__xludf.DUMMYFUNCTION("""COMPUTED_VALUE"""),"Pathum Thani")</f>
        <v>Pathum Thani</v>
      </c>
      <c r="AB762" t="str">
        <f>IFERROR(__xludf.DUMMYFUNCTION("""COMPUTED_VALUE"""),"085-095-3524")</f>
        <v>085-095-3524</v>
      </c>
      <c r="AC762" t="str">
        <f>IFERROR(__xludf.DUMMYFUNCTION("""COMPUTED_VALUE"""),"Tinakorn Eiamchai (Father)")</f>
        <v>Tinakorn Eiamchai (Father)</v>
      </c>
      <c r="AD762" t="str">
        <f>IFERROR(__xludf.DUMMYFUNCTION("""COMPUTED_VALUE"""),"benyathipe@airasia.com")</f>
        <v>benyathipe@airasia.com</v>
      </c>
    </row>
    <row r="763">
      <c r="A763" s="142">
        <f>IFERROR(__xludf.DUMMYFUNCTION("""COMPUTED_VALUE"""),84.0)</f>
        <v>84</v>
      </c>
      <c r="B763" t="str">
        <f>IFERROR(__xludf.DUMMYFUNCTION("""COMPUTED_VALUE"""),"TAA4645")</f>
        <v>TAA4645</v>
      </c>
      <c r="C763">
        <f>IFERROR(__xludf.DUMMYFUNCTION("""COMPUTED_VALUE"""),1007319.0)</f>
        <v>1007319</v>
      </c>
      <c r="D763" t="str">
        <f>IFERROR(__xludf.DUMMYFUNCTION("""COMPUTED_VALUE"""),"Mr.")</f>
        <v>Mr.</v>
      </c>
      <c r="E763" t="str">
        <f>IFERROR(__xludf.DUMMYFUNCTION("""COMPUTED_VALUE"""),"Setthachart")</f>
        <v>Setthachart</v>
      </c>
      <c r="F763" t="str">
        <f>IFERROR(__xludf.DUMMYFUNCTION("""COMPUTED_VALUE"""),"Kittithanakorn")</f>
        <v>Kittithanakorn</v>
      </c>
      <c r="G763" t="str">
        <f>IFERROR(__xludf.DUMMYFUNCTION("""COMPUTED_VALUE"""),"Setthachart Kittithanakorn")</f>
        <v>Setthachart Kittithanakorn</v>
      </c>
      <c r="H763" t="str">
        <f>IFERROR(__xludf.DUMMYFUNCTION("""COMPUTED_VALUE"""),"นาย")</f>
        <v>นาย</v>
      </c>
      <c r="I763" t="str">
        <f>IFERROR(__xludf.DUMMYFUNCTION("""COMPUTED_VALUE"""),"เศรษฐ์ชาติ")</f>
        <v>เศรษฐ์ชาติ</v>
      </c>
      <c r="J763" t="str">
        <f>IFERROR(__xludf.DUMMYFUNCTION("""COMPUTED_VALUE"""),"กิตติธนากร")</f>
        <v>กิตติธนากร</v>
      </c>
      <c r="K763" t="str">
        <f>IFERROR(__xludf.DUMMYFUNCTION("""COMPUTED_VALUE"""),"เศรษฐ์ชาติ กิตติธนากร")</f>
        <v>เศรษฐ์ชาติ กิตติธนากร</v>
      </c>
      <c r="L763" t="str">
        <f>IFERROR(__xludf.DUMMYFUNCTION("""COMPUTED_VALUE"""),"Guaytiew ก๋วยเตี๊ยว")</f>
        <v>Guaytiew ก๋วยเตี๊ยว</v>
      </c>
      <c r="M763" t="str">
        <f>IFERROR(__xludf.DUMMYFUNCTION("""COMPUTED_VALUE"""),"Cabin Crew")</f>
        <v>Cabin Crew</v>
      </c>
      <c r="N763" t="str">
        <f>IFERROR(__xludf.DUMMYFUNCTION("""COMPUTED_VALUE"""),"DMK")</f>
        <v>DMK</v>
      </c>
      <c r="O763" s="145" t="str">
        <f>IFERROR(__xludf.DUMMYFUNCTION("""COMPUTED_VALUE"""),"Namfon Home")</f>
        <v>Namfon Home</v>
      </c>
      <c r="P763" t="str">
        <f>IFERROR(__xludf.DUMMYFUNCTION("""COMPUTED_VALUE"""),"Active")</f>
        <v>Active</v>
      </c>
      <c r="R763" s="143">
        <f>IFERROR(__xludf.DUMMYFUNCTION("""COMPUTED_VALUE"""),33456.0)</f>
        <v>33456</v>
      </c>
      <c r="S763" s="146" t="str">
        <f>IFERROR(__xludf.DUMMYFUNCTION("""COMPUTED_VALUE"""),"080-441-0904")</f>
        <v>080-441-0904</v>
      </c>
      <c r="T763" s="147">
        <f>IFERROR(__xludf.DUMMYFUNCTION("""COMPUTED_VALUE"""),1.102700115128E12)</f>
        <v>1102700115128</v>
      </c>
      <c r="U763" t="str">
        <f>IFERROR(__xludf.DUMMYFUNCTION("""COMPUTED_VALUE"""),"AC4454646")</f>
        <v>AC4454646</v>
      </c>
      <c r="V763" s="148">
        <f>IFERROR(__xludf.DUMMYFUNCTION("""COMPUTED_VALUE"""),44963.0)</f>
        <v>44963</v>
      </c>
      <c r="W763" s="148">
        <f>IFERROR(__xludf.DUMMYFUNCTION("""COMPUTED_VALUE"""),48615.0)</f>
        <v>48615</v>
      </c>
      <c r="X763" s="149">
        <f>IFERROR(__xludf.DUMMYFUNCTION("""COMPUTED_VALUE"""),48431.0)</f>
        <v>48431</v>
      </c>
      <c r="Y763" t="str">
        <f>IFERROR(__xludf.DUMMYFUNCTION("""COMPUTED_VALUE"""),"ปลอดภัย")</f>
        <v>ปลอดภัย</v>
      </c>
      <c r="Z763" t="str">
        <f>IFERROR(__xludf.DUMMYFUNCTION("""COMPUTED_VALUE"""),"Bangkok")</f>
        <v>Bangkok</v>
      </c>
      <c r="AA763" t="str">
        <f>IFERROR(__xludf.DUMMYFUNCTION("""COMPUTED_VALUE"""),"Bangkok")</f>
        <v>Bangkok</v>
      </c>
      <c r="AB763" t="str">
        <f>IFERROR(__xludf.DUMMYFUNCTION("""COMPUTED_VALUE"""),"090-983-4589")</f>
        <v>090-983-4589</v>
      </c>
      <c r="AC763" t="str">
        <f>IFERROR(__xludf.DUMMYFUNCTION("""COMPUTED_VALUE"""),"Chonlatee U-Thong (Friend)")</f>
        <v>Chonlatee U-Thong (Friend)</v>
      </c>
      <c r="AD763" t="str">
        <f>IFERROR(__xludf.DUMMYFUNCTION("""COMPUTED_VALUE"""),"setthachartk@airasia.com")</f>
        <v>setthachartk@airasia.com</v>
      </c>
    </row>
    <row r="764">
      <c r="A764" s="142">
        <f>IFERROR(__xludf.DUMMYFUNCTION("""COMPUTED_VALUE"""),84.0)</f>
        <v>84</v>
      </c>
      <c r="B764" t="str">
        <f>IFERROR(__xludf.DUMMYFUNCTION("""COMPUTED_VALUE"""),"TAA4783")</f>
        <v>TAA4783</v>
      </c>
      <c r="C764">
        <f>IFERROR(__xludf.DUMMYFUNCTION("""COMPUTED_VALUE"""),1007728.0)</f>
        <v>1007728</v>
      </c>
      <c r="D764" t="str">
        <f>IFERROR(__xludf.DUMMYFUNCTION("""COMPUTED_VALUE"""),"Ms.")</f>
        <v>Ms.</v>
      </c>
      <c r="E764" t="str">
        <f>IFERROR(__xludf.DUMMYFUNCTION("""COMPUTED_VALUE"""),"Suthasinee")</f>
        <v>Suthasinee</v>
      </c>
      <c r="F764" t="str">
        <f>IFERROR(__xludf.DUMMYFUNCTION("""COMPUTED_VALUE"""),"Thaeothaisong")</f>
        <v>Thaeothaisong</v>
      </c>
      <c r="G764" t="str">
        <f>IFERROR(__xludf.DUMMYFUNCTION("""COMPUTED_VALUE"""),"Suthasinee Thaeothaisong")</f>
        <v>Suthasinee Thaeothaisong</v>
      </c>
      <c r="H764" t="str">
        <f>IFERROR(__xludf.DUMMYFUNCTION("""COMPUTED_VALUE"""),"นางสาว")</f>
        <v>นางสาว</v>
      </c>
      <c r="I764" t="str">
        <f>IFERROR(__xludf.DUMMYFUNCTION("""COMPUTED_VALUE"""),"สุธาสินี")</f>
        <v>สุธาสินี</v>
      </c>
      <c r="J764" t="str">
        <f>IFERROR(__xludf.DUMMYFUNCTION("""COMPUTED_VALUE"""),"แถวไธสงค์")</f>
        <v>แถวไธสงค์</v>
      </c>
      <c r="K764" t="str">
        <f>IFERROR(__xludf.DUMMYFUNCTION("""COMPUTED_VALUE"""),"สุธาสินี แถวไธสงค์")</f>
        <v>สุธาสินี แถวไธสงค์</v>
      </c>
      <c r="L764" t="str">
        <f>IFERROR(__xludf.DUMMYFUNCTION("""COMPUTED_VALUE"""),"Puii ปุย")</f>
        <v>Puii ปุย</v>
      </c>
      <c r="M764" t="str">
        <f>IFERROR(__xludf.DUMMYFUNCTION("""COMPUTED_VALUE"""),"Cabin Crew")</f>
        <v>Cabin Crew</v>
      </c>
      <c r="N764" t="str">
        <f>IFERROR(__xludf.DUMMYFUNCTION("""COMPUTED_VALUE"""),"DMK")</f>
        <v>DMK</v>
      </c>
      <c r="O764" s="145" t="str">
        <f>IFERROR(__xludf.DUMMYFUNCTION("""COMPUTED_VALUE"""),"Namfon Home")</f>
        <v>Namfon Home</v>
      </c>
      <c r="P764" t="str">
        <f>IFERROR(__xludf.DUMMYFUNCTION("""COMPUTED_VALUE"""),"Active")</f>
        <v>Active</v>
      </c>
      <c r="R764" s="143">
        <f>IFERROR(__xludf.DUMMYFUNCTION("""COMPUTED_VALUE"""),32759.0)</f>
        <v>32759</v>
      </c>
      <c r="S764" s="146" t="str">
        <f>IFERROR(__xludf.DUMMYFUNCTION("""COMPUTED_VALUE"""),"098-862-2048")</f>
        <v>098-862-2048</v>
      </c>
      <c r="T764" s="147">
        <f>IFERROR(__xludf.DUMMYFUNCTION("""COMPUTED_VALUE"""),1.411100156784E12)</f>
        <v>1411100156784</v>
      </c>
      <c r="U764" t="str">
        <f>IFERROR(__xludf.DUMMYFUNCTION("""COMPUTED_VALUE"""),"AC4320025")</f>
        <v>AC4320025</v>
      </c>
      <c r="V764" s="148">
        <f>IFERROR(__xludf.DUMMYFUNCTION("""COMPUTED_VALUE"""),44929.0)</f>
        <v>44929</v>
      </c>
      <c r="W764" s="148">
        <f>IFERROR(__xludf.DUMMYFUNCTION("""COMPUTED_VALUE"""),48581.0)</f>
        <v>48581</v>
      </c>
      <c r="X764" s="149">
        <f>IFERROR(__xludf.DUMMYFUNCTION("""COMPUTED_VALUE"""),48397.0)</f>
        <v>48397</v>
      </c>
      <c r="Y764" t="str">
        <f>IFERROR(__xludf.DUMMYFUNCTION("""COMPUTED_VALUE"""),"ปลอดภัย")</f>
        <v>ปลอดภัย</v>
      </c>
      <c r="Z764" t="str">
        <f>IFERROR(__xludf.DUMMYFUNCTION("""COMPUTED_VALUE"""),"Udon Thani Province")</f>
        <v>Udon Thani Province</v>
      </c>
      <c r="AA764" t="str">
        <f>IFERROR(__xludf.DUMMYFUNCTION("""COMPUTED_VALUE"""),"Donmuang")</f>
        <v>Donmuang</v>
      </c>
      <c r="AB764" t="str">
        <f>IFERROR(__xludf.DUMMYFUNCTION("""COMPUTED_VALUE"""),"086-8587004")</f>
        <v>086-8587004</v>
      </c>
      <c r="AC764" t="str">
        <f>IFERROR(__xludf.DUMMYFUNCTION("""COMPUTED_VALUE"""),"Adisorn Boonchai (Friend)")</f>
        <v>Adisorn Boonchai (Friend)</v>
      </c>
      <c r="AD764" t="str">
        <f>IFERROR(__xludf.DUMMYFUNCTION("""COMPUTED_VALUE"""),"suthasineet@airasia.com")</f>
        <v>suthasineet@airasia.com</v>
      </c>
    </row>
    <row r="765">
      <c r="A765" s="142">
        <f>IFERROR(__xludf.DUMMYFUNCTION("""COMPUTED_VALUE"""),84.0)</f>
        <v>84</v>
      </c>
      <c r="B765" t="str">
        <f>IFERROR(__xludf.DUMMYFUNCTION("""COMPUTED_VALUE"""),"TAA5042")</f>
        <v>TAA5042</v>
      </c>
      <c r="C765">
        <f>IFERROR(__xludf.DUMMYFUNCTION("""COMPUTED_VALUE"""),1008227.0)</f>
        <v>1008227</v>
      </c>
      <c r="D765" t="str">
        <f>IFERROR(__xludf.DUMMYFUNCTION("""COMPUTED_VALUE"""),"Ms.")</f>
        <v>Ms.</v>
      </c>
      <c r="E765" t="str">
        <f>IFERROR(__xludf.DUMMYFUNCTION("""COMPUTED_VALUE"""),"Preeyakorn")</f>
        <v>Preeyakorn</v>
      </c>
      <c r="F765" t="str">
        <f>IFERROR(__xludf.DUMMYFUNCTION("""COMPUTED_VALUE"""),"Rojanadumrong")</f>
        <v>Rojanadumrong</v>
      </c>
      <c r="G765" t="str">
        <f>IFERROR(__xludf.DUMMYFUNCTION("""COMPUTED_VALUE"""),"Preeyakorn Rojanadumrong")</f>
        <v>Preeyakorn Rojanadumrong</v>
      </c>
      <c r="H765" t="str">
        <f>IFERROR(__xludf.DUMMYFUNCTION("""COMPUTED_VALUE"""),"นางสาว")</f>
        <v>นางสาว</v>
      </c>
      <c r="I765" t="str">
        <f>IFERROR(__xludf.DUMMYFUNCTION("""COMPUTED_VALUE"""),"ปรียกร")</f>
        <v>ปรียกร</v>
      </c>
      <c r="J765" t="str">
        <f>IFERROR(__xludf.DUMMYFUNCTION("""COMPUTED_VALUE"""),"โรจนดำรงค์")</f>
        <v>โรจนดำรงค์</v>
      </c>
      <c r="K765" t="str">
        <f>IFERROR(__xludf.DUMMYFUNCTION("""COMPUTED_VALUE"""),"ปรียกร โรจนดำรงค์")</f>
        <v>ปรียกร โรจนดำรงค์</v>
      </c>
      <c r="L765" t="str">
        <f>IFERROR(__xludf.DUMMYFUNCTION("""COMPUTED_VALUE"""),"Gam แก้ม")</f>
        <v>Gam แก้ม</v>
      </c>
      <c r="M765" t="str">
        <f>IFERROR(__xludf.DUMMYFUNCTION("""COMPUTED_VALUE"""),"Cabin Crew")</f>
        <v>Cabin Crew</v>
      </c>
      <c r="N765" t="str">
        <f>IFERROR(__xludf.DUMMYFUNCTION("""COMPUTED_VALUE"""),"DMK")</f>
        <v>DMK</v>
      </c>
      <c r="O765" s="145" t="str">
        <f>IFERROR(__xludf.DUMMYFUNCTION("""COMPUTED_VALUE"""),"Up Home")</f>
        <v>Up Home</v>
      </c>
      <c r="P765" t="str">
        <f>IFERROR(__xludf.DUMMYFUNCTION("""COMPUTED_VALUE"""),"Active")</f>
        <v>Active</v>
      </c>
      <c r="R765" s="143">
        <f>IFERROR(__xludf.DUMMYFUNCTION("""COMPUTED_VALUE"""),32976.0)</f>
        <v>32976</v>
      </c>
      <c r="S765" s="146" t="str">
        <f>IFERROR(__xludf.DUMMYFUNCTION("""COMPUTED_VALUE"""),"089-956-3919")</f>
        <v>089-956-3919</v>
      </c>
      <c r="T765" s="147">
        <f>IFERROR(__xludf.DUMMYFUNCTION("""COMPUTED_VALUE"""),1.103700097953E12)</f>
        <v>1103700097953</v>
      </c>
      <c r="U765" t="str">
        <f>IFERROR(__xludf.DUMMYFUNCTION("""COMPUTED_VALUE"""),"AC6781975")</f>
        <v>AC6781975</v>
      </c>
      <c r="V765" s="148">
        <f>IFERROR(__xludf.DUMMYFUNCTION("""COMPUTED_VALUE"""),45432.0)</f>
        <v>45432</v>
      </c>
      <c r="W765" s="148">
        <f>IFERROR(__xludf.DUMMYFUNCTION("""COMPUTED_VALUE"""),49083.0)</f>
        <v>49083</v>
      </c>
      <c r="X765" s="149">
        <f>IFERROR(__xludf.DUMMYFUNCTION("""COMPUTED_VALUE"""),48902.0)</f>
        <v>48902</v>
      </c>
      <c r="Y765" t="str">
        <f>IFERROR(__xludf.DUMMYFUNCTION("""COMPUTED_VALUE"""),"ปลอดภัย")</f>
        <v>ปลอดภัย</v>
      </c>
      <c r="Z765" t="str">
        <f>IFERROR(__xludf.DUMMYFUNCTION("""COMPUTED_VALUE"""),"Bangkok")</f>
        <v>Bangkok</v>
      </c>
      <c r="AA765" t="str">
        <f>IFERROR(__xludf.DUMMYFUNCTION("""COMPUTED_VALUE"""),"Jatujak")</f>
        <v>Jatujak</v>
      </c>
      <c r="AB765" t="str">
        <f>IFERROR(__xludf.DUMMYFUNCTION("""COMPUTED_VALUE"""),"081-8183296")</f>
        <v>081-8183296</v>
      </c>
      <c r="AC765" t="str">
        <f>IFERROR(__xludf.DUMMYFUNCTION("""COMPUTED_VALUE"""),"Kitinarong Rojanadumrong (Father)")</f>
        <v>Kitinarong Rojanadumrong (Father)</v>
      </c>
      <c r="AD765" t="str">
        <f>IFERROR(__xludf.DUMMYFUNCTION("""COMPUTED_VALUE"""),"preeyakornr@airasia.com")</f>
        <v>preeyakornr@airasia.com</v>
      </c>
    </row>
    <row r="766">
      <c r="A766" s="142">
        <f>IFERROR(__xludf.DUMMYFUNCTION("""COMPUTED_VALUE"""),84.0)</f>
        <v>84</v>
      </c>
      <c r="B766" t="str">
        <f>IFERROR(__xludf.DUMMYFUNCTION("""COMPUTED_VALUE"""),"TAA5274")</f>
        <v>TAA5274</v>
      </c>
      <c r="C766">
        <f>IFERROR(__xludf.DUMMYFUNCTION("""COMPUTED_VALUE"""),1008359.0)</f>
        <v>1008359</v>
      </c>
      <c r="D766" t="str">
        <f>IFERROR(__xludf.DUMMYFUNCTION("""COMPUTED_VALUE"""),"Mr.")</f>
        <v>Mr.</v>
      </c>
      <c r="E766" t="str">
        <f>IFERROR(__xludf.DUMMYFUNCTION("""COMPUTED_VALUE"""),"Peerapol")</f>
        <v>Peerapol</v>
      </c>
      <c r="F766" t="str">
        <f>IFERROR(__xludf.DUMMYFUNCTION("""COMPUTED_VALUE"""),"Umpawan")</f>
        <v>Umpawan</v>
      </c>
      <c r="G766" t="str">
        <f>IFERROR(__xludf.DUMMYFUNCTION("""COMPUTED_VALUE"""),"Peerapol Umpawan")</f>
        <v>Peerapol Umpawan</v>
      </c>
      <c r="H766" t="str">
        <f>IFERROR(__xludf.DUMMYFUNCTION("""COMPUTED_VALUE"""),"นาย")</f>
        <v>นาย</v>
      </c>
      <c r="I766" t="str">
        <f>IFERROR(__xludf.DUMMYFUNCTION("""COMPUTED_VALUE"""),"พีรพล")</f>
        <v>พีรพล</v>
      </c>
      <c r="J766" t="str">
        <f>IFERROR(__xludf.DUMMYFUNCTION("""COMPUTED_VALUE"""),"อัมพวัน")</f>
        <v>อัมพวัน</v>
      </c>
      <c r="K766" t="str">
        <f>IFERROR(__xludf.DUMMYFUNCTION("""COMPUTED_VALUE"""),"พีรพล อัมพวัน")</f>
        <v>พีรพล อัมพวัน</v>
      </c>
      <c r="L766" t="str">
        <f>IFERROR(__xludf.DUMMYFUNCTION("""COMPUTED_VALUE"""),"Boat โบ๊ต")</f>
        <v>Boat โบ๊ต</v>
      </c>
      <c r="M766" t="str">
        <f>IFERROR(__xludf.DUMMYFUNCTION("""COMPUTED_VALUE"""),"Cabin Crew")</f>
        <v>Cabin Crew</v>
      </c>
      <c r="N766" t="str">
        <f>IFERROR(__xludf.DUMMYFUNCTION("""COMPUTED_VALUE"""),"DMK")</f>
        <v>DMK</v>
      </c>
      <c r="O766" s="145" t="str">
        <f>IFERROR(__xludf.DUMMYFUNCTION("""COMPUTED_VALUE"""),"Um Home")</f>
        <v>Um Home</v>
      </c>
      <c r="P766" t="str">
        <f>IFERROR(__xludf.DUMMYFUNCTION("""COMPUTED_VALUE"""),"Active")</f>
        <v>Active</v>
      </c>
      <c r="R766" s="143">
        <f>IFERROR(__xludf.DUMMYFUNCTION("""COMPUTED_VALUE"""),33045.0)</f>
        <v>33045</v>
      </c>
      <c r="S766" s="146">
        <f>IFERROR(__xludf.DUMMYFUNCTION("""COMPUTED_VALUE"""),8.93591592E8)</f>
        <v>893591592</v>
      </c>
      <c r="T766" s="147">
        <f>IFERROR(__xludf.DUMMYFUNCTION("""COMPUTED_VALUE"""),1.101401701669E12)</f>
        <v>1101401701669</v>
      </c>
      <c r="U766" t="str">
        <f>IFERROR(__xludf.DUMMYFUNCTION("""COMPUTED_VALUE"""),"AC8118186")</f>
        <v>AC8118186</v>
      </c>
      <c r="V766" s="148">
        <f>IFERROR(__xludf.DUMMYFUNCTION("""COMPUTED_VALUE"""),45723.0)</f>
        <v>45723</v>
      </c>
      <c r="W766" s="148">
        <f>IFERROR(__xludf.DUMMYFUNCTION("""COMPUTED_VALUE"""),49374.0)</f>
        <v>49374</v>
      </c>
      <c r="X766" s="149">
        <f>IFERROR(__xludf.DUMMYFUNCTION("""COMPUTED_VALUE"""),49193.0)</f>
        <v>49193</v>
      </c>
      <c r="Y766" t="str">
        <f>IFERROR(__xludf.DUMMYFUNCTION("""COMPUTED_VALUE"""),"ปลอดภัย")</f>
        <v>ปลอดภัย</v>
      </c>
      <c r="Z766" t="str">
        <f>IFERROR(__xludf.DUMMYFUNCTION("""COMPUTED_VALUE"""),"Bangkok")</f>
        <v>Bangkok</v>
      </c>
      <c r="AA766" t="str">
        <f>IFERROR(__xludf.DUMMYFUNCTION("""COMPUTED_VALUE"""),"Donmueang")</f>
        <v>Donmueang</v>
      </c>
      <c r="AB766" t="str">
        <f>IFERROR(__xludf.DUMMYFUNCTION("""COMPUTED_VALUE"""),"086-553-6114")</f>
        <v>086-553-6114</v>
      </c>
      <c r="AC766" t="str">
        <f>IFERROR(__xludf.DUMMYFUNCTION("""COMPUTED_VALUE"""),"Supaporn Umpawan (Sister)")</f>
        <v>Supaporn Umpawan (Sister)</v>
      </c>
      <c r="AD766" t="str">
        <f>IFERROR(__xludf.DUMMYFUNCTION("""COMPUTED_VALUE"""),"peerapolu@airasia.com")</f>
        <v>peerapolu@airasia.com</v>
      </c>
    </row>
    <row r="767">
      <c r="A767" s="142">
        <f>IFERROR(__xludf.DUMMYFUNCTION("""COMPUTED_VALUE"""),84.0)</f>
        <v>84</v>
      </c>
      <c r="B767" t="str">
        <f>IFERROR(__xludf.DUMMYFUNCTION("""COMPUTED_VALUE"""),"TAA5273")</f>
        <v>TAA5273</v>
      </c>
      <c r="C767">
        <f>IFERROR(__xludf.DUMMYFUNCTION("""COMPUTED_VALUE"""),1008372.0)</f>
        <v>1008372</v>
      </c>
      <c r="D767" t="str">
        <f>IFERROR(__xludf.DUMMYFUNCTION("""COMPUTED_VALUE"""),"Ms.")</f>
        <v>Ms.</v>
      </c>
      <c r="E767" t="str">
        <f>IFERROR(__xludf.DUMMYFUNCTION("""COMPUTED_VALUE"""),"Sirinya")</f>
        <v>Sirinya</v>
      </c>
      <c r="F767" t="str">
        <f>IFERROR(__xludf.DUMMYFUNCTION("""COMPUTED_VALUE"""),"Maydan")</f>
        <v>Maydan</v>
      </c>
      <c r="G767" t="str">
        <f>IFERROR(__xludf.DUMMYFUNCTION("""COMPUTED_VALUE"""),"Sirinya Maydan")</f>
        <v>Sirinya Maydan</v>
      </c>
      <c r="H767" t="str">
        <f>IFERROR(__xludf.DUMMYFUNCTION("""COMPUTED_VALUE"""),"นางสาว")</f>
        <v>นางสาว</v>
      </c>
      <c r="I767" t="str">
        <f>IFERROR(__xludf.DUMMYFUNCTION("""COMPUTED_VALUE"""),"ศิรินยา")</f>
        <v>ศิรินยา</v>
      </c>
      <c r="J767" t="str">
        <f>IFERROR(__xludf.DUMMYFUNCTION("""COMPUTED_VALUE"""),"เมดาน")</f>
        <v>เมดาน</v>
      </c>
      <c r="K767" t="str">
        <f>IFERROR(__xludf.DUMMYFUNCTION("""COMPUTED_VALUE"""),"ศิรินยา เมดาน")</f>
        <v>ศิรินยา เมดาน</v>
      </c>
      <c r="L767" t="str">
        <f>IFERROR(__xludf.DUMMYFUNCTION("""COMPUTED_VALUE"""),"Grace เกรซ")</f>
        <v>Grace เกรซ</v>
      </c>
      <c r="M767" t="str">
        <f>IFERROR(__xludf.DUMMYFUNCTION("""COMPUTED_VALUE"""),"Cabin Crew")</f>
        <v>Cabin Crew</v>
      </c>
      <c r="N767" t="str">
        <f>IFERROR(__xludf.DUMMYFUNCTION("""COMPUTED_VALUE"""),"DMK")</f>
        <v>DMK</v>
      </c>
      <c r="O767" s="145" t="str">
        <f>IFERROR(__xludf.DUMMYFUNCTION("""COMPUTED_VALUE"""),"Toffy Home")</f>
        <v>Toffy Home</v>
      </c>
      <c r="P767" t="str">
        <f>IFERROR(__xludf.DUMMYFUNCTION("""COMPUTED_VALUE"""),"Active")</f>
        <v>Active</v>
      </c>
      <c r="R767" s="143">
        <f>IFERROR(__xludf.DUMMYFUNCTION("""COMPUTED_VALUE"""),32802.0)</f>
        <v>32802</v>
      </c>
      <c r="S767" s="146" t="str">
        <f>IFERROR(__xludf.DUMMYFUNCTION("""COMPUTED_VALUE"""),"091-906-2386")</f>
        <v>091-906-2386</v>
      </c>
      <c r="T767" s="147">
        <f>IFERROR(__xludf.DUMMYFUNCTION("""COMPUTED_VALUE"""),1.579900269491E12)</f>
        <v>1579900269491</v>
      </c>
      <c r="U767" t="str">
        <f>IFERROR(__xludf.DUMMYFUNCTION("""COMPUTED_VALUE"""),"AC2345464")</f>
        <v>AC2345464</v>
      </c>
      <c r="V767" s="148">
        <f>IFERROR(__xludf.DUMMYFUNCTION("""COMPUTED_VALUE"""),44384.0)</f>
        <v>44384</v>
      </c>
      <c r="W767" s="148">
        <f>IFERROR(__xludf.DUMMYFUNCTION("""COMPUTED_VALUE"""),48035.0)</f>
        <v>48035</v>
      </c>
      <c r="X767" s="149">
        <f>IFERROR(__xludf.DUMMYFUNCTION("""COMPUTED_VALUE"""),47854.0)</f>
        <v>47854</v>
      </c>
      <c r="Y767" t="str">
        <f>IFERROR(__xludf.DUMMYFUNCTION("""COMPUTED_VALUE"""),"ปลอดภัย")</f>
        <v>ปลอดภัย</v>
      </c>
      <c r="Z767" t="str">
        <f>IFERROR(__xludf.DUMMYFUNCTION("""COMPUTED_VALUE"""),"Chiang Rai Province")</f>
        <v>Chiang Rai Province</v>
      </c>
      <c r="AA767" t="str">
        <f>IFERROR(__xludf.DUMMYFUNCTION("""COMPUTED_VALUE"""),"Bangkok")</f>
        <v>Bangkok</v>
      </c>
      <c r="AB767" t="str">
        <f>IFERROR(__xludf.DUMMYFUNCTION("""COMPUTED_VALUE"""),"084-090-0788")</f>
        <v>084-090-0788</v>
      </c>
      <c r="AC767" t="str">
        <f>IFERROR(__xludf.DUMMYFUNCTION("""COMPUTED_VALUE"""),"Siripan Mattasat (Best friend)")</f>
        <v>Siripan Mattasat (Best friend)</v>
      </c>
      <c r="AD767" t="str">
        <f>IFERROR(__xludf.DUMMYFUNCTION("""COMPUTED_VALUE"""),"sirinyam@airasia.com")</f>
        <v>sirinyam@airasia.com</v>
      </c>
    </row>
    <row r="768">
      <c r="A768" s="142">
        <f>IFERROR(__xludf.DUMMYFUNCTION("""COMPUTED_VALUE"""),84.0)</f>
        <v>84</v>
      </c>
      <c r="B768" t="str">
        <f>IFERROR(__xludf.DUMMYFUNCTION("""COMPUTED_VALUE"""),"TAA5808")</f>
        <v>TAA5808</v>
      </c>
      <c r="C768">
        <f>IFERROR(__xludf.DUMMYFUNCTION("""COMPUTED_VALUE"""),1009081.0)</f>
        <v>1009081</v>
      </c>
      <c r="D768" t="str">
        <f>IFERROR(__xludf.DUMMYFUNCTION("""COMPUTED_VALUE"""),"Ms.")</f>
        <v>Ms.</v>
      </c>
      <c r="E768" t="str">
        <f>IFERROR(__xludf.DUMMYFUNCTION("""COMPUTED_VALUE"""),"Tunchanok")</f>
        <v>Tunchanok</v>
      </c>
      <c r="F768" t="str">
        <f>IFERROR(__xludf.DUMMYFUNCTION("""COMPUTED_VALUE"""),"Pingmuang")</f>
        <v>Pingmuang</v>
      </c>
      <c r="G768" t="str">
        <f>IFERROR(__xludf.DUMMYFUNCTION("""COMPUTED_VALUE"""),"Tunchanok Pingmuang")</f>
        <v>Tunchanok Pingmuang</v>
      </c>
      <c r="H768" t="str">
        <f>IFERROR(__xludf.DUMMYFUNCTION("""COMPUTED_VALUE"""),"นางสาว")</f>
        <v>นางสาว</v>
      </c>
      <c r="I768" t="str">
        <f>IFERROR(__xludf.DUMMYFUNCTION("""COMPUTED_VALUE"""),"ธันย์ชนก")</f>
        <v>ธันย์ชนก</v>
      </c>
      <c r="J768" t="str">
        <f>IFERROR(__xludf.DUMMYFUNCTION("""COMPUTED_VALUE"""),"ปิงเมือง")</f>
        <v>ปิงเมือง</v>
      </c>
      <c r="K768" t="str">
        <f>IFERROR(__xludf.DUMMYFUNCTION("""COMPUTED_VALUE"""),"ธันย์ชนก ปิงเมือง")</f>
        <v>ธันย์ชนก ปิงเมือง</v>
      </c>
      <c r="L768" t="str">
        <f>IFERROR(__xludf.DUMMYFUNCTION("""COMPUTED_VALUE"""),"Auy อุ้ย")</f>
        <v>Auy อุ้ย</v>
      </c>
      <c r="M768" t="str">
        <f>IFERROR(__xludf.DUMMYFUNCTION("""COMPUTED_VALUE"""),"Cabin Crew")</f>
        <v>Cabin Crew</v>
      </c>
      <c r="N768" t="str">
        <f>IFERROR(__xludf.DUMMYFUNCTION("""COMPUTED_VALUE"""),"DMK")</f>
        <v>DMK</v>
      </c>
      <c r="O768" s="145" t="str">
        <f>IFERROR(__xludf.DUMMYFUNCTION("""COMPUTED_VALUE"""),"Nhui Home")</f>
        <v>Nhui Home</v>
      </c>
      <c r="P768" t="str">
        <f>IFERROR(__xludf.DUMMYFUNCTION("""COMPUTED_VALUE"""),"Active")</f>
        <v>Active</v>
      </c>
      <c r="R768" s="143">
        <f>IFERROR(__xludf.DUMMYFUNCTION("""COMPUTED_VALUE"""),33812.0)</f>
        <v>33812</v>
      </c>
      <c r="S768" s="146">
        <f>IFERROR(__xludf.DUMMYFUNCTION("""COMPUTED_VALUE"""),8.87989641E8)</f>
        <v>887989641</v>
      </c>
      <c r="T768" s="147">
        <f>IFERROR(__xludf.DUMMYFUNCTION("""COMPUTED_VALUE"""),1.559900220297E12)</f>
        <v>1559900220297</v>
      </c>
      <c r="U768" t="str">
        <f>IFERROR(__xludf.DUMMYFUNCTION("""COMPUTED_VALUE"""),"AC7891426")</f>
        <v>AC7891426</v>
      </c>
      <c r="V768" s="148">
        <f>IFERROR(__xludf.DUMMYFUNCTION("""COMPUTED_VALUE"""),45683.0)</f>
        <v>45683</v>
      </c>
      <c r="W768" s="148">
        <f>IFERROR(__xludf.DUMMYFUNCTION("""COMPUTED_VALUE"""),49334.0)</f>
        <v>49334</v>
      </c>
      <c r="X768" s="149">
        <f>IFERROR(__xludf.DUMMYFUNCTION("""COMPUTED_VALUE"""),49150.0)</f>
        <v>49150</v>
      </c>
      <c r="Y768" t="str">
        <f>IFERROR(__xludf.DUMMYFUNCTION("""COMPUTED_VALUE"""),"ปลอดภัย")</f>
        <v>ปลอดภัย</v>
      </c>
      <c r="Z768" t="str">
        <f>IFERROR(__xludf.DUMMYFUNCTION("""COMPUTED_VALUE"""),"Nan Province")</f>
        <v>Nan Province</v>
      </c>
      <c r="AA768" t="str">
        <f>IFERROR(__xludf.DUMMYFUNCTION("""COMPUTED_VALUE"""),"Donmuang")</f>
        <v>Donmuang</v>
      </c>
      <c r="AB768" t="str">
        <f>IFERROR(__xludf.DUMMYFUNCTION("""COMPUTED_VALUE"""),"062-880-8630")</f>
        <v>062-880-8630</v>
      </c>
      <c r="AC768" t="str">
        <f>IFERROR(__xludf.DUMMYFUNCTION("""COMPUTED_VALUE"""),"Yossakarn Rerkpichai (Friend)")</f>
        <v>Yossakarn Rerkpichai (Friend)</v>
      </c>
      <c r="AD768" t="str">
        <f>IFERROR(__xludf.DUMMYFUNCTION("""COMPUTED_VALUE"""),"tunchanokp@airasia.com")</f>
        <v>tunchanokp@airasia.com</v>
      </c>
    </row>
    <row r="769">
      <c r="A769" s="142">
        <f>IFERROR(__xludf.DUMMYFUNCTION("""COMPUTED_VALUE"""),84.0)</f>
        <v>84</v>
      </c>
      <c r="B769" t="str">
        <f>IFERROR(__xludf.DUMMYFUNCTION("""COMPUTED_VALUE"""),"TAA5464")</f>
        <v>TAA5464</v>
      </c>
      <c r="C769">
        <f>IFERROR(__xludf.DUMMYFUNCTION("""COMPUTED_VALUE"""),1009306.0)</f>
        <v>1009306</v>
      </c>
      <c r="D769" t="str">
        <f>IFERROR(__xludf.DUMMYFUNCTION("""COMPUTED_VALUE"""),"Ms.")</f>
        <v>Ms.</v>
      </c>
      <c r="E769" t="str">
        <f>IFERROR(__xludf.DUMMYFUNCTION("""COMPUTED_VALUE"""),"Noppawan")</f>
        <v>Noppawan</v>
      </c>
      <c r="F769" t="str">
        <f>IFERROR(__xludf.DUMMYFUNCTION("""COMPUTED_VALUE"""),"Yoosamran")</f>
        <v>Yoosamran</v>
      </c>
      <c r="G769" t="str">
        <f>IFERROR(__xludf.DUMMYFUNCTION("""COMPUTED_VALUE"""),"Noppawan Yoosamran")</f>
        <v>Noppawan Yoosamran</v>
      </c>
      <c r="H769" t="str">
        <f>IFERROR(__xludf.DUMMYFUNCTION("""COMPUTED_VALUE"""),"นางสาว")</f>
        <v>นางสาว</v>
      </c>
      <c r="I769" t="str">
        <f>IFERROR(__xludf.DUMMYFUNCTION("""COMPUTED_VALUE"""),"นพวรรณ")</f>
        <v>นพวรรณ</v>
      </c>
      <c r="J769" t="str">
        <f>IFERROR(__xludf.DUMMYFUNCTION("""COMPUTED_VALUE"""),"อยู่สำราญ")</f>
        <v>อยู่สำราญ</v>
      </c>
      <c r="K769" t="str">
        <f>IFERROR(__xludf.DUMMYFUNCTION("""COMPUTED_VALUE"""),"นพวรรณ อยู่สำราญ")</f>
        <v>นพวรรณ อยู่สำราญ</v>
      </c>
      <c r="L769" t="str">
        <f>IFERROR(__xludf.DUMMYFUNCTION("""COMPUTED_VALUE"""),"Aungpao อั่งเปา")</f>
        <v>Aungpao อั่งเปา</v>
      </c>
      <c r="M769" t="str">
        <f>IFERROR(__xludf.DUMMYFUNCTION("""COMPUTED_VALUE"""),"Cabin Crew")</f>
        <v>Cabin Crew</v>
      </c>
      <c r="N769" t="str">
        <f>IFERROR(__xludf.DUMMYFUNCTION("""COMPUTED_VALUE"""),"DMK")</f>
        <v>DMK</v>
      </c>
      <c r="O769" s="145" t="str">
        <f>IFERROR(__xludf.DUMMYFUNCTION("""COMPUTED_VALUE"""),"Toffy Home")</f>
        <v>Toffy Home</v>
      </c>
      <c r="P769" t="str">
        <f>IFERROR(__xludf.DUMMYFUNCTION("""COMPUTED_VALUE"""),"Active")</f>
        <v>Active</v>
      </c>
      <c r="R769" s="143">
        <f>IFERROR(__xludf.DUMMYFUNCTION("""COMPUTED_VALUE"""),33604.0)</f>
        <v>33604</v>
      </c>
      <c r="S769" s="146" t="str">
        <f>IFERROR(__xludf.DUMMYFUNCTION("""COMPUTED_VALUE"""),"080-552-0580")</f>
        <v>080-552-0580</v>
      </c>
      <c r="T769" s="147">
        <f>IFERROR(__xludf.DUMMYFUNCTION("""COMPUTED_VALUE"""),1.101800504087E12)</f>
        <v>1101800504087</v>
      </c>
      <c r="U769" t="str">
        <f>IFERROR(__xludf.DUMMYFUNCTION("""COMPUTED_VALUE"""),"AD0969505")</f>
        <v>AD0969505</v>
      </c>
      <c r="V769" s="148">
        <f>IFERROR(__xludf.DUMMYFUNCTION("""COMPUTED_VALUE"""),45037.0)</f>
        <v>45037</v>
      </c>
      <c r="W769" s="148">
        <f>IFERROR(__xludf.DUMMYFUNCTION("""COMPUTED_VALUE"""),48689.0)</f>
        <v>48689</v>
      </c>
      <c r="X769" s="149">
        <f>IFERROR(__xludf.DUMMYFUNCTION("""COMPUTED_VALUE"""),48507.0)</f>
        <v>48507</v>
      </c>
      <c r="Y769" t="str">
        <f>IFERROR(__xludf.DUMMYFUNCTION("""COMPUTED_VALUE"""),"ปลอดภัย")</f>
        <v>ปลอดภัย</v>
      </c>
      <c r="Z769" t="str">
        <f>IFERROR(__xludf.DUMMYFUNCTION("""COMPUTED_VALUE"""),"Bangkok")</f>
        <v>Bangkok</v>
      </c>
      <c r="AA769" t="str">
        <f>IFERROR(__xludf.DUMMYFUNCTION("""COMPUTED_VALUE"""),"Sai-Mai")</f>
        <v>Sai-Mai</v>
      </c>
      <c r="AB769" t="str">
        <f>IFERROR(__xludf.DUMMYFUNCTION("""COMPUTED_VALUE"""),"089-122-9234")</f>
        <v>089-122-9234</v>
      </c>
      <c r="AC769" t="str">
        <f>IFERROR(__xludf.DUMMYFUNCTION("""COMPUTED_VALUE"""),"Aunchalee Yoosamran (Mother)")</f>
        <v>Aunchalee Yoosamran (Mother)</v>
      </c>
      <c r="AD769" t="str">
        <f>IFERROR(__xludf.DUMMYFUNCTION("""COMPUTED_VALUE"""),"noppawany@airasia.com")</f>
        <v>noppawany@airasia.com</v>
      </c>
    </row>
    <row r="770">
      <c r="A770" s="142">
        <f>IFERROR(__xludf.DUMMYFUNCTION("""COMPUTED_VALUE"""),84.0)</f>
        <v>84</v>
      </c>
      <c r="B770" t="str">
        <f>IFERROR(__xludf.DUMMYFUNCTION("""COMPUTED_VALUE"""),"TAA5604")</f>
        <v>TAA5604</v>
      </c>
      <c r="C770">
        <f>IFERROR(__xludf.DUMMYFUNCTION("""COMPUTED_VALUE"""),1009608.0)</f>
        <v>1009608</v>
      </c>
      <c r="D770" t="str">
        <f>IFERROR(__xludf.DUMMYFUNCTION("""COMPUTED_VALUE"""),"Ms.")</f>
        <v>Ms.</v>
      </c>
      <c r="E770" t="str">
        <f>IFERROR(__xludf.DUMMYFUNCTION("""COMPUTED_VALUE"""),"Nattira")</f>
        <v>Nattira</v>
      </c>
      <c r="F770" t="str">
        <f>IFERROR(__xludf.DUMMYFUNCTION("""COMPUTED_VALUE"""),"Modthong")</f>
        <v>Modthong</v>
      </c>
      <c r="G770" t="str">
        <f>IFERROR(__xludf.DUMMYFUNCTION("""COMPUTED_VALUE"""),"Nattira Modthong")</f>
        <v>Nattira Modthong</v>
      </c>
      <c r="H770" t="str">
        <f>IFERROR(__xludf.DUMMYFUNCTION("""COMPUTED_VALUE"""),"นางสาว")</f>
        <v>นางสาว</v>
      </c>
      <c r="I770" t="str">
        <f>IFERROR(__xludf.DUMMYFUNCTION("""COMPUTED_VALUE"""),"ณัฐฐิรา")</f>
        <v>ณัฐฐิรา</v>
      </c>
      <c r="J770" t="str">
        <f>IFERROR(__xludf.DUMMYFUNCTION("""COMPUTED_VALUE"""),"มดทอง")</f>
        <v>มดทอง</v>
      </c>
      <c r="K770" t="str">
        <f>IFERROR(__xludf.DUMMYFUNCTION("""COMPUTED_VALUE"""),"ณัฐฐิรา มดทอง")</f>
        <v>ณัฐฐิรา มดทอง</v>
      </c>
      <c r="L770" t="str">
        <f>IFERROR(__xludf.DUMMYFUNCTION("""COMPUTED_VALUE"""),"Som ส้ม")</f>
        <v>Som ส้ม</v>
      </c>
      <c r="M770" t="str">
        <f>IFERROR(__xludf.DUMMYFUNCTION("""COMPUTED_VALUE"""),"Cabin Crew")</f>
        <v>Cabin Crew</v>
      </c>
      <c r="N770" t="str">
        <f>IFERROR(__xludf.DUMMYFUNCTION("""COMPUTED_VALUE"""),"DMK")</f>
        <v>DMK</v>
      </c>
      <c r="O770" s="145" t="str">
        <f>IFERROR(__xludf.DUMMYFUNCTION("""COMPUTED_VALUE"""),"Namfon Home")</f>
        <v>Namfon Home</v>
      </c>
      <c r="P770" t="str">
        <f>IFERROR(__xludf.DUMMYFUNCTION("""COMPUTED_VALUE"""),"Active")</f>
        <v>Active</v>
      </c>
      <c r="R770" s="143">
        <f>IFERROR(__xludf.DUMMYFUNCTION("""COMPUTED_VALUE"""),33345.0)</f>
        <v>33345</v>
      </c>
      <c r="S770" s="146" t="str">
        <f>IFERROR(__xludf.DUMMYFUNCTION("""COMPUTED_VALUE"""),"089-130-2322")</f>
        <v>089-130-2322</v>
      </c>
      <c r="T770" s="147">
        <f>IFERROR(__xludf.DUMMYFUNCTION("""COMPUTED_VALUE"""),1.100701347152E12)</f>
        <v>1100701347152</v>
      </c>
      <c r="U770" t="str">
        <f>IFERROR(__xludf.DUMMYFUNCTION("""COMPUTED_VALUE"""),"AC2310558")</f>
        <v>AC2310558</v>
      </c>
      <c r="V770" s="148">
        <f>IFERROR(__xludf.DUMMYFUNCTION("""COMPUTED_VALUE"""),44358.0)</f>
        <v>44358</v>
      </c>
      <c r="W770" s="148">
        <f>IFERROR(__xludf.DUMMYFUNCTION("""COMPUTED_VALUE"""),48009.0)</f>
        <v>48009</v>
      </c>
      <c r="X770" s="149">
        <f>IFERROR(__xludf.DUMMYFUNCTION("""COMPUTED_VALUE"""),47827.0)</f>
        <v>47827</v>
      </c>
      <c r="Y770" t="str">
        <f>IFERROR(__xludf.DUMMYFUNCTION("""COMPUTED_VALUE"""),"ปลอดภัย")</f>
        <v>ปลอดภัย</v>
      </c>
      <c r="Z770" t="str">
        <f>IFERROR(__xludf.DUMMYFUNCTION("""COMPUTED_VALUE"""),"Bangkok")</f>
        <v>Bangkok</v>
      </c>
      <c r="AA770" t="str">
        <f>IFERROR(__xludf.DUMMYFUNCTION("""COMPUTED_VALUE"""),"Bangkok")</f>
        <v>Bangkok</v>
      </c>
      <c r="AB770" t="str">
        <f>IFERROR(__xludf.DUMMYFUNCTION("""COMPUTED_VALUE"""),"081-827-2766")</f>
        <v>081-827-2766</v>
      </c>
      <c r="AC770" t="str">
        <f>IFERROR(__xludf.DUMMYFUNCTION("""COMPUTED_VALUE"""),"Natcharee Jirabunchuchai (Mother)")</f>
        <v>Natcharee Jirabunchuchai (Mother)</v>
      </c>
      <c r="AD770" t="str">
        <f>IFERROR(__xludf.DUMMYFUNCTION("""COMPUTED_VALUE"""),"nattiram@airasia.com")</f>
        <v>nattiram@airasia.com</v>
      </c>
    </row>
    <row r="771">
      <c r="AD771" t="str">
        <f>IFERROR(__xludf.DUMMYFUNCTION("""COMPUTED_VALUE"""),"")</f>
        <v/>
      </c>
    </row>
    <row r="772">
      <c r="A772" s="142">
        <f>IFERROR(__xludf.DUMMYFUNCTION("""COMPUTED_VALUE"""),85.0)</f>
        <v>85</v>
      </c>
      <c r="B772" t="str">
        <f>IFERROR(__xludf.DUMMYFUNCTION("""COMPUTED_VALUE"""),"TAA7514")</f>
        <v>TAA7514</v>
      </c>
      <c r="C772">
        <f>IFERROR(__xludf.DUMMYFUNCTION("""COMPUTED_VALUE"""),1017639.0)</f>
        <v>1017639</v>
      </c>
      <c r="D772" t="str">
        <f>IFERROR(__xludf.DUMMYFUNCTION("""COMPUTED_VALUE"""),"Mr.")</f>
        <v>Mr.</v>
      </c>
      <c r="E772" t="str">
        <f>IFERROR(__xludf.DUMMYFUNCTION("""COMPUTED_VALUE"""),"DHANUPOL")</f>
        <v>DHANUPOL</v>
      </c>
      <c r="F772" t="str">
        <f>IFERROR(__xludf.DUMMYFUNCTION("""COMPUTED_VALUE"""),"SAGULSUKHMONGKOL")</f>
        <v>SAGULSUKHMONGKOL</v>
      </c>
      <c r="G772" t="str">
        <f>IFERROR(__xludf.DUMMYFUNCTION("""COMPUTED_VALUE"""),"Dhanupol Sagulsukhmongkol")</f>
        <v>Dhanupol Sagulsukhmongkol</v>
      </c>
      <c r="H772" t="str">
        <f>IFERROR(__xludf.DUMMYFUNCTION("""COMPUTED_VALUE"""),"นาย")</f>
        <v>นาย</v>
      </c>
      <c r="I772" t="str">
        <f>IFERROR(__xludf.DUMMYFUNCTION("""COMPUTED_VALUE"""),"ดนุพล")</f>
        <v>ดนุพล</v>
      </c>
      <c r="J772" t="str">
        <f>IFERROR(__xludf.DUMMYFUNCTION("""COMPUTED_VALUE"""),"สกุลสุขมงคล")</f>
        <v>สกุลสุขมงคล</v>
      </c>
      <c r="K772" t="str">
        <f>IFERROR(__xludf.DUMMYFUNCTION("""COMPUTED_VALUE"""),"ดนุพล สกุลสุขมงคล")</f>
        <v>ดนุพล สกุลสุขมงคล</v>
      </c>
      <c r="L772" t="str">
        <f>IFERROR(__xludf.DUMMYFUNCTION("""COMPUTED_VALUE"""),"Ize ไอซ์")</f>
        <v>Ize ไอซ์</v>
      </c>
      <c r="M772" t="str">
        <f>IFERROR(__xludf.DUMMYFUNCTION("""COMPUTED_VALUE"""),"Cabin Crew")</f>
        <v>Cabin Crew</v>
      </c>
      <c r="N772" t="str">
        <f>IFERROR(__xludf.DUMMYFUNCTION("""COMPUTED_VALUE"""),"DMK")</f>
        <v>DMK</v>
      </c>
      <c r="O772" s="145" t="str">
        <f>IFERROR(__xludf.DUMMYFUNCTION("""COMPUTED_VALUE"""),"Toffy Home")</f>
        <v>Toffy Home</v>
      </c>
      <c r="P772" t="str">
        <f>IFERROR(__xludf.DUMMYFUNCTION("""COMPUTED_VALUE"""),"Active")</f>
        <v>Active</v>
      </c>
      <c r="R772" s="143">
        <f>IFERROR(__xludf.DUMMYFUNCTION("""COMPUTED_VALUE"""),30622.0)</f>
        <v>30622</v>
      </c>
      <c r="S772" s="146" t="str">
        <f>IFERROR(__xludf.DUMMYFUNCTION("""COMPUTED_VALUE"""),"081-616-5554")</f>
        <v>081-616-5554</v>
      </c>
      <c r="T772" s="147" t="str">
        <f>IFERROR(__xludf.DUMMYFUNCTION("""COMPUTED_VALUE"""),"3-7202-00749-86-1")</f>
        <v>3-7202-00749-86-1</v>
      </c>
      <c r="U772" t="str">
        <f>IFERROR(__xludf.DUMMYFUNCTION("""COMPUTED_VALUE"""),"AC3236775")</f>
        <v>AC3236775</v>
      </c>
      <c r="V772" s="148">
        <f>IFERROR(__xludf.DUMMYFUNCTION("""COMPUTED_VALUE"""),44711.0)</f>
        <v>44711</v>
      </c>
      <c r="W772" s="148">
        <f>IFERROR(__xludf.DUMMYFUNCTION("""COMPUTED_VALUE"""),48363.0)</f>
        <v>48363</v>
      </c>
      <c r="X772" s="149">
        <f>IFERROR(__xludf.DUMMYFUNCTION("""COMPUTED_VALUE"""),48181.0)</f>
        <v>48181</v>
      </c>
      <c r="Y772" t="str">
        <f>IFERROR(__xludf.DUMMYFUNCTION("""COMPUTED_VALUE"""),"ปลอดภัย")</f>
        <v>ปลอดภัย</v>
      </c>
      <c r="Z772" t="str">
        <f>IFERROR(__xludf.DUMMYFUNCTION("""COMPUTED_VALUE"""),"Suphan Buri Province")</f>
        <v>Suphan Buri Province</v>
      </c>
      <c r="AA772" t="str">
        <f>IFERROR(__xludf.DUMMYFUNCTION("""COMPUTED_VALUE"""),"Phranakhon si ayutthaya")</f>
        <v>Phranakhon si ayutthaya</v>
      </c>
      <c r="AB772" t="str">
        <f>IFERROR(__xludf.DUMMYFUNCTION("""COMPUTED_VALUE"""),"096-395-5697 / 089-743-5505")</f>
        <v>096-395-5697 / 089-743-5505</v>
      </c>
      <c r="AC772" t="str">
        <f>IFERROR(__xludf.DUMMYFUNCTION("""COMPUTED_VALUE"""),"Pinsuda Sagulsukhmongkol(Mother)/Chanwit (friend)")</f>
        <v>Pinsuda Sagulsukhmongkol(Mother)/Chanwit (friend)</v>
      </c>
      <c r="AD772" t="str">
        <f>IFERROR(__xludf.DUMMYFUNCTION("""COMPUTED_VALUE"""),"dhanupols@airasia.com")</f>
        <v>dhanupols@airasia.com</v>
      </c>
    </row>
    <row r="773">
      <c r="A773" s="142">
        <f>IFERROR(__xludf.DUMMYFUNCTION("""COMPUTED_VALUE"""),85.0)</f>
        <v>85</v>
      </c>
      <c r="B773" t="str">
        <f>IFERROR(__xludf.DUMMYFUNCTION("""COMPUTED_VALUE"""),"TAA7515")</f>
        <v>TAA7515</v>
      </c>
      <c r="C773">
        <f>IFERROR(__xludf.DUMMYFUNCTION("""COMPUTED_VALUE"""),1017644.0)</f>
        <v>1017644</v>
      </c>
      <c r="D773" t="str">
        <f>IFERROR(__xludf.DUMMYFUNCTION("""COMPUTED_VALUE"""),"Mr.")</f>
        <v>Mr.</v>
      </c>
      <c r="E773" t="str">
        <f>IFERROR(__xludf.DUMMYFUNCTION("""COMPUTED_VALUE"""),"Natthaphon")</f>
        <v>Natthaphon</v>
      </c>
      <c r="F773" t="str">
        <f>IFERROR(__xludf.DUMMYFUNCTION("""COMPUTED_VALUE"""),"Kattachan")</f>
        <v>Kattachan</v>
      </c>
      <c r="G773" t="str">
        <f>IFERROR(__xludf.DUMMYFUNCTION("""COMPUTED_VALUE"""),"Natthaphon Kattachan")</f>
        <v>Natthaphon Kattachan</v>
      </c>
      <c r="H773" t="str">
        <f>IFERROR(__xludf.DUMMYFUNCTION("""COMPUTED_VALUE"""),"นาย")</f>
        <v>นาย</v>
      </c>
      <c r="I773" t="str">
        <f>IFERROR(__xludf.DUMMYFUNCTION("""COMPUTED_VALUE"""),"ณัฐพล")</f>
        <v>ณัฐพล</v>
      </c>
      <c r="J773" t="str">
        <f>IFERROR(__xludf.DUMMYFUNCTION("""COMPUTED_VALUE"""),"คัฒทะจันทร์")</f>
        <v>คัฒทะจันทร์</v>
      </c>
      <c r="K773" t="str">
        <f>IFERROR(__xludf.DUMMYFUNCTION("""COMPUTED_VALUE"""),"ณัฐพล คัฒทะจันทร์")</f>
        <v>ณัฐพล คัฒทะจันทร์</v>
      </c>
      <c r="L773" t="str">
        <f>IFERROR(__xludf.DUMMYFUNCTION("""COMPUTED_VALUE"""),"Aea เอ๊ะ")</f>
        <v>Aea เอ๊ะ</v>
      </c>
      <c r="M773" t="str">
        <f>IFERROR(__xludf.DUMMYFUNCTION("""COMPUTED_VALUE"""),"Cabin Crew")</f>
        <v>Cabin Crew</v>
      </c>
      <c r="N773" t="str">
        <f>IFERROR(__xludf.DUMMYFUNCTION("""COMPUTED_VALUE"""),"DMK")</f>
        <v>DMK</v>
      </c>
      <c r="O773" s="145" t="str">
        <f>IFERROR(__xludf.DUMMYFUNCTION("""COMPUTED_VALUE"""),"Up Home")</f>
        <v>Up Home</v>
      </c>
      <c r="P773" t="str">
        <f>IFERROR(__xludf.DUMMYFUNCTION("""COMPUTED_VALUE"""),"Active")</f>
        <v>Active</v>
      </c>
      <c r="R773" s="143">
        <f>IFERROR(__xludf.DUMMYFUNCTION("""COMPUTED_VALUE"""),33854.0)</f>
        <v>33854</v>
      </c>
      <c r="S773" s="146" t="str">
        <f>IFERROR(__xludf.DUMMYFUNCTION("""COMPUTED_VALUE"""),"089-886-8470")</f>
        <v>089-886-8470</v>
      </c>
      <c r="T773" s="147" t="str">
        <f>IFERROR(__xludf.DUMMYFUNCTION("""COMPUTED_VALUE"""),"1-1601-00378-39-8")</f>
        <v>1-1601-00378-39-8</v>
      </c>
      <c r="U773" t="str">
        <f>IFERROR(__xludf.DUMMYFUNCTION("""COMPUTED_VALUE"""),"AC5387812")</f>
        <v>AC5387812</v>
      </c>
      <c r="V773" s="148">
        <f>IFERROR(__xludf.DUMMYFUNCTION("""COMPUTED_VALUE"""),45145.0)</f>
        <v>45145</v>
      </c>
      <c r="W773" s="148">
        <f>IFERROR(__xludf.DUMMYFUNCTION("""COMPUTED_VALUE"""),48797.0)</f>
        <v>48797</v>
      </c>
      <c r="X773" s="149">
        <f>IFERROR(__xludf.DUMMYFUNCTION("""COMPUTED_VALUE"""),48616.0)</f>
        <v>48616</v>
      </c>
      <c r="Y773" t="str">
        <f>IFERROR(__xludf.DUMMYFUNCTION("""COMPUTED_VALUE"""),"ปลอดภัย")</f>
        <v>ปลอดภัย</v>
      </c>
      <c r="Z773" t="str">
        <f>IFERROR(__xludf.DUMMYFUNCTION("""COMPUTED_VALUE"""),"Lopburi Province")</f>
        <v>Lopburi Province</v>
      </c>
      <c r="AA773" t="str">
        <f>IFERROR(__xludf.DUMMYFUNCTION("""COMPUTED_VALUE"""),"Nonthaburi")</f>
        <v>Nonthaburi</v>
      </c>
      <c r="AB773" t="str">
        <f>IFERROR(__xludf.DUMMYFUNCTION("""COMPUTED_VALUE"""),"084-449-2749")</f>
        <v>084-449-2749</v>
      </c>
      <c r="AC773" t="str">
        <f>IFERROR(__xludf.DUMMYFUNCTION("""COMPUTED_VALUE"""),"Unchalee Pernetta (Mother)")</f>
        <v>Unchalee Pernetta (Mother)</v>
      </c>
      <c r="AD773" t="str">
        <f>IFERROR(__xludf.DUMMYFUNCTION("""COMPUTED_VALUE"""),"natthaphona@airasia.com")</f>
        <v>natthaphona@airasia.com</v>
      </c>
    </row>
    <row r="774">
      <c r="A774" s="142">
        <f>IFERROR(__xludf.DUMMYFUNCTION("""COMPUTED_VALUE"""),85.0)</f>
        <v>85</v>
      </c>
      <c r="B774" t="str">
        <f>IFERROR(__xludf.DUMMYFUNCTION("""COMPUTED_VALUE"""),"TAA7516")</f>
        <v>TAA7516</v>
      </c>
      <c r="C774">
        <f>IFERROR(__xludf.DUMMYFUNCTION("""COMPUTED_VALUE"""),1017645.0)</f>
        <v>1017645</v>
      </c>
      <c r="D774" t="str">
        <f>IFERROR(__xludf.DUMMYFUNCTION("""COMPUTED_VALUE"""),"Ms.")</f>
        <v>Ms.</v>
      </c>
      <c r="E774" t="str">
        <f>IFERROR(__xludf.DUMMYFUNCTION("""COMPUTED_VALUE"""),"Nattida")</f>
        <v>Nattida</v>
      </c>
      <c r="F774" t="str">
        <f>IFERROR(__xludf.DUMMYFUNCTION("""COMPUTED_VALUE"""),"Palasak")</f>
        <v>Palasak</v>
      </c>
      <c r="G774" t="str">
        <f>IFERROR(__xludf.DUMMYFUNCTION("""COMPUTED_VALUE"""),"Nattida Palasak")</f>
        <v>Nattida Palasak</v>
      </c>
      <c r="H774" t="str">
        <f>IFERROR(__xludf.DUMMYFUNCTION("""COMPUTED_VALUE"""),"นางสาว")</f>
        <v>นางสาว</v>
      </c>
      <c r="I774" t="str">
        <f>IFERROR(__xludf.DUMMYFUNCTION("""COMPUTED_VALUE"""),"ณัฐธิดา")</f>
        <v>ณัฐธิดา</v>
      </c>
      <c r="J774" t="str">
        <f>IFERROR(__xludf.DUMMYFUNCTION("""COMPUTED_VALUE"""),"พลศักดิ์")</f>
        <v>พลศักดิ์</v>
      </c>
      <c r="K774" t="str">
        <f>IFERROR(__xludf.DUMMYFUNCTION("""COMPUTED_VALUE"""),"ณัฐธิดา พลศักดิ์")</f>
        <v>ณัฐธิดา พลศักดิ์</v>
      </c>
      <c r="L774" t="str">
        <f>IFERROR(__xludf.DUMMYFUNCTION("""COMPUTED_VALUE"""),"Fon ฝน")</f>
        <v>Fon ฝน</v>
      </c>
      <c r="M774" t="str">
        <f>IFERROR(__xludf.DUMMYFUNCTION("""COMPUTED_VALUE"""),"Cabin Crew")</f>
        <v>Cabin Crew</v>
      </c>
      <c r="N774" t="str">
        <f>IFERROR(__xludf.DUMMYFUNCTION("""COMPUTED_VALUE"""),"DMK")</f>
        <v>DMK</v>
      </c>
      <c r="O774" s="145" t="str">
        <f>IFERROR(__xludf.DUMMYFUNCTION("""COMPUTED_VALUE"""),"Por+ Home")</f>
        <v>Por+ Home</v>
      </c>
      <c r="P774" t="str">
        <f>IFERROR(__xludf.DUMMYFUNCTION("""COMPUTED_VALUE"""),"Active")</f>
        <v>Active</v>
      </c>
      <c r="R774" s="143">
        <f>IFERROR(__xludf.DUMMYFUNCTION("""COMPUTED_VALUE"""),33083.0)</f>
        <v>33083</v>
      </c>
      <c r="S774" s="146" t="str">
        <f>IFERROR(__xludf.DUMMYFUNCTION("""COMPUTED_VALUE"""),"083-025-6325")</f>
        <v>083-025-6325</v>
      </c>
      <c r="T774" s="147" t="str">
        <f>IFERROR(__xludf.DUMMYFUNCTION("""COMPUTED_VALUE"""),"1-6799-00197-19-7")</f>
        <v>1-6799-00197-19-7</v>
      </c>
      <c r="U774" t="str">
        <f>IFERROR(__xludf.DUMMYFUNCTION("""COMPUTED_VALUE"""),"AC2926474")</f>
        <v>AC2926474</v>
      </c>
      <c r="V774" s="148">
        <f>IFERROR(__xludf.DUMMYFUNCTION("""COMPUTED_VALUE"""),44627.0)</f>
        <v>44627</v>
      </c>
      <c r="W774" s="148">
        <f>IFERROR(__xludf.DUMMYFUNCTION("""COMPUTED_VALUE"""),48279.0)</f>
        <v>48279</v>
      </c>
      <c r="X774" s="149">
        <f>IFERROR(__xludf.DUMMYFUNCTION("""COMPUTED_VALUE"""),48097.0)</f>
        <v>48097</v>
      </c>
      <c r="Y774" t="str">
        <f>IFERROR(__xludf.DUMMYFUNCTION("""COMPUTED_VALUE"""),"ปลอดภัย")</f>
        <v>ปลอดภัย</v>
      </c>
      <c r="Z774" t="str">
        <f>IFERROR(__xludf.DUMMYFUNCTION("""COMPUTED_VALUE"""),"Phetchabun Province")</f>
        <v>Phetchabun Province</v>
      </c>
      <c r="AA774" t="str">
        <f>IFERROR(__xludf.DUMMYFUNCTION("""COMPUTED_VALUE"""),"Bangkok")</f>
        <v>Bangkok</v>
      </c>
      <c r="AB774" t="str">
        <f>IFERROR(__xludf.DUMMYFUNCTION("""COMPUTED_VALUE"""),"084-133-3123")</f>
        <v>084-133-3123</v>
      </c>
      <c r="AC774" t="str">
        <f>IFERROR(__xludf.DUMMYFUNCTION("""COMPUTED_VALUE"""),"Kanyarat Palasak (Sister)")</f>
        <v>Kanyarat Palasak (Sister)</v>
      </c>
      <c r="AD774" t="str">
        <f>IFERROR(__xludf.DUMMYFUNCTION("""COMPUTED_VALUE"""),"nattidap@airasia.com")</f>
        <v>nattidap@airasia.com</v>
      </c>
    </row>
    <row r="775">
      <c r="A775" s="142">
        <f>IFERROR(__xludf.DUMMYFUNCTION("""COMPUTED_VALUE"""),85.0)</f>
        <v>85</v>
      </c>
      <c r="B775" t="str">
        <f>IFERROR(__xludf.DUMMYFUNCTION("""COMPUTED_VALUE"""),"TAA7508")</f>
        <v>TAA7508</v>
      </c>
      <c r="C775">
        <f>IFERROR(__xludf.DUMMYFUNCTION("""COMPUTED_VALUE"""),1017646.0)</f>
        <v>1017646</v>
      </c>
      <c r="D775" t="str">
        <f>IFERROR(__xludf.DUMMYFUNCTION("""COMPUTED_VALUE"""),"Ms.")</f>
        <v>Ms.</v>
      </c>
      <c r="E775" t="str">
        <f>IFERROR(__xludf.DUMMYFUNCTION("""COMPUTED_VALUE"""),"Panisara")</f>
        <v>Panisara</v>
      </c>
      <c r="F775" t="str">
        <f>IFERROR(__xludf.DUMMYFUNCTION("""COMPUTED_VALUE"""),"Pratoomchat")</f>
        <v>Pratoomchat</v>
      </c>
      <c r="G775" t="str">
        <f>IFERROR(__xludf.DUMMYFUNCTION("""COMPUTED_VALUE"""),"Panisara Pratoomchat")</f>
        <v>Panisara Pratoomchat</v>
      </c>
      <c r="H775" t="str">
        <f>IFERROR(__xludf.DUMMYFUNCTION("""COMPUTED_VALUE"""),"นางสาว")</f>
        <v>นางสาว</v>
      </c>
      <c r="I775" t="str">
        <f>IFERROR(__xludf.DUMMYFUNCTION("""COMPUTED_VALUE"""),"ปาณิสรา")</f>
        <v>ปาณิสรา</v>
      </c>
      <c r="J775" t="str">
        <f>IFERROR(__xludf.DUMMYFUNCTION("""COMPUTED_VALUE"""),"ประทุมชาติ")</f>
        <v>ประทุมชาติ</v>
      </c>
      <c r="K775" t="str">
        <f>IFERROR(__xludf.DUMMYFUNCTION("""COMPUTED_VALUE"""),"ปาณิสรา ประทุมชาติ")</f>
        <v>ปาณิสรา ประทุมชาติ</v>
      </c>
      <c r="L775" t="str">
        <f>IFERROR(__xludf.DUMMYFUNCTION("""COMPUTED_VALUE"""),"Noon นุ่น")</f>
        <v>Noon นุ่น</v>
      </c>
      <c r="M775" t="str">
        <f>IFERROR(__xludf.DUMMYFUNCTION("""COMPUTED_VALUE"""),"Cabin Crew - BKK")</f>
        <v>Cabin Crew - BKK</v>
      </c>
      <c r="N775" t="str">
        <f>IFERROR(__xludf.DUMMYFUNCTION("""COMPUTED_VALUE"""),"BKK")</f>
        <v>BKK</v>
      </c>
      <c r="O775" s="145" t="str">
        <f>IFERROR(__xludf.DUMMYFUNCTION("""COMPUTED_VALUE"""),"Nhui Home")</f>
        <v>Nhui Home</v>
      </c>
      <c r="P775" t="str">
        <f>IFERROR(__xludf.DUMMYFUNCTION("""COMPUTED_VALUE"""),"Active")</f>
        <v>Active</v>
      </c>
      <c r="R775" s="143">
        <f>IFERROR(__xludf.DUMMYFUNCTION("""COMPUTED_VALUE"""),32798.0)</f>
        <v>32798</v>
      </c>
      <c r="S775" s="146" t="str">
        <f>IFERROR(__xludf.DUMMYFUNCTION("""COMPUTED_VALUE"""),"086-365-0803")</f>
        <v>086-365-0803</v>
      </c>
      <c r="T775" s="147" t="str">
        <f>IFERROR(__xludf.DUMMYFUNCTION("""COMPUTED_VALUE"""),"1-2001-00265-24-0")</f>
        <v>1-2001-00265-24-0</v>
      </c>
      <c r="U775" t="str">
        <f>IFERROR(__xludf.DUMMYFUNCTION("""COMPUTED_VALUE"""),"AD1715495")</f>
        <v>AD1715495</v>
      </c>
      <c r="V775" s="148">
        <f>IFERROR(__xludf.DUMMYFUNCTION("""COMPUTED_VALUE"""),45448.0)</f>
        <v>45448</v>
      </c>
      <c r="W775" s="148">
        <f>IFERROR(__xludf.DUMMYFUNCTION("""COMPUTED_VALUE"""),49099.0)</f>
        <v>49099</v>
      </c>
      <c r="X775" s="149">
        <f>IFERROR(__xludf.DUMMYFUNCTION("""COMPUTED_VALUE"""),48917.0)</f>
        <v>48917</v>
      </c>
      <c r="Y775" t="str">
        <f>IFERROR(__xludf.DUMMYFUNCTION("""COMPUTED_VALUE"""),"ปลอดภัย")</f>
        <v>ปลอดภัย</v>
      </c>
      <c r="Z775" t="str">
        <f>IFERROR(__xludf.DUMMYFUNCTION("""COMPUTED_VALUE"""),"Chonburi Province")</f>
        <v>Chonburi Province</v>
      </c>
      <c r="AA775" t="str">
        <f>IFERROR(__xludf.DUMMYFUNCTION("""COMPUTED_VALUE"""),"Chonburi")</f>
        <v>Chonburi</v>
      </c>
      <c r="AB775" t="str">
        <f>IFERROR(__xludf.DUMMYFUNCTION("""COMPUTED_VALUE"""),"087-979-4221")</f>
        <v>087-979-4221</v>
      </c>
      <c r="AC775" t="str">
        <f>IFERROR(__xludf.DUMMYFUNCTION("""COMPUTED_VALUE"""),"Wanchai Pratoomchat(Father)")</f>
        <v>Wanchai Pratoomchat(Father)</v>
      </c>
      <c r="AD775" t="str">
        <f>IFERROR(__xludf.DUMMYFUNCTION("""COMPUTED_VALUE"""),"panisarar@airasia.com")</f>
        <v>panisarar@airasia.com</v>
      </c>
    </row>
    <row r="776">
      <c r="A776" s="142">
        <f>IFERROR(__xludf.DUMMYFUNCTION("""COMPUTED_VALUE"""),85.0)</f>
        <v>85</v>
      </c>
      <c r="B776" t="str">
        <f>IFERROR(__xludf.DUMMYFUNCTION("""COMPUTED_VALUE"""),"TAA7524")</f>
        <v>TAA7524</v>
      </c>
      <c r="C776">
        <f>IFERROR(__xludf.DUMMYFUNCTION("""COMPUTED_VALUE"""),1017647.0)</f>
        <v>1017647</v>
      </c>
      <c r="D776" t="str">
        <f>IFERROR(__xludf.DUMMYFUNCTION("""COMPUTED_VALUE"""),"Mr.")</f>
        <v>Mr.</v>
      </c>
      <c r="E776" t="str">
        <f>IFERROR(__xludf.DUMMYFUNCTION("""COMPUTED_VALUE"""),"Papopvit")</f>
        <v>Papopvit</v>
      </c>
      <c r="F776" t="str">
        <f>IFERROR(__xludf.DUMMYFUNCTION("""COMPUTED_VALUE"""),"Pungposop")</f>
        <v>Pungposop</v>
      </c>
      <c r="G776" t="str">
        <f>IFERROR(__xludf.DUMMYFUNCTION("""COMPUTED_VALUE"""),"Papopvit Pungposop")</f>
        <v>Papopvit Pungposop</v>
      </c>
      <c r="H776" t="str">
        <f>IFERROR(__xludf.DUMMYFUNCTION("""COMPUTED_VALUE"""),"นาย")</f>
        <v>นาย</v>
      </c>
      <c r="I776" t="str">
        <f>IFERROR(__xludf.DUMMYFUNCTION("""COMPUTED_VALUE"""),"ปภพวิชญ์")</f>
        <v>ปภพวิชญ์</v>
      </c>
      <c r="J776" t="str">
        <f>IFERROR(__xludf.DUMMYFUNCTION("""COMPUTED_VALUE"""),"พึ่งโพธิ์สภ")</f>
        <v>พึ่งโพธิ์สภ</v>
      </c>
      <c r="K776" t="str">
        <f>IFERROR(__xludf.DUMMYFUNCTION("""COMPUTED_VALUE"""),"ปภพวิชญ์ พึ่งโพธิ์สภ")</f>
        <v>ปภพวิชญ์ พึ่งโพธิ์สภ</v>
      </c>
      <c r="L776" t="str">
        <f>IFERROR(__xludf.DUMMYFUNCTION("""COMPUTED_VALUE"""),"Best เบสท์")</f>
        <v>Best เบสท์</v>
      </c>
      <c r="M776" t="str">
        <f>IFERROR(__xludf.DUMMYFUNCTION("""COMPUTED_VALUE"""),"Senior Cabin Crew")</f>
        <v>Senior Cabin Crew</v>
      </c>
      <c r="N776" t="str">
        <f>IFERROR(__xludf.DUMMYFUNCTION("""COMPUTED_VALUE"""),"DMK")</f>
        <v>DMK</v>
      </c>
      <c r="O776" s="145" t="str">
        <f>IFERROR(__xludf.DUMMYFUNCTION("""COMPUTED_VALUE"""),"Por+ Home")</f>
        <v>Por+ Home</v>
      </c>
      <c r="P776" t="str">
        <f>IFERROR(__xludf.DUMMYFUNCTION("""COMPUTED_VALUE"""),"Active")</f>
        <v>Active</v>
      </c>
      <c r="R776" s="143">
        <f>IFERROR(__xludf.DUMMYFUNCTION("""COMPUTED_VALUE"""),33423.0)</f>
        <v>33423</v>
      </c>
      <c r="S776" s="146" t="str">
        <f>IFERROR(__xludf.DUMMYFUNCTION("""COMPUTED_VALUE"""),"089-636-9515")</f>
        <v>089-636-9515</v>
      </c>
      <c r="T776" s="147" t="str">
        <f>IFERROR(__xludf.DUMMYFUNCTION("""COMPUTED_VALUE"""),"1-1014-01903-24-7")</f>
        <v>1-1014-01903-24-7</v>
      </c>
      <c r="U776" t="str">
        <f>IFERROR(__xludf.DUMMYFUNCTION("""COMPUTED_VALUE"""),"AC4996340")</f>
        <v>AC4996340</v>
      </c>
      <c r="V776" s="148">
        <f>IFERROR(__xludf.DUMMYFUNCTION("""COMPUTED_VALUE"""),45089.0)</f>
        <v>45089</v>
      </c>
      <c r="W776" s="148">
        <f>IFERROR(__xludf.DUMMYFUNCTION("""COMPUTED_VALUE"""),48741.0)</f>
        <v>48741</v>
      </c>
      <c r="X776" s="149">
        <f>IFERROR(__xludf.DUMMYFUNCTION("""COMPUTED_VALUE"""),48559.0)</f>
        <v>48559</v>
      </c>
      <c r="Y776" t="str">
        <f>IFERROR(__xludf.DUMMYFUNCTION("""COMPUTED_VALUE"""),"ปลอดภัย")</f>
        <v>ปลอดภัย</v>
      </c>
      <c r="Z776" t="str">
        <f>IFERROR(__xludf.DUMMYFUNCTION("""COMPUTED_VALUE"""),"Bangkok")</f>
        <v>Bangkok</v>
      </c>
      <c r="AA776" t="str">
        <f>IFERROR(__xludf.DUMMYFUNCTION("""COMPUTED_VALUE"""),"Bangkok")</f>
        <v>Bangkok</v>
      </c>
      <c r="AB776" t="str">
        <f>IFERROR(__xludf.DUMMYFUNCTION("""COMPUTED_VALUE"""),"094-408-2225")</f>
        <v>094-408-2225</v>
      </c>
      <c r="AC776" t="str">
        <f>IFERROR(__xludf.DUMMYFUNCTION("""COMPUTED_VALUE"""),"Nophamongkol Songsaard(Mother)")</f>
        <v>Nophamongkol Songsaard(Mother)</v>
      </c>
      <c r="AD776" t="str">
        <f>IFERROR(__xludf.DUMMYFUNCTION("""COMPUTED_VALUE"""),"papopvitp@airasia.com")</f>
        <v>papopvitp@airasia.com</v>
      </c>
    </row>
    <row r="777">
      <c r="A777" s="142">
        <f>IFERROR(__xludf.DUMMYFUNCTION("""COMPUTED_VALUE"""),85.0)</f>
        <v>85</v>
      </c>
      <c r="B777" t="str">
        <f>IFERROR(__xludf.DUMMYFUNCTION("""COMPUTED_VALUE"""),"TAA7517")</f>
        <v>TAA7517</v>
      </c>
      <c r="C777">
        <f>IFERROR(__xludf.DUMMYFUNCTION("""COMPUTED_VALUE"""),1017648.0)</f>
        <v>1017648</v>
      </c>
      <c r="D777" t="str">
        <f>IFERROR(__xludf.DUMMYFUNCTION("""COMPUTED_VALUE"""),"Mr.")</f>
        <v>Mr.</v>
      </c>
      <c r="E777" t="str">
        <f>IFERROR(__xludf.DUMMYFUNCTION("""COMPUTED_VALUE"""),"Sangkas")</f>
        <v>Sangkas</v>
      </c>
      <c r="F777" t="str">
        <f>IFERROR(__xludf.DUMMYFUNCTION("""COMPUTED_VALUE"""),"Phetchai")</f>
        <v>Phetchai</v>
      </c>
      <c r="G777" t="str">
        <f>IFERROR(__xludf.DUMMYFUNCTION("""COMPUTED_VALUE"""),"Sangkas Phetchai")</f>
        <v>Sangkas Phetchai</v>
      </c>
      <c r="H777" t="str">
        <f>IFERROR(__xludf.DUMMYFUNCTION("""COMPUTED_VALUE"""),"นาย")</f>
        <v>นาย</v>
      </c>
      <c r="I777" t="str">
        <f>IFERROR(__xludf.DUMMYFUNCTION("""COMPUTED_VALUE"""),"สังกาศ")</f>
        <v>สังกาศ</v>
      </c>
      <c r="J777" t="str">
        <f>IFERROR(__xludf.DUMMYFUNCTION("""COMPUTED_VALUE"""),"เพชรฉาย")</f>
        <v>เพชรฉาย</v>
      </c>
      <c r="K777" t="str">
        <f>IFERROR(__xludf.DUMMYFUNCTION("""COMPUTED_VALUE"""),"สังกาศ เพชรฉาย")</f>
        <v>สังกาศ เพชรฉาย</v>
      </c>
      <c r="L777" t="str">
        <f>IFERROR(__xludf.DUMMYFUNCTION("""COMPUTED_VALUE"""),"Pakkard ผักกาด")</f>
        <v>Pakkard ผักกาด</v>
      </c>
      <c r="M777" t="str">
        <f>IFERROR(__xludf.DUMMYFUNCTION("""COMPUTED_VALUE"""),"Cabin Crew")</f>
        <v>Cabin Crew</v>
      </c>
      <c r="N777" t="str">
        <f>IFERROR(__xludf.DUMMYFUNCTION("""COMPUTED_VALUE"""),"DMK")</f>
        <v>DMK</v>
      </c>
      <c r="O777" s="145" t="str">
        <f>IFERROR(__xludf.DUMMYFUNCTION("""COMPUTED_VALUE"""),"Kor Home")</f>
        <v>Kor Home</v>
      </c>
      <c r="P777" t="str">
        <f>IFERROR(__xludf.DUMMYFUNCTION("""COMPUTED_VALUE"""),"Active")</f>
        <v>Active</v>
      </c>
      <c r="R777" s="143">
        <f>IFERROR(__xludf.DUMMYFUNCTION("""COMPUTED_VALUE"""),33338.0)</f>
        <v>33338</v>
      </c>
      <c r="S777" s="146" t="str">
        <f>IFERROR(__xludf.DUMMYFUNCTION("""COMPUTED_VALUE"""),"061-556-2824")</f>
        <v>061-556-2824</v>
      </c>
      <c r="T777" s="147" t="str">
        <f>IFERROR(__xludf.DUMMYFUNCTION("""COMPUTED_VALUE"""),"1-1037-00437-38-0")</f>
        <v>1-1037-00437-38-0</v>
      </c>
      <c r="U777" t="str">
        <f>IFERROR(__xludf.DUMMYFUNCTION("""COMPUTED_VALUE"""),"AC8020093")</f>
        <v>AC8020093</v>
      </c>
      <c r="V777" s="148">
        <f>IFERROR(__xludf.DUMMYFUNCTION("""COMPUTED_VALUE"""),45720.0)</f>
        <v>45720</v>
      </c>
      <c r="W777" s="148">
        <f>IFERROR(__xludf.DUMMYFUNCTION("""COMPUTED_VALUE"""),49371.0)</f>
        <v>49371</v>
      </c>
      <c r="X777" s="149">
        <f>IFERROR(__xludf.DUMMYFUNCTION("""COMPUTED_VALUE"""),49190.0)</f>
        <v>49190</v>
      </c>
      <c r="Y777" t="str">
        <f>IFERROR(__xludf.DUMMYFUNCTION("""COMPUTED_VALUE"""),"ปลอดภัย")</f>
        <v>ปลอดภัย</v>
      </c>
      <c r="Z777" t="str">
        <f>IFERROR(__xludf.DUMMYFUNCTION("""COMPUTED_VALUE"""),"Bangkok")</f>
        <v>Bangkok</v>
      </c>
      <c r="AA777" t="str">
        <f>IFERROR(__xludf.DUMMYFUNCTION("""COMPUTED_VALUE"""),"Bangkok")</f>
        <v>Bangkok</v>
      </c>
      <c r="AB777" t="str">
        <f>IFERROR(__xludf.DUMMYFUNCTION("""COMPUTED_VALUE"""),"085-459-1939")</f>
        <v>085-459-1939</v>
      </c>
      <c r="AC777" t="str">
        <f>IFERROR(__xludf.DUMMYFUNCTION("""COMPUTED_VALUE"""),"Kanchana Phetchai")</f>
        <v>Kanchana Phetchai</v>
      </c>
      <c r="AD777" t="str">
        <f>IFERROR(__xludf.DUMMYFUNCTION("""COMPUTED_VALUE"""),"sangkasp@airasia.com")</f>
        <v>sangkasp@airasia.com</v>
      </c>
    </row>
    <row r="778">
      <c r="A778" s="142">
        <f>IFERROR(__xludf.DUMMYFUNCTION("""COMPUTED_VALUE"""),85.0)</f>
        <v>85</v>
      </c>
      <c r="B778" t="str">
        <f>IFERROR(__xludf.DUMMYFUNCTION("""COMPUTED_VALUE"""),"TAA7674")</f>
        <v>TAA7674</v>
      </c>
      <c r="C778">
        <f>IFERROR(__xludf.DUMMYFUNCTION("""COMPUTED_VALUE"""),1017650.0)</f>
        <v>1017650</v>
      </c>
      <c r="D778" t="str">
        <f>IFERROR(__xludf.DUMMYFUNCTION("""COMPUTED_VALUE"""),"Ms.")</f>
        <v>Ms.</v>
      </c>
      <c r="E778" t="str">
        <f>IFERROR(__xludf.DUMMYFUNCTION("""COMPUTED_VALUE"""),"Sirikorn")</f>
        <v>Sirikorn</v>
      </c>
      <c r="F778" t="str">
        <f>IFERROR(__xludf.DUMMYFUNCTION("""COMPUTED_VALUE"""),"Saengnak")</f>
        <v>Saengnak</v>
      </c>
      <c r="G778" t="str">
        <f>IFERROR(__xludf.DUMMYFUNCTION("""COMPUTED_VALUE"""),"Sirikorn Saengnak")</f>
        <v>Sirikorn Saengnak</v>
      </c>
      <c r="H778" t="str">
        <f>IFERROR(__xludf.DUMMYFUNCTION("""COMPUTED_VALUE"""),"นางสาว")</f>
        <v>นางสาว</v>
      </c>
      <c r="I778" t="str">
        <f>IFERROR(__xludf.DUMMYFUNCTION("""COMPUTED_VALUE"""),"สิริกร")</f>
        <v>สิริกร</v>
      </c>
      <c r="J778" t="str">
        <f>IFERROR(__xludf.DUMMYFUNCTION("""COMPUTED_VALUE"""),"แสงนาค")</f>
        <v>แสงนาค</v>
      </c>
      <c r="K778" t="str">
        <f>IFERROR(__xludf.DUMMYFUNCTION("""COMPUTED_VALUE"""),"สิริกร แสงนาค")</f>
        <v>สิริกร แสงนาค</v>
      </c>
      <c r="L778" t="str">
        <f>IFERROR(__xludf.DUMMYFUNCTION("""COMPUTED_VALUE"""),"Aey / เอย")</f>
        <v>Aey / เอย</v>
      </c>
      <c r="M778" t="str">
        <f>IFERROR(__xludf.DUMMYFUNCTION("""COMPUTED_VALUE"""),"Cabin Crew - CNX")</f>
        <v>Cabin Crew - CNX</v>
      </c>
      <c r="N778" t="str">
        <f>IFERROR(__xludf.DUMMYFUNCTION("""COMPUTED_VALUE"""),"CNX")</f>
        <v>CNX</v>
      </c>
      <c r="O778" s="145" t="str">
        <f>IFERROR(__xludf.DUMMYFUNCTION("""COMPUTED_VALUE"""),"Up Home")</f>
        <v>Up Home</v>
      </c>
      <c r="P778" t="str">
        <f>IFERROR(__xludf.DUMMYFUNCTION("""COMPUTED_VALUE"""),"Active")</f>
        <v>Active</v>
      </c>
      <c r="R778" s="143">
        <f>IFERROR(__xludf.DUMMYFUNCTION("""COMPUTED_VALUE"""),33542.0)</f>
        <v>33542</v>
      </c>
      <c r="S778" s="146" t="str">
        <f>IFERROR(__xludf.DUMMYFUNCTION("""COMPUTED_VALUE"""),"087-335-5252")</f>
        <v>087-335-5252</v>
      </c>
      <c r="T778" s="147">
        <f>IFERROR(__xludf.DUMMYFUNCTION("""COMPUTED_VALUE"""),1.100701440799E12)</f>
        <v>1100701440799</v>
      </c>
      <c r="U778" t="str">
        <f>IFERROR(__xludf.DUMMYFUNCTION("""COMPUTED_VALUE"""),"AC4984457")</f>
        <v>AC4984457</v>
      </c>
      <c r="V778" s="148">
        <f>IFERROR(__xludf.DUMMYFUNCTION("""COMPUTED_VALUE"""),45083.0)</f>
        <v>45083</v>
      </c>
      <c r="W778" s="148">
        <f>IFERROR(__xludf.DUMMYFUNCTION("""COMPUTED_VALUE"""),48735.0)</f>
        <v>48735</v>
      </c>
      <c r="X778" s="149">
        <f>IFERROR(__xludf.DUMMYFUNCTION("""COMPUTED_VALUE"""),48553.0)</f>
        <v>48553</v>
      </c>
      <c r="Y778" t="str">
        <f>IFERROR(__xludf.DUMMYFUNCTION("""COMPUTED_VALUE"""),"ปลอดภัย")</f>
        <v>ปลอดภัย</v>
      </c>
      <c r="Z778" t="str">
        <f>IFERROR(__xludf.DUMMYFUNCTION("""COMPUTED_VALUE"""),"Bangkok")</f>
        <v>Bangkok</v>
      </c>
      <c r="AA778" t="str">
        <f>IFERROR(__xludf.DUMMYFUNCTION("""COMPUTED_VALUE"""),"Nonthaburi")</f>
        <v>Nonthaburi</v>
      </c>
      <c r="AB778" t="str">
        <f>IFERROR(__xludf.DUMMYFUNCTION("""COMPUTED_VALUE"""),"082-330-1502")</f>
        <v>082-330-1502</v>
      </c>
      <c r="AC778" t="str">
        <f>IFERROR(__xludf.DUMMYFUNCTION("""COMPUTED_VALUE"""),"Maj. Gen. Dr. Tanon Saengnak(father)")</f>
        <v>Maj. Gen. Dr. Tanon Saengnak(father)</v>
      </c>
      <c r="AD778" t="str">
        <f>IFERROR(__xludf.DUMMYFUNCTION("""COMPUTED_VALUE"""),"sirikorns@airasia.com")</f>
        <v>sirikorns@airasia.com</v>
      </c>
    </row>
    <row r="779">
      <c r="A779" s="142">
        <f>IFERROR(__xludf.DUMMYFUNCTION("""COMPUTED_VALUE"""),85.0)</f>
        <v>85</v>
      </c>
      <c r="B779" t="str">
        <f>IFERROR(__xludf.DUMMYFUNCTION("""COMPUTED_VALUE"""),"TAA7509")</f>
        <v>TAA7509</v>
      </c>
      <c r="C779">
        <f>IFERROR(__xludf.DUMMYFUNCTION("""COMPUTED_VALUE"""),1017651.0)</f>
        <v>1017651</v>
      </c>
      <c r="D779" t="str">
        <f>IFERROR(__xludf.DUMMYFUNCTION("""COMPUTED_VALUE"""),"Ms.")</f>
        <v>Ms.</v>
      </c>
      <c r="E779" t="str">
        <f>IFERROR(__xludf.DUMMYFUNCTION("""COMPUTED_VALUE"""),"Usana")</f>
        <v>Usana</v>
      </c>
      <c r="F779" t="str">
        <f>IFERROR(__xludf.DUMMYFUNCTION("""COMPUTED_VALUE"""),"Saepua")</f>
        <v>Saepua</v>
      </c>
      <c r="G779" t="str">
        <f>IFERROR(__xludf.DUMMYFUNCTION("""COMPUTED_VALUE"""),"Usana Saepua")</f>
        <v>Usana Saepua</v>
      </c>
      <c r="H779" t="str">
        <f>IFERROR(__xludf.DUMMYFUNCTION("""COMPUTED_VALUE"""),"นางสาว")</f>
        <v>นางสาว</v>
      </c>
      <c r="I779" t="str">
        <f>IFERROR(__xludf.DUMMYFUNCTION("""COMPUTED_VALUE"""),"อุษณา")</f>
        <v>อุษณา</v>
      </c>
      <c r="J779" t="str">
        <f>IFERROR(__xludf.DUMMYFUNCTION("""COMPUTED_VALUE"""),"แซ่พั่ว")</f>
        <v>แซ่พั่ว</v>
      </c>
      <c r="K779" t="str">
        <f>IFERROR(__xludf.DUMMYFUNCTION("""COMPUTED_VALUE"""),"อุษณา แซ่พั่ว")</f>
        <v>อุษณา แซ่พั่ว</v>
      </c>
      <c r="L779" t="str">
        <f>IFERROR(__xludf.DUMMYFUNCTION("""COMPUTED_VALUE"""),"Nicky นิกกี้")</f>
        <v>Nicky นิกกี้</v>
      </c>
      <c r="M779" t="str">
        <f>IFERROR(__xludf.DUMMYFUNCTION("""COMPUTED_VALUE"""),"Senior Cabin Crew")</f>
        <v>Senior Cabin Crew</v>
      </c>
      <c r="N779" t="str">
        <f>IFERROR(__xludf.DUMMYFUNCTION("""COMPUTED_VALUE"""),"DMK")</f>
        <v>DMK</v>
      </c>
      <c r="O779" s="145" t="str">
        <f>IFERROR(__xludf.DUMMYFUNCTION("""COMPUTED_VALUE"""),"Up Home")</f>
        <v>Up Home</v>
      </c>
      <c r="P779" t="str">
        <f>IFERROR(__xludf.DUMMYFUNCTION("""COMPUTED_VALUE"""),"Active")</f>
        <v>Active</v>
      </c>
      <c r="R779" s="143">
        <f>IFERROR(__xludf.DUMMYFUNCTION("""COMPUTED_VALUE"""),32299.0)</f>
        <v>32299</v>
      </c>
      <c r="S779" s="146">
        <f>IFERROR(__xludf.DUMMYFUNCTION("""COMPUTED_VALUE"""),8.17285934E8)</f>
        <v>817285934</v>
      </c>
      <c r="T779" s="147" t="str">
        <f>IFERROR(__xludf.DUMMYFUNCTION("""COMPUTED_VALUE"""),"1-8099-00207-11-5")</f>
        <v>1-8099-00207-11-5</v>
      </c>
      <c r="U779" t="str">
        <f>IFERROR(__xludf.DUMMYFUNCTION("""COMPUTED_VALUE"""),"AC6858585")</f>
        <v>AC6858585</v>
      </c>
      <c r="V779" s="148">
        <f>IFERROR(__xludf.DUMMYFUNCTION("""COMPUTED_VALUE"""),45467.0)</f>
        <v>45467</v>
      </c>
      <c r="W779" s="148">
        <f>IFERROR(__xludf.DUMMYFUNCTION("""COMPUTED_VALUE"""),49118.0)</f>
        <v>49118</v>
      </c>
      <c r="X779" s="149">
        <f>IFERROR(__xludf.DUMMYFUNCTION("""COMPUTED_VALUE"""),48936.0)</f>
        <v>48936</v>
      </c>
      <c r="Y779" t="str">
        <f>IFERROR(__xludf.DUMMYFUNCTION("""COMPUTED_VALUE"""),"ปลอดภัย")</f>
        <v>ปลอดภัย</v>
      </c>
      <c r="Z779" t="str">
        <f>IFERROR(__xludf.DUMMYFUNCTION("""COMPUTED_VALUE"""),"Nakhon Si Thammarat Province")</f>
        <v>Nakhon Si Thammarat Province</v>
      </c>
      <c r="AA779" t="str">
        <f>IFERROR(__xludf.DUMMYFUNCTION("""COMPUTED_VALUE"""),"Bangkok")</f>
        <v>Bangkok</v>
      </c>
      <c r="AB779" t="str">
        <f>IFERROR(__xludf.DUMMYFUNCTION("""COMPUTED_VALUE"""),"081-080-6116")</f>
        <v>081-080-6116</v>
      </c>
      <c r="AC779" t="str">
        <f>IFERROR(__xludf.DUMMYFUNCTION("""COMPUTED_VALUE"""),"Nialisa Saepua (Sister)")</f>
        <v>Nialisa Saepua (Sister)</v>
      </c>
      <c r="AD779" t="str">
        <f>IFERROR(__xludf.DUMMYFUNCTION("""COMPUTED_VALUE"""),"usanas@airasia.com")</f>
        <v>usanas@airasia.com</v>
      </c>
    </row>
    <row r="780">
      <c r="A780" s="142">
        <f>IFERROR(__xludf.DUMMYFUNCTION("""COMPUTED_VALUE"""),85.0)</f>
        <v>85</v>
      </c>
      <c r="B780" t="str">
        <f>IFERROR(__xludf.DUMMYFUNCTION("""COMPUTED_VALUE"""),"TAA7521")</f>
        <v>TAA7521</v>
      </c>
      <c r="C780">
        <f>IFERROR(__xludf.DUMMYFUNCTION("""COMPUTED_VALUE"""),1017653.0)</f>
        <v>1017653</v>
      </c>
      <c r="D780" t="str">
        <f>IFERROR(__xludf.DUMMYFUNCTION("""COMPUTED_VALUE"""),"Mr.")</f>
        <v>Mr.</v>
      </c>
      <c r="E780" t="str">
        <f>IFERROR(__xludf.DUMMYFUNCTION("""COMPUTED_VALUE"""),"Wachiraphon")</f>
        <v>Wachiraphon</v>
      </c>
      <c r="F780" t="str">
        <f>IFERROR(__xludf.DUMMYFUNCTION("""COMPUTED_VALUE"""),"Lakbun")</f>
        <v>Lakbun</v>
      </c>
      <c r="G780" t="str">
        <f>IFERROR(__xludf.DUMMYFUNCTION("""COMPUTED_VALUE"""),"Wachiraphon Lakbun")</f>
        <v>Wachiraphon Lakbun</v>
      </c>
      <c r="H780" t="str">
        <f>IFERROR(__xludf.DUMMYFUNCTION("""COMPUTED_VALUE"""),"นาย")</f>
        <v>นาย</v>
      </c>
      <c r="I780" t="str">
        <f>IFERROR(__xludf.DUMMYFUNCTION("""COMPUTED_VALUE"""),"วชิรพล")</f>
        <v>วชิรพล</v>
      </c>
      <c r="J780" t="str">
        <f>IFERROR(__xludf.DUMMYFUNCTION("""COMPUTED_VALUE"""),"หลักบุญ")</f>
        <v>หลักบุญ</v>
      </c>
      <c r="K780" t="str">
        <f>IFERROR(__xludf.DUMMYFUNCTION("""COMPUTED_VALUE"""),"วชิรพล หลักบุญ")</f>
        <v>วชิรพล หลักบุญ</v>
      </c>
      <c r="L780" t="str">
        <f>IFERROR(__xludf.DUMMYFUNCTION("""COMPUTED_VALUE"""),"Big บิ๊ก")</f>
        <v>Big บิ๊ก</v>
      </c>
      <c r="M780" t="str">
        <f>IFERROR(__xludf.DUMMYFUNCTION("""COMPUTED_VALUE"""),"Senior Cabin Crew")</f>
        <v>Senior Cabin Crew</v>
      </c>
      <c r="N780" t="str">
        <f>IFERROR(__xludf.DUMMYFUNCTION("""COMPUTED_VALUE"""),"DMK")</f>
        <v>DMK</v>
      </c>
      <c r="O780" s="145" t="str">
        <f>IFERROR(__xludf.DUMMYFUNCTION("""COMPUTED_VALUE"""),"Up Home")</f>
        <v>Up Home</v>
      </c>
      <c r="P780" t="str">
        <f>IFERROR(__xludf.DUMMYFUNCTION("""COMPUTED_VALUE"""),"Active")</f>
        <v>Active</v>
      </c>
      <c r="R780" s="143">
        <f>IFERROR(__xludf.DUMMYFUNCTION("""COMPUTED_VALUE"""),33929.0)</f>
        <v>33929</v>
      </c>
      <c r="S780" s="146" t="str">
        <f>IFERROR(__xludf.DUMMYFUNCTION("""COMPUTED_VALUE"""),"083-795-7791")</f>
        <v>083-795-7791</v>
      </c>
      <c r="T780" s="147" t="str">
        <f>IFERROR(__xludf.DUMMYFUNCTION("""COMPUTED_VALUE"""),"1-3399-00274-59-3")</f>
        <v>1-3399-00274-59-3</v>
      </c>
      <c r="U780" t="str">
        <f>IFERROR(__xludf.DUMMYFUNCTION("""COMPUTED_VALUE"""),"AC8019812")</f>
        <v>AC8019812</v>
      </c>
      <c r="V780" s="148">
        <f>IFERROR(__xludf.DUMMYFUNCTION("""COMPUTED_VALUE"""),45725.0)</f>
        <v>45725</v>
      </c>
      <c r="W780" s="148">
        <f>IFERROR(__xludf.DUMMYFUNCTION("""COMPUTED_VALUE"""),49370.0)</f>
        <v>49370</v>
      </c>
      <c r="X780" s="149">
        <f>IFERROR(__xludf.DUMMYFUNCTION("""COMPUTED_VALUE"""),49189.0)</f>
        <v>49189</v>
      </c>
      <c r="Y780" t="str">
        <f>IFERROR(__xludf.DUMMYFUNCTION("""COMPUTED_VALUE"""),"ปลอดภัย")</f>
        <v>ปลอดภัย</v>
      </c>
      <c r="Z780" t="str">
        <f>IFERROR(__xludf.DUMMYFUNCTION("""COMPUTED_VALUE"""),"Sisaket Province")</f>
        <v>Sisaket Province</v>
      </c>
      <c r="AA780" t="str">
        <f>IFERROR(__xludf.DUMMYFUNCTION("""COMPUTED_VALUE"""),"Pathumyhani")</f>
        <v>Pathumyhani</v>
      </c>
      <c r="AB780" t="str">
        <f>IFERROR(__xludf.DUMMYFUNCTION("""COMPUTED_VALUE"""),"098-585-3167")</f>
        <v>098-585-3167</v>
      </c>
      <c r="AC780" t="str">
        <f>IFERROR(__xludf.DUMMYFUNCTION("""COMPUTED_VALUE"""),"Rutsmee Lakbun (Mother)")</f>
        <v>Rutsmee Lakbun (Mother)</v>
      </c>
      <c r="AD780" t="str">
        <f>IFERROR(__xludf.DUMMYFUNCTION("""COMPUTED_VALUE"""),"wachiraphonl@airasia.com")</f>
        <v>wachiraphonl@airasia.com</v>
      </c>
    </row>
    <row r="781">
      <c r="A781" s="142">
        <f>IFERROR(__xludf.DUMMYFUNCTION("""COMPUTED_VALUE"""),85.0)</f>
        <v>85</v>
      </c>
      <c r="B781" t="str">
        <f>IFERROR(__xludf.DUMMYFUNCTION("""COMPUTED_VALUE"""),"TAA7522")</f>
        <v>TAA7522</v>
      </c>
      <c r="C781">
        <f>IFERROR(__xludf.DUMMYFUNCTION("""COMPUTED_VALUE"""),1017655.0)</f>
        <v>1017655</v>
      </c>
      <c r="D781" t="str">
        <f>IFERROR(__xludf.DUMMYFUNCTION("""COMPUTED_VALUE"""),"Mr.")</f>
        <v>Mr.</v>
      </c>
      <c r="E781" t="str">
        <f>IFERROR(__xludf.DUMMYFUNCTION("""COMPUTED_VALUE"""),"Waris")</f>
        <v>Waris</v>
      </c>
      <c r="F781" t="str">
        <f>IFERROR(__xludf.DUMMYFUNCTION("""COMPUTED_VALUE"""),"Suaprasert")</f>
        <v>Suaprasert</v>
      </c>
      <c r="G781" t="str">
        <f>IFERROR(__xludf.DUMMYFUNCTION("""COMPUTED_VALUE"""),"Waris Suaprasert")</f>
        <v>Waris Suaprasert</v>
      </c>
      <c r="H781" t="str">
        <f>IFERROR(__xludf.DUMMYFUNCTION("""COMPUTED_VALUE"""),"นาย")</f>
        <v>นาย</v>
      </c>
      <c r="I781" t="str">
        <f>IFERROR(__xludf.DUMMYFUNCTION("""COMPUTED_VALUE"""),"วริศ")</f>
        <v>วริศ</v>
      </c>
      <c r="J781" t="str">
        <f>IFERROR(__xludf.DUMMYFUNCTION("""COMPUTED_VALUE"""),"เสือประเสริฐ")</f>
        <v>เสือประเสริฐ</v>
      </c>
      <c r="K781" t="str">
        <f>IFERROR(__xludf.DUMMYFUNCTION("""COMPUTED_VALUE"""),"วริศ เสือประเสริฐ")</f>
        <v>วริศ เสือประเสริฐ</v>
      </c>
      <c r="L781" t="str">
        <f>IFERROR(__xludf.DUMMYFUNCTION("""COMPUTED_VALUE"""),"Milo ไมโล")</f>
        <v>Milo ไมโล</v>
      </c>
      <c r="M781" t="str">
        <f>IFERROR(__xludf.DUMMYFUNCTION("""COMPUTED_VALUE"""),"Senior Cabin Crew")</f>
        <v>Senior Cabin Crew</v>
      </c>
      <c r="N781" t="str">
        <f>IFERROR(__xludf.DUMMYFUNCTION("""COMPUTED_VALUE"""),"DMK")</f>
        <v>DMK</v>
      </c>
      <c r="O781" s="145" t="str">
        <f>IFERROR(__xludf.DUMMYFUNCTION("""COMPUTED_VALUE"""),"Up Home")</f>
        <v>Up Home</v>
      </c>
      <c r="P781" t="str">
        <f>IFERROR(__xludf.DUMMYFUNCTION("""COMPUTED_VALUE"""),"Active")</f>
        <v>Active</v>
      </c>
      <c r="R781" s="143">
        <f>IFERROR(__xludf.DUMMYFUNCTION("""COMPUTED_VALUE"""),34241.0)</f>
        <v>34241</v>
      </c>
      <c r="S781" s="146" t="str">
        <f>IFERROR(__xludf.DUMMYFUNCTION("""COMPUTED_VALUE"""),"063 362 9154")</f>
        <v>063 362 9154</v>
      </c>
      <c r="T781" s="147" t="str">
        <f>IFERROR(__xludf.DUMMYFUNCTION("""COMPUTED_VALUE"""),"1-1008-00752-62-4")</f>
        <v>1-1008-00752-62-4</v>
      </c>
      <c r="U781" t="str">
        <f>IFERROR(__xludf.DUMMYFUNCTION("""COMPUTED_VALUE"""),"AC7919365")</f>
        <v>AC7919365</v>
      </c>
      <c r="V781" s="148">
        <f>IFERROR(__xludf.DUMMYFUNCTION("""COMPUTED_VALUE"""),45666.0)</f>
        <v>45666</v>
      </c>
      <c r="W781" s="148">
        <f>IFERROR(__xludf.DUMMYFUNCTION("""COMPUTED_VALUE"""),49317.0)</f>
        <v>49317</v>
      </c>
      <c r="X781" s="149">
        <f>IFERROR(__xludf.DUMMYFUNCTION("""COMPUTED_VALUE"""),49133.0)</f>
        <v>49133</v>
      </c>
      <c r="Y781" t="str">
        <f>IFERROR(__xludf.DUMMYFUNCTION("""COMPUTED_VALUE"""),"ปลอดภัย")</f>
        <v>ปลอดภัย</v>
      </c>
      <c r="Z781" t="str">
        <f>IFERROR(__xludf.DUMMYFUNCTION("""COMPUTED_VALUE"""),"Bangkok")</f>
        <v>Bangkok</v>
      </c>
      <c r="AA781" t="str">
        <f>IFERROR(__xludf.DUMMYFUNCTION("""COMPUTED_VALUE"""),"Samutprakan")</f>
        <v>Samutprakan</v>
      </c>
      <c r="AB781" t="str">
        <f>IFERROR(__xludf.DUMMYFUNCTION("""COMPUTED_VALUE"""),"095-453-1293")</f>
        <v>095-453-1293</v>
      </c>
      <c r="AC781" t="str">
        <f>IFERROR(__xludf.DUMMYFUNCTION("""COMPUTED_VALUE"""),"Supaporn Suaprasert (Mother)")</f>
        <v>Supaporn Suaprasert (Mother)</v>
      </c>
      <c r="AD781" t="str">
        <f>IFERROR(__xludf.DUMMYFUNCTION("""COMPUTED_VALUE"""),"wariss@airasia.com")</f>
        <v>wariss@airasia.com</v>
      </c>
    </row>
    <row r="782">
      <c r="A782" s="142">
        <f>IFERROR(__xludf.DUMMYFUNCTION("""COMPUTED_VALUE"""),85.0)</f>
        <v>85</v>
      </c>
      <c r="B782" t="str">
        <f>IFERROR(__xludf.DUMMYFUNCTION("""COMPUTED_VALUE"""),"TAA7518")</f>
        <v>TAA7518</v>
      </c>
      <c r="C782">
        <f>IFERROR(__xludf.DUMMYFUNCTION("""COMPUTED_VALUE"""),1017657.0)</f>
        <v>1017657</v>
      </c>
      <c r="D782" t="str">
        <f>IFERROR(__xludf.DUMMYFUNCTION("""COMPUTED_VALUE"""),"Mr.")</f>
        <v>Mr.</v>
      </c>
      <c r="E782" t="str">
        <f>IFERROR(__xludf.DUMMYFUNCTION("""COMPUTED_VALUE"""),"YANAKORN")</f>
        <v>YANAKORN</v>
      </c>
      <c r="F782" t="str">
        <f>IFERROR(__xludf.DUMMYFUNCTION("""COMPUTED_VALUE"""),"CHARNFUN")</f>
        <v>CHARNFUN</v>
      </c>
      <c r="G782" t="str">
        <f>IFERROR(__xludf.DUMMYFUNCTION("""COMPUTED_VALUE"""),"Yanakorn Charnfun")</f>
        <v>Yanakorn Charnfun</v>
      </c>
      <c r="H782" t="str">
        <f>IFERROR(__xludf.DUMMYFUNCTION("""COMPUTED_VALUE"""),"นาย")</f>
        <v>นาย</v>
      </c>
      <c r="I782" t="str">
        <f>IFERROR(__xludf.DUMMYFUNCTION("""COMPUTED_VALUE"""),"ญาณกร")</f>
        <v>ญาณกร</v>
      </c>
      <c r="J782" t="str">
        <f>IFERROR(__xludf.DUMMYFUNCTION("""COMPUTED_VALUE"""),"ชาญฟั่น")</f>
        <v>ชาญฟั่น</v>
      </c>
      <c r="K782" t="str">
        <f>IFERROR(__xludf.DUMMYFUNCTION("""COMPUTED_VALUE"""),"ญาณกร ชาญฟั่น")</f>
        <v>ญาณกร ชาญฟั่น</v>
      </c>
      <c r="L782" t="str">
        <f>IFERROR(__xludf.DUMMYFUNCTION("""COMPUTED_VALUE"""),"Koo กู้")</f>
        <v>Koo กู้</v>
      </c>
      <c r="M782" t="str">
        <f>IFERROR(__xludf.DUMMYFUNCTION("""COMPUTED_VALUE"""),"Cabin Crew")</f>
        <v>Cabin Crew</v>
      </c>
      <c r="N782" t="str">
        <f>IFERROR(__xludf.DUMMYFUNCTION("""COMPUTED_VALUE"""),"DMK")</f>
        <v>DMK</v>
      </c>
      <c r="O782" s="145" t="str">
        <f>IFERROR(__xludf.DUMMYFUNCTION("""COMPUTED_VALUE"""),"Um Home")</f>
        <v>Um Home</v>
      </c>
      <c r="P782" t="str">
        <f>IFERROR(__xludf.DUMMYFUNCTION("""COMPUTED_VALUE"""),"Active")</f>
        <v>Active</v>
      </c>
      <c r="R782" s="143">
        <f>IFERROR(__xludf.DUMMYFUNCTION("""COMPUTED_VALUE"""),32761.0)</f>
        <v>32761</v>
      </c>
      <c r="S782" s="146" t="str">
        <f>IFERROR(__xludf.DUMMYFUNCTION("""COMPUTED_VALUE"""),"086-066-9169")</f>
        <v>086-066-9169</v>
      </c>
      <c r="T782" s="147" t="str">
        <f>IFERROR(__xludf.DUMMYFUNCTION("""COMPUTED_VALUE"""),"1-1014-01791-44-9")</f>
        <v>1-1014-01791-44-9</v>
      </c>
      <c r="U782" t="str">
        <f>IFERROR(__xludf.DUMMYFUNCTION("""COMPUTED_VALUE"""),"AC6632580")</f>
        <v>AC6632580</v>
      </c>
      <c r="V782" s="148">
        <f>IFERROR(__xludf.DUMMYFUNCTION("""COMPUTED_VALUE"""),45412.0)</f>
        <v>45412</v>
      </c>
      <c r="W782" s="148">
        <f>IFERROR(__xludf.DUMMYFUNCTION("""COMPUTED_VALUE"""),49063.0)</f>
        <v>49063</v>
      </c>
      <c r="X782" s="149">
        <f>IFERROR(__xludf.DUMMYFUNCTION("""COMPUTED_VALUE"""),48881.0)</f>
        <v>48881</v>
      </c>
      <c r="Y782" t="str">
        <f>IFERROR(__xludf.DUMMYFUNCTION("""COMPUTED_VALUE"""),"ปลอดภัย")</f>
        <v>ปลอดภัย</v>
      </c>
      <c r="Z782" t="str">
        <f>IFERROR(__xludf.DUMMYFUNCTION("""COMPUTED_VALUE"""),"Bangkok")</f>
        <v>Bangkok</v>
      </c>
      <c r="AA782" t="str">
        <f>IFERROR(__xludf.DUMMYFUNCTION("""COMPUTED_VALUE"""),"Bangkok")</f>
        <v>Bangkok</v>
      </c>
      <c r="AB782" t="str">
        <f>IFERROR(__xludf.DUMMYFUNCTION("""COMPUTED_VALUE"""),"085-027-2505")</f>
        <v>085-027-2505</v>
      </c>
      <c r="AC782" t="str">
        <f>IFERROR(__xludf.DUMMYFUNCTION("""COMPUTED_VALUE"""),"Dome Cheevitdeekul (Friend)")</f>
        <v>Dome Cheevitdeekul (Friend)</v>
      </c>
      <c r="AD782" t="str">
        <f>IFERROR(__xludf.DUMMYFUNCTION("""COMPUTED_VALUE"""),"yanakornc@airasia.com")</f>
        <v>yanakornc@airasia.com</v>
      </c>
    </row>
    <row r="783">
      <c r="AD783" t="str">
        <f>IFERROR(__xludf.DUMMYFUNCTION("""COMPUTED_VALUE"""),"")</f>
        <v/>
      </c>
    </row>
    <row r="784">
      <c r="A784" s="142">
        <f>IFERROR(__xludf.DUMMYFUNCTION("""COMPUTED_VALUE"""),86.0)</f>
        <v>86</v>
      </c>
      <c r="B784" t="str">
        <f>IFERROR(__xludf.DUMMYFUNCTION("""COMPUTED_VALUE"""),"TAA7531")</f>
        <v>TAA7531</v>
      </c>
      <c r="C784">
        <f>IFERROR(__xludf.DUMMYFUNCTION("""COMPUTED_VALUE"""),1017919.0)</f>
        <v>1017919</v>
      </c>
      <c r="D784" t="str">
        <f>IFERROR(__xludf.DUMMYFUNCTION("""COMPUTED_VALUE"""),"Ms.")</f>
        <v>Ms.</v>
      </c>
      <c r="E784" t="str">
        <f>IFERROR(__xludf.DUMMYFUNCTION("""COMPUTED_VALUE"""),"Asanlaya")</f>
        <v>Asanlaya</v>
      </c>
      <c r="F784" t="str">
        <f>IFERROR(__xludf.DUMMYFUNCTION("""COMPUTED_VALUE"""),"Choomit")</f>
        <v>Choomit</v>
      </c>
      <c r="G784" t="str">
        <f>IFERROR(__xludf.DUMMYFUNCTION("""COMPUTED_VALUE"""),"Asanlaya Choomit")</f>
        <v>Asanlaya Choomit</v>
      </c>
      <c r="H784" t="str">
        <f>IFERROR(__xludf.DUMMYFUNCTION("""COMPUTED_VALUE"""),"นางสาว")</f>
        <v>นางสาว</v>
      </c>
      <c r="I784" t="str">
        <f>IFERROR(__xludf.DUMMYFUNCTION("""COMPUTED_VALUE"""),"อศัลยา")</f>
        <v>อศัลยา</v>
      </c>
      <c r="J784" t="str">
        <f>IFERROR(__xludf.DUMMYFUNCTION("""COMPUTED_VALUE"""),"ชูมิตร")</f>
        <v>ชูมิตร</v>
      </c>
      <c r="K784" t="str">
        <f>IFERROR(__xludf.DUMMYFUNCTION("""COMPUTED_VALUE"""),"อศัลยา ชูมิตร")</f>
        <v>อศัลยา ชูมิตร</v>
      </c>
      <c r="L784" t="str">
        <f>IFERROR(__xludf.DUMMYFUNCTION("""COMPUTED_VALUE"""),"Poompui / ปุ้มปุ้ย")</f>
        <v>Poompui / ปุ้มปุ้ย</v>
      </c>
      <c r="M784" t="str">
        <f>IFERROR(__xludf.DUMMYFUNCTION("""COMPUTED_VALUE"""),"Cabin Crew")</f>
        <v>Cabin Crew</v>
      </c>
      <c r="N784" t="str">
        <f>IFERROR(__xludf.DUMMYFUNCTION("""COMPUTED_VALUE"""),"DMK")</f>
        <v>DMK</v>
      </c>
      <c r="O784" s="145" t="str">
        <f>IFERROR(__xludf.DUMMYFUNCTION("""COMPUTED_VALUE"""),"Up Home")</f>
        <v>Up Home</v>
      </c>
      <c r="P784" t="str">
        <f>IFERROR(__xludf.DUMMYFUNCTION("""COMPUTED_VALUE"""),"Active")</f>
        <v>Active</v>
      </c>
      <c r="Q784" t="str">
        <f>IFERROR(__xludf.DUMMYFUNCTION("""COMPUTED_VALUE"""),"Chinese Speaking")</f>
        <v>Chinese Speaking</v>
      </c>
      <c r="R784" s="143">
        <f>IFERROR(__xludf.DUMMYFUNCTION("""COMPUTED_VALUE"""),32570.0)</f>
        <v>32570</v>
      </c>
      <c r="S784" s="146" t="str">
        <f>IFERROR(__xludf.DUMMYFUNCTION("""COMPUTED_VALUE"""),"063-1912244")</f>
        <v>063-1912244</v>
      </c>
      <c r="T784" s="147" t="str">
        <f>IFERROR(__xludf.DUMMYFUNCTION("""COMPUTED_VALUE"""),"1100800-52-7931")</f>
        <v>1100800-52-7931</v>
      </c>
      <c r="U784" t="str">
        <f>IFERROR(__xludf.DUMMYFUNCTION("""COMPUTED_VALUE"""),"AC2335273")</f>
        <v>AC2335273</v>
      </c>
      <c r="V784" s="148">
        <f>IFERROR(__xludf.DUMMYFUNCTION("""COMPUTED_VALUE"""),44377.0)</f>
        <v>44377</v>
      </c>
      <c r="W784" s="148">
        <f>IFERROR(__xludf.DUMMYFUNCTION("""COMPUTED_VALUE"""),48028.0)</f>
        <v>48028</v>
      </c>
      <c r="X784" s="149">
        <f>IFERROR(__xludf.DUMMYFUNCTION("""COMPUTED_VALUE"""),47846.0)</f>
        <v>47846</v>
      </c>
      <c r="Y784" t="str">
        <f>IFERROR(__xludf.DUMMYFUNCTION("""COMPUTED_VALUE"""),"ปลอดภัย")</f>
        <v>ปลอดภัย</v>
      </c>
      <c r="Z784" t="str">
        <f>IFERROR(__xludf.DUMMYFUNCTION("""COMPUTED_VALUE"""),"Bangkok")</f>
        <v>Bangkok</v>
      </c>
      <c r="AA784" t="str">
        <f>IFERROR(__xludf.DUMMYFUNCTION("""COMPUTED_VALUE"""),"Samutprakan")</f>
        <v>Samutprakan</v>
      </c>
      <c r="AB784" t="str">
        <f>IFERROR(__xludf.DUMMYFUNCTION("""COMPUTED_VALUE"""),"081-813-2032")</f>
        <v>081-813-2032</v>
      </c>
      <c r="AC784" t="str">
        <f>IFERROR(__xludf.DUMMYFUNCTION("""COMPUTED_VALUE"""),"Pornchai Choomit (Father)")</f>
        <v>Pornchai Choomit (Father)</v>
      </c>
      <c r="AD784" t="str">
        <f>IFERROR(__xludf.DUMMYFUNCTION("""COMPUTED_VALUE"""),"asanlayac@airasia.com")</f>
        <v>asanlayac@airasia.com</v>
      </c>
    </row>
    <row r="785">
      <c r="A785" s="142">
        <f>IFERROR(__xludf.DUMMYFUNCTION("""COMPUTED_VALUE"""),86.0)</f>
        <v>86</v>
      </c>
      <c r="B785" t="str">
        <f>IFERROR(__xludf.DUMMYFUNCTION("""COMPUTED_VALUE"""),"TAA7536")</f>
        <v>TAA7536</v>
      </c>
      <c r="C785">
        <f>IFERROR(__xludf.DUMMYFUNCTION("""COMPUTED_VALUE"""),1017921.0)</f>
        <v>1017921</v>
      </c>
      <c r="D785" t="str">
        <f>IFERROR(__xludf.DUMMYFUNCTION("""COMPUTED_VALUE"""),"Ms.")</f>
        <v>Ms.</v>
      </c>
      <c r="E785" t="str">
        <f>IFERROR(__xludf.DUMMYFUNCTION("""COMPUTED_VALUE"""),"Chantakan")</f>
        <v>Chantakan</v>
      </c>
      <c r="F785" t="str">
        <f>IFERROR(__xludf.DUMMYFUNCTION("""COMPUTED_VALUE"""),"Choktapra")</f>
        <v>Choktapra</v>
      </c>
      <c r="G785" t="str">
        <f>IFERROR(__xludf.DUMMYFUNCTION("""COMPUTED_VALUE"""),"Chantakan Choktapra")</f>
        <v>Chantakan Choktapra</v>
      </c>
      <c r="H785" t="str">
        <f>IFERROR(__xludf.DUMMYFUNCTION("""COMPUTED_VALUE"""),"นางสาว")</f>
        <v>นางสาว</v>
      </c>
      <c r="I785" t="str">
        <f>IFERROR(__xludf.DUMMYFUNCTION("""COMPUTED_VALUE"""),"จันทกานต์")</f>
        <v>จันทกานต์</v>
      </c>
      <c r="J785" t="str">
        <f>IFERROR(__xludf.DUMMYFUNCTION("""COMPUTED_VALUE"""),"โชคท่าพระ")</f>
        <v>โชคท่าพระ</v>
      </c>
      <c r="K785" t="str">
        <f>IFERROR(__xludf.DUMMYFUNCTION("""COMPUTED_VALUE"""),"จันทกานต์ โชคท่าพระ")</f>
        <v>จันทกานต์ โชคท่าพระ</v>
      </c>
      <c r="L785" t="str">
        <f>IFERROR(__xludf.DUMMYFUNCTION("""COMPUTED_VALUE"""),"Ploy/พลอย")</f>
        <v>Ploy/พลอย</v>
      </c>
      <c r="M785" t="str">
        <f>IFERROR(__xludf.DUMMYFUNCTION("""COMPUTED_VALUE"""),"Cabin Crew")</f>
        <v>Cabin Crew</v>
      </c>
      <c r="N785" t="str">
        <f>IFERROR(__xludf.DUMMYFUNCTION("""COMPUTED_VALUE"""),"DMK")</f>
        <v>DMK</v>
      </c>
      <c r="O785" s="145" t="str">
        <f>IFERROR(__xludf.DUMMYFUNCTION("""COMPUTED_VALUE"""),"Nhui Home")</f>
        <v>Nhui Home</v>
      </c>
      <c r="P785" t="str">
        <f>IFERROR(__xludf.DUMMYFUNCTION("""COMPUTED_VALUE"""),"Active")</f>
        <v>Active</v>
      </c>
      <c r="Q785" t="str">
        <f>IFERROR(__xludf.DUMMYFUNCTION("""COMPUTED_VALUE"""),"Chinese Speaking")</f>
        <v>Chinese Speaking</v>
      </c>
      <c r="R785" s="143">
        <f>IFERROR(__xludf.DUMMYFUNCTION("""COMPUTED_VALUE"""),33816.0)</f>
        <v>33816</v>
      </c>
      <c r="S785" s="146" t="str">
        <f>IFERROR(__xludf.DUMMYFUNCTION("""COMPUTED_VALUE"""),"094-5932629")</f>
        <v>094-5932629</v>
      </c>
      <c r="T785" s="147" t="str">
        <f>IFERROR(__xludf.DUMMYFUNCTION("""COMPUTED_VALUE"""),"1102001-76-7517")</f>
        <v>1102001-76-7517</v>
      </c>
      <c r="U785" t="str">
        <f>IFERROR(__xludf.DUMMYFUNCTION("""COMPUTED_VALUE"""),"AC4874477")</f>
        <v>AC4874477</v>
      </c>
      <c r="V785" s="148">
        <f>IFERROR(__xludf.DUMMYFUNCTION("""COMPUTED_VALUE"""),45041.0)</f>
        <v>45041</v>
      </c>
      <c r="W785" s="148">
        <f>IFERROR(__xludf.DUMMYFUNCTION("""COMPUTED_VALUE"""),48693.0)</f>
        <v>48693</v>
      </c>
      <c r="X785" s="149">
        <f>IFERROR(__xludf.DUMMYFUNCTION("""COMPUTED_VALUE"""),48511.0)</f>
        <v>48511</v>
      </c>
      <c r="Y785" t="str">
        <f>IFERROR(__xludf.DUMMYFUNCTION("""COMPUTED_VALUE"""),"ปลอดภัย")</f>
        <v>ปลอดภัย</v>
      </c>
      <c r="Z785" t="str">
        <f>IFERROR(__xludf.DUMMYFUNCTION("""COMPUTED_VALUE"""),"Bangkok")</f>
        <v>Bangkok</v>
      </c>
      <c r="AA785" t="str">
        <f>IFERROR(__xludf.DUMMYFUNCTION("""COMPUTED_VALUE"""),"Nonthaburi")</f>
        <v>Nonthaburi</v>
      </c>
      <c r="AB785" t="str">
        <f>IFERROR(__xludf.DUMMYFUNCTION("""COMPUTED_VALUE"""),"080-294-3364")</f>
        <v>080-294-3364</v>
      </c>
      <c r="AC785" t="str">
        <f>IFERROR(__xludf.DUMMYFUNCTION("""COMPUTED_VALUE"""),"Chantana Choktapra (Mother)")</f>
        <v>Chantana Choktapra (Mother)</v>
      </c>
      <c r="AD785" t="str">
        <f>IFERROR(__xludf.DUMMYFUNCTION("""COMPUTED_VALUE"""),"chantakanc@airasia.com")</f>
        <v>chantakanc@airasia.com</v>
      </c>
    </row>
    <row r="786">
      <c r="A786" s="142">
        <f>IFERROR(__xludf.DUMMYFUNCTION("""COMPUTED_VALUE"""),86.0)</f>
        <v>86</v>
      </c>
      <c r="B786" t="str">
        <f>IFERROR(__xludf.DUMMYFUNCTION("""COMPUTED_VALUE"""),"TAA7527")</f>
        <v>TAA7527</v>
      </c>
      <c r="C786">
        <f>IFERROR(__xludf.DUMMYFUNCTION("""COMPUTED_VALUE"""),1017922.0)</f>
        <v>1017922</v>
      </c>
      <c r="D786" t="str">
        <f>IFERROR(__xludf.DUMMYFUNCTION("""COMPUTED_VALUE"""),"Ms.")</f>
        <v>Ms.</v>
      </c>
      <c r="E786" t="str">
        <f>IFERROR(__xludf.DUMMYFUNCTION("""COMPUTED_VALUE"""),"Hathairat")</f>
        <v>Hathairat</v>
      </c>
      <c r="F786" t="str">
        <f>IFERROR(__xludf.DUMMYFUNCTION("""COMPUTED_VALUE"""),"Pongsavang")</f>
        <v>Pongsavang</v>
      </c>
      <c r="G786" t="str">
        <f>IFERROR(__xludf.DUMMYFUNCTION("""COMPUTED_VALUE"""),"Hathairat Pongsavang")</f>
        <v>Hathairat Pongsavang</v>
      </c>
      <c r="H786" t="str">
        <f>IFERROR(__xludf.DUMMYFUNCTION("""COMPUTED_VALUE"""),"นางสาว")</f>
        <v>นางสาว</v>
      </c>
      <c r="I786" t="str">
        <f>IFERROR(__xludf.DUMMYFUNCTION("""COMPUTED_VALUE"""),"หทัยรัตน์")</f>
        <v>หทัยรัตน์</v>
      </c>
      <c r="J786" t="str">
        <f>IFERROR(__xludf.DUMMYFUNCTION("""COMPUTED_VALUE"""),"ผ่องสว่าง")</f>
        <v>ผ่องสว่าง</v>
      </c>
      <c r="K786" t="str">
        <f>IFERROR(__xludf.DUMMYFUNCTION("""COMPUTED_VALUE"""),"หทัยรัตน์ ผ่องสว่าง")</f>
        <v>หทัยรัตน์ ผ่องสว่าง</v>
      </c>
      <c r="L786" t="str">
        <f>IFERROR(__xludf.DUMMYFUNCTION("""COMPUTED_VALUE"""),"Pang-Meit แป้งหมี่")</f>
        <v>Pang-Meit แป้งหมี่</v>
      </c>
      <c r="M786" t="str">
        <f>IFERROR(__xludf.DUMMYFUNCTION("""COMPUTED_VALUE"""),"Cabin Crew - CNX")</f>
        <v>Cabin Crew - CNX</v>
      </c>
      <c r="N786" t="str">
        <f>IFERROR(__xludf.DUMMYFUNCTION("""COMPUTED_VALUE"""),"CNX")</f>
        <v>CNX</v>
      </c>
      <c r="O786" s="145" t="str">
        <f>IFERROR(__xludf.DUMMYFUNCTION("""COMPUTED_VALUE"""),"Up Home")</f>
        <v>Up Home</v>
      </c>
      <c r="P786" t="str">
        <f>IFERROR(__xludf.DUMMYFUNCTION("""COMPUTED_VALUE"""),"Active")</f>
        <v>Active</v>
      </c>
      <c r="R786" s="143">
        <f>IFERROR(__xludf.DUMMYFUNCTION("""COMPUTED_VALUE"""),33915.0)</f>
        <v>33915</v>
      </c>
      <c r="S786" s="146" t="str">
        <f>IFERROR(__xludf.DUMMYFUNCTION("""COMPUTED_VALUE"""),"082-4848406")</f>
        <v>082-4848406</v>
      </c>
      <c r="T786" s="147" t="str">
        <f>IFERROR(__xludf.DUMMYFUNCTION("""COMPUTED_VALUE"""),"1-6001-00488-79-2")</f>
        <v>1-6001-00488-79-2</v>
      </c>
      <c r="U786" t="str">
        <f>IFERROR(__xludf.DUMMYFUNCTION("""COMPUTED_VALUE"""),"AC6626233")</f>
        <v>AC6626233</v>
      </c>
      <c r="V786" s="148">
        <f>IFERROR(__xludf.DUMMYFUNCTION("""COMPUTED_VALUE"""),45406.0)</f>
        <v>45406</v>
      </c>
      <c r="W786" s="148">
        <f>IFERROR(__xludf.DUMMYFUNCTION("""COMPUTED_VALUE"""),49057.0)</f>
        <v>49057</v>
      </c>
      <c r="X786" s="149">
        <f>IFERROR(__xludf.DUMMYFUNCTION("""COMPUTED_VALUE"""),48875.0)</f>
        <v>48875</v>
      </c>
      <c r="Y786" t="str">
        <f>IFERROR(__xludf.DUMMYFUNCTION("""COMPUTED_VALUE"""),"ปลอดภัย")</f>
        <v>ปลอดภัย</v>
      </c>
      <c r="Z786" t="str">
        <f>IFERROR(__xludf.DUMMYFUNCTION("""COMPUTED_VALUE"""),"Nakhon Sawan Province")</f>
        <v>Nakhon Sawan Province</v>
      </c>
      <c r="AA786" t="str">
        <f>IFERROR(__xludf.DUMMYFUNCTION("""COMPUTED_VALUE"""),"Bangkok")</f>
        <v>Bangkok</v>
      </c>
      <c r="AB786" t="str">
        <f>IFERROR(__xludf.DUMMYFUNCTION("""COMPUTED_VALUE"""),"089-041-8860")</f>
        <v>089-041-8860</v>
      </c>
      <c r="AC786" t="str">
        <f>IFERROR(__xludf.DUMMYFUNCTION("""COMPUTED_VALUE"""),"Salee Pongsavang(Mother)")</f>
        <v>Salee Pongsavang(Mother)</v>
      </c>
      <c r="AD786" t="str">
        <f>IFERROR(__xludf.DUMMYFUNCTION("""COMPUTED_VALUE"""),"hathairatp@airasia.com")</f>
        <v>hathairatp@airasia.com</v>
      </c>
    </row>
    <row r="787">
      <c r="A787" s="142">
        <f>IFERROR(__xludf.DUMMYFUNCTION("""COMPUTED_VALUE"""),86.0)</f>
        <v>86</v>
      </c>
      <c r="B787" t="str">
        <f>IFERROR(__xludf.DUMMYFUNCTION("""COMPUTED_VALUE"""),"TAA7532")</f>
        <v>TAA7532</v>
      </c>
      <c r="C787">
        <f>IFERROR(__xludf.DUMMYFUNCTION("""COMPUTED_VALUE"""),1017924.0)</f>
        <v>1017924</v>
      </c>
      <c r="D787" t="str">
        <f>IFERROR(__xludf.DUMMYFUNCTION("""COMPUTED_VALUE"""),"Ms.")</f>
        <v>Ms.</v>
      </c>
      <c r="E787" t="str">
        <f>IFERROR(__xludf.DUMMYFUNCTION("""COMPUTED_VALUE"""),"Natlada")</f>
        <v>Natlada</v>
      </c>
      <c r="F787" t="str">
        <f>IFERROR(__xludf.DUMMYFUNCTION("""COMPUTED_VALUE"""),"Jamnuch")</f>
        <v>Jamnuch</v>
      </c>
      <c r="G787" t="str">
        <f>IFERROR(__xludf.DUMMYFUNCTION("""COMPUTED_VALUE"""),"Natlada Jamnuch")</f>
        <v>Natlada Jamnuch</v>
      </c>
      <c r="H787" t="str">
        <f>IFERROR(__xludf.DUMMYFUNCTION("""COMPUTED_VALUE"""),"นางสาว")</f>
        <v>นางสาว</v>
      </c>
      <c r="I787" t="str">
        <f>IFERROR(__xludf.DUMMYFUNCTION("""COMPUTED_VALUE"""),"ณัฐลดา")</f>
        <v>ณัฐลดา</v>
      </c>
      <c r="J787" t="str">
        <f>IFERROR(__xludf.DUMMYFUNCTION("""COMPUTED_VALUE"""),"แจ่มนุช")</f>
        <v>แจ่มนุช</v>
      </c>
      <c r="K787" t="str">
        <f>IFERROR(__xludf.DUMMYFUNCTION("""COMPUTED_VALUE"""),"ณัฐลดา แจ่มนุช")</f>
        <v>ณัฐลดา แจ่มนุช</v>
      </c>
      <c r="L787" t="str">
        <f>IFERROR(__xludf.DUMMYFUNCTION("""COMPUTED_VALUE"""),"Prince/ปริ๊น")</f>
        <v>Prince/ปริ๊น</v>
      </c>
      <c r="M787" t="str">
        <f>IFERROR(__xludf.DUMMYFUNCTION("""COMPUTED_VALUE"""),"Cabin Crew")</f>
        <v>Cabin Crew</v>
      </c>
      <c r="N787" t="str">
        <f>IFERROR(__xludf.DUMMYFUNCTION("""COMPUTED_VALUE"""),"DMK")</f>
        <v>DMK</v>
      </c>
      <c r="O787" s="145" t="str">
        <f>IFERROR(__xludf.DUMMYFUNCTION("""COMPUTED_VALUE"""),"Um Home")</f>
        <v>Um Home</v>
      </c>
      <c r="P787" t="str">
        <f>IFERROR(__xludf.DUMMYFUNCTION("""COMPUTED_VALUE"""),"Active")</f>
        <v>Active</v>
      </c>
      <c r="R787" s="143">
        <f>IFERROR(__xludf.DUMMYFUNCTION("""COMPUTED_VALUE"""),33149.0)</f>
        <v>33149</v>
      </c>
      <c r="S787" s="146" t="str">
        <f>IFERROR(__xludf.DUMMYFUNCTION("""COMPUTED_VALUE"""),"084-3362492")</f>
        <v>084-3362492</v>
      </c>
      <c r="T787" s="147" t="str">
        <f>IFERROR(__xludf.DUMMYFUNCTION("""COMPUTED_VALUE"""),"1100200-58-2051")</f>
        <v>1100200-58-2051</v>
      </c>
      <c r="U787" t="str">
        <f>IFERROR(__xludf.DUMMYFUNCTION("""COMPUTED_VALUE"""),"AC7178842")</f>
        <v>AC7178842</v>
      </c>
      <c r="V787" s="148">
        <f>IFERROR(__xludf.DUMMYFUNCTION("""COMPUTED_VALUE"""),45510.0)</f>
        <v>45510</v>
      </c>
      <c r="W787" s="148">
        <f>IFERROR(__xludf.DUMMYFUNCTION("""COMPUTED_VALUE"""),49161.0)</f>
        <v>49161</v>
      </c>
      <c r="X787" s="149">
        <f>IFERROR(__xludf.DUMMYFUNCTION("""COMPUTED_VALUE"""),48980.0)</f>
        <v>48980</v>
      </c>
      <c r="Y787" t="str">
        <f>IFERROR(__xludf.DUMMYFUNCTION("""COMPUTED_VALUE"""),"ปลอดภัย")</f>
        <v>ปลอดภัย</v>
      </c>
      <c r="Z787" t="str">
        <f>IFERROR(__xludf.DUMMYFUNCTION("""COMPUTED_VALUE"""),"Bangkok")</f>
        <v>Bangkok</v>
      </c>
      <c r="AA787" t="str">
        <f>IFERROR(__xludf.DUMMYFUNCTION("""COMPUTED_VALUE"""),"Bangkok")</f>
        <v>Bangkok</v>
      </c>
      <c r="AB787" t="str">
        <f>IFERROR(__xludf.DUMMYFUNCTION("""COMPUTED_VALUE"""),"089-989-8097")</f>
        <v>089-989-8097</v>
      </c>
      <c r="AC787" t="str">
        <f>IFERROR(__xludf.DUMMYFUNCTION("""COMPUTED_VALUE"""),"Natchaya Jamnuch")</f>
        <v>Natchaya Jamnuch</v>
      </c>
      <c r="AD787" t="str">
        <f>IFERROR(__xludf.DUMMYFUNCTION("""COMPUTED_VALUE"""),"natladaj@airasia.com")</f>
        <v>natladaj@airasia.com</v>
      </c>
    </row>
    <row r="788">
      <c r="A788" s="142">
        <f>IFERROR(__xludf.DUMMYFUNCTION("""COMPUTED_VALUE"""),86.0)</f>
        <v>86</v>
      </c>
      <c r="B788" t="str">
        <f>IFERROR(__xludf.DUMMYFUNCTION("""COMPUTED_VALUE"""),"TAA7535")</f>
        <v>TAA7535</v>
      </c>
      <c r="C788">
        <f>IFERROR(__xludf.DUMMYFUNCTION("""COMPUTED_VALUE"""),1017926.0)</f>
        <v>1017926</v>
      </c>
      <c r="D788" t="str">
        <f>IFERROR(__xludf.DUMMYFUNCTION("""COMPUTED_VALUE"""),"Ms.")</f>
        <v>Ms.</v>
      </c>
      <c r="E788" t="str">
        <f>IFERROR(__xludf.DUMMYFUNCTION("""COMPUTED_VALUE"""),"Noppamanee")</f>
        <v>Noppamanee</v>
      </c>
      <c r="F788" t="str">
        <f>IFERROR(__xludf.DUMMYFUNCTION("""COMPUTED_VALUE"""),"Samranrat")</f>
        <v>Samranrat</v>
      </c>
      <c r="G788" t="str">
        <f>IFERROR(__xludf.DUMMYFUNCTION("""COMPUTED_VALUE"""),"Noppamanee Samranrat")</f>
        <v>Noppamanee Samranrat</v>
      </c>
      <c r="H788" t="str">
        <f>IFERROR(__xludf.DUMMYFUNCTION("""COMPUTED_VALUE"""),"นางสาว")</f>
        <v>นางสาว</v>
      </c>
      <c r="I788" t="str">
        <f>IFERROR(__xludf.DUMMYFUNCTION("""COMPUTED_VALUE"""),"ณพมณี")</f>
        <v>ณพมณี</v>
      </c>
      <c r="J788" t="str">
        <f>IFERROR(__xludf.DUMMYFUNCTION("""COMPUTED_VALUE"""),"สำราญรัตน์")</f>
        <v>สำราญรัตน์</v>
      </c>
      <c r="K788" t="str">
        <f>IFERROR(__xludf.DUMMYFUNCTION("""COMPUTED_VALUE"""),"ณพมณี สำราญรัตน์")</f>
        <v>ณพมณี สำราญรัตน์</v>
      </c>
      <c r="L788" t="str">
        <f>IFERROR(__xludf.DUMMYFUNCTION("""COMPUTED_VALUE"""),"Queen / ควีน")</f>
        <v>Queen / ควีน</v>
      </c>
      <c r="M788" t="str">
        <f>IFERROR(__xludf.DUMMYFUNCTION("""COMPUTED_VALUE"""),"Cabin Crew")</f>
        <v>Cabin Crew</v>
      </c>
      <c r="N788" t="str">
        <f>IFERROR(__xludf.DUMMYFUNCTION("""COMPUTED_VALUE"""),"DMK")</f>
        <v>DMK</v>
      </c>
      <c r="O788" s="145" t="str">
        <f>IFERROR(__xludf.DUMMYFUNCTION("""COMPUTED_VALUE"""),"Por+ Home")</f>
        <v>Por+ Home</v>
      </c>
      <c r="P788" t="str">
        <f>IFERROR(__xludf.DUMMYFUNCTION("""COMPUTED_VALUE"""),"Active")</f>
        <v>Active</v>
      </c>
      <c r="R788" s="143">
        <f>IFERROR(__xludf.DUMMYFUNCTION("""COMPUTED_VALUE"""),33506.0)</f>
        <v>33506</v>
      </c>
      <c r="S788" s="146" t="str">
        <f>IFERROR(__xludf.DUMMYFUNCTION("""COMPUTED_VALUE"""),"089-9764991")</f>
        <v>089-9764991</v>
      </c>
      <c r="T788" s="147" t="str">
        <f>IFERROR(__xludf.DUMMYFUNCTION("""COMPUTED_VALUE"""),"1100701-40-7457")</f>
        <v>1100701-40-7457</v>
      </c>
      <c r="U788" t="str">
        <f>IFERROR(__xludf.DUMMYFUNCTION("""COMPUTED_VALUE"""),"AC6441555")</f>
        <v>AC6441555</v>
      </c>
      <c r="V788" s="148">
        <f>IFERROR(__xludf.DUMMYFUNCTION("""COMPUTED_VALUE"""),45355.0)</f>
        <v>45355</v>
      </c>
      <c r="W788" s="148">
        <f>IFERROR(__xludf.DUMMYFUNCTION("""COMPUTED_VALUE"""),49006.0)</f>
        <v>49006</v>
      </c>
      <c r="X788" s="149">
        <f>IFERROR(__xludf.DUMMYFUNCTION("""COMPUTED_VALUE"""),48825.0)</f>
        <v>48825</v>
      </c>
      <c r="Y788" t="str">
        <f>IFERROR(__xludf.DUMMYFUNCTION("""COMPUTED_VALUE"""),"ปลอดภัย")</f>
        <v>ปลอดภัย</v>
      </c>
      <c r="Z788" t="str">
        <f>IFERROR(__xludf.DUMMYFUNCTION("""COMPUTED_VALUE"""),"Bangkok")</f>
        <v>Bangkok</v>
      </c>
      <c r="AA788" t="str">
        <f>IFERROR(__xludf.DUMMYFUNCTION("""COMPUTED_VALUE"""),"Bangkok")</f>
        <v>Bangkok</v>
      </c>
      <c r="AB788" t="str">
        <f>IFERROR(__xludf.DUMMYFUNCTION("""COMPUTED_VALUE"""),"099-968-9917")</f>
        <v>099-968-9917</v>
      </c>
      <c r="AC788" t="str">
        <f>IFERROR(__xludf.DUMMYFUNCTION("""COMPUTED_VALUE"""),"Nicharasri Samranrat (Mother)")</f>
        <v>Nicharasri Samranrat (Mother)</v>
      </c>
      <c r="AD788" t="str">
        <f>IFERROR(__xludf.DUMMYFUNCTION("""COMPUTED_VALUE"""),"noppamanees@airasia.com")</f>
        <v>noppamanees@airasia.com</v>
      </c>
    </row>
    <row r="789">
      <c r="A789" s="142">
        <f>IFERROR(__xludf.DUMMYFUNCTION("""COMPUTED_VALUE"""),86.0)</f>
        <v>86</v>
      </c>
      <c r="B789" t="str">
        <f>IFERROR(__xludf.DUMMYFUNCTION("""COMPUTED_VALUE"""),"TAA7542")</f>
        <v>TAA7542</v>
      </c>
      <c r="C789">
        <f>IFERROR(__xludf.DUMMYFUNCTION("""COMPUTED_VALUE"""),1017927.0)</f>
        <v>1017927</v>
      </c>
      <c r="D789" t="str">
        <f>IFERROR(__xludf.DUMMYFUNCTION("""COMPUTED_VALUE"""),"Ms.")</f>
        <v>Ms.</v>
      </c>
      <c r="E789" t="str">
        <f>IFERROR(__xludf.DUMMYFUNCTION("""COMPUTED_VALUE"""),"Ornusa")</f>
        <v>Ornusa</v>
      </c>
      <c r="F789" t="str">
        <f>IFERROR(__xludf.DUMMYFUNCTION("""COMPUTED_VALUE"""),"Ongsuwan")</f>
        <v>Ongsuwan</v>
      </c>
      <c r="G789" t="str">
        <f>IFERROR(__xludf.DUMMYFUNCTION("""COMPUTED_VALUE"""),"Ornusa Ongsuwan")</f>
        <v>Ornusa Ongsuwan</v>
      </c>
      <c r="H789" t="str">
        <f>IFERROR(__xludf.DUMMYFUNCTION("""COMPUTED_VALUE"""),"นางสาว")</f>
        <v>นางสาว</v>
      </c>
      <c r="I789" t="str">
        <f>IFERROR(__xludf.DUMMYFUNCTION("""COMPUTED_VALUE"""),"อรอุษา")</f>
        <v>อรอุษา</v>
      </c>
      <c r="J789" t="str">
        <f>IFERROR(__xludf.DUMMYFUNCTION("""COMPUTED_VALUE"""),"อ่องสุวรรณ")</f>
        <v>อ่องสุวรรณ</v>
      </c>
      <c r="K789" t="str">
        <f>IFERROR(__xludf.DUMMYFUNCTION("""COMPUTED_VALUE"""),"อรอุษา อ่องสุวรรณ")</f>
        <v>อรอุษา อ่องสุวรรณ</v>
      </c>
      <c r="L789" t="str">
        <f>IFERROR(__xludf.DUMMYFUNCTION("""COMPUTED_VALUE"""),"Prim/พริม")</f>
        <v>Prim/พริม</v>
      </c>
      <c r="M789" t="str">
        <f>IFERROR(__xludf.DUMMYFUNCTION("""COMPUTED_VALUE"""),"Cabin Crew")</f>
        <v>Cabin Crew</v>
      </c>
      <c r="N789" t="str">
        <f>IFERROR(__xludf.DUMMYFUNCTION("""COMPUTED_VALUE"""),"DMK")</f>
        <v>DMK</v>
      </c>
      <c r="O789" s="145" t="str">
        <f>IFERROR(__xludf.DUMMYFUNCTION("""COMPUTED_VALUE"""),"Up Home")</f>
        <v>Up Home</v>
      </c>
      <c r="P789" t="str">
        <f>IFERROR(__xludf.DUMMYFUNCTION("""COMPUTED_VALUE"""),"Active")</f>
        <v>Active</v>
      </c>
      <c r="R789" s="143">
        <f>IFERROR(__xludf.DUMMYFUNCTION("""COMPUTED_VALUE"""),31742.0)</f>
        <v>31742</v>
      </c>
      <c r="S789" s="146" t="str">
        <f>IFERROR(__xludf.DUMMYFUNCTION("""COMPUTED_VALUE"""),"064-423-2354")</f>
        <v>064-423-2354</v>
      </c>
      <c r="T789" s="147" t="str">
        <f>IFERROR(__xludf.DUMMYFUNCTION("""COMPUTED_VALUE"""),"1579900-14-0064")</f>
        <v>1579900-14-0064</v>
      </c>
      <c r="U789" t="str">
        <f>IFERROR(__xludf.DUMMYFUNCTION("""COMPUTED_VALUE"""),"AC6811837")</f>
        <v>AC6811837</v>
      </c>
      <c r="V789" s="148">
        <f>IFERROR(__xludf.DUMMYFUNCTION("""COMPUTED_VALUE"""),45439.0)</f>
        <v>45439</v>
      </c>
      <c r="W789" s="148">
        <f>IFERROR(__xludf.DUMMYFUNCTION("""COMPUTED_VALUE"""),49090.0)</f>
        <v>49090</v>
      </c>
      <c r="X789" s="149">
        <f>IFERROR(__xludf.DUMMYFUNCTION("""COMPUTED_VALUE"""),48909.0)</f>
        <v>48909</v>
      </c>
      <c r="Y789" t="str">
        <f>IFERROR(__xludf.DUMMYFUNCTION("""COMPUTED_VALUE"""),"ปลอดภัย")</f>
        <v>ปลอดภัย</v>
      </c>
      <c r="Z789" t="str">
        <f>IFERROR(__xludf.DUMMYFUNCTION("""COMPUTED_VALUE"""),"Chiang Rai Province")</f>
        <v>Chiang Rai Province</v>
      </c>
      <c r="AA789" t="str">
        <f>IFERROR(__xludf.DUMMYFUNCTION("""COMPUTED_VALUE"""),"Bangkok")</f>
        <v>Bangkok</v>
      </c>
      <c r="AB789" t="str">
        <f>IFERROR(__xludf.DUMMYFUNCTION("""COMPUTED_VALUE"""),"085-908-9997")</f>
        <v>085-908-9997</v>
      </c>
      <c r="AC789" t="str">
        <f>IFERROR(__xludf.DUMMYFUNCTION("""COMPUTED_VALUE"""),"Ontheera Ongsuwan (Sister)")</f>
        <v>Ontheera Ongsuwan (Sister)</v>
      </c>
      <c r="AD789" t="str">
        <f>IFERROR(__xludf.DUMMYFUNCTION("""COMPUTED_VALUE"""),"ornusao@airasia.com")</f>
        <v>ornusao@airasia.com</v>
      </c>
    </row>
    <row r="790">
      <c r="A790" s="142">
        <f>IFERROR(__xludf.DUMMYFUNCTION("""COMPUTED_VALUE"""),86.0)</f>
        <v>86</v>
      </c>
      <c r="B790" t="str">
        <f>IFERROR(__xludf.DUMMYFUNCTION("""COMPUTED_VALUE"""),"TAA7547")</f>
        <v>TAA7547</v>
      </c>
      <c r="C790">
        <f>IFERROR(__xludf.DUMMYFUNCTION("""COMPUTED_VALUE"""),1017931.0)</f>
        <v>1017931</v>
      </c>
      <c r="D790" t="str">
        <f>IFERROR(__xludf.DUMMYFUNCTION("""COMPUTED_VALUE"""),"Ms.")</f>
        <v>Ms.</v>
      </c>
      <c r="E790" t="str">
        <f>IFERROR(__xludf.DUMMYFUNCTION("""COMPUTED_VALUE"""),"Ploynisa")</f>
        <v>Ploynisa</v>
      </c>
      <c r="F790" t="str">
        <f>IFERROR(__xludf.DUMMYFUNCTION("""COMPUTED_VALUE"""),"Siriobmalee")</f>
        <v>Siriobmalee</v>
      </c>
      <c r="G790" t="str">
        <f>IFERROR(__xludf.DUMMYFUNCTION("""COMPUTED_VALUE"""),"Ploynisa Siriobmalee")</f>
        <v>Ploynisa Siriobmalee</v>
      </c>
      <c r="H790" t="str">
        <f>IFERROR(__xludf.DUMMYFUNCTION("""COMPUTED_VALUE"""),"นางสาว")</f>
        <v>นางสาว</v>
      </c>
      <c r="I790" t="str">
        <f>IFERROR(__xludf.DUMMYFUNCTION("""COMPUTED_VALUE"""),"พลอยณิศา")</f>
        <v>พลอยณิศา</v>
      </c>
      <c r="J790" t="str">
        <f>IFERROR(__xludf.DUMMYFUNCTION("""COMPUTED_VALUE"""),"ศิริอบมลี")</f>
        <v>ศิริอบมลี</v>
      </c>
      <c r="K790" t="str">
        <f>IFERROR(__xludf.DUMMYFUNCTION("""COMPUTED_VALUE"""),"พลอยณิศา ศิริอบมลี")</f>
        <v>พลอยณิศา ศิริอบมลี</v>
      </c>
      <c r="L790" t="str">
        <f>IFERROR(__xludf.DUMMYFUNCTION("""COMPUTED_VALUE"""),"Nate/เนตร")</f>
        <v>Nate/เนตร</v>
      </c>
      <c r="M790" t="str">
        <f>IFERROR(__xludf.DUMMYFUNCTION("""COMPUTED_VALUE"""),"Cabin Crew - BKK")</f>
        <v>Cabin Crew - BKK</v>
      </c>
      <c r="N790" t="str">
        <f>IFERROR(__xludf.DUMMYFUNCTION("""COMPUTED_VALUE"""),"BKK")</f>
        <v>BKK</v>
      </c>
      <c r="O790" s="145" t="str">
        <f>IFERROR(__xludf.DUMMYFUNCTION("""COMPUTED_VALUE"""),"Nhui Home")</f>
        <v>Nhui Home</v>
      </c>
      <c r="P790" t="str">
        <f>IFERROR(__xludf.DUMMYFUNCTION("""COMPUTED_VALUE"""),"Active")</f>
        <v>Active</v>
      </c>
      <c r="R790" s="143">
        <f>IFERROR(__xludf.DUMMYFUNCTION("""COMPUTED_VALUE"""),34045.0)</f>
        <v>34045</v>
      </c>
      <c r="S790" s="146" t="str">
        <f>IFERROR(__xludf.DUMMYFUNCTION("""COMPUTED_VALUE"""),"091-7785891")</f>
        <v>091-7785891</v>
      </c>
      <c r="T790" s="147" t="str">
        <f>IFERROR(__xludf.DUMMYFUNCTION("""COMPUTED_VALUE"""),"1209700-46-6384")</f>
        <v>1209700-46-6384</v>
      </c>
      <c r="U790" t="str">
        <f>IFERROR(__xludf.DUMMYFUNCTION("""COMPUTED_VALUE"""),"AC2740243")</f>
        <v>AC2740243</v>
      </c>
      <c r="V790" s="148">
        <f>IFERROR(__xludf.DUMMYFUNCTION("""COMPUTED_VALUE"""),44483.0)</f>
        <v>44483</v>
      </c>
      <c r="W790" s="148">
        <f>IFERROR(__xludf.DUMMYFUNCTION("""COMPUTED_VALUE"""),48134.0)</f>
        <v>48134</v>
      </c>
      <c r="X790" s="149">
        <f>IFERROR(__xludf.DUMMYFUNCTION("""COMPUTED_VALUE"""),47951.0)</f>
        <v>47951</v>
      </c>
      <c r="Y790" t="str">
        <f>IFERROR(__xludf.DUMMYFUNCTION("""COMPUTED_VALUE"""),"ปลอดภัย")</f>
        <v>ปลอดภัย</v>
      </c>
      <c r="Z790" t="str">
        <f>IFERROR(__xludf.DUMMYFUNCTION("""COMPUTED_VALUE"""),"Chonburi Province")</f>
        <v>Chonburi Province</v>
      </c>
      <c r="AA790" t="str">
        <f>IFERROR(__xludf.DUMMYFUNCTION("""COMPUTED_VALUE"""),"Chonburi")</f>
        <v>Chonburi</v>
      </c>
      <c r="AB790" t="str">
        <f>IFERROR(__xludf.DUMMYFUNCTION("""COMPUTED_VALUE"""),"081-9967772")</f>
        <v>081-9967772</v>
      </c>
      <c r="AC790" t="str">
        <f>IFERROR(__xludf.DUMMYFUNCTION("""COMPUTED_VALUE"""),"Nuttaya Siriobmalee (Mother)")</f>
        <v>Nuttaya Siriobmalee (Mother)</v>
      </c>
      <c r="AD790" t="str">
        <f>IFERROR(__xludf.DUMMYFUNCTION("""COMPUTED_VALUE"""),"ploynisas@airasia.com")</f>
        <v>ploynisas@airasia.com</v>
      </c>
    </row>
    <row r="791">
      <c r="A791" s="142">
        <f>IFERROR(__xludf.DUMMYFUNCTION("""COMPUTED_VALUE"""),86.0)</f>
        <v>86</v>
      </c>
      <c r="B791" t="str">
        <f>IFERROR(__xludf.DUMMYFUNCTION("""COMPUTED_VALUE"""),"TAA7530")</f>
        <v>TAA7530</v>
      </c>
      <c r="C791">
        <f>IFERROR(__xludf.DUMMYFUNCTION("""COMPUTED_VALUE"""),1017935.0)</f>
        <v>1017935</v>
      </c>
      <c r="D791" t="str">
        <f>IFERROR(__xludf.DUMMYFUNCTION("""COMPUTED_VALUE"""),"Ms.")</f>
        <v>Ms.</v>
      </c>
      <c r="E791" t="str">
        <f>IFERROR(__xludf.DUMMYFUNCTION("""COMPUTED_VALUE"""),"Supitcha")</f>
        <v>Supitcha</v>
      </c>
      <c r="F791" t="str">
        <f>IFERROR(__xludf.DUMMYFUNCTION("""COMPUTED_VALUE"""),"Chansiri")</f>
        <v>Chansiri</v>
      </c>
      <c r="G791" t="str">
        <f>IFERROR(__xludf.DUMMYFUNCTION("""COMPUTED_VALUE"""),"Supitcha Chansiri")</f>
        <v>Supitcha Chansiri</v>
      </c>
      <c r="H791" t="str">
        <f>IFERROR(__xludf.DUMMYFUNCTION("""COMPUTED_VALUE"""),"นางสาว")</f>
        <v>นางสาว</v>
      </c>
      <c r="I791" t="str">
        <f>IFERROR(__xludf.DUMMYFUNCTION("""COMPUTED_VALUE"""),"สุพิชชา")</f>
        <v>สุพิชชา</v>
      </c>
      <c r="J791" t="str">
        <f>IFERROR(__xludf.DUMMYFUNCTION("""COMPUTED_VALUE"""),"จันทร์ศิริ")</f>
        <v>จันทร์ศิริ</v>
      </c>
      <c r="K791" t="str">
        <f>IFERROR(__xludf.DUMMYFUNCTION("""COMPUTED_VALUE"""),"สุพิชชา จันทร์ศิริ")</f>
        <v>สุพิชชา จันทร์ศิริ</v>
      </c>
      <c r="L791" t="str">
        <f>IFERROR(__xludf.DUMMYFUNCTION("""COMPUTED_VALUE"""),"Nook / นุ้ก")</f>
        <v>Nook / นุ้ก</v>
      </c>
      <c r="M791" t="str">
        <f>IFERROR(__xludf.DUMMYFUNCTION("""COMPUTED_VALUE"""),"Cabin Crew")</f>
        <v>Cabin Crew</v>
      </c>
      <c r="N791" t="str">
        <f>IFERROR(__xludf.DUMMYFUNCTION("""COMPUTED_VALUE"""),"DMK")</f>
        <v>DMK</v>
      </c>
      <c r="O791" s="145" t="str">
        <f>IFERROR(__xludf.DUMMYFUNCTION("""COMPUTED_VALUE"""),"Namfon Home")</f>
        <v>Namfon Home</v>
      </c>
      <c r="P791" t="str">
        <f>IFERROR(__xludf.DUMMYFUNCTION("""COMPUTED_VALUE"""),"Active")</f>
        <v>Active</v>
      </c>
      <c r="Q791" t="str">
        <f>IFERROR(__xludf.DUMMYFUNCTION("""COMPUTED_VALUE"""),"Chinese Speaking")</f>
        <v>Chinese Speaking</v>
      </c>
      <c r="R791" s="143">
        <f>IFERROR(__xludf.DUMMYFUNCTION("""COMPUTED_VALUE"""),34110.0)</f>
        <v>34110</v>
      </c>
      <c r="S791" s="146" t="str">
        <f>IFERROR(__xludf.DUMMYFUNCTION("""COMPUTED_VALUE"""),"086-8851525")</f>
        <v>086-8851525</v>
      </c>
      <c r="T791" s="147" t="str">
        <f>IFERROR(__xludf.DUMMYFUNCTION("""COMPUTED_VALUE"""),"1101401-98-4042")</f>
        <v>1101401-98-4042</v>
      </c>
      <c r="U791" t="str">
        <f>IFERROR(__xludf.DUMMYFUNCTION("""COMPUTED_VALUE"""),"AC6145716")</f>
        <v>AC6145716</v>
      </c>
      <c r="V791" s="148">
        <f>IFERROR(__xludf.DUMMYFUNCTION("""COMPUTED_VALUE"""),45293.0)</f>
        <v>45293</v>
      </c>
      <c r="W791" s="148">
        <f>IFERROR(__xludf.DUMMYFUNCTION("""COMPUTED_VALUE"""),48945.0)</f>
        <v>48945</v>
      </c>
      <c r="X791" s="149">
        <f>IFERROR(__xludf.DUMMYFUNCTION("""COMPUTED_VALUE"""),48761.0)</f>
        <v>48761</v>
      </c>
      <c r="Y791" t="str">
        <f>IFERROR(__xludf.DUMMYFUNCTION("""COMPUTED_VALUE"""),"ปลอดภัย")</f>
        <v>ปลอดภัย</v>
      </c>
      <c r="Z791" t="str">
        <f>IFERROR(__xludf.DUMMYFUNCTION("""COMPUTED_VALUE"""),"Bangkok")</f>
        <v>Bangkok</v>
      </c>
      <c r="AA791" t="str">
        <f>IFERROR(__xludf.DUMMYFUNCTION("""COMPUTED_VALUE"""),"Nonthaburi")</f>
        <v>Nonthaburi</v>
      </c>
      <c r="AB791" t="str">
        <f>IFERROR(__xludf.DUMMYFUNCTION("""COMPUTED_VALUE"""),"081-907-1133")</f>
        <v>081-907-1133</v>
      </c>
      <c r="AC791" t="str">
        <f>IFERROR(__xludf.DUMMYFUNCTION("""COMPUTED_VALUE"""),"Pornpatsorn Tanyatornpat (Mother)")</f>
        <v>Pornpatsorn Tanyatornpat (Mother)</v>
      </c>
      <c r="AD791" t="str">
        <f>IFERROR(__xludf.DUMMYFUNCTION("""COMPUTED_VALUE"""),"supitchac@airasia.com")</f>
        <v>supitchac@airasia.com</v>
      </c>
    </row>
    <row r="792">
      <c r="AD792" t="str">
        <f>IFERROR(__xludf.DUMMYFUNCTION("""COMPUTED_VALUE"""),"")</f>
        <v/>
      </c>
    </row>
    <row r="793">
      <c r="A793" s="142">
        <f>IFERROR(__xludf.DUMMYFUNCTION("""COMPUTED_VALUE"""),87.0)</f>
        <v>87</v>
      </c>
      <c r="B793" t="str">
        <f>IFERROR(__xludf.DUMMYFUNCTION("""COMPUTED_VALUE"""),"TAA5405")</f>
        <v>TAA5405</v>
      </c>
      <c r="C793">
        <f>IFERROR(__xludf.DUMMYFUNCTION("""COMPUTED_VALUE"""),1008690.0)</f>
        <v>1008690</v>
      </c>
      <c r="D793" t="str">
        <f>IFERROR(__xludf.DUMMYFUNCTION("""COMPUTED_VALUE"""),"Mr.")</f>
        <v>Mr.</v>
      </c>
      <c r="E793" t="str">
        <f>IFERROR(__xludf.DUMMYFUNCTION("""COMPUTED_VALUE"""),"Pongsathorn")</f>
        <v>Pongsathorn</v>
      </c>
      <c r="F793" t="str">
        <f>IFERROR(__xludf.DUMMYFUNCTION("""COMPUTED_VALUE"""),"Khampangsri")</f>
        <v>Khampangsri</v>
      </c>
      <c r="G793" t="str">
        <f>IFERROR(__xludf.DUMMYFUNCTION("""COMPUTED_VALUE"""),"Pongsathorn Khampangsri")</f>
        <v>Pongsathorn Khampangsri</v>
      </c>
      <c r="H793" t="str">
        <f>IFERROR(__xludf.DUMMYFUNCTION("""COMPUTED_VALUE"""),"นาย")</f>
        <v>นาย</v>
      </c>
      <c r="I793" t="str">
        <f>IFERROR(__xludf.DUMMYFUNCTION("""COMPUTED_VALUE"""),"พงศธร")</f>
        <v>พงศธร</v>
      </c>
      <c r="J793" t="str">
        <f>IFERROR(__xludf.DUMMYFUNCTION("""COMPUTED_VALUE"""),"คำแพงศรี")</f>
        <v>คำแพงศรี</v>
      </c>
      <c r="K793" t="str">
        <f>IFERROR(__xludf.DUMMYFUNCTION("""COMPUTED_VALUE"""),"พงศธร คำแพงศรี")</f>
        <v>พงศธร คำแพงศรี</v>
      </c>
      <c r="L793" t="str">
        <f>IFERROR(__xludf.DUMMYFUNCTION("""COMPUTED_VALUE"""),"Pond/ปอนด์")</f>
        <v>Pond/ปอนด์</v>
      </c>
      <c r="M793" t="str">
        <f>IFERROR(__xludf.DUMMYFUNCTION("""COMPUTED_VALUE"""),"Senior Cabin Crew")</f>
        <v>Senior Cabin Crew</v>
      </c>
      <c r="N793" t="str">
        <f>IFERROR(__xludf.DUMMYFUNCTION("""COMPUTED_VALUE"""),"DMK")</f>
        <v>DMK</v>
      </c>
      <c r="O793" s="145" t="str">
        <f>IFERROR(__xludf.DUMMYFUNCTION("""COMPUTED_VALUE"""),"Toffy Home")</f>
        <v>Toffy Home</v>
      </c>
      <c r="P793" t="str">
        <f>IFERROR(__xludf.DUMMYFUNCTION("""COMPUTED_VALUE"""),"Active")</f>
        <v>Active</v>
      </c>
      <c r="R793" s="143">
        <f>IFERROR(__xludf.DUMMYFUNCTION("""COMPUTED_VALUE"""),33537.0)</f>
        <v>33537</v>
      </c>
      <c r="S793" s="146" t="str">
        <f>IFERROR(__xludf.DUMMYFUNCTION("""COMPUTED_VALUE"""),"090-978-7711")</f>
        <v>090-978-7711</v>
      </c>
      <c r="T793" s="147" t="str">
        <f>IFERROR(__xludf.DUMMYFUNCTION("""COMPUTED_VALUE"""),"1-3304-00306-26-9")</f>
        <v>1-3304-00306-26-9</v>
      </c>
      <c r="U793" t="str">
        <f>IFERROR(__xludf.DUMMYFUNCTION("""COMPUTED_VALUE"""),"AC7445437")</f>
        <v>AC7445437</v>
      </c>
      <c r="V793" s="148">
        <f>IFERROR(__xludf.DUMMYFUNCTION("""COMPUTED_VALUE"""),45586.0)</f>
        <v>45586</v>
      </c>
      <c r="W793" s="148">
        <f>IFERROR(__xludf.DUMMYFUNCTION("""COMPUTED_VALUE"""),49237.0)</f>
        <v>49237</v>
      </c>
      <c r="X793" s="149">
        <f>IFERROR(__xludf.DUMMYFUNCTION("""COMPUTED_VALUE"""),49054.0)</f>
        <v>49054</v>
      </c>
      <c r="Y793" t="str">
        <f>IFERROR(__xludf.DUMMYFUNCTION("""COMPUTED_VALUE"""),"ปลอดภัย")</f>
        <v>ปลอดภัย</v>
      </c>
      <c r="Z793" t="str">
        <f>IFERROR(__xludf.DUMMYFUNCTION("""COMPUTED_VALUE"""),"Sisaket Province")</f>
        <v>Sisaket Province</v>
      </c>
      <c r="AA793" t="str">
        <f>IFERROR(__xludf.DUMMYFUNCTION("""COMPUTED_VALUE"""),"Prathumthani")</f>
        <v>Prathumthani</v>
      </c>
      <c r="AB793" t="str">
        <f>IFERROR(__xludf.DUMMYFUNCTION("""COMPUTED_VALUE"""),"081-976-7812")</f>
        <v>081-976-7812</v>
      </c>
      <c r="AC793" t="str">
        <f>IFERROR(__xludf.DUMMYFUNCTION("""COMPUTED_VALUE"""),"Praneet Chaisuwan (Uncle)")</f>
        <v>Praneet Chaisuwan (Uncle)</v>
      </c>
      <c r="AD793" t="str">
        <f>IFERROR(__xludf.DUMMYFUNCTION("""COMPUTED_VALUE"""),"pongsathornk@airasia.com")</f>
        <v>pongsathornk@airasia.com</v>
      </c>
    </row>
    <row r="794">
      <c r="A794" s="142">
        <f>IFERROR(__xludf.DUMMYFUNCTION("""COMPUTED_VALUE"""),87.0)</f>
        <v>87</v>
      </c>
      <c r="B794" t="str">
        <f>IFERROR(__xludf.DUMMYFUNCTION("""COMPUTED_VALUE"""),"TAA5805")</f>
        <v>TAA5805</v>
      </c>
      <c r="C794">
        <f>IFERROR(__xludf.DUMMYFUNCTION("""COMPUTED_VALUE"""),1009510.0)</f>
        <v>1009510</v>
      </c>
      <c r="D794" t="str">
        <f>IFERROR(__xludf.DUMMYFUNCTION("""COMPUTED_VALUE"""),"Mr.")</f>
        <v>Mr.</v>
      </c>
      <c r="E794" t="str">
        <f>IFERROR(__xludf.DUMMYFUNCTION("""COMPUTED_VALUE"""),"Kitti")</f>
        <v>Kitti</v>
      </c>
      <c r="F794" t="str">
        <f>IFERROR(__xludf.DUMMYFUNCTION("""COMPUTED_VALUE"""),"Mangkalad")</f>
        <v>Mangkalad</v>
      </c>
      <c r="G794" t="str">
        <f>IFERROR(__xludf.DUMMYFUNCTION("""COMPUTED_VALUE"""),"Kitti Mangkalad")</f>
        <v>Kitti Mangkalad</v>
      </c>
      <c r="H794" t="str">
        <f>IFERROR(__xludf.DUMMYFUNCTION("""COMPUTED_VALUE"""),"นาย")</f>
        <v>นาย</v>
      </c>
      <c r="I794" t="str">
        <f>IFERROR(__xludf.DUMMYFUNCTION("""COMPUTED_VALUE"""),"กิตติ")</f>
        <v>กิตติ</v>
      </c>
      <c r="J794" t="str">
        <f>IFERROR(__xludf.DUMMYFUNCTION("""COMPUTED_VALUE"""),"มังคลาด")</f>
        <v>มังคลาด</v>
      </c>
      <c r="K794" t="str">
        <f>IFERROR(__xludf.DUMMYFUNCTION("""COMPUTED_VALUE"""),"กิตติ มังคลาด")</f>
        <v>กิตติ มังคลาด</v>
      </c>
      <c r="L794" t="str">
        <f>IFERROR(__xludf.DUMMYFUNCTION("""COMPUTED_VALUE"""),"Benz / เบนซ์")</f>
        <v>Benz / เบนซ์</v>
      </c>
      <c r="M794" t="str">
        <f>IFERROR(__xludf.DUMMYFUNCTION("""COMPUTED_VALUE"""),"Cabin Crew")</f>
        <v>Cabin Crew</v>
      </c>
      <c r="N794" t="str">
        <f>IFERROR(__xludf.DUMMYFUNCTION("""COMPUTED_VALUE"""),"DMK")</f>
        <v>DMK</v>
      </c>
      <c r="O794" s="145" t="str">
        <f>IFERROR(__xludf.DUMMYFUNCTION("""COMPUTED_VALUE"""),"Namfon Home")</f>
        <v>Namfon Home</v>
      </c>
      <c r="P794" t="str">
        <f>IFERROR(__xludf.DUMMYFUNCTION("""COMPUTED_VALUE"""),"Active")</f>
        <v>Active</v>
      </c>
      <c r="R794" s="143">
        <f>IFERROR(__xludf.DUMMYFUNCTION("""COMPUTED_VALUE"""),33063.0)</f>
        <v>33063</v>
      </c>
      <c r="S794" s="146" t="str">
        <f>IFERROR(__xludf.DUMMYFUNCTION("""COMPUTED_VALUE"""),"064-452-3542")</f>
        <v>064-452-3542</v>
      </c>
      <c r="T794" s="147" t="str">
        <f>IFERROR(__xludf.DUMMYFUNCTION("""COMPUTED_VALUE"""),"1-5603-00156-98-1")</f>
        <v>1-5603-00156-98-1</v>
      </c>
      <c r="U794" t="str">
        <f>IFERROR(__xludf.DUMMYFUNCTION("""COMPUTED_VALUE"""),"AC4007237")</f>
        <v>AC4007237</v>
      </c>
      <c r="V794" s="148">
        <f>IFERROR(__xludf.DUMMYFUNCTION("""COMPUTED_VALUE"""),44813.0)</f>
        <v>44813</v>
      </c>
      <c r="W794" s="148">
        <f>IFERROR(__xludf.DUMMYFUNCTION("""COMPUTED_VALUE"""),48465.0)</f>
        <v>48465</v>
      </c>
      <c r="X794" s="149">
        <f>IFERROR(__xludf.DUMMYFUNCTION("""COMPUTED_VALUE"""),48281.0)</f>
        <v>48281</v>
      </c>
      <c r="Y794" t="str">
        <f>IFERROR(__xludf.DUMMYFUNCTION("""COMPUTED_VALUE"""),"ปลอดภัย")</f>
        <v>ปลอดภัย</v>
      </c>
      <c r="Z794" t="str">
        <f>IFERROR(__xludf.DUMMYFUNCTION("""COMPUTED_VALUE"""),"Phayao Province")</f>
        <v>Phayao Province</v>
      </c>
      <c r="AA794" t="str">
        <f>IFERROR(__xludf.DUMMYFUNCTION("""COMPUTED_VALUE"""),"Bangkok")</f>
        <v>Bangkok</v>
      </c>
      <c r="AB794" t="str">
        <f>IFERROR(__xludf.DUMMYFUNCTION("""COMPUTED_VALUE"""),"089-956-3919")</f>
        <v>089-956-3919</v>
      </c>
      <c r="AC794" t="str">
        <f>IFERROR(__xludf.DUMMYFUNCTION("""COMPUTED_VALUE"""),"Preeyakorn Rojanadumrong")</f>
        <v>Preeyakorn Rojanadumrong</v>
      </c>
      <c r="AD794" t="str">
        <f>IFERROR(__xludf.DUMMYFUNCTION("""COMPUTED_VALUE"""),"kittin@airasia.com")</f>
        <v>kittin@airasia.com</v>
      </c>
    </row>
    <row r="795">
      <c r="A795" s="142">
        <f>IFERROR(__xludf.DUMMYFUNCTION("""COMPUTED_VALUE"""),87.0)</f>
        <v>87</v>
      </c>
      <c r="B795" t="str">
        <f>IFERROR(__xludf.DUMMYFUNCTION("""COMPUTED_VALUE"""),"TAA7769")</f>
        <v>TAA7769</v>
      </c>
      <c r="C795">
        <f>IFERROR(__xludf.DUMMYFUNCTION("""COMPUTED_VALUE"""),1018529.0)</f>
        <v>1018529</v>
      </c>
      <c r="D795" t="str">
        <f>IFERROR(__xludf.DUMMYFUNCTION("""COMPUTED_VALUE"""),"Ms.")</f>
        <v>Ms.</v>
      </c>
      <c r="E795" t="str">
        <f>IFERROR(__xludf.DUMMYFUNCTION("""COMPUTED_VALUE"""),"Apichaya")</f>
        <v>Apichaya</v>
      </c>
      <c r="F795" t="str">
        <f>IFERROR(__xludf.DUMMYFUNCTION("""COMPUTED_VALUE"""),"Bureesri")</f>
        <v>Bureesri</v>
      </c>
      <c r="G795" t="str">
        <f>IFERROR(__xludf.DUMMYFUNCTION("""COMPUTED_VALUE"""),"Apichaya Bureesri")</f>
        <v>Apichaya Bureesri</v>
      </c>
      <c r="H795" t="str">
        <f>IFERROR(__xludf.DUMMYFUNCTION("""COMPUTED_VALUE"""),"นางสาว")</f>
        <v>นางสาว</v>
      </c>
      <c r="I795" t="str">
        <f>IFERROR(__xludf.DUMMYFUNCTION("""COMPUTED_VALUE"""),"อภิชญา")</f>
        <v>อภิชญา</v>
      </c>
      <c r="J795" t="str">
        <f>IFERROR(__xludf.DUMMYFUNCTION("""COMPUTED_VALUE"""),"บุรีศรี")</f>
        <v>บุรีศรี</v>
      </c>
      <c r="K795" t="str">
        <f>IFERROR(__xludf.DUMMYFUNCTION("""COMPUTED_VALUE"""),"อภิชญา บุรีศรี")</f>
        <v>อภิชญา บุรีศรี</v>
      </c>
      <c r="L795" t="str">
        <f>IFERROR(__xludf.DUMMYFUNCTION("""COMPUTED_VALUE"""),"Eve/อีฟ")</f>
        <v>Eve/อีฟ</v>
      </c>
      <c r="M795" t="str">
        <f>IFERROR(__xludf.DUMMYFUNCTION("""COMPUTED_VALUE"""),"Cabin Crew")</f>
        <v>Cabin Crew</v>
      </c>
      <c r="N795" t="str">
        <f>IFERROR(__xludf.DUMMYFUNCTION("""COMPUTED_VALUE"""),"DMK")</f>
        <v>DMK</v>
      </c>
      <c r="O795" s="145" t="str">
        <f>IFERROR(__xludf.DUMMYFUNCTION("""COMPUTED_VALUE"""),"Um Home")</f>
        <v>Um Home</v>
      </c>
      <c r="P795" t="str">
        <f>IFERROR(__xludf.DUMMYFUNCTION("""COMPUTED_VALUE"""),"Active")</f>
        <v>Active</v>
      </c>
      <c r="R795" s="143">
        <f>IFERROR(__xludf.DUMMYFUNCTION("""COMPUTED_VALUE"""),33780.0)</f>
        <v>33780</v>
      </c>
      <c r="S795" s="146" t="str">
        <f>IFERROR(__xludf.DUMMYFUNCTION("""COMPUTED_VALUE"""),"061-0158999")</f>
        <v>061-0158999</v>
      </c>
      <c r="T795" s="147" t="str">
        <f>IFERROR(__xludf.DUMMYFUNCTION("""COMPUTED_VALUE"""),"1909900-33-4779")</f>
        <v>1909900-33-4779</v>
      </c>
      <c r="U795" t="str">
        <f>IFERROR(__xludf.DUMMYFUNCTION("""COMPUTED_VALUE"""),"AD0704321")</f>
        <v>AD0704321</v>
      </c>
      <c r="V795" s="148">
        <f>IFERROR(__xludf.DUMMYFUNCTION("""COMPUTED_VALUE"""),44953.0)</f>
        <v>44953</v>
      </c>
      <c r="W795" s="148">
        <f>IFERROR(__xludf.DUMMYFUNCTION("""COMPUTED_VALUE"""),46778.0)</f>
        <v>46778</v>
      </c>
      <c r="X795" s="149">
        <f>IFERROR(__xludf.DUMMYFUNCTION("""COMPUTED_VALUE"""),46594.0)</f>
        <v>46594</v>
      </c>
      <c r="Y795" t="str">
        <f>IFERROR(__xludf.DUMMYFUNCTION("""COMPUTED_VALUE"""),"ปลอดภัย")</f>
        <v>ปลอดภัย</v>
      </c>
      <c r="Z795" t="str">
        <f>IFERROR(__xludf.DUMMYFUNCTION("""COMPUTED_VALUE"""),"Songkhla Province")</f>
        <v>Songkhla Province</v>
      </c>
      <c r="AA795" t="str">
        <f>IFERROR(__xludf.DUMMYFUNCTION("""COMPUTED_VALUE"""),"Bangkok")</f>
        <v>Bangkok</v>
      </c>
      <c r="AB795" t="str">
        <f>IFERROR(__xludf.DUMMYFUNCTION("""COMPUTED_VALUE"""),"081-798-8851")</f>
        <v>081-798-8851</v>
      </c>
      <c r="AC795" t="str">
        <f>IFERROR(__xludf.DUMMYFUNCTION("""COMPUTED_VALUE"""),"Suleeporn Bureesri (Mother)")</f>
        <v>Suleeporn Bureesri (Mother)</v>
      </c>
      <c r="AD795" t="str">
        <f>IFERROR(__xludf.DUMMYFUNCTION("""COMPUTED_VALUE"""),"apichayab@airasia.com")</f>
        <v>apichayab@airasia.com</v>
      </c>
    </row>
    <row r="796">
      <c r="A796" s="142">
        <f>IFERROR(__xludf.DUMMYFUNCTION("""COMPUTED_VALUE"""),87.0)</f>
        <v>87</v>
      </c>
      <c r="B796" t="str">
        <f>IFERROR(__xludf.DUMMYFUNCTION("""COMPUTED_VALUE"""),"TAA7750")</f>
        <v>TAA7750</v>
      </c>
      <c r="C796">
        <f>IFERROR(__xludf.DUMMYFUNCTION("""COMPUTED_VALUE"""),1018530.0)</f>
        <v>1018530</v>
      </c>
      <c r="D796" t="str">
        <f>IFERROR(__xludf.DUMMYFUNCTION("""COMPUTED_VALUE"""),"Ms.")</f>
        <v>Ms.</v>
      </c>
      <c r="E796" t="str">
        <f>IFERROR(__xludf.DUMMYFUNCTION("""COMPUTED_VALUE"""),"Chaniporn")</f>
        <v>Chaniporn</v>
      </c>
      <c r="F796" t="str">
        <f>IFERROR(__xludf.DUMMYFUNCTION("""COMPUTED_VALUE"""),"Thanaworrapak")</f>
        <v>Thanaworrapak</v>
      </c>
      <c r="G796" t="str">
        <f>IFERROR(__xludf.DUMMYFUNCTION("""COMPUTED_VALUE"""),"Chaniporn Thanaworrapak")</f>
        <v>Chaniporn Thanaworrapak</v>
      </c>
      <c r="H796" t="str">
        <f>IFERROR(__xludf.DUMMYFUNCTION("""COMPUTED_VALUE"""),"นางสาว")</f>
        <v>นางสาว</v>
      </c>
      <c r="I796" t="str">
        <f>IFERROR(__xludf.DUMMYFUNCTION("""COMPUTED_VALUE"""),"ชนิภรณ์")</f>
        <v>ชนิภรณ์</v>
      </c>
      <c r="J796" t="str">
        <f>IFERROR(__xludf.DUMMYFUNCTION("""COMPUTED_VALUE"""),"ธนวรภาคย์")</f>
        <v>ธนวรภาคย์</v>
      </c>
      <c r="K796" t="str">
        <f>IFERROR(__xludf.DUMMYFUNCTION("""COMPUTED_VALUE"""),"ชนิภรณ์ ธนวรภาคย์")</f>
        <v>ชนิภรณ์ ธนวรภาคย์</v>
      </c>
      <c r="L796" t="str">
        <f>IFERROR(__xludf.DUMMYFUNCTION("""COMPUTED_VALUE"""),"Koii/ก้อย")</f>
        <v>Koii/ก้อย</v>
      </c>
      <c r="M796" t="str">
        <f>IFERROR(__xludf.DUMMYFUNCTION("""COMPUTED_VALUE"""),"Cabin Crew")</f>
        <v>Cabin Crew</v>
      </c>
      <c r="N796" t="str">
        <f>IFERROR(__xludf.DUMMYFUNCTION("""COMPUTED_VALUE"""),"DMK")</f>
        <v>DMK</v>
      </c>
      <c r="O796" s="145" t="str">
        <f>IFERROR(__xludf.DUMMYFUNCTION("""COMPUTED_VALUE"""),"Kor Home")</f>
        <v>Kor Home</v>
      </c>
      <c r="P796" t="str">
        <f>IFERROR(__xludf.DUMMYFUNCTION("""COMPUTED_VALUE"""),"Active")</f>
        <v>Active</v>
      </c>
      <c r="Q796" t="str">
        <f>IFERROR(__xludf.DUMMYFUNCTION("""COMPUTED_VALUE"""),"Chinese Speaking")</f>
        <v>Chinese Speaking</v>
      </c>
      <c r="R796" s="143">
        <f>IFERROR(__xludf.DUMMYFUNCTION("""COMPUTED_VALUE"""),33207.0)</f>
        <v>33207</v>
      </c>
      <c r="S796" s="146" t="str">
        <f>IFERROR(__xludf.DUMMYFUNCTION("""COMPUTED_VALUE"""),"086-3949261")</f>
        <v>086-3949261</v>
      </c>
      <c r="T796" s="147" t="str">
        <f>IFERROR(__xludf.DUMMYFUNCTION("""COMPUTED_VALUE"""),"1100400-49-0061")</f>
        <v>1100400-49-0061</v>
      </c>
      <c r="U796" t="str">
        <f>IFERROR(__xludf.DUMMYFUNCTION("""COMPUTED_VALUE"""),"AC2420926")</f>
        <v>AC2420926</v>
      </c>
      <c r="V796" s="148">
        <f>IFERROR(__xludf.DUMMYFUNCTION("""COMPUTED_VALUE"""),44445.0)</f>
        <v>44445</v>
      </c>
      <c r="W796" s="148">
        <f>IFERROR(__xludf.DUMMYFUNCTION("""COMPUTED_VALUE"""),48096.0)</f>
        <v>48096</v>
      </c>
      <c r="X796" s="149">
        <f>IFERROR(__xludf.DUMMYFUNCTION("""COMPUTED_VALUE"""),47912.0)</f>
        <v>47912</v>
      </c>
      <c r="Y796" t="str">
        <f>IFERROR(__xludf.DUMMYFUNCTION("""COMPUTED_VALUE"""),"ปลอดภัย")</f>
        <v>ปลอดภัย</v>
      </c>
      <c r="Z796" t="str">
        <f>IFERROR(__xludf.DUMMYFUNCTION("""COMPUTED_VALUE"""),"Bangkok")</f>
        <v>Bangkok</v>
      </c>
      <c r="AA796" t="str">
        <f>IFERROR(__xludf.DUMMYFUNCTION("""COMPUTED_VALUE"""),"Bangkok")</f>
        <v>Bangkok</v>
      </c>
      <c r="AB796" t="str">
        <f>IFERROR(__xludf.DUMMYFUNCTION("""COMPUTED_VALUE"""),"081-8494889")</f>
        <v>081-8494889</v>
      </c>
      <c r="AC796" t="str">
        <f>IFERROR(__xludf.DUMMYFUNCTION("""COMPUTED_VALUE"""),"Natthaphon Thanaworrapak (Father)")</f>
        <v>Natthaphon Thanaworrapak (Father)</v>
      </c>
      <c r="AD796" t="str">
        <f>IFERROR(__xludf.DUMMYFUNCTION("""COMPUTED_VALUE"""),"chanipornt@airasia.com")</f>
        <v>chanipornt@airasia.com</v>
      </c>
    </row>
    <row r="797">
      <c r="A797" s="142">
        <f>IFERROR(__xludf.DUMMYFUNCTION("""COMPUTED_VALUE"""),87.0)</f>
        <v>87</v>
      </c>
      <c r="B797" t="str">
        <f>IFERROR(__xludf.DUMMYFUNCTION("""COMPUTED_VALUE"""),"TAA7752")</f>
        <v>TAA7752</v>
      </c>
      <c r="C797">
        <f>IFERROR(__xludf.DUMMYFUNCTION("""COMPUTED_VALUE"""),1018531.0)</f>
        <v>1018531</v>
      </c>
      <c r="D797" t="str">
        <f>IFERROR(__xludf.DUMMYFUNCTION("""COMPUTED_VALUE"""),"Mr.")</f>
        <v>Mr.</v>
      </c>
      <c r="E797" t="str">
        <f>IFERROR(__xludf.DUMMYFUNCTION("""COMPUTED_VALUE"""),"Chawit")</f>
        <v>Chawit</v>
      </c>
      <c r="F797" t="str">
        <f>IFERROR(__xludf.DUMMYFUNCTION("""COMPUTED_VALUE"""),"Donsawee")</f>
        <v>Donsawee</v>
      </c>
      <c r="G797" t="str">
        <f>IFERROR(__xludf.DUMMYFUNCTION("""COMPUTED_VALUE"""),"Chawit Donsawee")</f>
        <v>Chawit Donsawee</v>
      </c>
      <c r="H797" t="str">
        <f>IFERROR(__xludf.DUMMYFUNCTION("""COMPUTED_VALUE"""),"นาย")</f>
        <v>นาย</v>
      </c>
      <c r="I797" t="str">
        <f>IFERROR(__xludf.DUMMYFUNCTION("""COMPUTED_VALUE"""),"ชวิษฐ์")</f>
        <v>ชวิษฐ์</v>
      </c>
      <c r="J797" t="str">
        <f>IFERROR(__xludf.DUMMYFUNCTION("""COMPUTED_VALUE"""),"ดนสวี")</f>
        <v>ดนสวี</v>
      </c>
      <c r="K797" t="str">
        <f>IFERROR(__xludf.DUMMYFUNCTION("""COMPUTED_VALUE"""),"ชวิษฐ์ ดนสวี")</f>
        <v>ชวิษฐ์ ดนสวี</v>
      </c>
      <c r="L797" t="str">
        <f>IFERROR(__xludf.DUMMYFUNCTION("""COMPUTED_VALUE"""),"Madeaw")</f>
        <v>Madeaw</v>
      </c>
      <c r="M797" t="str">
        <f>IFERROR(__xludf.DUMMYFUNCTION("""COMPUTED_VALUE"""),"Cabin Crew")</f>
        <v>Cabin Crew</v>
      </c>
      <c r="N797" t="str">
        <f>IFERROR(__xludf.DUMMYFUNCTION("""COMPUTED_VALUE"""),"DMK")</f>
        <v>DMK</v>
      </c>
      <c r="O797" s="145" t="str">
        <f>IFERROR(__xludf.DUMMYFUNCTION("""COMPUTED_VALUE"""),"Toffy Home")</f>
        <v>Toffy Home</v>
      </c>
      <c r="P797" t="str">
        <f>IFERROR(__xludf.DUMMYFUNCTION("""COMPUTED_VALUE"""),"Active")</f>
        <v>Active</v>
      </c>
      <c r="R797" s="143">
        <f>IFERROR(__xludf.DUMMYFUNCTION("""COMPUTED_VALUE"""),33600.0)</f>
        <v>33600</v>
      </c>
      <c r="S797" s="146" t="str">
        <f>IFERROR(__xludf.DUMMYFUNCTION("""COMPUTED_VALUE"""),"087 365 3465")</f>
        <v>087 365 3465</v>
      </c>
      <c r="T797" s="147" t="str">
        <f>IFERROR(__xludf.DUMMYFUNCTION("""COMPUTED_VALUE"""),"1909900-31-4239")</f>
        <v>1909900-31-4239</v>
      </c>
      <c r="U797" t="str">
        <f>IFERROR(__xludf.DUMMYFUNCTION("""COMPUTED_VALUE"""),"AC7811473")</f>
        <v>AC7811473</v>
      </c>
      <c r="V797" s="148">
        <f>IFERROR(__xludf.DUMMYFUNCTION("""COMPUTED_VALUE"""),45663.0)</f>
        <v>45663</v>
      </c>
      <c r="W797" s="148">
        <f>IFERROR(__xludf.DUMMYFUNCTION("""COMPUTED_VALUE"""),49314.0)</f>
        <v>49314</v>
      </c>
      <c r="X797" s="149">
        <f>IFERROR(__xludf.DUMMYFUNCTION("""COMPUTED_VALUE"""),49130.0)</f>
        <v>49130</v>
      </c>
      <c r="Y797" t="str">
        <f>IFERROR(__xludf.DUMMYFUNCTION("""COMPUTED_VALUE"""),"ปลอดภัย")</f>
        <v>ปลอดภัย</v>
      </c>
      <c r="Z797" t="str">
        <f>IFERROR(__xludf.DUMMYFUNCTION("""COMPUTED_VALUE"""),"Songkhla Province")</f>
        <v>Songkhla Province</v>
      </c>
      <c r="AB797" t="str">
        <f>IFERROR(__xludf.DUMMYFUNCTION("""COMPUTED_VALUE"""),"081 097 7676")</f>
        <v>081 097 7676</v>
      </c>
      <c r="AD797" t="str">
        <f>IFERROR(__xludf.DUMMYFUNCTION("""COMPUTED_VALUE"""),"chawitdonsawee@airasia.com")</f>
        <v>chawitdonsawee@airasia.com</v>
      </c>
    </row>
    <row r="798">
      <c r="A798" s="142">
        <f>IFERROR(__xludf.DUMMYFUNCTION("""COMPUTED_VALUE"""),87.0)</f>
        <v>87</v>
      </c>
      <c r="B798" t="str">
        <f>IFERROR(__xludf.DUMMYFUNCTION("""COMPUTED_VALUE"""),"TAA7753")</f>
        <v>TAA7753</v>
      </c>
      <c r="C798">
        <f>IFERROR(__xludf.DUMMYFUNCTION("""COMPUTED_VALUE"""),1018532.0)</f>
        <v>1018532</v>
      </c>
      <c r="D798" t="str">
        <f>IFERROR(__xludf.DUMMYFUNCTION("""COMPUTED_VALUE"""),"Mr.")</f>
        <v>Mr.</v>
      </c>
      <c r="E798" t="str">
        <f>IFERROR(__xludf.DUMMYFUNCTION("""COMPUTED_VALUE"""),"Kantachet")</f>
        <v>Kantachet</v>
      </c>
      <c r="F798" t="str">
        <f>IFERROR(__xludf.DUMMYFUNCTION("""COMPUTED_VALUE"""),"Boonserm")</f>
        <v>Boonserm</v>
      </c>
      <c r="G798" t="str">
        <f>IFERROR(__xludf.DUMMYFUNCTION("""COMPUTED_VALUE"""),"Kantachet Boonserm")</f>
        <v>Kantachet Boonserm</v>
      </c>
      <c r="H798" t="str">
        <f>IFERROR(__xludf.DUMMYFUNCTION("""COMPUTED_VALUE"""),"นาย")</f>
        <v>นาย</v>
      </c>
      <c r="I798" t="str">
        <f>IFERROR(__xludf.DUMMYFUNCTION("""COMPUTED_VALUE"""),"กานตเชตณ์")</f>
        <v>กานตเชตณ์</v>
      </c>
      <c r="J798" t="str">
        <f>IFERROR(__xludf.DUMMYFUNCTION("""COMPUTED_VALUE"""),"บุญเสริม")</f>
        <v>บุญเสริม</v>
      </c>
      <c r="K798" t="str">
        <f>IFERROR(__xludf.DUMMYFUNCTION("""COMPUTED_VALUE"""),"กานตเชตณ์ บุญเสริม")</f>
        <v>กานตเชตณ์ บุญเสริม</v>
      </c>
      <c r="L798" t="str">
        <f>IFERROR(__xludf.DUMMYFUNCTION("""COMPUTED_VALUE"""),"Prince/ปริ้นซ์")</f>
        <v>Prince/ปริ้นซ์</v>
      </c>
      <c r="M798" t="str">
        <f>IFERROR(__xludf.DUMMYFUNCTION("""COMPUTED_VALUE"""),"Cabin Crew")</f>
        <v>Cabin Crew</v>
      </c>
      <c r="N798" t="str">
        <f>IFERROR(__xludf.DUMMYFUNCTION("""COMPUTED_VALUE"""),"DMK")</f>
        <v>DMK</v>
      </c>
      <c r="O798" s="145" t="str">
        <f>IFERROR(__xludf.DUMMYFUNCTION("""COMPUTED_VALUE"""),"Um Home")</f>
        <v>Um Home</v>
      </c>
      <c r="P798" t="str">
        <f>IFERROR(__xludf.DUMMYFUNCTION("""COMPUTED_VALUE"""),"Active")</f>
        <v>Active</v>
      </c>
      <c r="R798" s="143">
        <f>IFERROR(__xludf.DUMMYFUNCTION("""COMPUTED_VALUE"""),33655.0)</f>
        <v>33655</v>
      </c>
      <c r="S798" s="146" t="str">
        <f>IFERROR(__xludf.DUMMYFUNCTION("""COMPUTED_VALUE"""),"063 306 3535")</f>
        <v>063 306 3535</v>
      </c>
      <c r="U798" t="str">
        <f>IFERROR(__xludf.DUMMYFUNCTION("""COMPUTED_VALUE"""),"AC5294389")</f>
        <v>AC5294389</v>
      </c>
      <c r="V798" s="148">
        <f>IFERROR(__xludf.DUMMYFUNCTION("""COMPUTED_VALUE"""),45120.0)</f>
        <v>45120</v>
      </c>
      <c r="W798" s="148">
        <f>IFERROR(__xludf.DUMMYFUNCTION("""COMPUTED_VALUE"""),48772.0)</f>
        <v>48772</v>
      </c>
      <c r="X798" s="149">
        <f>IFERROR(__xludf.DUMMYFUNCTION("""COMPUTED_VALUE"""),48591.0)</f>
        <v>48591</v>
      </c>
      <c r="Y798" t="str">
        <f>IFERROR(__xludf.DUMMYFUNCTION("""COMPUTED_VALUE"""),"ปลอดภัย")</f>
        <v>ปลอดภัย</v>
      </c>
      <c r="Z798" t="str">
        <f>IFERROR(__xludf.DUMMYFUNCTION("""COMPUTED_VALUE"""),"Phayao Province")</f>
        <v>Phayao Province</v>
      </c>
      <c r="AA798" t="str">
        <f>IFERROR(__xludf.DUMMYFUNCTION("""COMPUTED_VALUE"""),"Chiang rai")</f>
        <v>Chiang rai</v>
      </c>
      <c r="AB798" t="str">
        <f>IFERROR(__xludf.DUMMYFUNCTION("""COMPUTED_VALUE"""),"089-954-5944")</f>
        <v>089-954-5944</v>
      </c>
      <c r="AC798" t="str">
        <f>IFERROR(__xludf.DUMMYFUNCTION("""COMPUTED_VALUE"""),"Nikhom Boonserm")</f>
        <v>Nikhom Boonserm</v>
      </c>
      <c r="AD798" t="str">
        <f>IFERROR(__xludf.DUMMYFUNCTION("""COMPUTED_VALUE"""),"kantachetb@airasia.com")</f>
        <v>kantachetb@airasia.com</v>
      </c>
    </row>
    <row r="799">
      <c r="A799" s="142">
        <f>IFERROR(__xludf.DUMMYFUNCTION("""COMPUTED_VALUE"""),87.0)</f>
        <v>87</v>
      </c>
      <c r="B799" t="str">
        <f>IFERROR(__xludf.DUMMYFUNCTION("""COMPUTED_VALUE"""),"TAA7773")</f>
        <v>TAA7773</v>
      </c>
      <c r="C799">
        <f>IFERROR(__xludf.DUMMYFUNCTION("""COMPUTED_VALUE"""),1018533.0)</f>
        <v>1018533</v>
      </c>
      <c r="D799" t="str">
        <f>IFERROR(__xludf.DUMMYFUNCTION("""COMPUTED_VALUE"""),"Ms.")</f>
        <v>Ms.</v>
      </c>
      <c r="E799" t="str">
        <f>IFERROR(__xludf.DUMMYFUNCTION("""COMPUTED_VALUE"""),"Kunjira")</f>
        <v>Kunjira</v>
      </c>
      <c r="F799" t="str">
        <f>IFERROR(__xludf.DUMMYFUNCTION("""COMPUTED_VALUE"""),"Jirawarodom")</f>
        <v>Jirawarodom</v>
      </c>
      <c r="G799" t="str">
        <f>IFERROR(__xludf.DUMMYFUNCTION("""COMPUTED_VALUE"""),"Kunjira Jirawarodom")</f>
        <v>Kunjira Jirawarodom</v>
      </c>
      <c r="H799" t="str">
        <f>IFERROR(__xludf.DUMMYFUNCTION("""COMPUTED_VALUE"""),"นางสาว")</f>
        <v>นางสาว</v>
      </c>
      <c r="I799" t="str">
        <f>IFERROR(__xludf.DUMMYFUNCTION("""COMPUTED_VALUE"""),"กุลจิรา")</f>
        <v>กุลจิรา</v>
      </c>
      <c r="J799" t="str">
        <f>IFERROR(__xludf.DUMMYFUNCTION("""COMPUTED_VALUE"""),"จิรวโรดม")</f>
        <v>จิรวโรดม</v>
      </c>
      <c r="K799" t="str">
        <f>IFERROR(__xludf.DUMMYFUNCTION("""COMPUTED_VALUE"""),"กุลจิรา จิรวโรดม")</f>
        <v>กุลจิรา จิรวโรดม</v>
      </c>
      <c r="L799" t="str">
        <f>IFERROR(__xludf.DUMMYFUNCTION("""COMPUTED_VALUE"""),"Ploy/พลอย")</f>
        <v>Ploy/พลอย</v>
      </c>
      <c r="M799" t="str">
        <f>IFERROR(__xludf.DUMMYFUNCTION("""COMPUTED_VALUE"""),"Cabin Crew")</f>
        <v>Cabin Crew</v>
      </c>
      <c r="N799" t="str">
        <f>IFERROR(__xludf.DUMMYFUNCTION("""COMPUTED_VALUE"""),"DMK")</f>
        <v>DMK</v>
      </c>
      <c r="O799" s="145" t="str">
        <f>IFERROR(__xludf.DUMMYFUNCTION("""COMPUTED_VALUE"""),"Namfon Home")</f>
        <v>Namfon Home</v>
      </c>
      <c r="P799" t="str">
        <f>IFERROR(__xludf.DUMMYFUNCTION("""COMPUTED_VALUE"""),"V/LWP")</f>
        <v>V/LWP</v>
      </c>
      <c r="R799" s="143">
        <f>IFERROR(__xludf.DUMMYFUNCTION("""COMPUTED_VALUE"""),33675.0)</f>
        <v>33675</v>
      </c>
      <c r="S799" s="146" t="str">
        <f>IFERROR(__xludf.DUMMYFUNCTION("""COMPUTED_VALUE"""),"094-6656244")</f>
        <v>094-6656244</v>
      </c>
      <c r="T799" s="147" t="str">
        <f>IFERROR(__xludf.DUMMYFUNCTION("""COMPUTED_VALUE"""),"1103700-73-3582")</f>
        <v>1103700-73-3582</v>
      </c>
      <c r="U799" t="str">
        <f>IFERROR(__xludf.DUMMYFUNCTION("""COMPUTED_VALUE"""),"ad1457211")</f>
        <v>ad1457211</v>
      </c>
      <c r="V799" s="148">
        <f>IFERROR(__xludf.DUMMYFUNCTION("""COMPUTED_VALUE"""),45241.0)</f>
        <v>45241</v>
      </c>
      <c r="W799" s="148">
        <f>IFERROR(__xludf.DUMMYFUNCTION("""COMPUTED_VALUE"""),47067.0)</f>
        <v>47067</v>
      </c>
      <c r="X799" s="149">
        <f>IFERROR(__xludf.DUMMYFUNCTION("""COMPUTED_VALUE"""),46883.0)</f>
        <v>46883</v>
      </c>
      <c r="Y799" t="str">
        <f>IFERROR(__xludf.DUMMYFUNCTION("""COMPUTED_VALUE"""),"ปลอดภัย")</f>
        <v>ปลอดภัย</v>
      </c>
      <c r="Z799" t="str">
        <f>IFERROR(__xludf.DUMMYFUNCTION("""COMPUTED_VALUE"""),"Bangkok")</f>
        <v>Bangkok</v>
      </c>
      <c r="AA799" t="str">
        <f>IFERROR(__xludf.DUMMYFUNCTION("""COMPUTED_VALUE"""),"Nonthaburi")</f>
        <v>Nonthaburi</v>
      </c>
      <c r="AB799" t="str">
        <f>IFERROR(__xludf.DUMMYFUNCTION("""COMPUTED_VALUE"""),"081-319-3990")</f>
        <v>081-319-3990</v>
      </c>
      <c r="AC799" t="str">
        <f>IFERROR(__xludf.DUMMYFUNCTION("""COMPUTED_VALUE"""),"Prasit Jirawarodom")</f>
        <v>Prasit Jirawarodom</v>
      </c>
      <c r="AD799" t="str">
        <f>IFERROR(__xludf.DUMMYFUNCTION("""COMPUTED_VALUE"""),"kunjiraj@airasia.com")</f>
        <v>kunjiraj@airasia.com</v>
      </c>
    </row>
    <row r="800">
      <c r="A800" s="142">
        <f>IFERROR(__xludf.DUMMYFUNCTION("""COMPUTED_VALUE"""),87.0)</f>
        <v>87</v>
      </c>
      <c r="B800" t="str">
        <f>IFERROR(__xludf.DUMMYFUNCTION("""COMPUTED_VALUE"""),"TAA7767")</f>
        <v>TAA7767</v>
      </c>
      <c r="C800">
        <f>IFERROR(__xludf.DUMMYFUNCTION("""COMPUTED_VALUE"""),1018535.0)</f>
        <v>1018535</v>
      </c>
      <c r="D800" t="str">
        <f>IFERROR(__xludf.DUMMYFUNCTION("""COMPUTED_VALUE"""),"Mr.")</f>
        <v>Mr.</v>
      </c>
      <c r="E800" t="str">
        <f>IFERROR(__xludf.DUMMYFUNCTION("""COMPUTED_VALUE"""),"Nawapu ")</f>
        <v>Nawapu </v>
      </c>
      <c r="F800" t="str">
        <f>IFERROR(__xludf.DUMMYFUNCTION("""COMPUTED_VALUE"""),"Dontaolek")</f>
        <v>Dontaolek</v>
      </c>
      <c r="G800" t="str">
        <f>IFERROR(__xludf.DUMMYFUNCTION("""COMPUTED_VALUE"""),"Nawapu Dontaolek")</f>
        <v>Nawapu Dontaolek</v>
      </c>
      <c r="H800" t="str">
        <f>IFERROR(__xludf.DUMMYFUNCTION("""COMPUTED_VALUE"""),"นาย")</f>
        <v>นาย</v>
      </c>
      <c r="I800" t="str">
        <f>IFERROR(__xludf.DUMMYFUNCTION("""COMPUTED_VALUE"""),"นวภู")</f>
        <v>นวภู</v>
      </c>
      <c r="J800" t="str">
        <f>IFERROR(__xludf.DUMMYFUNCTION("""COMPUTED_VALUE"""),"ดอนเตาเหล็ก")</f>
        <v>ดอนเตาเหล็ก</v>
      </c>
      <c r="K800" t="str">
        <f>IFERROR(__xludf.DUMMYFUNCTION("""COMPUTED_VALUE"""),"นวภู ดอนเตาเหล็ก")</f>
        <v>นวภู ดอนเตาเหล็ก</v>
      </c>
      <c r="L800" t="str">
        <f>IFERROR(__xludf.DUMMYFUNCTION("""COMPUTED_VALUE"""),"Dook/ดุ๊ก")</f>
        <v>Dook/ดุ๊ก</v>
      </c>
      <c r="M800" t="str">
        <f>IFERROR(__xludf.DUMMYFUNCTION("""COMPUTED_VALUE"""),"Cabin Crew")</f>
        <v>Cabin Crew</v>
      </c>
      <c r="N800" s="145" t="str">
        <f>IFERROR(__xludf.DUMMYFUNCTION("""COMPUTED_VALUE"""),"DMK")</f>
        <v>DMK</v>
      </c>
      <c r="O800" s="145" t="str">
        <f>IFERROR(__xludf.DUMMYFUNCTION("""COMPUTED_VALUE"""),"Por+ Home")</f>
        <v>Por+ Home</v>
      </c>
      <c r="P800" t="str">
        <f>IFERROR(__xludf.DUMMYFUNCTION("""COMPUTED_VALUE"""),"V/LWP")</f>
        <v>V/LWP</v>
      </c>
      <c r="R800" s="143">
        <f>IFERROR(__xludf.DUMMYFUNCTION("""COMPUTED_VALUE"""),33471.0)</f>
        <v>33471</v>
      </c>
      <c r="S800" s="146" t="str">
        <f>IFERROR(__xludf.DUMMYFUNCTION("""COMPUTED_VALUE"""),"095-694-9978")</f>
        <v>095-694-9978</v>
      </c>
      <c r="T800" s="147" t="str">
        <f>IFERROR(__xludf.DUMMYFUNCTION("""COMPUTED_VALUE"""),"1900200-05-6191")</f>
        <v>1900200-05-6191</v>
      </c>
      <c r="U800" t="str">
        <f>IFERROR(__xludf.DUMMYFUNCTION("""COMPUTED_VALUE"""),"AD0311035")</f>
        <v>AD0311035</v>
      </c>
      <c r="V800" s="148">
        <f>IFERROR(__xludf.DUMMYFUNCTION("""COMPUTED_VALUE"""),44879.0)</f>
        <v>44879</v>
      </c>
      <c r="W800" s="148">
        <f>IFERROR(__xludf.DUMMYFUNCTION("""COMPUTED_VALUE"""),48531.0)</f>
        <v>48531</v>
      </c>
      <c r="X800" s="149">
        <f>IFERROR(__xludf.DUMMYFUNCTION("""COMPUTED_VALUE"""),48347.0)</f>
        <v>48347</v>
      </c>
      <c r="Y800" t="str">
        <f>IFERROR(__xludf.DUMMYFUNCTION("""COMPUTED_VALUE"""),"ปลอดภัย")</f>
        <v>ปลอดภัย</v>
      </c>
      <c r="Z800" t="str">
        <f>IFERROR(__xludf.DUMMYFUNCTION("""COMPUTED_VALUE"""),"Songkhla Province")</f>
        <v>Songkhla Province</v>
      </c>
      <c r="AA800" t="str">
        <f>IFERROR(__xludf.DUMMYFUNCTION("""COMPUTED_VALUE"""),"Bangkok")</f>
        <v>Bangkok</v>
      </c>
      <c r="AB800" t="str">
        <f>IFERROR(__xludf.DUMMYFUNCTION("""COMPUTED_VALUE"""),"082-951-2234")</f>
        <v>082-951-2234</v>
      </c>
      <c r="AC800" t="str">
        <f>IFERROR(__xludf.DUMMYFUNCTION("""COMPUTED_VALUE"""),"Manop Wanuchsoontron (Uncle)")</f>
        <v>Manop Wanuchsoontron (Uncle)</v>
      </c>
      <c r="AD800" t="str">
        <f>IFERROR(__xludf.DUMMYFUNCTION("""COMPUTED_VALUE"""),"nawapud@airasia.com")</f>
        <v>nawapud@airasia.com</v>
      </c>
    </row>
    <row r="801">
      <c r="A801" s="142">
        <f>IFERROR(__xludf.DUMMYFUNCTION("""COMPUTED_VALUE"""),87.0)</f>
        <v>87</v>
      </c>
      <c r="B801" t="str">
        <f>IFERROR(__xludf.DUMMYFUNCTION("""COMPUTED_VALUE"""),"TAA7768")</f>
        <v>TAA7768</v>
      </c>
      <c r="C801">
        <f>IFERROR(__xludf.DUMMYFUNCTION("""COMPUTED_VALUE"""),1018536.0)</f>
        <v>1018536</v>
      </c>
      <c r="D801" t="str">
        <f>IFERROR(__xludf.DUMMYFUNCTION("""COMPUTED_VALUE"""),"Mr.")</f>
        <v>Mr.</v>
      </c>
      <c r="E801" t="str">
        <f>IFERROR(__xludf.DUMMYFUNCTION("""COMPUTED_VALUE"""),"Prakobchai")</f>
        <v>Prakobchai</v>
      </c>
      <c r="F801" t="str">
        <f>IFERROR(__xludf.DUMMYFUNCTION("""COMPUTED_VALUE"""),"Kwansri")</f>
        <v>Kwansri</v>
      </c>
      <c r="G801" t="str">
        <f>IFERROR(__xludf.DUMMYFUNCTION("""COMPUTED_VALUE"""),"Prakobchai Kwansri")</f>
        <v>Prakobchai Kwansri</v>
      </c>
      <c r="H801" t="str">
        <f>IFERROR(__xludf.DUMMYFUNCTION("""COMPUTED_VALUE"""),"นาย")</f>
        <v>นาย</v>
      </c>
      <c r="I801" t="str">
        <f>IFERROR(__xludf.DUMMYFUNCTION("""COMPUTED_VALUE"""),"ประกอบชัย")</f>
        <v>ประกอบชัย</v>
      </c>
      <c r="J801" t="str">
        <f>IFERROR(__xludf.DUMMYFUNCTION("""COMPUTED_VALUE"""),"ขวัญศรี")</f>
        <v>ขวัญศรี</v>
      </c>
      <c r="K801" t="str">
        <f>IFERROR(__xludf.DUMMYFUNCTION("""COMPUTED_VALUE"""),"ประกอบชัย ขวัญศรี")</f>
        <v>ประกอบชัย ขวัญศรี</v>
      </c>
      <c r="L801" t="str">
        <f>IFERROR(__xludf.DUMMYFUNCTION("""COMPUTED_VALUE"""),"Green")</f>
        <v>Green</v>
      </c>
      <c r="M801" t="str">
        <f>IFERROR(__xludf.DUMMYFUNCTION("""COMPUTED_VALUE"""),"Cabin Crew - HKT")</f>
        <v>Cabin Crew - HKT</v>
      </c>
      <c r="N801" t="str">
        <f>IFERROR(__xludf.DUMMYFUNCTION("""COMPUTED_VALUE"""),"HKT")</f>
        <v>HKT</v>
      </c>
      <c r="O801" s="145" t="str">
        <f>IFERROR(__xludf.DUMMYFUNCTION("""COMPUTED_VALUE"""),"Kor Home")</f>
        <v>Kor Home</v>
      </c>
      <c r="P801" t="str">
        <f>IFERROR(__xludf.DUMMYFUNCTION("""COMPUTED_VALUE"""),"Active/V/DMK")</f>
        <v>Active/V/DMK</v>
      </c>
      <c r="R801" s="143">
        <f>IFERROR(__xludf.DUMMYFUNCTION("""COMPUTED_VALUE"""),33805.0)</f>
        <v>33805</v>
      </c>
      <c r="S801" s="146" t="str">
        <f>IFERROR(__xludf.DUMMYFUNCTION("""COMPUTED_VALUE"""),"092-0795740")</f>
        <v>092-0795740</v>
      </c>
      <c r="T801" s="147" t="str">
        <f>IFERROR(__xludf.DUMMYFUNCTION("""COMPUTED_VALUE"""),"1839900-26-6685")</f>
        <v>1839900-26-6685</v>
      </c>
      <c r="U801" t="str">
        <f>IFERROR(__xludf.DUMMYFUNCTION("""COMPUTED_VALUE"""),"AD2127344")</f>
        <v>AD2127344</v>
      </c>
      <c r="V801" s="148">
        <f>IFERROR(__xludf.DUMMYFUNCTION("""COMPUTED_VALUE"""),45741.0)</f>
        <v>45741</v>
      </c>
      <c r="W801" s="148">
        <f>IFERROR(__xludf.DUMMYFUNCTION("""COMPUTED_VALUE"""),49392.0)</f>
        <v>49392</v>
      </c>
      <c r="X801" s="149">
        <f>IFERROR(__xludf.DUMMYFUNCTION("""COMPUTED_VALUE"""),49211.0)</f>
        <v>49211</v>
      </c>
      <c r="Y801" t="str">
        <f>IFERROR(__xludf.DUMMYFUNCTION("""COMPUTED_VALUE"""),"ปลอดภัย")</f>
        <v>ปลอดภัย</v>
      </c>
      <c r="Z801" t="str">
        <f>IFERROR(__xludf.DUMMYFUNCTION("""COMPUTED_VALUE"""),"Phuket Province")</f>
        <v>Phuket Province</v>
      </c>
      <c r="AA801" t="str">
        <f>IFERROR(__xludf.DUMMYFUNCTION("""COMPUTED_VALUE"""),"Phuket")</f>
        <v>Phuket</v>
      </c>
      <c r="AB801" t="str">
        <f>IFERROR(__xludf.DUMMYFUNCTION("""COMPUTED_VALUE"""),"087-418-0610")</f>
        <v>087-418-0610</v>
      </c>
      <c r="AC801" t="str">
        <f>IFERROR(__xludf.DUMMYFUNCTION("""COMPUTED_VALUE"""),"(Father)")</f>
        <v>(Father)</v>
      </c>
      <c r="AD801" t="str">
        <f>IFERROR(__xludf.DUMMYFUNCTION("""COMPUTED_VALUE"""),"prakobchaik@airasia.com")</f>
        <v>prakobchaik@airasia.com</v>
      </c>
    </row>
    <row r="802">
      <c r="A802" s="142">
        <f>IFERROR(__xludf.DUMMYFUNCTION("""COMPUTED_VALUE"""),87.0)</f>
        <v>87</v>
      </c>
      <c r="B802" t="str">
        <f>IFERROR(__xludf.DUMMYFUNCTION("""COMPUTED_VALUE"""),"TAA7539")</f>
        <v>TAA7539</v>
      </c>
      <c r="C802">
        <f>IFERROR(__xludf.DUMMYFUNCTION("""COMPUTED_VALUE"""),1018541.0)</f>
        <v>1018541</v>
      </c>
      <c r="D802" t="str">
        <f>IFERROR(__xludf.DUMMYFUNCTION("""COMPUTED_VALUE"""),"Ms.")</f>
        <v>Ms.</v>
      </c>
      <c r="E802" t="str">
        <f>IFERROR(__xludf.DUMMYFUNCTION("""COMPUTED_VALUE"""),"Suwisa")</f>
        <v>Suwisa</v>
      </c>
      <c r="F802" t="str">
        <f>IFERROR(__xludf.DUMMYFUNCTION("""COMPUTED_VALUE"""),"Panyanual")</f>
        <v>Panyanual</v>
      </c>
      <c r="G802" t="str">
        <f>IFERROR(__xludf.DUMMYFUNCTION("""COMPUTED_VALUE"""),"Suwisa Panyanual")</f>
        <v>Suwisa Panyanual</v>
      </c>
      <c r="H802" t="str">
        <f>IFERROR(__xludf.DUMMYFUNCTION("""COMPUTED_VALUE"""),"นางสาว")</f>
        <v>นางสาว</v>
      </c>
      <c r="I802" t="str">
        <f>IFERROR(__xludf.DUMMYFUNCTION("""COMPUTED_VALUE"""),"สุวิษา")</f>
        <v>สุวิษา</v>
      </c>
      <c r="J802" t="str">
        <f>IFERROR(__xludf.DUMMYFUNCTION("""COMPUTED_VALUE"""),"ปัญญานวล")</f>
        <v>ปัญญานวล</v>
      </c>
      <c r="K802" t="str">
        <f>IFERROR(__xludf.DUMMYFUNCTION("""COMPUTED_VALUE"""),"สุวิษา ปัญญานวล")</f>
        <v>สุวิษา ปัญญานวล</v>
      </c>
      <c r="L802" t="str">
        <f>IFERROR(__xludf.DUMMYFUNCTION("""COMPUTED_VALUE"""),"Noon นุ่น")</f>
        <v>Noon นุ่น</v>
      </c>
      <c r="M802" t="str">
        <f>IFERROR(__xludf.DUMMYFUNCTION("""COMPUTED_VALUE"""),"Cabin Crew - CNX")</f>
        <v>Cabin Crew - CNX</v>
      </c>
      <c r="N802" t="str">
        <f>IFERROR(__xludf.DUMMYFUNCTION("""COMPUTED_VALUE"""),"CNX")</f>
        <v>CNX</v>
      </c>
      <c r="O802" s="145" t="str">
        <f>IFERROR(__xludf.DUMMYFUNCTION("""COMPUTED_VALUE"""),"Up Home")</f>
        <v>Up Home</v>
      </c>
      <c r="P802" t="str">
        <f>IFERROR(__xludf.DUMMYFUNCTION("""COMPUTED_VALUE"""),"Active")</f>
        <v>Active</v>
      </c>
      <c r="R802" s="143">
        <f>IFERROR(__xludf.DUMMYFUNCTION("""COMPUTED_VALUE"""),33801.0)</f>
        <v>33801</v>
      </c>
      <c r="S802" s="146" t="str">
        <f>IFERROR(__xludf.DUMMYFUNCTION("""COMPUTED_VALUE"""),"064-3341199")</f>
        <v>064-3341199</v>
      </c>
      <c r="T802" s="147" t="str">
        <f>IFERROR(__xludf.DUMMYFUNCTION("""COMPUTED_VALUE"""),"1509901-20-1148")</f>
        <v>1509901-20-1148</v>
      </c>
      <c r="U802" t="str">
        <f>IFERROR(__xludf.DUMMYFUNCTION("""COMPUTED_VALUE"""),"AC2643959")</f>
        <v>AC2643959</v>
      </c>
      <c r="V802" s="148">
        <f>IFERROR(__xludf.DUMMYFUNCTION("""COMPUTED_VALUE"""),44922.0)</f>
        <v>44922</v>
      </c>
      <c r="W802" s="148">
        <f>IFERROR(__xludf.DUMMYFUNCTION("""COMPUTED_VALUE"""),48208.0)</f>
        <v>48208</v>
      </c>
      <c r="X802" s="149">
        <f>IFERROR(__xludf.DUMMYFUNCTION("""COMPUTED_VALUE"""),48025.0)</f>
        <v>48025</v>
      </c>
      <c r="Y802" t="str">
        <f>IFERROR(__xludf.DUMMYFUNCTION("""COMPUTED_VALUE"""),"ปลอดภัย")</f>
        <v>ปลอดภัย</v>
      </c>
      <c r="Z802" t="str">
        <f>IFERROR(__xludf.DUMMYFUNCTION("""COMPUTED_VALUE"""),"Chiang Mai Province")</f>
        <v>Chiang Mai Province</v>
      </c>
      <c r="AA802" t="str">
        <f>IFERROR(__xludf.DUMMYFUNCTION("""COMPUTED_VALUE"""),"Chiang Mai")</f>
        <v>Chiang Mai</v>
      </c>
      <c r="AB802" t="str">
        <f>IFERROR(__xludf.DUMMYFUNCTION("""COMPUTED_VALUE"""),"081-952-9165")</f>
        <v>081-952-9165</v>
      </c>
      <c r="AC802" t="str">
        <f>IFERROR(__xludf.DUMMYFUNCTION("""COMPUTED_VALUE"""),"Woranuch Panyanual (Mother)")</f>
        <v>Woranuch Panyanual (Mother)</v>
      </c>
      <c r="AD802" t="str">
        <f>IFERROR(__xludf.DUMMYFUNCTION("""COMPUTED_VALUE"""),"suwisap@airasia.com")</f>
        <v>suwisap@airasia.com</v>
      </c>
    </row>
    <row r="803">
      <c r="A803" s="142">
        <f>IFERROR(__xludf.DUMMYFUNCTION("""COMPUTED_VALUE"""),87.0)</f>
        <v>87</v>
      </c>
      <c r="B803" t="str">
        <f>IFERROR(__xludf.DUMMYFUNCTION("""COMPUTED_VALUE"""),"TAA7771")</f>
        <v>TAA7771</v>
      </c>
      <c r="C803">
        <f>IFERROR(__xludf.DUMMYFUNCTION("""COMPUTED_VALUE"""),1018534.0)</f>
        <v>1018534</v>
      </c>
      <c r="D803" t="str">
        <f>IFERROR(__xludf.DUMMYFUNCTION("""COMPUTED_VALUE"""),"Mr.")</f>
        <v>Mr.</v>
      </c>
      <c r="E803" t="str">
        <f>IFERROR(__xludf.DUMMYFUNCTION("""COMPUTED_VALUE"""),"Naphop")</f>
        <v>Naphop</v>
      </c>
      <c r="F803" t="str">
        <f>IFERROR(__xludf.DUMMYFUNCTION("""COMPUTED_VALUE"""),"Khoonphonsiri")</f>
        <v>Khoonphonsiri</v>
      </c>
      <c r="G803" t="str">
        <f>IFERROR(__xludf.DUMMYFUNCTION("""COMPUTED_VALUE"""),"Naphop Khoonphonsiri")</f>
        <v>Naphop Khoonphonsiri</v>
      </c>
      <c r="H803" t="str">
        <f>IFERROR(__xludf.DUMMYFUNCTION("""COMPUTED_VALUE"""),"นาย")</f>
        <v>นาย</v>
      </c>
      <c r="I803" t="str">
        <f>IFERROR(__xludf.DUMMYFUNCTION("""COMPUTED_VALUE"""),"ณภพ")</f>
        <v>ณภพ</v>
      </c>
      <c r="J803" t="str">
        <f>IFERROR(__xludf.DUMMYFUNCTION("""COMPUTED_VALUE"""),"ขุนพลสิริ")</f>
        <v>ขุนพลสิริ</v>
      </c>
      <c r="K803" t="str">
        <f>IFERROR(__xludf.DUMMYFUNCTION("""COMPUTED_VALUE"""),"ณภพ ขุนพลสิริ")</f>
        <v>ณภพ ขุนพลสิริ</v>
      </c>
      <c r="L803" t="str">
        <f>IFERROR(__xludf.DUMMYFUNCTION("""COMPUTED_VALUE"""),"Oon/อุ่น")</f>
        <v>Oon/อุ่น</v>
      </c>
      <c r="M803" t="str">
        <f>IFERROR(__xludf.DUMMYFUNCTION("""COMPUTED_VALUE"""),"Cabin Crew - HKT")</f>
        <v>Cabin Crew - HKT</v>
      </c>
      <c r="N803" t="str">
        <f>IFERROR(__xludf.DUMMYFUNCTION("""COMPUTED_VALUE"""),"HKT")</f>
        <v>HKT</v>
      </c>
      <c r="O803" s="145" t="str">
        <f>IFERROR(__xludf.DUMMYFUNCTION("""COMPUTED_VALUE"""),"Kor Home")</f>
        <v>Kor Home</v>
      </c>
      <c r="P803" t="str">
        <f>IFERROR(__xludf.DUMMYFUNCTION("""COMPUTED_VALUE"""),"Active")</f>
        <v>Active</v>
      </c>
      <c r="R803" s="143">
        <f>IFERROR(__xludf.DUMMYFUNCTION("""COMPUTED_VALUE"""),32685.0)</f>
        <v>32685</v>
      </c>
      <c r="S803" s="146" t="str">
        <f>IFERROR(__xludf.DUMMYFUNCTION("""COMPUTED_VALUE"""),"099-4264655")</f>
        <v>099-4264655</v>
      </c>
      <c r="T803" s="147" t="str">
        <f>IFERROR(__xludf.DUMMYFUNCTION("""COMPUTED_VALUE"""),"1839900-16-5790")</f>
        <v>1839900-16-5790</v>
      </c>
      <c r="U803" t="str">
        <f>IFERROR(__xludf.DUMMYFUNCTION("""COMPUTED_VALUE"""),"AD1384588")</f>
        <v>AD1384588</v>
      </c>
      <c r="V803" s="148">
        <f>IFERROR(__xludf.DUMMYFUNCTION("""COMPUTED_VALUE"""),45362.0)</f>
        <v>45362</v>
      </c>
      <c r="W803" s="148">
        <f>IFERROR(__xludf.DUMMYFUNCTION("""COMPUTED_VALUE"""),49013.0)</f>
        <v>49013</v>
      </c>
      <c r="X803" s="149">
        <f>IFERROR(__xludf.DUMMYFUNCTION("""COMPUTED_VALUE"""),48832.0)</f>
        <v>48832</v>
      </c>
      <c r="Y803" t="str">
        <f>IFERROR(__xludf.DUMMYFUNCTION("""COMPUTED_VALUE"""),"ปลอดภัย")</f>
        <v>ปลอดภัย</v>
      </c>
      <c r="Z803" t="str">
        <f>IFERROR(__xludf.DUMMYFUNCTION("""COMPUTED_VALUE"""),"Phuket Province")</f>
        <v>Phuket Province</v>
      </c>
      <c r="AA803" t="str">
        <f>IFERROR(__xludf.DUMMYFUNCTION("""COMPUTED_VALUE"""),"Bangkok")</f>
        <v>Bangkok</v>
      </c>
      <c r="AB803" t="str">
        <f>IFERROR(__xludf.DUMMYFUNCTION("""COMPUTED_VALUE"""),"062-969-1454")</f>
        <v>062-969-1454</v>
      </c>
      <c r="AC803" t="str">
        <f>IFERROR(__xludf.DUMMYFUNCTION("""COMPUTED_VALUE"""),"Kraidej (Father)")</f>
        <v>Kraidej (Father)</v>
      </c>
      <c r="AD803" t="str">
        <f>IFERROR(__xludf.DUMMYFUNCTION("""COMPUTED_VALUE"""),"naphopk@airasia.com")</f>
        <v>naphopk@airasia.com</v>
      </c>
    </row>
    <row r="804">
      <c r="A804" s="142">
        <f>IFERROR(__xludf.DUMMYFUNCTION("""COMPUTED_VALUE"""),87.0)</f>
        <v>87</v>
      </c>
      <c r="B804" t="str">
        <f>IFERROR(__xludf.DUMMYFUNCTION("""COMPUTED_VALUE"""),"TAA7541")</f>
        <v>TAA7541</v>
      </c>
      <c r="C804">
        <f>IFERROR(__xludf.DUMMYFUNCTION("""COMPUTED_VALUE"""),1018543.0)</f>
        <v>1018543</v>
      </c>
      <c r="D804" t="str">
        <f>IFERROR(__xludf.DUMMYFUNCTION("""COMPUTED_VALUE"""),"Mr.")</f>
        <v>Mr.</v>
      </c>
      <c r="E804" t="str">
        <f>IFERROR(__xludf.DUMMYFUNCTION("""COMPUTED_VALUE"""),"Tanawat")</f>
        <v>Tanawat</v>
      </c>
      <c r="F804" t="str">
        <f>IFERROR(__xludf.DUMMYFUNCTION("""COMPUTED_VALUE"""),"Prasansuk")</f>
        <v>Prasansuk</v>
      </c>
      <c r="G804" t="str">
        <f>IFERROR(__xludf.DUMMYFUNCTION("""COMPUTED_VALUE"""),"Tanawat Prasansuk")</f>
        <v>Tanawat Prasansuk</v>
      </c>
      <c r="H804" t="str">
        <f>IFERROR(__xludf.DUMMYFUNCTION("""COMPUTED_VALUE"""),"นาย")</f>
        <v>นาย</v>
      </c>
      <c r="I804" t="str">
        <f>IFERROR(__xludf.DUMMYFUNCTION("""COMPUTED_VALUE"""),"ธนวัฒน์")</f>
        <v>ธนวัฒน์</v>
      </c>
      <c r="J804" t="str">
        <f>IFERROR(__xludf.DUMMYFUNCTION("""COMPUTED_VALUE"""),"ประสานสุข")</f>
        <v>ประสานสุข</v>
      </c>
      <c r="K804" t="str">
        <f>IFERROR(__xludf.DUMMYFUNCTION("""COMPUTED_VALUE"""),"ธนวัฒน์ ประสานสุข")</f>
        <v>ธนวัฒน์ ประสานสุข</v>
      </c>
      <c r="L804" t="str">
        <f>IFERROR(__xludf.DUMMYFUNCTION("""COMPUTED_VALUE"""),"Dew / ดิว")</f>
        <v>Dew / ดิว</v>
      </c>
      <c r="M804" t="str">
        <f>IFERROR(__xludf.DUMMYFUNCTION("""COMPUTED_VALUE"""),"Cabin Crew - CNX")</f>
        <v>Cabin Crew - CNX</v>
      </c>
      <c r="N804" t="str">
        <f>IFERROR(__xludf.DUMMYFUNCTION("""COMPUTED_VALUE"""),"CNX")</f>
        <v>CNX</v>
      </c>
      <c r="O804" s="145" t="str">
        <f>IFERROR(__xludf.DUMMYFUNCTION("""COMPUTED_VALUE"""),"Up Home")</f>
        <v>Up Home</v>
      </c>
      <c r="P804" t="str">
        <f>IFERROR(__xludf.DUMMYFUNCTION("""COMPUTED_VALUE"""),"Active")</f>
        <v>Active</v>
      </c>
      <c r="R804" s="143">
        <f>IFERROR(__xludf.DUMMYFUNCTION("""COMPUTED_VALUE"""),32898.0)</f>
        <v>32898</v>
      </c>
      <c r="S804" s="146" t="str">
        <f>IFERROR(__xludf.DUMMYFUNCTION("""COMPUTED_VALUE"""),"080-991-6592")</f>
        <v>080-991-6592</v>
      </c>
      <c r="T804" s="147" t="str">
        <f>IFERROR(__xludf.DUMMYFUNCTION("""COMPUTED_VALUE"""),"1509900-82-4630")</f>
        <v>1509900-82-4630</v>
      </c>
      <c r="U804" t="str">
        <f>IFERROR(__xludf.DUMMYFUNCTION("""COMPUTED_VALUE"""),"AC7536762")</f>
        <v>AC7536762</v>
      </c>
      <c r="V804" s="148">
        <f>IFERROR(__xludf.DUMMYFUNCTION("""COMPUTED_VALUE"""),45545.0)</f>
        <v>45545</v>
      </c>
      <c r="W804" s="148">
        <f>IFERROR(__xludf.DUMMYFUNCTION("""COMPUTED_VALUE"""),49196.0)</f>
        <v>49196</v>
      </c>
      <c r="X804" s="149">
        <f>IFERROR(__xludf.DUMMYFUNCTION("""COMPUTED_VALUE"""),49012.0)</f>
        <v>49012</v>
      </c>
      <c r="Y804" t="str">
        <f>IFERROR(__xludf.DUMMYFUNCTION("""COMPUTED_VALUE"""),"ปลอดภัย")</f>
        <v>ปลอดภัย</v>
      </c>
      <c r="Z804" t="str">
        <f>IFERROR(__xludf.DUMMYFUNCTION("""COMPUTED_VALUE"""),"Chiang Mai Province")</f>
        <v>Chiang Mai Province</v>
      </c>
      <c r="AA804" t="str">
        <f>IFERROR(__xludf.DUMMYFUNCTION("""COMPUTED_VALUE"""),"Chiang Mai")</f>
        <v>Chiang Mai</v>
      </c>
      <c r="AB804" t="str">
        <f>IFERROR(__xludf.DUMMYFUNCTION("""COMPUTED_VALUE"""),"089-956-2862")</f>
        <v>089-956-2862</v>
      </c>
      <c r="AC804" t="str">
        <f>IFERROR(__xludf.DUMMYFUNCTION("""COMPUTED_VALUE"""),"Sritorn Prasansuk (Mother)")</f>
        <v>Sritorn Prasansuk (Mother)</v>
      </c>
      <c r="AD804" t="str">
        <f>IFERROR(__xludf.DUMMYFUNCTION("""COMPUTED_VALUE"""),"tanawatn@airasia.com")</f>
        <v>tanawatn@airasia.com</v>
      </c>
    </row>
    <row r="805">
      <c r="J805">
        <f>IFERROR(__xludf.DUMMYFUNCTION("""COMPUTED_VALUE"""),1018536.0)</f>
        <v>1018536</v>
      </c>
      <c r="AD805" t="str">
        <f>IFERROR(__xludf.DUMMYFUNCTION("""COMPUTED_VALUE"""),"")</f>
        <v/>
      </c>
    </row>
    <row r="806">
      <c r="A806" s="142">
        <f>IFERROR(__xludf.DUMMYFUNCTION("""COMPUTED_VALUE"""),88.0)</f>
        <v>88</v>
      </c>
      <c r="B806" t="str">
        <f>IFERROR(__xludf.DUMMYFUNCTION("""COMPUTED_VALUE"""),"TAA7763")</f>
        <v>TAA7763</v>
      </c>
      <c r="C806">
        <f>IFERROR(__xludf.DUMMYFUNCTION("""COMPUTED_VALUE"""),1018784.0)</f>
        <v>1018784</v>
      </c>
      <c r="D806" t="str">
        <f>IFERROR(__xludf.DUMMYFUNCTION("""COMPUTED_VALUE"""),"Mr.")</f>
        <v>Mr.</v>
      </c>
      <c r="E806" t="str">
        <f>IFERROR(__xludf.DUMMYFUNCTION("""COMPUTED_VALUE"""),"Apirak")</f>
        <v>Apirak</v>
      </c>
      <c r="F806" t="str">
        <f>IFERROR(__xludf.DUMMYFUNCTION("""COMPUTED_VALUE"""),"Thongpiyaphoom")</f>
        <v>Thongpiyaphoom</v>
      </c>
      <c r="G806" t="str">
        <f>IFERROR(__xludf.DUMMYFUNCTION("""COMPUTED_VALUE"""),"Apirak Thongpiyaphoom")</f>
        <v>Apirak Thongpiyaphoom</v>
      </c>
      <c r="H806" t="str">
        <f>IFERROR(__xludf.DUMMYFUNCTION("""COMPUTED_VALUE"""),"นาย")</f>
        <v>นาย</v>
      </c>
      <c r="I806" t="str">
        <f>IFERROR(__xludf.DUMMYFUNCTION("""COMPUTED_VALUE"""),"อภิรักษ์")</f>
        <v>อภิรักษ์</v>
      </c>
      <c r="J806" t="str">
        <f>IFERROR(__xludf.DUMMYFUNCTION("""COMPUTED_VALUE"""),"ทองปิยะภูมิ")</f>
        <v>ทองปิยะภูมิ</v>
      </c>
      <c r="K806" t="str">
        <f>IFERROR(__xludf.DUMMYFUNCTION("""COMPUTED_VALUE"""),"อภิรักษ์ ทองปิยะภูมิ")</f>
        <v>อภิรักษ์ ทองปิยะภูมิ</v>
      </c>
      <c r="L806" t="str">
        <f>IFERROR(__xludf.DUMMYFUNCTION("""COMPUTED_VALUE"""),"Fame/เฟม")</f>
        <v>Fame/เฟม</v>
      </c>
      <c r="M806" t="str">
        <f>IFERROR(__xludf.DUMMYFUNCTION("""COMPUTED_VALUE"""),"Cabin Crew")</f>
        <v>Cabin Crew</v>
      </c>
      <c r="N806" t="str">
        <f>IFERROR(__xludf.DUMMYFUNCTION("""COMPUTED_VALUE"""),"DMK")</f>
        <v>DMK</v>
      </c>
      <c r="O806" s="145" t="str">
        <f>IFERROR(__xludf.DUMMYFUNCTION("""COMPUTED_VALUE"""),"Por+ Home")</f>
        <v>Por+ Home</v>
      </c>
      <c r="P806" t="str">
        <f>IFERROR(__xludf.DUMMYFUNCTION("""COMPUTED_VALUE"""),"Active")</f>
        <v>Active</v>
      </c>
      <c r="R806" s="143">
        <f>IFERROR(__xludf.DUMMYFUNCTION("""COMPUTED_VALUE"""),32912.0)</f>
        <v>32912</v>
      </c>
      <c r="S806" s="146" t="str">
        <f>IFERROR(__xludf.DUMMYFUNCTION("""COMPUTED_VALUE"""),"090-9599524")</f>
        <v>090-9599524</v>
      </c>
      <c r="T806" s="147" t="str">
        <f>IFERROR(__xludf.DUMMYFUNCTION("""COMPUTED_VALUE"""),"1909800-42-0797")</f>
        <v>1909800-42-0797</v>
      </c>
      <c r="U806" t="str">
        <f>IFERROR(__xludf.DUMMYFUNCTION("""COMPUTED_VALUE"""),"AC6318878")</f>
        <v>AC6318878</v>
      </c>
      <c r="V806" s="148">
        <f>IFERROR(__xludf.DUMMYFUNCTION("""COMPUTED_VALUE"""),45293.0)</f>
        <v>45293</v>
      </c>
      <c r="W806" s="148">
        <f>IFERROR(__xludf.DUMMYFUNCTION("""COMPUTED_VALUE"""),48945.0)</f>
        <v>48945</v>
      </c>
      <c r="X806" s="149">
        <f>IFERROR(__xludf.DUMMYFUNCTION("""COMPUTED_VALUE"""),48761.0)</f>
        <v>48761</v>
      </c>
      <c r="Y806" t="str">
        <f>IFERROR(__xludf.DUMMYFUNCTION("""COMPUTED_VALUE"""),"ปลอดภัย")</f>
        <v>ปลอดภัย</v>
      </c>
      <c r="Z806" t="str">
        <f>IFERROR(__xludf.DUMMYFUNCTION("""COMPUTED_VALUE"""),"Songkhla Province")</f>
        <v>Songkhla Province</v>
      </c>
      <c r="AA806" t="str">
        <f>IFERROR(__xludf.DUMMYFUNCTION("""COMPUTED_VALUE"""),"Bangkok")</f>
        <v>Bangkok</v>
      </c>
      <c r="AB806" t="str">
        <f>IFERROR(__xludf.DUMMYFUNCTION("""COMPUTED_VALUE"""),"089-659-2014")</f>
        <v>089-659-2014</v>
      </c>
      <c r="AC806" t="str">
        <f>IFERROR(__xludf.DUMMYFUNCTION("""COMPUTED_VALUE"""),"Somjit Thongpiyaphoom (Mother)")</f>
        <v>Somjit Thongpiyaphoom (Mother)</v>
      </c>
      <c r="AD806" t="str">
        <f>IFERROR(__xludf.DUMMYFUNCTION("""COMPUTED_VALUE"""),"apirakt@airasia.com")</f>
        <v>apirakt@airasia.com</v>
      </c>
    </row>
    <row r="807">
      <c r="A807" s="142">
        <f>IFERROR(__xludf.DUMMYFUNCTION("""COMPUTED_VALUE"""),88.0)</f>
        <v>88</v>
      </c>
      <c r="B807" t="str">
        <f>IFERROR(__xludf.DUMMYFUNCTION("""COMPUTED_VALUE"""),"TAA7755")</f>
        <v>TAA7755</v>
      </c>
      <c r="C807">
        <f>IFERROR(__xludf.DUMMYFUNCTION("""COMPUTED_VALUE"""),1018789.0)</f>
        <v>1018789</v>
      </c>
      <c r="D807" t="str">
        <f>IFERROR(__xludf.DUMMYFUNCTION("""COMPUTED_VALUE"""),"Ms.")</f>
        <v>Ms.</v>
      </c>
      <c r="E807" t="str">
        <f>IFERROR(__xludf.DUMMYFUNCTION("""COMPUTED_VALUE"""),"Jaruwan")</f>
        <v>Jaruwan</v>
      </c>
      <c r="F807" t="str">
        <f>IFERROR(__xludf.DUMMYFUNCTION("""COMPUTED_VALUE"""),"Junjitjingjai")</f>
        <v>Junjitjingjai</v>
      </c>
      <c r="G807" t="str">
        <f>IFERROR(__xludf.DUMMYFUNCTION("""COMPUTED_VALUE"""),"Jaruwan Junjitjingjai")</f>
        <v>Jaruwan Junjitjingjai</v>
      </c>
      <c r="H807" t="str">
        <f>IFERROR(__xludf.DUMMYFUNCTION("""COMPUTED_VALUE"""),"นางสาว")</f>
        <v>นางสาว</v>
      </c>
      <c r="I807" t="str">
        <f>IFERROR(__xludf.DUMMYFUNCTION("""COMPUTED_VALUE"""),"จารุวรรณ")</f>
        <v>จารุวรรณ</v>
      </c>
      <c r="J807" t="str">
        <f>IFERROR(__xludf.DUMMYFUNCTION("""COMPUTED_VALUE"""),"จันทร์จิตรจริงใจ")</f>
        <v>จันทร์จิตรจริงใจ</v>
      </c>
      <c r="K807" t="str">
        <f>IFERROR(__xludf.DUMMYFUNCTION("""COMPUTED_VALUE"""),"จารุวรรณ จันทร์จิตรจริงใจ")</f>
        <v>จารุวรรณ จันทร์จิตรจริงใจ</v>
      </c>
      <c r="L807" t="str">
        <f>IFERROR(__xludf.DUMMYFUNCTION("""COMPUTED_VALUE"""),"Fon/ฝน")</f>
        <v>Fon/ฝน</v>
      </c>
      <c r="M807" t="str">
        <f>IFERROR(__xludf.DUMMYFUNCTION("""COMPUTED_VALUE"""),"Cabin Crew - HKT")</f>
        <v>Cabin Crew - HKT</v>
      </c>
      <c r="N807" t="str">
        <f>IFERROR(__xludf.DUMMYFUNCTION("""COMPUTED_VALUE"""),"HKT")</f>
        <v>HKT</v>
      </c>
      <c r="O807" s="145" t="str">
        <f>IFERROR(__xludf.DUMMYFUNCTION("""COMPUTED_VALUE"""),"Kor Home")</f>
        <v>Kor Home</v>
      </c>
      <c r="P807" t="str">
        <f>IFERROR(__xludf.DUMMYFUNCTION("""COMPUTED_VALUE"""),"Active")</f>
        <v>Active</v>
      </c>
      <c r="R807" s="143">
        <f>IFERROR(__xludf.DUMMYFUNCTION("""COMPUTED_VALUE"""),32569.0)</f>
        <v>32569</v>
      </c>
      <c r="S807" s="146" t="str">
        <f>IFERROR(__xludf.DUMMYFUNCTION("""COMPUTED_VALUE"""),"062-459-4696")</f>
        <v>062-459-4696</v>
      </c>
      <c r="T807" s="147" t="str">
        <f>IFERROR(__xludf.DUMMYFUNCTION("""COMPUTED_VALUE"""),"1909800-34-2583")</f>
        <v>1909800-34-2583</v>
      </c>
      <c r="U807" t="str">
        <f>IFERROR(__xludf.DUMMYFUNCTION("""COMPUTED_VALUE"""),"AC2440048")</f>
        <v>AC2440048</v>
      </c>
      <c r="V807" s="148">
        <f>IFERROR(__xludf.DUMMYFUNCTION("""COMPUTED_VALUE"""),44459.0)</f>
        <v>44459</v>
      </c>
      <c r="W807" s="148">
        <f>IFERROR(__xludf.DUMMYFUNCTION("""COMPUTED_VALUE"""),48110.0)</f>
        <v>48110</v>
      </c>
      <c r="X807" s="149">
        <f>IFERROR(__xludf.DUMMYFUNCTION("""COMPUTED_VALUE"""),47926.0)</f>
        <v>47926</v>
      </c>
      <c r="Y807" t="str">
        <f>IFERROR(__xludf.DUMMYFUNCTION("""COMPUTED_VALUE"""),"ปลอดภัย")</f>
        <v>ปลอดภัย</v>
      </c>
      <c r="Z807" t="str">
        <f>IFERROR(__xludf.DUMMYFUNCTION("""COMPUTED_VALUE"""),"Songkhla Province")</f>
        <v>Songkhla Province</v>
      </c>
      <c r="AA807" t="str">
        <f>IFERROR(__xludf.DUMMYFUNCTION("""COMPUTED_VALUE"""),"Bangkok")</f>
        <v>Bangkok</v>
      </c>
      <c r="AB807" t="str">
        <f>IFERROR(__xludf.DUMMYFUNCTION("""COMPUTED_VALUE"""),"084-312-4670")</f>
        <v>084-312-4670</v>
      </c>
      <c r="AC807" t="str">
        <f>IFERROR(__xludf.DUMMYFUNCTION("""COMPUTED_VALUE"""),"Sumrit Junjitjingjai")</f>
        <v>Sumrit Junjitjingjai</v>
      </c>
      <c r="AD807" t="str">
        <f>IFERROR(__xludf.DUMMYFUNCTION("""COMPUTED_VALUE"""),"jaruwanu@airasia.com")</f>
        <v>jaruwanu@airasia.com</v>
      </c>
    </row>
    <row r="808">
      <c r="A808" s="142">
        <f>IFERROR(__xludf.DUMMYFUNCTION("""COMPUTED_VALUE"""),88.0)</f>
        <v>88</v>
      </c>
      <c r="B808" t="str">
        <f>IFERROR(__xludf.DUMMYFUNCTION("""COMPUTED_VALUE"""),"TAA7762")</f>
        <v>TAA7762</v>
      </c>
      <c r="C808">
        <f>IFERROR(__xludf.DUMMYFUNCTION("""COMPUTED_VALUE"""),1018790.0)</f>
        <v>1018790</v>
      </c>
      <c r="D808" t="str">
        <f>IFERROR(__xludf.DUMMYFUNCTION("""COMPUTED_VALUE"""),"Ms.")</f>
        <v>Ms.</v>
      </c>
      <c r="E808" t="str">
        <f>IFERROR(__xludf.DUMMYFUNCTION("""COMPUTED_VALUE"""),"Julalak")</f>
        <v>Julalak</v>
      </c>
      <c r="F808" t="str">
        <f>IFERROR(__xludf.DUMMYFUNCTION("""COMPUTED_VALUE"""),"Tansakul")</f>
        <v>Tansakul</v>
      </c>
      <c r="G808" t="str">
        <f>IFERROR(__xludf.DUMMYFUNCTION("""COMPUTED_VALUE"""),"Julalak Tansakul")</f>
        <v>Julalak Tansakul</v>
      </c>
      <c r="H808" t="str">
        <f>IFERROR(__xludf.DUMMYFUNCTION("""COMPUTED_VALUE"""),"นางสาว")</f>
        <v>นางสาว</v>
      </c>
      <c r="I808" t="str">
        <f>IFERROR(__xludf.DUMMYFUNCTION("""COMPUTED_VALUE"""),"จุฬาลักษณ์")</f>
        <v>จุฬาลักษณ์</v>
      </c>
      <c r="J808" t="str">
        <f>IFERROR(__xludf.DUMMYFUNCTION("""COMPUTED_VALUE"""),"ตันสกุล")</f>
        <v>ตันสกุล</v>
      </c>
      <c r="K808" t="str">
        <f>IFERROR(__xludf.DUMMYFUNCTION("""COMPUTED_VALUE"""),"จุฬาลักษณ์ ตันสกุล")</f>
        <v>จุฬาลักษณ์ ตันสกุล</v>
      </c>
      <c r="L808" t="str">
        <f>IFERROR(__xludf.DUMMYFUNCTION("""COMPUTED_VALUE"""),"Jaja/จ๊ะจ๋า")</f>
        <v>Jaja/จ๊ะจ๋า</v>
      </c>
      <c r="M808" t="str">
        <f>IFERROR(__xludf.DUMMYFUNCTION("""COMPUTED_VALUE"""),"Cabin Crew - HKT")</f>
        <v>Cabin Crew - HKT</v>
      </c>
      <c r="N808" t="str">
        <f>IFERROR(__xludf.DUMMYFUNCTION("""COMPUTED_VALUE"""),"HKT")</f>
        <v>HKT</v>
      </c>
      <c r="O808" s="145" t="str">
        <f>IFERROR(__xludf.DUMMYFUNCTION("""COMPUTED_VALUE"""),"Kor Home")</f>
        <v>Kor Home</v>
      </c>
      <c r="P808" t="str">
        <f>IFERROR(__xludf.DUMMYFUNCTION("""COMPUTED_VALUE"""),"V/LWP")</f>
        <v>V/LWP</v>
      </c>
      <c r="R808" s="143">
        <f>IFERROR(__xludf.DUMMYFUNCTION("""COMPUTED_VALUE"""),33214.0)</f>
        <v>33214</v>
      </c>
      <c r="S808" s="146" t="str">
        <f>IFERROR(__xludf.DUMMYFUNCTION("""COMPUTED_VALUE"""),"089-6815094")</f>
        <v>089-6815094</v>
      </c>
      <c r="T808" s="147" t="str">
        <f>IFERROR(__xludf.DUMMYFUNCTION("""COMPUTED_VALUE"""),"1839900-20-9550")</f>
        <v>1839900-20-9550</v>
      </c>
      <c r="U808" t="str">
        <f>IFERROR(__xludf.DUMMYFUNCTION("""COMPUTED_VALUE"""),"AD0594238")</f>
        <v>AD0594238</v>
      </c>
      <c r="V808" s="148">
        <f>IFERROR(__xludf.DUMMYFUNCTION("""COMPUTED_VALUE"""),44938.0)</f>
        <v>44938</v>
      </c>
      <c r="W808" s="148">
        <f>IFERROR(__xludf.DUMMYFUNCTION("""COMPUTED_VALUE"""),48590.0)</f>
        <v>48590</v>
      </c>
      <c r="X808" s="149">
        <f>IFERROR(__xludf.DUMMYFUNCTION("""COMPUTED_VALUE"""),48406.0)</f>
        <v>48406</v>
      </c>
      <c r="Y808" t="str">
        <f>IFERROR(__xludf.DUMMYFUNCTION("""COMPUTED_VALUE"""),"ปลอดภัย")</f>
        <v>ปลอดภัย</v>
      </c>
      <c r="Z808" t="str">
        <f>IFERROR(__xludf.DUMMYFUNCTION("""COMPUTED_VALUE"""),"Phuket Province")</f>
        <v>Phuket Province</v>
      </c>
      <c r="AA808" t="str">
        <f>IFERROR(__xludf.DUMMYFUNCTION("""COMPUTED_VALUE"""),"Bangkok")</f>
        <v>Bangkok</v>
      </c>
      <c r="AB808" t="str">
        <f>IFERROR(__xludf.DUMMYFUNCTION("""COMPUTED_VALUE"""),"089-727-1448")</f>
        <v>089-727-1448</v>
      </c>
      <c r="AC808" t="str">
        <f>IFERROR(__xludf.DUMMYFUNCTION("""COMPUTED_VALUE"""),"Mayuree Tansakul")</f>
        <v>Mayuree Tansakul</v>
      </c>
      <c r="AD808" t="str">
        <f>IFERROR(__xludf.DUMMYFUNCTION("""COMPUTED_VALUE"""),"julalakt@airasia.com")</f>
        <v>julalakt@airasia.com</v>
      </c>
    </row>
    <row r="809">
      <c r="A809" s="142">
        <f>IFERROR(__xludf.DUMMYFUNCTION("""COMPUTED_VALUE"""),88.0)</f>
        <v>88</v>
      </c>
      <c r="B809" t="str">
        <f>IFERROR(__xludf.DUMMYFUNCTION("""COMPUTED_VALUE"""),"TAA7828")</f>
        <v>TAA7828</v>
      </c>
      <c r="C809">
        <f>IFERROR(__xludf.DUMMYFUNCTION("""COMPUTED_VALUE"""),1018791.0)</f>
        <v>1018791</v>
      </c>
      <c r="D809" t="str">
        <f>IFERROR(__xludf.DUMMYFUNCTION("""COMPUTED_VALUE"""),"Mr.")</f>
        <v>Mr.</v>
      </c>
      <c r="E809" t="str">
        <f>IFERROR(__xludf.DUMMYFUNCTION("""COMPUTED_VALUE"""),"Kitdanai")</f>
        <v>Kitdanai</v>
      </c>
      <c r="F809" t="str">
        <f>IFERROR(__xludf.DUMMYFUNCTION("""COMPUTED_VALUE"""),"Tiantanawit")</f>
        <v>Tiantanawit</v>
      </c>
      <c r="G809" t="str">
        <f>IFERROR(__xludf.DUMMYFUNCTION("""COMPUTED_VALUE"""),"Kitdanai Tiantanawit")</f>
        <v>Kitdanai Tiantanawit</v>
      </c>
      <c r="H809" t="str">
        <f>IFERROR(__xludf.DUMMYFUNCTION("""COMPUTED_VALUE"""),"นาย")</f>
        <v>นาย</v>
      </c>
      <c r="I809" t="str">
        <f>IFERROR(__xludf.DUMMYFUNCTION("""COMPUTED_VALUE"""),"กิตติ์ดนัย")</f>
        <v>กิตติ์ดนัย</v>
      </c>
      <c r="J809" t="str">
        <f>IFERROR(__xludf.DUMMYFUNCTION("""COMPUTED_VALUE"""),"เธียรธนาวิทย์")</f>
        <v>เธียรธนาวิทย์</v>
      </c>
      <c r="K809" t="str">
        <f>IFERROR(__xludf.DUMMYFUNCTION("""COMPUTED_VALUE"""),"กิตติ์ดนัย เธียรธนาวิทย์")</f>
        <v>กิตติ์ดนัย เธียรธนาวิทย์</v>
      </c>
      <c r="L809" t="str">
        <f>IFERROR(__xludf.DUMMYFUNCTION("""COMPUTED_VALUE"""),"Prince ปริ้นซ์")</f>
        <v>Prince ปริ้นซ์</v>
      </c>
      <c r="M809" t="str">
        <f>IFERROR(__xludf.DUMMYFUNCTION("""COMPUTED_VALUE"""),"Cabin Crew")</f>
        <v>Cabin Crew</v>
      </c>
      <c r="N809" t="str">
        <f>IFERROR(__xludf.DUMMYFUNCTION("""COMPUTED_VALUE"""),"DMK")</f>
        <v>DMK</v>
      </c>
      <c r="O809" s="145" t="str">
        <f>IFERROR(__xludf.DUMMYFUNCTION("""COMPUTED_VALUE"""),"Toffy Home")</f>
        <v>Toffy Home</v>
      </c>
      <c r="P809" t="str">
        <f>IFERROR(__xludf.DUMMYFUNCTION("""COMPUTED_VALUE"""),"Active")</f>
        <v>Active</v>
      </c>
      <c r="R809" s="143">
        <f>IFERROR(__xludf.DUMMYFUNCTION("""COMPUTED_VALUE"""),33299.0)</f>
        <v>33299</v>
      </c>
      <c r="S809" s="146" t="str">
        <f>IFERROR(__xludf.DUMMYFUNCTION("""COMPUTED_VALUE"""),"081-995-1500")</f>
        <v>081-995-1500</v>
      </c>
      <c r="T809" s="147" t="str">
        <f>IFERROR(__xludf.DUMMYFUNCTION("""COMPUTED_VALUE"""),"1-1027-00083-32-3")</f>
        <v>1-1027-00083-32-3</v>
      </c>
      <c r="U809" t="str">
        <f>IFERROR(__xludf.DUMMYFUNCTION("""COMPUTED_VALUE"""),"AC2691766")</f>
        <v>AC2691766</v>
      </c>
      <c r="V809" s="148">
        <f>IFERROR(__xludf.DUMMYFUNCTION("""COMPUTED_VALUE"""),44585.0)</f>
        <v>44585</v>
      </c>
      <c r="W809" s="148">
        <f>IFERROR(__xludf.DUMMYFUNCTION("""COMPUTED_VALUE"""),48236.0)</f>
        <v>48236</v>
      </c>
      <c r="X809" s="149">
        <f>IFERROR(__xludf.DUMMYFUNCTION("""COMPUTED_VALUE"""),48052.0)</f>
        <v>48052</v>
      </c>
      <c r="Y809" t="str">
        <f>IFERROR(__xludf.DUMMYFUNCTION("""COMPUTED_VALUE"""),"ปลอดภัย")</f>
        <v>ปลอดภัย</v>
      </c>
      <c r="Z809" t="str">
        <f>IFERROR(__xludf.DUMMYFUNCTION("""COMPUTED_VALUE"""),"Bangkok")</f>
        <v>Bangkok</v>
      </c>
      <c r="AA809" t="str">
        <f>IFERROR(__xludf.DUMMYFUNCTION("""COMPUTED_VALUE"""),"Bangkok")</f>
        <v>Bangkok</v>
      </c>
      <c r="AB809" t="str">
        <f>IFERROR(__xludf.DUMMYFUNCTION("""COMPUTED_VALUE"""),"083-715-5331")</f>
        <v>083-715-5331</v>
      </c>
      <c r="AC809" t="str">
        <f>IFERROR(__xludf.DUMMYFUNCTION("""COMPUTED_VALUE"""),"Pueng")</f>
        <v>Pueng</v>
      </c>
      <c r="AD809" t="str">
        <f>IFERROR(__xludf.DUMMYFUNCTION("""COMPUTED_VALUE"""),"kitdanait@airasia.com")</f>
        <v>kitdanait@airasia.com</v>
      </c>
    </row>
    <row r="810">
      <c r="A810" s="142">
        <f>IFERROR(__xludf.DUMMYFUNCTION("""COMPUTED_VALUE"""),88.0)</f>
        <v>88</v>
      </c>
      <c r="B810" t="str">
        <f>IFERROR(__xludf.DUMMYFUNCTION("""COMPUTED_VALUE"""),"TAA7761")</f>
        <v>TAA7761</v>
      </c>
      <c r="C810">
        <f>IFERROR(__xludf.DUMMYFUNCTION("""COMPUTED_VALUE"""),1018793.0)</f>
        <v>1018793</v>
      </c>
      <c r="D810" t="str">
        <f>IFERROR(__xludf.DUMMYFUNCTION("""COMPUTED_VALUE"""),"Ms.")</f>
        <v>Ms.</v>
      </c>
      <c r="E810" t="str">
        <f>IFERROR(__xludf.DUMMYFUNCTION("""COMPUTED_VALUE"""),"Papassarin(Korrachat)")</f>
        <v>Papassarin(Korrachat)</v>
      </c>
      <c r="F810" t="str">
        <f>IFERROR(__xludf.DUMMYFUNCTION("""COMPUTED_VALUE"""),"Lertbussarasit(Koytaranon)")</f>
        <v>Lertbussarasit(Koytaranon)</v>
      </c>
      <c r="G810" t="str">
        <f>IFERROR(__xludf.DUMMYFUNCTION("""COMPUTED_VALUE"""),"Papassarin Lertbussarasit")</f>
        <v>Papassarin Lertbussarasit</v>
      </c>
      <c r="H810" t="str">
        <f>IFERROR(__xludf.DUMMYFUNCTION("""COMPUTED_VALUE"""),"นางสาว")</f>
        <v>นางสาว</v>
      </c>
      <c r="I810" t="str">
        <f>IFERROR(__xludf.DUMMYFUNCTION("""COMPUTED_VALUE"""),"ปภัสรินทร์(กรฉัตร)")</f>
        <v>ปภัสรินทร์(กรฉัตร)</v>
      </c>
      <c r="J810" t="str">
        <f>IFERROR(__xludf.DUMMYFUNCTION("""COMPUTED_VALUE"""),"เลิศบุศราสิทธิ์(โกยธรานนท์)")</f>
        <v>เลิศบุศราสิทธิ์(โกยธรานนท์)</v>
      </c>
      <c r="K810" t="str">
        <f>IFERROR(__xludf.DUMMYFUNCTION("""COMPUTED_VALUE"""),"ปภัสรินทร์ เลิศบุศราสิทธิ์")</f>
        <v>ปภัสรินทร์ เลิศบุศราสิทธิ์</v>
      </c>
      <c r="L810" t="str">
        <f>IFERROR(__xludf.DUMMYFUNCTION("""COMPUTED_VALUE"""),"Gammam/แก้มแหม่ม")</f>
        <v>Gammam/แก้มแหม่ม</v>
      </c>
      <c r="M810" t="str">
        <f>IFERROR(__xludf.DUMMYFUNCTION("""COMPUTED_VALUE"""),"Cabin Crew - HKT")</f>
        <v>Cabin Crew - HKT</v>
      </c>
      <c r="N810" t="str">
        <f>IFERROR(__xludf.DUMMYFUNCTION("""COMPUTED_VALUE"""),"HKT")</f>
        <v>HKT</v>
      </c>
      <c r="O810" s="145" t="str">
        <f>IFERROR(__xludf.DUMMYFUNCTION("""COMPUTED_VALUE"""),"Kor Home")</f>
        <v>Kor Home</v>
      </c>
      <c r="P810" t="str">
        <f>IFERROR(__xludf.DUMMYFUNCTION("""COMPUTED_VALUE"""),"Active")</f>
        <v>Active</v>
      </c>
      <c r="R810" s="143">
        <f>IFERROR(__xludf.DUMMYFUNCTION("""COMPUTED_VALUE"""),33217.0)</f>
        <v>33217</v>
      </c>
      <c r="S810" s="146" t="str">
        <f>IFERROR(__xludf.DUMMYFUNCTION("""COMPUTED_VALUE"""),"095-4256996")</f>
        <v>095-4256996</v>
      </c>
      <c r="T810" s="147" t="str">
        <f>IFERROR(__xludf.DUMMYFUNCTION("""COMPUTED_VALUE"""),"1839900-21-0612")</f>
        <v>1839900-21-0612</v>
      </c>
      <c r="U810" t="str">
        <f>IFERROR(__xludf.DUMMYFUNCTION("""COMPUTED_VALUE"""),"AC2702650")</f>
        <v>AC2702650</v>
      </c>
      <c r="V810" s="148">
        <f>IFERROR(__xludf.DUMMYFUNCTION("""COMPUTED_VALUE"""),44594.0)</f>
        <v>44594</v>
      </c>
      <c r="W810" s="148">
        <f>IFERROR(__xludf.DUMMYFUNCTION("""COMPUTED_VALUE"""),48245.0)</f>
        <v>48245</v>
      </c>
      <c r="X810" s="149">
        <f>IFERROR(__xludf.DUMMYFUNCTION("""COMPUTED_VALUE"""),48061.0)</f>
        <v>48061</v>
      </c>
      <c r="Y810" t="str">
        <f>IFERROR(__xludf.DUMMYFUNCTION("""COMPUTED_VALUE"""),"ปลอดภัย")</f>
        <v>ปลอดภัย</v>
      </c>
      <c r="Z810" t="str">
        <f>IFERROR(__xludf.DUMMYFUNCTION("""COMPUTED_VALUE"""),"Phuket Province")</f>
        <v>Phuket Province</v>
      </c>
      <c r="AA810" t="str">
        <f>IFERROR(__xludf.DUMMYFUNCTION("""COMPUTED_VALUE"""),"Phuket")</f>
        <v>Phuket</v>
      </c>
      <c r="AB810" t="str">
        <f>IFERROR(__xludf.DUMMYFUNCTION("""COMPUTED_VALUE"""),"061-645-5765")</f>
        <v>061-645-5765</v>
      </c>
      <c r="AC810" t="str">
        <f>IFERROR(__xludf.DUMMYFUNCTION("""COMPUTED_VALUE"""),"Manit Koytaranon")</f>
        <v>Manit Koytaranon</v>
      </c>
      <c r="AD810" t="str">
        <f>IFERROR(__xludf.DUMMYFUNCTION("""COMPUTED_VALUE"""),"papassarinl@airasia.com")</f>
        <v>papassarinl@airasia.com</v>
      </c>
    </row>
    <row r="811">
      <c r="A811" s="142">
        <f>IFERROR(__xludf.DUMMYFUNCTION("""COMPUTED_VALUE"""),88.0)</f>
        <v>88</v>
      </c>
      <c r="B811" t="str">
        <f>IFERROR(__xludf.DUMMYFUNCTION("""COMPUTED_VALUE"""),"TAA7758")</f>
        <v>TAA7758</v>
      </c>
      <c r="C811">
        <f>IFERROR(__xludf.DUMMYFUNCTION("""COMPUTED_VALUE"""),1018794.0)</f>
        <v>1018794</v>
      </c>
      <c r="D811" t="str">
        <f>IFERROR(__xludf.DUMMYFUNCTION("""COMPUTED_VALUE"""),"Ms.")</f>
        <v>Ms.</v>
      </c>
      <c r="E811" t="str">
        <f>IFERROR(__xludf.DUMMYFUNCTION("""COMPUTED_VALUE"""),"Kotchakron")</f>
        <v>Kotchakron</v>
      </c>
      <c r="F811" t="str">
        <f>IFERROR(__xludf.DUMMYFUNCTION("""COMPUTED_VALUE"""),"Chimnoi")</f>
        <v>Chimnoi</v>
      </c>
      <c r="G811" t="str">
        <f>IFERROR(__xludf.DUMMYFUNCTION("""COMPUTED_VALUE"""),"Kotchakron Chimnoi")</f>
        <v>Kotchakron Chimnoi</v>
      </c>
      <c r="H811" t="str">
        <f>IFERROR(__xludf.DUMMYFUNCTION("""COMPUTED_VALUE"""),"นางสาว")</f>
        <v>นางสาว</v>
      </c>
      <c r="I811" t="str">
        <f>IFERROR(__xludf.DUMMYFUNCTION("""COMPUTED_VALUE"""),"กชกร")</f>
        <v>กชกร</v>
      </c>
      <c r="J811" t="str">
        <f>IFERROR(__xludf.DUMMYFUNCTION("""COMPUTED_VALUE"""),"ฉิมน้อย")</f>
        <v>ฉิมน้อย</v>
      </c>
      <c r="K811" t="str">
        <f>IFERROR(__xludf.DUMMYFUNCTION("""COMPUTED_VALUE"""),"กชกร ฉิมน้อย")</f>
        <v>กชกร ฉิมน้อย</v>
      </c>
      <c r="L811" t="str">
        <f>IFERROR(__xludf.DUMMYFUNCTION("""COMPUTED_VALUE"""),"Fong/ฟอง")</f>
        <v>Fong/ฟอง</v>
      </c>
      <c r="M811" t="str">
        <f>IFERROR(__xludf.DUMMYFUNCTION("""COMPUTED_VALUE"""),"Cabin Crew")</f>
        <v>Cabin Crew</v>
      </c>
      <c r="N811" t="str">
        <f>IFERROR(__xludf.DUMMYFUNCTION("""COMPUTED_VALUE"""),"DMK")</f>
        <v>DMK</v>
      </c>
      <c r="O811" s="145" t="str">
        <f>IFERROR(__xludf.DUMMYFUNCTION("""COMPUTED_VALUE"""),"Toffy Home")</f>
        <v>Toffy Home</v>
      </c>
      <c r="P811" t="str">
        <f>IFERROR(__xludf.DUMMYFUNCTION("""COMPUTED_VALUE"""),"Active")</f>
        <v>Active</v>
      </c>
      <c r="R811" s="143">
        <f>IFERROR(__xludf.DUMMYFUNCTION("""COMPUTED_VALUE"""),34057.0)</f>
        <v>34057</v>
      </c>
      <c r="S811" s="146" t="str">
        <f>IFERROR(__xludf.DUMMYFUNCTION("""COMPUTED_VALUE"""),"091-0106148")</f>
        <v>091-0106148</v>
      </c>
      <c r="T811" s="147" t="str">
        <f>IFERROR(__xludf.DUMMYFUNCTION("""COMPUTED_VALUE"""),"1103701-05-6096")</f>
        <v>1103701-05-6096</v>
      </c>
      <c r="U811" t="str">
        <f>IFERROR(__xludf.DUMMYFUNCTION("""COMPUTED_VALUE"""),"AD1122652")</f>
        <v>AD1122652</v>
      </c>
      <c r="V811" s="148">
        <f>IFERROR(__xludf.DUMMYFUNCTION("""COMPUTED_VALUE"""),45110.0)</f>
        <v>45110</v>
      </c>
      <c r="W811" s="148">
        <f>IFERROR(__xludf.DUMMYFUNCTION("""COMPUTED_VALUE"""),48762.0)</f>
        <v>48762</v>
      </c>
      <c r="X811" s="149">
        <f>IFERROR(__xludf.DUMMYFUNCTION("""COMPUTED_VALUE"""),48581.0)</f>
        <v>48581</v>
      </c>
      <c r="Y811" t="str">
        <f>IFERROR(__xludf.DUMMYFUNCTION("""COMPUTED_VALUE"""),"ปลอดภัย")</f>
        <v>ปลอดภัย</v>
      </c>
      <c r="Z811" t="str">
        <f>IFERROR(__xludf.DUMMYFUNCTION("""COMPUTED_VALUE"""),"Bangkok")</f>
        <v>Bangkok</v>
      </c>
      <c r="AA811" t="str">
        <f>IFERROR(__xludf.DUMMYFUNCTION("""COMPUTED_VALUE"""),"Bangkok")</f>
        <v>Bangkok</v>
      </c>
      <c r="AB811" t="str">
        <f>IFERROR(__xludf.DUMMYFUNCTION("""COMPUTED_VALUE"""),"086-793-4262")</f>
        <v>086-793-4262</v>
      </c>
      <c r="AC811" t="str">
        <f>IFERROR(__xludf.DUMMYFUNCTION("""COMPUTED_VALUE"""),"(Sister)")</f>
        <v>(Sister)</v>
      </c>
      <c r="AD811" t="str">
        <f>IFERROR(__xludf.DUMMYFUNCTION("""COMPUTED_VALUE"""),"kotchakronc@airasia.com")</f>
        <v>kotchakronc@airasia.com</v>
      </c>
    </row>
    <row r="812">
      <c r="A812" s="142">
        <f>IFERROR(__xludf.DUMMYFUNCTION("""COMPUTED_VALUE"""),88.0)</f>
        <v>88</v>
      </c>
      <c r="B812" t="str">
        <f>IFERROR(__xludf.DUMMYFUNCTION("""COMPUTED_VALUE"""),"TAA7759")</f>
        <v>TAA7759</v>
      </c>
      <c r="C812">
        <f>IFERROR(__xludf.DUMMYFUNCTION("""COMPUTED_VALUE"""),1018801.0)</f>
        <v>1018801</v>
      </c>
      <c r="D812" t="str">
        <f>IFERROR(__xludf.DUMMYFUNCTION("""COMPUTED_VALUE"""),"Mr.")</f>
        <v>Mr.</v>
      </c>
      <c r="E812" t="str">
        <f>IFERROR(__xludf.DUMMYFUNCTION("""COMPUTED_VALUE"""),"Nattapong")</f>
        <v>Nattapong</v>
      </c>
      <c r="F812" t="str">
        <f>IFERROR(__xludf.DUMMYFUNCTION("""COMPUTED_VALUE"""),"Lekkhum")</f>
        <v>Lekkhum</v>
      </c>
      <c r="G812" t="str">
        <f>IFERROR(__xludf.DUMMYFUNCTION("""COMPUTED_VALUE"""),"Nattapong Lekkhum")</f>
        <v>Nattapong Lekkhum</v>
      </c>
      <c r="H812" t="str">
        <f>IFERROR(__xludf.DUMMYFUNCTION("""COMPUTED_VALUE"""),"นาย")</f>
        <v>นาย</v>
      </c>
      <c r="I812" t="str">
        <f>IFERROR(__xludf.DUMMYFUNCTION("""COMPUTED_VALUE"""),"ณัฐพงศ์")</f>
        <v>ณัฐพงศ์</v>
      </c>
      <c r="J812" t="str">
        <f>IFERROR(__xludf.DUMMYFUNCTION("""COMPUTED_VALUE"""),"เลขขำ")</f>
        <v>เลขขำ</v>
      </c>
      <c r="K812" t="str">
        <f>IFERROR(__xludf.DUMMYFUNCTION("""COMPUTED_VALUE"""),"ณัฐพงศ์ เลขขำ")</f>
        <v>ณัฐพงศ์ เลขขำ</v>
      </c>
      <c r="L812" t="str">
        <f>IFERROR(__xludf.DUMMYFUNCTION("""COMPUTED_VALUE"""),"Pond/ปอนด์")</f>
        <v>Pond/ปอนด์</v>
      </c>
      <c r="M812" t="str">
        <f>IFERROR(__xludf.DUMMYFUNCTION("""COMPUTED_VALUE"""),"Cabin Crew - HKT")</f>
        <v>Cabin Crew - HKT</v>
      </c>
      <c r="N812" t="str">
        <f>IFERROR(__xludf.DUMMYFUNCTION("""COMPUTED_VALUE"""),"HKT")</f>
        <v>HKT</v>
      </c>
      <c r="O812" s="145" t="str">
        <f>IFERROR(__xludf.DUMMYFUNCTION("""COMPUTED_VALUE"""),"Kor Home")</f>
        <v>Kor Home</v>
      </c>
      <c r="P812" t="str">
        <f>IFERROR(__xludf.DUMMYFUNCTION("""COMPUTED_VALUE"""),"Active")</f>
        <v>Active</v>
      </c>
      <c r="R812" s="143">
        <f>IFERROR(__xludf.DUMMYFUNCTION("""COMPUTED_VALUE"""),34088.0)</f>
        <v>34088</v>
      </c>
      <c r="S812" s="146" t="str">
        <f>IFERROR(__xludf.DUMMYFUNCTION("""COMPUTED_VALUE"""),"082-4213058")</f>
        <v>082-4213058</v>
      </c>
      <c r="T812" s="147" t="str">
        <f>IFERROR(__xludf.DUMMYFUNCTION("""COMPUTED_VALUE"""),"1800100-21-4976")</f>
        <v>1800100-21-4976</v>
      </c>
      <c r="U812" t="str">
        <f>IFERROR(__xludf.DUMMYFUNCTION("""COMPUTED_VALUE"""),"AC2230089")</f>
        <v>AC2230089</v>
      </c>
      <c r="V812" s="148">
        <f>IFERROR(__xludf.DUMMYFUNCTION("""COMPUTED_VALUE"""),44280.0)</f>
        <v>44280</v>
      </c>
      <c r="W812" s="148">
        <f>IFERROR(__xludf.DUMMYFUNCTION("""COMPUTED_VALUE"""),47931.0)</f>
        <v>47931</v>
      </c>
      <c r="X812" s="149">
        <f>IFERROR(__xludf.DUMMYFUNCTION("""COMPUTED_VALUE"""),47750.0)</f>
        <v>47750</v>
      </c>
      <c r="Y812" t="str">
        <f>IFERROR(__xludf.DUMMYFUNCTION("""COMPUTED_VALUE"""),"ปลอดภัย")</f>
        <v>ปลอดภัย</v>
      </c>
      <c r="Z812" t="str">
        <f>IFERROR(__xludf.DUMMYFUNCTION("""COMPUTED_VALUE"""),"Nakhon Si Thammarat Province")</f>
        <v>Nakhon Si Thammarat Province</v>
      </c>
      <c r="AA812" t="str">
        <f>IFERROR(__xludf.DUMMYFUNCTION("""COMPUTED_VALUE"""),"Bangkok")</f>
        <v>Bangkok</v>
      </c>
      <c r="AB812" t="str">
        <f>IFERROR(__xludf.DUMMYFUNCTION("""COMPUTED_VALUE"""),"084-059-2988")</f>
        <v>084-059-2988</v>
      </c>
      <c r="AC812" t="str">
        <f>IFERROR(__xludf.DUMMYFUNCTION("""COMPUTED_VALUE"""),"Anong Lekkhum")</f>
        <v>Anong Lekkhum</v>
      </c>
      <c r="AD812" t="str">
        <f>IFERROR(__xludf.DUMMYFUNCTION("""COMPUTED_VALUE"""),"nattapongl@airasia.com")</f>
        <v>nattapongl@airasia.com</v>
      </c>
    </row>
    <row r="813">
      <c r="A813" s="142">
        <f>IFERROR(__xludf.DUMMYFUNCTION("""COMPUTED_VALUE"""),88.0)</f>
        <v>88</v>
      </c>
      <c r="B813" t="str">
        <f>IFERROR(__xludf.DUMMYFUNCTION("""COMPUTED_VALUE"""),"TAA7833")</f>
        <v>TAA7833</v>
      </c>
      <c r="C813">
        <f>IFERROR(__xludf.DUMMYFUNCTION("""COMPUTED_VALUE"""),1018803.0)</f>
        <v>1018803</v>
      </c>
      <c r="D813" t="str">
        <f>IFERROR(__xludf.DUMMYFUNCTION("""COMPUTED_VALUE"""),"Ms.")</f>
        <v>Ms.</v>
      </c>
      <c r="E813" t="str">
        <f>IFERROR(__xludf.DUMMYFUNCTION("""COMPUTED_VALUE"""),"Natthaphon")</f>
        <v>Natthaphon</v>
      </c>
      <c r="F813" t="str">
        <f>IFERROR(__xludf.DUMMYFUNCTION("""COMPUTED_VALUE"""),"Poosomchit")</f>
        <v>Poosomchit</v>
      </c>
      <c r="G813" t="str">
        <f>IFERROR(__xludf.DUMMYFUNCTION("""COMPUTED_VALUE"""),"Natthaphon Poosomchit")</f>
        <v>Natthaphon Poosomchit</v>
      </c>
      <c r="H813" t="str">
        <f>IFERROR(__xludf.DUMMYFUNCTION("""COMPUTED_VALUE"""),"นางสาว")</f>
        <v>นางสาว</v>
      </c>
      <c r="I813" t="str">
        <f>IFERROR(__xludf.DUMMYFUNCTION("""COMPUTED_VALUE"""),"ณัฏฐาพร")</f>
        <v>ณัฏฐาพร</v>
      </c>
      <c r="J813" t="str">
        <f>IFERROR(__xludf.DUMMYFUNCTION("""COMPUTED_VALUE"""),"พูสมจิตต์")</f>
        <v>พูสมจิตต์</v>
      </c>
      <c r="K813" t="str">
        <f>IFERROR(__xludf.DUMMYFUNCTION("""COMPUTED_VALUE"""),"ณัฏฐาพร พูสมจิตต์")</f>
        <v>ณัฏฐาพร พูสมจิตต์</v>
      </c>
      <c r="L813" t="str">
        <f>IFERROR(__xludf.DUMMYFUNCTION("""COMPUTED_VALUE"""),"nat")</f>
        <v>nat</v>
      </c>
      <c r="M813" t="str">
        <f>IFERROR(__xludf.DUMMYFUNCTION("""COMPUTED_VALUE"""),"Cabin Crew")</f>
        <v>Cabin Crew</v>
      </c>
      <c r="N813" t="str">
        <f>IFERROR(__xludf.DUMMYFUNCTION("""COMPUTED_VALUE"""),"DMK")</f>
        <v>DMK</v>
      </c>
      <c r="O813" s="145" t="str">
        <f>IFERROR(__xludf.DUMMYFUNCTION("""COMPUTED_VALUE"""),"Toffy Home")</f>
        <v>Toffy Home</v>
      </c>
      <c r="P813" t="str">
        <f>IFERROR(__xludf.DUMMYFUNCTION("""COMPUTED_VALUE"""),"Active")</f>
        <v>Active</v>
      </c>
      <c r="R813" s="143">
        <f>IFERROR(__xludf.DUMMYFUNCTION("""COMPUTED_VALUE"""),33514.0)</f>
        <v>33514</v>
      </c>
      <c r="S813" s="146" t="str">
        <f>IFERROR(__xludf.DUMMYFUNCTION("""COMPUTED_VALUE"""),"080-069-6091")</f>
        <v>080-069-6091</v>
      </c>
      <c r="T813" s="147" t="str">
        <f>IFERROR(__xludf.DUMMYFUNCTION("""COMPUTED_VALUE"""),"1-1018-00497-81-1")</f>
        <v>1-1018-00497-81-1</v>
      </c>
      <c r="U813" t="str">
        <f>IFERROR(__xludf.DUMMYFUNCTION("""COMPUTED_VALUE"""),"AD2148573")</f>
        <v>AD2148573</v>
      </c>
      <c r="V813" s="148">
        <f>IFERROR(__xludf.DUMMYFUNCTION("""COMPUTED_VALUE"""),45776.0)</f>
        <v>45776</v>
      </c>
      <c r="W813" s="148">
        <f>IFERROR(__xludf.DUMMYFUNCTION("""COMPUTED_VALUE"""),49427.0)</f>
        <v>49427</v>
      </c>
      <c r="X813" s="149">
        <f>IFERROR(__xludf.DUMMYFUNCTION("""COMPUTED_VALUE"""),49245.0)</f>
        <v>49245</v>
      </c>
      <c r="Y813" t="str">
        <f>IFERROR(__xludf.DUMMYFUNCTION("""COMPUTED_VALUE"""),"ปลอดภัย")</f>
        <v>ปลอดภัย</v>
      </c>
      <c r="Z813" t="str">
        <f>IFERROR(__xludf.DUMMYFUNCTION("""COMPUTED_VALUE"""),"Bangkok")</f>
        <v>Bangkok</v>
      </c>
      <c r="AA813" t="str">
        <f>IFERROR(__xludf.DUMMYFUNCTION("""COMPUTED_VALUE"""),"Bangkok")</f>
        <v>Bangkok</v>
      </c>
      <c r="AD813" t="str">
        <f>IFERROR(__xludf.DUMMYFUNCTION("""COMPUTED_VALUE"""),"natthaphonm@airasia.com")</f>
        <v>natthaphonm@airasia.com</v>
      </c>
    </row>
    <row r="814">
      <c r="A814" s="142">
        <f>IFERROR(__xludf.DUMMYFUNCTION("""COMPUTED_VALUE"""),88.0)</f>
        <v>88</v>
      </c>
      <c r="B814" t="str">
        <f>IFERROR(__xludf.DUMMYFUNCTION("""COMPUTED_VALUE"""),"TAA7831")</f>
        <v>TAA7831</v>
      </c>
      <c r="C814">
        <f>IFERROR(__xludf.DUMMYFUNCTION("""COMPUTED_VALUE"""),1018804.0)</f>
        <v>1018804</v>
      </c>
      <c r="D814" t="str">
        <f>IFERROR(__xludf.DUMMYFUNCTION("""COMPUTED_VALUE"""),"Mr.")</f>
        <v>Mr.</v>
      </c>
      <c r="E814" t="str">
        <f>IFERROR(__xludf.DUMMYFUNCTION("""COMPUTED_VALUE"""),"Noppadol")</f>
        <v>Noppadol</v>
      </c>
      <c r="F814" t="str">
        <f>IFERROR(__xludf.DUMMYFUNCTION("""COMPUTED_VALUE"""),"Utthiya")</f>
        <v>Utthiya</v>
      </c>
      <c r="G814" t="str">
        <f>IFERROR(__xludf.DUMMYFUNCTION("""COMPUTED_VALUE"""),"Noppadol Utthiya")</f>
        <v>Noppadol Utthiya</v>
      </c>
      <c r="H814" t="str">
        <f>IFERROR(__xludf.DUMMYFUNCTION("""COMPUTED_VALUE"""),"นาย")</f>
        <v>นาย</v>
      </c>
      <c r="I814" t="str">
        <f>IFERROR(__xludf.DUMMYFUNCTION("""COMPUTED_VALUE"""),"นพดล")</f>
        <v>นพดล</v>
      </c>
      <c r="J814" t="str">
        <f>IFERROR(__xludf.DUMMYFUNCTION("""COMPUTED_VALUE"""),"อุทธิยา")</f>
        <v>อุทธิยา</v>
      </c>
      <c r="K814" t="str">
        <f>IFERROR(__xludf.DUMMYFUNCTION("""COMPUTED_VALUE"""),"นพดล อุทธิยา")</f>
        <v>นพดล อุทธิยา</v>
      </c>
      <c r="L814" t="str">
        <f>IFERROR(__xludf.DUMMYFUNCTION("""COMPUTED_VALUE"""),"Ton ต้น")</f>
        <v>Ton ต้น</v>
      </c>
      <c r="M814" t="str">
        <f>IFERROR(__xludf.DUMMYFUNCTION("""COMPUTED_VALUE"""),"Senior Cabin Crew - BKK")</f>
        <v>Senior Cabin Crew - BKK</v>
      </c>
      <c r="N814" t="str">
        <f>IFERROR(__xludf.DUMMYFUNCTION("""COMPUTED_VALUE"""),"BKK")</f>
        <v>BKK</v>
      </c>
      <c r="O814" s="145" t="str">
        <f>IFERROR(__xludf.DUMMYFUNCTION("""COMPUTED_VALUE"""),"Nhui Home")</f>
        <v>Nhui Home</v>
      </c>
      <c r="P814" t="str">
        <f>IFERROR(__xludf.DUMMYFUNCTION("""COMPUTED_VALUE"""),"Active/V/DMK")</f>
        <v>Active/V/DMK</v>
      </c>
      <c r="R814" s="143">
        <f>IFERROR(__xludf.DUMMYFUNCTION("""COMPUTED_VALUE"""),33615.0)</f>
        <v>33615</v>
      </c>
      <c r="S814" s="146" t="str">
        <f>IFERROR(__xludf.DUMMYFUNCTION("""COMPUTED_VALUE"""),"090-465-2961")</f>
        <v>090-465-2961</v>
      </c>
      <c r="T814" s="147" t="str">
        <f>IFERROR(__xludf.DUMMYFUNCTION("""COMPUTED_VALUE"""),"1-1007-01463-86-1")</f>
        <v>1-1007-01463-86-1</v>
      </c>
      <c r="U814" t="str">
        <f>IFERROR(__xludf.DUMMYFUNCTION("""COMPUTED_VALUE"""),"AC3371870")</f>
        <v>AC3371870</v>
      </c>
      <c r="V814" s="148">
        <f>IFERROR(__xludf.DUMMYFUNCTION("""COMPUTED_VALUE"""),44728.0)</f>
        <v>44728</v>
      </c>
      <c r="W814" s="148">
        <f>IFERROR(__xludf.DUMMYFUNCTION("""COMPUTED_VALUE"""),48380.0)</f>
        <v>48380</v>
      </c>
      <c r="X814" s="149">
        <f>IFERROR(__xludf.DUMMYFUNCTION("""COMPUTED_VALUE"""),48197.0)</f>
        <v>48197</v>
      </c>
      <c r="Y814" t="str">
        <f>IFERROR(__xludf.DUMMYFUNCTION("""COMPUTED_VALUE"""),"ปลอดภัย")</f>
        <v>ปลอดภัย</v>
      </c>
      <c r="Z814" t="str">
        <f>IFERROR(__xludf.DUMMYFUNCTION("""COMPUTED_VALUE"""),"Bangkok")</f>
        <v>Bangkok</v>
      </c>
      <c r="AA814" t="str">
        <f>IFERROR(__xludf.DUMMYFUNCTION("""COMPUTED_VALUE"""),"Pathumthani")</f>
        <v>Pathumthani</v>
      </c>
      <c r="AB814" t="str">
        <f>IFERROR(__xludf.DUMMYFUNCTION("""COMPUTED_VALUE"""),"091-995-4642")</f>
        <v>091-995-4642</v>
      </c>
      <c r="AC814" t="str">
        <f>IFERROR(__xludf.DUMMYFUNCTION("""COMPUTED_VALUE"""),"Roumpon Ekatan")</f>
        <v>Roumpon Ekatan</v>
      </c>
      <c r="AD814" t="str">
        <f>IFERROR(__xludf.DUMMYFUNCTION("""COMPUTED_VALUE"""),"noppadolu@airasia.com")</f>
        <v>noppadolu@airasia.com</v>
      </c>
    </row>
    <row r="815">
      <c r="A815" s="142">
        <f>IFERROR(__xludf.DUMMYFUNCTION("""COMPUTED_VALUE"""),88.0)</f>
        <v>88</v>
      </c>
      <c r="B815" t="str">
        <f>IFERROR(__xludf.DUMMYFUNCTION("""COMPUTED_VALUE"""),"TAA7827")</f>
        <v>TAA7827</v>
      </c>
      <c r="C815">
        <f>IFERROR(__xludf.DUMMYFUNCTION("""COMPUTED_VALUE"""),1018806.0)</f>
        <v>1018806</v>
      </c>
      <c r="D815" t="str">
        <f>IFERROR(__xludf.DUMMYFUNCTION("""COMPUTED_VALUE"""),"Ms.")</f>
        <v>Ms.</v>
      </c>
      <c r="E815" t="str">
        <f>IFERROR(__xludf.DUMMYFUNCTION("""COMPUTED_VALUE"""),"Penrat")</f>
        <v>Penrat</v>
      </c>
      <c r="F815" t="str">
        <f>IFERROR(__xludf.DUMMYFUNCTION("""COMPUTED_VALUE"""),"Srinawakul")</f>
        <v>Srinawakul</v>
      </c>
      <c r="G815" t="str">
        <f>IFERROR(__xludf.DUMMYFUNCTION("""COMPUTED_VALUE"""),"Penrat Srinawakul")</f>
        <v>Penrat Srinawakul</v>
      </c>
      <c r="H815" t="str">
        <f>IFERROR(__xludf.DUMMYFUNCTION("""COMPUTED_VALUE"""),"นางสาว")</f>
        <v>นางสาว</v>
      </c>
      <c r="I815" t="str">
        <f>IFERROR(__xludf.DUMMYFUNCTION("""COMPUTED_VALUE"""),"เพ็ญรัตน์")</f>
        <v>เพ็ญรัตน์</v>
      </c>
      <c r="J815" t="str">
        <f>IFERROR(__xludf.DUMMYFUNCTION("""COMPUTED_VALUE"""),"ศรีนวกุล")</f>
        <v>ศรีนวกุล</v>
      </c>
      <c r="K815" t="str">
        <f>IFERROR(__xludf.DUMMYFUNCTION("""COMPUTED_VALUE"""),"เพ็ญรัตน์ ศรีนวกุล")</f>
        <v>เพ็ญรัตน์ ศรีนวกุล</v>
      </c>
      <c r="L815" t="str">
        <f>IFERROR(__xludf.DUMMYFUNCTION("""COMPUTED_VALUE"""),"Puping ภูพิงค์")</f>
        <v>Puping ภูพิงค์</v>
      </c>
      <c r="M815" t="str">
        <f>IFERROR(__xludf.DUMMYFUNCTION("""COMPUTED_VALUE"""),"Cabin Crew")</f>
        <v>Cabin Crew</v>
      </c>
      <c r="N815" t="str">
        <f>IFERROR(__xludf.DUMMYFUNCTION("""COMPUTED_VALUE"""),"DMK")</f>
        <v>DMK</v>
      </c>
      <c r="O815" s="145" t="str">
        <f>IFERROR(__xludf.DUMMYFUNCTION("""COMPUTED_VALUE"""),"Por+ Home")</f>
        <v>Por+ Home</v>
      </c>
      <c r="P815" t="str">
        <f>IFERROR(__xludf.DUMMYFUNCTION("""COMPUTED_VALUE"""),"Active")</f>
        <v>Active</v>
      </c>
      <c r="Q815" t="str">
        <f>IFERROR(__xludf.DUMMYFUNCTION("""COMPUTED_VALUE"""),"Japanese Speaking")</f>
        <v>Japanese Speaking</v>
      </c>
      <c r="R815" s="143">
        <f>IFERROR(__xludf.DUMMYFUNCTION("""COMPUTED_VALUE"""),33936.0)</f>
        <v>33936</v>
      </c>
      <c r="S815" s="146" t="str">
        <f>IFERROR(__xludf.DUMMYFUNCTION("""COMPUTED_VALUE"""),"093-5647988")</f>
        <v>093-5647988</v>
      </c>
      <c r="T815" s="147" t="str">
        <f>IFERROR(__xludf.DUMMYFUNCTION("""COMPUTED_VALUE"""),"1-7098-00179-40-4")</f>
        <v>1-7098-00179-40-4</v>
      </c>
      <c r="U815" t="str">
        <f>IFERROR(__xludf.DUMMYFUNCTION("""COMPUTED_VALUE"""),"AC2456746")</f>
        <v>AC2456746</v>
      </c>
      <c r="V815" s="148">
        <f>IFERROR(__xludf.DUMMYFUNCTION("""COMPUTED_VALUE"""),44466.0)</f>
        <v>44466</v>
      </c>
      <c r="W815" s="148">
        <f>IFERROR(__xludf.DUMMYFUNCTION("""COMPUTED_VALUE"""),48117.0)</f>
        <v>48117</v>
      </c>
      <c r="X815" s="149">
        <f>IFERROR(__xludf.DUMMYFUNCTION("""COMPUTED_VALUE"""),47933.0)</f>
        <v>47933</v>
      </c>
      <c r="Y815" t="str">
        <f>IFERROR(__xludf.DUMMYFUNCTION("""COMPUTED_VALUE"""),"ปลอดภัย")</f>
        <v>ปลอดภัย</v>
      </c>
      <c r="Z815" t="str">
        <f>IFERROR(__xludf.DUMMYFUNCTION("""COMPUTED_VALUE"""),"Ratchaburi Province")</f>
        <v>Ratchaburi Province</v>
      </c>
      <c r="AA815" t="str">
        <f>IFERROR(__xludf.DUMMYFUNCTION("""COMPUTED_VALUE"""),"Ratchaburi")</f>
        <v>Ratchaburi</v>
      </c>
      <c r="AB815" t="str">
        <f>IFERROR(__xludf.DUMMYFUNCTION("""COMPUTED_VALUE"""),"089-495-9554")</f>
        <v>089-495-9554</v>
      </c>
      <c r="AC815" t="str">
        <f>IFERROR(__xludf.DUMMYFUNCTION("""COMPUTED_VALUE"""),"Wasin Srinawakul")</f>
        <v>Wasin Srinawakul</v>
      </c>
      <c r="AD815" t="str">
        <f>IFERROR(__xludf.DUMMYFUNCTION("""COMPUTED_VALUE"""),"penrats@airasia.com")</f>
        <v>penrats@airasia.com</v>
      </c>
    </row>
    <row r="816">
      <c r="A816" s="142">
        <f>IFERROR(__xludf.DUMMYFUNCTION("""COMPUTED_VALUE"""),88.0)</f>
        <v>88</v>
      </c>
      <c r="B816" t="str">
        <f>IFERROR(__xludf.DUMMYFUNCTION("""COMPUTED_VALUE"""),"TAA7772")</f>
        <v>TAA7772</v>
      </c>
      <c r="C816">
        <f>IFERROR(__xludf.DUMMYFUNCTION("""COMPUTED_VALUE"""),1018807.0)</f>
        <v>1018807</v>
      </c>
      <c r="D816" t="str">
        <f>IFERROR(__xludf.DUMMYFUNCTION("""COMPUTED_VALUE"""),"Ms.")</f>
        <v>Ms.</v>
      </c>
      <c r="E816" t="str">
        <f>IFERROR(__xludf.DUMMYFUNCTION("""COMPUTED_VALUE"""),"Prapassorn")</f>
        <v>Prapassorn</v>
      </c>
      <c r="F816" t="str">
        <f>IFERROR(__xludf.DUMMYFUNCTION("""COMPUTED_VALUE"""),"Soonsorn")</f>
        <v>Soonsorn</v>
      </c>
      <c r="G816" t="str">
        <f>IFERROR(__xludf.DUMMYFUNCTION("""COMPUTED_VALUE"""),"Prapassorn Soonsorn")</f>
        <v>Prapassorn Soonsorn</v>
      </c>
      <c r="H816" t="str">
        <f>IFERROR(__xludf.DUMMYFUNCTION("""COMPUTED_VALUE"""),"นางสาว")</f>
        <v>นางสาว</v>
      </c>
      <c r="I816" t="str">
        <f>IFERROR(__xludf.DUMMYFUNCTION("""COMPUTED_VALUE"""),"ประภัสสร")</f>
        <v>ประภัสสร</v>
      </c>
      <c r="J816" t="str">
        <f>IFERROR(__xludf.DUMMYFUNCTION("""COMPUTED_VALUE"""),"ศูนย์ศร")</f>
        <v>ศูนย์ศร</v>
      </c>
      <c r="K816" t="str">
        <f>IFERROR(__xludf.DUMMYFUNCTION("""COMPUTED_VALUE"""),"ประภัสสร ศูนย์ศร")</f>
        <v>ประภัสสร ศูนย์ศร</v>
      </c>
      <c r="L816" t="str">
        <f>IFERROR(__xludf.DUMMYFUNCTION("""COMPUTED_VALUE"""),"Pak/แป๊ก")</f>
        <v>Pak/แป๊ก</v>
      </c>
      <c r="M816" t="str">
        <f>IFERROR(__xludf.DUMMYFUNCTION("""COMPUTED_VALUE"""),"Cabin Crew")</f>
        <v>Cabin Crew</v>
      </c>
      <c r="N816" t="str">
        <f>IFERROR(__xludf.DUMMYFUNCTION("""COMPUTED_VALUE"""),"DMK")</f>
        <v>DMK</v>
      </c>
      <c r="O816" s="145" t="str">
        <f>IFERROR(__xludf.DUMMYFUNCTION("""COMPUTED_VALUE"""),"Kor Home")</f>
        <v>Kor Home</v>
      </c>
      <c r="P816" t="str">
        <f>IFERROR(__xludf.DUMMYFUNCTION("""COMPUTED_VALUE"""),"Active")</f>
        <v>Active</v>
      </c>
      <c r="R816" s="143">
        <f>IFERROR(__xludf.DUMMYFUNCTION("""COMPUTED_VALUE"""),32646.0)</f>
        <v>32646</v>
      </c>
      <c r="S816" s="146" t="str">
        <f>IFERROR(__xludf.DUMMYFUNCTION("""COMPUTED_VALUE"""),"099-282-2656")</f>
        <v>099-282-2656</v>
      </c>
      <c r="T816" s="147" t="str">
        <f>IFERROR(__xludf.DUMMYFUNCTION("""COMPUTED_VALUE"""),"1411700-13-5265")</f>
        <v>1411700-13-5265</v>
      </c>
      <c r="U816" t="str">
        <f>IFERROR(__xludf.DUMMYFUNCTION("""COMPUTED_VALUE"""),"AC4360901")</f>
        <v>AC4360901</v>
      </c>
      <c r="V816" s="148">
        <f>IFERROR(__xludf.DUMMYFUNCTION("""COMPUTED_VALUE"""),44938.0)</f>
        <v>44938</v>
      </c>
      <c r="W816" s="148">
        <f>IFERROR(__xludf.DUMMYFUNCTION("""COMPUTED_VALUE"""),48590.0)</f>
        <v>48590</v>
      </c>
      <c r="X816" s="149">
        <f>IFERROR(__xludf.DUMMYFUNCTION("""COMPUTED_VALUE"""),48406.0)</f>
        <v>48406</v>
      </c>
      <c r="Y816" t="str">
        <f>IFERROR(__xludf.DUMMYFUNCTION("""COMPUTED_VALUE"""),"ปลอดภัย")</f>
        <v>ปลอดภัย</v>
      </c>
      <c r="Z816" t="str">
        <f>IFERROR(__xludf.DUMMYFUNCTION("""COMPUTED_VALUE"""),"Udon Thani Province")</f>
        <v>Udon Thani Province</v>
      </c>
      <c r="AA816" t="str">
        <f>IFERROR(__xludf.DUMMYFUNCTION("""COMPUTED_VALUE"""),"Bangkok")</f>
        <v>Bangkok</v>
      </c>
      <c r="AB816" t="str">
        <f>IFERROR(__xludf.DUMMYFUNCTION("""COMPUTED_VALUE"""),"095-9069-666")</f>
        <v>095-9069-666</v>
      </c>
      <c r="AC816" t="str">
        <f>IFERROR(__xludf.DUMMYFUNCTION("""COMPUTED_VALUE"""),"Chananchida Soonsorn")</f>
        <v>Chananchida Soonsorn</v>
      </c>
      <c r="AD816" t="str">
        <f>IFERROR(__xludf.DUMMYFUNCTION("""COMPUTED_VALUE"""),"prapassorno@airasia.com")</f>
        <v>prapassorno@airasia.com</v>
      </c>
    </row>
    <row r="817">
      <c r="A817" s="142">
        <f>IFERROR(__xludf.DUMMYFUNCTION("""COMPUTED_VALUE"""),88.0)</f>
        <v>88</v>
      </c>
      <c r="B817" t="str">
        <f>IFERROR(__xludf.DUMMYFUNCTION("""COMPUTED_VALUE"""),"TAA7754")</f>
        <v>TAA7754</v>
      </c>
      <c r="C817">
        <f>IFERROR(__xludf.DUMMYFUNCTION("""COMPUTED_VALUE"""),1018813.0)</f>
        <v>1018813</v>
      </c>
      <c r="D817" t="str">
        <f>IFERROR(__xludf.DUMMYFUNCTION("""COMPUTED_VALUE"""),"Mr.")</f>
        <v>Mr.</v>
      </c>
      <c r="E817" t="str">
        <f>IFERROR(__xludf.DUMMYFUNCTION("""COMPUTED_VALUE"""),"Takwa")</f>
        <v>Takwa</v>
      </c>
      <c r="F817" t="str">
        <f>IFERROR(__xludf.DUMMYFUNCTION("""COMPUTED_VALUE"""),"Binlateh")</f>
        <v>Binlateh</v>
      </c>
      <c r="G817" t="str">
        <f>IFERROR(__xludf.DUMMYFUNCTION("""COMPUTED_VALUE"""),"Takwa Binlateh")</f>
        <v>Takwa Binlateh</v>
      </c>
      <c r="H817" t="str">
        <f>IFERROR(__xludf.DUMMYFUNCTION("""COMPUTED_VALUE"""),"นาย")</f>
        <v>นาย</v>
      </c>
      <c r="I817" t="str">
        <f>IFERROR(__xludf.DUMMYFUNCTION("""COMPUTED_VALUE"""),"ตักวา")</f>
        <v>ตักวา</v>
      </c>
      <c r="J817" t="str">
        <f>IFERROR(__xludf.DUMMYFUNCTION("""COMPUTED_VALUE"""),"บินลาเต๊ะ")</f>
        <v>บินลาเต๊ะ</v>
      </c>
      <c r="K817" t="str">
        <f>IFERROR(__xludf.DUMMYFUNCTION("""COMPUTED_VALUE"""),"ตักวา บินลาเต๊ะ")</f>
        <v>ตักวา บินลาเต๊ะ</v>
      </c>
      <c r="L817" t="str">
        <f>IFERROR(__xludf.DUMMYFUNCTION("""COMPUTED_VALUE"""),"Wa/วา")</f>
        <v>Wa/วา</v>
      </c>
      <c r="M817" t="str">
        <f>IFERROR(__xludf.DUMMYFUNCTION("""COMPUTED_VALUE"""),"Cabin Crew - HKT")</f>
        <v>Cabin Crew - HKT</v>
      </c>
      <c r="N817" t="str">
        <f>IFERROR(__xludf.DUMMYFUNCTION("""COMPUTED_VALUE"""),"HKT")</f>
        <v>HKT</v>
      </c>
      <c r="O817" s="145" t="str">
        <f>IFERROR(__xludf.DUMMYFUNCTION("""COMPUTED_VALUE"""),"Kor Home")</f>
        <v>Kor Home</v>
      </c>
      <c r="P817" t="str">
        <f>IFERROR(__xludf.DUMMYFUNCTION("""COMPUTED_VALUE"""),"Active")</f>
        <v>Active</v>
      </c>
      <c r="R817" s="143">
        <f>IFERROR(__xludf.DUMMYFUNCTION("""COMPUTED_VALUE"""),33140.0)</f>
        <v>33140</v>
      </c>
      <c r="S817" s="146" t="str">
        <f>IFERROR(__xludf.DUMMYFUNCTION("""COMPUTED_VALUE"""),"080-5485888")</f>
        <v>080-5485888</v>
      </c>
      <c r="T817" s="147" t="str">
        <f>IFERROR(__xludf.DUMMYFUNCTION("""COMPUTED_VALUE"""),"1849900-10-3999")</f>
        <v>1849900-10-3999</v>
      </c>
      <c r="U817" t="str">
        <f>IFERROR(__xludf.DUMMYFUNCTION("""COMPUTED_VALUE"""),"AC4361125")</f>
        <v>AC4361125</v>
      </c>
      <c r="V817" s="148">
        <f>IFERROR(__xludf.DUMMYFUNCTION("""COMPUTED_VALUE"""),44938.0)</f>
        <v>44938</v>
      </c>
      <c r="W817" s="148">
        <f>IFERROR(__xludf.DUMMYFUNCTION("""COMPUTED_VALUE"""),48590.0)</f>
        <v>48590</v>
      </c>
      <c r="X817" s="149">
        <f>IFERROR(__xludf.DUMMYFUNCTION("""COMPUTED_VALUE"""),48406.0)</f>
        <v>48406</v>
      </c>
      <c r="Y817" t="str">
        <f>IFERROR(__xludf.DUMMYFUNCTION("""COMPUTED_VALUE"""),"ปลอดภัย")</f>
        <v>ปลอดภัย</v>
      </c>
      <c r="Z817" t="str">
        <f>IFERROR(__xludf.DUMMYFUNCTION("""COMPUTED_VALUE"""),"Surat Thani Province")</f>
        <v>Surat Thani Province</v>
      </c>
      <c r="AA817" t="str">
        <f>IFERROR(__xludf.DUMMYFUNCTION("""COMPUTED_VALUE"""),"Bangkok")</f>
        <v>Bangkok</v>
      </c>
      <c r="AB817" t="str">
        <f>IFERROR(__xludf.DUMMYFUNCTION("""COMPUTED_VALUE"""),"081-539-9005")</f>
        <v>081-539-9005</v>
      </c>
      <c r="AC817" t="str">
        <f>IFERROR(__xludf.DUMMYFUNCTION("""COMPUTED_VALUE"""),"Mareeyae Binlateh (Mother)")</f>
        <v>Mareeyae Binlateh (Mother)</v>
      </c>
      <c r="AD817" t="str">
        <f>IFERROR(__xludf.DUMMYFUNCTION("""COMPUTED_VALUE"""),"takwab@airasia.com")</f>
        <v>takwab@airasia.com</v>
      </c>
    </row>
    <row r="818">
      <c r="A818" s="142">
        <f>IFERROR(__xludf.DUMMYFUNCTION("""COMPUTED_VALUE"""),88.0)</f>
        <v>88</v>
      </c>
      <c r="B818" t="str">
        <f>IFERROR(__xludf.DUMMYFUNCTION("""COMPUTED_VALUE"""),"TAA7829")</f>
        <v>TAA7829</v>
      </c>
      <c r="C818">
        <f>IFERROR(__xludf.DUMMYFUNCTION("""COMPUTED_VALUE"""),1018817.0)</f>
        <v>1018817</v>
      </c>
      <c r="D818" t="str">
        <f>IFERROR(__xludf.DUMMYFUNCTION("""COMPUTED_VALUE"""),"Mr.")</f>
        <v>Mr.</v>
      </c>
      <c r="E818" t="str">
        <f>IFERROR(__xludf.DUMMYFUNCTION("""COMPUTED_VALUE"""),"Witittorn")</f>
        <v>Witittorn</v>
      </c>
      <c r="F818" t="str">
        <f>IFERROR(__xludf.DUMMYFUNCTION("""COMPUTED_VALUE"""),"Onkhaw")</f>
        <v>Onkhaw</v>
      </c>
      <c r="G818" t="str">
        <f>IFERROR(__xludf.DUMMYFUNCTION("""COMPUTED_VALUE"""),"Witittorn Onkhaw")</f>
        <v>Witittorn Onkhaw</v>
      </c>
      <c r="H818" t="str">
        <f>IFERROR(__xludf.DUMMYFUNCTION("""COMPUTED_VALUE"""),"นาย")</f>
        <v>นาย</v>
      </c>
      <c r="I818" t="str">
        <f>IFERROR(__xludf.DUMMYFUNCTION("""COMPUTED_VALUE"""),"วิทิตธร")</f>
        <v>วิทิตธร</v>
      </c>
      <c r="J818" t="str">
        <f>IFERROR(__xludf.DUMMYFUNCTION("""COMPUTED_VALUE"""),"อ่อนขาว")</f>
        <v>อ่อนขาว</v>
      </c>
      <c r="K818" t="str">
        <f>IFERROR(__xludf.DUMMYFUNCTION("""COMPUTED_VALUE"""),"วิทิตธร อ่อนขาว")</f>
        <v>วิทิตธร อ่อนขาว</v>
      </c>
      <c r="L818" t="str">
        <f>IFERROR(__xludf.DUMMYFUNCTION("""COMPUTED_VALUE"""),"Safe เซฟ")</f>
        <v>Safe เซฟ</v>
      </c>
      <c r="M818" t="str">
        <f>IFERROR(__xludf.DUMMYFUNCTION("""COMPUTED_VALUE"""),"Cabin Crew")</f>
        <v>Cabin Crew</v>
      </c>
      <c r="N818" t="str">
        <f>IFERROR(__xludf.DUMMYFUNCTION("""COMPUTED_VALUE"""),"DMK")</f>
        <v>DMK</v>
      </c>
      <c r="O818" s="145" t="str">
        <f>IFERROR(__xludf.DUMMYFUNCTION("""COMPUTED_VALUE"""),"Kor Home")</f>
        <v>Kor Home</v>
      </c>
      <c r="P818" t="str">
        <f>IFERROR(__xludf.DUMMYFUNCTION("""COMPUTED_VALUE"""),"Active")</f>
        <v>Active</v>
      </c>
      <c r="R818" s="143">
        <f>IFERROR(__xludf.DUMMYFUNCTION("""COMPUTED_VALUE"""),33377.0)</f>
        <v>33377</v>
      </c>
      <c r="S818" s="146" t="str">
        <f>IFERROR(__xludf.DUMMYFUNCTION("""COMPUTED_VALUE"""),"084-359-9417")</f>
        <v>084-359-9417</v>
      </c>
      <c r="T818" s="147" t="str">
        <f>IFERROR(__xludf.DUMMYFUNCTION("""COMPUTED_VALUE"""),"1-1206-00160-52-9")</f>
        <v>1-1206-00160-52-9</v>
      </c>
      <c r="U818" t="str">
        <f>IFERROR(__xludf.DUMMYFUNCTION("""COMPUTED_VALUE"""),"AC6187451")</f>
        <v>AC6187451</v>
      </c>
      <c r="V818" s="148">
        <f>IFERROR(__xludf.DUMMYFUNCTION("""COMPUTED_VALUE"""),45272.0)</f>
        <v>45272</v>
      </c>
      <c r="W818" s="148">
        <f>IFERROR(__xludf.DUMMYFUNCTION("""COMPUTED_VALUE"""),48924.0)</f>
        <v>48924</v>
      </c>
      <c r="X818" s="149">
        <f>IFERROR(__xludf.DUMMYFUNCTION("""COMPUTED_VALUE"""),48741.0)</f>
        <v>48741</v>
      </c>
      <c r="Y818" t="str">
        <f>IFERROR(__xludf.DUMMYFUNCTION("""COMPUTED_VALUE"""),"ปลอดภัย")</f>
        <v>ปลอดภัย</v>
      </c>
      <c r="Z818" t="str">
        <f>IFERROR(__xludf.DUMMYFUNCTION("""COMPUTED_VALUE"""),"Nonthaburi Province")</f>
        <v>Nonthaburi Province</v>
      </c>
      <c r="AA818" t="str">
        <f>IFERROR(__xludf.DUMMYFUNCTION("""COMPUTED_VALUE"""),"Bangkok")</f>
        <v>Bangkok</v>
      </c>
      <c r="AB818" t="str">
        <f>IFERROR(__xludf.DUMMYFUNCTION("""COMPUTED_VALUE"""),"089-085-1662")</f>
        <v>089-085-1662</v>
      </c>
      <c r="AC818" t="str">
        <f>IFERROR(__xludf.DUMMYFUNCTION("""COMPUTED_VALUE"""),"Yupa Onkhaw")</f>
        <v>Yupa Onkhaw</v>
      </c>
      <c r="AD818" t="str">
        <f>IFERROR(__xludf.DUMMYFUNCTION("""COMPUTED_VALUE"""),"witittorno@airasia.com")</f>
        <v>witittorno@airasia.com</v>
      </c>
    </row>
    <row r="819">
      <c r="AD819" t="str">
        <f>IFERROR(__xludf.DUMMYFUNCTION("""COMPUTED_VALUE"""),"")</f>
        <v/>
      </c>
    </row>
    <row r="820">
      <c r="A820" s="142">
        <f>IFERROR(__xludf.DUMMYFUNCTION("""COMPUTED_VALUE"""),89.0)</f>
        <v>89</v>
      </c>
      <c r="B820" t="str">
        <f>IFERROR(__xludf.DUMMYFUNCTION("""COMPUTED_VALUE"""),"TAA7841")</f>
        <v>TAA7841</v>
      </c>
      <c r="C820">
        <f>IFERROR(__xludf.DUMMYFUNCTION("""COMPUTED_VALUE"""),1018970.0)</f>
        <v>1018970</v>
      </c>
      <c r="D820" t="str">
        <f>IFERROR(__xludf.DUMMYFUNCTION("""COMPUTED_VALUE"""),"Mr.")</f>
        <v>Mr.</v>
      </c>
      <c r="E820" t="str">
        <f>IFERROR(__xludf.DUMMYFUNCTION("""COMPUTED_VALUE"""),"Krittachai (Kantatorn)")</f>
        <v>Krittachai (Kantatorn)</v>
      </c>
      <c r="F820" t="str">
        <f>IFERROR(__xludf.DUMMYFUNCTION("""COMPUTED_VALUE"""),"Jantawong")</f>
        <v>Jantawong</v>
      </c>
      <c r="G820" t="str">
        <f>IFERROR(__xludf.DUMMYFUNCTION("""COMPUTED_VALUE"""),"Krittachai Jantawong")</f>
        <v>Krittachai Jantawong</v>
      </c>
      <c r="H820" t="str">
        <f>IFERROR(__xludf.DUMMYFUNCTION("""COMPUTED_VALUE"""),"นาย")</f>
        <v>นาย</v>
      </c>
      <c r="I820" t="str">
        <f>IFERROR(__xludf.DUMMYFUNCTION("""COMPUTED_VALUE"""),"กฤตชัย (กันตธร)")</f>
        <v>กฤตชัย (กันตธร)</v>
      </c>
      <c r="J820" t="str">
        <f>IFERROR(__xludf.DUMMYFUNCTION("""COMPUTED_VALUE"""),"จันทวงศ์")</f>
        <v>จันทวงศ์</v>
      </c>
      <c r="K820" t="str">
        <f>IFERROR(__xludf.DUMMYFUNCTION("""COMPUTED_VALUE"""),"กฤตชัย จันทวงศ์")</f>
        <v>กฤตชัย จันทวงศ์</v>
      </c>
      <c r="L820" t="str">
        <f>IFERROR(__xludf.DUMMYFUNCTION("""COMPUTED_VALUE"""),"Gun")</f>
        <v>Gun</v>
      </c>
      <c r="M820" t="str">
        <f>IFERROR(__xludf.DUMMYFUNCTION("""COMPUTED_VALUE"""),"Cabin Crew")</f>
        <v>Cabin Crew</v>
      </c>
      <c r="N820" t="str">
        <f>IFERROR(__xludf.DUMMYFUNCTION("""COMPUTED_VALUE"""),"DMK")</f>
        <v>DMK</v>
      </c>
      <c r="O820" s="145" t="str">
        <f>IFERROR(__xludf.DUMMYFUNCTION("""COMPUTED_VALUE"""),"Por+ Home")</f>
        <v>Por+ Home</v>
      </c>
      <c r="P820" t="str">
        <f>IFERROR(__xludf.DUMMYFUNCTION("""COMPUTED_VALUE"""),"Active")</f>
        <v>Active</v>
      </c>
      <c r="Q820" t="str">
        <f>IFERROR(__xludf.DUMMYFUNCTION("""COMPUTED_VALUE"""),"Japanese Speaking")</f>
        <v>Japanese Speaking</v>
      </c>
      <c r="R820" s="143">
        <f>IFERROR(__xludf.DUMMYFUNCTION("""COMPUTED_VALUE"""),33441.0)</f>
        <v>33441</v>
      </c>
      <c r="S820" s="146">
        <f>IFERROR(__xludf.DUMMYFUNCTION("""COMPUTED_VALUE"""),9.29892493E8)</f>
        <v>929892493</v>
      </c>
      <c r="T820" s="147" t="str">
        <f>IFERROR(__xludf.DUMMYFUNCTION("""COMPUTED_VALUE"""),"1100200-65-6993")</f>
        <v>1100200-65-6993</v>
      </c>
      <c r="U820" t="str">
        <f>IFERROR(__xludf.DUMMYFUNCTION("""COMPUTED_VALUE"""),"AD2031950")</f>
        <v>AD2031950</v>
      </c>
      <c r="V820" s="148">
        <f>IFERROR(__xludf.DUMMYFUNCTION("""COMPUTED_VALUE"""),45748.0)</f>
        <v>45748</v>
      </c>
      <c r="W820" s="148">
        <f>IFERROR(__xludf.DUMMYFUNCTION("""COMPUTED_VALUE"""),49399.0)</f>
        <v>49399</v>
      </c>
      <c r="X820" s="149">
        <f>IFERROR(__xludf.DUMMYFUNCTION("""COMPUTED_VALUE"""),49217.0)</f>
        <v>49217</v>
      </c>
      <c r="Y820" t="str">
        <f>IFERROR(__xludf.DUMMYFUNCTION("""COMPUTED_VALUE"""),"ปลอดภัย")</f>
        <v>ปลอดภัย</v>
      </c>
      <c r="Z820" t="str">
        <f>IFERROR(__xludf.DUMMYFUNCTION("""COMPUTED_VALUE"""),"Bangkok")</f>
        <v>Bangkok</v>
      </c>
      <c r="AA820" t="str">
        <f>IFERROR(__xludf.DUMMYFUNCTION("""COMPUTED_VALUE"""),"Bangkok")</f>
        <v>Bangkok</v>
      </c>
      <c r="AD820" t="str">
        <f>IFERROR(__xludf.DUMMYFUNCTION("""COMPUTED_VALUE"""),"krittachaijan@airasia.com")</f>
        <v>krittachaijan@airasia.com</v>
      </c>
    </row>
    <row r="821">
      <c r="A821" s="142">
        <f>IFERROR(__xludf.DUMMYFUNCTION("""COMPUTED_VALUE"""),89.0)</f>
        <v>89</v>
      </c>
      <c r="B821" t="str">
        <f>IFERROR(__xludf.DUMMYFUNCTION("""COMPUTED_VALUE"""),"TAA7846")</f>
        <v>TAA7846</v>
      </c>
      <c r="C821">
        <f>IFERROR(__xludf.DUMMYFUNCTION("""COMPUTED_VALUE"""),1018974.0)</f>
        <v>1018974</v>
      </c>
      <c r="D821" t="str">
        <f>IFERROR(__xludf.DUMMYFUNCTION("""COMPUTED_VALUE"""),"Ms.")</f>
        <v>Ms.</v>
      </c>
      <c r="E821" t="str">
        <f>IFERROR(__xludf.DUMMYFUNCTION("""COMPUTED_VALUE"""),"Nakharin")</f>
        <v>Nakharin</v>
      </c>
      <c r="F821" t="str">
        <f>IFERROR(__xludf.DUMMYFUNCTION("""COMPUTED_VALUE"""),"Preediyanon")</f>
        <v>Preediyanon</v>
      </c>
      <c r="G821" t="str">
        <f>IFERROR(__xludf.DUMMYFUNCTION("""COMPUTED_VALUE"""),"Nakharin Preediyanon")</f>
        <v>Nakharin Preediyanon</v>
      </c>
      <c r="H821" t="str">
        <f>IFERROR(__xludf.DUMMYFUNCTION("""COMPUTED_VALUE"""),"นางสาว")</f>
        <v>นางสาว</v>
      </c>
      <c r="I821" t="str">
        <f>IFERROR(__xludf.DUMMYFUNCTION("""COMPUTED_VALUE"""),"นครินทร์")</f>
        <v>นครินทร์</v>
      </c>
      <c r="J821" t="str">
        <f>IFERROR(__xludf.DUMMYFUNCTION("""COMPUTED_VALUE"""),"ปรีดียานนท์")</f>
        <v>ปรีดียานนท์</v>
      </c>
      <c r="K821" t="str">
        <f>IFERROR(__xludf.DUMMYFUNCTION("""COMPUTED_VALUE"""),"นครินทร์ ปรีดียานนท์")</f>
        <v>นครินทร์ ปรีดียานนท์</v>
      </c>
      <c r="L821" t="str">
        <f>IFERROR(__xludf.DUMMYFUNCTION("""COMPUTED_VALUE"""),"Pinky พิงค์กี้")</f>
        <v>Pinky พิงค์กี้</v>
      </c>
      <c r="M821" t="str">
        <f>IFERROR(__xludf.DUMMYFUNCTION("""COMPUTED_VALUE"""),"Cabin Crew")</f>
        <v>Cabin Crew</v>
      </c>
      <c r="N821" t="str">
        <f>IFERROR(__xludf.DUMMYFUNCTION("""COMPUTED_VALUE"""),"DMK")</f>
        <v>DMK</v>
      </c>
      <c r="O821" s="145" t="str">
        <f>IFERROR(__xludf.DUMMYFUNCTION("""COMPUTED_VALUE"""),"Toffy Home")</f>
        <v>Toffy Home</v>
      </c>
      <c r="P821" t="str">
        <f>IFERROR(__xludf.DUMMYFUNCTION("""COMPUTED_VALUE"""),"Active")</f>
        <v>Active</v>
      </c>
      <c r="R821" s="143">
        <f>IFERROR(__xludf.DUMMYFUNCTION("""COMPUTED_VALUE"""),32470.0)</f>
        <v>32470</v>
      </c>
      <c r="S821" s="146" t="str">
        <f>IFERROR(__xludf.DUMMYFUNCTION("""COMPUTED_VALUE"""),"089-0708377")</f>
        <v>089-0708377</v>
      </c>
      <c r="T821" s="147" t="str">
        <f>IFERROR(__xludf.DUMMYFUNCTION("""COMPUTED_VALUE"""),"1100900-40-2901")</f>
        <v>1100900-40-2901</v>
      </c>
      <c r="U821" t="str">
        <f>IFERROR(__xludf.DUMMYFUNCTION("""COMPUTED_VALUE"""),"AC2639397")</f>
        <v>AC2639397</v>
      </c>
      <c r="V821" s="148">
        <f>IFERROR(__xludf.DUMMYFUNCTION("""COMPUTED_VALUE"""),44553.0)</f>
        <v>44553</v>
      </c>
      <c r="W821" s="148">
        <f>IFERROR(__xludf.DUMMYFUNCTION("""COMPUTED_VALUE"""),48204.0)</f>
        <v>48204</v>
      </c>
      <c r="X821" s="149">
        <f>IFERROR(__xludf.DUMMYFUNCTION("""COMPUTED_VALUE"""),48021.0)</f>
        <v>48021</v>
      </c>
      <c r="Y821" t="str">
        <f>IFERROR(__xludf.DUMMYFUNCTION("""COMPUTED_VALUE"""),"ปลอดภัย")</f>
        <v>ปลอดภัย</v>
      </c>
      <c r="Z821" t="str">
        <f>IFERROR(__xludf.DUMMYFUNCTION("""COMPUTED_VALUE"""),"Bangkok")</f>
        <v>Bangkok</v>
      </c>
      <c r="AA821" t="str">
        <f>IFERROR(__xludf.DUMMYFUNCTION("""COMPUTED_VALUE"""),"Bangkok")</f>
        <v>Bangkok</v>
      </c>
      <c r="AB821" t="str">
        <f>IFERROR(__xludf.DUMMYFUNCTION("""COMPUTED_VALUE"""),"082-799-5498")</f>
        <v>082-799-5498</v>
      </c>
      <c r="AC821" t="str">
        <f>IFERROR(__xludf.DUMMYFUNCTION("""COMPUTED_VALUE"""),"Sumalee Preediyanon")</f>
        <v>Sumalee Preediyanon</v>
      </c>
      <c r="AD821" t="str">
        <f>IFERROR(__xludf.DUMMYFUNCTION("""COMPUTED_VALUE"""),"nakharinp@airasia.com")</f>
        <v>nakharinp@airasia.com</v>
      </c>
    </row>
    <row r="822">
      <c r="A822" s="142">
        <f>IFERROR(__xludf.DUMMYFUNCTION("""COMPUTED_VALUE"""),89.0)</f>
        <v>89</v>
      </c>
      <c r="B822" t="str">
        <f>IFERROR(__xludf.DUMMYFUNCTION("""COMPUTED_VALUE"""),"TAA7836")</f>
        <v>TAA7836</v>
      </c>
      <c r="C822">
        <f>IFERROR(__xludf.DUMMYFUNCTION("""COMPUTED_VALUE"""),1018975.0)</f>
        <v>1018975</v>
      </c>
      <c r="D822" t="str">
        <f>IFERROR(__xludf.DUMMYFUNCTION("""COMPUTED_VALUE"""),"Ms.")</f>
        <v>Ms.</v>
      </c>
      <c r="E822" t="str">
        <f>IFERROR(__xludf.DUMMYFUNCTION("""COMPUTED_VALUE"""),"Nakkamon")</f>
        <v>Nakkamon</v>
      </c>
      <c r="F822" t="str">
        <f>IFERROR(__xludf.DUMMYFUNCTION("""COMPUTED_VALUE"""),"Savigamin")</f>
        <v>Savigamin</v>
      </c>
      <c r="G822" t="str">
        <f>IFERROR(__xludf.DUMMYFUNCTION("""COMPUTED_VALUE"""),"Nakkamon Savigamin")</f>
        <v>Nakkamon Savigamin</v>
      </c>
      <c r="H822" t="str">
        <f>IFERROR(__xludf.DUMMYFUNCTION("""COMPUTED_VALUE"""),"นางสาว")</f>
        <v>นางสาว</v>
      </c>
      <c r="I822" t="str">
        <f>IFERROR(__xludf.DUMMYFUNCTION("""COMPUTED_VALUE"""),"นัคมน")</f>
        <v>นัคมน</v>
      </c>
      <c r="J822" t="str">
        <f>IFERROR(__xludf.DUMMYFUNCTION("""COMPUTED_VALUE"""),"สะวิคามิน")</f>
        <v>สะวิคามิน</v>
      </c>
      <c r="K822" t="str">
        <f>IFERROR(__xludf.DUMMYFUNCTION("""COMPUTED_VALUE"""),"นัคมน สะวิคามิน")</f>
        <v>นัคมน สะวิคามิน</v>
      </c>
      <c r="L822" t="str">
        <f>IFERROR(__xludf.DUMMYFUNCTION("""COMPUTED_VALUE"""),"Ploy พลอย")</f>
        <v>Ploy พลอย</v>
      </c>
      <c r="M822" t="str">
        <f>IFERROR(__xludf.DUMMYFUNCTION("""COMPUTED_VALUE"""),"Cabin Crew")</f>
        <v>Cabin Crew</v>
      </c>
      <c r="N822" t="str">
        <f>IFERROR(__xludf.DUMMYFUNCTION("""COMPUTED_VALUE"""),"DMK")</f>
        <v>DMK</v>
      </c>
      <c r="O822" s="145" t="str">
        <f>IFERROR(__xludf.DUMMYFUNCTION("""COMPUTED_VALUE"""),"Namfon Home")</f>
        <v>Namfon Home</v>
      </c>
      <c r="P822" t="str">
        <f>IFERROR(__xludf.DUMMYFUNCTION("""COMPUTED_VALUE"""),"Active")</f>
        <v>Active</v>
      </c>
      <c r="R822" s="143">
        <f>IFERROR(__xludf.DUMMYFUNCTION("""COMPUTED_VALUE"""),32594.0)</f>
        <v>32594</v>
      </c>
      <c r="S822" s="146" t="str">
        <f>IFERROR(__xludf.DUMMYFUNCTION("""COMPUTED_VALUE"""),"086-3397444")</f>
        <v>086-3397444</v>
      </c>
      <c r="T822" s="147" t="str">
        <f>IFERROR(__xludf.DUMMYFUNCTION("""COMPUTED_VALUE"""),"1100900-40-7244")</f>
        <v>1100900-40-7244</v>
      </c>
      <c r="U822" t="str">
        <f>IFERROR(__xludf.DUMMYFUNCTION("""COMPUTED_VALUE"""),"AC2528347")</f>
        <v>AC2528347</v>
      </c>
      <c r="V822" s="148">
        <f>IFERROR(__xludf.DUMMYFUNCTION("""COMPUTED_VALUE"""),44620.0)</f>
        <v>44620</v>
      </c>
      <c r="W822" s="148">
        <f>IFERROR(__xludf.DUMMYFUNCTION("""COMPUTED_VALUE"""),48271.0)</f>
        <v>48271</v>
      </c>
      <c r="X822" s="149">
        <f>IFERROR(__xludf.DUMMYFUNCTION("""COMPUTED_VALUE"""),48087.0)</f>
        <v>48087</v>
      </c>
      <c r="Y822" t="str">
        <f>IFERROR(__xludf.DUMMYFUNCTION("""COMPUTED_VALUE"""),"ปลอดภัย")</f>
        <v>ปลอดภัย</v>
      </c>
      <c r="Z822" t="str">
        <f>IFERROR(__xludf.DUMMYFUNCTION("""COMPUTED_VALUE"""),"Bangkok")</f>
        <v>Bangkok</v>
      </c>
      <c r="AA822" t="str">
        <f>IFERROR(__xludf.DUMMYFUNCTION("""COMPUTED_VALUE"""),"Pathumthani")</f>
        <v>Pathumthani</v>
      </c>
      <c r="AB822" t="str">
        <f>IFERROR(__xludf.DUMMYFUNCTION("""COMPUTED_VALUE"""),"086-393-5325")</f>
        <v>086-393-5325</v>
      </c>
      <c r="AC822" t="str">
        <f>IFERROR(__xludf.DUMMYFUNCTION("""COMPUTED_VALUE"""),"ศรีวันเพ็ญ สะวิคามิน")</f>
        <v>ศรีวันเพ็ญ สะวิคามิน</v>
      </c>
      <c r="AD822" t="str">
        <f>IFERROR(__xludf.DUMMYFUNCTION("""COMPUTED_VALUE"""),"nakkamons@airasia.com")</f>
        <v>nakkamons@airasia.com</v>
      </c>
    </row>
    <row r="823">
      <c r="A823" s="142">
        <f>IFERROR(__xludf.DUMMYFUNCTION("""COMPUTED_VALUE"""),89.0)</f>
        <v>89</v>
      </c>
      <c r="B823" t="str">
        <f>IFERROR(__xludf.DUMMYFUNCTION("""COMPUTED_VALUE"""),"TAA7835")</f>
        <v>TAA7835</v>
      </c>
      <c r="C823">
        <f>IFERROR(__xludf.DUMMYFUNCTION("""COMPUTED_VALUE"""),1018977.0)</f>
        <v>1018977</v>
      </c>
      <c r="D823" t="str">
        <f>IFERROR(__xludf.DUMMYFUNCTION("""COMPUTED_VALUE"""),"Ms.")</f>
        <v>Ms.</v>
      </c>
      <c r="E823" t="str">
        <f>IFERROR(__xludf.DUMMYFUNCTION("""COMPUTED_VALUE"""),"Ploypailin")</f>
        <v>Ploypailin</v>
      </c>
      <c r="F823" t="str">
        <f>IFERROR(__xludf.DUMMYFUNCTION("""COMPUTED_VALUE"""),"Chuntawong")</f>
        <v>Chuntawong</v>
      </c>
      <c r="G823" t="str">
        <f>IFERROR(__xludf.DUMMYFUNCTION("""COMPUTED_VALUE"""),"Ploypailin Chuntawong")</f>
        <v>Ploypailin Chuntawong</v>
      </c>
      <c r="H823" t="str">
        <f>IFERROR(__xludf.DUMMYFUNCTION("""COMPUTED_VALUE"""),"นางสาว")</f>
        <v>นางสาว</v>
      </c>
      <c r="I823" t="str">
        <f>IFERROR(__xludf.DUMMYFUNCTION("""COMPUTED_VALUE"""),"พลอยไพลิน")</f>
        <v>พลอยไพลิน</v>
      </c>
      <c r="J823" t="str">
        <f>IFERROR(__xludf.DUMMYFUNCTION("""COMPUTED_VALUE"""),"จันทะวงษ์")</f>
        <v>จันทะวงษ์</v>
      </c>
      <c r="K823" t="str">
        <f>IFERROR(__xludf.DUMMYFUNCTION("""COMPUTED_VALUE"""),"พลอยไพลิน จันทะวงษ์")</f>
        <v>พลอยไพลิน จันทะวงษ์</v>
      </c>
      <c r="L823" t="str">
        <f>IFERROR(__xludf.DUMMYFUNCTION("""COMPUTED_VALUE"""),"Nite ไนท์")</f>
        <v>Nite ไนท์</v>
      </c>
      <c r="M823" t="str">
        <f>IFERROR(__xludf.DUMMYFUNCTION("""COMPUTED_VALUE"""),"Cabin Crew")</f>
        <v>Cabin Crew</v>
      </c>
      <c r="N823" t="str">
        <f>IFERROR(__xludf.DUMMYFUNCTION("""COMPUTED_VALUE"""),"DMK")</f>
        <v>DMK</v>
      </c>
      <c r="O823" s="145" t="str">
        <f>IFERROR(__xludf.DUMMYFUNCTION("""COMPUTED_VALUE"""),"Namfon Home")</f>
        <v>Namfon Home</v>
      </c>
      <c r="P823" t="str">
        <f>IFERROR(__xludf.DUMMYFUNCTION("""COMPUTED_VALUE"""),"Active")</f>
        <v>Active</v>
      </c>
      <c r="R823" s="143">
        <f>IFERROR(__xludf.DUMMYFUNCTION("""COMPUTED_VALUE"""),33930.0)</f>
        <v>33930</v>
      </c>
      <c r="S823" s="146" t="str">
        <f>IFERROR(__xludf.DUMMYFUNCTION("""COMPUTED_VALUE"""),"081-6615636")</f>
        <v>081-6615636</v>
      </c>
      <c r="T823" s="147" t="str">
        <f>IFERROR(__xludf.DUMMYFUNCTION("""COMPUTED_VALUE"""),"1409900-96-6761")</f>
        <v>1409900-96-6761</v>
      </c>
      <c r="U823" t="str">
        <f>IFERROR(__xludf.DUMMYFUNCTION("""COMPUTED_VALUE"""),"AC2681079")</f>
        <v>AC2681079</v>
      </c>
      <c r="V823" s="148">
        <f>IFERROR(__xludf.DUMMYFUNCTION("""COMPUTED_VALUE"""),44580.0)</f>
        <v>44580</v>
      </c>
      <c r="W823" s="148">
        <f>IFERROR(__xludf.DUMMYFUNCTION("""COMPUTED_VALUE"""),48231.0)</f>
        <v>48231</v>
      </c>
      <c r="X823" s="149">
        <f>IFERROR(__xludf.DUMMYFUNCTION("""COMPUTED_VALUE"""),48047.0)</f>
        <v>48047</v>
      </c>
      <c r="Y823" t="str">
        <f>IFERROR(__xludf.DUMMYFUNCTION("""COMPUTED_VALUE"""),"ปลอดภัย")</f>
        <v>ปลอดภัย</v>
      </c>
      <c r="Z823" t="str">
        <f>IFERROR(__xludf.DUMMYFUNCTION("""COMPUTED_VALUE"""),"Khon Kaen Province")</f>
        <v>Khon Kaen Province</v>
      </c>
      <c r="AA823" t="str">
        <f>IFERROR(__xludf.DUMMYFUNCTION("""COMPUTED_VALUE"""),"Bangkok")</f>
        <v>Bangkok</v>
      </c>
      <c r="AB823" t="str">
        <f>IFERROR(__xludf.DUMMYFUNCTION("""COMPUTED_VALUE"""),"092-296-3964")</f>
        <v>092-296-3964</v>
      </c>
      <c r="AC823" t="str">
        <f>IFERROR(__xludf.DUMMYFUNCTION("""COMPUTED_VALUE"""),"Kanthamanee Kunchonmanee")</f>
        <v>Kanthamanee Kunchonmanee</v>
      </c>
      <c r="AD823" t="str">
        <f>IFERROR(__xludf.DUMMYFUNCTION("""COMPUTED_VALUE"""),"ploypailinc@airasia.com")</f>
        <v>ploypailinc@airasia.com</v>
      </c>
    </row>
    <row r="824">
      <c r="A824" s="142">
        <f>IFERROR(__xludf.DUMMYFUNCTION("""COMPUTED_VALUE"""),89.0)</f>
        <v>89</v>
      </c>
      <c r="B824" t="str">
        <f>IFERROR(__xludf.DUMMYFUNCTION("""COMPUTED_VALUE"""),"TAA7844")</f>
        <v>TAA7844</v>
      </c>
      <c r="C824">
        <f>IFERROR(__xludf.DUMMYFUNCTION("""COMPUTED_VALUE"""),1018978.0)</f>
        <v>1018978</v>
      </c>
      <c r="D824" t="str">
        <f>IFERROR(__xludf.DUMMYFUNCTION("""COMPUTED_VALUE"""),"Mr.")</f>
        <v>Mr.</v>
      </c>
      <c r="E824" t="str">
        <f>IFERROR(__xludf.DUMMYFUNCTION("""COMPUTED_VALUE"""),"Sakun")</f>
        <v>Sakun</v>
      </c>
      <c r="F824" t="str">
        <f>IFERROR(__xludf.DUMMYFUNCTION("""COMPUTED_VALUE"""),"Sakdavuth")</f>
        <v>Sakdavuth</v>
      </c>
      <c r="G824" t="str">
        <f>IFERROR(__xludf.DUMMYFUNCTION("""COMPUTED_VALUE"""),"Sakun Sakdavuth")</f>
        <v>Sakun Sakdavuth</v>
      </c>
      <c r="H824" t="str">
        <f>IFERROR(__xludf.DUMMYFUNCTION("""COMPUTED_VALUE"""),"นาย")</f>
        <v>นาย</v>
      </c>
      <c r="I824" t="str">
        <f>IFERROR(__xludf.DUMMYFUNCTION("""COMPUTED_VALUE"""),"สกุณ")</f>
        <v>สกุณ</v>
      </c>
      <c r="J824" t="str">
        <f>IFERROR(__xludf.DUMMYFUNCTION("""COMPUTED_VALUE"""),"ศักดาวุธ")</f>
        <v>ศักดาวุธ</v>
      </c>
      <c r="K824" t="str">
        <f>IFERROR(__xludf.DUMMYFUNCTION("""COMPUTED_VALUE"""),"สกุณ ศักดาวุธ")</f>
        <v>สกุณ ศักดาวุธ</v>
      </c>
      <c r="L824" t="str">
        <f>IFERROR(__xludf.DUMMYFUNCTION("""COMPUTED_VALUE"""),"Big/บิ๊ก")</f>
        <v>Big/บิ๊ก</v>
      </c>
      <c r="M824" t="str">
        <f>IFERROR(__xludf.DUMMYFUNCTION("""COMPUTED_VALUE"""),"Cabin Crew - CNX")</f>
        <v>Cabin Crew - CNX</v>
      </c>
      <c r="N824" t="str">
        <f>IFERROR(__xludf.DUMMYFUNCTION("""COMPUTED_VALUE"""),"CNX")</f>
        <v>CNX</v>
      </c>
      <c r="O824" s="145" t="str">
        <f>IFERROR(__xludf.DUMMYFUNCTION("""COMPUTED_VALUE"""),"Up Home")</f>
        <v>Up Home</v>
      </c>
      <c r="P824" t="str">
        <f>IFERROR(__xludf.DUMMYFUNCTION("""COMPUTED_VALUE"""),"Active")</f>
        <v>Active</v>
      </c>
      <c r="R824" s="143">
        <f>IFERROR(__xludf.DUMMYFUNCTION("""COMPUTED_VALUE"""),33374.0)</f>
        <v>33374</v>
      </c>
      <c r="S824" s="146" t="str">
        <f>IFERROR(__xludf.DUMMYFUNCTION("""COMPUTED_VALUE"""),"089-6316318")</f>
        <v>089-6316318</v>
      </c>
      <c r="T824" s="147" t="str">
        <f>IFERROR(__xludf.DUMMYFUNCTION("""COMPUTED_VALUE"""),"1509901-01-9030")</f>
        <v>1509901-01-9030</v>
      </c>
      <c r="U824" t="str">
        <f>IFERROR(__xludf.DUMMYFUNCTION("""COMPUTED_VALUE"""),"AD2765152")</f>
        <v>AD2765152</v>
      </c>
      <c r="V824" s="148">
        <f>IFERROR(__xludf.DUMMYFUNCTION("""COMPUTED_VALUE"""),46120.0)</f>
        <v>46120</v>
      </c>
      <c r="W824" s="148">
        <f>IFERROR(__xludf.DUMMYFUNCTION("""COMPUTED_VALUE"""),49772.0)</f>
        <v>49772</v>
      </c>
      <c r="X824" s="149">
        <f>IFERROR(__xludf.DUMMYFUNCTION("""COMPUTED_VALUE"""),49589.0)</f>
        <v>49589</v>
      </c>
      <c r="Y824" t="str">
        <f>IFERROR(__xludf.DUMMYFUNCTION("""COMPUTED_VALUE"""),"ปลอดภัย")</f>
        <v>ปลอดภัย</v>
      </c>
      <c r="Z824" t="str">
        <f>IFERROR(__xludf.DUMMYFUNCTION("""COMPUTED_VALUE"""),"Chiang Mai Province")</f>
        <v>Chiang Mai Province</v>
      </c>
      <c r="AA824" t="str">
        <f>IFERROR(__xludf.DUMMYFUNCTION("""COMPUTED_VALUE"""),"Bangkok")</f>
        <v>Bangkok</v>
      </c>
      <c r="AB824" t="str">
        <f>IFERROR(__xludf.DUMMYFUNCTION("""COMPUTED_VALUE"""),"089-635-3072")</f>
        <v>089-635-3072</v>
      </c>
      <c r="AC824" t="str">
        <f>IFERROR(__xludf.DUMMYFUNCTION("""COMPUTED_VALUE"""),"Siwilai Sakdavuth")</f>
        <v>Siwilai Sakdavuth</v>
      </c>
      <c r="AD824" t="str">
        <f>IFERROR(__xludf.DUMMYFUNCTION("""COMPUTED_VALUE"""),"sakuns@airasia.com")</f>
        <v>sakuns@airasia.com</v>
      </c>
    </row>
    <row r="825">
      <c r="A825" s="142">
        <f>IFERROR(__xludf.DUMMYFUNCTION("""COMPUTED_VALUE"""),89.0)</f>
        <v>89</v>
      </c>
      <c r="B825" t="str">
        <f>IFERROR(__xludf.DUMMYFUNCTION("""COMPUTED_VALUE"""),"TAA7843")</f>
        <v>TAA7843</v>
      </c>
      <c r="C825">
        <f>IFERROR(__xludf.DUMMYFUNCTION("""COMPUTED_VALUE"""),1018981.0)</f>
        <v>1018981</v>
      </c>
      <c r="D825" t="str">
        <f>IFERROR(__xludf.DUMMYFUNCTION("""COMPUTED_VALUE"""),"Mr.")</f>
        <v>Mr.</v>
      </c>
      <c r="E825" t="str">
        <f>IFERROR(__xludf.DUMMYFUNCTION("""COMPUTED_VALUE"""),"Thossaphol")</f>
        <v>Thossaphol</v>
      </c>
      <c r="F825" t="str">
        <f>IFERROR(__xludf.DUMMYFUNCTION("""COMPUTED_VALUE"""),"Sattabanmongkol")</f>
        <v>Sattabanmongkol</v>
      </c>
      <c r="G825" t="str">
        <f>IFERROR(__xludf.DUMMYFUNCTION("""COMPUTED_VALUE"""),"Thossaphol Sattabanmongkol")</f>
        <v>Thossaphol Sattabanmongkol</v>
      </c>
      <c r="H825" t="str">
        <f>IFERROR(__xludf.DUMMYFUNCTION("""COMPUTED_VALUE"""),"นาย")</f>
        <v>นาย</v>
      </c>
      <c r="I825" t="str">
        <f>IFERROR(__xludf.DUMMYFUNCTION("""COMPUTED_VALUE"""),"ทศพล")</f>
        <v>ทศพล</v>
      </c>
      <c r="J825" t="str">
        <f>IFERROR(__xludf.DUMMYFUNCTION("""COMPUTED_VALUE"""),"สัตบรรณมงคล")</f>
        <v>สัตบรรณมงคล</v>
      </c>
      <c r="K825" t="str">
        <f>IFERROR(__xludf.DUMMYFUNCTION("""COMPUTED_VALUE"""),"ทศพล สัตบรรณมงคล")</f>
        <v>ทศพล สัตบรรณมงคล</v>
      </c>
      <c r="L825" t="str">
        <f>IFERROR(__xludf.DUMMYFUNCTION("""COMPUTED_VALUE"""),"stamp")</f>
        <v>stamp</v>
      </c>
      <c r="M825" t="str">
        <f>IFERROR(__xludf.DUMMYFUNCTION("""COMPUTED_VALUE"""),"Cabin Crew")</f>
        <v>Cabin Crew</v>
      </c>
      <c r="N825" t="str">
        <f>IFERROR(__xludf.DUMMYFUNCTION("""COMPUTED_VALUE"""),"DMK")</f>
        <v>DMK</v>
      </c>
      <c r="O825" s="145" t="str">
        <f>IFERROR(__xludf.DUMMYFUNCTION("""COMPUTED_VALUE"""),"Um Home")</f>
        <v>Um Home</v>
      </c>
      <c r="P825" t="str">
        <f>IFERROR(__xludf.DUMMYFUNCTION("""COMPUTED_VALUE"""),"Active")</f>
        <v>Active</v>
      </c>
      <c r="Q825" t="str">
        <f>IFERROR(__xludf.DUMMYFUNCTION("""COMPUTED_VALUE"""),"Chinese Speaking")</f>
        <v>Chinese Speaking</v>
      </c>
      <c r="R825" s="143">
        <f>IFERROR(__xludf.DUMMYFUNCTION("""COMPUTED_VALUE"""),32769.0)</f>
        <v>32769</v>
      </c>
      <c r="S825" s="146" t="str">
        <f>IFERROR(__xludf.DUMMYFUNCTION("""COMPUTED_VALUE"""),"097-1198999")</f>
        <v>097-1198999</v>
      </c>
      <c r="T825" s="147" t="str">
        <f>IFERROR(__xludf.DUMMYFUNCTION("""COMPUTED_VALUE"""),"1101401-78-6500")</f>
        <v>1101401-78-6500</v>
      </c>
      <c r="U825" t="str">
        <f>IFERROR(__xludf.DUMMYFUNCTION("""COMPUTED_VALUE"""),"AC6230095")</f>
        <v>AC6230095</v>
      </c>
      <c r="V825" s="148">
        <f>IFERROR(__xludf.DUMMYFUNCTION("""COMPUTED_VALUE"""),45302.0)</f>
        <v>45302</v>
      </c>
      <c r="W825" s="150">
        <f>IFERROR(__xludf.DUMMYFUNCTION("""COMPUTED_VALUE"""),48954.0)</f>
        <v>48954</v>
      </c>
      <c r="X825" s="149">
        <f>IFERROR(__xludf.DUMMYFUNCTION("""COMPUTED_VALUE"""),48770.0)</f>
        <v>48770</v>
      </c>
      <c r="Y825" t="str">
        <f>IFERROR(__xludf.DUMMYFUNCTION("""COMPUTED_VALUE"""),"ปลอดภัย")</f>
        <v>ปลอดภัย</v>
      </c>
      <c r="Z825" t="str">
        <f>IFERROR(__xludf.DUMMYFUNCTION("""COMPUTED_VALUE"""),"Bangkok")</f>
        <v>Bangkok</v>
      </c>
      <c r="AA825" t="str">
        <f>IFERROR(__xludf.DUMMYFUNCTION("""COMPUTED_VALUE"""),"Bangkok")</f>
        <v>Bangkok</v>
      </c>
      <c r="AB825" t="str">
        <f>IFERROR(__xludf.DUMMYFUNCTION("""COMPUTED_VALUE"""),"029-8-74847-9")</f>
        <v>029-8-74847-9</v>
      </c>
      <c r="AD825" t="str">
        <f>IFERROR(__xludf.DUMMYFUNCTION("""COMPUTED_VALUE"""),"thossaphols@airasia.com")</f>
        <v>thossaphols@airasia.com</v>
      </c>
    </row>
    <row r="826">
      <c r="A826" s="142">
        <f>IFERROR(__xludf.DUMMYFUNCTION("""COMPUTED_VALUE"""),89.0)</f>
        <v>89</v>
      </c>
      <c r="B826" t="str">
        <f>IFERROR(__xludf.DUMMYFUNCTION("""COMPUTED_VALUE"""),"TAA7840")</f>
        <v>TAA7840</v>
      </c>
      <c r="C826">
        <f>IFERROR(__xludf.DUMMYFUNCTION("""COMPUTED_VALUE"""),1018982.0)</f>
        <v>1018982</v>
      </c>
      <c r="D826" t="str">
        <f>IFERROR(__xludf.DUMMYFUNCTION("""COMPUTED_VALUE"""),"Ms.")</f>
        <v>Ms.</v>
      </c>
      <c r="E826" t="str">
        <f>IFERROR(__xludf.DUMMYFUNCTION("""COMPUTED_VALUE"""),"Unyamanee")</f>
        <v>Unyamanee</v>
      </c>
      <c r="F826" t="str">
        <f>IFERROR(__xludf.DUMMYFUNCTION("""COMPUTED_VALUE"""),"Chinapan")</f>
        <v>Chinapan</v>
      </c>
      <c r="G826" t="str">
        <f>IFERROR(__xludf.DUMMYFUNCTION("""COMPUTED_VALUE"""),"Unyamanee Chinapan")</f>
        <v>Unyamanee Chinapan</v>
      </c>
      <c r="H826" t="str">
        <f>IFERROR(__xludf.DUMMYFUNCTION("""COMPUTED_VALUE"""),"นางสาว")</f>
        <v>นางสาว</v>
      </c>
      <c r="I826" t="str">
        <f>IFERROR(__xludf.DUMMYFUNCTION("""COMPUTED_VALUE"""),"อัญมณี")</f>
        <v>อัญมณี</v>
      </c>
      <c r="J826" t="str">
        <f>IFERROR(__xludf.DUMMYFUNCTION("""COMPUTED_VALUE"""),"ชินพันธุ์")</f>
        <v>ชินพันธุ์</v>
      </c>
      <c r="K826" t="str">
        <f>IFERROR(__xludf.DUMMYFUNCTION("""COMPUTED_VALUE"""),"อัญมณี ชินพันธุ์")</f>
        <v>อัญมณี ชินพันธุ์</v>
      </c>
      <c r="L826" t="str">
        <f>IFERROR(__xludf.DUMMYFUNCTION("""COMPUTED_VALUE"""),"Toffy ท๊อฟฟี่")</f>
        <v>Toffy ท๊อฟฟี่</v>
      </c>
      <c r="M826" t="str">
        <f>IFERROR(__xludf.DUMMYFUNCTION("""COMPUTED_VALUE"""),"Cabin Crew - BKK")</f>
        <v>Cabin Crew - BKK</v>
      </c>
      <c r="N826" t="str">
        <f>IFERROR(__xludf.DUMMYFUNCTION("""COMPUTED_VALUE"""),"BKK")</f>
        <v>BKK</v>
      </c>
      <c r="O826" s="145" t="str">
        <f>IFERROR(__xludf.DUMMYFUNCTION("""COMPUTED_VALUE"""),"Nhui Home")</f>
        <v>Nhui Home</v>
      </c>
      <c r="P826" t="str">
        <f>IFERROR(__xludf.DUMMYFUNCTION("""COMPUTED_VALUE"""),"Active/V/DMK")</f>
        <v>Active/V/DMK</v>
      </c>
      <c r="R826" s="143">
        <f>IFERROR(__xludf.DUMMYFUNCTION("""COMPUTED_VALUE"""),33135.0)</f>
        <v>33135</v>
      </c>
      <c r="S826" s="146" t="str">
        <f>IFERROR(__xludf.DUMMYFUNCTION("""COMPUTED_VALUE"""),"082-3628999")</f>
        <v>082-3628999</v>
      </c>
      <c r="T826" s="147" t="str">
        <f>IFERROR(__xludf.DUMMYFUNCTION("""COMPUTED_VALUE"""),"1103700-24-7564")</f>
        <v>1103700-24-7564</v>
      </c>
      <c r="U826" t="str">
        <f>IFERROR(__xludf.DUMMYFUNCTION("""COMPUTED_VALUE"""),"AC3785167")</f>
        <v>AC3785167</v>
      </c>
      <c r="V826" s="148">
        <f>IFERROR(__xludf.DUMMYFUNCTION("""COMPUTED_VALUE"""),44784.0)</f>
        <v>44784</v>
      </c>
      <c r="W826" s="148">
        <f>IFERROR(__xludf.DUMMYFUNCTION("""COMPUTED_VALUE"""),48436.0)</f>
        <v>48436</v>
      </c>
      <c r="X826" s="149">
        <f>IFERROR(__xludf.DUMMYFUNCTION("""COMPUTED_VALUE"""),48254.0)</f>
        <v>48254</v>
      </c>
      <c r="Y826" t="str">
        <f>IFERROR(__xludf.DUMMYFUNCTION("""COMPUTED_VALUE"""),"ปลอดภัย")</f>
        <v>ปลอดภัย</v>
      </c>
      <c r="Z826" t="str">
        <f>IFERROR(__xludf.DUMMYFUNCTION("""COMPUTED_VALUE"""),"Bangkok")</f>
        <v>Bangkok</v>
      </c>
      <c r="AA826" t="str">
        <f>IFERROR(__xludf.DUMMYFUNCTION("""COMPUTED_VALUE"""),"Bangkok")</f>
        <v>Bangkok</v>
      </c>
      <c r="AB826" t="str">
        <f>IFERROR(__xludf.DUMMYFUNCTION("""COMPUTED_VALUE"""),"086-781-0241")</f>
        <v>086-781-0241</v>
      </c>
      <c r="AC826" t="str">
        <f>IFERROR(__xludf.DUMMYFUNCTION("""COMPUTED_VALUE"""),"Porapon Chuenputhi")</f>
        <v>Porapon Chuenputhi</v>
      </c>
      <c r="AD826" t="str">
        <f>IFERROR(__xludf.DUMMYFUNCTION("""COMPUTED_VALUE"""),"unyamaneec@airasia.com")</f>
        <v>unyamaneec@airasia.com</v>
      </c>
    </row>
    <row r="827">
      <c r="AD827" t="str">
        <f>IFERROR(__xludf.DUMMYFUNCTION("""COMPUTED_VALUE"""),"")</f>
        <v/>
      </c>
    </row>
    <row r="828">
      <c r="A828" s="142">
        <f>IFERROR(__xludf.DUMMYFUNCTION("""COMPUTED_VALUE"""),90.0)</f>
        <v>90</v>
      </c>
      <c r="B828" t="str">
        <f>IFERROR(__xludf.DUMMYFUNCTION("""COMPUTED_VALUE"""),"TAA7888")</f>
        <v>TAA7888</v>
      </c>
      <c r="C828">
        <f>IFERROR(__xludf.DUMMYFUNCTION("""COMPUTED_VALUE"""),1019191.0)</f>
        <v>1019191</v>
      </c>
      <c r="D828" t="str">
        <f>IFERROR(__xludf.DUMMYFUNCTION("""COMPUTED_VALUE"""),"Ms.")</f>
        <v>Ms.</v>
      </c>
      <c r="E828" t="str">
        <f>IFERROR(__xludf.DUMMYFUNCTION("""COMPUTED_VALUE"""),"Nathamonphan")</f>
        <v>Nathamonphan</v>
      </c>
      <c r="F828" t="str">
        <f>IFERROR(__xludf.DUMMYFUNCTION("""COMPUTED_VALUE"""),"Boonyakiat")</f>
        <v>Boonyakiat</v>
      </c>
      <c r="G828" t="str">
        <f>IFERROR(__xludf.DUMMYFUNCTION("""COMPUTED_VALUE"""),"Nathamonphan Boonyakiat")</f>
        <v>Nathamonphan Boonyakiat</v>
      </c>
      <c r="H828" t="str">
        <f>IFERROR(__xludf.DUMMYFUNCTION("""COMPUTED_VALUE"""),"นางสาว")</f>
        <v>นางสาว</v>
      </c>
      <c r="I828" t="str">
        <f>IFERROR(__xludf.DUMMYFUNCTION("""COMPUTED_VALUE"""),"ณฐมนพรรณ")</f>
        <v>ณฐมนพรรณ</v>
      </c>
      <c r="J828" t="str">
        <f>IFERROR(__xludf.DUMMYFUNCTION("""COMPUTED_VALUE"""),"บุญยเกียรติ")</f>
        <v>บุญยเกียรติ</v>
      </c>
      <c r="K828" t="str">
        <f>IFERROR(__xludf.DUMMYFUNCTION("""COMPUTED_VALUE"""),"ณฐมนพรรณ บุญยเกียรติ")</f>
        <v>ณฐมนพรรณ บุญยเกียรติ</v>
      </c>
      <c r="L828" t="str">
        <f>IFERROR(__xludf.DUMMYFUNCTION("""COMPUTED_VALUE"""),"Earth เอิร์ท")</f>
        <v>Earth เอิร์ท</v>
      </c>
      <c r="M828" t="str">
        <f>IFERROR(__xludf.DUMMYFUNCTION("""COMPUTED_VALUE"""),"Cabin Crew")</f>
        <v>Cabin Crew</v>
      </c>
      <c r="N828" t="str">
        <f>IFERROR(__xludf.DUMMYFUNCTION("""COMPUTED_VALUE"""),"DMK")</f>
        <v>DMK</v>
      </c>
      <c r="O828" s="145" t="str">
        <f>IFERROR(__xludf.DUMMYFUNCTION("""COMPUTED_VALUE"""),"Namfon Home")</f>
        <v>Namfon Home</v>
      </c>
      <c r="P828" t="str">
        <f>IFERROR(__xludf.DUMMYFUNCTION("""COMPUTED_VALUE"""),"Active")</f>
        <v>Active</v>
      </c>
      <c r="R828" s="143">
        <f>IFERROR(__xludf.DUMMYFUNCTION("""COMPUTED_VALUE"""),34211.0)</f>
        <v>34211</v>
      </c>
      <c r="S828" s="146" t="str">
        <f>IFERROR(__xludf.DUMMYFUNCTION("""COMPUTED_VALUE"""),"088-6259641")</f>
        <v>088-6259641</v>
      </c>
      <c r="T828" s="147" t="str">
        <f>IFERROR(__xludf.DUMMYFUNCTION("""COMPUTED_VALUE"""),"1102700-29-4821")</f>
        <v>1102700-29-4821</v>
      </c>
      <c r="U828" t="str">
        <f>IFERROR(__xludf.DUMMYFUNCTION("""COMPUTED_VALUE"""),"AC4602308")</f>
        <v>AC4602308</v>
      </c>
      <c r="V828" s="148">
        <f>IFERROR(__xludf.DUMMYFUNCTION("""COMPUTED_VALUE"""),44998.0)</f>
        <v>44998</v>
      </c>
      <c r="W828" s="148">
        <f>IFERROR(__xludf.DUMMYFUNCTION("""COMPUTED_VALUE"""),48650.0)</f>
        <v>48650</v>
      </c>
      <c r="X828" s="149">
        <f>IFERROR(__xludf.DUMMYFUNCTION("""COMPUTED_VALUE"""),48469.0)</f>
        <v>48469</v>
      </c>
      <c r="Y828" t="str">
        <f>IFERROR(__xludf.DUMMYFUNCTION("""COMPUTED_VALUE"""),"ปลอดภัย")</f>
        <v>ปลอดภัย</v>
      </c>
      <c r="Z828" t="str">
        <f>IFERROR(__xludf.DUMMYFUNCTION("""COMPUTED_VALUE"""),"Bangkok")</f>
        <v>Bangkok</v>
      </c>
      <c r="AA828" t="str">
        <f>IFERROR(__xludf.DUMMYFUNCTION("""COMPUTED_VALUE"""),"phathumtani")</f>
        <v>phathumtani</v>
      </c>
      <c r="AB828" t="str">
        <f>IFERROR(__xludf.DUMMYFUNCTION("""COMPUTED_VALUE"""),"094-295-3596")</f>
        <v>094-295-3596</v>
      </c>
      <c r="AC828" t="str">
        <f>IFERROR(__xludf.DUMMYFUNCTION("""COMPUTED_VALUE"""),"Arunsri Boonyakiat(Mother)")</f>
        <v>Arunsri Boonyakiat(Mother)</v>
      </c>
      <c r="AD828" t="str">
        <f>IFERROR(__xludf.DUMMYFUNCTION("""COMPUTED_VALUE"""),"nathamonphanb@airasia.com")</f>
        <v>nathamonphanb@airasia.com</v>
      </c>
    </row>
    <row r="829">
      <c r="A829" s="142">
        <f>IFERROR(__xludf.DUMMYFUNCTION("""COMPUTED_VALUE"""),90.0)</f>
        <v>90</v>
      </c>
      <c r="B829" t="str">
        <f>IFERROR(__xludf.DUMMYFUNCTION("""COMPUTED_VALUE"""),"TAA7883")</f>
        <v>TAA7883</v>
      </c>
      <c r="C829">
        <f>IFERROR(__xludf.DUMMYFUNCTION("""COMPUTED_VALUE"""),1019193.0)</f>
        <v>1019193</v>
      </c>
      <c r="D829" t="str">
        <f>IFERROR(__xludf.DUMMYFUNCTION("""COMPUTED_VALUE"""),"Ms.")</f>
        <v>Ms.</v>
      </c>
      <c r="E829" t="str">
        <f>IFERROR(__xludf.DUMMYFUNCTION("""COMPUTED_VALUE"""),"Nattaporn")</f>
        <v>Nattaporn</v>
      </c>
      <c r="F829" t="str">
        <f>IFERROR(__xludf.DUMMYFUNCTION("""COMPUTED_VALUE"""),"Pattarasiriwong")</f>
        <v>Pattarasiriwong</v>
      </c>
      <c r="G829" t="str">
        <f>IFERROR(__xludf.DUMMYFUNCTION("""COMPUTED_VALUE"""),"Nattaporn Pattarasiriwong")</f>
        <v>Nattaporn Pattarasiriwong</v>
      </c>
      <c r="H829" t="str">
        <f>IFERROR(__xludf.DUMMYFUNCTION("""COMPUTED_VALUE"""),"นางสาว")</f>
        <v>นางสาว</v>
      </c>
      <c r="I829" t="str">
        <f>IFERROR(__xludf.DUMMYFUNCTION("""COMPUTED_VALUE"""),"ณัฐพร")</f>
        <v>ณัฐพร</v>
      </c>
      <c r="J829" t="str">
        <f>IFERROR(__xludf.DUMMYFUNCTION("""COMPUTED_VALUE"""),"ภัทรสิริวงศ์")</f>
        <v>ภัทรสิริวงศ์</v>
      </c>
      <c r="K829" t="str">
        <f>IFERROR(__xludf.DUMMYFUNCTION("""COMPUTED_VALUE"""),"ณัฐพร ภัทรสิริวงศ์")</f>
        <v>ณัฐพร ภัทรสิริวงศ์</v>
      </c>
      <c r="L829" t="str">
        <f>IFERROR(__xludf.DUMMYFUNCTION("""COMPUTED_VALUE"""),"Fai/ฝ้าย")</f>
        <v>Fai/ฝ้าย</v>
      </c>
      <c r="M829" t="str">
        <f>IFERROR(__xludf.DUMMYFUNCTION("""COMPUTED_VALUE"""),"Cabin Crew")</f>
        <v>Cabin Crew</v>
      </c>
      <c r="N829" t="str">
        <f>IFERROR(__xludf.DUMMYFUNCTION("""COMPUTED_VALUE"""),"DMK")</f>
        <v>DMK</v>
      </c>
      <c r="O829" s="145" t="str">
        <f>IFERROR(__xludf.DUMMYFUNCTION("""COMPUTED_VALUE"""),"Namfon Home")</f>
        <v>Namfon Home</v>
      </c>
      <c r="P829" t="str">
        <f>IFERROR(__xludf.DUMMYFUNCTION("""COMPUTED_VALUE"""),"Active")</f>
        <v>Active</v>
      </c>
      <c r="Q829" t="str">
        <f>IFERROR(__xludf.DUMMYFUNCTION("""COMPUTED_VALUE"""),"Korean Speaking")</f>
        <v>Korean Speaking</v>
      </c>
      <c r="R829" s="143">
        <f>IFERROR(__xludf.DUMMYFUNCTION("""COMPUTED_VALUE"""),34294.0)</f>
        <v>34294</v>
      </c>
      <c r="S829" s="146" t="str">
        <f>IFERROR(__xludf.DUMMYFUNCTION("""COMPUTED_VALUE"""),"098-256-8854")</f>
        <v>098-256-8854</v>
      </c>
      <c r="T829" s="147" t="str">
        <f>IFERROR(__xludf.DUMMYFUNCTION("""COMPUTED_VALUE"""),"1739900-44-1135")</f>
        <v>1739900-44-1135</v>
      </c>
      <c r="U829" t="str">
        <f>IFERROR(__xludf.DUMMYFUNCTION("""COMPUTED_VALUE"""),"AC32141897")</f>
        <v>AC32141897</v>
      </c>
      <c r="V829" s="148">
        <f>IFERROR(__xludf.DUMMYFUNCTION("""COMPUTED_VALUE"""),44706.0)</f>
        <v>44706</v>
      </c>
      <c r="W829" s="148">
        <f>IFERROR(__xludf.DUMMYFUNCTION("""COMPUTED_VALUE"""),48358.0)</f>
        <v>48358</v>
      </c>
      <c r="X829" s="149">
        <f>IFERROR(__xludf.DUMMYFUNCTION("""COMPUTED_VALUE"""),48176.0)</f>
        <v>48176</v>
      </c>
      <c r="Y829" t="str">
        <f>IFERROR(__xludf.DUMMYFUNCTION("""COMPUTED_VALUE"""),"ปลอดภัย")</f>
        <v>ปลอดภัย</v>
      </c>
      <c r="Z829" t="str">
        <f>IFERROR(__xludf.DUMMYFUNCTION("""COMPUTED_VALUE"""),"Nakhon Pathom Province")</f>
        <v>Nakhon Pathom Province</v>
      </c>
      <c r="AA829" t="str">
        <f>IFERROR(__xludf.DUMMYFUNCTION("""COMPUTED_VALUE"""),"Nakhon Pathom")</f>
        <v>Nakhon Pathom</v>
      </c>
      <c r="AB829" t="str">
        <f>IFERROR(__xludf.DUMMYFUNCTION("""COMPUTED_VALUE"""),"087-0278424")</f>
        <v>087-0278424</v>
      </c>
      <c r="AC829" t="str">
        <f>IFERROR(__xludf.DUMMYFUNCTION("""COMPUTED_VALUE"""),"Kitiya Pattarasiriwong (Mother)")</f>
        <v>Kitiya Pattarasiriwong (Mother)</v>
      </c>
      <c r="AD829" t="str">
        <f>IFERROR(__xludf.DUMMYFUNCTION("""COMPUTED_VALUE"""),"nattapornt@airasia.com")</f>
        <v>nattapornt@airasia.com</v>
      </c>
    </row>
    <row r="830">
      <c r="A830" s="142">
        <f>IFERROR(__xludf.DUMMYFUNCTION("""COMPUTED_VALUE"""),90.0)</f>
        <v>90</v>
      </c>
      <c r="B830" t="str">
        <f>IFERROR(__xludf.DUMMYFUNCTION("""COMPUTED_VALUE"""),"TAA7897")</f>
        <v>TAA7897</v>
      </c>
      <c r="C830">
        <f>IFERROR(__xludf.DUMMYFUNCTION("""COMPUTED_VALUE"""),1019195.0)</f>
        <v>1019195</v>
      </c>
      <c r="D830" t="str">
        <f>IFERROR(__xludf.DUMMYFUNCTION("""COMPUTED_VALUE"""),"Ms.")</f>
        <v>Ms.</v>
      </c>
      <c r="E830" t="str">
        <f>IFERROR(__xludf.DUMMYFUNCTION("""COMPUTED_VALUE"""),"Nattharicha")</f>
        <v>Nattharicha</v>
      </c>
      <c r="F830" t="str">
        <f>IFERROR(__xludf.DUMMYFUNCTION("""COMPUTED_VALUE"""),"Chantraram")</f>
        <v>Chantraram</v>
      </c>
      <c r="G830" t="str">
        <f>IFERROR(__xludf.DUMMYFUNCTION("""COMPUTED_VALUE"""),"Nattharicha Chantraram")</f>
        <v>Nattharicha Chantraram</v>
      </c>
      <c r="H830" t="str">
        <f>IFERROR(__xludf.DUMMYFUNCTION("""COMPUTED_VALUE"""),"นางสาว")</f>
        <v>นางสาว</v>
      </c>
      <c r="I830" t="str">
        <f>IFERROR(__xludf.DUMMYFUNCTION("""COMPUTED_VALUE"""),"ณัฐริชา")</f>
        <v>ณัฐริชา</v>
      </c>
      <c r="J830" t="str">
        <f>IFERROR(__xludf.DUMMYFUNCTION("""COMPUTED_VALUE"""),"จันทราราม")</f>
        <v>จันทราราม</v>
      </c>
      <c r="K830" t="str">
        <f>IFERROR(__xludf.DUMMYFUNCTION("""COMPUTED_VALUE"""),"ณัฐริชา จันทราราม")</f>
        <v>ณัฐริชา จันทราราม</v>
      </c>
      <c r="L830" t="str">
        <f>IFERROR(__xludf.DUMMYFUNCTION("""COMPUTED_VALUE"""),"Som / ส้ม")</f>
        <v>Som / ส้ม</v>
      </c>
      <c r="M830" t="str">
        <f>IFERROR(__xludf.DUMMYFUNCTION("""COMPUTED_VALUE"""),"Cabin Crew - CNX")</f>
        <v>Cabin Crew - CNX</v>
      </c>
      <c r="N830" t="str">
        <f>IFERROR(__xludf.DUMMYFUNCTION("""COMPUTED_VALUE"""),"CNX")</f>
        <v>CNX</v>
      </c>
      <c r="O830" s="145" t="str">
        <f>IFERROR(__xludf.DUMMYFUNCTION("""COMPUTED_VALUE"""),"Up Home")</f>
        <v>Up Home</v>
      </c>
      <c r="P830" t="str">
        <f>IFERROR(__xludf.DUMMYFUNCTION("""COMPUTED_VALUE"""),"Active")</f>
        <v>Active</v>
      </c>
      <c r="R830" s="143">
        <f>IFERROR(__xludf.DUMMYFUNCTION("""COMPUTED_VALUE"""),32834.0)</f>
        <v>32834</v>
      </c>
      <c r="S830" s="146" t="str">
        <f>IFERROR(__xludf.DUMMYFUNCTION("""COMPUTED_VALUE"""),"085-3946414")</f>
        <v>085-3946414</v>
      </c>
      <c r="T830" s="147" t="str">
        <f>IFERROR(__xludf.DUMMYFUNCTION("""COMPUTED_VALUE"""),"1509900-80-5066")</f>
        <v>1509900-80-5066</v>
      </c>
      <c r="U830" t="str">
        <f>IFERROR(__xludf.DUMMYFUNCTION("""COMPUTED_VALUE"""),"AC2877354")</f>
        <v>AC2877354</v>
      </c>
      <c r="V830" s="148">
        <f>IFERROR(__xludf.DUMMYFUNCTION("""COMPUTED_VALUE"""),44607.0)</f>
        <v>44607</v>
      </c>
      <c r="W830" s="148">
        <f>IFERROR(__xludf.DUMMYFUNCTION("""COMPUTED_VALUE"""),48258.0)</f>
        <v>48258</v>
      </c>
      <c r="X830" s="149">
        <f>IFERROR(__xludf.DUMMYFUNCTION("""COMPUTED_VALUE"""),48074.0)</f>
        <v>48074</v>
      </c>
      <c r="Y830" t="str">
        <f>IFERROR(__xludf.DUMMYFUNCTION("""COMPUTED_VALUE"""),"ปลอดภัย")</f>
        <v>ปลอดภัย</v>
      </c>
      <c r="Z830" t="str">
        <f>IFERROR(__xludf.DUMMYFUNCTION("""COMPUTED_VALUE"""),"Chiang Mai Province")</f>
        <v>Chiang Mai Province</v>
      </c>
      <c r="AA830" t="str">
        <f>IFERROR(__xludf.DUMMYFUNCTION("""COMPUTED_VALUE"""),"Chiang Mai")</f>
        <v>Chiang Mai</v>
      </c>
      <c r="AB830" t="str">
        <f>IFERROR(__xludf.DUMMYFUNCTION("""COMPUTED_VALUE"""),"083-769-9269")</f>
        <v>083-769-9269</v>
      </c>
      <c r="AC830" t="str">
        <f>IFERROR(__xludf.DUMMYFUNCTION("""COMPUTED_VALUE"""),"Noppharut Wattanachai")</f>
        <v>Noppharut Wattanachai</v>
      </c>
      <c r="AD830" t="str">
        <f>IFERROR(__xludf.DUMMYFUNCTION("""COMPUTED_VALUE"""),"nattharichac@airasia.com")</f>
        <v>nattharichac@airasia.com</v>
      </c>
    </row>
    <row r="831">
      <c r="A831" s="142">
        <f>IFERROR(__xludf.DUMMYFUNCTION("""COMPUTED_VALUE"""),90.0)</f>
        <v>90</v>
      </c>
      <c r="B831" t="str">
        <f>IFERROR(__xludf.DUMMYFUNCTION("""COMPUTED_VALUE"""),"TAA7896")</f>
        <v>TAA7896</v>
      </c>
      <c r="C831">
        <f>IFERROR(__xludf.DUMMYFUNCTION("""COMPUTED_VALUE"""),1019199.0)</f>
        <v>1019199</v>
      </c>
      <c r="D831" t="str">
        <f>IFERROR(__xludf.DUMMYFUNCTION("""COMPUTED_VALUE"""),"Ms.")</f>
        <v>Ms.</v>
      </c>
      <c r="E831" t="str">
        <f>IFERROR(__xludf.DUMMYFUNCTION("""COMPUTED_VALUE"""),"Nutpawee")</f>
        <v>Nutpawee</v>
      </c>
      <c r="F831" t="str">
        <f>IFERROR(__xludf.DUMMYFUNCTION("""COMPUTED_VALUE"""),"Thawanthalerngrit")</f>
        <v>Thawanthalerngrit</v>
      </c>
      <c r="G831" t="str">
        <f>IFERROR(__xludf.DUMMYFUNCTION("""COMPUTED_VALUE"""),"Nutpawee Thawanthalerngrit")</f>
        <v>Nutpawee Thawanthalerngrit</v>
      </c>
      <c r="H831" t="str">
        <f>IFERROR(__xludf.DUMMYFUNCTION("""COMPUTED_VALUE"""),"นางสาว")</f>
        <v>นางสาว</v>
      </c>
      <c r="I831" t="str">
        <f>IFERROR(__xludf.DUMMYFUNCTION("""COMPUTED_VALUE"""),"นัฏภาวี")</f>
        <v>นัฏภาวี</v>
      </c>
      <c r="J831" t="str">
        <f>IFERROR(__xludf.DUMMYFUNCTION("""COMPUTED_VALUE"""),"ถวัลย์เถลิงฤทธิ์")</f>
        <v>ถวัลย์เถลิงฤทธิ์</v>
      </c>
      <c r="K831" t="str">
        <f>IFERROR(__xludf.DUMMYFUNCTION("""COMPUTED_VALUE"""),"นัฏภาวี ถวัลย์เถลิงฤทธิ์")</f>
        <v>นัฏภาวี ถวัลย์เถลิงฤทธิ์</v>
      </c>
      <c r="L831" t="str">
        <f>IFERROR(__xludf.DUMMYFUNCTION("""COMPUTED_VALUE"""),"Fon / ฝน")</f>
        <v>Fon / ฝน</v>
      </c>
      <c r="M831" t="str">
        <f>IFERROR(__xludf.DUMMYFUNCTION("""COMPUTED_VALUE"""),"Senior Cabin Crew")</f>
        <v>Senior Cabin Crew</v>
      </c>
      <c r="N831" t="str">
        <f>IFERROR(__xludf.DUMMYFUNCTION("""COMPUTED_VALUE"""),"DMK")</f>
        <v>DMK</v>
      </c>
      <c r="O831" s="145" t="str">
        <f>IFERROR(__xludf.DUMMYFUNCTION("""COMPUTED_VALUE"""),"Kor Home")</f>
        <v>Kor Home</v>
      </c>
      <c r="P831" t="str">
        <f>IFERROR(__xludf.DUMMYFUNCTION("""COMPUTED_VALUE"""),"Active")</f>
        <v>Active</v>
      </c>
      <c r="R831" s="143">
        <f>IFERROR(__xludf.DUMMYFUNCTION("""COMPUTED_VALUE"""),32679.0)</f>
        <v>32679</v>
      </c>
      <c r="S831" s="146" t="str">
        <f>IFERROR(__xludf.DUMMYFUNCTION("""COMPUTED_VALUE"""),"087-559-2014")</f>
        <v>087-559-2014</v>
      </c>
      <c r="T831" s="147" t="str">
        <f>IFERROR(__xludf.DUMMYFUNCTION("""COMPUTED_VALUE"""),"1101401-65-9818")</f>
        <v>1101401-65-9818</v>
      </c>
      <c r="U831" t="str">
        <f>IFERROR(__xludf.DUMMYFUNCTION("""COMPUTED_VALUE"""),"AC2938434")</f>
        <v>AC2938434</v>
      </c>
      <c r="V831" s="148">
        <f>IFERROR(__xludf.DUMMYFUNCTION("""COMPUTED_VALUE"""),44630.0)</f>
        <v>44630</v>
      </c>
      <c r="W831" s="148">
        <f>IFERROR(__xludf.DUMMYFUNCTION("""COMPUTED_VALUE"""),46455.0)</f>
        <v>46455</v>
      </c>
      <c r="X831" s="149">
        <f>IFERROR(__xludf.DUMMYFUNCTION("""COMPUTED_VALUE"""),46274.0)</f>
        <v>46274</v>
      </c>
      <c r="Y831" t="str">
        <f>IFERROR(__xludf.DUMMYFUNCTION("""COMPUTED_VALUE"""),"ปลอดภัย")</f>
        <v>ปลอดภัย</v>
      </c>
      <c r="Z831" t="str">
        <f>IFERROR(__xludf.DUMMYFUNCTION("""COMPUTED_VALUE"""),"Bangkok")</f>
        <v>Bangkok</v>
      </c>
      <c r="AA831" t="str">
        <f>IFERROR(__xludf.DUMMYFUNCTION("""COMPUTED_VALUE"""),"Bangkok")</f>
        <v>Bangkok</v>
      </c>
      <c r="AB831" t="str">
        <f>IFERROR(__xludf.DUMMYFUNCTION("""COMPUTED_VALUE"""),"095-469-1593")</f>
        <v>095-469-1593</v>
      </c>
      <c r="AC831" t="str">
        <f>IFERROR(__xludf.DUMMYFUNCTION("""COMPUTED_VALUE"""),"Narongsuk Thawanthalerngrit(Father)")</f>
        <v>Narongsuk Thawanthalerngrit(Father)</v>
      </c>
      <c r="AD831" t="str">
        <f>IFERROR(__xludf.DUMMYFUNCTION("""COMPUTED_VALUE"""),"nutpaweet@airasia.com")</f>
        <v>nutpaweet@airasia.com</v>
      </c>
    </row>
    <row r="832">
      <c r="A832" s="142">
        <f>IFERROR(__xludf.DUMMYFUNCTION("""COMPUTED_VALUE"""),90.0)</f>
        <v>90</v>
      </c>
      <c r="B832" t="str">
        <f>IFERROR(__xludf.DUMMYFUNCTION("""COMPUTED_VALUE"""),"TAA7884")</f>
        <v>TAA7884</v>
      </c>
      <c r="C832">
        <f>IFERROR(__xludf.DUMMYFUNCTION("""COMPUTED_VALUE"""),1019204.0)</f>
        <v>1019204</v>
      </c>
      <c r="D832" t="str">
        <f>IFERROR(__xludf.DUMMYFUNCTION("""COMPUTED_VALUE"""),"Ms.")</f>
        <v>Ms.</v>
      </c>
      <c r="E832" t="str">
        <f>IFERROR(__xludf.DUMMYFUNCTION("""COMPUTED_VALUE"""),"Pawika")</f>
        <v>Pawika</v>
      </c>
      <c r="F832" t="str">
        <f>IFERROR(__xludf.DUMMYFUNCTION("""COMPUTED_VALUE"""),"Mingmanee (Boonrak)")</f>
        <v>Mingmanee (Boonrak)</v>
      </c>
      <c r="G832" t="str">
        <f>IFERROR(__xludf.DUMMYFUNCTION("""COMPUTED_VALUE"""),"Pawika Mingmanee")</f>
        <v>Pawika Mingmanee</v>
      </c>
      <c r="H832" t="str">
        <f>IFERROR(__xludf.DUMMYFUNCTION("""COMPUTED_VALUE"""),"นางสาว")</f>
        <v>นางสาว</v>
      </c>
      <c r="I832" t="str">
        <f>IFERROR(__xludf.DUMMYFUNCTION("""COMPUTED_VALUE"""),"ภาวิกา")</f>
        <v>ภาวิกา</v>
      </c>
      <c r="J832" t="str">
        <f>IFERROR(__xludf.DUMMYFUNCTION("""COMPUTED_VALUE"""),"มิ่งมณี (บุญรักษ์)")</f>
        <v>มิ่งมณี (บุญรักษ์)</v>
      </c>
      <c r="K832" t="str">
        <f>IFERROR(__xludf.DUMMYFUNCTION("""COMPUTED_VALUE"""),"ภาวิกา มิ่งมณี")</f>
        <v>ภาวิกา มิ่งมณี</v>
      </c>
      <c r="L832" t="str">
        <f>IFERROR(__xludf.DUMMYFUNCTION("""COMPUTED_VALUE"""),"Fhon/ฝน")</f>
        <v>Fhon/ฝน</v>
      </c>
      <c r="M832" t="str">
        <f>IFERROR(__xludf.DUMMYFUNCTION("""COMPUTED_VALUE"""),"Cabin Crew")</f>
        <v>Cabin Crew</v>
      </c>
      <c r="N832" t="str">
        <f>IFERROR(__xludf.DUMMYFUNCTION("""COMPUTED_VALUE"""),"DMK")</f>
        <v>DMK</v>
      </c>
      <c r="O832" s="145" t="str">
        <f>IFERROR(__xludf.DUMMYFUNCTION("""COMPUTED_VALUE"""),"Namfon Home")</f>
        <v>Namfon Home</v>
      </c>
      <c r="P832" t="str">
        <f>IFERROR(__xludf.DUMMYFUNCTION("""COMPUTED_VALUE"""),"Active")</f>
        <v>Active</v>
      </c>
      <c r="R832" s="143">
        <f>IFERROR(__xludf.DUMMYFUNCTION("""COMPUTED_VALUE"""),33866.0)</f>
        <v>33866</v>
      </c>
      <c r="S832" s="146" t="str">
        <f>IFERROR(__xludf.DUMMYFUNCTION("""COMPUTED_VALUE"""),"085-9208915")</f>
        <v>085-9208915</v>
      </c>
      <c r="T832" s="147" t="str">
        <f>IFERROR(__xludf.DUMMYFUNCTION("""COMPUTED_VALUE"""),"1430200-16-9275")</f>
        <v>1430200-16-9275</v>
      </c>
      <c r="U832" t="str">
        <f>IFERROR(__xludf.DUMMYFUNCTION("""COMPUTED_VALUE"""),"AC4198103")</f>
        <v>AC4198103</v>
      </c>
      <c r="V832" s="148">
        <f>IFERROR(__xludf.DUMMYFUNCTION("""COMPUTED_VALUE"""),44886.0)</f>
        <v>44886</v>
      </c>
      <c r="W832" s="148">
        <f>IFERROR(__xludf.DUMMYFUNCTION("""COMPUTED_VALUE"""),48538.0)</f>
        <v>48538</v>
      </c>
      <c r="X832" s="149">
        <f>IFERROR(__xludf.DUMMYFUNCTION("""COMPUTED_VALUE"""),48354.0)</f>
        <v>48354</v>
      </c>
      <c r="Y832" t="str">
        <f>IFERROR(__xludf.DUMMYFUNCTION("""COMPUTED_VALUE"""),"ปลอดภัย")</f>
        <v>ปลอดภัย</v>
      </c>
      <c r="Z832" t="str">
        <f>IFERROR(__xludf.DUMMYFUNCTION("""COMPUTED_VALUE"""),"Nong Khai Province")</f>
        <v>Nong Khai Province</v>
      </c>
      <c r="AA832" t="str">
        <f>IFERROR(__xludf.DUMMYFUNCTION("""COMPUTED_VALUE"""),"Bangkok")</f>
        <v>Bangkok</v>
      </c>
      <c r="AB832" t="str">
        <f>IFERROR(__xludf.DUMMYFUNCTION("""COMPUTED_VALUE"""),"089-575-9448")</f>
        <v>089-575-9448</v>
      </c>
      <c r="AC832" t="str">
        <f>IFERROR(__xludf.DUMMYFUNCTION("""COMPUTED_VALUE"""),"Pawita Boonrak (Mother)")</f>
        <v>Pawita Boonrak (Mother)</v>
      </c>
      <c r="AD832" t="str">
        <f>IFERROR(__xludf.DUMMYFUNCTION("""COMPUTED_VALUE"""),"pawikm@airasia.com")</f>
        <v>pawikm@airasia.com</v>
      </c>
    </row>
    <row r="833">
      <c r="A833" s="142">
        <f>IFERROR(__xludf.DUMMYFUNCTION("""COMPUTED_VALUE"""),90.0)</f>
        <v>90</v>
      </c>
      <c r="B833" t="str">
        <f>IFERROR(__xludf.DUMMYFUNCTION("""COMPUTED_VALUE"""),"TAA7894")</f>
        <v>TAA7894</v>
      </c>
      <c r="C833">
        <f>IFERROR(__xludf.DUMMYFUNCTION("""COMPUTED_VALUE"""),1019207.0)</f>
        <v>1019207</v>
      </c>
      <c r="D833" t="str">
        <f>IFERROR(__xludf.DUMMYFUNCTION("""COMPUTED_VALUE"""),"Mrs.")</f>
        <v>Mrs.</v>
      </c>
      <c r="E833" t="str">
        <f>IFERROR(__xludf.DUMMYFUNCTION("""COMPUTED_VALUE"""),"Phakamas")</f>
        <v>Phakamas</v>
      </c>
      <c r="F833" t="str">
        <f>IFERROR(__xludf.DUMMYFUNCTION("""COMPUTED_VALUE"""),"Broughton (Rachakrom)")</f>
        <v>Broughton (Rachakrom)</v>
      </c>
      <c r="G833" t="str">
        <f>IFERROR(__xludf.DUMMYFUNCTION("""COMPUTED_VALUE"""),"Phakamas Broughton")</f>
        <v>Phakamas Broughton</v>
      </c>
      <c r="H833" t="str">
        <f>IFERROR(__xludf.DUMMYFUNCTION("""COMPUTED_VALUE"""),"นาง")</f>
        <v>นาง</v>
      </c>
      <c r="I833" t="str">
        <f>IFERROR(__xludf.DUMMYFUNCTION("""COMPUTED_VALUE"""),"ผกามาศ")</f>
        <v>ผกามาศ</v>
      </c>
      <c r="J833" t="str">
        <f>IFERROR(__xludf.DUMMYFUNCTION("""COMPUTED_VALUE"""),"โบรห์ตัน (ราชกรม)")</f>
        <v>โบรห์ตัน (ราชกรม)</v>
      </c>
      <c r="K833" t="str">
        <f>IFERROR(__xludf.DUMMYFUNCTION("""COMPUTED_VALUE"""),"ผกามาศ โบรห์ตัน")</f>
        <v>ผกามาศ โบรห์ตัน</v>
      </c>
      <c r="L833" t="str">
        <f>IFERROR(__xludf.DUMMYFUNCTION("""COMPUTED_VALUE"""),"View / วิว")</f>
        <v>View / วิว</v>
      </c>
      <c r="M833" t="str">
        <f>IFERROR(__xludf.DUMMYFUNCTION("""COMPUTED_VALUE"""),"Cabin Crew - CNX")</f>
        <v>Cabin Crew - CNX</v>
      </c>
      <c r="N833" t="str">
        <f>IFERROR(__xludf.DUMMYFUNCTION("""COMPUTED_VALUE"""),"CNX")</f>
        <v>CNX</v>
      </c>
      <c r="O833" s="145" t="str">
        <f>IFERROR(__xludf.DUMMYFUNCTION("""COMPUTED_VALUE"""),"Up Home")</f>
        <v>Up Home</v>
      </c>
      <c r="P833" t="str">
        <f>IFERROR(__xludf.DUMMYFUNCTION("""COMPUTED_VALUE"""),"LWPP")</f>
        <v>LWPP</v>
      </c>
      <c r="R833" s="143">
        <f>IFERROR(__xludf.DUMMYFUNCTION("""COMPUTED_VALUE"""),33451.0)</f>
        <v>33451</v>
      </c>
      <c r="S833" s="146" t="str">
        <f>IFERROR(__xludf.DUMMYFUNCTION("""COMPUTED_VALUE"""),"081-545-9453")</f>
        <v>081-545-9453</v>
      </c>
      <c r="T833" s="147" t="str">
        <f>IFERROR(__xludf.DUMMYFUNCTION("""COMPUTED_VALUE"""),"1479900-15-5364")</f>
        <v>1479900-15-5364</v>
      </c>
      <c r="U833" t="str">
        <f>IFERROR(__xludf.DUMMYFUNCTION("""COMPUTED_VALUE"""),"AC6977051")</f>
        <v>AC6977051</v>
      </c>
      <c r="V833" s="148">
        <f>IFERROR(__xludf.DUMMYFUNCTION("""COMPUTED_VALUE"""),45601.0)</f>
        <v>45601</v>
      </c>
      <c r="W833" s="148">
        <f>IFERROR(__xludf.DUMMYFUNCTION("""COMPUTED_VALUE"""),49252.0)</f>
        <v>49252</v>
      </c>
      <c r="X833" s="149">
        <f>IFERROR(__xludf.DUMMYFUNCTION("""COMPUTED_VALUE"""),49068.0)</f>
        <v>49068</v>
      </c>
      <c r="Y833" t="str">
        <f>IFERROR(__xludf.DUMMYFUNCTION("""COMPUTED_VALUE"""),"ปลอดภัย")</f>
        <v>ปลอดภัย</v>
      </c>
      <c r="Z833" t="str">
        <f>IFERROR(__xludf.DUMMYFUNCTION("""COMPUTED_VALUE"""),"Sakon Nakhon Province")</f>
        <v>Sakon Nakhon Province</v>
      </c>
      <c r="AA833" t="str">
        <f>IFERROR(__xludf.DUMMYFUNCTION("""COMPUTED_VALUE"""),"Sakon Nakhon")</f>
        <v>Sakon Nakhon</v>
      </c>
      <c r="AB833" t="str">
        <f>IFERROR(__xludf.DUMMYFUNCTION("""COMPUTED_VALUE"""),"087-222-2672")</f>
        <v>087-222-2672</v>
      </c>
      <c r="AC833" t="str">
        <f>IFERROR(__xludf.DUMMYFUNCTION("""COMPUTED_VALUE"""),"Pornthip Rachakrom (Mother)")</f>
        <v>Pornthip Rachakrom (Mother)</v>
      </c>
      <c r="AD833" t="str">
        <f>IFERROR(__xludf.DUMMYFUNCTION("""COMPUTED_VALUE"""),"phakamasb@airasia.com")</f>
        <v>phakamasb@airasia.com</v>
      </c>
    </row>
    <row r="834">
      <c r="A834" s="142">
        <f>IFERROR(__xludf.DUMMYFUNCTION("""COMPUTED_VALUE"""),90.0)</f>
        <v>90</v>
      </c>
      <c r="B834" t="str">
        <f>IFERROR(__xludf.DUMMYFUNCTION("""COMPUTED_VALUE"""),"TAA7889")</f>
        <v>TAA7889</v>
      </c>
      <c r="C834">
        <f>IFERROR(__xludf.DUMMYFUNCTION("""COMPUTED_VALUE"""),1019208.0)</f>
        <v>1019208</v>
      </c>
      <c r="D834" t="str">
        <f>IFERROR(__xludf.DUMMYFUNCTION("""COMPUTED_VALUE"""),"Mr.")</f>
        <v>Mr.</v>
      </c>
      <c r="E834" t="str">
        <f>IFERROR(__xludf.DUMMYFUNCTION("""COMPUTED_VALUE"""),"Pakin")</f>
        <v>Pakin</v>
      </c>
      <c r="F834" t="str">
        <f>IFERROR(__xludf.DUMMYFUNCTION("""COMPUTED_VALUE"""),"Pithakthawikun")</f>
        <v>Pithakthawikun</v>
      </c>
      <c r="G834" t="str">
        <f>IFERROR(__xludf.DUMMYFUNCTION("""COMPUTED_VALUE"""),"Pakin Pithakthawikun")</f>
        <v>Pakin Pithakthawikun</v>
      </c>
      <c r="H834" t="str">
        <f>IFERROR(__xludf.DUMMYFUNCTION("""COMPUTED_VALUE"""),"นาย")</f>
        <v>นาย</v>
      </c>
      <c r="I834" t="str">
        <f>IFERROR(__xludf.DUMMYFUNCTION("""COMPUTED_VALUE"""),"ภาคิน")</f>
        <v>ภาคิน</v>
      </c>
      <c r="J834" t="str">
        <f>IFERROR(__xludf.DUMMYFUNCTION("""COMPUTED_VALUE"""),"พิทักษ์ทวีกุล")</f>
        <v>พิทักษ์ทวีกุล</v>
      </c>
      <c r="K834" t="str">
        <f>IFERROR(__xludf.DUMMYFUNCTION("""COMPUTED_VALUE"""),"ภาคิน พิทักษ์ทวีกุล")</f>
        <v>ภาคิน พิทักษ์ทวีกุล</v>
      </c>
      <c r="L834" t="str">
        <f>IFERROR(__xludf.DUMMYFUNCTION("""COMPUTED_VALUE"""),"Din/ดิน")</f>
        <v>Din/ดิน</v>
      </c>
      <c r="M834" t="str">
        <f>IFERROR(__xludf.DUMMYFUNCTION("""COMPUTED_VALUE"""),"Cabin Crew")</f>
        <v>Cabin Crew</v>
      </c>
      <c r="N834" t="str">
        <f>IFERROR(__xludf.DUMMYFUNCTION("""COMPUTED_VALUE"""),"DMK")</f>
        <v>DMK</v>
      </c>
      <c r="O834" s="145" t="str">
        <f>IFERROR(__xludf.DUMMYFUNCTION("""COMPUTED_VALUE"""),"Um Home")</f>
        <v>Um Home</v>
      </c>
      <c r="P834" t="str">
        <f>IFERROR(__xludf.DUMMYFUNCTION("""COMPUTED_VALUE"""),"Active")</f>
        <v>Active</v>
      </c>
      <c r="R834" s="143">
        <f>IFERROR(__xludf.DUMMYFUNCTION("""COMPUTED_VALUE"""),33080.0)</f>
        <v>33080</v>
      </c>
      <c r="S834" s="146" t="str">
        <f>IFERROR(__xludf.DUMMYFUNCTION("""COMPUTED_VALUE"""),"063-9399911")</f>
        <v>063-9399911</v>
      </c>
      <c r="T834" s="147" t="str">
        <f>IFERROR(__xludf.DUMMYFUNCTION("""COMPUTED_VALUE"""),"1411700-15-4804")</f>
        <v>1411700-15-4804</v>
      </c>
      <c r="U834" t="str">
        <f>IFERROR(__xludf.DUMMYFUNCTION("""COMPUTED_VALUE"""),"AC8165280")</f>
        <v>AC8165280</v>
      </c>
      <c r="V834" s="148">
        <f>IFERROR(__xludf.DUMMYFUNCTION("""COMPUTED_VALUE"""),45945.0)</f>
        <v>45945</v>
      </c>
      <c r="W834" s="148">
        <f>IFERROR(__xludf.DUMMYFUNCTION("""COMPUTED_VALUE"""),49596.0)</f>
        <v>49596</v>
      </c>
      <c r="X834" s="149">
        <f>IFERROR(__xludf.DUMMYFUNCTION("""COMPUTED_VALUE"""),49413.0)</f>
        <v>49413</v>
      </c>
      <c r="Y834" t="str">
        <f>IFERROR(__xludf.DUMMYFUNCTION("""COMPUTED_VALUE"""),"ปลอดภัย")</f>
        <v>ปลอดภัย</v>
      </c>
      <c r="Z834" t="str">
        <f>IFERROR(__xludf.DUMMYFUNCTION("""COMPUTED_VALUE"""),"Udon Thani Province")</f>
        <v>Udon Thani Province</v>
      </c>
      <c r="AA834" t="str">
        <f>IFERROR(__xludf.DUMMYFUNCTION("""COMPUTED_VALUE"""),"Udon Thani")</f>
        <v>Udon Thani</v>
      </c>
      <c r="AB834" t="str">
        <f>IFERROR(__xludf.DUMMYFUNCTION("""COMPUTED_VALUE"""),"094-009-8759")</f>
        <v>094-009-8759</v>
      </c>
      <c r="AC834" t="str">
        <f>IFERROR(__xludf.DUMMYFUNCTION("""COMPUTED_VALUE"""),"Junnapa Prasert(Mother)")</f>
        <v>Junnapa Prasert(Mother)</v>
      </c>
      <c r="AD834" t="str">
        <f>IFERROR(__xludf.DUMMYFUNCTION("""COMPUTED_VALUE"""),"pakinpi@airasia.com")</f>
        <v>pakinpi@airasia.com</v>
      </c>
    </row>
    <row r="835">
      <c r="A835" s="142">
        <f>IFERROR(__xludf.DUMMYFUNCTION("""COMPUTED_VALUE"""),90.0)</f>
        <v>90</v>
      </c>
      <c r="B835" t="str">
        <f>IFERROR(__xludf.DUMMYFUNCTION("""COMPUTED_VALUE"""),"TAA7899")</f>
        <v>TAA7899</v>
      </c>
      <c r="C835">
        <f>IFERROR(__xludf.DUMMYFUNCTION("""COMPUTED_VALUE"""),1019209.0)</f>
        <v>1019209</v>
      </c>
      <c r="D835" t="str">
        <f>IFERROR(__xludf.DUMMYFUNCTION("""COMPUTED_VALUE"""),"Ms.")</f>
        <v>Ms.</v>
      </c>
      <c r="E835" t="str">
        <f>IFERROR(__xludf.DUMMYFUNCTION("""COMPUTED_VALUE"""),"Ployputchara")</f>
        <v>Ployputchara</v>
      </c>
      <c r="F835" t="str">
        <f>IFERROR(__xludf.DUMMYFUNCTION("""COMPUTED_VALUE"""),"Sridara")</f>
        <v>Sridara</v>
      </c>
      <c r="G835" t="str">
        <f>IFERROR(__xludf.DUMMYFUNCTION("""COMPUTED_VALUE"""),"Ployputchara Sridara")</f>
        <v>Ployputchara Sridara</v>
      </c>
      <c r="H835" t="str">
        <f>IFERROR(__xludf.DUMMYFUNCTION("""COMPUTED_VALUE"""),"นางสาว")</f>
        <v>นางสาว</v>
      </c>
      <c r="I835" t="str">
        <f>IFERROR(__xludf.DUMMYFUNCTION("""COMPUTED_VALUE"""),"พลอยพัชรา")</f>
        <v>พลอยพัชรา</v>
      </c>
      <c r="J835" t="str">
        <f>IFERROR(__xludf.DUMMYFUNCTION("""COMPUTED_VALUE"""),"ศรีดารา")</f>
        <v>ศรีดารา</v>
      </c>
      <c r="K835" t="str">
        <f>IFERROR(__xludf.DUMMYFUNCTION("""COMPUTED_VALUE"""),"พลอยพัชรา ศรีดารา")</f>
        <v>พลอยพัชรา ศรีดารา</v>
      </c>
      <c r="L835" t="str">
        <f>IFERROR(__xludf.DUMMYFUNCTION("""COMPUTED_VALUE"""),"Ploy / พลอย")</f>
        <v>Ploy / พลอย</v>
      </c>
      <c r="M835" t="str">
        <f>IFERROR(__xludf.DUMMYFUNCTION("""COMPUTED_VALUE"""),"Cabin Crew")</f>
        <v>Cabin Crew</v>
      </c>
      <c r="N835" t="str">
        <f>IFERROR(__xludf.DUMMYFUNCTION("""COMPUTED_VALUE"""),"DMK")</f>
        <v>DMK</v>
      </c>
      <c r="O835" s="145" t="str">
        <f>IFERROR(__xludf.DUMMYFUNCTION("""COMPUTED_VALUE"""),"Toffy Home")</f>
        <v>Toffy Home</v>
      </c>
      <c r="P835" t="str">
        <f>IFERROR(__xludf.DUMMYFUNCTION("""COMPUTED_VALUE"""),"Active")</f>
        <v>Active</v>
      </c>
      <c r="R835" s="143">
        <f>IFERROR(__xludf.DUMMYFUNCTION("""COMPUTED_VALUE"""),33437.0)</f>
        <v>33437</v>
      </c>
      <c r="S835" s="146" t="str">
        <f>IFERROR(__xludf.DUMMYFUNCTION("""COMPUTED_VALUE"""),"080-8465840")</f>
        <v>080-8465840</v>
      </c>
      <c r="T835" s="147" t="str">
        <f>IFERROR(__xludf.DUMMYFUNCTION("""COMPUTED_VALUE"""),"1709900-63-7382")</f>
        <v>1709900-63-7382</v>
      </c>
      <c r="U835" t="str">
        <f>IFERROR(__xludf.DUMMYFUNCTION("""COMPUTED_VALUE"""),"AC2611385")</f>
        <v>AC2611385</v>
      </c>
      <c r="V835" s="148">
        <f>IFERROR(__xludf.DUMMYFUNCTION("""COMPUTED_VALUE"""),44538.0)</f>
        <v>44538</v>
      </c>
      <c r="W835" s="148">
        <f>IFERROR(__xludf.DUMMYFUNCTION("""COMPUTED_VALUE"""),48189.0)</f>
        <v>48189</v>
      </c>
      <c r="X835" s="149">
        <f>IFERROR(__xludf.DUMMYFUNCTION("""COMPUTED_VALUE"""),48006.0)</f>
        <v>48006</v>
      </c>
      <c r="Y835" t="str">
        <f>IFERROR(__xludf.DUMMYFUNCTION("""COMPUTED_VALUE"""),"ปลอดภัย")</f>
        <v>ปลอดภัย</v>
      </c>
      <c r="Z835" t="str">
        <f>IFERROR(__xludf.DUMMYFUNCTION("""COMPUTED_VALUE"""),"Ratchaburi Province")</f>
        <v>Ratchaburi Province</v>
      </c>
      <c r="AA835" t="str">
        <f>IFERROR(__xludf.DUMMYFUNCTION("""COMPUTED_VALUE"""),"Ratchaburi")</f>
        <v>Ratchaburi</v>
      </c>
      <c r="AB835" t="str">
        <f>IFERROR(__xludf.DUMMYFUNCTION("""COMPUTED_VALUE"""),"085-8222-783 080-112-1213")</f>
        <v>085-8222-783 080-112-1213</v>
      </c>
      <c r="AC835" t="str">
        <f>IFERROR(__xludf.DUMMYFUNCTION("""COMPUTED_VALUE"""),"Siripong Sridara (Father)")</f>
        <v>Siripong Sridara (Father)</v>
      </c>
      <c r="AD835" t="str">
        <f>IFERROR(__xludf.DUMMYFUNCTION("""COMPUTED_VALUE"""),"ployputcharas@airasia.com")</f>
        <v>ployputcharas@airasia.com</v>
      </c>
    </row>
    <row r="836">
      <c r="A836" s="142">
        <f>IFERROR(__xludf.DUMMYFUNCTION("""COMPUTED_VALUE"""),90.0)</f>
        <v>90</v>
      </c>
      <c r="B836" t="str">
        <f>IFERROR(__xludf.DUMMYFUNCTION("""COMPUTED_VALUE"""),"TAA7898")</f>
        <v>TAA7898</v>
      </c>
      <c r="C836">
        <f>IFERROR(__xludf.DUMMYFUNCTION("""COMPUTED_VALUE"""),1019215.0)</f>
        <v>1019215</v>
      </c>
      <c r="D836" t="str">
        <f>IFERROR(__xludf.DUMMYFUNCTION("""COMPUTED_VALUE"""),"Ms.")</f>
        <v>Ms.</v>
      </c>
      <c r="E836" t="str">
        <f>IFERROR(__xludf.DUMMYFUNCTION("""COMPUTED_VALUE"""),"Puttida")</f>
        <v>Puttida</v>
      </c>
      <c r="F836" t="str">
        <f>IFERROR(__xludf.DUMMYFUNCTION("""COMPUTED_VALUE"""),"Hirunyatrakul")</f>
        <v>Hirunyatrakul</v>
      </c>
      <c r="G836" t="str">
        <f>IFERROR(__xludf.DUMMYFUNCTION("""COMPUTED_VALUE"""),"Puttida Hirunyatrakul")</f>
        <v>Puttida Hirunyatrakul</v>
      </c>
      <c r="H836" t="str">
        <f>IFERROR(__xludf.DUMMYFUNCTION("""COMPUTED_VALUE"""),"นางสาว")</f>
        <v>นางสาว</v>
      </c>
      <c r="I836" t="str">
        <f>IFERROR(__xludf.DUMMYFUNCTION("""COMPUTED_VALUE"""),"พุทธิดา")</f>
        <v>พุทธิดา</v>
      </c>
      <c r="J836" t="str">
        <f>IFERROR(__xludf.DUMMYFUNCTION("""COMPUTED_VALUE"""),"หิรัณยตระกูล")</f>
        <v>หิรัณยตระกูล</v>
      </c>
      <c r="K836" t="str">
        <f>IFERROR(__xludf.DUMMYFUNCTION("""COMPUTED_VALUE"""),"พุทธิดา หิรัณยตระกูล")</f>
        <v>พุทธิดา หิรัณยตระกูล</v>
      </c>
      <c r="L836" t="str">
        <f>IFERROR(__xludf.DUMMYFUNCTION("""COMPUTED_VALUE"""),"Cookie/คุ้กกี้")</f>
        <v>Cookie/คุ้กกี้</v>
      </c>
      <c r="M836" t="str">
        <f>IFERROR(__xludf.DUMMYFUNCTION("""COMPUTED_VALUE"""),"Cabin Crew")</f>
        <v>Cabin Crew</v>
      </c>
      <c r="N836" t="str">
        <f>IFERROR(__xludf.DUMMYFUNCTION("""COMPUTED_VALUE"""),"DMK")</f>
        <v>DMK</v>
      </c>
      <c r="O836" s="145" t="str">
        <f>IFERROR(__xludf.DUMMYFUNCTION("""COMPUTED_VALUE"""),"Um Home")</f>
        <v>Um Home</v>
      </c>
      <c r="P836" t="str">
        <f>IFERROR(__xludf.DUMMYFUNCTION("""COMPUTED_VALUE"""),"Active")</f>
        <v>Active</v>
      </c>
      <c r="R836" s="143">
        <f>IFERROR(__xludf.DUMMYFUNCTION("""COMPUTED_VALUE"""),34493.0)</f>
        <v>34493</v>
      </c>
      <c r="S836" s="146" t="str">
        <f>IFERROR(__xludf.DUMMYFUNCTION("""COMPUTED_VALUE"""),"091-8532944")</f>
        <v>091-8532944</v>
      </c>
      <c r="T836" s="147" t="str">
        <f>IFERROR(__xludf.DUMMYFUNCTION("""COMPUTED_VALUE"""),"1509901-44-1921")</f>
        <v>1509901-44-1921</v>
      </c>
      <c r="U836" t="str">
        <f>IFERROR(__xludf.DUMMYFUNCTION("""COMPUTED_VALUE"""),"AC2723065")</f>
        <v>AC2723065</v>
      </c>
      <c r="V836" s="148">
        <f>IFERROR(__xludf.DUMMYFUNCTION("""COMPUTED_VALUE"""),44475.0)</f>
        <v>44475</v>
      </c>
      <c r="W836" s="148">
        <f>IFERROR(__xludf.DUMMYFUNCTION("""COMPUTED_VALUE"""),48126.0)</f>
        <v>48126</v>
      </c>
      <c r="X836" s="149">
        <f>IFERROR(__xludf.DUMMYFUNCTION("""COMPUTED_VALUE"""),47943.0)</f>
        <v>47943</v>
      </c>
      <c r="Y836" t="str">
        <f>IFERROR(__xludf.DUMMYFUNCTION("""COMPUTED_VALUE"""),"ปลอดภัย")</f>
        <v>ปลอดภัย</v>
      </c>
      <c r="Z836" t="str">
        <f>IFERROR(__xludf.DUMMYFUNCTION("""COMPUTED_VALUE"""),"Chiang Mai Province")</f>
        <v>Chiang Mai Province</v>
      </c>
      <c r="AA836" t="str">
        <f>IFERROR(__xludf.DUMMYFUNCTION("""COMPUTED_VALUE"""),"Chiang Mai")</f>
        <v>Chiang Mai</v>
      </c>
      <c r="AB836" t="str">
        <f>IFERROR(__xludf.DUMMYFUNCTION("""COMPUTED_VALUE"""),"095-451-0399")</f>
        <v>095-451-0399</v>
      </c>
      <c r="AC836" t="str">
        <f>IFERROR(__xludf.DUMMYFUNCTION("""COMPUTED_VALUE"""),"Udomsak Hirunyatrakul (Father)")</f>
        <v>Udomsak Hirunyatrakul (Father)</v>
      </c>
      <c r="AD836" t="str">
        <f>IFERROR(__xludf.DUMMYFUNCTION("""COMPUTED_VALUE"""),"puttidah@airasia.com")</f>
        <v>puttidah@airasia.com</v>
      </c>
    </row>
    <row r="837">
      <c r="A837" s="142">
        <f>IFERROR(__xludf.DUMMYFUNCTION("""COMPUTED_VALUE"""),90.0)</f>
        <v>90</v>
      </c>
      <c r="B837" t="str">
        <f>IFERROR(__xludf.DUMMYFUNCTION("""COMPUTED_VALUE"""),"TAA7893")</f>
        <v>TAA7893</v>
      </c>
      <c r="C837">
        <f>IFERROR(__xludf.DUMMYFUNCTION("""COMPUTED_VALUE"""),1019222.0)</f>
        <v>1019222</v>
      </c>
      <c r="D837" t="str">
        <f>IFERROR(__xludf.DUMMYFUNCTION("""COMPUTED_VALUE"""),"Ms.")</f>
        <v>Ms.</v>
      </c>
      <c r="E837" t="str">
        <f>IFERROR(__xludf.DUMMYFUNCTION("""COMPUTED_VALUE"""),"Supitcha")</f>
        <v>Supitcha</v>
      </c>
      <c r="F837" t="str">
        <f>IFERROR(__xludf.DUMMYFUNCTION("""COMPUTED_VALUE"""),"Thepgul")</f>
        <v>Thepgul</v>
      </c>
      <c r="G837" t="str">
        <f>IFERROR(__xludf.DUMMYFUNCTION("""COMPUTED_VALUE"""),"Supitcha Thepgul")</f>
        <v>Supitcha Thepgul</v>
      </c>
      <c r="H837" t="str">
        <f>IFERROR(__xludf.DUMMYFUNCTION("""COMPUTED_VALUE"""),"นางสาว")</f>
        <v>นางสาว</v>
      </c>
      <c r="I837" t="str">
        <f>IFERROR(__xludf.DUMMYFUNCTION("""COMPUTED_VALUE"""),"สุพิชชา")</f>
        <v>สุพิชชา</v>
      </c>
      <c r="J837" t="str">
        <f>IFERROR(__xludf.DUMMYFUNCTION("""COMPUTED_VALUE"""),"เทพกุล")</f>
        <v>เทพกุล</v>
      </c>
      <c r="K837" t="str">
        <f>IFERROR(__xludf.DUMMYFUNCTION("""COMPUTED_VALUE"""),"สุพิชชา เทพกุล")</f>
        <v>สุพิชชา เทพกุล</v>
      </c>
      <c r="L837" t="str">
        <f>IFERROR(__xludf.DUMMYFUNCTION("""COMPUTED_VALUE"""),"Amp/แอม")</f>
        <v>Amp/แอม</v>
      </c>
      <c r="M837" t="str">
        <f>IFERROR(__xludf.DUMMYFUNCTION("""COMPUTED_VALUE"""),"Cabin Crew")</f>
        <v>Cabin Crew</v>
      </c>
      <c r="N837" t="str">
        <f>IFERROR(__xludf.DUMMYFUNCTION("""COMPUTED_VALUE"""),"DMK")</f>
        <v>DMK</v>
      </c>
      <c r="O837" s="145" t="str">
        <f>IFERROR(__xludf.DUMMYFUNCTION("""COMPUTED_VALUE"""),"Por+ Home")</f>
        <v>Por+ Home</v>
      </c>
      <c r="P837" t="str">
        <f>IFERROR(__xludf.DUMMYFUNCTION("""COMPUTED_VALUE"""),"MATL/LWP")</f>
        <v>MATL/LWP</v>
      </c>
      <c r="R837" s="143">
        <f>IFERROR(__xludf.DUMMYFUNCTION("""COMPUTED_VALUE"""),34382.0)</f>
        <v>34382</v>
      </c>
      <c r="S837" s="146" t="str">
        <f>IFERROR(__xludf.DUMMYFUNCTION("""COMPUTED_VALUE"""),"085-7093950")</f>
        <v>085-7093950</v>
      </c>
      <c r="T837" s="147" t="str">
        <f>IFERROR(__xludf.DUMMYFUNCTION("""COMPUTED_VALUE"""),"1509901-41-3889")</f>
        <v>1509901-41-3889</v>
      </c>
      <c r="U837" t="str">
        <f>IFERROR(__xludf.DUMMYFUNCTION("""COMPUTED_VALUE"""),"AC2622727")</f>
        <v>AC2622727</v>
      </c>
      <c r="V837" s="148">
        <f>IFERROR(__xludf.DUMMYFUNCTION("""COMPUTED_VALUE"""),44545.0)</f>
        <v>44545</v>
      </c>
      <c r="W837" s="148">
        <f>IFERROR(__xludf.DUMMYFUNCTION("""COMPUTED_VALUE"""),48196.0)</f>
        <v>48196</v>
      </c>
      <c r="X837" s="149">
        <f>IFERROR(__xludf.DUMMYFUNCTION("""COMPUTED_VALUE"""),48013.0)</f>
        <v>48013</v>
      </c>
      <c r="Y837" t="str">
        <f>IFERROR(__xludf.DUMMYFUNCTION("""COMPUTED_VALUE"""),"ปลอดภัย")</f>
        <v>ปลอดภัย</v>
      </c>
      <c r="Z837" t="str">
        <f>IFERROR(__xludf.DUMMYFUNCTION("""COMPUTED_VALUE"""),"Chiang Mai Province")</f>
        <v>Chiang Mai Province</v>
      </c>
      <c r="AA837" t="str">
        <f>IFERROR(__xludf.DUMMYFUNCTION("""COMPUTED_VALUE"""),"Chiang Mai")</f>
        <v>Chiang Mai</v>
      </c>
      <c r="AB837" t="str">
        <f>IFERROR(__xludf.DUMMYFUNCTION("""COMPUTED_VALUE"""),"085-709-3950")</f>
        <v>085-709-3950</v>
      </c>
      <c r="AC837" t="str">
        <f>IFERROR(__xludf.DUMMYFUNCTION("""COMPUTED_VALUE"""),"Rattikorn Thepgul")</f>
        <v>Rattikorn Thepgul</v>
      </c>
      <c r="AD837" t="str">
        <f>IFERROR(__xludf.DUMMYFUNCTION("""COMPUTED_VALUE"""),"supitchat@airasia.com")</f>
        <v>supitchat@airasia.com</v>
      </c>
    </row>
    <row r="838">
      <c r="A838" s="142">
        <f>IFERROR(__xludf.DUMMYFUNCTION("""COMPUTED_VALUE"""),90.0)</f>
        <v>90</v>
      </c>
      <c r="B838" t="str">
        <f>IFERROR(__xludf.DUMMYFUNCTION("""COMPUTED_VALUE"""),"TAA7901")</f>
        <v>TAA7901</v>
      </c>
      <c r="C838">
        <f>IFERROR(__xludf.DUMMYFUNCTION("""COMPUTED_VALUE"""),1019223.0)</f>
        <v>1019223</v>
      </c>
      <c r="D838" t="str">
        <f>IFERROR(__xludf.DUMMYFUNCTION("""COMPUTED_VALUE"""),"Ms.")</f>
        <v>Ms.</v>
      </c>
      <c r="E838" t="str">
        <f>IFERROR(__xludf.DUMMYFUNCTION("""COMPUTED_VALUE"""),"Sutatta")</f>
        <v>Sutatta</v>
      </c>
      <c r="F838" t="str">
        <f>IFERROR(__xludf.DUMMYFUNCTION("""COMPUTED_VALUE"""),"Jongsirisathaporn")</f>
        <v>Jongsirisathaporn</v>
      </c>
      <c r="G838" t="str">
        <f>IFERROR(__xludf.DUMMYFUNCTION("""COMPUTED_VALUE"""),"Sutatta Jongsirisathaporn")</f>
        <v>Sutatta Jongsirisathaporn</v>
      </c>
      <c r="H838" t="str">
        <f>IFERROR(__xludf.DUMMYFUNCTION("""COMPUTED_VALUE"""),"นางสาว")</f>
        <v>นางสาว</v>
      </c>
      <c r="I838" t="str">
        <f>IFERROR(__xludf.DUMMYFUNCTION("""COMPUTED_VALUE"""),"สุทัตตา")</f>
        <v>สุทัตตา</v>
      </c>
      <c r="J838" t="str">
        <f>IFERROR(__xludf.DUMMYFUNCTION("""COMPUTED_VALUE"""),"จงศิริสถาพร")</f>
        <v>จงศิริสถาพร</v>
      </c>
      <c r="K838" t="str">
        <f>IFERROR(__xludf.DUMMYFUNCTION("""COMPUTED_VALUE"""),"สุทัตตา จงศิริสถาพร")</f>
        <v>สุทัตตา จงศิริสถาพร</v>
      </c>
      <c r="L838" t="str">
        <f>IFERROR(__xludf.DUMMYFUNCTION("""COMPUTED_VALUE"""),"North/นอร์ท")</f>
        <v>North/นอร์ท</v>
      </c>
      <c r="M838" t="str">
        <f>IFERROR(__xludf.DUMMYFUNCTION("""COMPUTED_VALUE"""),"Cabin Crew")</f>
        <v>Cabin Crew</v>
      </c>
      <c r="N838" t="str">
        <f>IFERROR(__xludf.DUMMYFUNCTION("""COMPUTED_VALUE"""),"DMK")</f>
        <v>DMK</v>
      </c>
      <c r="O838" s="145" t="str">
        <f>IFERROR(__xludf.DUMMYFUNCTION("""COMPUTED_VALUE"""),"Um Home")</f>
        <v>Um Home</v>
      </c>
      <c r="P838" t="str">
        <f>IFERROR(__xludf.DUMMYFUNCTION("""COMPUTED_VALUE"""),"Active")</f>
        <v>Active</v>
      </c>
      <c r="R838" s="143">
        <f>IFERROR(__xludf.DUMMYFUNCTION("""COMPUTED_VALUE"""),34117.0)</f>
        <v>34117</v>
      </c>
      <c r="S838" s="146" t="str">
        <f>IFERROR(__xludf.DUMMYFUNCTION("""COMPUTED_VALUE"""),"094-913-1997")</f>
        <v>094-913-1997</v>
      </c>
      <c r="T838" s="147" t="str">
        <f>IFERROR(__xludf.DUMMYFUNCTION("""COMPUTED_VALUE"""),"1100200-83-5014")</f>
        <v>1100200-83-5014</v>
      </c>
      <c r="U838" t="str">
        <f>IFERROR(__xludf.DUMMYFUNCTION("""COMPUTED_VALUE"""),"AC2262563")</f>
        <v>AC2262563</v>
      </c>
      <c r="V838" s="148">
        <f>IFERROR(__xludf.DUMMYFUNCTION("""COMPUTED_VALUE"""),44319.0)</f>
        <v>44319</v>
      </c>
      <c r="W838" s="148">
        <f>IFERROR(__xludf.DUMMYFUNCTION("""COMPUTED_VALUE"""),47970.0)</f>
        <v>47970</v>
      </c>
      <c r="X838" s="149">
        <f>IFERROR(__xludf.DUMMYFUNCTION("""COMPUTED_VALUE"""),47789.0)</f>
        <v>47789</v>
      </c>
      <c r="Y838" t="str">
        <f>IFERROR(__xludf.DUMMYFUNCTION("""COMPUTED_VALUE"""),"ปลอดภัย")</f>
        <v>ปลอดภัย</v>
      </c>
      <c r="Z838" t="str">
        <f>IFERROR(__xludf.DUMMYFUNCTION("""COMPUTED_VALUE"""),"Bangkok")</f>
        <v>Bangkok</v>
      </c>
      <c r="AA838" t="str">
        <f>IFERROR(__xludf.DUMMYFUNCTION("""COMPUTED_VALUE"""),"Bangkok")</f>
        <v>Bangkok</v>
      </c>
      <c r="AB838" t="str">
        <f>IFERROR(__xludf.DUMMYFUNCTION("""COMPUTED_VALUE"""),"085-239-7703")</f>
        <v>085-239-7703</v>
      </c>
      <c r="AC838" t="str">
        <f>IFERROR(__xludf.DUMMYFUNCTION("""COMPUTED_VALUE"""),"Porntip Jongsirisathaporn(Mother)")</f>
        <v>Porntip Jongsirisathaporn(Mother)</v>
      </c>
      <c r="AD838" t="str">
        <f>IFERROR(__xludf.DUMMYFUNCTION("""COMPUTED_VALUE"""),"sutattaj@airasia.com")</f>
        <v>sutattaj@airasia.com</v>
      </c>
    </row>
    <row r="839">
      <c r="A839" s="142">
        <f>IFERROR(__xludf.DUMMYFUNCTION("""COMPUTED_VALUE"""),90.0)</f>
        <v>90</v>
      </c>
      <c r="B839" t="str">
        <f>IFERROR(__xludf.DUMMYFUNCTION("""COMPUTED_VALUE"""),"TAA7895")</f>
        <v>TAA7895</v>
      </c>
      <c r="C839">
        <f>IFERROR(__xludf.DUMMYFUNCTION("""COMPUTED_VALUE"""),1019224.0)</f>
        <v>1019224</v>
      </c>
      <c r="D839" t="str">
        <f>IFERROR(__xludf.DUMMYFUNCTION("""COMPUTED_VALUE"""),"Ms.")</f>
        <v>Ms.</v>
      </c>
      <c r="E839" t="str">
        <f>IFERROR(__xludf.DUMMYFUNCTION("""COMPUTED_VALUE"""),"Suwapit")</f>
        <v>Suwapit</v>
      </c>
      <c r="F839" t="str">
        <f>IFERROR(__xludf.DUMMYFUNCTION("""COMPUTED_VALUE"""),"Rapipong")</f>
        <v>Rapipong</v>
      </c>
      <c r="G839" t="str">
        <f>IFERROR(__xludf.DUMMYFUNCTION("""COMPUTED_VALUE"""),"Suwapit Rapipong")</f>
        <v>Suwapit Rapipong</v>
      </c>
      <c r="H839" t="str">
        <f>IFERROR(__xludf.DUMMYFUNCTION("""COMPUTED_VALUE"""),"นางสาว")</f>
        <v>นางสาว</v>
      </c>
      <c r="I839" t="str">
        <f>IFERROR(__xludf.DUMMYFUNCTION("""COMPUTED_VALUE"""),"สุวพิชญ์")</f>
        <v>สุวพิชญ์</v>
      </c>
      <c r="J839" t="str">
        <f>IFERROR(__xludf.DUMMYFUNCTION("""COMPUTED_VALUE"""),"ระพิพงษ์")</f>
        <v>ระพิพงษ์</v>
      </c>
      <c r="K839" t="str">
        <f>IFERROR(__xludf.DUMMYFUNCTION("""COMPUTED_VALUE"""),"สุวพิชญ์ ระพิพงษ์")</f>
        <v>สุวพิชญ์ ระพิพงษ์</v>
      </c>
      <c r="L839" t="str">
        <f>IFERROR(__xludf.DUMMYFUNCTION("""COMPUTED_VALUE"""),"Jaja / จ๊ะจ๋า")</f>
        <v>Jaja / จ๊ะจ๋า</v>
      </c>
      <c r="M839" t="str">
        <f>IFERROR(__xludf.DUMMYFUNCTION("""COMPUTED_VALUE"""),"Cabin Crew - CNX")</f>
        <v>Cabin Crew - CNX</v>
      </c>
      <c r="N839" t="str">
        <f>IFERROR(__xludf.DUMMYFUNCTION("""COMPUTED_VALUE"""),"CNX")</f>
        <v>CNX</v>
      </c>
      <c r="O839" s="145" t="str">
        <f>IFERROR(__xludf.DUMMYFUNCTION("""COMPUTED_VALUE"""),"Up Home")</f>
        <v>Up Home</v>
      </c>
      <c r="P839" t="str">
        <f>IFERROR(__xludf.DUMMYFUNCTION("""COMPUTED_VALUE"""),"Active")</f>
        <v>Active</v>
      </c>
      <c r="R839" s="143">
        <f>IFERROR(__xludf.DUMMYFUNCTION("""COMPUTED_VALUE"""),32744.0)</f>
        <v>32744</v>
      </c>
      <c r="S839" s="146" t="str">
        <f>IFERROR(__xludf.DUMMYFUNCTION("""COMPUTED_VALUE"""),"062 249 0962")</f>
        <v>062 249 0962</v>
      </c>
      <c r="T839" s="147" t="str">
        <f>IFERROR(__xludf.DUMMYFUNCTION("""COMPUTED_VALUE"""),"1509900-74-7678")</f>
        <v>1509900-74-7678</v>
      </c>
      <c r="U839" t="str">
        <f>IFERROR(__xludf.DUMMYFUNCTION("""COMPUTED_VALUE"""),"AC2803149")</f>
        <v>AC2803149</v>
      </c>
      <c r="V839" s="148">
        <f>IFERROR(__xludf.DUMMYFUNCTION("""COMPUTED_VALUE"""),44511.0)</f>
        <v>44511</v>
      </c>
      <c r="W839" s="148">
        <f>IFERROR(__xludf.DUMMYFUNCTION("""COMPUTED_VALUE"""),48162.0)</f>
        <v>48162</v>
      </c>
      <c r="X839" s="149">
        <f>IFERROR(__xludf.DUMMYFUNCTION("""COMPUTED_VALUE"""),47978.0)</f>
        <v>47978</v>
      </c>
      <c r="Y839" t="str">
        <f>IFERROR(__xludf.DUMMYFUNCTION("""COMPUTED_VALUE"""),"ปลอดภัย")</f>
        <v>ปลอดภัย</v>
      </c>
      <c r="Z839" t="str">
        <f>IFERROR(__xludf.DUMMYFUNCTION("""COMPUTED_VALUE"""),"Chiang Mai Province")</f>
        <v>Chiang Mai Province</v>
      </c>
      <c r="AA839" t="str">
        <f>IFERROR(__xludf.DUMMYFUNCTION("""COMPUTED_VALUE"""),"Chiang Mai")</f>
        <v>Chiang Mai</v>
      </c>
      <c r="AB839" t="str">
        <f>IFERROR(__xludf.DUMMYFUNCTION("""COMPUTED_VALUE"""),"062-2490962")</f>
        <v>062-2490962</v>
      </c>
      <c r="AC839" t="str">
        <f>IFERROR(__xludf.DUMMYFUNCTION("""COMPUTED_VALUE"""),"Potjana Rapipong (Mother)")</f>
        <v>Potjana Rapipong (Mother)</v>
      </c>
      <c r="AD839" t="str">
        <f>IFERROR(__xludf.DUMMYFUNCTION("""COMPUTED_VALUE"""),"suwapitr@airasia.com")</f>
        <v>suwapitr@airasia.com</v>
      </c>
    </row>
    <row r="840">
      <c r="A840" s="142">
        <f>IFERROR(__xludf.DUMMYFUNCTION("""COMPUTED_VALUE"""),90.0)</f>
        <v>90</v>
      </c>
      <c r="B840" t="str">
        <f>IFERROR(__xludf.DUMMYFUNCTION("""COMPUTED_VALUE"""),"TAA7885")</f>
        <v>TAA7885</v>
      </c>
      <c r="C840">
        <f>IFERROR(__xludf.DUMMYFUNCTION("""COMPUTED_VALUE"""),1019230.0)</f>
        <v>1019230</v>
      </c>
      <c r="D840" t="str">
        <f>IFERROR(__xludf.DUMMYFUNCTION("""COMPUTED_VALUE"""),"Ms.")</f>
        <v>Ms.</v>
      </c>
      <c r="E840" t="str">
        <f>IFERROR(__xludf.DUMMYFUNCTION("""COMPUTED_VALUE"""),"Thun")</f>
        <v>Thun</v>
      </c>
      <c r="F840" t="str">
        <f>IFERROR(__xludf.DUMMYFUNCTION("""COMPUTED_VALUE"""),"Anunchanin")</f>
        <v>Anunchanin</v>
      </c>
      <c r="G840" t="str">
        <f>IFERROR(__xludf.DUMMYFUNCTION("""COMPUTED_VALUE"""),"Thun Anunchanin")</f>
        <v>Thun Anunchanin</v>
      </c>
      <c r="H840" t="str">
        <f>IFERROR(__xludf.DUMMYFUNCTION("""COMPUTED_VALUE"""),"นางสาว")</f>
        <v>นางสาว</v>
      </c>
      <c r="I840" t="str">
        <f>IFERROR(__xludf.DUMMYFUNCTION("""COMPUTED_VALUE"""),"ธัญ")</f>
        <v>ธัญ</v>
      </c>
      <c r="J840" t="str">
        <f>IFERROR(__xludf.DUMMYFUNCTION("""COMPUTED_VALUE"""),"อนัญชนินทร์")</f>
        <v>อนัญชนินทร์</v>
      </c>
      <c r="K840" t="str">
        <f>IFERROR(__xludf.DUMMYFUNCTION("""COMPUTED_VALUE"""),"ธัญ อนัญชนินทร์")</f>
        <v>ธัญ อนัญชนินทร์</v>
      </c>
      <c r="L840" t="str">
        <f>IFERROR(__xludf.DUMMYFUNCTION("""COMPUTED_VALUE"""),"Fong / ฟอง")</f>
        <v>Fong / ฟอง</v>
      </c>
      <c r="M840" t="str">
        <f>IFERROR(__xludf.DUMMYFUNCTION("""COMPUTED_VALUE"""),"Cabin Crew")</f>
        <v>Cabin Crew</v>
      </c>
      <c r="N840" t="str">
        <f>IFERROR(__xludf.DUMMYFUNCTION("""COMPUTED_VALUE"""),"DMK")</f>
        <v>DMK</v>
      </c>
      <c r="O840" s="145" t="str">
        <f>IFERROR(__xludf.DUMMYFUNCTION("""COMPUTED_VALUE"""),"Um Home")</f>
        <v>Um Home</v>
      </c>
      <c r="P840" t="str">
        <f>IFERROR(__xludf.DUMMYFUNCTION("""COMPUTED_VALUE"""),"Active")</f>
        <v>Active</v>
      </c>
      <c r="R840" s="143">
        <f>IFERROR(__xludf.DUMMYFUNCTION("""COMPUTED_VALUE"""),33098.0)</f>
        <v>33098</v>
      </c>
      <c r="S840" s="146" t="str">
        <f>IFERROR(__xludf.DUMMYFUNCTION("""COMPUTED_VALUE"""),"092-1924549")</f>
        <v>092-1924549</v>
      </c>
      <c r="T840" s="147" t="str">
        <f>IFERROR(__xludf.DUMMYFUNCTION("""COMPUTED_VALUE"""),"1100600-19-6434")</f>
        <v>1100600-19-6434</v>
      </c>
      <c r="U840" t="str">
        <f>IFERROR(__xludf.DUMMYFUNCTION("""COMPUTED_VALUE"""),"AC5726281")</f>
        <v>AC5726281</v>
      </c>
      <c r="V840" s="148">
        <f>IFERROR(__xludf.DUMMYFUNCTION("""COMPUTED_VALUE"""),45187.0)</f>
        <v>45187</v>
      </c>
      <c r="W840" s="148">
        <f>IFERROR(__xludf.DUMMYFUNCTION("""COMPUTED_VALUE"""),48839.0)</f>
        <v>48839</v>
      </c>
      <c r="X840" s="149">
        <f>IFERROR(__xludf.DUMMYFUNCTION("""COMPUTED_VALUE"""),48655.0)</f>
        <v>48655</v>
      </c>
      <c r="Y840" t="str">
        <f>IFERROR(__xludf.DUMMYFUNCTION("""COMPUTED_VALUE"""),"ปลอดภัย")</f>
        <v>ปลอดภัย</v>
      </c>
      <c r="Z840" t="str">
        <f>IFERROR(__xludf.DUMMYFUNCTION("""COMPUTED_VALUE"""),"Bangkok")</f>
        <v>Bangkok</v>
      </c>
      <c r="AA840" t="str">
        <f>IFERROR(__xludf.DUMMYFUNCTION("""COMPUTED_VALUE"""),"Rayong")</f>
        <v>Rayong</v>
      </c>
      <c r="AB840" t="str">
        <f>IFERROR(__xludf.DUMMYFUNCTION("""COMPUTED_VALUE"""),"086-337-2809")</f>
        <v>086-337-2809</v>
      </c>
      <c r="AC840" t="str">
        <f>IFERROR(__xludf.DUMMYFUNCTION("""COMPUTED_VALUE"""),"Suporn Anunchanin (Mother)")</f>
        <v>Suporn Anunchanin (Mother)</v>
      </c>
      <c r="AD840" t="str">
        <f>IFERROR(__xludf.DUMMYFUNCTION("""COMPUTED_VALUE"""),"thuna@airasia.com")</f>
        <v>thuna@airasia.com</v>
      </c>
    </row>
    <row r="841">
      <c r="AD841" t="str">
        <f>IFERROR(__xludf.DUMMYFUNCTION("""COMPUTED_VALUE"""),"")</f>
        <v/>
      </c>
    </row>
    <row r="842">
      <c r="A842" s="142">
        <f>IFERROR(__xludf.DUMMYFUNCTION("""COMPUTED_VALUE"""),91.0)</f>
        <v>91</v>
      </c>
      <c r="B842" t="str">
        <f>IFERROR(__xludf.DUMMYFUNCTION("""COMPUTED_VALUE"""),"TAA7915")</f>
        <v>TAA7915</v>
      </c>
      <c r="C842">
        <f>IFERROR(__xludf.DUMMYFUNCTION("""COMPUTED_VALUE"""),1019293.0)</f>
        <v>1019293</v>
      </c>
      <c r="D842" t="str">
        <f>IFERROR(__xludf.DUMMYFUNCTION("""COMPUTED_VALUE"""),"Mr.")</f>
        <v>Mr.</v>
      </c>
      <c r="E842" t="str">
        <f>IFERROR(__xludf.DUMMYFUNCTION("""COMPUTED_VALUE"""),"Ittiphol")</f>
        <v>Ittiphol</v>
      </c>
      <c r="F842" t="str">
        <f>IFERROR(__xludf.DUMMYFUNCTION("""COMPUTED_VALUE"""),"Boontan")</f>
        <v>Boontan</v>
      </c>
      <c r="G842" t="str">
        <f>IFERROR(__xludf.DUMMYFUNCTION("""COMPUTED_VALUE"""),"Ittiphol Boontan")</f>
        <v>Ittiphol Boontan</v>
      </c>
      <c r="H842" t="str">
        <f>IFERROR(__xludf.DUMMYFUNCTION("""COMPUTED_VALUE"""),"นาย")</f>
        <v>นาย</v>
      </c>
      <c r="I842" t="str">
        <f>IFERROR(__xludf.DUMMYFUNCTION("""COMPUTED_VALUE"""),"อิทธิพล")</f>
        <v>อิทธิพล</v>
      </c>
      <c r="J842" t="str">
        <f>IFERROR(__xludf.DUMMYFUNCTION("""COMPUTED_VALUE"""),"บุญแทน")</f>
        <v>บุญแทน</v>
      </c>
      <c r="K842" t="str">
        <f>IFERROR(__xludf.DUMMYFUNCTION("""COMPUTED_VALUE"""),"อิทธิพล บุญแทน")</f>
        <v>อิทธิพล บุญแทน</v>
      </c>
      <c r="L842" t="str">
        <f>IFERROR(__xludf.DUMMYFUNCTION("""COMPUTED_VALUE"""),"Zing / ซิ่ง")</f>
        <v>Zing / ซิ่ง</v>
      </c>
      <c r="M842" t="str">
        <f>IFERROR(__xludf.DUMMYFUNCTION("""COMPUTED_VALUE"""),"Cabin Crew")</f>
        <v>Cabin Crew</v>
      </c>
      <c r="N842" t="str">
        <f>IFERROR(__xludf.DUMMYFUNCTION("""COMPUTED_VALUE"""),"DMK")</f>
        <v>DMK</v>
      </c>
      <c r="O842" s="145" t="str">
        <f>IFERROR(__xludf.DUMMYFUNCTION("""COMPUTED_VALUE"""),"Um Home")</f>
        <v>Um Home</v>
      </c>
      <c r="P842" t="str">
        <f>IFERROR(__xludf.DUMMYFUNCTION("""COMPUTED_VALUE"""),"Active")</f>
        <v>Active</v>
      </c>
      <c r="R842" s="143">
        <f>IFERROR(__xludf.DUMMYFUNCTION("""COMPUTED_VALUE"""),32890.0)</f>
        <v>32890</v>
      </c>
      <c r="S842" s="146" t="str">
        <f>IFERROR(__xludf.DUMMYFUNCTION("""COMPUTED_VALUE"""),"091-595-3919")</f>
        <v>091-595-3919</v>
      </c>
      <c r="T842" s="147" t="str">
        <f>IFERROR(__xludf.DUMMYFUNCTION("""COMPUTED_VALUE"""),"1 84100 0048 12 9")</f>
        <v>1 84100 0048 12 9</v>
      </c>
      <c r="U842" t="str">
        <f>IFERROR(__xludf.DUMMYFUNCTION("""COMPUTED_VALUE"""),"AC6738330")</f>
        <v>AC6738330</v>
      </c>
      <c r="V842" s="148">
        <f>IFERROR(__xludf.DUMMYFUNCTION("""COMPUTED_VALUE"""),45419.0)</f>
        <v>45419</v>
      </c>
      <c r="W842" s="148">
        <f>IFERROR(__xludf.DUMMYFUNCTION("""COMPUTED_VALUE"""),49070.0)</f>
        <v>49070</v>
      </c>
      <c r="X842" s="149">
        <f>IFERROR(__xludf.DUMMYFUNCTION("""COMPUTED_VALUE"""),48889.0)</f>
        <v>48889</v>
      </c>
      <c r="Y842" t="str">
        <f>IFERROR(__xludf.DUMMYFUNCTION("""COMPUTED_VALUE"""),"ปลอดภัย")</f>
        <v>ปลอดภัย</v>
      </c>
      <c r="Z842" t="str">
        <f>IFERROR(__xludf.DUMMYFUNCTION("""COMPUTED_VALUE"""),"Surat Thani Province")</f>
        <v>Surat Thani Province</v>
      </c>
      <c r="AA842" t="str">
        <f>IFERROR(__xludf.DUMMYFUNCTION("""COMPUTED_VALUE"""),"Bangkok")</f>
        <v>Bangkok</v>
      </c>
      <c r="AB842" t="str">
        <f>IFERROR(__xludf.DUMMYFUNCTION("""COMPUTED_VALUE"""),"084-228-6449")</f>
        <v>084-228-6449</v>
      </c>
      <c r="AC842" t="str">
        <f>IFERROR(__xludf.DUMMYFUNCTION("""COMPUTED_VALUE"""),"Piyathida Seabanyung (Sister)")</f>
        <v>Piyathida Seabanyung (Sister)</v>
      </c>
      <c r="AD842" t="str">
        <f>IFERROR(__xludf.DUMMYFUNCTION("""COMPUTED_VALUE"""),"ittipholb@airasia.com")</f>
        <v>ittipholb@airasia.com</v>
      </c>
    </row>
    <row r="843">
      <c r="A843" s="142">
        <f>IFERROR(__xludf.DUMMYFUNCTION("""COMPUTED_VALUE"""),91.0)</f>
        <v>91</v>
      </c>
      <c r="B843" t="str">
        <f>IFERROR(__xludf.DUMMYFUNCTION("""COMPUTED_VALUE"""),"TAA7916")</f>
        <v>TAA7916</v>
      </c>
      <c r="C843">
        <f>IFERROR(__xludf.DUMMYFUNCTION("""COMPUTED_VALUE"""),1019294.0)</f>
        <v>1019294</v>
      </c>
      <c r="D843" t="str">
        <f>IFERROR(__xludf.DUMMYFUNCTION("""COMPUTED_VALUE"""),"Mr.")</f>
        <v>Mr.</v>
      </c>
      <c r="E843" t="str">
        <f>IFERROR(__xludf.DUMMYFUNCTION("""COMPUTED_VALUE"""),"Kritsada")</f>
        <v>Kritsada</v>
      </c>
      <c r="F843" t="str">
        <f>IFERROR(__xludf.DUMMYFUNCTION("""COMPUTED_VALUE"""),"Atsawaphonsakun")</f>
        <v>Atsawaphonsakun</v>
      </c>
      <c r="G843" t="str">
        <f>IFERROR(__xludf.DUMMYFUNCTION("""COMPUTED_VALUE"""),"Kritsada Atsawaphonsakun")</f>
        <v>Kritsada Atsawaphonsakun</v>
      </c>
      <c r="H843" t="str">
        <f>IFERROR(__xludf.DUMMYFUNCTION("""COMPUTED_VALUE"""),"นาย")</f>
        <v>นาย</v>
      </c>
      <c r="I843" t="str">
        <f>IFERROR(__xludf.DUMMYFUNCTION("""COMPUTED_VALUE"""),"กฤษฎา")</f>
        <v>กฤษฎา</v>
      </c>
      <c r="J843" t="str">
        <f>IFERROR(__xludf.DUMMYFUNCTION("""COMPUTED_VALUE"""),"อัศวพรสกุล")</f>
        <v>อัศวพรสกุล</v>
      </c>
      <c r="K843" t="str">
        <f>IFERROR(__xludf.DUMMYFUNCTION("""COMPUTED_VALUE"""),"กฤษฎา อัศวพรสกุล")</f>
        <v>กฤษฎา อัศวพรสกุล</v>
      </c>
      <c r="L843" t="str">
        <f>IFERROR(__xludf.DUMMYFUNCTION("""COMPUTED_VALUE"""),"Jian/เจี้ยน")</f>
        <v>Jian/เจี้ยน</v>
      </c>
      <c r="M843" t="str">
        <f>IFERROR(__xludf.DUMMYFUNCTION("""COMPUTED_VALUE"""),"Cabin Crew")</f>
        <v>Cabin Crew</v>
      </c>
      <c r="N843" t="str">
        <f>IFERROR(__xludf.DUMMYFUNCTION("""COMPUTED_VALUE"""),"DMK")</f>
        <v>DMK</v>
      </c>
      <c r="O843" s="145" t="str">
        <f>IFERROR(__xludf.DUMMYFUNCTION("""COMPUTED_VALUE"""),"Kor Home")</f>
        <v>Kor Home</v>
      </c>
      <c r="P843" t="str">
        <f>IFERROR(__xludf.DUMMYFUNCTION("""COMPUTED_VALUE"""),"V/LWP")</f>
        <v>V/LWP</v>
      </c>
      <c r="R843" s="143">
        <f>IFERROR(__xludf.DUMMYFUNCTION("""COMPUTED_VALUE"""),33458.0)</f>
        <v>33458</v>
      </c>
      <c r="S843" s="146" t="str">
        <f>IFERROR(__xludf.DUMMYFUNCTION("""COMPUTED_VALUE"""),"080-910-8278")</f>
        <v>080-910-8278</v>
      </c>
      <c r="T843" s="147" t="str">
        <f>IFERROR(__xludf.DUMMYFUNCTION("""COMPUTED_VALUE"""),"1 5799 00374 84 7")</f>
        <v>1 5799 00374 84 7</v>
      </c>
      <c r="U843" t="str">
        <f>IFERROR(__xludf.DUMMYFUNCTION("""COMPUTED_VALUE"""),"AC4486961")</f>
        <v>AC4486961</v>
      </c>
      <c r="V843" s="148">
        <f>IFERROR(__xludf.DUMMYFUNCTION("""COMPUTED_VALUE"""),44985.0)</f>
        <v>44985</v>
      </c>
      <c r="W843" s="148">
        <f>IFERROR(__xludf.DUMMYFUNCTION("""COMPUTED_VALUE"""),48637.0)</f>
        <v>48637</v>
      </c>
      <c r="X843" s="149">
        <f>IFERROR(__xludf.DUMMYFUNCTION("""COMPUTED_VALUE"""),48453.0)</f>
        <v>48453</v>
      </c>
      <c r="Y843" t="str">
        <f>IFERROR(__xludf.DUMMYFUNCTION("""COMPUTED_VALUE"""),"ปลอดภัย")</f>
        <v>ปลอดภัย</v>
      </c>
      <c r="Z843" t="str">
        <f>IFERROR(__xludf.DUMMYFUNCTION("""COMPUTED_VALUE"""),"Chiang Rai Province")</f>
        <v>Chiang Rai Province</v>
      </c>
      <c r="AA843" t="str">
        <f>IFERROR(__xludf.DUMMYFUNCTION("""COMPUTED_VALUE"""),"Bangkok")</f>
        <v>Bangkok</v>
      </c>
      <c r="AB843">
        <f>IFERROR(__xludf.DUMMYFUNCTION("""COMPUTED_VALUE"""),8.15309995E8)</f>
        <v>815309995</v>
      </c>
      <c r="AC843" t="str">
        <f>IFERROR(__xludf.DUMMYFUNCTION("""COMPUTED_VALUE"""),"Chutamak Atsawaphonsakun(Mother)")</f>
        <v>Chutamak Atsawaphonsakun(Mother)</v>
      </c>
      <c r="AD843" t="str">
        <f>IFERROR(__xludf.DUMMYFUNCTION("""COMPUTED_VALUE"""),"kritsadah@airasia.com")</f>
        <v>kritsadah@airasia.com</v>
      </c>
    </row>
    <row r="844">
      <c r="A844" s="142">
        <f>IFERROR(__xludf.DUMMYFUNCTION("""COMPUTED_VALUE"""),91.0)</f>
        <v>91</v>
      </c>
      <c r="B844" t="str">
        <f>IFERROR(__xludf.DUMMYFUNCTION("""COMPUTED_VALUE"""),"TAA7904")</f>
        <v>TAA7904</v>
      </c>
      <c r="C844">
        <f>IFERROR(__xludf.DUMMYFUNCTION("""COMPUTED_VALUE"""),1019295.0)</f>
        <v>1019295</v>
      </c>
      <c r="D844" t="str">
        <f>IFERROR(__xludf.DUMMYFUNCTION("""COMPUTED_VALUE"""),"Ms.")</f>
        <v>Ms.</v>
      </c>
      <c r="E844" t="str">
        <f>IFERROR(__xludf.DUMMYFUNCTION("""COMPUTED_VALUE"""),"Methawee")</f>
        <v>Methawee</v>
      </c>
      <c r="F844" t="str">
        <f>IFERROR(__xludf.DUMMYFUNCTION("""COMPUTED_VALUE"""),"Yos-in")</f>
        <v>Yos-in</v>
      </c>
      <c r="G844" t="str">
        <f>IFERROR(__xludf.DUMMYFUNCTION("""COMPUTED_VALUE"""),"Methawee Yos-in")</f>
        <v>Methawee Yos-in</v>
      </c>
      <c r="H844" t="str">
        <f>IFERROR(__xludf.DUMMYFUNCTION("""COMPUTED_VALUE"""),"นางสาว")</f>
        <v>นางสาว</v>
      </c>
      <c r="I844" t="str">
        <f>IFERROR(__xludf.DUMMYFUNCTION("""COMPUTED_VALUE"""),"เมธาวี")</f>
        <v>เมธาวี</v>
      </c>
      <c r="J844" t="str">
        <f>IFERROR(__xludf.DUMMYFUNCTION("""COMPUTED_VALUE"""),"ยศอินทร์")</f>
        <v>ยศอินทร์</v>
      </c>
      <c r="K844" t="str">
        <f>IFERROR(__xludf.DUMMYFUNCTION("""COMPUTED_VALUE"""),"เมธาวี ยศอินทร์")</f>
        <v>เมธาวี ยศอินทร์</v>
      </c>
      <c r="L844" t="str">
        <f>IFERROR(__xludf.DUMMYFUNCTION("""COMPUTED_VALUE"""),"Praew / แพรว")</f>
        <v>Praew / แพรว</v>
      </c>
      <c r="M844" t="str">
        <f>IFERROR(__xludf.DUMMYFUNCTION("""COMPUTED_VALUE"""),"Cabin Crew")</f>
        <v>Cabin Crew</v>
      </c>
      <c r="N844" t="str">
        <f>IFERROR(__xludf.DUMMYFUNCTION("""COMPUTED_VALUE"""),"DMK")</f>
        <v>DMK</v>
      </c>
      <c r="O844" s="145" t="str">
        <f>IFERROR(__xludf.DUMMYFUNCTION("""COMPUTED_VALUE"""),"Por+ Home")</f>
        <v>Por+ Home</v>
      </c>
      <c r="P844" t="str">
        <f>IFERROR(__xludf.DUMMYFUNCTION("""COMPUTED_VALUE"""),"Active")</f>
        <v>Active</v>
      </c>
      <c r="R844" s="143">
        <f>IFERROR(__xludf.DUMMYFUNCTION("""COMPUTED_VALUE"""),33555.0)</f>
        <v>33555</v>
      </c>
      <c r="S844" s="146" t="str">
        <f>IFERROR(__xludf.DUMMYFUNCTION("""COMPUTED_VALUE"""),"091-726-2456")</f>
        <v>091-726-2456</v>
      </c>
      <c r="T844" s="147" t="str">
        <f>IFERROR(__xludf.DUMMYFUNCTION("""COMPUTED_VALUE"""),"1 1037 00634 64 9")</f>
        <v>1 1037 00634 64 9</v>
      </c>
      <c r="U844" t="str">
        <f>IFERROR(__xludf.DUMMYFUNCTION("""COMPUTED_VALUE"""),"AC2604351")</f>
        <v>AC2604351</v>
      </c>
      <c r="V844" s="148">
        <f>IFERROR(__xludf.DUMMYFUNCTION("""COMPUTED_VALUE"""),44531.0)</f>
        <v>44531</v>
      </c>
      <c r="W844" s="148">
        <f>IFERROR(__xludf.DUMMYFUNCTION("""COMPUTED_VALUE"""),48182.0)</f>
        <v>48182</v>
      </c>
      <c r="X844" s="149">
        <f>IFERROR(__xludf.DUMMYFUNCTION("""COMPUTED_VALUE"""),47998.0)</f>
        <v>47998</v>
      </c>
      <c r="Y844" t="str">
        <f>IFERROR(__xludf.DUMMYFUNCTION("""COMPUTED_VALUE"""),"ปลอดภัย")</f>
        <v>ปลอดภัย</v>
      </c>
      <c r="Z844" t="str">
        <f>IFERROR(__xludf.DUMMYFUNCTION("""COMPUTED_VALUE"""),"Bangkok")</f>
        <v>Bangkok</v>
      </c>
      <c r="AA844" t="str">
        <f>IFERROR(__xludf.DUMMYFUNCTION("""COMPUTED_VALUE"""),"Trat")</f>
        <v>Trat</v>
      </c>
      <c r="AB844" t="str">
        <f>IFERROR(__xludf.DUMMYFUNCTION("""COMPUTED_VALUE"""),"080-8909850")</f>
        <v>080-8909850</v>
      </c>
      <c r="AC844" t="str">
        <f>IFERROR(__xludf.DUMMYFUNCTION("""COMPUTED_VALUE"""),"Manus Yos-in (Father)")</f>
        <v>Manus Yos-in (Father)</v>
      </c>
      <c r="AD844" t="str">
        <f>IFERROR(__xludf.DUMMYFUNCTION("""COMPUTED_VALUE"""),"methaweey@airasia.com")</f>
        <v>methaweey@airasia.com</v>
      </c>
    </row>
    <row r="845">
      <c r="A845" s="142">
        <f>IFERROR(__xludf.DUMMYFUNCTION("""COMPUTED_VALUE"""),91.0)</f>
        <v>91</v>
      </c>
      <c r="B845" t="str">
        <f>IFERROR(__xludf.DUMMYFUNCTION("""COMPUTED_VALUE"""),"TAA7908")</f>
        <v>TAA7908</v>
      </c>
      <c r="C845">
        <f>IFERROR(__xludf.DUMMYFUNCTION("""COMPUTED_VALUE"""),1019297.0)</f>
        <v>1019297</v>
      </c>
      <c r="D845" t="str">
        <f>IFERROR(__xludf.DUMMYFUNCTION("""COMPUTED_VALUE"""),"Ms.")</f>
        <v>Ms.</v>
      </c>
      <c r="E845" t="str">
        <f>IFERROR(__xludf.DUMMYFUNCTION("""COMPUTED_VALUE"""),"Norramon")</f>
        <v>Norramon</v>
      </c>
      <c r="F845" t="str">
        <f>IFERROR(__xludf.DUMMYFUNCTION("""COMPUTED_VALUE"""),"Nakkara")</f>
        <v>Nakkara</v>
      </c>
      <c r="G845" t="str">
        <f>IFERROR(__xludf.DUMMYFUNCTION("""COMPUTED_VALUE"""),"Norramon Nakkara")</f>
        <v>Norramon Nakkara</v>
      </c>
      <c r="H845" t="str">
        <f>IFERROR(__xludf.DUMMYFUNCTION("""COMPUTED_VALUE"""),"นางสาว")</f>
        <v>นางสาว</v>
      </c>
      <c r="I845" t="str">
        <f>IFERROR(__xludf.DUMMYFUNCTION("""COMPUTED_VALUE"""),"นรมน")</f>
        <v>นรมน</v>
      </c>
      <c r="J845" t="str">
        <f>IFERROR(__xludf.DUMMYFUNCTION("""COMPUTED_VALUE"""),"นัครา")</f>
        <v>นัครา</v>
      </c>
      <c r="K845" t="str">
        <f>IFERROR(__xludf.DUMMYFUNCTION("""COMPUTED_VALUE"""),"นรมน นัครา")</f>
        <v>นรมน นัครา</v>
      </c>
      <c r="L845" t="str">
        <f>IFERROR(__xludf.DUMMYFUNCTION("""COMPUTED_VALUE"""),"Bua / บัว")</f>
        <v>Bua / บัว</v>
      </c>
      <c r="M845" t="str">
        <f>IFERROR(__xludf.DUMMYFUNCTION("""COMPUTED_VALUE"""),"Cabin Crew")</f>
        <v>Cabin Crew</v>
      </c>
      <c r="N845" t="str">
        <f>IFERROR(__xludf.DUMMYFUNCTION("""COMPUTED_VALUE"""),"DMK")</f>
        <v>DMK</v>
      </c>
      <c r="O845" s="145" t="str">
        <f>IFERROR(__xludf.DUMMYFUNCTION("""COMPUTED_VALUE"""),"Kor Home")</f>
        <v>Kor Home</v>
      </c>
      <c r="P845" t="str">
        <f>IFERROR(__xludf.DUMMYFUNCTION("""COMPUTED_VALUE"""),"Active")</f>
        <v>Active</v>
      </c>
      <c r="R845" s="143">
        <f>IFERROR(__xludf.DUMMYFUNCTION("""COMPUTED_VALUE"""),34190.0)</f>
        <v>34190</v>
      </c>
      <c r="S845" s="146" t="str">
        <f>IFERROR(__xludf.DUMMYFUNCTION("""COMPUTED_VALUE"""),"065 629 4965")</f>
        <v>065 629 4965</v>
      </c>
      <c r="T845" s="147" t="str">
        <f>IFERROR(__xludf.DUMMYFUNCTION("""COMPUTED_VALUE"""),"1 9098 00739 49 1")</f>
        <v>1 9098 00739 49 1</v>
      </c>
      <c r="U845" t="str">
        <f>IFERROR(__xludf.DUMMYFUNCTION("""COMPUTED_VALUE"""),"AD1395166")</f>
        <v>AD1395166</v>
      </c>
      <c r="V845" s="148">
        <f>IFERROR(__xludf.DUMMYFUNCTION("""COMPUTED_VALUE"""),45236.0)</f>
        <v>45236</v>
      </c>
      <c r="W845" s="148">
        <f>IFERROR(__xludf.DUMMYFUNCTION("""COMPUTED_VALUE"""),48888.0)</f>
        <v>48888</v>
      </c>
      <c r="X845" s="149">
        <f>IFERROR(__xludf.DUMMYFUNCTION("""COMPUTED_VALUE"""),48704.0)</f>
        <v>48704</v>
      </c>
      <c r="Y845" t="str">
        <f>IFERROR(__xludf.DUMMYFUNCTION("""COMPUTED_VALUE"""),"ปลอดภัย")</f>
        <v>ปลอดภัย</v>
      </c>
      <c r="Z845" t="str">
        <f>IFERROR(__xludf.DUMMYFUNCTION("""COMPUTED_VALUE"""),"Songkhla Province")</f>
        <v>Songkhla Province</v>
      </c>
      <c r="AA845" t="str">
        <f>IFERROR(__xludf.DUMMYFUNCTION("""COMPUTED_VALUE"""),"Bangkok")</f>
        <v>Bangkok</v>
      </c>
      <c r="AB845" t="str">
        <f>IFERROR(__xludf.DUMMYFUNCTION("""COMPUTED_VALUE"""),"090-220-2570")</f>
        <v>090-220-2570</v>
      </c>
      <c r="AC845" t="str">
        <f>IFERROR(__xludf.DUMMYFUNCTION("""COMPUTED_VALUE"""),"Siriluck Nakkara(Mother)")</f>
        <v>Siriluck Nakkara(Mother)</v>
      </c>
      <c r="AD845" t="str">
        <f>IFERROR(__xludf.DUMMYFUNCTION("""COMPUTED_VALUE"""),"norramonn@airasia.com")</f>
        <v>norramonn@airasia.com</v>
      </c>
    </row>
    <row r="846">
      <c r="A846" s="142">
        <f>IFERROR(__xludf.DUMMYFUNCTION("""COMPUTED_VALUE"""),91.0)</f>
        <v>91</v>
      </c>
      <c r="B846" t="str">
        <f>IFERROR(__xludf.DUMMYFUNCTION("""COMPUTED_VALUE"""),"TAA7905")</f>
        <v>TAA7905</v>
      </c>
      <c r="C846">
        <f>IFERROR(__xludf.DUMMYFUNCTION("""COMPUTED_VALUE"""),1019299.0)</f>
        <v>1019299</v>
      </c>
      <c r="D846" t="str">
        <f>IFERROR(__xludf.DUMMYFUNCTION("""COMPUTED_VALUE"""),"Ms.")</f>
        <v>Ms.</v>
      </c>
      <c r="E846" t="str">
        <f>IFERROR(__xludf.DUMMYFUNCTION("""COMPUTED_VALUE"""),"Phattaraporn")</f>
        <v>Phattaraporn</v>
      </c>
      <c r="F846" t="str">
        <f>IFERROR(__xludf.DUMMYFUNCTION("""COMPUTED_VALUE"""),"Jindapol")</f>
        <v>Jindapol</v>
      </c>
      <c r="G846" t="str">
        <f>IFERROR(__xludf.DUMMYFUNCTION("""COMPUTED_VALUE"""),"Phattaraporn Jindapol")</f>
        <v>Phattaraporn Jindapol</v>
      </c>
      <c r="H846" t="str">
        <f>IFERROR(__xludf.DUMMYFUNCTION("""COMPUTED_VALUE"""),"นางสาว")</f>
        <v>นางสาว</v>
      </c>
      <c r="I846" t="str">
        <f>IFERROR(__xludf.DUMMYFUNCTION("""COMPUTED_VALUE"""),"ภัทรภร")</f>
        <v>ภัทรภร</v>
      </c>
      <c r="J846" t="str">
        <f>IFERROR(__xludf.DUMMYFUNCTION("""COMPUTED_VALUE"""),"จินดาพล")</f>
        <v>จินดาพล</v>
      </c>
      <c r="K846" t="str">
        <f>IFERROR(__xludf.DUMMYFUNCTION("""COMPUTED_VALUE"""),"ภัทรภร จินดาพล")</f>
        <v>ภัทรภร จินดาพล</v>
      </c>
      <c r="L846" t="str">
        <f>IFERROR(__xludf.DUMMYFUNCTION("""COMPUTED_VALUE"""),"Batt / แบด")</f>
        <v>Batt / แบด</v>
      </c>
      <c r="M846" t="str">
        <f>IFERROR(__xludf.DUMMYFUNCTION("""COMPUTED_VALUE"""),"Cabin Crew")</f>
        <v>Cabin Crew</v>
      </c>
      <c r="N846" t="str">
        <f>IFERROR(__xludf.DUMMYFUNCTION("""COMPUTED_VALUE"""),"DMK")</f>
        <v>DMK</v>
      </c>
      <c r="O846" s="145" t="str">
        <f>IFERROR(__xludf.DUMMYFUNCTION("""COMPUTED_VALUE"""),"Por+ Home")</f>
        <v>Por+ Home</v>
      </c>
      <c r="P846" t="str">
        <f>IFERROR(__xludf.DUMMYFUNCTION("""COMPUTED_VALUE"""),"V/LWP")</f>
        <v>V/LWP</v>
      </c>
      <c r="R846" s="143">
        <f>IFERROR(__xludf.DUMMYFUNCTION("""COMPUTED_VALUE"""),32827.0)</f>
        <v>32827</v>
      </c>
      <c r="S846" s="146" t="str">
        <f>IFERROR(__xludf.DUMMYFUNCTION("""COMPUTED_VALUE"""),"062-656-6455")</f>
        <v>062-656-6455</v>
      </c>
      <c r="T846" s="147" t="str">
        <f>IFERROR(__xludf.DUMMYFUNCTION("""COMPUTED_VALUE"""),"1 8399 00176 10 4")</f>
        <v>1 8399 00176 10 4</v>
      </c>
      <c r="U846" t="str">
        <f>IFERROR(__xludf.DUMMYFUNCTION("""COMPUTED_VALUE"""),"AC2612811")</f>
        <v>AC2612811</v>
      </c>
      <c r="V846" s="148">
        <f>IFERROR(__xludf.DUMMYFUNCTION("""COMPUTED_VALUE"""),44539.0)</f>
        <v>44539</v>
      </c>
      <c r="W846" s="148">
        <f>IFERROR(__xludf.DUMMYFUNCTION("""COMPUTED_VALUE"""),48190.0)</f>
        <v>48190</v>
      </c>
      <c r="X846" s="149">
        <f>IFERROR(__xludf.DUMMYFUNCTION("""COMPUTED_VALUE"""),48007.0)</f>
        <v>48007</v>
      </c>
      <c r="Y846" t="str">
        <f>IFERROR(__xludf.DUMMYFUNCTION("""COMPUTED_VALUE"""),"ปลอดภัย")</f>
        <v>ปลอดภัย</v>
      </c>
      <c r="Z846" t="str">
        <f>IFERROR(__xludf.DUMMYFUNCTION("""COMPUTED_VALUE"""),"Phuket Province")</f>
        <v>Phuket Province</v>
      </c>
      <c r="AA846" t="str">
        <f>IFERROR(__xludf.DUMMYFUNCTION("""COMPUTED_VALUE"""),"Pathumthani")</f>
        <v>Pathumthani</v>
      </c>
      <c r="AB846" t="str">
        <f>IFERROR(__xludf.DUMMYFUNCTION("""COMPUTED_VALUE"""),"098-651-5514")</f>
        <v>098-651-5514</v>
      </c>
      <c r="AC846" t="str">
        <f>IFERROR(__xludf.DUMMYFUNCTION("""COMPUTED_VALUE"""),"Prapat Yasanop")</f>
        <v>Prapat Yasanop</v>
      </c>
      <c r="AD846" t="str">
        <f>IFERROR(__xludf.DUMMYFUNCTION("""COMPUTED_VALUE"""),"phattarapornj@airasia.com")</f>
        <v>phattarapornj@airasia.com</v>
      </c>
    </row>
    <row r="847">
      <c r="A847" s="142">
        <f>IFERROR(__xludf.DUMMYFUNCTION("""COMPUTED_VALUE"""),91.0)</f>
        <v>91</v>
      </c>
      <c r="B847" t="str">
        <f>IFERROR(__xludf.DUMMYFUNCTION("""COMPUTED_VALUE"""),"TAA7913")</f>
        <v>TAA7913</v>
      </c>
      <c r="C847">
        <f>IFERROR(__xludf.DUMMYFUNCTION("""COMPUTED_VALUE"""),1019300.0)</f>
        <v>1019300</v>
      </c>
      <c r="D847" t="str">
        <f>IFERROR(__xludf.DUMMYFUNCTION("""COMPUTED_VALUE"""),"Ms.")</f>
        <v>Ms.</v>
      </c>
      <c r="E847" t="str">
        <f>IFERROR(__xludf.DUMMYFUNCTION("""COMPUTED_VALUE"""),"Piyaporn")</f>
        <v>Piyaporn</v>
      </c>
      <c r="F847" t="str">
        <f>IFERROR(__xludf.DUMMYFUNCTION("""COMPUTED_VALUE"""),"Mogchai")</f>
        <v>Mogchai</v>
      </c>
      <c r="G847" t="str">
        <f>IFERROR(__xludf.DUMMYFUNCTION("""COMPUTED_VALUE"""),"Piyaporn Mogchai")</f>
        <v>Piyaporn Mogchai</v>
      </c>
      <c r="H847" t="str">
        <f>IFERROR(__xludf.DUMMYFUNCTION("""COMPUTED_VALUE"""),"นางสาว")</f>
        <v>นางสาว</v>
      </c>
      <c r="I847" t="str">
        <f>IFERROR(__xludf.DUMMYFUNCTION("""COMPUTED_VALUE"""),"ปิยะภรณ์")</f>
        <v>ปิยะภรณ์</v>
      </c>
      <c r="J847" t="str">
        <f>IFERROR(__xludf.DUMMYFUNCTION("""COMPUTED_VALUE"""),"หมอกชัย")</f>
        <v>หมอกชัย</v>
      </c>
      <c r="K847" t="str">
        <f>IFERROR(__xludf.DUMMYFUNCTION("""COMPUTED_VALUE"""),"ปิยะภรณ์ หมอกชัย")</f>
        <v>ปิยะภรณ์ หมอกชัย</v>
      </c>
      <c r="L847" t="str">
        <f>IFERROR(__xludf.DUMMYFUNCTION("""COMPUTED_VALUE"""),"Maem / แหม่ม")</f>
        <v>Maem / แหม่ม</v>
      </c>
      <c r="M847" t="str">
        <f>IFERROR(__xludf.DUMMYFUNCTION("""COMPUTED_VALUE"""),"Cabin Crew")</f>
        <v>Cabin Crew</v>
      </c>
      <c r="N847" t="str">
        <f>IFERROR(__xludf.DUMMYFUNCTION("""COMPUTED_VALUE"""),"DMK")</f>
        <v>DMK</v>
      </c>
      <c r="O847" s="145" t="str">
        <f>IFERROR(__xludf.DUMMYFUNCTION("""COMPUTED_VALUE"""),"Namfon Home")</f>
        <v>Namfon Home</v>
      </c>
      <c r="P847" t="str">
        <f>IFERROR(__xludf.DUMMYFUNCTION("""COMPUTED_VALUE"""),"Active")</f>
        <v>Active</v>
      </c>
      <c r="R847" s="143">
        <f>IFERROR(__xludf.DUMMYFUNCTION("""COMPUTED_VALUE"""),34196.0)</f>
        <v>34196</v>
      </c>
      <c r="S847" s="146" t="str">
        <f>IFERROR(__xludf.DUMMYFUNCTION("""COMPUTED_VALUE"""),"088-992-4939")</f>
        <v>088-992-4939</v>
      </c>
      <c r="T847" s="147" t="str">
        <f>IFERROR(__xludf.DUMMYFUNCTION("""COMPUTED_VALUE"""),"1 4096 00151 78 9")</f>
        <v>1 4096 00151 78 9</v>
      </c>
      <c r="U847" t="str">
        <f>IFERROR(__xludf.DUMMYFUNCTION("""COMPUTED_VALUE"""),"AC2922177")</f>
        <v>AC2922177</v>
      </c>
      <c r="V847" s="148">
        <f>IFERROR(__xludf.DUMMYFUNCTION("""COMPUTED_VALUE"""),44624.0)</f>
        <v>44624</v>
      </c>
      <c r="W847" s="148">
        <f>IFERROR(__xludf.DUMMYFUNCTION("""COMPUTED_VALUE"""),48276.0)</f>
        <v>48276</v>
      </c>
      <c r="X847" s="149">
        <f>IFERROR(__xludf.DUMMYFUNCTION("""COMPUTED_VALUE"""),48094.0)</f>
        <v>48094</v>
      </c>
      <c r="Y847" t="str">
        <f>IFERROR(__xludf.DUMMYFUNCTION("""COMPUTED_VALUE"""),"ปลอดภัย")</f>
        <v>ปลอดภัย</v>
      </c>
      <c r="Z847" t="str">
        <f>IFERROR(__xludf.DUMMYFUNCTION("""COMPUTED_VALUE"""),"Khon Kaen Province")</f>
        <v>Khon Kaen Province</v>
      </c>
      <c r="AA847" t="str">
        <f>IFERROR(__xludf.DUMMYFUNCTION("""COMPUTED_VALUE"""),"Bangkok")</f>
        <v>Bangkok</v>
      </c>
      <c r="AB847" t="str">
        <f>IFERROR(__xludf.DUMMYFUNCTION("""COMPUTED_VALUE"""),"081-307-4597")</f>
        <v>081-307-4597</v>
      </c>
      <c r="AC847" t="str">
        <f>IFERROR(__xludf.DUMMYFUNCTION("""COMPUTED_VALUE"""),"Chaiyarit Mogchai(Father)")</f>
        <v>Chaiyarit Mogchai(Father)</v>
      </c>
      <c r="AD847" t="str">
        <f>IFERROR(__xludf.DUMMYFUNCTION("""COMPUTED_VALUE"""),"piyapornm@airasia.com")</f>
        <v>piyapornm@airasia.com</v>
      </c>
    </row>
    <row r="848">
      <c r="A848" s="142">
        <f>IFERROR(__xludf.DUMMYFUNCTION("""COMPUTED_VALUE"""),91.0)</f>
        <v>91</v>
      </c>
      <c r="B848" t="str">
        <f>IFERROR(__xludf.DUMMYFUNCTION("""COMPUTED_VALUE"""),"TAA7902")</f>
        <v>TAA7902</v>
      </c>
      <c r="C848">
        <f>IFERROR(__xludf.DUMMYFUNCTION("""COMPUTED_VALUE"""),1019302.0)</f>
        <v>1019302</v>
      </c>
      <c r="D848" t="str">
        <f>IFERROR(__xludf.DUMMYFUNCTION("""COMPUTED_VALUE"""),"Mr.")</f>
        <v>Mr.</v>
      </c>
      <c r="E848" t="str">
        <f>IFERROR(__xludf.DUMMYFUNCTION("""COMPUTED_VALUE"""),"Pornpaloach")</f>
        <v>Pornpaloach</v>
      </c>
      <c r="F848" t="str">
        <f>IFERROR(__xludf.DUMMYFUNCTION("""COMPUTED_VALUE"""),"Toklom")</f>
        <v>Toklom</v>
      </c>
      <c r="G848" t="str">
        <f>IFERROR(__xludf.DUMMYFUNCTION("""COMPUTED_VALUE"""),"Pornpaloach Toklom")</f>
        <v>Pornpaloach Toklom</v>
      </c>
      <c r="H848" t="str">
        <f>IFERROR(__xludf.DUMMYFUNCTION("""COMPUTED_VALUE"""),"นาย")</f>
        <v>นาย</v>
      </c>
      <c r="I848" t="str">
        <f>IFERROR(__xludf.DUMMYFUNCTION("""COMPUTED_VALUE"""),"พรพลช")</f>
        <v>พรพลช</v>
      </c>
      <c r="J848" t="str">
        <f>IFERROR(__xludf.DUMMYFUNCTION("""COMPUTED_VALUE"""),"โตกลม")</f>
        <v>โตกลม</v>
      </c>
      <c r="K848" t="str">
        <f>IFERROR(__xludf.DUMMYFUNCTION("""COMPUTED_VALUE"""),"พรพลช โตกลม")</f>
        <v>พรพลช โตกลม</v>
      </c>
      <c r="L848" t="str">
        <f>IFERROR(__xludf.DUMMYFUNCTION("""COMPUTED_VALUE"""),"Porsche / พอร์ช")</f>
        <v>Porsche / พอร์ช</v>
      </c>
      <c r="M848" t="str">
        <f>IFERROR(__xludf.DUMMYFUNCTION("""COMPUTED_VALUE"""),"Cabin Crew")</f>
        <v>Cabin Crew</v>
      </c>
      <c r="N848" t="str">
        <f>IFERROR(__xludf.DUMMYFUNCTION("""COMPUTED_VALUE"""),"DMK")</f>
        <v>DMK</v>
      </c>
      <c r="O848" s="145" t="str">
        <f>IFERROR(__xludf.DUMMYFUNCTION("""COMPUTED_VALUE"""),"Um Home")</f>
        <v>Um Home</v>
      </c>
      <c r="P848" t="str">
        <f>IFERROR(__xludf.DUMMYFUNCTION("""COMPUTED_VALUE"""),"Active")</f>
        <v>Active</v>
      </c>
      <c r="R848" s="143">
        <f>IFERROR(__xludf.DUMMYFUNCTION("""COMPUTED_VALUE"""),32979.0)</f>
        <v>32979</v>
      </c>
      <c r="S848" s="146" t="str">
        <f>IFERROR(__xludf.DUMMYFUNCTION("""COMPUTED_VALUE"""),"065-969-9894")</f>
        <v>065-969-9894</v>
      </c>
      <c r="T848" s="147" t="str">
        <f>IFERROR(__xludf.DUMMYFUNCTION("""COMPUTED_VALUE"""),"1 1017 00090 77 9")</f>
        <v>1 1017 00090 77 9</v>
      </c>
      <c r="U848" t="str">
        <f>IFERROR(__xludf.DUMMYFUNCTION("""COMPUTED_VALUE"""),"AC2762620")</f>
        <v>AC2762620</v>
      </c>
      <c r="V848" s="148">
        <f>IFERROR(__xludf.DUMMYFUNCTION("""COMPUTED_VALUE"""),44495.0)</f>
        <v>44495</v>
      </c>
      <c r="W848" s="148">
        <f>IFERROR(__xludf.DUMMYFUNCTION("""COMPUTED_VALUE"""),48146.0)</f>
        <v>48146</v>
      </c>
      <c r="X848" s="149">
        <f>IFERROR(__xludf.DUMMYFUNCTION("""COMPUTED_VALUE"""),47963.0)</f>
        <v>47963</v>
      </c>
      <c r="Y848" t="str">
        <f>IFERROR(__xludf.DUMMYFUNCTION("""COMPUTED_VALUE"""),"ปลอดภัย")</f>
        <v>ปลอดภัย</v>
      </c>
      <c r="Z848" t="str">
        <f>IFERROR(__xludf.DUMMYFUNCTION("""COMPUTED_VALUE"""),"Bangkok")</f>
        <v>Bangkok</v>
      </c>
      <c r="AA848" t="str">
        <f>IFERROR(__xludf.DUMMYFUNCTION("""COMPUTED_VALUE"""),"Bangkok")</f>
        <v>Bangkok</v>
      </c>
      <c r="AB848" t="str">
        <f>IFERROR(__xludf.DUMMYFUNCTION("""COMPUTED_VALUE"""),"081-857-3618")</f>
        <v>081-857-3618</v>
      </c>
      <c r="AC848" t="str">
        <f>IFERROR(__xludf.DUMMYFUNCTION("""COMPUTED_VALUE"""),"Patchamol Visetjinda (Mother)")</f>
        <v>Patchamol Visetjinda (Mother)</v>
      </c>
      <c r="AD848" t="str">
        <f>IFERROR(__xludf.DUMMYFUNCTION("""COMPUTED_VALUE"""),"pornpaloacht@airasia.com")</f>
        <v>pornpaloacht@airasia.com</v>
      </c>
    </row>
    <row r="849">
      <c r="A849" s="142">
        <f>IFERROR(__xludf.DUMMYFUNCTION("""COMPUTED_VALUE"""),91.0)</f>
        <v>91</v>
      </c>
      <c r="B849" t="str">
        <f>IFERROR(__xludf.DUMMYFUNCTION("""COMPUTED_VALUE"""),"TAA7917")</f>
        <v>TAA7917</v>
      </c>
      <c r="C849">
        <f>IFERROR(__xludf.DUMMYFUNCTION("""COMPUTED_VALUE"""),1019304.0)</f>
        <v>1019304</v>
      </c>
      <c r="D849" t="str">
        <f>IFERROR(__xludf.DUMMYFUNCTION("""COMPUTED_VALUE"""),"Mr.")</f>
        <v>Mr.</v>
      </c>
      <c r="E849" t="str">
        <f>IFERROR(__xludf.DUMMYFUNCTION("""COMPUTED_VALUE"""),"Sutthirak")</f>
        <v>Sutthirak</v>
      </c>
      <c r="F849" t="str">
        <f>IFERROR(__xludf.DUMMYFUNCTION("""COMPUTED_VALUE"""),"Tangsutthichai")</f>
        <v>Tangsutthichai</v>
      </c>
      <c r="G849" t="str">
        <f>IFERROR(__xludf.DUMMYFUNCTION("""COMPUTED_VALUE"""),"Sutthirak Tangsutthichai")</f>
        <v>Sutthirak Tangsutthichai</v>
      </c>
      <c r="H849" t="str">
        <f>IFERROR(__xludf.DUMMYFUNCTION("""COMPUTED_VALUE"""),"นาย")</f>
        <v>นาย</v>
      </c>
      <c r="I849" t="str">
        <f>IFERROR(__xludf.DUMMYFUNCTION("""COMPUTED_VALUE"""),"สุทธิรักษ์")</f>
        <v>สุทธิรักษ์</v>
      </c>
      <c r="J849" t="str">
        <f>IFERROR(__xludf.DUMMYFUNCTION("""COMPUTED_VALUE"""),"ตั้งสุทธิชัย")</f>
        <v>ตั้งสุทธิชัย</v>
      </c>
      <c r="K849" t="str">
        <f>IFERROR(__xludf.DUMMYFUNCTION("""COMPUTED_VALUE"""),"สุทธิรักษ์ ตั้งสุทธิชัย")</f>
        <v>สุทธิรักษ์ ตั้งสุทธิชัย</v>
      </c>
      <c r="L849" t="str">
        <f>IFERROR(__xludf.DUMMYFUNCTION("""COMPUTED_VALUE"""),"Top/ท็อป")</f>
        <v>Top/ท็อป</v>
      </c>
      <c r="M849" t="str">
        <f>IFERROR(__xludf.DUMMYFUNCTION("""COMPUTED_VALUE"""),"Cabin Crew")</f>
        <v>Cabin Crew</v>
      </c>
      <c r="N849" t="str">
        <f>IFERROR(__xludf.DUMMYFUNCTION("""COMPUTED_VALUE"""),"DMK")</f>
        <v>DMK</v>
      </c>
      <c r="O849" s="145" t="str">
        <f>IFERROR(__xludf.DUMMYFUNCTION("""COMPUTED_VALUE"""),"Um Home")</f>
        <v>Um Home</v>
      </c>
      <c r="P849" t="str">
        <f>IFERROR(__xludf.DUMMYFUNCTION("""COMPUTED_VALUE"""),"Active")</f>
        <v>Active</v>
      </c>
      <c r="R849" s="143">
        <f>IFERROR(__xludf.DUMMYFUNCTION("""COMPUTED_VALUE"""),32557.0)</f>
        <v>32557</v>
      </c>
      <c r="S849" s="146" t="str">
        <f>IFERROR(__xludf.DUMMYFUNCTION("""COMPUTED_VALUE"""),"096-451-9441")</f>
        <v>096-451-9441</v>
      </c>
      <c r="T849" s="147" t="str">
        <f>IFERROR(__xludf.DUMMYFUNCTION("""COMPUTED_VALUE"""),"1 1014 01538 79 4")</f>
        <v>1 1014 01538 79 4</v>
      </c>
      <c r="U849" t="str">
        <f>IFERROR(__xludf.DUMMYFUNCTION("""COMPUTED_VALUE"""),"AC2401488")</f>
        <v>AC2401488</v>
      </c>
      <c r="V849" s="148">
        <f>IFERROR(__xludf.DUMMYFUNCTION("""COMPUTED_VALUE"""),44432.0)</f>
        <v>44432</v>
      </c>
      <c r="W849" s="148">
        <f>IFERROR(__xludf.DUMMYFUNCTION("""COMPUTED_VALUE"""),48083.0)</f>
        <v>48083</v>
      </c>
      <c r="X849" s="149">
        <f>IFERROR(__xludf.DUMMYFUNCTION("""COMPUTED_VALUE"""),47902.0)</f>
        <v>47902</v>
      </c>
      <c r="Y849" t="str">
        <f>IFERROR(__xludf.DUMMYFUNCTION("""COMPUTED_VALUE"""),"ปลอดภัย")</f>
        <v>ปลอดภัย</v>
      </c>
      <c r="Z849" t="str">
        <f>IFERROR(__xludf.DUMMYFUNCTION("""COMPUTED_VALUE"""),"Bangkok")</f>
        <v>Bangkok</v>
      </c>
      <c r="AA849" t="str">
        <f>IFERROR(__xludf.DUMMYFUNCTION("""COMPUTED_VALUE"""),"Bangkok")</f>
        <v>Bangkok</v>
      </c>
      <c r="AB849" t="str">
        <f>IFERROR(__xludf.DUMMYFUNCTION("""COMPUTED_VALUE"""),"089-124-8042")</f>
        <v>089-124-8042</v>
      </c>
      <c r="AC849" t="str">
        <f>IFERROR(__xludf.DUMMYFUNCTION("""COMPUTED_VALUE"""),"Uten Tangsutthichai (Father)")</f>
        <v>Uten Tangsutthichai (Father)</v>
      </c>
      <c r="AD849" t="str">
        <f>IFERROR(__xludf.DUMMYFUNCTION("""COMPUTED_VALUE"""),"sutthirakt@airasia.com")</f>
        <v>sutthirakt@airasia.com</v>
      </c>
    </row>
    <row r="850">
      <c r="A850" s="142">
        <f>IFERROR(__xludf.DUMMYFUNCTION("""COMPUTED_VALUE"""),91.0)</f>
        <v>91</v>
      </c>
      <c r="B850" t="str">
        <f>IFERROR(__xludf.DUMMYFUNCTION("""COMPUTED_VALUE"""),"TAA7903")</f>
        <v>TAA7903</v>
      </c>
      <c r="C850">
        <f>IFERROR(__xludf.DUMMYFUNCTION("""COMPUTED_VALUE"""),1019306.0)</f>
        <v>1019306</v>
      </c>
      <c r="D850" t="str">
        <f>IFERROR(__xludf.DUMMYFUNCTION("""COMPUTED_VALUE"""),"Ms.")</f>
        <v>Ms.</v>
      </c>
      <c r="E850" t="str">
        <f>IFERROR(__xludf.DUMMYFUNCTION("""COMPUTED_VALUE"""),"Tanyatorn")</f>
        <v>Tanyatorn</v>
      </c>
      <c r="F850" t="str">
        <f>IFERROR(__xludf.DUMMYFUNCTION("""COMPUTED_VALUE"""),"Leenawong")</f>
        <v>Leenawong</v>
      </c>
      <c r="G850" t="str">
        <f>IFERROR(__xludf.DUMMYFUNCTION("""COMPUTED_VALUE"""),"Tanyatorn Leenawong")</f>
        <v>Tanyatorn Leenawong</v>
      </c>
      <c r="H850" t="str">
        <f>IFERROR(__xludf.DUMMYFUNCTION("""COMPUTED_VALUE"""),"นางสาว")</f>
        <v>นางสาว</v>
      </c>
      <c r="I850" t="str">
        <f>IFERROR(__xludf.DUMMYFUNCTION("""COMPUTED_VALUE"""),"ธันยธรณ์")</f>
        <v>ธันยธรณ์</v>
      </c>
      <c r="J850" t="str">
        <f>IFERROR(__xludf.DUMMYFUNCTION("""COMPUTED_VALUE"""),"ลีนาวงศ์")</f>
        <v>ลีนาวงศ์</v>
      </c>
      <c r="K850" t="str">
        <f>IFERROR(__xludf.DUMMYFUNCTION("""COMPUTED_VALUE"""),"ธันยธรณ์ ลีนาวงศ์")</f>
        <v>ธันยธรณ์ ลีนาวงศ์</v>
      </c>
      <c r="L850" t="str">
        <f>IFERROR(__xludf.DUMMYFUNCTION("""COMPUTED_VALUE"""),"Atom / อะตอม")</f>
        <v>Atom / อะตอม</v>
      </c>
      <c r="M850" t="str">
        <f>IFERROR(__xludf.DUMMYFUNCTION("""COMPUTED_VALUE"""),"Cabin Crew")</f>
        <v>Cabin Crew</v>
      </c>
      <c r="N850" t="str">
        <f>IFERROR(__xludf.DUMMYFUNCTION("""COMPUTED_VALUE"""),"DMK")</f>
        <v>DMK</v>
      </c>
      <c r="O850" s="145" t="str">
        <f>IFERROR(__xludf.DUMMYFUNCTION("""COMPUTED_VALUE"""),"Toffy Home")</f>
        <v>Toffy Home</v>
      </c>
      <c r="P850" t="str">
        <f>IFERROR(__xludf.DUMMYFUNCTION("""COMPUTED_VALUE"""),"Active")</f>
        <v>Active</v>
      </c>
      <c r="R850" s="143">
        <f>IFERROR(__xludf.DUMMYFUNCTION("""COMPUTED_VALUE"""),34204.0)</f>
        <v>34204</v>
      </c>
      <c r="S850" s="146" t="str">
        <f>IFERROR(__xludf.DUMMYFUNCTION("""COMPUTED_VALUE"""),"086-688-8311")</f>
        <v>086-688-8311</v>
      </c>
      <c r="T850" s="147" t="str">
        <f>IFERROR(__xludf.DUMMYFUNCTION("""COMPUTED_VALUE"""),"1 1037 01185 33 3")</f>
        <v>1 1037 01185 33 3</v>
      </c>
      <c r="U850" t="str">
        <f>IFERROR(__xludf.DUMMYFUNCTION("""COMPUTED_VALUE"""),"AC2972266")</f>
        <v>AC2972266</v>
      </c>
      <c r="V850" s="148">
        <f>IFERROR(__xludf.DUMMYFUNCTION("""COMPUTED_VALUE"""),44644.0)</f>
        <v>44644</v>
      </c>
      <c r="W850" s="148">
        <f>IFERROR(__xludf.DUMMYFUNCTION("""COMPUTED_VALUE"""),46469.0)</f>
        <v>46469</v>
      </c>
      <c r="X850" s="149">
        <f>IFERROR(__xludf.DUMMYFUNCTION("""COMPUTED_VALUE"""),46288.0)</f>
        <v>46288</v>
      </c>
      <c r="Y850" t="str">
        <f>IFERROR(__xludf.DUMMYFUNCTION("""COMPUTED_VALUE"""),"ปลอดภัย")</f>
        <v>ปลอดภัย</v>
      </c>
      <c r="Z850" t="str">
        <f>IFERROR(__xludf.DUMMYFUNCTION("""COMPUTED_VALUE"""),"Bangkok")</f>
        <v>Bangkok</v>
      </c>
      <c r="AA850" t="str">
        <f>IFERROR(__xludf.DUMMYFUNCTION("""COMPUTED_VALUE"""),"Bangkok")</f>
        <v>Bangkok</v>
      </c>
      <c r="AB850" t="str">
        <f>IFERROR(__xludf.DUMMYFUNCTION("""COMPUTED_VALUE"""),"081-646-4132")</f>
        <v>081-646-4132</v>
      </c>
      <c r="AC850" t="str">
        <f>IFERROR(__xludf.DUMMYFUNCTION("""COMPUTED_VALUE"""),"Somchai Leenawong(Father)")</f>
        <v>Somchai Leenawong(Father)</v>
      </c>
      <c r="AD850" t="str">
        <f>IFERROR(__xludf.DUMMYFUNCTION("""COMPUTED_VALUE"""),"tanyatornl@airasia.com")</f>
        <v>tanyatornl@airasia.com</v>
      </c>
    </row>
    <row r="851">
      <c r="A851" s="142">
        <f>IFERROR(__xludf.DUMMYFUNCTION("""COMPUTED_VALUE"""),91.0)</f>
        <v>91</v>
      </c>
      <c r="B851" t="str">
        <f>IFERROR(__xludf.DUMMYFUNCTION("""COMPUTED_VALUE"""),"TAA7912")</f>
        <v>TAA7912</v>
      </c>
      <c r="C851">
        <f>IFERROR(__xludf.DUMMYFUNCTION("""COMPUTED_VALUE"""),1019307.0)</f>
        <v>1019307</v>
      </c>
      <c r="D851" t="str">
        <f>IFERROR(__xludf.DUMMYFUNCTION("""COMPUTED_VALUE"""),"Ms.")</f>
        <v>Ms.</v>
      </c>
      <c r="E851" t="str">
        <f>IFERROR(__xludf.DUMMYFUNCTION("""COMPUTED_VALUE"""),"Thanyathorn")</f>
        <v>Thanyathorn</v>
      </c>
      <c r="F851" t="str">
        <f>IFERROR(__xludf.DUMMYFUNCTION("""COMPUTED_VALUE"""),"Krisanayanyong")</f>
        <v>Krisanayanyong</v>
      </c>
      <c r="G851" t="str">
        <f>IFERROR(__xludf.DUMMYFUNCTION("""COMPUTED_VALUE"""),"Thanyathorn Krisanayanyong")</f>
        <v>Thanyathorn Krisanayanyong</v>
      </c>
      <c r="H851" t="str">
        <f>IFERROR(__xludf.DUMMYFUNCTION("""COMPUTED_VALUE"""),"นางสาว")</f>
        <v>นางสาว</v>
      </c>
      <c r="I851" t="str">
        <f>IFERROR(__xludf.DUMMYFUNCTION("""COMPUTED_VALUE"""),"ธัญธร")</f>
        <v>ธัญธร</v>
      </c>
      <c r="J851" t="str">
        <f>IFERROR(__xludf.DUMMYFUNCTION("""COMPUTED_VALUE"""),"กฤษณยรรยง")</f>
        <v>กฤษณยรรยง</v>
      </c>
      <c r="K851" t="str">
        <f>IFERROR(__xludf.DUMMYFUNCTION("""COMPUTED_VALUE"""),"ธัญธร กฤษณยรรยง")</f>
        <v>ธัญธร กฤษณยรรยง</v>
      </c>
      <c r="L851" t="str">
        <f>IFERROR(__xludf.DUMMYFUNCTION("""COMPUTED_VALUE"""),"Ploy / พลอย")</f>
        <v>Ploy / พลอย</v>
      </c>
      <c r="M851" t="str">
        <f>IFERROR(__xludf.DUMMYFUNCTION("""COMPUTED_VALUE"""),"Cabin Crew")</f>
        <v>Cabin Crew</v>
      </c>
      <c r="N851" t="str">
        <f>IFERROR(__xludf.DUMMYFUNCTION("""COMPUTED_VALUE"""),"DMK")</f>
        <v>DMK</v>
      </c>
      <c r="O851" s="145" t="str">
        <f>IFERROR(__xludf.DUMMYFUNCTION("""COMPUTED_VALUE"""),"Por+ Home")</f>
        <v>Por+ Home</v>
      </c>
      <c r="P851" t="str">
        <f>IFERROR(__xludf.DUMMYFUNCTION("""COMPUTED_VALUE"""),"Active")</f>
        <v>Active</v>
      </c>
      <c r="R851" s="143">
        <f>IFERROR(__xludf.DUMMYFUNCTION("""COMPUTED_VALUE"""),34673.0)</f>
        <v>34673</v>
      </c>
      <c r="S851" s="146" t="str">
        <f>IFERROR(__xludf.DUMMYFUNCTION("""COMPUTED_VALUE"""),"096-262-9619")</f>
        <v>096-262-9619</v>
      </c>
      <c r="T851" s="147" t="str">
        <f>IFERROR(__xludf.DUMMYFUNCTION("""COMPUTED_VALUE"""),"1 1030 00070 72 6")</f>
        <v>1 1030 00070 72 6</v>
      </c>
      <c r="U851" t="str">
        <f>IFERROR(__xludf.DUMMYFUNCTION("""COMPUTED_VALUE"""),"AC5723304")</f>
        <v>AC5723304</v>
      </c>
      <c r="V851" s="148">
        <f>IFERROR(__xludf.DUMMYFUNCTION("""COMPUTED_VALUE"""),45553.0)</f>
        <v>45553</v>
      </c>
      <c r="W851" s="148">
        <f>IFERROR(__xludf.DUMMYFUNCTION("""COMPUTED_VALUE"""),48839.0)</f>
        <v>48839</v>
      </c>
      <c r="X851" s="149">
        <f>IFERROR(__xludf.DUMMYFUNCTION("""COMPUTED_VALUE"""),48655.0)</f>
        <v>48655</v>
      </c>
      <c r="Y851" t="str">
        <f>IFERROR(__xludf.DUMMYFUNCTION("""COMPUTED_VALUE"""),"ปลอดภัย")</f>
        <v>ปลอดภัย</v>
      </c>
      <c r="Z851" t="str">
        <f>IFERROR(__xludf.DUMMYFUNCTION("""COMPUTED_VALUE"""),"Bangkok")</f>
        <v>Bangkok</v>
      </c>
      <c r="AA851" t="str">
        <f>IFERROR(__xludf.DUMMYFUNCTION("""COMPUTED_VALUE"""),"Bangkok")</f>
        <v>Bangkok</v>
      </c>
      <c r="AB851" t="str">
        <f>IFERROR(__xludf.DUMMYFUNCTION("""COMPUTED_VALUE"""),"086-3039088")</f>
        <v>086-3039088</v>
      </c>
      <c r="AC851" t="str">
        <f>IFERROR(__xludf.DUMMYFUNCTION("""COMPUTED_VALUE"""),"Thippawan Thanomjitpongse (Mother)")</f>
        <v>Thippawan Thanomjitpongse (Mother)</v>
      </c>
      <c r="AD851" t="str">
        <f>IFERROR(__xludf.DUMMYFUNCTION("""COMPUTED_VALUE"""),"thanyathornk@airasia.com")</f>
        <v>thanyathornk@airasia.com</v>
      </c>
    </row>
    <row r="852">
      <c r="A852" s="142">
        <f>IFERROR(__xludf.DUMMYFUNCTION("""COMPUTED_VALUE"""),91.0)</f>
        <v>91</v>
      </c>
      <c r="B852" t="str">
        <f>IFERROR(__xludf.DUMMYFUNCTION("""COMPUTED_VALUE"""),"TAA7909")</f>
        <v>TAA7909</v>
      </c>
      <c r="C852">
        <f>IFERROR(__xludf.DUMMYFUNCTION("""COMPUTED_VALUE"""),1019308.0)</f>
        <v>1019308</v>
      </c>
      <c r="D852" t="str">
        <f>IFERROR(__xludf.DUMMYFUNCTION("""COMPUTED_VALUE"""),"Ms.")</f>
        <v>Ms.</v>
      </c>
      <c r="E852" t="str">
        <f>IFERROR(__xludf.DUMMYFUNCTION("""COMPUTED_VALUE"""),"Thanyathorn")</f>
        <v>Thanyathorn</v>
      </c>
      <c r="F852" t="str">
        <f>IFERROR(__xludf.DUMMYFUNCTION("""COMPUTED_VALUE"""),"Prueksasilp")</f>
        <v>Prueksasilp</v>
      </c>
      <c r="G852" t="str">
        <f>IFERROR(__xludf.DUMMYFUNCTION("""COMPUTED_VALUE"""),"Thanyathorn Prueksasilp")</f>
        <v>Thanyathorn Prueksasilp</v>
      </c>
      <c r="H852" t="str">
        <f>IFERROR(__xludf.DUMMYFUNCTION("""COMPUTED_VALUE"""),"นางสาว")</f>
        <v>นางสาว</v>
      </c>
      <c r="I852" t="str">
        <f>IFERROR(__xludf.DUMMYFUNCTION("""COMPUTED_VALUE"""),"ธัญธร")</f>
        <v>ธัญธร</v>
      </c>
      <c r="J852" t="str">
        <f>IFERROR(__xludf.DUMMYFUNCTION("""COMPUTED_VALUE"""),"พฤกษาศิลป์")</f>
        <v>พฤกษาศิลป์</v>
      </c>
      <c r="K852" t="str">
        <f>IFERROR(__xludf.DUMMYFUNCTION("""COMPUTED_VALUE"""),"ธัญธร พฤกษาศิลป์")</f>
        <v>ธัญธร พฤกษาศิลป์</v>
      </c>
      <c r="L852" t="str">
        <f>IFERROR(__xludf.DUMMYFUNCTION("""COMPUTED_VALUE"""),"Oil / ออย")</f>
        <v>Oil / ออย</v>
      </c>
      <c r="M852" t="str">
        <f>IFERROR(__xludf.DUMMYFUNCTION("""COMPUTED_VALUE"""),"Cabin Crew")</f>
        <v>Cabin Crew</v>
      </c>
      <c r="N852" t="str">
        <f>IFERROR(__xludf.DUMMYFUNCTION("""COMPUTED_VALUE"""),"DMK")</f>
        <v>DMK</v>
      </c>
      <c r="O852" s="145" t="str">
        <f>IFERROR(__xludf.DUMMYFUNCTION("""COMPUTED_VALUE"""),"Kor Home")</f>
        <v>Kor Home</v>
      </c>
      <c r="P852" t="str">
        <f>IFERROR(__xludf.DUMMYFUNCTION("""COMPUTED_VALUE"""),"Active")</f>
        <v>Active</v>
      </c>
      <c r="R852" s="143">
        <f>IFERROR(__xludf.DUMMYFUNCTION("""COMPUTED_VALUE"""),34839.0)</f>
        <v>34839</v>
      </c>
      <c r="S852" s="146" t="str">
        <f>IFERROR(__xludf.DUMMYFUNCTION("""COMPUTED_VALUE"""),"061-408-0689")</f>
        <v>061-408-0689</v>
      </c>
      <c r="T852" s="147" t="str">
        <f>IFERROR(__xludf.DUMMYFUNCTION("""COMPUTED_VALUE"""),"1 1005 01194 21 2")</f>
        <v>1 1005 01194 21 2</v>
      </c>
      <c r="U852" t="str">
        <f>IFERROR(__xludf.DUMMYFUNCTION("""COMPUTED_VALUE"""),"AC5819660")</f>
        <v>AC5819660</v>
      </c>
      <c r="V852" s="148">
        <f>IFERROR(__xludf.DUMMYFUNCTION("""COMPUTED_VALUE"""),45191.0)</f>
        <v>45191</v>
      </c>
      <c r="W852" s="148">
        <f>IFERROR(__xludf.DUMMYFUNCTION("""COMPUTED_VALUE"""),48843.0)</f>
        <v>48843</v>
      </c>
      <c r="X852" s="149">
        <f>IFERROR(__xludf.DUMMYFUNCTION("""COMPUTED_VALUE"""),48659.0)</f>
        <v>48659</v>
      </c>
      <c r="Y852" t="str">
        <f>IFERROR(__xludf.DUMMYFUNCTION("""COMPUTED_VALUE"""),"ปลอดภัย")</f>
        <v>ปลอดภัย</v>
      </c>
      <c r="Z852" t="str">
        <f>IFERROR(__xludf.DUMMYFUNCTION("""COMPUTED_VALUE"""),"Bangkok")</f>
        <v>Bangkok</v>
      </c>
      <c r="AA852" t="str">
        <f>IFERROR(__xludf.DUMMYFUNCTION("""COMPUTED_VALUE"""),"Bangkok")</f>
        <v>Bangkok</v>
      </c>
      <c r="AB852" t="str">
        <f>IFERROR(__xludf.DUMMYFUNCTION("""COMPUTED_VALUE"""),"084-751-0177")</f>
        <v>084-751-0177</v>
      </c>
      <c r="AC852" t="str">
        <f>IFERROR(__xludf.DUMMYFUNCTION("""COMPUTED_VALUE"""),"Siriporn Pluksasin (Mother)")</f>
        <v>Siriporn Pluksasin (Mother)</v>
      </c>
      <c r="AD852" t="str">
        <f>IFERROR(__xludf.DUMMYFUNCTION("""COMPUTED_VALUE"""),"thanyathornp@airasia.com")</f>
        <v>thanyathornp@airasia.com</v>
      </c>
    </row>
    <row r="853">
      <c r="A853" s="142">
        <f>IFERROR(__xludf.DUMMYFUNCTION("""COMPUTED_VALUE"""),91.0)</f>
        <v>91</v>
      </c>
      <c r="B853" t="str">
        <f>IFERROR(__xludf.DUMMYFUNCTION("""COMPUTED_VALUE"""),"TAA7920")</f>
        <v>TAA7920</v>
      </c>
      <c r="C853">
        <f>IFERROR(__xludf.DUMMYFUNCTION("""COMPUTED_VALUE"""),1019310.0)</f>
        <v>1019310</v>
      </c>
      <c r="D853" t="str">
        <f>IFERROR(__xludf.DUMMYFUNCTION("""COMPUTED_VALUE"""),"Mr.")</f>
        <v>Mr.</v>
      </c>
      <c r="E853" t="str">
        <f>IFERROR(__xludf.DUMMYFUNCTION("""COMPUTED_VALUE"""),"Vincent Pakpoom")</f>
        <v>Vincent Pakpoom</v>
      </c>
      <c r="F853" t="str">
        <f>IFERROR(__xludf.DUMMYFUNCTION("""COMPUTED_VALUE"""),"Prache")</f>
        <v>Prache</v>
      </c>
      <c r="G853" t="str">
        <f>IFERROR(__xludf.DUMMYFUNCTION("""COMPUTED_VALUE"""),"Vincent Pakpoom Prache")</f>
        <v>Vincent Pakpoom Prache</v>
      </c>
      <c r="H853" t="str">
        <f>IFERROR(__xludf.DUMMYFUNCTION("""COMPUTED_VALUE"""),"นาย")</f>
        <v>นาย</v>
      </c>
      <c r="I853" t="str">
        <f>IFERROR(__xludf.DUMMYFUNCTION("""COMPUTED_VALUE"""),"แวงซองค์ ภาคภูมิ")</f>
        <v>แวงซองค์ ภาคภูมิ</v>
      </c>
      <c r="J853" t="str">
        <f>IFERROR(__xludf.DUMMYFUNCTION("""COMPUTED_VALUE"""),"ปราช")</f>
        <v>ปราช</v>
      </c>
      <c r="K853" t="str">
        <f>IFERROR(__xludf.DUMMYFUNCTION("""COMPUTED_VALUE"""),"แวงซองค์ ภาคภูมิ ปราช")</f>
        <v>แวงซองค์ ภาคภูมิ ปราช</v>
      </c>
      <c r="L853" t="str">
        <f>IFERROR(__xludf.DUMMYFUNCTION("""COMPUTED_VALUE"""),"แวงซองค์ ")</f>
        <v>แวงซองค์ </v>
      </c>
      <c r="M853" t="str">
        <f>IFERROR(__xludf.DUMMYFUNCTION("""COMPUTED_VALUE"""),"Cabin Crew")</f>
        <v>Cabin Crew</v>
      </c>
      <c r="N853" t="str">
        <f>IFERROR(__xludf.DUMMYFUNCTION("""COMPUTED_VALUE"""),"DMK")</f>
        <v>DMK</v>
      </c>
      <c r="O853" s="145" t="str">
        <f>IFERROR(__xludf.DUMMYFUNCTION("""COMPUTED_VALUE"""),"Toffy Home")</f>
        <v>Toffy Home</v>
      </c>
      <c r="P853" t="str">
        <f>IFERROR(__xludf.DUMMYFUNCTION("""COMPUTED_VALUE"""),"V/LWP")</f>
        <v>V/LWP</v>
      </c>
      <c r="R853" s="143">
        <f>IFERROR(__xludf.DUMMYFUNCTION("""COMPUTED_VALUE"""),33898.0)</f>
        <v>33898</v>
      </c>
      <c r="S853" s="146" t="str">
        <f>IFERROR(__xludf.DUMMYFUNCTION("""COMPUTED_VALUE"""),"089-914-9118")</f>
        <v>089-914-9118</v>
      </c>
      <c r="T853" s="147" t="str">
        <f>IFERROR(__xludf.DUMMYFUNCTION("""COMPUTED_VALUE"""),"1 1033 00080 06 9")</f>
        <v>1 1033 00080 06 9</v>
      </c>
      <c r="U853" t="str">
        <f>IFERROR(__xludf.DUMMYFUNCTION("""COMPUTED_VALUE"""),"AC5941106")</f>
        <v>AC5941106</v>
      </c>
      <c r="V853" s="148">
        <f>IFERROR(__xludf.DUMMYFUNCTION("""COMPUTED_VALUE"""),45244.0)</f>
        <v>45244</v>
      </c>
      <c r="W853" s="148">
        <f>IFERROR(__xludf.DUMMYFUNCTION("""COMPUTED_VALUE"""),48896.0)</f>
        <v>48896</v>
      </c>
      <c r="X853" s="149">
        <f>IFERROR(__xludf.DUMMYFUNCTION("""COMPUTED_VALUE"""),48712.0)</f>
        <v>48712</v>
      </c>
      <c r="Y853" t="str">
        <f>IFERROR(__xludf.DUMMYFUNCTION("""COMPUTED_VALUE"""),"ปลอดภัย")</f>
        <v>ปลอดภัย</v>
      </c>
      <c r="Z853" t="str">
        <f>IFERROR(__xludf.DUMMYFUNCTION("""COMPUTED_VALUE"""),"Bangkok")</f>
        <v>Bangkok</v>
      </c>
      <c r="AA853" t="str">
        <f>IFERROR(__xludf.DUMMYFUNCTION("""COMPUTED_VALUE"""),"Bangna")</f>
        <v>Bangna</v>
      </c>
      <c r="AB853">
        <f>IFERROR(__xludf.DUMMYFUNCTION("""COMPUTED_VALUE"""),8.19101992E8)</f>
        <v>819101992</v>
      </c>
      <c r="AC853" t="str">
        <f>IFERROR(__xludf.DUMMYFUNCTION("""COMPUTED_VALUE"""),"Rawisara Cheawchookul")</f>
        <v>Rawisara Cheawchookul</v>
      </c>
      <c r="AD853" t="str">
        <f>IFERROR(__xludf.DUMMYFUNCTION("""COMPUTED_VALUE"""),"vincentp@airasia.com")</f>
        <v>vincentp@airasia.com</v>
      </c>
    </row>
    <row r="854">
      <c r="AD854" t="str">
        <f>IFERROR(__xludf.DUMMYFUNCTION("""COMPUTED_VALUE"""),"")</f>
        <v/>
      </c>
    </row>
    <row r="855">
      <c r="A855" s="142">
        <f>IFERROR(__xludf.DUMMYFUNCTION("""COMPUTED_VALUE"""),92.0)</f>
        <v>92</v>
      </c>
      <c r="B855" t="str">
        <f>IFERROR(__xludf.DUMMYFUNCTION("""COMPUTED_VALUE"""),"TAA7933")</f>
        <v>TAA7933</v>
      </c>
      <c r="C855">
        <f>IFERROR(__xludf.DUMMYFUNCTION("""COMPUTED_VALUE"""),1019395.0)</f>
        <v>1019395</v>
      </c>
      <c r="D855" t="str">
        <f>IFERROR(__xludf.DUMMYFUNCTION("""COMPUTED_VALUE"""),"Ms.")</f>
        <v>Ms.</v>
      </c>
      <c r="E855" t="str">
        <f>IFERROR(__xludf.DUMMYFUNCTION("""COMPUTED_VALUE"""),"Dalika")</f>
        <v>Dalika</v>
      </c>
      <c r="F855" t="str">
        <f>IFERROR(__xludf.DUMMYFUNCTION("""COMPUTED_VALUE"""),"Sayanprasert")</f>
        <v>Sayanprasert</v>
      </c>
      <c r="G855" t="str">
        <f>IFERROR(__xludf.DUMMYFUNCTION("""COMPUTED_VALUE"""),"Dalika Sayanprasert")</f>
        <v>Dalika Sayanprasert</v>
      </c>
      <c r="H855" t="str">
        <f>IFERROR(__xludf.DUMMYFUNCTION("""COMPUTED_VALUE"""),"นางสาว")</f>
        <v>นางสาว</v>
      </c>
      <c r="I855" t="str">
        <f>IFERROR(__xludf.DUMMYFUNCTION("""COMPUTED_VALUE"""),"ดาลิกา")</f>
        <v>ดาลิกา</v>
      </c>
      <c r="J855" t="str">
        <f>IFERROR(__xludf.DUMMYFUNCTION("""COMPUTED_VALUE"""),"สายันประเสริฐ")</f>
        <v>สายันประเสริฐ</v>
      </c>
      <c r="K855" t="str">
        <f>IFERROR(__xludf.DUMMYFUNCTION("""COMPUTED_VALUE"""),"ดาลิกา สายันประเสริฐ")</f>
        <v>ดาลิกา สายันประเสริฐ</v>
      </c>
      <c r="L855" t="str">
        <f>IFERROR(__xludf.DUMMYFUNCTION("""COMPUTED_VALUE"""),"Nam/แน้ม")</f>
        <v>Nam/แน้ม</v>
      </c>
      <c r="M855" t="str">
        <f>IFERROR(__xludf.DUMMYFUNCTION("""COMPUTED_VALUE"""),"Cabin Crew")</f>
        <v>Cabin Crew</v>
      </c>
      <c r="N855" t="str">
        <f>IFERROR(__xludf.DUMMYFUNCTION("""COMPUTED_VALUE"""),"DMK")</f>
        <v>DMK</v>
      </c>
      <c r="O855" s="145" t="str">
        <f>IFERROR(__xludf.DUMMYFUNCTION("""COMPUTED_VALUE"""),"Toffy Home")</f>
        <v>Toffy Home</v>
      </c>
      <c r="P855" t="str">
        <f>IFERROR(__xludf.DUMMYFUNCTION("""COMPUTED_VALUE"""),"Active")</f>
        <v>Active</v>
      </c>
      <c r="R855" s="143">
        <f>IFERROR(__xludf.DUMMYFUNCTION("""COMPUTED_VALUE"""),32995.0)</f>
        <v>32995</v>
      </c>
      <c r="S855" s="146" t="str">
        <f>IFERROR(__xludf.DUMMYFUNCTION("""COMPUTED_VALUE"""),"064-248-4824")</f>
        <v>064-248-4824</v>
      </c>
      <c r="T855" s="147" t="str">
        <f>IFERROR(__xludf.DUMMYFUNCTION("""COMPUTED_VALUE"""),"1709900-53-0731")</f>
        <v>1709900-53-0731</v>
      </c>
      <c r="U855" t="str">
        <f>IFERROR(__xludf.DUMMYFUNCTION("""COMPUTED_VALUE"""),"AC2574268")</f>
        <v>AC2574268</v>
      </c>
      <c r="V855" s="148">
        <f>IFERROR(__xludf.DUMMYFUNCTION("""COMPUTED_VALUE"""),44663.0)</f>
        <v>44663</v>
      </c>
      <c r="W855" s="148">
        <f>IFERROR(__xludf.DUMMYFUNCTION("""COMPUTED_VALUE"""),48315.0)</f>
        <v>48315</v>
      </c>
      <c r="X855" s="149">
        <f>IFERROR(__xludf.DUMMYFUNCTION("""COMPUTED_VALUE"""),48132.0)</f>
        <v>48132</v>
      </c>
      <c r="Y855" t="str">
        <f>IFERROR(__xludf.DUMMYFUNCTION("""COMPUTED_VALUE"""),"ปลอดภัย")</f>
        <v>ปลอดภัย</v>
      </c>
      <c r="Z855" t="str">
        <f>IFERROR(__xludf.DUMMYFUNCTION("""COMPUTED_VALUE"""),"Ratchaburi Province")</f>
        <v>Ratchaburi Province</v>
      </c>
      <c r="AA855" t="str">
        <f>IFERROR(__xludf.DUMMYFUNCTION("""COMPUTED_VALUE"""),"Bangkok")</f>
        <v>Bangkok</v>
      </c>
      <c r="AB855" t="str">
        <f>IFERROR(__xludf.DUMMYFUNCTION("""COMPUTED_VALUE"""),"081-0226000")</f>
        <v>081-0226000</v>
      </c>
      <c r="AC855" t="str">
        <f>IFERROR(__xludf.DUMMYFUNCTION("""COMPUTED_VALUE"""),"Apaporn Sayanprasert(Sister)")</f>
        <v>Apaporn Sayanprasert(Sister)</v>
      </c>
      <c r="AD855" t="str">
        <f>IFERROR(__xludf.DUMMYFUNCTION("""COMPUTED_VALUE"""),"dalikas@airasia.com")</f>
        <v>dalikas@airasia.com</v>
      </c>
    </row>
    <row r="856">
      <c r="A856" s="142">
        <f>IFERROR(__xludf.DUMMYFUNCTION("""COMPUTED_VALUE"""),92.0)</f>
        <v>92</v>
      </c>
      <c r="B856" t="str">
        <f>IFERROR(__xludf.DUMMYFUNCTION("""COMPUTED_VALUE"""),"TAA7922")</f>
        <v>TAA7922</v>
      </c>
      <c r="C856">
        <f>IFERROR(__xludf.DUMMYFUNCTION("""COMPUTED_VALUE"""),1019397.0)</f>
        <v>1019397</v>
      </c>
      <c r="D856" t="str">
        <f>IFERROR(__xludf.DUMMYFUNCTION("""COMPUTED_VALUE"""),"Ms.")</f>
        <v>Ms.</v>
      </c>
      <c r="E856" t="str">
        <f>IFERROR(__xludf.DUMMYFUNCTION("""COMPUTED_VALUE"""),"Jutaporn")</f>
        <v>Jutaporn</v>
      </c>
      <c r="F856" t="str">
        <f>IFERROR(__xludf.DUMMYFUNCTION("""COMPUTED_VALUE"""),"Gongkam")</f>
        <v>Gongkam</v>
      </c>
      <c r="G856" t="str">
        <f>IFERROR(__xludf.DUMMYFUNCTION("""COMPUTED_VALUE"""),"Jutaporn Gongkam")</f>
        <v>Jutaporn Gongkam</v>
      </c>
      <c r="H856" t="str">
        <f>IFERROR(__xludf.DUMMYFUNCTION("""COMPUTED_VALUE"""),"นางสาว")</f>
        <v>นางสาว</v>
      </c>
      <c r="I856" t="str">
        <f>IFERROR(__xludf.DUMMYFUNCTION("""COMPUTED_VALUE"""),"จุฑาภรณ์")</f>
        <v>จุฑาภรณ์</v>
      </c>
      <c r="J856" t="str">
        <f>IFERROR(__xludf.DUMMYFUNCTION("""COMPUTED_VALUE"""),"ก่องคำ")</f>
        <v>ก่องคำ</v>
      </c>
      <c r="K856" t="str">
        <f>IFERROR(__xludf.DUMMYFUNCTION("""COMPUTED_VALUE"""),"จุฑาภรณ์ ก่องคำ")</f>
        <v>จุฑาภรณ์ ก่องคำ</v>
      </c>
      <c r="L856" t="str">
        <f>IFERROR(__xludf.DUMMYFUNCTION("""COMPUTED_VALUE"""),"Ann / แอน")</f>
        <v>Ann / แอน</v>
      </c>
      <c r="M856" t="str">
        <f>IFERROR(__xludf.DUMMYFUNCTION("""COMPUTED_VALUE"""),"Cabin Crew")</f>
        <v>Cabin Crew</v>
      </c>
      <c r="N856" t="str">
        <f>IFERROR(__xludf.DUMMYFUNCTION("""COMPUTED_VALUE"""),"DMK")</f>
        <v>DMK</v>
      </c>
      <c r="O856" s="145" t="str">
        <f>IFERROR(__xludf.DUMMYFUNCTION("""COMPUTED_VALUE"""),"Por+ Home")</f>
        <v>Por+ Home</v>
      </c>
      <c r="P856" t="str">
        <f>IFERROR(__xludf.DUMMYFUNCTION("""COMPUTED_VALUE"""),"MATL")</f>
        <v>MATL</v>
      </c>
      <c r="R856" s="143">
        <f>IFERROR(__xludf.DUMMYFUNCTION("""COMPUTED_VALUE"""),33028.0)</f>
        <v>33028</v>
      </c>
      <c r="S856" s="146" t="str">
        <f>IFERROR(__xludf.DUMMYFUNCTION("""COMPUTED_VALUE"""),"091-496-4655")</f>
        <v>091-496-4655</v>
      </c>
      <c r="T856" s="147" t="str">
        <f>IFERROR(__xludf.DUMMYFUNCTION("""COMPUTED_VALUE"""),"1103700-15-2075")</f>
        <v>1103700-15-2075</v>
      </c>
      <c r="U856" t="str">
        <f>IFERROR(__xludf.DUMMYFUNCTION("""COMPUTED_VALUE"""),"AC6929460")</f>
        <v>AC6929460</v>
      </c>
      <c r="V856" s="148">
        <f>IFERROR(__xludf.DUMMYFUNCTION("""COMPUTED_VALUE"""),45523.0)</f>
        <v>45523</v>
      </c>
      <c r="W856" s="148">
        <f>IFERROR(__xludf.DUMMYFUNCTION("""COMPUTED_VALUE"""),49174.0)</f>
        <v>49174</v>
      </c>
      <c r="X856" s="149">
        <f>IFERROR(__xludf.DUMMYFUNCTION("""COMPUTED_VALUE"""),48993.0)</f>
        <v>48993</v>
      </c>
      <c r="Y856" t="str">
        <f>IFERROR(__xludf.DUMMYFUNCTION("""COMPUTED_VALUE"""),"ปลอดภัย")</f>
        <v>ปลอดภัย</v>
      </c>
      <c r="Z856" t="str">
        <f>IFERROR(__xludf.DUMMYFUNCTION("""COMPUTED_VALUE"""),"Bangkok")</f>
        <v>Bangkok</v>
      </c>
      <c r="AA856" t="str">
        <f>IFERROR(__xludf.DUMMYFUNCTION("""COMPUTED_VALUE"""),"Bangkok")</f>
        <v>Bangkok</v>
      </c>
      <c r="AB856" t="str">
        <f>IFERROR(__xludf.DUMMYFUNCTION("""COMPUTED_VALUE"""),"086-783-6834")</f>
        <v>086-783-6834</v>
      </c>
      <c r="AC856" t="str">
        <f>IFERROR(__xludf.DUMMYFUNCTION("""COMPUTED_VALUE"""),"Boonmark Kamying (Mother)")</f>
        <v>Boonmark Kamying (Mother)</v>
      </c>
      <c r="AD856" t="str">
        <f>IFERROR(__xludf.DUMMYFUNCTION("""COMPUTED_VALUE"""),"jutaporng@airasia.com ")</f>
        <v>jutaporng@airasia.com </v>
      </c>
    </row>
    <row r="857">
      <c r="A857" s="142">
        <f>IFERROR(__xludf.DUMMYFUNCTION("""COMPUTED_VALUE"""),92.0)</f>
        <v>92</v>
      </c>
      <c r="B857" t="str">
        <f>IFERROR(__xludf.DUMMYFUNCTION("""COMPUTED_VALUE"""),"TAA7923")</f>
        <v>TAA7923</v>
      </c>
      <c r="C857">
        <f>IFERROR(__xludf.DUMMYFUNCTION("""COMPUTED_VALUE"""),1019398.0)</f>
        <v>1019398</v>
      </c>
      <c r="D857" t="str">
        <f>IFERROR(__xludf.DUMMYFUNCTION("""COMPUTED_VALUE"""),"Ms.")</f>
        <v>Ms.</v>
      </c>
      <c r="E857" t="str">
        <f>IFERROR(__xludf.DUMMYFUNCTION("""COMPUTED_VALUE"""),"Kamonjun")</f>
        <v>Kamonjun</v>
      </c>
      <c r="F857" t="str">
        <f>IFERROR(__xludf.DUMMYFUNCTION("""COMPUTED_VALUE"""),"Phookphun")</f>
        <v>Phookphun</v>
      </c>
      <c r="G857" t="str">
        <f>IFERROR(__xludf.DUMMYFUNCTION("""COMPUTED_VALUE"""),"Kamonjun Phookphun")</f>
        <v>Kamonjun Phookphun</v>
      </c>
      <c r="H857" t="str">
        <f>IFERROR(__xludf.DUMMYFUNCTION("""COMPUTED_VALUE"""),"นางสาว")</f>
        <v>นางสาว</v>
      </c>
      <c r="I857" t="str">
        <f>IFERROR(__xludf.DUMMYFUNCTION("""COMPUTED_VALUE"""),"กมลจันทน์")</f>
        <v>กมลจันทน์</v>
      </c>
      <c r="J857" t="str">
        <f>IFERROR(__xludf.DUMMYFUNCTION("""COMPUTED_VALUE"""),"ผูกพันธุ์")</f>
        <v>ผูกพันธุ์</v>
      </c>
      <c r="K857" t="str">
        <f>IFERROR(__xludf.DUMMYFUNCTION("""COMPUTED_VALUE"""),"กมลจันทน์ ผูกพันธุ์")</f>
        <v>กมลจันทน์ ผูกพันธุ์</v>
      </c>
      <c r="L857" t="str">
        <f>IFERROR(__xludf.DUMMYFUNCTION("""COMPUTED_VALUE"""),"Ploy /พลอย")</f>
        <v>Ploy /พลอย</v>
      </c>
      <c r="M857" t="str">
        <f>IFERROR(__xludf.DUMMYFUNCTION("""COMPUTED_VALUE"""),"Cabin Crew - BKK")</f>
        <v>Cabin Crew - BKK</v>
      </c>
      <c r="N857" t="str">
        <f>IFERROR(__xludf.DUMMYFUNCTION("""COMPUTED_VALUE"""),"BKK")</f>
        <v>BKK</v>
      </c>
      <c r="O857" s="145" t="str">
        <f>IFERROR(__xludf.DUMMYFUNCTION("""COMPUTED_VALUE"""),"Nhui Home")</f>
        <v>Nhui Home</v>
      </c>
      <c r="P857" t="str">
        <f>IFERROR(__xludf.DUMMYFUNCTION("""COMPUTED_VALUE"""),"Active")</f>
        <v>Active</v>
      </c>
      <c r="R857" s="143">
        <f>IFERROR(__xludf.DUMMYFUNCTION("""COMPUTED_VALUE"""),32874.0)</f>
        <v>32874</v>
      </c>
      <c r="S857" s="146" t="str">
        <f>IFERROR(__xludf.DUMMYFUNCTION("""COMPUTED_VALUE"""),"083-554-4193")</f>
        <v>083-554-4193</v>
      </c>
      <c r="T857" s="147" t="str">
        <f>IFERROR(__xludf.DUMMYFUNCTION("""COMPUTED_VALUE"""),"1101700-08-7883")</f>
        <v>1101700-08-7883</v>
      </c>
      <c r="U857" t="str">
        <f>IFERROR(__xludf.DUMMYFUNCTION("""COMPUTED_VALUE"""),"AD0648472")</f>
        <v>AD0648472</v>
      </c>
      <c r="V857" s="148">
        <f>IFERROR(__xludf.DUMMYFUNCTION("""COMPUTED_VALUE"""),44945.0)</f>
        <v>44945</v>
      </c>
      <c r="W857" s="148">
        <f>IFERROR(__xludf.DUMMYFUNCTION("""COMPUTED_VALUE"""),48597.0)</f>
        <v>48597</v>
      </c>
      <c r="X857" s="149">
        <f>IFERROR(__xludf.DUMMYFUNCTION("""COMPUTED_VALUE"""),48413.0)</f>
        <v>48413</v>
      </c>
      <c r="Y857" t="str">
        <f>IFERROR(__xludf.DUMMYFUNCTION("""COMPUTED_VALUE"""),"ปลอดภัย")</f>
        <v>ปลอดภัย</v>
      </c>
      <c r="Z857" t="str">
        <f>IFERROR(__xludf.DUMMYFUNCTION("""COMPUTED_VALUE"""),"Bangkok")</f>
        <v>Bangkok</v>
      </c>
      <c r="AA857" t="str">
        <f>IFERROR(__xludf.DUMMYFUNCTION("""COMPUTED_VALUE"""),"Nonthaburi")</f>
        <v>Nonthaburi</v>
      </c>
      <c r="AB857" t="str">
        <f>IFERROR(__xludf.DUMMYFUNCTION("""COMPUTED_VALUE"""),"062-445-9153")</f>
        <v>062-445-9153</v>
      </c>
      <c r="AC857" t="str">
        <f>IFERROR(__xludf.DUMMYFUNCTION("""COMPUTED_VALUE"""),"Chaiwin Phookphun (Father)")</f>
        <v>Chaiwin Phookphun (Father)</v>
      </c>
      <c r="AD857" t="str">
        <f>IFERROR(__xludf.DUMMYFUNCTION("""COMPUTED_VALUE"""),"kamonjunp@airasia.com")</f>
        <v>kamonjunp@airasia.com</v>
      </c>
    </row>
    <row r="858">
      <c r="A858" s="142">
        <f>IFERROR(__xludf.DUMMYFUNCTION("""COMPUTED_VALUE"""),92.0)</f>
        <v>92</v>
      </c>
      <c r="B858" t="str">
        <f>IFERROR(__xludf.DUMMYFUNCTION("""COMPUTED_VALUE"""),"TAA7925")</f>
        <v>TAA7925</v>
      </c>
      <c r="C858">
        <f>IFERROR(__xludf.DUMMYFUNCTION("""COMPUTED_VALUE"""),1019401.0)</f>
        <v>1019401</v>
      </c>
      <c r="D858" t="str">
        <f>IFERROR(__xludf.DUMMYFUNCTION("""COMPUTED_VALUE"""),"Mr.")</f>
        <v>Mr.</v>
      </c>
      <c r="E858" t="str">
        <f>IFERROR(__xludf.DUMMYFUNCTION("""COMPUTED_VALUE"""),"Kunlachat")</f>
        <v>Kunlachat</v>
      </c>
      <c r="F858" t="str">
        <f>IFERROR(__xludf.DUMMYFUNCTION("""COMPUTED_VALUE"""),"Cheythong")</f>
        <v>Cheythong</v>
      </c>
      <c r="G858" t="str">
        <f>IFERROR(__xludf.DUMMYFUNCTION("""COMPUTED_VALUE"""),"Kunlachat Cheythong")</f>
        <v>Kunlachat Cheythong</v>
      </c>
      <c r="H858" t="str">
        <f>IFERROR(__xludf.DUMMYFUNCTION("""COMPUTED_VALUE"""),"นาย")</f>
        <v>นาย</v>
      </c>
      <c r="I858" t="str">
        <f>IFERROR(__xludf.DUMMYFUNCTION("""COMPUTED_VALUE"""),"กุลฉัตร")</f>
        <v>กุลฉัตร</v>
      </c>
      <c r="J858" t="str">
        <f>IFERROR(__xludf.DUMMYFUNCTION("""COMPUTED_VALUE"""),"เชยทอง")</f>
        <v>เชยทอง</v>
      </c>
      <c r="K858" t="str">
        <f>IFERROR(__xludf.DUMMYFUNCTION("""COMPUTED_VALUE"""),"กุลฉัตร เชยทอง")</f>
        <v>กุลฉัตร เชยทอง</v>
      </c>
      <c r="L858" t="str">
        <f>IFERROR(__xludf.DUMMYFUNCTION("""COMPUTED_VALUE"""),"Shongklod/ทรงกลด")</f>
        <v>Shongklod/ทรงกลด</v>
      </c>
      <c r="M858" t="str">
        <f>IFERROR(__xludf.DUMMYFUNCTION("""COMPUTED_VALUE"""),"Cabin Crew")</f>
        <v>Cabin Crew</v>
      </c>
      <c r="N858" t="str">
        <f>IFERROR(__xludf.DUMMYFUNCTION("""COMPUTED_VALUE"""),"DMK")</f>
        <v>DMK</v>
      </c>
      <c r="O858" s="145" t="str">
        <f>IFERROR(__xludf.DUMMYFUNCTION("""COMPUTED_VALUE"""),"Um Home")</f>
        <v>Um Home</v>
      </c>
      <c r="P858" t="str">
        <f>IFERROR(__xludf.DUMMYFUNCTION("""COMPUTED_VALUE"""),"Active")</f>
        <v>Active</v>
      </c>
      <c r="R858" s="143">
        <f>IFERROR(__xludf.DUMMYFUNCTION("""COMPUTED_VALUE"""),33594.0)</f>
        <v>33594</v>
      </c>
      <c r="S858" s="146" t="str">
        <f>IFERROR(__xludf.DUMMYFUNCTION("""COMPUTED_VALUE"""),"097-141-2646")</f>
        <v>097-141-2646</v>
      </c>
      <c r="T858" s="147" t="str">
        <f>IFERROR(__xludf.DUMMYFUNCTION("""COMPUTED_VALUE"""),"1110100-12-5571")</f>
        <v>1110100-12-5571</v>
      </c>
      <c r="U858" t="str">
        <f>IFERROR(__xludf.DUMMYFUNCTION("""COMPUTED_VALUE"""),"AC6812763")</f>
        <v>AC6812763</v>
      </c>
      <c r="V858" s="148">
        <f>IFERROR(__xludf.DUMMYFUNCTION("""COMPUTED_VALUE"""),45441.0)</f>
        <v>45441</v>
      </c>
      <c r="W858" s="148">
        <f>IFERROR(__xludf.DUMMYFUNCTION("""COMPUTED_VALUE"""),49092.0)</f>
        <v>49092</v>
      </c>
      <c r="X858" s="149">
        <f>IFERROR(__xludf.DUMMYFUNCTION("""COMPUTED_VALUE"""),48911.0)</f>
        <v>48911</v>
      </c>
      <c r="Y858" t="str">
        <f>IFERROR(__xludf.DUMMYFUNCTION("""COMPUTED_VALUE"""),"ปลอดภัย")</f>
        <v>ปลอดภัย</v>
      </c>
      <c r="Z858" t="str">
        <f>IFERROR(__xludf.DUMMYFUNCTION("""COMPUTED_VALUE"""),"Samut Prakan Province")</f>
        <v>Samut Prakan Province</v>
      </c>
      <c r="AA858" t="str">
        <f>IFERROR(__xludf.DUMMYFUNCTION("""COMPUTED_VALUE"""),"Samut Prakan")</f>
        <v>Samut Prakan</v>
      </c>
      <c r="AB858" t="str">
        <f>IFERROR(__xludf.DUMMYFUNCTION("""COMPUTED_VALUE"""),"086-891-3069")</f>
        <v>086-891-3069</v>
      </c>
      <c r="AC858" t="str">
        <f>IFERROR(__xludf.DUMMYFUNCTION("""COMPUTED_VALUE"""),"Kunrisa thongheam (Mother)")</f>
        <v>Kunrisa thongheam (Mother)</v>
      </c>
      <c r="AD858" t="str">
        <f>IFERROR(__xludf.DUMMYFUNCTION("""COMPUTED_VALUE"""),"kunlachatc@airasia.com")</f>
        <v>kunlachatc@airasia.com</v>
      </c>
    </row>
    <row r="859">
      <c r="A859" s="142">
        <f>IFERROR(__xludf.DUMMYFUNCTION("""COMPUTED_VALUE"""),92.0)</f>
        <v>92</v>
      </c>
      <c r="B859" t="str">
        <f>IFERROR(__xludf.DUMMYFUNCTION("""COMPUTED_VALUE"""),"TAA7928")</f>
        <v>TAA7928</v>
      </c>
      <c r="C859">
        <f>IFERROR(__xludf.DUMMYFUNCTION("""COMPUTED_VALUE"""),1019402.0)</f>
        <v>1019402</v>
      </c>
      <c r="D859" t="str">
        <f>IFERROR(__xludf.DUMMYFUNCTION("""COMPUTED_VALUE"""),"Mr.")</f>
        <v>Mr.</v>
      </c>
      <c r="E859" t="str">
        <f>IFERROR(__xludf.DUMMYFUNCTION("""COMPUTED_VALUE"""),"Methawat")</f>
        <v>Methawat</v>
      </c>
      <c r="F859" t="str">
        <f>IFERROR(__xludf.DUMMYFUNCTION("""COMPUTED_VALUE"""),"Thitinawasup")</f>
        <v>Thitinawasup</v>
      </c>
      <c r="G859" t="str">
        <f>IFERROR(__xludf.DUMMYFUNCTION("""COMPUTED_VALUE"""),"Methawat Thitinawasup")</f>
        <v>Methawat Thitinawasup</v>
      </c>
      <c r="H859" t="str">
        <f>IFERROR(__xludf.DUMMYFUNCTION("""COMPUTED_VALUE"""),"นาย")</f>
        <v>นาย</v>
      </c>
      <c r="I859" t="str">
        <f>IFERROR(__xludf.DUMMYFUNCTION("""COMPUTED_VALUE"""),"เมธาวัฒน์")</f>
        <v>เมธาวัฒน์</v>
      </c>
      <c r="J859" t="str">
        <f>IFERROR(__xludf.DUMMYFUNCTION("""COMPUTED_VALUE"""),"ธิตินวทรัพย์")</f>
        <v>ธิตินวทรัพย์</v>
      </c>
      <c r="K859" t="str">
        <f>IFERROR(__xludf.DUMMYFUNCTION("""COMPUTED_VALUE"""),"เมธาวัฒน์ ธิตินวทรัพย์")</f>
        <v>เมธาวัฒน์ ธิตินวทรัพย์</v>
      </c>
      <c r="L859" t="str">
        <f>IFERROR(__xludf.DUMMYFUNCTION("""COMPUTED_VALUE"""),"Today / ทูเดย์")</f>
        <v>Today / ทูเดย์</v>
      </c>
      <c r="M859" t="str">
        <f>IFERROR(__xludf.DUMMYFUNCTION("""COMPUTED_VALUE"""),"Cabin Crew")</f>
        <v>Cabin Crew</v>
      </c>
      <c r="N859" t="str">
        <f>IFERROR(__xludf.DUMMYFUNCTION("""COMPUTED_VALUE"""),"DMK")</f>
        <v>DMK</v>
      </c>
      <c r="O859" s="145" t="str">
        <f>IFERROR(__xludf.DUMMYFUNCTION("""COMPUTED_VALUE"""),"Um Home")</f>
        <v>Um Home</v>
      </c>
      <c r="P859" t="str">
        <f>IFERROR(__xludf.DUMMYFUNCTION("""COMPUTED_VALUE"""),"Active")</f>
        <v>Active</v>
      </c>
      <c r="R859" s="143">
        <f>IFERROR(__xludf.DUMMYFUNCTION("""COMPUTED_VALUE"""),34024.0)</f>
        <v>34024</v>
      </c>
      <c r="S859" s="146" t="str">
        <f>IFERROR(__xludf.DUMMYFUNCTION("""COMPUTED_VALUE"""),"087-546-6139")</f>
        <v>087-546-6139</v>
      </c>
      <c r="T859" s="147" t="str">
        <f>IFERROR(__xludf.DUMMYFUNCTION("""COMPUTED_VALUE"""),"1709900-78-1556")</f>
        <v>1709900-78-1556</v>
      </c>
      <c r="U859" t="str">
        <f>IFERROR(__xludf.DUMMYFUNCTION("""COMPUTED_VALUE"""),"AC2910285")</f>
        <v>AC2910285</v>
      </c>
      <c r="V859" s="148">
        <f>IFERROR(__xludf.DUMMYFUNCTION("""COMPUTED_VALUE"""),44620.0)</f>
        <v>44620</v>
      </c>
      <c r="W859" s="148">
        <f>IFERROR(__xludf.DUMMYFUNCTION("""COMPUTED_VALUE"""),48271.0)</f>
        <v>48271</v>
      </c>
      <c r="X859" s="149">
        <f>IFERROR(__xludf.DUMMYFUNCTION("""COMPUTED_VALUE"""),48087.0)</f>
        <v>48087</v>
      </c>
      <c r="Y859" t="str">
        <f>IFERROR(__xludf.DUMMYFUNCTION("""COMPUTED_VALUE"""),"ปลอดภัย")</f>
        <v>ปลอดภัย</v>
      </c>
      <c r="Z859" t="str">
        <f>IFERROR(__xludf.DUMMYFUNCTION("""COMPUTED_VALUE"""),"Ratchaburi Province")</f>
        <v>Ratchaburi Province</v>
      </c>
      <c r="AA859" t="str">
        <f>IFERROR(__xludf.DUMMYFUNCTION("""COMPUTED_VALUE"""),"Bangkok")</f>
        <v>Bangkok</v>
      </c>
      <c r="AB859" t="str">
        <f>IFERROR(__xludf.DUMMYFUNCTION("""COMPUTED_VALUE"""),"081-791-5645")</f>
        <v>081-791-5645</v>
      </c>
      <c r="AC859" t="str">
        <f>IFERROR(__xludf.DUMMYFUNCTION("""COMPUTED_VALUE"""),"Chaowawat Thitinawasup (Brother)")</f>
        <v>Chaowawat Thitinawasup (Brother)</v>
      </c>
      <c r="AD859" t="str">
        <f>IFERROR(__xludf.DUMMYFUNCTION("""COMPUTED_VALUE"""),"methawath@airasia.com")</f>
        <v>methawath@airasia.com</v>
      </c>
    </row>
    <row r="860">
      <c r="A860" s="142">
        <f>IFERROR(__xludf.DUMMYFUNCTION("""COMPUTED_VALUE"""),92.0)</f>
        <v>92</v>
      </c>
      <c r="B860" t="str">
        <f>IFERROR(__xludf.DUMMYFUNCTION("""COMPUTED_VALUE"""),"TAA7937")</f>
        <v>TAA7937</v>
      </c>
      <c r="C860">
        <f>IFERROR(__xludf.DUMMYFUNCTION("""COMPUTED_VALUE"""),1019404.0)</f>
        <v>1019404</v>
      </c>
      <c r="D860" t="str">
        <f>IFERROR(__xludf.DUMMYFUNCTION("""COMPUTED_VALUE"""),"Ms.")</f>
        <v>Ms.</v>
      </c>
      <c r="E860" t="str">
        <f>IFERROR(__xludf.DUMMYFUNCTION("""COMPUTED_VALUE"""),"Ninlaya")</f>
        <v>Ninlaya</v>
      </c>
      <c r="F860" t="str">
        <f>IFERROR(__xludf.DUMMYFUNCTION("""COMPUTED_VALUE"""),"Tangmongkhongkon")</f>
        <v>Tangmongkhongkon</v>
      </c>
      <c r="G860" t="str">
        <f>IFERROR(__xludf.DUMMYFUNCTION("""COMPUTED_VALUE"""),"Ninlaya Tangmongkhongkon")</f>
        <v>Ninlaya Tangmongkhongkon</v>
      </c>
      <c r="H860" t="str">
        <f>IFERROR(__xludf.DUMMYFUNCTION("""COMPUTED_VALUE"""),"นางสาว")</f>
        <v>นางสาว</v>
      </c>
      <c r="I860" t="str">
        <f>IFERROR(__xludf.DUMMYFUNCTION("""COMPUTED_VALUE"""),"นิลญา")</f>
        <v>นิลญา</v>
      </c>
      <c r="J860" t="str">
        <f>IFERROR(__xludf.DUMMYFUNCTION("""COMPUTED_VALUE"""),"ตั้งมงคลกรณ์")</f>
        <v>ตั้งมงคลกรณ์</v>
      </c>
      <c r="K860" t="str">
        <f>IFERROR(__xludf.DUMMYFUNCTION("""COMPUTED_VALUE"""),"นิลญา ตั้งมงคลกรณ์")</f>
        <v>นิลญา ตั้งมงคลกรณ์</v>
      </c>
      <c r="L860" t="str">
        <f>IFERROR(__xludf.DUMMYFUNCTION("""COMPUTED_VALUE"""),"Hui/หุย")</f>
        <v>Hui/หุย</v>
      </c>
      <c r="M860" t="str">
        <f>IFERROR(__xludf.DUMMYFUNCTION("""COMPUTED_VALUE"""),"Cabin Crew - BKK")</f>
        <v>Cabin Crew - BKK</v>
      </c>
      <c r="N860" t="str">
        <f>IFERROR(__xludf.DUMMYFUNCTION("""COMPUTED_VALUE"""),"BKK")</f>
        <v>BKK</v>
      </c>
      <c r="O860" s="145" t="str">
        <f>IFERROR(__xludf.DUMMYFUNCTION("""COMPUTED_VALUE"""),"Nhui Home")</f>
        <v>Nhui Home</v>
      </c>
      <c r="P860" t="str">
        <f>IFERROR(__xludf.DUMMYFUNCTION("""COMPUTED_VALUE"""),"LWPP")</f>
        <v>LWPP</v>
      </c>
      <c r="R860" s="143">
        <f>IFERROR(__xludf.DUMMYFUNCTION("""COMPUTED_VALUE"""),33362.0)</f>
        <v>33362</v>
      </c>
      <c r="S860" s="146" t="str">
        <f>IFERROR(__xludf.DUMMYFUNCTION("""COMPUTED_VALUE"""),"088-316-7575")</f>
        <v>088-316-7575</v>
      </c>
      <c r="T860" s="147" t="str">
        <f>IFERROR(__xludf.DUMMYFUNCTION("""COMPUTED_VALUE"""),"1100400-51-7229")</f>
        <v>1100400-51-7229</v>
      </c>
      <c r="U860" t="str">
        <f>IFERROR(__xludf.DUMMYFUNCTION("""COMPUTED_VALUE"""),"AC2557417")</f>
        <v>AC2557417</v>
      </c>
      <c r="V860" s="148">
        <f>IFERROR(__xludf.DUMMYFUNCTION("""COMPUTED_VALUE"""),44567.0)</f>
        <v>44567</v>
      </c>
      <c r="W860" s="148">
        <f>IFERROR(__xludf.DUMMYFUNCTION("""COMPUTED_VALUE"""),48218.0)</f>
        <v>48218</v>
      </c>
      <c r="X860" s="149">
        <f>IFERROR(__xludf.DUMMYFUNCTION("""COMPUTED_VALUE"""),48034.0)</f>
        <v>48034</v>
      </c>
      <c r="Y860" t="str">
        <f>IFERROR(__xludf.DUMMYFUNCTION("""COMPUTED_VALUE"""),"ปลอดภัย")</f>
        <v>ปลอดภัย</v>
      </c>
      <c r="Z860" t="str">
        <f>IFERROR(__xludf.DUMMYFUNCTION("""COMPUTED_VALUE"""),"Bangkok")</f>
        <v>Bangkok</v>
      </c>
      <c r="AA860" t="str">
        <f>IFERROR(__xludf.DUMMYFUNCTION("""COMPUTED_VALUE"""),"Bangkok")</f>
        <v>Bangkok</v>
      </c>
      <c r="AB860" t="str">
        <f>IFERROR(__xludf.DUMMYFUNCTION("""COMPUTED_VALUE"""),"086-310-0472")</f>
        <v>086-310-0472</v>
      </c>
      <c r="AC860" t="str">
        <f>IFERROR(__xludf.DUMMYFUNCTION("""COMPUTED_VALUE"""),"Nunil Hanchana(Mother)")</f>
        <v>Nunil Hanchana(Mother)</v>
      </c>
      <c r="AD860" t="str">
        <f>IFERROR(__xludf.DUMMYFUNCTION("""COMPUTED_VALUE"""),"ninlayat@airasia.com")</f>
        <v>ninlayat@airasia.com</v>
      </c>
    </row>
    <row r="861">
      <c r="A861" s="142">
        <f>IFERROR(__xludf.DUMMYFUNCTION("""COMPUTED_VALUE"""),92.0)</f>
        <v>92</v>
      </c>
      <c r="B861" t="str">
        <f>IFERROR(__xludf.DUMMYFUNCTION("""COMPUTED_VALUE"""),"TAA7930")</f>
        <v>TAA7930</v>
      </c>
      <c r="C861">
        <f>IFERROR(__xludf.DUMMYFUNCTION("""COMPUTED_VALUE"""),1019405.0)</f>
        <v>1019405</v>
      </c>
      <c r="D861" t="str">
        <f>IFERROR(__xludf.DUMMYFUNCTION("""COMPUTED_VALUE"""),"Mr.")</f>
        <v>Mr.</v>
      </c>
      <c r="E861" t="str">
        <f>IFERROR(__xludf.DUMMYFUNCTION("""COMPUTED_VALUE"""),"Nithi")</f>
        <v>Nithi</v>
      </c>
      <c r="F861" t="str">
        <f>IFERROR(__xludf.DUMMYFUNCTION("""COMPUTED_VALUE"""),"Chalongtrakul")</f>
        <v>Chalongtrakul</v>
      </c>
      <c r="G861" t="str">
        <f>IFERROR(__xludf.DUMMYFUNCTION("""COMPUTED_VALUE"""),"Nithi Chalongtrakul")</f>
        <v>Nithi Chalongtrakul</v>
      </c>
      <c r="H861" t="str">
        <f>IFERROR(__xludf.DUMMYFUNCTION("""COMPUTED_VALUE"""),"นาย")</f>
        <v>นาย</v>
      </c>
      <c r="I861" t="str">
        <f>IFERROR(__xludf.DUMMYFUNCTION("""COMPUTED_VALUE"""),"นิธิ")</f>
        <v>นิธิ</v>
      </c>
      <c r="J861" t="str">
        <f>IFERROR(__xludf.DUMMYFUNCTION("""COMPUTED_VALUE"""),"ฉลองตระกูล")</f>
        <v>ฉลองตระกูล</v>
      </c>
      <c r="K861" t="str">
        <f>IFERROR(__xludf.DUMMYFUNCTION("""COMPUTED_VALUE"""),"นิธิ ฉลองตระกูล")</f>
        <v>นิธิ ฉลองตระกูล</v>
      </c>
      <c r="L861" t="str">
        <f>IFERROR(__xludf.DUMMYFUNCTION("""COMPUTED_VALUE"""),"Tie/ตี้")</f>
        <v>Tie/ตี้</v>
      </c>
      <c r="M861" t="str">
        <f>IFERROR(__xludf.DUMMYFUNCTION("""COMPUTED_VALUE"""),"Cabin Crew")</f>
        <v>Cabin Crew</v>
      </c>
      <c r="N861" t="str">
        <f>IFERROR(__xludf.DUMMYFUNCTION("""COMPUTED_VALUE"""),"DMK")</f>
        <v>DMK</v>
      </c>
      <c r="O861" s="145" t="str">
        <f>IFERROR(__xludf.DUMMYFUNCTION("""COMPUTED_VALUE"""),"Por+ Home")</f>
        <v>Por+ Home</v>
      </c>
      <c r="P861" t="str">
        <f>IFERROR(__xludf.DUMMYFUNCTION("""COMPUTED_VALUE"""),"Active")</f>
        <v>Active</v>
      </c>
      <c r="R861" s="143">
        <f>IFERROR(__xludf.DUMMYFUNCTION("""COMPUTED_VALUE"""),33449.0)</f>
        <v>33449</v>
      </c>
      <c r="S861" s="146" t="str">
        <f>IFERROR(__xludf.DUMMYFUNCTION("""COMPUTED_VALUE"""),"066-141-9449")</f>
        <v>066-141-9449</v>
      </c>
      <c r="T861" s="147" t="str">
        <f>IFERROR(__xludf.DUMMYFUNCTION("""COMPUTED_VALUE"""),"1100800-72-5376")</f>
        <v>1100800-72-5376</v>
      </c>
      <c r="U861" t="str">
        <f>IFERROR(__xludf.DUMMYFUNCTION("""COMPUTED_VALUE"""),"AC6859739")</f>
        <v>AC6859739</v>
      </c>
      <c r="V861" s="148">
        <f>IFERROR(__xludf.DUMMYFUNCTION("""COMPUTED_VALUE"""),45476.0)</f>
        <v>45476</v>
      </c>
      <c r="W861" s="148">
        <f>IFERROR(__xludf.DUMMYFUNCTION("""COMPUTED_VALUE"""),49127.0)</f>
        <v>49127</v>
      </c>
      <c r="X861" s="149">
        <f>IFERROR(__xludf.DUMMYFUNCTION("""COMPUTED_VALUE"""),48946.0)</f>
        <v>48946</v>
      </c>
      <c r="Y861" t="str">
        <f>IFERROR(__xludf.DUMMYFUNCTION("""COMPUTED_VALUE"""),"ปลอดภัย")</f>
        <v>ปลอดภัย</v>
      </c>
      <c r="Z861" t="str">
        <f>IFERROR(__xludf.DUMMYFUNCTION("""COMPUTED_VALUE"""),"Bangkok")</f>
        <v>Bangkok</v>
      </c>
      <c r="AA861" t="str">
        <f>IFERROR(__xludf.DUMMYFUNCTION("""COMPUTED_VALUE"""),"Bangkok")</f>
        <v>Bangkok</v>
      </c>
      <c r="AB861" t="str">
        <f>IFERROR(__xludf.DUMMYFUNCTION("""COMPUTED_VALUE"""),"086-369-5332")</f>
        <v>086-369-5332</v>
      </c>
      <c r="AC861" t="str">
        <f>IFERROR(__xludf.DUMMYFUNCTION("""COMPUTED_VALUE"""),"Niramai Chalongtrakul (Mother)")</f>
        <v>Niramai Chalongtrakul (Mother)</v>
      </c>
      <c r="AD861" t="str">
        <f>IFERROR(__xludf.DUMMYFUNCTION("""COMPUTED_VALUE"""),"nithic@airasia.com")</f>
        <v>nithic@airasia.com</v>
      </c>
    </row>
    <row r="862">
      <c r="A862" s="142">
        <f>IFERROR(__xludf.DUMMYFUNCTION("""COMPUTED_VALUE"""),92.0)</f>
        <v>92</v>
      </c>
      <c r="B862" t="str">
        <f>IFERROR(__xludf.DUMMYFUNCTION("""COMPUTED_VALUE"""),"TAA7934")</f>
        <v>TAA7934</v>
      </c>
      <c r="C862">
        <f>IFERROR(__xludf.DUMMYFUNCTION("""COMPUTED_VALUE"""),1019406.0)</f>
        <v>1019406</v>
      </c>
      <c r="D862" t="str">
        <f>IFERROR(__xludf.DUMMYFUNCTION("""COMPUTED_VALUE"""),"Ms.")</f>
        <v>Ms.</v>
      </c>
      <c r="E862" t="str">
        <f>IFERROR(__xludf.DUMMYFUNCTION("""COMPUTED_VALUE"""),"Purichaya")</f>
        <v>Purichaya</v>
      </c>
      <c r="F862" t="str">
        <f>IFERROR(__xludf.DUMMYFUNCTION("""COMPUTED_VALUE"""),"Pongpeerachork")</f>
        <v>Pongpeerachork</v>
      </c>
      <c r="G862" t="str">
        <f>IFERROR(__xludf.DUMMYFUNCTION("""COMPUTED_VALUE"""),"Purichaya Pongpeerachork")</f>
        <v>Purichaya Pongpeerachork</v>
      </c>
      <c r="H862" t="str">
        <f>IFERROR(__xludf.DUMMYFUNCTION("""COMPUTED_VALUE"""),"นางสาว")</f>
        <v>นางสาว</v>
      </c>
      <c r="I862" t="str">
        <f>IFERROR(__xludf.DUMMYFUNCTION("""COMPUTED_VALUE"""),"ภูริชญา")</f>
        <v>ภูริชญา</v>
      </c>
      <c r="J862" t="str">
        <f>IFERROR(__xludf.DUMMYFUNCTION("""COMPUTED_VALUE"""),"พงศ์พีรโชค")</f>
        <v>พงศ์พีรโชค</v>
      </c>
      <c r="K862" t="str">
        <f>IFERROR(__xludf.DUMMYFUNCTION("""COMPUTED_VALUE"""),"ภูริชญา พงศ์พีรโชค")</f>
        <v>ภูริชญา พงศ์พีรโชค</v>
      </c>
      <c r="L862" t="str">
        <f>IFERROR(__xludf.DUMMYFUNCTION("""COMPUTED_VALUE"""),"Print / ปริ้น")</f>
        <v>Print / ปริ้น</v>
      </c>
      <c r="M862" t="str">
        <f>IFERROR(__xludf.DUMMYFUNCTION("""COMPUTED_VALUE"""),"Cabin Crew")</f>
        <v>Cabin Crew</v>
      </c>
      <c r="N862" t="str">
        <f>IFERROR(__xludf.DUMMYFUNCTION("""COMPUTED_VALUE"""),"DMK")</f>
        <v>DMK</v>
      </c>
      <c r="O862" s="145" t="str">
        <f>IFERROR(__xludf.DUMMYFUNCTION("""COMPUTED_VALUE"""),"Por+ Home")</f>
        <v>Por+ Home</v>
      </c>
      <c r="P862" t="str">
        <f>IFERROR(__xludf.DUMMYFUNCTION("""COMPUTED_VALUE"""),"Active")</f>
        <v>Active</v>
      </c>
      <c r="R862" s="143">
        <f>IFERROR(__xludf.DUMMYFUNCTION("""COMPUTED_VALUE"""),34214.0)</f>
        <v>34214</v>
      </c>
      <c r="S862" s="146" t="str">
        <f>IFERROR(__xludf.DUMMYFUNCTION("""COMPUTED_VALUE"""),"083-0101872")</f>
        <v>083-0101872</v>
      </c>
      <c r="T862" s="147" t="str">
        <f>IFERROR(__xludf.DUMMYFUNCTION("""COMPUTED_VALUE"""),"1739900-42-5792")</f>
        <v>1739900-42-5792</v>
      </c>
      <c r="U862" t="str">
        <f>IFERROR(__xludf.DUMMYFUNCTION("""COMPUTED_VALUE"""),"AD0645323")</f>
        <v>AD0645323</v>
      </c>
      <c r="V862" s="148">
        <f>IFERROR(__xludf.DUMMYFUNCTION("""COMPUTED_VALUE"""),44944.0)</f>
        <v>44944</v>
      </c>
      <c r="W862" s="148">
        <f>IFERROR(__xludf.DUMMYFUNCTION("""COMPUTED_VALUE"""),48596.0)</f>
        <v>48596</v>
      </c>
      <c r="X862" s="149">
        <f>IFERROR(__xludf.DUMMYFUNCTION("""COMPUTED_VALUE"""),48412.0)</f>
        <v>48412</v>
      </c>
      <c r="Y862" t="str">
        <f>IFERROR(__xludf.DUMMYFUNCTION("""COMPUTED_VALUE"""),"ปลอดภัย")</f>
        <v>ปลอดภัย</v>
      </c>
      <c r="Z862" t="str">
        <f>IFERROR(__xludf.DUMMYFUNCTION("""COMPUTED_VALUE"""),"Nakhon Pathom Province")</f>
        <v>Nakhon Pathom Province</v>
      </c>
      <c r="AA862" t="str">
        <f>IFERROR(__xludf.DUMMYFUNCTION("""COMPUTED_VALUE"""),"Bangkok")</f>
        <v>Bangkok</v>
      </c>
      <c r="AB862" t="str">
        <f>IFERROR(__xludf.DUMMYFUNCTION("""COMPUTED_VALUE"""),"081-815-5064")</f>
        <v>081-815-5064</v>
      </c>
      <c r="AC862" t="str">
        <f>IFERROR(__xludf.DUMMYFUNCTION("""COMPUTED_VALUE"""),"Numchai Pongpeerachork (Father)")</f>
        <v>Numchai Pongpeerachork (Father)</v>
      </c>
      <c r="AD862" t="str">
        <f>IFERROR(__xludf.DUMMYFUNCTION("""COMPUTED_VALUE"""),"purichayap@airasia.com")</f>
        <v>purichayap@airasia.com</v>
      </c>
    </row>
    <row r="863">
      <c r="A863" s="142">
        <f>IFERROR(__xludf.DUMMYFUNCTION("""COMPUTED_VALUE"""),92.0)</f>
        <v>92</v>
      </c>
      <c r="B863" t="str">
        <f>IFERROR(__xludf.DUMMYFUNCTION("""COMPUTED_VALUE"""),"TAA7932")</f>
        <v>TAA7932</v>
      </c>
      <c r="C863">
        <f>IFERROR(__xludf.DUMMYFUNCTION("""COMPUTED_VALUE"""),1019407.0)</f>
        <v>1019407</v>
      </c>
      <c r="D863" t="str">
        <f>IFERROR(__xludf.DUMMYFUNCTION("""COMPUTED_VALUE"""),"Ms.")</f>
        <v>Ms.</v>
      </c>
      <c r="E863" t="str">
        <f>IFERROR(__xludf.DUMMYFUNCTION("""COMPUTED_VALUE"""),"Saowapak")</f>
        <v>Saowapak</v>
      </c>
      <c r="F863" t="str">
        <f>IFERROR(__xludf.DUMMYFUNCTION("""COMPUTED_VALUE"""),"Siri-athikhom")</f>
        <v>Siri-athikhom</v>
      </c>
      <c r="G863" t="str">
        <f>IFERROR(__xludf.DUMMYFUNCTION("""COMPUTED_VALUE"""),"Saowapak Siri-athikhom")</f>
        <v>Saowapak Siri-athikhom</v>
      </c>
      <c r="H863" t="str">
        <f>IFERROR(__xludf.DUMMYFUNCTION("""COMPUTED_VALUE"""),"นางสาว")</f>
        <v>นางสาว</v>
      </c>
      <c r="I863" t="str">
        <f>IFERROR(__xludf.DUMMYFUNCTION("""COMPUTED_VALUE"""),"เสาวภาคย์")</f>
        <v>เสาวภาคย์</v>
      </c>
      <c r="J863" t="str">
        <f>IFERROR(__xludf.DUMMYFUNCTION("""COMPUTED_VALUE"""),"ศิริอธิคม")</f>
        <v>ศิริอธิคม</v>
      </c>
      <c r="K863" t="str">
        <f>IFERROR(__xludf.DUMMYFUNCTION("""COMPUTED_VALUE"""),"เสาวภาคย์ ศิริอธิคม")</f>
        <v>เสาวภาคย์ ศิริอธิคม</v>
      </c>
      <c r="L863" t="str">
        <f>IFERROR(__xludf.DUMMYFUNCTION("""COMPUTED_VALUE"""),"Tul / ตุล")</f>
        <v>Tul / ตุล</v>
      </c>
      <c r="M863" t="str">
        <f>IFERROR(__xludf.DUMMYFUNCTION("""COMPUTED_VALUE"""),"Cabin Crew")</f>
        <v>Cabin Crew</v>
      </c>
      <c r="N863" t="str">
        <f>IFERROR(__xludf.DUMMYFUNCTION("""COMPUTED_VALUE"""),"DMK")</f>
        <v>DMK</v>
      </c>
      <c r="O863" s="145" t="str">
        <f>IFERROR(__xludf.DUMMYFUNCTION("""COMPUTED_VALUE"""),"Toffy Home")</f>
        <v>Toffy Home</v>
      </c>
      <c r="P863" t="str">
        <f>IFERROR(__xludf.DUMMYFUNCTION("""COMPUTED_VALUE"""),"Active")</f>
        <v>Active</v>
      </c>
      <c r="R863" s="143">
        <f>IFERROR(__xludf.DUMMYFUNCTION("""COMPUTED_VALUE"""),33152.0)</f>
        <v>33152</v>
      </c>
      <c r="S863" s="146" t="str">
        <f>IFERROR(__xludf.DUMMYFUNCTION("""COMPUTED_VALUE"""),"091-859-2956")</f>
        <v>091-859-2956</v>
      </c>
      <c r="T863" s="147" t="str">
        <f>IFERROR(__xludf.DUMMYFUNCTION("""COMPUTED_VALUE"""),"1103700-26-7310")</f>
        <v>1103700-26-7310</v>
      </c>
      <c r="U863" t="str">
        <f>IFERROR(__xludf.DUMMYFUNCTION("""COMPUTED_VALUE"""),"AC6946438")</f>
        <v>AC6946438</v>
      </c>
      <c r="V863" s="148">
        <f>IFERROR(__xludf.DUMMYFUNCTION("""COMPUTED_VALUE"""),45528.0)</f>
        <v>45528</v>
      </c>
      <c r="W863" s="148">
        <f>IFERROR(__xludf.DUMMYFUNCTION("""COMPUTED_VALUE"""),49179.0)</f>
        <v>49179</v>
      </c>
      <c r="X863" s="149">
        <f>IFERROR(__xludf.DUMMYFUNCTION("""COMPUTED_VALUE"""),48998.0)</f>
        <v>48998</v>
      </c>
      <c r="Y863" t="str">
        <f>IFERROR(__xludf.DUMMYFUNCTION("""COMPUTED_VALUE"""),"ปลอดภัย")</f>
        <v>ปลอดภัย</v>
      </c>
      <c r="Z863" t="str">
        <f>IFERROR(__xludf.DUMMYFUNCTION("""COMPUTED_VALUE"""),"Bangkok")</f>
        <v>Bangkok</v>
      </c>
      <c r="AA863" t="str">
        <f>IFERROR(__xludf.DUMMYFUNCTION("""COMPUTED_VALUE"""),"Nonthaburi")</f>
        <v>Nonthaburi</v>
      </c>
      <c r="AB863" t="str">
        <f>IFERROR(__xludf.DUMMYFUNCTION("""COMPUTED_VALUE"""),"061-789-0253")</f>
        <v>061-789-0253</v>
      </c>
      <c r="AC863" t="str">
        <f>IFERROR(__xludf.DUMMYFUNCTION("""COMPUTED_VALUE"""),"Wasana Siri-athikhom(Brother)")</f>
        <v>Wasana Siri-athikhom(Brother)</v>
      </c>
      <c r="AD863" t="str">
        <f>IFERROR(__xludf.DUMMYFUNCTION("""COMPUTED_VALUE"""),"saowapaks@airasia.com")</f>
        <v>saowapaks@airasia.com</v>
      </c>
    </row>
    <row r="864">
      <c r="A864" s="142">
        <f>IFERROR(__xludf.DUMMYFUNCTION("""COMPUTED_VALUE"""),92.0)</f>
        <v>92</v>
      </c>
      <c r="B864" t="str">
        <f>IFERROR(__xludf.DUMMYFUNCTION("""COMPUTED_VALUE"""),"TAA7938")</f>
        <v>TAA7938</v>
      </c>
      <c r="C864">
        <f>IFERROR(__xludf.DUMMYFUNCTION("""COMPUTED_VALUE"""),1019408.0)</f>
        <v>1019408</v>
      </c>
      <c r="D864" t="str">
        <f>IFERROR(__xludf.DUMMYFUNCTION("""COMPUTED_VALUE"""),"Ms.")</f>
        <v>Ms.</v>
      </c>
      <c r="E864" t="str">
        <f>IFERROR(__xludf.DUMMYFUNCTION("""COMPUTED_VALUE"""),"Sarocha")</f>
        <v>Sarocha</v>
      </c>
      <c r="F864" t="str">
        <f>IFERROR(__xludf.DUMMYFUNCTION("""COMPUTED_VALUE"""),"Kienvichit (Sukkathong)")</f>
        <v>Kienvichit (Sukkathong)</v>
      </c>
      <c r="G864" t="str">
        <f>IFERROR(__xludf.DUMMYFUNCTION("""COMPUTED_VALUE"""),"Sarocha Kienvichit")</f>
        <v>Sarocha Kienvichit</v>
      </c>
      <c r="H864" t="str">
        <f>IFERROR(__xludf.DUMMYFUNCTION("""COMPUTED_VALUE"""),"นางสาว")</f>
        <v>นางสาว</v>
      </c>
      <c r="I864" t="str">
        <f>IFERROR(__xludf.DUMMYFUNCTION("""COMPUTED_VALUE"""),"สโรชา")</f>
        <v>สโรชา</v>
      </c>
      <c r="J864" t="str">
        <f>IFERROR(__xludf.DUMMYFUNCTION("""COMPUTED_VALUE"""),"เขียนวิจิตร (สุกกาทอง)")</f>
        <v>เขียนวิจิตร (สุกกาทอง)</v>
      </c>
      <c r="K864" t="str">
        <f>IFERROR(__xludf.DUMMYFUNCTION("""COMPUTED_VALUE"""),"สโรชา เขียนวิจิตร")</f>
        <v>สโรชา เขียนวิจิตร</v>
      </c>
      <c r="L864" t="str">
        <f>IFERROR(__xludf.DUMMYFUNCTION("""COMPUTED_VALUE"""),"Leena / ลีน่า")</f>
        <v>Leena / ลีน่า</v>
      </c>
      <c r="M864" t="str">
        <f>IFERROR(__xludf.DUMMYFUNCTION("""COMPUTED_VALUE"""),"Cabin Crew - BKK")</f>
        <v>Cabin Crew - BKK</v>
      </c>
      <c r="N864" t="str">
        <f>IFERROR(__xludf.DUMMYFUNCTION("""COMPUTED_VALUE"""),"BKK")</f>
        <v>BKK</v>
      </c>
      <c r="O864" s="145" t="str">
        <f>IFERROR(__xludf.DUMMYFUNCTION("""COMPUTED_VALUE"""),"Nhui Home")</f>
        <v>Nhui Home</v>
      </c>
      <c r="P864" t="str">
        <f>IFERROR(__xludf.DUMMYFUNCTION("""COMPUTED_VALUE"""),"Active")</f>
        <v>Active</v>
      </c>
      <c r="R864" s="143">
        <f>IFERROR(__xludf.DUMMYFUNCTION("""COMPUTED_VALUE"""),33140.0)</f>
        <v>33140</v>
      </c>
      <c r="S864" s="146" t="str">
        <f>IFERROR(__xludf.DUMMYFUNCTION("""COMPUTED_VALUE"""),"089-697-6064")</f>
        <v>089-697-6064</v>
      </c>
      <c r="T864" s="147" t="str">
        <f>IFERROR(__xludf.DUMMYFUNCTION("""COMPUTED_VALUE"""),"1100701-25-9806")</f>
        <v>1100701-25-9806</v>
      </c>
      <c r="U864" t="str">
        <f>IFERROR(__xludf.DUMMYFUNCTION("""COMPUTED_VALUE"""),"AC6780490")</f>
        <v>AC6780490</v>
      </c>
      <c r="V864" s="148">
        <f>IFERROR(__xludf.DUMMYFUNCTION("""COMPUTED_VALUE"""),45432.0)</f>
        <v>45432</v>
      </c>
      <c r="W864" s="148">
        <f>IFERROR(__xludf.DUMMYFUNCTION("""COMPUTED_VALUE"""),49083.0)</f>
        <v>49083</v>
      </c>
      <c r="X864" s="149">
        <f>IFERROR(__xludf.DUMMYFUNCTION("""COMPUTED_VALUE"""),48902.0)</f>
        <v>48902</v>
      </c>
      <c r="Y864" t="str">
        <f>IFERROR(__xludf.DUMMYFUNCTION("""COMPUTED_VALUE"""),"ปลอดภัย")</f>
        <v>ปลอดภัย</v>
      </c>
      <c r="Z864" t="str">
        <f>IFERROR(__xludf.DUMMYFUNCTION("""COMPUTED_VALUE"""),"Bangkok")</f>
        <v>Bangkok</v>
      </c>
      <c r="AA864" t="str">
        <f>IFERROR(__xludf.DUMMYFUNCTION("""COMPUTED_VALUE"""),"Bangkok")</f>
        <v>Bangkok</v>
      </c>
      <c r="AB864" t="str">
        <f>IFERROR(__xludf.DUMMYFUNCTION("""COMPUTED_VALUE"""),"087-102-3453")</f>
        <v>087-102-3453</v>
      </c>
      <c r="AC864" t="str">
        <f>IFERROR(__xludf.DUMMYFUNCTION("""COMPUTED_VALUE"""),"Suntorn Sukkathong (Father)")</f>
        <v>Suntorn Sukkathong (Father)</v>
      </c>
      <c r="AD864" t="str">
        <f>IFERROR(__xludf.DUMMYFUNCTION("""COMPUTED_VALUE"""),"sarochas@airasia.com")</f>
        <v>sarochas@airasia.com</v>
      </c>
    </row>
    <row r="865">
      <c r="A865" s="142">
        <f>IFERROR(__xludf.DUMMYFUNCTION("""COMPUTED_VALUE"""),92.0)</f>
        <v>92</v>
      </c>
      <c r="B865" t="str">
        <f>IFERROR(__xludf.DUMMYFUNCTION("""COMPUTED_VALUE"""),"TAA7926")</f>
        <v>TAA7926</v>
      </c>
      <c r="C865">
        <f>IFERROR(__xludf.DUMMYFUNCTION("""COMPUTED_VALUE"""),1019409.0)</f>
        <v>1019409</v>
      </c>
      <c r="D865" t="str">
        <f>IFERROR(__xludf.DUMMYFUNCTION("""COMPUTED_VALUE"""),"Mr.")</f>
        <v>Mr.</v>
      </c>
      <c r="E865" t="str">
        <f>IFERROR(__xludf.DUMMYFUNCTION("""COMPUTED_VALUE"""),"Chitipat (Tanawat)")</f>
        <v>Chitipat (Tanawat)</v>
      </c>
      <c r="F865" t="str">
        <f>IFERROR(__xludf.DUMMYFUNCTION("""COMPUTED_VALUE"""),"Thananitdullayaphak (Lommahadthai)")</f>
        <v>Thananitdullayaphak (Lommahadthai)</v>
      </c>
      <c r="G865" t="str">
        <f>IFERROR(__xludf.DUMMYFUNCTION("""COMPUTED_VALUE"""),"Chitipat Thananitdullayaphak")</f>
        <v>Chitipat Thananitdullayaphak</v>
      </c>
      <c r="H865" t="str">
        <f>IFERROR(__xludf.DUMMYFUNCTION("""COMPUTED_VALUE"""),"นาย")</f>
        <v>นาย</v>
      </c>
      <c r="I865" t="str">
        <f>IFERROR(__xludf.DUMMYFUNCTION("""COMPUTED_VALUE"""),"ชิติพัฒน์ (ธนวัฒน์)")</f>
        <v>ชิติพัฒน์ (ธนวัฒน์)</v>
      </c>
      <c r="J865" t="str">
        <f>IFERROR(__xludf.DUMMYFUNCTION("""COMPUTED_VALUE"""),"ธนนิตย์ดุลยภัค (ล้อมมหาดไทย)")</f>
        <v>ธนนิตย์ดุลยภัค (ล้อมมหาดไทย)</v>
      </c>
      <c r="K865" t="str">
        <f>IFERROR(__xludf.DUMMYFUNCTION("""COMPUTED_VALUE"""),"ชิติพัฒน์ ธนนิตย์ดุลยภัค")</f>
        <v>ชิติพัฒน์ ธนนิตย์ดุลยภัค</v>
      </c>
      <c r="L865" t="str">
        <f>IFERROR(__xludf.DUMMYFUNCTION("""COMPUTED_VALUE"""),"Louis / หลุยส์")</f>
        <v>Louis / หลุยส์</v>
      </c>
      <c r="M865" t="str">
        <f>IFERROR(__xludf.DUMMYFUNCTION("""COMPUTED_VALUE"""),"Cabin Crew")</f>
        <v>Cabin Crew</v>
      </c>
      <c r="N865" t="str">
        <f>IFERROR(__xludf.DUMMYFUNCTION("""COMPUTED_VALUE"""),"DMK")</f>
        <v>DMK</v>
      </c>
      <c r="O865" s="145" t="str">
        <f>IFERROR(__xludf.DUMMYFUNCTION("""COMPUTED_VALUE"""),"Namfon Home")</f>
        <v>Namfon Home</v>
      </c>
      <c r="P865" t="str">
        <f>IFERROR(__xludf.DUMMYFUNCTION("""COMPUTED_VALUE"""),"Active")</f>
        <v>Active</v>
      </c>
      <c r="R865" s="143">
        <f>IFERROR(__xludf.DUMMYFUNCTION("""COMPUTED_VALUE"""),32987.0)</f>
        <v>32987</v>
      </c>
      <c r="S865" s="146" t="str">
        <f>IFERROR(__xludf.DUMMYFUNCTION("""COMPUTED_VALUE"""),"064-989-9796")</f>
        <v>064-989-9796</v>
      </c>
      <c r="T865" s="147" t="str">
        <f>IFERROR(__xludf.DUMMYFUNCTION("""COMPUTED_VALUE"""),"1102700-02-5145")</f>
        <v>1102700-02-5145</v>
      </c>
      <c r="U865" t="str">
        <f>IFERROR(__xludf.DUMMYFUNCTION("""COMPUTED_VALUE"""),"AC7104716")</f>
        <v>AC7104716</v>
      </c>
      <c r="V865" s="148">
        <f>IFERROR(__xludf.DUMMYFUNCTION("""COMPUTED_VALUE"""),45606.0)</f>
        <v>45606</v>
      </c>
      <c r="W865" s="148">
        <f>IFERROR(__xludf.DUMMYFUNCTION("""COMPUTED_VALUE"""),49257.0)</f>
        <v>49257</v>
      </c>
      <c r="X865" s="149">
        <f>IFERROR(__xludf.DUMMYFUNCTION("""COMPUTED_VALUE"""),49073.0)</f>
        <v>49073</v>
      </c>
      <c r="Y865" t="str">
        <f>IFERROR(__xludf.DUMMYFUNCTION("""COMPUTED_VALUE"""),"ปลอดภัย")</f>
        <v>ปลอดภัย</v>
      </c>
      <c r="Z865" t="str">
        <f>IFERROR(__xludf.DUMMYFUNCTION("""COMPUTED_VALUE"""),"Bangkok")</f>
        <v>Bangkok</v>
      </c>
      <c r="AA865" t="str">
        <f>IFERROR(__xludf.DUMMYFUNCTION("""COMPUTED_VALUE"""),"Bangkok")</f>
        <v>Bangkok</v>
      </c>
      <c r="AB865" t="str">
        <f>IFERROR(__xludf.DUMMYFUNCTION("""COMPUTED_VALUE"""),"095-696-5539")</f>
        <v>095-696-5539</v>
      </c>
      <c r="AC865" t="str">
        <f>IFERROR(__xludf.DUMMYFUNCTION("""COMPUTED_VALUE"""),"Aniwat Lommahadthai (Brother)")</f>
        <v>Aniwat Lommahadthai (Brother)</v>
      </c>
      <c r="AD865" t="str">
        <f>IFERROR(__xludf.DUMMYFUNCTION("""COMPUTED_VALUE"""),"chitipatt@airasia.com")</f>
        <v>chitipatt@airasia.com</v>
      </c>
    </row>
    <row r="866">
      <c r="A866" s="142">
        <f>IFERROR(__xludf.DUMMYFUNCTION("""COMPUTED_VALUE"""),92.0)</f>
        <v>92</v>
      </c>
      <c r="B866" t="str">
        <f>IFERROR(__xludf.DUMMYFUNCTION("""COMPUTED_VALUE"""),"TAA7936")</f>
        <v>TAA7936</v>
      </c>
      <c r="C866">
        <f>IFERROR(__xludf.DUMMYFUNCTION("""COMPUTED_VALUE"""),1019410.0)</f>
        <v>1019410</v>
      </c>
      <c r="D866" t="str">
        <f>IFERROR(__xludf.DUMMYFUNCTION("""COMPUTED_VALUE"""),"Ms.")</f>
        <v>Ms.</v>
      </c>
      <c r="E866" t="str">
        <f>IFERROR(__xludf.DUMMYFUNCTION("""COMPUTED_VALUE"""),"Thachaporn")</f>
        <v>Thachaporn</v>
      </c>
      <c r="F866" t="str">
        <f>IFERROR(__xludf.DUMMYFUNCTION("""COMPUTED_VALUE"""),"Lertwichitsilp")</f>
        <v>Lertwichitsilp</v>
      </c>
      <c r="G866" t="str">
        <f>IFERROR(__xludf.DUMMYFUNCTION("""COMPUTED_VALUE"""),"Thachaporn Lertwichitsilp")</f>
        <v>Thachaporn Lertwichitsilp</v>
      </c>
      <c r="H866" t="str">
        <f>IFERROR(__xludf.DUMMYFUNCTION("""COMPUTED_VALUE"""),"นางสาว")</f>
        <v>นางสาว</v>
      </c>
      <c r="I866" t="str">
        <f>IFERROR(__xludf.DUMMYFUNCTION("""COMPUTED_VALUE"""),"ธัชพร")</f>
        <v>ธัชพร</v>
      </c>
      <c r="J866" t="str">
        <f>IFERROR(__xludf.DUMMYFUNCTION("""COMPUTED_VALUE"""),"เลิศวิจิตรศิลป์")</f>
        <v>เลิศวิจิตรศิลป์</v>
      </c>
      <c r="K866" t="str">
        <f>IFERROR(__xludf.DUMMYFUNCTION("""COMPUTED_VALUE"""),"ธัชพร เลิศวิจิตรศิลป์")</f>
        <v>ธัชพร เลิศวิจิตรศิลป์</v>
      </c>
      <c r="L866" t="str">
        <f>IFERROR(__xludf.DUMMYFUNCTION("""COMPUTED_VALUE"""),"Mint/มิ้น")</f>
        <v>Mint/มิ้น</v>
      </c>
      <c r="M866" t="str">
        <f>IFERROR(__xludf.DUMMYFUNCTION("""COMPUTED_VALUE"""),"Senior Cabin Crew")</f>
        <v>Senior Cabin Crew</v>
      </c>
      <c r="N866" t="str">
        <f>IFERROR(__xludf.DUMMYFUNCTION("""COMPUTED_VALUE"""),"DMK")</f>
        <v>DMK</v>
      </c>
      <c r="O866" s="145" t="str">
        <f>IFERROR(__xludf.DUMMYFUNCTION("""COMPUTED_VALUE"""),"Por+ Home")</f>
        <v>Por+ Home</v>
      </c>
      <c r="P866" t="str">
        <f>IFERROR(__xludf.DUMMYFUNCTION("""COMPUTED_VALUE"""),"Active")</f>
        <v>Active</v>
      </c>
      <c r="R866" s="143">
        <f>IFERROR(__xludf.DUMMYFUNCTION("""COMPUTED_VALUE"""),33576.0)</f>
        <v>33576</v>
      </c>
      <c r="S866" s="146" t="str">
        <f>IFERROR(__xludf.DUMMYFUNCTION("""COMPUTED_VALUE"""),"086-374-6557")</f>
        <v>086-374-6557</v>
      </c>
      <c r="T866" s="147" t="str">
        <f>IFERROR(__xludf.DUMMYFUNCTION("""COMPUTED_VALUE"""),"1103700-65-5492")</f>
        <v>1103700-65-5492</v>
      </c>
      <c r="U866" t="str">
        <f>IFERROR(__xludf.DUMMYFUNCTION("""COMPUTED_VALUE"""),"AC2862165")</f>
        <v>AC2862165</v>
      </c>
      <c r="V866" s="148">
        <f>IFERROR(__xludf.DUMMYFUNCTION("""COMPUTED_VALUE"""),44600.0)</f>
        <v>44600</v>
      </c>
      <c r="W866" s="148">
        <f>IFERROR(__xludf.DUMMYFUNCTION("""COMPUTED_VALUE"""),48251.0)</f>
        <v>48251</v>
      </c>
      <c r="X866" s="149">
        <f>IFERROR(__xludf.DUMMYFUNCTION("""COMPUTED_VALUE"""),48067.0)</f>
        <v>48067</v>
      </c>
      <c r="Y866" t="str">
        <f>IFERROR(__xludf.DUMMYFUNCTION("""COMPUTED_VALUE"""),"ปลอดภัย")</f>
        <v>ปลอดภัย</v>
      </c>
      <c r="Z866" t="str">
        <f>IFERROR(__xludf.DUMMYFUNCTION("""COMPUTED_VALUE"""),"Bangkok")</f>
        <v>Bangkok</v>
      </c>
      <c r="AA866" t="str">
        <f>IFERROR(__xludf.DUMMYFUNCTION("""COMPUTED_VALUE"""),"Pathumthani")</f>
        <v>Pathumthani</v>
      </c>
      <c r="AB866" t="str">
        <f>IFERROR(__xludf.DUMMYFUNCTION("""COMPUTED_VALUE"""),"081-374-5767")</f>
        <v>081-374-5767</v>
      </c>
      <c r="AC866" t="str">
        <f>IFERROR(__xludf.DUMMYFUNCTION("""COMPUTED_VALUE"""),"Kirakorn Kornjirapon")</f>
        <v>Kirakorn Kornjirapon</v>
      </c>
      <c r="AD866" t="str">
        <f>IFERROR(__xludf.DUMMYFUNCTION("""COMPUTED_VALUE"""),"thachapornl@airasia.com")</f>
        <v>thachapornl@airasia.com</v>
      </c>
    </row>
    <row r="867">
      <c r="A867" s="142">
        <f>IFERROR(__xludf.DUMMYFUNCTION("""COMPUTED_VALUE"""),92.0)</f>
        <v>92</v>
      </c>
      <c r="B867" t="str">
        <f>IFERROR(__xludf.DUMMYFUNCTION("""COMPUTED_VALUE"""),"TAA7939")</f>
        <v>TAA7939</v>
      </c>
      <c r="C867">
        <f>IFERROR(__xludf.DUMMYFUNCTION("""COMPUTED_VALUE"""),1019411.0)</f>
        <v>1019411</v>
      </c>
      <c r="D867" t="str">
        <f>IFERROR(__xludf.DUMMYFUNCTION("""COMPUTED_VALUE"""),"Ms.")</f>
        <v>Ms.</v>
      </c>
      <c r="E867" t="str">
        <f>IFERROR(__xludf.DUMMYFUNCTION("""COMPUTED_VALUE"""),"Waratthamol")</f>
        <v>Waratthamol</v>
      </c>
      <c r="F867" t="str">
        <f>IFERROR(__xludf.DUMMYFUNCTION("""COMPUTED_VALUE"""),"Sirinthamart")</f>
        <v>Sirinthamart</v>
      </c>
      <c r="G867" t="str">
        <f>IFERROR(__xludf.DUMMYFUNCTION("""COMPUTED_VALUE"""),"Waratthamol Sirinthamart")</f>
        <v>Waratthamol Sirinthamart</v>
      </c>
      <c r="H867" t="str">
        <f>IFERROR(__xludf.DUMMYFUNCTION("""COMPUTED_VALUE"""),"นางสาว")</f>
        <v>นางสาว</v>
      </c>
      <c r="I867" t="str">
        <f>IFERROR(__xludf.DUMMYFUNCTION("""COMPUTED_VALUE"""),"วรัชญ์ทมล")</f>
        <v>วรัชญ์ทมล</v>
      </c>
      <c r="J867" t="str">
        <f>IFERROR(__xludf.DUMMYFUNCTION("""COMPUTED_VALUE"""),"ศิรินธมาตย์")</f>
        <v>ศิรินธมาตย์</v>
      </c>
      <c r="K867" t="str">
        <f>IFERROR(__xludf.DUMMYFUNCTION("""COMPUTED_VALUE"""),"วรัชญ์ทมล ศิรินธมาตย์")</f>
        <v>วรัชญ์ทมล ศิรินธมาตย์</v>
      </c>
      <c r="L867" t="str">
        <f>IFERROR(__xludf.DUMMYFUNCTION("""COMPUTED_VALUE"""),"Nook / นุ้ก")</f>
        <v>Nook / นุ้ก</v>
      </c>
      <c r="M867" t="str">
        <f>IFERROR(__xludf.DUMMYFUNCTION("""COMPUTED_VALUE"""),"Cabin Crew")</f>
        <v>Cabin Crew</v>
      </c>
      <c r="N867" t="str">
        <f>IFERROR(__xludf.DUMMYFUNCTION("""COMPUTED_VALUE"""),"DMK")</f>
        <v>DMK</v>
      </c>
      <c r="O867" s="145" t="str">
        <f>IFERROR(__xludf.DUMMYFUNCTION("""COMPUTED_VALUE"""),"Um Home")</f>
        <v>Um Home</v>
      </c>
      <c r="P867" t="str">
        <f>IFERROR(__xludf.DUMMYFUNCTION("""COMPUTED_VALUE"""),"Active")</f>
        <v>Active</v>
      </c>
      <c r="R867" s="143">
        <f>IFERROR(__xludf.DUMMYFUNCTION("""COMPUTED_VALUE"""),33336.0)</f>
        <v>33336</v>
      </c>
      <c r="S867" s="146" t="str">
        <f>IFERROR(__xludf.DUMMYFUNCTION("""COMPUTED_VALUE"""),"089-925-3055")</f>
        <v>089-925-3055</v>
      </c>
      <c r="T867" s="147" t="str">
        <f>IFERROR(__xludf.DUMMYFUNCTION("""COMPUTED_VALUE"""),"1103000-01-5776")</f>
        <v>1103000-01-5776</v>
      </c>
      <c r="U867" t="str">
        <f>IFERROR(__xludf.DUMMYFUNCTION("""COMPUTED_VALUE"""),"AC6214918")</f>
        <v>AC6214918</v>
      </c>
      <c r="V867" s="148">
        <f>IFERROR(__xludf.DUMMYFUNCTION("""COMPUTED_VALUE"""),45301.0)</f>
        <v>45301</v>
      </c>
      <c r="W867" s="148">
        <f>IFERROR(__xludf.DUMMYFUNCTION("""COMPUTED_VALUE"""),48953.0)</f>
        <v>48953</v>
      </c>
      <c r="X867" s="149">
        <f>IFERROR(__xludf.DUMMYFUNCTION("""COMPUTED_VALUE"""),48769.0)</f>
        <v>48769</v>
      </c>
      <c r="Y867" t="str">
        <f>IFERROR(__xludf.DUMMYFUNCTION("""COMPUTED_VALUE"""),"ปลอดภัย")</f>
        <v>ปลอดภัย</v>
      </c>
      <c r="Z867" t="str">
        <f>IFERROR(__xludf.DUMMYFUNCTION("""COMPUTED_VALUE"""),"Bangkok")</f>
        <v>Bangkok</v>
      </c>
      <c r="AA867" t="str">
        <f>IFERROR(__xludf.DUMMYFUNCTION("""COMPUTED_VALUE"""),"Bangkok")</f>
        <v>Bangkok</v>
      </c>
      <c r="AB867" t="str">
        <f>IFERROR(__xludf.DUMMYFUNCTION("""COMPUTED_VALUE"""),"081 918 1416")</f>
        <v>081 918 1416</v>
      </c>
      <c r="AC867" t="str">
        <f>IFERROR(__xludf.DUMMYFUNCTION("""COMPUTED_VALUE"""),"Weerayuth Jiraphaksiri")</f>
        <v>Weerayuth Jiraphaksiri</v>
      </c>
      <c r="AD867" t="str">
        <f>IFERROR(__xludf.DUMMYFUNCTION("""COMPUTED_VALUE"""),"waratthamols@airasia.com")</f>
        <v>waratthamols@airasia.com</v>
      </c>
    </row>
    <row r="868">
      <c r="A868" s="142">
        <f>IFERROR(__xludf.DUMMYFUNCTION("""COMPUTED_VALUE"""),92.0)</f>
        <v>92</v>
      </c>
      <c r="B868" t="str">
        <f>IFERROR(__xludf.DUMMYFUNCTION("""COMPUTED_VALUE"""),"TAA7924")</f>
        <v>TAA7924</v>
      </c>
      <c r="C868">
        <f>IFERROR(__xludf.DUMMYFUNCTION("""COMPUTED_VALUE"""),1019412.0)</f>
        <v>1019412</v>
      </c>
      <c r="D868" t="str">
        <f>IFERROR(__xludf.DUMMYFUNCTION("""COMPUTED_VALUE"""),"Mr.")</f>
        <v>Mr.</v>
      </c>
      <c r="E868" t="str">
        <f>IFERROR(__xludf.DUMMYFUNCTION("""COMPUTED_VALUE"""),"Werapat")</f>
        <v>Werapat</v>
      </c>
      <c r="F868" t="str">
        <f>IFERROR(__xludf.DUMMYFUNCTION("""COMPUTED_VALUE"""),"Thitirojnopparat")</f>
        <v>Thitirojnopparat</v>
      </c>
      <c r="G868" t="str">
        <f>IFERROR(__xludf.DUMMYFUNCTION("""COMPUTED_VALUE"""),"Werapat Thitirojnopparat")</f>
        <v>Werapat Thitirojnopparat</v>
      </c>
      <c r="H868" t="str">
        <f>IFERROR(__xludf.DUMMYFUNCTION("""COMPUTED_VALUE"""),"นาย")</f>
        <v>นาย</v>
      </c>
      <c r="I868" t="str">
        <f>IFERROR(__xludf.DUMMYFUNCTION("""COMPUTED_VALUE"""),"วีรภัทร")</f>
        <v>วีรภัทร</v>
      </c>
      <c r="J868" t="str">
        <f>IFERROR(__xludf.DUMMYFUNCTION("""COMPUTED_VALUE"""),"ธิติโรจนพรัตน์")</f>
        <v>ธิติโรจนพรัตน์</v>
      </c>
      <c r="K868" t="str">
        <f>IFERROR(__xludf.DUMMYFUNCTION("""COMPUTED_VALUE"""),"วีรภัทร ธิติโรจนพรัตน์")</f>
        <v>วีรภัทร ธิติโรจนพรัตน์</v>
      </c>
      <c r="L868" t="str">
        <f>IFERROR(__xludf.DUMMYFUNCTION("""COMPUTED_VALUE"""),"Tonn / ต้น")</f>
        <v>Tonn / ต้น</v>
      </c>
      <c r="M868" t="str">
        <f>IFERROR(__xludf.DUMMYFUNCTION("""COMPUTED_VALUE"""),"Cabin Crew")</f>
        <v>Cabin Crew</v>
      </c>
      <c r="N868" t="str">
        <f>IFERROR(__xludf.DUMMYFUNCTION("""COMPUTED_VALUE"""),"DMK")</f>
        <v>DMK</v>
      </c>
      <c r="O868" s="145" t="str">
        <f>IFERROR(__xludf.DUMMYFUNCTION("""COMPUTED_VALUE"""),"Namfon Home")</f>
        <v>Namfon Home</v>
      </c>
      <c r="P868" t="str">
        <f>IFERROR(__xludf.DUMMYFUNCTION("""COMPUTED_VALUE"""),"Active")</f>
        <v>Active</v>
      </c>
      <c r="R868" s="143">
        <f>IFERROR(__xludf.DUMMYFUNCTION("""COMPUTED_VALUE"""),32837.0)</f>
        <v>32837</v>
      </c>
      <c r="S868" s="146" t="str">
        <f>IFERROR(__xludf.DUMMYFUNCTION("""COMPUTED_VALUE"""),"098-991-5524")</f>
        <v>098-991-5524</v>
      </c>
      <c r="T868" s="147" t="str">
        <f>IFERROR(__xludf.DUMMYFUNCTION("""COMPUTED_VALUE"""),"1100800-58-7445")</f>
        <v>1100800-58-7445</v>
      </c>
      <c r="U868" t="str">
        <f>IFERROR(__xludf.DUMMYFUNCTION("""COMPUTED_VALUE"""),"AC2551561")</f>
        <v>AC2551561</v>
      </c>
      <c r="V868" s="148">
        <f>IFERROR(__xludf.DUMMYFUNCTION("""COMPUTED_VALUE"""),44671.0)</f>
        <v>44671</v>
      </c>
      <c r="W868" s="148">
        <f>IFERROR(__xludf.DUMMYFUNCTION("""COMPUTED_VALUE"""),46496.0)</f>
        <v>46496</v>
      </c>
      <c r="X868" s="149">
        <f>IFERROR(__xludf.DUMMYFUNCTION("""COMPUTED_VALUE"""),46314.0)</f>
        <v>46314</v>
      </c>
      <c r="Y868" t="str">
        <f>IFERROR(__xludf.DUMMYFUNCTION("""COMPUTED_VALUE"""),"ปลอดภัย")</f>
        <v>ปลอดภัย</v>
      </c>
      <c r="Z868" t="str">
        <f>IFERROR(__xludf.DUMMYFUNCTION("""COMPUTED_VALUE"""),"Bangkok")</f>
        <v>Bangkok</v>
      </c>
      <c r="AA868" t="str">
        <f>IFERROR(__xludf.DUMMYFUNCTION("""COMPUTED_VALUE"""),"Bangkok")</f>
        <v>Bangkok</v>
      </c>
      <c r="AB868" t="str">
        <f>IFERROR(__xludf.DUMMYFUNCTION("""COMPUTED_VALUE"""),"086-895-1133")</f>
        <v>086-895-1133</v>
      </c>
      <c r="AC868" t="str">
        <f>IFERROR(__xludf.DUMMYFUNCTION("""COMPUTED_VALUE"""),"Somphop Thitirojnopparat(Father)")</f>
        <v>Somphop Thitirojnopparat(Father)</v>
      </c>
      <c r="AD868" t="str">
        <f>IFERROR(__xludf.DUMMYFUNCTION("""COMPUTED_VALUE"""),"werapatt@airasia.com")</f>
        <v>werapatt@airasia.com</v>
      </c>
    </row>
    <row r="869">
      <c r="AD869" t="str">
        <f>IFERROR(__xludf.DUMMYFUNCTION("""COMPUTED_VALUE"""),"")</f>
        <v/>
      </c>
    </row>
    <row r="870">
      <c r="A870" s="142">
        <f>IFERROR(__xludf.DUMMYFUNCTION("""COMPUTED_VALUE"""),93.0)</f>
        <v>93</v>
      </c>
      <c r="B870" t="str">
        <f>IFERROR(__xludf.DUMMYFUNCTION("""COMPUTED_VALUE"""),"TAA4395")</f>
        <v>TAA4395</v>
      </c>
      <c r="C870">
        <f>IFERROR(__xludf.DUMMYFUNCTION("""COMPUTED_VALUE"""),1006796.0)</f>
        <v>1006796</v>
      </c>
      <c r="D870" t="str">
        <f>IFERROR(__xludf.DUMMYFUNCTION("""COMPUTED_VALUE"""),"Ms.")</f>
        <v>Ms.</v>
      </c>
      <c r="E870" t="str">
        <f>IFERROR(__xludf.DUMMYFUNCTION("""COMPUTED_VALUE"""),"Phonpimon")</f>
        <v>Phonpimon</v>
      </c>
      <c r="F870" t="str">
        <f>IFERROR(__xludf.DUMMYFUNCTION("""COMPUTED_VALUE"""),"Nakhiranwiriya")</f>
        <v>Nakhiranwiriya</v>
      </c>
      <c r="G870" t="str">
        <f>IFERROR(__xludf.DUMMYFUNCTION("""COMPUTED_VALUE"""),"Phonpimon Nakhiranwiriya")</f>
        <v>Phonpimon Nakhiranwiriya</v>
      </c>
      <c r="H870" t="str">
        <f>IFERROR(__xludf.DUMMYFUNCTION("""COMPUTED_VALUE"""),"นางสาว")</f>
        <v>นางสาว</v>
      </c>
      <c r="I870" t="str">
        <f>IFERROR(__xludf.DUMMYFUNCTION("""COMPUTED_VALUE"""),"พรพิมล")</f>
        <v>พรพิมล</v>
      </c>
      <c r="J870" t="str">
        <f>IFERROR(__xludf.DUMMYFUNCTION("""COMPUTED_VALUE"""),"นาคหิรัญวิริยะ")</f>
        <v>นาคหิรัญวิริยะ</v>
      </c>
      <c r="K870" t="str">
        <f>IFERROR(__xludf.DUMMYFUNCTION("""COMPUTED_VALUE"""),"พรพิมล นาคหิรัญวิริยะ")</f>
        <v>พรพิมล นาคหิรัญวิริยะ</v>
      </c>
      <c r="L870" t="str">
        <f>IFERROR(__xludf.DUMMYFUNCTION("""COMPUTED_VALUE"""),"tuck")</f>
        <v>tuck</v>
      </c>
      <c r="M870" t="str">
        <f>IFERROR(__xludf.DUMMYFUNCTION("""COMPUTED_VALUE"""),"Cabin Crew - CNX")</f>
        <v>Cabin Crew - CNX</v>
      </c>
      <c r="N870" t="str">
        <f>IFERROR(__xludf.DUMMYFUNCTION("""COMPUTED_VALUE"""),"CNX")</f>
        <v>CNX</v>
      </c>
      <c r="O870" s="145" t="str">
        <f>IFERROR(__xludf.DUMMYFUNCTION("""COMPUTED_VALUE"""),"Up Home")</f>
        <v>Up Home</v>
      </c>
      <c r="P870" t="str">
        <f>IFERROR(__xludf.DUMMYFUNCTION("""COMPUTED_VALUE"""),"MATL")</f>
        <v>MATL</v>
      </c>
      <c r="R870" s="143">
        <f>IFERROR(__xludf.DUMMYFUNCTION("""COMPUTED_VALUE"""),33198.0)</f>
        <v>33198</v>
      </c>
      <c r="S870" s="146" t="str">
        <f>IFERROR(__xludf.DUMMYFUNCTION("""COMPUTED_VALUE"""),"083-476-2121")</f>
        <v>083-476-2121</v>
      </c>
      <c r="T870" s="147" t="str">
        <f>IFERROR(__xludf.DUMMYFUNCTION("""COMPUTED_VALUE"""),"1 5099 00941 95 4")</f>
        <v>1 5099 00941 95 4</v>
      </c>
      <c r="U870" t="str">
        <f>IFERROR(__xludf.DUMMYFUNCTION("""COMPUTED_VALUE"""),"AC2317567")</f>
        <v>AC2317567</v>
      </c>
      <c r="V870" s="148">
        <f>IFERROR(__xludf.DUMMYFUNCTION("""COMPUTED_VALUE"""),44368.0)</f>
        <v>44368</v>
      </c>
      <c r="W870" s="148">
        <f>IFERROR(__xludf.DUMMYFUNCTION("""COMPUTED_VALUE"""),48019.0)</f>
        <v>48019</v>
      </c>
      <c r="X870" s="149">
        <f>IFERROR(__xludf.DUMMYFUNCTION("""COMPUTED_VALUE"""),47837.0)</f>
        <v>47837</v>
      </c>
      <c r="Y870" t="str">
        <f>IFERROR(__xludf.DUMMYFUNCTION("""COMPUTED_VALUE"""),"ปลอดภัย")</f>
        <v>ปลอดภัย</v>
      </c>
      <c r="Z870" t="str">
        <f>IFERROR(__xludf.DUMMYFUNCTION("""COMPUTED_VALUE"""),"Lamphun Province")</f>
        <v>Lamphun Province</v>
      </c>
      <c r="AD870" t="str">
        <f>IFERROR(__xludf.DUMMYFUNCTION("""COMPUTED_VALUE"""),"phonpimonn@airasia.com")</f>
        <v>phonpimonn@airasia.com</v>
      </c>
    </row>
    <row r="871">
      <c r="A871" s="142">
        <f>IFERROR(__xludf.DUMMYFUNCTION("""COMPUTED_VALUE"""),93.0)</f>
        <v>93</v>
      </c>
      <c r="B871" t="str">
        <f>IFERROR(__xludf.DUMMYFUNCTION("""COMPUTED_VALUE"""),"TAA5035")</f>
        <v>TAA5035</v>
      </c>
      <c r="C871">
        <f>IFERROR(__xludf.DUMMYFUNCTION("""COMPUTED_VALUE"""),1008111.0)</f>
        <v>1008111</v>
      </c>
      <c r="D871" t="str">
        <f>IFERROR(__xludf.DUMMYFUNCTION("""COMPUTED_VALUE"""),"Ms.")</f>
        <v>Ms.</v>
      </c>
      <c r="E871" t="str">
        <f>IFERROR(__xludf.DUMMYFUNCTION("""COMPUTED_VALUE"""),"Parawee")</f>
        <v>Parawee</v>
      </c>
      <c r="F871" t="str">
        <f>IFERROR(__xludf.DUMMYFUNCTION("""COMPUTED_VALUE"""),"Sutthiphan")</f>
        <v>Sutthiphan</v>
      </c>
      <c r="G871" t="str">
        <f>IFERROR(__xludf.DUMMYFUNCTION("""COMPUTED_VALUE"""),"Parawee Sutthiphan")</f>
        <v>Parawee Sutthiphan</v>
      </c>
      <c r="H871" t="str">
        <f>IFERROR(__xludf.DUMMYFUNCTION("""COMPUTED_VALUE"""),"นางสาว")</f>
        <v>นางสาว</v>
      </c>
      <c r="I871" t="str">
        <f>IFERROR(__xludf.DUMMYFUNCTION("""COMPUTED_VALUE"""),"ปารวีย์")</f>
        <v>ปารวีย์</v>
      </c>
      <c r="J871" t="str">
        <f>IFERROR(__xludf.DUMMYFUNCTION("""COMPUTED_VALUE"""),"สุทธิพันธ์")</f>
        <v>สุทธิพันธ์</v>
      </c>
      <c r="K871" t="str">
        <f>IFERROR(__xludf.DUMMYFUNCTION("""COMPUTED_VALUE"""),"ปารวีย์ สุทธิพันธ์")</f>
        <v>ปารวีย์ สุทธิพันธ์</v>
      </c>
      <c r="L871" t="str">
        <f>IFERROR(__xludf.DUMMYFUNCTION("""COMPUTED_VALUE"""),"Tong/ตอง")</f>
        <v>Tong/ตอง</v>
      </c>
      <c r="M871" t="str">
        <f>IFERROR(__xludf.DUMMYFUNCTION("""COMPUTED_VALUE"""),"Cabin Crew - HKT")</f>
        <v>Cabin Crew - HKT</v>
      </c>
      <c r="N871" t="str">
        <f>IFERROR(__xludf.DUMMYFUNCTION("""COMPUTED_VALUE"""),"HKT")</f>
        <v>HKT</v>
      </c>
      <c r="O871" s="145" t="str">
        <f>IFERROR(__xludf.DUMMYFUNCTION("""COMPUTED_VALUE"""),"Kor Home")</f>
        <v>Kor Home</v>
      </c>
      <c r="P871" t="str">
        <f>IFERROR(__xludf.DUMMYFUNCTION("""COMPUTED_VALUE"""),"Active")</f>
        <v>Active</v>
      </c>
      <c r="R871" s="143">
        <f>IFERROR(__xludf.DUMMYFUNCTION("""COMPUTED_VALUE"""),33292.0)</f>
        <v>33292</v>
      </c>
      <c r="S871" s="146" t="str">
        <f>IFERROR(__xludf.DUMMYFUNCTION("""COMPUTED_VALUE"""),"09-4578466-4")</f>
        <v>09-4578466-4</v>
      </c>
      <c r="T871" s="147" t="str">
        <f>IFERROR(__xludf.DUMMYFUNCTION("""COMPUTED_VALUE"""),"1909800-51-1288")</f>
        <v>1909800-51-1288</v>
      </c>
      <c r="U871" t="str">
        <f>IFERROR(__xludf.DUMMYFUNCTION("""COMPUTED_VALUE"""),"AD2128911")</f>
        <v>AD2128911</v>
      </c>
      <c r="V871" s="148">
        <f>IFERROR(__xludf.DUMMYFUNCTION("""COMPUTED_VALUE"""),45755.0)</f>
        <v>45755</v>
      </c>
      <c r="W871" s="148">
        <f>IFERROR(__xludf.DUMMYFUNCTION("""COMPUTED_VALUE"""),49406.0)</f>
        <v>49406</v>
      </c>
      <c r="X871" s="149">
        <f>IFERROR(__xludf.DUMMYFUNCTION("""COMPUTED_VALUE"""),49224.0)</f>
        <v>49224</v>
      </c>
      <c r="Y871" t="str">
        <f>IFERROR(__xludf.DUMMYFUNCTION("""COMPUTED_VALUE"""),"ปลอดภัย")</f>
        <v>ปลอดภัย</v>
      </c>
      <c r="Z871" t="str">
        <f>IFERROR(__xludf.DUMMYFUNCTION("""COMPUTED_VALUE"""),"Songkhla Province")</f>
        <v>Songkhla Province</v>
      </c>
      <c r="AA871" t="str">
        <f>IFERROR(__xludf.DUMMYFUNCTION("""COMPUTED_VALUE"""),"Phuket")</f>
        <v>Phuket</v>
      </c>
      <c r="AB871" t="str">
        <f>IFERROR(__xludf.DUMMYFUNCTION("""COMPUTED_VALUE"""),"087-6324735")</f>
        <v>087-6324735</v>
      </c>
      <c r="AC871" t="str">
        <f>IFERROR(__xludf.DUMMYFUNCTION("""COMPUTED_VALUE"""),"Parichat Sutthiphan (Sister)")</f>
        <v>Parichat Sutthiphan (Sister)</v>
      </c>
      <c r="AD871" t="str">
        <f>IFERROR(__xludf.DUMMYFUNCTION("""COMPUTED_VALUE"""),"paraweeu@airasia.com")</f>
        <v>paraweeu@airasia.com</v>
      </c>
    </row>
    <row r="872">
      <c r="A872" s="142">
        <f>IFERROR(__xludf.DUMMYFUNCTION("""COMPUTED_VALUE"""),93.0)</f>
        <v>93</v>
      </c>
      <c r="B872" t="str">
        <f>IFERROR(__xludf.DUMMYFUNCTION("""COMPUTED_VALUE"""),"TAA8006")</f>
        <v>TAA8006</v>
      </c>
      <c r="C872">
        <f>IFERROR(__xludf.DUMMYFUNCTION("""COMPUTED_VALUE"""),1010851.0)</f>
        <v>1010851</v>
      </c>
      <c r="D872" t="str">
        <f>IFERROR(__xludf.DUMMYFUNCTION("""COMPUTED_VALUE"""),"Ms.")</f>
        <v>Ms.</v>
      </c>
      <c r="E872" t="str">
        <f>IFERROR(__xludf.DUMMYFUNCTION("""COMPUTED_VALUE"""),"Tanyathorn")</f>
        <v>Tanyathorn</v>
      </c>
      <c r="F872" t="str">
        <f>IFERROR(__xludf.DUMMYFUNCTION("""COMPUTED_VALUE"""),"Wilaisaranan")</f>
        <v>Wilaisaranan</v>
      </c>
      <c r="G872" t="str">
        <f>IFERROR(__xludf.DUMMYFUNCTION("""COMPUTED_VALUE"""),"Tanyathorn Wilaisaranan")</f>
        <v>Tanyathorn Wilaisaranan</v>
      </c>
      <c r="H872" t="str">
        <f>IFERROR(__xludf.DUMMYFUNCTION("""COMPUTED_VALUE"""),"นางสาว")</f>
        <v>นางสาว</v>
      </c>
      <c r="I872" t="str">
        <f>IFERROR(__xludf.DUMMYFUNCTION("""COMPUTED_VALUE"""),"ธัญธร")</f>
        <v>ธัญธร</v>
      </c>
      <c r="J872" t="str">
        <f>IFERROR(__xludf.DUMMYFUNCTION("""COMPUTED_VALUE"""),"วิไลสาระนันท์")</f>
        <v>วิไลสาระนันท์</v>
      </c>
      <c r="K872" t="str">
        <f>IFERROR(__xludf.DUMMYFUNCTION("""COMPUTED_VALUE"""),"ธัญธร วิไลสาระนันท์")</f>
        <v>ธัญธร วิไลสาระนันท์</v>
      </c>
      <c r="L872" t="str">
        <f>IFERROR(__xludf.DUMMYFUNCTION("""COMPUTED_VALUE"""),"Toey / เตย")</f>
        <v>Toey / เตย</v>
      </c>
      <c r="M872" t="str">
        <f>IFERROR(__xludf.DUMMYFUNCTION("""COMPUTED_VALUE"""),"Cabin Crew")</f>
        <v>Cabin Crew</v>
      </c>
      <c r="N872" t="str">
        <f>IFERROR(__xludf.DUMMYFUNCTION("""COMPUTED_VALUE"""),"DMK")</f>
        <v>DMK</v>
      </c>
      <c r="O872" s="145" t="str">
        <f>IFERROR(__xludf.DUMMYFUNCTION("""COMPUTED_VALUE"""),"Kor Home")</f>
        <v>Kor Home</v>
      </c>
      <c r="P872" t="str">
        <f>IFERROR(__xludf.DUMMYFUNCTION("""COMPUTED_VALUE"""),"Active")</f>
        <v>Active</v>
      </c>
      <c r="R872" s="143">
        <f>IFERROR(__xludf.DUMMYFUNCTION("""COMPUTED_VALUE"""),33210.0)</f>
        <v>33210</v>
      </c>
      <c r="S872" s="146" t="str">
        <f>IFERROR(__xludf.DUMMYFUNCTION("""COMPUTED_VALUE"""),"061-624-4541")</f>
        <v>061-624-4541</v>
      </c>
      <c r="T872" s="147" t="str">
        <f>IFERROR(__xludf.DUMMYFUNCTION("""COMPUTED_VALUE"""),"1102001-45-2842")</f>
        <v>1102001-45-2842</v>
      </c>
      <c r="U872" t="str">
        <f>IFERROR(__xludf.DUMMYFUNCTION("""COMPUTED_VALUE"""),"AC2401482")</f>
        <v>AC2401482</v>
      </c>
      <c r="V872" s="148">
        <f>IFERROR(__xludf.DUMMYFUNCTION("""COMPUTED_VALUE"""),44432.0)</f>
        <v>44432</v>
      </c>
      <c r="W872" s="148">
        <f>IFERROR(__xludf.DUMMYFUNCTION("""COMPUTED_VALUE"""),48083.0)</f>
        <v>48083</v>
      </c>
      <c r="X872" s="149">
        <f>IFERROR(__xludf.DUMMYFUNCTION("""COMPUTED_VALUE"""),47902.0)</f>
        <v>47902</v>
      </c>
      <c r="Y872" t="str">
        <f>IFERROR(__xludf.DUMMYFUNCTION("""COMPUTED_VALUE"""),"ปลอดภัย")</f>
        <v>ปลอดภัย</v>
      </c>
      <c r="Z872" t="str">
        <f>IFERROR(__xludf.DUMMYFUNCTION("""COMPUTED_VALUE"""),"Bangkok")</f>
        <v>Bangkok</v>
      </c>
      <c r="AA872" t="str">
        <f>IFERROR(__xludf.DUMMYFUNCTION("""COMPUTED_VALUE"""),"Bangkok")</f>
        <v>Bangkok</v>
      </c>
      <c r="AB872" t="str">
        <f>IFERROR(__xludf.DUMMYFUNCTION("""COMPUTED_VALUE"""),"086-982-1400")</f>
        <v>086-982-1400</v>
      </c>
      <c r="AC872" t="str">
        <f>IFERROR(__xludf.DUMMYFUNCTION("""COMPUTED_VALUE"""),"Thiti Wilaisaranan (Father)")</f>
        <v>Thiti Wilaisaranan (Father)</v>
      </c>
      <c r="AD872" t="str">
        <f>IFERROR(__xludf.DUMMYFUNCTION("""COMPUTED_VALUE"""),"tanyathornw@airasia.com")</f>
        <v>tanyathornw@airasia.com</v>
      </c>
    </row>
    <row r="873">
      <c r="A873" s="142">
        <f>IFERROR(__xludf.DUMMYFUNCTION("""COMPUTED_VALUE"""),93.0)</f>
        <v>93</v>
      </c>
      <c r="B873" t="str">
        <f>IFERROR(__xludf.DUMMYFUNCTION("""COMPUTED_VALUE"""),"TAA7994")</f>
        <v>TAA7994</v>
      </c>
      <c r="C873">
        <f>IFERROR(__xludf.DUMMYFUNCTION("""COMPUTED_VALUE"""),1019515.0)</f>
        <v>1019515</v>
      </c>
      <c r="D873" t="str">
        <f>IFERROR(__xludf.DUMMYFUNCTION("""COMPUTED_VALUE"""),"Ms.")</f>
        <v>Ms.</v>
      </c>
      <c r="E873" t="str">
        <f>IFERROR(__xludf.DUMMYFUNCTION("""COMPUTED_VALUE"""),"Kittaporn")</f>
        <v>Kittaporn</v>
      </c>
      <c r="F873" t="str">
        <f>IFERROR(__xludf.DUMMYFUNCTION("""COMPUTED_VALUE"""),"Boonya-Amornrat (Pootana)")</f>
        <v>Boonya-Amornrat (Pootana)</v>
      </c>
      <c r="G873" t="str">
        <f>IFERROR(__xludf.DUMMYFUNCTION("""COMPUTED_VALUE"""),"Kittaporn Boonya-Amornrat ")</f>
        <v>Kittaporn Boonya-Amornrat </v>
      </c>
      <c r="H873" t="str">
        <f>IFERROR(__xludf.DUMMYFUNCTION("""COMPUTED_VALUE"""),"นางสาว")</f>
        <v>นางสาว</v>
      </c>
      <c r="I873" t="str">
        <f>IFERROR(__xludf.DUMMYFUNCTION("""COMPUTED_VALUE"""),"กฤตพร")</f>
        <v>กฤตพร</v>
      </c>
      <c r="J873" t="str">
        <f>IFERROR(__xludf.DUMMYFUNCTION("""COMPUTED_VALUE"""),"บุณยอมรรัตน์ (ภู่ธนา)")</f>
        <v>บุณยอมรรัตน์ (ภู่ธนา)</v>
      </c>
      <c r="K873" t="str">
        <f>IFERROR(__xludf.DUMMYFUNCTION("""COMPUTED_VALUE"""),"กฤตพร บุณยอมรรัตน์")</f>
        <v>กฤตพร บุณยอมรรัตน์</v>
      </c>
      <c r="L873" t="str">
        <f>IFERROR(__xludf.DUMMYFUNCTION("""COMPUTED_VALUE"""),"Jan/ แจน")</f>
        <v>Jan/ แจน</v>
      </c>
      <c r="M873" t="str">
        <f>IFERROR(__xludf.DUMMYFUNCTION("""COMPUTED_VALUE"""),"Cabin Crew - BKK")</f>
        <v>Cabin Crew - BKK</v>
      </c>
      <c r="N873" t="str">
        <f>IFERROR(__xludf.DUMMYFUNCTION("""COMPUTED_VALUE"""),"BKK")</f>
        <v>BKK</v>
      </c>
      <c r="O873" s="145" t="str">
        <f>IFERROR(__xludf.DUMMYFUNCTION("""COMPUTED_VALUE"""),"Nhui Home")</f>
        <v>Nhui Home</v>
      </c>
      <c r="P873" t="str">
        <f>IFERROR(__xludf.DUMMYFUNCTION("""COMPUTED_VALUE"""),"LWP")</f>
        <v>LWP</v>
      </c>
      <c r="R873" s="143">
        <f>IFERROR(__xludf.DUMMYFUNCTION("""COMPUTED_VALUE"""),33182.0)</f>
        <v>33182</v>
      </c>
      <c r="S873" s="146" t="str">
        <f>IFERROR(__xludf.DUMMYFUNCTION("""COMPUTED_VALUE"""),"082-653 5622")</f>
        <v>082-653 5622</v>
      </c>
      <c r="T873" s="147" t="str">
        <f>IFERROR(__xludf.DUMMYFUNCTION("""COMPUTED_VALUE"""),"1 1004 00486 99 4")</f>
        <v>1 1004 00486 99 4</v>
      </c>
      <c r="U873" t="str">
        <f>IFERROR(__xludf.DUMMYFUNCTION("""COMPUTED_VALUE"""),"AC2431380")</f>
        <v>AC2431380</v>
      </c>
      <c r="V873" s="148">
        <f>IFERROR(__xludf.DUMMYFUNCTION("""COMPUTED_VALUE"""),44452.0)</f>
        <v>44452</v>
      </c>
      <c r="W873" s="148">
        <f>IFERROR(__xludf.DUMMYFUNCTION("""COMPUTED_VALUE"""),48103.0)</f>
        <v>48103</v>
      </c>
      <c r="X873" s="149">
        <f>IFERROR(__xludf.DUMMYFUNCTION("""COMPUTED_VALUE"""),47919.0)</f>
        <v>47919</v>
      </c>
      <c r="Y873" t="str">
        <f>IFERROR(__xludf.DUMMYFUNCTION("""COMPUTED_VALUE"""),"ปลอดภัย")</f>
        <v>ปลอดภัย</v>
      </c>
      <c r="Z873" t="str">
        <f>IFERROR(__xludf.DUMMYFUNCTION("""COMPUTED_VALUE"""),"Bangkok")</f>
        <v>Bangkok</v>
      </c>
      <c r="AA873" t="str">
        <f>IFERROR(__xludf.DUMMYFUNCTION("""COMPUTED_VALUE"""),"Bangkok")</f>
        <v>Bangkok</v>
      </c>
      <c r="AB873" t="str">
        <f>IFERROR(__xludf.DUMMYFUNCTION("""COMPUTED_VALUE"""),"081 900 3311")</f>
        <v>081 900 3311</v>
      </c>
      <c r="AC873" t="str">
        <f>IFERROR(__xludf.DUMMYFUNCTION("""COMPUTED_VALUE"""),"Tiensin Pootana (Father)")</f>
        <v>Tiensin Pootana (Father)</v>
      </c>
      <c r="AD873" t="str">
        <f>IFERROR(__xludf.DUMMYFUNCTION("""COMPUTED_VALUE"""),"kittapornboon@airasia.com ")</f>
        <v>kittapornboon@airasia.com </v>
      </c>
    </row>
    <row r="874">
      <c r="A874" s="142">
        <f>IFERROR(__xludf.DUMMYFUNCTION("""COMPUTED_VALUE"""),93.0)</f>
        <v>93</v>
      </c>
      <c r="B874" t="str">
        <f>IFERROR(__xludf.DUMMYFUNCTION("""COMPUTED_VALUE"""),"TAA8002")</f>
        <v>TAA8002</v>
      </c>
      <c r="C874">
        <f>IFERROR(__xludf.DUMMYFUNCTION("""COMPUTED_VALUE"""),1019518.0)</f>
        <v>1019518</v>
      </c>
      <c r="D874" t="str">
        <f>IFERROR(__xludf.DUMMYFUNCTION("""COMPUTED_VALUE"""),"Mr.")</f>
        <v>Mr.</v>
      </c>
      <c r="E874" t="str">
        <f>IFERROR(__xludf.DUMMYFUNCTION("""COMPUTED_VALUE"""),"Naratip")</f>
        <v>Naratip</v>
      </c>
      <c r="F874" t="str">
        <f>IFERROR(__xludf.DUMMYFUNCTION("""COMPUTED_VALUE"""),"Dumrongthai")</f>
        <v>Dumrongthai</v>
      </c>
      <c r="G874" t="str">
        <f>IFERROR(__xludf.DUMMYFUNCTION("""COMPUTED_VALUE"""),"Naratip Dumrongthai")</f>
        <v>Naratip Dumrongthai</v>
      </c>
      <c r="H874" t="str">
        <f>IFERROR(__xludf.DUMMYFUNCTION("""COMPUTED_VALUE"""),"นาย")</f>
        <v>นาย</v>
      </c>
      <c r="I874" t="str">
        <f>IFERROR(__xludf.DUMMYFUNCTION("""COMPUTED_VALUE"""),"นราธิป")</f>
        <v>นราธิป</v>
      </c>
      <c r="J874" t="str">
        <f>IFERROR(__xludf.DUMMYFUNCTION("""COMPUTED_VALUE"""),"ดำรงไทย")</f>
        <v>ดำรงไทย</v>
      </c>
      <c r="K874" t="str">
        <f>IFERROR(__xludf.DUMMYFUNCTION("""COMPUTED_VALUE"""),"นราธิป ดำรงไทย")</f>
        <v>นราธิป ดำรงไทย</v>
      </c>
      <c r="L874" t="str">
        <f>IFERROR(__xludf.DUMMYFUNCTION("""COMPUTED_VALUE"""),"Nut/นัท")</f>
        <v>Nut/นัท</v>
      </c>
      <c r="M874" t="str">
        <f>IFERROR(__xludf.DUMMYFUNCTION("""COMPUTED_VALUE"""),"Cabin Crew")</f>
        <v>Cabin Crew</v>
      </c>
      <c r="N874" t="str">
        <f>IFERROR(__xludf.DUMMYFUNCTION("""COMPUTED_VALUE"""),"DMK")</f>
        <v>DMK</v>
      </c>
      <c r="O874" s="145" t="str">
        <f>IFERROR(__xludf.DUMMYFUNCTION("""COMPUTED_VALUE"""),"Toffy Home")</f>
        <v>Toffy Home</v>
      </c>
      <c r="P874" t="str">
        <f>IFERROR(__xludf.DUMMYFUNCTION("""COMPUTED_VALUE"""),"Active")</f>
        <v>Active</v>
      </c>
      <c r="R874" s="143">
        <f>IFERROR(__xludf.DUMMYFUNCTION("""COMPUTED_VALUE"""),34609.0)</f>
        <v>34609</v>
      </c>
      <c r="S874" s="146" t="str">
        <f>IFERROR(__xludf.DUMMYFUNCTION("""COMPUTED_VALUE"""),"09-6329145-9")</f>
        <v>09-6329145-9</v>
      </c>
      <c r="T874" s="147" t="str">
        <f>IFERROR(__xludf.DUMMYFUNCTION("""COMPUTED_VALUE"""),"1101500-76-6302")</f>
        <v>1101500-76-6302</v>
      </c>
      <c r="U874" t="str">
        <f>IFERROR(__xludf.DUMMYFUNCTION("""COMPUTED_VALUE"""),"AC2431380")</f>
        <v>AC2431380</v>
      </c>
      <c r="V874" s="148">
        <f>IFERROR(__xludf.DUMMYFUNCTION("""COMPUTED_VALUE"""),44452.0)</f>
        <v>44452</v>
      </c>
      <c r="W874" s="148">
        <f>IFERROR(__xludf.DUMMYFUNCTION("""COMPUTED_VALUE"""),48103.0)</f>
        <v>48103</v>
      </c>
      <c r="X874" s="149">
        <f>IFERROR(__xludf.DUMMYFUNCTION("""COMPUTED_VALUE"""),47919.0)</f>
        <v>47919</v>
      </c>
      <c r="Y874" t="str">
        <f>IFERROR(__xludf.DUMMYFUNCTION("""COMPUTED_VALUE"""),"ปลอดภัย")</f>
        <v>ปลอดภัย</v>
      </c>
      <c r="Z874" t="str">
        <f>IFERROR(__xludf.DUMMYFUNCTION("""COMPUTED_VALUE"""),"Bangkok")</f>
        <v>Bangkok</v>
      </c>
      <c r="AA874" t="str">
        <f>IFERROR(__xludf.DUMMYFUNCTION("""COMPUTED_VALUE"""),"Bangkok")</f>
        <v>Bangkok</v>
      </c>
      <c r="AB874" t="str">
        <f>IFERROR(__xludf.DUMMYFUNCTION("""COMPUTED_VALUE"""),"081 583 2024")</f>
        <v>081 583 2024</v>
      </c>
      <c r="AD874" t="str">
        <f>IFERROR(__xludf.DUMMYFUNCTION("""COMPUTED_VALUE"""),"naratipd@airasia.com")</f>
        <v>naratipd@airasia.com</v>
      </c>
    </row>
    <row r="875">
      <c r="A875" s="142">
        <f>IFERROR(__xludf.DUMMYFUNCTION("""COMPUTED_VALUE"""),93.0)</f>
        <v>93</v>
      </c>
      <c r="B875" t="str">
        <f>IFERROR(__xludf.DUMMYFUNCTION("""COMPUTED_VALUE"""),"TAA8003")</f>
        <v>TAA8003</v>
      </c>
      <c r="C875">
        <f>IFERROR(__xludf.DUMMYFUNCTION("""COMPUTED_VALUE"""),1019525.0)</f>
        <v>1019525</v>
      </c>
      <c r="D875" t="str">
        <f>IFERROR(__xludf.DUMMYFUNCTION("""COMPUTED_VALUE"""),"Mr.")</f>
        <v>Mr.</v>
      </c>
      <c r="E875" t="str">
        <f>IFERROR(__xludf.DUMMYFUNCTION("""COMPUTED_VALUE"""),"Nithikarn")</f>
        <v>Nithikarn</v>
      </c>
      <c r="F875" t="str">
        <f>IFERROR(__xludf.DUMMYFUNCTION("""COMPUTED_VALUE"""),"Saiyukhet")</f>
        <v>Saiyukhet</v>
      </c>
      <c r="G875" t="str">
        <f>IFERROR(__xludf.DUMMYFUNCTION("""COMPUTED_VALUE"""),"Nithikarn Saiyukhet")</f>
        <v>Nithikarn Saiyukhet</v>
      </c>
      <c r="H875" t="str">
        <f>IFERROR(__xludf.DUMMYFUNCTION("""COMPUTED_VALUE"""),"นาย")</f>
        <v>นาย</v>
      </c>
      <c r="I875" t="str">
        <f>IFERROR(__xludf.DUMMYFUNCTION("""COMPUTED_VALUE"""),"นิธิกานต์")</f>
        <v>นิธิกานต์</v>
      </c>
      <c r="J875" t="str">
        <f>IFERROR(__xludf.DUMMYFUNCTION("""COMPUTED_VALUE"""),"สายยุเขตต์")</f>
        <v>สายยุเขตต์</v>
      </c>
      <c r="K875" t="str">
        <f>IFERROR(__xludf.DUMMYFUNCTION("""COMPUTED_VALUE"""),"นิธิกานต์ สายยุเขตต์")</f>
        <v>นิธิกานต์ สายยุเขตต์</v>
      </c>
      <c r="L875" t="str">
        <f>IFERROR(__xludf.DUMMYFUNCTION("""COMPUTED_VALUE"""),"Third / เติร์ด")</f>
        <v>Third / เติร์ด</v>
      </c>
      <c r="M875" t="str">
        <f>IFERROR(__xludf.DUMMYFUNCTION("""COMPUTED_VALUE"""),"Cabin Crew")</f>
        <v>Cabin Crew</v>
      </c>
      <c r="N875" t="str">
        <f>IFERROR(__xludf.DUMMYFUNCTION("""COMPUTED_VALUE"""),"DMK")</f>
        <v>DMK</v>
      </c>
      <c r="O875" s="145" t="str">
        <f>IFERROR(__xludf.DUMMYFUNCTION("""COMPUTED_VALUE"""),"Toffy Home")</f>
        <v>Toffy Home</v>
      </c>
      <c r="P875" t="str">
        <f>IFERROR(__xludf.DUMMYFUNCTION("""COMPUTED_VALUE"""),"Active")</f>
        <v>Active</v>
      </c>
      <c r="R875" s="143">
        <f>IFERROR(__xludf.DUMMYFUNCTION("""COMPUTED_VALUE"""),33088.0)</f>
        <v>33088</v>
      </c>
      <c r="S875" s="146">
        <f>IFERROR(__xludf.DUMMYFUNCTION("""COMPUTED_VALUE"""),8.16369969E8)</f>
        <v>816369969</v>
      </c>
      <c r="T875" s="147" t="str">
        <f>IFERROR(__xludf.DUMMYFUNCTION("""COMPUTED_VALUE"""),"1103700-20-4679")</f>
        <v>1103700-20-4679</v>
      </c>
      <c r="U875" t="str">
        <f>IFERROR(__xludf.DUMMYFUNCTION("""COMPUTED_VALUE"""),"AC2441218")</f>
        <v>AC2441218</v>
      </c>
      <c r="V875" s="148">
        <f>IFERROR(__xludf.DUMMYFUNCTION("""COMPUTED_VALUE"""),44456.0)</f>
        <v>44456</v>
      </c>
      <c r="W875" s="148">
        <f>IFERROR(__xludf.DUMMYFUNCTION("""COMPUTED_VALUE"""),48107.0)</f>
        <v>48107</v>
      </c>
      <c r="X875" s="149">
        <f>IFERROR(__xludf.DUMMYFUNCTION("""COMPUTED_VALUE"""),47923.0)</f>
        <v>47923</v>
      </c>
      <c r="Y875" t="str">
        <f>IFERROR(__xludf.DUMMYFUNCTION("""COMPUTED_VALUE"""),"ปลอดภัย")</f>
        <v>ปลอดภัย</v>
      </c>
      <c r="Z875" t="str">
        <f>IFERROR(__xludf.DUMMYFUNCTION("""COMPUTED_VALUE"""),"Bangkok")</f>
        <v>Bangkok</v>
      </c>
      <c r="AA875" t="str">
        <f>IFERROR(__xludf.DUMMYFUNCTION("""COMPUTED_VALUE"""),"Samutprakarn")</f>
        <v>Samutprakarn</v>
      </c>
      <c r="AB875" t="str">
        <f>IFERROR(__xludf.DUMMYFUNCTION("""COMPUTED_VALUE"""),"02 731 56483")</f>
        <v>02 731 56483</v>
      </c>
      <c r="AC875" t="str">
        <f>IFERROR(__xludf.DUMMYFUNCTION("""COMPUTED_VALUE"""),"Sauwalux Homwanich (Mother)")</f>
        <v>Sauwalux Homwanich (Mother)</v>
      </c>
      <c r="AD875" t="str">
        <f>IFERROR(__xludf.DUMMYFUNCTION("""COMPUTED_VALUE"""),"nithikarns@airasia.com")</f>
        <v>nithikarns@airasia.com</v>
      </c>
    </row>
    <row r="876">
      <c r="A876" s="142">
        <f>IFERROR(__xludf.DUMMYFUNCTION("""COMPUTED_VALUE"""),93.0)</f>
        <v>93</v>
      </c>
      <c r="B876" t="str">
        <f>IFERROR(__xludf.DUMMYFUNCTION("""COMPUTED_VALUE"""),"TAA7997")</f>
        <v>TAA7997</v>
      </c>
      <c r="C876">
        <f>IFERROR(__xludf.DUMMYFUNCTION("""COMPUTED_VALUE"""),1019526.0)</f>
        <v>1019526</v>
      </c>
      <c r="D876" t="str">
        <f>IFERROR(__xludf.DUMMYFUNCTION("""COMPUTED_VALUE"""),"Mr.")</f>
        <v>Mr.</v>
      </c>
      <c r="E876" t="str">
        <f>IFERROR(__xludf.DUMMYFUNCTION("""COMPUTED_VALUE"""),"Nontapat")</f>
        <v>Nontapat</v>
      </c>
      <c r="F876" t="str">
        <f>IFERROR(__xludf.DUMMYFUNCTION("""COMPUTED_VALUE"""),"Karasu")</f>
        <v>Karasu</v>
      </c>
      <c r="G876" t="str">
        <f>IFERROR(__xludf.DUMMYFUNCTION("""COMPUTED_VALUE"""),"Nontapat Karasu")</f>
        <v>Nontapat Karasu</v>
      </c>
      <c r="H876" t="str">
        <f>IFERROR(__xludf.DUMMYFUNCTION("""COMPUTED_VALUE"""),"นาย")</f>
        <v>นาย</v>
      </c>
      <c r="I876" t="str">
        <f>IFERROR(__xludf.DUMMYFUNCTION("""COMPUTED_VALUE"""),"นนทพัฒน์")</f>
        <v>นนทพัฒน์</v>
      </c>
      <c r="J876" t="str">
        <f>IFERROR(__xludf.DUMMYFUNCTION("""COMPUTED_VALUE"""),"ขระสุ")</f>
        <v>ขระสุ</v>
      </c>
      <c r="K876" t="str">
        <f>IFERROR(__xludf.DUMMYFUNCTION("""COMPUTED_VALUE"""),"นนทพัฒน์ ขระสุ")</f>
        <v>นนทพัฒน์ ขระสุ</v>
      </c>
      <c r="L876" t="str">
        <f>IFERROR(__xludf.DUMMYFUNCTION("""COMPUTED_VALUE"""),"ดรีม")</f>
        <v>ดรีม</v>
      </c>
      <c r="M876" t="str">
        <f>IFERROR(__xludf.DUMMYFUNCTION("""COMPUTED_VALUE"""),"Cabin Crew")</f>
        <v>Cabin Crew</v>
      </c>
      <c r="N876" t="str">
        <f>IFERROR(__xludf.DUMMYFUNCTION("""COMPUTED_VALUE"""),"DMK")</f>
        <v>DMK</v>
      </c>
      <c r="O876" s="145" t="str">
        <f>IFERROR(__xludf.DUMMYFUNCTION("""COMPUTED_VALUE"""),"Toffy Home")</f>
        <v>Toffy Home</v>
      </c>
      <c r="P876" t="str">
        <f>IFERROR(__xludf.DUMMYFUNCTION("""COMPUTED_VALUE"""),"V/LWP")</f>
        <v>V/LWP</v>
      </c>
      <c r="R876" s="143">
        <f>IFERROR(__xludf.DUMMYFUNCTION("""COMPUTED_VALUE"""),33183.0)</f>
        <v>33183</v>
      </c>
      <c r="S876" s="146" t="str">
        <f>IFERROR(__xludf.DUMMYFUNCTION("""COMPUTED_VALUE"""),"085-2558095")</f>
        <v>085-2558095</v>
      </c>
      <c r="T876" s="147" t="str">
        <f>IFERROR(__xludf.DUMMYFUNCTION("""COMPUTED_VALUE"""),"2 5509 00012 88 1")</f>
        <v>2 5509 00012 88 1</v>
      </c>
      <c r="U876" t="str">
        <f>IFERROR(__xludf.DUMMYFUNCTION("""COMPUTED_VALUE"""),"AC2855659")</f>
        <v>AC2855659</v>
      </c>
      <c r="V876" s="148">
        <f>IFERROR(__xludf.DUMMYFUNCTION("""COMPUTED_VALUE"""),44594.0)</f>
        <v>44594</v>
      </c>
      <c r="W876" s="148">
        <f>IFERROR(__xludf.DUMMYFUNCTION("""COMPUTED_VALUE"""),48245.0)</f>
        <v>48245</v>
      </c>
      <c r="X876" s="149">
        <f>IFERROR(__xludf.DUMMYFUNCTION("""COMPUTED_VALUE"""),48061.0)</f>
        <v>48061</v>
      </c>
      <c r="Y876" t="str">
        <f>IFERROR(__xludf.DUMMYFUNCTION("""COMPUTED_VALUE"""),"ปลอดภัย")</f>
        <v>ปลอดภัย</v>
      </c>
      <c r="Z876" t="str">
        <f>IFERROR(__xludf.DUMMYFUNCTION("""COMPUTED_VALUE"""),"Nan Province")</f>
        <v>Nan Province</v>
      </c>
      <c r="AA876" t="str">
        <f>IFERROR(__xludf.DUMMYFUNCTION("""COMPUTED_VALUE"""),"Bangkok")</f>
        <v>Bangkok</v>
      </c>
      <c r="AB876" t="str">
        <f>IFERROR(__xludf.DUMMYFUNCTION("""COMPUTED_VALUE"""),"086-000-1396")</f>
        <v>086-000-1396</v>
      </c>
      <c r="AC876" t="str">
        <f>IFERROR(__xludf.DUMMYFUNCTION("""COMPUTED_VALUE"""),"Nom Karasu (Mother)")</f>
        <v>Nom Karasu (Mother)</v>
      </c>
      <c r="AD876" t="str">
        <f>IFERROR(__xludf.DUMMYFUNCTION("""COMPUTED_VALUE"""),"nontapatk@airasia.com")</f>
        <v>nontapatk@airasia.com</v>
      </c>
    </row>
    <row r="877">
      <c r="A877" s="142">
        <f>IFERROR(__xludf.DUMMYFUNCTION("""COMPUTED_VALUE"""),93.0)</f>
        <v>93</v>
      </c>
      <c r="B877" t="str">
        <f>IFERROR(__xludf.DUMMYFUNCTION("""COMPUTED_VALUE"""),"TAA7993")</f>
        <v>TAA7993</v>
      </c>
      <c r="C877">
        <f>IFERROR(__xludf.DUMMYFUNCTION("""COMPUTED_VALUE"""),1019528.0)</f>
        <v>1019528</v>
      </c>
      <c r="D877" t="str">
        <f>IFERROR(__xludf.DUMMYFUNCTION("""COMPUTED_VALUE"""),"Ms.")</f>
        <v>Ms.</v>
      </c>
      <c r="E877" t="str">
        <f>IFERROR(__xludf.DUMMYFUNCTION("""COMPUTED_VALUE"""),"Panida")</f>
        <v>Panida</v>
      </c>
      <c r="F877" t="str">
        <f>IFERROR(__xludf.DUMMYFUNCTION("""COMPUTED_VALUE"""),"Wannaying")</f>
        <v>Wannaying</v>
      </c>
      <c r="G877" t="str">
        <f>IFERROR(__xludf.DUMMYFUNCTION("""COMPUTED_VALUE"""),"Panida Wannaying")</f>
        <v>Panida Wannaying</v>
      </c>
      <c r="H877" t="str">
        <f>IFERROR(__xludf.DUMMYFUNCTION("""COMPUTED_VALUE"""),"นางสาว")</f>
        <v>นางสาว</v>
      </c>
      <c r="I877" t="str">
        <f>IFERROR(__xludf.DUMMYFUNCTION("""COMPUTED_VALUE"""),"ปณิดา")</f>
        <v>ปณิดา</v>
      </c>
      <c r="J877" t="str">
        <f>IFERROR(__xludf.DUMMYFUNCTION("""COMPUTED_VALUE"""),"วรรณยิ่ง")</f>
        <v>วรรณยิ่ง</v>
      </c>
      <c r="K877" t="str">
        <f>IFERROR(__xludf.DUMMYFUNCTION("""COMPUTED_VALUE"""),"ปณิดา วรรณยิ่ง")</f>
        <v>ปณิดา วรรณยิ่ง</v>
      </c>
      <c r="L877" t="str">
        <f>IFERROR(__xludf.DUMMYFUNCTION("""COMPUTED_VALUE"""),"ใบตอง")</f>
        <v>ใบตอง</v>
      </c>
      <c r="M877" t="str">
        <f>IFERROR(__xludf.DUMMYFUNCTION("""COMPUTED_VALUE"""),"Cabin Crew")</f>
        <v>Cabin Crew</v>
      </c>
      <c r="N877" t="str">
        <f>IFERROR(__xludf.DUMMYFUNCTION("""COMPUTED_VALUE"""),"DMK")</f>
        <v>DMK</v>
      </c>
      <c r="O877" s="145" t="str">
        <f>IFERROR(__xludf.DUMMYFUNCTION("""COMPUTED_VALUE"""),"Toffy Home")</f>
        <v>Toffy Home</v>
      </c>
      <c r="P877" t="str">
        <f>IFERROR(__xludf.DUMMYFUNCTION("""COMPUTED_VALUE"""),"V/LWP")</f>
        <v>V/LWP</v>
      </c>
      <c r="R877" s="143">
        <f>IFERROR(__xludf.DUMMYFUNCTION("""COMPUTED_VALUE"""),31678.0)</f>
        <v>31678</v>
      </c>
      <c r="S877" s="146" t="str">
        <f>IFERROR(__xludf.DUMMYFUNCTION("""COMPUTED_VALUE"""),"062 295 9394")</f>
        <v>062 295 9394</v>
      </c>
      <c r="T877" s="147" t="str">
        <f>IFERROR(__xludf.DUMMYFUNCTION("""COMPUTED_VALUE"""),"1100400-22-9347")</f>
        <v>1100400-22-9347</v>
      </c>
      <c r="U877" t="str">
        <f>IFERROR(__xludf.DUMMYFUNCTION("""COMPUTED_VALUE"""),"AC2984137")</f>
        <v>AC2984137</v>
      </c>
      <c r="V877" s="148">
        <f>IFERROR(__xludf.DUMMYFUNCTION("""COMPUTED_VALUE"""),44648.0)</f>
        <v>44648</v>
      </c>
      <c r="W877" s="148">
        <f>IFERROR(__xludf.DUMMYFUNCTION("""COMPUTED_VALUE"""),48300.0)</f>
        <v>48300</v>
      </c>
      <c r="X877" s="149">
        <f>IFERROR(__xludf.DUMMYFUNCTION("""COMPUTED_VALUE"""),48118.0)</f>
        <v>48118</v>
      </c>
      <c r="Y877" t="str">
        <f>IFERROR(__xludf.DUMMYFUNCTION("""COMPUTED_VALUE"""),"ปลอดภัย")</f>
        <v>ปลอดภัย</v>
      </c>
      <c r="Z877" t="str">
        <f>IFERROR(__xludf.DUMMYFUNCTION("""COMPUTED_VALUE"""),"Bangkok")</f>
        <v>Bangkok</v>
      </c>
      <c r="AA877" t="str">
        <f>IFERROR(__xludf.DUMMYFUNCTION("""COMPUTED_VALUE"""),"Bangkok")</f>
        <v>Bangkok</v>
      </c>
      <c r="AB877" t="str">
        <f>IFERROR(__xludf.DUMMYFUNCTION("""COMPUTED_VALUE"""),"084-562-5266")</f>
        <v>084-562-5266</v>
      </c>
      <c r="AC877" t="str">
        <f>IFERROR(__xludf.DUMMYFUNCTION("""COMPUTED_VALUE"""),"Atchareya Ruangchuay (Father)")</f>
        <v>Atchareya Ruangchuay (Father)</v>
      </c>
      <c r="AD877" t="str">
        <f>IFERROR(__xludf.DUMMYFUNCTION("""COMPUTED_VALUE"""),"panidaw@airasia.com")</f>
        <v>panidaw@airasia.com</v>
      </c>
    </row>
    <row r="878">
      <c r="A878" s="142">
        <f>IFERROR(__xludf.DUMMYFUNCTION("""COMPUTED_VALUE"""),93.0)</f>
        <v>93</v>
      </c>
      <c r="B878" t="str">
        <f>IFERROR(__xludf.DUMMYFUNCTION("""COMPUTED_VALUE"""),"TAA7990")</f>
        <v>TAA7990</v>
      </c>
      <c r="C878">
        <f>IFERROR(__xludf.DUMMYFUNCTION("""COMPUTED_VALUE"""),1019535.0)</f>
        <v>1019535</v>
      </c>
      <c r="D878" t="str">
        <f>IFERROR(__xludf.DUMMYFUNCTION("""COMPUTED_VALUE"""),"Ms.")</f>
        <v>Ms.</v>
      </c>
      <c r="E878" t="str">
        <f>IFERROR(__xludf.DUMMYFUNCTION("""COMPUTED_VALUE"""),"Primwipa")</f>
        <v>Primwipa</v>
      </c>
      <c r="F878" t="str">
        <f>IFERROR(__xludf.DUMMYFUNCTION("""COMPUTED_VALUE"""),"Klinkachorn")</f>
        <v>Klinkachorn</v>
      </c>
      <c r="G878" t="str">
        <f>IFERROR(__xludf.DUMMYFUNCTION("""COMPUTED_VALUE"""),"Primwipa Klinkachorn")</f>
        <v>Primwipa Klinkachorn</v>
      </c>
      <c r="H878" t="str">
        <f>IFERROR(__xludf.DUMMYFUNCTION("""COMPUTED_VALUE"""),"นางสาว")</f>
        <v>นางสาว</v>
      </c>
      <c r="I878" t="str">
        <f>IFERROR(__xludf.DUMMYFUNCTION("""COMPUTED_VALUE"""),"พริมวิภา")</f>
        <v>พริมวิภา</v>
      </c>
      <c r="J878" t="str">
        <f>IFERROR(__xludf.DUMMYFUNCTION("""COMPUTED_VALUE"""),"กลิ่นขจร")</f>
        <v>กลิ่นขจร</v>
      </c>
      <c r="K878" t="str">
        <f>IFERROR(__xludf.DUMMYFUNCTION("""COMPUTED_VALUE"""),"พริมวิภา กลิ่นขจร")</f>
        <v>พริมวิภา กลิ่นขจร</v>
      </c>
      <c r="L878" t="str">
        <f>IFERROR(__xludf.DUMMYFUNCTION("""COMPUTED_VALUE"""),"Primwi / พริมวิ")</f>
        <v>Primwi / พริมวิ</v>
      </c>
      <c r="M878" t="str">
        <f>IFERROR(__xludf.DUMMYFUNCTION("""COMPUTED_VALUE"""),"Senior Cabin Crew")</f>
        <v>Senior Cabin Crew</v>
      </c>
      <c r="N878" t="str">
        <f>IFERROR(__xludf.DUMMYFUNCTION("""COMPUTED_VALUE"""),"DMK")</f>
        <v>DMK</v>
      </c>
      <c r="O878" s="145" t="str">
        <f>IFERROR(__xludf.DUMMYFUNCTION("""COMPUTED_VALUE"""),"Kor Home")</f>
        <v>Kor Home</v>
      </c>
      <c r="P878" t="str">
        <f>IFERROR(__xludf.DUMMYFUNCTION("""COMPUTED_VALUE"""),"Active")</f>
        <v>Active</v>
      </c>
      <c r="R878" s="143">
        <f>IFERROR(__xludf.DUMMYFUNCTION("""COMPUTED_VALUE"""),34410.0)</f>
        <v>34410</v>
      </c>
      <c r="S878" s="146" t="str">
        <f>IFERROR(__xludf.DUMMYFUNCTION("""COMPUTED_VALUE"""),"08-2464744-4")</f>
        <v>08-2464744-4</v>
      </c>
      <c r="T878" s="147" t="str">
        <f>IFERROR(__xludf.DUMMYFUNCTION("""COMPUTED_VALUE"""),"1209700-52-9076")</f>
        <v>1209700-52-9076</v>
      </c>
      <c r="U878" t="str">
        <f>IFERROR(__xludf.DUMMYFUNCTION("""COMPUTED_VALUE"""),"AC2762695")</f>
        <v>AC2762695</v>
      </c>
      <c r="V878" s="148">
        <f>IFERROR(__xludf.DUMMYFUNCTION("""COMPUTED_VALUE"""),44495.0)</f>
        <v>44495</v>
      </c>
      <c r="W878" s="148">
        <f>IFERROR(__xludf.DUMMYFUNCTION("""COMPUTED_VALUE"""),48146.0)</f>
        <v>48146</v>
      </c>
      <c r="X878" s="149">
        <f>IFERROR(__xludf.DUMMYFUNCTION("""COMPUTED_VALUE"""),47963.0)</f>
        <v>47963</v>
      </c>
      <c r="Y878" t="str">
        <f>IFERROR(__xludf.DUMMYFUNCTION("""COMPUTED_VALUE"""),"ปลอดภัย")</f>
        <v>ปลอดภัย</v>
      </c>
      <c r="Z878" t="str">
        <f>IFERROR(__xludf.DUMMYFUNCTION("""COMPUTED_VALUE"""),"Chonburi Province")</f>
        <v>Chonburi Province</v>
      </c>
      <c r="AA878" t="str">
        <f>IFERROR(__xludf.DUMMYFUNCTION("""COMPUTED_VALUE"""),"Chachoengsao")</f>
        <v>Chachoengsao</v>
      </c>
      <c r="AB878" t="str">
        <f>IFERROR(__xludf.DUMMYFUNCTION("""COMPUTED_VALUE"""),"083-588-5777")</f>
        <v>083-588-5777</v>
      </c>
      <c r="AC878" t="str">
        <f>IFERROR(__xludf.DUMMYFUNCTION("""COMPUTED_VALUE"""),"Wanchai Klinkachron (Father)")</f>
        <v>Wanchai Klinkachron (Father)</v>
      </c>
      <c r="AD878" t="str">
        <f>IFERROR(__xludf.DUMMYFUNCTION("""COMPUTED_VALUE"""),"primwipak@airasia.com")</f>
        <v>primwipak@airasia.com</v>
      </c>
    </row>
    <row r="879">
      <c r="A879" s="142">
        <f>IFERROR(__xludf.DUMMYFUNCTION("""COMPUTED_VALUE"""),93.0)</f>
        <v>93</v>
      </c>
      <c r="B879" t="str">
        <f>IFERROR(__xludf.DUMMYFUNCTION("""COMPUTED_VALUE"""),"TAA8004")</f>
        <v>TAA8004</v>
      </c>
      <c r="C879">
        <f>IFERROR(__xludf.DUMMYFUNCTION("""COMPUTED_VALUE"""),1019542.0)</f>
        <v>1019542</v>
      </c>
      <c r="D879" t="str">
        <f>IFERROR(__xludf.DUMMYFUNCTION("""COMPUTED_VALUE"""),"Mr.")</f>
        <v>Mr.</v>
      </c>
      <c r="E879" t="str">
        <f>IFERROR(__xludf.DUMMYFUNCTION("""COMPUTED_VALUE"""),"Siravich")</f>
        <v>Siravich</v>
      </c>
      <c r="F879" t="str">
        <f>IFERROR(__xludf.DUMMYFUNCTION("""COMPUTED_VALUE"""),"Prathompatama")</f>
        <v>Prathompatama</v>
      </c>
      <c r="G879" t="str">
        <f>IFERROR(__xludf.DUMMYFUNCTION("""COMPUTED_VALUE"""),"Siravich Prathompatama")</f>
        <v>Siravich Prathompatama</v>
      </c>
      <c r="H879" t="str">
        <f>IFERROR(__xludf.DUMMYFUNCTION("""COMPUTED_VALUE"""),"นาย")</f>
        <v>นาย</v>
      </c>
      <c r="I879" t="str">
        <f>IFERROR(__xludf.DUMMYFUNCTION("""COMPUTED_VALUE"""),"สิรวิชญ์")</f>
        <v>สิรวิชญ์</v>
      </c>
      <c r="J879" t="str">
        <f>IFERROR(__xludf.DUMMYFUNCTION("""COMPUTED_VALUE"""),"ประถมปัทมะ")</f>
        <v>ประถมปัทมะ</v>
      </c>
      <c r="K879" t="str">
        <f>IFERROR(__xludf.DUMMYFUNCTION("""COMPUTED_VALUE"""),"สิรวิชญ์ ประถมปัทมะ")</f>
        <v>สิรวิชญ์ ประถมปัทมะ</v>
      </c>
      <c r="L879" t="str">
        <f>IFERROR(__xludf.DUMMYFUNCTION("""COMPUTED_VALUE"""),"Ray / เรย์")</f>
        <v>Ray / เรย์</v>
      </c>
      <c r="M879" t="str">
        <f>IFERROR(__xludf.DUMMYFUNCTION("""COMPUTED_VALUE"""),"Cabin Crew")</f>
        <v>Cabin Crew</v>
      </c>
      <c r="N879" t="str">
        <f>IFERROR(__xludf.DUMMYFUNCTION("""COMPUTED_VALUE"""),"DMK")</f>
        <v>DMK</v>
      </c>
      <c r="O879" s="145" t="str">
        <f>IFERROR(__xludf.DUMMYFUNCTION("""COMPUTED_VALUE"""),"Toffy Home")</f>
        <v>Toffy Home</v>
      </c>
      <c r="P879" t="str">
        <f>IFERROR(__xludf.DUMMYFUNCTION("""COMPUTED_VALUE"""),"Active")</f>
        <v>Active</v>
      </c>
      <c r="Q879" t="str">
        <f>IFERROR(__xludf.DUMMYFUNCTION("""COMPUTED_VALUE"""),"Japanese Speaking")</f>
        <v>Japanese Speaking</v>
      </c>
      <c r="R879" s="143">
        <f>IFERROR(__xludf.DUMMYFUNCTION("""COMPUTED_VALUE"""),34039.0)</f>
        <v>34039</v>
      </c>
      <c r="S879" s="146" t="str">
        <f>IFERROR(__xludf.DUMMYFUNCTION("""COMPUTED_VALUE"""),"08-1865446-6")</f>
        <v>08-1865446-6</v>
      </c>
      <c r="T879" s="147" t="str">
        <f>IFERROR(__xludf.DUMMYFUNCTION("""COMPUTED_VALUE"""),"1101700-12-4762")</f>
        <v>1101700-12-4762</v>
      </c>
      <c r="U879" t="str">
        <f>IFERROR(__xludf.DUMMYFUNCTION("""COMPUTED_VALUE"""),"AC6515431")</f>
        <v>AC6515431</v>
      </c>
      <c r="V879" s="148">
        <f>IFERROR(__xludf.DUMMYFUNCTION("""COMPUTED_VALUE"""),45372.0)</f>
        <v>45372</v>
      </c>
      <c r="W879" s="148">
        <f>IFERROR(__xludf.DUMMYFUNCTION("""COMPUTED_VALUE"""),49023.0)</f>
        <v>49023</v>
      </c>
      <c r="X879" s="149">
        <f>IFERROR(__xludf.DUMMYFUNCTION("""COMPUTED_VALUE"""),48842.0)</f>
        <v>48842</v>
      </c>
      <c r="Y879" t="str">
        <f>IFERROR(__xludf.DUMMYFUNCTION("""COMPUTED_VALUE"""),"ปลอดภัย")</f>
        <v>ปลอดภัย</v>
      </c>
      <c r="Z879" t="str">
        <f>IFERROR(__xludf.DUMMYFUNCTION("""COMPUTED_VALUE"""),"Bangkok")</f>
        <v>Bangkok</v>
      </c>
      <c r="AA879" t="str">
        <f>IFERROR(__xludf.DUMMYFUNCTION("""COMPUTED_VALUE"""),"Chonburi")</f>
        <v>Chonburi</v>
      </c>
      <c r="AB879" t="str">
        <f>IFERROR(__xludf.DUMMYFUNCTION("""COMPUTED_VALUE"""),"081-818-1400")</f>
        <v>081-818-1400</v>
      </c>
      <c r="AC879" t="str">
        <f>IFERROR(__xludf.DUMMYFUNCTION("""COMPUTED_VALUE"""),"Varaporn Bishop (Mother)")</f>
        <v>Varaporn Bishop (Mother)</v>
      </c>
      <c r="AD879" t="str">
        <f>IFERROR(__xludf.DUMMYFUNCTION("""COMPUTED_VALUE"""),"siravichp@airasia.com")</f>
        <v>siravichp@airasia.com</v>
      </c>
    </row>
    <row r="880">
      <c r="A880" s="142">
        <f>IFERROR(__xludf.DUMMYFUNCTION("""COMPUTED_VALUE"""),93.0)</f>
        <v>93</v>
      </c>
      <c r="B880" t="str">
        <f>IFERROR(__xludf.DUMMYFUNCTION("""COMPUTED_VALUE"""),"TAA7996")</f>
        <v>TAA7996</v>
      </c>
      <c r="C880">
        <f>IFERROR(__xludf.DUMMYFUNCTION("""COMPUTED_VALUE"""),1019545.0)</f>
        <v>1019545</v>
      </c>
      <c r="D880" t="str">
        <f>IFERROR(__xludf.DUMMYFUNCTION("""COMPUTED_VALUE"""),"Mr.")</f>
        <v>Mr.</v>
      </c>
      <c r="E880" t="str">
        <f>IFERROR(__xludf.DUMMYFUNCTION("""COMPUTED_VALUE"""),"Sorawich")</f>
        <v>Sorawich</v>
      </c>
      <c r="F880" t="str">
        <f>IFERROR(__xludf.DUMMYFUNCTION("""COMPUTED_VALUE"""),"Kaosumang")</f>
        <v>Kaosumang</v>
      </c>
      <c r="G880" t="str">
        <f>IFERROR(__xludf.DUMMYFUNCTION("""COMPUTED_VALUE"""),"Sorawich Kaosumang")</f>
        <v>Sorawich Kaosumang</v>
      </c>
      <c r="H880" t="str">
        <f>IFERROR(__xludf.DUMMYFUNCTION("""COMPUTED_VALUE"""),"นาย")</f>
        <v>นาย</v>
      </c>
      <c r="I880" t="str">
        <f>IFERROR(__xludf.DUMMYFUNCTION("""COMPUTED_VALUE"""),"สรวิศ")</f>
        <v>สรวิศ</v>
      </c>
      <c r="J880" t="str">
        <f>IFERROR(__xludf.DUMMYFUNCTION("""COMPUTED_VALUE"""),"ขาวสำอางค์")</f>
        <v>ขาวสำอางค์</v>
      </c>
      <c r="K880" t="str">
        <f>IFERROR(__xludf.DUMMYFUNCTION("""COMPUTED_VALUE"""),"สรวิศ ขาวสำอางค์")</f>
        <v>สรวิศ ขาวสำอางค์</v>
      </c>
      <c r="L880" t="str">
        <f>IFERROR(__xludf.DUMMYFUNCTION("""COMPUTED_VALUE"""),"Aong / อ๋อง")</f>
        <v>Aong / อ๋อง</v>
      </c>
      <c r="M880" t="str">
        <f>IFERROR(__xludf.DUMMYFUNCTION("""COMPUTED_VALUE"""),"Cabin Crew")</f>
        <v>Cabin Crew</v>
      </c>
      <c r="N880" t="str">
        <f>IFERROR(__xludf.DUMMYFUNCTION("""COMPUTED_VALUE"""),"DMK")</f>
        <v>DMK</v>
      </c>
      <c r="O880" s="145" t="str">
        <f>IFERROR(__xludf.DUMMYFUNCTION("""COMPUTED_VALUE"""),"Um Home")</f>
        <v>Um Home</v>
      </c>
      <c r="P880" t="str">
        <f>IFERROR(__xludf.DUMMYFUNCTION("""COMPUTED_VALUE"""),"Active")</f>
        <v>Active</v>
      </c>
      <c r="R880" s="143">
        <f>IFERROR(__xludf.DUMMYFUNCTION("""COMPUTED_VALUE"""),34606.0)</f>
        <v>34606</v>
      </c>
      <c r="S880" s="146" t="str">
        <f>IFERROR(__xludf.DUMMYFUNCTION("""COMPUTED_VALUE"""),"081 104 1453")</f>
        <v>081 104 1453</v>
      </c>
      <c r="T880" s="147" t="str">
        <f>IFERROR(__xludf.DUMMYFUNCTION("""COMPUTED_VALUE"""),"1102002-22-8016")</f>
        <v>1102002-22-8016</v>
      </c>
      <c r="U880" t="str">
        <f>IFERROR(__xludf.DUMMYFUNCTION("""COMPUTED_VALUE"""),"AC2241252")</f>
        <v>AC2241252</v>
      </c>
      <c r="V880" s="148">
        <f>IFERROR(__xludf.DUMMYFUNCTION("""COMPUTED_VALUE"""),44293.0)</f>
        <v>44293</v>
      </c>
      <c r="W880" s="148">
        <f>IFERROR(__xludf.DUMMYFUNCTION("""COMPUTED_VALUE"""),47944.0)</f>
        <v>47944</v>
      </c>
      <c r="X880" s="149">
        <f>IFERROR(__xludf.DUMMYFUNCTION("""COMPUTED_VALUE"""),47762.0)</f>
        <v>47762</v>
      </c>
      <c r="Y880" t="str">
        <f>IFERROR(__xludf.DUMMYFUNCTION("""COMPUTED_VALUE"""),"ปลอดภัย")</f>
        <v>ปลอดภัย</v>
      </c>
      <c r="Z880" t="str">
        <f>IFERROR(__xludf.DUMMYFUNCTION("""COMPUTED_VALUE"""),"Nakhon Pathom Province")</f>
        <v>Nakhon Pathom Province</v>
      </c>
      <c r="AA880" t="str">
        <f>IFERROR(__xludf.DUMMYFUNCTION("""COMPUTED_VALUE"""),"Nakhonprathom")</f>
        <v>Nakhonprathom</v>
      </c>
      <c r="AB880" t="str">
        <f>IFERROR(__xludf.DUMMYFUNCTION("""COMPUTED_VALUE"""),"081-656-4993")</f>
        <v>081-656-4993</v>
      </c>
      <c r="AC880" t="str">
        <f>IFERROR(__xludf.DUMMYFUNCTION("""COMPUTED_VALUE"""),"Rawat Kaosumang (Father)")</f>
        <v>Rawat Kaosumang (Father)</v>
      </c>
      <c r="AD880" t="str">
        <f>IFERROR(__xludf.DUMMYFUNCTION("""COMPUTED_VALUE"""),"sorawichk@airasia.com")</f>
        <v>sorawichk@airasia.com</v>
      </c>
    </row>
    <row r="881">
      <c r="A881" s="142">
        <f>IFERROR(__xludf.DUMMYFUNCTION("""COMPUTED_VALUE"""),93.0)</f>
        <v>93</v>
      </c>
      <c r="B881" t="str">
        <f>IFERROR(__xludf.DUMMYFUNCTION("""COMPUTED_VALUE"""),"TAA7998")</f>
        <v>TAA7998</v>
      </c>
      <c r="C881">
        <f>IFERROR(__xludf.DUMMYFUNCTION("""COMPUTED_VALUE"""),1019549.0)</f>
        <v>1019549</v>
      </c>
      <c r="D881" t="str">
        <f>IFERROR(__xludf.DUMMYFUNCTION("""COMPUTED_VALUE"""),"Mr.")</f>
        <v>Mr.</v>
      </c>
      <c r="E881" t="str">
        <f>IFERROR(__xludf.DUMMYFUNCTION("""COMPUTED_VALUE"""),"Phuriwat (Teerapong)")</f>
        <v>Phuriwat (Teerapong)</v>
      </c>
      <c r="F881" t="str">
        <f>IFERROR(__xludf.DUMMYFUNCTION("""COMPUTED_VALUE"""),"Chaitulyavate (Krangklang)")</f>
        <v>Chaitulyavate (Krangklang)</v>
      </c>
      <c r="G881" t="str">
        <f>IFERROR(__xludf.DUMMYFUNCTION("""COMPUTED_VALUE"""),"Phuriwat Chaitulyavate ")</f>
        <v>Phuriwat Chaitulyavate </v>
      </c>
      <c r="H881" t="str">
        <f>IFERROR(__xludf.DUMMYFUNCTION("""COMPUTED_VALUE"""),"นาย")</f>
        <v>นาย</v>
      </c>
      <c r="I881" t="str">
        <f>IFERROR(__xludf.DUMMYFUNCTION("""COMPUTED_VALUE"""),"ภูริวัจน์ (ธีรพงษ์)")</f>
        <v>ภูริวัจน์ (ธีรพงษ์)</v>
      </c>
      <c r="J881" t="str">
        <f>IFERROR(__xludf.DUMMYFUNCTION("""COMPUTED_VALUE"""),"ไชยตุลยเวทย์ (แครงกลาง)")</f>
        <v>ไชยตุลยเวทย์ (แครงกลาง)</v>
      </c>
      <c r="K881" t="str">
        <f>IFERROR(__xludf.DUMMYFUNCTION("""COMPUTED_VALUE"""),"ภูริวัจน์ ไชยตุลยเวทย์")</f>
        <v>ภูริวัจน์ ไชยตุลยเวทย์</v>
      </c>
      <c r="L881" t="str">
        <f>IFERROR(__xludf.DUMMYFUNCTION("""COMPUTED_VALUE"""),"Joe / โจ้")</f>
        <v>Joe / โจ้</v>
      </c>
      <c r="M881" t="str">
        <f>IFERROR(__xludf.DUMMYFUNCTION("""COMPUTED_VALUE"""),"Cabin Crew")</f>
        <v>Cabin Crew</v>
      </c>
      <c r="N881" t="str">
        <f>IFERROR(__xludf.DUMMYFUNCTION("""COMPUTED_VALUE"""),"DMK")</f>
        <v>DMK</v>
      </c>
      <c r="O881" s="145" t="str">
        <f>IFERROR(__xludf.DUMMYFUNCTION("""COMPUTED_VALUE"""),"Toffy Home")</f>
        <v>Toffy Home</v>
      </c>
      <c r="P881" t="str">
        <f>IFERROR(__xludf.DUMMYFUNCTION("""COMPUTED_VALUE"""),"Active")</f>
        <v>Active</v>
      </c>
      <c r="R881" s="143">
        <f>IFERROR(__xludf.DUMMYFUNCTION("""COMPUTED_VALUE"""),33091.0)</f>
        <v>33091</v>
      </c>
      <c r="S881" s="146" t="str">
        <f>IFERROR(__xludf.DUMMYFUNCTION("""COMPUTED_VALUE"""),"08-0552500-4")</f>
        <v>08-0552500-4</v>
      </c>
      <c r="T881" s="147" t="str">
        <f>IFERROR(__xludf.DUMMYFUNCTION("""COMPUTED_VALUE"""),"1409900-68-6777")</f>
        <v>1409900-68-6777</v>
      </c>
      <c r="U881" t="str">
        <f>IFERROR(__xludf.DUMMYFUNCTION("""COMPUTED_VALUE"""),"AC2344434")</f>
        <v>AC2344434</v>
      </c>
      <c r="V881" s="148">
        <f>IFERROR(__xludf.DUMMYFUNCTION("""COMPUTED_VALUE"""),44382.0)</f>
        <v>44382</v>
      </c>
      <c r="W881" s="148">
        <f>IFERROR(__xludf.DUMMYFUNCTION("""COMPUTED_VALUE"""),48033.0)</f>
        <v>48033</v>
      </c>
      <c r="X881" s="149">
        <f>IFERROR(__xludf.DUMMYFUNCTION("""COMPUTED_VALUE"""),47852.0)</f>
        <v>47852</v>
      </c>
      <c r="Y881" t="str">
        <f>IFERROR(__xludf.DUMMYFUNCTION("""COMPUTED_VALUE"""),"ปลอดภัย")</f>
        <v>ปลอดภัย</v>
      </c>
      <c r="Z881" t="str">
        <f>IFERROR(__xludf.DUMMYFUNCTION("""COMPUTED_VALUE"""),"Khon Kaen Province")</f>
        <v>Khon Kaen Province</v>
      </c>
      <c r="AA881" t="str">
        <f>IFERROR(__xludf.DUMMYFUNCTION("""COMPUTED_VALUE"""),"Bangkok")</f>
        <v>Bangkok</v>
      </c>
      <c r="AB881" t="str">
        <f>IFERROR(__xludf.DUMMYFUNCTION("""COMPUTED_VALUE"""),"083 924 1170")</f>
        <v>083 924 1170</v>
      </c>
      <c r="AC881" t="str">
        <f>IFERROR(__xludf.DUMMYFUNCTION("""COMPUTED_VALUE"""),"Thawonrat Srisirirungsimakul (Mother)")</f>
        <v>Thawonrat Srisirirungsimakul (Mother)</v>
      </c>
      <c r="AD881" t="str">
        <f>IFERROR(__xludf.DUMMYFUNCTION("""COMPUTED_VALUE"""),"phuriwatc@airasia.com")</f>
        <v>phuriwatc@airasia.com</v>
      </c>
    </row>
    <row r="882">
      <c r="A882" s="142">
        <f>IFERROR(__xludf.DUMMYFUNCTION("""COMPUTED_VALUE"""),93.0)</f>
        <v>93</v>
      </c>
      <c r="B882" t="str">
        <f>IFERROR(__xludf.DUMMYFUNCTION("""COMPUTED_VALUE"""),"TAA7991")</f>
        <v>TAA7991</v>
      </c>
      <c r="C882">
        <f>IFERROR(__xludf.DUMMYFUNCTION("""COMPUTED_VALUE"""),1019550.0)</f>
        <v>1019550</v>
      </c>
      <c r="D882" t="str">
        <f>IFERROR(__xludf.DUMMYFUNCTION("""COMPUTED_VALUE"""),"Ms.")</f>
        <v>Ms.</v>
      </c>
      <c r="E882" t="str">
        <f>IFERROR(__xludf.DUMMYFUNCTION("""COMPUTED_VALUE"""),"Thansaya")</f>
        <v>Thansaya</v>
      </c>
      <c r="F882" t="str">
        <f>IFERROR(__xludf.DUMMYFUNCTION("""COMPUTED_VALUE"""),"Gerdnavy")</f>
        <v>Gerdnavy</v>
      </c>
      <c r="G882" t="str">
        <f>IFERROR(__xludf.DUMMYFUNCTION("""COMPUTED_VALUE"""),"Thansaya Gerdnavy")</f>
        <v>Thansaya Gerdnavy</v>
      </c>
      <c r="H882" t="str">
        <f>IFERROR(__xludf.DUMMYFUNCTION("""COMPUTED_VALUE"""),"นางสาว")</f>
        <v>นางสาว</v>
      </c>
      <c r="I882" t="str">
        <f>IFERROR(__xludf.DUMMYFUNCTION("""COMPUTED_VALUE"""),"ธัญสญา")</f>
        <v>ธัญสญา</v>
      </c>
      <c r="J882" t="str">
        <f>IFERROR(__xludf.DUMMYFUNCTION("""COMPUTED_VALUE"""),"เกิดนาวี")</f>
        <v>เกิดนาวี</v>
      </c>
      <c r="K882" t="str">
        <f>IFERROR(__xludf.DUMMYFUNCTION("""COMPUTED_VALUE"""),"ธัญสญา เกิดนาวี")</f>
        <v>ธัญสญา เกิดนาวี</v>
      </c>
      <c r="L882" t="str">
        <f>IFERROR(__xludf.DUMMYFUNCTION("""COMPUTED_VALUE"""),"Gift / กิ๊ฟ")</f>
        <v>Gift / กิ๊ฟ</v>
      </c>
      <c r="M882" t="str">
        <f>IFERROR(__xludf.DUMMYFUNCTION("""COMPUTED_VALUE"""),"Cabin Crew")</f>
        <v>Cabin Crew</v>
      </c>
      <c r="N882" t="str">
        <f>IFERROR(__xludf.DUMMYFUNCTION("""COMPUTED_VALUE"""),"DMK")</f>
        <v>DMK</v>
      </c>
      <c r="O882" s="145" t="str">
        <f>IFERROR(__xludf.DUMMYFUNCTION("""COMPUTED_VALUE"""),"Nhui Home")</f>
        <v>Nhui Home</v>
      </c>
      <c r="P882" t="str">
        <f>IFERROR(__xludf.DUMMYFUNCTION("""COMPUTED_VALUE"""),"Active")</f>
        <v>Active</v>
      </c>
      <c r="R882" s="143">
        <f>IFERROR(__xludf.DUMMYFUNCTION("""COMPUTED_VALUE"""),31902.0)</f>
        <v>31902</v>
      </c>
      <c r="S882" s="146" t="str">
        <f>IFERROR(__xludf.DUMMYFUNCTION("""COMPUTED_VALUE"""),"08-5689449-2")</f>
        <v>08-5689449-2</v>
      </c>
      <c r="T882" s="147" t="str">
        <f>IFERROR(__xludf.DUMMYFUNCTION("""COMPUTED_VALUE"""),"1659900-22-0792")</f>
        <v>1659900-22-0792</v>
      </c>
      <c r="U882" t="str">
        <f>IFERROR(__xludf.DUMMYFUNCTION("""COMPUTED_VALUE"""),"AC2767620")</f>
        <v>AC2767620</v>
      </c>
      <c r="V882" s="148">
        <f>IFERROR(__xludf.DUMMYFUNCTION("""COMPUTED_VALUE"""),44495.0)</f>
        <v>44495</v>
      </c>
      <c r="W882" s="148">
        <f>IFERROR(__xludf.DUMMYFUNCTION("""COMPUTED_VALUE"""),48146.0)</f>
        <v>48146</v>
      </c>
      <c r="X882" s="149">
        <f>IFERROR(__xludf.DUMMYFUNCTION("""COMPUTED_VALUE"""),47963.0)</f>
        <v>47963</v>
      </c>
      <c r="Y882" t="str">
        <f>IFERROR(__xludf.DUMMYFUNCTION("""COMPUTED_VALUE"""),"ปลอดภัย")</f>
        <v>ปลอดภัย</v>
      </c>
      <c r="Z882" t="str">
        <f>IFERROR(__xludf.DUMMYFUNCTION("""COMPUTED_VALUE"""),"Phitsanulok Province")</f>
        <v>Phitsanulok Province</v>
      </c>
      <c r="AA882" t="str">
        <f>IFERROR(__xludf.DUMMYFUNCTION("""COMPUTED_VALUE"""),"Bangkok")</f>
        <v>Bangkok</v>
      </c>
      <c r="AB882" t="str">
        <f>IFERROR(__xludf.DUMMYFUNCTION("""COMPUTED_VALUE"""),"086-926-4262")</f>
        <v>086-926-4262</v>
      </c>
      <c r="AC882" t="str">
        <f>IFERROR(__xludf.DUMMYFUNCTION("""COMPUTED_VALUE"""),"Pornnicha Gerdnavy (Mother)")</f>
        <v>Pornnicha Gerdnavy (Mother)</v>
      </c>
      <c r="AD882" t="str">
        <f>IFERROR(__xludf.DUMMYFUNCTION("""COMPUTED_VALUE"""),"thansayag@airasia.com")</f>
        <v>thansayag@airasia.com</v>
      </c>
    </row>
    <row r="883">
      <c r="A883" s="142">
        <f>IFERROR(__xludf.DUMMYFUNCTION("""COMPUTED_VALUE"""),93.0)</f>
        <v>93</v>
      </c>
      <c r="B883" t="str">
        <f>IFERROR(__xludf.DUMMYFUNCTION("""COMPUTED_VALUE"""),"TAA8000")</f>
        <v>TAA8000</v>
      </c>
      <c r="C883">
        <f>IFERROR(__xludf.DUMMYFUNCTION("""COMPUTED_VALUE"""),1019551.0)</f>
        <v>1019551</v>
      </c>
      <c r="D883" t="str">
        <f>IFERROR(__xludf.DUMMYFUNCTION("""COMPUTED_VALUE"""),"Mr.")</f>
        <v>Mr.</v>
      </c>
      <c r="E883" t="str">
        <f>IFERROR(__xludf.DUMMYFUNCTION("""COMPUTED_VALUE"""),"Thanyatorn")</f>
        <v>Thanyatorn</v>
      </c>
      <c r="F883" t="str">
        <f>IFERROR(__xludf.DUMMYFUNCTION("""COMPUTED_VALUE"""),"Panyanonwat")</f>
        <v>Panyanonwat</v>
      </c>
      <c r="G883" t="str">
        <f>IFERROR(__xludf.DUMMYFUNCTION("""COMPUTED_VALUE"""),"Thanyatorn Panyanonwat")</f>
        <v>Thanyatorn Panyanonwat</v>
      </c>
      <c r="H883" t="str">
        <f>IFERROR(__xludf.DUMMYFUNCTION("""COMPUTED_VALUE"""),"นาย")</f>
        <v>นาย</v>
      </c>
      <c r="I883" t="str">
        <f>IFERROR(__xludf.DUMMYFUNCTION("""COMPUTED_VALUE"""),"ธัญธร")</f>
        <v>ธัญธร</v>
      </c>
      <c r="J883" t="str">
        <f>IFERROR(__xludf.DUMMYFUNCTION("""COMPUTED_VALUE"""),"ปัญญานนท์วาท")</f>
        <v>ปัญญานนท์วาท</v>
      </c>
      <c r="K883" t="str">
        <f>IFERROR(__xludf.DUMMYFUNCTION("""COMPUTED_VALUE"""),"ธัญธร ปัญญานนท์วาท")</f>
        <v>ธัญธร ปัญญานนท์วาท</v>
      </c>
      <c r="L883" t="str">
        <f>IFERROR(__xludf.DUMMYFUNCTION("""COMPUTED_VALUE"""),"Tan / แทน")</f>
        <v>Tan / แทน</v>
      </c>
      <c r="M883" t="str">
        <f>IFERROR(__xludf.DUMMYFUNCTION("""COMPUTED_VALUE"""),"Cabin Crew")</f>
        <v>Cabin Crew</v>
      </c>
      <c r="N883" t="str">
        <f>IFERROR(__xludf.DUMMYFUNCTION("""COMPUTED_VALUE"""),"DMK")</f>
        <v>DMK</v>
      </c>
      <c r="O883" s="145" t="str">
        <f>IFERROR(__xludf.DUMMYFUNCTION("""COMPUTED_VALUE"""),"Toffy Home")</f>
        <v>Toffy Home</v>
      </c>
      <c r="P883" t="str">
        <f>IFERROR(__xludf.DUMMYFUNCTION("""COMPUTED_VALUE"""),"Active")</f>
        <v>Active</v>
      </c>
      <c r="R883" s="143">
        <f>IFERROR(__xludf.DUMMYFUNCTION("""COMPUTED_VALUE"""),34280.0)</f>
        <v>34280</v>
      </c>
      <c r="S883" s="146" t="str">
        <f>IFERROR(__xludf.DUMMYFUNCTION("""COMPUTED_VALUE"""),"08-5000145-9")</f>
        <v>08-5000145-9</v>
      </c>
      <c r="T883" s="147" t="str">
        <f>IFERROR(__xludf.DUMMYFUNCTION("""COMPUTED_VALUE"""),"1409901-09-3915")</f>
        <v>1409901-09-3915</v>
      </c>
      <c r="U883" t="str">
        <f>IFERROR(__xludf.DUMMYFUNCTION("""COMPUTED_VALUE"""),"AC2622457")</f>
        <v>AC2622457</v>
      </c>
      <c r="V883" s="148">
        <f>IFERROR(__xludf.DUMMYFUNCTION("""COMPUTED_VALUE"""),44544.0)</f>
        <v>44544</v>
      </c>
      <c r="W883" s="148">
        <f>IFERROR(__xludf.DUMMYFUNCTION("""COMPUTED_VALUE"""),48195.0)</f>
        <v>48195</v>
      </c>
      <c r="X883" s="149">
        <f>IFERROR(__xludf.DUMMYFUNCTION("""COMPUTED_VALUE"""),48012.0)</f>
        <v>48012</v>
      </c>
      <c r="Y883" t="str">
        <f>IFERROR(__xludf.DUMMYFUNCTION("""COMPUTED_VALUE"""),"ปลอดภัย")</f>
        <v>ปลอดภัย</v>
      </c>
      <c r="Z883" t="str">
        <f>IFERROR(__xludf.DUMMYFUNCTION("""COMPUTED_VALUE"""),"Khon Kaen Province")</f>
        <v>Khon Kaen Province</v>
      </c>
      <c r="AA883" t="str">
        <f>IFERROR(__xludf.DUMMYFUNCTION("""COMPUTED_VALUE"""),"Khon Kaen")</f>
        <v>Khon Kaen</v>
      </c>
      <c r="AB883" t="str">
        <f>IFERROR(__xludf.DUMMYFUNCTION("""COMPUTED_VALUE"""),"‭061-664-4614‬")</f>
        <v>‭061-664-4614‬</v>
      </c>
      <c r="AC883" t="str">
        <f>IFERROR(__xludf.DUMMYFUNCTION("""COMPUTED_VALUE"""),"Kanokwan Panyanonwat (Mother)")</f>
        <v>Kanokwan Panyanonwat (Mother)</v>
      </c>
      <c r="AD883" t="str">
        <f>IFERROR(__xludf.DUMMYFUNCTION("""COMPUTED_VALUE"""),"thanyatornp@airasia.com")</f>
        <v>thanyatornp@airasia.com</v>
      </c>
    </row>
    <row r="884">
      <c r="A884" s="142">
        <f>IFERROR(__xludf.DUMMYFUNCTION("""COMPUTED_VALUE"""),93.0)</f>
        <v>93</v>
      </c>
      <c r="B884" t="str">
        <f>IFERROR(__xludf.DUMMYFUNCTION("""COMPUTED_VALUE"""),"TAA8001")</f>
        <v>TAA8001</v>
      </c>
      <c r="C884">
        <f>IFERROR(__xludf.DUMMYFUNCTION("""COMPUTED_VALUE"""),1019556.0)</f>
        <v>1019556</v>
      </c>
      <c r="D884" t="str">
        <f>IFERROR(__xludf.DUMMYFUNCTION("""COMPUTED_VALUE"""),"Mr.")</f>
        <v>Mr.</v>
      </c>
      <c r="E884" t="str">
        <f>IFERROR(__xludf.DUMMYFUNCTION("""COMPUTED_VALUE"""),"Warintorn")</f>
        <v>Warintorn</v>
      </c>
      <c r="F884" t="str">
        <f>IFERROR(__xludf.DUMMYFUNCTION("""COMPUTED_VALUE"""),"Rachanikorn")</f>
        <v>Rachanikorn</v>
      </c>
      <c r="G884" t="str">
        <f>IFERROR(__xludf.DUMMYFUNCTION("""COMPUTED_VALUE"""),"Warintorn Rachanikorn")</f>
        <v>Warintorn Rachanikorn</v>
      </c>
      <c r="H884" t="str">
        <f>IFERROR(__xludf.DUMMYFUNCTION("""COMPUTED_VALUE"""),"นาย")</f>
        <v>นาย</v>
      </c>
      <c r="I884" t="str">
        <f>IFERROR(__xludf.DUMMYFUNCTION("""COMPUTED_VALUE"""),"วรินทร")</f>
        <v>วรินทร</v>
      </c>
      <c r="J884" t="str">
        <f>IFERROR(__xludf.DUMMYFUNCTION("""COMPUTED_VALUE"""),"ราชานิกรณ์")</f>
        <v>ราชานิกรณ์</v>
      </c>
      <c r="K884" t="str">
        <f>IFERROR(__xludf.DUMMYFUNCTION("""COMPUTED_VALUE"""),"วรินทร ราชานิกรณ์")</f>
        <v>วรินทร ราชานิกรณ์</v>
      </c>
      <c r="L884" t="str">
        <f>IFERROR(__xludf.DUMMYFUNCTION("""COMPUTED_VALUE"""),"Nut/นัท")</f>
        <v>Nut/นัท</v>
      </c>
      <c r="M884" t="str">
        <f>IFERROR(__xludf.DUMMYFUNCTION("""COMPUTED_VALUE"""),"Cabin Crew")</f>
        <v>Cabin Crew</v>
      </c>
      <c r="N884" t="str">
        <f>IFERROR(__xludf.DUMMYFUNCTION("""COMPUTED_VALUE"""),"DMK")</f>
        <v>DMK</v>
      </c>
      <c r="O884" s="145" t="str">
        <f>IFERROR(__xludf.DUMMYFUNCTION("""COMPUTED_VALUE"""),"Nhui Home")</f>
        <v>Nhui Home</v>
      </c>
      <c r="P884" t="str">
        <f>IFERROR(__xludf.DUMMYFUNCTION("""COMPUTED_VALUE"""),"Active")</f>
        <v>Active</v>
      </c>
      <c r="R884" s="143">
        <f>IFERROR(__xludf.DUMMYFUNCTION("""COMPUTED_VALUE"""),33488.0)</f>
        <v>33488</v>
      </c>
      <c r="S884" s="146" t="str">
        <f>IFERROR(__xludf.DUMMYFUNCTION("""COMPUTED_VALUE"""),"09-0327646-9")</f>
        <v>09-0327646-9</v>
      </c>
      <c r="T884" s="147" t="str">
        <f>IFERROR(__xludf.DUMMYFUNCTION("""COMPUTED_VALUE"""),"1869900-15-1161")</f>
        <v>1869900-15-1161</v>
      </c>
      <c r="U884" t="str">
        <f>IFERROR(__xludf.DUMMYFUNCTION("""COMPUTED_VALUE"""),"AC5502824")</f>
        <v>AC5502824</v>
      </c>
      <c r="V884" s="148">
        <f>IFERROR(__xludf.DUMMYFUNCTION("""COMPUTED_VALUE"""),45153.0)</f>
        <v>45153</v>
      </c>
      <c r="W884" s="148">
        <f>IFERROR(__xludf.DUMMYFUNCTION("""COMPUTED_VALUE"""),48805.0)</f>
        <v>48805</v>
      </c>
      <c r="X884" s="149">
        <f>IFERROR(__xludf.DUMMYFUNCTION("""COMPUTED_VALUE"""),48624.0)</f>
        <v>48624</v>
      </c>
      <c r="Y884" t="str">
        <f>IFERROR(__xludf.DUMMYFUNCTION("""COMPUTED_VALUE"""),"ปลอดภัย")</f>
        <v>ปลอดภัย</v>
      </c>
      <c r="Z884" t="str">
        <f>IFERROR(__xludf.DUMMYFUNCTION("""COMPUTED_VALUE"""),"Chumphon Province")</f>
        <v>Chumphon Province</v>
      </c>
      <c r="AD884" t="str">
        <f>IFERROR(__xludf.DUMMYFUNCTION("""COMPUTED_VALUE"""),"warintornr@airasia.com")</f>
        <v>warintornr@airasia.com</v>
      </c>
    </row>
    <row r="885">
      <c r="A885" s="142">
        <f>IFERROR(__xludf.DUMMYFUNCTION("""COMPUTED_VALUE"""),93.0)</f>
        <v>93</v>
      </c>
      <c r="B885" t="str">
        <f>IFERROR(__xludf.DUMMYFUNCTION("""COMPUTED_VALUE"""),"TAA7999")</f>
        <v>TAA7999</v>
      </c>
      <c r="C885">
        <f>IFERROR(__xludf.DUMMYFUNCTION("""COMPUTED_VALUE"""),1019557.0)</f>
        <v>1019557</v>
      </c>
      <c r="D885" t="str">
        <f>IFERROR(__xludf.DUMMYFUNCTION("""COMPUTED_VALUE"""),"Mr.")</f>
        <v>Mr.</v>
      </c>
      <c r="E885" t="str">
        <f>IFERROR(__xludf.DUMMYFUNCTION("""COMPUTED_VALUE"""),"Yossavarid")</f>
        <v>Yossavarid</v>
      </c>
      <c r="F885" t="str">
        <f>IFERROR(__xludf.DUMMYFUNCTION("""COMPUTED_VALUE"""),"Tien")</f>
        <v>Tien</v>
      </c>
      <c r="G885" t="str">
        <f>IFERROR(__xludf.DUMMYFUNCTION("""COMPUTED_VALUE"""),"Yossavarid Tien")</f>
        <v>Yossavarid Tien</v>
      </c>
      <c r="H885" t="str">
        <f>IFERROR(__xludf.DUMMYFUNCTION("""COMPUTED_VALUE"""),"นาย")</f>
        <v>นาย</v>
      </c>
      <c r="I885" t="str">
        <f>IFERROR(__xludf.DUMMYFUNCTION("""COMPUTED_VALUE"""),"ยศวริศ")</f>
        <v>ยศวริศ</v>
      </c>
      <c r="J885" t="str">
        <f>IFERROR(__xludf.DUMMYFUNCTION("""COMPUTED_VALUE"""),"เถียน")</f>
        <v>เถียน</v>
      </c>
      <c r="K885" t="str">
        <f>IFERROR(__xludf.DUMMYFUNCTION("""COMPUTED_VALUE"""),"ยศวริศ เถียน")</f>
        <v>ยศวริศ เถียน</v>
      </c>
      <c r="L885" t="str">
        <f>IFERROR(__xludf.DUMMYFUNCTION("""COMPUTED_VALUE"""),"Purn / ปืน")</f>
        <v>Purn / ปืน</v>
      </c>
      <c r="M885" t="str">
        <f>IFERROR(__xludf.DUMMYFUNCTION("""COMPUTED_VALUE"""),"Cabin Crew")</f>
        <v>Cabin Crew</v>
      </c>
      <c r="N885" t="str">
        <f>IFERROR(__xludf.DUMMYFUNCTION("""COMPUTED_VALUE"""),"DMK")</f>
        <v>DMK</v>
      </c>
      <c r="O885" s="145" t="str">
        <f>IFERROR(__xludf.DUMMYFUNCTION("""COMPUTED_VALUE"""),"Nhui Home")</f>
        <v>Nhui Home</v>
      </c>
      <c r="P885" t="str">
        <f>IFERROR(__xludf.DUMMYFUNCTION("""COMPUTED_VALUE"""),"Active")</f>
        <v>Active</v>
      </c>
      <c r="R885" s="143">
        <f>IFERROR(__xludf.DUMMYFUNCTION("""COMPUTED_VALUE"""),33500.0)</f>
        <v>33500</v>
      </c>
      <c r="S885" s="146" t="str">
        <f>IFERROR(__xludf.DUMMYFUNCTION("""COMPUTED_VALUE"""),"08-7768321-0")</f>
        <v>08-7768321-0</v>
      </c>
      <c r="T885" s="147" t="str">
        <f>IFERROR(__xludf.DUMMYFUNCTION("""COMPUTED_VALUE"""),"5103300-00-6074")</f>
        <v>5103300-00-6074</v>
      </c>
      <c r="U885" t="str">
        <f>IFERROR(__xludf.DUMMYFUNCTION("""COMPUTED_VALUE"""),"AD1953861")</f>
        <v>AD1953861</v>
      </c>
      <c r="V885" s="148">
        <f>IFERROR(__xludf.DUMMYFUNCTION("""COMPUTED_VALUE"""),45499.0)</f>
        <v>45499</v>
      </c>
      <c r="W885" s="148">
        <f>IFERROR(__xludf.DUMMYFUNCTION("""COMPUTED_VALUE"""),49150.0)</f>
        <v>49150</v>
      </c>
      <c r="X885" s="149">
        <f>IFERROR(__xludf.DUMMYFUNCTION("""COMPUTED_VALUE"""),48969.0)</f>
        <v>48969</v>
      </c>
      <c r="Y885" t="str">
        <f>IFERROR(__xludf.DUMMYFUNCTION("""COMPUTED_VALUE"""),"ปลอดภัย")</f>
        <v>ปลอดภัย</v>
      </c>
      <c r="Z885" t="str">
        <f>IFERROR(__xludf.DUMMYFUNCTION("""COMPUTED_VALUE"""),"Bangkok")</f>
        <v>Bangkok</v>
      </c>
      <c r="AA885" t="str">
        <f>IFERROR(__xludf.DUMMYFUNCTION("""COMPUTED_VALUE"""),"Bangkok")</f>
        <v>Bangkok</v>
      </c>
      <c r="AB885" t="str">
        <f>IFERROR(__xludf.DUMMYFUNCTION("""COMPUTED_VALUE"""),"081-465-4545")</f>
        <v>081-465-4545</v>
      </c>
      <c r="AC885" t="str">
        <f>IFERROR(__xludf.DUMMYFUNCTION("""COMPUTED_VALUE"""),"Naphak Phattharavimon (Father)")</f>
        <v>Naphak Phattharavimon (Father)</v>
      </c>
      <c r="AD885" t="str">
        <f>IFERROR(__xludf.DUMMYFUNCTION("""COMPUTED_VALUE"""),"yossavaridt@airasia.com")</f>
        <v>yossavaridt@airasia.com</v>
      </c>
    </row>
    <row r="886">
      <c r="AD886" t="str">
        <f>IFERROR(__xludf.DUMMYFUNCTION("""COMPUTED_VALUE"""),"")</f>
        <v/>
      </c>
    </row>
    <row r="887">
      <c r="A887" s="142">
        <f>IFERROR(__xludf.DUMMYFUNCTION("""COMPUTED_VALUE"""),94.0)</f>
        <v>94</v>
      </c>
      <c r="B887" t="str">
        <f>IFERROR(__xludf.DUMMYFUNCTION("""COMPUTED_VALUE"""),"TAA3783")</f>
        <v>TAA3783</v>
      </c>
      <c r="C887">
        <f>IFERROR(__xludf.DUMMYFUNCTION("""COMPUTED_VALUE"""),1005817.0)</f>
        <v>1005817</v>
      </c>
      <c r="D887" t="str">
        <f>IFERROR(__xludf.DUMMYFUNCTION("""COMPUTED_VALUE"""),"Mr.")</f>
        <v>Mr.</v>
      </c>
      <c r="E887" t="str">
        <f>IFERROR(__xludf.DUMMYFUNCTION("""COMPUTED_VALUE"""),"Natdanai")</f>
        <v>Natdanai</v>
      </c>
      <c r="F887" t="str">
        <f>IFERROR(__xludf.DUMMYFUNCTION("""COMPUTED_VALUE"""),"Kingsawat")</f>
        <v>Kingsawat</v>
      </c>
      <c r="G887" t="str">
        <f>IFERROR(__xludf.DUMMYFUNCTION("""COMPUTED_VALUE"""),"Natdanai Kingsawat")</f>
        <v>Natdanai Kingsawat</v>
      </c>
      <c r="H887" t="str">
        <f>IFERROR(__xludf.DUMMYFUNCTION("""COMPUTED_VALUE"""),"นาย")</f>
        <v>นาย</v>
      </c>
      <c r="I887" t="str">
        <f>IFERROR(__xludf.DUMMYFUNCTION("""COMPUTED_VALUE"""),"ณัฏฐ์ดนัย")</f>
        <v>ณัฏฐ์ดนัย</v>
      </c>
      <c r="J887" t="str">
        <f>IFERROR(__xludf.DUMMYFUNCTION("""COMPUTED_VALUE"""),"กิ่งสวัสดิ์")</f>
        <v>กิ่งสวัสดิ์</v>
      </c>
      <c r="K887" t="str">
        <f>IFERROR(__xludf.DUMMYFUNCTION("""COMPUTED_VALUE"""),"ณัฏฐ์ดนัย กิ่งสวัสดิ์")</f>
        <v>ณัฏฐ์ดนัย กิ่งสวัสดิ์</v>
      </c>
      <c r="L887" t="str">
        <f>IFERROR(__xludf.DUMMYFUNCTION("""COMPUTED_VALUE"""),"ณัฏฐ์/Nat")</f>
        <v>ณัฏฐ์/Nat</v>
      </c>
      <c r="M887" t="str">
        <f>IFERROR(__xludf.DUMMYFUNCTION("""COMPUTED_VALUE"""),"Cabin Crew - BKK")</f>
        <v>Cabin Crew - BKK</v>
      </c>
      <c r="N887" t="str">
        <f>IFERROR(__xludf.DUMMYFUNCTION("""COMPUTED_VALUE"""),"BKK")</f>
        <v>BKK</v>
      </c>
      <c r="O887" s="145" t="str">
        <f>IFERROR(__xludf.DUMMYFUNCTION("""COMPUTED_VALUE"""),"Nhui Home")</f>
        <v>Nhui Home</v>
      </c>
      <c r="P887" t="str">
        <f>IFERROR(__xludf.DUMMYFUNCTION("""COMPUTED_VALUE"""),"Active")</f>
        <v>Active</v>
      </c>
      <c r="R887" s="143">
        <f>IFERROR(__xludf.DUMMYFUNCTION("""COMPUTED_VALUE"""),33212.0)</f>
        <v>33212</v>
      </c>
      <c r="S887" s="146">
        <f>IFERROR(__xludf.DUMMYFUNCTION("""COMPUTED_VALUE"""),9.53989369E8)</f>
        <v>953989369</v>
      </c>
      <c r="T887" s="147" t="str">
        <f>IFERROR(__xludf.DUMMYFUNCTION("""COMPUTED_VALUE"""),"1102001-45-0165")</f>
        <v>1102001-45-0165</v>
      </c>
      <c r="U887" t="str">
        <f>IFERROR(__xludf.DUMMYFUNCTION("""COMPUTED_VALUE"""),"AC4451640")</f>
        <v>AC4451640</v>
      </c>
      <c r="V887" s="148">
        <f>IFERROR(__xludf.DUMMYFUNCTION("""COMPUTED_VALUE"""),44963.0)</f>
        <v>44963</v>
      </c>
      <c r="W887" s="148">
        <f>IFERROR(__xludf.DUMMYFUNCTION("""COMPUTED_VALUE"""),48615.0)</f>
        <v>48615</v>
      </c>
      <c r="X887" s="149">
        <f>IFERROR(__xludf.DUMMYFUNCTION("""COMPUTED_VALUE"""),48431.0)</f>
        <v>48431</v>
      </c>
      <c r="Y887" t="str">
        <f>IFERROR(__xludf.DUMMYFUNCTION("""COMPUTED_VALUE"""),"ปลอดภัย")</f>
        <v>ปลอดภัย</v>
      </c>
      <c r="Z887" t="str">
        <f>IFERROR(__xludf.DUMMYFUNCTION("""COMPUTED_VALUE"""),"Bangkok")</f>
        <v>Bangkok</v>
      </c>
      <c r="AA887" t="str">
        <f>IFERROR(__xludf.DUMMYFUNCTION("""COMPUTED_VALUE"""),"Samutprakarn")</f>
        <v>Samutprakarn</v>
      </c>
      <c r="AB887" t="str">
        <f>IFERROR(__xludf.DUMMYFUNCTION("""COMPUTED_VALUE"""),"086-762-1260")</f>
        <v>086-762-1260</v>
      </c>
      <c r="AC887" t="str">
        <f>IFERROR(__xludf.DUMMYFUNCTION("""COMPUTED_VALUE"""),"Sirinan Kingsawat (Mother)")</f>
        <v>Sirinan Kingsawat (Mother)</v>
      </c>
      <c r="AD887" t="str">
        <f>IFERROR(__xludf.DUMMYFUNCTION("""COMPUTED_VALUE"""),"natdanaik@airasia.com")</f>
        <v>natdanaik@airasia.com</v>
      </c>
    </row>
    <row r="888">
      <c r="A888" s="142">
        <f>IFERROR(__xludf.DUMMYFUNCTION("""COMPUTED_VALUE"""),94.0)</f>
        <v>94</v>
      </c>
      <c r="B888" t="str">
        <f>IFERROR(__xludf.DUMMYFUNCTION("""COMPUTED_VALUE"""),"TAA5068")</f>
        <v>TAA5068</v>
      </c>
      <c r="C888">
        <f>IFERROR(__xludf.DUMMYFUNCTION("""COMPUTED_VALUE"""),1008230.0)</f>
        <v>1008230</v>
      </c>
      <c r="D888" t="str">
        <f>IFERROR(__xludf.DUMMYFUNCTION("""COMPUTED_VALUE"""),"Mrs.")</f>
        <v>Mrs.</v>
      </c>
      <c r="E888" t="str">
        <f>IFERROR(__xludf.DUMMYFUNCTION("""COMPUTED_VALUE"""),"Narinrat (Saranphon)")</f>
        <v>Narinrat (Saranphon)</v>
      </c>
      <c r="F888" t="str">
        <f>IFERROR(__xludf.DUMMYFUNCTION("""COMPUTED_VALUE"""),"Khoojaroenpaisan (Sripattana)")</f>
        <v>Khoojaroenpaisan (Sripattana)</v>
      </c>
      <c r="G888" t="str">
        <f>IFERROR(__xludf.DUMMYFUNCTION("""COMPUTED_VALUE"""),"Narinrat Khoojaroenpaisan")</f>
        <v>Narinrat Khoojaroenpaisan</v>
      </c>
      <c r="H888" t="str">
        <f>IFERROR(__xludf.DUMMYFUNCTION("""COMPUTED_VALUE"""),"นาง")</f>
        <v>นาง</v>
      </c>
      <c r="I888" t="str">
        <f>IFERROR(__xludf.DUMMYFUNCTION("""COMPUTED_VALUE"""),"นรินทร์รัชต์ (ศรัญย์พร)")</f>
        <v>นรินทร์รัชต์ (ศรัญย์พร)</v>
      </c>
      <c r="J888" t="str">
        <f>IFERROR(__xludf.DUMMYFUNCTION("""COMPUTED_VALUE"""),"คูเจริญไพศาล (ศรีพัฒนา)")</f>
        <v>คูเจริญไพศาล (ศรีพัฒนา)</v>
      </c>
      <c r="K888" t="str">
        <f>IFERROR(__xludf.DUMMYFUNCTION("""COMPUTED_VALUE"""),"นรินทร์รัชต์ คูเจริญไพศาล")</f>
        <v>นรินทร์รัชต์ คูเจริญไพศาล</v>
      </c>
      <c r="L888" t="str">
        <f>IFERROR(__xludf.DUMMYFUNCTION("""COMPUTED_VALUE"""),"แมงปอ/Mangpor")</f>
        <v>แมงปอ/Mangpor</v>
      </c>
      <c r="M888" t="str">
        <f>IFERROR(__xludf.DUMMYFUNCTION("""COMPUTED_VALUE"""),"Cabin Crew")</f>
        <v>Cabin Crew</v>
      </c>
      <c r="N888" t="str">
        <f>IFERROR(__xludf.DUMMYFUNCTION("""COMPUTED_VALUE"""),"DMK")</f>
        <v>DMK</v>
      </c>
      <c r="O888" s="145" t="str">
        <f>IFERROR(__xludf.DUMMYFUNCTION("""COMPUTED_VALUE"""),"Up Home")</f>
        <v>Up Home</v>
      </c>
      <c r="P888" t="str">
        <f>IFERROR(__xludf.DUMMYFUNCTION("""COMPUTED_VALUE"""),"Active")</f>
        <v>Active</v>
      </c>
      <c r="R888" s="143">
        <f>IFERROR(__xludf.DUMMYFUNCTION("""COMPUTED_VALUE"""),34097.0)</f>
        <v>34097</v>
      </c>
      <c r="S888" s="146" t="str">
        <f>IFERROR(__xludf.DUMMYFUNCTION("""COMPUTED_VALUE"""),"086-243-7823")</f>
        <v>086-243-7823</v>
      </c>
      <c r="T888" s="147" t="str">
        <f>IFERROR(__xludf.DUMMYFUNCTION("""COMPUTED_VALUE"""),"1199900-37-8358")</f>
        <v>1199900-37-8358</v>
      </c>
      <c r="U888" t="str">
        <f>IFERROR(__xludf.DUMMYFUNCTION("""COMPUTED_VALUE"""),"AD1176628")</f>
        <v>AD1176628</v>
      </c>
      <c r="V888" s="148">
        <f>IFERROR(__xludf.DUMMYFUNCTION("""COMPUTED_VALUE"""),45205.0)</f>
        <v>45205</v>
      </c>
      <c r="W888" s="148">
        <f>IFERROR(__xludf.DUMMYFUNCTION("""COMPUTED_VALUE"""),48857.0)</f>
        <v>48857</v>
      </c>
      <c r="X888" s="149">
        <f>IFERROR(__xludf.DUMMYFUNCTION("""COMPUTED_VALUE"""),48674.0)</f>
        <v>48674</v>
      </c>
      <c r="Y888" t="str">
        <f>IFERROR(__xludf.DUMMYFUNCTION("""COMPUTED_VALUE"""),"ปลอดภัย")</f>
        <v>ปลอดภัย</v>
      </c>
      <c r="Z888" t="str">
        <f>IFERROR(__xludf.DUMMYFUNCTION("""COMPUTED_VALUE"""),"Saraburi Province")</f>
        <v>Saraburi Province</v>
      </c>
      <c r="AA888" t="str">
        <f>IFERROR(__xludf.DUMMYFUNCTION("""COMPUTED_VALUE"""),"Bangkok")</f>
        <v>Bangkok</v>
      </c>
      <c r="AB888" t="str">
        <f>IFERROR(__xludf.DUMMYFUNCTION("""COMPUTED_VALUE"""),"086 245 2169")</f>
        <v>086 245 2169</v>
      </c>
      <c r="AC888" t="str">
        <f>IFERROR(__xludf.DUMMYFUNCTION("""COMPUTED_VALUE"""),"Churiwan Thapsungnoen (Mother)")</f>
        <v>Churiwan Thapsungnoen (Mother)</v>
      </c>
      <c r="AD888" t="str">
        <f>IFERROR(__xludf.DUMMYFUNCTION("""COMPUTED_VALUE"""),"narinratk@airasia.com")</f>
        <v>narinratk@airasia.com</v>
      </c>
    </row>
    <row r="889">
      <c r="A889" s="142">
        <f>IFERROR(__xludf.DUMMYFUNCTION("""COMPUTED_VALUE"""),94.0)</f>
        <v>94</v>
      </c>
      <c r="B889" t="str">
        <f>IFERROR(__xludf.DUMMYFUNCTION("""COMPUTED_VALUE"""),"TAA5552")</f>
        <v>TAA5552</v>
      </c>
      <c r="C889">
        <f>IFERROR(__xludf.DUMMYFUNCTION("""COMPUTED_VALUE"""),1010721.0)</f>
        <v>1010721</v>
      </c>
      <c r="D889" t="str">
        <f>IFERROR(__xludf.DUMMYFUNCTION("""COMPUTED_VALUE"""),"Ms.")</f>
        <v>Ms.</v>
      </c>
      <c r="E889" t="str">
        <f>IFERROR(__xludf.DUMMYFUNCTION("""COMPUTED_VALUE"""),"Papitchaya")</f>
        <v>Papitchaya</v>
      </c>
      <c r="F889" t="str">
        <f>IFERROR(__xludf.DUMMYFUNCTION("""COMPUTED_VALUE"""),"Saytasuhat")</f>
        <v>Saytasuhat</v>
      </c>
      <c r="G889" t="str">
        <f>IFERROR(__xludf.DUMMYFUNCTION("""COMPUTED_VALUE"""),"Papitchaya Saytasuhat")</f>
        <v>Papitchaya Saytasuhat</v>
      </c>
      <c r="H889" t="str">
        <f>IFERROR(__xludf.DUMMYFUNCTION("""COMPUTED_VALUE"""),"นางสาว")</f>
        <v>นางสาว</v>
      </c>
      <c r="I889" t="str">
        <f>IFERROR(__xludf.DUMMYFUNCTION("""COMPUTED_VALUE"""),"ปพิชญา")</f>
        <v>ปพิชญา</v>
      </c>
      <c r="J889" t="str">
        <f>IFERROR(__xludf.DUMMYFUNCTION("""COMPUTED_VALUE"""),"เสตะสุหัท")</f>
        <v>เสตะสุหัท</v>
      </c>
      <c r="K889" t="str">
        <f>IFERROR(__xludf.DUMMYFUNCTION("""COMPUTED_VALUE"""),"ปพิชญา เสตะสุหัท")</f>
        <v>ปพิชญา เสตะสุหัท</v>
      </c>
      <c r="L889" t="str">
        <f>IFERROR(__xludf.DUMMYFUNCTION("""COMPUTED_VALUE"""),"กิ่ง/Ging")</f>
        <v>กิ่ง/Ging</v>
      </c>
      <c r="M889" t="str">
        <f>IFERROR(__xludf.DUMMYFUNCTION("""COMPUTED_VALUE"""),"Cabin Crew")</f>
        <v>Cabin Crew</v>
      </c>
      <c r="N889" t="str">
        <f>IFERROR(__xludf.DUMMYFUNCTION("""COMPUTED_VALUE"""),"DMK")</f>
        <v>DMK</v>
      </c>
      <c r="O889" s="145" t="str">
        <f>IFERROR(__xludf.DUMMYFUNCTION("""COMPUTED_VALUE"""),"Namfon Home")</f>
        <v>Namfon Home</v>
      </c>
      <c r="P889" t="str">
        <f>IFERROR(__xludf.DUMMYFUNCTION("""COMPUTED_VALUE"""),"Active")</f>
        <v>Active</v>
      </c>
      <c r="R889" s="143">
        <f>IFERROR(__xludf.DUMMYFUNCTION("""COMPUTED_VALUE"""),33729.0)</f>
        <v>33729</v>
      </c>
      <c r="S889" s="146" t="str">
        <f>IFERROR(__xludf.DUMMYFUNCTION("""COMPUTED_VALUE"""),"086-376-5352")</f>
        <v>086-376-5352</v>
      </c>
      <c r="T889" s="147" t="str">
        <f>IFERROR(__xludf.DUMMYFUNCTION("""COMPUTED_VALUE"""),"1100500-72-9961")</f>
        <v>1100500-72-9961</v>
      </c>
      <c r="U889" t="str">
        <f>IFERROR(__xludf.DUMMYFUNCTION("""COMPUTED_VALUE"""),"AC4532541")</f>
        <v>AC4532541</v>
      </c>
      <c r="V889" s="148">
        <f>IFERROR(__xludf.DUMMYFUNCTION("""COMPUTED_VALUE"""),44983.0)</f>
        <v>44983</v>
      </c>
      <c r="W889" s="148">
        <f>IFERROR(__xludf.DUMMYFUNCTION("""COMPUTED_VALUE"""),48635.0)</f>
        <v>48635</v>
      </c>
      <c r="X889" s="149">
        <f>IFERROR(__xludf.DUMMYFUNCTION("""COMPUTED_VALUE"""),48451.0)</f>
        <v>48451</v>
      </c>
      <c r="Y889" t="str">
        <f>IFERROR(__xludf.DUMMYFUNCTION("""COMPUTED_VALUE"""),"ปลอดภัย")</f>
        <v>ปลอดภัย</v>
      </c>
      <c r="Z889" t="str">
        <f>IFERROR(__xludf.DUMMYFUNCTION("""COMPUTED_VALUE"""),"Bangkok")</f>
        <v>Bangkok</v>
      </c>
      <c r="AA889" t="str">
        <f>IFERROR(__xludf.DUMMYFUNCTION("""COMPUTED_VALUE"""),"Pathumtani")</f>
        <v>Pathumtani</v>
      </c>
      <c r="AB889" t="str">
        <f>IFERROR(__xludf.DUMMYFUNCTION("""COMPUTED_VALUE"""),"‭089-498-2245‬")</f>
        <v>‭089-498-2245‬</v>
      </c>
      <c r="AC889" t="str">
        <f>IFERROR(__xludf.DUMMYFUNCTION("""COMPUTED_VALUE"""),"Sureewan Khuappimai (Mother)")</f>
        <v>Sureewan Khuappimai (Mother)</v>
      </c>
      <c r="AD889" t="str">
        <f>IFERROR(__xludf.DUMMYFUNCTION("""COMPUTED_VALUE"""),"papitchayas@airasia.com")</f>
        <v>papitchayas@airasia.com</v>
      </c>
    </row>
    <row r="890">
      <c r="A890" s="142">
        <f>IFERROR(__xludf.DUMMYFUNCTION("""COMPUTED_VALUE"""),94.0)</f>
        <v>94</v>
      </c>
      <c r="B890" t="str">
        <f>IFERROR(__xludf.DUMMYFUNCTION("""COMPUTED_VALUE"""),"TAA6146")</f>
        <v>TAA6146</v>
      </c>
      <c r="C890">
        <f>IFERROR(__xludf.DUMMYFUNCTION("""COMPUTED_VALUE"""),1011710.0)</f>
        <v>1011710</v>
      </c>
      <c r="D890" t="str">
        <f>IFERROR(__xludf.DUMMYFUNCTION("""COMPUTED_VALUE"""),"Ms.")</f>
        <v>Ms.</v>
      </c>
      <c r="E890" t="str">
        <f>IFERROR(__xludf.DUMMYFUNCTION("""COMPUTED_VALUE"""),"Satchaporn")</f>
        <v>Satchaporn</v>
      </c>
      <c r="F890" t="str">
        <f>IFERROR(__xludf.DUMMYFUNCTION("""COMPUTED_VALUE"""),"Sriroy")</f>
        <v>Sriroy</v>
      </c>
      <c r="G890" t="str">
        <f>IFERROR(__xludf.DUMMYFUNCTION("""COMPUTED_VALUE"""),"Satchaporn Sriroy")</f>
        <v>Satchaporn Sriroy</v>
      </c>
      <c r="H890" t="str">
        <f>IFERROR(__xludf.DUMMYFUNCTION("""COMPUTED_VALUE"""),"นางสาว")</f>
        <v>นางสาว</v>
      </c>
      <c r="I890" t="str">
        <f>IFERROR(__xludf.DUMMYFUNCTION("""COMPUTED_VALUE"""),"สัจจาพร")</f>
        <v>สัจจาพร</v>
      </c>
      <c r="J890" t="str">
        <f>IFERROR(__xludf.DUMMYFUNCTION("""COMPUTED_VALUE"""),"ศรีโรย")</f>
        <v>ศรีโรย</v>
      </c>
      <c r="K890" t="str">
        <f>IFERROR(__xludf.DUMMYFUNCTION("""COMPUTED_VALUE"""),"สัจจาพร ศรีโรย")</f>
        <v>สัจจาพร ศรีโรย</v>
      </c>
      <c r="L890" t="str">
        <f>IFERROR(__xludf.DUMMYFUNCTION("""COMPUTED_VALUE"""),"อีฟ/Eve")</f>
        <v>อีฟ/Eve</v>
      </c>
      <c r="M890" t="str">
        <f>IFERROR(__xludf.DUMMYFUNCTION("""COMPUTED_VALUE"""),"Cabin Crew - CNX")</f>
        <v>Cabin Crew - CNX</v>
      </c>
      <c r="N890" t="str">
        <f>IFERROR(__xludf.DUMMYFUNCTION("""COMPUTED_VALUE"""),"CNX")</f>
        <v>CNX</v>
      </c>
      <c r="O890" s="145" t="str">
        <f>IFERROR(__xludf.DUMMYFUNCTION("""COMPUTED_VALUE"""),"Up Home")</f>
        <v>Up Home</v>
      </c>
      <c r="P890" t="str">
        <f>IFERROR(__xludf.DUMMYFUNCTION("""COMPUTED_VALUE"""),"Active")</f>
        <v>Active</v>
      </c>
      <c r="R890" s="143">
        <f>IFERROR(__xludf.DUMMYFUNCTION("""COMPUTED_VALUE"""),32947.0)</f>
        <v>32947</v>
      </c>
      <c r="S890" s="146" t="str">
        <f>IFERROR(__xludf.DUMMYFUNCTION("""COMPUTED_VALUE"""),"064-515-6558")</f>
        <v>064-515-6558</v>
      </c>
      <c r="T890" s="147" t="str">
        <f>IFERROR(__xludf.DUMMYFUNCTION("""COMPUTED_VALUE"""),"1509900-84-3359")</f>
        <v>1509900-84-3359</v>
      </c>
      <c r="U890" t="str">
        <f>IFERROR(__xludf.DUMMYFUNCTION("""COMPUTED_VALUE"""),"AC2476753")</f>
        <v>AC2476753</v>
      </c>
      <c r="V890" s="148">
        <f>IFERROR(__xludf.DUMMYFUNCTION("""COMPUTED_VALUE"""),44498.0)</f>
        <v>44498</v>
      </c>
      <c r="W890" s="148">
        <f>IFERROR(__xludf.DUMMYFUNCTION("""COMPUTED_VALUE"""),48149.0)</f>
        <v>48149</v>
      </c>
      <c r="X890" s="149">
        <f>IFERROR(__xludf.DUMMYFUNCTION("""COMPUTED_VALUE"""),47966.0)</f>
        <v>47966</v>
      </c>
      <c r="Y890" t="str">
        <f>IFERROR(__xludf.DUMMYFUNCTION("""COMPUTED_VALUE"""),"ปลอดภัย")</f>
        <v>ปลอดภัย</v>
      </c>
      <c r="Z890" t="str">
        <f>IFERROR(__xludf.DUMMYFUNCTION("""COMPUTED_VALUE"""),"Chiang Mai Province")</f>
        <v>Chiang Mai Province</v>
      </c>
      <c r="AA890" t="str">
        <f>IFERROR(__xludf.DUMMYFUNCTION("""COMPUTED_VALUE"""),"Chiang Mai")</f>
        <v>Chiang Mai</v>
      </c>
      <c r="AB890" t="str">
        <f>IFERROR(__xludf.DUMMYFUNCTION("""COMPUTED_VALUE"""),"099-296-9919")</f>
        <v>099-296-9919</v>
      </c>
      <c r="AC890" t="str">
        <f>IFERROR(__xludf.DUMMYFUNCTION("""COMPUTED_VALUE"""),"Orawan Sriroy (Mother)")</f>
        <v>Orawan Sriroy (Mother)</v>
      </c>
      <c r="AD890" t="str">
        <f>IFERROR(__xludf.DUMMYFUNCTION("""COMPUTED_VALUE"""),"satchaporns@airasia.com")</f>
        <v>satchaporns@airasia.com</v>
      </c>
    </row>
    <row r="891">
      <c r="A891" s="142">
        <f>IFERROR(__xludf.DUMMYFUNCTION("""COMPUTED_VALUE"""),94.0)</f>
        <v>94</v>
      </c>
      <c r="C891">
        <f>IFERROR(__xludf.DUMMYFUNCTION("""COMPUTED_VALUE"""),1022212.0)</f>
        <v>1022212</v>
      </c>
      <c r="D891" t="str">
        <f>IFERROR(__xludf.DUMMYFUNCTION("""COMPUTED_VALUE"""),"Ms.")</f>
        <v>Ms.</v>
      </c>
      <c r="E891" t="str">
        <f>IFERROR(__xludf.DUMMYFUNCTION("""COMPUTED_VALUE"""),"Patcharamon")</f>
        <v>Patcharamon</v>
      </c>
      <c r="F891" t="str">
        <f>IFERROR(__xludf.DUMMYFUNCTION("""COMPUTED_VALUE"""),"Vipatanawin")</f>
        <v>Vipatanawin</v>
      </c>
      <c r="G891" t="str">
        <f>IFERROR(__xludf.DUMMYFUNCTION("""COMPUTED_VALUE"""),"Patcharamon Vipatanawin")</f>
        <v>Patcharamon Vipatanawin</v>
      </c>
      <c r="H891" t="str">
        <f>IFERROR(__xludf.DUMMYFUNCTION("""COMPUTED_VALUE"""),"นางสาว")</f>
        <v>นางสาว</v>
      </c>
      <c r="I891" t="str">
        <f>IFERROR(__xludf.DUMMYFUNCTION("""COMPUTED_VALUE"""),"พชรมน")</f>
        <v>พชรมน</v>
      </c>
      <c r="J891" t="str">
        <f>IFERROR(__xludf.DUMMYFUNCTION("""COMPUTED_VALUE"""),"วิภาตนาวิน")</f>
        <v>วิภาตนาวิน</v>
      </c>
      <c r="K891" t="str">
        <f>IFERROR(__xludf.DUMMYFUNCTION("""COMPUTED_VALUE"""),"พชรมน วิภาตนาวิน")</f>
        <v>พชรมน วิภาตนาวิน</v>
      </c>
      <c r="L891" t="str">
        <f>IFERROR(__xludf.DUMMYFUNCTION("""COMPUTED_VALUE"""),"อาย/Eye")</f>
        <v>อาย/Eye</v>
      </c>
      <c r="M891" t="str">
        <f>IFERROR(__xludf.DUMMYFUNCTION("""COMPUTED_VALUE"""),"Cabin Crew")</f>
        <v>Cabin Crew</v>
      </c>
      <c r="N891" t="str">
        <f>IFERROR(__xludf.DUMMYFUNCTION("""COMPUTED_VALUE"""),"DMK")</f>
        <v>DMK</v>
      </c>
      <c r="O891" s="145" t="str">
        <f>IFERROR(__xludf.DUMMYFUNCTION("""COMPUTED_VALUE"""),"Up Home")</f>
        <v>Up Home</v>
      </c>
      <c r="P891" t="str">
        <f>IFERROR(__xludf.DUMMYFUNCTION("""COMPUTED_VALUE"""),"Active")</f>
        <v>Active</v>
      </c>
      <c r="R891" s="143">
        <f>IFERROR(__xludf.DUMMYFUNCTION("""COMPUTED_VALUE"""),34127.0)</f>
        <v>34127</v>
      </c>
      <c r="S891" s="146" t="str">
        <f>IFERROR(__xludf.DUMMYFUNCTION("""COMPUTED_VALUE"""),"097-953-2479")</f>
        <v>097-953-2479</v>
      </c>
      <c r="T891" s="147" t="str">
        <f>IFERROR(__xludf.DUMMYFUNCTION("""COMPUTED_VALUE"""),"1102001-93-3328")</f>
        <v>1102001-93-3328</v>
      </c>
      <c r="U891" t="str">
        <f>IFERROR(__xludf.DUMMYFUNCTION("""COMPUTED_VALUE"""),"AC2624219")</f>
        <v>AC2624219</v>
      </c>
      <c r="V891" s="148">
        <f>IFERROR(__xludf.DUMMYFUNCTION("""COMPUTED_VALUE"""),44546.0)</f>
        <v>44546</v>
      </c>
      <c r="W891" s="148">
        <f>IFERROR(__xludf.DUMMYFUNCTION("""COMPUTED_VALUE"""),48197.0)</f>
        <v>48197</v>
      </c>
      <c r="X891" s="149">
        <f>IFERROR(__xludf.DUMMYFUNCTION("""COMPUTED_VALUE"""),48014.0)</f>
        <v>48014</v>
      </c>
      <c r="Y891" t="str">
        <f>IFERROR(__xludf.DUMMYFUNCTION("""COMPUTED_VALUE"""),"ปลอดภัย")</f>
        <v>ปลอดภัย</v>
      </c>
      <c r="Z891" t="str">
        <f>IFERROR(__xludf.DUMMYFUNCTION("""COMPUTED_VALUE"""),"Bangkok")</f>
        <v>Bangkok</v>
      </c>
      <c r="AA891" t="str">
        <f>IFERROR(__xludf.DUMMYFUNCTION("""COMPUTED_VALUE"""),"Bangkok")</f>
        <v>Bangkok</v>
      </c>
      <c r="AB891" t="str">
        <f>IFERROR(__xludf.DUMMYFUNCTION("""COMPUTED_VALUE"""),"081 843 4131")</f>
        <v>081 843 4131</v>
      </c>
      <c r="AC891" t="str">
        <f>IFERROR(__xludf.DUMMYFUNCTION("""COMPUTED_VALUE"""),"Udomluck Vipatanawin (Mother)")</f>
        <v>Udomluck Vipatanawin (Mother)</v>
      </c>
      <c r="AD891" t="str">
        <f>IFERROR(__xludf.DUMMYFUNCTION("""COMPUTED_VALUE"""),"patcharamonvipatana@airasia.com")</f>
        <v>patcharamonvipatana@airasia.com</v>
      </c>
    </row>
    <row r="892">
      <c r="A892" s="142">
        <f>IFERROR(__xludf.DUMMYFUNCTION("""COMPUTED_VALUE"""),94.0)</f>
        <v>94</v>
      </c>
      <c r="C892">
        <f>IFERROR(__xludf.DUMMYFUNCTION("""COMPUTED_VALUE"""),1022214.0)</f>
        <v>1022214</v>
      </c>
      <c r="D892" t="str">
        <f>IFERROR(__xludf.DUMMYFUNCTION("""COMPUTED_VALUE"""),"Mrs.")</f>
        <v>Mrs.</v>
      </c>
      <c r="E892" t="str">
        <f>IFERROR(__xludf.DUMMYFUNCTION("""COMPUTED_VALUE"""),"Siripassorn")</f>
        <v>Siripassorn</v>
      </c>
      <c r="F892" t="str">
        <f>IFERROR(__xludf.DUMMYFUNCTION("""COMPUTED_VALUE"""),"Lerdnitirungrit (Liangpanit)")</f>
        <v>Lerdnitirungrit (Liangpanit)</v>
      </c>
      <c r="G892" t="str">
        <f>IFERROR(__xludf.DUMMYFUNCTION("""COMPUTED_VALUE"""),"Siripassorn Lerdnitirungrit")</f>
        <v>Siripassorn Lerdnitirungrit</v>
      </c>
      <c r="H892" t="str">
        <f>IFERROR(__xludf.DUMMYFUNCTION("""COMPUTED_VALUE"""),"นาง")</f>
        <v>นาง</v>
      </c>
      <c r="I892" t="str">
        <f>IFERROR(__xludf.DUMMYFUNCTION("""COMPUTED_VALUE"""),"ศิริภัสสร")</f>
        <v>ศิริภัสสร</v>
      </c>
      <c r="J892" t="str">
        <f>IFERROR(__xludf.DUMMYFUNCTION("""COMPUTED_VALUE"""),"เลิศนิธิรุ่งฤทธิ์ (เหลียงพานิช)")</f>
        <v>เลิศนิธิรุ่งฤทธิ์ (เหลียงพานิช)</v>
      </c>
      <c r="K892" t="str">
        <f>IFERROR(__xludf.DUMMYFUNCTION("""COMPUTED_VALUE"""),"ศิริภัสสร เลิศนิธิรุ่งฤทธิ์")</f>
        <v>ศิริภัสสร เลิศนิธิรุ่งฤทธิ์</v>
      </c>
      <c r="L892" t="str">
        <f>IFERROR(__xludf.DUMMYFUNCTION("""COMPUTED_VALUE"""),"มิ้น/Mint")</f>
        <v>มิ้น/Mint</v>
      </c>
      <c r="M892" t="str">
        <f>IFERROR(__xludf.DUMMYFUNCTION("""COMPUTED_VALUE"""),"Cabin Crew")</f>
        <v>Cabin Crew</v>
      </c>
      <c r="N892" t="str">
        <f>IFERROR(__xludf.DUMMYFUNCTION("""COMPUTED_VALUE"""),"DMK")</f>
        <v>DMK</v>
      </c>
      <c r="O892" s="145" t="str">
        <f>IFERROR(__xludf.DUMMYFUNCTION("""COMPUTED_VALUE"""),"Up Home")</f>
        <v>Up Home</v>
      </c>
      <c r="P892" t="str">
        <f>IFERROR(__xludf.DUMMYFUNCTION("""COMPUTED_VALUE"""),"Active")</f>
        <v>Active</v>
      </c>
      <c r="R892" s="143">
        <f>IFERROR(__xludf.DUMMYFUNCTION("""COMPUTED_VALUE"""),32681.0)</f>
        <v>32681</v>
      </c>
      <c r="S892" s="146" t="str">
        <f>IFERROR(__xludf.DUMMYFUNCTION("""COMPUTED_VALUE"""),"097-167-4884")</f>
        <v>097-167-4884</v>
      </c>
      <c r="T892" s="147" t="str">
        <f>IFERROR(__xludf.DUMMYFUNCTION("""COMPUTED_VALUE"""),"1209900-07-1260")</f>
        <v>1209900-07-1260</v>
      </c>
      <c r="U892" t="str">
        <f>IFERROR(__xludf.DUMMYFUNCTION("""COMPUTED_VALUE"""),"AC3711518")</f>
        <v>AC3711518</v>
      </c>
      <c r="V892" s="148">
        <f>IFERROR(__xludf.DUMMYFUNCTION("""COMPUTED_VALUE"""),44781.0)</f>
        <v>44781</v>
      </c>
      <c r="W892" s="148">
        <f>IFERROR(__xludf.DUMMYFUNCTION("""COMPUTED_VALUE"""),48433.0)</f>
        <v>48433</v>
      </c>
      <c r="X892" s="149">
        <f>IFERROR(__xludf.DUMMYFUNCTION("""COMPUTED_VALUE"""),48251.0)</f>
        <v>48251</v>
      </c>
      <c r="Y892" t="str">
        <f>IFERROR(__xludf.DUMMYFUNCTION("""COMPUTED_VALUE"""),"ปลอดภัย")</f>
        <v>ปลอดภัย</v>
      </c>
      <c r="Z892" t="str">
        <f>IFERROR(__xludf.DUMMYFUNCTION("""COMPUTED_VALUE"""),"Chonburi Province")</f>
        <v>Chonburi Province</v>
      </c>
      <c r="AA892" t="str">
        <f>IFERROR(__xludf.DUMMYFUNCTION("""COMPUTED_VALUE"""),"Bangkok")</f>
        <v>Bangkok</v>
      </c>
      <c r="AB892" t="str">
        <f>IFERROR(__xludf.DUMMYFUNCTION("""COMPUTED_VALUE"""),"081-814-4373")</f>
        <v>081-814-4373</v>
      </c>
      <c r="AC892" t="str">
        <f>IFERROR(__xludf.DUMMYFUNCTION("""COMPUTED_VALUE"""),"Pradit Liangpanit (Father)")</f>
        <v>Pradit Liangpanit (Father)</v>
      </c>
      <c r="AD892" t="str">
        <f>IFERROR(__xludf.DUMMYFUNCTION("""COMPUTED_VALUE"""),"siripassornliangpan@airasia.com")</f>
        <v>siripassornliangpan@airasia.com</v>
      </c>
    </row>
    <row r="893">
      <c r="A893" s="142">
        <f>IFERROR(__xludf.DUMMYFUNCTION("""COMPUTED_VALUE"""),94.0)</f>
        <v>94</v>
      </c>
      <c r="C893">
        <f>IFERROR(__xludf.DUMMYFUNCTION("""COMPUTED_VALUE"""),1022215.0)</f>
        <v>1022215</v>
      </c>
      <c r="D893" t="str">
        <f>IFERROR(__xludf.DUMMYFUNCTION("""COMPUTED_VALUE"""),"Ms.")</f>
        <v>Ms.</v>
      </c>
      <c r="E893" t="str">
        <f>IFERROR(__xludf.DUMMYFUNCTION("""COMPUTED_VALUE"""),"Porntida")</f>
        <v>Porntida</v>
      </c>
      <c r="F893" t="str">
        <f>IFERROR(__xludf.DUMMYFUNCTION("""COMPUTED_VALUE"""),"Yuttimi")</f>
        <v>Yuttimi</v>
      </c>
      <c r="G893" t="str">
        <f>IFERROR(__xludf.DUMMYFUNCTION("""COMPUTED_VALUE"""),"Porntida Yuttimi")</f>
        <v>Porntida Yuttimi</v>
      </c>
      <c r="H893" t="str">
        <f>IFERROR(__xludf.DUMMYFUNCTION("""COMPUTED_VALUE"""),"นางสาว")</f>
        <v>นางสาว</v>
      </c>
      <c r="I893" t="str">
        <f>IFERROR(__xludf.DUMMYFUNCTION("""COMPUTED_VALUE"""),"พรธิดา")</f>
        <v>พรธิดา</v>
      </c>
      <c r="J893" t="str">
        <f>IFERROR(__xludf.DUMMYFUNCTION("""COMPUTED_VALUE"""),"ญัติมิ")</f>
        <v>ญัติมิ</v>
      </c>
      <c r="K893" t="str">
        <f>IFERROR(__xludf.DUMMYFUNCTION("""COMPUTED_VALUE"""),"พรธิดา ญัติมิ")</f>
        <v>พรธิดา ญัติมิ</v>
      </c>
      <c r="L893" t="str">
        <f>IFERROR(__xludf.DUMMYFUNCTION("""COMPUTED_VALUE"""),"แอม/Am")</f>
        <v>แอม/Am</v>
      </c>
      <c r="M893" t="str">
        <f>IFERROR(__xludf.DUMMYFUNCTION("""COMPUTED_VALUE"""),"Cabin Crew - BKK")</f>
        <v>Cabin Crew - BKK</v>
      </c>
      <c r="N893" t="str">
        <f>IFERROR(__xludf.DUMMYFUNCTION("""COMPUTED_VALUE"""),"BKK")</f>
        <v>BKK</v>
      </c>
      <c r="O893" s="145" t="str">
        <f>IFERROR(__xludf.DUMMYFUNCTION("""COMPUTED_VALUE"""),"Nhui Home")</f>
        <v>Nhui Home</v>
      </c>
      <c r="P893" t="str">
        <f>IFERROR(__xludf.DUMMYFUNCTION("""COMPUTED_VALUE"""),"Active")</f>
        <v>Active</v>
      </c>
      <c r="R893" s="143">
        <f>IFERROR(__xludf.DUMMYFUNCTION("""COMPUTED_VALUE"""),32633.0)</f>
        <v>32633</v>
      </c>
      <c r="S893" s="146" t="str">
        <f>IFERROR(__xludf.DUMMYFUNCTION("""COMPUTED_VALUE"""),"099-242-9965")</f>
        <v>099-242-9965</v>
      </c>
      <c r="T893" s="147" t="str">
        <f>IFERROR(__xludf.DUMMYFUNCTION("""COMPUTED_VALUE"""),"1929900-18-5587")</f>
        <v>1929900-18-5587</v>
      </c>
      <c r="U893" t="str">
        <f>IFERROR(__xludf.DUMMYFUNCTION("""COMPUTED_VALUE"""),"AC7968661")</f>
        <v>AC7968661</v>
      </c>
      <c r="V893" s="148">
        <f>IFERROR(__xludf.DUMMYFUNCTION("""COMPUTED_VALUE"""),45699.0)</f>
        <v>45699</v>
      </c>
      <c r="W893" s="148">
        <f>IFERROR(__xludf.DUMMYFUNCTION("""COMPUTED_VALUE"""),49350.0)</f>
        <v>49350</v>
      </c>
      <c r="X893" s="149">
        <f>IFERROR(__xludf.DUMMYFUNCTION("""COMPUTED_VALUE"""),49166.0)</f>
        <v>49166</v>
      </c>
      <c r="Y893" t="str">
        <f>IFERROR(__xludf.DUMMYFUNCTION("""COMPUTED_VALUE"""),"ปลอดภัย")</f>
        <v>ปลอดภัย</v>
      </c>
      <c r="Z893" t="str">
        <f>IFERROR(__xludf.DUMMYFUNCTION("""COMPUTED_VALUE"""),"Trang Province")</f>
        <v>Trang Province</v>
      </c>
      <c r="AA893" t="str">
        <f>IFERROR(__xludf.DUMMYFUNCTION("""COMPUTED_VALUE"""),"Bangkok")</f>
        <v>Bangkok</v>
      </c>
      <c r="AB893" t="str">
        <f>IFERROR(__xludf.DUMMYFUNCTION("""COMPUTED_VALUE"""),"089 645 7080")</f>
        <v>089 645 7080</v>
      </c>
      <c r="AC893" t="str">
        <f>IFERROR(__xludf.DUMMYFUNCTION("""COMPUTED_VALUE"""),"Sugunya Yuttimi (Mother)")</f>
        <v>Sugunya Yuttimi (Mother)</v>
      </c>
      <c r="AD893" t="str">
        <f>IFERROR(__xludf.DUMMYFUNCTION("""COMPUTED_VALUE"""),"porntidayuttimi@airasia.com")</f>
        <v>porntidayuttimi@airasia.com</v>
      </c>
    </row>
    <row r="894">
      <c r="A894" s="142">
        <f>IFERROR(__xludf.DUMMYFUNCTION("""COMPUTED_VALUE"""),94.0)</f>
        <v>94</v>
      </c>
      <c r="C894">
        <f>IFERROR(__xludf.DUMMYFUNCTION("""COMPUTED_VALUE"""),1022218.0)</f>
        <v>1022218</v>
      </c>
      <c r="D894" t="str">
        <f>IFERROR(__xludf.DUMMYFUNCTION("""COMPUTED_VALUE"""),"Ms.")</f>
        <v>Ms.</v>
      </c>
      <c r="E894" t="str">
        <f>IFERROR(__xludf.DUMMYFUNCTION("""COMPUTED_VALUE"""),"Pimchai")</f>
        <v>Pimchai</v>
      </c>
      <c r="F894" t="str">
        <f>IFERROR(__xludf.DUMMYFUNCTION("""COMPUTED_VALUE"""),"Supachaiyakij")</f>
        <v>Supachaiyakij</v>
      </c>
      <c r="G894" t="str">
        <f>IFERROR(__xludf.DUMMYFUNCTION("""COMPUTED_VALUE"""),"Pimchai Supachaiyakij")</f>
        <v>Pimchai Supachaiyakij</v>
      </c>
      <c r="H894" t="str">
        <f>IFERROR(__xludf.DUMMYFUNCTION("""COMPUTED_VALUE"""),"นางสาว")</f>
        <v>นางสาว</v>
      </c>
      <c r="I894" t="str">
        <f>IFERROR(__xludf.DUMMYFUNCTION("""COMPUTED_VALUE"""),"พิมพ์ฉาย")</f>
        <v>พิมพ์ฉาย</v>
      </c>
      <c r="J894" t="str">
        <f>IFERROR(__xludf.DUMMYFUNCTION("""COMPUTED_VALUE"""),"สุภาไชยกิจ")</f>
        <v>สุภาไชยกิจ</v>
      </c>
      <c r="K894" t="str">
        <f>IFERROR(__xludf.DUMMYFUNCTION("""COMPUTED_VALUE"""),"พิมพ์ฉาย สุภาไชยกิจ")</f>
        <v>พิมพ์ฉาย สุภาไชยกิจ</v>
      </c>
      <c r="L894" t="str">
        <f>IFERROR(__xludf.DUMMYFUNCTION("""COMPUTED_VALUE"""),"ทิพย์/Tip")</f>
        <v>ทิพย์/Tip</v>
      </c>
      <c r="M894" t="str">
        <f>IFERROR(__xludf.DUMMYFUNCTION("""COMPUTED_VALUE"""),"Cabin Crew")</f>
        <v>Cabin Crew</v>
      </c>
      <c r="N894" t="str">
        <f>IFERROR(__xludf.DUMMYFUNCTION("""COMPUTED_VALUE"""),"DMK")</f>
        <v>DMK</v>
      </c>
      <c r="O894" s="145" t="str">
        <f>IFERROR(__xludf.DUMMYFUNCTION("""COMPUTED_VALUE"""),"Nhui Home")</f>
        <v>Nhui Home</v>
      </c>
      <c r="P894" t="str">
        <f>IFERROR(__xludf.DUMMYFUNCTION("""COMPUTED_VALUE"""),"Active")</f>
        <v>Active</v>
      </c>
      <c r="R894" s="143">
        <f>IFERROR(__xludf.DUMMYFUNCTION("""COMPUTED_VALUE"""),32397.0)</f>
        <v>32397</v>
      </c>
      <c r="S894" s="146" t="str">
        <f>IFERROR(__xludf.DUMMYFUNCTION("""COMPUTED_VALUE"""),"081-705-1933")</f>
        <v>081-705-1933</v>
      </c>
      <c r="T894" s="147" t="str">
        <f>IFERROR(__xludf.DUMMYFUNCTION("""COMPUTED_VALUE"""),"1739900-16-6835")</f>
        <v>1739900-16-6835</v>
      </c>
      <c r="U894" t="str">
        <f>IFERROR(__xludf.DUMMYFUNCTION("""COMPUTED_VALUE"""),"AC2616211")</f>
        <v>AC2616211</v>
      </c>
      <c r="V894" s="148">
        <f>IFERROR(__xludf.DUMMYFUNCTION("""COMPUTED_VALUE"""),44539.0)</f>
        <v>44539</v>
      </c>
      <c r="W894" s="148">
        <f>IFERROR(__xludf.DUMMYFUNCTION("""COMPUTED_VALUE"""),48190.0)</f>
        <v>48190</v>
      </c>
      <c r="X894" s="149">
        <f>IFERROR(__xludf.DUMMYFUNCTION("""COMPUTED_VALUE"""),48007.0)</f>
        <v>48007</v>
      </c>
      <c r="Y894" t="str">
        <f>IFERROR(__xludf.DUMMYFUNCTION("""COMPUTED_VALUE"""),"ปลอดภัย")</f>
        <v>ปลอดภัย</v>
      </c>
      <c r="Z894" t="str">
        <f>IFERROR(__xludf.DUMMYFUNCTION("""COMPUTED_VALUE"""),"Nakhon Pathom Province")</f>
        <v>Nakhon Pathom Province</v>
      </c>
      <c r="AA894" t="str">
        <f>IFERROR(__xludf.DUMMYFUNCTION("""COMPUTED_VALUE"""),"Nonthaburi")</f>
        <v>Nonthaburi</v>
      </c>
      <c r="AB894" t="str">
        <f>IFERROR(__xludf.DUMMYFUNCTION("""COMPUTED_VALUE"""),"081-875-5789")</f>
        <v>081-875-5789</v>
      </c>
      <c r="AC894" t="str">
        <f>IFERROR(__xludf.DUMMYFUNCTION("""COMPUTED_VALUE"""),"Pol.Col. Chaiyan Supachaiyakij (Father)")</f>
        <v>Pol.Col. Chaiyan Supachaiyakij (Father)</v>
      </c>
      <c r="AD894" t="str">
        <f>IFERROR(__xludf.DUMMYFUNCTION("""COMPUTED_VALUE"""),"pimchaisupachaiyakij@airasia.com")</f>
        <v>pimchaisupachaiyakij@airasia.com</v>
      </c>
    </row>
    <row r="895">
      <c r="A895" s="142">
        <f>IFERROR(__xludf.DUMMYFUNCTION("""COMPUTED_VALUE"""),94.0)</f>
        <v>94</v>
      </c>
      <c r="C895">
        <f>IFERROR(__xludf.DUMMYFUNCTION("""COMPUTED_VALUE"""),1022221.0)</f>
        <v>1022221</v>
      </c>
      <c r="D895" t="str">
        <f>IFERROR(__xludf.DUMMYFUNCTION("""COMPUTED_VALUE"""),"Mr.")</f>
        <v>Mr.</v>
      </c>
      <c r="E895" t="str">
        <f>IFERROR(__xludf.DUMMYFUNCTION("""COMPUTED_VALUE"""),"Itsara")</f>
        <v>Itsara</v>
      </c>
      <c r="F895" t="str">
        <f>IFERROR(__xludf.DUMMYFUNCTION("""COMPUTED_VALUE"""),"Indrasuta")</f>
        <v>Indrasuta</v>
      </c>
      <c r="G895" t="str">
        <f>IFERROR(__xludf.DUMMYFUNCTION("""COMPUTED_VALUE"""),"Itsara Indrasuta")</f>
        <v>Itsara Indrasuta</v>
      </c>
      <c r="H895" t="str">
        <f>IFERROR(__xludf.DUMMYFUNCTION("""COMPUTED_VALUE"""),"นาย")</f>
        <v>นาย</v>
      </c>
      <c r="I895" t="str">
        <f>IFERROR(__xludf.DUMMYFUNCTION("""COMPUTED_VALUE"""),"อิสระ")</f>
        <v>อิสระ</v>
      </c>
      <c r="J895" t="str">
        <f>IFERROR(__xludf.DUMMYFUNCTION("""COMPUTED_VALUE"""),"อินทรสูต")</f>
        <v>อินทรสูต</v>
      </c>
      <c r="K895" t="str">
        <f>IFERROR(__xludf.DUMMYFUNCTION("""COMPUTED_VALUE"""),"อิสระ อินทรสูต")</f>
        <v>อิสระ อินทรสูต</v>
      </c>
      <c r="L895" t="str">
        <f>IFERROR(__xludf.DUMMYFUNCTION("""COMPUTED_VALUE"""),"ปอ/Por")</f>
        <v>ปอ/Por</v>
      </c>
      <c r="M895" t="str">
        <f>IFERROR(__xludf.DUMMYFUNCTION("""COMPUTED_VALUE"""),"Cabin Crew - CNX")</f>
        <v>Cabin Crew - CNX</v>
      </c>
      <c r="N895" t="str">
        <f>IFERROR(__xludf.DUMMYFUNCTION("""COMPUTED_VALUE"""),"CNX")</f>
        <v>CNX</v>
      </c>
      <c r="O895" s="145" t="str">
        <f>IFERROR(__xludf.DUMMYFUNCTION("""COMPUTED_VALUE"""),"Up Home")</f>
        <v>Up Home</v>
      </c>
      <c r="P895" t="str">
        <f>IFERROR(__xludf.DUMMYFUNCTION("""COMPUTED_VALUE"""),"Active")</f>
        <v>Active</v>
      </c>
      <c r="R895" s="143">
        <f>IFERROR(__xludf.DUMMYFUNCTION("""COMPUTED_VALUE"""),32975.0)</f>
        <v>32975</v>
      </c>
      <c r="S895" s="146" t="str">
        <f>IFERROR(__xludf.DUMMYFUNCTION("""COMPUTED_VALUE"""),"063-316-5572")</f>
        <v>063-316-5572</v>
      </c>
      <c r="T895" s="147" t="str">
        <f>IFERROR(__xludf.DUMMYFUNCTION("""COMPUTED_VALUE"""),"1600100-36-7731")</f>
        <v>1600100-36-7731</v>
      </c>
      <c r="U895" t="str">
        <f>IFERROR(__xludf.DUMMYFUNCTION("""COMPUTED_VALUE"""),"AC4499639")</f>
        <v>AC4499639</v>
      </c>
      <c r="V895" s="148">
        <f>IFERROR(__xludf.DUMMYFUNCTION("""COMPUTED_VALUE"""),44988.0)</f>
        <v>44988</v>
      </c>
      <c r="W895" s="148">
        <f>IFERROR(__xludf.DUMMYFUNCTION("""COMPUTED_VALUE"""),48640.0)</f>
        <v>48640</v>
      </c>
      <c r="X895" s="149">
        <f>IFERROR(__xludf.DUMMYFUNCTION("""COMPUTED_VALUE"""),48459.0)</f>
        <v>48459</v>
      </c>
      <c r="Y895" t="str">
        <f>IFERROR(__xludf.DUMMYFUNCTION("""COMPUTED_VALUE"""),"ปลอดภัย")</f>
        <v>ปลอดภัย</v>
      </c>
      <c r="Z895" t="str">
        <f>IFERROR(__xludf.DUMMYFUNCTION("""COMPUTED_VALUE"""),"Nakhon Sawan Province")</f>
        <v>Nakhon Sawan Province</v>
      </c>
      <c r="AA895" t="str">
        <f>IFERROR(__xludf.DUMMYFUNCTION("""COMPUTED_VALUE"""),"Bangkok")</f>
        <v>Bangkok</v>
      </c>
      <c r="AB895" t="str">
        <f>IFERROR(__xludf.DUMMYFUNCTION("""COMPUTED_VALUE"""),"086 937 6912")</f>
        <v>086 937 6912</v>
      </c>
      <c r="AC895" t="str">
        <f>IFERROR(__xludf.DUMMYFUNCTION("""COMPUTED_VALUE"""),"Rujirat Indrasuta (Mother)")</f>
        <v>Rujirat Indrasuta (Mother)</v>
      </c>
      <c r="AD895" t="str">
        <f>IFERROR(__xludf.DUMMYFUNCTION("""COMPUTED_VALUE"""),"itsaraindrasuta@airasia.com")</f>
        <v>itsaraindrasuta@airasia.com</v>
      </c>
    </row>
    <row r="896">
      <c r="A896" s="142">
        <f>IFERROR(__xludf.DUMMYFUNCTION("""COMPUTED_VALUE"""),94.0)</f>
        <v>94</v>
      </c>
      <c r="C896">
        <f>IFERROR(__xludf.DUMMYFUNCTION("""COMPUTED_VALUE"""),1022222.0)</f>
        <v>1022222</v>
      </c>
      <c r="D896" t="str">
        <f>IFERROR(__xludf.DUMMYFUNCTION("""COMPUTED_VALUE"""),"Mr.")</f>
        <v>Mr.</v>
      </c>
      <c r="E896" t="str">
        <f>IFERROR(__xludf.DUMMYFUNCTION("""COMPUTED_VALUE"""),"Songboon")</f>
        <v>Songboon</v>
      </c>
      <c r="F896" t="str">
        <f>IFERROR(__xludf.DUMMYFUNCTION("""COMPUTED_VALUE"""),"Kiatchaweepan")</f>
        <v>Kiatchaweepan</v>
      </c>
      <c r="G896" t="str">
        <f>IFERROR(__xludf.DUMMYFUNCTION("""COMPUTED_VALUE"""),"Songboon Kiatchaweepan")</f>
        <v>Songboon Kiatchaweepan</v>
      </c>
      <c r="H896" t="str">
        <f>IFERROR(__xludf.DUMMYFUNCTION("""COMPUTED_VALUE"""),"นาย")</f>
        <v>นาย</v>
      </c>
      <c r="I896" t="str">
        <f>IFERROR(__xludf.DUMMYFUNCTION("""COMPUTED_VALUE"""),"ทรงบุญ")</f>
        <v>ทรงบุญ</v>
      </c>
      <c r="J896" t="str">
        <f>IFERROR(__xludf.DUMMYFUNCTION("""COMPUTED_VALUE"""),"เกียรติฉวีพรรณ")</f>
        <v>เกียรติฉวีพรรณ</v>
      </c>
      <c r="K896" t="str">
        <f>IFERROR(__xludf.DUMMYFUNCTION("""COMPUTED_VALUE"""),"ทรงบุญ เกียรติฉวีพรรณ")</f>
        <v>ทรงบุญ เกียรติฉวีพรรณ</v>
      </c>
      <c r="L896" t="str">
        <f>IFERROR(__xludf.DUMMYFUNCTION("""COMPUTED_VALUE"""),"ไม้/Maii")</f>
        <v>ไม้/Maii</v>
      </c>
      <c r="M896" t="str">
        <f>IFERROR(__xludf.DUMMYFUNCTION("""COMPUTED_VALUE"""),"Cabin Crew")</f>
        <v>Cabin Crew</v>
      </c>
      <c r="N896" t="str">
        <f>IFERROR(__xludf.DUMMYFUNCTION("""COMPUTED_VALUE"""),"DMK")</f>
        <v>DMK</v>
      </c>
      <c r="O896" s="145" t="str">
        <f>IFERROR(__xludf.DUMMYFUNCTION("""COMPUTED_VALUE"""),"Por+ Home")</f>
        <v>Por+ Home</v>
      </c>
      <c r="P896" t="str">
        <f>IFERROR(__xludf.DUMMYFUNCTION("""COMPUTED_VALUE"""),"Active")</f>
        <v>Active</v>
      </c>
      <c r="R896" s="143">
        <f>IFERROR(__xludf.DUMMYFUNCTION("""COMPUTED_VALUE"""),32847.0)</f>
        <v>32847</v>
      </c>
      <c r="S896" s="146" t="str">
        <f>IFERROR(__xludf.DUMMYFUNCTION("""COMPUTED_VALUE"""),"090-987-9928")</f>
        <v>090-987-9928</v>
      </c>
      <c r="T896" s="147" t="str">
        <f>IFERROR(__xludf.DUMMYFUNCTION("""COMPUTED_VALUE"""),"1219900-23-4134")</f>
        <v>1219900-23-4134</v>
      </c>
      <c r="U896" t="str">
        <f>IFERROR(__xludf.DUMMYFUNCTION("""COMPUTED_VALUE"""),"AC3836628")</f>
        <v>AC3836628</v>
      </c>
      <c r="V896" s="148">
        <f>IFERROR(__xludf.DUMMYFUNCTION("""COMPUTED_VALUE"""),44788.0)</f>
        <v>44788</v>
      </c>
      <c r="W896" s="148">
        <f>IFERROR(__xludf.DUMMYFUNCTION("""COMPUTED_VALUE"""),48440.0)</f>
        <v>48440</v>
      </c>
      <c r="X896" s="149">
        <f>IFERROR(__xludf.DUMMYFUNCTION("""COMPUTED_VALUE"""),48258.0)</f>
        <v>48258</v>
      </c>
      <c r="Y896" t="str">
        <f>IFERROR(__xludf.DUMMYFUNCTION("""COMPUTED_VALUE"""),"ปลอดภัย")</f>
        <v>ปลอดภัย</v>
      </c>
      <c r="Z896" t="str">
        <f>IFERROR(__xludf.DUMMYFUNCTION("""COMPUTED_VALUE"""),"Rayong Province")</f>
        <v>Rayong Province</v>
      </c>
      <c r="AA896" t="str">
        <f>IFERROR(__xludf.DUMMYFUNCTION("""COMPUTED_VALUE"""),"Bangkok")</f>
        <v>Bangkok</v>
      </c>
      <c r="AB896" t="str">
        <f>IFERROR(__xludf.DUMMYFUNCTION("""COMPUTED_VALUE"""),"096-818-8586")</f>
        <v>096-818-8586</v>
      </c>
      <c r="AC896" t="str">
        <f>IFERROR(__xludf.DUMMYFUNCTION("""COMPUTED_VALUE"""),"Krongkaew Kiatchaweepan (Sister)")</f>
        <v>Krongkaew Kiatchaweepan (Sister)</v>
      </c>
      <c r="AD896" t="str">
        <f>IFERROR(__xludf.DUMMYFUNCTION("""COMPUTED_VALUE"""),"songboonkiatchaweep@airasia.com")</f>
        <v>songboonkiatchaweep@airasia.com</v>
      </c>
    </row>
    <row r="897">
      <c r="A897" s="142">
        <f>IFERROR(__xludf.DUMMYFUNCTION("""COMPUTED_VALUE"""),94.0)</f>
        <v>94</v>
      </c>
      <c r="C897">
        <f>IFERROR(__xludf.DUMMYFUNCTION("""COMPUTED_VALUE"""),1022223.0)</f>
        <v>1022223</v>
      </c>
      <c r="D897" t="str">
        <f>IFERROR(__xludf.DUMMYFUNCTION("""COMPUTED_VALUE"""),"Ms.")</f>
        <v>Ms.</v>
      </c>
      <c r="E897" t="str">
        <f>IFERROR(__xludf.DUMMYFUNCTION("""COMPUTED_VALUE"""),"Nantapak")</f>
        <v>Nantapak</v>
      </c>
      <c r="F897" t="str">
        <f>IFERROR(__xludf.DUMMYFUNCTION("""COMPUTED_VALUE"""),"Benjasiriporn")</f>
        <v>Benjasiriporn</v>
      </c>
      <c r="G897" t="str">
        <f>IFERROR(__xludf.DUMMYFUNCTION("""COMPUTED_VALUE"""),"Nantapak Benjasiriporn")</f>
        <v>Nantapak Benjasiriporn</v>
      </c>
      <c r="H897" t="str">
        <f>IFERROR(__xludf.DUMMYFUNCTION("""COMPUTED_VALUE"""),"นางสาว")</f>
        <v>นางสาว</v>
      </c>
      <c r="I897" t="str">
        <f>IFERROR(__xludf.DUMMYFUNCTION("""COMPUTED_VALUE"""),"นันทภัค")</f>
        <v>นันทภัค</v>
      </c>
      <c r="J897" t="str">
        <f>IFERROR(__xludf.DUMMYFUNCTION("""COMPUTED_VALUE"""),"เบญจสิริพร")</f>
        <v>เบญจสิริพร</v>
      </c>
      <c r="K897" t="str">
        <f>IFERROR(__xludf.DUMMYFUNCTION("""COMPUTED_VALUE"""),"นันทภัค เบญจสิริพร")</f>
        <v>นันทภัค เบญจสิริพร</v>
      </c>
      <c r="L897" t="str">
        <f>IFERROR(__xludf.DUMMYFUNCTION("""COMPUTED_VALUE"""),"กิ๊บ/Gib")</f>
        <v>กิ๊บ/Gib</v>
      </c>
      <c r="M897" t="str">
        <f>IFERROR(__xludf.DUMMYFUNCTION("""COMPUTED_VALUE"""),"Senior Cabin Crew")</f>
        <v>Senior Cabin Crew</v>
      </c>
      <c r="N897" t="str">
        <f>IFERROR(__xludf.DUMMYFUNCTION("""COMPUTED_VALUE"""),"DMK")</f>
        <v>DMK</v>
      </c>
      <c r="O897" s="145" t="str">
        <f>IFERROR(__xludf.DUMMYFUNCTION("""COMPUTED_VALUE"""),"Por+ Home")</f>
        <v>Por+ Home</v>
      </c>
      <c r="P897" t="str">
        <f>IFERROR(__xludf.DUMMYFUNCTION("""COMPUTED_VALUE"""),"Active")</f>
        <v>Active</v>
      </c>
      <c r="R897" s="143">
        <f>IFERROR(__xludf.DUMMYFUNCTION("""COMPUTED_VALUE"""),33305.0)</f>
        <v>33305</v>
      </c>
      <c r="S897" s="146" t="str">
        <f>IFERROR(__xludf.DUMMYFUNCTION("""COMPUTED_VALUE"""),"090-979-7174")</f>
        <v>090-979-7174</v>
      </c>
      <c r="T897" s="147" t="str">
        <f>IFERROR(__xludf.DUMMYFUNCTION("""COMPUTED_VALUE"""),"1100800-70-5618")</f>
        <v>1100800-70-5618</v>
      </c>
      <c r="U897" t="str">
        <f>IFERROR(__xludf.DUMMYFUNCTION("""COMPUTED_VALUE"""),"AC4486397")</f>
        <v>AC4486397</v>
      </c>
      <c r="V897" s="148">
        <f>IFERROR(__xludf.DUMMYFUNCTION("""COMPUTED_VALUE"""),44981.0)</f>
        <v>44981</v>
      </c>
      <c r="W897" s="148">
        <f>IFERROR(__xludf.DUMMYFUNCTION("""COMPUTED_VALUE"""),48633.0)</f>
        <v>48633</v>
      </c>
      <c r="X897" s="149">
        <f>IFERROR(__xludf.DUMMYFUNCTION("""COMPUTED_VALUE"""),48449.0)</f>
        <v>48449</v>
      </c>
      <c r="Y897" t="str">
        <f>IFERROR(__xludf.DUMMYFUNCTION("""COMPUTED_VALUE"""),"ปลอดภัย")</f>
        <v>ปลอดภัย</v>
      </c>
      <c r="Z897" t="str">
        <f>IFERROR(__xludf.DUMMYFUNCTION("""COMPUTED_VALUE"""),"Bangkok")</f>
        <v>Bangkok</v>
      </c>
      <c r="AA897" t="str">
        <f>IFERROR(__xludf.DUMMYFUNCTION("""COMPUTED_VALUE"""),"Bangkok")</f>
        <v>Bangkok</v>
      </c>
      <c r="AB897" t="str">
        <f>IFERROR(__xludf.DUMMYFUNCTION("""COMPUTED_VALUE"""),"081-485-9189")</f>
        <v>081-485-9189</v>
      </c>
      <c r="AC897" t="str">
        <f>IFERROR(__xludf.DUMMYFUNCTION("""COMPUTED_VALUE"""),"Bunnapat Benjasiriporn (Mother)")</f>
        <v>Bunnapat Benjasiriporn (Mother)</v>
      </c>
      <c r="AD897" t="str">
        <f>IFERROR(__xludf.DUMMYFUNCTION("""COMPUTED_VALUE"""),"nantapakbenjasiripo@airasia.com")</f>
        <v>nantapakbenjasiripo@airasia.com</v>
      </c>
    </row>
    <row r="898">
      <c r="A898" s="142">
        <f>IFERROR(__xludf.DUMMYFUNCTION("""COMPUTED_VALUE"""),94.0)</f>
        <v>94</v>
      </c>
      <c r="C898">
        <f>IFERROR(__xludf.DUMMYFUNCTION("""COMPUTED_VALUE"""),1022226.0)</f>
        <v>1022226</v>
      </c>
      <c r="D898" t="str">
        <f>IFERROR(__xludf.DUMMYFUNCTION("""COMPUTED_VALUE"""),"Ms.")</f>
        <v>Ms.</v>
      </c>
      <c r="E898" t="str">
        <f>IFERROR(__xludf.DUMMYFUNCTION("""COMPUTED_VALUE"""),"Janrawee")</f>
        <v>Janrawee</v>
      </c>
      <c r="F898" t="str">
        <f>IFERROR(__xludf.DUMMYFUNCTION("""COMPUTED_VALUE"""),"Peerapand")</f>
        <v>Peerapand</v>
      </c>
      <c r="G898" t="str">
        <f>IFERROR(__xludf.DUMMYFUNCTION("""COMPUTED_VALUE"""),"Janrawee Peerapand")</f>
        <v>Janrawee Peerapand</v>
      </c>
      <c r="H898" t="str">
        <f>IFERROR(__xludf.DUMMYFUNCTION("""COMPUTED_VALUE"""),"นางสาว")</f>
        <v>นางสาว</v>
      </c>
      <c r="I898" t="str">
        <f>IFERROR(__xludf.DUMMYFUNCTION("""COMPUTED_VALUE"""),"จันทร์รวี")</f>
        <v>จันทร์รวี</v>
      </c>
      <c r="J898" t="str">
        <f>IFERROR(__xludf.DUMMYFUNCTION("""COMPUTED_VALUE"""),"พีรพันธุ์")</f>
        <v>พีรพันธุ์</v>
      </c>
      <c r="K898" t="str">
        <f>IFERROR(__xludf.DUMMYFUNCTION("""COMPUTED_VALUE"""),"จันทร์รวี พีรพันธุ์")</f>
        <v>จันทร์รวี พีรพันธุ์</v>
      </c>
      <c r="L898" t="str">
        <f>IFERROR(__xludf.DUMMYFUNCTION("""COMPUTED_VALUE"""),"เฟิร์น/Fern")</f>
        <v>เฟิร์น/Fern</v>
      </c>
      <c r="M898" t="str">
        <f>IFERROR(__xludf.DUMMYFUNCTION("""COMPUTED_VALUE"""),"Cabin Crew - BKK")</f>
        <v>Cabin Crew - BKK</v>
      </c>
      <c r="N898" t="str">
        <f>IFERROR(__xludf.DUMMYFUNCTION("""COMPUTED_VALUE"""),"BKK")</f>
        <v>BKK</v>
      </c>
      <c r="O898" s="145" t="str">
        <f>IFERROR(__xludf.DUMMYFUNCTION("""COMPUTED_VALUE"""),"Nhui Home")</f>
        <v>Nhui Home</v>
      </c>
      <c r="P898" t="str">
        <f>IFERROR(__xludf.DUMMYFUNCTION("""COMPUTED_VALUE"""),"Active")</f>
        <v>Active</v>
      </c>
      <c r="R898" s="143">
        <f>IFERROR(__xludf.DUMMYFUNCTION("""COMPUTED_VALUE"""),33543.0)</f>
        <v>33543</v>
      </c>
      <c r="S898" s="146" t="str">
        <f>IFERROR(__xludf.DUMMYFUNCTION("""COMPUTED_VALUE"""),"08-5055907-8")</f>
        <v>08-5055907-8</v>
      </c>
      <c r="T898" s="147" t="str">
        <f>IFERROR(__xludf.DUMMYFUNCTION("""COMPUTED_VALUE"""),"1101401-91-7981")</f>
        <v>1101401-91-7981</v>
      </c>
      <c r="U898" t="str">
        <f>IFERROR(__xludf.DUMMYFUNCTION("""COMPUTED_VALUE"""),"AC3838611")</f>
        <v>AC3838611</v>
      </c>
      <c r="V898" s="148">
        <f>IFERROR(__xludf.DUMMYFUNCTION("""COMPUTED_VALUE"""),44788.0)</f>
        <v>44788</v>
      </c>
      <c r="W898" s="148">
        <f>IFERROR(__xludf.DUMMYFUNCTION("""COMPUTED_VALUE"""),46613.0)</f>
        <v>46613</v>
      </c>
      <c r="X898" s="149">
        <f>IFERROR(__xludf.DUMMYFUNCTION("""COMPUTED_VALUE"""),46432.0)</f>
        <v>46432</v>
      </c>
      <c r="Y898" t="str">
        <f>IFERROR(__xludf.DUMMYFUNCTION("""COMPUTED_VALUE"""),"ปลอดภัย")</f>
        <v>ปลอดภัย</v>
      </c>
      <c r="Z898" t="str">
        <f>IFERROR(__xludf.DUMMYFUNCTION("""COMPUTED_VALUE"""),"Bangkok")</f>
        <v>Bangkok</v>
      </c>
      <c r="AA898" t="str">
        <f>IFERROR(__xludf.DUMMYFUNCTION("""COMPUTED_VALUE"""),"Bangkok")</f>
        <v>Bangkok</v>
      </c>
      <c r="AB898" t="str">
        <f>IFERROR(__xludf.DUMMYFUNCTION("""COMPUTED_VALUE"""),"094-495-5305")</f>
        <v>094-495-5305</v>
      </c>
      <c r="AC898" t="str">
        <f>IFERROR(__xludf.DUMMYFUNCTION("""COMPUTED_VALUE"""),"Chanvimol Peerapand (Mother)")</f>
        <v>Chanvimol Peerapand (Mother)</v>
      </c>
      <c r="AD898" t="str">
        <f>IFERROR(__xludf.DUMMYFUNCTION("""COMPUTED_VALUE"""),"janraweepeerapand@airasia.com")</f>
        <v>janraweepeerapand@airasia.com</v>
      </c>
    </row>
    <row r="899">
      <c r="A899" s="142">
        <f>IFERROR(__xludf.DUMMYFUNCTION("""COMPUTED_VALUE"""),94.0)</f>
        <v>94</v>
      </c>
      <c r="C899">
        <f>IFERROR(__xludf.DUMMYFUNCTION("""COMPUTED_VALUE"""),1022228.0)</f>
        <v>1022228</v>
      </c>
      <c r="D899" t="str">
        <f>IFERROR(__xludf.DUMMYFUNCTION("""COMPUTED_VALUE"""),"Ms.")</f>
        <v>Ms.</v>
      </c>
      <c r="E899" t="str">
        <f>IFERROR(__xludf.DUMMYFUNCTION("""COMPUTED_VALUE"""),"Nawaporn")</f>
        <v>Nawaporn</v>
      </c>
      <c r="F899" t="str">
        <f>IFERROR(__xludf.DUMMYFUNCTION("""COMPUTED_VALUE"""),"Phruksaraj")</f>
        <v>Phruksaraj</v>
      </c>
      <c r="G899" t="str">
        <f>IFERROR(__xludf.DUMMYFUNCTION("""COMPUTED_VALUE"""),"Nawaporn Phruksaraj")</f>
        <v>Nawaporn Phruksaraj</v>
      </c>
      <c r="H899" t="str">
        <f>IFERROR(__xludf.DUMMYFUNCTION("""COMPUTED_VALUE"""),"นางสาว")</f>
        <v>นางสาว</v>
      </c>
      <c r="I899" t="str">
        <f>IFERROR(__xludf.DUMMYFUNCTION("""COMPUTED_VALUE"""),"นวพร")</f>
        <v>นวพร</v>
      </c>
      <c r="J899" t="str">
        <f>IFERROR(__xludf.DUMMYFUNCTION("""COMPUTED_VALUE"""),"พฤกษราช")</f>
        <v>พฤกษราช</v>
      </c>
      <c r="K899" t="str">
        <f>IFERROR(__xludf.DUMMYFUNCTION("""COMPUTED_VALUE"""),"นวพร พฤกษราช")</f>
        <v>นวพร พฤกษราช</v>
      </c>
      <c r="L899" t="str">
        <f>IFERROR(__xludf.DUMMYFUNCTION("""COMPUTED_VALUE"""),"พลอย/Ploy")</f>
        <v>พลอย/Ploy</v>
      </c>
      <c r="M899" t="str">
        <f>IFERROR(__xludf.DUMMYFUNCTION("""COMPUTED_VALUE"""),"Cabin Crew")</f>
        <v>Cabin Crew</v>
      </c>
      <c r="N899" t="str">
        <f>IFERROR(__xludf.DUMMYFUNCTION("""COMPUTED_VALUE"""),"DMK")</f>
        <v>DMK</v>
      </c>
      <c r="O899" s="145" t="str">
        <f>IFERROR(__xludf.DUMMYFUNCTION("""COMPUTED_VALUE"""),"Namfon Home")</f>
        <v>Namfon Home</v>
      </c>
      <c r="P899" t="str">
        <f>IFERROR(__xludf.DUMMYFUNCTION("""COMPUTED_VALUE"""),"Active")</f>
        <v>Active</v>
      </c>
      <c r="R899" s="143">
        <f>IFERROR(__xludf.DUMMYFUNCTION("""COMPUTED_VALUE"""),33476.0)</f>
        <v>33476</v>
      </c>
      <c r="S899" s="146" t="str">
        <f>IFERROR(__xludf.DUMMYFUNCTION("""COMPUTED_VALUE"""),"094 656 6246")</f>
        <v>094 656 6246</v>
      </c>
      <c r="T899" s="147" t="str">
        <f>IFERROR(__xludf.DUMMYFUNCTION("""COMPUTED_VALUE"""),"1-1008-00729-50-9")</f>
        <v>1-1008-00729-50-9</v>
      </c>
      <c r="U899" t="str">
        <f>IFERROR(__xludf.DUMMYFUNCTION("""COMPUTED_VALUE"""),"AC2505487")</f>
        <v>AC2505487</v>
      </c>
      <c r="V899" s="148">
        <f>IFERROR(__xludf.DUMMYFUNCTION("""COMPUTED_VALUE"""),44565.0)</f>
        <v>44565</v>
      </c>
      <c r="W899" s="148">
        <f>IFERROR(__xludf.DUMMYFUNCTION("""COMPUTED_VALUE"""),48216.0)</f>
        <v>48216</v>
      </c>
      <c r="X899" s="149">
        <f>IFERROR(__xludf.DUMMYFUNCTION("""COMPUTED_VALUE"""),48032.0)</f>
        <v>48032</v>
      </c>
      <c r="Y899" t="str">
        <f>IFERROR(__xludf.DUMMYFUNCTION("""COMPUTED_VALUE"""),"ปลอดภัย")</f>
        <v>ปลอดภัย</v>
      </c>
      <c r="Z899" t="str">
        <f>IFERROR(__xludf.DUMMYFUNCTION("""COMPUTED_VALUE"""),"Bangkok")</f>
        <v>Bangkok</v>
      </c>
      <c r="AA899" t="str">
        <f>IFERROR(__xludf.DUMMYFUNCTION("""COMPUTED_VALUE"""),"Bangkok")</f>
        <v>Bangkok</v>
      </c>
      <c r="AB899" t="str">
        <f>IFERROR(__xludf.DUMMYFUNCTION("""COMPUTED_VALUE"""),"081 869 2789")</f>
        <v>081 869 2789</v>
      </c>
      <c r="AC899" t="str">
        <f>IFERROR(__xludf.DUMMYFUNCTION("""COMPUTED_VALUE"""),"Varavut Phruksaraj (Father)")</f>
        <v>Varavut Phruksaraj (Father)</v>
      </c>
      <c r="AD899" t="str">
        <f>IFERROR(__xludf.DUMMYFUNCTION("""COMPUTED_VALUE"""),"nawapornphruksaraj@airasia.com")</f>
        <v>nawapornphruksaraj@airasia.com</v>
      </c>
    </row>
    <row r="900">
      <c r="AD900" t="str">
        <f>IFERROR(__xludf.DUMMYFUNCTION("""COMPUTED_VALUE"""),"")</f>
        <v/>
      </c>
    </row>
    <row r="901">
      <c r="A901" s="142">
        <f>IFERROR(__xludf.DUMMYFUNCTION("""COMPUTED_VALUE"""),95.0)</f>
        <v>95</v>
      </c>
      <c r="B901" t="str">
        <f>IFERROR(__xludf.DUMMYFUNCTION("""COMPUTED_VALUE"""),"TAA4758")</f>
        <v>TAA4758</v>
      </c>
      <c r="C901">
        <f>IFERROR(__xludf.DUMMYFUNCTION("""COMPUTED_VALUE"""),1007525.0)</f>
        <v>1007525</v>
      </c>
      <c r="D901" t="str">
        <f>IFERROR(__xludf.DUMMYFUNCTION("""COMPUTED_VALUE"""),"Ms.")</f>
        <v>Ms.</v>
      </c>
      <c r="E901" t="str">
        <f>IFERROR(__xludf.DUMMYFUNCTION("""COMPUTED_VALUE"""),"Matharapoj")</f>
        <v>Matharapoj</v>
      </c>
      <c r="F901" t="str">
        <f>IFERROR(__xludf.DUMMYFUNCTION("""COMPUTED_VALUE"""),"Daungkull")</f>
        <v>Daungkull</v>
      </c>
      <c r="G901" t="str">
        <f>IFERROR(__xludf.DUMMYFUNCTION("""COMPUTED_VALUE"""),"Matharapoj Daungkull")</f>
        <v>Matharapoj Daungkull</v>
      </c>
      <c r="H901" t="str">
        <f>IFERROR(__xludf.DUMMYFUNCTION("""COMPUTED_VALUE"""),"นางสาว")</f>
        <v>นางสาว</v>
      </c>
      <c r="I901" t="str">
        <f>IFERROR(__xludf.DUMMYFUNCTION("""COMPUTED_VALUE"""),"มธรพจน์")</f>
        <v>มธรพจน์</v>
      </c>
      <c r="J901" t="str">
        <f>IFERROR(__xludf.DUMMYFUNCTION("""COMPUTED_VALUE"""),"ด้วงกุล")</f>
        <v>ด้วงกุล</v>
      </c>
      <c r="K901" t="str">
        <f>IFERROR(__xludf.DUMMYFUNCTION("""COMPUTED_VALUE"""),"มธรพจน์ ด้วงกุล")</f>
        <v>มธรพจน์ ด้วงกุล</v>
      </c>
      <c r="L901" t="str">
        <f>IFERROR(__xludf.DUMMYFUNCTION("""COMPUTED_VALUE"""),"ออย/Oil")</f>
        <v>ออย/Oil</v>
      </c>
      <c r="M901" t="str">
        <f>IFERROR(__xludf.DUMMYFUNCTION("""COMPUTED_VALUE"""),"Cabin Crew")</f>
        <v>Cabin Crew</v>
      </c>
      <c r="N901" t="str">
        <f>IFERROR(__xludf.DUMMYFUNCTION("""COMPUTED_VALUE"""),"DMK")</f>
        <v>DMK</v>
      </c>
      <c r="O901" s="145" t="str">
        <f>IFERROR(__xludf.DUMMYFUNCTION("""COMPUTED_VALUE"""),"Por+ Home")</f>
        <v>Por+ Home</v>
      </c>
      <c r="P901" t="str">
        <f>IFERROR(__xludf.DUMMYFUNCTION("""COMPUTED_VALUE"""),"Active")</f>
        <v>Active</v>
      </c>
      <c r="R901" s="143">
        <f>IFERROR(__xludf.DUMMYFUNCTION("""COMPUTED_VALUE"""),32902.0)</f>
        <v>32902</v>
      </c>
      <c r="S901" s="146" t="str">
        <f>IFERROR(__xludf.DUMMYFUNCTION("""COMPUTED_VALUE"""),"080-454-1177")</f>
        <v>080-454-1177</v>
      </c>
      <c r="T901" s="147" t="str">
        <f>IFERROR(__xludf.DUMMYFUNCTION("""COMPUTED_VALUE"""),"1840100-28-2611")</f>
        <v>1840100-28-2611</v>
      </c>
      <c r="U901" t="str">
        <f>IFERROR(__xludf.DUMMYFUNCTION("""COMPUTED_VALUE"""),"AC2991658")</f>
        <v>AC2991658</v>
      </c>
      <c r="V901" s="148">
        <f>IFERROR(__xludf.DUMMYFUNCTION("""COMPUTED_VALUE"""),44651.0)</f>
        <v>44651</v>
      </c>
      <c r="W901" s="148">
        <f>IFERROR(__xludf.DUMMYFUNCTION("""COMPUTED_VALUE"""),48303.0)</f>
        <v>48303</v>
      </c>
      <c r="X901" s="149">
        <f>IFERROR(__xludf.DUMMYFUNCTION("""COMPUTED_VALUE"""),48121.0)</f>
        <v>48121</v>
      </c>
      <c r="Y901" t="str">
        <f>IFERROR(__xludf.DUMMYFUNCTION("""COMPUTED_VALUE"""),"ปลอดภัย")</f>
        <v>ปลอดภัย</v>
      </c>
      <c r="Z901" t="str">
        <f>IFERROR(__xludf.DUMMYFUNCTION("""COMPUTED_VALUE"""),"Surat Thani Province")</f>
        <v>Surat Thani Province</v>
      </c>
      <c r="AA901" t="str">
        <f>IFERROR(__xludf.DUMMYFUNCTION("""COMPUTED_VALUE"""),"Surat Thani")</f>
        <v>Surat Thani</v>
      </c>
      <c r="AB901" t="str">
        <f>IFERROR(__xludf.DUMMYFUNCTION("""COMPUTED_VALUE"""),"081-5352126")</f>
        <v>081-5352126</v>
      </c>
      <c r="AC901" t="str">
        <f>IFERROR(__xludf.DUMMYFUNCTION("""COMPUTED_VALUE"""),"Waraporn Duangkoon (Mother)")</f>
        <v>Waraporn Duangkoon (Mother)</v>
      </c>
      <c r="AD901" t="str">
        <f>IFERROR(__xludf.DUMMYFUNCTION("""COMPUTED_VALUE"""),"matharapojd@airasia.com")</f>
        <v>matharapojd@airasia.com</v>
      </c>
    </row>
    <row r="902">
      <c r="A902" s="142">
        <f>IFERROR(__xludf.DUMMYFUNCTION("""COMPUTED_VALUE"""),95.0)</f>
        <v>95</v>
      </c>
      <c r="B902" t="str">
        <f>IFERROR(__xludf.DUMMYFUNCTION("""COMPUTED_VALUE"""),"TAA5262")</f>
        <v>TAA5262</v>
      </c>
      <c r="C902">
        <f>IFERROR(__xludf.DUMMYFUNCTION("""COMPUTED_VALUE"""),1008689.0)</f>
        <v>1008689</v>
      </c>
      <c r="D902" t="str">
        <f>IFERROR(__xludf.DUMMYFUNCTION("""COMPUTED_VALUE"""),"Ms.")</f>
        <v>Ms.</v>
      </c>
      <c r="E902" t="str">
        <f>IFERROR(__xludf.DUMMYFUNCTION("""COMPUTED_VALUE"""),"Patcharee")</f>
        <v>Patcharee</v>
      </c>
      <c r="F902" t="str">
        <f>IFERROR(__xludf.DUMMYFUNCTION("""COMPUTED_VALUE"""),"Sornnuan")</f>
        <v>Sornnuan</v>
      </c>
      <c r="G902" t="str">
        <f>IFERROR(__xludf.DUMMYFUNCTION("""COMPUTED_VALUE"""),"Patcharee Sornnuan")</f>
        <v>Patcharee Sornnuan</v>
      </c>
      <c r="H902" t="str">
        <f>IFERROR(__xludf.DUMMYFUNCTION("""COMPUTED_VALUE"""),"นางสาว")</f>
        <v>นางสาว</v>
      </c>
      <c r="I902" t="str">
        <f>IFERROR(__xludf.DUMMYFUNCTION("""COMPUTED_VALUE"""),"พัชรี")</f>
        <v>พัชรี</v>
      </c>
      <c r="J902" t="str">
        <f>IFERROR(__xludf.DUMMYFUNCTION("""COMPUTED_VALUE"""),"สอนนวล")</f>
        <v>สอนนวล</v>
      </c>
      <c r="K902" t="str">
        <f>IFERROR(__xludf.DUMMYFUNCTION("""COMPUTED_VALUE"""),"พัชรี สอนนวล")</f>
        <v>พัชรี สอนนวล</v>
      </c>
      <c r="L902" t="str">
        <f>IFERROR(__xludf.DUMMYFUNCTION("""COMPUTED_VALUE"""),"มิ้ว/Milk")</f>
        <v>มิ้ว/Milk</v>
      </c>
      <c r="M902" t="str">
        <f>IFERROR(__xludf.DUMMYFUNCTION("""COMPUTED_VALUE"""),"Cabin Crew")</f>
        <v>Cabin Crew</v>
      </c>
      <c r="N902" t="str">
        <f>IFERROR(__xludf.DUMMYFUNCTION("""COMPUTED_VALUE"""),"DMK")</f>
        <v>DMK</v>
      </c>
      <c r="O902" s="145" t="str">
        <f>IFERROR(__xludf.DUMMYFUNCTION("""COMPUTED_VALUE"""),"Por+ Home")</f>
        <v>Por+ Home</v>
      </c>
      <c r="P902" t="str">
        <f>IFERROR(__xludf.DUMMYFUNCTION("""COMPUTED_VALUE"""),"Active")</f>
        <v>Active</v>
      </c>
      <c r="R902" s="143">
        <f>IFERROR(__xludf.DUMMYFUNCTION("""COMPUTED_VALUE"""),33654.0)</f>
        <v>33654</v>
      </c>
      <c r="S902" s="146" t="str">
        <f>IFERROR(__xludf.DUMMYFUNCTION("""COMPUTED_VALUE"""),"098-103-8440")</f>
        <v>098-103-8440</v>
      </c>
      <c r="T902" s="147" t="str">
        <f>IFERROR(__xludf.DUMMYFUNCTION("""COMPUTED_VALUE"""),"1429900-14-9127")</f>
        <v>1429900-14-9127</v>
      </c>
      <c r="U902" t="str">
        <f>IFERROR(__xludf.DUMMYFUNCTION("""COMPUTED_VALUE"""),"AC3242532")</f>
        <v>AC3242532</v>
      </c>
      <c r="V902" s="148">
        <f>IFERROR(__xludf.DUMMYFUNCTION("""COMPUTED_VALUE"""),44712.0)</f>
        <v>44712</v>
      </c>
      <c r="W902" s="148">
        <f>IFERROR(__xludf.DUMMYFUNCTION("""COMPUTED_VALUE"""),48364.0)</f>
        <v>48364</v>
      </c>
      <c r="X902" s="149">
        <f>IFERROR(__xludf.DUMMYFUNCTION("""COMPUTED_VALUE"""),48182.0)</f>
        <v>48182</v>
      </c>
      <c r="Y902" t="str">
        <f>IFERROR(__xludf.DUMMYFUNCTION("""COMPUTED_VALUE"""),"ปลอดภัย")</f>
        <v>ปลอดภัย</v>
      </c>
      <c r="Z902" t="str">
        <f>IFERROR(__xludf.DUMMYFUNCTION("""COMPUTED_VALUE"""),"Loei Province")</f>
        <v>Loei Province</v>
      </c>
      <c r="AA902" t="str">
        <f>IFERROR(__xludf.DUMMYFUNCTION("""COMPUTED_VALUE"""),"Prathumthani")</f>
        <v>Prathumthani</v>
      </c>
      <c r="AB902" t="str">
        <f>IFERROR(__xludf.DUMMYFUNCTION("""COMPUTED_VALUE"""),"083-358-0282")</f>
        <v>083-358-0282</v>
      </c>
      <c r="AC902" t="str">
        <f>IFERROR(__xludf.DUMMYFUNCTION("""COMPUTED_VALUE"""),"Chaloemchai Sornnuan (Father)")</f>
        <v>Chaloemchai Sornnuan (Father)</v>
      </c>
      <c r="AD902" t="str">
        <f>IFERROR(__xludf.DUMMYFUNCTION("""COMPUTED_VALUE"""),"patchareeo@airasia.com")</f>
        <v>patchareeo@airasia.com</v>
      </c>
    </row>
    <row r="903">
      <c r="A903" s="142">
        <f>IFERROR(__xludf.DUMMYFUNCTION("""COMPUTED_VALUE"""),95.0)</f>
        <v>95</v>
      </c>
      <c r="B903" t="str">
        <f>IFERROR(__xludf.DUMMYFUNCTION("""COMPUTED_VALUE"""),"TAA5466")</f>
        <v>TAA5466</v>
      </c>
      <c r="C903">
        <f>IFERROR(__xludf.DUMMYFUNCTION("""COMPUTED_VALUE"""),1009131.0)</f>
        <v>1009131</v>
      </c>
      <c r="D903" t="str">
        <f>IFERROR(__xludf.DUMMYFUNCTION("""COMPUTED_VALUE"""),"Mr.")</f>
        <v>Mr.</v>
      </c>
      <c r="E903" t="str">
        <f>IFERROR(__xludf.DUMMYFUNCTION("""COMPUTED_VALUE"""),"Burin")</f>
        <v>Burin</v>
      </c>
      <c r="F903" t="str">
        <f>IFERROR(__xludf.DUMMYFUNCTION("""COMPUTED_VALUE"""),"Sornnuan")</f>
        <v>Sornnuan</v>
      </c>
      <c r="G903" t="str">
        <f>IFERROR(__xludf.DUMMYFUNCTION("""COMPUTED_VALUE"""),"Burin Wongdithai")</f>
        <v>Burin Wongdithai</v>
      </c>
      <c r="H903" t="str">
        <f>IFERROR(__xludf.DUMMYFUNCTION("""COMPUTED_VALUE"""),"นาย")</f>
        <v>นาย</v>
      </c>
      <c r="I903" t="str">
        <f>IFERROR(__xludf.DUMMYFUNCTION("""COMPUTED_VALUE"""),"บุรินทร์")</f>
        <v>บุรินทร์</v>
      </c>
      <c r="J903" t="str">
        <f>IFERROR(__xludf.DUMMYFUNCTION("""COMPUTED_VALUE"""),"วงษ์ดีไทย")</f>
        <v>วงษ์ดีไทย</v>
      </c>
      <c r="K903" t="str">
        <f>IFERROR(__xludf.DUMMYFUNCTION("""COMPUTED_VALUE"""),"บุรินทร์ วงษ์ดีไทย")</f>
        <v>บุรินทร์ วงษ์ดีไทย</v>
      </c>
      <c r="L903" t="str">
        <f>IFERROR(__xludf.DUMMYFUNCTION("""COMPUTED_VALUE"""),"ใหม่/Mai")</f>
        <v>ใหม่/Mai</v>
      </c>
      <c r="M903" t="str">
        <f>IFERROR(__xludf.DUMMYFUNCTION("""COMPUTED_VALUE"""),"Cabin Crew")</f>
        <v>Cabin Crew</v>
      </c>
      <c r="N903" t="str">
        <f>IFERROR(__xludf.DUMMYFUNCTION("""COMPUTED_VALUE"""),"DMK")</f>
        <v>DMK</v>
      </c>
      <c r="O903" s="145" t="str">
        <f>IFERROR(__xludf.DUMMYFUNCTION("""COMPUTED_VALUE"""),"Toffy Home")</f>
        <v>Toffy Home</v>
      </c>
      <c r="P903" t="str">
        <f>IFERROR(__xludf.DUMMYFUNCTION("""COMPUTED_VALUE"""),"Active")</f>
        <v>Active</v>
      </c>
      <c r="R903" s="143">
        <f>IFERROR(__xludf.DUMMYFUNCTION("""COMPUTED_VALUE"""),31892.0)</f>
        <v>31892</v>
      </c>
      <c r="S903" s="146" t="str">
        <f>IFERROR(__xludf.DUMMYFUNCTION("""COMPUTED_VALUE"""),"095-936-6942")</f>
        <v>095-936-6942</v>
      </c>
      <c r="T903" s="147" t="str">
        <f>IFERROR(__xludf.DUMMYFUNCTION("""COMPUTED_VALUE"""),"1100900-38-6760")</f>
        <v>1100900-38-6760</v>
      </c>
      <c r="U903" t="str">
        <f>IFERROR(__xludf.DUMMYFUNCTION("""COMPUTED_VALUE"""),"AC3803270")</f>
        <v>AC3803270</v>
      </c>
      <c r="V903" s="148">
        <f>IFERROR(__xludf.DUMMYFUNCTION("""COMPUTED_VALUE"""),44798.0)</f>
        <v>44798</v>
      </c>
      <c r="W903" s="148">
        <f>IFERROR(__xludf.DUMMYFUNCTION("""COMPUTED_VALUE"""),48450.0)</f>
        <v>48450</v>
      </c>
      <c r="X903" s="149">
        <f>IFERROR(__xludf.DUMMYFUNCTION("""COMPUTED_VALUE"""),48268.0)</f>
        <v>48268</v>
      </c>
      <c r="Y903" t="str">
        <f>IFERROR(__xludf.DUMMYFUNCTION("""COMPUTED_VALUE"""),"ปลอดภัย")</f>
        <v>ปลอดภัย</v>
      </c>
      <c r="Z903" t="str">
        <f>IFERROR(__xludf.DUMMYFUNCTION("""COMPUTED_VALUE"""),"Bangkok")</f>
        <v>Bangkok</v>
      </c>
      <c r="AA903" t="str">
        <f>IFERROR(__xludf.DUMMYFUNCTION("""COMPUTED_VALUE"""),"Bangkok")</f>
        <v>Bangkok</v>
      </c>
      <c r="AB903" t="str">
        <f>IFERROR(__xludf.DUMMYFUNCTION("""COMPUTED_VALUE"""),"081-832-3751")</f>
        <v>081-832-3751</v>
      </c>
      <c r="AC903" t="str">
        <f>IFERROR(__xludf.DUMMYFUNCTION("""COMPUTED_VALUE"""),"Wiroj Wongdeethai (Father)")</f>
        <v>Wiroj Wongdeethai (Father)</v>
      </c>
      <c r="AD903" t="str">
        <f>IFERROR(__xludf.DUMMYFUNCTION("""COMPUTED_VALUE"""),"burinw@airasia.com")</f>
        <v>burinw@airasia.com</v>
      </c>
    </row>
    <row r="904">
      <c r="A904" s="142">
        <f>IFERROR(__xludf.DUMMYFUNCTION("""COMPUTED_VALUE"""),95.0)</f>
        <v>95</v>
      </c>
      <c r="C904">
        <f>IFERROR(__xludf.DUMMYFUNCTION("""COMPUTED_VALUE"""),1022213.0)</f>
        <v>1022213</v>
      </c>
      <c r="D904" t="str">
        <f>IFERROR(__xludf.DUMMYFUNCTION("""COMPUTED_VALUE"""),"Mr.")</f>
        <v>Mr.</v>
      </c>
      <c r="E904" t="str">
        <f>IFERROR(__xludf.DUMMYFUNCTION("""COMPUTED_VALUE"""),"Puripak")</f>
        <v>Puripak</v>
      </c>
      <c r="F904" t="str">
        <f>IFERROR(__xludf.DUMMYFUNCTION("""COMPUTED_VALUE"""),"Pensawat")</f>
        <v>Pensawat</v>
      </c>
      <c r="G904" t="str">
        <f>IFERROR(__xludf.DUMMYFUNCTION("""COMPUTED_VALUE"""),"Puripak Pensawat")</f>
        <v>Puripak Pensawat</v>
      </c>
      <c r="H904" t="str">
        <f>IFERROR(__xludf.DUMMYFUNCTION("""COMPUTED_VALUE"""),"นาย")</f>
        <v>นาย</v>
      </c>
      <c r="I904" t="str">
        <f>IFERROR(__xludf.DUMMYFUNCTION("""COMPUTED_VALUE"""),"ภูริภัค")</f>
        <v>ภูริภัค</v>
      </c>
      <c r="J904" t="str">
        <f>IFERROR(__xludf.DUMMYFUNCTION("""COMPUTED_VALUE"""),"เพ็ญสวัสดิ์")</f>
        <v>เพ็ญสวัสดิ์</v>
      </c>
      <c r="K904" t="str">
        <f>IFERROR(__xludf.DUMMYFUNCTION("""COMPUTED_VALUE"""),"ภูริภัค เพ็ญสวัสดิ์")</f>
        <v>ภูริภัค เพ็ญสวัสดิ์</v>
      </c>
      <c r="L904" t="str">
        <f>IFERROR(__xludf.DUMMYFUNCTION("""COMPUTED_VALUE"""),"ตาว/Town")</f>
        <v>ตาว/Town</v>
      </c>
      <c r="M904" t="str">
        <f>IFERROR(__xludf.DUMMYFUNCTION("""COMPUTED_VALUE"""),"Cabin Crew")</f>
        <v>Cabin Crew</v>
      </c>
      <c r="N904" t="str">
        <f>IFERROR(__xludf.DUMMYFUNCTION("""COMPUTED_VALUE"""),"DMK")</f>
        <v>DMK</v>
      </c>
      <c r="O904" s="145" t="str">
        <f>IFERROR(__xludf.DUMMYFUNCTION("""COMPUTED_VALUE"""),"Um Home")</f>
        <v>Um Home</v>
      </c>
      <c r="P904" t="str">
        <f>IFERROR(__xludf.DUMMYFUNCTION("""COMPUTED_VALUE"""),"Active")</f>
        <v>Active</v>
      </c>
      <c r="R904" s="143">
        <f>IFERROR(__xludf.DUMMYFUNCTION("""COMPUTED_VALUE"""),34545.0)</f>
        <v>34545</v>
      </c>
      <c r="S904" s="146" t="str">
        <f>IFERROR(__xludf.DUMMYFUNCTION("""COMPUTED_VALUE"""),"081-639-6529")</f>
        <v>081-639-6529</v>
      </c>
      <c r="T904" s="147" t="str">
        <f>IFERROR(__xludf.DUMMYFUNCTION("""COMPUTED_VALUE"""),"1103701-41-0817")</f>
        <v>1103701-41-0817</v>
      </c>
      <c r="U904" t="str">
        <f>IFERROR(__xludf.DUMMYFUNCTION("""COMPUTED_VALUE"""),"AC3374131")</f>
        <v>AC3374131</v>
      </c>
      <c r="V904" s="148">
        <f>IFERROR(__xludf.DUMMYFUNCTION("""COMPUTED_VALUE"""),44728.0)</f>
        <v>44728</v>
      </c>
      <c r="W904" s="148">
        <f>IFERROR(__xludf.DUMMYFUNCTION("""COMPUTED_VALUE"""),48380.0)</f>
        <v>48380</v>
      </c>
      <c r="X904" s="149">
        <f>IFERROR(__xludf.DUMMYFUNCTION("""COMPUTED_VALUE"""),48197.0)</f>
        <v>48197</v>
      </c>
      <c r="Y904" t="str">
        <f>IFERROR(__xludf.DUMMYFUNCTION("""COMPUTED_VALUE"""),"ปลอดภัย")</f>
        <v>ปลอดภัย</v>
      </c>
      <c r="Z904" t="str">
        <f>IFERROR(__xludf.DUMMYFUNCTION("""COMPUTED_VALUE"""),"Bangkok")</f>
        <v>Bangkok</v>
      </c>
      <c r="AA904" t="str">
        <f>IFERROR(__xludf.DUMMYFUNCTION("""COMPUTED_VALUE"""),"Nonthaburi")</f>
        <v>Nonthaburi</v>
      </c>
      <c r="AB904" t="str">
        <f>IFERROR(__xludf.DUMMYFUNCTION("""COMPUTED_VALUE"""),"085-917-4697")</f>
        <v>085-917-4697</v>
      </c>
      <c r="AC904" t="str">
        <f>IFERROR(__xludf.DUMMYFUNCTION("""COMPUTED_VALUE"""),"Jutarath Pensawat (Mother)")</f>
        <v>Jutarath Pensawat (Mother)</v>
      </c>
      <c r="AD904" t="str">
        <f>IFERROR(__xludf.DUMMYFUNCTION("""COMPUTED_VALUE"""),"puripakpensawat@airasia.com")</f>
        <v>puripakpensawat@airasia.com</v>
      </c>
    </row>
    <row r="905">
      <c r="A905" s="142">
        <f>IFERROR(__xludf.DUMMYFUNCTION("""COMPUTED_VALUE"""),95.0)</f>
        <v>95</v>
      </c>
      <c r="C905">
        <f>IFERROR(__xludf.DUMMYFUNCTION("""COMPUTED_VALUE"""),1022658.0)</f>
        <v>1022658</v>
      </c>
      <c r="D905" t="str">
        <f>IFERROR(__xludf.DUMMYFUNCTION("""COMPUTED_VALUE"""),"Ms.")</f>
        <v>Ms.</v>
      </c>
      <c r="E905" t="str">
        <f>IFERROR(__xludf.DUMMYFUNCTION("""COMPUTED_VALUE"""),"Hariphat")</f>
        <v>Hariphat</v>
      </c>
      <c r="F905" t="str">
        <f>IFERROR(__xludf.DUMMYFUNCTION("""COMPUTED_VALUE"""),"Suphangcharus")</f>
        <v>Suphangcharus</v>
      </c>
      <c r="G905" t="str">
        <f>IFERROR(__xludf.DUMMYFUNCTION("""COMPUTED_VALUE"""),"Hariphat Suphangcharus")</f>
        <v>Hariphat Suphangcharus</v>
      </c>
      <c r="H905" t="str">
        <f>IFERROR(__xludf.DUMMYFUNCTION("""COMPUTED_VALUE"""),"นางสาว")</f>
        <v>นางสาว</v>
      </c>
      <c r="I905" t="str">
        <f>IFERROR(__xludf.DUMMYFUNCTION("""COMPUTED_VALUE"""),"หริภัทร")</f>
        <v>หริภัทร</v>
      </c>
      <c r="J905" t="str">
        <f>IFERROR(__xludf.DUMMYFUNCTION("""COMPUTED_VALUE"""),"ศุภางค์จรัส")</f>
        <v>ศุภางค์จรัส</v>
      </c>
      <c r="K905" t="str">
        <f>IFERROR(__xludf.DUMMYFUNCTION("""COMPUTED_VALUE"""),"หริภัทร ศุภางค์จรัส")</f>
        <v>หริภัทร ศุภางค์จรัส</v>
      </c>
      <c r="L905" t="str">
        <f>IFERROR(__xludf.DUMMYFUNCTION("""COMPUTED_VALUE"""),"ตาว/Taw")</f>
        <v>ตาว/Taw</v>
      </c>
      <c r="M905" t="str">
        <f>IFERROR(__xludf.DUMMYFUNCTION("""COMPUTED_VALUE"""),"Cabin Crew")</f>
        <v>Cabin Crew</v>
      </c>
      <c r="N905" t="str">
        <f>IFERROR(__xludf.DUMMYFUNCTION("""COMPUTED_VALUE"""),"DMK")</f>
        <v>DMK</v>
      </c>
      <c r="O905" s="145" t="str">
        <f>IFERROR(__xludf.DUMMYFUNCTION("""COMPUTED_VALUE"""),"Namfon Home")</f>
        <v>Namfon Home</v>
      </c>
      <c r="P905" t="str">
        <f>IFERROR(__xludf.DUMMYFUNCTION("""COMPUTED_VALUE"""),"Active")</f>
        <v>Active</v>
      </c>
      <c r="R905" s="143">
        <f>IFERROR(__xludf.DUMMYFUNCTION("""COMPUTED_VALUE"""),33397.0)</f>
        <v>33397</v>
      </c>
      <c r="S905" s="146" t="str">
        <f>IFERROR(__xludf.DUMMYFUNCTION("""COMPUTED_VALUE"""),"062 942 6391")</f>
        <v>062 942 6391</v>
      </c>
      <c r="T905" s="147" t="str">
        <f>IFERROR(__xludf.DUMMYFUNCTION("""COMPUTED_VALUE"""),"1100200-64-5258")</f>
        <v>1100200-64-5258</v>
      </c>
      <c r="U905" t="str">
        <f>IFERROR(__xludf.DUMMYFUNCTION("""COMPUTED_VALUE"""),"AC2861781")</f>
        <v>AC2861781</v>
      </c>
      <c r="V905" s="148">
        <f>IFERROR(__xludf.DUMMYFUNCTION("""COMPUTED_VALUE"""),44600.0)</f>
        <v>44600</v>
      </c>
      <c r="W905" s="148">
        <f>IFERROR(__xludf.DUMMYFUNCTION("""COMPUTED_VALUE"""),48251.0)</f>
        <v>48251</v>
      </c>
      <c r="X905" s="149">
        <f>IFERROR(__xludf.DUMMYFUNCTION("""COMPUTED_VALUE"""),48067.0)</f>
        <v>48067</v>
      </c>
      <c r="Y905" t="str">
        <f>IFERROR(__xludf.DUMMYFUNCTION("""COMPUTED_VALUE"""),"ปลอดภัย")</f>
        <v>ปลอดภัย</v>
      </c>
      <c r="Z905" t="str">
        <f>IFERROR(__xludf.DUMMYFUNCTION("""COMPUTED_VALUE"""),"Bangkok")</f>
        <v>Bangkok</v>
      </c>
      <c r="AA905" t="str">
        <f>IFERROR(__xludf.DUMMYFUNCTION("""COMPUTED_VALUE"""),"Bangkok")</f>
        <v>Bangkok</v>
      </c>
      <c r="AB905" t="str">
        <f>IFERROR(__xludf.DUMMYFUNCTION("""COMPUTED_VALUE"""),"094-453-9592")</f>
        <v>094-453-9592</v>
      </c>
      <c r="AC905" t="str">
        <f>IFERROR(__xludf.DUMMYFUNCTION("""COMPUTED_VALUE"""),"Panida Thakolsuksan (Mother)")</f>
        <v>Panida Thakolsuksan (Mother)</v>
      </c>
      <c r="AD905" t="str">
        <f>IFERROR(__xludf.DUMMYFUNCTION("""COMPUTED_VALUE"""),"hariphatsuphangchar@airasia.com")</f>
        <v>hariphatsuphangchar@airasia.com</v>
      </c>
    </row>
    <row r="906">
      <c r="A906" s="142">
        <f>IFERROR(__xludf.DUMMYFUNCTION("""COMPUTED_VALUE"""),95.0)</f>
        <v>95</v>
      </c>
      <c r="C906">
        <f>IFERROR(__xludf.DUMMYFUNCTION("""COMPUTED_VALUE"""),1022660.0)</f>
        <v>1022660</v>
      </c>
      <c r="D906" t="str">
        <f>IFERROR(__xludf.DUMMYFUNCTION("""COMPUTED_VALUE"""),"Ms.")</f>
        <v>Ms.</v>
      </c>
      <c r="E906" t="str">
        <f>IFERROR(__xludf.DUMMYFUNCTION("""COMPUTED_VALUE"""),"Ketjiya")</f>
        <v>Ketjiya</v>
      </c>
      <c r="F906" t="str">
        <f>IFERROR(__xludf.DUMMYFUNCTION("""COMPUTED_VALUE"""),"Sriamonsak")</f>
        <v>Sriamonsak</v>
      </c>
      <c r="G906" t="str">
        <f>IFERROR(__xludf.DUMMYFUNCTION("""COMPUTED_VALUE"""),"Ketjiya Sriamonsak")</f>
        <v>Ketjiya Sriamonsak</v>
      </c>
      <c r="H906" t="str">
        <f>IFERROR(__xludf.DUMMYFUNCTION("""COMPUTED_VALUE"""),"นางสาว")</f>
        <v>นางสาว</v>
      </c>
      <c r="I906" t="str">
        <f>IFERROR(__xludf.DUMMYFUNCTION("""COMPUTED_VALUE"""),"เกศจีญาญ์")</f>
        <v>เกศจีญาญ์</v>
      </c>
      <c r="J906" t="str">
        <f>IFERROR(__xludf.DUMMYFUNCTION("""COMPUTED_VALUE"""),"ศรีอมรศักดิ์")</f>
        <v>ศรีอมรศักดิ์</v>
      </c>
      <c r="K906" t="str">
        <f>IFERROR(__xludf.DUMMYFUNCTION("""COMPUTED_VALUE"""),"เกศจีญาญ์ ศรีอมรศักดิ์")</f>
        <v>เกศจีญาญ์ ศรีอมรศักดิ์</v>
      </c>
      <c r="L906" t="str">
        <f>IFERROR(__xludf.DUMMYFUNCTION("""COMPUTED_VALUE"""),"เก้า/Kao")</f>
        <v>เก้า/Kao</v>
      </c>
      <c r="M906" t="str">
        <f>IFERROR(__xludf.DUMMYFUNCTION("""COMPUTED_VALUE"""),"Senior Cabin Crew")</f>
        <v>Senior Cabin Crew</v>
      </c>
      <c r="N906" t="str">
        <f>IFERROR(__xludf.DUMMYFUNCTION("""COMPUTED_VALUE"""),"DMK")</f>
        <v>DMK</v>
      </c>
      <c r="O906" s="145" t="str">
        <f>IFERROR(__xludf.DUMMYFUNCTION("""COMPUTED_VALUE"""),"Nhui Home")</f>
        <v>Nhui Home</v>
      </c>
      <c r="P906" t="str">
        <f>IFERROR(__xludf.DUMMYFUNCTION("""COMPUTED_VALUE"""),"Active")</f>
        <v>Active</v>
      </c>
      <c r="R906" s="143">
        <f>IFERROR(__xludf.DUMMYFUNCTION("""COMPUTED_VALUE"""),34431.0)</f>
        <v>34431</v>
      </c>
      <c r="S906" s="146" t="str">
        <f>IFERROR(__xludf.DUMMYFUNCTION("""COMPUTED_VALUE"""),"080 977 5451")</f>
        <v>080 977 5451</v>
      </c>
      <c r="T906" s="147" t="str">
        <f>IFERROR(__xludf.DUMMYFUNCTION("""COMPUTED_VALUE"""),"1101800-65-8700")</f>
        <v>1101800-65-8700</v>
      </c>
      <c r="U906" t="str">
        <f>IFERROR(__xludf.DUMMYFUNCTION("""COMPUTED_VALUE"""),"AC77100818")</f>
        <v>AC77100818</v>
      </c>
      <c r="V906" s="148">
        <f>IFERROR(__xludf.DUMMYFUNCTION("""COMPUTED_VALUE"""),45855.0)</f>
        <v>45855</v>
      </c>
      <c r="W906" s="148">
        <f>IFERROR(__xludf.DUMMYFUNCTION("""COMPUTED_VALUE"""),49506.0)</f>
        <v>49506</v>
      </c>
      <c r="X906" s="149">
        <f>IFERROR(__xludf.DUMMYFUNCTION("""COMPUTED_VALUE"""),49325.0)</f>
        <v>49325</v>
      </c>
      <c r="Y906" t="str">
        <f>IFERROR(__xludf.DUMMYFUNCTION("""COMPUTED_VALUE"""),"ปลอดภัย")</f>
        <v>ปลอดภัย</v>
      </c>
      <c r="Z906" t="str">
        <f>IFERROR(__xludf.DUMMYFUNCTION("""COMPUTED_VALUE"""),"Bangkok")</f>
        <v>Bangkok</v>
      </c>
      <c r="AA906" t="str">
        <f>IFERROR(__xludf.DUMMYFUNCTION("""COMPUTED_VALUE"""),"Bangkok")</f>
        <v>Bangkok</v>
      </c>
      <c r="AB906" t="str">
        <f>IFERROR(__xludf.DUMMYFUNCTION("""COMPUTED_VALUE"""),"085-339-1363")</f>
        <v>085-339-1363</v>
      </c>
      <c r="AC906" t="str">
        <f>IFERROR(__xludf.DUMMYFUNCTION("""COMPUTED_VALUE"""),"Thanatsorn Sriamonsak (Mother)")</f>
        <v>Thanatsorn Sriamonsak (Mother)</v>
      </c>
      <c r="AD906" t="str">
        <f>IFERROR(__xludf.DUMMYFUNCTION("""COMPUTED_VALUE"""),"ketjiyasriamonsak@airasia.com")</f>
        <v>ketjiyasriamonsak@airasia.com</v>
      </c>
    </row>
    <row r="907">
      <c r="A907" s="142">
        <f>IFERROR(__xludf.DUMMYFUNCTION("""COMPUTED_VALUE"""),95.0)</f>
        <v>95</v>
      </c>
      <c r="C907">
        <f>IFERROR(__xludf.DUMMYFUNCTION("""COMPUTED_VALUE"""),1022662.0)</f>
        <v>1022662</v>
      </c>
      <c r="D907" t="str">
        <f>IFERROR(__xludf.DUMMYFUNCTION("""COMPUTED_VALUE"""),"Ms.")</f>
        <v>Ms.</v>
      </c>
      <c r="E907" t="str">
        <f>IFERROR(__xludf.DUMMYFUNCTION("""COMPUTED_VALUE"""),"Wachiraporn")</f>
        <v>Wachiraporn</v>
      </c>
      <c r="F907" t="str">
        <f>IFERROR(__xludf.DUMMYFUNCTION("""COMPUTED_VALUE"""),"Songkram")</f>
        <v>Songkram</v>
      </c>
      <c r="G907" t="str">
        <f>IFERROR(__xludf.DUMMYFUNCTION("""COMPUTED_VALUE"""),"Wachiraporn Songkram")</f>
        <v>Wachiraporn Songkram</v>
      </c>
      <c r="H907" t="str">
        <f>IFERROR(__xludf.DUMMYFUNCTION("""COMPUTED_VALUE"""),"นางสาว")</f>
        <v>นางสาว</v>
      </c>
      <c r="I907" t="str">
        <f>IFERROR(__xludf.DUMMYFUNCTION("""COMPUTED_VALUE"""),"วชิราภรณ์")</f>
        <v>วชิราภรณ์</v>
      </c>
      <c r="J907" t="str">
        <f>IFERROR(__xludf.DUMMYFUNCTION("""COMPUTED_VALUE"""),"สงคราม")</f>
        <v>สงคราม</v>
      </c>
      <c r="K907" t="str">
        <f>IFERROR(__xludf.DUMMYFUNCTION("""COMPUTED_VALUE"""),"วชิราภรณ์ สงคราม")</f>
        <v>วชิราภรณ์ สงคราม</v>
      </c>
      <c r="L907" t="str">
        <f>IFERROR(__xludf.DUMMYFUNCTION("""COMPUTED_VALUE"""),"ใบเฟิร์น/Baifern")</f>
        <v>ใบเฟิร์น/Baifern</v>
      </c>
      <c r="M907" t="str">
        <f>IFERROR(__xludf.DUMMYFUNCTION("""COMPUTED_VALUE"""),"Cabin Crew")</f>
        <v>Cabin Crew</v>
      </c>
      <c r="N907" t="str">
        <f>IFERROR(__xludf.DUMMYFUNCTION("""COMPUTED_VALUE"""),"DMK")</f>
        <v>DMK</v>
      </c>
      <c r="O907" s="145" t="str">
        <f>IFERROR(__xludf.DUMMYFUNCTION("""COMPUTED_VALUE"""),"Toffy Home")</f>
        <v>Toffy Home</v>
      </c>
      <c r="P907" t="str">
        <f>IFERROR(__xludf.DUMMYFUNCTION("""COMPUTED_VALUE"""),"Active")</f>
        <v>Active</v>
      </c>
      <c r="R907" s="143">
        <f>IFERROR(__xludf.DUMMYFUNCTION("""COMPUTED_VALUE"""),34549.0)</f>
        <v>34549</v>
      </c>
      <c r="S907" s="146" t="str">
        <f>IFERROR(__xludf.DUMMYFUNCTION("""COMPUTED_VALUE"""),"092-692-6525")</f>
        <v>092-692-6525</v>
      </c>
      <c r="T907" s="147" t="str">
        <f>IFERROR(__xludf.DUMMYFUNCTION("""COMPUTED_VALUE"""),"1100200-97-5649")</f>
        <v>1100200-97-5649</v>
      </c>
      <c r="U907" t="str">
        <f>IFERROR(__xludf.DUMMYFUNCTION("""COMPUTED_VALUE"""),"AC2254117")</f>
        <v>AC2254117</v>
      </c>
      <c r="V907" s="148">
        <f>IFERROR(__xludf.DUMMYFUNCTION("""COMPUTED_VALUE"""),44308.0)</f>
        <v>44308</v>
      </c>
      <c r="W907" s="148">
        <f>IFERROR(__xludf.DUMMYFUNCTION("""COMPUTED_VALUE"""),47959.0)</f>
        <v>47959</v>
      </c>
      <c r="X907" s="149">
        <f>IFERROR(__xludf.DUMMYFUNCTION("""COMPUTED_VALUE"""),47777.0)</f>
        <v>47777</v>
      </c>
      <c r="Y907" t="str">
        <f>IFERROR(__xludf.DUMMYFUNCTION("""COMPUTED_VALUE"""),"ปลอดภัย")</f>
        <v>ปลอดภัย</v>
      </c>
      <c r="Z907" t="str">
        <f>IFERROR(__xludf.DUMMYFUNCTION("""COMPUTED_VALUE"""),"Bangkok")</f>
        <v>Bangkok</v>
      </c>
      <c r="AA907" t="str">
        <f>IFERROR(__xludf.DUMMYFUNCTION("""COMPUTED_VALUE"""),"Nonthaburi")</f>
        <v>Nonthaburi</v>
      </c>
      <c r="AB907" t="str">
        <f>IFERROR(__xludf.DUMMYFUNCTION("""COMPUTED_VALUE"""),"084-474-6922")</f>
        <v>084-474-6922</v>
      </c>
      <c r="AC907" t="str">
        <f>IFERROR(__xludf.DUMMYFUNCTION("""COMPUTED_VALUE"""),"Thanyasiri Thakthong (Mother)")</f>
        <v>Thanyasiri Thakthong (Mother)</v>
      </c>
      <c r="AD907" t="str">
        <f>IFERROR(__xludf.DUMMYFUNCTION("""COMPUTED_VALUE"""),"wachirapornsongkram@airasia.com")</f>
        <v>wachirapornsongkram@airasia.com</v>
      </c>
    </row>
    <row r="908">
      <c r="A908" s="142">
        <f>IFERROR(__xludf.DUMMYFUNCTION("""COMPUTED_VALUE"""),95.0)</f>
        <v>95</v>
      </c>
      <c r="C908">
        <f>IFERROR(__xludf.DUMMYFUNCTION("""COMPUTED_VALUE"""),1022663.0)</f>
        <v>1022663</v>
      </c>
      <c r="D908" t="str">
        <f>IFERROR(__xludf.DUMMYFUNCTION("""COMPUTED_VALUE"""),"Ms.")</f>
        <v>Ms.</v>
      </c>
      <c r="E908" t="str">
        <f>IFERROR(__xludf.DUMMYFUNCTION("""COMPUTED_VALUE"""),"Parunya")</f>
        <v>Parunya</v>
      </c>
      <c r="F908" t="str">
        <f>IFERROR(__xludf.DUMMYFUNCTION("""COMPUTED_VALUE"""),"Poonsuk")</f>
        <v>Poonsuk</v>
      </c>
      <c r="G908" t="str">
        <f>IFERROR(__xludf.DUMMYFUNCTION("""COMPUTED_VALUE"""),"Parunya Poonsuk")</f>
        <v>Parunya Poonsuk</v>
      </c>
      <c r="H908" t="str">
        <f>IFERROR(__xludf.DUMMYFUNCTION("""COMPUTED_VALUE"""),"นางสาว")</f>
        <v>นางสาว</v>
      </c>
      <c r="I908" t="str">
        <f>IFERROR(__xludf.DUMMYFUNCTION("""COMPUTED_VALUE"""),"ภรัณยา")</f>
        <v>ภรัณยา</v>
      </c>
      <c r="J908" t="str">
        <f>IFERROR(__xludf.DUMMYFUNCTION("""COMPUTED_VALUE"""),"พูลสุข")</f>
        <v>พูลสุข</v>
      </c>
      <c r="K908" t="str">
        <f>IFERROR(__xludf.DUMMYFUNCTION("""COMPUTED_VALUE"""),"ภรัณยา พูลสุข")</f>
        <v>ภรัณยา พูลสุข</v>
      </c>
      <c r="L908" t="str">
        <f>IFERROR(__xludf.DUMMYFUNCTION("""COMPUTED_VALUE"""),"อิ๊ง/Aing")</f>
        <v>อิ๊ง/Aing</v>
      </c>
      <c r="M908" t="str">
        <f>IFERROR(__xludf.DUMMYFUNCTION("""COMPUTED_VALUE"""),"Cabin Crew")</f>
        <v>Cabin Crew</v>
      </c>
      <c r="N908" t="str">
        <f>IFERROR(__xludf.DUMMYFUNCTION("""COMPUTED_VALUE"""),"DMK")</f>
        <v>DMK</v>
      </c>
      <c r="O908" s="145" t="str">
        <f>IFERROR(__xludf.DUMMYFUNCTION("""COMPUTED_VALUE"""),"Kor Home")</f>
        <v>Kor Home</v>
      </c>
      <c r="P908" t="str">
        <f>IFERROR(__xludf.DUMMYFUNCTION("""COMPUTED_VALUE"""),"Active")</f>
        <v>Active</v>
      </c>
      <c r="R908" s="143">
        <f>IFERROR(__xludf.DUMMYFUNCTION("""COMPUTED_VALUE"""),34800.0)</f>
        <v>34800</v>
      </c>
      <c r="S908" s="146" t="str">
        <f>IFERROR(__xludf.DUMMYFUNCTION("""COMPUTED_VALUE"""),"065-562-5297")</f>
        <v>065-562-5297</v>
      </c>
      <c r="T908" s="147" t="str">
        <f>IFERROR(__xludf.DUMMYFUNCTION("""COMPUTED_VALUE"""),"1110200-13-1343")</f>
        <v>1110200-13-1343</v>
      </c>
      <c r="U908" t="str">
        <f>IFERROR(__xludf.DUMMYFUNCTION("""COMPUTED_VALUE"""),"AD2378361")</f>
        <v>AD2378361</v>
      </c>
      <c r="V908" s="148">
        <f>IFERROR(__xludf.DUMMYFUNCTION("""COMPUTED_VALUE"""),45825.0)</f>
        <v>45825</v>
      </c>
      <c r="W908" s="148">
        <f>IFERROR(__xludf.DUMMYFUNCTION("""COMPUTED_VALUE"""),49476.0)</f>
        <v>49476</v>
      </c>
      <c r="X908" s="149">
        <f>IFERROR(__xludf.DUMMYFUNCTION("""COMPUTED_VALUE"""),49294.0)</f>
        <v>49294</v>
      </c>
      <c r="Y908" t="str">
        <f>IFERROR(__xludf.DUMMYFUNCTION("""COMPUTED_VALUE"""),"ปลอดภัย")</f>
        <v>ปลอดภัย</v>
      </c>
      <c r="Z908" t="str">
        <f>IFERROR(__xludf.DUMMYFUNCTION("""COMPUTED_VALUE"""),"Samut Prakan Province")</f>
        <v>Samut Prakan Province</v>
      </c>
      <c r="AA908" t="str">
        <f>IFERROR(__xludf.DUMMYFUNCTION("""COMPUTED_VALUE"""),"Nonthaburi")</f>
        <v>Nonthaburi</v>
      </c>
      <c r="AB908" t="str">
        <f>IFERROR(__xludf.DUMMYFUNCTION("""COMPUTED_VALUE"""),"081-850-9599")</f>
        <v>081-850-9599</v>
      </c>
      <c r="AC908" t="str">
        <f>IFERROR(__xludf.DUMMYFUNCTION("""COMPUTED_VALUE"""),"Patcharee Poonsuk (Mother)")</f>
        <v>Patcharee Poonsuk (Mother)</v>
      </c>
      <c r="AD908" t="str">
        <f>IFERROR(__xludf.DUMMYFUNCTION("""COMPUTED_VALUE"""),"parunyapoonsuk@airasia.com")</f>
        <v>parunyapoonsuk@airasia.com</v>
      </c>
    </row>
    <row r="909">
      <c r="A909" s="142">
        <f>IFERROR(__xludf.DUMMYFUNCTION("""COMPUTED_VALUE"""),95.0)</f>
        <v>95</v>
      </c>
      <c r="C909">
        <f>IFERROR(__xludf.DUMMYFUNCTION("""COMPUTED_VALUE"""),1022666.0)</f>
        <v>1022666</v>
      </c>
      <c r="D909" t="str">
        <f>IFERROR(__xludf.DUMMYFUNCTION("""COMPUTED_VALUE"""),"Ms.")</f>
        <v>Ms.</v>
      </c>
      <c r="E909" t="str">
        <f>IFERROR(__xludf.DUMMYFUNCTION("""COMPUTED_VALUE"""),"Suchanart")</f>
        <v>Suchanart</v>
      </c>
      <c r="F909" t="str">
        <f>IFERROR(__xludf.DUMMYFUNCTION("""COMPUTED_VALUE"""),"Thongsongsom")</f>
        <v>Thongsongsom</v>
      </c>
      <c r="G909" t="str">
        <f>IFERROR(__xludf.DUMMYFUNCTION("""COMPUTED_VALUE"""),"Suchanart Thongsongsom")</f>
        <v>Suchanart Thongsongsom</v>
      </c>
      <c r="H909" t="str">
        <f>IFERROR(__xludf.DUMMYFUNCTION("""COMPUTED_VALUE"""),"นางสาว")</f>
        <v>นางสาว</v>
      </c>
      <c r="I909" t="str">
        <f>IFERROR(__xludf.DUMMYFUNCTION("""COMPUTED_VALUE"""),"สุชานาฏ")</f>
        <v>สุชานาฏ</v>
      </c>
      <c r="J909" t="str">
        <f>IFERROR(__xludf.DUMMYFUNCTION("""COMPUTED_VALUE"""),"ทองส่งโสม")</f>
        <v>ทองส่งโสม</v>
      </c>
      <c r="K909" t="str">
        <f>IFERROR(__xludf.DUMMYFUNCTION("""COMPUTED_VALUE"""),"สุชานาฏ ทองส่งโสม")</f>
        <v>สุชานาฏ ทองส่งโสม</v>
      </c>
      <c r="L909" t="str">
        <f>IFERROR(__xludf.DUMMYFUNCTION("""COMPUTED_VALUE"""),"แป้ง/Pang")</f>
        <v>แป้ง/Pang</v>
      </c>
      <c r="M909" t="str">
        <f>IFERROR(__xludf.DUMMYFUNCTION("""COMPUTED_VALUE"""),"Cabin Crew")</f>
        <v>Cabin Crew</v>
      </c>
      <c r="N909" t="str">
        <f>IFERROR(__xludf.DUMMYFUNCTION("""COMPUTED_VALUE"""),"DMK")</f>
        <v>DMK</v>
      </c>
      <c r="O909" s="145" t="str">
        <f>IFERROR(__xludf.DUMMYFUNCTION("""COMPUTED_VALUE"""),"Namfon Home")</f>
        <v>Namfon Home</v>
      </c>
      <c r="P909" t="str">
        <f>IFERROR(__xludf.DUMMYFUNCTION("""COMPUTED_VALUE"""),"Active")</f>
        <v>Active</v>
      </c>
      <c r="R909" s="143">
        <f>IFERROR(__xludf.DUMMYFUNCTION("""COMPUTED_VALUE"""),33774.0)</f>
        <v>33774</v>
      </c>
      <c r="S909" s="146" t="str">
        <f>IFERROR(__xludf.DUMMYFUNCTION("""COMPUTED_VALUE"""),"088 253 5498")</f>
        <v>088 253 5498</v>
      </c>
      <c r="T909" s="147" t="str">
        <f>IFERROR(__xludf.DUMMYFUNCTION("""COMPUTED_VALUE"""),"1159900-17-3314")</f>
        <v>1159900-17-3314</v>
      </c>
      <c r="U909" t="str">
        <f>IFERROR(__xludf.DUMMYFUNCTION("""COMPUTED_VALUE"""),"AC2310015")</f>
        <v>AC2310015</v>
      </c>
      <c r="V909" s="148">
        <f>IFERROR(__xludf.DUMMYFUNCTION("""COMPUTED_VALUE"""),44356.0)</f>
        <v>44356</v>
      </c>
      <c r="W909" s="148">
        <f>IFERROR(__xludf.DUMMYFUNCTION("""COMPUTED_VALUE"""),48007.0)</f>
        <v>48007</v>
      </c>
      <c r="X909" s="149">
        <f>IFERROR(__xludf.DUMMYFUNCTION("""COMPUTED_VALUE"""),47825.0)</f>
        <v>47825</v>
      </c>
      <c r="Y909" t="str">
        <f>IFERROR(__xludf.DUMMYFUNCTION("""COMPUTED_VALUE"""),"ปลอดภัย")</f>
        <v>ปลอดภัย</v>
      </c>
      <c r="Z909" t="str">
        <f>IFERROR(__xludf.DUMMYFUNCTION("""COMPUTED_VALUE"""),"Ang Thong Province")</f>
        <v>Ang Thong Province</v>
      </c>
      <c r="AA909" t="str">
        <f>IFERROR(__xludf.DUMMYFUNCTION("""COMPUTED_VALUE"""),"Samutpakan")</f>
        <v>Samutpakan</v>
      </c>
      <c r="AB909" t="str">
        <f>IFERROR(__xludf.DUMMYFUNCTION("""COMPUTED_VALUE"""),"082-390-6132")</f>
        <v>082-390-6132</v>
      </c>
      <c r="AC909" t="str">
        <f>IFERROR(__xludf.DUMMYFUNCTION("""COMPUTED_VALUE"""),"Pemita Thongsongsom (Mother)")</f>
        <v>Pemita Thongsongsom (Mother)</v>
      </c>
      <c r="AD909" t="str">
        <f>IFERROR(__xludf.DUMMYFUNCTION("""COMPUTED_VALUE"""),"suchanartthongsongs@airasia.com")</f>
        <v>suchanartthongsongs@airasia.com</v>
      </c>
    </row>
    <row r="910">
      <c r="A910" s="142">
        <f>IFERROR(__xludf.DUMMYFUNCTION("""COMPUTED_VALUE"""),95.0)</f>
        <v>95</v>
      </c>
      <c r="C910">
        <f>IFERROR(__xludf.DUMMYFUNCTION("""COMPUTED_VALUE"""),1022667.0)</f>
        <v>1022667</v>
      </c>
      <c r="D910" t="str">
        <f>IFERROR(__xludf.DUMMYFUNCTION("""COMPUTED_VALUE"""),"Ms.")</f>
        <v>Ms.</v>
      </c>
      <c r="E910" t="str">
        <f>IFERROR(__xludf.DUMMYFUNCTION("""COMPUTED_VALUE"""),"Natasa")</f>
        <v>Natasa</v>
      </c>
      <c r="F910" t="str">
        <f>IFERROR(__xludf.DUMMYFUNCTION("""COMPUTED_VALUE"""),"Tharasak")</f>
        <v>Tharasak</v>
      </c>
      <c r="G910" t="str">
        <f>IFERROR(__xludf.DUMMYFUNCTION("""COMPUTED_VALUE"""),"Natasa Tharasak")</f>
        <v>Natasa Tharasak</v>
      </c>
      <c r="H910" t="str">
        <f>IFERROR(__xludf.DUMMYFUNCTION("""COMPUTED_VALUE"""),"นางสาว")</f>
        <v>นางสาว</v>
      </c>
      <c r="I910" t="str">
        <f>IFERROR(__xludf.DUMMYFUNCTION("""COMPUTED_VALUE"""),"ณธษา")</f>
        <v>ณธษา</v>
      </c>
      <c r="J910" t="str">
        <f>IFERROR(__xludf.DUMMYFUNCTION("""COMPUTED_VALUE"""),"ธาราศักดิ์")</f>
        <v>ธาราศักดิ์</v>
      </c>
      <c r="K910" t="str">
        <f>IFERROR(__xludf.DUMMYFUNCTION("""COMPUTED_VALUE"""),"ณธษา ธาราศักดิ์")</f>
        <v>ณธษา ธาราศักดิ์</v>
      </c>
      <c r="L910" t="str">
        <f>IFERROR(__xludf.DUMMYFUNCTION("""COMPUTED_VALUE"""),"แพร/Pear")</f>
        <v>แพร/Pear</v>
      </c>
      <c r="M910" t="str">
        <f>IFERROR(__xludf.DUMMYFUNCTION("""COMPUTED_VALUE"""),"Cabin Crew - BKK")</f>
        <v>Cabin Crew - BKK</v>
      </c>
      <c r="N910" t="str">
        <f>IFERROR(__xludf.DUMMYFUNCTION("""COMPUTED_VALUE"""),"BKK")</f>
        <v>BKK</v>
      </c>
      <c r="O910" s="145" t="str">
        <f>IFERROR(__xludf.DUMMYFUNCTION("""COMPUTED_VALUE"""),"Nhui Home")</f>
        <v>Nhui Home</v>
      </c>
      <c r="P910" t="str">
        <f>IFERROR(__xludf.DUMMYFUNCTION("""COMPUTED_VALUE"""),"Active")</f>
        <v>Active</v>
      </c>
      <c r="R910" s="143">
        <f>IFERROR(__xludf.DUMMYFUNCTION("""COMPUTED_VALUE"""),32582.0)</f>
        <v>32582</v>
      </c>
      <c r="S910" s="146" t="str">
        <f>IFERROR(__xludf.DUMMYFUNCTION("""COMPUTED_VALUE"""),"087 562 8078")</f>
        <v>087 562 8078</v>
      </c>
      <c r="T910" s="147" t="str">
        <f>IFERROR(__xludf.DUMMYFUNCTION("""COMPUTED_VALUE"""),"1101401-59-2951")</f>
        <v>1101401-59-2951</v>
      </c>
      <c r="U910" t="str">
        <f>IFERROR(__xludf.DUMMYFUNCTION("""COMPUTED_VALUE"""),"AC4449345")</f>
        <v>AC4449345</v>
      </c>
      <c r="V910" s="148">
        <f>IFERROR(__xludf.DUMMYFUNCTION("""COMPUTED_VALUE"""),44962.0)</f>
        <v>44962</v>
      </c>
      <c r="W910" s="148">
        <f>IFERROR(__xludf.DUMMYFUNCTION("""COMPUTED_VALUE"""),48614.0)</f>
        <v>48614</v>
      </c>
      <c r="X910" s="149">
        <f>IFERROR(__xludf.DUMMYFUNCTION("""COMPUTED_VALUE"""),48430.0)</f>
        <v>48430</v>
      </c>
      <c r="Y910" t="str">
        <f>IFERROR(__xludf.DUMMYFUNCTION("""COMPUTED_VALUE"""),"ปลอดภัย")</f>
        <v>ปลอดภัย</v>
      </c>
      <c r="Z910" t="str">
        <f>IFERROR(__xludf.DUMMYFUNCTION("""COMPUTED_VALUE"""),"Bangkok")</f>
        <v>Bangkok</v>
      </c>
      <c r="AA910" t="str">
        <f>IFERROR(__xludf.DUMMYFUNCTION("""COMPUTED_VALUE"""),"Samut Prakarn")</f>
        <v>Samut Prakarn</v>
      </c>
      <c r="AB910" t="str">
        <f>IFERROR(__xludf.DUMMYFUNCTION("""COMPUTED_VALUE"""),"085-165-5725")</f>
        <v>085-165-5725</v>
      </c>
      <c r="AC910" t="str">
        <f>IFERROR(__xludf.DUMMYFUNCTION("""COMPUTED_VALUE"""),"Suthida Tharasak (Mother)")</f>
        <v>Suthida Tharasak (Mother)</v>
      </c>
      <c r="AD910" t="str">
        <f>IFERROR(__xludf.DUMMYFUNCTION("""COMPUTED_VALUE"""),"natasatharasak@airasia.com")</f>
        <v>natasatharasak@airasia.com</v>
      </c>
    </row>
    <row r="911">
      <c r="A911" s="142">
        <f>IFERROR(__xludf.DUMMYFUNCTION("""COMPUTED_VALUE"""),95.0)</f>
        <v>95</v>
      </c>
      <c r="C911">
        <f>IFERROR(__xludf.DUMMYFUNCTION("""COMPUTED_VALUE"""),1022668.0)</f>
        <v>1022668</v>
      </c>
      <c r="D911" t="str">
        <f>IFERROR(__xludf.DUMMYFUNCTION("""COMPUTED_VALUE"""),"Ms.")</f>
        <v>Ms.</v>
      </c>
      <c r="E911" t="str">
        <f>IFERROR(__xludf.DUMMYFUNCTION("""COMPUTED_VALUE"""),"Chatchaya")</f>
        <v>Chatchaya</v>
      </c>
      <c r="F911" t="str">
        <f>IFERROR(__xludf.DUMMYFUNCTION("""COMPUTED_VALUE"""),"Laohasurayotin")</f>
        <v>Laohasurayotin</v>
      </c>
      <c r="G911" t="str">
        <f>IFERROR(__xludf.DUMMYFUNCTION("""COMPUTED_VALUE"""),"Chatchaya Laohasurayotin")</f>
        <v>Chatchaya Laohasurayotin</v>
      </c>
      <c r="H911" t="str">
        <f>IFERROR(__xludf.DUMMYFUNCTION("""COMPUTED_VALUE"""),"นางสาว")</f>
        <v>นางสาว</v>
      </c>
      <c r="I911" t="str">
        <f>IFERROR(__xludf.DUMMYFUNCTION("""COMPUTED_VALUE"""),"ชัชชญา")</f>
        <v>ชัชชญา</v>
      </c>
      <c r="J911" t="str">
        <f>IFERROR(__xludf.DUMMYFUNCTION("""COMPUTED_VALUE"""),"เลาหสุรโยธิน")</f>
        <v>เลาหสุรโยธิน</v>
      </c>
      <c r="K911" t="str">
        <f>IFERROR(__xludf.DUMMYFUNCTION("""COMPUTED_VALUE"""),"ชัชชญา เลาหสุรโยธิน")</f>
        <v>ชัชชญา เลาหสุรโยธิน</v>
      </c>
      <c r="L911" t="str">
        <f>IFERROR(__xludf.DUMMYFUNCTION("""COMPUTED_VALUE"""),"ส้ม/Som")</f>
        <v>ส้ม/Som</v>
      </c>
      <c r="M911" t="str">
        <f>IFERROR(__xludf.DUMMYFUNCTION("""COMPUTED_VALUE"""),"Cabin Crew")</f>
        <v>Cabin Crew</v>
      </c>
      <c r="N911" t="str">
        <f>IFERROR(__xludf.DUMMYFUNCTION("""COMPUTED_VALUE"""),"DMK")</f>
        <v>DMK</v>
      </c>
      <c r="O911" s="145" t="str">
        <f>IFERROR(__xludf.DUMMYFUNCTION("""COMPUTED_VALUE"""),"Um Home")</f>
        <v>Um Home</v>
      </c>
      <c r="P911" t="str">
        <f>IFERROR(__xludf.DUMMYFUNCTION("""COMPUTED_VALUE"""),"MATL/LWP")</f>
        <v>MATL/LWP</v>
      </c>
      <c r="R911" t="str">
        <f>IFERROR(__xludf.DUMMYFUNCTION("""COMPUTED_VALUE"""),"29/01/1988")</f>
        <v>29/01/1988</v>
      </c>
      <c r="S911" s="146">
        <f>IFERROR(__xludf.DUMMYFUNCTION("""COMPUTED_VALUE"""),9.74963645E8)</f>
        <v>974963645</v>
      </c>
      <c r="T911" s="147" t="str">
        <f>IFERROR(__xludf.DUMMYFUNCTION("""COMPUTED_VALUE"""),"1 1014 01184 96 8")</f>
        <v>1 1014 01184 96 8</v>
      </c>
      <c r="U911" t="str">
        <f>IFERROR(__xludf.DUMMYFUNCTION("""COMPUTED_VALUE"""),"AD1250563")</f>
        <v>AD1250563</v>
      </c>
      <c r="V911" s="148">
        <f>IFERROR(__xludf.DUMMYFUNCTION("""COMPUTED_VALUE"""),45341.0)</f>
        <v>45341</v>
      </c>
      <c r="W911" s="148">
        <f>IFERROR(__xludf.DUMMYFUNCTION("""COMPUTED_VALUE"""),48993.0)</f>
        <v>48993</v>
      </c>
      <c r="X911" s="149">
        <f>IFERROR(__xludf.DUMMYFUNCTION("""COMPUTED_VALUE"""),48809.0)</f>
        <v>48809</v>
      </c>
      <c r="Y911" t="str">
        <f>IFERROR(__xludf.DUMMYFUNCTION("""COMPUTED_VALUE"""),"ปลอดภัย")</f>
        <v>ปลอดภัย</v>
      </c>
      <c r="Z911" t="str">
        <f>IFERROR(__xludf.DUMMYFUNCTION("""COMPUTED_VALUE"""),"Bangkok")</f>
        <v>Bangkok</v>
      </c>
      <c r="AA911" t="str">
        <f>IFERROR(__xludf.DUMMYFUNCTION("""COMPUTED_VALUE"""),"Bangkok")</f>
        <v>Bangkok</v>
      </c>
      <c r="AB911" t="str">
        <f>IFERROR(__xludf.DUMMYFUNCTION("""COMPUTED_VALUE"""),"089-926-4745")</f>
        <v>089-926-4745</v>
      </c>
      <c r="AC911" t="str">
        <f>IFERROR(__xludf.DUMMYFUNCTION("""COMPUTED_VALUE"""),"Nutchanit Thongsung (Mother)")</f>
        <v>Nutchanit Thongsung (Mother)</v>
      </c>
      <c r="AD911" t="str">
        <f>IFERROR(__xludf.DUMMYFUNCTION("""COMPUTED_VALUE"""),"chatchayalaohasuray@airasia.com")</f>
        <v>chatchayalaohasuray@airasia.com</v>
      </c>
    </row>
    <row r="912">
      <c r="A912" s="142">
        <f>IFERROR(__xludf.DUMMYFUNCTION("""COMPUTED_VALUE"""),95.0)</f>
        <v>95</v>
      </c>
      <c r="C912">
        <f>IFERROR(__xludf.DUMMYFUNCTION("""COMPUTED_VALUE"""),1022779.0)</f>
        <v>1022779</v>
      </c>
      <c r="D912" t="str">
        <f>IFERROR(__xludf.DUMMYFUNCTION("""COMPUTED_VALUE"""),"Ms.")</f>
        <v>Ms.</v>
      </c>
      <c r="E912" t="str">
        <f>IFERROR(__xludf.DUMMYFUNCTION("""COMPUTED_VALUE"""),"Thipwadee")</f>
        <v>Thipwadee</v>
      </c>
      <c r="F912" t="str">
        <f>IFERROR(__xludf.DUMMYFUNCTION("""COMPUTED_VALUE"""),"Ing-Anannat")</f>
        <v>Ing-Anannat</v>
      </c>
      <c r="G912" t="str">
        <f>IFERROR(__xludf.DUMMYFUNCTION("""COMPUTED_VALUE"""),"Thipwadee Ing-Anannat")</f>
        <v>Thipwadee Ing-Anannat</v>
      </c>
      <c r="H912" t="str">
        <f>IFERROR(__xludf.DUMMYFUNCTION("""COMPUTED_VALUE"""),"นางสาว")</f>
        <v>นางสาว</v>
      </c>
      <c r="I912" t="str">
        <f>IFERROR(__xludf.DUMMYFUNCTION("""COMPUTED_VALUE"""),"ทิพย์วดี")</f>
        <v>ทิพย์วดี</v>
      </c>
      <c r="J912" t="str">
        <f>IFERROR(__xludf.DUMMYFUNCTION("""COMPUTED_VALUE"""),"อิงค์อนันต์นาท")</f>
        <v>อิงค์อนันต์นาท</v>
      </c>
      <c r="K912" t="str">
        <f>IFERROR(__xludf.DUMMYFUNCTION("""COMPUTED_VALUE"""),"ทิพย์วดี อิงค์อนันต์นาท")</f>
        <v>ทิพย์วดี อิงค์อนันต์นาท</v>
      </c>
      <c r="L912" t="str">
        <f>IFERROR(__xludf.DUMMYFUNCTION("""COMPUTED_VALUE"""),"อ๋อ/Aorr")</f>
        <v>อ๋อ/Aorr</v>
      </c>
      <c r="M912" t="str">
        <f>IFERROR(__xludf.DUMMYFUNCTION("""COMPUTED_VALUE"""),"Senior Cabin Crew - BKK")</f>
        <v>Senior Cabin Crew - BKK</v>
      </c>
      <c r="N912" t="str">
        <f>IFERROR(__xludf.DUMMYFUNCTION("""COMPUTED_VALUE"""),"BKK")</f>
        <v>BKK</v>
      </c>
      <c r="O912" s="145" t="str">
        <f>IFERROR(__xludf.DUMMYFUNCTION("""COMPUTED_VALUE"""),"Nhui Home")</f>
        <v>Nhui Home</v>
      </c>
      <c r="P912" t="str">
        <f>IFERROR(__xludf.DUMMYFUNCTION("""COMPUTED_VALUE"""),"Active/V/DMK")</f>
        <v>Active/V/DMK</v>
      </c>
      <c r="R912" s="143">
        <f>IFERROR(__xludf.DUMMYFUNCTION("""COMPUTED_VALUE"""),33811.0)</f>
        <v>33811</v>
      </c>
      <c r="S912" s="146" t="str">
        <f>IFERROR(__xludf.DUMMYFUNCTION("""COMPUTED_VALUE"""),"084-646-6262")</f>
        <v>084-646-6262</v>
      </c>
      <c r="T912" s="147" t="str">
        <f>IFERROR(__xludf.DUMMYFUNCTION("""COMPUTED_VALUE"""),"1102800-02-5333")</f>
        <v>1102800-02-5333</v>
      </c>
      <c r="U912" t="str">
        <f>IFERROR(__xludf.DUMMYFUNCTION("""COMPUTED_VALUE"""),"AC6378628")</f>
        <v>AC6378628</v>
      </c>
      <c r="V912" s="148">
        <f>IFERROR(__xludf.DUMMYFUNCTION("""COMPUTED_VALUE"""),45357.0)</f>
        <v>45357</v>
      </c>
      <c r="W912" s="148">
        <f>IFERROR(__xludf.DUMMYFUNCTION("""COMPUTED_VALUE"""),49008.0)</f>
        <v>49008</v>
      </c>
      <c r="X912" s="149">
        <f>IFERROR(__xludf.DUMMYFUNCTION("""COMPUTED_VALUE"""),48827.0)</f>
        <v>48827</v>
      </c>
      <c r="Y912" t="str">
        <f>IFERROR(__xludf.DUMMYFUNCTION("""COMPUTED_VALUE"""),"ปลอดภัย")</f>
        <v>ปลอดภัย</v>
      </c>
      <c r="Z912" t="str">
        <f>IFERROR(__xludf.DUMMYFUNCTION("""COMPUTED_VALUE"""),"Bangkok")</f>
        <v>Bangkok</v>
      </c>
      <c r="AA912" t="str">
        <f>IFERROR(__xludf.DUMMYFUNCTION("""COMPUTED_VALUE"""),"Bangkok")</f>
        <v>Bangkok</v>
      </c>
      <c r="AB912" t="str">
        <f>IFERROR(__xludf.DUMMYFUNCTION("""COMPUTED_VALUE"""),"082-459-5511")</f>
        <v>082-459-5511</v>
      </c>
      <c r="AC912" t="str">
        <f>IFERROR(__xludf.DUMMYFUNCTION("""COMPUTED_VALUE"""),"Malee Ing-Anannat (Mother)")</f>
        <v>Malee Ing-Anannat (Mother)</v>
      </c>
      <c r="AD912" t="str">
        <f>IFERROR(__xludf.DUMMYFUNCTION("""COMPUTED_VALUE"""),"thipwadeeinganannat@airasia.com")</f>
        <v>thipwadeeinganannat@airasia.com</v>
      </c>
    </row>
    <row r="913">
      <c r="A913" s="142">
        <f>IFERROR(__xludf.DUMMYFUNCTION("""COMPUTED_VALUE"""),95.0)</f>
        <v>95</v>
      </c>
      <c r="C913">
        <f>IFERROR(__xludf.DUMMYFUNCTION("""COMPUTED_VALUE"""),1022841.0)</f>
        <v>1022841</v>
      </c>
      <c r="D913" t="str">
        <f>IFERROR(__xludf.DUMMYFUNCTION("""COMPUTED_VALUE"""),"Ms.")</f>
        <v>Ms.</v>
      </c>
      <c r="E913" t="str">
        <f>IFERROR(__xludf.DUMMYFUNCTION("""COMPUTED_VALUE"""),"Apinya")</f>
        <v>Apinya</v>
      </c>
      <c r="F913" t="str">
        <f>IFERROR(__xludf.DUMMYFUNCTION("""COMPUTED_VALUE"""),"Chaisaeng")</f>
        <v>Chaisaeng</v>
      </c>
      <c r="G913" t="str">
        <f>IFERROR(__xludf.DUMMYFUNCTION("""COMPUTED_VALUE"""),"Apinya Chaisaeng")</f>
        <v>Apinya Chaisaeng</v>
      </c>
      <c r="H913" t="str">
        <f>IFERROR(__xludf.DUMMYFUNCTION("""COMPUTED_VALUE"""),"นางสาว")</f>
        <v>นางสาว</v>
      </c>
      <c r="I913" t="str">
        <f>IFERROR(__xludf.DUMMYFUNCTION("""COMPUTED_VALUE"""),"อภิญญา")</f>
        <v>อภิญญา</v>
      </c>
      <c r="J913" t="str">
        <f>IFERROR(__xludf.DUMMYFUNCTION("""COMPUTED_VALUE"""),"ไชยแสง")</f>
        <v>ไชยแสง</v>
      </c>
      <c r="K913" t="str">
        <f>IFERROR(__xludf.DUMMYFUNCTION("""COMPUTED_VALUE"""),"อภิญญา ไชยแสง")</f>
        <v>อภิญญา ไชยแสง</v>
      </c>
      <c r="L913" t="str">
        <f>IFERROR(__xludf.DUMMYFUNCTION("""COMPUTED_VALUE"""),"หมิว/Mhew")</f>
        <v>หมิว/Mhew</v>
      </c>
      <c r="M913" t="str">
        <f>IFERROR(__xludf.DUMMYFUNCTION("""COMPUTED_VALUE"""),"Senior Cabin Crew")</f>
        <v>Senior Cabin Crew</v>
      </c>
      <c r="N913" t="str">
        <f>IFERROR(__xludf.DUMMYFUNCTION("""COMPUTED_VALUE"""),"DMK")</f>
        <v>DMK</v>
      </c>
      <c r="O913" s="145" t="str">
        <f>IFERROR(__xludf.DUMMYFUNCTION("""COMPUTED_VALUE"""),"Kor Home")</f>
        <v>Kor Home</v>
      </c>
      <c r="P913" t="str">
        <f>IFERROR(__xludf.DUMMYFUNCTION("""COMPUTED_VALUE"""),"Active")</f>
        <v>Active</v>
      </c>
      <c r="R913" s="143">
        <f>IFERROR(__xludf.DUMMYFUNCTION("""COMPUTED_VALUE"""),34665.0)</f>
        <v>34665</v>
      </c>
      <c r="S913" s="146" t="str">
        <f>IFERROR(__xludf.DUMMYFUNCTION("""COMPUTED_VALUE"""),"062 629 1169")</f>
        <v>062 629 1169</v>
      </c>
      <c r="T913" s="147" t="str">
        <f>IFERROR(__xludf.DUMMYFUNCTION("""COMPUTED_VALUE"""),"1100801-07-2538")</f>
        <v>1100801-07-2538</v>
      </c>
      <c r="U913" t="str">
        <f>IFERROR(__xludf.DUMMYFUNCTION("""COMPUTED_VALUE"""),"AC3017039")</f>
        <v>AC3017039</v>
      </c>
      <c r="V913" s="148">
        <f>IFERROR(__xludf.DUMMYFUNCTION("""COMPUTED_VALUE"""),44673.0)</f>
        <v>44673</v>
      </c>
      <c r="W913" s="148">
        <f>IFERROR(__xludf.DUMMYFUNCTION("""COMPUTED_VALUE"""),48325.0)</f>
        <v>48325</v>
      </c>
      <c r="X913" s="149">
        <f>IFERROR(__xludf.DUMMYFUNCTION("""COMPUTED_VALUE"""),48142.0)</f>
        <v>48142</v>
      </c>
      <c r="Y913" t="str">
        <f>IFERROR(__xludf.DUMMYFUNCTION("""COMPUTED_VALUE"""),"ปลอดภัย")</f>
        <v>ปลอดภัย</v>
      </c>
      <c r="Z913" t="str">
        <f>IFERROR(__xludf.DUMMYFUNCTION("""COMPUTED_VALUE"""),"Bangkok")</f>
        <v>Bangkok</v>
      </c>
      <c r="AA913" t="str">
        <f>IFERROR(__xludf.DUMMYFUNCTION("""COMPUTED_VALUE"""),"Samut Prakarn")</f>
        <v>Samut Prakarn</v>
      </c>
      <c r="AB913" t="str">
        <f>IFERROR(__xludf.DUMMYFUNCTION("""COMPUTED_VALUE"""),"091-650-9961")</f>
        <v>091-650-9961</v>
      </c>
      <c r="AC913" t="str">
        <f>IFERROR(__xludf.DUMMYFUNCTION("""COMPUTED_VALUE"""),"Punyanut Butda (Mother)")</f>
        <v>Punyanut Butda (Mother)</v>
      </c>
      <c r="AD913" t="str">
        <f>IFERROR(__xludf.DUMMYFUNCTION("""COMPUTED_VALUE"""),"apinyachaisaeng@airasia.com")</f>
        <v>apinyachaisaeng@airasia.com</v>
      </c>
    </row>
    <row r="914">
      <c r="AD914" t="str">
        <f>IFERROR(__xludf.DUMMYFUNCTION("""COMPUTED_VALUE"""),"")</f>
        <v/>
      </c>
    </row>
    <row r="915">
      <c r="A915" s="142">
        <f>IFERROR(__xludf.DUMMYFUNCTION("""COMPUTED_VALUE"""),96.0)</f>
        <v>96</v>
      </c>
      <c r="B915" t="str">
        <f>IFERROR(__xludf.DUMMYFUNCTION("""COMPUTED_VALUE"""),"TAA5047")</f>
        <v>TAA5047</v>
      </c>
      <c r="C915">
        <f>IFERROR(__xludf.DUMMYFUNCTION("""COMPUTED_VALUE"""),1008211.0)</f>
        <v>1008211</v>
      </c>
      <c r="D915" t="str">
        <f>IFERROR(__xludf.DUMMYFUNCTION("""COMPUTED_VALUE"""),"Ms.")</f>
        <v>Ms.</v>
      </c>
      <c r="E915" t="str">
        <f>IFERROR(__xludf.DUMMYFUNCTION("""COMPUTED_VALUE"""),"Jinnanat")</f>
        <v>Jinnanat</v>
      </c>
      <c r="F915" t="str">
        <f>IFERROR(__xludf.DUMMYFUNCTION("""COMPUTED_VALUE"""),"Buree")</f>
        <v>Buree</v>
      </c>
      <c r="G915" t="str">
        <f>IFERROR(__xludf.DUMMYFUNCTION("""COMPUTED_VALUE"""),"Jinnanat Buree")</f>
        <v>Jinnanat Buree</v>
      </c>
      <c r="H915" t="str">
        <f>IFERROR(__xludf.DUMMYFUNCTION("""COMPUTED_VALUE"""),"นางสาว")</f>
        <v>นางสาว</v>
      </c>
      <c r="I915" t="str">
        <f>IFERROR(__xludf.DUMMYFUNCTION("""COMPUTED_VALUE"""),"จิณณ์ณณัช")</f>
        <v>จิณณ์ณณัช</v>
      </c>
      <c r="J915" t="str">
        <f>IFERROR(__xludf.DUMMYFUNCTION("""COMPUTED_VALUE"""),"บุรี")</f>
        <v>บุรี</v>
      </c>
      <c r="K915" t="str">
        <f>IFERROR(__xludf.DUMMYFUNCTION("""COMPUTED_VALUE"""),"จิณณ์ณณัช บุรี")</f>
        <v>จิณณ์ณณัช บุรี</v>
      </c>
      <c r="L915" t="str">
        <f>IFERROR(__xludf.DUMMYFUNCTION("""COMPUTED_VALUE"""),"Nid/นิด")</f>
        <v>Nid/นิด</v>
      </c>
      <c r="M915" t="str">
        <f>IFERROR(__xludf.DUMMYFUNCTION("""COMPUTED_VALUE"""),"Cabin Crew")</f>
        <v>Cabin Crew</v>
      </c>
      <c r="N915" t="str">
        <f>IFERROR(__xludf.DUMMYFUNCTION("""COMPUTED_VALUE"""),"DMK")</f>
        <v>DMK</v>
      </c>
      <c r="O915" s="145" t="str">
        <f>IFERROR(__xludf.DUMMYFUNCTION("""COMPUTED_VALUE"""),"Um Home")</f>
        <v>Um Home</v>
      </c>
      <c r="P915" t="str">
        <f>IFERROR(__xludf.DUMMYFUNCTION("""COMPUTED_VALUE"""),"Active")</f>
        <v>Active</v>
      </c>
      <c r="R915" s="143">
        <f>IFERROR(__xludf.DUMMYFUNCTION("""COMPUTED_VALUE"""),32332.0)</f>
        <v>32332</v>
      </c>
      <c r="S915" s="146" t="str">
        <f>IFERROR(__xludf.DUMMYFUNCTION("""COMPUTED_VALUE"""),"097-196-3339")</f>
        <v>097-196-3339</v>
      </c>
      <c r="T915" s="147" t="str">
        <f>IFERROR(__xludf.DUMMYFUNCTION("""COMPUTED_VALUE"""),"1-6405-00075-49-5")</f>
        <v>1-6405-00075-49-5</v>
      </c>
      <c r="U915" t="str">
        <f>IFERROR(__xludf.DUMMYFUNCTION("""COMPUTED_VALUE"""),"AD2169103")</f>
        <v>AD2169103</v>
      </c>
      <c r="V915" s="148">
        <f>IFERROR(__xludf.DUMMYFUNCTION("""COMPUTED_VALUE"""),45783.0)</f>
        <v>45783</v>
      </c>
      <c r="W915" s="152">
        <f>IFERROR(__xludf.DUMMYFUNCTION("""COMPUTED_VALUE"""),49434.0)</f>
        <v>49434</v>
      </c>
      <c r="X915" s="149">
        <f>IFERROR(__xludf.DUMMYFUNCTION("""COMPUTED_VALUE"""),49253.0)</f>
        <v>49253</v>
      </c>
      <c r="Y915" t="str">
        <f>IFERROR(__xludf.DUMMYFUNCTION("""COMPUTED_VALUE"""),"ปลอดภัย")</f>
        <v>ปลอดภัย</v>
      </c>
      <c r="Z915" t="str">
        <f>IFERROR(__xludf.DUMMYFUNCTION("""COMPUTED_VALUE"""),"Sukhothai Province")</f>
        <v>Sukhothai Province</v>
      </c>
      <c r="AA915" t="str">
        <f>IFERROR(__xludf.DUMMYFUNCTION("""COMPUTED_VALUE"""),"Bangkok")</f>
        <v>Bangkok</v>
      </c>
      <c r="AB915" t="str">
        <f>IFERROR(__xludf.DUMMYFUNCTION("""COMPUTED_VALUE"""),"081-394-4638")</f>
        <v>081-394-4638</v>
      </c>
      <c r="AC915" t="str">
        <f>IFERROR(__xludf.DUMMYFUNCTION("""COMPUTED_VALUE"""),"Somket Buree (Father)")</f>
        <v>Somket Buree (Father)</v>
      </c>
      <c r="AD915" t="str">
        <f>IFERROR(__xludf.DUMMYFUNCTION("""COMPUTED_VALUE"""),"jinnanatb@airasia.com")</f>
        <v>jinnanatb@airasia.com</v>
      </c>
    </row>
    <row r="916">
      <c r="A916" s="142">
        <f>IFERROR(__xludf.DUMMYFUNCTION("""COMPUTED_VALUE"""),96.0)</f>
        <v>96</v>
      </c>
      <c r="B916" t="str">
        <f>IFERROR(__xludf.DUMMYFUNCTION("""COMPUTED_VALUE"""),"TAA5335")</f>
        <v>TAA5335</v>
      </c>
      <c r="C916">
        <f>IFERROR(__xludf.DUMMYFUNCTION("""COMPUTED_VALUE"""),1008894.0)</f>
        <v>1008894</v>
      </c>
      <c r="D916" t="str">
        <f>IFERROR(__xludf.DUMMYFUNCTION("""COMPUTED_VALUE"""),"Mr.")</f>
        <v>Mr.</v>
      </c>
      <c r="E916" t="str">
        <f>IFERROR(__xludf.DUMMYFUNCTION("""COMPUTED_VALUE"""),"Piyaphong")</f>
        <v>Piyaphong</v>
      </c>
      <c r="F916" t="str">
        <f>IFERROR(__xludf.DUMMYFUNCTION("""COMPUTED_VALUE"""),"Hongsiri")</f>
        <v>Hongsiri</v>
      </c>
      <c r="G916" t="str">
        <f>IFERROR(__xludf.DUMMYFUNCTION("""COMPUTED_VALUE"""),"Piyaphong Hongsiri")</f>
        <v>Piyaphong Hongsiri</v>
      </c>
      <c r="H916" t="str">
        <f>IFERROR(__xludf.DUMMYFUNCTION("""COMPUTED_VALUE"""),"นาย")</f>
        <v>นาย</v>
      </c>
      <c r="I916" t="str">
        <f>IFERROR(__xludf.DUMMYFUNCTION("""COMPUTED_VALUE"""),"ปิยะพงษ์")</f>
        <v>ปิยะพงษ์</v>
      </c>
      <c r="J916" t="str">
        <f>IFERROR(__xludf.DUMMYFUNCTION("""COMPUTED_VALUE"""),"หงษ์ศิริ")</f>
        <v>หงษ์ศิริ</v>
      </c>
      <c r="K916" t="str">
        <f>IFERROR(__xludf.DUMMYFUNCTION("""COMPUTED_VALUE"""),"ปิยะพงษ์ หงษ์ศิริ")</f>
        <v>ปิยะพงษ์ หงษ์ศิริ</v>
      </c>
      <c r="L916" t="str">
        <f>IFERROR(__xludf.DUMMYFUNCTION("""COMPUTED_VALUE"""),"Tump / ตั้ม")</f>
        <v>Tump / ตั้ม</v>
      </c>
      <c r="M916" t="str">
        <f>IFERROR(__xludf.DUMMYFUNCTION("""COMPUTED_VALUE"""),"Cabin Crew")</f>
        <v>Cabin Crew</v>
      </c>
      <c r="N916" t="str">
        <f>IFERROR(__xludf.DUMMYFUNCTION("""COMPUTED_VALUE"""),"DMK")</f>
        <v>DMK</v>
      </c>
      <c r="O916" s="145" t="str">
        <f>IFERROR(__xludf.DUMMYFUNCTION("""COMPUTED_VALUE"""),"Up Home")</f>
        <v>Up Home</v>
      </c>
      <c r="P916" t="str">
        <f>IFERROR(__xludf.DUMMYFUNCTION("""COMPUTED_VALUE"""),"Active")</f>
        <v>Active</v>
      </c>
      <c r="R916" s="143">
        <f>IFERROR(__xludf.DUMMYFUNCTION("""COMPUTED_VALUE"""),32788.0)</f>
        <v>32788</v>
      </c>
      <c r="S916" s="146" t="str">
        <f>IFERROR(__xludf.DUMMYFUNCTION("""COMPUTED_VALUE"""),"061-951-4642")</f>
        <v>061-951-4642</v>
      </c>
      <c r="T916" s="147" t="str">
        <f>IFERROR(__xludf.DUMMYFUNCTION("""COMPUTED_VALUE"""),"1-2504-00176-29-3")</f>
        <v>1-2504-00176-29-3</v>
      </c>
      <c r="U916" t="str">
        <f>IFERROR(__xludf.DUMMYFUNCTION("""COMPUTED_VALUE"""),"AC7230531")</f>
        <v>AC7230531</v>
      </c>
      <c r="V916" s="148">
        <f>IFERROR(__xludf.DUMMYFUNCTION("""COMPUTED_VALUE"""),45623.0)</f>
        <v>45623</v>
      </c>
      <c r="W916" s="148">
        <f>IFERROR(__xludf.DUMMYFUNCTION("""COMPUTED_VALUE"""),49274.0)</f>
        <v>49274</v>
      </c>
      <c r="X916" s="149">
        <f>IFERROR(__xludf.DUMMYFUNCTION("""COMPUTED_VALUE"""),49090.0)</f>
        <v>49090</v>
      </c>
      <c r="Y916" t="str">
        <f>IFERROR(__xludf.DUMMYFUNCTION("""COMPUTED_VALUE"""),"ปลอดภัย")</f>
        <v>ปลอดภัย</v>
      </c>
      <c r="Z916" t="str">
        <f>IFERROR(__xludf.DUMMYFUNCTION("""COMPUTED_VALUE"""),"Prachinburi Province")</f>
        <v>Prachinburi Province</v>
      </c>
      <c r="AA916" t="str">
        <f>IFERROR(__xludf.DUMMYFUNCTION("""COMPUTED_VALUE"""),"Bangkok")</f>
        <v>Bangkok</v>
      </c>
      <c r="AB916" t="str">
        <f>IFERROR(__xludf.DUMMYFUNCTION("""COMPUTED_VALUE"""),"081-8070594")</f>
        <v>081-8070594</v>
      </c>
      <c r="AC916" t="str">
        <f>IFERROR(__xludf.DUMMYFUNCTION("""COMPUTED_VALUE"""),"Thongpoon Hongsiri (Father)")</f>
        <v>Thongpoon Hongsiri (Father)</v>
      </c>
      <c r="AD916" t="str">
        <f>IFERROR(__xludf.DUMMYFUNCTION("""COMPUTED_VALUE"""),"piyaphongh@airasia.com")</f>
        <v>piyaphongh@airasia.com</v>
      </c>
    </row>
    <row r="917">
      <c r="A917" s="142">
        <f>IFERROR(__xludf.DUMMYFUNCTION("""COMPUTED_VALUE"""),96.0)</f>
        <v>96</v>
      </c>
      <c r="C917">
        <f>IFERROR(__xludf.DUMMYFUNCTION("""COMPUTED_VALUE"""),1022754.0)</f>
        <v>1022754</v>
      </c>
      <c r="D917" t="str">
        <f>IFERROR(__xludf.DUMMYFUNCTION("""COMPUTED_VALUE"""),"Ms.")</f>
        <v>Ms.</v>
      </c>
      <c r="E917" t="str">
        <f>IFERROR(__xludf.DUMMYFUNCTION("""COMPUTED_VALUE"""),"Pawina")</f>
        <v>Pawina</v>
      </c>
      <c r="F917" t="str">
        <f>IFERROR(__xludf.DUMMYFUNCTION("""COMPUTED_VALUE"""),"Jiradilokporn")</f>
        <v>Jiradilokporn</v>
      </c>
      <c r="G917" t="str">
        <f>IFERROR(__xludf.DUMMYFUNCTION("""COMPUTED_VALUE"""),"Pawina Jiradilokporn")</f>
        <v>Pawina Jiradilokporn</v>
      </c>
      <c r="H917" t="str">
        <f>IFERROR(__xludf.DUMMYFUNCTION("""COMPUTED_VALUE"""),"นางสาว")</f>
        <v>นางสาว</v>
      </c>
      <c r="I917" t="str">
        <f>IFERROR(__xludf.DUMMYFUNCTION("""COMPUTED_VALUE"""),"ปวีณา")</f>
        <v>ปวีณา</v>
      </c>
      <c r="J917" t="str">
        <f>IFERROR(__xludf.DUMMYFUNCTION("""COMPUTED_VALUE"""),"จิรดิลกพร")</f>
        <v>จิรดิลกพร</v>
      </c>
      <c r="K917" t="str">
        <f>IFERROR(__xludf.DUMMYFUNCTION("""COMPUTED_VALUE"""),"ปวีณา จิรดิลกพร")</f>
        <v>ปวีณา จิรดิลกพร</v>
      </c>
      <c r="L917" t="str">
        <f>IFERROR(__xludf.DUMMYFUNCTION("""COMPUTED_VALUE"""),"Wina / วีณา")</f>
        <v>Wina / วีณา</v>
      </c>
      <c r="M917" t="str">
        <f>IFERROR(__xludf.DUMMYFUNCTION("""COMPUTED_VALUE"""),"Cabin Crew")</f>
        <v>Cabin Crew</v>
      </c>
      <c r="N917" t="str">
        <f>IFERROR(__xludf.DUMMYFUNCTION("""COMPUTED_VALUE"""),"DMK")</f>
        <v>DMK</v>
      </c>
      <c r="O917" s="145" t="str">
        <f>IFERROR(__xludf.DUMMYFUNCTION("""COMPUTED_VALUE"""),"Um Home")</f>
        <v>Um Home</v>
      </c>
      <c r="P917" t="str">
        <f>IFERROR(__xludf.DUMMYFUNCTION("""COMPUTED_VALUE"""),"Active")</f>
        <v>Active</v>
      </c>
      <c r="R917" s="143">
        <f>IFERROR(__xludf.DUMMYFUNCTION("""COMPUTED_VALUE"""),34340.0)</f>
        <v>34340</v>
      </c>
      <c r="S917" s="146" t="str">
        <f>IFERROR(__xludf.DUMMYFUNCTION("""COMPUTED_VALUE"""),"089-444-4914")</f>
        <v>089-444-4914</v>
      </c>
      <c r="T917" s="147" t="str">
        <f>IFERROR(__xludf.DUMMYFUNCTION("""COMPUTED_VALUE"""),"1-1020-02052-56-2")</f>
        <v>1-1020-02052-56-2</v>
      </c>
      <c r="U917" t="str">
        <f>IFERROR(__xludf.DUMMYFUNCTION("""COMPUTED_VALUE"""),"AC2938464")</f>
        <v>AC2938464</v>
      </c>
      <c r="V917" s="148">
        <f>IFERROR(__xludf.DUMMYFUNCTION("""COMPUTED_VALUE"""),44630.0)</f>
        <v>44630</v>
      </c>
      <c r="W917" s="148">
        <f>IFERROR(__xludf.DUMMYFUNCTION("""COMPUTED_VALUE"""),48282.0)</f>
        <v>48282</v>
      </c>
      <c r="X917" s="149">
        <f>IFERROR(__xludf.DUMMYFUNCTION("""COMPUTED_VALUE"""),48100.0)</f>
        <v>48100</v>
      </c>
      <c r="Y917" t="str">
        <f>IFERROR(__xludf.DUMMYFUNCTION("""COMPUTED_VALUE"""),"ปลอดภัย")</f>
        <v>ปลอดภัย</v>
      </c>
      <c r="Z917" t="str">
        <f>IFERROR(__xludf.DUMMYFUNCTION("""COMPUTED_VALUE"""),"Bangkok")</f>
        <v>Bangkok</v>
      </c>
      <c r="AA917" t="str">
        <f>IFERROR(__xludf.DUMMYFUNCTION("""COMPUTED_VALUE"""),"Bangkok")</f>
        <v>Bangkok</v>
      </c>
      <c r="AB917" t="str">
        <f>IFERROR(__xludf.DUMMYFUNCTION("""COMPUTED_VALUE"""),"089-219-8771")</f>
        <v>089-219-8771</v>
      </c>
      <c r="AC917" t="str">
        <f>IFERROR(__xludf.DUMMYFUNCTION("""COMPUTED_VALUE"""),"Panorm Jiradilokporn (Mother)")</f>
        <v>Panorm Jiradilokporn (Mother)</v>
      </c>
      <c r="AD917" t="str">
        <f>IFERROR(__xludf.DUMMYFUNCTION("""COMPUTED_VALUE"""),"pawinajiradilokporn@airasia.com")</f>
        <v>pawinajiradilokporn@airasia.com</v>
      </c>
    </row>
    <row r="918">
      <c r="A918" s="142">
        <f>IFERROR(__xludf.DUMMYFUNCTION("""COMPUTED_VALUE"""),96.0)</f>
        <v>96</v>
      </c>
      <c r="C918">
        <f>IFERROR(__xludf.DUMMYFUNCTION("""COMPUTED_VALUE"""),1022839.0)</f>
        <v>1022839</v>
      </c>
      <c r="D918" t="str">
        <f>IFERROR(__xludf.DUMMYFUNCTION("""COMPUTED_VALUE"""),"Ms.")</f>
        <v>Ms.</v>
      </c>
      <c r="E918" t="str">
        <f>IFERROR(__xludf.DUMMYFUNCTION("""COMPUTED_VALUE"""),"Apichaya")</f>
        <v>Apichaya</v>
      </c>
      <c r="F918" t="str">
        <f>IFERROR(__xludf.DUMMYFUNCTION("""COMPUTED_VALUE"""),"Wijitr")</f>
        <v>Wijitr</v>
      </c>
      <c r="G918" t="str">
        <f>IFERROR(__xludf.DUMMYFUNCTION("""COMPUTED_VALUE"""),"Apichaya Wijitr")</f>
        <v>Apichaya Wijitr</v>
      </c>
      <c r="H918" t="str">
        <f>IFERROR(__xludf.DUMMYFUNCTION("""COMPUTED_VALUE"""),"นางสาว")</f>
        <v>นางสาว</v>
      </c>
      <c r="I918" t="str">
        <f>IFERROR(__xludf.DUMMYFUNCTION("""COMPUTED_VALUE"""),"อภิชญา")</f>
        <v>อภิชญา</v>
      </c>
      <c r="J918" t="str">
        <f>IFERROR(__xludf.DUMMYFUNCTION("""COMPUTED_VALUE"""),"วิจิตร")</f>
        <v>วิจิตร</v>
      </c>
      <c r="K918" t="str">
        <f>IFERROR(__xludf.DUMMYFUNCTION("""COMPUTED_VALUE"""),"อภิชญา วิจิตร")</f>
        <v>อภิชญา วิจิตร</v>
      </c>
      <c r="L918" t="str">
        <f>IFERROR(__xludf.DUMMYFUNCTION("""COMPUTED_VALUE"""),"Cream/ครีม")</f>
        <v>Cream/ครีม</v>
      </c>
      <c r="M918" t="str">
        <f>IFERROR(__xludf.DUMMYFUNCTION("""COMPUTED_VALUE"""),"Cabin Crew")</f>
        <v>Cabin Crew</v>
      </c>
      <c r="N918" t="str">
        <f>IFERROR(__xludf.DUMMYFUNCTION("""COMPUTED_VALUE"""),"DMK")</f>
        <v>DMK</v>
      </c>
      <c r="O918" s="145" t="str">
        <f>IFERROR(__xludf.DUMMYFUNCTION("""COMPUTED_VALUE"""),"Um Home")</f>
        <v>Um Home</v>
      </c>
      <c r="P918" t="str">
        <f>IFERROR(__xludf.DUMMYFUNCTION("""COMPUTED_VALUE"""),"Active")</f>
        <v>Active</v>
      </c>
      <c r="R918" s="143">
        <f>IFERROR(__xludf.DUMMYFUNCTION("""COMPUTED_VALUE"""),34397.0)</f>
        <v>34397</v>
      </c>
      <c r="S918" s="146" t="str">
        <f>IFERROR(__xludf.DUMMYFUNCTION("""COMPUTED_VALUE"""),"090-993-6022")</f>
        <v>090-993-6022</v>
      </c>
      <c r="T918" s="147" t="str">
        <f>IFERROR(__xludf.DUMMYFUNCTION("""COMPUTED_VALUE"""),"1-2097-00526-92-1")</f>
        <v>1-2097-00526-92-1</v>
      </c>
      <c r="U918" t="str">
        <f>IFERROR(__xludf.DUMMYFUNCTION("""COMPUTED_VALUE"""),"AC2612357")</f>
        <v>AC2612357</v>
      </c>
      <c r="V918" s="148">
        <f>IFERROR(__xludf.DUMMYFUNCTION("""COMPUTED_VALUE"""),44539.0)</f>
        <v>44539</v>
      </c>
      <c r="W918" s="148">
        <f>IFERROR(__xludf.DUMMYFUNCTION("""COMPUTED_VALUE"""),48190.0)</f>
        <v>48190</v>
      </c>
      <c r="X918" s="149">
        <f>IFERROR(__xludf.DUMMYFUNCTION("""COMPUTED_VALUE"""),48007.0)</f>
        <v>48007</v>
      </c>
      <c r="Y918" t="str">
        <f>IFERROR(__xludf.DUMMYFUNCTION("""COMPUTED_VALUE"""),"ปลอดภัย")</f>
        <v>ปลอดภัย</v>
      </c>
      <c r="Z918" t="str">
        <f>IFERROR(__xludf.DUMMYFUNCTION("""COMPUTED_VALUE"""),"Chonburi Province")</f>
        <v>Chonburi Province</v>
      </c>
      <c r="AA918" t="str">
        <f>IFERROR(__xludf.DUMMYFUNCTION("""COMPUTED_VALUE"""),"Bangkok")</f>
        <v>Bangkok</v>
      </c>
      <c r="AB918" t="str">
        <f>IFERROR(__xludf.DUMMYFUNCTION("""COMPUTED_VALUE"""),"089 939 4407")</f>
        <v>089 939 4407</v>
      </c>
      <c r="AC918" t="str">
        <f>IFERROR(__xludf.DUMMYFUNCTION("""COMPUTED_VALUE"""),"Wasana Wijitr (Mother)")</f>
        <v>Wasana Wijitr (Mother)</v>
      </c>
      <c r="AD918" t="str">
        <f>IFERROR(__xludf.DUMMYFUNCTION("""COMPUTED_VALUE"""),"apichayawijitr@airasia.com")</f>
        <v>apichayawijitr@airasia.com</v>
      </c>
    </row>
    <row r="919">
      <c r="A919" s="142">
        <f>IFERROR(__xludf.DUMMYFUNCTION("""COMPUTED_VALUE"""),96.0)</f>
        <v>96</v>
      </c>
      <c r="C919">
        <f>IFERROR(__xludf.DUMMYFUNCTION("""COMPUTED_VALUE"""),1022845.0)</f>
        <v>1022845</v>
      </c>
      <c r="D919" t="str">
        <f>IFERROR(__xludf.DUMMYFUNCTION("""COMPUTED_VALUE"""),"Ms.")</f>
        <v>Ms.</v>
      </c>
      <c r="E919" t="str">
        <f>IFERROR(__xludf.DUMMYFUNCTION("""COMPUTED_VALUE"""),"Phattharasiri")</f>
        <v>Phattharasiri</v>
      </c>
      <c r="F919" t="str">
        <f>IFERROR(__xludf.DUMMYFUNCTION("""COMPUTED_VALUE"""),"Kamkhow")</f>
        <v>Kamkhow</v>
      </c>
      <c r="G919" t="str">
        <f>IFERROR(__xludf.DUMMYFUNCTION("""COMPUTED_VALUE"""),"Phattharasiri Kamkhow")</f>
        <v>Phattharasiri Kamkhow</v>
      </c>
      <c r="H919" t="str">
        <f>IFERROR(__xludf.DUMMYFUNCTION("""COMPUTED_VALUE"""),"นางสาว")</f>
        <v>นางสาว</v>
      </c>
      <c r="I919" t="str">
        <f>IFERROR(__xludf.DUMMYFUNCTION("""COMPUTED_VALUE"""),"ภัทรสิริ")</f>
        <v>ภัทรสิริ</v>
      </c>
      <c r="J919" t="str">
        <f>IFERROR(__xludf.DUMMYFUNCTION("""COMPUTED_VALUE"""),"คำขาว")</f>
        <v>คำขาว</v>
      </c>
      <c r="K919" t="str">
        <f>IFERROR(__xludf.DUMMYFUNCTION("""COMPUTED_VALUE"""),"ภัทรสิริ คำขาว")</f>
        <v>ภัทรสิริ คำขาว</v>
      </c>
      <c r="L919" t="str">
        <f>IFERROR(__xludf.DUMMYFUNCTION("""COMPUTED_VALUE"""),"Bee / บี")</f>
        <v>Bee / บี</v>
      </c>
      <c r="M919" t="str">
        <f>IFERROR(__xludf.DUMMYFUNCTION("""COMPUTED_VALUE"""),"Cabin Crew")</f>
        <v>Cabin Crew</v>
      </c>
      <c r="N919" t="str">
        <f>IFERROR(__xludf.DUMMYFUNCTION("""COMPUTED_VALUE"""),"DMK")</f>
        <v>DMK</v>
      </c>
      <c r="O919" s="145" t="str">
        <f>IFERROR(__xludf.DUMMYFUNCTION("""COMPUTED_VALUE"""),"Kor Home")</f>
        <v>Kor Home</v>
      </c>
      <c r="P919" t="str">
        <f>IFERROR(__xludf.DUMMYFUNCTION("""COMPUTED_VALUE"""),"Active")</f>
        <v>Active</v>
      </c>
      <c r="R919" s="143">
        <f>IFERROR(__xludf.DUMMYFUNCTION("""COMPUTED_VALUE"""),33107.0)</f>
        <v>33107</v>
      </c>
      <c r="S919" s="146" t="str">
        <f>IFERROR(__xludf.DUMMYFUNCTION("""COMPUTED_VALUE"""),"064-659-2442")</f>
        <v>064-659-2442</v>
      </c>
      <c r="T919" s="147" t="str">
        <f>IFERROR(__xludf.DUMMYFUNCTION("""COMPUTED_VALUE"""),"1-1802-00059-72-3")</f>
        <v>1-1802-00059-72-3</v>
      </c>
      <c r="U919" t="str">
        <f>IFERROR(__xludf.DUMMYFUNCTION("""COMPUTED_VALUE"""),"AD1572812")</f>
        <v>AD1572812</v>
      </c>
      <c r="V919" s="148">
        <f>IFERROR(__xludf.DUMMYFUNCTION("""COMPUTED_VALUE"""),45306.0)</f>
        <v>45306</v>
      </c>
      <c r="W919" s="148">
        <f>IFERROR(__xludf.DUMMYFUNCTION("""COMPUTED_VALUE"""),48958.0)</f>
        <v>48958</v>
      </c>
      <c r="X919" s="149">
        <f>IFERROR(__xludf.DUMMYFUNCTION("""COMPUTED_VALUE"""),48774.0)</f>
        <v>48774</v>
      </c>
      <c r="Y919" t="str">
        <f>IFERROR(__xludf.DUMMYFUNCTION("""COMPUTED_VALUE"""),"ปลอดภัย")</f>
        <v>ปลอดภัย</v>
      </c>
      <c r="Z919" t="str">
        <f>IFERROR(__xludf.DUMMYFUNCTION("""COMPUTED_VALUE"""),"Chainat Province")</f>
        <v>Chainat Province</v>
      </c>
      <c r="AA919" t="str">
        <f>IFERROR(__xludf.DUMMYFUNCTION("""COMPUTED_VALUE"""),"Bangkok")</f>
        <v>Bangkok</v>
      </c>
      <c r="AB919" t="str">
        <f>IFERROR(__xludf.DUMMYFUNCTION("""COMPUTED_VALUE"""),"081 674 5849")</f>
        <v>081 674 5849</v>
      </c>
      <c r="AC919" t="str">
        <f>IFERROR(__xludf.DUMMYFUNCTION("""COMPUTED_VALUE"""),"Jearjan Kamkhow (Mother)")</f>
        <v>Jearjan Kamkhow (Mother)</v>
      </c>
      <c r="AD919" t="str">
        <f>IFERROR(__xludf.DUMMYFUNCTION("""COMPUTED_VALUE"""),"phattharasirikamkhow@airasia.com")</f>
        <v>phattharasirikamkhow@airasia.com</v>
      </c>
    </row>
    <row r="920">
      <c r="A920" s="142">
        <f>IFERROR(__xludf.DUMMYFUNCTION("""COMPUTED_VALUE"""),96.0)</f>
        <v>96</v>
      </c>
      <c r="C920">
        <f>IFERROR(__xludf.DUMMYFUNCTION("""COMPUTED_VALUE"""),1022846.0)</f>
        <v>1022846</v>
      </c>
      <c r="D920" t="str">
        <f>IFERROR(__xludf.DUMMYFUNCTION("""COMPUTED_VALUE"""),"Ms.")</f>
        <v>Ms.</v>
      </c>
      <c r="E920" t="str">
        <f>IFERROR(__xludf.DUMMYFUNCTION("""COMPUTED_VALUE"""),"Tattiya")</f>
        <v>Tattiya</v>
      </c>
      <c r="F920" t="str">
        <f>IFERROR(__xludf.DUMMYFUNCTION("""COMPUTED_VALUE"""),"Supannabut")</f>
        <v>Supannabut</v>
      </c>
      <c r="G920" t="str">
        <f>IFERROR(__xludf.DUMMYFUNCTION("""COMPUTED_VALUE"""),"Tattiya Supannabut")</f>
        <v>Tattiya Supannabut</v>
      </c>
      <c r="H920" t="str">
        <f>IFERROR(__xludf.DUMMYFUNCTION("""COMPUTED_VALUE"""),"นางสาว")</f>
        <v>นางสาว</v>
      </c>
      <c r="I920" t="str">
        <f>IFERROR(__xludf.DUMMYFUNCTION("""COMPUTED_VALUE"""),"ทัตติยา")</f>
        <v>ทัตติยา</v>
      </c>
      <c r="J920" t="str">
        <f>IFERROR(__xludf.DUMMYFUNCTION("""COMPUTED_VALUE"""),"สุพรรณบัฏ")</f>
        <v>สุพรรณบัฏ</v>
      </c>
      <c r="K920" t="str">
        <f>IFERROR(__xludf.DUMMYFUNCTION("""COMPUTED_VALUE"""),"ทัตติยา สุพรรณบัฏ")</f>
        <v>ทัตติยา สุพรรณบัฏ</v>
      </c>
      <c r="L920" t="str">
        <f>IFERROR(__xludf.DUMMYFUNCTION("""COMPUTED_VALUE"""),"Senmee / เส้นหมี่")</f>
        <v>Senmee / เส้นหมี่</v>
      </c>
      <c r="M920" t="str">
        <f>IFERROR(__xludf.DUMMYFUNCTION("""COMPUTED_VALUE"""),"Cabin Crew - BKK")</f>
        <v>Cabin Crew - BKK</v>
      </c>
      <c r="N920" t="str">
        <f>IFERROR(__xludf.DUMMYFUNCTION("""COMPUTED_VALUE"""),"BKK")</f>
        <v>BKK</v>
      </c>
      <c r="O920" s="145" t="str">
        <f>IFERROR(__xludf.DUMMYFUNCTION("""COMPUTED_VALUE"""),"Nhui Home")</f>
        <v>Nhui Home</v>
      </c>
      <c r="P920" t="str">
        <f>IFERROR(__xludf.DUMMYFUNCTION("""COMPUTED_VALUE"""),"Active")</f>
        <v>Active</v>
      </c>
      <c r="R920" s="143">
        <f>IFERROR(__xludf.DUMMYFUNCTION("""COMPUTED_VALUE"""),33397.0)</f>
        <v>33397</v>
      </c>
      <c r="S920" s="146" t="str">
        <f>IFERROR(__xludf.DUMMYFUNCTION("""COMPUTED_VALUE"""),"088-078-9955")</f>
        <v>088-078-9955</v>
      </c>
      <c r="T920" s="147" t="str">
        <f>IFERROR(__xludf.DUMMYFUNCTION("""COMPUTED_VALUE"""),"1-1037-00478-69-8")</f>
        <v>1-1037-00478-69-8</v>
      </c>
      <c r="U920" t="str">
        <f>IFERROR(__xludf.DUMMYFUNCTION("""COMPUTED_VALUE"""),"AC6741308")</f>
        <v>AC6741308</v>
      </c>
      <c r="V920" s="148">
        <f>IFERROR(__xludf.DUMMYFUNCTION("""COMPUTED_VALUE"""),45420.0)</f>
        <v>45420</v>
      </c>
      <c r="W920" s="148">
        <f>IFERROR(__xludf.DUMMYFUNCTION("""COMPUTED_VALUE"""),49071.0)</f>
        <v>49071</v>
      </c>
      <c r="X920" s="149">
        <f>IFERROR(__xludf.DUMMYFUNCTION("""COMPUTED_VALUE"""),48890.0)</f>
        <v>48890</v>
      </c>
      <c r="Y920" t="str">
        <f>IFERROR(__xludf.DUMMYFUNCTION("""COMPUTED_VALUE"""),"ปลอดภัย")</f>
        <v>ปลอดภัย</v>
      </c>
      <c r="Z920" t="str">
        <f>IFERROR(__xludf.DUMMYFUNCTION("""COMPUTED_VALUE"""),"Bangkok")</f>
        <v>Bangkok</v>
      </c>
      <c r="AA920" t="str">
        <f>IFERROR(__xludf.DUMMYFUNCTION("""COMPUTED_VALUE"""),"Bangkok")</f>
        <v>Bangkok</v>
      </c>
      <c r="AB920" t="str">
        <f>IFERROR(__xludf.DUMMYFUNCTION("""COMPUTED_VALUE"""),"087-075-2590")</f>
        <v>087-075-2590</v>
      </c>
      <c r="AC920" t="str">
        <f>IFERROR(__xludf.DUMMYFUNCTION("""COMPUTED_VALUE"""),"Aungsunee Supannabut (Mother)")</f>
        <v>Aungsunee Supannabut (Mother)</v>
      </c>
      <c r="AD920" t="str">
        <f>IFERROR(__xludf.DUMMYFUNCTION("""COMPUTED_VALUE"""),"tattiyasupannabut@airasia.com")</f>
        <v>tattiyasupannabut@airasia.com</v>
      </c>
    </row>
    <row r="921">
      <c r="A921" s="142">
        <f>IFERROR(__xludf.DUMMYFUNCTION("""COMPUTED_VALUE"""),96.0)</f>
        <v>96</v>
      </c>
      <c r="C921">
        <f>IFERROR(__xludf.DUMMYFUNCTION("""COMPUTED_VALUE"""),1022847.0)</f>
        <v>1022847</v>
      </c>
      <c r="D921" t="str">
        <f>IFERROR(__xludf.DUMMYFUNCTION("""COMPUTED_VALUE"""),"Ms.")</f>
        <v>Ms.</v>
      </c>
      <c r="E921" t="str">
        <f>IFERROR(__xludf.DUMMYFUNCTION("""COMPUTED_VALUE"""),"Natchapapha")</f>
        <v>Natchapapha</v>
      </c>
      <c r="F921" t="str">
        <f>IFERROR(__xludf.DUMMYFUNCTION("""COMPUTED_VALUE"""),"Surakhunthod")</f>
        <v>Surakhunthod</v>
      </c>
      <c r="G921" t="str">
        <f>IFERROR(__xludf.DUMMYFUNCTION("""COMPUTED_VALUE"""),"Natchapapha Surakhunthod")</f>
        <v>Natchapapha Surakhunthod</v>
      </c>
      <c r="H921" t="str">
        <f>IFERROR(__xludf.DUMMYFUNCTION("""COMPUTED_VALUE"""),"นางสาว")</f>
        <v>นางสาว</v>
      </c>
      <c r="I921" t="str">
        <f>IFERROR(__xludf.DUMMYFUNCTION("""COMPUTED_VALUE"""),"ณัชปภา")</f>
        <v>ณัชปภา</v>
      </c>
      <c r="J921" t="str">
        <f>IFERROR(__xludf.DUMMYFUNCTION("""COMPUTED_VALUE"""),"สุระขุนทด")</f>
        <v>สุระขุนทด</v>
      </c>
      <c r="K921" t="str">
        <f>IFERROR(__xludf.DUMMYFUNCTION("""COMPUTED_VALUE"""),"ณัชปภา สุระขุนทด")</f>
        <v>ณัชปภา สุระขุนทด</v>
      </c>
      <c r="L921" t="str">
        <f>IFERROR(__xludf.DUMMYFUNCTION("""COMPUTED_VALUE"""),"Teaw/แต้ว")</f>
        <v>Teaw/แต้ว</v>
      </c>
      <c r="M921" t="str">
        <f>IFERROR(__xludf.DUMMYFUNCTION("""COMPUTED_VALUE"""),"Cabin Crew - BKK")</f>
        <v>Cabin Crew - BKK</v>
      </c>
      <c r="N921" t="str">
        <f>IFERROR(__xludf.DUMMYFUNCTION("""COMPUTED_VALUE"""),"BKK")</f>
        <v>BKK</v>
      </c>
      <c r="O921" s="145" t="str">
        <f>IFERROR(__xludf.DUMMYFUNCTION("""COMPUTED_VALUE"""),"Nhui Home")</f>
        <v>Nhui Home</v>
      </c>
      <c r="P921" t="str">
        <f>IFERROR(__xludf.DUMMYFUNCTION("""COMPUTED_VALUE"""),"Active")</f>
        <v>Active</v>
      </c>
      <c r="R921" s="143">
        <f>IFERROR(__xludf.DUMMYFUNCTION("""COMPUTED_VALUE"""),32588.0)</f>
        <v>32588</v>
      </c>
      <c r="S921" s="146" t="str">
        <f>IFERROR(__xludf.DUMMYFUNCTION("""COMPUTED_VALUE"""),"098-096-5636")</f>
        <v>098-096-5636</v>
      </c>
      <c r="T921" s="147" t="str">
        <f>IFERROR(__xludf.DUMMYFUNCTION("""COMPUTED_VALUE"""),"1-3607-00055-23-7")</f>
        <v>1-3607-00055-23-7</v>
      </c>
      <c r="U921" t="str">
        <f>IFERROR(__xludf.DUMMYFUNCTION("""COMPUTED_VALUE"""),"AD1462658")</f>
        <v>AD1462658</v>
      </c>
      <c r="V921" s="148">
        <f>IFERROR(__xludf.DUMMYFUNCTION("""COMPUTED_VALUE"""),45243.0)</f>
        <v>45243</v>
      </c>
      <c r="W921" s="148">
        <f>IFERROR(__xludf.DUMMYFUNCTION("""COMPUTED_VALUE"""),48895.0)</f>
        <v>48895</v>
      </c>
      <c r="X921" s="149">
        <f>IFERROR(__xludf.DUMMYFUNCTION("""COMPUTED_VALUE"""),48711.0)</f>
        <v>48711</v>
      </c>
      <c r="Y921" t="str">
        <f>IFERROR(__xludf.DUMMYFUNCTION("""COMPUTED_VALUE"""),"ปลอดภัย")</f>
        <v>ปลอดภัย</v>
      </c>
      <c r="Z921" t="str">
        <f>IFERROR(__xludf.DUMMYFUNCTION("""COMPUTED_VALUE"""),"Chaiyaphum Province")</f>
        <v>Chaiyaphum Province</v>
      </c>
      <c r="AA921" t="str">
        <f>IFERROR(__xludf.DUMMYFUNCTION("""COMPUTED_VALUE"""),"Bangkok")</f>
        <v>Bangkok</v>
      </c>
      <c r="AB921" t="str">
        <f>IFERROR(__xludf.DUMMYFUNCTION("""COMPUTED_VALUE"""),"086-0038619")</f>
        <v>086-0038619</v>
      </c>
      <c r="AC921" t="str">
        <f>IFERROR(__xludf.DUMMYFUNCTION("""COMPUTED_VALUE"""),"Kamdee Surakhunthod (Mother)")</f>
        <v>Kamdee Surakhunthod (Mother)</v>
      </c>
      <c r="AD921" t="str">
        <f>IFERROR(__xludf.DUMMYFUNCTION("""COMPUTED_VALUE"""),"natchapaphasurakhun@airasia.com")</f>
        <v>natchapaphasurakhun@airasia.com</v>
      </c>
    </row>
    <row r="922">
      <c r="A922" s="142">
        <f>IFERROR(__xludf.DUMMYFUNCTION("""COMPUTED_VALUE"""),96.0)</f>
        <v>96</v>
      </c>
      <c r="C922">
        <f>IFERROR(__xludf.DUMMYFUNCTION("""COMPUTED_VALUE"""),1022848.0)</f>
        <v>1022848</v>
      </c>
      <c r="D922" t="str">
        <f>IFERROR(__xludf.DUMMYFUNCTION("""COMPUTED_VALUE"""),"Ms.")</f>
        <v>Ms.</v>
      </c>
      <c r="E922" t="str">
        <f>IFERROR(__xludf.DUMMYFUNCTION("""COMPUTED_VALUE"""),"Danita")</f>
        <v>Danita</v>
      </c>
      <c r="F922" t="str">
        <f>IFERROR(__xludf.DUMMYFUNCTION("""COMPUTED_VALUE"""),"Prakrittipong")</f>
        <v>Prakrittipong</v>
      </c>
      <c r="G922" t="str">
        <f>IFERROR(__xludf.DUMMYFUNCTION("""COMPUTED_VALUE"""),"Danita Prakrittipong")</f>
        <v>Danita Prakrittipong</v>
      </c>
      <c r="H922" t="str">
        <f>IFERROR(__xludf.DUMMYFUNCTION("""COMPUTED_VALUE"""),"นางสาว")</f>
        <v>นางสาว</v>
      </c>
      <c r="I922" t="str">
        <f>IFERROR(__xludf.DUMMYFUNCTION("""COMPUTED_VALUE"""),"ดนิตา")</f>
        <v>ดนิตา</v>
      </c>
      <c r="J922" t="str">
        <f>IFERROR(__xludf.DUMMYFUNCTION("""COMPUTED_VALUE"""),"ประกฤติพงศ์")</f>
        <v>ประกฤติพงศ์</v>
      </c>
      <c r="K922" t="str">
        <f>IFERROR(__xludf.DUMMYFUNCTION("""COMPUTED_VALUE"""),"ดนิตา ประกฤติพงศ์")</f>
        <v>ดนิตา ประกฤติพงศ์</v>
      </c>
      <c r="L922" t="str">
        <f>IFERROR(__xludf.DUMMYFUNCTION("""COMPUTED_VALUE"""),"Dew / ดิว")</f>
        <v>Dew / ดิว</v>
      </c>
      <c r="M922" t="str">
        <f>IFERROR(__xludf.DUMMYFUNCTION("""COMPUTED_VALUE"""),"Cabin Crew")</f>
        <v>Cabin Crew</v>
      </c>
      <c r="N922" t="str">
        <f>IFERROR(__xludf.DUMMYFUNCTION("""COMPUTED_VALUE"""),"DMK")</f>
        <v>DMK</v>
      </c>
      <c r="O922" s="145" t="str">
        <f>IFERROR(__xludf.DUMMYFUNCTION("""COMPUTED_VALUE"""),"Toffy Home")</f>
        <v>Toffy Home</v>
      </c>
      <c r="P922" t="str">
        <f>IFERROR(__xludf.DUMMYFUNCTION("""COMPUTED_VALUE"""),"Active")</f>
        <v>Active</v>
      </c>
      <c r="R922" s="143">
        <f>IFERROR(__xludf.DUMMYFUNCTION("""COMPUTED_VALUE"""),33333.0)</f>
        <v>33333</v>
      </c>
      <c r="S922" s="146" t="str">
        <f>IFERROR(__xludf.DUMMYFUNCTION("""COMPUTED_VALUE"""),"085-355-9693")</f>
        <v>085-355-9693</v>
      </c>
      <c r="T922" s="147" t="str">
        <f>IFERROR(__xludf.DUMMYFUNCTION("""COMPUTED_VALUE"""),"1-1028-00011-54-5")</f>
        <v>1-1028-00011-54-5</v>
      </c>
      <c r="U922" t="str">
        <f>IFERROR(__xludf.DUMMYFUNCTION("""COMPUTED_VALUE"""),"AC7711421")</f>
        <v>AC7711421</v>
      </c>
      <c r="V922" s="148">
        <f>IFERROR(__xludf.DUMMYFUNCTION("""COMPUTED_VALUE"""),45630.0)</f>
        <v>45630</v>
      </c>
      <c r="W922" s="148">
        <f>IFERROR(__xludf.DUMMYFUNCTION("""COMPUTED_VALUE"""),49281.0)</f>
        <v>49281</v>
      </c>
      <c r="X922" s="149">
        <f>IFERROR(__xludf.DUMMYFUNCTION("""COMPUTED_VALUE"""),49098.0)</f>
        <v>49098</v>
      </c>
      <c r="Y922" t="str">
        <f>IFERROR(__xludf.DUMMYFUNCTION("""COMPUTED_VALUE"""),"ปลอดภัย")</f>
        <v>ปลอดภัย</v>
      </c>
      <c r="Z922" t="str">
        <f>IFERROR(__xludf.DUMMYFUNCTION("""COMPUTED_VALUE"""),"Bangkok")</f>
        <v>Bangkok</v>
      </c>
      <c r="AA922" t="str">
        <f>IFERROR(__xludf.DUMMYFUNCTION("""COMPUTED_VALUE"""),"Bangkok")</f>
        <v>Bangkok</v>
      </c>
      <c r="AB922" t="str">
        <f>IFERROR(__xludf.DUMMYFUNCTION("""COMPUTED_VALUE"""),"080-591-9924")</f>
        <v>080-591-9924</v>
      </c>
      <c r="AC922" t="str">
        <f>IFERROR(__xludf.DUMMYFUNCTION("""COMPUTED_VALUE"""),"Siraluk Prakrittipong (Mother)")</f>
        <v>Siraluk Prakrittipong (Mother)</v>
      </c>
      <c r="AD922" t="str">
        <f>IFERROR(__xludf.DUMMYFUNCTION("""COMPUTED_VALUE"""),"danitaprakrittipong@airasia.com")</f>
        <v>danitaprakrittipong@airasia.com</v>
      </c>
    </row>
    <row r="923">
      <c r="A923" s="142">
        <f>IFERROR(__xludf.DUMMYFUNCTION("""COMPUTED_VALUE"""),96.0)</f>
        <v>96</v>
      </c>
      <c r="C923">
        <f>IFERROR(__xludf.DUMMYFUNCTION("""COMPUTED_VALUE"""),1022858.0)</f>
        <v>1022858</v>
      </c>
      <c r="D923" t="str">
        <f>IFERROR(__xludf.DUMMYFUNCTION("""COMPUTED_VALUE"""),"Ms.")</f>
        <v>Ms.</v>
      </c>
      <c r="E923" t="str">
        <f>IFERROR(__xludf.DUMMYFUNCTION("""COMPUTED_VALUE"""),"Methakarn")</f>
        <v>Methakarn</v>
      </c>
      <c r="F923" t="str">
        <f>IFERROR(__xludf.DUMMYFUNCTION("""COMPUTED_VALUE"""),"Ratanamalaya")</f>
        <v>Ratanamalaya</v>
      </c>
      <c r="G923" t="str">
        <f>IFERROR(__xludf.DUMMYFUNCTION("""COMPUTED_VALUE"""),"Methakarn Ratanamalaya")</f>
        <v>Methakarn Ratanamalaya</v>
      </c>
      <c r="H923" t="str">
        <f>IFERROR(__xludf.DUMMYFUNCTION("""COMPUTED_VALUE"""),"นางสาว")</f>
        <v>นางสาว</v>
      </c>
      <c r="I923" t="str">
        <f>IFERROR(__xludf.DUMMYFUNCTION("""COMPUTED_VALUE"""),"เมธากาญจน์")</f>
        <v>เมธากาญจน์</v>
      </c>
      <c r="J923" t="str">
        <f>IFERROR(__xludf.DUMMYFUNCTION("""COMPUTED_VALUE"""),"รัตนมาลัย")</f>
        <v>รัตนมาลัย</v>
      </c>
      <c r="K923" t="str">
        <f>IFERROR(__xludf.DUMMYFUNCTION("""COMPUTED_VALUE"""),"เมธากาญจน์ รัตนมาลัย")</f>
        <v>เมธากาญจน์ รัตนมาลัย</v>
      </c>
      <c r="L923" t="str">
        <f>IFERROR(__xludf.DUMMYFUNCTION("""COMPUTED_VALUE"""),"Karnban / การบ้าน")</f>
        <v>Karnban / การบ้าน</v>
      </c>
      <c r="M923" t="str">
        <f>IFERROR(__xludf.DUMMYFUNCTION("""COMPUTED_VALUE"""),"Cabin Crew")</f>
        <v>Cabin Crew</v>
      </c>
      <c r="N923" t="str">
        <f>IFERROR(__xludf.DUMMYFUNCTION("""COMPUTED_VALUE"""),"DMK")</f>
        <v>DMK</v>
      </c>
      <c r="O923" s="145" t="str">
        <f>IFERROR(__xludf.DUMMYFUNCTION("""COMPUTED_VALUE"""),"Por+ Home")</f>
        <v>Por+ Home</v>
      </c>
      <c r="P923" t="str">
        <f>IFERROR(__xludf.DUMMYFUNCTION("""COMPUTED_VALUE"""),"Active")</f>
        <v>Active</v>
      </c>
      <c r="R923" s="143">
        <f>IFERROR(__xludf.DUMMYFUNCTION("""COMPUTED_VALUE"""),33025.0)</f>
        <v>33025</v>
      </c>
      <c r="S923" s="146" t="str">
        <f>IFERROR(__xludf.DUMMYFUNCTION("""COMPUTED_VALUE"""),"091-151-9922")</f>
        <v>091-151-9922</v>
      </c>
      <c r="T923" s="147" t="str">
        <f>IFERROR(__xludf.DUMMYFUNCTION("""COMPUTED_VALUE"""),"1-3099-00594-14-8")</f>
        <v>1-3099-00594-14-8</v>
      </c>
      <c r="U923" t="str">
        <f>IFERROR(__xludf.DUMMYFUNCTION("""COMPUTED_VALUE"""),"AD2020404")</f>
        <v>AD2020404</v>
      </c>
      <c r="V923" s="148">
        <f>IFERROR(__xludf.DUMMYFUNCTION("""COMPUTED_VALUE"""),45453.0)</f>
        <v>45453</v>
      </c>
      <c r="W923" s="148">
        <f>IFERROR(__xludf.DUMMYFUNCTION("""COMPUTED_VALUE"""),49104.0)</f>
        <v>49104</v>
      </c>
      <c r="X923" s="149">
        <f>IFERROR(__xludf.DUMMYFUNCTION("""COMPUTED_VALUE"""),48922.0)</f>
        <v>48922</v>
      </c>
      <c r="Y923" t="str">
        <f>IFERROR(__xludf.DUMMYFUNCTION("""COMPUTED_VALUE"""),"ปลอดภัย")</f>
        <v>ปลอดภัย</v>
      </c>
      <c r="Z923" t="str">
        <f>IFERROR(__xludf.DUMMYFUNCTION("""COMPUTED_VALUE"""),"Nakhon Ratchasima Province")</f>
        <v>Nakhon Ratchasima Province</v>
      </c>
      <c r="AA923" t="str">
        <f>IFERROR(__xludf.DUMMYFUNCTION("""COMPUTED_VALUE"""),"Bangkok")</f>
        <v>Bangkok</v>
      </c>
      <c r="AB923" t="str">
        <f>IFERROR(__xludf.DUMMYFUNCTION("""COMPUTED_VALUE"""),"081-455-5412")</f>
        <v>081-455-5412</v>
      </c>
      <c r="AC923" t="str">
        <f>IFERROR(__xludf.DUMMYFUNCTION("""COMPUTED_VALUE"""),"Oranuch Ratanamalaya (Mother)")</f>
        <v>Oranuch Ratanamalaya (Mother)</v>
      </c>
      <c r="AD923" t="str">
        <f>IFERROR(__xludf.DUMMYFUNCTION("""COMPUTED_VALUE"""),"methakarnratanamala@airasia.com")</f>
        <v>methakarnratanamala@airasia.com</v>
      </c>
    </row>
    <row r="924">
      <c r="A924" s="142">
        <f>IFERROR(__xludf.DUMMYFUNCTION("""COMPUTED_VALUE"""),96.0)</f>
        <v>96</v>
      </c>
      <c r="C924">
        <f>IFERROR(__xludf.DUMMYFUNCTION("""COMPUTED_VALUE"""),1022983.0)</f>
        <v>1022983</v>
      </c>
      <c r="D924" t="str">
        <f>IFERROR(__xludf.DUMMYFUNCTION("""COMPUTED_VALUE"""),"Mr.")</f>
        <v>Mr.</v>
      </c>
      <c r="E924" t="str">
        <f>IFERROR(__xludf.DUMMYFUNCTION("""COMPUTED_VALUE"""),"Surapong")</f>
        <v>Surapong</v>
      </c>
      <c r="F924" t="str">
        <f>IFERROR(__xludf.DUMMYFUNCTION("""COMPUTED_VALUE"""),"Thongchinnawat")</f>
        <v>Thongchinnawat</v>
      </c>
      <c r="G924" t="str">
        <f>IFERROR(__xludf.DUMMYFUNCTION("""COMPUTED_VALUE"""),"Surapong Thongchinnawat")</f>
        <v>Surapong Thongchinnawat</v>
      </c>
      <c r="H924" t="str">
        <f>IFERROR(__xludf.DUMMYFUNCTION("""COMPUTED_VALUE"""),"นาย")</f>
        <v>นาย</v>
      </c>
      <c r="I924" t="str">
        <f>IFERROR(__xludf.DUMMYFUNCTION("""COMPUTED_VALUE"""),"สุรพงศ์")</f>
        <v>สุรพงศ์</v>
      </c>
      <c r="J924" t="str">
        <f>IFERROR(__xludf.DUMMYFUNCTION("""COMPUTED_VALUE"""),"ทองชินวัตร")</f>
        <v>ทองชินวัตร</v>
      </c>
      <c r="K924" t="str">
        <f>IFERROR(__xludf.DUMMYFUNCTION("""COMPUTED_VALUE"""),"สุรพงศ์ ทองชินวัตร")</f>
        <v>สุรพงศ์ ทองชินวัตร</v>
      </c>
      <c r="L924" t="str">
        <f>IFERROR(__xludf.DUMMYFUNCTION("""COMPUTED_VALUE"""),"Yai / ใหญ่")</f>
        <v>Yai / ใหญ่</v>
      </c>
      <c r="M924" t="str">
        <f>IFERROR(__xludf.DUMMYFUNCTION("""COMPUTED_VALUE"""),"Cabin Crew")</f>
        <v>Cabin Crew</v>
      </c>
      <c r="N924" t="str">
        <f>IFERROR(__xludf.DUMMYFUNCTION("""COMPUTED_VALUE"""),"DMK")</f>
        <v>DMK</v>
      </c>
      <c r="O924" s="145" t="str">
        <f>IFERROR(__xludf.DUMMYFUNCTION("""COMPUTED_VALUE"""),"Um Home")</f>
        <v>Um Home</v>
      </c>
      <c r="P924" t="str">
        <f>IFERROR(__xludf.DUMMYFUNCTION("""COMPUTED_VALUE"""),"Active")</f>
        <v>Active</v>
      </c>
      <c r="Q924" t="str">
        <f>IFERROR(__xludf.DUMMYFUNCTION("""COMPUTED_VALUE"""),"Japanese Speaking")</f>
        <v>Japanese Speaking</v>
      </c>
      <c r="R924" s="143">
        <f>IFERROR(__xludf.DUMMYFUNCTION("""COMPUTED_VALUE"""),32648.0)</f>
        <v>32648</v>
      </c>
      <c r="S924" s="146" t="str">
        <f>IFERROR(__xludf.DUMMYFUNCTION("""COMPUTED_VALUE"""),"095-462-1222")</f>
        <v>095-462-1222</v>
      </c>
      <c r="T924" s="147" t="str">
        <f>IFERROR(__xludf.DUMMYFUNCTION("""COMPUTED_VALUE"""),"1-1007-00988-98-7")</f>
        <v>1-1007-00988-98-7</v>
      </c>
      <c r="U924" t="str">
        <f>IFERROR(__xludf.DUMMYFUNCTION("""COMPUTED_VALUE"""),"AC2263837")</f>
        <v>AC2263837</v>
      </c>
      <c r="V924" s="148">
        <f>IFERROR(__xludf.DUMMYFUNCTION("""COMPUTED_VALUE"""),44327.0)</f>
        <v>44327</v>
      </c>
      <c r="W924" s="148">
        <f>IFERROR(__xludf.DUMMYFUNCTION("""COMPUTED_VALUE"""),47978.0)</f>
        <v>47978</v>
      </c>
      <c r="X924" s="149">
        <f>IFERROR(__xludf.DUMMYFUNCTION("""COMPUTED_VALUE"""),47797.0)</f>
        <v>47797</v>
      </c>
      <c r="Y924" t="str">
        <f>IFERROR(__xludf.DUMMYFUNCTION("""COMPUTED_VALUE"""),"ปลอดภัย")</f>
        <v>ปลอดภัย</v>
      </c>
      <c r="Z924" t="str">
        <f>IFERROR(__xludf.DUMMYFUNCTION("""COMPUTED_VALUE"""),"Bangkok")</f>
        <v>Bangkok</v>
      </c>
      <c r="AA924" t="str">
        <f>IFERROR(__xludf.DUMMYFUNCTION("""COMPUTED_VALUE"""),"Bangkok")</f>
        <v>Bangkok</v>
      </c>
      <c r="AB924" t="str">
        <f>IFERROR(__xludf.DUMMYFUNCTION("""COMPUTED_VALUE"""),"096-112-9420")</f>
        <v>096-112-9420</v>
      </c>
      <c r="AC924" t="str">
        <f>IFERROR(__xludf.DUMMYFUNCTION("""COMPUTED_VALUE"""),"Ms.Wila Thongchinnawat (mother)")</f>
        <v>Ms.Wila Thongchinnawat (mother)</v>
      </c>
      <c r="AD924" t="str">
        <f>IFERROR(__xludf.DUMMYFUNCTION("""COMPUTED_VALUE"""),"surapongthongchinna@airasia.com")</f>
        <v>surapongthongchinna@airasia.com</v>
      </c>
    </row>
    <row r="925">
      <c r="A925" s="142">
        <f>IFERROR(__xludf.DUMMYFUNCTION("""COMPUTED_VALUE"""),96.0)</f>
        <v>96</v>
      </c>
      <c r="C925">
        <f>IFERROR(__xludf.DUMMYFUNCTION("""COMPUTED_VALUE"""),1022984.0)</f>
        <v>1022984</v>
      </c>
      <c r="D925" t="str">
        <f>IFERROR(__xludf.DUMMYFUNCTION("""COMPUTED_VALUE"""),"Ms.")</f>
        <v>Ms.</v>
      </c>
      <c r="E925" t="str">
        <f>IFERROR(__xludf.DUMMYFUNCTION("""COMPUTED_VALUE"""),"Pitsinee")</f>
        <v>Pitsinee</v>
      </c>
      <c r="F925" t="str">
        <f>IFERROR(__xludf.DUMMYFUNCTION("""COMPUTED_VALUE"""),"Diowvilai")</f>
        <v>Diowvilai</v>
      </c>
      <c r="G925" t="str">
        <f>IFERROR(__xludf.DUMMYFUNCTION("""COMPUTED_VALUE"""),"Pitsinee Diowvilai")</f>
        <v>Pitsinee Diowvilai</v>
      </c>
      <c r="H925" t="str">
        <f>IFERROR(__xludf.DUMMYFUNCTION("""COMPUTED_VALUE"""),"นางสาว")</f>
        <v>นางสาว</v>
      </c>
      <c r="I925" t="str">
        <f>IFERROR(__xludf.DUMMYFUNCTION("""COMPUTED_VALUE"""),"พิชญ์สินี")</f>
        <v>พิชญ์สินี</v>
      </c>
      <c r="J925" t="str">
        <f>IFERROR(__xludf.DUMMYFUNCTION("""COMPUTED_VALUE"""),"เดี่ยววิไล")</f>
        <v>เดี่ยววิไล</v>
      </c>
      <c r="K925" t="str">
        <f>IFERROR(__xludf.DUMMYFUNCTION("""COMPUTED_VALUE"""),"พิชญ์สินี เดี่ยววิไล")</f>
        <v>พิชญ์สินี เดี่ยววิไล</v>
      </c>
      <c r="L925" t="str">
        <f>IFERROR(__xludf.DUMMYFUNCTION("""COMPUTED_VALUE"""),"Nam / แนม")</f>
        <v>Nam / แนม</v>
      </c>
      <c r="M925" t="str">
        <f>IFERROR(__xludf.DUMMYFUNCTION("""COMPUTED_VALUE"""),"Cabin Crew - BKK")</f>
        <v>Cabin Crew - BKK</v>
      </c>
      <c r="N925" t="str">
        <f>IFERROR(__xludf.DUMMYFUNCTION("""COMPUTED_VALUE"""),"BKK")</f>
        <v>BKK</v>
      </c>
      <c r="O925" s="145" t="str">
        <f>IFERROR(__xludf.DUMMYFUNCTION("""COMPUTED_VALUE"""),"Nhui Home")</f>
        <v>Nhui Home</v>
      </c>
      <c r="P925" t="str">
        <f>IFERROR(__xludf.DUMMYFUNCTION("""COMPUTED_VALUE"""),"Active")</f>
        <v>Active</v>
      </c>
      <c r="R925" s="143">
        <f>IFERROR(__xludf.DUMMYFUNCTION("""COMPUTED_VALUE"""),33512.0)</f>
        <v>33512</v>
      </c>
      <c r="S925" s="146" t="str">
        <f>IFERROR(__xludf.DUMMYFUNCTION("""COMPUTED_VALUE"""),"087-361-8696")</f>
        <v>087-361-8696</v>
      </c>
      <c r="T925" s="147" t="str">
        <f>IFERROR(__xludf.DUMMYFUNCTION("""COMPUTED_VALUE"""),"1-2001-00371-06-6")</f>
        <v>1-2001-00371-06-6</v>
      </c>
      <c r="U925" t="str">
        <f>IFERROR(__xludf.DUMMYFUNCTION("""COMPUTED_VALUE"""),"AD1138157")</f>
        <v>AD1138157</v>
      </c>
      <c r="V925" s="148">
        <f>IFERROR(__xludf.DUMMYFUNCTION("""COMPUTED_VALUE"""),45198.0)</f>
        <v>45198</v>
      </c>
      <c r="W925" s="148">
        <f>IFERROR(__xludf.DUMMYFUNCTION("""COMPUTED_VALUE"""),48850.0)</f>
        <v>48850</v>
      </c>
      <c r="X925" s="149">
        <f>IFERROR(__xludf.DUMMYFUNCTION("""COMPUTED_VALUE"""),48666.0)</f>
        <v>48666</v>
      </c>
      <c r="Y925" t="str">
        <f>IFERROR(__xludf.DUMMYFUNCTION("""COMPUTED_VALUE"""),"ปลอดภัย")</f>
        <v>ปลอดภัย</v>
      </c>
      <c r="Z925" t="str">
        <f>IFERROR(__xludf.DUMMYFUNCTION("""COMPUTED_VALUE"""),"Chonburi Province")</f>
        <v>Chonburi Province</v>
      </c>
      <c r="AA925" t="str">
        <f>IFERROR(__xludf.DUMMYFUNCTION("""COMPUTED_VALUE"""),"Chon Buri")</f>
        <v>Chon Buri</v>
      </c>
      <c r="AB925" t="str">
        <f>IFERROR(__xludf.DUMMYFUNCTION("""COMPUTED_VALUE"""),"081-652-2152")</f>
        <v>081-652-2152</v>
      </c>
      <c r="AC925" t="str">
        <f>IFERROR(__xludf.DUMMYFUNCTION("""COMPUTED_VALUE"""),"Thanat Diowvilai (Father)")</f>
        <v>Thanat Diowvilai (Father)</v>
      </c>
      <c r="AD925" t="str">
        <f>IFERROR(__xludf.DUMMYFUNCTION("""COMPUTED_VALUE"""),"pitsineediowvilai@airasia.com")</f>
        <v>pitsineediowvilai@airasia.com</v>
      </c>
    </row>
    <row r="926">
      <c r="A926" s="142">
        <f>IFERROR(__xludf.DUMMYFUNCTION("""COMPUTED_VALUE"""),96.0)</f>
        <v>96</v>
      </c>
      <c r="C926">
        <f>IFERROR(__xludf.DUMMYFUNCTION("""COMPUTED_VALUE"""),1022989.0)</f>
        <v>1022989</v>
      </c>
      <c r="D926" t="str">
        <f>IFERROR(__xludf.DUMMYFUNCTION("""COMPUTED_VALUE"""),"Mr.")</f>
        <v>Mr.</v>
      </c>
      <c r="E926" t="str">
        <f>IFERROR(__xludf.DUMMYFUNCTION("""COMPUTED_VALUE"""),"Peeranat")</f>
        <v>Peeranat</v>
      </c>
      <c r="F926" t="str">
        <f>IFERROR(__xludf.DUMMYFUNCTION("""COMPUTED_VALUE"""),"Chavitranurak")</f>
        <v>Chavitranurak</v>
      </c>
      <c r="G926" t="str">
        <f>IFERROR(__xludf.DUMMYFUNCTION("""COMPUTED_VALUE"""),"Peeranat Chavitranurak")</f>
        <v>Peeranat Chavitranurak</v>
      </c>
      <c r="H926" t="str">
        <f>IFERROR(__xludf.DUMMYFUNCTION("""COMPUTED_VALUE"""),"นาย")</f>
        <v>นาย</v>
      </c>
      <c r="I926" t="str">
        <f>IFERROR(__xludf.DUMMYFUNCTION("""COMPUTED_VALUE"""),"พีรณัฐ")</f>
        <v>พีรณัฐ</v>
      </c>
      <c r="J926" t="str">
        <f>IFERROR(__xludf.DUMMYFUNCTION("""COMPUTED_VALUE"""),"ชวิตรานุรักษ์")</f>
        <v>ชวิตรานุรักษ์</v>
      </c>
      <c r="K926" t="str">
        <f>IFERROR(__xludf.DUMMYFUNCTION("""COMPUTED_VALUE"""),"พีรณัฐ ชวิตรานุรักษ์")</f>
        <v>พีรณัฐ ชวิตรานุรักษ์</v>
      </c>
      <c r="L926" t="str">
        <f>IFERROR(__xludf.DUMMYFUNCTION("""COMPUTED_VALUE"""),"Mark / มาร์ค")</f>
        <v>Mark / มาร์ค</v>
      </c>
      <c r="M926" t="str">
        <f>IFERROR(__xludf.DUMMYFUNCTION("""COMPUTED_VALUE"""),"Cabin Crew")</f>
        <v>Cabin Crew</v>
      </c>
      <c r="N926" t="str">
        <f>IFERROR(__xludf.DUMMYFUNCTION("""COMPUTED_VALUE"""),"DMK")</f>
        <v>DMK</v>
      </c>
      <c r="O926" s="145" t="str">
        <f>IFERROR(__xludf.DUMMYFUNCTION("""COMPUTED_VALUE"""),"Kor Home")</f>
        <v>Kor Home</v>
      </c>
      <c r="P926" t="str">
        <f>IFERROR(__xludf.DUMMYFUNCTION("""COMPUTED_VALUE"""),"Active")</f>
        <v>Active</v>
      </c>
      <c r="R926" s="143">
        <f>IFERROR(__xludf.DUMMYFUNCTION("""COMPUTED_VALUE"""),33822.0)</f>
        <v>33822</v>
      </c>
      <c r="S926" s="146" t="str">
        <f>IFERROR(__xludf.DUMMYFUNCTION("""COMPUTED_VALUE"""),"083-919-9142")</f>
        <v>083-919-9142</v>
      </c>
      <c r="T926" s="147" t="str">
        <f>IFERROR(__xludf.DUMMYFUNCTION("""COMPUTED_VALUE"""),"1-1008-00817-44-1")</f>
        <v>1-1008-00817-44-1</v>
      </c>
      <c r="U926" t="str">
        <f>IFERROR(__xludf.DUMMYFUNCTION("""COMPUTED_VALUE"""),"AC2557885")</f>
        <v>AC2557885</v>
      </c>
      <c r="V926" s="148">
        <f>IFERROR(__xludf.DUMMYFUNCTION("""COMPUTED_VALUE"""),44659.0)</f>
        <v>44659</v>
      </c>
      <c r="W926" s="148">
        <f>IFERROR(__xludf.DUMMYFUNCTION("""COMPUTED_VALUE"""),48311.0)</f>
        <v>48311</v>
      </c>
      <c r="X926" s="149">
        <f>IFERROR(__xludf.DUMMYFUNCTION("""COMPUTED_VALUE"""),48128.0)</f>
        <v>48128</v>
      </c>
      <c r="Y926" t="str">
        <f>IFERROR(__xludf.DUMMYFUNCTION("""COMPUTED_VALUE"""),"ปลอดภัย")</f>
        <v>ปลอดภัย</v>
      </c>
      <c r="Z926" t="str">
        <f>IFERROR(__xludf.DUMMYFUNCTION("""COMPUTED_VALUE"""),"Bangkok")</f>
        <v>Bangkok</v>
      </c>
      <c r="AD926" t="str">
        <f>IFERROR(__xludf.DUMMYFUNCTION("""COMPUTED_VALUE"""),"peeranatchavitranur@airasia.com")</f>
        <v>peeranatchavitranur@airasia.com</v>
      </c>
    </row>
    <row r="927">
      <c r="A927" s="142">
        <f>IFERROR(__xludf.DUMMYFUNCTION("""COMPUTED_VALUE"""),96.0)</f>
        <v>96</v>
      </c>
      <c r="C927">
        <f>IFERROR(__xludf.DUMMYFUNCTION("""COMPUTED_VALUE"""),1022990.0)</f>
        <v>1022990</v>
      </c>
      <c r="D927" t="str">
        <f>IFERROR(__xludf.DUMMYFUNCTION("""COMPUTED_VALUE"""),"Ms.")</f>
        <v>Ms.</v>
      </c>
      <c r="E927" t="str">
        <f>IFERROR(__xludf.DUMMYFUNCTION("""COMPUTED_VALUE"""),"Vichaya")</f>
        <v>Vichaya</v>
      </c>
      <c r="F927" t="str">
        <f>IFERROR(__xludf.DUMMYFUNCTION("""COMPUTED_VALUE"""),"Tunpichart")</f>
        <v>Tunpichart</v>
      </c>
      <c r="G927" t="str">
        <f>IFERROR(__xludf.DUMMYFUNCTION("""COMPUTED_VALUE"""),"Vichaya Tunpichart")</f>
        <v>Vichaya Tunpichart</v>
      </c>
      <c r="H927" t="str">
        <f>IFERROR(__xludf.DUMMYFUNCTION("""COMPUTED_VALUE"""),"นางสาว")</f>
        <v>นางสาว</v>
      </c>
      <c r="I927" t="str">
        <f>IFERROR(__xludf.DUMMYFUNCTION("""COMPUTED_VALUE"""),"วิชญา")</f>
        <v>วิชญา</v>
      </c>
      <c r="J927" t="str">
        <f>IFERROR(__xludf.DUMMYFUNCTION("""COMPUTED_VALUE"""),"ตันปิชาติ")</f>
        <v>ตันปิชาติ</v>
      </c>
      <c r="K927" t="str">
        <f>IFERROR(__xludf.DUMMYFUNCTION("""COMPUTED_VALUE"""),"วิชญา ตันปิชาติ")</f>
        <v>วิชญา ตันปิชาติ</v>
      </c>
      <c r="L927" t="str">
        <f>IFERROR(__xludf.DUMMYFUNCTION("""COMPUTED_VALUE"""),"Fai/ฝ้าย")</f>
        <v>Fai/ฝ้าย</v>
      </c>
      <c r="M927" t="str">
        <f>IFERROR(__xludf.DUMMYFUNCTION("""COMPUTED_VALUE"""),"Cabin Crew - BKK")</f>
        <v>Cabin Crew - BKK</v>
      </c>
      <c r="N927" t="str">
        <f>IFERROR(__xludf.DUMMYFUNCTION("""COMPUTED_VALUE"""),"BKK")</f>
        <v>BKK</v>
      </c>
      <c r="O927" s="145" t="str">
        <f>IFERROR(__xludf.DUMMYFUNCTION("""COMPUTED_VALUE"""),"Nhui Home")</f>
        <v>Nhui Home</v>
      </c>
      <c r="P927" t="str">
        <f>IFERROR(__xludf.DUMMYFUNCTION("""COMPUTED_VALUE"""),"Active")</f>
        <v>Active</v>
      </c>
      <c r="R927" s="143">
        <f>IFERROR(__xludf.DUMMYFUNCTION("""COMPUTED_VALUE"""),33283.0)</f>
        <v>33283</v>
      </c>
      <c r="S927" s="146" t="str">
        <f>IFERROR(__xludf.DUMMYFUNCTION("""COMPUTED_VALUE"""),"095-463-9919")</f>
        <v>095-463-9919</v>
      </c>
      <c r="T927" s="147" t="str">
        <f>IFERROR(__xludf.DUMMYFUNCTION("""COMPUTED_VALUE"""),"1-1037-00389-06-7")</f>
        <v>1-1037-00389-06-7</v>
      </c>
      <c r="U927" t="str">
        <f>IFERROR(__xludf.DUMMYFUNCTION("""COMPUTED_VALUE"""),"AC2669027")</f>
        <v>AC2669027</v>
      </c>
      <c r="V927" s="148">
        <f>IFERROR(__xludf.DUMMYFUNCTION("""COMPUTED_VALUE"""),44573.0)</f>
        <v>44573</v>
      </c>
      <c r="W927" s="148">
        <f>IFERROR(__xludf.DUMMYFUNCTION("""COMPUTED_VALUE"""),48224.0)</f>
        <v>48224</v>
      </c>
      <c r="X927" s="149">
        <f>IFERROR(__xludf.DUMMYFUNCTION("""COMPUTED_VALUE"""),48040.0)</f>
        <v>48040</v>
      </c>
      <c r="Y927" t="str">
        <f>IFERROR(__xludf.DUMMYFUNCTION("""COMPUTED_VALUE"""),"ปลอดภัย")</f>
        <v>ปลอดภัย</v>
      </c>
      <c r="Z927" t="str">
        <f>IFERROR(__xludf.DUMMYFUNCTION("""COMPUTED_VALUE"""),"Bangkok")</f>
        <v>Bangkok</v>
      </c>
      <c r="AA927" t="str">
        <f>IFERROR(__xludf.DUMMYFUNCTION("""COMPUTED_VALUE"""),"Bangkok")</f>
        <v>Bangkok</v>
      </c>
      <c r="AB927" t="str">
        <f>IFERROR(__xludf.DUMMYFUNCTION("""COMPUTED_VALUE"""),"094-959-1224")</f>
        <v>094-959-1224</v>
      </c>
      <c r="AC927" t="str">
        <f>IFERROR(__xludf.DUMMYFUNCTION("""COMPUTED_VALUE"""),"Chutinan Tunpichart (Mother)")</f>
        <v>Chutinan Tunpichart (Mother)</v>
      </c>
      <c r="AD927" t="str">
        <f>IFERROR(__xludf.DUMMYFUNCTION("""COMPUTED_VALUE"""),"vichayatunpichart@airasia.com")</f>
        <v>vichayatunpichart@airasia.com</v>
      </c>
    </row>
    <row r="928">
      <c r="AD928" t="str">
        <f>IFERROR(__xludf.DUMMYFUNCTION("""COMPUTED_VALUE"""),"")</f>
        <v/>
      </c>
    </row>
    <row r="929">
      <c r="A929" s="142">
        <f>IFERROR(__xludf.DUMMYFUNCTION("""COMPUTED_VALUE"""),97.0)</f>
        <v>97</v>
      </c>
      <c r="B929" t="str">
        <f>IFERROR(__xludf.DUMMYFUNCTION("""COMPUTED_VALUE"""),"TAA3239")</f>
        <v>TAA3239</v>
      </c>
      <c r="C929">
        <f>IFERROR(__xludf.DUMMYFUNCTION("""COMPUTED_VALUE"""),1004951.0)</f>
        <v>1004951</v>
      </c>
      <c r="D929" t="str">
        <f>IFERROR(__xludf.DUMMYFUNCTION("""COMPUTED_VALUE"""),"Ms.")</f>
        <v>Ms.</v>
      </c>
      <c r="E929" t="str">
        <f>IFERROR(__xludf.DUMMYFUNCTION("""COMPUTED_VALUE"""),"Tharathip")</f>
        <v>Tharathip</v>
      </c>
      <c r="F929" t="str">
        <f>IFERROR(__xludf.DUMMYFUNCTION("""COMPUTED_VALUE"""),"Phakdeemeechai")</f>
        <v>Phakdeemeechai</v>
      </c>
      <c r="G929" t="str">
        <f>IFERROR(__xludf.DUMMYFUNCTION("""COMPUTED_VALUE"""),"Tharathip Phakdeemeechai")</f>
        <v>Tharathip Phakdeemeechai</v>
      </c>
      <c r="H929" t="str">
        <f>IFERROR(__xludf.DUMMYFUNCTION("""COMPUTED_VALUE"""),"นางสาว")</f>
        <v>นางสาว</v>
      </c>
      <c r="I929" t="str">
        <f>IFERROR(__xludf.DUMMYFUNCTION("""COMPUTED_VALUE"""),"ธาราทิพย์")</f>
        <v>ธาราทิพย์</v>
      </c>
      <c r="J929" t="str">
        <f>IFERROR(__xludf.DUMMYFUNCTION("""COMPUTED_VALUE"""),"ภักดีมีชัย")</f>
        <v>ภักดีมีชัย</v>
      </c>
      <c r="K929" t="str">
        <f>IFERROR(__xludf.DUMMYFUNCTION("""COMPUTED_VALUE"""),"ธาราทิพย์ ภักดีมีชัย")</f>
        <v>ธาราทิพย์ ภักดีมีชัย</v>
      </c>
      <c r="L929" t="str">
        <f>IFERROR(__xludf.DUMMYFUNCTION("""COMPUTED_VALUE"""),"Nam / น้ำ")</f>
        <v>Nam / น้ำ</v>
      </c>
      <c r="M929" t="str">
        <f>IFERROR(__xludf.DUMMYFUNCTION("""COMPUTED_VALUE"""),"Cabin Crew - CNX")</f>
        <v>Cabin Crew - CNX</v>
      </c>
      <c r="N929" t="str">
        <f>IFERROR(__xludf.DUMMYFUNCTION("""COMPUTED_VALUE"""),"CNX")</f>
        <v>CNX</v>
      </c>
      <c r="O929" s="145" t="str">
        <f>IFERROR(__xludf.DUMMYFUNCTION("""COMPUTED_VALUE"""),"Up Home")</f>
        <v>Up Home</v>
      </c>
      <c r="P929" t="str">
        <f>IFERROR(__xludf.DUMMYFUNCTION("""COMPUTED_VALUE"""),"Active")</f>
        <v>Active</v>
      </c>
      <c r="R929" s="143">
        <f>IFERROR(__xludf.DUMMYFUNCTION("""COMPUTED_VALUE"""),31481.0)</f>
        <v>31481</v>
      </c>
      <c r="S929" s="146" t="str">
        <f>IFERROR(__xludf.DUMMYFUNCTION("""COMPUTED_VALUE"""),"087-186-9169")</f>
        <v>087-186-9169</v>
      </c>
      <c r="T929" s="147" t="str">
        <f>IFERROR(__xludf.DUMMYFUNCTION("""COMPUTED_VALUE"""),"1-1007-00452-06-8")</f>
        <v>1-1007-00452-06-8</v>
      </c>
      <c r="U929" t="str">
        <f>IFERROR(__xludf.DUMMYFUNCTION("""COMPUTED_VALUE"""),"AC2227351")</f>
        <v>AC2227351</v>
      </c>
      <c r="V929" s="148">
        <f>IFERROR(__xludf.DUMMYFUNCTION("""COMPUTED_VALUE"""),44284.0)</f>
        <v>44284</v>
      </c>
      <c r="W929" s="148">
        <f>IFERROR(__xludf.DUMMYFUNCTION("""COMPUTED_VALUE"""),47935.0)</f>
        <v>47935</v>
      </c>
      <c r="X929" s="149">
        <f>IFERROR(__xludf.DUMMYFUNCTION("""COMPUTED_VALUE"""),47754.0)</f>
        <v>47754</v>
      </c>
      <c r="Y929" t="str">
        <f>IFERROR(__xludf.DUMMYFUNCTION("""COMPUTED_VALUE"""),"ปลอดภัย")</f>
        <v>ปลอดภัย</v>
      </c>
      <c r="Z929" t="str">
        <f>IFERROR(__xludf.DUMMYFUNCTION("""COMPUTED_VALUE"""),"Bangkok")</f>
        <v>Bangkok</v>
      </c>
      <c r="AA929" t="str">
        <f>IFERROR(__xludf.DUMMYFUNCTION("""COMPUTED_VALUE"""),"Chiang Mai")</f>
        <v>Chiang Mai</v>
      </c>
      <c r="AB929" t="str">
        <f>IFERROR(__xludf.DUMMYFUNCTION("""COMPUTED_VALUE"""),"090-487-4236")</f>
        <v>090-487-4236</v>
      </c>
      <c r="AC929" t="str">
        <f>IFERROR(__xludf.DUMMYFUNCTION("""COMPUTED_VALUE"""),"Praphon Pakdeemeechai (Brother)")</f>
        <v>Praphon Pakdeemeechai (Brother)</v>
      </c>
      <c r="AD929" t="str">
        <f>IFERROR(__xludf.DUMMYFUNCTION("""COMPUTED_VALUE"""),"tharathipp@airasia.com")</f>
        <v>tharathipp@airasia.com</v>
      </c>
    </row>
    <row r="930">
      <c r="A930" s="142">
        <f>IFERROR(__xludf.DUMMYFUNCTION("""COMPUTED_VALUE"""),97.0)</f>
        <v>97</v>
      </c>
      <c r="B930" t="str">
        <f>IFERROR(__xludf.DUMMYFUNCTION("""COMPUTED_VALUE"""),"TAA6150")</f>
        <v>TAA6150</v>
      </c>
      <c r="C930">
        <f>IFERROR(__xludf.DUMMYFUNCTION("""COMPUTED_VALUE"""),1011705.0)</f>
        <v>1011705</v>
      </c>
      <c r="D930" t="str">
        <f>IFERROR(__xludf.DUMMYFUNCTION("""COMPUTED_VALUE"""),"Ms.")</f>
        <v>Ms.</v>
      </c>
      <c r="E930" t="str">
        <f>IFERROR(__xludf.DUMMYFUNCTION("""COMPUTED_VALUE"""),"Nattika")</f>
        <v>Nattika</v>
      </c>
      <c r="F930" t="str">
        <f>IFERROR(__xludf.DUMMYFUNCTION("""COMPUTED_VALUE"""),"Naephimai")</f>
        <v>Naephimai</v>
      </c>
      <c r="G930" t="str">
        <f>IFERROR(__xludf.DUMMYFUNCTION("""COMPUTED_VALUE"""),"Nattika Naephimai")</f>
        <v>Nattika Naephimai</v>
      </c>
      <c r="H930" t="str">
        <f>IFERROR(__xludf.DUMMYFUNCTION("""COMPUTED_VALUE"""),"นางสาว")</f>
        <v>นางสาว</v>
      </c>
      <c r="I930" t="str">
        <f>IFERROR(__xludf.DUMMYFUNCTION("""COMPUTED_VALUE"""),"ณัตติกา")</f>
        <v>ณัตติกา</v>
      </c>
      <c r="J930" t="str">
        <f>IFERROR(__xludf.DUMMYFUNCTION("""COMPUTED_VALUE"""),"แน่พิมาย")</f>
        <v>แน่พิมาย</v>
      </c>
      <c r="K930" t="str">
        <f>IFERROR(__xludf.DUMMYFUNCTION("""COMPUTED_VALUE"""),"ณัตติกา แน่พิมาย")</f>
        <v>ณัตติกา แน่พิมาย</v>
      </c>
      <c r="L930" t="str">
        <f>IFERROR(__xludf.DUMMYFUNCTION("""COMPUTED_VALUE"""),"Kookkik / กุ๊กกิ๊ก")</f>
        <v>Kookkik / กุ๊กกิ๊ก</v>
      </c>
      <c r="M930" t="str">
        <f>IFERROR(__xludf.DUMMYFUNCTION("""COMPUTED_VALUE"""),"Cabin Crew")</f>
        <v>Cabin Crew</v>
      </c>
      <c r="N930" s="145" t="str">
        <f>IFERROR(__xludf.DUMMYFUNCTION("""COMPUTED_VALUE"""),"DMK")</f>
        <v>DMK</v>
      </c>
      <c r="O930" s="145" t="str">
        <f>IFERROR(__xludf.DUMMYFUNCTION("""COMPUTED_VALUE"""),"Nhui Home")</f>
        <v>Nhui Home</v>
      </c>
      <c r="P930" t="str">
        <f>IFERROR(__xludf.DUMMYFUNCTION("""COMPUTED_VALUE"""),"Active")</f>
        <v>Active</v>
      </c>
      <c r="R930" s="143">
        <f>IFERROR(__xludf.DUMMYFUNCTION("""COMPUTED_VALUE"""),32942.0)</f>
        <v>32942</v>
      </c>
      <c r="S930" s="146" t="str">
        <f>IFERROR(__xludf.DUMMYFUNCTION("""COMPUTED_VALUE"""),"080-047-5277")</f>
        <v>080-047-5277</v>
      </c>
      <c r="T930" s="147" t="str">
        <f>IFERROR(__xludf.DUMMYFUNCTION("""COMPUTED_VALUE"""),"1809900-30-0204")</f>
        <v>1809900-30-0204</v>
      </c>
      <c r="U930" t="str">
        <f>IFERROR(__xludf.DUMMYFUNCTION("""COMPUTED_VALUE"""),"AC2245277")</f>
        <v>AC2245277</v>
      </c>
      <c r="V930" s="148">
        <f>IFERROR(__xludf.DUMMYFUNCTION("""COMPUTED_VALUE"""),44327.0)</f>
        <v>44327</v>
      </c>
      <c r="W930" s="148">
        <f>IFERROR(__xludf.DUMMYFUNCTION("""COMPUTED_VALUE"""),47978.0)</f>
        <v>47978</v>
      </c>
      <c r="X930" s="149">
        <f>IFERROR(__xludf.DUMMYFUNCTION("""COMPUTED_VALUE"""),47797.0)</f>
        <v>47797</v>
      </c>
      <c r="Y930" t="str">
        <f>IFERROR(__xludf.DUMMYFUNCTION("""COMPUTED_VALUE"""),"ปลอดภัย")</f>
        <v>ปลอดภัย</v>
      </c>
      <c r="Z930" t="str">
        <f>IFERROR(__xludf.DUMMYFUNCTION("""COMPUTED_VALUE"""),"Nakhon Si Thammarat Province")</f>
        <v>Nakhon Si Thammarat Province</v>
      </c>
      <c r="AA930" t="str">
        <f>IFERROR(__xludf.DUMMYFUNCTION("""COMPUTED_VALUE"""),"Nakhon Si Thammarat")</f>
        <v>Nakhon Si Thammarat</v>
      </c>
      <c r="AB930" t="str">
        <f>IFERROR(__xludf.DUMMYFUNCTION("""COMPUTED_VALUE"""),"081-958-4023")</f>
        <v>081-958-4023</v>
      </c>
      <c r="AC930" t="str">
        <f>IFERROR(__xludf.DUMMYFUNCTION("""COMPUTED_VALUE"""),"Narong Naephimai (Father)")</f>
        <v>Narong Naephimai (Father)</v>
      </c>
      <c r="AD930" t="str">
        <f>IFERROR(__xludf.DUMMYFUNCTION("""COMPUTED_VALUE"""),"nattikan@airasia.com")</f>
        <v>nattikan@airasia.com</v>
      </c>
    </row>
    <row r="931">
      <c r="A931" s="142">
        <f>IFERROR(__xludf.DUMMYFUNCTION("""COMPUTED_VALUE"""),97.0)</f>
        <v>97</v>
      </c>
      <c r="C931">
        <f>IFERROR(__xludf.DUMMYFUNCTION("""COMPUTED_VALUE"""),1022699.0)</f>
        <v>1022699</v>
      </c>
      <c r="D931" t="str">
        <f>IFERROR(__xludf.DUMMYFUNCTION("""COMPUTED_VALUE"""),"Mr.")</f>
        <v>Mr.</v>
      </c>
      <c r="E931" t="str">
        <f>IFERROR(__xludf.DUMMYFUNCTION("""COMPUTED_VALUE"""),"Pawin")</f>
        <v>Pawin</v>
      </c>
      <c r="F931" t="str">
        <f>IFERROR(__xludf.DUMMYFUNCTION("""COMPUTED_VALUE"""),"Tiajae")</f>
        <v>Tiajae</v>
      </c>
      <c r="G931" t="str">
        <f>IFERROR(__xludf.DUMMYFUNCTION("""COMPUTED_VALUE"""),"Pawin Tiajae")</f>
        <v>Pawin Tiajae</v>
      </c>
      <c r="H931" t="str">
        <f>IFERROR(__xludf.DUMMYFUNCTION("""COMPUTED_VALUE"""),"นาย")</f>
        <v>นาย</v>
      </c>
      <c r="I931" t="str">
        <f>IFERROR(__xludf.DUMMYFUNCTION("""COMPUTED_VALUE"""),"ปวิณ")</f>
        <v>ปวิณ</v>
      </c>
      <c r="J931" t="str">
        <f>IFERROR(__xludf.DUMMYFUNCTION("""COMPUTED_VALUE"""),"เตี้ยแจ้")</f>
        <v>เตี้ยแจ้</v>
      </c>
      <c r="K931" t="str">
        <f>IFERROR(__xludf.DUMMYFUNCTION("""COMPUTED_VALUE"""),"ปวิณ เตี้ยแจ้")</f>
        <v>ปวิณ เตี้ยแจ้</v>
      </c>
      <c r="L931" t="str">
        <f>IFERROR(__xludf.DUMMYFUNCTION("""COMPUTED_VALUE"""),"LEK / เล็ก")</f>
        <v>LEK / เล็ก</v>
      </c>
      <c r="M931" t="str">
        <f>IFERROR(__xludf.DUMMYFUNCTION("""COMPUTED_VALUE"""),"Cabin Crew - BKK")</f>
        <v>Cabin Crew - BKK</v>
      </c>
      <c r="N931" t="str">
        <f>IFERROR(__xludf.DUMMYFUNCTION("""COMPUTED_VALUE"""),"BKK")</f>
        <v>BKK</v>
      </c>
      <c r="O931" s="145" t="str">
        <f>IFERROR(__xludf.DUMMYFUNCTION("""COMPUTED_VALUE"""),"Nhui Home")</f>
        <v>Nhui Home</v>
      </c>
      <c r="P931" t="str">
        <f>IFERROR(__xludf.DUMMYFUNCTION("""COMPUTED_VALUE"""),"Active")</f>
        <v>Active</v>
      </c>
      <c r="R931" s="143">
        <f>IFERROR(__xludf.DUMMYFUNCTION("""COMPUTED_VALUE"""),34432.0)</f>
        <v>34432</v>
      </c>
      <c r="S931" s="146" t="str">
        <f>IFERROR(__xludf.DUMMYFUNCTION("""COMPUTED_VALUE"""),"086-663-7423")</f>
        <v>086-663-7423</v>
      </c>
      <c r="T931" s="147" t="str">
        <f>IFERROR(__xludf.DUMMYFUNCTION("""COMPUTED_VALUE"""),"1-7099-00876-21-2")</f>
        <v>1-7099-00876-21-2</v>
      </c>
      <c r="U931" t="str">
        <f>IFERROR(__xludf.DUMMYFUNCTION("""COMPUTED_VALUE"""),"AC2859988")</f>
        <v>AC2859988</v>
      </c>
      <c r="V931" s="148">
        <f>IFERROR(__xludf.DUMMYFUNCTION("""COMPUTED_VALUE"""),44595.0)</f>
        <v>44595</v>
      </c>
      <c r="W931" s="148">
        <f>IFERROR(__xludf.DUMMYFUNCTION("""COMPUTED_VALUE"""),48246.0)</f>
        <v>48246</v>
      </c>
      <c r="X931" s="149">
        <f>IFERROR(__xludf.DUMMYFUNCTION("""COMPUTED_VALUE"""),48062.0)</f>
        <v>48062</v>
      </c>
      <c r="Y931" t="str">
        <f>IFERROR(__xludf.DUMMYFUNCTION("""COMPUTED_VALUE"""),"ปลอดภัย")</f>
        <v>ปลอดภัย</v>
      </c>
      <c r="Z931" t="str">
        <f>IFERROR(__xludf.DUMMYFUNCTION("""COMPUTED_VALUE"""),"Ratchaburi Province")</f>
        <v>Ratchaburi Province</v>
      </c>
      <c r="AA931" t="str">
        <f>IFERROR(__xludf.DUMMYFUNCTION("""COMPUTED_VALUE"""),"PHETCHABURI")</f>
        <v>PHETCHABURI</v>
      </c>
      <c r="AB931" t="str">
        <f>IFERROR(__xludf.DUMMYFUNCTION("""COMPUTED_VALUE"""),"087-156-2269")</f>
        <v>087-156-2269</v>
      </c>
      <c r="AC931" t="str">
        <f>IFERROR(__xludf.DUMMYFUNCTION("""COMPUTED_VALUE"""),"PANGCHON TIAJAE (Brother)")</f>
        <v>PANGCHON TIAJAE (Brother)</v>
      </c>
      <c r="AD931" t="str">
        <f>IFERROR(__xludf.DUMMYFUNCTION("""COMPUTED_VALUE"""),"pawintiajae@airasia.com")</f>
        <v>pawintiajae@airasia.com</v>
      </c>
    </row>
    <row r="932">
      <c r="A932" s="142">
        <f>IFERROR(__xludf.DUMMYFUNCTION("""COMPUTED_VALUE"""),97.0)</f>
        <v>97</v>
      </c>
      <c r="C932">
        <f>IFERROR(__xludf.DUMMYFUNCTION("""COMPUTED_VALUE"""),1022700.0)</f>
        <v>1022700</v>
      </c>
      <c r="D932" t="str">
        <f>IFERROR(__xludf.DUMMYFUNCTION("""COMPUTED_VALUE"""),"Mr.")</f>
        <v>Mr.</v>
      </c>
      <c r="E932" t="str">
        <f>IFERROR(__xludf.DUMMYFUNCTION("""COMPUTED_VALUE"""),"Chayanun")</f>
        <v>Chayanun</v>
      </c>
      <c r="F932" t="str">
        <f>IFERROR(__xludf.DUMMYFUNCTION("""COMPUTED_VALUE"""),"Kittiwarapol")</f>
        <v>Kittiwarapol</v>
      </c>
      <c r="G932" t="str">
        <f>IFERROR(__xludf.DUMMYFUNCTION("""COMPUTED_VALUE"""),"Chayanun Kittiwarapol")</f>
        <v>Chayanun Kittiwarapol</v>
      </c>
      <c r="H932" t="str">
        <f>IFERROR(__xludf.DUMMYFUNCTION("""COMPUTED_VALUE"""),"นาย")</f>
        <v>นาย</v>
      </c>
      <c r="I932" t="str">
        <f>IFERROR(__xludf.DUMMYFUNCTION("""COMPUTED_VALUE"""),"ชยานันท์")</f>
        <v>ชยานันท์</v>
      </c>
      <c r="J932" t="str">
        <f>IFERROR(__xludf.DUMMYFUNCTION("""COMPUTED_VALUE"""),"กิตติวราพล")</f>
        <v>กิตติวราพล</v>
      </c>
      <c r="K932" t="str">
        <f>IFERROR(__xludf.DUMMYFUNCTION("""COMPUTED_VALUE"""),"ชยานันท์ กิตติวราพล")</f>
        <v>ชยานันท์ กิตติวราพล</v>
      </c>
      <c r="L932" t="str">
        <f>IFERROR(__xludf.DUMMYFUNCTION("""COMPUTED_VALUE"""),"Pai / ไผ่")</f>
        <v>Pai / ไผ่</v>
      </c>
      <c r="M932" t="str">
        <f>IFERROR(__xludf.DUMMYFUNCTION("""COMPUTED_VALUE"""),"Cabin Crew - CNX")</f>
        <v>Cabin Crew - CNX</v>
      </c>
      <c r="N932" t="str">
        <f>IFERROR(__xludf.DUMMYFUNCTION("""COMPUTED_VALUE"""),"CNX")</f>
        <v>CNX</v>
      </c>
      <c r="O932" s="145" t="str">
        <f>IFERROR(__xludf.DUMMYFUNCTION("""COMPUTED_VALUE"""),"Up Home")</f>
        <v>Up Home</v>
      </c>
      <c r="P932" t="str">
        <f>IFERROR(__xludf.DUMMYFUNCTION("""COMPUTED_VALUE"""),"Office")</f>
        <v>Office</v>
      </c>
      <c r="R932" s="143">
        <f>IFERROR(__xludf.DUMMYFUNCTION("""COMPUTED_VALUE"""),33559.0)</f>
        <v>33559</v>
      </c>
      <c r="S932" s="146" t="str">
        <f>IFERROR(__xludf.DUMMYFUNCTION("""COMPUTED_VALUE"""),"081-031-9542")</f>
        <v>081-031-9542</v>
      </c>
      <c r="T932" s="147" t="str">
        <f>IFERROR(__xludf.DUMMYFUNCTION("""COMPUTED_VALUE"""),"1-5099-01093-78-7")</f>
        <v>1-5099-01093-78-7</v>
      </c>
      <c r="U932" t="str">
        <f>IFERROR(__xludf.DUMMYFUNCTION("""COMPUTED_VALUE"""),"AC4037985")</f>
        <v>AC4037985</v>
      </c>
      <c r="V932" s="148">
        <f>IFERROR(__xludf.DUMMYFUNCTION("""COMPUTED_VALUE"""),44818.0)</f>
        <v>44818</v>
      </c>
      <c r="W932" s="148">
        <f>IFERROR(__xludf.DUMMYFUNCTION("""COMPUTED_VALUE"""),48470.0)</f>
        <v>48470</v>
      </c>
      <c r="X932" s="149">
        <f>IFERROR(__xludf.DUMMYFUNCTION("""COMPUTED_VALUE"""),48286.0)</f>
        <v>48286</v>
      </c>
      <c r="Y932" t="str">
        <f>IFERROR(__xludf.DUMMYFUNCTION("""COMPUTED_VALUE"""),"ปลอดภัย")</f>
        <v>ปลอดภัย</v>
      </c>
      <c r="Z932" t="str">
        <f>IFERROR(__xludf.DUMMYFUNCTION("""COMPUTED_VALUE"""),"Chiang Mai Province")</f>
        <v>Chiang Mai Province</v>
      </c>
      <c r="AA932" t="str">
        <f>IFERROR(__xludf.DUMMYFUNCTION("""COMPUTED_VALUE"""),"Chiang Mai")</f>
        <v>Chiang Mai</v>
      </c>
      <c r="AB932" t="str">
        <f>IFERROR(__xludf.DUMMYFUNCTION("""COMPUTED_VALUE"""),"081-881-2106")</f>
        <v>081-881-2106</v>
      </c>
      <c r="AC932" t="str">
        <f>IFERROR(__xludf.DUMMYFUNCTION("""COMPUTED_VALUE"""),"Tiranan Kittiwarapol (Mother)")</f>
        <v>Tiranan Kittiwarapol (Mother)</v>
      </c>
      <c r="AD932" t="str">
        <f>IFERROR(__xludf.DUMMYFUNCTION("""COMPUTED_VALUE"""),"chayanunkittiwarapol@airasia.com")</f>
        <v>chayanunkittiwarapol@airasia.com</v>
      </c>
    </row>
    <row r="933">
      <c r="A933" s="142">
        <f>IFERROR(__xludf.DUMMYFUNCTION("""COMPUTED_VALUE"""),97.0)</f>
        <v>97</v>
      </c>
      <c r="C933">
        <f>IFERROR(__xludf.DUMMYFUNCTION("""COMPUTED_VALUE"""),1022701.0)</f>
        <v>1022701</v>
      </c>
      <c r="D933" t="str">
        <f>IFERROR(__xludf.DUMMYFUNCTION("""COMPUTED_VALUE"""),"Ms.")</f>
        <v>Ms.</v>
      </c>
      <c r="E933" t="str">
        <f>IFERROR(__xludf.DUMMYFUNCTION("""COMPUTED_VALUE"""),"Janyarak")</f>
        <v>Janyarak</v>
      </c>
      <c r="F933" t="str">
        <f>IFERROR(__xludf.DUMMYFUNCTION("""COMPUTED_VALUE"""),"Khundilokbovorn")</f>
        <v>Khundilokbovorn</v>
      </c>
      <c r="G933" t="str">
        <f>IFERROR(__xludf.DUMMYFUNCTION("""COMPUTED_VALUE"""),"Janyarak Khundilokbovorn")</f>
        <v>Janyarak Khundilokbovorn</v>
      </c>
      <c r="H933" t="str">
        <f>IFERROR(__xludf.DUMMYFUNCTION("""COMPUTED_VALUE"""),"นางสาว")</f>
        <v>นางสาว</v>
      </c>
      <c r="I933" t="str">
        <f>IFERROR(__xludf.DUMMYFUNCTION("""COMPUTED_VALUE"""),"จรรยารักษ์")</f>
        <v>จรรยารักษ์</v>
      </c>
      <c r="J933" t="str">
        <f>IFERROR(__xludf.DUMMYFUNCTION("""COMPUTED_VALUE"""),"คุณดิลกบวร")</f>
        <v>คุณดิลกบวร</v>
      </c>
      <c r="K933" t="str">
        <f>IFERROR(__xludf.DUMMYFUNCTION("""COMPUTED_VALUE"""),"จรรยารักษ์ คุณดิลกบวร")</f>
        <v>จรรยารักษ์ คุณดิลกบวร</v>
      </c>
      <c r="L933" t="str">
        <f>IFERROR(__xludf.DUMMYFUNCTION("""COMPUTED_VALUE"""),"Mai/ใหม่")</f>
        <v>Mai/ใหม่</v>
      </c>
      <c r="M933" t="str">
        <f>IFERROR(__xludf.DUMMYFUNCTION("""COMPUTED_VALUE"""),"Cabin Crew")</f>
        <v>Cabin Crew</v>
      </c>
      <c r="N933" t="str">
        <f>IFERROR(__xludf.DUMMYFUNCTION("""COMPUTED_VALUE"""),"DMK")</f>
        <v>DMK</v>
      </c>
      <c r="O933" s="145" t="str">
        <f>IFERROR(__xludf.DUMMYFUNCTION("""COMPUTED_VALUE"""),"Toffy Home")</f>
        <v>Toffy Home</v>
      </c>
      <c r="P933" t="str">
        <f>IFERROR(__xludf.DUMMYFUNCTION("""COMPUTED_VALUE"""),"Active")</f>
        <v>Active</v>
      </c>
      <c r="Q933" t="str">
        <f>IFERROR(__xludf.DUMMYFUNCTION("""COMPUTED_VALUE"""),"Chinese Speaking")</f>
        <v>Chinese Speaking</v>
      </c>
      <c r="R933" s="143">
        <f>IFERROR(__xludf.DUMMYFUNCTION("""COMPUTED_VALUE"""),33883.0)</f>
        <v>33883</v>
      </c>
      <c r="S933" s="146" t="str">
        <f>IFERROR(__xludf.DUMMYFUNCTION("""COMPUTED_VALUE"""),"095-524-8484")</f>
        <v>095-524-8484</v>
      </c>
      <c r="T933" s="147" t="str">
        <f>IFERROR(__xludf.DUMMYFUNCTION("""COMPUTED_VALUE"""),"1-1037-00870-91-1")</f>
        <v>1-1037-00870-91-1</v>
      </c>
      <c r="U933" t="str">
        <f>IFERROR(__xludf.DUMMYFUNCTION("""COMPUTED_VALUE"""),"AC8222402")</f>
        <v>AC8222402</v>
      </c>
      <c r="V933" s="148">
        <f>IFERROR(__xludf.DUMMYFUNCTION("""COMPUTED_VALUE"""),45736.0)</f>
        <v>45736</v>
      </c>
      <c r="W933" s="148">
        <f>IFERROR(__xludf.DUMMYFUNCTION("""COMPUTED_VALUE"""),49387.0)</f>
        <v>49387</v>
      </c>
      <c r="X933" s="149">
        <f>IFERROR(__xludf.DUMMYFUNCTION("""COMPUTED_VALUE"""),49206.0)</f>
        <v>49206</v>
      </c>
      <c r="Y933" t="str">
        <f>IFERROR(__xludf.DUMMYFUNCTION("""COMPUTED_VALUE"""),"ปลอดภัย")</f>
        <v>ปลอดภัย</v>
      </c>
      <c r="Z933" t="str">
        <f>IFERROR(__xludf.DUMMYFUNCTION("""COMPUTED_VALUE"""),"Bangkok")</f>
        <v>Bangkok</v>
      </c>
      <c r="AA933" t="str">
        <f>IFERROR(__xludf.DUMMYFUNCTION("""COMPUTED_VALUE"""),"Bangkok")</f>
        <v>Bangkok</v>
      </c>
      <c r="AB933" t="str">
        <f>IFERROR(__xludf.DUMMYFUNCTION("""COMPUTED_VALUE"""),"086 621 2882")</f>
        <v>086 621 2882</v>
      </c>
      <c r="AC933" t="str">
        <f>IFERROR(__xludf.DUMMYFUNCTION("""COMPUTED_VALUE"""),"Nittaya Ruangvitoon (Mother)")</f>
        <v>Nittaya Ruangvitoon (Mother)</v>
      </c>
      <c r="AD933" t="str">
        <f>IFERROR(__xludf.DUMMYFUNCTION("""COMPUTED_VALUE"""),"janyarakkhundilokbo@airasia.com")</f>
        <v>janyarakkhundilokbo@airasia.com</v>
      </c>
    </row>
    <row r="934">
      <c r="A934" s="142">
        <f>IFERROR(__xludf.DUMMYFUNCTION("""COMPUTED_VALUE"""),97.0)</f>
        <v>97</v>
      </c>
      <c r="C934">
        <f>IFERROR(__xludf.DUMMYFUNCTION("""COMPUTED_VALUE"""),1022705.0)</f>
        <v>1022705</v>
      </c>
      <c r="D934" t="str">
        <f>IFERROR(__xludf.DUMMYFUNCTION("""COMPUTED_VALUE"""),"Ms.")</f>
        <v>Ms.</v>
      </c>
      <c r="E934" t="str">
        <f>IFERROR(__xludf.DUMMYFUNCTION("""COMPUTED_VALUE"""),"Pattaranan")</f>
        <v>Pattaranan</v>
      </c>
      <c r="F934" t="str">
        <f>IFERROR(__xludf.DUMMYFUNCTION("""COMPUTED_VALUE"""),"Thamsuchit")</f>
        <v>Thamsuchit</v>
      </c>
      <c r="G934" t="str">
        <f>IFERROR(__xludf.DUMMYFUNCTION("""COMPUTED_VALUE"""),"Pattaranan Thamsuchit")</f>
        <v>Pattaranan Thamsuchit</v>
      </c>
      <c r="H934" t="str">
        <f>IFERROR(__xludf.DUMMYFUNCTION("""COMPUTED_VALUE"""),"นางสาว")</f>
        <v>นางสาว</v>
      </c>
      <c r="I934" t="str">
        <f>IFERROR(__xludf.DUMMYFUNCTION("""COMPUTED_VALUE"""),"ภัทรนันท์")</f>
        <v>ภัทรนันท์</v>
      </c>
      <c r="J934" t="str">
        <f>IFERROR(__xludf.DUMMYFUNCTION("""COMPUTED_VALUE"""),"ธรรมสุจิตร์")</f>
        <v>ธรรมสุจิตร์</v>
      </c>
      <c r="K934" t="str">
        <f>IFERROR(__xludf.DUMMYFUNCTION("""COMPUTED_VALUE"""),"ภัทรนันท์ ธรรมสุจิตร์")</f>
        <v>ภัทรนันท์ ธรรมสุจิตร์</v>
      </c>
      <c r="L934" t="str">
        <f>IFERROR(__xludf.DUMMYFUNCTION("""COMPUTED_VALUE"""),"Four/โฟร์")</f>
        <v>Four/โฟร์</v>
      </c>
      <c r="M934" t="str">
        <f>IFERROR(__xludf.DUMMYFUNCTION("""COMPUTED_VALUE"""),"Cabin Crew")</f>
        <v>Cabin Crew</v>
      </c>
      <c r="N934" t="str">
        <f>IFERROR(__xludf.DUMMYFUNCTION("""COMPUTED_VALUE"""),"DMK")</f>
        <v>DMK</v>
      </c>
      <c r="O934" s="145" t="str">
        <f>IFERROR(__xludf.DUMMYFUNCTION("""COMPUTED_VALUE"""),"Up Home")</f>
        <v>Up Home</v>
      </c>
      <c r="P934" t="str">
        <f>IFERROR(__xludf.DUMMYFUNCTION("""COMPUTED_VALUE"""),"Active")</f>
        <v>Active</v>
      </c>
      <c r="R934" s="143">
        <f>IFERROR(__xludf.DUMMYFUNCTION("""COMPUTED_VALUE"""),34308.0)</f>
        <v>34308</v>
      </c>
      <c r="S934" s="146" t="str">
        <f>IFERROR(__xludf.DUMMYFUNCTION("""COMPUTED_VALUE"""),"082-335-9991")</f>
        <v>082-335-9991</v>
      </c>
      <c r="T934" s="147" t="str">
        <f>IFERROR(__xludf.DUMMYFUNCTION("""COMPUTED_VALUE"""),"1-2097-00512-10-6")</f>
        <v>1-2097-00512-10-6</v>
      </c>
      <c r="U934" t="str">
        <f>IFERROR(__xludf.DUMMYFUNCTION("""COMPUTED_VALUE"""),"AC2294085")</f>
        <v>AC2294085</v>
      </c>
      <c r="V934" s="148">
        <f>IFERROR(__xludf.DUMMYFUNCTION("""COMPUTED_VALUE"""),44347.0)</f>
        <v>44347</v>
      </c>
      <c r="W934" s="148">
        <f>IFERROR(__xludf.DUMMYFUNCTION("""COMPUTED_VALUE"""),47998.0)</f>
        <v>47998</v>
      </c>
      <c r="X934" s="149">
        <f>IFERROR(__xludf.DUMMYFUNCTION("""COMPUTED_VALUE"""),47817.0)</f>
        <v>47817</v>
      </c>
      <c r="Y934" t="str">
        <f>IFERROR(__xludf.DUMMYFUNCTION("""COMPUTED_VALUE"""),"ปลอดภัย")</f>
        <v>ปลอดภัย</v>
      </c>
      <c r="Z934" t="str">
        <f>IFERROR(__xludf.DUMMYFUNCTION("""COMPUTED_VALUE"""),"Chonburi Province")</f>
        <v>Chonburi Province</v>
      </c>
      <c r="AA934" t="str">
        <f>IFERROR(__xludf.DUMMYFUNCTION("""COMPUTED_VALUE"""),"Bangkok")</f>
        <v>Bangkok</v>
      </c>
      <c r="AB934" t="str">
        <f>IFERROR(__xludf.DUMMYFUNCTION("""COMPUTED_VALUE"""),"061 893 5743")</f>
        <v>061 893 5743</v>
      </c>
      <c r="AC934" t="str">
        <f>IFERROR(__xludf.DUMMYFUNCTION("""COMPUTED_VALUE"""),"Rujira Thamsuchit (Mother)")</f>
        <v>Rujira Thamsuchit (Mother)</v>
      </c>
      <c r="AD934" t="str">
        <f>IFERROR(__xludf.DUMMYFUNCTION("""COMPUTED_VALUE"""),"pattarananthamsuchit@airasia.com")</f>
        <v>pattarananthamsuchit@airasia.com</v>
      </c>
    </row>
    <row r="935">
      <c r="A935" s="142">
        <f>IFERROR(__xludf.DUMMYFUNCTION("""COMPUTED_VALUE"""),97.0)</f>
        <v>97</v>
      </c>
      <c r="C935">
        <f>IFERROR(__xludf.DUMMYFUNCTION("""COMPUTED_VALUE"""),1022706.0)</f>
        <v>1022706</v>
      </c>
      <c r="D935" t="str">
        <f>IFERROR(__xludf.DUMMYFUNCTION("""COMPUTED_VALUE"""),"Ms.")</f>
        <v>Ms.</v>
      </c>
      <c r="E935" t="str">
        <f>IFERROR(__xludf.DUMMYFUNCTION("""COMPUTED_VALUE"""),"Nutpimon")</f>
        <v>Nutpimon</v>
      </c>
      <c r="F935" t="str">
        <f>IFERROR(__xludf.DUMMYFUNCTION("""COMPUTED_VALUE"""),"Taain")</f>
        <v>Taain</v>
      </c>
      <c r="G935" t="str">
        <f>IFERROR(__xludf.DUMMYFUNCTION("""COMPUTED_VALUE"""),"Nutpimon Taain")</f>
        <v>Nutpimon Taain</v>
      </c>
      <c r="H935" t="str">
        <f>IFERROR(__xludf.DUMMYFUNCTION("""COMPUTED_VALUE"""),"นางสาว")</f>
        <v>นางสาว</v>
      </c>
      <c r="I935" t="str">
        <f>IFERROR(__xludf.DUMMYFUNCTION("""COMPUTED_VALUE"""),"ณัฏฐ์พิมล")</f>
        <v>ณัฏฐ์พิมล</v>
      </c>
      <c r="J935" t="str">
        <f>IFERROR(__xludf.DUMMYFUNCTION("""COMPUTED_VALUE"""),"ทาอินทร์")</f>
        <v>ทาอินทร์</v>
      </c>
      <c r="K935" t="str">
        <f>IFERROR(__xludf.DUMMYFUNCTION("""COMPUTED_VALUE"""),"ณัฏฐ์พิมล ทาอินทร์")</f>
        <v>ณัฏฐ์พิมล ทาอินทร์</v>
      </c>
      <c r="L935" t="str">
        <f>IFERROR(__xludf.DUMMYFUNCTION("""COMPUTED_VALUE"""),"Poy / ปอย")</f>
        <v>Poy / ปอย</v>
      </c>
      <c r="M935" t="str">
        <f>IFERROR(__xludf.DUMMYFUNCTION("""COMPUTED_VALUE"""),"Cabin Crew - CNX")</f>
        <v>Cabin Crew - CNX</v>
      </c>
      <c r="N935" t="str">
        <f>IFERROR(__xludf.DUMMYFUNCTION("""COMPUTED_VALUE"""),"CNX")</f>
        <v>CNX</v>
      </c>
      <c r="O935" s="145" t="str">
        <f>IFERROR(__xludf.DUMMYFUNCTION("""COMPUTED_VALUE"""),"Up Home")</f>
        <v>Up Home</v>
      </c>
      <c r="P935" t="str">
        <f>IFERROR(__xludf.DUMMYFUNCTION("""COMPUTED_VALUE"""),"Active")</f>
        <v>Active</v>
      </c>
      <c r="R935" s="143">
        <f>IFERROR(__xludf.DUMMYFUNCTION("""COMPUTED_VALUE"""),33678.0)</f>
        <v>33678</v>
      </c>
      <c r="S935" s="146" t="str">
        <f>IFERROR(__xludf.DUMMYFUNCTION("""COMPUTED_VALUE"""),"094-869-5628")</f>
        <v>094-869-5628</v>
      </c>
      <c r="T935" s="147" t="str">
        <f>IFERROR(__xludf.DUMMYFUNCTION("""COMPUTED_VALUE"""),"1-5099-01132-65-1")</f>
        <v>1-5099-01132-65-1</v>
      </c>
      <c r="U935" t="str">
        <f>IFERROR(__xludf.DUMMYFUNCTION("""COMPUTED_VALUE"""),"AC2601943")</f>
        <v>AC2601943</v>
      </c>
      <c r="V935" s="148">
        <f>IFERROR(__xludf.DUMMYFUNCTION("""COMPUTED_VALUE"""),44531.0)</f>
        <v>44531</v>
      </c>
      <c r="W935" s="148">
        <f>IFERROR(__xludf.DUMMYFUNCTION("""COMPUTED_VALUE"""),48182.0)</f>
        <v>48182</v>
      </c>
      <c r="X935" s="149">
        <f>IFERROR(__xludf.DUMMYFUNCTION("""COMPUTED_VALUE"""),47998.0)</f>
        <v>47998</v>
      </c>
      <c r="Y935" t="str">
        <f>IFERROR(__xludf.DUMMYFUNCTION("""COMPUTED_VALUE"""),"ปลอดภัย")</f>
        <v>ปลอดภัย</v>
      </c>
      <c r="Z935" t="str">
        <f>IFERROR(__xludf.DUMMYFUNCTION("""COMPUTED_VALUE"""),"Chiang Mai Province")</f>
        <v>Chiang Mai Province</v>
      </c>
      <c r="AA935" t="str">
        <f>IFERROR(__xludf.DUMMYFUNCTION("""COMPUTED_VALUE"""),"Chiang Mai")</f>
        <v>Chiang Mai</v>
      </c>
      <c r="AB935" t="str">
        <f>IFERROR(__xludf.DUMMYFUNCTION("""COMPUTED_VALUE"""),"081-0213011")</f>
        <v>081-0213011</v>
      </c>
      <c r="AC935" t="str">
        <f>IFERROR(__xludf.DUMMYFUNCTION("""COMPUTED_VALUE"""),"Punyanuch Taain (Sister)")</f>
        <v>Punyanuch Taain (Sister)</v>
      </c>
      <c r="AD935" t="str">
        <f>IFERROR(__xludf.DUMMYFUNCTION("""COMPUTED_VALUE"""),"nutpimontaain@airasia.com")</f>
        <v>nutpimontaain@airasia.com</v>
      </c>
    </row>
    <row r="936">
      <c r="A936" s="142">
        <f>IFERROR(__xludf.DUMMYFUNCTION("""COMPUTED_VALUE"""),97.0)</f>
        <v>97</v>
      </c>
      <c r="C936">
        <f>IFERROR(__xludf.DUMMYFUNCTION("""COMPUTED_VALUE"""),1022708.0)</f>
        <v>1022708</v>
      </c>
      <c r="D936" t="str">
        <f>IFERROR(__xludf.DUMMYFUNCTION("""COMPUTED_VALUE"""),"Ms.")</f>
        <v>Ms.</v>
      </c>
      <c r="E936" t="str">
        <f>IFERROR(__xludf.DUMMYFUNCTION("""COMPUTED_VALUE"""),"Sirilak")</f>
        <v>Sirilak</v>
      </c>
      <c r="F936" t="str">
        <f>IFERROR(__xludf.DUMMYFUNCTION("""COMPUTED_VALUE"""),"Phanphipat")</f>
        <v>Phanphipat</v>
      </c>
      <c r="G936" t="str">
        <f>IFERROR(__xludf.DUMMYFUNCTION("""COMPUTED_VALUE"""),"Sirilak Phanphipat")</f>
        <v>Sirilak Phanphipat</v>
      </c>
      <c r="H936" t="str">
        <f>IFERROR(__xludf.DUMMYFUNCTION("""COMPUTED_VALUE"""),"นางสาว")</f>
        <v>นางสาว</v>
      </c>
      <c r="I936" t="str">
        <f>IFERROR(__xludf.DUMMYFUNCTION("""COMPUTED_VALUE"""),"ศิริลักษณ์")</f>
        <v>ศิริลักษณ์</v>
      </c>
      <c r="J936" t="str">
        <f>IFERROR(__xludf.DUMMYFUNCTION("""COMPUTED_VALUE"""),"พันธุ์พิพัฒน์")</f>
        <v>พันธุ์พิพัฒน์</v>
      </c>
      <c r="K936" t="str">
        <f>IFERROR(__xludf.DUMMYFUNCTION("""COMPUTED_VALUE"""),"ศิริลักษณ์ พันธุ์พิพัฒน์")</f>
        <v>ศิริลักษณ์ พันธุ์พิพัฒน์</v>
      </c>
      <c r="L936" t="str">
        <f>IFERROR(__xludf.DUMMYFUNCTION("""COMPUTED_VALUE"""),"จ๊ะจ๋า")</f>
        <v>จ๊ะจ๋า</v>
      </c>
      <c r="M936" t="str">
        <f>IFERROR(__xludf.DUMMYFUNCTION("""COMPUTED_VALUE"""),"Cabin Crew")</f>
        <v>Cabin Crew</v>
      </c>
      <c r="N936" t="str">
        <f>IFERROR(__xludf.DUMMYFUNCTION("""COMPUTED_VALUE"""),"DMK")</f>
        <v>DMK</v>
      </c>
      <c r="O936" s="145" t="str">
        <f>IFERROR(__xludf.DUMMYFUNCTION("""COMPUTED_VALUE"""),"Toffy Home")</f>
        <v>Toffy Home</v>
      </c>
      <c r="P936" t="str">
        <f>IFERROR(__xludf.DUMMYFUNCTION("""COMPUTED_VALUE"""),"Active")</f>
        <v>Active</v>
      </c>
      <c r="R936" s="143">
        <f>IFERROR(__xludf.DUMMYFUNCTION("""COMPUTED_VALUE"""),33401.0)</f>
        <v>33401</v>
      </c>
      <c r="S936" s="146">
        <f>IFERROR(__xludf.DUMMYFUNCTION("""COMPUTED_VALUE"""),8.22244946E8)</f>
        <v>822244946</v>
      </c>
      <c r="T936" s="147" t="str">
        <f>IFERROR(__xludf.DUMMYFUNCTION("""COMPUTED_VALUE"""),"1-8499-00107-64-1")</f>
        <v>1-8499-00107-64-1</v>
      </c>
      <c r="U936" t="str">
        <f>IFERROR(__xludf.DUMMYFUNCTION("""COMPUTED_VALUE"""),"AC2743651")</f>
        <v>AC2743651</v>
      </c>
      <c r="V936" s="148">
        <f>IFERROR(__xludf.DUMMYFUNCTION("""COMPUTED_VALUE"""),44484.0)</f>
        <v>44484</v>
      </c>
      <c r="W936" s="148">
        <f>IFERROR(__xludf.DUMMYFUNCTION("""COMPUTED_VALUE"""),48135.0)</f>
        <v>48135</v>
      </c>
      <c r="X936" s="149">
        <f>IFERROR(__xludf.DUMMYFUNCTION("""COMPUTED_VALUE"""),47952.0)</f>
        <v>47952</v>
      </c>
      <c r="Y936" t="str">
        <f>IFERROR(__xludf.DUMMYFUNCTION("""COMPUTED_VALUE"""),"ปลอดภัย")</f>
        <v>ปลอดภัย</v>
      </c>
      <c r="Z936" t="str">
        <f>IFERROR(__xludf.DUMMYFUNCTION("""COMPUTED_VALUE"""),"Surat Thani Province")</f>
        <v>Surat Thani Province</v>
      </c>
      <c r="AA936" t="str">
        <f>IFERROR(__xludf.DUMMYFUNCTION("""COMPUTED_VALUE"""),"Bangkok")</f>
        <v>Bangkok</v>
      </c>
      <c r="AB936" t="str">
        <f>IFERROR(__xludf.DUMMYFUNCTION("""COMPUTED_VALUE"""),"099 494 4989")</f>
        <v>099 494 4989</v>
      </c>
      <c r="AC936" t="str">
        <f>IFERROR(__xludf.DUMMYFUNCTION("""COMPUTED_VALUE"""),"Rungnapha phanphipat (Mother)")</f>
        <v>Rungnapha phanphipat (Mother)</v>
      </c>
      <c r="AD936" t="str">
        <f>IFERROR(__xludf.DUMMYFUNCTION("""COMPUTED_VALUE"""),"sirilakphanphipat@airasia.com")</f>
        <v>sirilakphanphipat@airasia.com</v>
      </c>
    </row>
    <row r="937">
      <c r="A937" s="142">
        <f>IFERROR(__xludf.DUMMYFUNCTION("""COMPUTED_VALUE"""),97.0)</f>
        <v>97</v>
      </c>
      <c r="C937">
        <f>IFERROR(__xludf.DUMMYFUNCTION("""COMPUTED_VALUE"""),1022719.0)</f>
        <v>1022719</v>
      </c>
      <c r="D937" t="str">
        <f>IFERROR(__xludf.DUMMYFUNCTION("""COMPUTED_VALUE"""),"Ms.")</f>
        <v>Ms.</v>
      </c>
      <c r="E937" t="str">
        <f>IFERROR(__xludf.DUMMYFUNCTION("""COMPUTED_VALUE"""),"Ploypapat")</f>
        <v>Ploypapat</v>
      </c>
      <c r="F937" t="str">
        <f>IFERROR(__xludf.DUMMYFUNCTION("""COMPUTED_VALUE"""),"Ariyakamolrat")</f>
        <v>Ariyakamolrat</v>
      </c>
      <c r="G937" t="str">
        <f>IFERROR(__xludf.DUMMYFUNCTION("""COMPUTED_VALUE"""),"Ploypapat Ariyakamolrat")</f>
        <v>Ploypapat Ariyakamolrat</v>
      </c>
      <c r="H937" t="str">
        <f>IFERROR(__xludf.DUMMYFUNCTION("""COMPUTED_VALUE"""),"นางสาว")</f>
        <v>นางสาว</v>
      </c>
      <c r="I937" t="str">
        <f>IFERROR(__xludf.DUMMYFUNCTION("""COMPUTED_VALUE"""),"พลอยปภัส")</f>
        <v>พลอยปภัส</v>
      </c>
      <c r="J937" t="str">
        <f>IFERROR(__xludf.DUMMYFUNCTION("""COMPUTED_VALUE"""),"อริยะกมลรัตน์")</f>
        <v>อริยะกมลรัตน์</v>
      </c>
      <c r="K937" t="str">
        <f>IFERROR(__xludf.DUMMYFUNCTION("""COMPUTED_VALUE"""),"พลอยปภัส อริยะกมลรัตน์")</f>
        <v>พลอยปภัส อริยะกมลรัตน์</v>
      </c>
      <c r="L937" t="str">
        <f>IFERROR(__xludf.DUMMYFUNCTION("""COMPUTED_VALUE"""),"Poon/พูน")</f>
        <v>Poon/พูน</v>
      </c>
      <c r="M937" t="str">
        <f>IFERROR(__xludf.DUMMYFUNCTION("""COMPUTED_VALUE"""),"Cabin Crew")</f>
        <v>Cabin Crew</v>
      </c>
      <c r="N937" t="str">
        <f>IFERROR(__xludf.DUMMYFUNCTION("""COMPUTED_VALUE"""),"DMK")</f>
        <v>DMK</v>
      </c>
      <c r="O937" s="145" t="str">
        <f>IFERROR(__xludf.DUMMYFUNCTION("""COMPUTED_VALUE"""),"Namfon Home")</f>
        <v>Namfon Home</v>
      </c>
      <c r="P937" t="str">
        <f>IFERROR(__xludf.DUMMYFUNCTION("""COMPUTED_VALUE"""),"LWPP")</f>
        <v>LWPP</v>
      </c>
      <c r="R937" s="143">
        <f>IFERROR(__xludf.DUMMYFUNCTION("""COMPUTED_VALUE"""),32800.0)</f>
        <v>32800</v>
      </c>
      <c r="S937" s="146">
        <f>IFERROR(__xludf.DUMMYFUNCTION("""COMPUTED_VALUE"""),9.85416565E8)</f>
        <v>985416565</v>
      </c>
      <c r="T937" s="147" t="str">
        <f>IFERROR(__xludf.DUMMYFUNCTION("""COMPUTED_VALUE"""),"1-1017-00084-09-4")</f>
        <v>1-1017-00084-09-4</v>
      </c>
      <c r="U937" t="str">
        <f>IFERROR(__xludf.DUMMYFUNCTION("""COMPUTED_VALUE"""),"AD1901702")</f>
        <v>AD1901702</v>
      </c>
      <c r="V937" s="148">
        <f>IFERROR(__xludf.DUMMYFUNCTION("""COMPUTED_VALUE"""),45489.0)</f>
        <v>45489</v>
      </c>
      <c r="W937" s="148">
        <f>IFERROR(__xludf.DUMMYFUNCTION("""COMPUTED_VALUE"""),49140.0)</f>
        <v>49140</v>
      </c>
      <c r="X937" s="149">
        <f>IFERROR(__xludf.DUMMYFUNCTION("""COMPUTED_VALUE"""),48959.0)</f>
        <v>48959</v>
      </c>
      <c r="Y937" t="str">
        <f>IFERROR(__xludf.DUMMYFUNCTION("""COMPUTED_VALUE"""),"ปลอดภัย")</f>
        <v>ปลอดภัย</v>
      </c>
      <c r="Z937" t="str">
        <f>IFERROR(__xludf.DUMMYFUNCTION("""COMPUTED_VALUE"""),"Bangkok")</f>
        <v>Bangkok</v>
      </c>
      <c r="AA937" t="str">
        <f>IFERROR(__xludf.DUMMYFUNCTION("""COMPUTED_VALUE"""),"Bangkok")</f>
        <v>Bangkok</v>
      </c>
      <c r="AB937" t="str">
        <f>IFERROR(__xludf.DUMMYFUNCTION("""COMPUTED_VALUE"""),"081-617-6925")</f>
        <v>081-617-6925</v>
      </c>
      <c r="AC937" t="str">
        <f>IFERROR(__xludf.DUMMYFUNCTION("""COMPUTED_VALUE"""),"Chairoj Ariyakamolrat (Father)")</f>
        <v>Chairoj Ariyakamolrat (Father)</v>
      </c>
      <c r="AD937" t="str">
        <f>IFERROR(__xludf.DUMMYFUNCTION("""COMPUTED_VALUE"""),"ploypapatariyakamol@airasia.com")</f>
        <v>ploypapatariyakamol@airasia.com</v>
      </c>
    </row>
    <row r="938">
      <c r="A938" s="142">
        <f>IFERROR(__xludf.DUMMYFUNCTION("""COMPUTED_VALUE"""),97.0)</f>
        <v>97</v>
      </c>
      <c r="C938">
        <f>IFERROR(__xludf.DUMMYFUNCTION("""COMPUTED_VALUE"""),1022720.0)</f>
        <v>1022720</v>
      </c>
      <c r="D938" t="str">
        <f>IFERROR(__xludf.DUMMYFUNCTION("""COMPUTED_VALUE"""),"Ms.")</f>
        <v>Ms.</v>
      </c>
      <c r="E938" t="str">
        <f>IFERROR(__xludf.DUMMYFUNCTION("""COMPUTED_VALUE"""),"Aileen")</f>
        <v>Aileen</v>
      </c>
      <c r="F938" t="str">
        <f>IFERROR(__xludf.DUMMYFUNCTION("""COMPUTED_VALUE"""),"Sowprasertsuk")</f>
        <v>Sowprasertsuk</v>
      </c>
      <c r="G938" t="str">
        <f>IFERROR(__xludf.DUMMYFUNCTION("""COMPUTED_VALUE"""),"Aileen Sowprasertsuk")</f>
        <v>Aileen Sowprasertsuk</v>
      </c>
      <c r="H938" t="str">
        <f>IFERROR(__xludf.DUMMYFUNCTION("""COMPUTED_VALUE"""),"นางสาว")</f>
        <v>นางสาว</v>
      </c>
      <c r="I938" t="str">
        <f>IFERROR(__xludf.DUMMYFUNCTION("""COMPUTED_VALUE"""),"ไอริน")</f>
        <v>ไอริน</v>
      </c>
      <c r="J938" t="str">
        <f>IFERROR(__xludf.DUMMYFUNCTION("""COMPUTED_VALUE"""),"โซวประเสริฐสุข")</f>
        <v>โซวประเสริฐสุข</v>
      </c>
      <c r="K938" t="str">
        <f>IFERROR(__xludf.DUMMYFUNCTION("""COMPUTED_VALUE"""),"ไอริน โซวประเสริฐสุข")</f>
        <v>ไอริน โซวประเสริฐสุข</v>
      </c>
      <c r="L938" t="str">
        <f>IFERROR(__xludf.DUMMYFUNCTION("""COMPUTED_VALUE"""),"Ice / ไอซ์")</f>
        <v>Ice / ไอซ์</v>
      </c>
      <c r="M938" t="str">
        <f>IFERROR(__xludf.DUMMYFUNCTION("""COMPUTED_VALUE"""),"Cabin Crew")</f>
        <v>Cabin Crew</v>
      </c>
      <c r="N938" t="str">
        <f>IFERROR(__xludf.DUMMYFUNCTION("""COMPUTED_VALUE"""),"DMK")</f>
        <v>DMK</v>
      </c>
      <c r="O938" s="145" t="str">
        <f>IFERROR(__xludf.DUMMYFUNCTION("""COMPUTED_VALUE"""),"Por+ Home")</f>
        <v>Por+ Home</v>
      </c>
      <c r="P938" t="str">
        <f>IFERROR(__xludf.DUMMYFUNCTION("""COMPUTED_VALUE"""),"Active")</f>
        <v>Active</v>
      </c>
      <c r="R938" s="143">
        <f>IFERROR(__xludf.DUMMYFUNCTION("""COMPUTED_VALUE"""),33605.0)</f>
        <v>33605</v>
      </c>
      <c r="S938" s="146" t="str">
        <f>IFERROR(__xludf.DUMMYFUNCTION("""COMPUTED_VALUE"""),"090-246-9916")</f>
        <v>090-246-9916</v>
      </c>
      <c r="T938" s="147" t="str">
        <f>IFERROR(__xludf.DUMMYFUNCTION("""COMPUTED_VALUE"""),"1-1004-00557-33-6")</f>
        <v>1-1004-00557-33-6</v>
      </c>
      <c r="U938" t="str">
        <f>IFERROR(__xludf.DUMMYFUNCTION("""COMPUTED_VALUE"""),"AC2881512")</f>
        <v>AC2881512</v>
      </c>
      <c r="V938" s="148">
        <f>IFERROR(__xludf.DUMMYFUNCTION("""COMPUTED_VALUE"""),44609.0)</f>
        <v>44609</v>
      </c>
      <c r="W938" s="148">
        <f>IFERROR(__xludf.DUMMYFUNCTION("""COMPUTED_VALUE"""),48260.0)</f>
        <v>48260</v>
      </c>
      <c r="X938" s="149">
        <f>IFERROR(__xludf.DUMMYFUNCTION("""COMPUTED_VALUE"""),48076.0)</f>
        <v>48076</v>
      </c>
      <c r="Y938" t="str">
        <f>IFERROR(__xludf.DUMMYFUNCTION("""COMPUTED_VALUE"""),"ปลอดภัย")</f>
        <v>ปลอดภัย</v>
      </c>
      <c r="Z938" t="str">
        <f>IFERROR(__xludf.DUMMYFUNCTION("""COMPUTED_VALUE"""),"Bangkok")</f>
        <v>Bangkok</v>
      </c>
      <c r="AA938" t="str">
        <f>IFERROR(__xludf.DUMMYFUNCTION("""COMPUTED_VALUE"""),"Bangkok")</f>
        <v>Bangkok</v>
      </c>
      <c r="AB938" t="str">
        <f>IFERROR(__xludf.DUMMYFUNCTION("""COMPUTED_VALUE"""),"089-610-1703")</f>
        <v>089-610-1703</v>
      </c>
      <c r="AC938" t="str">
        <f>IFERROR(__xludf.DUMMYFUNCTION("""COMPUTED_VALUE"""),"Sunee Sowprasertsuk (Mother)")</f>
        <v>Sunee Sowprasertsuk (Mother)</v>
      </c>
      <c r="AD938" t="str">
        <f>IFERROR(__xludf.DUMMYFUNCTION("""COMPUTED_VALUE"""),"aileensowprasertsuk@airasia.com")</f>
        <v>aileensowprasertsuk@airasia.com</v>
      </c>
    </row>
    <row r="939">
      <c r="A939" s="142">
        <f>IFERROR(__xludf.DUMMYFUNCTION("""COMPUTED_VALUE"""),97.0)</f>
        <v>97</v>
      </c>
      <c r="C939">
        <f>IFERROR(__xludf.DUMMYFUNCTION("""COMPUTED_VALUE"""),1022721.0)</f>
        <v>1022721</v>
      </c>
      <c r="D939" t="str">
        <f>IFERROR(__xludf.DUMMYFUNCTION("""COMPUTED_VALUE"""),"Ms.")</f>
        <v>Ms.</v>
      </c>
      <c r="E939" t="str">
        <f>IFERROR(__xludf.DUMMYFUNCTION("""COMPUTED_VALUE"""),"Siwaporn")</f>
        <v>Siwaporn</v>
      </c>
      <c r="F939" t="str">
        <f>IFERROR(__xludf.DUMMYFUNCTION("""COMPUTED_VALUE"""),"Lertthaharn")</f>
        <v>Lertthaharn</v>
      </c>
      <c r="G939" t="str">
        <f>IFERROR(__xludf.DUMMYFUNCTION("""COMPUTED_VALUE"""),"Siwaporn Lertthaharn")</f>
        <v>Siwaporn Lertthaharn</v>
      </c>
      <c r="H939" t="str">
        <f>IFERROR(__xludf.DUMMYFUNCTION("""COMPUTED_VALUE"""),"นางสาว")</f>
        <v>นางสาว</v>
      </c>
      <c r="I939" t="str">
        <f>IFERROR(__xludf.DUMMYFUNCTION("""COMPUTED_VALUE"""),"ศิวาพร")</f>
        <v>ศิวาพร</v>
      </c>
      <c r="J939" t="str">
        <f>IFERROR(__xludf.DUMMYFUNCTION("""COMPUTED_VALUE"""),"เลิศทหาร")</f>
        <v>เลิศทหาร</v>
      </c>
      <c r="K939" t="str">
        <f>IFERROR(__xludf.DUMMYFUNCTION("""COMPUTED_VALUE"""),"ศิวาพร เลิศทหาร")</f>
        <v>ศิวาพร เลิศทหาร</v>
      </c>
      <c r="L939" t="str">
        <f>IFERROR(__xludf.DUMMYFUNCTION("""COMPUTED_VALUE"""),"Bell/เบลล์")</f>
        <v>Bell/เบลล์</v>
      </c>
      <c r="M939" t="str">
        <f>IFERROR(__xludf.DUMMYFUNCTION("""COMPUTED_VALUE"""),"Cabin Crew")</f>
        <v>Cabin Crew</v>
      </c>
      <c r="N939" t="str">
        <f>IFERROR(__xludf.DUMMYFUNCTION("""COMPUTED_VALUE"""),"DMK")</f>
        <v>DMK</v>
      </c>
      <c r="O939" s="145" t="str">
        <f>IFERROR(__xludf.DUMMYFUNCTION("""COMPUTED_VALUE"""),"Up Home")</f>
        <v>Up Home</v>
      </c>
      <c r="P939" t="str">
        <f>IFERROR(__xludf.DUMMYFUNCTION("""COMPUTED_VALUE"""),"Active")</f>
        <v>Active</v>
      </c>
      <c r="R939" s="143">
        <f>IFERROR(__xludf.DUMMYFUNCTION("""COMPUTED_VALUE"""),33953.0)</f>
        <v>33953</v>
      </c>
      <c r="S939" s="146" t="str">
        <f>IFERROR(__xludf.DUMMYFUNCTION("""COMPUTED_VALUE"""),"098-656-6879")</f>
        <v>098-656-6879</v>
      </c>
      <c r="T939" s="147" t="str">
        <f>IFERROR(__xludf.DUMMYFUNCTION("""COMPUTED_VALUE"""),"1-1020-01849-33-5")</f>
        <v>1-1020-01849-33-5</v>
      </c>
      <c r="U939" t="str">
        <f>IFERROR(__xludf.DUMMYFUNCTION("""COMPUTED_VALUE"""),"AC3020399")</f>
        <v>AC3020399</v>
      </c>
      <c r="V939" s="148">
        <f>IFERROR(__xludf.DUMMYFUNCTION("""COMPUTED_VALUE"""),44673.0)</f>
        <v>44673</v>
      </c>
      <c r="W939" s="148">
        <f>IFERROR(__xludf.DUMMYFUNCTION("""COMPUTED_VALUE"""),48325.0)</f>
        <v>48325</v>
      </c>
      <c r="X939" s="149">
        <f>IFERROR(__xludf.DUMMYFUNCTION("""COMPUTED_VALUE"""),48142.0)</f>
        <v>48142</v>
      </c>
      <c r="Y939" t="str">
        <f>IFERROR(__xludf.DUMMYFUNCTION("""COMPUTED_VALUE"""),"ปลอดภัย")</f>
        <v>ปลอดภัย</v>
      </c>
      <c r="Z939" t="str">
        <f>IFERROR(__xludf.DUMMYFUNCTION("""COMPUTED_VALUE"""),"Bangkok")</f>
        <v>Bangkok</v>
      </c>
      <c r="AA939" t="str">
        <f>IFERROR(__xludf.DUMMYFUNCTION("""COMPUTED_VALUE"""),"Bangkok")</f>
        <v>Bangkok</v>
      </c>
      <c r="AB939" t="str">
        <f>IFERROR(__xludf.DUMMYFUNCTION("""COMPUTED_VALUE"""),"086-786-2016")</f>
        <v>086-786-2016</v>
      </c>
      <c r="AC939" t="str">
        <f>IFERROR(__xludf.DUMMYFUNCTION("""COMPUTED_VALUE"""),"Uraithip Yongsiriwan (Others)")</f>
        <v>Uraithip Yongsiriwan (Others)</v>
      </c>
      <c r="AD939" t="str">
        <f>IFERROR(__xludf.DUMMYFUNCTION("""COMPUTED_VALUE"""),"siwapornlertthaharn@airasia.com")</f>
        <v>siwapornlertthaharn@airasia.com</v>
      </c>
    </row>
    <row r="940">
      <c r="AD940" t="str">
        <f>IFERROR(__xludf.DUMMYFUNCTION("""COMPUTED_VALUE"""),"")</f>
        <v/>
      </c>
    </row>
    <row r="941">
      <c r="A941" s="142">
        <f>IFERROR(__xludf.DUMMYFUNCTION("""COMPUTED_VALUE"""),98.0)</f>
        <v>98</v>
      </c>
      <c r="C941">
        <f>IFERROR(__xludf.DUMMYFUNCTION("""COMPUTED_VALUE"""),1023561.0)</f>
        <v>1023561</v>
      </c>
      <c r="D941" t="str">
        <f>IFERROR(__xludf.DUMMYFUNCTION("""COMPUTED_VALUE"""),"Ms.")</f>
        <v>Ms.</v>
      </c>
      <c r="E941" t="str">
        <f>IFERROR(__xludf.DUMMYFUNCTION("""COMPUTED_VALUE"""),"Nutcha")</f>
        <v>Nutcha</v>
      </c>
      <c r="F941" t="str">
        <f>IFERROR(__xludf.DUMMYFUNCTION("""COMPUTED_VALUE"""),"Vasuvantaka")</f>
        <v>Vasuvantaka</v>
      </c>
      <c r="G941" t="str">
        <f>IFERROR(__xludf.DUMMYFUNCTION("""COMPUTED_VALUE"""),"Nutcha Vasuvantaka")</f>
        <v>Nutcha Vasuvantaka</v>
      </c>
      <c r="H941" t="str">
        <f>IFERROR(__xludf.DUMMYFUNCTION("""COMPUTED_VALUE"""),"นางสาว")</f>
        <v>นางสาว</v>
      </c>
      <c r="I941" t="str">
        <f>IFERROR(__xludf.DUMMYFUNCTION("""COMPUTED_VALUE"""),"ณัชชา")</f>
        <v>ณัชชา</v>
      </c>
      <c r="J941" t="str">
        <f>IFERROR(__xludf.DUMMYFUNCTION("""COMPUTED_VALUE"""),"วสุวรรธก")</f>
        <v>วสุวรรธก</v>
      </c>
      <c r="K941" t="str">
        <f>IFERROR(__xludf.DUMMYFUNCTION("""COMPUTED_VALUE"""),"ณัชชา วสุวรรธก")</f>
        <v>ณัชชา วสุวรรธก</v>
      </c>
      <c r="L941" t="str">
        <f>IFERROR(__xludf.DUMMYFUNCTION("""COMPUTED_VALUE"""),"Boe / โบว์")</f>
        <v>Boe / โบว์</v>
      </c>
      <c r="M941" t="str">
        <f>IFERROR(__xludf.DUMMYFUNCTION("""COMPUTED_VALUE"""),"Cabin Crew")</f>
        <v>Cabin Crew</v>
      </c>
      <c r="N941" t="str">
        <f>IFERROR(__xludf.DUMMYFUNCTION("""COMPUTED_VALUE"""),"DMK")</f>
        <v>DMK</v>
      </c>
      <c r="O941" s="145" t="str">
        <f>IFERROR(__xludf.DUMMYFUNCTION("""COMPUTED_VALUE"""),"Namfon Home")</f>
        <v>Namfon Home</v>
      </c>
      <c r="P941" t="str">
        <f>IFERROR(__xludf.DUMMYFUNCTION("""COMPUTED_VALUE"""),"Active")</f>
        <v>Active</v>
      </c>
      <c r="R941" s="153">
        <f>IFERROR(__xludf.DUMMYFUNCTION("""COMPUTED_VALUE"""),35159.0)</f>
        <v>35159</v>
      </c>
      <c r="S941" s="146" t="str">
        <f>IFERROR(__xludf.DUMMYFUNCTION("""COMPUTED_VALUE"""),"064-294-6265")</f>
        <v>064-294-6265</v>
      </c>
      <c r="T941" s="147" t="str">
        <f>IFERROR(__xludf.DUMMYFUNCTION("""COMPUTED_VALUE"""),"1-9598-00108-82-3")</f>
        <v>1-9598-00108-82-3</v>
      </c>
      <c r="U941" t="str">
        <f>IFERROR(__xludf.DUMMYFUNCTION("""COMPUTED_VALUE"""),"AC6224071")</f>
        <v>AC6224071</v>
      </c>
      <c r="V941" s="148">
        <f>IFERROR(__xludf.DUMMYFUNCTION("""COMPUTED_VALUE"""),45299.0)</f>
        <v>45299</v>
      </c>
      <c r="W941" s="148">
        <f>IFERROR(__xludf.DUMMYFUNCTION("""COMPUTED_VALUE"""),48951.0)</f>
        <v>48951</v>
      </c>
      <c r="X941" s="149">
        <f>IFERROR(__xludf.DUMMYFUNCTION("""COMPUTED_VALUE"""),48767.0)</f>
        <v>48767</v>
      </c>
      <c r="Y941" t="str">
        <f>IFERROR(__xludf.DUMMYFUNCTION("""COMPUTED_VALUE"""),"ปลอดภัย")</f>
        <v>ปลอดภัย</v>
      </c>
      <c r="Z941" t="str">
        <f>IFERROR(__xludf.DUMMYFUNCTION("""COMPUTED_VALUE"""),"Yala Province")</f>
        <v>Yala Province</v>
      </c>
      <c r="AA941" t="str">
        <f>IFERROR(__xludf.DUMMYFUNCTION("""COMPUTED_VALUE"""),"Songkhla")</f>
        <v>Songkhla</v>
      </c>
      <c r="AB941" t="str">
        <f>IFERROR(__xludf.DUMMYFUNCTION("""COMPUTED_VALUE"""),"089-870-0363")</f>
        <v>089-870-0363</v>
      </c>
      <c r="AC941" t="str">
        <f>IFERROR(__xludf.DUMMYFUNCTION("""COMPUTED_VALUE"""),"Pichit Vasuvantaka (Father)")</f>
        <v>Pichit Vasuvantaka (Father)</v>
      </c>
      <c r="AD941" t="str">
        <f>IFERROR(__xludf.DUMMYFUNCTION("""COMPUTED_VALUE"""),"nutchavasuvantaka@airasia.com")</f>
        <v>nutchavasuvantaka@airasia.com</v>
      </c>
    </row>
    <row r="942">
      <c r="A942" s="142">
        <f>IFERROR(__xludf.DUMMYFUNCTION("""COMPUTED_VALUE"""),98.0)</f>
        <v>98</v>
      </c>
      <c r="C942">
        <f>IFERROR(__xludf.DUMMYFUNCTION("""COMPUTED_VALUE"""),1023562.0)</f>
        <v>1023562</v>
      </c>
      <c r="D942" t="str">
        <f>IFERROR(__xludf.DUMMYFUNCTION("""COMPUTED_VALUE"""),"Mr.")</f>
        <v>Mr.</v>
      </c>
      <c r="E942" t="str">
        <f>IFERROR(__xludf.DUMMYFUNCTION("""COMPUTED_VALUE"""),"Nawaphat")</f>
        <v>Nawaphat</v>
      </c>
      <c r="F942" t="str">
        <f>IFERROR(__xludf.DUMMYFUNCTION("""COMPUTED_VALUE"""),"Kingkaew")</f>
        <v>Kingkaew</v>
      </c>
      <c r="G942" t="str">
        <f>IFERROR(__xludf.DUMMYFUNCTION("""COMPUTED_VALUE"""),"Nawaphat Kingkaew")</f>
        <v>Nawaphat Kingkaew</v>
      </c>
      <c r="H942" t="str">
        <f>IFERROR(__xludf.DUMMYFUNCTION("""COMPUTED_VALUE"""),"นาย")</f>
        <v>นาย</v>
      </c>
      <c r="I942" t="str">
        <f>IFERROR(__xludf.DUMMYFUNCTION("""COMPUTED_VALUE"""),"นวภัทร")</f>
        <v>นวภัทร</v>
      </c>
      <c r="J942" t="str">
        <f>IFERROR(__xludf.DUMMYFUNCTION("""COMPUTED_VALUE"""),"กิ่งแก้ว")</f>
        <v>กิ่งแก้ว</v>
      </c>
      <c r="K942" t="str">
        <f>IFERROR(__xludf.DUMMYFUNCTION("""COMPUTED_VALUE"""),"นวภัทร กิ่งแก้ว")</f>
        <v>นวภัทร กิ่งแก้ว</v>
      </c>
      <c r="L942" t="str">
        <f>IFERROR(__xludf.DUMMYFUNCTION("""COMPUTED_VALUE"""),"New")</f>
        <v>New</v>
      </c>
      <c r="M942" t="str">
        <f>IFERROR(__xludf.DUMMYFUNCTION("""COMPUTED_VALUE"""),"Cabin Crew - HKT")</f>
        <v>Cabin Crew - HKT</v>
      </c>
      <c r="N942" t="str">
        <f>IFERROR(__xludf.DUMMYFUNCTION("""COMPUTED_VALUE"""),"HKT")</f>
        <v>HKT</v>
      </c>
      <c r="O942" s="145" t="str">
        <f>IFERROR(__xludf.DUMMYFUNCTION("""COMPUTED_VALUE"""),"Kor Home")</f>
        <v>Kor Home</v>
      </c>
      <c r="P942" t="str">
        <f>IFERROR(__xludf.DUMMYFUNCTION("""COMPUTED_VALUE"""),"Active")</f>
        <v>Active</v>
      </c>
      <c r="R942" s="154">
        <f>IFERROR(__xludf.DUMMYFUNCTION("""COMPUTED_VALUE"""),34560.0)</f>
        <v>34560</v>
      </c>
      <c r="S942" s="146" t="str">
        <f>IFERROR(__xludf.DUMMYFUNCTION("""COMPUTED_VALUE"""),"090-318-3107")</f>
        <v>090-318-3107</v>
      </c>
      <c r="T942" s="147" t="str">
        <f>IFERROR(__xludf.DUMMYFUNCTION("""COMPUTED_VALUE"""),"1-8399-00346-53-1")</f>
        <v>1-8399-00346-53-1</v>
      </c>
      <c r="U942" t="str">
        <f>IFERROR(__xludf.DUMMYFUNCTION("""COMPUTED_VALUE"""),"AC7168854")</f>
        <v>AC7168854</v>
      </c>
      <c r="V942" s="148">
        <f>IFERROR(__xludf.DUMMYFUNCTION("""COMPUTED_VALUE"""),45505.0)</f>
        <v>45505</v>
      </c>
      <c r="W942" s="148">
        <f>IFERROR(__xludf.DUMMYFUNCTION("""COMPUTED_VALUE"""),49156.0)</f>
        <v>49156</v>
      </c>
      <c r="X942" s="149">
        <f>IFERROR(__xludf.DUMMYFUNCTION("""COMPUTED_VALUE"""),48975.0)</f>
        <v>48975</v>
      </c>
      <c r="Y942" t="str">
        <f>IFERROR(__xludf.DUMMYFUNCTION("""COMPUTED_VALUE"""),"ปลอดภัย")</f>
        <v>ปลอดภัย</v>
      </c>
      <c r="Z942" t="str">
        <f>IFERROR(__xludf.DUMMYFUNCTION("""COMPUTED_VALUE"""),"Phuket Province")</f>
        <v>Phuket Province</v>
      </c>
      <c r="AA942" t="str">
        <f>IFERROR(__xludf.DUMMYFUNCTION("""COMPUTED_VALUE"""),"Phuket")</f>
        <v>Phuket</v>
      </c>
      <c r="AB942" t="str">
        <f>IFERROR(__xludf.DUMMYFUNCTION("""COMPUTED_VALUE"""),"082-419-1899")</f>
        <v>082-419-1899</v>
      </c>
      <c r="AC942" t="str">
        <f>IFERROR(__xludf.DUMMYFUNCTION("""COMPUTED_VALUE"""),"Akarawit Kingkaew (Father)")</f>
        <v>Akarawit Kingkaew (Father)</v>
      </c>
      <c r="AD942" t="str">
        <f>IFERROR(__xludf.DUMMYFUNCTION("""COMPUTED_VALUE"""),"nawaphatkingkaew@airasia.com")</f>
        <v>nawaphatkingkaew@airasia.com</v>
      </c>
    </row>
    <row r="943">
      <c r="A943" s="142">
        <f>IFERROR(__xludf.DUMMYFUNCTION("""COMPUTED_VALUE"""),98.0)</f>
        <v>98</v>
      </c>
      <c r="C943">
        <f>IFERROR(__xludf.DUMMYFUNCTION("""COMPUTED_VALUE"""),1023564.0)</f>
        <v>1023564</v>
      </c>
      <c r="D943" t="str">
        <f>IFERROR(__xludf.DUMMYFUNCTION("""COMPUTED_VALUE"""),"Ms.")</f>
        <v>Ms.</v>
      </c>
      <c r="E943" t="str">
        <f>IFERROR(__xludf.DUMMYFUNCTION("""COMPUTED_VALUE"""),"Suparada (Pitchaon)")</f>
        <v>Suparada (Pitchaon)</v>
      </c>
      <c r="F943" t="str">
        <f>IFERROR(__xludf.DUMMYFUNCTION("""COMPUTED_VALUE"""),"Suksirisamphan")</f>
        <v>Suksirisamphan</v>
      </c>
      <c r="G943" t="str">
        <f>IFERROR(__xludf.DUMMYFUNCTION("""COMPUTED_VALUE"""),"Suparada Suksirisamphan")</f>
        <v>Suparada Suksirisamphan</v>
      </c>
      <c r="H943" t="str">
        <f>IFERROR(__xludf.DUMMYFUNCTION("""COMPUTED_VALUE"""),"นางสาว")</f>
        <v>นางสาว</v>
      </c>
      <c r="I943" t="str">
        <f>IFERROR(__xludf.DUMMYFUNCTION("""COMPUTED_VALUE"""),"ศุภรดา (พิชชาอร)")</f>
        <v>ศุภรดา (พิชชาอร)</v>
      </c>
      <c r="J943" t="str">
        <f>IFERROR(__xludf.DUMMYFUNCTION("""COMPUTED_VALUE"""),"สุขศิริสัมพันธ์")</f>
        <v>สุขศิริสัมพันธ์</v>
      </c>
      <c r="K943" t="str">
        <f>IFERROR(__xludf.DUMMYFUNCTION("""COMPUTED_VALUE"""),"ศุภรดา สุขศิริสัมพันธ์")</f>
        <v>ศุภรดา สุขศิริสัมพันธ์</v>
      </c>
      <c r="L943" t="str">
        <f>IFERROR(__xludf.DUMMYFUNCTION("""COMPUTED_VALUE"""),"Care / แคร์")</f>
        <v>Care / แคร์</v>
      </c>
      <c r="M943" t="str">
        <f>IFERROR(__xludf.DUMMYFUNCTION("""COMPUTED_VALUE"""),"Cabin Crew - HKT")</f>
        <v>Cabin Crew - HKT</v>
      </c>
      <c r="N943" t="str">
        <f>IFERROR(__xludf.DUMMYFUNCTION("""COMPUTED_VALUE"""),"HKT")</f>
        <v>HKT</v>
      </c>
      <c r="O943" s="145" t="str">
        <f>IFERROR(__xludf.DUMMYFUNCTION("""COMPUTED_VALUE"""),"Kor Home")</f>
        <v>Kor Home</v>
      </c>
      <c r="P943" t="str">
        <f>IFERROR(__xludf.DUMMYFUNCTION("""COMPUTED_VALUE"""),"Active/V/DMK")</f>
        <v>Active/V/DMK</v>
      </c>
      <c r="R943" s="154">
        <f>IFERROR(__xludf.DUMMYFUNCTION("""COMPUTED_VALUE"""),33593.0)</f>
        <v>33593</v>
      </c>
      <c r="S943" s="146" t="str">
        <f>IFERROR(__xludf.DUMMYFUNCTION("""COMPUTED_VALUE"""),"089-731-0757")</f>
        <v>089-731-0757</v>
      </c>
      <c r="T943" s="147" t="str">
        <f>IFERROR(__xludf.DUMMYFUNCTION("""COMPUTED_VALUE"""),"1-8399-00246-45-5")</f>
        <v>1-8399-00246-45-5</v>
      </c>
      <c r="U943" t="str">
        <f>IFERROR(__xludf.DUMMYFUNCTION("""COMPUTED_VALUE"""),"AC6734569")</f>
        <v>AC6734569</v>
      </c>
      <c r="V943" s="148">
        <f>IFERROR(__xludf.DUMMYFUNCTION("""COMPUTED_VALUE"""),45415.0)</f>
        <v>45415</v>
      </c>
      <c r="W943" s="148">
        <f>IFERROR(__xludf.DUMMYFUNCTION("""COMPUTED_VALUE"""),49066.0)</f>
        <v>49066</v>
      </c>
      <c r="X943" s="149">
        <f>IFERROR(__xludf.DUMMYFUNCTION("""COMPUTED_VALUE"""),48885.0)</f>
        <v>48885</v>
      </c>
      <c r="Y943" t="str">
        <f>IFERROR(__xludf.DUMMYFUNCTION("""COMPUTED_VALUE"""),"ปลอดภัย")</f>
        <v>ปลอดภัย</v>
      </c>
      <c r="Z943" t="str">
        <f>IFERROR(__xludf.DUMMYFUNCTION("""COMPUTED_VALUE"""),"Phuket Province")</f>
        <v>Phuket Province</v>
      </c>
      <c r="AA943" t="str">
        <f>IFERROR(__xludf.DUMMYFUNCTION("""COMPUTED_VALUE"""),"Phuket")</f>
        <v>Phuket</v>
      </c>
      <c r="AB943" t="str">
        <f>IFERROR(__xludf.DUMMYFUNCTION("""COMPUTED_VALUE"""),"081 597 0119")</f>
        <v>081 597 0119</v>
      </c>
      <c r="AC943" t="str">
        <f>IFERROR(__xludf.DUMMYFUNCTION("""COMPUTED_VALUE"""),"Amornmas Suksirisamphan (Mother)")</f>
        <v>Amornmas Suksirisamphan (Mother)</v>
      </c>
      <c r="AD943" t="str">
        <f>IFERROR(__xludf.DUMMYFUNCTION("""COMPUTED_VALUE"""),"suparadasuk@airasia.com")</f>
        <v>suparadasuk@airasia.com</v>
      </c>
    </row>
    <row r="944">
      <c r="A944" s="142">
        <f>IFERROR(__xludf.DUMMYFUNCTION("""COMPUTED_VALUE"""),98.0)</f>
        <v>98</v>
      </c>
      <c r="C944">
        <f>IFERROR(__xludf.DUMMYFUNCTION("""COMPUTED_VALUE"""),1023581.0)</f>
        <v>1023581</v>
      </c>
      <c r="D944" t="str">
        <f>IFERROR(__xludf.DUMMYFUNCTION("""COMPUTED_VALUE"""),"Ms.")</f>
        <v>Ms.</v>
      </c>
      <c r="E944" t="str">
        <f>IFERROR(__xludf.DUMMYFUNCTION("""COMPUTED_VALUE"""),"Pavitra")</f>
        <v>Pavitra</v>
      </c>
      <c r="F944" t="str">
        <f>IFERROR(__xludf.DUMMYFUNCTION("""COMPUTED_VALUE"""),"Chaosrithong")</f>
        <v>Chaosrithong</v>
      </c>
      <c r="G944" t="str">
        <f>IFERROR(__xludf.DUMMYFUNCTION("""COMPUTED_VALUE"""),"Pavitra Chaosrithong")</f>
        <v>Pavitra Chaosrithong</v>
      </c>
      <c r="H944" t="str">
        <f>IFERROR(__xludf.DUMMYFUNCTION("""COMPUTED_VALUE"""),"นางสาว")</f>
        <v>นางสาว</v>
      </c>
      <c r="I944" t="str">
        <f>IFERROR(__xludf.DUMMYFUNCTION("""COMPUTED_VALUE"""),"ปวิตรา")</f>
        <v>ปวิตรา</v>
      </c>
      <c r="J944" t="str">
        <f>IFERROR(__xludf.DUMMYFUNCTION("""COMPUTED_VALUE"""),"ชาวศรีทอง")</f>
        <v>ชาวศรีทอง</v>
      </c>
      <c r="K944" t="str">
        <f>IFERROR(__xludf.DUMMYFUNCTION("""COMPUTED_VALUE"""),"ปวิตรา ชาวศรีทอง")</f>
        <v>ปวิตรา ชาวศรีทอง</v>
      </c>
      <c r="L944" t="str">
        <f>IFERROR(__xludf.DUMMYFUNCTION("""COMPUTED_VALUE"""),"Toey/")</f>
        <v>Toey/</v>
      </c>
      <c r="M944" t="str">
        <f>IFERROR(__xludf.DUMMYFUNCTION("""COMPUTED_VALUE"""),"Cabin Crew")</f>
        <v>Cabin Crew</v>
      </c>
      <c r="N944" t="str">
        <f>IFERROR(__xludf.DUMMYFUNCTION("""COMPUTED_VALUE"""),"DMK")</f>
        <v>DMK</v>
      </c>
      <c r="O944" s="145" t="str">
        <f>IFERROR(__xludf.DUMMYFUNCTION("""COMPUTED_VALUE"""),"Por+ Home")</f>
        <v>Por+ Home</v>
      </c>
      <c r="P944" t="str">
        <f>IFERROR(__xludf.DUMMYFUNCTION("""COMPUTED_VALUE"""),"Active")</f>
        <v>Active</v>
      </c>
      <c r="Q944" t="str">
        <f>IFERROR(__xludf.DUMMYFUNCTION("""COMPUTED_VALUE"""),"Chinese Speaking")</f>
        <v>Chinese Speaking</v>
      </c>
      <c r="R944" s="153">
        <f>IFERROR(__xludf.DUMMYFUNCTION("""COMPUTED_VALUE"""),34639.0)</f>
        <v>34639</v>
      </c>
      <c r="S944" s="146" t="str">
        <f>IFERROR(__xludf.DUMMYFUNCTION("""COMPUTED_VALUE"""),"092-466-3294")</f>
        <v>092-466-3294</v>
      </c>
      <c r="T944" s="147" t="str">
        <f>IFERROR(__xludf.DUMMYFUNCTION("""COMPUTED_VALUE"""),"1-7099-00924-76-4")</f>
        <v>1-7099-00924-76-4</v>
      </c>
      <c r="U944" t="str">
        <f>IFERROR(__xludf.DUMMYFUNCTION("""COMPUTED_VALUE"""),"AC4128779")</f>
        <v>AC4128779</v>
      </c>
      <c r="V944" s="148">
        <f>IFERROR(__xludf.DUMMYFUNCTION("""COMPUTED_VALUE"""),44865.0)</f>
        <v>44865</v>
      </c>
      <c r="W944" s="148">
        <f>IFERROR(__xludf.DUMMYFUNCTION("""COMPUTED_VALUE"""),48517.0)</f>
        <v>48517</v>
      </c>
      <c r="X944" s="149">
        <f>IFERROR(__xludf.DUMMYFUNCTION("""COMPUTED_VALUE"""),48334.0)</f>
        <v>48334</v>
      </c>
      <c r="Y944" t="str">
        <f>IFERROR(__xludf.DUMMYFUNCTION("""COMPUTED_VALUE"""),"ปลอดภัย")</f>
        <v>ปลอดภัย</v>
      </c>
      <c r="Z944" t="str">
        <f>IFERROR(__xludf.DUMMYFUNCTION("""COMPUTED_VALUE"""),"Ratchaburi Province")</f>
        <v>Ratchaburi Province</v>
      </c>
      <c r="AA944" t="str">
        <f>IFERROR(__xludf.DUMMYFUNCTION("""COMPUTED_VALUE"""),"Nakornpathom")</f>
        <v>Nakornpathom</v>
      </c>
      <c r="AB944" t="str">
        <f>IFERROR(__xludf.DUMMYFUNCTION("""COMPUTED_VALUE"""),"062-629-1924")</f>
        <v>062-629-1924</v>
      </c>
      <c r="AC944" t="str">
        <f>IFERROR(__xludf.DUMMYFUNCTION("""COMPUTED_VALUE"""),"Kirana Chaosrithong (Mother)")</f>
        <v>Kirana Chaosrithong (Mother)</v>
      </c>
      <c r="AD944" t="str">
        <f>IFERROR(__xludf.DUMMYFUNCTION("""COMPUTED_VALUE"""),"pavitrachaosrithong@airasia.com")</f>
        <v>pavitrachaosrithong@airasia.com</v>
      </c>
    </row>
    <row r="945">
      <c r="A945" s="142">
        <f>IFERROR(__xludf.DUMMYFUNCTION("""COMPUTED_VALUE"""),98.0)</f>
        <v>98</v>
      </c>
      <c r="C945">
        <f>IFERROR(__xludf.DUMMYFUNCTION("""COMPUTED_VALUE"""),1023582.0)</f>
        <v>1023582</v>
      </c>
      <c r="D945" t="str">
        <f>IFERROR(__xludf.DUMMYFUNCTION("""COMPUTED_VALUE"""),"Ms.")</f>
        <v>Ms.</v>
      </c>
      <c r="E945" t="str">
        <f>IFERROR(__xludf.DUMMYFUNCTION("""COMPUTED_VALUE"""),"Rawiwan")</f>
        <v>Rawiwan</v>
      </c>
      <c r="F945" t="str">
        <f>IFERROR(__xludf.DUMMYFUNCTION("""COMPUTED_VALUE"""),"Chailerst")</f>
        <v>Chailerst</v>
      </c>
      <c r="G945" t="str">
        <f>IFERROR(__xludf.DUMMYFUNCTION("""COMPUTED_VALUE"""),"Rawiwan Chailerst")</f>
        <v>Rawiwan Chailerst</v>
      </c>
      <c r="H945" t="str">
        <f>IFERROR(__xludf.DUMMYFUNCTION("""COMPUTED_VALUE"""),"นางสาว")</f>
        <v>นางสาว</v>
      </c>
      <c r="I945" t="str">
        <f>IFERROR(__xludf.DUMMYFUNCTION("""COMPUTED_VALUE"""),"รวิวรรณ")</f>
        <v>รวิวรรณ</v>
      </c>
      <c r="J945" t="str">
        <f>IFERROR(__xludf.DUMMYFUNCTION("""COMPUTED_VALUE"""),"ไชยเลิศ")</f>
        <v>ไชยเลิศ</v>
      </c>
      <c r="K945" t="str">
        <f>IFERROR(__xludf.DUMMYFUNCTION("""COMPUTED_VALUE"""),"รวิวรรณ ไชยเลิศ")</f>
        <v>รวิวรรณ ไชยเลิศ</v>
      </c>
      <c r="L945" t="str">
        <f>IFERROR(__xludf.DUMMYFUNCTION("""COMPUTED_VALUE"""),"Kie/กี้")</f>
        <v>Kie/กี้</v>
      </c>
      <c r="M945" t="str">
        <f>IFERROR(__xludf.DUMMYFUNCTION("""COMPUTED_VALUE"""),"Cabin Crew")</f>
        <v>Cabin Crew</v>
      </c>
      <c r="N945" t="str">
        <f>IFERROR(__xludf.DUMMYFUNCTION("""COMPUTED_VALUE"""),"DMK")</f>
        <v>DMK</v>
      </c>
      <c r="O945" s="145" t="str">
        <f>IFERROR(__xludf.DUMMYFUNCTION("""COMPUTED_VALUE"""),"Nhui Home")</f>
        <v>Nhui Home</v>
      </c>
      <c r="P945" t="str">
        <f>IFERROR(__xludf.DUMMYFUNCTION("""COMPUTED_VALUE"""),"Active")</f>
        <v>Active</v>
      </c>
      <c r="Q945" t="str">
        <f>IFERROR(__xludf.DUMMYFUNCTION("""COMPUTED_VALUE"""),"Chinese Speaking")</f>
        <v>Chinese Speaking</v>
      </c>
      <c r="R945" s="153">
        <f>IFERROR(__xludf.DUMMYFUNCTION("""COMPUTED_VALUE"""),33275.0)</f>
        <v>33275</v>
      </c>
      <c r="S945" s="146" t="str">
        <f>IFERROR(__xludf.DUMMYFUNCTION("""COMPUTED_VALUE"""),"095-395-2879")</f>
        <v>095-395-2879</v>
      </c>
      <c r="T945" s="147" t="str">
        <f>IFERROR(__xludf.DUMMYFUNCTION("""COMPUTED_VALUE"""),"1-3408-00074-80-2")</f>
        <v>1-3408-00074-80-2</v>
      </c>
      <c r="U945" t="str">
        <f>IFERROR(__xludf.DUMMYFUNCTION("""COMPUTED_VALUE"""),"AC2592692")</f>
        <v>AC2592692</v>
      </c>
      <c r="V945" s="148">
        <f>IFERROR(__xludf.DUMMYFUNCTION("""COMPUTED_VALUE"""),44656.0)</f>
        <v>44656</v>
      </c>
      <c r="W945" s="148">
        <f>IFERROR(__xludf.DUMMYFUNCTION("""COMPUTED_VALUE"""),48308.0)</f>
        <v>48308</v>
      </c>
      <c r="X945" s="149">
        <f>IFERROR(__xludf.DUMMYFUNCTION("""COMPUTED_VALUE"""),48125.0)</f>
        <v>48125</v>
      </c>
      <c r="Y945" t="str">
        <f>IFERROR(__xludf.DUMMYFUNCTION("""COMPUTED_VALUE"""),"ปลอดภัย")</f>
        <v>ปลอดภัย</v>
      </c>
      <c r="Z945" t="str">
        <f>IFERROR(__xludf.DUMMYFUNCTION("""COMPUTED_VALUE"""),"Ubon Ratchathani Province")</f>
        <v>Ubon Ratchathani Province</v>
      </c>
      <c r="AA945" t="str">
        <f>IFERROR(__xludf.DUMMYFUNCTION("""COMPUTED_VALUE"""),"samutphagran")</f>
        <v>samutphagran</v>
      </c>
      <c r="AB945" t="str">
        <f>IFERROR(__xludf.DUMMYFUNCTION("""COMPUTED_VALUE"""),"097 239 8335")</f>
        <v>097 239 8335</v>
      </c>
      <c r="AC945" t="str">
        <f>IFERROR(__xludf.DUMMYFUNCTION("""COMPUTED_VALUE"""),"Lerstchai (Father)")</f>
        <v>Lerstchai (Father)</v>
      </c>
      <c r="AD945" t="str">
        <f>IFERROR(__xludf.DUMMYFUNCTION("""COMPUTED_VALUE"""),"rawiwanchailerst@airasia.com")</f>
        <v>rawiwanchailerst@airasia.com</v>
      </c>
    </row>
    <row r="946">
      <c r="A946" s="142">
        <f>IFERROR(__xludf.DUMMYFUNCTION("""COMPUTED_VALUE"""),98.0)</f>
        <v>98</v>
      </c>
      <c r="C946">
        <f>IFERROR(__xludf.DUMMYFUNCTION("""COMPUTED_VALUE"""),1023585.0)</f>
        <v>1023585</v>
      </c>
      <c r="D946" t="str">
        <f>IFERROR(__xludf.DUMMYFUNCTION("""COMPUTED_VALUE"""),"Ms.")</f>
        <v>Ms.</v>
      </c>
      <c r="E946" t="str">
        <f>IFERROR(__xludf.DUMMYFUNCTION("""COMPUTED_VALUE"""),"Chayanee")</f>
        <v>Chayanee</v>
      </c>
      <c r="F946" t="str">
        <f>IFERROR(__xludf.DUMMYFUNCTION("""COMPUTED_VALUE"""),"Sittisak")</f>
        <v>Sittisak</v>
      </c>
      <c r="G946" t="str">
        <f>IFERROR(__xludf.DUMMYFUNCTION("""COMPUTED_VALUE"""),"Chayanee Sittisak")</f>
        <v>Chayanee Sittisak</v>
      </c>
      <c r="H946" t="str">
        <f>IFERROR(__xludf.DUMMYFUNCTION("""COMPUTED_VALUE"""),"นางสาว")</f>
        <v>นางสาว</v>
      </c>
      <c r="I946" t="str">
        <f>IFERROR(__xludf.DUMMYFUNCTION("""COMPUTED_VALUE"""),"ชญานี")</f>
        <v>ชญานี</v>
      </c>
      <c r="J946" t="str">
        <f>IFERROR(__xludf.DUMMYFUNCTION("""COMPUTED_VALUE"""),"สิทธิศักดิ์")</f>
        <v>สิทธิศักดิ์</v>
      </c>
      <c r="K946" t="str">
        <f>IFERROR(__xludf.DUMMYFUNCTION("""COMPUTED_VALUE"""),"ชญานี สิทธิศักดิ์")</f>
        <v>ชญานี สิทธิศักดิ์</v>
      </c>
      <c r="L946" t="str">
        <f>IFERROR(__xludf.DUMMYFUNCTION("""COMPUTED_VALUE"""),"Ae / แอ้")</f>
        <v>Ae / แอ้</v>
      </c>
      <c r="M946" t="str">
        <f>IFERROR(__xludf.DUMMYFUNCTION("""COMPUTED_VALUE"""),"Cabin Crew - HKT")</f>
        <v>Cabin Crew - HKT</v>
      </c>
      <c r="N946" t="str">
        <f>IFERROR(__xludf.DUMMYFUNCTION("""COMPUTED_VALUE"""),"HKT")</f>
        <v>HKT</v>
      </c>
      <c r="O946" s="145" t="str">
        <f>IFERROR(__xludf.DUMMYFUNCTION("""COMPUTED_VALUE"""),"Kor Home")</f>
        <v>Kor Home</v>
      </c>
      <c r="P946" t="str">
        <f>IFERROR(__xludf.DUMMYFUNCTION("""COMPUTED_VALUE"""),"LWPH")</f>
        <v>LWPH</v>
      </c>
      <c r="R946" s="154">
        <f>IFERROR(__xludf.DUMMYFUNCTION("""COMPUTED_VALUE"""),33564.0)</f>
        <v>33564</v>
      </c>
      <c r="S946" s="146">
        <f>IFERROR(__xludf.DUMMYFUNCTION("""COMPUTED_VALUE"""),9.52561535E8)</f>
        <v>952561535</v>
      </c>
      <c r="T946" s="147" t="str">
        <f>IFERROR(__xludf.DUMMYFUNCTION("""COMPUTED_VALUE"""),"1-8399-00244-30-4")</f>
        <v>1-8399-00244-30-4</v>
      </c>
      <c r="U946" t="str">
        <f>IFERROR(__xludf.DUMMYFUNCTION("""COMPUTED_VALUE"""),"AD0056173")</f>
        <v>AD0056173</v>
      </c>
      <c r="V946" s="148">
        <f>IFERROR(__xludf.DUMMYFUNCTION("""COMPUTED_VALUE"""),44830.0)</f>
        <v>44830</v>
      </c>
      <c r="W946" s="148">
        <f>IFERROR(__xludf.DUMMYFUNCTION("""COMPUTED_VALUE"""),48482.0)</f>
        <v>48482</v>
      </c>
      <c r="X946" s="149">
        <f>IFERROR(__xludf.DUMMYFUNCTION("""COMPUTED_VALUE"""),48298.0)</f>
        <v>48298</v>
      </c>
      <c r="Y946" t="str">
        <f>IFERROR(__xludf.DUMMYFUNCTION("""COMPUTED_VALUE"""),"ปลอดภัย")</f>
        <v>ปลอดภัย</v>
      </c>
      <c r="Z946" t="str">
        <f>IFERROR(__xludf.DUMMYFUNCTION("""COMPUTED_VALUE"""),"Phuket Province")</f>
        <v>Phuket Province</v>
      </c>
      <c r="AB946" t="str">
        <f>IFERROR(__xludf.DUMMYFUNCTION("""COMPUTED_VALUE"""),"081-970-3321")</f>
        <v>081-970-3321</v>
      </c>
      <c r="AC946" t="str">
        <f>IFERROR(__xludf.DUMMYFUNCTION("""COMPUTED_VALUE"""),"Pensri Sittisak (Mother)")</f>
        <v>Pensri Sittisak (Mother)</v>
      </c>
      <c r="AD946" t="str">
        <f>IFERROR(__xludf.DUMMYFUNCTION("""COMPUTED_VALUE"""),"chayaneesittisak@airasia.com")</f>
        <v>chayaneesittisak@airasia.com</v>
      </c>
    </row>
    <row r="947">
      <c r="A947" s="142">
        <f>IFERROR(__xludf.DUMMYFUNCTION("""COMPUTED_VALUE"""),98.0)</f>
        <v>98</v>
      </c>
      <c r="C947">
        <f>IFERROR(__xludf.DUMMYFUNCTION("""COMPUTED_VALUE"""),1023589.0)</f>
        <v>1023589</v>
      </c>
      <c r="D947" t="str">
        <f>IFERROR(__xludf.DUMMYFUNCTION("""COMPUTED_VALUE"""),"Ms.")</f>
        <v>Ms.</v>
      </c>
      <c r="E947" t="str">
        <f>IFERROR(__xludf.DUMMYFUNCTION("""COMPUTED_VALUE"""),"Pattanee")</f>
        <v>Pattanee</v>
      </c>
      <c r="F947" t="str">
        <f>IFERROR(__xludf.DUMMYFUNCTION("""COMPUTED_VALUE"""),"Nopparat")</f>
        <v>Nopparat</v>
      </c>
      <c r="G947" t="str">
        <f>IFERROR(__xludf.DUMMYFUNCTION("""COMPUTED_VALUE"""),"Pattanee Nopparat")</f>
        <v>Pattanee Nopparat</v>
      </c>
      <c r="H947" t="str">
        <f>IFERROR(__xludf.DUMMYFUNCTION("""COMPUTED_VALUE"""),"นางสาว")</f>
        <v>นางสาว</v>
      </c>
      <c r="I947" t="str">
        <f>IFERROR(__xludf.DUMMYFUNCTION("""COMPUTED_VALUE"""),"พัฒนี")</f>
        <v>พัฒนี</v>
      </c>
      <c r="J947" t="str">
        <f>IFERROR(__xludf.DUMMYFUNCTION("""COMPUTED_VALUE"""),"นพรัตน์")</f>
        <v>นพรัตน์</v>
      </c>
      <c r="K947" t="str">
        <f>IFERROR(__xludf.DUMMYFUNCTION("""COMPUTED_VALUE"""),"พัฒนี นพรัตน์")</f>
        <v>พัฒนี นพรัตน์</v>
      </c>
      <c r="L947" t="str">
        <f>IFERROR(__xludf.DUMMYFUNCTION("""COMPUTED_VALUE"""),"aice")</f>
        <v>aice</v>
      </c>
      <c r="M947" t="str">
        <f>IFERROR(__xludf.DUMMYFUNCTION("""COMPUTED_VALUE"""),"Cabin Crew")</f>
        <v>Cabin Crew</v>
      </c>
      <c r="N947" t="str">
        <f>IFERROR(__xludf.DUMMYFUNCTION("""COMPUTED_VALUE"""),"DMK")</f>
        <v>DMK</v>
      </c>
      <c r="O947" s="145" t="str">
        <f>IFERROR(__xludf.DUMMYFUNCTION("""COMPUTED_VALUE"""),"Nhui Home")</f>
        <v>Nhui Home</v>
      </c>
      <c r="P947" t="str">
        <f>IFERROR(__xludf.DUMMYFUNCTION("""COMPUTED_VALUE"""),"Active")</f>
        <v>Active</v>
      </c>
      <c r="Q947" t="str">
        <f>IFERROR(__xludf.DUMMYFUNCTION("""COMPUTED_VALUE"""),"Chinese Speaking")</f>
        <v>Chinese Speaking</v>
      </c>
      <c r="R947" s="155">
        <f>IFERROR(__xludf.DUMMYFUNCTION("""COMPUTED_VALUE"""),33633.0)</f>
        <v>33633</v>
      </c>
      <c r="S947" s="146" t="str">
        <f>IFERROR(__xludf.DUMMYFUNCTION("""COMPUTED_VALUE"""),"089-7868697")</f>
        <v>089-7868697</v>
      </c>
      <c r="T947" s="147" t="str">
        <f>IFERROR(__xludf.DUMMYFUNCTION("""COMPUTED_VALUE"""),"1-2299-00449-98-0")</f>
        <v>1-2299-00449-98-0</v>
      </c>
      <c r="U947" t="str">
        <f>IFERROR(__xludf.DUMMYFUNCTION("""COMPUTED_VALUE"""),"AC6685246")</f>
        <v>AC6685246</v>
      </c>
      <c r="V947" s="148">
        <f>IFERROR(__xludf.DUMMYFUNCTION("""COMPUTED_VALUE"""),45405.0)</f>
        <v>45405</v>
      </c>
      <c r="W947" s="148">
        <f>IFERROR(__xludf.DUMMYFUNCTION("""COMPUTED_VALUE"""),49056.0)</f>
        <v>49056</v>
      </c>
      <c r="X947" s="149">
        <f>IFERROR(__xludf.DUMMYFUNCTION("""COMPUTED_VALUE"""),48874.0)</f>
        <v>48874</v>
      </c>
      <c r="Y947" t="str">
        <f>IFERROR(__xludf.DUMMYFUNCTION("""COMPUTED_VALUE"""),"ปลอดภัย")</f>
        <v>ปลอดภัย</v>
      </c>
      <c r="Z947" t="str">
        <f>IFERROR(__xludf.DUMMYFUNCTION("""COMPUTED_VALUE"""),"Chanthaburi Province")</f>
        <v>Chanthaburi Province</v>
      </c>
      <c r="AD947" t="str">
        <f>IFERROR(__xludf.DUMMYFUNCTION("""COMPUTED_VALUE"""),"pattaneenopparat@airasia.com")</f>
        <v>pattaneenopparat@airasia.com</v>
      </c>
    </row>
    <row r="948">
      <c r="A948" s="142">
        <f>IFERROR(__xludf.DUMMYFUNCTION("""COMPUTED_VALUE"""),98.0)</f>
        <v>98</v>
      </c>
      <c r="B948" t="str">
        <f>IFERROR(__xludf.DUMMYFUNCTION("""COMPUTED_VALUE"""),"Move from B.97")</f>
        <v>Move from B.97</v>
      </c>
      <c r="C948">
        <f>IFERROR(__xludf.DUMMYFUNCTION("""COMPUTED_VALUE"""),1023590.0)</f>
        <v>1023590</v>
      </c>
      <c r="D948" t="str">
        <f>IFERROR(__xludf.DUMMYFUNCTION("""COMPUTED_VALUE"""),"Ms.")</f>
        <v>Ms.</v>
      </c>
      <c r="E948" t="str">
        <f>IFERROR(__xludf.DUMMYFUNCTION("""COMPUTED_VALUE"""),"Supatsorn")</f>
        <v>Supatsorn</v>
      </c>
      <c r="F948" t="str">
        <f>IFERROR(__xludf.DUMMYFUNCTION("""COMPUTED_VALUE"""),"Awtansakun")</f>
        <v>Awtansakun</v>
      </c>
      <c r="G948" t="str">
        <f>IFERROR(__xludf.DUMMYFUNCTION("""COMPUTED_VALUE"""),"Supatsorn Awtansakun")</f>
        <v>Supatsorn Awtansakun</v>
      </c>
      <c r="H948" t="str">
        <f>IFERROR(__xludf.DUMMYFUNCTION("""COMPUTED_VALUE"""),"นางสาว")</f>
        <v>นางสาว</v>
      </c>
      <c r="I948" t="str">
        <f>IFERROR(__xludf.DUMMYFUNCTION("""COMPUTED_VALUE"""),"สุภัสสร")</f>
        <v>สุภัสสร</v>
      </c>
      <c r="J948" t="str">
        <f>IFERROR(__xludf.DUMMYFUNCTION("""COMPUTED_VALUE"""),"เอาทารย์สกุล")</f>
        <v>เอาทารย์สกุล</v>
      </c>
      <c r="K948" t="str">
        <f>IFERROR(__xludf.DUMMYFUNCTION("""COMPUTED_VALUE"""),"สุภัสสร เอาทารย์สกุล")</f>
        <v>สุภัสสร เอาทารย์สกุล</v>
      </c>
      <c r="L948" t="str">
        <f>IFERROR(__xludf.DUMMYFUNCTION("""COMPUTED_VALUE"""),"Ying/หญิง")</f>
        <v>Ying/หญิง</v>
      </c>
      <c r="M948" t="str">
        <f>IFERROR(__xludf.DUMMYFUNCTION("""COMPUTED_VALUE"""),"Cabin Crew")</f>
        <v>Cabin Crew</v>
      </c>
      <c r="N948" t="str">
        <f>IFERROR(__xludf.DUMMYFUNCTION("""COMPUTED_VALUE"""),"DMK")</f>
        <v>DMK</v>
      </c>
      <c r="O948" s="145" t="str">
        <f>IFERROR(__xludf.DUMMYFUNCTION("""COMPUTED_VALUE"""),"Kor Home")</f>
        <v>Kor Home</v>
      </c>
      <c r="P948" t="str">
        <f>IFERROR(__xludf.DUMMYFUNCTION("""COMPUTED_VALUE"""),"V/LWP")</f>
        <v>V/LWP</v>
      </c>
      <c r="R948" s="143">
        <f>IFERROR(__xludf.DUMMYFUNCTION("""COMPUTED_VALUE"""),33736.0)</f>
        <v>33736</v>
      </c>
      <c r="S948" s="146" t="str">
        <f>IFERROR(__xludf.DUMMYFUNCTION("""COMPUTED_VALUE"""),"090-558-8299")</f>
        <v>090-558-8299</v>
      </c>
      <c r="T948" s="147" t="str">
        <f>IFERROR(__xludf.DUMMYFUNCTION("""COMPUTED_VALUE"""),"1-7499-00295-96-1")</f>
        <v>1-7499-00295-96-1</v>
      </c>
      <c r="U948" t="str">
        <f>IFERROR(__xludf.DUMMYFUNCTION("""COMPUTED_VALUE"""),"AC2720417")</f>
        <v>AC2720417</v>
      </c>
      <c r="V948" s="148">
        <f>IFERROR(__xludf.DUMMYFUNCTION("""COMPUTED_VALUE"""),44474.0)</f>
        <v>44474</v>
      </c>
      <c r="W948" s="148">
        <f>IFERROR(__xludf.DUMMYFUNCTION("""COMPUTED_VALUE"""),48125.0)</f>
        <v>48125</v>
      </c>
      <c r="X948" s="149">
        <f>IFERROR(__xludf.DUMMYFUNCTION("""COMPUTED_VALUE"""),47942.0)</f>
        <v>47942</v>
      </c>
      <c r="Y948" t="str">
        <f>IFERROR(__xludf.DUMMYFUNCTION("""COMPUTED_VALUE"""),"ปลอดภัย")</f>
        <v>ปลอดภัย</v>
      </c>
      <c r="Z948" t="str">
        <f>IFERROR(__xludf.DUMMYFUNCTION("""COMPUTED_VALUE"""),"Samut Sakhon Province")</f>
        <v>Samut Sakhon Province</v>
      </c>
      <c r="AA948" t="str">
        <f>IFERROR(__xludf.DUMMYFUNCTION("""COMPUTED_VALUE"""),"Samut Sakhon")</f>
        <v>Samut Sakhon</v>
      </c>
      <c r="AB948" t="str">
        <f>IFERROR(__xludf.DUMMYFUNCTION("""COMPUTED_VALUE"""),"‭06-5629-1656‬")</f>
        <v>‭06-5629-1656‬</v>
      </c>
      <c r="AC948" t="str">
        <f>IFERROR(__xludf.DUMMYFUNCTION("""COMPUTED_VALUE"""),"Sumalee Awtansakun (Mother)")</f>
        <v>Sumalee Awtansakun (Mother)</v>
      </c>
      <c r="AD948" t="str">
        <f>IFERROR(__xludf.DUMMYFUNCTION("""COMPUTED_VALUE"""),"supatsornawtansakun@airasia.com")</f>
        <v>supatsornawtansakun@airasia.com</v>
      </c>
    </row>
    <row r="949">
      <c r="A949" s="142">
        <f>IFERROR(__xludf.DUMMYFUNCTION("""COMPUTED_VALUE"""),98.0)</f>
        <v>98</v>
      </c>
      <c r="C949">
        <f>IFERROR(__xludf.DUMMYFUNCTION("""COMPUTED_VALUE"""),1023591.0)</f>
        <v>1023591</v>
      </c>
      <c r="D949" t="str">
        <f>IFERROR(__xludf.DUMMYFUNCTION("""COMPUTED_VALUE"""),"Ms.")</f>
        <v>Ms.</v>
      </c>
      <c r="E949" t="str">
        <f>IFERROR(__xludf.DUMMYFUNCTION("""COMPUTED_VALUE"""),"Jittanan")</f>
        <v>Jittanan</v>
      </c>
      <c r="F949" t="str">
        <f>IFERROR(__xludf.DUMMYFUNCTION("""COMPUTED_VALUE"""),"Piromsri")</f>
        <v>Piromsri</v>
      </c>
      <c r="G949" t="str">
        <f>IFERROR(__xludf.DUMMYFUNCTION("""COMPUTED_VALUE"""),"Jittanan Piromsri")</f>
        <v>Jittanan Piromsri</v>
      </c>
      <c r="H949" t="str">
        <f>IFERROR(__xludf.DUMMYFUNCTION("""COMPUTED_VALUE"""),"นางสาว")</f>
        <v>นางสาว</v>
      </c>
      <c r="I949" t="str">
        <f>IFERROR(__xludf.DUMMYFUNCTION("""COMPUTED_VALUE"""),"จิตรานันท์")</f>
        <v>จิตรานันท์</v>
      </c>
      <c r="J949" t="str">
        <f>IFERROR(__xludf.DUMMYFUNCTION("""COMPUTED_VALUE"""),"ภิรมย์ศรี")</f>
        <v>ภิรมย์ศรี</v>
      </c>
      <c r="K949" t="str">
        <f>IFERROR(__xludf.DUMMYFUNCTION("""COMPUTED_VALUE"""),"จิตรานันท์ ภิรมย์ศรี")</f>
        <v>จิตรานันท์ ภิรมย์ศรี</v>
      </c>
      <c r="L949" t="str">
        <f>IFERROR(__xludf.DUMMYFUNCTION("""COMPUTED_VALUE"""),"Jenny / เจนนี่")</f>
        <v>Jenny / เจนนี่</v>
      </c>
      <c r="M949" t="str">
        <f>IFERROR(__xludf.DUMMYFUNCTION("""COMPUTED_VALUE"""),"Cabin Crew")</f>
        <v>Cabin Crew</v>
      </c>
      <c r="N949" t="str">
        <f>IFERROR(__xludf.DUMMYFUNCTION("""COMPUTED_VALUE"""),"DMK")</f>
        <v>DMK</v>
      </c>
      <c r="O949" s="145" t="str">
        <f>IFERROR(__xludf.DUMMYFUNCTION("""COMPUTED_VALUE"""),"Nhui Home")</f>
        <v>Nhui Home</v>
      </c>
      <c r="P949" t="str">
        <f>IFERROR(__xludf.DUMMYFUNCTION("""COMPUTED_VALUE"""),"Active")</f>
        <v>Active</v>
      </c>
      <c r="R949" s="154">
        <f>IFERROR(__xludf.DUMMYFUNCTION("""COMPUTED_VALUE"""),33506.0)</f>
        <v>33506</v>
      </c>
      <c r="S949" s="146">
        <f>IFERROR(__xludf.DUMMYFUNCTION("""COMPUTED_VALUE"""),8.39423292E8)</f>
        <v>839423292</v>
      </c>
      <c r="T949" s="147" t="str">
        <f>IFERROR(__xludf.DUMMYFUNCTION("""COMPUTED_VALUE"""),"1-1299-00129-43-9")</f>
        <v>1-1299-00129-43-9</v>
      </c>
      <c r="U949" t="str">
        <f>IFERROR(__xludf.DUMMYFUNCTION("""COMPUTED_VALUE"""),"AD1744327")</f>
        <v>AD1744327</v>
      </c>
      <c r="V949" s="148">
        <f>IFERROR(__xludf.DUMMYFUNCTION("""COMPUTED_VALUE"""),45439.0)</f>
        <v>45439</v>
      </c>
      <c r="W949" s="148">
        <f>IFERROR(__xludf.DUMMYFUNCTION("""COMPUTED_VALUE"""),49090.0)</f>
        <v>49090</v>
      </c>
      <c r="X949" s="149">
        <f>IFERROR(__xludf.DUMMYFUNCTION("""COMPUTED_VALUE"""),48909.0)</f>
        <v>48909</v>
      </c>
      <c r="Y949" t="str">
        <f>IFERROR(__xludf.DUMMYFUNCTION("""COMPUTED_VALUE"""),"ปลอดภัย")</f>
        <v>ปลอดภัย</v>
      </c>
      <c r="Z949" t="str">
        <f>IFERROR(__xludf.DUMMYFUNCTION("""COMPUTED_VALUE"""),"Nonthaburi Province")</f>
        <v>Nonthaburi Province</v>
      </c>
      <c r="AA949" t="str">
        <f>IFERROR(__xludf.DUMMYFUNCTION("""COMPUTED_VALUE"""),"Pathum Thani")</f>
        <v>Pathum Thani</v>
      </c>
      <c r="AB949" t="str">
        <f>IFERROR(__xludf.DUMMYFUNCTION("""COMPUTED_VALUE"""),"081-404-4892")</f>
        <v>081-404-4892</v>
      </c>
      <c r="AC949" t="str">
        <f>IFERROR(__xludf.DUMMYFUNCTION("""COMPUTED_VALUE"""),"Thanaporn Piromsri (Sister)")</f>
        <v>Thanaporn Piromsri (Sister)</v>
      </c>
      <c r="AD949" t="str">
        <f>IFERROR(__xludf.DUMMYFUNCTION("""COMPUTED_VALUE"""),"jittananpiromsri@airasia.com")</f>
        <v>jittananpiromsri@airasia.com</v>
      </c>
    </row>
    <row r="950">
      <c r="A950" s="142">
        <f>IFERROR(__xludf.DUMMYFUNCTION("""COMPUTED_VALUE"""),98.0)</f>
        <v>98</v>
      </c>
      <c r="C950">
        <f>IFERROR(__xludf.DUMMYFUNCTION("""COMPUTED_VALUE"""),1023594.0)</f>
        <v>1023594</v>
      </c>
      <c r="D950" t="str">
        <f>IFERROR(__xludf.DUMMYFUNCTION("""COMPUTED_VALUE"""),"Ms.")</f>
        <v>Ms.</v>
      </c>
      <c r="E950" t="str">
        <f>IFERROR(__xludf.DUMMYFUNCTION("""COMPUTED_VALUE"""),"Teerada")</f>
        <v>Teerada</v>
      </c>
      <c r="F950" t="str">
        <f>IFERROR(__xludf.DUMMYFUNCTION("""COMPUTED_VALUE"""),"Sripochsomboon")</f>
        <v>Sripochsomboon</v>
      </c>
      <c r="G950" t="str">
        <f>IFERROR(__xludf.DUMMYFUNCTION("""COMPUTED_VALUE"""),"Teerada Sripochsomboon")</f>
        <v>Teerada Sripochsomboon</v>
      </c>
      <c r="H950" t="str">
        <f>IFERROR(__xludf.DUMMYFUNCTION("""COMPUTED_VALUE"""),"นางสาว")</f>
        <v>นางสาว</v>
      </c>
      <c r="I950" t="str">
        <f>IFERROR(__xludf.DUMMYFUNCTION("""COMPUTED_VALUE"""),"ธีรดา")</f>
        <v>ธีรดา</v>
      </c>
      <c r="J950" t="str">
        <f>IFERROR(__xludf.DUMMYFUNCTION("""COMPUTED_VALUE"""),"ศรีโภชน์สมบูรณ์")</f>
        <v>ศรีโภชน์สมบูรณ์</v>
      </c>
      <c r="K950" t="str">
        <f>IFERROR(__xludf.DUMMYFUNCTION("""COMPUTED_VALUE"""),"ธีรดา ศรีโภชน์สมบูรณ์")</f>
        <v>ธีรดา ศรีโภชน์สมบูรณ์</v>
      </c>
      <c r="L950" t="str">
        <f>IFERROR(__xludf.DUMMYFUNCTION("""COMPUTED_VALUE"""),"Gard / การ์ด")</f>
        <v>Gard / การ์ด</v>
      </c>
      <c r="M950" t="str">
        <f>IFERROR(__xludf.DUMMYFUNCTION("""COMPUTED_VALUE"""),"Senior Cabin Crew")</f>
        <v>Senior Cabin Crew</v>
      </c>
      <c r="N950" t="str">
        <f>IFERROR(__xludf.DUMMYFUNCTION("""COMPUTED_VALUE"""),"DMK")</f>
        <v>DMK</v>
      </c>
      <c r="O950" s="145" t="str">
        <f>IFERROR(__xludf.DUMMYFUNCTION("""COMPUTED_VALUE"""),"Por+ Home")</f>
        <v>Por+ Home</v>
      </c>
      <c r="P950" t="str">
        <f>IFERROR(__xludf.DUMMYFUNCTION("""COMPUTED_VALUE"""),"Active")</f>
        <v>Active</v>
      </c>
      <c r="Q950" t="str">
        <f>IFERROR(__xludf.DUMMYFUNCTION("""COMPUTED_VALUE"""),"Chinese Speaking")</f>
        <v>Chinese Speaking</v>
      </c>
      <c r="R950" s="154">
        <f>IFERROR(__xludf.DUMMYFUNCTION("""COMPUTED_VALUE"""),34046.0)</f>
        <v>34046</v>
      </c>
      <c r="S950" s="146" t="str">
        <f>IFERROR(__xludf.DUMMYFUNCTION("""COMPUTED_VALUE"""),"080-558-5522")</f>
        <v>080-558-5522</v>
      </c>
      <c r="T950" s="147" t="str">
        <f>IFERROR(__xludf.DUMMYFUNCTION("""COMPUTED_VALUE"""),"1-1401-00058-62-8")</f>
        <v>1-1401-00058-62-8</v>
      </c>
      <c r="U950" t="str">
        <f>IFERROR(__xludf.DUMMYFUNCTION("""COMPUTED_VALUE"""),"AC8197237")</f>
        <v>AC8197237</v>
      </c>
      <c r="V950" s="148">
        <f>IFERROR(__xludf.DUMMYFUNCTION("""COMPUTED_VALUE"""),45730.0)</f>
        <v>45730</v>
      </c>
      <c r="W950" s="148">
        <f>IFERROR(__xludf.DUMMYFUNCTION("""COMPUTED_VALUE"""),49381.0)</f>
        <v>49381</v>
      </c>
      <c r="X950" s="149">
        <f>IFERROR(__xludf.DUMMYFUNCTION("""COMPUTED_VALUE"""),49200.0)</f>
        <v>49200</v>
      </c>
      <c r="Y950" t="str">
        <f>IFERROR(__xludf.DUMMYFUNCTION("""COMPUTED_VALUE"""),"ปลอดภัย")</f>
        <v>ปลอดภัย</v>
      </c>
      <c r="Z950" t="str">
        <f>IFERROR(__xludf.DUMMYFUNCTION("""COMPUTED_VALUE"""),"Phra Nakhon Si Ayutthaya Province")</f>
        <v>Phra Nakhon Si Ayutthaya Province</v>
      </c>
      <c r="AA950" t="str">
        <f>IFERROR(__xludf.DUMMYFUNCTION("""COMPUTED_VALUE"""),"Phra Nakhon Si Ayutthaya")</f>
        <v>Phra Nakhon Si Ayutthaya</v>
      </c>
      <c r="AB950" t="str">
        <f>IFERROR(__xludf.DUMMYFUNCTION("""COMPUTED_VALUE"""),"089-767-9222")</f>
        <v>089-767-9222</v>
      </c>
      <c r="AC950" t="str">
        <f>IFERROR(__xludf.DUMMYFUNCTION("""COMPUTED_VALUE"""),"Somsri Sripochsomboon(Mother)")</f>
        <v>Somsri Sripochsomboon(Mother)</v>
      </c>
      <c r="AD950" t="str">
        <f>IFERROR(__xludf.DUMMYFUNCTION("""COMPUTED_VALUE"""),"teeradasripochsombo@airasia.com")</f>
        <v>teeradasripochsombo@airasia.com</v>
      </c>
    </row>
    <row r="951">
      <c r="A951" s="142">
        <f>IFERROR(__xludf.DUMMYFUNCTION("""COMPUTED_VALUE"""),98.0)</f>
        <v>98</v>
      </c>
      <c r="C951">
        <f>IFERROR(__xludf.DUMMYFUNCTION("""COMPUTED_VALUE"""),1023595.0)</f>
        <v>1023595</v>
      </c>
      <c r="D951" t="str">
        <f>IFERROR(__xludf.DUMMYFUNCTION("""COMPUTED_VALUE"""),"Ms.")</f>
        <v>Ms.</v>
      </c>
      <c r="E951" t="str">
        <f>IFERROR(__xludf.DUMMYFUNCTION("""COMPUTED_VALUE"""),"Kanokpan")</f>
        <v>Kanokpan</v>
      </c>
      <c r="F951" t="str">
        <f>IFERROR(__xludf.DUMMYFUNCTION("""COMPUTED_VALUE"""),"Tongnu")</f>
        <v>Tongnu</v>
      </c>
      <c r="G951" t="str">
        <f>IFERROR(__xludf.DUMMYFUNCTION("""COMPUTED_VALUE"""),"Kanokpan Tongnu")</f>
        <v>Kanokpan Tongnu</v>
      </c>
      <c r="H951" t="str">
        <f>IFERROR(__xludf.DUMMYFUNCTION("""COMPUTED_VALUE"""),"นางสาว")</f>
        <v>นางสาว</v>
      </c>
      <c r="I951" t="str">
        <f>IFERROR(__xludf.DUMMYFUNCTION("""COMPUTED_VALUE"""),"กนกพรรณ")</f>
        <v>กนกพรรณ</v>
      </c>
      <c r="J951" t="str">
        <f>IFERROR(__xludf.DUMMYFUNCTION("""COMPUTED_VALUE"""),"ทองหนู")</f>
        <v>ทองหนู</v>
      </c>
      <c r="K951" t="str">
        <f>IFERROR(__xludf.DUMMYFUNCTION("""COMPUTED_VALUE"""),"กนกพรรณ ทองหนู")</f>
        <v>กนกพรรณ ทองหนู</v>
      </c>
      <c r="L951" t="str">
        <f>IFERROR(__xludf.DUMMYFUNCTION("""COMPUTED_VALUE"""),"Pleng / เพลง")</f>
        <v>Pleng / เพลง</v>
      </c>
      <c r="M951" t="str">
        <f>IFERROR(__xludf.DUMMYFUNCTION("""COMPUTED_VALUE"""),"Cabin Crew")</f>
        <v>Cabin Crew</v>
      </c>
      <c r="N951" t="str">
        <f>IFERROR(__xludf.DUMMYFUNCTION("""COMPUTED_VALUE"""),"DMK")</f>
        <v>DMK</v>
      </c>
      <c r="O951" s="145" t="str">
        <f>IFERROR(__xludf.DUMMYFUNCTION("""COMPUTED_VALUE"""),"Por+ Home")</f>
        <v>Por+ Home</v>
      </c>
      <c r="P951" t="str">
        <f>IFERROR(__xludf.DUMMYFUNCTION("""COMPUTED_VALUE"""),"Active")</f>
        <v>Active</v>
      </c>
      <c r="R951" s="154">
        <f>IFERROR(__xludf.DUMMYFUNCTION("""COMPUTED_VALUE"""),33280.0)</f>
        <v>33280</v>
      </c>
      <c r="S951" s="146" t="str">
        <f>IFERROR(__xludf.DUMMYFUNCTION("""COMPUTED_VALUE"""),"099-364-4505")</f>
        <v>099-364-4505</v>
      </c>
      <c r="T951" s="147" t="str">
        <f>IFERROR(__xludf.DUMMYFUNCTION("""COMPUTED_VALUE"""),"1-9099-00279-86-7")</f>
        <v>1-9099-00279-86-7</v>
      </c>
      <c r="U951" t="str">
        <f>IFERROR(__xludf.DUMMYFUNCTION("""COMPUTED_VALUE"""),"AD1789476")</f>
        <v>AD1789476</v>
      </c>
      <c r="V951" s="148">
        <f>IFERROR(__xludf.DUMMYFUNCTION("""COMPUTED_VALUE"""),45456.0)</f>
        <v>45456</v>
      </c>
      <c r="W951" s="148">
        <f>IFERROR(__xludf.DUMMYFUNCTION("""COMPUTED_VALUE"""),49107.0)</f>
        <v>49107</v>
      </c>
      <c r="X951" s="149">
        <f>IFERROR(__xludf.DUMMYFUNCTION("""COMPUTED_VALUE"""),48925.0)</f>
        <v>48925</v>
      </c>
      <c r="Y951" t="str">
        <f>IFERROR(__xludf.DUMMYFUNCTION("""COMPUTED_VALUE"""),"ปลอดภัย")</f>
        <v>ปลอดภัย</v>
      </c>
      <c r="Z951" t="str">
        <f>IFERROR(__xludf.DUMMYFUNCTION("""COMPUTED_VALUE"""),"Songkhla Province")</f>
        <v>Songkhla Province</v>
      </c>
      <c r="AA951" t="str">
        <f>IFERROR(__xludf.DUMMYFUNCTION("""COMPUTED_VALUE"""),"Bangkok")</f>
        <v>Bangkok</v>
      </c>
      <c r="AB951" t="str">
        <f>IFERROR(__xludf.DUMMYFUNCTION("""COMPUTED_VALUE"""),"095-419-1156")</f>
        <v>095-419-1156</v>
      </c>
      <c r="AC951" t="str">
        <f>IFERROR(__xludf.DUMMYFUNCTION("""COMPUTED_VALUE"""),"Noppasorn Tongnu (Sister)")</f>
        <v>Noppasorn Tongnu (Sister)</v>
      </c>
      <c r="AD951" t="str">
        <f>IFERROR(__xludf.DUMMYFUNCTION("""COMPUTED_VALUE"""),"kanokpantongnu@airasia.com")</f>
        <v>kanokpantongnu@airasia.com</v>
      </c>
    </row>
    <row r="952">
      <c r="A952" s="142">
        <f>IFERROR(__xludf.DUMMYFUNCTION("""COMPUTED_VALUE"""),98.0)</f>
        <v>98</v>
      </c>
      <c r="C952">
        <f>IFERROR(__xludf.DUMMYFUNCTION("""COMPUTED_VALUE"""),1023607.0)</f>
        <v>1023607</v>
      </c>
      <c r="D952" t="str">
        <f>IFERROR(__xludf.DUMMYFUNCTION("""COMPUTED_VALUE"""),"Mr.")</f>
        <v>Mr.</v>
      </c>
      <c r="E952" t="str">
        <f>IFERROR(__xludf.DUMMYFUNCTION("""COMPUTED_VALUE"""),"Kanes")</f>
        <v>Kanes</v>
      </c>
      <c r="F952" t="str">
        <f>IFERROR(__xludf.DUMMYFUNCTION("""COMPUTED_VALUE"""),"Boonyapanachoti")</f>
        <v>Boonyapanachoti</v>
      </c>
      <c r="G952" t="str">
        <f>IFERROR(__xludf.DUMMYFUNCTION("""COMPUTED_VALUE"""),"Kanes Boonyapanachoti")</f>
        <v>Kanes Boonyapanachoti</v>
      </c>
      <c r="H952" t="str">
        <f>IFERROR(__xludf.DUMMYFUNCTION("""COMPUTED_VALUE"""),"นาย")</f>
        <v>นาย</v>
      </c>
      <c r="I952" t="str">
        <f>IFERROR(__xludf.DUMMYFUNCTION("""COMPUTED_VALUE"""),"คเณศ")</f>
        <v>คเณศ</v>
      </c>
      <c r="J952" t="str">
        <f>IFERROR(__xludf.DUMMYFUNCTION("""COMPUTED_VALUE"""),"บุญยะปานะโชติ")</f>
        <v>บุญยะปานะโชติ</v>
      </c>
      <c r="K952" t="str">
        <f>IFERROR(__xludf.DUMMYFUNCTION("""COMPUTED_VALUE"""),"คเณศ บุญยะปานะโชติ")</f>
        <v>คเณศ บุญยะปานะโชติ</v>
      </c>
      <c r="L952" t="str">
        <f>IFERROR(__xludf.DUMMYFUNCTION("""COMPUTED_VALUE"""),"Tity/ตีตี้​")</f>
        <v>Tity/ตีตี้​</v>
      </c>
      <c r="M952" t="str">
        <f>IFERROR(__xludf.DUMMYFUNCTION("""COMPUTED_VALUE"""),"Cabin Crew")</f>
        <v>Cabin Crew</v>
      </c>
      <c r="N952" t="str">
        <f>IFERROR(__xludf.DUMMYFUNCTION("""COMPUTED_VALUE"""),"DMK")</f>
        <v>DMK</v>
      </c>
      <c r="O952" s="145" t="str">
        <f>IFERROR(__xludf.DUMMYFUNCTION("""COMPUTED_VALUE"""),"Nhui Home")</f>
        <v>Nhui Home</v>
      </c>
      <c r="P952" t="str">
        <f>IFERROR(__xludf.DUMMYFUNCTION("""COMPUTED_VALUE"""),"Active")</f>
        <v>Active</v>
      </c>
      <c r="Q952" t="str">
        <f>IFERROR(__xludf.DUMMYFUNCTION("""COMPUTED_VALUE"""),"Chinese Speaking")</f>
        <v>Chinese Speaking</v>
      </c>
      <c r="R952" s="154">
        <f>IFERROR(__xludf.DUMMYFUNCTION("""COMPUTED_VALUE"""),32948.0)</f>
        <v>32948</v>
      </c>
      <c r="S952" s="146" t="str">
        <f>IFERROR(__xludf.DUMMYFUNCTION("""COMPUTED_VALUE"""),"093-936-9822")</f>
        <v>093-936-9822</v>
      </c>
      <c r="T952" s="147" t="str">
        <f>IFERROR(__xludf.DUMMYFUNCTION("""COMPUTED_VALUE"""),"1-1014-01691-95-9")</f>
        <v>1-1014-01691-95-9</v>
      </c>
      <c r="U952" t="str">
        <f>IFERROR(__xludf.DUMMYFUNCTION("""COMPUTED_VALUE"""),"AC2898086")</f>
        <v>AC2898086</v>
      </c>
      <c r="V952" s="148">
        <f>IFERROR(__xludf.DUMMYFUNCTION("""COMPUTED_VALUE"""),44614.0)</f>
        <v>44614</v>
      </c>
      <c r="W952" s="148">
        <f>IFERROR(__xludf.DUMMYFUNCTION("""COMPUTED_VALUE"""),48265.0)</f>
        <v>48265</v>
      </c>
      <c r="X952" s="149">
        <f>IFERROR(__xludf.DUMMYFUNCTION("""COMPUTED_VALUE"""),48081.0)</f>
        <v>48081</v>
      </c>
      <c r="Y952" t="str">
        <f>IFERROR(__xludf.DUMMYFUNCTION("""COMPUTED_VALUE"""),"ปลอดภัย")</f>
        <v>ปลอดภัย</v>
      </c>
      <c r="Z952" t="str">
        <f>IFERROR(__xludf.DUMMYFUNCTION("""COMPUTED_VALUE"""),"Bangkok")</f>
        <v>Bangkok</v>
      </c>
      <c r="AA952" t="str">
        <f>IFERROR(__xludf.DUMMYFUNCTION("""COMPUTED_VALUE"""),"Bangkok")</f>
        <v>Bangkok</v>
      </c>
      <c r="AB952" t="str">
        <f>IFERROR(__xludf.DUMMYFUNCTION("""COMPUTED_VALUE"""),"098 965 3591")</f>
        <v>098 965 3591</v>
      </c>
      <c r="AC952" t="str">
        <f>IFERROR(__xludf.DUMMYFUNCTION("""COMPUTED_VALUE"""),"Jiraksa Boonyapanachoti (Mother)")</f>
        <v>Jiraksa Boonyapanachoti (Mother)</v>
      </c>
      <c r="AD952" t="str">
        <f>IFERROR(__xludf.DUMMYFUNCTION("""COMPUTED_VALUE"""),"kanesboonyapanachoti@airasia.com")</f>
        <v>kanesboonyapanachoti@airasia.com</v>
      </c>
    </row>
    <row r="953">
      <c r="A953" s="142">
        <f>IFERROR(__xludf.DUMMYFUNCTION("""COMPUTED_VALUE"""),98.0)</f>
        <v>98</v>
      </c>
      <c r="C953">
        <f>IFERROR(__xludf.DUMMYFUNCTION("""COMPUTED_VALUE"""),1023775.0)</f>
        <v>1023775</v>
      </c>
      <c r="D953" t="str">
        <f>IFERROR(__xludf.DUMMYFUNCTION("""COMPUTED_VALUE"""),"Ms.")</f>
        <v>Ms.</v>
      </c>
      <c r="E953" t="str">
        <f>IFERROR(__xludf.DUMMYFUNCTION("""COMPUTED_VALUE"""),"Apichaya")</f>
        <v>Apichaya</v>
      </c>
      <c r="F953" t="str">
        <f>IFERROR(__xludf.DUMMYFUNCTION("""COMPUTED_VALUE"""),"Intaraudom")</f>
        <v>Intaraudom</v>
      </c>
      <c r="G953" t="str">
        <f>IFERROR(__xludf.DUMMYFUNCTION("""COMPUTED_VALUE"""),"Apichaya Intaraudom")</f>
        <v>Apichaya Intaraudom</v>
      </c>
      <c r="H953" t="str">
        <f>IFERROR(__xludf.DUMMYFUNCTION("""COMPUTED_VALUE"""),"นางสาว")</f>
        <v>นางสาว</v>
      </c>
      <c r="I953" t="str">
        <f>IFERROR(__xludf.DUMMYFUNCTION("""COMPUTED_VALUE"""),"อภิชญา")</f>
        <v>อภิชญา</v>
      </c>
      <c r="J953" t="str">
        <f>IFERROR(__xludf.DUMMYFUNCTION("""COMPUTED_VALUE"""),"อินทรอุดม")</f>
        <v>อินทรอุดม</v>
      </c>
      <c r="K953" t="str">
        <f>IFERROR(__xludf.DUMMYFUNCTION("""COMPUTED_VALUE"""),"อภิชญา อินทรอุดม")</f>
        <v>อภิชญา อินทรอุดม</v>
      </c>
      <c r="L953" t="str">
        <f>IFERROR(__xludf.DUMMYFUNCTION("""COMPUTED_VALUE"""),"Faye/ฝ้าย")</f>
        <v>Faye/ฝ้าย</v>
      </c>
      <c r="M953" t="str">
        <f>IFERROR(__xludf.DUMMYFUNCTION("""COMPUTED_VALUE"""),"Senior Cabin Crew")</f>
        <v>Senior Cabin Crew</v>
      </c>
      <c r="N953" t="str">
        <f>IFERROR(__xludf.DUMMYFUNCTION("""COMPUTED_VALUE"""),"DMK")</f>
        <v>DMK</v>
      </c>
      <c r="O953" s="145" t="str">
        <f>IFERROR(__xludf.DUMMYFUNCTION("""COMPUTED_VALUE"""),"Kor Home")</f>
        <v>Kor Home</v>
      </c>
      <c r="P953" t="str">
        <f>IFERROR(__xludf.DUMMYFUNCTION("""COMPUTED_VALUE"""),"Active")</f>
        <v>Active</v>
      </c>
      <c r="R953" s="154">
        <f>IFERROR(__xludf.DUMMYFUNCTION("""COMPUTED_VALUE"""),32525.0)</f>
        <v>32525</v>
      </c>
      <c r="S953" s="146" t="str">
        <f>IFERROR(__xludf.DUMMYFUNCTION("""COMPUTED_VALUE"""),"095-195-6649")</f>
        <v>095-195-6649</v>
      </c>
      <c r="T953" s="147" t="str">
        <f>IFERROR(__xludf.DUMMYFUNCTION("""COMPUTED_VALUE"""),"1-1014-01540-63-2")</f>
        <v>1-1014-01540-63-2</v>
      </c>
      <c r="U953" t="str">
        <f>IFERROR(__xludf.DUMMYFUNCTION("""COMPUTED_VALUE"""),"AD1332264")</f>
        <v>AD1332264</v>
      </c>
      <c r="V953" s="148">
        <f>IFERROR(__xludf.DUMMYFUNCTION("""COMPUTED_VALUE"""),45339.0)</f>
        <v>45339</v>
      </c>
      <c r="W953" s="148">
        <f>IFERROR(__xludf.DUMMYFUNCTION("""COMPUTED_VALUE"""),48991.0)</f>
        <v>48991</v>
      </c>
      <c r="X953" s="149">
        <f>IFERROR(__xludf.DUMMYFUNCTION("""COMPUTED_VALUE"""),48807.0)</f>
        <v>48807</v>
      </c>
      <c r="Y953" t="str">
        <f>IFERROR(__xludf.DUMMYFUNCTION("""COMPUTED_VALUE"""),"ปลอดภัย")</f>
        <v>ปลอดภัย</v>
      </c>
      <c r="Z953" t="str">
        <f>IFERROR(__xludf.DUMMYFUNCTION("""COMPUTED_VALUE"""),"Bangkok")</f>
        <v>Bangkok</v>
      </c>
      <c r="AA953" t="str">
        <f>IFERROR(__xludf.DUMMYFUNCTION("""COMPUTED_VALUE"""),"Bangkok")</f>
        <v>Bangkok</v>
      </c>
      <c r="AB953" t="str">
        <f>IFERROR(__xludf.DUMMYFUNCTION("""COMPUTED_VALUE"""),"087-562-7623")</f>
        <v>087-562-7623</v>
      </c>
      <c r="AC953" t="str">
        <f>IFERROR(__xludf.DUMMYFUNCTION("""COMPUTED_VALUE"""),"Yupin Intaraudom (Mother)")</f>
        <v>Yupin Intaraudom (Mother)</v>
      </c>
      <c r="AD953" t="str">
        <f>IFERROR(__xludf.DUMMYFUNCTION("""COMPUTED_VALUE"""),"apichayaintaraudom@airasia.com")</f>
        <v>apichayaintaraudom@airasia.com</v>
      </c>
    </row>
    <row r="954">
      <c r="AD954" t="str">
        <f>IFERROR(__xludf.DUMMYFUNCTION("""COMPUTED_VALUE"""),"")</f>
        <v/>
      </c>
    </row>
    <row r="955">
      <c r="A955" s="142">
        <f>IFERROR(__xludf.DUMMYFUNCTION("""COMPUTED_VALUE"""),99.0)</f>
        <v>99</v>
      </c>
      <c r="C955">
        <f>IFERROR(__xludf.DUMMYFUNCTION("""COMPUTED_VALUE"""),1025302.0)</f>
        <v>1025302</v>
      </c>
      <c r="D955" t="str">
        <f>IFERROR(__xludf.DUMMYFUNCTION("""COMPUTED_VALUE"""),"Ms.")</f>
        <v>Ms.</v>
      </c>
      <c r="E955" t="str">
        <f>IFERROR(__xludf.DUMMYFUNCTION("""COMPUTED_VALUE"""),"Krisana")</f>
        <v>Krisana</v>
      </c>
      <c r="F955" t="str">
        <f>IFERROR(__xludf.DUMMYFUNCTION("""COMPUTED_VALUE"""),"Sae-yang")</f>
        <v>Sae-yang</v>
      </c>
      <c r="G955" t="str">
        <f>IFERROR(__xludf.DUMMYFUNCTION("""COMPUTED_VALUE"""),"Krisana Sae-yang")</f>
        <v>Krisana Sae-yang</v>
      </c>
      <c r="H955" t="str">
        <f>IFERROR(__xludf.DUMMYFUNCTION("""COMPUTED_VALUE"""),"นางสาว")</f>
        <v>นางสาว</v>
      </c>
      <c r="I955" t="str">
        <f>IFERROR(__xludf.DUMMYFUNCTION("""COMPUTED_VALUE"""),"กฤษณา")</f>
        <v>กฤษณา</v>
      </c>
      <c r="J955" t="str">
        <f>IFERROR(__xludf.DUMMYFUNCTION("""COMPUTED_VALUE"""),"แซ่หยาง")</f>
        <v>แซ่หยาง</v>
      </c>
      <c r="K955" t="str">
        <f>IFERROR(__xludf.DUMMYFUNCTION("""COMPUTED_VALUE"""),"กฤษณา แซ่หยาง")</f>
        <v>กฤษณา แซ่หยาง</v>
      </c>
      <c r="L955" t="str">
        <f>IFERROR(__xludf.DUMMYFUNCTION("""COMPUTED_VALUE"""),"nut")</f>
        <v>nut</v>
      </c>
      <c r="M955" t="str">
        <f>IFERROR(__xludf.DUMMYFUNCTION("""COMPUTED_VALUE"""),"Cabin Crew")</f>
        <v>Cabin Crew</v>
      </c>
      <c r="N955" t="str">
        <f>IFERROR(__xludf.DUMMYFUNCTION("""COMPUTED_VALUE"""),"DMK")</f>
        <v>DMK</v>
      </c>
      <c r="O955" s="145" t="str">
        <f>IFERROR(__xludf.DUMMYFUNCTION("""COMPUTED_VALUE"""),"Namfon Home")</f>
        <v>Namfon Home</v>
      </c>
      <c r="P955" t="str">
        <f>IFERROR(__xludf.DUMMYFUNCTION("""COMPUTED_VALUE"""),"Active")</f>
        <v>Active</v>
      </c>
      <c r="Q955" t="str">
        <f>IFERROR(__xludf.DUMMYFUNCTION("""COMPUTED_VALUE"""),"Chinese Speaking")</f>
        <v>Chinese Speaking</v>
      </c>
      <c r="R955" s="156">
        <f>IFERROR(__xludf.DUMMYFUNCTION("""COMPUTED_VALUE"""),34235.0)</f>
        <v>34235</v>
      </c>
      <c r="S955" s="146" t="str">
        <f>IFERROR(__xludf.DUMMYFUNCTION("""COMPUTED_VALUE"""),"062 724 6600")</f>
        <v>062 724 6600</v>
      </c>
      <c r="T955" s="147" t="str">
        <f>IFERROR(__xludf.DUMMYFUNCTION("""COMPUTED_VALUE"""),"1 1023 00036 07 7")</f>
        <v>1 1023 00036 07 7</v>
      </c>
      <c r="U955" t="str">
        <f>IFERROR(__xludf.DUMMYFUNCTION("""COMPUTED_VALUE"""),"AC3780731")</f>
        <v>AC3780731</v>
      </c>
      <c r="V955" s="148">
        <f>IFERROR(__xludf.DUMMYFUNCTION("""COMPUTED_VALUE"""),44783.0)</f>
        <v>44783</v>
      </c>
      <c r="W955" s="148">
        <f>IFERROR(__xludf.DUMMYFUNCTION("""COMPUTED_VALUE"""),48435.0)</f>
        <v>48435</v>
      </c>
      <c r="X955" s="149">
        <f>IFERROR(__xludf.DUMMYFUNCTION("""COMPUTED_VALUE"""),48253.0)</f>
        <v>48253</v>
      </c>
      <c r="Y955" t="str">
        <f>IFERROR(__xludf.DUMMYFUNCTION("""COMPUTED_VALUE"""),"ปลอดภัย")</f>
        <v>ปลอดภัย</v>
      </c>
      <c r="Z955" t="str">
        <f>IFERROR(__xludf.DUMMYFUNCTION("""COMPUTED_VALUE"""),"Bangkok")</f>
        <v>Bangkok</v>
      </c>
      <c r="AA955" t="str">
        <f>IFERROR(__xludf.DUMMYFUNCTION("""COMPUTED_VALUE"""),"Nakhonpathom")</f>
        <v>Nakhonpathom</v>
      </c>
      <c r="AB955" t="str">
        <f>IFERROR(__xludf.DUMMYFUNCTION("""COMPUTED_VALUE"""),"081-705-2258")</f>
        <v>081-705-2258</v>
      </c>
      <c r="AC955" t="str">
        <f>IFERROR(__xludf.DUMMYFUNCTION("""COMPUTED_VALUE"""),"Naiyana Boonkrasin (Mother)")</f>
        <v>Naiyana Boonkrasin (Mother)</v>
      </c>
      <c r="AD955" t="str">
        <f>IFERROR(__xludf.DUMMYFUNCTION("""COMPUTED_VALUE"""),"krisanasaeyang@airasia.com")</f>
        <v>krisanasaeyang@airasia.com</v>
      </c>
    </row>
    <row r="956">
      <c r="A956" s="142">
        <f>IFERROR(__xludf.DUMMYFUNCTION("""COMPUTED_VALUE"""),99.0)</f>
        <v>99</v>
      </c>
      <c r="C956">
        <f>IFERROR(__xludf.DUMMYFUNCTION("""COMPUTED_VALUE"""),1025304.0)</f>
        <v>1025304</v>
      </c>
      <c r="D956" t="str">
        <f>IFERROR(__xludf.DUMMYFUNCTION("""COMPUTED_VALUE"""),"Mr.")</f>
        <v>Mr.</v>
      </c>
      <c r="E956" t="str">
        <f>IFERROR(__xludf.DUMMYFUNCTION("""COMPUTED_VALUE"""),"Nuthapat")</f>
        <v>Nuthapat</v>
      </c>
      <c r="F956" t="str">
        <f>IFERROR(__xludf.DUMMYFUNCTION("""COMPUTED_VALUE"""),"Thisa")</f>
        <v>Thisa</v>
      </c>
      <c r="G956" t="str">
        <f>IFERROR(__xludf.DUMMYFUNCTION("""COMPUTED_VALUE"""),"Nuthapat Thisa")</f>
        <v>Nuthapat Thisa</v>
      </c>
      <c r="H956" t="str">
        <f>IFERROR(__xludf.DUMMYFUNCTION("""COMPUTED_VALUE"""),"นาย")</f>
        <v>นาย</v>
      </c>
      <c r="I956" t="str">
        <f>IFERROR(__xludf.DUMMYFUNCTION("""COMPUTED_VALUE"""),"ณัฐภัทร")</f>
        <v>ณัฐภัทร</v>
      </c>
      <c r="J956" t="str">
        <f>IFERROR(__xludf.DUMMYFUNCTION("""COMPUTED_VALUE"""),"ธิสา")</f>
        <v>ธิสา</v>
      </c>
      <c r="K956" t="str">
        <f>IFERROR(__xludf.DUMMYFUNCTION("""COMPUTED_VALUE"""),"ณัฐภัทร ธิสา")</f>
        <v>ณัฐภัทร ธิสา</v>
      </c>
      <c r="L956" t="str">
        <f>IFERROR(__xludf.DUMMYFUNCTION("""COMPUTED_VALUE"""),"Max/แม็กซ์")</f>
        <v>Max/แม็กซ์</v>
      </c>
      <c r="M956" t="str">
        <f>IFERROR(__xludf.DUMMYFUNCTION("""COMPUTED_VALUE"""),"Cabin Crew - CNX")</f>
        <v>Cabin Crew - CNX</v>
      </c>
      <c r="N956" t="str">
        <f>IFERROR(__xludf.DUMMYFUNCTION("""COMPUTED_VALUE"""),"CNX")</f>
        <v>CNX</v>
      </c>
      <c r="O956" s="145" t="str">
        <f>IFERROR(__xludf.DUMMYFUNCTION("""COMPUTED_VALUE"""),"Up Home")</f>
        <v>Up Home</v>
      </c>
      <c r="P956" t="str">
        <f>IFERROR(__xludf.DUMMYFUNCTION("""COMPUTED_VALUE"""),"Active")</f>
        <v>Active</v>
      </c>
      <c r="Q956" t="str">
        <f>IFERROR(__xludf.DUMMYFUNCTION("""COMPUTED_VALUE"""),"Chinese Speaking")</f>
        <v>Chinese Speaking</v>
      </c>
      <c r="R956" s="155">
        <f>IFERROR(__xludf.DUMMYFUNCTION("""COMPUTED_VALUE"""),34372.0)</f>
        <v>34372</v>
      </c>
      <c r="S956" s="146" t="str">
        <f>IFERROR(__xludf.DUMMYFUNCTION("""COMPUTED_VALUE"""),"098 429 2956 ")</f>
        <v>098 429 2956 </v>
      </c>
      <c r="T956" s="147" t="str">
        <f>IFERROR(__xludf.DUMMYFUNCTION("""COMPUTED_VALUE"""),"1 5099 01412 29 7")</f>
        <v>1 5099 01412 29 7</v>
      </c>
      <c r="U956" t="str">
        <f>IFERROR(__xludf.DUMMYFUNCTION("""COMPUTED_VALUE"""),"AD3139842")</f>
        <v>AD3139842</v>
      </c>
      <c r="V956" s="148">
        <f>IFERROR(__xludf.DUMMYFUNCTION("""COMPUTED_VALUE"""),46041.0)</f>
        <v>46041</v>
      </c>
      <c r="W956" s="148">
        <f>IFERROR(__xludf.DUMMYFUNCTION("""COMPUTED_VALUE"""),47866.0)</f>
        <v>47866</v>
      </c>
      <c r="X956" s="149">
        <f>IFERROR(__xludf.DUMMYFUNCTION("""COMPUTED_VALUE"""),47682.0)</f>
        <v>47682</v>
      </c>
      <c r="Y956" t="str">
        <f>IFERROR(__xludf.DUMMYFUNCTION("""COMPUTED_VALUE"""),"ปลอดภัย")</f>
        <v>ปลอดภัย</v>
      </c>
      <c r="Z956" t="str">
        <f>IFERROR(__xludf.DUMMYFUNCTION("""COMPUTED_VALUE"""),"Chiang Mai Province")</f>
        <v>Chiang Mai Province</v>
      </c>
      <c r="AA956" t="str">
        <f>IFERROR(__xludf.DUMMYFUNCTION("""COMPUTED_VALUE"""),"Chiang Mai")</f>
        <v>Chiang Mai</v>
      </c>
      <c r="AB956" t="str">
        <f>IFERROR(__xludf.DUMMYFUNCTION("""COMPUTED_VALUE"""),"081-882-8092")</f>
        <v>081-882-8092</v>
      </c>
      <c r="AC956" t="str">
        <f>IFERROR(__xludf.DUMMYFUNCTION("""COMPUTED_VALUE"""),"Mongkorn Thisa (Father)")</f>
        <v>Mongkorn Thisa (Father)</v>
      </c>
      <c r="AD956" t="str">
        <f>IFERROR(__xludf.DUMMYFUNCTION("""COMPUTED_VALUE"""),"nuthapatthisa@airasia.com")</f>
        <v>nuthapatthisa@airasia.com</v>
      </c>
    </row>
    <row r="957">
      <c r="A957" s="142">
        <f>IFERROR(__xludf.DUMMYFUNCTION("""COMPUTED_VALUE"""),99.0)</f>
        <v>99</v>
      </c>
      <c r="C957">
        <f>IFERROR(__xludf.DUMMYFUNCTION("""COMPUTED_VALUE"""),1025306.0)</f>
        <v>1025306</v>
      </c>
      <c r="D957" t="str">
        <f>IFERROR(__xludf.DUMMYFUNCTION("""COMPUTED_VALUE"""),"Mr.")</f>
        <v>Mr.</v>
      </c>
      <c r="E957" t="str">
        <f>IFERROR(__xludf.DUMMYFUNCTION("""COMPUTED_VALUE"""),"Soravis")</f>
        <v>Soravis</v>
      </c>
      <c r="F957" t="str">
        <f>IFERROR(__xludf.DUMMYFUNCTION("""COMPUTED_VALUE"""),"Kissanaviparkporn")</f>
        <v>Kissanaviparkporn</v>
      </c>
      <c r="G957" t="str">
        <f>IFERROR(__xludf.DUMMYFUNCTION("""COMPUTED_VALUE"""),"Soravis Kissanaviparkporn")</f>
        <v>Soravis Kissanaviparkporn</v>
      </c>
      <c r="H957" t="str">
        <f>IFERROR(__xludf.DUMMYFUNCTION("""COMPUTED_VALUE"""),"นาย")</f>
        <v>นาย</v>
      </c>
      <c r="I957" t="str">
        <f>IFERROR(__xludf.DUMMYFUNCTION("""COMPUTED_VALUE"""),"สรวิศ")</f>
        <v>สรวิศ</v>
      </c>
      <c r="J957" t="str">
        <f>IFERROR(__xludf.DUMMYFUNCTION("""COMPUTED_VALUE"""),"กฤษณวิภาคพร")</f>
        <v>กฤษณวิภาคพร</v>
      </c>
      <c r="K957" t="str">
        <f>IFERROR(__xludf.DUMMYFUNCTION("""COMPUTED_VALUE"""),"สรวิศ กฤษณวิภาคพร")</f>
        <v>สรวิศ กฤษณวิภาคพร</v>
      </c>
      <c r="L957" t="str">
        <f>IFERROR(__xludf.DUMMYFUNCTION("""COMPUTED_VALUE"""),"Tunyong / ตันหยง")</f>
        <v>Tunyong / ตันหยง</v>
      </c>
      <c r="M957" t="str">
        <f>IFERROR(__xludf.DUMMYFUNCTION("""COMPUTED_VALUE"""),"Cabin Crew - CNX")</f>
        <v>Cabin Crew - CNX</v>
      </c>
      <c r="N957" t="str">
        <f>IFERROR(__xludf.DUMMYFUNCTION("""COMPUTED_VALUE"""),"CNX")</f>
        <v>CNX</v>
      </c>
      <c r="O957" s="145" t="str">
        <f>IFERROR(__xludf.DUMMYFUNCTION("""COMPUTED_VALUE"""),"Up Home")</f>
        <v>Up Home</v>
      </c>
      <c r="P957" t="str">
        <f>IFERROR(__xludf.DUMMYFUNCTION("""COMPUTED_VALUE"""),"Active")</f>
        <v>Active</v>
      </c>
      <c r="Q957" t="str">
        <f>IFERROR(__xludf.DUMMYFUNCTION("""COMPUTED_VALUE"""),"Chinese Speaking")</f>
        <v>Chinese Speaking</v>
      </c>
      <c r="R957" s="155">
        <f>IFERROR(__xludf.DUMMYFUNCTION("""COMPUTED_VALUE"""),33738.0)</f>
        <v>33738</v>
      </c>
      <c r="S957" s="146" t="str">
        <f>IFERROR(__xludf.DUMMYFUNCTION("""COMPUTED_VALUE"""),"095 641 3431")</f>
        <v>095 641 3431</v>
      </c>
      <c r="T957" s="147" t="str">
        <f>IFERROR(__xludf.DUMMYFUNCTION("""COMPUTED_VALUE"""),"0 1108 00804 00 4")</f>
        <v>0 1108 00804 00 4</v>
      </c>
      <c r="U957" t="str">
        <f>IFERROR(__xludf.DUMMYFUNCTION("""COMPUTED_VALUE"""),"AC4145958")</f>
        <v>AC4145958</v>
      </c>
      <c r="V957" s="148">
        <f>IFERROR(__xludf.DUMMYFUNCTION("""COMPUTED_VALUE"""),44881.0)</f>
        <v>44881</v>
      </c>
      <c r="W957" s="148">
        <f>IFERROR(__xludf.DUMMYFUNCTION("""COMPUTED_VALUE"""),48533.0)</f>
        <v>48533</v>
      </c>
      <c r="X957" s="149">
        <f>IFERROR(__xludf.DUMMYFUNCTION("""COMPUTED_VALUE"""),48349.0)</f>
        <v>48349</v>
      </c>
      <c r="Y957" t="str">
        <f>IFERROR(__xludf.DUMMYFUNCTION("""COMPUTED_VALUE"""),"ปลอดภัย")</f>
        <v>ปลอดภัย</v>
      </c>
      <c r="Z957" t="str">
        <f>IFERROR(__xludf.DUMMYFUNCTION("""COMPUTED_VALUE"""),"Bangkok")</f>
        <v>Bangkok</v>
      </c>
      <c r="AA957" t="str">
        <f>IFERROR(__xludf.DUMMYFUNCTION("""COMPUTED_VALUE"""),"Bangkok")</f>
        <v>Bangkok</v>
      </c>
      <c r="AB957" t="str">
        <f>IFERROR(__xludf.DUMMYFUNCTION("""COMPUTED_VALUE"""),"089-987-3790")</f>
        <v>089-987-3790</v>
      </c>
      <c r="AC957" t="str">
        <f>IFERROR(__xludf.DUMMYFUNCTION("""COMPUTED_VALUE"""),"Sompong Kissanaviparkporn (Father)")</f>
        <v>Sompong Kissanaviparkporn (Father)</v>
      </c>
      <c r="AD957" t="str">
        <f>IFERROR(__xludf.DUMMYFUNCTION("""COMPUTED_VALUE"""),"soraviskissanavipar@airasia.com")</f>
        <v>soraviskissanavipar@airasia.com</v>
      </c>
    </row>
    <row r="958">
      <c r="A958" s="142">
        <f>IFERROR(__xludf.DUMMYFUNCTION("""COMPUTED_VALUE"""),99.0)</f>
        <v>99</v>
      </c>
      <c r="C958">
        <f>IFERROR(__xludf.DUMMYFUNCTION("""COMPUTED_VALUE"""),1025307.0)</f>
        <v>1025307</v>
      </c>
      <c r="D958" t="str">
        <f>IFERROR(__xludf.DUMMYFUNCTION("""COMPUTED_VALUE"""),"Mr.")</f>
        <v>Mr.</v>
      </c>
      <c r="E958" t="str">
        <f>IFERROR(__xludf.DUMMYFUNCTION("""COMPUTED_VALUE"""),"Krisada")</f>
        <v>Krisada</v>
      </c>
      <c r="F958" t="str">
        <f>IFERROR(__xludf.DUMMYFUNCTION("""COMPUTED_VALUE"""),"Kerdsuwan")</f>
        <v>Kerdsuwan</v>
      </c>
      <c r="G958" t="str">
        <f>IFERROR(__xludf.DUMMYFUNCTION("""COMPUTED_VALUE"""),"Krisada Kerdsuwan")</f>
        <v>Krisada Kerdsuwan</v>
      </c>
      <c r="H958" t="str">
        <f>IFERROR(__xludf.DUMMYFUNCTION("""COMPUTED_VALUE"""),"นาย")</f>
        <v>นาย</v>
      </c>
      <c r="I958" t="str">
        <f>IFERROR(__xludf.DUMMYFUNCTION("""COMPUTED_VALUE"""),"กฤษฎา")</f>
        <v>กฤษฎา</v>
      </c>
      <c r="J958" t="str">
        <f>IFERROR(__xludf.DUMMYFUNCTION("""COMPUTED_VALUE"""),"เกิดสุวรรณ")</f>
        <v>เกิดสุวรรณ</v>
      </c>
      <c r="K958" t="str">
        <f>IFERROR(__xludf.DUMMYFUNCTION("""COMPUTED_VALUE"""),"กฤษฎา เกิดสุวรรณ")</f>
        <v>กฤษฎา เกิดสุวรรณ</v>
      </c>
      <c r="L958" t="str">
        <f>IFERROR(__xludf.DUMMYFUNCTION("""COMPUTED_VALUE"""),"Mark / มาร์ค")</f>
        <v>Mark / มาร์ค</v>
      </c>
      <c r="M958" t="str">
        <f>IFERROR(__xludf.DUMMYFUNCTION("""COMPUTED_VALUE"""),"Cabin Crew")</f>
        <v>Cabin Crew</v>
      </c>
      <c r="N958" t="str">
        <f>IFERROR(__xludf.DUMMYFUNCTION("""COMPUTED_VALUE"""),"DMK")</f>
        <v>DMK</v>
      </c>
      <c r="O958" s="145" t="str">
        <f>IFERROR(__xludf.DUMMYFUNCTION("""COMPUTED_VALUE"""),"Up Home")</f>
        <v>Up Home</v>
      </c>
      <c r="P958" t="str">
        <f>IFERROR(__xludf.DUMMYFUNCTION("""COMPUTED_VALUE"""),"Active")</f>
        <v>Active</v>
      </c>
      <c r="Q958" t="str">
        <f>IFERROR(__xludf.DUMMYFUNCTION("""COMPUTED_VALUE"""),"Chinese Speaking")</f>
        <v>Chinese Speaking</v>
      </c>
      <c r="R958" s="155">
        <f>IFERROR(__xludf.DUMMYFUNCTION("""COMPUTED_VALUE"""),33424.0)</f>
        <v>33424</v>
      </c>
      <c r="S958" s="146" t="str">
        <f>IFERROR(__xludf.DUMMYFUNCTION("""COMPUTED_VALUE"""),"090 494 4959")</f>
        <v>090 494 4959</v>
      </c>
      <c r="T958" s="147" t="str">
        <f>IFERROR(__xludf.DUMMYFUNCTION("""COMPUTED_VALUE"""),"1 1020 01557 71 7")</f>
        <v>1 1020 01557 71 7</v>
      </c>
      <c r="U958" t="str">
        <f>IFERROR(__xludf.DUMMYFUNCTION("""COMPUTED_VALUE"""),"AC5238730")</f>
        <v>AC5238730</v>
      </c>
      <c r="V958" s="148">
        <f>IFERROR(__xludf.DUMMYFUNCTION("""COMPUTED_VALUE"""),45108.0)</f>
        <v>45108</v>
      </c>
      <c r="W958" s="148">
        <f>IFERROR(__xludf.DUMMYFUNCTION("""COMPUTED_VALUE"""),48760.0)</f>
        <v>48760</v>
      </c>
      <c r="X958" s="149">
        <f>IFERROR(__xludf.DUMMYFUNCTION("""COMPUTED_VALUE"""),48578.0)</f>
        <v>48578</v>
      </c>
      <c r="Y958" t="str">
        <f>IFERROR(__xludf.DUMMYFUNCTION("""COMPUTED_VALUE"""),"ปลอดภัย")</f>
        <v>ปลอดภัย</v>
      </c>
      <c r="Z958" t="str">
        <f>IFERROR(__xludf.DUMMYFUNCTION("""COMPUTED_VALUE"""),"Bangkok")</f>
        <v>Bangkok</v>
      </c>
      <c r="AA958" t="str">
        <f>IFERROR(__xludf.DUMMYFUNCTION("""COMPUTED_VALUE"""),"Nonthaburi")</f>
        <v>Nonthaburi</v>
      </c>
      <c r="AB958" t="str">
        <f>IFERROR(__xludf.DUMMYFUNCTION("""COMPUTED_VALUE"""),"081-988-2567")</f>
        <v>081-988-2567</v>
      </c>
      <c r="AC958" t="str">
        <f>IFERROR(__xludf.DUMMYFUNCTION("""COMPUTED_VALUE"""),"Natnaree Kerdsuwan (Mother)")</f>
        <v>Natnaree Kerdsuwan (Mother)</v>
      </c>
      <c r="AD958" t="str">
        <f>IFERROR(__xludf.DUMMYFUNCTION("""COMPUTED_VALUE"""),"krisadakerdsuwan@airasia.com")</f>
        <v>krisadakerdsuwan@airasia.com</v>
      </c>
    </row>
    <row r="959">
      <c r="A959" s="142">
        <f>IFERROR(__xludf.DUMMYFUNCTION("""COMPUTED_VALUE"""),99.0)</f>
        <v>99</v>
      </c>
      <c r="C959">
        <f>IFERROR(__xludf.DUMMYFUNCTION("""COMPUTED_VALUE"""),1025308.0)</f>
        <v>1025308</v>
      </c>
      <c r="D959" t="str">
        <f>IFERROR(__xludf.DUMMYFUNCTION("""COMPUTED_VALUE"""),"Ms.")</f>
        <v>Ms.</v>
      </c>
      <c r="E959" t="str">
        <f>IFERROR(__xludf.DUMMYFUNCTION("""COMPUTED_VALUE"""),"Matawee")</f>
        <v>Matawee</v>
      </c>
      <c r="F959" t="str">
        <f>IFERROR(__xludf.DUMMYFUNCTION("""COMPUTED_VALUE"""),"Jongjarrulak")</f>
        <v>Jongjarrulak</v>
      </c>
      <c r="G959" t="str">
        <f>IFERROR(__xludf.DUMMYFUNCTION("""COMPUTED_VALUE"""),"Matawee Jongjarrulak")</f>
        <v>Matawee Jongjarrulak</v>
      </c>
      <c r="H959" t="str">
        <f>IFERROR(__xludf.DUMMYFUNCTION("""COMPUTED_VALUE"""),"นางสาว")</f>
        <v>นางสาว</v>
      </c>
      <c r="I959" t="str">
        <f>IFERROR(__xludf.DUMMYFUNCTION("""COMPUTED_VALUE"""),"เมธาวี")</f>
        <v>เมธาวี</v>
      </c>
      <c r="J959" t="str">
        <f>IFERROR(__xludf.DUMMYFUNCTION("""COMPUTED_VALUE"""),"จงจารุลักษณ์")</f>
        <v>จงจารุลักษณ์</v>
      </c>
      <c r="K959" t="str">
        <f>IFERROR(__xludf.DUMMYFUNCTION("""COMPUTED_VALUE"""),"เมธาวี จงจารุลักษณ์")</f>
        <v>เมธาวี จงจารุลักษณ์</v>
      </c>
      <c r="L959" t="str">
        <f>IFERROR(__xludf.DUMMYFUNCTION("""COMPUTED_VALUE"""),"Mary / เมรี่")</f>
        <v>Mary / เมรี่</v>
      </c>
      <c r="M959" t="str">
        <f>IFERROR(__xludf.DUMMYFUNCTION("""COMPUTED_VALUE"""),"Cabin Crew - HKT")</f>
        <v>Cabin Crew - HKT</v>
      </c>
      <c r="N959" t="str">
        <f>IFERROR(__xludf.DUMMYFUNCTION("""COMPUTED_VALUE"""),"HKT")</f>
        <v>HKT</v>
      </c>
      <c r="O959" s="145" t="str">
        <f>IFERROR(__xludf.DUMMYFUNCTION("""COMPUTED_VALUE"""),"Kor Home")</f>
        <v>Kor Home</v>
      </c>
      <c r="P959" t="str">
        <f>IFERROR(__xludf.DUMMYFUNCTION("""COMPUTED_VALUE"""),"Active")</f>
        <v>Active</v>
      </c>
      <c r="Q959" t="str">
        <f>IFERROR(__xludf.DUMMYFUNCTION("""COMPUTED_VALUE"""),"Chinese Speaking")</f>
        <v>Chinese Speaking</v>
      </c>
      <c r="R959" s="155">
        <f>IFERROR(__xludf.DUMMYFUNCTION("""COMPUTED_VALUE"""),33953.0)</f>
        <v>33953</v>
      </c>
      <c r="S959" s="146" t="str">
        <f>IFERROR(__xludf.DUMMYFUNCTION("""COMPUTED_VALUE"""),"094 459 8614")</f>
        <v>094 459 8614</v>
      </c>
      <c r="T959" s="147" t="str">
        <f>IFERROR(__xludf.DUMMYFUNCTION("""COMPUTED_VALUE"""),"1 8401 00420 10 0")</f>
        <v>1 8401 00420 10 0</v>
      </c>
      <c r="U959" t="str">
        <f>IFERROR(__xludf.DUMMYFUNCTION("""COMPUTED_VALUE"""),"AC3601444")</f>
        <v>AC3601444</v>
      </c>
      <c r="V959" s="148">
        <f>IFERROR(__xludf.DUMMYFUNCTION("""COMPUTED_VALUE"""),44767.0)</f>
        <v>44767</v>
      </c>
      <c r="W959" s="148">
        <f>IFERROR(__xludf.DUMMYFUNCTION("""COMPUTED_VALUE"""),48419.0)</f>
        <v>48419</v>
      </c>
      <c r="X959" s="149">
        <f>IFERROR(__xludf.DUMMYFUNCTION("""COMPUTED_VALUE"""),48237.0)</f>
        <v>48237</v>
      </c>
      <c r="Y959" t="str">
        <f>IFERROR(__xludf.DUMMYFUNCTION("""COMPUTED_VALUE"""),"ปลอดภัย")</f>
        <v>ปลอดภัย</v>
      </c>
      <c r="Z959" t="str">
        <f>IFERROR(__xludf.DUMMYFUNCTION("""COMPUTED_VALUE"""),"Surat Thani Province")</f>
        <v>Surat Thani Province</v>
      </c>
      <c r="AA959" t="str">
        <f>IFERROR(__xludf.DUMMYFUNCTION("""COMPUTED_VALUE"""),"Bangkok")</f>
        <v>Bangkok</v>
      </c>
      <c r="AB959" t="str">
        <f>IFERROR(__xludf.DUMMYFUNCTION("""COMPUTED_VALUE"""),"086-281-3599")</f>
        <v>086-281-3599</v>
      </c>
      <c r="AC959" t="str">
        <f>IFERROR(__xludf.DUMMYFUNCTION("""COMPUTED_VALUE"""),"Somboon Jongjarrulak (Mother)")</f>
        <v>Somboon Jongjarrulak (Mother)</v>
      </c>
      <c r="AD959" t="str">
        <f>IFERROR(__xludf.DUMMYFUNCTION("""COMPUTED_VALUE"""),"mataweejongjarrulak@airasia.com")</f>
        <v>mataweejongjarrulak@airasia.com</v>
      </c>
    </row>
    <row r="960">
      <c r="A960" s="142">
        <f>IFERROR(__xludf.DUMMYFUNCTION("""COMPUTED_VALUE"""),99.0)</f>
        <v>99</v>
      </c>
      <c r="C960">
        <f>IFERROR(__xludf.DUMMYFUNCTION("""COMPUTED_VALUE"""),1025309.0)</f>
        <v>1025309</v>
      </c>
      <c r="D960" t="str">
        <f>IFERROR(__xludf.DUMMYFUNCTION("""COMPUTED_VALUE"""),"Mr.")</f>
        <v>Mr.</v>
      </c>
      <c r="E960" t="str">
        <f>IFERROR(__xludf.DUMMYFUNCTION("""COMPUTED_VALUE"""),"Nonthapat")</f>
        <v>Nonthapat</v>
      </c>
      <c r="F960" t="str">
        <f>IFERROR(__xludf.DUMMYFUNCTION("""COMPUTED_VALUE"""),"Mansamak")</f>
        <v>Mansamak</v>
      </c>
      <c r="G960" t="str">
        <f>IFERROR(__xludf.DUMMYFUNCTION("""COMPUTED_VALUE"""),"Nonthapat Mansamak")</f>
        <v>Nonthapat Mansamak</v>
      </c>
      <c r="H960" t="str">
        <f>IFERROR(__xludf.DUMMYFUNCTION("""COMPUTED_VALUE"""),"นาย")</f>
        <v>นาย</v>
      </c>
      <c r="I960" t="str">
        <f>IFERROR(__xludf.DUMMYFUNCTION("""COMPUTED_VALUE"""),"นนทพัทธ์")</f>
        <v>นนทพัทธ์</v>
      </c>
      <c r="J960" t="str">
        <f>IFERROR(__xludf.DUMMYFUNCTION("""COMPUTED_VALUE"""),"หมั่นสมัคร")</f>
        <v>หมั่นสมัคร</v>
      </c>
      <c r="K960" t="str">
        <f>IFERROR(__xludf.DUMMYFUNCTION("""COMPUTED_VALUE"""),"นนทพัทธ์ หมั่นสมัคร")</f>
        <v>นนทพัทธ์ หมั่นสมัคร</v>
      </c>
      <c r="L960" t="str">
        <f>IFERROR(__xludf.DUMMYFUNCTION("""COMPUTED_VALUE"""),"Farm / ฟาร์ม")</f>
        <v>Farm / ฟาร์ม</v>
      </c>
      <c r="M960" t="str">
        <f>IFERROR(__xludf.DUMMYFUNCTION("""COMPUTED_VALUE"""),"Cabin Crew")</f>
        <v>Cabin Crew</v>
      </c>
      <c r="N960" t="str">
        <f>IFERROR(__xludf.DUMMYFUNCTION("""COMPUTED_VALUE"""),"DMK")</f>
        <v>DMK</v>
      </c>
      <c r="O960" s="145" t="str">
        <f>IFERROR(__xludf.DUMMYFUNCTION("""COMPUTED_VALUE"""),"Kor Home")</f>
        <v>Kor Home</v>
      </c>
      <c r="P960" t="str">
        <f>IFERROR(__xludf.DUMMYFUNCTION("""COMPUTED_VALUE"""),"Active")</f>
        <v>Active</v>
      </c>
      <c r="Q960" t="str">
        <f>IFERROR(__xludf.DUMMYFUNCTION("""COMPUTED_VALUE"""),"Chinese Speaking")</f>
        <v>Chinese Speaking</v>
      </c>
      <c r="R960" s="155">
        <f>IFERROR(__xludf.DUMMYFUNCTION("""COMPUTED_VALUE"""),34342.0)</f>
        <v>34342</v>
      </c>
      <c r="S960" s="146" t="str">
        <f>IFERROR(__xludf.DUMMYFUNCTION("""COMPUTED_VALUE"""),"085 116 1711")</f>
        <v>085 116 1711</v>
      </c>
      <c r="T960" s="147" t="str">
        <f>IFERROR(__xludf.DUMMYFUNCTION("""COMPUTED_VALUE"""),"1 1037 01304 52 9")</f>
        <v>1 1037 01304 52 9</v>
      </c>
      <c r="U960" t="str">
        <f>IFERROR(__xludf.DUMMYFUNCTION("""COMPUTED_VALUE"""),"AC7923498")</f>
        <v>AC7923498</v>
      </c>
      <c r="V960" s="148">
        <f>IFERROR(__xludf.DUMMYFUNCTION("""COMPUTED_VALUE"""),45685.0)</f>
        <v>45685</v>
      </c>
      <c r="W960" s="148">
        <f>IFERROR(__xludf.DUMMYFUNCTION("""COMPUTED_VALUE"""),49336.0)</f>
        <v>49336</v>
      </c>
      <c r="X960" s="149">
        <f>IFERROR(__xludf.DUMMYFUNCTION("""COMPUTED_VALUE"""),49152.0)</f>
        <v>49152</v>
      </c>
      <c r="Y960" t="str">
        <f>IFERROR(__xludf.DUMMYFUNCTION("""COMPUTED_VALUE"""),"ปลอดภัย")</f>
        <v>ปลอดภัย</v>
      </c>
      <c r="Z960" t="str">
        <f>IFERROR(__xludf.DUMMYFUNCTION("""COMPUTED_VALUE"""),"Bangkok")</f>
        <v>Bangkok</v>
      </c>
      <c r="AA960" t="str">
        <f>IFERROR(__xludf.DUMMYFUNCTION("""COMPUTED_VALUE"""),"Bangkok")</f>
        <v>Bangkok</v>
      </c>
      <c r="AB960" t="str">
        <f>IFERROR(__xludf.DUMMYFUNCTION("""COMPUTED_VALUE"""),"084-549-8864")</f>
        <v>084-549-8864</v>
      </c>
      <c r="AC960" t="str">
        <f>IFERROR(__xludf.DUMMYFUNCTION("""COMPUTED_VALUE"""),"Palika Mansamak (Mother)")</f>
        <v>Palika Mansamak (Mother)</v>
      </c>
      <c r="AD960" t="str">
        <f>IFERROR(__xludf.DUMMYFUNCTION("""COMPUTED_VALUE"""),"nonthapatmansamak@airasia.com")</f>
        <v>nonthapatmansamak@airasia.com</v>
      </c>
    </row>
    <row r="961">
      <c r="A961" s="142">
        <f>IFERROR(__xludf.DUMMYFUNCTION("""COMPUTED_VALUE"""),99.0)</f>
        <v>99</v>
      </c>
      <c r="C961">
        <f>IFERROR(__xludf.DUMMYFUNCTION("""COMPUTED_VALUE"""),1025310.0)</f>
        <v>1025310</v>
      </c>
      <c r="D961" t="str">
        <f>IFERROR(__xludf.DUMMYFUNCTION("""COMPUTED_VALUE"""),"Mr.")</f>
        <v>Mr.</v>
      </c>
      <c r="E961" t="str">
        <f>IFERROR(__xludf.DUMMYFUNCTION("""COMPUTED_VALUE"""),"Nitinan")</f>
        <v>Nitinan</v>
      </c>
      <c r="F961" t="str">
        <f>IFERROR(__xludf.DUMMYFUNCTION("""COMPUTED_VALUE"""),"Sakunchokjaroen")</f>
        <v>Sakunchokjaroen</v>
      </c>
      <c r="G961" t="str">
        <f>IFERROR(__xludf.DUMMYFUNCTION("""COMPUTED_VALUE"""),"Nitinan Sakunchokjaroen")</f>
        <v>Nitinan Sakunchokjaroen</v>
      </c>
      <c r="H961" t="str">
        <f>IFERROR(__xludf.DUMMYFUNCTION("""COMPUTED_VALUE"""),"นาย")</f>
        <v>นาย</v>
      </c>
      <c r="I961" t="str">
        <f>IFERROR(__xludf.DUMMYFUNCTION("""COMPUTED_VALUE"""),"นิธินันท์")</f>
        <v>นิธินันท์</v>
      </c>
      <c r="J961" t="str">
        <f>IFERROR(__xludf.DUMMYFUNCTION("""COMPUTED_VALUE"""),"สกุลโชคเจริญ")</f>
        <v>สกุลโชคเจริญ</v>
      </c>
      <c r="K961" t="str">
        <f>IFERROR(__xludf.DUMMYFUNCTION("""COMPUTED_VALUE"""),"นิธินันท์ สกุลโชคเจริญ")</f>
        <v>นิธินันท์ สกุลโชคเจริญ</v>
      </c>
      <c r="L961" t="str">
        <f>IFERROR(__xludf.DUMMYFUNCTION("""COMPUTED_VALUE"""),"Dome/โดม")</f>
        <v>Dome/โดม</v>
      </c>
      <c r="M961" t="str">
        <f>IFERROR(__xludf.DUMMYFUNCTION("""COMPUTED_VALUE"""),"Senior Cabin Crew")</f>
        <v>Senior Cabin Crew</v>
      </c>
      <c r="N961" t="str">
        <f>IFERROR(__xludf.DUMMYFUNCTION("""COMPUTED_VALUE"""),"DMK")</f>
        <v>DMK</v>
      </c>
      <c r="O961" s="145" t="str">
        <f>IFERROR(__xludf.DUMMYFUNCTION("""COMPUTED_VALUE"""),"Namfon Home")</f>
        <v>Namfon Home</v>
      </c>
      <c r="P961" t="str">
        <f>IFERROR(__xludf.DUMMYFUNCTION("""COMPUTED_VALUE"""),"Active")</f>
        <v>Active</v>
      </c>
      <c r="Q961" t="str">
        <f>IFERROR(__xludf.DUMMYFUNCTION("""COMPUTED_VALUE"""),"Chinese Speaking")</f>
        <v>Chinese Speaking</v>
      </c>
      <c r="R961" s="155">
        <f>IFERROR(__xludf.DUMMYFUNCTION("""COMPUTED_VALUE"""),33424.0)</f>
        <v>33424</v>
      </c>
      <c r="S961" s="146" t="str">
        <f>IFERROR(__xludf.DUMMYFUNCTION("""COMPUTED_VALUE"""),"098 645 3546")</f>
        <v>098 645 3546</v>
      </c>
      <c r="T961" s="147" t="str">
        <f>IFERROR(__xludf.DUMMYFUNCTION("""COMPUTED_VALUE"""),"1 2097 00358 96 4")</f>
        <v>1 2097 00358 96 4</v>
      </c>
      <c r="U961" t="str">
        <f>IFERROR(__xludf.DUMMYFUNCTION("""COMPUTED_VALUE"""),"AC4534812")</f>
        <v>AC4534812</v>
      </c>
      <c r="V961" s="148">
        <f>IFERROR(__xludf.DUMMYFUNCTION("""COMPUTED_VALUE"""),44984.0)</f>
        <v>44984</v>
      </c>
      <c r="W961" s="148">
        <f>IFERROR(__xludf.DUMMYFUNCTION("""COMPUTED_VALUE"""),48636.0)</f>
        <v>48636</v>
      </c>
      <c r="X961" s="149">
        <f>IFERROR(__xludf.DUMMYFUNCTION("""COMPUTED_VALUE"""),48452.0)</f>
        <v>48452</v>
      </c>
      <c r="Y961" t="str">
        <f>IFERROR(__xludf.DUMMYFUNCTION("""COMPUTED_VALUE"""),"ปลอดภัย")</f>
        <v>ปลอดภัย</v>
      </c>
      <c r="Z961" t="str">
        <f>IFERROR(__xludf.DUMMYFUNCTION("""COMPUTED_VALUE"""),"Chonburi Province")</f>
        <v>Chonburi Province</v>
      </c>
      <c r="AA961" t="str">
        <f>IFERROR(__xludf.DUMMYFUNCTION("""COMPUTED_VALUE"""),"Chonburi")</f>
        <v>Chonburi</v>
      </c>
      <c r="AB961" t="str">
        <f>IFERROR(__xludf.DUMMYFUNCTION("""COMPUTED_VALUE"""),"090-639-2914")</f>
        <v>090-639-2914</v>
      </c>
      <c r="AC961" t="str">
        <f>IFERROR(__xludf.DUMMYFUNCTION("""COMPUTED_VALUE"""),"Kanyanat Sakunchokjaroen (Mother)")</f>
        <v>Kanyanat Sakunchokjaroen (Mother)</v>
      </c>
      <c r="AD961" t="str">
        <f>IFERROR(__xludf.DUMMYFUNCTION("""COMPUTED_VALUE"""),"nitinansakunchokjar@airasia.com")</f>
        <v>nitinansakunchokjar@airasia.com</v>
      </c>
    </row>
    <row r="962">
      <c r="A962" s="142">
        <f>IFERROR(__xludf.DUMMYFUNCTION("""COMPUTED_VALUE"""),99.0)</f>
        <v>99</v>
      </c>
      <c r="C962">
        <f>IFERROR(__xludf.DUMMYFUNCTION("""COMPUTED_VALUE"""),1025318.0)</f>
        <v>1025318</v>
      </c>
      <c r="D962" t="str">
        <f>IFERROR(__xludf.DUMMYFUNCTION("""COMPUTED_VALUE"""),"Mr.")</f>
        <v>Mr.</v>
      </c>
      <c r="E962" t="str">
        <f>IFERROR(__xludf.DUMMYFUNCTION("""COMPUTED_VALUE"""),"Jetsada")</f>
        <v>Jetsada</v>
      </c>
      <c r="F962" t="str">
        <f>IFERROR(__xludf.DUMMYFUNCTION("""COMPUTED_VALUE"""),"Sutthiniam")</f>
        <v>Sutthiniam</v>
      </c>
      <c r="G962" t="str">
        <f>IFERROR(__xludf.DUMMYFUNCTION("""COMPUTED_VALUE"""),"Jetsada Sutthiniam")</f>
        <v>Jetsada Sutthiniam</v>
      </c>
      <c r="H962" t="str">
        <f>IFERROR(__xludf.DUMMYFUNCTION("""COMPUTED_VALUE"""),"นาย")</f>
        <v>นาย</v>
      </c>
      <c r="I962" t="str">
        <f>IFERROR(__xludf.DUMMYFUNCTION("""COMPUTED_VALUE"""),"เจษฎา")</f>
        <v>เจษฎา</v>
      </c>
      <c r="J962" t="str">
        <f>IFERROR(__xludf.DUMMYFUNCTION("""COMPUTED_VALUE"""),"สุทธิเนียม")</f>
        <v>สุทธิเนียม</v>
      </c>
      <c r="K962" t="str">
        <f>IFERROR(__xludf.DUMMYFUNCTION("""COMPUTED_VALUE"""),"เจษฎา สุทธิเนียม")</f>
        <v>เจษฎา สุทธิเนียม</v>
      </c>
      <c r="L962" t="str">
        <f>IFERROR(__xludf.DUMMYFUNCTION("""COMPUTED_VALUE"""),"Gug / กั๊ก")</f>
        <v>Gug / กั๊ก</v>
      </c>
      <c r="M962" t="str">
        <f>IFERROR(__xludf.DUMMYFUNCTION("""COMPUTED_VALUE"""),"Cabin Crew")</f>
        <v>Cabin Crew</v>
      </c>
      <c r="N962" t="str">
        <f>IFERROR(__xludf.DUMMYFUNCTION("""COMPUTED_VALUE"""),"DMK")</f>
        <v>DMK</v>
      </c>
      <c r="O962" s="145" t="str">
        <f>IFERROR(__xludf.DUMMYFUNCTION("""COMPUTED_VALUE"""),"Por+ Home")</f>
        <v>Por+ Home</v>
      </c>
      <c r="P962" t="str">
        <f>IFERROR(__xludf.DUMMYFUNCTION("""COMPUTED_VALUE"""),"Active")</f>
        <v>Active</v>
      </c>
      <c r="Q962" t="str">
        <f>IFERROR(__xludf.DUMMYFUNCTION("""COMPUTED_VALUE"""),"Chinese Speaking")</f>
        <v>Chinese Speaking</v>
      </c>
      <c r="R962" s="155">
        <f>IFERROR(__xludf.DUMMYFUNCTION("""COMPUTED_VALUE"""),32972.0)</f>
        <v>32972</v>
      </c>
      <c r="S962" s="146">
        <f>IFERROR(__xludf.DUMMYFUNCTION("""COMPUTED_VALUE"""),9.17730397E8)</f>
        <v>917730397</v>
      </c>
      <c r="T962" s="147" t="str">
        <f>IFERROR(__xludf.DUMMYFUNCTION("""COMPUTED_VALUE"""),"1 8402 00126 51 3")</f>
        <v>1 8402 00126 51 3</v>
      </c>
      <c r="U962" t="str">
        <f>IFERROR(__xludf.DUMMYFUNCTION("""COMPUTED_VALUE"""),"AC3000703")</f>
        <v>AC3000703</v>
      </c>
      <c r="V962" s="148">
        <f>IFERROR(__xludf.DUMMYFUNCTION("""COMPUTED_VALUE"""),44671.0)</f>
        <v>44671</v>
      </c>
      <c r="W962" s="148">
        <f>IFERROR(__xludf.DUMMYFUNCTION("""COMPUTED_VALUE"""),48323.0)</f>
        <v>48323</v>
      </c>
      <c r="X962" s="149">
        <f>IFERROR(__xludf.DUMMYFUNCTION("""COMPUTED_VALUE"""),48140.0)</f>
        <v>48140</v>
      </c>
      <c r="Y962" t="str">
        <f>IFERROR(__xludf.DUMMYFUNCTION("""COMPUTED_VALUE"""),"ปลอดภัย")</f>
        <v>ปลอดภัย</v>
      </c>
      <c r="Z962" t="str">
        <f>IFERROR(__xludf.DUMMYFUNCTION("""COMPUTED_VALUE"""),"Surat Thani Province")</f>
        <v>Surat Thani Province</v>
      </c>
      <c r="AA962" t="str">
        <f>IFERROR(__xludf.DUMMYFUNCTION("""COMPUTED_VALUE"""),"Bangkok")</f>
        <v>Bangkok</v>
      </c>
      <c r="AB962" t="str">
        <f>IFERROR(__xludf.DUMMYFUNCTION("""COMPUTED_VALUE"""),"098-459-5952")</f>
        <v>098-459-5952</v>
      </c>
      <c r="AC962" t="str">
        <f>IFERROR(__xludf.DUMMYFUNCTION("""COMPUTED_VALUE"""),"Chaloemphong Yongkaew (Others)")</f>
        <v>Chaloemphong Yongkaew (Others)</v>
      </c>
      <c r="AD962" t="str">
        <f>IFERROR(__xludf.DUMMYFUNCTION("""COMPUTED_VALUE"""),"jetsadasutthiniam@airasia.com")</f>
        <v>jetsadasutthiniam@airasia.com</v>
      </c>
    </row>
    <row r="963">
      <c r="A963" s="142">
        <f>IFERROR(__xludf.DUMMYFUNCTION("""COMPUTED_VALUE"""),99.0)</f>
        <v>99</v>
      </c>
      <c r="C963">
        <f>IFERROR(__xludf.DUMMYFUNCTION("""COMPUTED_VALUE"""),1025319.0)</f>
        <v>1025319</v>
      </c>
      <c r="D963" t="str">
        <f>IFERROR(__xludf.DUMMYFUNCTION("""COMPUTED_VALUE"""),"Mr.")</f>
        <v>Mr.</v>
      </c>
      <c r="E963" t="str">
        <f>IFERROR(__xludf.DUMMYFUNCTION("""COMPUTED_VALUE"""),"Phongsakron")</f>
        <v>Phongsakron</v>
      </c>
      <c r="F963" t="str">
        <f>IFERROR(__xludf.DUMMYFUNCTION("""COMPUTED_VALUE"""),"Saepan")</f>
        <v>Saepan</v>
      </c>
      <c r="G963" t="str">
        <f>IFERROR(__xludf.DUMMYFUNCTION("""COMPUTED_VALUE"""),"Phongsakron Saepan")</f>
        <v>Phongsakron Saepan</v>
      </c>
      <c r="H963" t="str">
        <f>IFERROR(__xludf.DUMMYFUNCTION("""COMPUTED_VALUE"""),"นาย")</f>
        <v>นาย</v>
      </c>
      <c r="I963" t="str">
        <f>IFERROR(__xludf.DUMMYFUNCTION("""COMPUTED_VALUE"""),"พงศกร")</f>
        <v>พงศกร</v>
      </c>
      <c r="J963" t="str">
        <f>IFERROR(__xludf.DUMMYFUNCTION("""COMPUTED_VALUE"""),"แซ่พ่าน")</f>
        <v>แซ่พ่าน</v>
      </c>
      <c r="K963" t="str">
        <f>IFERROR(__xludf.DUMMYFUNCTION("""COMPUTED_VALUE"""),"พงศกร แซ่พ่าน")</f>
        <v>พงศกร แซ่พ่าน</v>
      </c>
      <c r="L963" t="str">
        <f>IFERROR(__xludf.DUMMYFUNCTION("""COMPUTED_VALUE"""),"Phong / พง")</f>
        <v>Phong / พง</v>
      </c>
      <c r="M963" t="str">
        <f>IFERROR(__xludf.DUMMYFUNCTION("""COMPUTED_VALUE"""),"Senior Cabin Crew")</f>
        <v>Senior Cabin Crew</v>
      </c>
      <c r="N963" t="str">
        <f>IFERROR(__xludf.DUMMYFUNCTION("""COMPUTED_VALUE"""),"DMK")</f>
        <v>DMK</v>
      </c>
      <c r="O963" s="145" t="str">
        <f>IFERROR(__xludf.DUMMYFUNCTION("""COMPUTED_VALUE"""),"Um Home")</f>
        <v>Um Home</v>
      </c>
      <c r="P963" t="str">
        <f>IFERROR(__xludf.DUMMYFUNCTION("""COMPUTED_VALUE"""),"Active")</f>
        <v>Active</v>
      </c>
      <c r="Q963" t="str">
        <f>IFERROR(__xludf.DUMMYFUNCTION("""COMPUTED_VALUE"""),"Chinese Speaking")</f>
        <v>Chinese Speaking</v>
      </c>
      <c r="R963" s="155">
        <f>IFERROR(__xludf.DUMMYFUNCTION("""COMPUTED_VALUE"""),35156.0)</f>
        <v>35156</v>
      </c>
      <c r="S963" s="146" t="str">
        <f>IFERROR(__xludf.DUMMYFUNCTION("""COMPUTED_VALUE"""),"083 321 0412")</f>
        <v>083 321 0412</v>
      </c>
      <c r="T963" s="147" t="str">
        <f>IFERROR(__xludf.DUMMYFUNCTION("""COMPUTED_VALUE"""),"1 5713 00035 96 3")</f>
        <v>1 5713 00035 96 3</v>
      </c>
      <c r="U963" t="str">
        <f>IFERROR(__xludf.DUMMYFUNCTION("""COMPUTED_VALUE"""),"AC7472458")</f>
        <v>AC7472458</v>
      </c>
      <c r="V963" s="148">
        <f>IFERROR(__xludf.DUMMYFUNCTION("""COMPUTED_VALUE"""),45597.0)</f>
        <v>45597</v>
      </c>
      <c r="W963" s="150">
        <f>IFERROR(__xludf.DUMMYFUNCTION("""COMPUTED_VALUE"""),49248.0)</f>
        <v>49248</v>
      </c>
      <c r="X963" s="149">
        <f>IFERROR(__xludf.DUMMYFUNCTION("""COMPUTED_VALUE"""),49064.0)</f>
        <v>49064</v>
      </c>
      <c r="Y963" t="str">
        <f>IFERROR(__xludf.DUMMYFUNCTION("""COMPUTED_VALUE"""),"ปลอดภัย")</f>
        <v>ปลอดภัย</v>
      </c>
      <c r="Z963" t="str">
        <f>IFERROR(__xludf.DUMMYFUNCTION("""COMPUTED_VALUE"""),"Chiang Rai Province")</f>
        <v>Chiang Rai Province</v>
      </c>
      <c r="AA963" t="str">
        <f>IFERROR(__xludf.DUMMYFUNCTION("""COMPUTED_VALUE"""),"Phuket")</f>
        <v>Phuket</v>
      </c>
      <c r="AB963" t="str">
        <f>IFERROR(__xludf.DUMMYFUNCTION("""COMPUTED_VALUE"""),"087-816-5528")</f>
        <v>087-816-5528</v>
      </c>
      <c r="AC963" t="str">
        <f>IFERROR(__xludf.DUMMYFUNCTION("""COMPUTED_VALUE"""),"Siriporn Saewang (Others)")</f>
        <v>Siriporn Saewang (Others)</v>
      </c>
      <c r="AD963" t="str">
        <f>IFERROR(__xludf.DUMMYFUNCTION("""COMPUTED_VALUE"""),"phongsakronsaepan@airasia.com")</f>
        <v>phongsakronsaepan@airasia.com</v>
      </c>
    </row>
    <row r="964">
      <c r="A964" s="142">
        <f>IFERROR(__xludf.DUMMYFUNCTION("""COMPUTED_VALUE"""),99.0)</f>
        <v>99</v>
      </c>
      <c r="C964">
        <f>IFERROR(__xludf.DUMMYFUNCTION("""COMPUTED_VALUE"""),1025320.0)</f>
        <v>1025320</v>
      </c>
      <c r="D964" t="str">
        <f>IFERROR(__xludf.DUMMYFUNCTION("""COMPUTED_VALUE"""),"Mr.")</f>
        <v>Mr.</v>
      </c>
      <c r="E964" t="str">
        <f>IFERROR(__xludf.DUMMYFUNCTION("""COMPUTED_VALUE"""),"Tianyot")</f>
        <v>Tianyot</v>
      </c>
      <c r="F964" t="str">
        <f>IFERROR(__xludf.DUMMYFUNCTION("""COMPUTED_VALUE"""),"Kongkaew")</f>
        <v>Kongkaew</v>
      </c>
      <c r="G964" t="str">
        <f>IFERROR(__xludf.DUMMYFUNCTION("""COMPUTED_VALUE"""),"Tianyot Kongkaew")</f>
        <v>Tianyot Kongkaew</v>
      </c>
      <c r="H964" t="str">
        <f>IFERROR(__xludf.DUMMYFUNCTION("""COMPUTED_VALUE"""),"นาย")</f>
        <v>นาย</v>
      </c>
      <c r="I964" t="str">
        <f>IFERROR(__xludf.DUMMYFUNCTION("""COMPUTED_VALUE"""),"เทียนหยด")</f>
        <v>เทียนหยด</v>
      </c>
      <c r="J964" t="str">
        <f>IFERROR(__xludf.DUMMYFUNCTION("""COMPUTED_VALUE"""),"คงแก้ว")</f>
        <v>คงแก้ว</v>
      </c>
      <c r="K964" t="str">
        <f>IFERROR(__xludf.DUMMYFUNCTION("""COMPUTED_VALUE"""),"เทียนหยด คงแก้ว")</f>
        <v>เทียนหยด คงแก้ว</v>
      </c>
      <c r="L964" t="str">
        <f>IFERROR(__xludf.DUMMYFUNCTION("""COMPUTED_VALUE"""),"Tian/เทียน")</f>
        <v>Tian/เทียน</v>
      </c>
      <c r="M964" t="str">
        <f>IFERROR(__xludf.DUMMYFUNCTION("""COMPUTED_VALUE"""),"Cabin Crew - HKT")</f>
        <v>Cabin Crew - HKT</v>
      </c>
      <c r="N964" t="str">
        <f>IFERROR(__xludf.DUMMYFUNCTION("""COMPUTED_VALUE"""),"HKT")</f>
        <v>HKT</v>
      </c>
      <c r="O964" s="145" t="str">
        <f>IFERROR(__xludf.DUMMYFUNCTION("""COMPUTED_VALUE"""),"Kor Home")</f>
        <v>Kor Home</v>
      </c>
      <c r="P964" t="str">
        <f>IFERROR(__xludf.DUMMYFUNCTION("""COMPUTED_VALUE"""),"Active")</f>
        <v>Active</v>
      </c>
      <c r="Q964" t="str">
        <f>IFERROR(__xludf.DUMMYFUNCTION("""COMPUTED_VALUE"""),"Chinese Speaking")</f>
        <v>Chinese Speaking</v>
      </c>
      <c r="R964" s="157">
        <f>IFERROR(__xludf.DUMMYFUNCTION("""COMPUTED_VALUE"""),33051.0)</f>
        <v>33051</v>
      </c>
      <c r="S964" s="146" t="str">
        <f>IFERROR(__xludf.DUMMYFUNCTION("""COMPUTED_VALUE"""),"064 465 9961")</f>
        <v>064 465 9961</v>
      </c>
      <c r="T964" s="147" t="str">
        <f>IFERROR(__xludf.DUMMYFUNCTION("""COMPUTED_VALUE"""),"1 8099 00317 61 1")</f>
        <v>1 8099 00317 61 1</v>
      </c>
      <c r="U964" t="str">
        <f>IFERROR(__xludf.DUMMYFUNCTION("""COMPUTED_VALUE"""),"AC3793286")</f>
        <v>AC3793286</v>
      </c>
      <c r="V964" s="148">
        <f>IFERROR(__xludf.DUMMYFUNCTION("""COMPUTED_VALUE"""),44775.0)</f>
        <v>44775</v>
      </c>
      <c r="W964" s="148">
        <f>IFERROR(__xludf.DUMMYFUNCTION("""COMPUTED_VALUE"""),48427.0)</f>
        <v>48427</v>
      </c>
      <c r="X964" s="149">
        <f>IFERROR(__xludf.DUMMYFUNCTION("""COMPUTED_VALUE"""),48245.0)</f>
        <v>48245</v>
      </c>
      <c r="Y964" t="str">
        <f>IFERROR(__xludf.DUMMYFUNCTION("""COMPUTED_VALUE"""),"ปลอดภัย")</f>
        <v>ปลอดภัย</v>
      </c>
      <c r="Z964" t="str">
        <f>IFERROR(__xludf.DUMMYFUNCTION("""COMPUTED_VALUE"""),"Nakhon Si Thammarat Province")</f>
        <v>Nakhon Si Thammarat Province</v>
      </c>
      <c r="AA964" t="str">
        <f>IFERROR(__xludf.DUMMYFUNCTION("""COMPUTED_VALUE"""),"Nakhon si thammarat")</f>
        <v>Nakhon si thammarat</v>
      </c>
      <c r="AB964" t="str">
        <f>IFERROR(__xludf.DUMMYFUNCTION("""COMPUTED_VALUE"""),"089-5917913")</f>
        <v>089-5917913</v>
      </c>
      <c r="AC964" t="str">
        <f>IFERROR(__xludf.DUMMYFUNCTION("""COMPUTED_VALUE"""),"Boontip Kongkaew (Mother)")</f>
        <v>Boontip Kongkaew (Mother)</v>
      </c>
      <c r="AD964" t="str">
        <f>IFERROR(__xludf.DUMMYFUNCTION("""COMPUTED_VALUE"""),"tianyotkongkaew@airasia.com")</f>
        <v>tianyotkongkaew@airasia.com</v>
      </c>
    </row>
    <row r="965">
      <c r="A965" s="142">
        <f>IFERROR(__xludf.DUMMYFUNCTION("""COMPUTED_VALUE"""),99.0)</f>
        <v>99</v>
      </c>
      <c r="C965">
        <f>IFERROR(__xludf.DUMMYFUNCTION("""COMPUTED_VALUE"""),1025321.0)</f>
        <v>1025321</v>
      </c>
      <c r="D965" t="str">
        <f>IFERROR(__xludf.DUMMYFUNCTION("""COMPUTED_VALUE"""),"Ms.")</f>
        <v>Ms.</v>
      </c>
      <c r="E965" t="str">
        <f>IFERROR(__xludf.DUMMYFUNCTION("""COMPUTED_VALUE"""),"Sasiphak")</f>
        <v>Sasiphak</v>
      </c>
      <c r="F965" t="str">
        <f>IFERROR(__xludf.DUMMYFUNCTION("""COMPUTED_VALUE"""),"Bupphapho")</f>
        <v>Bupphapho</v>
      </c>
      <c r="G965" t="str">
        <f>IFERROR(__xludf.DUMMYFUNCTION("""COMPUTED_VALUE"""),"Sasiphak Bupphapho")</f>
        <v>Sasiphak Bupphapho</v>
      </c>
      <c r="H965" t="str">
        <f>IFERROR(__xludf.DUMMYFUNCTION("""COMPUTED_VALUE"""),"นางสาว")</f>
        <v>นางสาว</v>
      </c>
      <c r="I965" t="str">
        <f>IFERROR(__xludf.DUMMYFUNCTION("""COMPUTED_VALUE"""),"ศศิภักดิ์")</f>
        <v>ศศิภักดิ์</v>
      </c>
      <c r="J965" t="str">
        <f>IFERROR(__xludf.DUMMYFUNCTION("""COMPUTED_VALUE"""),"บุปผะโพธิ์")</f>
        <v>บุปผะโพธิ์</v>
      </c>
      <c r="K965" t="str">
        <f>IFERROR(__xludf.DUMMYFUNCTION("""COMPUTED_VALUE"""),"ศศิภักดิ์ บุปผะโพธิ์")</f>
        <v>ศศิภักดิ์ บุปผะโพธิ์</v>
      </c>
      <c r="L965" t="str">
        <f>IFERROR(__xludf.DUMMYFUNCTION("""COMPUTED_VALUE"""),"Vee / วี")</f>
        <v>Vee / วี</v>
      </c>
      <c r="M965" t="str">
        <f>IFERROR(__xludf.DUMMYFUNCTION("""COMPUTED_VALUE"""),"Cabin Crew - HKT")</f>
        <v>Cabin Crew - HKT</v>
      </c>
      <c r="N965" t="str">
        <f>IFERROR(__xludf.DUMMYFUNCTION("""COMPUTED_VALUE"""),"HKT")</f>
        <v>HKT</v>
      </c>
      <c r="O965" s="145" t="str">
        <f>IFERROR(__xludf.DUMMYFUNCTION("""COMPUTED_VALUE"""),"Kor Home")</f>
        <v>Kor Home</v>
      </c>
      <c r="P965" t="str">
        <f>IFERROR(__xludf.DUMMYFUNCTION("""COMPUTED_VALUE"""),"Active")</f>
        <v>Active</v>
      </c>
      <c r="Q965" t="str">
        <f>IFERROR(__xludf.DUMMYFUNCTION("""COMPUTED_VALUE"""),"Chinese Speaking")</f>
        <v>Chinese Speaking</v>
      </c>
      <c r="R965" s="155">
        <f>IFERROR(__xludf.DUMMYFUNCTION("""COMPUTED_VALUE"""),33935.0)</f>
        <v>33935</v>
      </c>
      <c r="S965" s="146" t="str">
        <f>IFERROR(__xludf.DUMMYFUNCTION("""COMPUTED_VALUE"""),"099 264 5597")</f>
        <v>099 264 5597</v>
      </c>
      <c r="T965" s="147" t="str">
        <f>IFERROR(__xludf.DUMMYFUNCTION("""COMPUTED_VALUE"""),"1 9007 00145 52 4")</f>
        <v>1 9007 00145 52 4</v>
      </c>
      <c r="U965" t="str">
        <f>IFERROR(__xludf.DUMMYFUNCTION("""COMPUTED_VALUE"""),"AC2569795")</f>
        <v>AC2569795</v>
      </c>
      <c r="V965" s="148">
        <f>IFERROR(__xludf.DUMMYFUNCTION("""COMPUTED_VALUE"""),44663.0)</f>
        <v>44663</v>
      </c>
      <c r="W965" s="148">
        <f>IFERROR(__xludf.DUMMYFUNCTION("""COMPUTED_VALUE"""),48315.0)</f>
        <v>48315</v>
      </c>
      <c r="X965" s="149">
        <f>IFERROR(__xludf.DUMMYFUNCTION("""COMPUTED_VALUE"""),48132.0)</f>
        <v>48132</v>
      </c>
      <c r="Y965" t="str">
        <f>IFERROR(__xludf.DUMMYFUNCTION("""COMPUTED_VALUE"""),"ปลอดภัย")</f>
        <v>ปลอดภัย</v>
      </c>
      <c r="Z965" t="str">
        <f>IFERROR(__xludf.DUMMYFUNCTION("""COMPUTED_VALUE"""),"Songkhla Province")</f>
        <v>Songkhla Province</v>
      </c>
      <c r="AA965" t="str">
        <f>IFERROR(__xludf.DUMMYFUNCTION("""COMPUTED_VALUE"""),"Phuket")</f>
        <v>Phuket</v>
      </c>
      <c r="AB965" t="str">
        <f>IFERROR(__xludf.DUMMYFUNCTION("""COMPUTED_VALUE"""),"082-614-2919")</f>
        <v>082-614-2919</v>
      </c>
      <c r="AC965" t="str">
        <f>IFERROR(__xludf.DUMMYFUNCTION("""COMPUTED_VALUE"""),"Jarukorn Udomrat (Others)")</f>
        <v>Jarukorn Udomrat (Others)</v>
      </c>
      <c r="AD965" t="str">
        <f>IFERROR(__xludf.DUMMYFUNCTION("""COMPUTED_VALUE"""),"sasiphakbupphapho@airasia.com")</f>
        <v>sasiphakbupphapho@airasia.com</v>
      </c>
    </row>
    <row r="966">
      <c r="A966" s="142">
        <f>IFERROR(__xludf.DUMMYFUNCTION("""COMPUTED_VALUE"""),99.0)</f>
        <v>99</v>
      </c>
      <c r="C966">
        <f>IFERROR(__xludf.DUMMYFUNCTION("""COMPUTED_VALUE"""),1025322.0)</f>
        <v>1025322</v>
      </c>
      <c r="D966" t="str">
        <f>IFERROR(__xludf.DUMMYFUNCTION("""COMPUTED_VALUE"""),"Ms.")</f>
        <v>Ms.</v>
      </c>
      <c r="E966" t="str">
        <f>IFERROR(__xludf.DUMMYFUNCTION("""COMPUTED_VALUE"""),"Nathathai")</f>
        <v>Nathathai</v>
      </c>
      <c r="F966" t="str">
        <f>IFERROR(__xludf.DUMMYFUNCTION("""COMPUTED_VALUE"""),"Sornthawee")</f>
        <v>Sornthawee</v>
      </c>
      <c r="G966" t="str">
        <f>IFERROR(__xludf.DUMMYFUNCTION("""COMPUTED_VALUE"""),"Nathathai Sornthawee")</f>
        <v>Nathathai Sornthawee</v>
      </c>
      <c r="H966" t="str">
        <f>IFERROR(__xludf.DUMMYFUNCTION("""COMPUTED_VALUE"""),"นางสาว")</f>
        <v>นางสาว</v>
      </c>
      <c r="I966" t="str">
        <f>IFERROR(__xludf.DUMMYFUNCTION("""COMPUTED_VALUE"""),"ณัฐหทัย")</f>
        <v>ณัฐหทัย</v>
      </c>
      <c r="J966" t="str">
        <f>IFERROR(__xludf.DUMMYFUNCTION("""COMPUTED_VALUE"""),"สอนทวี")</f>
        <v>สอนทวี</v>
      </c>
      <c r="K966" t="str">
        <f>IFERROR(__xludf.DUMMYFUNCTION("""COMPUTED_VALUE"""),"ณัฐหทัย สอนทวี")</f>
        <v>ณัฐหทัย สอนทวี</v>
      </c>
      <c r="L966" t="str">
        <f>IFERROR(__xludf.DUMMYFUNCTION("""COMPUTED_VALUE"""),"Atom / อะตอม")</f>
        <v>Atom / อะตอม</v>
      </c>
      <c r="M966" t="str">
        <f>IFERROR(__xludf.DUMMYFUNCTION("""COMPUTED_VALUE"""),"Cabin Crew - HKT")</f>
        <v>Cabin Crew - HKT</v>
      </c>
      <c r="N966" t="str">
        <f>IFERROR(__xludf.DUMMYFUNCTION("""COMPUTED_VALUE"""),"HKT")</f>
        <v>HKT</v>
      </c>
      <c r="O966" s="145" t="str">
        <f>IFERROR(__xludf.DUMMYFUNCTION("""COMPUTED_VALUE"""),"Kor Home")</f>
        <v>Kor Home</v>
      </c>
      <c r="P966" t="str">
        <f>IFERROR(__xludf.DUMMYFUNCTION("""COMPUTED_VALUE"""),"Active")</f>
        <v>Active</v>
      </c>
      <c r="Q966" t="str">
        <f>IFERROR(__xludf.DUMMYFUNCTION("""COMPUTED_VALUE"""),"Chinese Speaking")</f>
        <v>Chinese Speaking</v>
      </c>
      <c r="R966" s="157">
        <f>IFERROR(__xludf.DUMMYFUNCTION("""COMPUTED_VALUE"""),33618.0)</f>
        <v>33618</v>
      </c>
      <c r="S966" s="146" t="str">
        <f>IFERROR(__xludf.DUMMYFUNCTION("""COMPUTED_VALUE"""),"098 453 2469")</f>
        <v>098 453 2469</v>
      </c>
      <c r="T966" s="147" t="str">
        <f>IFERROR(__xludf.DUMMYFUNCTION("""COMPUTED_VALUE"""),"1 1020 01666 05 2")</f>
        <v>1 1020 01666 05 2</v>
      </c>
      <c r="U966" t="str">
        <f>IFERROR(__xludf.DUMMYFUNCTION("""COMPUTED_VALUE"""),"AC7501921")</f>
        <v>AC7501921</v>
      </c>
      <c r="V966" s="148">
        <f>IFERROR(__xludf.DUMMYFUNCTION("""COMPUTED_VALUE"""),45537.0)</f>
        <v>45537</v>
      </c>
      <c r="W966" s="148">
        <f>IFERROR(__xludf.DUMMYFUNCTION("""COMPUTED_VALUE"""),49188.0)</f>
        <v>49188</v>
      </c>
      <c r="X966" s="149">
        <f>IFERROR(__xludf.DUMMYFUNCTION("""COMPUTED_VALUE"""),49004.0)</f>
        <v>49004</v>
      </c>
      <c r="Y966" t="str">
        <f>IFERROR(__xludf.DUMMYFUNCTION("""COMPUTED_VALUE"""),"ปลอดภัย")</f>
        <v>ปลอดภัย</v>
      </c>
      <c r="Z966" t="str">
        <f>IFERROR(__xludf.DUMMYFUNCTION("""COMPUTED_VALUE"""),"Bangkok")</f>
        <v>Bangkok</v>
      </c>
      <c r="AA966" t="str">
        <f>IFERROR(__xludf.DUMMYFUNCTION("""COMPUTED_VALUE"""),"Chumphon")</f>
        <v>Chumphon</v>
      </c>
      <c r="AB966" t="str">
        <f>IFERROR(__xludf.DUMMYFUNCTION("""COMPUTED_VALUE"""),"087-461-0909")</f>
        <v>087-461-0909</v>
      </c>
      <c r="AC966" t="str">
        <f>IFERROR(__xludf.DUMMYFUNCTION("""COMPUTED_VALUE"""),"Chaipat Sornthawee (Father)")</f>
        <v>Chaipat Sornthawee (Father)</v>
      </c>
      <c r="AD966" t="str">
        <f>IFERROR(__xludf.DUMMYFUNCTION("""COMPUTED_VALUE"""),"nathathaisornthawee@airasia.com")</f>
        <v>nathathaisornthawee@airasia.com</v>
      </c>
    </row>
    <row r="967">
      <c r="A967" s="142">
        <f>IFERROR(__xludf.DUMMYFUNCTION("""COMPUTED_VALUE"""),99.0)</f>
        <v>99</v>
      </c>
      <c r="C967">
        <f>IFERROR(__xludf.DUMMYFUNCTION("""COMPUTED_VALUE"""),1025323.0)</f>
        <v>1025323</v>
      </c>
      <c r="D967" t="str">
        <f>IFERROR(__xludf.DUMMYFUNCTION("""COMPUTED_VALUE"""),"Ms.")</f>
        <v>Ms.</v>
      </c>
      <c r="E967" t="str">
        <f>IFERROR(__xludf.DUMMYFUNCTION("""COMPUTED_VALUE"""),"Jariya")</f>
        <v>Jariya</v>
      </c>
      <c r="F967" t="str">
        <f>IFERROR(__xludf.DUMMYFUNCTION("""COMPUTED_VALUE"""),"Tangmahamek")</f>
        <v>Tangmahamek</v>
      </c>
      <c r="G967" t="str">
        <f>IFERROR(__xludf.DUMMYFUNCTION("""COMPUTED_VALUE"""),"Jariya Tangmahamek")</f>
        <v>Jariya Tangmahamek</v>
      </c>
      <c r="H967" t="str">
        <f>IFERROR(__xludf.DUMMYFUNCTION("""COMPUTED_VALUE"""),"นางสาว")</f>
        <v>นางสาว</v>
      </c>
      <c r="I967" t="str">
        <f>IFERROR(__xludf.DUMMYFUNCTION("""COMPUTED_VALUE"""),"จริยา")</f>
        <v>จริยา</v>
      </c>
      <c r="J967" t="str">
        <f>IFERROR(__xludf.DUMMYFUNCTION("""COMPUTED_VALUE"""),"ตั้งมหาเมฆ")</f>
        <v>ตั้งมหาเมฆ</v>
      </c>
      <c r="K967" t="str">
        <f>IFERROR(__xludf.DUMMYFUNCTION("""COMPUTED_VALUE"""),"จริยา ตั้งมหาเมฆ")</f>
        <v>จริยา ตั้งมหาเมฆ</v>
      </c>
      <c r="L967" t="str">
        <f>IFERROR(__xludf.DUMMYFUNCTION("""COMPUTED_VALUE"""),"Bell / เบล")</f>
        <v>Bell / เบล</v>
      </c>
      <c r="M967" t="str">
        <f>IFERROR(__xludf.DUMMYFUNCTION("""COMPUTED_VALUE"""),"Cabin Crew")</f>
        <v>Cabin Crew</v>
      </c>
      <c r="N967" t="str">
        <f>IFERROR(__xludf.DUMMYFUNCTION("""COMPUTED_VALUE"""),"DMK")</f>
        <v>DMK</v>
      </c>
      <c r="O967" s="145" t="str">
        <f>IFERROR(__xludf.DUMMYFUNCTION("""COMPUTED_VALUE"""),"Kor Home")</f>
        <v>Kor Home</v>
      </c>
      <c r="P967" t="str">
        <f>IFERROR(__xludf.DUMMYFUNCTION("""COMPUTED_VALUE"""),"Active")</f>
        <v>Active</v>
      </c>
      <c r="Q967" t="str">
        <f>IFERROR(__xludf.DUMMYFUNCTION("""COMPUTED_VALUE"""),"Chinese Speaking")</f>
        <v>Chinese Speaking</v>
      </c>
      <c r="R967" s="156">
        <f>IFERROR(__xludf.DUMMYFUNCTION("""COMPUTED_VALUE"""),34278.0)</f>
        <v>34278</v>
      </c>
      <c r="S967" s="146" t="str">
        <f>IFERROR(__xludf.DUMMYFUNCTION("""COMPUTED_VALUE"""),"099 187 5654")</f>
        <v>099 187 5654</v>
      </c>
      <c r="T967" s="147" t="str">
        <f>IFERROR(__xludf.DUMMYFUNCTION("""COMPUTED_VALUE"""),"1 1007 01799 50 9")</f>
        <v>1 1007 01799 50 9</v>
      </c>
      <c r="U967" t="str">
        <f>IFERROR(__xludf.DUMMYFUNCTION("""COMPUTED_VALUE"""),"AC2628528")</f>
        <v>AC2628528</v>
      </c>
      <c r="V967" s="148">
        <f>IFERROR(__xludf.DUMMYFUNCTION("""COMPUTED_VALUE"""),44547.0)</f>
        <v>44547</v>
      </c>
      <c r="W967" s="148">
        <f>IFERROR(__xludf.DUMMYFUNCTION("""COMPUTED_VALUE"""),48198.0)</f>
        <v>48198</v>
      </c>
      <c r="X967" s="149">
        <f>IFERROR(__xludf.DUMMYFUNCTION("""COMPUTED_VALUE"""),48015.0)</f>
        <v>48015</v>
      </c>
      <c r="Y967" t="str">
        <f>IFERROR(__xludf.DUMMYFUNCTION("""COMPUTED_VALUE"""),"ปลอดภัย")</f>
        <v>ปลอดภัย</v>
      </c>
      <c r="Z967" t="str">
        <f>IFERROR(__xludf.DUMMYFUNCTION("""COMPUTED_VALUE"""),"Bangkok")</f>
        <v>Bangkok</v>
      </c>
      <c r="AA967" t="str">
        <f>IFERROR(__xludf.DUMMYFUNCTION("""COMPUTED_VALUE"""),"Bangkok")</f>
        <v>Bangkok</v>
      </c>
      <c r="AB967" t="str">
        <f>IFERROR(__xludf.DUMMYFUNCTION("""COMPUTED_VALUE"""),"085-022-2973")</f>
        <v>085-022-2973</v>
      </c>
      <c r="AC967" t="str">
        <f>IFERROR(__xludf.DUMMYFUNCTION("""COMPUTED_VALUE"""),"Wiphapon Sae-ear (Mother)")</f>
        <v>Wiphapon Sae-ear (Mother)</v>
      </c>
      <c r="AD967" t="str">
        <f>IFERROR(__xludf.DUMMYFUNCTION("""COMPUTED_VALUE"""),"jariyatangmahamek@airasia.com")</f>
        <v>jariyatangmahamek@airasia.com</v>
      </c>
    </row>
    <row r="968">
      <c r="A968" s="142">
        <f>IFERROR(__xludf.DUMMYFUNCTION("""COMPUTED_VALUE"""),99.0)</f>
        <v>99</v>
      </c>
      <c r="C968">
        <f>IFERROR(__xludf.DUMMYFUNCTION("""COMPUTED_VALUE"""),1025329.0)</f>
        <v>1025329</v>
      </c>
      <c r="D968" t="str">
        <f>IFERROR(__xludf.DUMMYFUNCTION("""COMPUTED_VALUE"""),"Ms.")</f>
        <v>Ms.</v>
      </c>
      <c r="E968" t="str">
        <f>IFERROR(__xludf.DUMMYFUNCTION("""COMPUTED_VALUE"""),"Jintana")</f>
        <v>Jintana</v>
      </c>
      <c r="F968" t="str">
        <f>IFERROR(__xludf.DUMMYFUNCTION("""COMPUTED_VALUE"""),"Cheng")</f>
        <v>Cheng</v>
      </c>
      <c r="G968" t="str">
        <f>IFERROR(__xludf.DUMMYFUNCTION("""COMPUTED_VALUE"""),"Jintana Cheng")</f>
        <v>Jintana Cheng</v>
      </c>
      <c r="H968" t="str">
        <f>IFERROR(__xludf.DUMMYFUNCTION("""COMPUTED_VALUE"""),"นางสาว")</f>
        <v>นางสาว</v>
      </c>
      <c r="I968" t="str">
        <f>IFERROR(__xludf.DUMMYFUNCTION("""COMPUTED_VALUE"""),"จินตนา")</f>
        <v>จินตนา</v>
      </c>
      <c r="J968" t="str">
        <f>IFERROR(__xludf.DUMMYFUNCTION("""COMPUTED_VALUE"""),"เจิ้ง")</f>
        <v>เจิ้ง</v>
      </c>
      <c r="K968" t="str">
        <f>IFERROR(__xludf.DUMMYFUNCTION("""COMPUTED_VALUE"""),"จินตนา เจิ้ง")</f>
        <v>จินตนา เจิ้ง</v>
      </c>
      <c r="L968" t="str">
        <f>IFERROR(__xludf.DUMMYFUNCTION("""COMPUTED_VALUE"""),"Yong/หยง")</f>
        <v>Yong/หยง</v>
      </c>
      <c r="M968" t="str">
        <f>IFERROR(__xludf.DUMMYFUNCTION("""COMPUTED_VALUE"""),"Cabin Crew")</f>
        <v>Cabin Crew</v>
      </c>
      <c r="N968" t="str">
        <f>IFERROR(__xludf.DUMMYFUNCTION("""COMPUTED_VALUE"""),"DMK")</f>
        <v>DMK</v>
      </c>
      <c r="O968" s="145" t="str">
        <f>IFERROR(__xludf.DUMMYFUNCTION("""COMPUTED_VALUE"""),"Kor Home")</f>
        <v>Kor Home</v>
      </c>
      <c r="P968" t="str">
        <f>IFERROR(__xludf.DUMMYFUNCTION("""COMPUTED_VALUE"""),"Active")</f>
        <v>Active</v>
      </c>
      <c r="Q968" t="str">
        <f>IFERROR(__xludf.DUMMYFUNCTION("""COMPUTED_VALUE"""),"Chinese Speaking")</f>
        <v>Chinese Speaking</v>
      </c>
      <c r="R968" s="155">
        <f>IFERROR(__xludf.DUMMYFUNCTION("""COMPUTED_VALUE"""),33583.0)</f>
        <v>33583</v>
      </c>
      <c r="S968" s="146" t="str">
        <f>IFERROR(__xludf.DUMMYFUNCTION("""COMPUTED_VALUE"""),"062 858 0072")</f>
        <v>062 858 0072</v>
      </c>
      <c r="T968" s="147" t="str">
        <f>IFERROR(__xludf.DUMMYFUNCTION("""COMPUTED_VALUE"""),"5 1101 00049 46 0")</f>
        <v>5 1101 00049 46 0</v>
      </c>
      <c r="U968" t="str">
        <f>IFERROR(__xludf.DUMMYFUNCTION("""COMPUTED_VALUE"""),"AD0783249")</f>
        <v>AD0783249</v>
      </c>
      <c r="V968" s="148">
        <f>IFERROR(__xludf.DUMMYFUNCTION("""COMPUTED_VALUE"""),44953.0)</f>
        <v>44953</v>
      </c>
      <c r="W968" s="148">
        <f>IFERROR(__xludf.DUMMYFUNCTION("""COMPUTED_VALUE"""),48605.0)</f>
        <v>48605</v>
      </c>
      <c r="X968" s="149">
        <f>IFERROR(__xludf.DUMMYFUNCTION("""COMPUTED_VALUE"""),48421.0)</f>
        <v>48421</v>
      </c>
      <c r="Y968" t="str">
        <f>IFERROR(__xludf.DUMMYFUNCTION("""COMPUTED_VALUE"""),"ปลอดภัย")</f>
        <v>ปลอดภัย</v>
      </c>
      <c r="Z968" t="str">
        <f>IFERROR(__xludf.DUMMYFUNCTION("""COMPUTED_VALUE"""),"Bangkok")</f>
        <v>Bangkok</v>
      </c>
      <c r="AA968" t="str">
        <f>IFERROR(__xludf.DUMMYFUNCTION("""COMPUTED_VALUE"""),"Bangna")</f>
        <v>Bangna</v>
      </c>
      <c r="AB968" t="str">
        <f>IFERROR(__xludf.DUMMYFUNCTION("""COMPUTED_VALUE"""),"061-560-7611")</f>
        <v>061-560-7611</v>
      </c>
      <c r="AC968" t="str">
        <f>IFERROR(__xludf.DUMMYFUNCTION("""COMPUTED_VALUE"""),"Aphinya Cheng (Mother)")</f>
        <v>Aphinya Cheng (Mother)</v>
      </c>
      <c r="AD968" t="str">
        <f>IFERROR(__xludf.DUMMYFUNCTION("""COMPUTED_VALUE"""),"jintanacheng@airasia.com")</f>
        <v>jintanacheng@airasia.com</v>
      </c>
    </row>
    <row r="969">
      <c r="AD969" t="str">
        <f>IFERROR(__xludf.DUMMYFUNCTION("""COMPUTED_VALUE"""),"")</f>
        <v/>
      </c>
    </row>
    <row r="970">
      <c r="A970" s="142">
        <f>IFERROR(__xludf.DUMMYFUNCTION("""COMPUTED_VALUE"""),100.0)</f>
        <v>100</v>
      </c>
      <c r="C970">
        <f>IFERROR(__xludf.DUMMYFUNCTION("""COMPUTED_VALUE"""),1038750.0)</f>
        <v>1038750</v>
      </c>
      <c r="D970" t="str">
        <f>IFERROR(__xludf.DUMMYFUNCTION("""COMPUTED_VALUE"""),"Ms.")</f>
        <v>Ms.</v>
      </c>
      <c r="E970" t="str">
        <f>IFERROR(__xludf.DUMMYFUNCTION("""COMPUTED_VALUE"""),"Achiraya")</f>
        <v>Achiraya</v>
      </c>
      <c r="F970" t="str">
        <f>IFERROR(__xludf.DUMMYFUNCTION("""COMPUTED_VALUE"""),"Phutthachanyawong")</f>
        <v>Phutthachanyawong</v>
      </c>
      <c r="G970" t="str">
        <f>IFERROR(__xludf.DUMMYFUNCTION("""COMPUTED_VALUE"""),"Achiraya Phutthachanyawong")</f>
        <v>Achiraya Phutthachanyawong</v>
      </c>
      <c r="H970" t="str">
        <f>IFERROR(__xludf.DUMMYFUNCTION("""COMPUTED_VALUE"""),"นางสาว")</f>
        <v>นางสาว</v>
      </c>
      <c r="I970" t="str">
        <f>IFERROR(__xludf.DUMMYFUNCTION("""COMPUTED_VALUE"""),"อชิรญา")</f>
        <v>อชิรญา</v>
      </c>
      <c r="J970" t="str">
        <f>IFERROR(__xludf.DUMMYFUNCTION("""COMPUTED_VALUE"""),"พุทธจรรยาวงศ์")</f>
        <v>พุทธจรรยาวงศ์</v>
      </c>
      <c r="K970" t="str">
        <f>IFERROR(__xludf.DUMMYFUNCTION("""COMPUTED_VALUE"""),"อชิรญา พุทธจรรยาวงศ์")</f>
        <v>อชิรญา พุทธจรรยาวงศ์</v>
      </c>
      <c r="L970" t="str">
        <f>IFERROR(__xludf.DUMMYFUNCTION("""COMPUTED_VALUE"""),"Chi/ชิ")</f>
        <v>Chi/ชิ</v>
      </c>
      <c r="M970" t="str">
        <f>IFERROR(__xludf.DUMMYFUNCTION("""COMPUTED_VALUE"""),"Cabin Crew")</f>
        <v>Cabin Crew</v>
      </c>
      <c r="N970" t="str">
        <f>IFERROR(__xludf.DUMMYFUNCTION("""COMPUTED_VALUE"""),"DMK")</f>
        <v>DMK</v>
      </c>
      <c r="O970" s="145" t="str">
        <f>IFERROR(__xludf.DUMMYFUNCTION("""COMPUTED_VALUE"""),"Kor Home")</f>
        <v>Kor Home</v>
      </c>
      <c r="P970" t="str">
        <f>IFERROR(__xludf.DUMMYFUNCTION("""COMPUTED_VALUE"""),"Active")</f>
        <v>Active</v>
      </c>
      <c r="R970" s="155">
        <f>IFERROR(__xludf.DUMMYFUNCTION("""COMPUTED_VALUE"""),33636.0)</f>
        <v>33636</v>
      </c>
      <c r="S970" s="146" t="str">
        <f>IFERROR(__xludf.DUMMYFUNCTION("""COMPUTED_VALUE"""),"082-7659022")</f>
        <v>082-7659022</v>
      </c>
      <c r="T970" s="147">
        <f>IFERROR(__xludf.DUMMYFUNCTION("""COMPUTED_VALUE"""),1.509901124313E12)</f>
        <v>1509901124313</v>
      </c>
      <c r="U970" t="str">
        <f>IFERROR(__xludf.DUMMYFUNCTION("""COMPUTED_VALUE"""),"AC8423204")</f>
        <v>AC8423204</v>
      </c>
      <c r="V970" s="148">
        <f>IFERROR(__xludf.DUMMYFUNCTION("""COMPUTED_VALUE"""),46114.0)</f>
        <v>46114</v>
      </c>
      <c r="W970" s="148">
        <f>IFERROR(__xludf.DUMMYFUNCTION("""COMPUTED_VALUE"""),49766.0)</f>
        <v>49766</v>
      </c>
      <c r="X970" s="149">
        <f>IFERROR(__xludf.DUMMYFUNCTION("""COMPUTED_VALUE"""),49583.0)</f>
        <v>49583</v>
      </c>
      <c r="Y970" t="str">
        <f>IFERROR(__xludf.DUMMYFUNCTION("""COMPUTED_VALUE"""),"ปลอดภัย")</f>
        <v>ปลอดภัย</v>
      </c>
      <c r="Z970" t="str">
        <f>IFERROR(__xludf.DUMMYFUNCTION("""COMPUTED_VALUE"""),"Chiang Mai Province")</f>
        <v>Chiang Mai Province</v>
      </c>
      <c r="AA970" t="str">
        <f>IFERROR(__xludf.DUMMYFUNCTION("""COMPUTED_VALUE"""),"Bangkok")</f>
        <v>Bangkok</v>
      </c>
      <c r="AB970" t="str">
        <f>IFERROR(__xludf.DUMMYFUNCTION("""COMPUTED_VALUE"""),"082-7659022")</f>
        <v>082-7659022</v>
      </c>
      <c r="AC970" t="str">
        <f>IFERROR(__xludf.DUMMYFUNCTION("""COMPUTED_VALUE"""),"นาง พอตา สุวรรณหล่อ Mother")</f>
        <v>นาง พอตา สุวรรณหล่อ Mother</v>
      </c>
      <c r="AD970" t="str">
        <f>IFERROR(__xludf.DUMMYFUNCTION("""COMPUTED_VALUE"""),"achirayaphutthachan@airasia.com")</f>
        <v>achirayaphutthachan@airasia.com</v>
      </c>
    </row>
    <row r="971">
      <c r="A971" s="142">
        <f>IFERROR(__xludf.DUMMYFUNCTION("""COMPUTED_VALUE"""),100.0)</f>
        <v>100</v>
      </c>
      <c r="C971">
        <f>IFERROR(__xludf.DUMMYFUNCTION("""COMPUTED_VALUE"""),1038751.0)</f>
        <v>1038751</v>
      </c>
      <c r="D971" t="str">
        <f>IFERROR(__xludf.DUMMYFUNCTION("""COMPUTED_VALUE"""),"Ms.")</f>
        <v>Ms.</v>
      </c>
      <c r="E971" t="str">
        <f>IFERROR(__xludf.DUMMYFUNCTION("""COMPUTED_VALUE"""),"Donlaya")</f>
        <v>Donlaya</v>
      </c>
      <c r="F971" t="str">
        <f>IFERROR(__xludf.DUMMYFUNCTION("""COMPUTED_VALUE"""),"Promthep")</f>
        <v>Promthep</v>
      </c>
      <c r="G971" t="str">
        <f>IFERROR(__xludf.DUMMYFUNCTION("""COMPUTED_VALUE"""),"Donlaya Promthep")</f>
        <v>Donlaya Promthep</v>
      </c>
      <c r="H971" t="str">
        <f>IFERROR(__xludf.DUMMYFUNCTION("""COMPUTED_VALUE"""),"นางสาว")</f>
        <v>นางสาว</v>
      </c>
      <c r="I971" t="str">
        <f>IFERROR(__xludf.DUMMYFUNCTION("""COMPUTED_VALUE"""),"ดลยา")</f>
        <v>ดลยา</v>
      </c>
      <c r="J971" t="str">
        <f>IFERROR(__xludf.DUMMYFUNCTION("""COMPUTED_VALUE"""),"พรหมเทพ")</f>
        <v>พรหมเทพ</v>
      </c>
      <c r="K971" t="str">
        <f>IFERROR(__xludf.DUMMYFUNCTION("""COMPUTED_VALUE"""),"ดลยา พรหมเทพ")</f>
        <v>ดลยา พรหมเทพ</v>
      </c>
      <c r="L971" t="str">
        <f>IFERROR(__xludf.DUMMYFUNCTION("""COMPUTED_VALUE"""),"Faii / ฝ้าย")</f>
        <v>Faii / ฝ้าย</v>
      </c>
      <c r="M971" t="str">
        <f>IFERROR(__xludf.DUMMYFUNCTION("""COMPUTED_VALUE"""),"Cabin Crew")</f>
        <v>Cabin Crew</v>
      </c>
      <c r="N971" t="str">
        <f>IFERROR(__xludf.DUMMYFUNCTION("""COMPUTED_VALUE"""),"DMK")</f>
        <v>DMK</v>
      </c>
      <c r="O971" s="145" t="str">
        <f>IFERROR(__xludf.DUMMYFUNCTION("""COMPUTED_VALUE"""),"Up Home")</f>
        <v>Up Home</v>
      </c>
      <c r="P971" t="str">
        <f>IFERROR(__xludf.DUMMYFUNCTION("""COMPUTED_VALUE"""),"Active")</f>
        <v>Active</v>
      </c>
      <c r="R971" s="155">
        <f>IFERROR(__xludf.DUMMYFUNCTION("""COMPUTED_VALUE"""),33328.0)</f>
        <v>33328</v>
      </c>
      <c r="S971" s="146" t="str">
        <f>IFERROR(__xludf.DUMMYFUNCTION("""COMPUTED_VALUE"""),"081-145-4323")</f>
        <v>081-145-4323</v>
      </c>
      <c r="T971" s="147">
        <f>IFERROR(__xludf.DUMMYFUNCTION("""COMPUTED_VALUE"""),1.520100089295E12)</f>
        <v>1520100089295</v>
      </c>
      <c r="U971" t="str">
        <f>IFERROR(__xludf.DUMMYFUNCTION("""COMPUTED_VALUE"""),"AC3981407")</f>
        <v>AC3981407</v>
      </c>
      <c r="V971" s="148">
        <f>IFERROR(__xludf.DUMMYFUNCTION("""COMPUTED_VALUE"""),44809.0)</f>
        <v>44809</v>
      </c>
      <c r="W971" s="148">
        <f>IFERROR(__xludf.DUMMYFUNCTION("""COMPUTED_VALUE"""),46634.0)</f>
        <v>46634</v>
      </c>
      <c r="X971" s="149">
        <f>IFERROR(__xludf.DUMMYFUNCTION("""COMPUTED_VALUE"""),46450.0)</f>
        <v>46450</v>
      </c>
      <c r="Y971" t="str">
        <f>IFERROR(__xludf.DUMMYFUNCTION("""COMPUTED_VALUE"""),"ปลอดภัย")</f>
        <v>ปลอดภัย</v>
      </c>
      <c r="Z971" t="str">
        <f>IFERROR(__xludf.DUMMYFUNCTION("""COMPUTED_VALUE"""),"Lampang Province")</f>
        <v>Lampang Province</v>
      </c>
      <c r="AA971" t="str">
        <f>IFERROR(__xludf.DUMMYFUNCTION("""COMPUTED_VALUE"""),"Bangkok")</f>
        <v>Bangkok</v>
      </c>
      <c r="AB971" t="str">
        <f>IFERROR(__xludf.DUMMYFUNCTION("""COMPUTED_VALUE"""),"081-762-9868")</f>
        <v>081-762-9868</v>
      </c>
      <c r="AC971" t="str">
        <f>IFERROR(__xludf.DUMMYFUNCTION("""COMPUTED_VALUE"""),"นางสาว รังสินี ณ.ลำปาง Mother")</f>
        <v>นางสาว รังสินี ณ.ลำปาง Mother</v>
      </c>
      <c r="AD971" t="str">
        <f>IFERROR(__xludf.DUMMYFUNCTION("""COMPUTED_VALUE"""),"donlayapromthep@airasia.com")</f>
        <v>donlayapromthep@airasia.com</v>
      </c>
    </row>
    <row r="972">
      <c r="A972" s="142">
        <f>IFERROR(__xludf.DUMMYFUNCTION("""COMPUTED_VALUE"""),100.0)</f>
        <v>100</v>
      </c>
      <c r="C972">
        <f>IFERROR(__xludf.DUMMYFUNCTION("""COMPUTED_VALUE"""),1038748.0)</f>
        <v>1038748</v>
      </c>
      <c r="D972" t="str">
        <f>IFERROR(__xludf.DUMMYFUNCTION("""COMPUTED_VALUE"""),"Ms.")</f>
        <v>Ms.</v>
      </c>
      <c r="E972" t="str">
        <f>IFERROR(__xludf.DUMMYFUNCTION("""COMPUTED_VALUE"""),"Napasakorn")</f>
        <v>Napasakorn</v>
      </c>
      <c r="F972" t="str">
        <f>IFERROR(__xludf.DUMMYFUNCTION("""COMPUTED_VALUE"""),"Phaspipatkul")</f>
        <v>Phaspipatkul</v>
      </c>
      <c r="G972" t="str">
        <f>IFERROR(__xludf.DUMMYFUNCTION("""COMPUTED_VALUE"""),"Napasakorn Phaspipatkul")</f>
        <v>Napasakorn Phaspipatkul</v>
      </c>
      <c r="H972" t="str">
        <f>IFERROR(__xludf.DUMMYFUNCTION("""COMPUTED_VALUE"""),"นางสาว")</f>
        <v>นางสาว</v>
      </c>
      <c r="I972" t="str">
        <f>IFERROR(__xludf.DUMMYFUNCTION("""COMPUTED_VALUE"""),"นภัสกร")</f>
        <v>นภัสกร</v>
      </c>
      <c r="J972" t="str">
        <f>IFERROR(__xludf.DUMMYFUNCTION("""COMPUTED_VALUE"""),"ภาสน์พิพัฒน์กุล")</f>
        <v>ภาสน์พิพัฒน์กุล</v>
      </c>
      <c r="K972" t="str">
        <f>IFERROR(__xludf.DUMMYFUNCTION("""COMPUTED_VALUE"""),"นภัสกร ภาสน์พิพัฒน์กุล")</f>
        <v>นภัสกร ภาสน์พิพัฒน์กุล</v>
      </c>
      <c r="L972" t="str">
        <f>IFERROR(__xludf.DUMMYFUNCTION("""COMPUTED_VALUE"""),"Mork / หมอก")</f>
        <v>Mork / หมอก</v>
      </c>
      <c r="M972" t="str">
        <f>IFERROR(__xludf.DUMMYFUNCTION("""COMPUTED_VALUE"""),"Cabin Crew")</f>
        <v>Cabin Crew</v>
      </c>
      <c r="N972" t="str">
        <f>IFERROR(__xludf.DUMMYFUNCTION("""COMPUTED_VALUE"""),"DMK")</f>
        <v>DMK</v>
      </c>
      <c r="O972" s="145" t="str">
        <f>IFERROR(__xludf.DUMMYFUNCTION("""COMPUTED_VALUE"""),"Namfon Home")</f>
        <v>Namfon Home</v>
      </c>
      <c r="P972" t="str">
        <f>IFERROR(__xludf.DUMMYFUNCTION("""COMPUTED_VALUE"""),"Active")</f>
        <v>Active</v>
      </c>
      <c r="R972" s="155">
        <f>IFERROR(__xludf.DUMMYFUNCTION("""COMPUTED_VALUE"""),34694.0)</f>
        <v>34694</v>
      </c>
      <c r="S972" s="146" t="str">
        <f>IFERROR(__xludf.DUMMYFUNCTION("""COMPUTED_VALUE"""),"083-090-4506")</f>
        <v>083-090-4506</v>
      </c>
      <c r="T972" s="147">
        <f>IFERROR(__xludf.DUMMYFUNCTION("""COMPUTED_VALUE"""),1.579900576865E12)</f>
        <v>1579900576865</v>
      </c>
      <c r="U972" t="str">
        <f>IFERROR(__xludf.DUMMYFUNCTION("""COMPUTED_VALUE"""),"AC3908951")</f>
        <v>AC3908951</v>
      </c>
      <c r="V972" s="148">
        <f>IFERROR(__xludf.DUMMYFUNCTION("""COMPUTED_VALUE"""),44799.0)</f>
        <v>44799</v>
      </c>
      <c r="W972" s="148">
        <f>IFERROR(__xludf.DUMMYFUNCTION("""COMPUTED_VALUE"""),48451.0)</f>
        <v>48451</v>
      </c>
      <c r="X972" s="149">
        <f>IFERROR(__xludf.DUMMYFUNCTION("""COMPUTED_VALUE"""),48269.0)</f>
        <v>48269</v>
      </c>
      <c r="Y972" t="str">
        <f>IFERROR(__xludf.DUMMYFUNCTION("""COMPUTED_VALUE"""),"ปลอดภัย")</f>
        <v>ปลอดภัย</v>
      </c>
      <c r="Z972" t="str">
        <f>IFERROR(__xludf.DUMMYFUNCTION("""COMPUTED_VALUE"""),"Chiang Rai Province")</f>
        <v>Chiang Rai Province</v>
      </c>
      <c r="AA972" t="str">
        <f>IFERROR(__xludf.DUMMYFUNCTION("""COMPUTED_VALUE"""),"Bangkok")</f>
        <v>Bangkok</v>
      </c>
      <c r="AB972" t="str">
        <f>IFERROR(__xludf.DUMMYFUNCTION("""COMPUTED_VALUE"""),"083-071-7003")</f>
        <v>083-071-7003</v>
      </c>
      <c r="AC972" t="str">
        <f>IFERROR(__xludf.DUMMYFUNCTION("""COMPUTED_VALUE"""),"นางฉันทนา ภาสน์พิพัฒน์กุล Mother")</f>
        <v>นางฉันทนา ภาสน์พิพัฒน์กุล Mother</v>
      </c>
      <c r="AD972" t="str">
        <f>IFERROR(__xludf.DUMMYFUNCTION("""COMPUTED_VALUE"""),"napasakornphaspipat@airasia.com")</f>
        <v>napasakornphaspipat@airasia.com</v>
      </c>
    </row>
    <row r="973">
      <c r="A973" s="142">
        <f>IFERROR(__xludf.DUMMYFUNCTION("""COMPUTED_VALUE"""),100.0)</f>
        <v>100</v>
      </c>
      <c r="C973">
        <f>IFERROR(__xludf.DUMMYFUNCTION("""COMPUTED_VALUE"""),1038749.0)</f>
        <v>1038749</v>
      </c>
      <c r="D973" t="str">
        <f>IFERROR(__xludf.DUMMYFUNCTION("""COMPUTED_VALUE"""),"Ms.")</f>
        <v>Ms.</v>
      </c>
      <c r="E973" t="str">
        <f>IFERROR(__xludf.DUMMYFUNCTION("""COMPUTED_VALUE"""),"Sirapat")</f>
        <v>Sirapat</v>
      </c>
      <c r="F973" t="str">
        <f>IFERROR(__xludf.DUMMYFUNCTION("""COMPUTED_VALUE"""),"Subpiboonphon")</f>
        <v>Subpiboonphon</v>
      </c>
      <c r="G973" t="str">
        <f>IFERROR(__xludf.DUMMYFUNCTION("""COMPUTED_VALUE"""),"Sirapat Subpiboonphon")</f>
        <v>Sirapat Subpiboonphon</v>
      </c>
      <c r="H973" t="str">
        <f>IFERROR(__xludf.DUMMYFUNCTION("""COMPUTED_VALUE"""),"นางสาว")</f>
        <v>นางสาว</v>
      </c>
      <c r="I973" t="str">
        <f>IFERROR(__xludf.DUMMYFUNCTION("""COMPUTED_VALUE"""),"สิรภัทร")</f>
        <v>สิรภัทร</v>
      </c>
      <c r="J973" t="str">
        <f>IFERROR(__xludf.DUMMYFUNCTION("""COMPUTED_VALUE"""),"ทรัพย์พิบูลย์ผล")</f>
        <v>ทรัพย์พิบูลย์ผล</v>
      </c>
      <c r="K973" t="str">
        <f>IFERROR(__xludf.DUMMYFUNCTION("""COMPUTED_VALUE"""),"สิรภัทร ทรัพย์พิบูลย์ผล")</f>
        <v>สิรภัทร ทรัพย์พิบูลย์ผล</v>
      </c>
      <c r="L973" t="str">
        <f>IFERROR(__xludf.DUMMYFUNCTION("""COMPUTED_VALUE"""),"Mild / มายด์")</f>
        <v>Mild / มายด์</v>
      </c>
      <c r="M973" t="str">
        <f>IFERROR(__xludf.DUMMYFUNCTION("""COMPUTED_VALUE"""),"Cabin Crew")</f>
        <v>Cabin Crew</v>
      </c>
      <c r="N973" t="str">
        <f>IFERROR(__xludf.DUMMYFUNCTION("""COMPUTED_VALUE"""),"DMK")</f>
        <v>DMK</v>
      </c>
      <c r="O973" s="145" t="str">
        <f>IFERROR(__xludf.DUMMYFUNCTION("""COMPUTED_VALUE"""),"Um Home")</f>
        <v>Um Home</v>
      </c>
      <c r="P973" t="str">
        <f>IFERROR(__xludf.DUMMYFUNCTION("""COMPUTED_VALUE"""),"Active")</f>
        <v>Active</v>
      </c>
      <c r="Q973" t="str">
        <f>IFERROR(__xludf.DUMMYFUNCTION("""COMPUTED_VALUE"""),"Chinese Speaking")</f>
        <v>Chinese Speaking</v>
      </c>
      <c r="R973" s="155">
        <f>IFERROR(__xludf.DUMMYFUNCTION("""COMPUTED_VALUE"""),34307.0)</f>
        <v>34307</v>
      </c>
      <c r="S973" s="146" t="str">
        <f>IFERROR(__xludf.DUMMYFUNCTION("""COMPUTED_VALUE"""),"063-416-8884")</f>
        <v>063-416-8884</v>
      </c>
      <c r="T973" s="147">
        <f>IFERROR(__xludf.DUMMYFUNCTION("""COMPUTED_VALUE"""),1.101700143244E12)</f>
        <v>1101700143244</v>
      </c>
      <c r="U973" t="str">
        <f>IFERROR(__xludf.DUMMYFUNCTION("""COMPUTED_VALUE"""),"AC4915530")</f>
        <v>AC4915530</v>
      </c>
      <c r="V973" s="148">
        <f>IFERROR(__xludf.DUMMYFUNCTION("""COMPUTED_VALUE"""),45054.0)</f>
        <v>45054</v>
      </c>
      <c r="W973" s="148">
        <f>IFERROR(__xludf.DUMMYFUNCTION("""COMPUTED_VALUE"""),48706.0)</f>
        <v>48706</v>
      </c>
      <c r="X973" s="149">
        <f>IFERROR(__xludf.DUMMYFUNCTION("""COMPUTED_VALUE"""),48525.0)</f>
        <v>48525</v>
      </c>
      <c r="Y973" t="str">
        <f>IFERROR(__xludf.DUMMYFUNCTION("""COMPUTED_VALUE"""),"ปลอดภัย")</f>
        <v>ปลอดภัย</v>
      </c>
      <c r="Z973" t="str">
        <f>IFERROR(__xludf.DUMMYFUNCTION("""COMPUTED_VALUE"""),"Bangkok")</f>
        <v>Bangkok</v>
      </c>
      <c r="AA973" t="str">
        <f>IFERROR(__xludf.DUMMYFUNCTION("""COMPUTED_VALUE"""),"Bangkok")</f>
        <v>Bangkok</v>
      </c>
      <c r="AB973" t="str">
        <f>IFERROR(__xludf.DUMMYFUNCTION("""COMPUTED_VALUE"""),"085-133-4491")</f>
        <v>085-133-4491</v>
      </c>
      <c r="AC973" t="str">
        <f>IFERROR(__xludf.DUMMYFUNCTION("""COMPUTED_VALUE"""),"นายเกียรติกร ทรัพย์พิบูลย์ผล Father")</f>
        <v>นายเกียรติกร ทรัพย์พิบูลย์ผล Father</v>
      </c>
      <c r="AD973" t="str">
        <f>IFERROR(__xludf.DUMMYFUNCTION("""COMPUTED_VALUE"""),"sirapatsubpiboonphon@airasia.com")</f>
        <v>sirapatsubpiboonphon@airasia.com</v>
      </c>
    </row>
    <row r="974">
      <c r="A974" s="142">
        <f>IFERROR(__xludf.DUMMYFUNCTION("""COMPUTED_VALUE"""),100.0)</f>
        <v>100</v>
      </c>
      <c r="C974">
        <f>IFERROR(__xludf.DUMMYFUNCTION("""COMPUTED_VALUE"""),1038747.0)</f>
        <v>1038747</v>
      </c>
      <c r="D974" t="str">
        <f>IFERROR(__xludf.DUMMYFUNCTION("""COMPUTED_VALUE"""),"Ms.")</f>
        <v>Ms.</v>
      </c>
      <c r="E974" t="str">
        <f>IFERROR(__xludf.DUMMYFUNCTION("""COMPUTED_VALUE"""),"Sunun")</f>
        <v>Sunun</v>
      </c>
      <c r="F974" t="str">
        <f>IFERROR(__xludf.DUMMYFUNCTION("""COMPUTED_VALUE"""),"Susereedumrong")</f>
        <v>Susereedumrong</v>
      </c>
      <c r="G974" t="str">
        <f>IFERROR(__xludf.DUMMYFUNCTION("""COMPUTED_VALUE"""),"Sunun Susereedumrong")</f>
        <v>Sunun Susereedumrong</v>
      </c>
      <c r="H974" t="str">
        <f>IFERROR(__xludf.DUMMYFUNCTION("""COMPUTED_VALUE"""),"นางสาว")</f>
        <v>นางสาว</v>
      </c>
      <c r="I974" t="str">
        <f>IFERROR(__xludf.DUMMYFUNCTION("""COMPUTED_VALUE"""),"สุนันท์")</f>
        <v>สุนันท์</v>
      </c>
      <c r="J974" t="str">
        <f>IFERROR(__xludf.DUMMYFUNCTION("""COMPUTED_VALUE"""),"สู่เสรีดำรง")</f>
        <v>สู่เสรีดำรง</v>
      </c>
      <c r="K974" t="str">
        <f>IFERROR(__xludf.DUMMYFUNCTION("""COMPUTED_VALUE"""),"สุนันท์ สู่เสรีดำรง")</f>
        <v>สุนันท์ สู่เสรีดำรง</v>
      </c>
      <c r="L974" t="str">
        <f>IFERROR(__xludf.DUMMYFUNCTION("""COMPUTED_VALUE"""),"Mew / มิว")</f>
        <v>Mew / มิว</v>
      </c>
      <c r="M974" t="str">
        <f>IFERROR(__xludf.DUMMYFUNCTION("""COMPUTED_VALUE"""),"Cabin Crew")</f>
        <v>Cabin Crew</v>
      </c>
      <c r="N974" t="str">
        <f>IFERROR(__xludf.DUMMYFUNCTION("""COMPUTED_VALUE"""),"DMK")</f>
        <v>DMK</v>
      </c>
      <c r="O974" s="145" t="str">
        <f>IFERROR(__xludf.DUMMYFUNCTION("""COMPUTED_VALUE"""),"Kor Home")</f>
        <v>Kor Home</v>
      </c>
      <c r="P974" t="str">
        <f>IFERROR(__xludf.DUMMYFUNCTION("""COMPUTED_VALUE"""),"Active")</f>
        <v>Active</v>
      </c>
      <c r="Q974" t="str">
        <f>IFERROR(__xludf.DUMMYFUNCTION("""COMPUTED_VALUE"""),"Chinese Speaking")</f>
        <v>Chinese Speaking</v>
      </c>
      <c r="R974" s="155">
        <f>IFERROR(__xludf.DUMMYFUNCTION("""COMPUTED_VALUE"""),34908.0)</f>
        <v>34908</v>
      </c>
      <c r="S974" s="146">
        <f>IFERROR(__xludf.DUMMYFUNCTION("""COMPUTED_VALUE"""),9.59030726E8)</f>
        <v>959030726</v>
      </c>
      <c r="T974" s="147">
        <f>IFERROR(__xludf.DUMMYFUNCTION("""COMPUTED_VALUE"""),1.102700494901E12)</f>
        <v>1102700494901</v>
      </c>
      <c r="U974" t="str">
        <f>IFERROR(__xludf.DUMMYFUNCTION("""COMPUTED_VALUE"""),"AC3693908")</f>
        <v>AC3693908</v>
      </c>
      <c r="V974" s="148">
        <f>IFERROR(__xludf.DUMMYFUNCTION("""COMPUTED_VALUE"""),44769.0)</f>
        <v>44769</v>
      </c>
      <c r="W974" s="148">
        <f>IFERROR(__xludf.DUMMYFUNCTION("""COMPUTED_VALUE"""),48421.0)</f>
        <v>48421</v>
      </c>
      <c r="X974" s="149">
        <f>IFERROR(__xludf.DUMMYFUNCTION("""COMPUTED_VALUE"""),48239.0)</f>
        <v>48239</v>
      </c>
      <c r="Y974" t="str">
        <f>IFERROR(__xludf.DUMMYFUNCTION("""COMPUTED_VALUE"""),"ปลอดภัย")</f>
        <v>ปลอดภัย</v>
      </c>
      <c r="Z974" t="str">
        <f>IFERROR(__xludf.DUMMYFUNCTION("""COMPUTED_VALUE"""),"Bangkok")</f>
        <v>Bangkok</v>
      </c>
      <c r="AA974" t="str">
        <f>IFERROR(__xludf.DUMMYFUNCTION("""COMPUTED_VALUE"""),"Bangkok")</f>
        <v>Bangkok</v>
      </c>
      <c r="AB974" t="str">
        <f>IFERROR(__xludf.DUMMYFUNCTION("""COMPUTED_VALUE"""),"097-246-7064")</f>
        <v>097-246-7064</v>
      </c>
      <c r="AC974" t="str">
        <f>IFERROR(__xludf.DUMMYFUNCTION("""COMPUTED_VALUE"""),"นางสาว ศุภลักษณ์ สู่เสรีดำรง Sister")</f>
        <v>นางสาว ศุภลักษณ์ สู่เสรีดำรง Sister</v>
      </c>
      <c r="AD974" t="str">
        <f>IFERROR(__xludf.DUMMYFUNCTION("""COMPUTED_VALUE"""),"sununsusereedumrong@airasia.com")</f>
        <v>sununsusereedumrong@airasia.com</v>
      </c>
    </row>
    <row r="975">
      <c r="A975" s="142">
        <f>IFERROR(__xludf.DUMMYFUNCTION("""COMPUTED_VALUE"""),100.0)</f>
        <v>100</v>
      </c>
      <c r="C975">
        <f>IFERROR(__xludf.DUMMYFUNCTION("""COMPUTED_VALUE"""),1038746.0)</f>
        <v>1038746</v>
      </c>
      <c r="D975" t="str">
        <f>IFERROR(__xludf.DUMMYFUNCTION("""COMPUTED_VALUE"""),"Ms.")</f>
        <v>Ms.</v>
      </c>
      <c r="E975" t="str">
        <f>IFERROR(__xludf.DUMMYFUNCTION("""COMPUTED_VALUE"""),"Supakorn")</f>
        <v>Supakorn</v>
      </c>
      <c r="F975" t="str">
        <f>IFERROR(__xludf.DUMMYFUNCTION("""COMPUTED_VALUE"""),"Ekataksin")</f>
        <v>Ekataksin</v>
      </c>
      <c r="G975" t="str">
        <f>IFERROR(__xludf.DUMMYFUNCTION("""COMPUTED_VALUE"""),"Supakorn Ekataksin")</f>
        <v>Supakorn Ekataksin</v>
      </c>
      <c r="H975" t="str">
        <f>IFERROR(__xludf.DUMMYFUNCTION("""COMPUTED_VALUE"""),"นางสาว")</f>
        <v>นางสาว</v>
      </c>
      <c r="I975" t="str">
        <f>IFERROR(__xludf.DUMMYFUNCTION("""COMPUTED_VALUE"""),"ศุภกร")</f>
        <v>ศุภกร</v>
      </c>
      <c r="J975" t="str">
        <f>IFERROR(__xludf.DUMMYFUNCTION("""COMPUTED_VALUE"""),"เอกทักษิณ")</f>
        <v>เอกทักษิณ</v>
      </c>
      <c r="K975" t="str">
        <f>IFERROR(__xludf.DUMMYFUNCTION("""COMPUTED_VALUE"""),"ศุภกร เอกทักษิณ")</f>
        <v>ศุภกร เอกทักษิณ</v>
      </c>
      <c r="L975" t="str">
        <f>IFERROR(__xludf.DUMMYFUNCTION("""COMPUTED_VALUE"""),"พีซ")</f>
        <v>พีซ</v>
      </c>
      <c r="M975" t="str">
        <f>IFERROR(__xludf.DUMMYFUNCTION("""COMPUTED_VALUE"""),"Cabin Crew")</f>
        <v>Cabin Crew</v>
      </c>
      <c r="N975" t="str">
        <f>IFERROR(__xludf.DUMMYFUNCTION("""COMPUTED_VALUE"""),"DMK")</f>
        <v>DMK</v>
      </c>
      <c r="O975" s="145" t="str">
        <f>IFERROR(__xludf.DUMMYFUNCTION("""COMPUTED_VALUE"""),"Toffy Home")</f>
        <v>Toffy Home</v>
      </c>
      <c r="P975" t="str">
        <f>IFERROR(__xludf.DUMMYFUNCTION("""COMPUTED_VALUE"""),"Active")</f>
        <v>Active</v>
      </c>
      <c r="Q975" t="str">
        <f>IFERROR(__xludf.DUMMYFUNCTION("""COMPUTED_VALUE"""),"Chinese Speaking")</f>
        <v>Chinese Speaking</v>
      </c>
      <c r="R975" s="155">
        <f>IFERROR(__xludf.DUMMYFUNCTION("""COMPUTED_VALUE"""),34095.0)</f>
        <v>34095</v>
      </c>
      <c r="S975" s="146" t="str">
        <f>IFERROR(__xludf.DUMMYFUNCTION("""COMPUTED_VALUE"""),"096-196-3593")</f>
        <v>096-196-3593</v>
      </c>
      <c r="T975" s="147">
        <f>IFERROR(__xludf.DUMMYFUNCTION("""COMPUTED_VALUE"""),1.102700264468E12)</f>
        <v>1102700264468</v>
      </c>
      <c r="U975" t="str">
        <f>IFERROR(__xludf.DUMMYFUNCTION("""COMPUTED_VALUE"""),"ACC5192885")</f>
        <v>ACC5192885</v>
      </c>
      <c r="V975" s="148">
        <f>IFERROR(__xludf.DUMMYFUNCTION("""COMPUTED_VALUE"""),45320.0)</f>
        <v>45320</v>
      </c>
      <c r="W975" s="148">
        <f>IFERROR(__xludf.DUMMYFUNCTION("""COMPUTED_VALUE"""),48972.0)</f>
        <v>48972</v>
      </c>
      <c r="X975" s="149">
        <f>IFERROR(__xludf.DUMMYFUNCTION("""COMPUTED_VALUE"""),48788.0)</f>
        <v>48788</v>
      </c>
      <c r="Y975" t="str">
        <f>IFERROR(__xludf.DUMMYFUNCTION("""COMPUTED_VALUE"""),"ปลอดภัย")</f>
        <v>ปลอดภัย</v>
      </c>
      <c r="Z975" t="str">
        <f>IFERROR(__xludf.DUMMYFUNCTION("""COMPUTED_VALUE"""),"Bangkok")</f>
        <v>Bangkok</v>
      </c>
      <c r="AA975" t="str">
        <f>IFERROR(__xludf.DUMMYFUNCTION("""COMPUTED_VALUE"""),"SUPHAN BURI")</f>
        <v>SUPHAN BURI</v>
      </c>
      <c r="AB975" t="str">
        <f>IFERROR(__xludf.DUMMYFUNCTION("""COMPUTED_VALUE"""),"089-919-8730")</f>
        <v>089-919-8730</v>
      </c>
      <c r="AC975" t="str">
        <f>IFERROR(__xludf.DUMMYFUNCTION("""COMPUTED_VALUE"""),"นางสาวภัทรภา เอกทักษิณ Mother")</f>
        <v>นางสาวภัทรภา เอกทักษิณ Mother</v>
      </c>
      <c r="AD975" t="str">
        <f>IFERROR(__xludf.DUMMYFUNCTION("""COMPUTED_VALUE"""),"supakornekataksin@airasia.com")</f>
        <v>supakornekataksin@airasia.com</v>
      </c>
    </row>
    <row r="976">
      <c r="A976" s="142">
        <f>IFERROR(__xludf.DUMMYFUNCTION("""COMPUTED_VALUE"""),100.0)</f>
        <v>100</v>
      </c>
      <c r="C976">
        <f>IFERROR(__xludf.DUMMYFUNCTION("""COMPUTED_VALUE"""),1038744.0)</f>
        <v>1038744</v>
      </c>
      <c r="D976" t="str">
        <f>IFERROR(__xludf.DUMMYFUNCTION("""COMPUTED_VALUE"""),"Ms.")</f>
        <v>Ms.</v>
      </c>
      <c r="E976" t="str">
        <f>IFERROR(__xludf.DUMMYFUNCTION("""COMPUTED_VALUE"""),"Panatda")</f>
        <v>Panatda</v>
      </c>
      <c r="F976" t="str">
        <f>IFERROR(__xludf.DUMMYFUNCTION("""COMPUTED_VALUE"""),"Sukkhum")</f>
        <v>Sukkhum</v>
      </c>
      <c r="G976" t="str">
        <f>IFERROR(__xludf.DUMMYFUNCTION("""COMPUTED_VALUE"""),"Panatda Sukkhum")</f>
        <v>Panatda Sukkhum</v>
      </c>
      <c r="H976" t="str">
        <f>IFERROR(__xludf.DUMMYFUNCTION("""COMPUTED_VALUE"""),"นางสาว")</f>
        <v>นางสาว</v>
      </c>
      <c r="I976" t="str">
        <f>IFERROR(__xludf.DUMMYFUNCTION("""COMPUTED_VALUE"""),"ปนัดดา")</f>
        <v>ปนัดดา</v>
      </c>
      <c r="J976" t="str">
        <f>IFERROR(__xludf.DUMMYFUNCTION("""COMPUTED_VALUE"""),"สุขคุ้ม")</f>
        <v>สุขคุ้ม</v>
      </c>
      <c r="K976" t="str">
        <f>IFERROR(__xludf.DUMMYFUNCTION("""COMPUTED_VALUE"""),"ปนัดดา สุขคุ้ม")</f>
        <v>ปนัดดา สุขคุ้ม</v>
      </c>
      <c r="L976" t="str">
        <f>IFERROR(__xludf.DUMMYFUNCTION("""COMPUTED_VALUE"""),"New / นิว")</f>
        <v>New / นิว</v>
      </c>
      <c r="M976" t="str">
        <f>IFERROR(__xludf.DUMMYFUNCTION("""COMPUTED_VALUE"""),"Cabin Crew")</f>
        <v>Cabin Crew</v>
      </c>
      <c r="N976" t="str">
        <f>IFERROR(__xludf.DUMMYFUNCTION("""COMPUTED_VALUE"""),"DMK")</f>
        <v>DMK</v>
      </c>
      <c r="O976" s="145" t="str">
        <f>IFERROR(__xludf.DUMMYFUNCTION("""COMPUTED_VALUE"""),"Um Home")</f>
        <v>Um Home</v>
      </c>
      <c r="P976" t="str">
        <f>IFERROR(__xludf.DUMMYFUNCTION("""COMPUTED_VALUE"""),"Active")</f>
        <v>Active</v>
      </c>
      <c r="R976" s="155">
        <f>IFERROR(__xludf.DUMMYFUNCTION("""COMPUTED_VALUE"""),33489.0)</f>
        <v>33489</v>
      </c>
      <c r="S976" s="146" t="str">
        <f>IFERROR(__xludf.DUMMYFUNCTION("""COMPUTED_VALUE"""),"087-5698048")</f>
        <v>087-5698048</v>
      </c>
      <c r="T976" s="147">
        <f>IFERROR(__xludf.DUMMYFUNCTION("""COMPUTED_VALUE"""),1.230409059246E12)</f>
        <v>1230409059246</v>
      </c>
      <c r="U976" t="str">
        <f>IFERROR(__xludf.DUMMYFUNCTION("""COMPUTED_VALUE"""),"AC6132499")</f>
        <v>AC6132499</v>
      </c>
      <c r="V976" s="148">
        <f>IFERROR(__xludf.DUMMYFUNCTION("""COMPUTED_VALUE"""),45285.0)</f>
        <v>45285</v>
      </c>
      <c r="W976" s="148">
        <f>IFERROR(__xludf.DUMMYFUNCTION("""COMPUTED_VALUE"""),47111.0)</f>
        <v>47111</v>
      </c>
      <c r="X976" s="149">
        <f>IFERROR(__xludf.DUMMYFUNCTION("""COMPUTED_VALUE"""),46928.0)</f>
        <v>46928</v>
      </c>
      <c r="Y976" t="str">
        <f>IFERROR(__xludf.DUMMYFUNCTION("""COMPUTED_VALUE"""),"ปลอดภัย")</f>
        <v>ปลอดภัย</v>
      </c>
      <c r="Z976" t="str">
        <f>IFERROR(__xludf.DUMMYFUNCTION("""COMPUTED_VALUE"""),"Trat Province")</f>
        <v>Trat Province</v>
      </c>
      <c r="AA976" t="str">
        <f>IFERROR(__xludf.DUMMYFUNCTION("""COMPUTED_VALUE"""),"Bangkok")</f>
        <v>Bangkok</v>
      </c>
      <c r="AB976" t="str">
        <f>IFERROR(__xludf.DUMMYFUNCTION("""COMPUTED_VALUE"""),"089-6359003")</f>
        <v>089-6359003</v>
      </c>
      <c r="AC976" t="str">
        <f>IFERROR(__xludf.DUMMYFUNCTION("""COMPUTED_VALUE"""),"นางสาวศศิธร ทัดโท Mother")</f>
        <v>นางสาวศศิธร ทัดโท Mother</v>
      </c>
      <c r="AD976" t="str">
        <f>IFERROR(__xludf.DUMMYFUNCTION("""COMPUTED_VALUE"""),"panatdasukkhum@airasia.com")</f>
        <v>panatdasukkhum@airasia.com</v>
      </c>
    </row>
    <row r="977">
      <c r="A977" s="142">
        <f>IFERROR(__xludf.DUMMYFUNCTION("""COMPUTED_VALUE"""),100.0)</f>
        <v>100</v>
      </c>
      <c r="C977">
        <f>IFERROR(__xludf.DUMMYFUNCTION("""COMPUTED_VALUE"""),1038743.0)</f>
        <v>1038743</v>
      </c>
      <c r="D977" t="str">
        <f>IFERROR(__xludf.DUMMYFUNCTION("""COMPUTED_VALUE"""),"Ms.")</f>
        <v>Ms.</v>
      </c>
      <c r="E977" t="str">
        <f>IFERROR(__xludf.DUMMYFUNCTION("""COMPUTED_VALUE"""),"Patsara")</f>
        <v>Patsara</v>
      </c>
      <c r="F977" t="str">
        <f>IFERROR(__xludf.DUMMYFUNCTION("""COMPUTED_VALUE"""),"Panlers")</f>
        <v>Panlers</v>
      </c>
      <c r="G977" t="str">
        <f>IFERROR(__xludf.DUMMYFUNCTION("""COMPUTED_VALUE"""),"Patsara Panlers")</f>
        <v>Patsara Panlers</v>
      </c>
      <c r="H977" t="str">
        <f>IFERROR(__xludf.DUMMYFUNCTION("""COMPUTED_VALUE"""),"นางสาว")</f>
        <v>นางสาว</v>
      </c>
      <c r="I977" t="str">
        <f>IFERROR(__xludf.DUMMYFUNCTION("""COMPUTED_VALUE"""),"ภัสสรา")</f>
        <v>ภัสสรา</v>
      </c>
      <c r="J977" t="str">
        <f>IFERROR(__xludf.DUMMYFUNCTION("""COMPUTED_VALUE"""),"ปานเลิศ")</f>
        <v>ปานเลิศ</v>
      </c>
      <c r="K977" t="str">
        <f>IFERROR(__xludf.DUMMYFUNCTION("""COMPUTED_VALUE"""),"ภัสสรา ปานเลิศ")</f>
        <v>ภัสสรา ปานเลิศ</v>
      </c>
      <c r="L977" t="str">
        <f>IFERROR(__xludf.DUMMYFUNCTION("""COMPUTED_VALUE"""),"Ploy / พลอย")</f>
        <v>Ploy / พลอย</v>
      </c>
      <c r="M977" t="str">
        <f>IFERROR(__xludf.DUMMYFUNCTION("""COMPUTED_VALUE"""),"Cabin Crew")</f>
        <v>Cabin Crew</v>
      </c>
      <c r="N977" t="str">
        <f>IFERROR(__xludf.DUMMYFUNCTION("""COMPUTED_VALUE"""),"DMK")</f>
        <v>DMK</v>
      </c>
      <c r="O977" s="145" t="str">
        <f>IFERROR(__xludf.DUMMYFUNCTION("""COMPUTED_VALUE"""),"Namfon Home")</f>
        <v>Namfon Home</v>
      </c>
      <c r="P977" t="str">
        <f>IFERROR(__xludf.DUMMYFUNCTION("""COMPUTED_VALUE"""),"Active")</f>
        <v>Active</v>
      </c>
      <c r="R977" s="155">
        <f>IFERROR(__xludf.DUMMYFUNCTION("""COMPUTED_VALUE"""),33878.0)</f>
        <v>33878</v>
      </c>
      <c r="S977" s="146" t="str">
        <f>IFERROR(__xludf.DUMMYFUNCTION("""COMPUTED_VALUE"""),"085-1177410")</f>
        <v>085-1177410</v>
      </c>
      <c r="T977" s="147">
        <f>IFERROR(__xludf.DUMMYFUNCTION("""COMPUTED_VALUE"""),1.200900137114E12)</f>
        <v>1200900137114</v>
      </c>
      <c r="U977" t="str">
        <f>IFERROR(__xludf.DUMMYFUNCTION("""COMPUTED_VALUE"""),"AD0021071")</f>
        <v>AD0021071</v>
      </c>
      <c r="V977" s="148">
        <f>IFERROR(__xludf.DUMMYFUNCTION("""COMPUTED_VALUE"""),44844.0)</f>
        <v>44844</v>
      </c>
      <c r="W977" s="148">
        <f>IFERROR(__xludf.DUMMYFUNCTION("""COMPUTED_VALUE"""),48496.0)</f>
        <v>48496</v>
      </c>
      <c r="X977" s="149">
        <f>IFERROR(__xludf.DUMMYFUNCTION("""COMPUTED_VALUE"""),48313.0)</f>
        <v>48313</v>
      </c>
      <c r="Y977" t="str">
        <f>IFERROR(__xludf.DUMMYFUNCTION("""COMPUTED_VALUE"""),"ปลอดภัย")</f>
        <v>ปลอดภัย</v>
      </c>
      <c r="Z977" t="str">
        <f>IFERROR(__xludf.DUMMYFUNCTION("""COMPUTED_VALUE"""),"Chonburi Province")</f>
        <v>Chonburi Province</v>
      </c>
      <c r="AA977" t="str">
        <f>IFERROR(__xludf.DUMMYFUNCTION("""COMPUTED_VALUE"""),"CHON BURI")</f>
        <v>CHON BURI</v>
      </c>
      <c r="AB977" t="str">
        <f>IFERROR(__xludf.DUMMYFUNCTION("""COMPUTED_VALUE"""),"086-1581858")</f>
        <v>086-1581858</v>
      </c>
      <c r="AC977" t="str">
        <f>IFERROR(__xludf.DUMMYFUNCTION("""COMPUTED_VALUE"""),"นาย สมศักดิ์ ปานเลิศ Father")</f>
        <v>นาย สมศักดิ์ ปานเลิศ Father</v>
      </c>
      <c r="AD977" t="str">
        <f>IFERROR(__xludf.DUMMYFUNCTION("""COMPUTED_VALUE"""),"patsarapanlers@airasia.com")</f>
        <v>patsarapanlers@airasia.com</v>
      </c>
    </row>
    <row r="978">
      <c r="A978" s="142">
        <f>IFERROR(__xludf.DUMMYFUNCTION("""COMPUTED_VALUE"""),100.0)</f>
        <v>100</v>
      </c>
      <c r="C978">
        <f>IFERROR(__xludf.DUMMYFUNCTION("""COMPUTED_VALUE"""),1038742.0)</f>
        <v>1038742</v>
      </c>
      <c r="D978" t="str">
        <f>IFERROR(__xludf.DUMMYFUNCTION("""COMPUTED_VALUE"""),"Ms.")</f>
        <v>Ms.</v>
      </c>
      <c r="E978" t="str">
        <f>IFERROR(__xludf.DUMMYFUNCTION("""COMPUTED_VALUE"""),"Sudarat")</f>
        <v>Sudarat</v>
      </c>
      <c r="F978" t="str">
        <f>IFERROR(__xludf.DUMMYFUNCTION("""COMPUTED_VALUE"""),"Saktawin")</f>
        <v>Saktawin</v>
      </c>
      <c r="G978" t="str">
        <f>IFERROR(__xludf.DUMMYFUNCTION("""COMPUTED_VALUE"""),"Sudarat Saktawin")</f>
        <v>Sudarat Saktawin</v>
      </c>
      <c r="H978" t="str">
        <f>IFERROR(__xludf.DUMMYFUNCTION("""COMPUTED_VALUE"""),"นางสาว")</f>
        <v>นางสาว</v>
      </c>
      <c r="I978" t="str">
        <f>IFERROR(__xludf.DUMMYFUNCTION("""COMPUTED_VALUE"""),"สุดารัตน์")</f>
        <v>สุดารัตน์</v>
      </c>
      <c r="J978" t="str">
        <f>IFERROR(__xludf.DUMMYFUNCTION("""COMPUTED_VALUE"""),"สักเทวิน")</f>
        <v>สักเทวิน</v>
      </c>
      <c r="K978" t="str">
        <f>IFERROR(__xludf.DUMMYFUNCTION("""COMPUTED_VALUE"""),"สุดารัตน์ สักเทวิน")</f>
        <v>สุดารัตน์ สักเทวิน</v>
      </c>
      <c r="L978" t="str">
        <f>IFERROR(__xludf.DUMMYFUNCTION("""COMPUTED_VALUE"""),"ลูกหนู")</f>
        <v>ลูกหนู</v>
      </c>
      <c r="M978" t="str">
        <f>IFERROR(__xludf.DUMMYFUNCTION("""COMPUTED_VALUE"""),"Cabin Crew")</f>
        <v>Cabin Crew</v>
      </c>
      <c r="N978" t="str">
        <f>IFERROR(__xludf.DUMMYFUNCTION("""COMPUTED_VALUE"""),"DMK")</f>
        <v>DMK</v>
      </c>
      <c r="O978" s="145" t="str">
        <f>IFERROR(__xludf.DUMMYFUNCTION("""COMPUTED_VALUE"""),"Nhui Home")</f>
        <v>Nhui Home</v>
      </c>
      <c r="P978" t="str">
        <f>IFERROR(__xludf.DUMMYFUNCTION("""COMPUTED_VALUE"""),"Active")</f>
        <v>Active</v>
      </c>
      <c r="Q978" t="str">
        <f>IFERROR(__xludf.DUMMYFUNCTION("""COMPUTED_VALUE"""),"Chinese Speaking")</f>
        <v>Chinese Speaking</v>
      </c>
      <c r="R978" s="155">
        <f>IFERROR(__xludf.DUMMYFUNCTION("""COMPUTED_VALUE"""),33341.0)</f>
        <v>33341</v>
      </c>
      <c r="S978" s="146">
        <f>IFERROR(__xludf.DUMMYFUNCTION("""COMPUTED_VALUE"""),9.89569155E8)</f>
        <v>989569155</v>
      </c>
      <c r="T978" s="147">
        <f>IFERROR(__xludf.DUMMYFUNCTION("""COMPUTED_VALUE"""),1.100701338366E12)</f>
        <v>1100701338366</v>
      </c>
      <c r="U978" t="str">
        <f>IFERROR(__xludf.DUMMYFUNCTION("""COMPUTED_VALUE"""),"AC4495866")</f>
        <v>AC4495866</v>
      </c>
      <c r="V978" s="148">
        <f>IFERROR(__xludf.DUMMYFUNCTION("""COMPUTED_VALUE"""),44992.0)</f>
        <v>44992</v>
      </c>
      <c r="W978" s="148">
        <f>IFERROR(__xludf.DUMMYFUNCTION("""COMPUTED_VALUE"""),48644.0)</f>
        <v>48644</v>
      </c>
      <c r="X978" s="149">
        <f>IFERROR(__xludf.DUMMYFUNCTION("""COMPUTED_VALUE"""),48463.0)</f>
        <v>48463</v>
      </c>
      <c r="Y978" t="str">
        <f>IFERROR(__xludf.DUMMYFUNCTION("""COMPUTED_VALUE"""),"ปลอดภัย")</f>
        <v>ปลอดภัย</v>
      </c>
      <c r="Z978" t="str">
        <f>IFERROR(__xludf.DUMMYFUNCTION("""COMPUTED_VALUE"""),"Bangkok")</f>
        <v>Bangkok</v>
      </c>
      <c r="AA978" t="str">
        <f>IFERROR(__xludf.DUMMYFUNCTION("""COMPUTED_VALUE"""),"PATHUMTANI")</f>
        <v>PATHUMTANI</v>
      </c>
      <c r="AB978" t="str">
        <f>IFERROR(__xludf.DUMMYFUNCTION("""COMPUTED_VALUE"""),"093-854-4454 ")</f>
        <v>093-854-4454 </v>
      </c>
      <c r="AC978" t="str">
        <f>IFERROR(__xludf.DUMMYFUNCTION("""COMPUTED_VALUE"""),"นางสาวเบญจมาศ แสงกุล Mother")</f>
        <v>นางสาวเบญจมาศ แสงกุล Mother</v>
      </c>
      <c r="AD978" t="str">
        <f>IFERROR(__xludf.DUMMYFUNCTION("""COMPUTED_VALUE"""),"sudaratsaktawin@airasia.com")</f>
        <v>sudaratsaktawin@airasia.com</v>
      </c>
    </row>
    <row r="979">
      <c r="A979" s="142">
        <f>IFERROR(__xludf.DUMMYFUNCTION("""COMPUTED_VALUE"""),100.0)</f>
        <v>100</v>
      </c>
      <c r="C979">
        <f>IFERROR(__xludf.DUMMYFUNCTION("""COMPUTED_VALUE"""),1038741.0)</f>
        <v>1038741</v>
      </c>
      <c r="D979" t="str">
        <f>IFERROR(__xludf.DUMMYFUNCTION("""COMPUTED_VALUE"""),"Ms.")</f>
        <v>Ms.</v>
      </c>
      <c r="E979" t="str">
        <f>IFERROR(__xludf.DUMMYFUNCTION("""COMPUTED_VALUE"""),"Sureerat")</f>
        <v>Sureerat</v>
      </c>
      <c r="F979" t="str">
        <f>IFERROR(__xludf.DUMMYFUNCTION("""COMPUTED_VALUE"""),"Supsomran")</f>
        <v>Supsomran</v>
      </c>
      <c r="G979" t="str">
        <f>IFERROR(__xludf.DUMMYFUNCTION("""COMPUTED_VALUE"""),"Sureerat Supsomran")</f>
        <v>Sureerat Supsomran</v>
      </c>
      <c r="H979" t="str">
        <f>IFERROR(__xludf.DUMMYFUNCTION("""COMPUTED_VALUE"""),"นางสาว")</f>
        <v>นางสาว</v>
      </c>
      <c r="I979" t="str">
        <f>IFERROR(__xludf.DUMMYFUNCTION("""COMPUTED_VALUE"""),"สุรีรัตน์")</f>
        <v>สุรีรัตน์</v>
      </c>
      <c r="J979" t="str">
        <f>IFERROR(__xludf.DUMMYFUNCTION("""COMPUTED_VALUE"""),"ทรัพย์สำราญ")</f>
        <v>ทรัพย์สำราญ</v>
      </c>
      <c r="K979" t="str">
        <f>IFERROR(__xludf.DUMMYFUNCTION("""COMPUTED_VALUE"""),"สุรีรัตน์ ทรัพย์สำราญ")</f>
        <v>สุรีรัตน์ ทรัพย์สำราญ</v>
      </c>
      <c r="L979" t="str">
        <f>IFERROR(__xludf.DUMMYFUNCTION("""COMPUTED_VALUE"""),"กุ๊งกิ๊ง")</f>
        <v>กุ๊งกิ๊ง</v>
      </c>
      <c r="M979" t="str">
        <f>IFERROR(__xludf.DUMMYFUNCTION("""COMPUTED_VALUE"""),"Cabin Crew")</f>
        <v>Cabin Crew</v>
      </c>
      <c r="N979" t="str">
        <f>IFERROR(__xludf.DUMMYFUNCTION("""COMPUTED_VALUE"""),"DMK")</f>
        <v>DMK</v>
      </c>
      <c r="O979" s="145" t="str">
        <f>IFERROR(__xludf.DUMMYFUNCTION("""COMPUTED_VALUE"""),"Nhui Home")</f>
        <v>Nhui Home</v>
      </c>
      <c r="P979" t="str">
        <f>IFERROR(__xludf.DUMMYFUNCTION("""COMPUTED_VALUE"""),"Active")</f>
        <v>Active</v>
      </c>
      <c r="R979" s="155">
        <f>IFERROR(__xludf.DUMMYFUNCTION("""COMPUTED_VALUE"""),33711.0)</f>
        <v>33711</v>
      </c>
      <c r="S979" s="146" t="str">
        <f>IFERROR(__xludf.DUMMYFUNCTION("""COMPUTED_VALUE"""),"097-142-1151")</f>
        <v>097-142-1151</v>
      </c>
      <c r="T979" s="147">
        <f>IFERROR(__xludf.DUMMYFUNCTION("""COMPUTED_VALUE"""),1.460700181321E12)</f>
        <v>1460700181321</v>
      </c>
      <c r="U979" t="str">
        <f>IFERROR(__xludf.DUMMYFUNCTION("""COMPUTED_VALUE"""),"AC4596734")</f>
        <v>AC4596734</v>
      </c>
      <c r="V979" s="148">
        <f>IFERROR(__xludf.DUMMYFUNCTION("""COMPUTED_VALUE"""),44996.0)</f>
        <v>44996</v>
      </c>
      <c r="W979" s="148">
        <f>IFERROR(__xludf.DUMMYFUNCTION("""COMPUTED_VALUE"""),48648.0)</f>
        <v>48648</v>
      </c>
      <c r="X979" s="149">
        <f>IFERROR(__xludf.DUMMYFUNCTION("""COMPUTED_VALUE"""),48467.0)</f>
        <v>48467</v>
      </c>
      <c r="Y979" t="str">
        <f>IFERROR(__xludf.DUMMYFUNCTION("""COMPUTED_VALUE"""),"ปลอดภัย")</f>
        <v>ปลอดภัย</v>
      </c>
      <c r="Z979" t="str">
        <f>IFERROR(__xludf.DUMMYFUNCTION("""COMPUTED_VALUE"""),"Kalasin Province")</f>
        <v>Kalasin Province</v>
      </c>
      <c r="AA979" t="str">
        <f>IFERROR(__xludf.DUMMYFUNCTION("""COMPUTED_VALUE"""),"Bangkok")</f>
        <v>Bangkok</v>
      </c>
      <c r="AB979" t="str">
        <f>IFERROR(__xludf.DUMMYFUNCTION("""COMPUTED_VALUE"""),"088-655-6569")</f>
        <v>088-655-6569</v>
      </c>
      <c r="AC979" t="str">
        <f>IFERROR(__xludf.DUMMYFUNCTION("""COMPUTED_VALUE"""),"นางสาวศิริลักษณ์ ทรัพย์สำราญ Sister")</f>
        <v>นางสาวศิริลักษณ์ ทรัพย์สำราญ Sister</v>
      </c>
      <c r="AD979" t="str">
        <f>IFERROR(__xludf.DUMMYFUNCTION("""COMPUTED_VALUE"""),"sureeratsupsomran@airasia.com")</f>
        <v>sureeratsupsomran@airasia.com</v>
      </c>
    </row>
    <row r="980">
      <c r="A980" s="142">
        <f>IFERROR(__xludf.DUMMYFUNCTION("""COMPUTED_VALUE"""),100.0)</f>
        <v>100</v>
      </c>
      <c r="B980" t="str">
        <f>IFERROR(__xludf.DUMMYFUNCTION("""COMPUTED_VALUE"""),"Rejion from Inactive // Change new ID (1038812)")</f>
        <v>Rejion from Inactive // Change new ID (1038812)</v>
      </c>
      <c r="C980">
        <f>IFERROR(__xludf.DUMMYFUNCTION("""COMPUTED_VALUE"""),1011505.0)</f>
        <v>1011505</v>
      </c>
      <c r="D980" t="str">
        <f>IFERROR(__xludf.DUMMYFUNCTION("""COMPUTED_VALUE"""),"Ms.")</f>
        <v>Ms.</v>
      </c>
      <c r="E980" t="str">
        <f>IFERROR(__xludf.DUMMYFUNCTION("""COMPUTED_VALUE"""),"Unyamanee")</f>
        <v>Unyamanee</v>
      </c>
      <c r="F980" t="str">
        <f>IFERROR(__xludf.DUMMYFUNCTION("""COMPUTED_VALUE"""),"Tammawirat")</f>
        <v>Tammawirat</v>
      </c>
      <c r="G980" t="str">
        <f>IFERROR(__xludf.DUMMYFUNCTION("""COMPUTED_VALUE"""),"Unyamanee Tammawirat")</f>
        <v>Unyamanee Tammawirat</v>
      </c>
      <c r="H980" t="str">
        <f>IFERROR(__xludf.DUMMYFUNCTION("""COMPUTED_VALUE"""),"นางสาว")</f>
        <v>นางสาว</v>
      </c>
      <c r="I980" t="str">
        <f>IFERROR(__xludf.DUMMYFUNCTION("""COMPUTED_VALUE"""),"อัญมณี")</f>
        <v>อัญมณี</v>
      </c>
      <c r="J980" t="str">
        <f>IFERROR(__xludf.DUMMYFUNCTION("""COMPUTED_VALUE"""),"ธรรมวิรัช")</f>
        <v>ธรรมวิรัช</v>
      </c>
      <c r="K980" t="str">
        <f>IFERROR(__xludf.DUMMYFUNCTION("""COMPUTED_VALUE"""),"อัญมณี ธรรมวิรัช")</f>
        <v>อัญมณี ธรรมวิรัช</v>
      </c>
      <c r="L980" t="str">
        <f>IFERROR(__xludf.DUMMYFUNCTION("""COMPUTED_VALUE"""),"ลูกเต๋า")</f>
        <v>ลูกเต๋า</v>
      </c>
      <c r="M980" t="str">
        <f>IFERROR(__xludf.DUMMYFUNCTION("""COMPUTED_VALUE"""),"Cabin Crew")</f>
        <v>Cabin Crew</v>
      </c>
      <c r="N980" t="str">
        <f>IFERROR(__xludf.DUMMYFUNCTION("""COMPUTED_VALUE"""),"DMK")</f>
        <v>DMK</v>
      </c>
      <c r="O980" s="145" t="str">
        <f>IFERROR(__xludf.DUMMYFUNCTION("""COMPUTED_VALUE"""),"Toffy Home")</f>
        <v>Toffy Home</v>
      </c>
      <c r="P980" t="str">
        <f>IFERROR(__xludf.DUMMYFUNCTION("""COMPUTED_VALUE"""),"Active")</f>
        <v>Active</v>
      </c>
      <c r="R980" s="155">
        <f>IFERROR(__xludf.DUMMYFUNCTION("""COMPUTED_VALUE"""),31751.0)</f>
        <v>31751</v>
      </c>
      <c r="S980" s="146">
        <f>IFERROR(__xludf.DUMMYFUNCTION("""COMPUTED_VALUE"""),9.69294966E8)</f>
        <v>969294966</v>
      </c>
      <c r="T980" s="147">
        <f>IFERROR(__xludf.DUMMYFUNCTION("""COMPUTED_VALUE"""),1.730100084411E12)</f>
        <v>1730100084411</v>
      </c>
      <c r="U980" t="str">
        <f>IFERROR(__xludf.DUMMYFUNCTION("""COMPUTED_VALUE"""),"AD1014689")</f>
        <v>AD1014689</v>
      </c>
      <c r="V980" s="148">
        <f>IFERROR(__xludf.DUMMYFUNCTION("""COMPUTED_VALUE"""),45046.0)</f>
        <v>45046</v>
      </c>
      <c r="W980" s="148">
        <f>IFERROR(__xludf.DUMMYFUNCTION("""COMPUTED_VALUE"""),48698.0)</f>
        <v>48698</v>
      </c>
      <c r="X980" s="149">
        <f>IFERROR(__xludf.DUMMYFUNCTION("""COMPUTED_VALUE"""),48516.0)</f>
        <v>48516</v>
      </c>
      <c r="Y980" t="str">
        <f>IFERROR(__xludf.DUMMYFUNCTION("""COMPUTED_VALUE"""),"ปลอดภัย")</f>
        <v>ปลอดภัย</v>
      </c>
      <c r="Z980" t="str">
        <f>IFERROR(__xludf.DUMMYFUNCTION("""COMPUTED_VALUE"""),"Nakhon Pathom Province")</f>
        <v>Nakhon Pathom Province</v>
      </c>
      <c r="AA980" t="str">
        <f>IFERROR(__xludf.DUMMYFUNCTION("""COMPUTED_VALUE"""),"Bangkok")</f>
        <v>Bangkok</v>
      </c>
      <c r="AB980">
        <f>IFERROR(__xludf.DUMMYFUNCTION("""COMPUTED_VALUE"""),9.48269563E8)</f>
        <v>948269563</v>
      </c>
      <c r="AC980" t="str">
        <f>IFERROR(__xludf.DUMMYFUNCTION("""COMPUTED_VALUE"""),"นาวสาวรุจิรา ธรรมวิรัช Mother")</f>
        <v>นาวสาวรุจิรา ธรรมวิรัช Mother</v>
      </c>
      <c r="AD980" t="str">
        <f>IFERROR(__xludf.DUMMYFUNCTION("""COMPUTED_VALUE"""),"unyamaneetammawirat@airasia.com")</f>
        <v>unyamaneetammawirat@airasia.com</v>
      </c>
    </row>
    <row r="981">
      <c r="A981" s="142">
        <f>IFERROR(__xludf.DUMMYFUNCTION("""COMPUTED_VALUE"""),100.0)</f>
        <v>100</v>
      </c>
      <c r="B981" t="str">
        <f>IFERROR(__xludf.DUMMYFUNCTION("""COMPUTED_VALUE"""),"Rejion from Inactive // Change new ID (1038813)")</f>
        <v>Rejion from Inactive // Change new ID (1038813)</v>
      </c>
      <c r="C981">
        <f>IFERROR(__xludf.DUMMYFUNCTION("""COMPUTED_VALUE"""),1004855.0)</f>
        <v>1004855</v>
      </c>
      <c r="D981" t="str">
        <f>IFERROR(__xludf.DUMMYFUNCTION("""COMPUTED_VALUE"""),"Mr.")</f>
        <v>Mr.</v>
      </c>
      <c r="E981" t="str">
        <f>IFERROR(__xludf.DUMMYFUNCTION("""COMPUTED_VALUE"""),"Phornchai")</f>
        <v>Phornchai</v>
      </c>
      <c r="F981" t="str">
        <f>IFERROR(__xludf.DUMMYFUNCTION("""COMPUTED_VALUE"""),"Thirawadee")</f>
        <v>Thirawadee</v>
      </c>
      <c r="G981" t="str">
        <f>IFERROR(__xludf.DUMMYFUNCTION("""COMPUTED_VALUE"""),"Phornchai Thirawadee")</f>
        <v>Phornchai Thirawadee</v>
      </c>
      <c r="H981" t="str">
        <f>IFERROR(__xludf.DUMMYFUNCTION("""COMPUTED_VALUE"""),"นาย")</f>
        <v>นาย</v>
      </c>
      <c r="I981" t="str">
        <f>IFERROR(__xludf.DUMMYFUNCTION("""COMPUTED_VALUE"""),"พรชัย")</f>
        <v>พรชัย</v>
      </c>
      <c r="J981" t="str">
        <f>IFERROR(__xludf.DUMMYFUNCTION("""COMPUTED_VALUE"""),"ถิรวดี")</f>
        <v>ถิรวดี</v>
      </c>
      <c r="K981" t="str">
        <f>IFERROR(__xludf.DUMMYFUNCTION("""COMPUTED_VALUE"""),"พรชัย ถิรวดี")</f>
        <v>พรชัย ถิรวดี</v>
      </c>
      <c r="L981" t="str">
        <f>IFERROR(__xludf.DUMMYFUNCTION("""COMPUTED_VALUE"""),"พีท")</f>
        <v>พีท</v>
      </c>
      <c r="M981" t="str">
        <f>IFERROR(__xludf.DUMMYFUNCTION("""COMPUTED_VALUE"""),"Cabin Crew")</f>
        <v>Cabin Crew</v>
      </c>
      <c r="N981" t="str">
        <f>IFERROR(__xludf.DUMMYFUNCTION("""COMPUTED_VALUE"""),"DMK")</f>
        <v>DMK</v>
      </c>
      <c r="O981" s="145" t="str">
        <f>IFERROR(__xludf.DUMMYFUNCTION("""COMPUTED_VALUE"""),"Kor Home")</f>
        <v>Kor Home</v>
      </c>
      <c r="P981" t="str">
        <f>IFERROR(__xludf.DUMMYFUNCTION("""COMPUTED_VALUE"""),"Active")</f>
        <v>Active</v>
      </c>
      <c r="Q981" t="str">
        <f>IFERROR(__xludf.DUMMYFUNCTION("""COMPUTED_VALUE"""),"Chinese Speaking")</f>
        <v>Chinese Speaking</v>
      </c>
      <c r="R981" s="155">
        <f>IFERROR(__xludf.DUMMYFUNCTION("""COMPUTED_VALUE"""),31631.0)</f>
        <v>31631</v>
      </c>
      <c r="S981" s="146" t="str">
        <f>IFERROR(__xludf.DUMMYFUNCTION("""COMPUTED_VALUE"""),"089-8892976")</f>
        <v>089-8892976</v>
      </c>
      <c r="T981" s="147">
        <f>IFERROR(__xludf.DUMMYFUNCTION("""COMPUTED_VALUE"""),1.471200091013E12)</f>
        <v>1471200091013</v>
      </c>
      <c r="U981" t="str">
        <f>IFERROR(__xludf.DUMMYFUNCTION("""COMPUTED_VALUE"""),"AC7920310")</f>
        <v>AC7920310</v>
      </c>
      <c r="V981" s="148">
        <f>IFERROR(__xludf.DUMMYFUNCTION("""COMPUTED_VALUE"""),45670.0)</f>
        <v>45670</v>
      </c>
      <c r="W981" s="148">
        <f>IFERROR(__xludf.DUMMYFUNCTION("""COMPUTED_VALUE"""),49321.0)</f>
        <v>49321</v>
      </c>
      <c r="X981" s="149">
        <f>IFERROR(__xludf.DUMMYFUNCTION("""COMPUTED_VALUE"""),49137.0)</f>
        <v>49137</v>
      </c>
      <c r="Y981" t="str">
        <f>IFERROR(__xludf.DUMMYFUNCTION("""COMPUTED_VALUE"""),"ปลอดภัย")</f>
        <v>ปลอดภัย</v>
      </c>
      <c r="Z981" t="str">
        <f>IFERROR(__xludf.DUMMYFUNCTION("""COMPUTED_VALUE"""),"Sakon Nakhon Province")</f>
        <v>Sakon Nakhon Province</v>
      </c>
      <c r="AA981" t="str">
        <f>IFERROR(__xludf.DUMMYFUNCTION("""COMPUTED_VALUE"""),"NONTABUTI")</f>
        <v>NONTABUTI</v>
      </c>
      <c r="AB981">
        <f>IFERROR(__xludf.DUMMYFUNCTION("""COMPUTED_VALUE"""),9.57416248E8)</f>
        <v>957416248</v>
      </c>
      <c r="AC981" t="str">
        <f>IFERROR(__xludf.DUMMYFUNCTION("""COMPUTED_VALUE"""),"นางสาว กันติชา วงศ์กระจ่าง Friend")</f>
        <v>นางสาว กันติชา วงศ์กระจ่าง Friend</v>
      </c>
      <c r="AD981" t="str">
        <f>IFERROR(__xludf.DUMMYFUNCTION("""COMPUTED_VALUE"""),"phornchaithirawadee@airasia.com")</f>
        <v>phornchaithirawadee@airasia.com</v>
      </c>
    </row>
    <row r="982">
      <c r="A982" s="142">
        <f>IFERROR(__xludf.DUMMYFUNCTION("""COMPUTED_VALUE"""),100.0)</f>
        <v>100</v>
      </c>
      <c r="B982" t="str">
        <f>IFERROR(__xludf.DUMMYFUNCTION("""COMPUTED_VALUE"""),"Rejion from Inactive // Change new ID (1038814)")</f>
        <v>Rejion from Inactive // Change new ID (1038814)</v>
      </c>
      <c r="C982">
        <f>IFERROR(__xludf.DUMMYFUNCTION("""COMPUTED_VALUE"""),1006858.0)</f>
        <v>1006858</v>
      </c>
      <c r="D982" t="str">
        <f>IFERROR(__xludf.DUMMYFUNCTION("""COMPUTED_VALUE"""),"Mr.")</f>
        <v>Mr.</v>
      </c>
      <c r="E982" t="str">
        <f>IFERROR(__xludf.DUMMYFUNCTION("""COMPUTED_VALUE"""),"Wachiraphong")</f>
        <v>Wachiraphong</v>
      </c>
      <c r="F982" t="str">
        <f>IFERROR(__xludf.DUMMYFUNCTION("""COMPUTED_VALUE"""),"Wangphisit")</f>
        <v>Wangphisit</v>
      </c>
      <c r="G982" t="str">
        <f>IFERROR(__xludf.DUMMYFUNCTION("""COMPUTED_VALUE"""),"Wachiraphong Wangphisit")</f>
        <v>Wachiraphong Wangphisit</v>
      </c>
      <c r="H982" t="str">
        <f>IFERROR(__xludf.DUMMYFUNCTION("""COMPUTED_VALUE"""),"นาย")</f>
        <v>นาย</v>
      </c>
      <c r="I982" t="str">
        <f>IFERROR(__xludf.DUMMYFUNCTION("""COMPUTED_VALUE"""),"วชิรพงค์")</f>
        <v>วชิรพงค์</v>
      </c>
      <c r="J982" t="str">
        <f>IFERROR(__xludf.DUMMYFUNCTION("""COMPUTED_VALUE"""),"หวังพิสิฐ")</f>
        <v>หวังพิสิฐ</v>
      </c>
      <c r="K982" t="str">
        <f>IFERROR(__xludf.DUMMYFUNCTION("""COMPUTED_VALUE"""),"วชิรพงค์ หวังพิสิฐ")</f>
        <v>วชิรพงค์ หวังพิสิฐ</v>
      </c>
      <c r="L982" t="str">
        <f>IFERROR(__xludf.DUMMYFUNCTION("""COMPUTED_VALUE"""),"Benz/เบนซ์")</f>
        <v>Benz/เบนซ์</v>
      </c>
      <c r="M982" t="str">
        <f>IFERROR(__xludf.DUMMYFUNCTION("""COMPUTED_VALUE"""),"Cabin Crew")</f>
        <v>Cabin Crew</v>
      </c>
      <c r="N982" t="str">
        <f>IFERROR(__xludf.DUMMYFUNCTION("""COMPUTED_VALUE"""),"DMK")</f>
        <v>DMK</v>
      </c>
      <c r="O982" s="145" t="str">
        <f>IFERROR(__xludf.DUMMYFUNCTION("""COMPUTED_VALUE"""),"Toffy Home")</f>
        <v>Toffy Home</v>
      </c>
      <c r="P982" t="str">
        <f>IFERROR(__xludf.DUMMYFUNCTION("""COMPUTED_VALUE"""),"Active")</f>
        <v>Active</v>
      </c>
      <c r="Q982" t="str">
        <f>IFERROR(__xludf.DUMMYFUNCTION("""COMPUTED_VALUE"""),"Chinese Speaking")</f>
        <v>Chinese Speaking</v>
      </c>
      <c r="R982" s="155">
        <f>IFERROR(__xludf.DUMMYFUNCTION("""COMPUTED_VALUE"""),32995.0)</f>
        <v>32995</v>
      </c>
      <c r="S982" s="146" t="str">
        <f>IFERROR(__xludf.DUMMYFUNCTION("""COMPUTED_VALUE"""),"062-442-5495")</f>
        <v>062-442-5495</v>
      </c>
      <c r="T982" s="147">
        <f>IFERROR(__xludf.DUMMYFUNCTION("""COMPUTED_VALUE"""),1.529900427975E12)</f>
        <v>1529900427975</v>
      </c>
      <c r="U982" t="str">
        <f>IFERROR(__xludf.DUMMYFUNCTION("""COMPUTED_VALUE"""),"AD1003737")</f>
        <v>AD1003737</v>
      </c>
      <c r="V982" s="148">
        <f>IFERROR(__xludf.DUMMYFUNCTION("""COMPUTED_VALUE"""),45049.0)</f>
        <v>45049</v>
      </c>
      <c r="W982" s="158">
        <f>IFERROR(__xludf.DUMMYFUNCTION("""COMPUTED_VALUE"""),48701.0)</f>
        <v>48701</v>
      </c>
      <c r="X982" s="149">
        <f>IFERROR(__xludf.DUMMYFUNCTION("""COMPUTED_VALUE"""),48520.0)</f>
        <v>48520</v>
      </c>
      <c r="Y982" t="str">
        <f>IFERROR(__xludf.DUMMYFUNCTION("""COMPUTED_VALUE"""),"ปลอดภัย")</f>
        <v>ปลอดภัย</v>
      </c>
      <c r="Z982" t="str">
        <f>IFERROR(__xludf.DUMMYFUNCTION("""COMPUTED_VALUE"""),"Lampang Province")</f>
        <v>Lampang Province</v>
      </c>
      <c r="AA982" t="str">
        <f>IFERROR(__xludf.DUMMYFUNCTION("""COMPUTED_VALUE"""),"Bangkok")</f>
        <v>Bangkok</v>
      </c>
      <c r="AB982" t="str">
        <f>IFERROR(__xludf.DUMMYFUNCTION("""COMPUTED_VALUE"""),"092-942-4916")</f>
        <v>092-942-4916</v>
      </c>
      <c r="AC982" t="str">
        <f>IFERROR(__xludf.DUMMYFUNCTION("""COMPUTED_VALUE"""),"นางสาวปาริชาต เกตุบุญล่อ Wife")</f>
        <v>นางสาวปาริชาต เกตุบุญล่อ Wife</v>
      </c>
      <c r="AD982" t="str">
        <f>IFERROR(__xludf.DUMMYFUNCTION("""COMPUTED_VALUE"""),"wachiraphongwangphi@airasia.com")</f>
        <v>wachiraphongwangphi@airasia.com</v>
      </c>
    </row>
    <row r="983">
      <c r="A983" s="142">
        <f>IFERROR(__xludf.DUMMYFUNCTION("""COMPUTED_VALUE"""),100.0)</f>
        <v>100</v>
      </c>
      <c r="B983" t="str">
        <f>IFERROR(__xludf.DUMMYFUNCTION("""COMPUTED_VALUE"""),"Rejion from Inactive // Change new ID (1038815)")</f>
        <v>Rejion from Inactive // Change new ID (1038815)</v>
      </c>
      <c r="C983">
        <f>IFERROR(__xludf.DUMMYFUNCTION("""COMPUTED_VALUE"""),1001738.0)</f>
        <v>1001738</v>
      </c>
      <c r="D983" t="str">
        <f>IFERROR(__xludf.DUMMYFUNCTION("""COMPUTED_VALUE"""),"Ms.")</f>
        <v>Ms.</v>
      </c>
      <c r="E983" t="str">
        <f>IFERROR(__xludf.DUMMYFUNCTION("""COMPUTED_VALUE"""),"Nannaphat")</f>
        <v>Nannaphat</v>
      </c>
      <c r="F983" t="str">
        <f>IFERROR(__xludf.DUMMYFUNCTION("""COMPUTED_VALUE"""),"Poolklai")</f>
        <v>Poolklai</v>
      </c>
      <c r="G983" t="str">
        <f>IFERROR(__xludf.DUMMYFUNCTION("""COMPUTED_VALUE"""),"Nannaphat Poolklai")</f>
        <v>Nannaphat Poolklai</v>
      </c>
      <c r="H983" t="str">
        <f>IFERROR(__xludf.DUMMYFUNCTION("""COMPUTED_VALUE"""),"นางสาว")</f>
        <v>นางสาว</v>
      </c>
      <c r="I983" t="str">
        <f>IFERROR(__xludf.DUMMYFUNCTION("""COMPUTED_VALUE"""),"นันท์นภัส")</f>
        <v>นันท์นภัส</v>
      </c>
      <c r="J983" t="str">
        <f>IFERROR(__xludf.DUMMYFUNCTION("""COMPUTED_VALUE"""),"พูลคล้าย")</f>
        <v>พูลคล้าย</v>
      </c>
      <c r="K983" t="str">
        <f>IFERROR(__xludf.DUMMYFUNCTION("""COMPUTED_VALUE"""),"นันท์นภัส พูลคล้าย")</f>
        <v>นันท์นภัส พูลคล้าย</v>
      </c>
      <c r="L983" t="str">
        <f>IFERROR(__xludf.DUMMYFUNCTION("""COMPUTED_VALUE"""),"Lookpla/ลูกปลา")</f>
        <v>Lookpla/ลูกปลา</v>
      </c>
      <c r="M983" t="str">
        <f>IFERROR(__xludf.DUMMYFUNCTION("""COMPUTED_VALUE"""),"Cabin Crew")</f>
        <v>Cabin Crew</v>
      </c>
      <c r="N983" t="str">
        <f>IFERROR(__xludf.DUMMYFUNCTION("""COMPUTED_VALUE"""),"DMK")</f>
        <v>DMK</v>
      </c>
      <c r="O983" s="145" t="str">
        <f>IFERROR(__xludf.DUMMYFUNCTION("""COMPUTED_VALUE"""),"Kor Home")</f>
        <v>Kor Home</v>
      </c>
      <c r="P983" t="str">
        <f>IFERROR(__xludf.DUMMYFUNCTION("""COMPUTED_VALUE"""),"Active")</f>
        <v>Active</v>
      </c>
      <c r="R983" s="155">
        <f>IFERROR(__xludf.DUMMYFUNCTION("""COMPUTED_VALUE"""),30508.0)</f>
        <v>30508</v>
      </c>
      <c r="S983" s="146" t="str">
        <f>IFERROR(__xludf.DUMMYFUNCTION("""COMPUTED_VALUE"""),"088-244-4392")</f>
        <v>088-244-4392</v>
      </c>
      <c r="T983" s="147">
        <f>IFERROR(__xludf.DUMMYFUNCTION("""COMPUTED_VALUE"""),3.660100673766E12)</f>
        <v>3660100673766</v>
      </c>
      <c r="U983" t="str">
        <f>IFERROR(__xludf.DUMMYFUNCTION("""COMPUTED_VALUE"""),"AD1006240")</f>
        <v>AD1006240</v>
      </c>
      <c r="V983" s="148">
        <f>IFERROR(__xludf.DUMMYFUNCTION("""COMPUTED_VALUE"""),45049.0)</f>
        <v>45049</v>
      </c>
      <c r="W983" s="148">
        <f>IFERROR(__xludf.DUMMYFUNCTION("""COMPUTED_VALUE"""),46875.0)</f>
        <v>46875</v>
      </c>
      <c r="X983" s="149">
        <f>IFERROR(__xludf.DUMMYFUNCTION("""COMPUTED_VALUE"""),46693.0)</f>
        <v>46693</v>
      </c>
      <c r="Y983" t="str">
        <f>IFERROR(__xludf.DUMMYFUNCTION("""COMPUTED_VALUE"""),"ปลอดภัย")</f>
        <v>ปลอดภัย</v>
      </c>
      <c r="Z983" t="str">
        <f>IFERROR(__xludf.DUMMYFUNCTION("""COMPUTED_VALUE"""),"Phichit Province")</f>
        <v>Phichit Province</v>
      </c>
      <c r="AA983" t="str">
        <f>IFERROR(__xludf.DUMMYFUNCTION("""COMPUTED_VALUE"""),"PATHUMTANI")</f>
        <v>PATHUMTANI</v>
      </c>
      <c r="AB983" t="str">
        <f>IFERROR(__xludf.DUMMYFUNCTION("""COMPUTED_VALUE"""),"094-553-1206")</f>
        <v>094-553-1206</v>
      </c>
      <c r="AC983" t="str">
        <f>IFERROR(__xludf.DUMMYFUNCTION("""COMPUTED_VALUE"""),"นายบุญเชิด พูลคล้าย Father")</f>
        <v>นายบุญเชิด พูลคล้าย Father</v>
      </c>
      <c r="AD983" t="str">
        <f>IFERROR(__xludf.DUMMYFUNCTION("""COMPUTED_VALUE"""),"nannaphatpoolklai@airasia.com")</f>
        <v>nannaphatpoolklai@airasia.com</v>
      </c>
    </row>
    <row r="984">
      <c r="A984" s="142">
        <f>IFERROR(__xludf.DUMMYFUNCTION("""COMPUTED_VALUE"""),100.0)</f>
        <v>100</v>
      </c>
      <c r="B984" t="str">
        <f>IFERROR(__xludf.DUMMYFUNCTION("""COMPUTED_VALUE"""),"Rejion from Inactive // Change new ID (1038816)")</f>
        <v>Rejion from Inactive // Change new ID (1038816)</v>
      </c>
      <c r="C984">
        <f>IFERROR(__xludf.DUMMYFUNCTION("""COMPUTED_VALUE"""),1004447.0)</f>
        <v>1004447</v>
      </c>
      <c r="D984" t="str">
        <f>IFERROR(__xludf.DUMMYFUNCTION("""COMPUTED_VALUE"""),"Ms.")</f>
        <v>Ms.</v>
      </c>
      <c r="E984" t="str">
        <f>IFERROR(__xludf.DUMMYFUNCTION("""COMPUTED_VALUE"""),"Phanwalux")</f>
        <v>Phanwalux</v>
      </c>
      <c r="F984" t="str">
        <f>IFERROR(__xludf.DUMMYFUNCTION("""COMPUTED_VALUE"""),"Sunthornwiphat")</f>
        <v>Sunthornwiphat</v>
      </c>
      <c r="G984" t="str">
        <f>IFERROR(__xludf.DUMMYFUNCTION("""COMPUTED_VALUE"""),"Phanwalux Sunthornwiphat")</f>
        <v>Phanwalux Sunthornwiphat</v>
      </c>
      <c r="H984" t="str">
        <f>IFERROR(__xludf.DUMMYFUNCTION("""COMPUTED_VALUE"""),"นางสาว")</f>
        <v>นางสาว</v>
      </c>
      <c r="I984" t="str">
        <f>IFERROR(__xludf.DUMMYFUNCTION("""COMPUTED_VALUE"""),"พรรณวลักษณ์")</f>
        <v>พรรณวลักษณ์</v>
      </c>
      <c r="J984" t="str">
        <f>IFERROR(__xludf.DUMMYFUNCTION("""COMPUTED_VALUE"""),"สุนทรวิภาต")</f>
        <v>สุนทรวิภาต</v>
      </c>
      <c r="K984" t="str">
        <f>IFERROR(__xludf.DUMMYFUNCTION("""COMPUTED_VALUE"""),"พรรณวลักษณ์ สุนทรวิภาต")</f>
        <v>พรรณวลักษณ์ สุนทรวิภาต</v>
      </c>
      <c r="L984" t="str">
        <f>IFERROR(__xludf.DUMMYFUNCTION("""COMPUTED_VALUE"""),"Yui/ยุ้ย")</f>
        <v>Yui/ยุ้ย</v>
      </c>
      <c r="M984" t="str">
        <f>IFERROR(__xludf.DUMMYFUNCTION("""COMPUTED_VALUE"""),"Cabin Crew")</f>
        <v>Cabin Crew</v>
      </c>
      <c r="N984" t="str">
        <f>IFERROR(__xludf.DUMMYFUNCTION("""COMPUTED_VALUE"""),"DMK")</f>
        <v>DMK</v>
      </c>
      <c r="O984" s="145" t="str">
        <f>IFERROR(__xludf.DUMMYFUNCTION("""COMPUTED_VALUE"""),"Nhui Home")</f>
        <v>Nhui Home</v>
      </c>
      <c r="P984" t="str">
        <f>IFERROR(__xludf.DUMMYFUNCTION("""COMPUTED_VALUE"""),"Active")</f>
        <v>Active</v>
      </c>
      <c r="R984" s="155">
        <f>IFERROR(__xludf.DUMMYFUNCTION("""COMPUTED_VALUE"""),30067.0)</f>
        <v>30067</v>
      </c>
      <c r="S984" s="146" t="str">
        <f>IFERROR(__xludf.DUMMYFUNCTION("""COMPUTED_VALUE"""),"062-645-6463")</f>
        <v>062-645-6463</v>
      </c>
      <c r="T984" s="147">
        <f>IFERROR(__xludf.DUMMYFUNCTION("""COMPUTED_VALUE"""),3.14130015248E12)</f>
        <v>3141300152480</v>
      </c>
      <c r="U984" t="str">
        <f>IFERROR(__xludf.DUMMYFUNCTION("""COMPUTED_VALUE"""),"AC4660764")</f>
        <v>AC4660764</v>
      </c>
      <c r="V984" s="148">
        <f>IFERROR(__xludf.DUMMYFUNCTION("""COMPUTED_VALUE"""),44999.0)</f>
        <v>44999</v>
      </c>
      <c r="W984" s="148">
        <f>IFERROR(__xludf.DUMMYFUNCTION("""COMPUTED_VALUE"""),48651.0)</f>
        <v>48651</v>
      </c>
      <c r="X984" s="149">
        <f>IFERROR(__xludf.DUMMYFUNCTION("""COMPUTED_VALUE"""),48470.0)</f>
        <v>48470</v>
      </c>
      <c r="Y984" t="str">
        <f>IFERROR(__xludf.DUMMYFUNCTION("""COMPUTED_VALUE"""),"ปลอดภัย")</f>
        <v>ปลอดภัย</v>
      </c>
      <c r="Z984" t="str">
        <f>IFERROR(__xludf.DUMMYFUNCTION("""COMPUTED_VALUE"""),"Phra Nakhon Si Ayutthaya Province")</f>
        <v>Phra Nakhon Si Ayutthaya Province</v>
      </c>
      <c r="AA984" t="str">
        <f>IFERROR(__xludf.DUMMYFUNCTION("""COMPUTED_VALUE"""),"NONTABUTI")</f>
        <v>NONTABUTI</v>
      </c>
      <c r="AB984" t="str">
        <f>IFERROR(__xludf.DUMMYFUNCTION("""COMPUTED_VALUE"""),"085-164-6624")</f>
        <v>085-164-6624</v>
      </c>
      <c r="AC984" t="str">
        <f>IFERROR(__xludf.DUMMYFUNCTION("""COMPUTED_VALUE"""),"นางพิมลวรรณ ดาวศรประศาสน์ Mother")</f>
        <v>นางพิมลวรรณ ดาวศรประศาสน์ Mother</v>
      </c>
      <c r="AD984" t="str">
        <f>IFERROR(__xludf.DUMMYFUNCTION("""COMPUTED_VALUE"""),"phanwaluxsunthornwi@airasia.com")</f>
        <v>phanwaluxsunthornwi@airasia.com</v>
      </c>
    </row>
    <row r="985">
      <c r="A985" s="142">
        <f>IFERROR(__xludf.DUMMYFUNCTION("""COMPUTED_VALUE"""),100.0)</f>
        <v>100</v>
      </c>
      <c r="C985">
        <f>IFERROR(__xludf.DUMMYFUNCTION("""COMPUTED_VALUE"""),1005035.0)</f>
        <v>1005035</v>
      </c>
      <c r="D985" t="str">
        <f>IFERROR(__xludf.DUMMYFUNCTION("""COMPUTED_VALUE"""),"Ms.")</f>
        <v>Ms.</v>
      </c>
      <c r="E985" t="str">
        <f>IFERROR(__xludf.DUMMYFUNCTION("""COMPUTED_VALUE"""),"Alisa")</f>
        <v>Alisa</v>
      </c>
      <c r="F985" t="str">
        <f>IFERROR(__xludf.DUMMYFUNCTION("""COMPUTED_VALUE"""),"Watthanachinda")</f>
        <v>Watthanachinda</v>
      </c>
      <c r="G985" t="str">
        <f>IFERROR(__xludf.DUMMYFUNCTION("""COMPUTED_VALUE"""),"Alisa Watthanachinda")</f>
        <v>Alisa Watthanachinda</v>
      </c>
      <c r="H985" t="str">
        <f>IFERROR(__xludf.DUMMYFUNCTION("""COMPUTED_VALUE"""),"นางสาว")</f>
        <v>นางสาว</v>
      </c>
      <c r="I985" t="str">
        <f>IFERROR(__xludf.DUMMYFUNCTION("""COMPUTED_VALUE"""),"อลิษา")</f>
        <v>อลิษา</v>
      </c>
      <c r="J985" t="str">
        <f>IFERROR(__xludf.DUMMYFUNCTION("""COMPUTED_VALUE"""),"วัฒนจินดา")</f>
        <v>วัฒนจินดา</v>
      </c>
      <c r="K985" t="str">
        <f>IFERROR(__xludf.DUMMYFUNCTION("""COMPUTED_VALUE"""),"อลิษา วัฒนจินดา")</f>
        <v>อลิษา วัฒนจินดา</v>
      </c>
      <c r="L985" t="str">
        <f>IFERROR(__xludf.DUMMYFUNCTION("""COMPUTED_VALUE"""),"พลอย")</f>
        <v>พลอย</v>
      </c>
      <c r="M985" t="str">
        <f>IFERROR(__xludf.DUMMYFUNCTION("""COMPUTED_VALUE"""),"Cabin Crew")</f>
        <v>Cabin Crew</v>
      </c>
      <c r="N985" t="str">
        <f>IFERROR(__xludf.DUMMYFUNCTION("""COMPUTED_VALUE"""),"DMK")</f>
        <v>DMK</v>
      </c>
      <c r="O985" s="145" t="str">
        <f>IFERROR(__xludf.DUMMYFUNCTION("""COMPUTED_VALUE"""),"Kor Home")</f>
        <v>Kor Home</v>
      </c>
      <c r="P985" t="str">
        <f>IFERROR(__xludf.DUMMYFUNCTION("""COMPUTED_VALUE"""),"Active")</f>
        <v>Active</v>
      </c>
      <c r="R985" s="155">
        <f>IFERROR(__xludf.DUMMYFUNCTION("""COMPUTED_VALUE"""),32353.0)</f>
        <v>32353</v>
      </c>
      <c r="S985" s="146" t="str">
        <f>IFERROR(__xludf.DUMMYFUNCTION("""COMPUTED_VALUE"""),"081-2987522")</f>
        <v>081-2987522</v>
      </c>
      <c r="T985" s="147">
        <f>IFERROR(__xludf.DUMMYFUNCTION("""COMPUTED_VALUE"""),1.100200401669E12)</f>
        <v>1100200401669</v>
      </c>
      <c r="U985" t="str">
        <f>IFERROR(__xludf.DUMMYFUNCTION("""COMPUTED_VALUE"""),"AC7499044")</f>
        <v>AC7499044</v>
      </c>
      <c r="V985" s="148">
        <f>IFERROR(__xludf.DUMMYFUNCTION("""COMPUTED_VALUE"""),45544.0)</f>
        <v>45544</v>
      </c>
      <c r="W985" s="148">
        <f>IFERROR(__xludf.DUMMYFUNCTION("""COMPUTED_VALUE"""),49195.0)</f>
        <v>49195</v>
      </c>
      <c r="X985" s="149">
        <f>IFERROR(__xludf.DUMMYFUNCTION("""COMPUTED_VALUE"""),49011.0)</f>
        <v>49011</v>
      </c>
      <c r="Y985" t="str">
        <f>IFERROR(__xludf.DUMMYFUNCTION("""COMPUTED_VALUE"""),"ปลอดภัย")</f>
        <v>ปลอดภัย</v>
      </c>
      <c r="Z985" t="str">
        <f>IFERROR(__xludf.DUMMYFUNCTION("""COMPUTED_VALUE"""),"Bangkok")</f>
        <v>Bangkok</v>
      </c>
      <c r="AA985" t="str">
        <f>IFERROR(__xludf.DUMMYFUNCTION("""COMPUTED_VALUE"""),"NONTABUTI")</f>
        <v>NONTABUTI</v>
      </c>
      <c r="AB985" t="str">
        <f>IFERROR(__xludf.DUMMYFUNCTION("""COMPUTED_VALUE"""),"062-994-9429")</f>
        <v>062-994-9429</v>
      </c>
      <c r="AC985" t="str">
        <f>IFERROR(__xludf.DUMMYFUNCTION("""COMPUTED_VALUE"""),"นายอนุตพงศ์ แสงโชติ Husband")</f>
        <v>นายอนุตพงศ์ แสงโชติ Husband</v>
      </c>
      <c r="AD985" t="str">
        <f>IFERROR(__xludf.DUMMYFUNCTION("""COMPUTED_VALUE"""),"alisaw@airasia.com")</f>
        <v>alisaw@airasia.com</v>
      </c>
    </row>
    <row r="986">
      <c r="A986" s="142">
        <f>IFERROR(__xludf.DUMMYFUNCTION("""COMPUTED_VALUE"""),100.0)</f>
        <v>100</v>
      </c>
      <c r="C986">
        <f>IFERROR(__xludf.DUMMYFUNCTION("""COMPUTED_VALUE"""),1024693.0)</f>
        <v>1024693</v>
      </c>
      <c r="D986" t="str">
        <f>IFERROR(__xludf.DUMMYFUNCTION("""COMPUTED_VALUE"""),"Ms.")</f>
        <v>Ms.</v>
      </c>
      <c r="E986" t="str">
        <f>IFERROR(__xludf.DUMMYFUNCTION("""COMPUTED_VALUE"""),"Chanakarn")</f>
        <v>Chanakarn</v>
      </c>
      <c r="F986" t="str">
        <f>IFERROR(__xludf.DUMMYFUNCTION("""COMPUTED_VALUE"""),"Ritwanit")</f>
        <v>Ritwanit</v>
      </c>
      <c r="G986" t="str">
        <f>IFERROR(__xludf.DUMMYFUNCTION("""COMPUTED_VALUE"""),"Chanakarn Ritwanit")</f>
        <v>Chanakarn Ritwanit</v>
      </c>
      <c r="H986" t="str">
        <f>IFERROR(__xludf.DUMMYFUNCTION("""COMPUTED_VALUE"""),"นางสาว")</f>
        <v>นางสาว</v>
      </c>
      <c r="I986" t="str">
        <f>IFERROR(__xludf.DUMMYFUNCTION("""COMPUTED_VALUE"""),"ชนากานต์")</f>
        <v>ชนากานต์</v>
      </c>
      <c r="J986" t="str">
        <f>IFERROR(__xludf.DUMMYFUNCTION("""COMPUTED_VALUE"""),"ฤทธิ์วาณิช")</f>
        <v>ฤทธิ์วาณิช</v>
      </c>
      <c r="K986" t="str">
        <f>IFERROR(__xludf.DUMMYFUNCTION("""COMPUTED_VALUE"""),"ชนากานต์ ฤทธิ์วาณิช")</f>
        <v>ชนากานต์ ฤทธิ์วาณิช</v>
      </c>
      <c r="L986" t="str">
        <f>IFERROR(__xludf.DUMMYFUNCTION("""COMPUTED_VALUE"""),"ฝ้าย")</f>
        <v>ฝ้าย</v>
      </c>
      <c r="M986" t="str">
        <f>IFERROR(__xludf.DUMMYFUNCTION("""COMPUTED_VALUE"""),"Cabin Crew")</f>
        <v>Cabin Crew</v>
      </c>
      <c r="N986" t="str">
        <f>IFERROR(__xludf.DUMMYFUNCTION("""COMPUTED_VALUE"""),"DMK")</f>
        <v>DMK</v>
      </c>
      <c r="O986" s="145" t="str">
        <f>IFERROR(__xludf.DUMMYFUNCTION("""COMPUTED_VALUE"""),"Kor Home")</f>
        <v>Kor Home</v>
      </c>
      <c r="P986" t="str">
        <f>IFERROR(__xludf.DUMMYFUNCTION("""COMPUTED_VALUE"""),"Active")</f>
        <v>Active</v>
      </c>
      <c r="R986" s="155">
        <f>IFERROR(__xludf.DUMMYFUNCTION("""COMPUTED_VALUE"""),33438.0)</f>
        <v>33438</v>
      </c>
      <c r="S986" s="146">
        <f>IFERROR(__xludf.DUMMYFUNCTION("""COMPUTED_VALUE"""),9.49499665E8)</f>
        <v>949499665</v>
      </c>
      <c r="T986" s="147">
        <f>IFERROR(__xludf.DUMMYFUNCTION("""COMPUTED_VALUE"""),1.539900323142E12)</f>
        <v>1539900323142</v>
      </c>
      <c r="U986" t="str">
        <f>IFERROR(__xludf.DUMMYFUNCTION("""COMPUTED_VALUE"""),"AD1900989")</f>
        <v>AD1900989</v>
      </c>
      <c r="V986" s="148">
        <f>IFERROR(__xludf.DUMMYFUNCTION("""COMPUTED_VALUE"""),45488.0)</f>
        <v>45488</v>
      </c>
      <c r="W986" s="148">
        <f>IFERROR(__xludf.DUMMYFUNCTION("""COMPUTED_VALUE"""),49139.0)</f>
        <v>49139</v>
      </c>
      <c r="X986" s="149">
        <f>IFERROR(__xludf.DUMMYFUNCTION("""COMPUTED_VALUE"""),48958.0)</f>
        <v>48958</v>
      </c>
      <c r="Y986" t="str">
        <f>IFERROR(__xludf.DUMMYFUNCTION("""COMPUTED_VALUE"""),"ปลอดภัย")</f>
        <v>ปลอดภัย</v>
      </c>
      <c r="Z986" t="str">
        <f>IFERROR(__xludf.DUMMYFUNCTION("""COMPUTED_VALUE"""),"Uttaradit Province")</f>
        <v>Uttaradit Province</v>
      </c>
      <c r="AA986" t="str">
        <f>IFERROR(__xludf.DUMMYFUNCTION("""COMPUTED_VALUE"""),"Bangkok")</f>
        <v>Bangkok</v>
      </c>
      <c r="AB986" t="str">
        <f>IFERROR(__xludf.DUMMYFUNCTION("""COMPUTED_VALUE"""),"0865054509")</f>
        <v>0865054509</v>
      </c>
      <c r="AC986" t="str">
        <f>IFERROR(__xludf.DUMMYFUNCTION("""COMPUTED_VALUE"""),"นายอิฑยา สังขรัตน์ Friend")</f>
        <v>นายอิฑยา สังขรัตน์ Friend</v>
      </c>
      <c r="AD986" t="str">
        <f>IFERROR(__xludf.DUMMYFUNCTION("""COMPUTED_VALUE"""),"chanakarnritwanit@airasia.com")</f>
        <v>chanakarnritwanit@airasia.com</v>
      </c>
    </row>
    <row r="987">
      <c r="A987" s="142">
        <f>IFERROR(__xludf.DUMMYFUNCTION("""COMPUTED_VALUE"""),100.0)</f>
        <v>100</v>
      </c>
      <c r="C987">
        <f>IFERROR(__xludf.DUMMYFUNCTION("""COMPUTED_VALUE"""),1025570.0)</f>
        <v>1025570</v>
      </c>
      <c r="D987" t="str">
        <f>IFERROR(__xludf.DUMMYFUNCTION("""COMPUTED_VALUE"""),"Ms.")</f>
        <v>Ms.</v>
      </c>
      <c r="E987" t="str">
        <f>IFERROR(__xludf.DUMMYFUNCTION("""COMPUTED_VALUE"""),"Chutima")</f>
        <v>Chutima</v>
      </c>
      <c r="F987" t="str">
        <f>IFERROR(__xludf.DUMMYFUNCTION("""COMPUTED_VALUE"""),"Pornitchayanon")</f>
        <v>Pornitchayanon</v>
      </c>
      <c r="G987" t="str">
        <f>IFERROR(__xludf.DUMMYFUNCTION("""COMPUTED_VALUE"""),"Chutima Pornitchayanon")</f>
        <v>Chutima Pornitchayanon</v>
      </c>
      <c r="H987" t="str">
        <f>IFERROR(__xludf.DUMMYFUNCTION("""COMPUTED_VALUE"""),"นางสาว")</f>
        <v>นางสาว</v>
      </c>
      <c r="I987" t="str">
        <f>IFERROR(__xludf.DUMMYFUNCTION("""COMPUTED_VALUE"""),"ชุติมา")</f>
        <v>ชุติมา</v>
      </c>
      <c r="J987" t="str">
        <f>IFERROR(__xludf.DUMMYFUNCTION("""COMPUTED_VALUE"""),"พรอิชยานนท์")</f>
        <v>พรอิชยานนท์</v>
      </c>
      <c r="K987" t="str">
        <f>IFERROR(__xludf.DUMMYFUNCTION("""COMPUTED_VALUE"""),"ชุติมา พรอิชยานนท์")</f>
        <v>ชุติมา พรอิชยานนท์</v>
      </c>
      <c r="L987" t="str">
        <f>IFERROR(__xludf.DUMMYFUNCTION("""COMPUTED_VALUE"""),"Gyb / กิ๊บ")</f>
        <v>Gyb / กิ๊บ</v>
      </c>
      <c r="M987" t="str">
        <f>IFERROR(__xludf.DUMMYFUNCTION("""COMPUTED_VALUE"""),"Cabin Crew")</f>
        <v>Cabin Crew</v>
      </c>
      <c r="N987" t="str">
        <f>IFERROR(__xludf.DUMMYFUNCTION("""COMPUTED_VALUE"""),"DMK")</f>
        <v>DMK</v>
      </c>
      <c r="O987" s="145" t="str">
        <f>IFERROR(__xludf.DUMMYFUNCTION("""COMPUTED_VALUE"""),"Um Home")</f>
        <v>Um Home</v>
      </c>
      <c r="P987" t="str">
        <f>IFERROR(__xludf.DUMMYFUNCTION("""COMPUTED_VALUE"""),"Active")</f>
        <v>Active</v>
      </c>
      <c r="R987" s="155">
        <f>IFERROR(__xludf.DUMMYFUNCTION("""COMPUTED_VALUE"""),34348.0)</f>
        <v>34348</v>
      </c>
      <c r="S987" s="146">
        <f>IFERROR(__xludf.DUMMYFUNCTION("""COMPUTED_VALUE"""),9.26626594E8)</f>
        <v>926626594</v>
      </c>
      <c r="T987" s="147">
        <f>IFERROR(__xludf.DUMMYFUNCTION("""COMPUTED_VALUE"""),1.76990033441E12)</f>
        <v>1769900334410</v>
      </c>
      <c r="U987" t="str">
        <f>IFERROR(__xludf.DUMMYFUNCTION("""COMPUTED_VALUE"""),"AD1026972")</f>
        <v>AD1026972</v>
      </c>
      <c r="V987" s="148">
        <f>IFERROR(__xludf.DUMMYFUNCTION("""COMPUTED_VALUE"""),45047.0)</f>
        <v>45047</v>
      </c>
      <c r="W987" s="148">
        <f>IFERROR(__xludf.DUMMYFUNCTION("""COMPUTED_VALUE"""),48699.0)</f>
        <v>48699</v>
      </c>
      <c r="X987" s="149">
        <f>IFERROR(__xludf.DUMMYFUNCTION("""COMPUTED_VALUE"""),48517.0)</f>
        <v>48517</v>
      </c>
      <c r="Y987" t="str">
        <f>IFERROR(__xludf.DUMMYFUNCTION("""COMPUTED_VALUE"""),"ปลอดภัย")</f>
        <v>ปลอดภัย</v>
      </c>
      <c r="Z987" t="str">
        <f>IFERROR(__xludf.DUMMYFUNCTION("""COMPUTED_VALUE"""),"Phetchaburi Province")</f>
        <v>Phetchaburi Province</v>
      </c>
      <c r="AA987" t="str">
        <f>IFERROR(__xludf.DUMMYFUNCTION("""COMPUTED_VALUE"""),"PATHUMTANI")</f>
        <v>PATHUMTANI</v>
      </c>
      <c r="AB987" t="str">
        <f>IFERROR(__xludf.DUMMYFUNCTION("""COMPUTED_VALUE"""),"0926626594")</f>
        <v>0926626594</v>
      </c>
      <c r="AC987" t="str">
        <f>IFERROR(__xludf.DUMMYFUNCTION("""COMPUTED_VALUE"""),"นายสิทธิพันธ์ พรอิชยานนท์ Husband")</f>
        <v>นายสิทธิพันธ์ พรอิชยานนท์ Husband</v>
      </c>
      <c r="AD987" t="str">
        <f>IFERROR(__xludf.DUMMYFUNCTION("""COMPUTED_VALUE"""),"chutimapornitchayano@airasia.com")</f>
        <v>chutimapornitchayano@airasia.com</v>
      </c>
    </row>
    <row r="988">
      <c r="A988" s="142">
        <f>IFERROR(__xludf.DUMMYFUNCTION("""COMPUTED_VALUE"""),100.0)</f>
        <v>100</v>
      </c>
      <c r="C988">
        <f>IFERROR(__xludf.DUMMYFUNCTION("""COMPUTED_VALUE"""),1025547.0)</f>
        <v>1025547</v>
      </c>
      <c r="D988" t="str">
        <f>IFERROR(__xludf.DUMMYFUNCTION("""COMPUTED_VALUE"""),"Ms.")</f>
        <v>Ms.</v>
      </c>
      <c r="E988" t="str">
        <f>IFERROR(__xludf.DUMMYFUNCTION("""COMPUTED_VALUE"""),"Jarumon")</f>
        <v>Jarumon</v>
      </c>
      <c r="F988" t="str">
        <f>IFERROR(__xludf.DUMMYFUNCTION("""COMPUTED_VALUE"""),"Iamkanthong")</f>
        <v>Iamkanthong</v>
      </c>
      <c r="G988" t="str">
        <f>IFERROR(__xludf.DUMMYFUNCTION("""COMPUTED_VALUE"""),"Jarumon Iamkanthong")</f>
        <v>Jarumon Iamkanthong</v>
      </c>
      <c r="H988" t="str">
        <f>IFERROR(__xludf.DUMMYFUNCTION("""COMPUTED_VALUE"""),"นางสาว")</f>
        <v>นางสาว</v>
      </c>
      <c r="I988" t="str">
        <f>IFERROR(__xludf.DUMMYFUNCTION("""COMPUTED_VALUE"""),"จารุมน")</f>
        <v>จารุมน</v>
      </c>
      <c r="J988" t="str">
        <f>IFERROR(__xludf.DUMMYFUNCTION("""COMPUTED_VALUE"""),"เอี่ยมขันทอง")</f>
        <v>เอี่ยมขันทอง</v>
      </c>
      <c r="K988" t="str">
        <f>IFERROR(__xludf.DUMMYFUNCTION("""COMPUTED_VALUE"""),"จารุมน เอี่ยมขันทอง")</f>
        <v>จารุมน เอี่ยมขันทอง</v>
      </c>
      <c r="L988" t="str">
        <f>IFERROR(__xludf.DUMMYFUNCTION("""COMPUTED_VALUE"""),"Jah/จ๋า")</f>
        <v>Jah/จ๋า</v>
      </c>
      <c r="M988" t="str">
        <f>IFERROR(__xludf.DUMMYFUNCTION("""COMPUTED_VALUE"""),"Cabin Crew")</f>
        <v>Cabin Crew</v>
      </c>
      <c r="N988" t="str">
        <f>IFERROR(__xludf.DUMMYFUNCTION("""COMPUTED_VALUE"""),"DMK")</f>
        <v>DMK</v>
      </c>
      <c r="O988" s="145" t="str">
        <f>IFERROR(__xludf.DUMMYFUNCTION("""COMPUTED_VALUE"""),"Kor Home")</f>
        <v>Kor Home</v>
      </c>
      <c r="P988" t="str">
        <f>IFERROR(__xludf.DUMMYFUNCTION("""COMPUTED_VALUE"""),"Active")</f>
        <v>Active</v>
      </c>
      <c r="R988" s="155">
        <f>IFERROR(__xludf.DUMMYFUNCTION("""COMPUTED_VALUE"""),32963.0)</f>
        <v>32963</v>
      </c>
      <c r="S988" s="146">
        <f>IFERROR(__xludf.DUMMYFUNCTION("""COMPUTED_VALUE"""),9.94165536E8)</f>
        <v>994165536</v>
      </c>
      <c r="T988" s="147">
        <f>IFERROR(__xludf.DUMMYFUNCTION("""COMPUTED_VALUE"""),1.103700097392E12)</f>
        <v>1103700097392</v>
      </c>
      <c r="U988" t="str">
        <f>IFERROR(__xludf.DUMMYFUNCTION("""COMPUTED_VALUE"""),"AC3997308")</f>
        <v>AC3997308</v>
      </c>
      <c r="V988" s="148">
        <f>IFERROR(__xludf.DUMMYFUNCTION("""COMPUTED_VALUE"""),44812.0)</f>
        <v>44812</v>
      </c>
      <c r="W988" s="148">
        <f>IFERROR(__xludf.DUMMYFUNCTION("""COMPUTED_VALUE"""),48464.0)</f>
        <v>48464</v>
      </c>
      <c r="X988" s="149">
        <f>IFERROR(__xludf.DUMMYFUNCTION("""COMPUTED_VALUE"""),48280.0)</f>
        <v>48280</v>
      </c>
      <c r="Y988" t="str">
        <f>IFERROR(__xludf.DUMMYFUNCTION("""COMPUTED_VALUE"""),"ปลอดภัย")</f>
        <v>ปลอดภัย</v>
      </c>
      <c r="Z988" t="str">
        <f>IFERROR(__xludf.DUMMYFUNCTION("""COMPUTED_VALUE"""),"Bangkok")</f>
        <v>Bangkok</v>
      </c>
      <c r="AA988" t="str">
        <f>IFERROR(__xludf.DUMMYFUNCTION("""COMPUTED_VALUE"""),"Bangkok")</f>
        <v>Bangkok</v>
      </c>
      <c r="AB988" t="str">
        <f>IFERROR(__xludf.DUMMYFUNCTION("""COMPUTED_VALUE"""),"0994165536")</f>
        <v>0994165536</v>
      </c>
      <c r="AC988" t="str">
        <f>IFERROR(__xludf.DUMMYFUNCTION("""COMPUTED_VALUE"""),"นายกิตติธัช แดงอุดม Friend")</f>
        <v>นายกิตติธัช แดงอุดม Friend</v>
      </c>
      <c r="AD988" t="str">
        <f>IFERROR(__xludf.DUMMYFUNCTION("""COMPUTED_VALUE"""),"jarumoniamkanthong@airasia.com")</f>
        <v>jarumoniamkanthong@airasia.com</v>
      </c>
    </row>
    <row r="989">
      <c r="A989" s="142">
        <f>IFERROR(__xludf.DUMMYFUNCTION("""COMPUTED_VALUE"""),100.0)</f>
        <v>100</v>
      </c>
      <c r="C989">
        <f>IFERROR(__xludf.DUMMYFUNCTION("""COMPUTED_VALUE"""),1025202.0)</f>
        <v>1025202</v>
      </c>
      <c r="D989" t="str">
        <f>IFERROR(__xludf.DUMMYFUNCTION("""COMPUTED_VALUE"""),"Ms.")</f>
        <v>Ms.</v>
      </c>
      <c r="E989" t="str">
        <f>IFERROR(__xludf.DUMMYFUNCTION("""COMPUTED_VALUE"""),"Kamonnut")</f>
        <v>Kamonnut</v>
      </c>
      <c r="F989" t="str">
        <f>IFERROR(__xludf.DUMMYFUNCTION("""COMPUTED_VALUE"""),"Kucharoenphisan")</f>
        <v>Kucharoenphisan</v>
      </c>
      <c r="G989" t="str">
        <f>IFERROR(__xludf.DUMMYFUNCTION("""COMPUTED_VALUE"""),"Kamonnut Kucharoenphisan")</f>
        <v>Kamonnut Kucharoenphisan</v>
      </c>
      <c r="H989" t="str">
        <f>IFERROR(__xludf.DUMMYFUNCTION("""COMPUTED_VALUE"""),"นางสาว")</f>
        <v>นางสาว</v>
      </c>
      <c r="I989" t="str">
        <f>IFERROR(__xludf.DUMMYFUNCTION("""COMPUTED_VALUE"""),"กมลนัทธ์")</f>
        <v>กมลนัทธ์</v>
      </c>
      <c r="J989" t="str">
        <f>IFERROR(__xludf.DUMMYFUNCTION("""COMPUTED_VALUE"""),"คูเจริญไพศาล")</f>
        <v>คูเจริญไพศาล</v>
      </c>
      <c r="K989" t="str">
        <f>IFERROR(__xludf.DUMMYFUNCTION("""COMPUTED_VALUE"""),"กมลนัทธ์ คูเจริญไพศาล")</f>
        <v>กมลนัทธ์ คูเจริญไพศาล</v>
      </c>
      <c r="L989" t="str">
        <f>IFERROR(__xludf.DUMMYFUNCTION("""COMPUTED_VALUE"""),"Nut")</f>
        <v>Nut</v>
      </c>
      <c r="M989" t="str">
        <f>IFERROR(__xludf.DUMMYFUNCTION("""COMPUTED_VALUE"""),"Cabin Crew")</f>
        <v>Cabin Crew</v>
      </c>
      <c r="N989" t="str">
        <f>IFERROR(__xludf.DUMMYFUNCTION("""COMPUTED_VALUE"""),"DMK")</f>
        <v>DMK</v>
      </c>
      <c r="O989" s="145" t="str">
        <f>IFERROR(__xludf.DUMMYFUNCTION("""COMPUTED_VALUE"""),"Namfon Home")</f>
        <v>Namfon Home</v>
      </c>
      <c r="P989" t="str">
        <f>IFERROR(__xludf.DUMMYFUNCTION("""COMPUTED_VALUE"""),"Active")</f>
        <v>Active</v>
      </c>
      <c r="R989" s="155">
        <f>IFERROR(__xludf.DUMMYFUNCTION("""COMPUTED_VALUE"""),34827.0)</f>
        <v>34827</v>
      </c>
      <c r="S989" s="146" t="str">
        <f>IFERROR(__xludf.DUMMYFUNCTION("""COMPUTED_VALUE"""),"089-4099762")</f>
        <v>089-4099762</v>
      </c>
      <c r="T989" s="147">
        <f>IFERROR(__xludf.DUMMYFUNCTION("""COMPUTED_VALUE"""),1.749900437588E12)</f>
        <v>1749900437588</v>
      </c>
      <c r="U989" t="str">
        <f>IFERROR(__xludf.DUMMYFUNCTION("""COMPUTED_VALUE"""),"AC8036331")</f>
        <v>AC8036331</v>
      </c>
      <c r="V989" s="148">
        <f>IFERROR(__xludf.DUMMYFUNCTION("""COMPUTED_VALUE"""),45706.0)</f>
        <v>45706</v>
      </c>
      <c r="W989" s="148">
        <f>IFERROR(__xludf.DUMMYFUNCTION("""COMPUTED_VALUE"""),49357.0)</f>
        <v>49357</v>
      </c>
      <c r="X989" s="149">
        <f>IFERROR(__xludf.DUMMYFUNCTION("""COMPUTED_VALUE"""),49173.0)</f>
        <v>49173</v>
      </c>
      <c r="Y989" t="str">
        <f>IFERROR(__xludf.DUMMYFUNCTION("""COMPUTED_VALUE"""),"ปลอดภัย")</f>
        <v>ปลอดภัย</v>
      </c>
      <c r="Z989" t="str">
        <f>IFERROR(__xludf.DUMMYFUNCTION("""COMPUTED_VALUE"""),"Samut Sakhon Province")</f>
        <v>Samut Sakhon Province</v>
      </c>
      <c r="AA989" t="str">
        <f>IFERROR(__xludf.DUMMYFUNCTION("""COMPUTED_VALUE"""),"Bangkok")</f>
        <v>Bangkok</v>
      </c>
      <c r="AB989" t="str">
        <f>IFERROR(__xludf.DUMMYFUNCTION("""COMPUTED_VALUE"""),"0847744678")</f>
        <v>0847744678</v>
      </c>
      <c r="AC989" t="str">
        <f>IFERROR(__xludf.DUMMYFUNCTION("""COMPUTED_VALUE"""),"นายภูริช วัฒนพานิชกิจ Friend")</f>
        <v>นายภูริช วัฒนพานิชกิจ Friend</v>
      </c>
      <c r="AD989" t="str">
        <f>IFERROR(__xludf.DUMMYFUNCTION("""COMPUTED_VALUE"""),"kamonnutkucharoenph@airasia.com")</f>
        <v>kamonnutkucharoenph@airasia.com</v>
      </c>
    </row>
    <row r="990">
      <c r="A990" s="142">
        <f>IFERROR(__xludf.DUMMYFUNCTION("""COMPUTED_VALUE"""),100.0)</f>
        <v>100</v>
      </c>
      <c r="C990">
        <f>IFERROR(__xludf.DUMMYFUNCTION("""COMPUTED_VALUE"""),1025550.0)</f>
        <v>1025550</v>
      </c>
      <c r="D990" t="str">
        <f>IFERROR(__xludf.DUMMYFUNCTION("""COMPUTED_VALUE"""),"Mr.")</f>
        <v>Mr.</v>
      </c>
      <c r="E990" t="str">
        <f>IFERROR(__xludf.DUMMYFUNCTION("""COMPUTED_VALUE"""),"Kathabhon")</f>
        <v>Kathabhon</v>
      </c>
      <c r="F990" t="str">
        <f>IFERROR(__xludf.DUMMYFUNCTION("""COMPUTED_VALUE"""),"Thanalerdsobhon")</f>
        <v>Thanalerdsobhon</v>
      </c>
      <c r="G990" t="str">
        <f>IFERROR(__xludf.DUMMYFUNCTION("""COMPUTED_VALUE"""),"Kathabhon Thanalerdsobhon")</f>
        <v>Kathabhon Thanalerdsobhon</v>
      </c>
      <c r="H990" t="str">
        <f>IFERROR(__xludf.DUMMYFUNCTION("""COMPUTED_VALUE"""),"นาย")</f>
        <v>นาย</v>
      </c>
      <c r="I990" t="str">
        <f>IFERROR(__xludf.DUMMYFUNCTION("""COMPUTED_VALUE"""),"คฑาภณ")</f>
        <v>คฑาภณ</v>
      </c>
      <c r="J990" t="str">
        <f>IFERROR(__xludf.DUMMYFUNCTION("""COMPUTED_VALUE"""),"ธนเลิศโสภณ")</f>
        <v>ธนเลิศโสภณ</v>
      </c>
      <c r="K990" t="str">
        <f>IFERROR(__xludf.DUMMYFUNCTION("""COMPUTED_VALUE"""),"คฑาภณ ธนเลิศโสภณ")</f>
        <v>คฑาภณ ธนเลิศโสภณ</v>
      </c>
      <c r="L990" t="str">
        <f>IFERROR(__xludf.DUMMYFUNCTION("""COMPUTED_VALUE"""),"คฑา")</f>
        <v>คฑา</v>
      </c>
      <c r="M990" t="str">
        <f>IFERROR(__xludf.DUMMYFUNCTION("""COMPUTED_VALUE"""),"Cabin Crew")</f>
        <v>Cabin Crew</v>
      </c>
      <c r="N990" t="str">
        <f>IFERROR(__xludf.DUMMYFUNCTION("""COMPUTED_VALUE"""),"DMK")</f>
        <v>DMK</v>
      </c>
      <c r="O990" s="145" t="str">
        <f>IFERROR(__xludf.DUMMYFUNCTION("""COMPUTED_VALUE"""),"Um Home")</f>
        <v>Um Home</v>
      </c>
      <c r="P990" t="str">
        <f>IFERROR(__xludf.DUMMYFUNCTION("""COMPUTED_VALUE"""),"Active")</f>
        <v>Active</v>
      </c>
      <c r="R990" s="155">
        <f>IFERROR(__xludf.DUMMYFUNCTION("""COMPUTED_VALUE"""),34191.0)</f>
        <v>34191</v>
      </c>
      <c r="S990" s="146">
        <f>IFERROR(__xludf.DUMMYFUNCTION("""COMPUTED_VALUE"""),8.19151548E8)</f>
        <v>819151548</v>
      </c>
      <c r="T990" s="147">
        <f>IFERROR(__xludf.DUMMYFUNCTION("""COMPUTED_VALUE"""),1.101700132366E12)</f>
        <v>1101700132366</v>
      </c>
      <c r="U990" t="str">
        <f>IFERROR(__xludf.DUMMYFUNCTION("""COMPUTED_VALUE"""),"AC4916280")</f>
        <v>AC4916280</v>
      </c>
      <c r="V990" s="148">
        <f>IFERROR(__xludf.DUMMYFUNCTION("""COMPUTED_VALUE"""),45054.0)</f>
        <v>45054</v>
      </c>
      <c r="W990" s="148">
        <f>IFERROR(__xludf.DUMMYFUNCTION("""COMPUTED_VALUE"""),48706.0)</f>
        <v>48706</v>
      </c>
      <c r="X990" s="149">
        <f>IFERROR(__xludf.DUMMYFUNCTION("""COMPUTED_VALUE"""),48525.0)</f>
        <v>48525</v>
      </c>
      <c r="Y990" t="str">
        <f>IFERROR(__xludf.DUMMYFUNCTION("""COMPUTED_VALUE"""),"ปลอดภัย")</f>
        <v>ปลอดภัย</v>
      </c>
      <c r="Z990" t="str">
        <f>IFERROR(__xludf.DUMMYFUNCTION("""COMPUTED_VALUE"""),"Bangkok")</f>
        <v>Bangkok</v>
      </c>
      <c r="AA990" t="str">
        <f>IFERROR(__xludf.DUMMYFUNCTION("""COMPUTED_VALUE"""),"Bangkok")</f>
        <v>Bangkok</v>
      </c>
      <c r="AB990" t="str">
        <f>IFERROR(__xludf.DUMMYFUNCTION("""COMPUTED_VALUE"""),"0947918642")</f>
        <v>0947918642</v>
      </c>
      <c r="AC990" t="str">
        <f>IFERROR(__xludf.DUMMYFUNCTION("""COMPUTED_VALUE"""),"นายธนกร ธนเลิศโสภณ Father")</f>
        <v>นายธนกร ธนเลิศโสภณ Father</v>
      </c>
      <c r="AD990" t="str">
        <f>IFERROR(__xludf.DUMMYFUNCTION("""COMPUTED_VALUE"""),"kathabhonthanalerds@airasia.com")</f>
        <v>kathabhonthanalerds@airasia.com</v>
      </c>
    </row>
    <row r="991">
      <c r="A991" s="142">
        <f>IFERROR(__xludf.DUMMYFUNCTION("""COMPUTED_VALUE"""),100.0)</f>
        <v>100</v>
      </c>
      <c r="C991">
        <f>IFERROR(__xludf.DUMMYFUNCTION("""COMPUTED_VALUE"""),1025575.0)</f>
        <v>1025575</v>
      </c>
      <c r="D991" t="str">
        <f>IFERROR(__xludf.DUMMYFUNCTION("""COMPUTED_VALUE"""),"Ms.")</f>
        <v>Ms.</v>
      </c>
      <c r="E991" t="str">
        <f>IFERROR(__xludf.DUMMYFUNCTION("""COMPUTED_VALUE"""),"Krissana")</f>
        <v>Krissana</v>
      </c>
      <c r="F991" t="str">
        <f>IFERROR(__xludf.DUMMYFUNCTION("""COMPUTED_VALUE"""),"Thanumas")</f>
        <v>Thanumas</v>
      </c>
      <c r="G991" t="str">
        <f>IFERROR(__xludf.DUMMYFUNCTION("""COMPUTED_VALUE"""),"Krissana Thanumas")</f>
        <v>Krissana Thanumas</v>
      </c>
      <c r="H991" t="str">
        <f>IFERROR(__xludf.DUMMYFUNCTION("""COMPUTED_VALUE"""),"นางสาว")</f>
        <v>นางสาว</v>
      </c>
      <c r="I991" t="str">
        <f>IFERROR(__xludf.DUMMYFUNCTION("""COMPUTED_VALUE"""),"กฤษณา")</f>
        <v>กฤษณา</v>
      </c>
      <c r="J991" t="str">
        <f>IFERROR(__xludf.DUMMYFUNCTION("""COMPUTED_VALUE"""),"ธนูมาศ")</f>
        <v>ธนูมาศ</v>
      </c>
      <c r="K991" t="str">
        <f>IFERROR(__xludf.DUMMYFUNCTION("""COMPUTED_VALUE"""),"กฤษณา ธนูมาศ")</f>
        <v>กฤษณา ธนูมาศ</v>
      </c>
      <c r="L991" t="str">
        <f>IFERROR(__xludf.DUMMYFUNCTION("""COMPUTED_VALUE"""),"Kob / กบ")</f>
        <v>Kob / กบ</v>
      </c>
      <c r="M991" t="str">
        <f>IFERROR(__xludf.DUMMYFUNCTION("""COMPUTED_VALUE"""),"Cabin Crew")</f>
        <v>Cabin Crew</v>
      </c>
      <c r="N991" t="str">
        <f>IFERROR(__xludf.DUMMYFUNCTION("""COMPUTED_VALUE"""),"DMK")</f>
        <v>DMK</v>
      </c>
      <c r="O991" s="145" t="str">
        <f>IFERROR(__xludf.DUMMYFUNCTION("""COMPUTED_VALUE"""),"Um Home")</f>
        <v>Um Home</v>
      </c>
      <c r="P991" t="str">
        <f>IFERROR(__xludf.DUMMYFUNCTION("""COMPUTED_VALUE"""),"Active")</f>
        <v>Active</v>
      </c>
      <c r="R991" s="155">
        <f>IFERROR(__xludf.DUMMYFUNCTION("""COMPUTED_VALUE"""),33131.0)</f>
        <v>33131</v>
      </c>
      <c r="S991" s="146">
        <f>IFERROR(__xludf.DUMMYFUNCTION("""COMPUTED_VALUE"""),8.29514936E8)</f>
        <v>829514936</v>
      </c>
      <c r="T991" s="147">
        <f>IFERROR(__xludf.DUMMYFUNCTION("""COMPUTED_VALUE"""),1.100500442646E12)</f>
        <v>1100500442646</v>
      </c>
      <c r="U991" t="str">
        <f>IFERROR(__xludf.DUMMYFUNCTION("""COMPUTED_VALUE"""),"AC2847954")</f>
        <v>AC2847954</v>
      </c>
      <c r="V991" s="148">
        <f>IFERROR(__xludf.DUMMYFUNCTION("""COMPUTED_VALUE"""),44529.0)</f>
        <v>44529</v>
      </c>
      <c r="W991" s="148">
        <f>IFERROR(__xludf.DUMMYFUNCTION("""COMPUTED_VALUE"""),48180.0)</f>
        <v>48180</v>
      </c>
      <c r="X991" s="149">
        <f>IFERROR(__xludf.DUMMYFUNCTION("""COMPUTED_VALUE"""),47996.0)</f>
        <v>47996</v>
      </c>
      <c r="Y991" t="str">
        <f>IFERROR(__xludf.DUMMYFUNCTION("""COMPUTED_VALUE"""),"ปลอดภัย")</f>
        <v>ปลอดภัย</v>
      </c>
      <c r="Z991" t="str">
        <f>IFERROR(__xludf.DUMMYFUNCTION("""COMPUTED_VALUE"""),"Bangkok")</f>
        <v>Bangkok</v>
      </c>
      <c r="AA991" t="str">
        <f>IFERROR(__xludf.DUMMYFUNCTION("""COMPUTED_VALUE"""),"PATHUMTANI")</f>
        <v>PATHUMTANI</v>
      </c>
      <c r="AB991" t="str">
        <f>IFERROR(__xludf.DUMMYFUNCTION("""COMPUTED_VALUE"""),"0894424636")</f>
        <v>0894424636</v>
      </c>
      <c r="AC991" t="str">
        <f>IFERROR(__xludf.DUMMYFUNCTION("""COMPUTED_VALUE"""),"พิลาลักษณ์ ธนูมาศ  Sister")</f>
        <v>พิลาลักษณ์ ธนูมาศ  Sister</v>
      </c>
      <c r="AD991" t="str">
        <f>IFERROR(__xludf.DUMMYFUNCTION("""COMPUTED_VALUE"""),"krissanathanumas@airasia.com")</f>
        <v>krissanathanumas@airasia.com</v>
      </c>
    </row>
    <row r="992">
      <c r="A992" s="142">
        <f>IFERROR(__xludf.DUMMYFUNCTION("""COMPUTED_VALUE"""),100.0)</f>
        <v>100</v>
      </c>
      <c r="C992">
        <f>IFERROR(__xludf.DUMMYFUNCTION("""COMPUTED_VALUE"""),1025554.0)</f>
        <v>1025554</v>
      </c>
      <c r="D992" t="str">
        <f>IFERROR(__xludf.DUMMYFUNCTION("""COMPUTED_VALUE"""),"Ms.")</f>
        <v>Ms.</v>
      </c>
      <c r="E992" t="str">
        <f>IFERROR(__xludf.DUMMYFUNCTION("""COMPUTED_VALUE"""),"Nidchapa")</f>
        <v>Nidchapa</v>
      </c>
      <c r="F992" t="str">
        <f>IFERROR(__xludf.DUMMYFUNCTION("""COMPUTED_VALUE"""),"Vichaidist")</f>
        <v>Vichaidist</v>
      </c>
      <c r="G992" t="str">
        <f>IFERROR(__xludf.DUMMYFUNCTION("""COMPUTED_VALUE"""),"Nidchapa Vichaidist")</f>
        <v>Nidchapa Vichaidist</v>
      </c>
      <c r="H992" t="str">
        <f>IFERROR(__xludf.DUMMYFUNCTION("""COMPUTED_VALUE"""),"นางสาว")</f>
        <v>นางสาว</v>
      </c>
      <c r="I992" t="str">
        <f>IFERROR(__xludf.DUMMYFUNCTION("""COMPUTED_VALUE"""),"ณิชาภา")</f>
        <v>ณิชาภา</v>
      </c>
      <c r="J992" t="str">
        <f>IFERROR(__xludf.DUMMYFUNCTION("""COMPUTED_VALUE"""),"วิชัยดิษฐ")</f>
        <v>วิชัยดิษฐ</v>
      </c>
      <c r="K992" t="str">
        <f>IFERROR(__xludf.DUMMYFUNCTION("""COMPUTED_VALUE"""),"ณิชาภา วิชัยดิษฐ")</f>
        <v>ณิชาภา วิชัยดิษฐ</v>
      </c>
      <c r="L992" t="str">
        <f>IFERROR(__xludf.DUMMYFUNCTION("""COMPUTED_VALUE"""),"First / เฟิส")</f>
        <v>First / เฟิส</v>
      </c>
      <c r="M992" t="str">
        <f>IFERROR(__xludf.DUMMYFUNCTION("""COMPUTED_VALUE"""),"Cabin Crew")</f>
        <v>Cabin Crew</v>
      </c>
      <c r="N992" t="str">
        <f>IFERROR(__xludf.DUMMYFUNCTION("""COMPUTED_VALUE"""),"DMK")</f>
        <v>DMK</v>
      </c>
      <c r="O992" s="145" t="str">
        <f>IFERROR(__xludf.DUMMYFUNCTION("""COMPUTED_VALUE"""),"Namfon Home")</f>
        <v>Namfon Home</v>
      </c>
      <c r="P992" t="str">
        <f>IFERROR(__xludf.DUMMYFUNCTION("""COMPUTED_VALUE"""),"Active")</f>
        <v>Active</v>
      </c>
      <c r="R992" s="155">
        <f>IFERROR(__xludf.DUMMYFUNCTION("""COMPUTED_VALUE"""),34452.0)</f>
        <v>34452</v>
      </c>
      <c r="S992" s="146">
        <f>IFERROR(__xludf.DUMMYFUNCTION("""COMPUTED_VALUE"""),8.35149619E8)</f>
        <v>835149619</v>
      </c>
      <c r="T992" s="147">
        <f>IFERROR(__xludf.DUMMYFUNCTION("""COMPUTED_VALUE"""),1.100400693345E12)</f>
        <v>1100400693345</v>
      </c>
      <c r="U992" t="str">
        <f>IFERROR(__xludf.DUMMYFUNCTION("""COMPUTED_VALUE"""),"AC5069573")</f>
        <v>AC5069573</v>
      </c>
      <c r="V992" s="148">
        <f>IFERROR(__xludf.DUMMYFUNCTION("""COMPUTED_VALUE"""),45077.0)</f>
        <v>45077</v>
      </c>
      <c r="W992" s="148">
        <f>IFERROR(__xludf.DUMMYFUNCTION("""COMPUTED_VALUE"""),48729.0)</f>
        <v>48729</v>
      </c>
      <c r="X992" s="149">
        <f>IFERROR(__xludf.DUMMYFUNCTION("""COMPUTED_VALUE"""),48548.0)</f>
        <v>48548</v>
      </c>
      <c r="Y992" t="str">
        <f>IFERROR(__xludf.DUMMYFUNCTION("""COMPUTED_VALUE"""),"ปลอดภัย")</f>
        <v>ปลอดภัย</v>
      </c>
      <c r="Z992" t="str">
        <f>IFERROR(__xludf.DUMMYFUNCTION("""COMPUTED_VALUE"""),"Bangkok")</f>
        <v>Bangkok</v>
      </c>
      <c r="AA992" t="str">
        <f>IFERROR(__xludf.DUMMYFUNCTION("""COMPUTED_VALUE"""),"Bangkok")</f>
        <v>Bangkok</v>
      </c>
      <c r="AB992" t="str">
        <f>IFERROR(__xludf.DUMMYFUNCTION("""COMPUTED_VALUE"""),"0891848011")</f>
        <v>0891848011</v>
      </c>
      <c r="AC992" t="str">
        <f>IFERROR(__xludf.DUMMYFUNCTION("""COMPUTED_VALUE"""),"นางปัทมาพร วิชัยดิษฐ Mother")</f>
        <v>นางปัทมาพร วิชัยดิษฐ Mother</v>
      </c>
      <c r="AD992" t="str">
        <f>IFERROR(__xludf.DUMMYFUNCTION("""COMPUTED_VALUE"""),"nidchapavichaidist@airasia.com")</f>
        <v>nidchapavichaidist@airasia.com</v>
      </c>
    </row>
    <row r="993">
      <c r="A993" s="142">
        <f>IFERROR(__xludf.DUMMYFUNCTION("""COMPUTED_VALUE"""),100.0)</f>
        <v>100</v>
      </c>
      <c r="C993">
        <f>IFERROR(__xludf.DUMMYFUNCTION("""COMPUTED_VALUE"""),1014079.0)</f>
        <v>1014079</v>
      </c>
      <c r="D993" t="str">
        <f>IFERROR(__xludf.DUMMYFUNCTION("""COMPUTED_VALUE"""),"Ms.")</f>
        <v>Ms.</v>
      </c>
      <c r="E993" t="str">
        <f>IFERROR(__xludf.DUMMYFUNCTION("""COMPUTED_VALUE"""),"Patcharin")</f>
        <v>Patcharin</v>
      </c>
      <c r="F993" t="str">
        <f>IFERROR(__xludf.DUMMYFUNCTION("""COMPUTED_VALUE"""),"Yenkaew")</f>
        <v>Yenkaew</v>
      </c>
      <c r="G993" t="str">
        <f>IFERROR(__xludf.DUMMYFUNCTION("""COMPUTED_VALUE"""),"Patcharin Yenkaew")</f>
        <v>Patcharin Yenkaew</v>
      </c>
      <c r="H993" t="str">
        <f>IFERROR(__xludf.DUMMYFUNCTION("""COMPUTED_VALUE"""),"นางสาว")</f>
        <v>นางสาว</v>
      </c>
      <c r="I993" t="str">
        <f>IFERROR(__xludf.DUMMYFUNCTION("""COMPUTED_VALUE"""),"พัชรินทร์")</f>
        <v>พัชรินทร์</v>
      </c>
      <c r="J993" t="str">
        <f>IFERROR(__xludf.DUMMYFUNCTION("""COMPUTED_VALUE"""),"เย็นแก้ว")</f>
        <v>เย็นแก้ว</v>
      </c>
      <c r="K993" t="str">
        <f>IFERROR(__xludf.DUMMYFUNCTION("""COMPUTED_VALUE"""),"พัชรินทร์ เย็นแก้ว")</f>
        <v>พัชรินทร์ เย็นแก้ว</v>
      </c>
      <c r="L993" t="str">
        <f>IFERROR(__xludf.DUMMYFUNCTION("""COMPUTED_VALUE"""),"มิ้ม")</f>
        <v>มิ้ม</v>
      </c>
      <c r="M993" t="str">
        <f>IFERROR(__xludf.DUMMYFUNCTION("""COMPUTED_VALUE"""),"Cabin Crew")</f>
        <v>Cabin Crew</v>
      </c>
      <c r="N993" t="str">
        <f>IFERROR(__xludf.DUMMYFUNCTION("""COMPUTED_VALUE"""),"DMK")</f>
        <v>DMK</v>
      </c>
      <c r="O993" s="145" t="str">
        <f>IFERROR(__xludf.DUMMYFUNCTION("""COMPUTED_VALUE"""),"Kor Home")</f>
        <v>Kor Home</v>
      </c>
      <c r="P993" t="str">
        <f>IFERROR(__xludf.DUMMYFUNCTION("""COMPUTED_VALUE"""),"Active")</f>
        <v>Active</v>
      </c>
      <c r="R993" s="155">
        <f>IFERROR(__xludf.DUMMYFUNCTION("""COMPUTED_VALUE"""),32917.0)</f>
        <v>32917</v>
      </c>
      <c r="S993" s="146" t="str">
        <f>IFERROR(__xludf.DUMMYFUNCTION("""COMPUTED_VALUE"""),"084-6245195")</f>
        <v>084-6245195</v>
      </c>
      <c r="T993" s="147">
        <f>IFERROR(__xludf.DUMMYFUNCTION("""COMPUTED_VALUE"""),1.300200129452E12)</f>
        <v>1300200129452</v>
      </c>
      <c r="U993" t="str">
        <f>IFERROR(__xludf.DUMMYFUNCTION("""COMPUTED_VALUE"""),"AC2991317")</f>
        <v>AC2991317</v>
      </c>
      <c r="V993" s="148">
        <f>IFERROR(__xludf.DUMMYFUNCTION("""COMPUTED_VALUE"""),45016.0)</f>
        <v>45016</v>
      </c>
      <c r="W993" s="148">
        <f>IFERROR(__xludf.DUMMYFUNCTION("""COMPUTED_VALUE"""),48303.0)</f>
        <v>48303</v>
      </c>
      <c r="X993" s="149">
        <f>IFERROR(__xludf.DUMMYFUNCTION("""COMPUTED_VALUE"""),48121.0)</f>
        <v>48121</v>
      </c>
      <c r="Y993" t="str">
        <f>IFERROR(__xludf.DUMMYFUNCTION("""COMPUTED_VALUE"""),"ปลอดภัย")</f>
        <v>ปลอดภัย</v>
      </c>
      <c r="Z993" t="str">
        <f>IFERROR(__xludf.DUMMYFUNCTION("""COMPUTED_VALUE"""),"Nakhon Ratchasima Province")</f>
        <v>Nakhon Ratchasima Province</v>
      </c>
      <c r="AA993" t="str">
        <f>IFERROR(__xludf.DUMMYFUNCTION("""COMPUTED_VALUE"""),"Bangkok")</f>
        <v>Bangkok</v>
      </c>
      <c r="AB993" t="str">
        <f>IFERROR(__xludf.DUMMYFUNCTION("""COMPUTED_VALUE"""),"087-3112213")</f>
        <v>087-3112213</v>
      </c>
      <c r="AC993" t="str">
        <f>IFERROR(__xludf.DUMMYFUNCTION("""COMPUTED_VALUE"""),"นางจันทร์แดง เย็นแก้ว Mother")</f>
        <v>นางจันทร์แดง เย็นแก้ว Mother</v>
      </c>
      <c r="AD993" t="str">
        <f>IFERROR(__xludf.DUMMYFUNCTION("""COMPUTED_VALUE"""),"patchariny@airasia.com")</f>
        <v>patchariny@airasia.com</v>
      </c>
    </row>
    <row r="994">
      <c r="A994" s="142">
        <f>IFERROR(__xludf.DUMMYFUNCTION("""COMPUTED_VALUE"""),100.0)</f>
        <v>100</v>
      </c>
      <c r="C994">
        <f>IFERROR(__xludf.DUMMYFUNCTION("""COMPUTED_VALUE"""),1025545.0)</f>
        <v>1025545</v>
      </c>
      <c r="D994" t="str">
        <f>IFERROR(__xludf.DUMMYFUNCTION("""COMPUTED_VALUE"""),"Ms.")</f>
        <v>Ms.</v>
      </c>
      <c r="E994" t="str">
        <f>IFERROR(__xludf.DUMMYFUNCTION("""COMPUTED_VALUE"""),"Pattanan")</f>
        <v>Pattanan</v>
      </c>
      <c r="F994" t="str">
        <f>IFERROR(__xludf.DUMMYFUNCTION("""COMPUTED_VALUE"""),"Joompadong")</f>
        <v>Joompadong</v>
      </c>
      <c r="G994" t="str">
        <f>IFERROR(__xludf.DUMMYFUNCTION("""COMPUTED_VALUE"""),"Pattanan Joompadong")</f>
        <v>Pattanan Joompadong</v>
      </c>
      <c r="H994" t="str">
        <f>IFERROR(__xludf.DUMMYFUNCTION("""COMPUTED_VALUE"""),"นางสาว")</f>
        <v>นางสาว</v>
      </c>
      <c r="I994" t="str">
        <f>IFERROR(__xludf.DUMMYFUNCTION("""COMPUTED_VALUE"""),"พัทธนันท์")</f>
        <v>พัทธนันท์</v>
      </c>
      <c r="J994" t="str">
        <f>IFERROR(__xludf.DUMMYFUNCTION("""COMPUTED_VALUE"""),"จุมปาดง")</f>
        <v>จุมปาดง</v>
      </c>
      <c r="K994" t="str">
        <f>IFERROR(__xludf.DUMMYFUNCTION("""COMPUTED_VALUE"""),"พัทธนันท์ จุมปาดง")</f>
        <v>พัทธนันท์ จุมปาดง</v>
      </c>
      <c r="L994" t="str">
        <f>IFERROR(__xludf.DUMMYFUNCTION("""COMPUTED_VALUE"""),"Dumilk / ดูมิ้ลค์")</f>
        <v>Dumilk / ดูมิ้ลค์</v>
      </c>
      <c r="M994" t="str">
        <f>IFERROR(__xludf.DUMMYFUNCTION("""COMPUTED_VALUE"""),"Cabin Crew")</f>
        <v>Cabin Crew</v>
      </c>
      <c r="N994" t="str">
        <f>IFERROR(__xludf.DUMMYFUNCTION("""COMPUTED_VALUE"""),"DMK")</f>
        <v>DMK</v>
      </c>
      <c r="O994" s="145" t="str">
        <f>IFERROR(__xludf.DUMMYFUNCTION("""COMPUTED_VALUE"""),"Namfon Home")</f>
        <v>Namfon Home</v>
      </c>
      <c r="P994" t="str">
        <f>IFERROR(__xludf.DUMMYFUNCTION("""COMPUTED_VALUE"""),"Active")</f>
        <v>Active</v>
      </c>
      <c r="R994" s="155">
        <f>IFERROR(__xludf.DUMMYFUNCTION("""COMPUTED_VALUE"""),32923.0)</f>
        <v>32923</v>
      </c>
      <c r="S994" s="146">
        <f>IFERROR(__xludf.DUMMYFUNCTION("""COMPUTED_VALUE"""),8.82525907E8)</f>
        <v>882525907</v>
      </c>
      <c r="T994" s="147">
        <f>IFERROR(__xludf.DUMMYFUNCTION("""COMPUTED_VALUE"""),1.509900834759E12)</f>
        <v>1509900834759</v>
      </c>
      <c r="U994" t="str">
        <f>IFERROR(__xludf.DUMMYFUNCTION("""COMPUTED_VALUE"""),"AC5474794")</f>
        <v>AC5474794</v>
      </c>
      <c r="V994" s="148">
        <f>IFERROR(__xludf.DUMMYFUNCTION("""COMPUTED_VALUE"""),45147.0)</f>
        <v>45147</v>
      </c>
      <c r="W994" s="148">
        <f>IFERROR(__xludf.DUMMYFUNCTION("""COMPUTED_VALUE"""),48799.0)</f>
        <v>48799</v>
      </c>
      <c r="X994" s="149">
        <f>IFERROR(__xludf.DUMMYFUNCTION("""COMPUTED_VALUE"""),48618.0)</f>
        <v>48618</v>
      </c>
      <c r="Y994" t="str">
        <f>IFERROR(__xludf.DUMMYFUNCTION("""COMPUTED_VALUE"""),"ปลอดภัย")</f>
        <v>ปลอดภัย</v>
      </c>
      <c r="Z994" t="str">
        <f>IFERROR(__xludf.DUMMYFUNCTION("""COMPUTED_VALUE"""),"Chiang Mai Province")</f>
        <v>Chiang Mai Province</v>
      </c>
      <c r="AA994" t="str">
        <f>IFERROR(__xludf.DUMMYFUNCTION("""COMPUTED_VALUE"""),"PATHUMTANI")</f>
        <v>PATHUMTANI</v>
      </c>
      <c r="AB994" t="str">
        <f>IFERROR(__xludf.DUMMYFUNCTION("""COMPUTED_VALUE"""),"0891133869")</f>
        <v>0891133869</v>
      </c>
      <c r="AC994" t="str">
        <f>IFERROR(__xludf.DUMMYFUNCTION("""COMPUTED_VALUE"""),"เมธาวี นิธิกาญจน์ Husband")</f>
        <v>เมธาวี นิธิกาญจน์ Husband</v>
      </c>
      <c r="AD994" t="str">
        <f>IFERROR(__xludf.DUMMYFUNCTION("""COMPUTED_VALUE"""),"pattananjoompadong@airasia.com")</f>
        <v>pattananjoompadong@airasia.com</v>
      </c>
    </row>
    <row r="995">
      <c r="A995" s="142">
        <f>IFERROR(__xludf.DUMMYFUNCTION("""COMPUTED_VALUE"""),100.0)</f>
        <v>100</v>
      </c>
      <c r="C995">
        <f>IFERROR(__xludf.DUMMYFUNCTION("""COMPUTED_VALUE"""),1025204.0)</f>
        <v>1025204</v>
      </c>
      <c r="D995" t="str">
        <f>IFERROR(__xludf.DUMMYFUNCTION("""COMPUTED_VALUE"""),"Mr.")</f>
        <v>Mr.</v>
      </c>
      <c r="E995" t="str">
        <f>IFERROR(__xludf.DUMMYFUNCTION("""COMPUTED_VALUE"""),"Pavich")</f>
        <v>Pavich</v>
      </c>
      <c r="F995" t="str">
        <f>IFERROR(__xludf.DUMMYFUNCTION("""COMPUTED_VALUE"""),"Saprungroj")</f>
        <v>Saprungroj</v>
      </c>
      <c r="G995" t="str">
        <f>IFERROR(__xludf.DUMMYFUNCTION("""COMPUTED_VALUE"""),"Pavich Saprungroj")</f>
        <v>Pavich Saprungroj</v>
      </c>
      <c r="H995" t="str">
        <f>IFERROR(__xludf.DUMMYFUNCTION("""COMPUTED_VALUE"""),"นาย")</f>
        <v>นาย</v>
      </c>
      <c r="I995" t="str">
        <f>IFERROR(__xludf.DUMMYFUNCTION("""COMPUTED_VALUE"""),"พาวิช")</f>
        <v>พาวิช</v>
      </c>
      <c r="J995" t="str">
        <f>IFERROR(__xludf.DUMMYFUNCTION("""COMPUTED_VALUE"""),"ทรัพย์รุ่งโรจน์")</f>
        <v>ทรัพย์รุ่งโรจน์</v>
      </c>
      <c r="K995" t="str">
        <f>IFERROR(__xludf.DUMMYFUNCTION("""COMPUTED_VALUE"""),"พาวิช ทรัพย์รุ่งโรจน์")</f>
        <v>พาวิช ทรัพย์รุ่งโรจน์</v>
      </c>
      <c r="L995" t="str">
        <f>IFERROR(__xludf.DUMMYFUNCTION("""COMPUTED_VALUE"""),"นิกกี้")</f>
        <v>นิกกี้</v>
      </c>
      <c r="M995" t="str">
        <f>IFERROR(__xludf.DUMMYFUNCTION("""COMPUTED_VALUE"""),"Cabin Crew")</f>
        <v>Cabin Crew</v>
      </c>
      <c r="N995" t="str">
        <f>IFERROR(__xludf.DUMMYFUNCTION("""COMPUTED_VALUE"""),"DMK")</f>
        <v>DMK</v>
      </c>
      <c r="O995" s="145" t="str">
        <f>IFERROR(__xludf.DUMMYFUNCTION("""COMPUTED_VALUE"""),"Kor Home")</f>
        <v>Kor Home</v>
      </c>
      <c r="P995" t="str">
        <f>IFERROR(__xludf.DUMMYFUNCTION("""COMPUTED_VALUE"""),"Active")</f>
        <v>Active</v>
      </c>
      <c r="R995" s="155">
        <f>IFERROR(__xludf.DUMMYFUNCTION("""COMPUTED_VALUE"""),33680.0)</f>
        <v>33680</v>
      </c>
      <c r="S995" s="146" t="str">
        <f>IFERROR(__xludf.DUMMYFUNCTION("""COMPUTED_VALUE"""),"061-9153691")</f>
        <v>061-9153691</v>
      </c>
      <c r="T995" s="147">
        <f>IFERROR(__xludf.DUMMYFUNCTION("""COMPUTED_VALUE"""),1.729900218738E12)</f>
        <v>1729900218738</v>
      </c>
      <c r="U995" t="str">
        <f>IFERROR(__xludf.DUMMYFUNCTION("""COMPUTED_VALUE"""),"AD0507139")</f>
        <v>AD0507139</v>
      </c>
      <c r="V995" s="148">
        <f>IFERROR(__xludf.DUMMYFUNCTION("""COMPUTED_VALUE"""),44916.0)</f>
        <v>44916</v>
      </c>
      <c r="W995" s="148">
        <f>IFERROR(__xludf.DUMMYFUNCTION("""COMPUTED_VALUE"""),48568.0)</f>
        <v>48568</v>
      </c>
      <c r="X995" s="149">
        <f>IFERROR(__xludf.DUMMYFUNCTION("""COMPUTED_VALUE"""),48385.0)</f>
        <v>48385</v>
      </c>
      <c r="Y995" t="str">
        <f>IFERROR(__xludf.DUMMYFUNCTION("""COMPUTED_VALUE"""),"ปลอดภัย")</f>
        <v>ปลอดภัย</v>
      </c>
      <c r="Z995" t="str">
        <f>IFERROR(__xludf.DUMMYFUNCTION("""COMPUTED_VALUE"""),"Suphan Buri Province")</f>
        <v>Suphan Buri Province</v>
      </c>
      <c r="AA995" t="str">
        <f>IFERROR(__xludf.DUMMYFUNCTION("""COMPUTED_VALUE"""),"Bangkok")</f>
        <v>Bangkok</v>
      </c>
      <c r="AB995" t="str">
        <f>IFERROR(__xludf.DUMMYFUNCTION("""COMPUTED_VALUE"""),"086-7619174")</f>
        <v>086-7619174</v>
      </c>
      <c r="AC995" t="str">
        <f>IFERROR(__xludf.DUMMYFUNCTION("""COMPUTED_VALUE"""),"นถาวดี ทรัพย์รุ่งโรจน์ Mother")</f>
        <v>นถาวดี ทรัพย์รุ่งโรจน์ Mother</v>
      </c>
      <c r="AD995" t="str">
        <f>IFERROR(__xludf.DUMMYFUNCTION("""COMPUTED_VALUE"""),"pavichsaprungroj@airasia.com")</f>
        <v>pavichsaprungroj@airasia.com</v>
      </c>
    </row>
    <row r="996">
      <c r="A996" s="142">
        <f>IFERROR(__xludf.DUMMYFUNCTION("""COMPUTED_VALUE"""),100.0)</f>
        <v>100</v>
      </c>
      <c r="C996">
        <f>IFERROR(__xludf.DUMMYFUNCTION("""COMPUTED_VALUE"""),1009260.0)</f>
        <v>1009260</v>
      </c>
      <c r="D996" t="str">
        <f>IFERROR(__xludf.DUMMYFUNCTION("""COMPUTED_VALUE"""),"Ms.")</f>
        <v>Ms.</v>
      </c>
      <c r="E996" t="str">
        <f>IFERROR(__xludf.DUMMYFUNCTION("""COMPUTED_VALUE"""),"Wilasinee")</f>
        <v>Wilasinee</v>
      </c>
      <c r="F996" t="str">
        <f>IFERROR(__xludf.DUMMYFUNCTION("""COMPUTED_VALUE"""),"Tirapanumpai")</f>
        <v>Tirapanumpai</v>
      </c>
      <c r="G996" t="str">
        <f>IFERROR(__xludf.DUMMYFUNCTION("""COMPUTED_VALUE"""),"Wilasinee Tirapanumpai")</f>
        <v>Wilasinee Tirapanumpai</v>
      </c>
      <c r="H996" t="str">
        <f>IFERROR(__xludf.DUMMYFUNCTION("""COMPUTED_VALUE"""),"นางสาว")</f>
        <v>นางสาว</v>
      </c>
      <c r="I996" t="str">
        <f>IFERROR(__xludf.DUMMYFUNCTION("""COMPUTED_VALUE"""),"วิลาสินี")</f>
        <v>วิลาสินี</v>
      </c>
      <c r="J996" t="str">
        <f>IFERROR(__xludf.DUMMYFUNCTION("""COMPUTED_VALUE"""),"ติระพันธ์อำไพ")</f>
        <v>ติระพันธ์อำไพ</v>
      </c>
      <c r="K996" t="str">
        <f>IFERROR(__xludf.DUMMYFUNCTION("""COMPUTED_VALUE"""),"วิลาสินี ติระพันธ์อำไพ")</f>
        <v>วิลาสินี ติระพันธ์อำไพ</v>
      </c>
      <c r="L996" t="str">
        <f>IFERROR(__xludf.DUMMYFUNCTION("""COMPUTED_VALUE"""),"สเม ")</f>
        <v>สเม </v>
      </c>
      <c r="M996" t="str">
        <f>IFERROR(__xludf.DUMMYFUNCTION("""COMPUTED_VALUE"""),"Cabin Crew")</f>
        <v>Cabin Crew</v>
      </c>
      <c r="N996" t="str">
        <f>IFERROR(__xludf.DUMMYFUNCTION("""COMPUTED_VALUE"""),"DMK")</f>
        <v>DMK</v>
      </c>
      <c r="O996" s="145" t="str">
        <f>IFERROR(__xludf.DUMMYFUNCTION("""COMPUTED_VALUE"""),"Up Home")</f>
        <v>Up Home</v>
      </c>
      <c r="P996" t="str">
        <f>IFERROR(__xludf.DUMMYFUNCTION("""COMPUTED_VALUE"""),"Active")</f>
        <v>Active</v>
      </c>
      <c r="R996" s="155">
        <f>IFERROR(__xludf.DUMMYFUNCTION("""COMPUTED_VALUE"""),33327.0)</f>
        <v>33327</v>
      </c>
      <c r="S996" s="146">
        <f>IFERROR(__xludf.DUMMYFUNCTION("""COMPUTED_VALUE"""),6.22358924E8)</f>
        <v>622358924</v>
      </c>
      <c r="T996" s="147">
        <f>IFERROR(__xludf.DUMMYFUNCTION("""COMPUTED_VALUE"""),1.909800519513E12)</f>
        <v>1909800519513</v>
      </c>
      <c r="U996" t="str">
        <f>IFERROR(__xludf.DUMMYFUNCTION("""COMPUTED_VALUE"""),"AC4321201")</f>
        <v>AC4321201</v>
      </c>
      <c r="V996" s="148">
        <f>IFERROR(__xludf.DUMMYFUNCTION("""COMPUTED_VALUE"""),44923.0)</f>
        <v>44923</v>
      </c>
      <c r="W996" s="148">
        <f>IFERROR(__xludf.DUMMYFUNCTION("""COMPUTED_VALUE"""),48575.0)</f>
        <v>48575</v>
      </c>
      <c r="X996" s="149">
        <f>IFERROR(__xludf.DUMMYFUNCTION("""COMPUTED_VALUE"""),48392.0)</f>
        <v>48392</v>
      </c>
      <c r="Y996" t="str">
        <f>IFERROR(__xludf.DUMMYFUNCTION("""COMPUTED_VALUE"""),"ปลอดภัย")</f>
        <v>ปลอดภัย</v>
      </c>
      <c r="Z996" t="str">
        <f>IFERROR(__xludf.DUMMYFUNCTION("""COMPUTED_VALUE"""),"Songkhla Province")</f>
        <v>Songkhla Province</v>
      </c>
      <c r="AA996" t="str">
        <f>IFERROR(__xludf.DUMMYFUNCTION("""COMPUTED_VALUE"""),"NONTABUTI")</f>
        <v>NONTABUTI</v>
      </c>
      <c r="AB996" t="str">
        <f>IFERROR(__xludf.DUMMYFUNCTION("""COMPUTED_VALUE"""),"094-195-9365")</f>
        <v>094-195-9365</v>
      </c>
      <c r="AC996" t="str">
        <f>IFERROR(__xludf.DUMMYFUNCTION("""COMPUTED_VALUE"""),"นางสาวพัชร์ทิตา ชัยอรวรรณ Friend")</f>
        <v>นางสาวพัชร์ทิตา ชัยอรวรรณ Friend</v>
      </c>
      <c r="AD996" t="str">
        <f>IFERROR(__xludf.DUMMYFUNCTION("""COMPUTED_VALUE"""),"wilasineet@airasia.com")</f>
        <v>wilasineet@airasia.com</v>
      </c>
    </row>
    <row r="997">
      <c r="A997" s="142">
        <f>IFERROR(__xludf.DUMMYFUNCTION("""COMPUTED_VALUE"""),100.0)</f>
        <v>100</v>
      </c>
      <c r="C997">
        <f>IFERROR(__xludf.DUMMYFUNCTION("""COMPUTED_VALUE"""),1012053.0)</f>
        <v>1012053</v>
      </c>
      <c r="D997" t="str">
        <f>IFERROR(__xludf.DUMMYFUNCTION("""COMPUTED_VALUE"""),"Mr.")</f>
        <v>Mr.</v>
      </c>
      <c r="E997" t="str">
        <f>IFERROR(__xludf.DUMMYFUNCTION("""COMPUTED_VALUE"""),"Nawapol")</f>
        <v>Nawapol</v>
      </c>
      <c r="F997" t="str">
        <f>IFERROR(__xludf.DUMMYFUNCTION("""COMPUTED_VALUE"""),"Songpool")</f>
        <v>Songpool</v>
      </c>
      <c r="G997" t="str">
        <f>IFERROR(__xludf.DUMMYFUNCTION("""COMPUTED_VALUE"""),"Nawapol Songpool")</f>
        <v>Nawapol Songpool</v>
      </c>
      <c r="H997" t="str">
        <f>IFERROR(__xludf.DUMMYFUNCTION("""COMPUTED_VALUE"""),"นาย")</f>
        <v>นาย</v>
      </c>
      <c r="I997" t="str">
        <f>IFERROR(__xludf.DUMMYFUNCTION("""COMPUTED_VALUE"""),"นวพล")</f>
        <v>นวพล</v>
      </c>
      <c r="J997" t="str">
        <f>IFERROR(__xludf.DUMMYFUNCTION("""COMPUTED_VALUE"""),"สงพูล")</f>
        <v>สงพูล</v>
      </c>
      <c r="K997" t="str">
        <f>IFERROR(__xludf.DUMMYFUNCTION("""COMPUTED_VALUE"""),"นวพล สงพูล")</f>
        <v>นวพล สงพูล</v>
      </c>
      <c r="L997" t="str">
        <f>IFERROR(__xludf.DUMMYFUNCTION("""COMPUTED_VALUE"""),"Guygun / กายกันต์")</f>
        <v>Guygun / กายกันต์</v>
      </c>
      <c r="M997" t="str">
        <f>IFERROR(__xludf.DUMMYFUNCTION("""COMPUTED_VALUE"""),"Cabin Crew")</f>
        <v>Cabin Crew</v>
      </c>
      <c r="N997" t="str">
        <f>IFERROR(__xludf.DUMMYFUNCTION("""COMPUTED_VALUE"""),"DMK")</f>
        <v>DMK</v>
      </c>
      <c r="O997" s="145" t="str">
        <f>IFERROR(__xludf.DUMMYFUNCTION("""COMPUTED_VALUE"""),"Um Home")</f>
        <v>Um Home</v>
      </c>
      <c r="P997" t="str">
        <f>IFERROR(__xludf.DUMMYFUNCTION("""COMPUTED_VALUE"""),"Active")</f>
        <v>Active</v>
      </c>
      <c r="R997" s="155">
        <f>IFERROR(__xludf.DUMMYFUNCTION("""COMPUTED_VALUE"""),32763.0)</f>
        <v>32763</v>
      </c>
      <c r="S997" s="146">
        <f>IFERROR(__xludf.DUMMYFUNCTION("""COMPUTED_VALUE"""),9.61914555E8)</f>
        <v>961914555</v>
      </c>
      <c r="T997" s="147">
        <f>IFERROR(__xludf.DUMMYFUNCTION("""COMPUTED_VALUE"""),1.120600127424E12)</f>
        <v>1120600127424</v>
      </c>
      <c r="U997" t="str">
        <f>IFERROR(__xludf.DUMMYFUNCTION("""COMPUTED_VALUE"""),"AC3418703")</f>
        <v>AC3418703</v>
      </c>
      <c r="V997" s="148">
        <f>IFERROR(__xludf.DUMMYFUNCTION("""COMPUTED_VALUE"""),44734.0)</f>
        <v>44734</v>
      </c>
      <c r="W997" s="148">
        <f>IFERROR(__xludf.DUMMYFUNCTION("""COMPUTED_VALUE"""),48386.0)</f>
        <v>48386</v>
      </c>
      <c r="X997" s="149">
        <f>IFERROR(__xludf.DUMMYFUNCTION("""COMPUTED_VALUE"""),48203.0)</f>
        <v>48203</v>
      </c>
      <c r="Y997" t="str">
        <f>IFERROR(__xludf.DUMMYFUNCTION("""COMPUTED_VALUE"""),"ปลอดภัย")</f>
        <v>ปลอดภัย</v>
      </c>
      <c r="Z997" t="str">
        <f>IFERROR(__xludf.DUMMYFUNCTION("""COMPUTED_VALUE"""),"Nonthaburi Province")</f>
        <v>Nonthaburi Province</v>
      </c>
      <c r="AA997" t="str">
        <f>IFERROR(__xludf.DUMMYFUNCTION("""COMPUTED_VALUE"""),"PATHUMTANI")</f>
        <v>PATHUMTANI</v>
      </c>
      <c r="AB997" t="str">
        <f>IFERROR(__xludf.DUMMYFUNCTION("""COMPUTED_VALUE"""),"0873390973")</f>
        <v>0873390973</v>
      </c>
      <c r="AC997" t="str">
        <f>IFERROR(__xludf.DUMMYFUNCTION("""COMPUTED_VALUE"""),"นางกาญจนา สงพูล Mother")</f>
        <v>นางกาญจนา สงพูล Mother</v>
      </c>
      <c r="AD997" t="str">
        <f>IFERROR(__xludf.DUMMYFUNCTION("""COMPUTED_VALUE"""),"nawapols@airasia.com")</f>
        <v>nawapols@airasia.com</v>
      </c>
    </row>
    <row r="998">
      <c r="A998" s="142">
        <f>IFERROR(__xludf.DUMMYFUNCTION("""COMPUTED_VALUE"""),100.0)</f>
        <v>100</v>
      </c>
      <c r="C998">
        <f>IFERROR(__xludf.DUMMYFUNCTION("""COMPUTED_VALUE"""),1013576.0)</f>
        <v>1013576</v>
      </c>
      <c r="D998" t="str">
        <f>IFERROR(__xludf.DUMMYFUNCTION("""COMPUTED_VALUE"""),"Ms.")</f>
        <v>Ms.</v>
      </c>
      <c r="E998" t="str">
        <f>IFERROR(__xludf.DUMMYFUNCTION("""COMPUTED_VALUE"""),"Pawarisar")</f>
        <v>Pawarisar</v>
      </c>
      <c r="F998" t="str">
        <f>IFERROR(__xludf.DUMMYFUNCTION("""COMPUTED_VALUE"""),"Samanthong")</f>
        <v>Samanthong</v>
      </c>
      <c r="G998" t="str">
        <f>IFERROR(__xludf.DUMMYFUNCTION("""COMPUTED_VALUE"""),"Pawarisar Samanthong")</f>
        <v>Pawarisar Samanthong</v>
      </c>
      <c r="H998" t="str">
        <f>IFERROR(__xludf.DUMMYFUNCTION("""COMPUTED_VALUE"""),"นางสาว")</f>
        <v>นางสาว</v>
      </c>
      <c r="I998" t="str">
        <f>IFERROR(__xludf.DUMMYFUNCTION("""COMPUTED_VALUE"""),"ปวริศา")</f>
        <v>ปวริศา</v>
      </c>
      <c r="J998" t="str">
        <f>IFERROR(__xludf.DUMMYFUNCTION("""COMPUTED_VALUE"""),"สมานทอง")</f>
        <v>สมานทอง</v>
      </c>
      <c r="K998" t="str">
        <f>IFERROR(__xludf.DUMMYFUNCTION("""COMPUTED_VALUE"""),"ปวริศา สมานทอง")</f>
        <v>ปวริศา สมานทอง</v>
      </c>
      <c r="L998" t="str">
        <f>IFERROR(__xludf.DUMMYFUNCTION("""COMPUTED_VALUE"""),"เพลิน")</f>
        <v>เพลิน</v>
      </c>
      <c r="M998" t="str">
        <f>IFERROR(__xludf.DUMMYFUNCTION("""COMPUTED_VALUE"""),"Cabin Crew")</f>
        <v>Cabin Crew</v>
      </c>
      <c r="N998" t="str">
        <f>IFERROR(__xludf.DUMMYFUNCTION("""COMPUTED_VALUE"""),"DMK")</f>
        <v>DMK</v>
      </c>
      <c r="O998" s="145" t="str">
        <f>IFERROR(__xludf.DUMMYFUNCTION("""COMPUTED_VALUE"""),"Um Home")</f>
        <v>Um Home</v>
      </c>
      <c r="P998" t="str">
        <f>IFERROR(__xludf.DUMMYFUNCTION("""COMPUTED_VALUE"""),"Active")</f>
        <v>Active</v>
      </c>
      <c r="R998" s="155">
        <f>IFERROR(__xludf.DUMMYFUNCTION("""COMPUTED_VALUE"""),32918.0)</f>
        <v>32918</v>
      </c>
      <c r="S998" s="146">
        <f>IFERROR(__xludf.DUMMYFUNCTION("""COMPUTED_VALUE"""),8.63282819E8)</f>
        <v>863282819</v>
      </c>
      <c r="T998" s="147">
        <f>IFERROR(__xludf.DUMMYFUNCTION("""COMPUTED_VALUE"""),1.103700055436E12)</f>
        <v>1103700055436</v>
      </c>
      <c r="U998" t="str">
        <f>IFERROR(__xludf.DUMMYFUNCTION("""COMPUTED_VALUE"""),"AC5940960")</f>
        <v>AC5940960</v>
      </c>
      <c r="V998" s="148">
        <f>IFERROR(__xludf.DUMMYFUNCTION("""COMPUTED_VALUE"""),45252.0)</f>
        <v>45252</v>
      </c>
      <c r="W998" s="148">
        <f>IFERROR(__xludf.DUMMYFUNCTION("""COMPUTED_VALUE"""),48904.0)</f>
        <v>48904</v>
      </c>
      <c r="X998" s="149">
        <f>IFERROR(__xludf.DUMMYFUNCTION("""COMPUTED_VALUE"""),48720.0)</f>
        <v>48720</v>
      </c>
      <c r="Y998" t="str">
        <f>IFERROR(__xludf.DUMMYFUNCTION("""COMPUTED_VALUE"""),"ปลอดภัย")</f>
        <v>ปลอดภัย</v>
      </c>
      <c r="Z998" t="str">
        <f>IFERROR(__xludf.DUMMYFUNCTION("""COMPUTED_VALUE"""),"Bangkok")</f>
        <v>Bangkok</v>
      </c>
      <c r="AA998" t="str">
        <f>IFERROR(__xludf.DUMMYFUNCTION("""COMPUTED_VALUE"""),"Bangkok")</f>
        <v>Bangkok</v>
      </c>
      <c r="AB998">
        <f>IFERROR(__xludf.DUMMYFUNCTION("""COMPUTED_VALUE"""),8.91096928E8)</f>
        <v>891096928</v>
      </c>
      <c r="AC998" t="str">
        <f>IFERROR(__xludf.DUMMYFUNCTION("""COMPUTED_VALUE"""),"นายธนกร สุทธิธน Husband")</f>
        <v>นายธนกร สุทธิธน Husband</v>
      </c>
      <c r="AD998" t="str">
        <f>IFERROR(__xludf.DUMMYFUNCTION("""COMPUTED_VALUE"""),"pawarisars@airasia.com")</f>
        <v>pawarisars@airasia.com</v>
      </c>
    </row>
    <row r="999">
      <c r="AD999" t="str">
        <f>IFERROR(__xludf.DUMMYFUNCTION("""COMPUTED_VALUE"""),"")</f>
        <v/>
      </c>
    </row>
    <row r="1000">
      <c r="A1000" s="142">
        <f>IFERROR(__xludf.DUMMYFUNCTION("""COMPUTED_VALUE"""),101.0)</f>
        <v>101</v>
      </c>
      <c r="C1000">
        <f>IFERROR(__xludf.DUMMYFUNCTION("""COMPUTED_VALUE"""),1025574.0)</f>
        <v>1025574</v>
      </c>
      <c r="D1000" t="str">
        <f>IFERROR(__xludf.DUMMYFUNCTION("""COMPUTED_VALUE"""),"Ms.")</f>
        <v>Ms.</v>
      </c>
      <c r="E1000" t="str">
        <f>IFERROR(__xludf.DUMMYFUNCTION("""COMPUTED_VALUE"""),"Ravinnipa")</f>
        <v>Ravinnipa</v>
      </c>
      <c r="F1000" t="str">
        <f>IFERROR(__xludf.DUMMYFUNCTION("""COMPUTED_VALUE"""),"Hamid")</f>
        <v>Hamid</v>
      </c>
      <c r="G1000" t="str">
        <f>IFERROR(__xludf.DUMMYFUNCTION("""COMPUTED_VALUE"""),"Ravinnipa Hamid")</f>
        <v>Ravinnipa Hamid</v>
      </c>
      <c r="H1000" t="str">
        <f>IFERROR(__xludf.DUMMYFUNCTION("""COMPUTED_VALUE"""),"นางสาว")</f>
        <v>นางสาว</v>
      </c>
      <c r="I1000" t="str">
        <f>IFERROR(__xludf.DUMMYFUNCTION("""COMPUTED_VALUE"""),"รวินท์นิภา")</f>
        <v>รวินท์นิภา</v>
      </c>
      <c r="J1000" t="str">
        <f>IFERROR(__xludf.DUMMYFUNCTION("""COMPUTED_VALUE"""),"ฮามิต")</f>
        <v>ฮามิต</v>
      </c>
      <c r="K1000" t="str">
        <f>IFERROR(__xludf.DUMMYFUNCTION("""COMPUTED_VALUE"""),"รวินท์นิภา ฮามิต")</f>
        <v>รวินท์นิภา ฮามิต</v>
      </c>
      <c r="L1000" t="str">
        <f>IFERROR(__xludf.DUMMYFUNCTION("""COMPUTED_VALUE"""),"กระบุง")</f>
        <v>กระบุง</v>
      </c>
      <c r="M1000" t="str">
        <f>IFERROR(__xludf.DUMMYFUNCTION("""COMPUTED_VALUE"""),"Cabin Crew")</f>
        <v>Cabin Crew</v>
      </c>
      <c r="N1000" t="str">
        <f>IFERROR(__xludf.DUMMYFUNCTION("""COMPUTED_VALUE"""),"DMK")</f>
        <v>DMK</v>
      </c>
      <c r="O1000" s="145" t="str">
        <f>IFERROR(__xludf.DUMMYFUNCTION("""COMPUTED_VALUE"""),"Nhui Home")</f>
        <v>Nhui Home</v>
      </c>
      <c r="P1000" t="str">
        <f>IFERROR(__xludf.DUMMYFUNCTION("""COMPUTED_VALUE"""),"Active")</f>
        <v>Active</v>
      </c>
      <c r="R1000" s="159">
        <f>IFERROR(__xludf.DUMMYFUNCTION("""COMPUTED_VALUE"""),33801.0)</f>
        <v>33801</v>
      </c>
      <c r="S1000" s="146">
        <f>IFERROR(__xludf.DUMMYFUNCTION("""COMPUTED_VALUE"""),8.77188669E8)</f>
        <v>877188669</v>
      </c>
      <c r="T1000" s="147">
        <f>IFERROR(__xludf.DUMMYFUNCTION("""COMPUTED_VALUE"""),1.100701553658E12)</f>
        <v>1100701553658</v>
      </c>
      <c r="U1000" t="str">
        <f>IFERROR(__xludf.DUMMYFUNCTION("""COMPUTED_VALUE"""),"AC2600805")</f>
        <v>AC2600805</v>
      </c>
      <c r="V1000" s="148">
        <f>IFERROR(__xludf.DUMMYFUNCTION("""COMPUTED_VALUE"""),44532.0)</f>
        <v>44532</v>
      </c>
      <c r="W1000" s="148">
        <f>IFERROR(__xludf.DUMMYFUNCTION("""COMPUTED_VALUE"""),48183.0)</f>
        <v>48183</v>
      </c>
      <c r="X1000" s="149">
        <f>IFERROR(__xludf.DUMMYFUNCTION("""COMPUTED_VALUE"""),48000.0)</f>
        <v>48000</v>
      </c>
      <c r="Y1000" t="str">
        <f>IFERROR(__xludf.DUMMYFUNCTION("""COMPUTED_VALUE"""),"ปลอดภัย")</f>
        <v>ปลอดภัย</v>
      </c>
      <c r="Z1000" t="str">
        <f>IFERROR(__xludf.DUMMYFUNCTION("""COMPUTED_VALUE"""),"Bangkok")</f>
        <v>Bangkok</v>
      </c>
      <c r="AA1000" t="str">
        <f>IFERROR(__xludf.DUMMYFUNCTION("""COMPUTED_VALUE"""),"Bangkok")</f>
        <v>Bangkok</v>
      </c>
      <c r="AB1000" s="145" t="str">
        <f>IFERROR(__xludf.DUMMYFUNCTION("""COMPUTED_VALUE"""),"0818675118")</f>
        <v>0818675118</v>
      </c>
      <c r="AC1000" t="str">
        <f>IFERROR(__xludf.DUMMYFUNCTION("""COMPUTED_VALUE"""),"ศิริกุล ฮามิต Mother")</f>
        <v>ศิริกุล ฮามิต Mother</v>
      </c>
      <c r="AD1000" t="str">
        <f>IFERROR(__xludf.DUMMYFUNCTION("""COMPUTED_VALUE"""),"ravinnipahamid@airasia.com")</f>
        <v>ravinnipahamid@airasia.com</v>
      </c>
    </row>
    <row r="1001">
      <c r="A1001" s="142">
        <f>IFERROR(__xludf.DUMMYFUNCTION("""COMPUTED_VALUE"""),101.0)</f>
        <v>101</v>
      </c>
      <c r="C1001">
        <f>IFERROR(__xludf.DUMMYFUNCTION("""COMPUTED_VALUE"""),1026015.0)</f>
        <v>1026015</v>
      </c>
      <c r="D1001" t="str">
        <f>IFERROR(__xludf.DUMMYFUNCTION("""COMPUTED_VALUE"""),"Ms.")</f>
        <v>Ms.</v>
      </c>
      <c r="E1001" t="str">
        <f>IFERROR(__xludf.DUMMYFUNCTION("""COMPUTED_VALUE"""),"Thanissa")</f>
        <v>Thanissa</v>
      </c>
      <c r="F1001" t="str">
        <f>IFERROR(__xludf.DUMMYFUNCTION("""COMPUTED_VALUE"""),"Intharit")</f>
        <v>Intharit</v>
      </c>
      <c r="G1001" t="str">
        <f>IFERROR(__xludf.DUMMYFUNCTION("""COMPUTED_VALUE"""),"Thanissa Intharit")</f>
        <v>Thanissa Intharit</v>
      </c>
      <c r="H1001" t="str">
        <f>IFERROR(__xludf.DUMMYFUNCTION("""COMPUTED_VALUE"""),"นางสาว")</f>
        <v>นางสาว</v>
      </c>
      <c r="I1001" t="str">
        <f>IFERROR(__xludf.DUMMYFUNCTION("""COMPUTED_VALUE"""),"ธนิสสา")</f>
        <v>ธนิสสา</v>
      </c>
      <c r="J1001" t="str">
        <f>IFERROR(__xludf.DUMMYFUNCTION("""COMPUTED_VALUE"""),"อินทฤทธิ์")</f>
        <v>อินทฤทธิ์</v>
      </c>
      <c r="K1001" t="str">
        <f>IFERROR(__xludf.DUMMYFUNCTION("""COMPUTED_VALUE"""),"ธนิสสา อินทฤทธิ์")</f>
        <v>ธนิสสา อินทฤทธิ์</v>
      </c>
      <c r="L1001" t="str">
        <f>IFERROR(__xludf.DUMMYFUNCTION("""COMPUTED_VALUE"""),"Pleng / เพลง")</f>
        <v>Pleng / เพลง</v>
      </c>
      <c r="M1001" t="str">
        <f>IFERROR(__xludf.DUMMYFUNCTION("""COMPUTED_VALUE"""),"Cabin Crew")</f>
        <v>Cabin Crew</v>
      </c>
      <c r="N1001" t="str">
        <f>IFERROR(__xludf.DUMMYFUNCTION("""COMPUTED_VALUE"""),"DMK")</f>
        <v>DMK</v>
      </c>
      <c r="O1001" s="145" t="str">
        <f>IFERROR(__xludf.DUMMYFUNCTION("""COMPUTED_VALUE"""),"Toffy Home")</f>
        <v>Toffy Home</v>
      </c>
      <c r="P1001" t="str">
        <f>IFERROR(__xludf.DUMMYFUNCTION("""COMPUTED_VALUE"""),"Active")</f>
        <v>Active</v>
      </c>
      <c r="R1001" s="159">
        <f>IFERROR(__xludf.DUMMYFUNCTION("""COMPUTED_VALUE"""),34493.0)</f>
        <v>34493</v>
      </c>
      <c r="S1001" s="146">
        <f>IFERROR(__xludf.DUMMYFUNCTION("""COMPUTED_VALUE"""),8.18999185E8)</f>
        <v>818999185</v>
      </c>
      <c r="T1001" s="147">
        <f>IFERROR(__xludf.DUMMYFUNCTION("""COMPUTED_VALUE"""),1.10060029035E12)</f>
        <v>1100600290350</v>
      </c>
      <c r="U1001" t="str">
        <f>IFERROR(__xludf.DUMMYFUNCTION("""COMPUTED_VALUE"""),"AC5678753")</f>
        <v>AC5678753</v>
      </c>
      <c r="V1001" s="148">
        <f>IFERROR(__xludf.DUMMYFUNCTION("""COMPUTED_VALUE"""),45177.0)</f>
        <v>45177</v>
      </c>
      <c r="W1001" s="148">
        <f>IFERROR(__xludf.DUMMYFUNCTION("""COMPUTED_VALUE"""),48829.0)</f>
        <v>48829</v>
      </c>
      <c r="X1001" s="149">
        <f>IFERROR(__xludf.DUMMYFUNCTION("""COMPUTED_VALUE"""),48645.0)</f>
        <v>48645</v>
      </c>
      <c r="Y1001" t="str">
        <f>IFERROR(__xludf.DUMMYFUNCTION("""COMPUTED_VALUE"""),"ปลอดภัย")</f>
        <v>ปลอดภัย</v>
      </c>
      <c r="Z1001" t="str">
        <f>IFERROR(__xludf.DUMMYFUNCTION("""COMPUTED_VALUE"""),"Bangkok")</f>
        <v>Bangkok</v>
      </c>
      <c r="AA1001" t="str">
        <f>IFERROR(__xludf.DUMMYFUNCTION("""COMPUTED_VALUE"""),"Bangkok")</f>
        <v>Bangkok</v>
      </c>
      <c r="AB1001" s="145" t="str">
        <f>IFERROR(__xludf.DUMMYFUNCTION("""COMPUTED_VALUE"""),"0813743669")</f>
        <v>0813743669</v>
      </c>
      <c r="AC1001" t="str">
        <f>IFERROR(__xludf.DUMMYFUNCTION("""COMPUTED_VALUE"""),"นางสุนิสา อินทฤทธิ์ Mother")</f>
        <v>นางสุนิสา อินทฤทธิ์ Mother</v>
      </c>
      <c r="AD1001" t="str">
        <f>IFERROR(__xludf.DUMMYFUNCTION("""COMPUTED_VALUE"""),"thanissaintharit@airasia.com")</f>
        <v>thanissaintharit@airasia.com</v>
      </c>
    </row>
    <row r="1002">
      <c r="A1002" s="142">
        <f>IFERROR(__xludf.DUMMYFUNCTION("""COMPUTED_VALUE"""),101.0)</f>
        <v>101</v>
      </c>
      <c r="C1002">
        <f>IFERROR(__xludf.DUMMYFUNCTION("""COMPUTED_VALUE"""),1025579.0)</f>
        <v>1025579</v>
      </c>
      <c r="D1002" t="str">
        <f>IFERROR(__xludf.DUMMYFUNCTION("""COMPUTED_VALUE"""),"Ms.")</f>
        <v>Ms.</v>
      </c>
      <c r="E1002" t="str">
        <f>IFERROR(__xludf.DUMMYFUNCTION("""COMPUTED_VALUE"""),"Wasinee")</f>
        <v>Wasinee</v>
      </c>
      <c r="F1002" t="str">
        <f>IFERROR(__xludf.DUMMYFUNCTION("""COMPUTED_VALUE"""),"Eiampongpaitoun")</f>
        <v>Eiampongpaitoun</v>
      </c>
      <c r="G1002" t="str">
        <f>IFERROR(__xludf.DUMMYFUNCTION("""COMPUTED_VALUE"""),"Wasinee Eiampongpaitoun")</f>
        <v>Wasinee Eiampongpaitoun</v>
      </c>
      <c r="H1002" t="str">
        <f>IFERROR(__xludf.DUMMYFUNCTION("""COMPUTED_VALUE"""),"นางสาว")</f>
        <v>นางสาว</v>
      </c>
      <c r="I1002" t="str">
        <f>IFERROR(__xludf.DUMMYFUNCTION("""COMPUTED_VALUE"""),"วศินี​")</f>
        <v>วศินี​</v>
      </c>
      <c r="J1002" t="str">
        <f>IFERROR(__xludf.DUMMYFUNCTION("""COMPUTED_VALUE"""),"เอี่ยมพ​งษ์ไพฑูรย์​")</f>
        <v>เอี่ยมพ​งษ์ไพฑูรย์​</v>
      </c>
      <c r="K1002" t="str">
        <f>IFERROR(__xludf.DUMMYFUNCTION("""COMPUTED_VALUE"""),"วศินี​ เอี่ยมพ​งษ์ไพฑูรย์​")</f>
        <v>วศินี​ เอี่ยมพ​งษ์ไพฑูรย์​</v>
      </c>
      <c r="L1002" t="str">
        <f>IFERROR(__xludf.DUMMYFUNCTION("""COMPUTED_VALUE"""),"Preaw​/เปรียว")</f>
        <v>Preaw​/เปรียว</v>
      </c>
      <c r="M1002" t="str">
        <f>IFERROR(__xludf.DUMMYFUNCTION("""COMPUTED_VALUE"""),"Cabin Crew")</f>
        <v>Cabin Crew</v>
      </c>
      <c r="N1002" t="str">
        <f>IFERROR(__xludf.DUMMYFUNCTION("""COMPUTED_VALUE"""),"DMK")</f>
        <v>DMK</v>
      </c>
      <c r="O1002" s="145" t="str">
        <f>IFERROR(__xludf.DUMMYFUNCTION("""COMPUTED_VALUE"""),"Toffy Home")</f>
        <v>Toffy Home</v>
      </c>
      <c r="P1002" t="str">
        <f>IFERROR(__xludf.DUMMYFUNCTION("""COMPUTED_VALUE"""),"LWPP")</f>
        <v>LWPP</v>
      </c>
      <c r="R1002" s="159">
        <f>IFERROR(__xludf.DUMMYFUNCTION("""COMPUTED_VALUE"""),32588.0)</f>
        <v>32588</v>
      </c>
      <c r="S1002" s="146" t="str">
        <f>IFERROR(__xludf.DUMMYFUNCTION("""COMPUTED_VALUE"""),"083-044-9878​")</f>
        <v>083-044-9878​</v>
      </c>
      <c r="T1002" s="147">
        <f>IFERROR(__xludf.DUMMYFUNCTION("""COMPUTED_VALUE"""),1.709900438762E12)</f>
        <v>1709900438762</v>
      </c>
      <c r="U1002" t="str">
        <f>IFERROR(__xludf.DUMMYFUNCTION("""COMPUTED_VALUE"""),"AC5186098")</f>
        <v>AC5186098</v>
      </c>
      <c r="V1002" s="148">
        <f>IFERROR(__xludf.DUMMYFUNCTION("""COMPUTED_VALUE"""),45320.0)</f>
        <v>45320</v>
      </c>
      <c r="W1002" s="148">
        <f>IFERROR(__xludf.DUMMYFUNCTION("""COMPUTED_VALUE"""),48972.0)</f>
        <v>48972</v>
      </c>
      <c r="X1002" s="149">
        <f>IFERROR(__xludf.DUMMYFUNCTION("""COMPUTED_VALUE"""),48788.0)</f>
        <v>48788</v>
      </c>
      <c r="Y1002" t="str">
        <f>IFERROR(__xludf.DUMMYFUNCTION("""COMPUTED_VALUE"""),"ปลอดภัย")</f>
        <v>ปลอดภัย</v>
      </c>
      <c r="Z1002" t="str">
        <f>IFERROR(__xludf.DUMMYFUNCTION("""COMPUTED_VALUE"""),"Ratchaburi Province")</f>
        <v>Ratchaburi Province</v>
      </c>
      <c r="AA1002" t="str">
        <f>IFERROR(__xludf.DUMMYFUNCTION("""COMPUTED_VALUE"""),"Bangkok")</f>
        <v>Bangkok</v>
      </c>
      <c r="AB1002" s="145" t="str">
        <f>IFERROR(__xludf.DUMMYFUNCTION("""COMPUTED_VALUE"""),"0868999446​")</f>
        <v>0868999446​</v>
      </c>
      <c r="AC1002" t="str">
        <f>IFERROR(__xludf.DUMMYFUNCTION("""COMPUTED_VALUE"""),"นางสาววริศ​ เอี่ยมพ​งษ์ไพฑูรย์​ Sister")</f>
        <v>นางสาววริศ​ เอี่ยมพ​งษ์ไพฑูรย์​ Sister</v>
      </c>
      <c r="AD1002" t="str">
        <f>IFERROR(__xludf.DUMMYFUNCTION("""COMPUTED_VALUE"""),"wasineeeiampongpait@airasia.com")</f>
        <v>wasineeeiampongpait@airasia.com</v>
      </c>
    </row>
    <row r="1003">
      <c r="A1003" s="142">
        <f>IFERROR(__xludf.DUMMYFUNCTION("""COMPUTED_VALUE"""),101.0)</f>
        <v>101</v>
      </c>
      <c r="C1003">
        <f>IFERROR(__xludf.DUMMYFUNCTION("""COMPUTED_VALUE"""),1025120.0)</f>
        <v>1025120</v>
      </c>
      <c r="D1003" t="str">
        <f>IFERROR(__xludf.DUMMYFUNCTION("""COMPUTED_VALUE"""),"Ms.")</f>
        <v>Ms.</v>
      </c>
      <c r="E1003" t="str">
        <f>IFERROR(__xludf.DUMMYFUNCTION("""COMPUTED_VALUE"""),"Weawpaka")</f>
        <v>Weawpaka</v>
      </c>
      <c r="F1003" t="str">
        <f>IFERROR(__xludf.DUMMYFUNCTION("""COMPUTED_VALUE"""),"Chatrattichai")</f>
        <v>Chatrattichai</v>
      </c>
      <c r="G1003" t="str">
        <f>IFERROR(__xludf.DUMMYFUNCTION("""COMPUTED_VALUE"""),"Weawpaka Chatrattichai")</f>
        <v>Weawpaka Chatrattichai</v>
      </c>
      <c r="H1003" t="str">
        <f>IFERROR(__xludf.DUMMYFUNCTION("""COMPUTED_VALUE"""),"นางสาว")</f>
        <v>นางสาว</v>
      </c>
      <c r="I1003" t="str">
        <f>IFERROR(__xludf.DUMMYFUNCTION("""COMPUTED_VALUE"""),"แววผกา")</f>
        <v>แววผกา</v>
      </c>
      <c r="J1003" t="str">
        <f>IFERROR(__xludf.DUMMYFUNCTION("""COMPUTED_VALUE"""),"ฉัตร์รัตติชัย")</f>
        <v>ฉัตร์รัตติชัย</v>
      </c>
      <c r="K1003" t="str">
        <f>IFERROR(__xludf.DUMMYFUNCTION("""COMPUTED_VALUE"""),"แววผกา ฉัตร์รัตติชัย")</f>
        <v>แววผกา ฉัตร์รัตติชัย</v>
      </c>
      <c r="L1003" t="str">
        <f>IFERROR(__xludf.DUMMYFUNCTION("""COMPUTED_VALUE"""),"Anne / แอน")</f>
        <v>Anne / แอน</v>
      </c>
      <c r="M1003" t="str">
        <f>IFERROR(__xludf.DUMMYFUNCTION("""COMPUTED_VALUE"""),"Cabin Crew")</f>
        <v>Cabin Crew</v>
      </c>
      <c r="N1003" t="str">
        <f>IFERROR(__xludf.DUMMYFUNCTION("""COMPUTED_VALUE"""),"DMK")</f>
        <v>DMK</v>
      </c>
      <c r="O1003" s="145" t="str">
        <f>IFERROR(__xludf.DUMMYFUNCTION("""COMPUTED_VALUE"""),"Namfon Home")</f>
        <v>Namfon Home</v>
      </c>
      <c r="P1003" t="str">
        <f>IFERROR(__xludf.DUMMYFUNCTION("""COMPUTED_VALUE"""),"Active")</f>
        <v>Active</v>
      </c>
      <c r="R1003" s="159">
        <f>IFERROR(__xludf.DUMMYFUNCTION("""COMPUTED_VALUE"""),32926.0)</f>
        <v>32926</v>
      </c>
      <c r="S1003" s="146">
        <f>IFERROR(__xludf.DUMMYFUNCTION("""COMPUTED_VALUE"""),6.50514423E8)</f>
        <v>650514423</v>
      </c>
      <c r="T1003" s="147">
        <f>IFERROR(__xludf.DUMMYFUNCTION("""COMPUTED_VALUE"""),1.103700068902E12)</f>
        <v>1103700068902</v>
      </c>
      <c r="U1003" t="str">
        <f>IFERROR(__xludf.DUMMYFUNCTION("""COMPUTED_VALUE"""),"AC3474344")</f>
        <v>AC3474344</v>
      </c>
      <c r="V1003" s="148">
        <f>IFERROR(__xludf.DUMMYFUNCTION("""COMPUTED_VALUE"""),44741.0)</f>
        <v>44741</v>
      </c>
      <c r="W1003" s="148">
        <f>IFERROR(__xludf.DUMMYFUNCTION("""COMPUTED_VALUE"""),48393.0)</f>
        <v>48393</v>
      </c>
      <c r="X1003" s="149">
        <f>IFERROR(__xludf.DUMMYFUNCTION("""COMPUTED_VALUE"""),48210.0)</f>
        <v>48210</v>
      </c>
      <c r="Y1003" t="str">
        <f>IFERROR(__xludf.DUMMYFUNCTION("""COMPUTED_VALUE"""),"ปลอดภัย")</f>
        <v>ปลอดภัย</v>
      </c>
      <c r="Z1003" t="str">
        <f>IFERROR(__xludf.DUMMYFUNCTION("""COMPUTED_VALUE"""),"Bangkok")</f>
        <v>Bangkok</v>
      </c>
      <c r="AA1003" t="str">
        <f>IFERROR(__xludf.DUMMYFUNCTION("""COMPUTED_VALUE"""),"NONTABUTI")</f>
        <v>NONTABUTI</v>
      </c>
      <c r="AB1003" s="145" t="str">
        <f>IFERROR(__xludf.DUMMYFUNCTION("""COMPUTED_VALUE"""),"0992895111")</f>
        <v>0992895111</v>
      </c>
      <c r="AC1003" t="str">
        <f>IFERROR(__xludf.DUMMYFUNCTION("""COMPUTED_VALUE"""),"นานกังวาล พูลทรัพย์ Husband")</f>
        <v>นานกังวาล พูลทรัพย์ Husband</v>
      </c>
      <c r="AD1003" t="str">
        <f>IFERROR(__xludf.DUMMYFUNCTION("""COMPUTED_VALUE"""),"weawpakachatrattich@airasia.com")</f>
        <v>weawpakachatrattich@airasia.com</v>
      </c>
    </row>
    <row r="1004">
      <c r="A1004" s="142">
        <f>IFERROR(__xludf.DUMMYFUNCTION("""COMPUTED_VALUE"""),101.0)</f>
        <v>101</v>
      </c>
      <c r="C1004">
        <f>IFERROR(__xludf.DUMMYFUNCTION("""COMPUTED_VALUE"""),1028029.0)</f>
        <v>1028029</v>
      </c>
      <c r="D1004" t="str">
        <f>IFERROR(__xludf.DUMMYFUNCTION("""COMPUTED_VALUE"""),"Ms.")</f>
        <v>Ms.</v>
      </c>
      <c r="E1004" t="str">
        <f>IFERROR(__xludf.DUMMYFUNCTION("""COMPUTED_VALUE"""),"Atima")</f>
        <v>Atima</v>
      </c>
      <c r="F1004" t="str">
        <f>IFERROR(__xludf.DUMMYFUNCTION("""COMPUTED_VALUE"""),"Tanapat")</f>
        <v>Tanapat</v>
      </c>
      <c r="G1004" t="str">
        <f>IFERROR(__xludf.DUMMYFUNCTION("""COMPUTED_VALUE"""),"Atima Tanapat")</f>
        <v>Atima Tanapat</v>
      </c>
      <c r="H1004" t="str">
        <f>IFERROR(__xludf.DUMMYFUNCTION("""COMPUTED_VALUE"""),"นางสาว")</f>
        <v>นางสาว</v>
      </c>
      <c r="I1004" t="str">
        <f>IFERROR(__xludf.DUMMYFUNCTION("""COMPUTED_VALUE"""),"อาทิมา")</f>
        <v>อาทิมา</v>
      </c>
      <c r="J1004" t="str">
        <f>IFERROR(__xludf.DUMMYFUNCTION("""COMPUTED_VALUE"""),"ธนะเพทย์")</f>
        <v>ธนะเพทย์</v>
      </c>
      <c r="K1004" t="str">
        <f>IFERROR(__xludf.DUMMYFUNCTION("""COMPUTED_VALUE"""),"อาทิมา ธนะเพทย์")</f>
        <v>อาทิมา ธนะเพทย์</v>
      </c>
      <c r="L1004" t="str">
        <f>IFERROR(__xludf.DUMMYFUNCTION("""COMPUTED_VALUE"""),"Ying / หญิง")</f>
        <v>Ying / หญิง</v>
      </c>
      <c r="M1004" t="str">
        <f>IFERROR(__xludf.DUMMYFUNCTION("""COMPUTED_VALUE"""),"Cabin Crew")</f>
        <v>Cabin Crew</v>
      </c>
      <c r="N1004" t="str">
        <f>IFERROR(__xludf.DUMMYFUNCTION("""COMPUTED_VALUE"""),"DMK")</f>
        <v>DMK</v>
      </c>
      <c r="O1004" s="145" t="str">
        <f>IFERROR(__xludf.DUMMYFUNCTION("""COMPUTED_VALUE"""),"Um Home")</f>
        <v>Um Home</v>
      </c>
      <c r="P1004" t="str">
        <f>IFERROR(__xludf.DUMMYFUNCTION("""COMPUTED_VALUE"""),"Active")</f>
        <v>Active</v>
      </c>
      <c r="R1004" s="159">
        <f>IFERROR(__xludf.DUMMYFUNCTION("""COMPUTED_VALUE"""),34705.0)</f>
        <v>34705</v>
      </c>
      <c r="S1004" s="146" t="str">
        <f>IFERROR(__xludf.DUMMYFUNCTION("""COMPUTED_VALUE"""),"089-637-8714 หรือ 091-895-9871")</f>
        <v>089-637-8714 หรือ 091-895-9871</v>
      </c>
      <c r="T1004" s="147">
        <f>IFERROR(__xludf.DUMMYFUNCTION("""COMPUTED_VALUE"""),1.103701594365E12)</f>
        <v>1103701594365</v>
      </c>
      <c r="U1004" t="str">
        <f>IFERROR(__xludf.DUMMYFUNCTION("""COMPUTED_VALUE"""),"AD1028281")</f>
        <v>AD1028281</v>
      </c>
      <c r="V1004" s="148">
        <f>IFERROR(__xludf.DUMMYFUNCTION("""COMPUTED_VALUE"""),45048.0)</f>
        <v>45048</v>
      </c>
      <c r="W1004" s="148">
        <f>IFERROR(__xludf.DUMMYFUNCTION("""COMPUTED_VALUE"""),48700.0)</f>
        <v>48700</v>
      </c>
      <c r="X1004" s="149">
        <f>IFERROR(__xludf.DUMMYFUNCTION("""COMPUTED_VALUE"""),48519.0)</f>
        <v>48519</v>
      </c>
      <c r="Y1004" t="str">
        <f>IFERROR(__xludf.DUMMYFUNCTION("""COMPUTED_VALUE"""),"ปลอดภัย")</f>
        <v>ปลอดภัย</v>
      </c>
      <c r="Z1004" t="str">
        <f>IFERROR(__xludf.DUMMYFUNCTION("""COMPUTED_VALUE"""),"Bangkok")</f>
        <v>Bangkok</v>
      </c>
      <c r="AA1004" t="str">
        <f>IFERROR(__xludf.DUMMYFUNCTION("""COMPUTED_VALUE"""),"Bangkok")</f>
        <v>Bangkok</v>
      </c>
      <c r="AB1004" s="145" t="str">
        <f>IFERROR(__xludf.DUMMYFUNCTION("""COMPUTED_VALUE"""),"089-632-4236 หรือ 081-951-1025")</f>
        <v>089-632-4236 หรือ 081-951-1025</v>
      </c>
      <c r="AC1004" t="str">
        <f>IFERROR(__xludf.DUMMYFUNCTION("""COMPUTED_VALUE"""),"นาง ศิริพร อายะวรรณา Mother")</f>
        <v>นาง ศิริพร อายะวรรณา Mother</v>
      </c>
      <c r="AD1004" t="str">
        <f>IFERROR(__xludf.DUMMYFUNCTION("""COMPUTED_VALUE"""),"atimatanapat@airasia.com")</f>
        <v>atimatanapat@airasia.com</v>
      </c>
    </row>
    <row r="1005">
      <c r="A1005" s="142">
        <f>IFERROR(__xludf.DUMMYFUNCTION("""COMPUTED_VALUE"""),101.0)</f>
        <v>101</v>
      </c>
      <c r="C1005">
        <f>IFERROR(__xludf.DUMMYFUNCTION("""COMPUTED_VALUE"""),1013563.0)</f>
        <v>1013563</v>
      </c>
      <c r="D1005" t="str">
        <f>IFERROR(__xludf.DUMMYFUNCTION("""COMPUTED_VALUE"""),"Mr.")</f>
        <v>Mr.</v>
      </c>
      <c r="E1005" t="str">
        <f>IFERROR(__xludf.DUMMYFUNCTION("""COMPUTED_VALUE"""),"Josiah")</f>
        <v>Josiah</v>
      </c>
      <c r="F1005" t="str">
        <f>IFERROR(__xludf.DUMMYFUNCTION("""COMPUTED_VALUE"""),"Taylor")</f>
        <v>Taylor</v>
      </c>
      <c r="G1005" t="str">
        <f>IFERROR(__xludf.DUMMYFUNCTION("""COMPUTED_VALUE"""),"Josiah Taylor")</f>
        <v>Josiah Taylor</v>
      </c>
      <c r="H1005" t="str">
        <f>IFERROR(__xludf.DUMMYFUNCTION("""COMPUTED_VALUE"""),"นาย")</f>
        <v>นาย</v>
      </c>
      <c r="I1005" t="str">
        <f>IFERROR(__xludf.DUMMYFUNCTION("""COMPUTED_VALUE"""),"โจชิอา")</f>
        <v>โจชิอา</v>
      </c>
      <c r="J1005" t="str">
        <f>IFERROR(__xludf.DUMMYFUNCTION("""COMPUTED_VALUE"""),"เทเลอร์")</f>
        <v>เทเลอร์</v>
      </c>
      <c r="K1005" t="str">
        <f>IFERROR(__xludf.DUMMYFUNCTION("""COMPUTED_VALUE"""),"โจชิอา เทเลอร์")</f>
        <v>โจชิอา เทเลอร์</v>
      </c>
      <c r="L1005" t="str">
        <f>IFERROR(__xludf.DUMMYFUNCTION("""COMPUTED_VALUE"""),"Jo /โจ")</f>
        <v>Jo /โจ</v>
      </c>
      <c r="M1005" t="str">
        <f>IFERROR(__xludf.DUMMYFUNCTION("""COMPUTED_VALUE"""),"Cabin Crew - CNX")</f>
        <v>Cabin Crew - CNX</v>
      </c>
      <c r="N1005" t="str">
        <f>IFERROR(__xludf.DUMMYFUNCTION("""COMPUTED_VALUE"""),"CNX")</f>
        <v>CNX</v>
      </c>
      <c r="O1005" s="145" t="str">
        <f>IFERROR(__xludf.DUMMYFUNCTION("""COMPUTED_VALUE"""),"Up Home")</f>
        <v>Up Home</v>
      </c>
      <c r="P1005" t="str">
        <f>IFERROR(__xludf.DUMMYFUNCTION("""COMPUTED_VALUE"""),"Active")</f>
        <v>Active</v>
      </c>
      <c r="R1005" s="159">
        <f>IFERROR(__xludf.DUMMYFUNCTION("""COMPUTED_VALUE"""),33017.0)</f>
        <v>33017</v>
      </c>
      <c r="S1005" s="146">
        <f>IFERROR(__xludf.DUMMYFUNCTION("""COMPUTED_VALUE"""),8.25590124E8)</f>
        <v>825590124</v>
      </c>
      <c r="T1005" s="147">
        <f>IFERROR(__xludf.DUMMYFUNCTION("""COMPUTED_VALUE"""),5.502201027176E12)</f>
        <v>5502201027176</v>
      </c>
      <c r="U1005" t="str">
        <f>IFERROR(__xludf.DUMMYFUNCTION("""COMPUTED_VALUE"""),"AC3434000")</f>
        <v>AC3434000</v>
      </c>
      <c r="V1005" s="148">
        <f>IFERROR(__xludf.DUMMYFUNCTION("""COMPUTED_VALUE"""),44733.0)</f>
        <v>44733</v>
      </c>
      <c r="W1005" s="148">
        <f>IFERROR(__xludf.DUMMYFUNCTION("""COMPUTED_VALUE"""),48385.0)</f>
        <v>48385</v>
      </c>
      <c r="X1005" s="149">
        <f>IFERROR(__xludf.DUMMYFUNCTION("""COMPUTED_VALUE"""),48202.0)</f>
        <v>48202</v>
      </c>
      <c r="Y1005" t="str">
        <f>IFERROR(__xludf.DUMMYFUNCTION("""COMPUTED_VALUE"""),"ปลอดภัย")</f>
        <v>ปลอดภัย</v>
      </c>
      <c r="Z1005" t="str">
        <f>IFERROR(__xludf.DUMMYFUNCTION("""COMPUTED_VALUE"""),"Phetchabun Province")</f>
        <v>Phetchabun Province</v>
      </c>
      <c r="AA1005" t="str">
        <f>IFERROR(__xludf.DUMMYFUNCTION("""COMPUTED_VALUE"""),"Bangkok")</f>
        <v>Bangkok</v>
      </c>
      <c r="AB1005" s="145" t="str">
        <f>IFERROR(__xludf.DUMMYFUNCTION("""COMPUTED_VALUE"""),"0993716665")</f>
        <v>0993716665</v>
      </c>
      <c r="AC1005" t="str">
        <f>IFERROR(__xludf.DUMMYFUNCTION("""COMPUTED_VALUE"""),"นาย บรูซ แพทริค เทเลอร์ Father")</f>
        <v>นาย บรูซ แพทริค เทเลอร์ Father</v>
      </c>
      <c r="AD1005" t="str">
        <f>IFERROR(__xludf.DUMMYFUNCTION("""COMPUTED_VALUE"""),"josiaht@airasia.com")</f>
        <v>josiaht@airasia.com</v>
      </c>
    </row>
    <row r="1006">
      <c r="A1006" s="142">
        <f>IFERROR(__xludf.DUMMYFUNCTION("""COMPUTED_VALUE"""),101.0)</f>
        <v>101</v>
      </c>
      <c r="C1006">
        <f>IFERROR(__xludf.DUMMYFUNCTION("""COMPUTED_VALUE"""),1027118.0)</f>
        <v>1027118</v>
      </c>
      <c r="D1006" t="str">
        <f>IFERROR(__xludf.DUMMYFUNCTION("""COMPUTED_VALUE"""),"Ms.")</f>
        <v>Ms.</v>
      </c>
      <c r="E1006" t="str">
        <f>IFERROR(__xludf.DUMMYFUNCTION("""COMPUTED_VALUE"""),"Kamonkarn")</f>
        <v>Kamonkarn</v>
      </c>
      <c r="F1006" t="str">
        <f>IFERROR(__xludf.DUMMYFUNCTION("""COMPUTED_VALUE"""),"Chuengoen")</f>
        <v>Chuengoen</v>
      </c>
      <c r="G1006" t="str">
        <f>IFERROR(__xludf.DUMMYFUNCTION("""COMPUTED_VALUE"""),"Kamonkarn Chuengoen")</f>
        <v>Kamonkarn Chuengoen</v>
      </c>
      <c r="H1006" t="str">
        <f>IFERROR(__xludf.DUMMYFUNCTION("""COMPUTED_VALUE"""),"นางสาว")</f>
        <v>นางสาว</v>
      </c>
      <c r="I1006" t="str">
        <f>IFERROR(__xludf.DUMMYFUNCTION("""COMPUTED_VALUE"""),"กมลกาญจน์")</f>
        <v>กมลกาญจน์</v>
      </c>
      <c r="J1006" t="str">
        <f>IFERROR(__xludf.DUMMYFUNCTION("""COMPUTED_VALUE"""),"เชื้อเงิน")</f>
        <v>เชื้อเงิน</v>
      </c>
      <c r="K1006" t="str">
        <f>IFERROR(__xludf.DUMMYFUNCTION("""COMPUTED_VALUE"""),"กมลกาญจน์ เชื้อเงิน")</f>
        <v>กมลกาญจน์ เชื้อเงิน</v>
      </c>
      <c r="L1006" t="str">
        <f>IFERROR(__xludf.DUMMYFUNCTION("""COMPUTED_VALUE"""),"กิ๊ฟท์")</f>
        <v>กิ๊ฟท์</v>
      </c>
      <c r="M1006" t="str">
        <f>IFERROR(__xludf.DUMMYFUNCTION("""COMPUTED_VALUE"""),"Cabin Crew")</f>
        <v>Cabin Crew</v>
      </c>
      <c r="N1006" t="str">
        <f>IFERROR(__xludf.DUMMYFUNCTION("""COMPUTED_VALUE"""),"DMK")</f>
        <v>DMK</v>
      </c>
      <c r="O1006" s="145" t="str">
        <f>IFERROR(__xludf.DUMMYFUNCTION("""COMPUTED_VALUE"""),"Nhui Home")</f>
        <v>Nhui Home</v>
      </c>
      <c r="P1006" t="str">
        <f>IFERROR(__xludf.DUMMYFUNCTION("""COMPUTED_VALUE"""),"Active")</f>
        <v>Active</v>
      </c>
      <c r="R1006" s="159">
        <f>IFERROR(__xludf.DUMMYFUNCTION("""COMPUTED_VALUE"""),34169.0)</f>
        <v>34169</v>
      </c>
      <c r="S1006" s="146">
        <f>IFERROR(__xludf.DUMMYFUNCTION("""COMPUTED_VALUE"""),8.82288482E8)</f>
        <v>882288482</v>
      </c>
      <c r="T1006" s="147">
        <f>IFERROR(__xludf.DUMMYFUNCTION("""COMPUTED_VALUE"""),1.209700486385E12)</f>
        <v>1209700486385</v>
      </c>
      <c r="U1006" t="str">
        <f>IFERROR(__xludf.DUMMYFUNCTION("""COMPUTED_VALUE"""),"AC2304381")</f>
        <v>AC2304381</v>
      </c>
      <c r="V1006" s="148">
        <f>IFERROR(__xludf.DUMMYFUNCTION("""COMPUTED_VALUE"""),44354.0)</f>
        <v>44354</v>
      </c>
      <c r="W1006" s="148">
        <f>IFERROR(__xludf.DUMMYFUNCTION("""COMPUTED_VALUE"""),48005.0)</f>
        <v>48005</v>
      </c>
      <c r="X1006" s="149">
        <f>IFERROR(__xludf.DUMMYFUNCTION("""COMPUTED_VALUE"""),47823.0)</f>
        <v>47823</v>
      </c>
      <c r="Y1006" t="str">
        <f>IFERROR(__xludf.DUMMYFUNCTION("""COMPUTED_VALUE"""),"ปลอดภัย")</f>
        <v>ปลอดภัย</v>
      </c>
      <c r="Z1006" t="str">
        <f>IFERROR(__xludf.DUMMYFUNCTION("""COMPUTED_VALUE"""),"Chonburi Province")</f>
        <v>Chonburi Province</v>
      </c>
      <c r="AA1006" t="str">
        <f>IFERROR(__xludf.DUMMYFUNCTION("""COMPUTED_VALUE"""),"Chonburi Province")</f>
        <v>Chonburi Province</v>
      </c>
      <c r="AB1006" s="145" t="str">
        <f>IFERROR(__xludf.DUMMYFUNCTION("""COMPUTED_VALUE"""),"063-354-1565")</f>
        <v>063-354-1565</v>
      </c>
      <c r="AC1006" t="str">
        <f>IFERROR(__xludf.DUMMYFUNCTION("""COMPUTED_VALUE"""),"นางกาญจนา เชื้อเงิน Mother")</f>
        <v>นางกาญจนา เชื้อเงิน Mother</v>
      </c>
      <c r="AD1006" t="str">
        <f>IFERROR(__xludf.DUMMYFUNCTION("""COMPUTED_VALUE"""),"kamonkarnchuengoen@airasia.com")</f>
        <v>kamonkarnchuengoen@airasia.com</v>
      </c>
    </row>
    <row r="1007">
      <c r="A1007" s="142">
        <f>IFERROR(__xludf.DUMMYFUNCTION("""COMPUTED_VALUE"""),101.0)</f>
        <v>101</v>
      </c>
      <c r="C1007">
        <f>IFERROR(__xludf.DUMMYFUNCTION("""COMPUTED_VALUE"""),1005312.0)</f>
        <v>1005312</v>
      </c>
      <c r="D1007" t="str">
        <f>IFERROR(__xludf.DUMMYFUNCTION("""COMPUTED_VALUE"""),"Ms.")</f>
        <v>Ms.</v>
      </c>
      <c r="E1007" t="str">
        <f>IFERROR(__xludf.DUMMYFUNCTION("""COMPUTED_VALUE"""),"Khemika")</f>
        <v>Khemika</v>
      </c>
      <c r="F1007" t="str">
        <f>IFERROR(__xludf.DUMMYFUNCTION("""COMPUTED_VALUE"""),"Thnonchaikul")</f>
        <v>Thnonchaikul</v>
      </c>
      <c r="G1007" t="str">
        <f>IFERROR(__xludf.DUMMYFUNCTION("""COMPUTED_VALUE"""),"Khemika Thnonchaikul")</f>
        <v>Khemika Thnonchaikul</v>
      </c>
      <c r="H1007" t="str">
        <f>IFERROR(__xludf.DUMMYFUNCTION("""COMPUTED_VALUE"""),"นางสาว")</f>
        <v>นางสาว</v>
      </c>
      <c r="I1007" t="str">
        <f>IFERROR(__xludf.DUMMYFUNCTION("""COMPUTED_VALUE"""),"เขมิกา")</f>
        <v>เขมิกา</v>
      </c>
      <c r="J1007" t="str">
        <f>IFERROR(__xludf.DUMMYFUNCTION("""COMPUTED_VALUE"""),"ธนญชัยกุล")</f>
        <v>ธนญชัยกุล</v>
      </c>
      <c r="K1007" t="str">
        <f>IFERROR(__xludf.DUMMYFUNCTION("""COMPUTED_VALUE"""),"เขมิกา ธนญชัยกุล")</f>
        <v>เขมิกา ธนญชัยกุล</v>
      </c>
      <c r="L1007" t="str">
        <f>IFERROR(__xludf.DUMMYFUNCTION("""COMPUTED_VALUE"""),"ญี่ปุ่น")</f>
        <v>ญี่ปุ่น</v>
      </c>
      <c r="M1007" t="str">
        <f>IFERROR(__xludf.DUMMYFUNCTION("""COMPUTED_VALUE"""),"Cabin Crew")</f>
        <v>Cabin Crew</v>
      </c>
      <c r="N1007" t="str">
        <f>IFERROR(__xludf.DUMMYFUNCTION("""COMPUTED_VALUE"""),"DMK")</f>
        <v>DMK</v>
      </c>
      <c r="O1007" s="145" t="str">
        <f>IFERROR(__xludf.DUMMYFUNCTION("""COMPUTED_VALUE"""),"Kor Home")</f>
        <v>Kor Home</v>
      </c>
      <c r="P1007" t="str">
        <f>IFERROR(__xludf.DUMMYFUNCTION("""COMPUTED_VALUE"""),"Active")</f>
        <v>Active</v>
      </c>
      <c r="R1007" s="159">
        <f>IFERROR(__xludf.DUMMYFUNCTION("""COMPUTED_VALUE"""),32475.0)</f>
        <v>32475</v>
      </c>
      <c r="S1007" s="146">
        <f>IFERROR(__xludf.DUMMYFUNCTION("""COMPUTED_VALUE"""),9.72484146E8)</f>
        <v>972484146</v>
      </c>
      <c r="T1007" s="147">
        <f>IFERROR(__xludf.DUMMYFUNCTION("""COMPUTED_VALUE"""),1.100800482988E12)</f>
        <v>1100800482988</v>
      </c>
      <c r="U1007" t="str">
        <f>IFERROR(__xludf.DUMMYFUNCTION("""COMPUTED_VALUE"""),"AC4302496")</f>
        <v>AC4302496</v>
      </c>
      <c r="V1007" s="148">
        <f>IFERROR(__xludf.DUMMYFUNCTION("""COMPUTED_VALUE"""),44914.0)</f>
        <v>44914</v>
      </c>
      <c r="W1007" s="148">
        <f>IFERROR(__xludf.DUMMYFUNCTION("""COMPUTED_VALUE"""),48566.0)</f>
        <v>48566</v>
      </c>
      <c r="X1007" s="149">
        <f>IFERROR(__xludf.DUMMYFUNCTION("""COMPUTED_VALUE"""),48383.0)</f>
        <v>48383</v>
      </c>
      <c r="Y1007" t="str">
        <f>IFERROR(__xludf.DUMMYFUNCTION("""COMPUTED_VALUE"""),"ปลอดภัย")</f>
        <v>ปลอดภัย</v>
      </c>
      <c r="Z1007" t="str">
        <f>IFERROR(__xludf.DUMMYFUNCTION("""COMPUTED_VALUE"""),"Bangkok")</f>
        <v>Bangkok</v>
      </c>
      <c r="AA1007" t="str">
        <f>IFERROR(__xludf.DUMMYFUNCTION("""COMPUTED_VALUE"""),"Bangkok")</f>
        <v>Bangkok</v>
      </c>
      <c r="AB1007" s="145" t="str">
        <f>IFERROR(__xludf.DUMMYFUNCTION("""COMPUTED_VALUE"""),"0839969439")</f>
        <v>0839969439</v>
      </c>
      <c r="AC1007" t="str">
        <f>IFERROR(__xludf.DUMMYFUNCTION("""COMPUTED_VALUE"""),"ธนิสร ธนญชัยกุล Father")</f>
        <v>ธนิสร ธนญชัยกุล Father</v>
      </c>
      <c r="AD1007" t="str">
        <f>IFERROR(__xludf.DUMMYFUNCTION("""COMPUTED_VALUE"""),"khemikat@airasia.com")</f>
        <v>khemikat@airasia.com</v>
      </c>
    </row>
    <row r="1008">
      <c r="A1008" s="142">
        <f>IFERROR(__xludf.DUMMYFUNCTION("""COMPUTED_VALUE"""),101.0)</f>
        <v>101</v>
      </c>
      <c r="C1008">
        <f>IFERROR(__xludf.DUMMYFUNCTION("""COMPUTED_VALUE"""),1026841.0)</f>
        <v>1026841</v>
      </c>
      <c r="D1008" t="str">
        <f>IFERROR(__xludf.DUMMYFUNCTION("""COMPUTED_VALUE"""),"Ms.")</f>
        <v>Ms.</v>
      </c>
      <c r="E1008" t="str">
        <f>IFERROR(__xludf.DUMMYFUNCTION("""COMPUTED_VALUE"""),"Natjaree")</f>
        <v>Natjaree</v>
      </c>
      <c r="F1008" t="str">
        <f>IFERROR(__xludf.DUMMYFUNCTION("""COMPUTED_VALUE"""),"Phanitwaranan")</f>
        <v>Phanitwaranan</v>
      </c>
      <c r="G1008" t="str">
        <f>IFERROR(__xludf.DUMMYFUNCTION("""COMPUTED_VALUE"""),"Natjaree Phanitwaranan")</f>
        <v>Natjaree Phanitwaranan</v>
      </c>
      <c r="H1008" t="str">
        <f>IFERROR(__xludf.DUMMYFUNCTION("""COMPUTED_VALUE"""),"นางสาว")</f>
        <v>นางสาว</v>
      </c>
      <c r="I1008" t="str">
        <f>IFERROR(__xludf.DUMMYFUNCTION("""COMPUTED_VALUE"""),"ณัฐจารี")</f>
        <v>ณัฐจารี</v>
      </c>
      <c r="J1008" t="str">
        <f>IFERROR(__xludf.DUMMYFUNCTION("""COMPUTED_VALUE"""),"พานิจวรานันท์")</f>
        <v>พานิจวรานันท์</v>
      </c>
      <c r="K1008" t="str">
        <f>IFERROR(__xludf.DUMMYFUNCTION("""COMPUTED_VALUE"""),"ณัฐจารี พานิจวรานันท์")</f>
        <v>ณัฐจารี พานิจวรานันท์</v>
      </c>
      <c r="L1008" t="str">
        <f>IFERROR(__xludf.DUMMYFUNCTION("""COMPUTED_VALUE"""),"Miew / หมิว")</f>
        <v>Miew / หมิว</v>
      </c>
      <c r="M1008" t="str">
        <f>IFERROR(__xludf.DUMMYFUNCTION("""COMPUTED_VALUE"""),"Cabin Crew")</f>
        <v>Cabin Crew</v>
      </c>
      <c r="N1008" t="str">
        <f>IFERROR(__xludf.DUMMYFUNCTION("""COMPUTED_VALUE"""),"DMK")</f>
        <v>DMK</v>
      </c>
      <c r="O1008" s="145" t="str">
        <f>IFERROR(__xludf.DUMMYFUNCTION("""COMPUTED_VALUE"""),"Namfon Home")</f>
        <v>Namfon Home</v>
      </c>
      <c r="P1008" t="str">
        <f>IFERROR(__xludf.DUMMYFUNCTION("""COMPUTED_VALUE"""),"Active")</f>
        <v>Active</v>
      </c>
      <c r="R1008" s="159">
        <f>IFERROR(__xludf.DUMMYFUNCTION("""COMPUTED_VALUE"""),35206.0)</f>
        <v>35206</v>
      </c>
      <c r="S1008" s="146">
        <f>IFERROR(__xludf.DUMMYFUNCTION("""COMPUTED_VALUE"""),6.46296156E8)</f>
        <v>646296156</v>
      </c>
      <c r="T1008" s="147">
        <f>IFERROR(__xludf.DUMMYFUNCTION("""COMPUTED_VALUE"""),1.609900360349E12)</f>
        <v>1609900360349</v>
      </c>
      <c r="U1008" t="str">
        <f>IFERROR(__xludf.DUMMYFUNCTION("""COMPUTED_VALUE"""),"AC7260716")</f>
        <v>AC7260716</v>
      </c>
      <c r="V1008" s="148">
        <f>IFERROR(__xludf.DUMMYFUNCTION("""COMPUTED_VALUE"""),45615.0)</f>
        <v>45615</v>
      </c>
      <c r="W1008" s="148">
        <f>IFERROR(__xludf.DUMMYFUNCTION("""COMPUTED_VALUE"""),49266.0)</f>
        <v>49266</v>
      </c>
      <c r="X1008" s="149">
        <f>IFERROR(__xludf.DUMMYFUNCTION("""COMPUTED_VALUE"""),49082.0)</f>
        <v>49082</v>
      </c>
      <c r="Y1008" t="str">
        <f>IFERROR(__xludf.DUMMYFUNCTION("""COMPUTED_VALUE"""),"ปลอดภัย")</f>
        <v>ปลอดภัย</v>
      </c>
      <c r="Z1008" t="str">
        <f>IFERROR(__xludf.DUMMYFUNCTION("""COMPUTED_VALUE"""),"Nakhon Sawan Province")</f>
        <v>Nakhon Sawan Province</v>
      </c>
      <c r="AA1008" t="str">
        <f>IFERROR(__xludf.DUMMYFUNCTION("""COMPUTED_VALUE"""),"NONTABUTI")</f>
        <v>NONTABUTI</v>
      </c>
      <c r="AB1008" s="145" t="str">
        <f>IFERROR(__xludf.DUMMYFUNCTION("""COMPUTED_VALUE"""),"0612954645")</f>
        <v>0612954645</v>
      </c>
      <c r="AC1008" t="str">
        <f>IFERROR(__xludf.DUMMYFUNCTION("""COMPUTED_VALUE"""),"นางพรวรินทร์ พานิจวรานันท์ Mother")</f>
        <v>นางพรวรินทร์ พานิจวรานันท์ Mother</v>
      </c>
      <c r="AD1008" t="str">
        <f>IFERROR(__xludf.DUMMYFUNCTION("""COMPUTED_VALUE"""),"natjareephanitwaran@airasia.com")</f>
        <v>natjareephanitwaran@airasia.com</v>
      </c>
    </row>
    <row r="1009">
      <c r="A1009" s="142">
        <f>IFERROR(__xludf.DUMMYFUNCTION("""COMPUTED_VALUE"""),101.0)</f>
        <v>101</v>
      </c>
      <c r="C1009">
        <f>IFERROR(__xludf.DUMMYFUNCTION("""COMPUTED_VALUE"""),1027538.0)</f>
        <v>1027538</v>
      </c>
      <c r="D1009" t="str">
        <f>IFERROR(__xludf.DUMMYFUNCTION("""COMPUTED_VALUE"""),"Mr.")</f>
        <v>Mr.</v>
      </c>
      <c r="E1009" t="str">
        <f>IFERROR(__xludf.DUMMYFUNCTION("""COMPUTED_VALUE"""),"Opal")</f>
        <v>Opal</v>
      </c>
      <c r="F1009" t="str">
        <f>IFERROR(__xludf.DUMMYFUNCTION("""COMPUTED_VALUE"""),"Nitipon")</f>
        <v>Nitipon</v>
      </c>
      <c r="G1009" t="str">
        <f>IFERROR(__xludf.DUMMYFUNCTION("""COMPUTED_VALUE"""),"Opal Nitipon")</f>
        <v>Opal Nitipon</v>
      </c>
      <c r="H1009" t="str">
        <f>IFERROR(__xludf.DUMMYFUNCTION("""COMPUTED_VALUE"""),"นาย")</f>
        <v>นาย</v>
      </c>
      <c r="I1009" t="str">
        <f>IFERROR(__xludf.DUMMYFUNCTION("""COMPUTED_VALUE"""),"โอปอล")</f>
        <v>โอปอล</v>
      </c>
      <c r="J1009" t="str">
        <f>IFERROR(__xludf.DUMMYFUNCTION("""COMPUTED_VALUE"""),"นิติพน")</f>
        <v>นิติพน</v>
      </c>
      <c r="K1009" t="str">
        <f>IFERROR(__xludf.DUMMYFUNCTION("""COMPUTED_VALUE"""),"โอปอล นิติพน")</f>
        <v>โอปอล นิติพน</v>
      </c>
      <c r="L1009" t="str">
        <f>IFERROR(__xludf.DUMMYFUNCTION("""COMPUTED_VALUE"""),"Ice / ไอซ์")</f>
        <v>Ice / ไอซ์</v>
      </c>
      <c r="M1009" t="str">
        <f>IFERROR(__xludf.DUMMYFUNCTION("""COMPUTED_VALUE"""),"Cabin Crew")</f>
        <v>Cabin Crew</v>
      </c>
      <c r="N1009" t="str">
        <f>IFERROR(__xludf.DUMMYFUNCTION("""COMPUTED_VALUE"""),"DMK")</f>
        <v>DMK</v>
      </c>
      <c r="O1009" s="145" t="str">
        <f>IFERROR(__xludf.DUMMYFUNCTION("""COMPUTED_VALUE"""),"Namfon Home")</f>
        <v>Namfon Home</v>
      </c>
      <c r="P1009" t="str">
        <f>IFERROR(__xludf.DUMMYFUNCTION("""COMPUTED_VALUE"""),"Active")</f>
        <v>Active</v>
      </c>
      <c r="R1009" s="159">
        <f>IFERROR(__xludf.DUMMYFUNCTION("""COMPUTED_VALUE"""),35087.0)</f>
        <v>35087</v>
      </c>
      <c r="S1009" s="146">
        <f>IFERROR(__xludf.DUMMYFUNCTION("""COMPUTED_VALUE"""),8.45612323E8)</f>
        <v>845612323</v>
      </c>
      <c r="T1009" s="147">
        <f>IFERROR(__xludf.DUMMYFUNCTION("""COMPUTED_VALUE"""),1.101402098194E12)</f>
        <v>1101402098194</v>
      </c>
      <c r="U1009" t="str">
        <f>IFERROR(__xludf.DUMMYFUNCTION("""COMPUTED_VALUE"""),"AC4822062")</f>
        <v>AC4822062</v>
      </c>
      <c r="V1009" s="148">
        <f>IFERROR(__xludf.DUMMYFUNCTION("""COMPUTED_VALUE"""),45015.0)</f>
        <v>45015</v>
      </c>
      <c r="W1009" s="148">
        <f>IFERROR(__xludf.DUMMYFUNCTION("""COMPUTED_VALUE"""),48669.0)</f>
        <v>48669</v>
      </c>
      <c r="X1009" s="149">
        <f>IFERROR(__xludf.DUMMYFUNCTION("""COMPUTED_VALUE"""),48487.0)</f>
        <v>48487</v>
      </c>
      <c r="Y1009" t="str">
        <f>IFERROR(__xludf.DUMMYFUNCTION("""COMPUTED_VALUE"""),"ปลอดภัย")</f>
        <v>ปลอดภัย</v>
      </c>
      <c r="Z1009" t="str">
        <f>IFERROR(__xludf.DUMMYFUNCTION("""COMPUTED_VALUE"""),"Bangkok")</f>
        <v>Bangkok</v>
      </c>
      <c r="AA1009" t="str">
        <f>IFERROR(__xludf.DUMMYFUNCTION("""COMPUTED_VALUE"""),"NONTABUTI")</f>
        <v>NONTABUTI</v>
      </c>
      <c r="AB1009" s="145" t="str">
        <f>IFERROR(__xludf.DUMMYFUNCTION("""COMPUTED_VALUE"""),"0972417419")</f>
        <v>0972417419</v>
      </c>
      <c r="AC1009" t="str">
        <f>IFERROR(__xludf.DUMMYFUNCTION("""COMPUTED_VALUE"""),"นาง มณีกร นิติพน Mother")</f>
        <v>นาง มณีกร นิติพน Mother</v>
      </c>
      <c r="AD1009" t="str">
        <f>IFERROR(__xludf.DUMMYFUNCTION("""COMPUTED_VALUE"""),"opalnitipon@airasia.com")</f>
        <v>opalnitipon@airasia.com</v>
      </c>
    </row>
    <row r="1010">
      <c r="A1010" s="142">
        <f>IFERROR(__xludf.DUMMYFUNCTION("""COMPUTED_VALUE"""),101.0)</f>
        <v>101</v>
      </c>
      <c r="C1010">
        <f>IFERROR(__xludf.DUMMYFUNCTION("""COMPUTED_VALUE"""),1027495.0)</f>
        <v>1027495</v>
      </c>
      <c r="D1010" t="str">
        <f>IFERROR(__xludf.DUMMYFUNCTION("""COMPUTED_VALUE"""),"Ms.")</f>
        <v>Ms.</v>
      </c>
      <c r="E1010" t="str">
        <f>IFERROR(__xludf.DUMMYFUNCTION("""COMPUTED_VALUE"""),"Poosita")</f>
        <v>Poosita</v>
      </c>
      <c r="F1010" t="str">
        <f>IFERROR(__xludf.DUMMYFUNCTION("""COMPUTED_VALUE"""),"Wongtong")</f>
        <v>Wongtong</v>
      </c>
      <c r="G1010" t="str">
        <f>IFERROR(__xludf.DUMMYFUNCTION("""COMPUTED_VALUE"""),"Poosita Wongtong")</f>
        <v>Poosita Wongtong</v>
      </c>
      <c r="H1010" t="str">
        <f>IFERROR(__xludf.DUMMYFUNCTION("""COMPUTED_VALUE"""),"นางสาว")</f>
        <v>นางสาว</v>
      </c>
      <c r="I1010" t="str">
        <f>IFERROR(__xludf.DUMMYFUNCTION("""COMPUTED_VALUE"""),"ภูษิตา")</f>
        <v>ภูษิตา</v>
      </c>
      <c r="J1010" t="str">
        <f>IFERROR(__xludf.DUMMYFUNCTION("""COMPUTED_VALUE"""),"วงษ์ทอง")</f>
        <v>วงษ์ทอง</v>
      </c>
      <c r="K1010" t="str">
        <f>IFERROR(__xludf.DUMMYFUNCTION("""COMPUTED_VALUE"""),"ภูษิตา วงษ์ทอง")</f>
        <v>ภูษิตา วงษ์ทอง</v>
      </c>
      <c r="L1010" t="str">
        <f>IFERROR(__xludf.DUMMYFUNCTION("""COMPUTED_VALUE"""),"Eve/อีฟ")</f>
        <v>Eve/อีฟ</v>
      </c>
      <c r="M1010" t="str">
        <f>IFERROR(__xludf.DUMMYFUNCTION("""COMPUTED_VALUE"""),"Cabin Crew")</f>
        <v>Cabin Crew</v>
      </c>
      <c r="N1010" t="str">
        <f>IFERROR(__xludf.DUMMYFUNCTION("""COMPUTED_VALUE"""),"DMK")</f>
        <v>DMK</v>
      </c>
      <c r="O1010" s="145" t="str">
        <f>IFERROR(__xludf.DUMMYFUNCTION("""COMPUTED_VALUE"""),"Kor Home")</f>
        <v>Kor Home</v>
      </c>
      <c r="P1010" t="str">
        <f>IFERROR(__xludf.DUMMYFUNCTION("""COMPUTED_VALUE"""),"Active")</f>
        <v>Active</v>
      </c>
      <c r="R1010" s="159">
        <f>IFERROR(__xludf.DUMMYFUNCTION("""COMPUTED_VALUE"""),34305.0)</f>
        <v>34305</v>
      </c>
      <c r="S1010" s="146">
        <f>IFERROR(__xludf.DUMMYFUNCTION("""COMPUTED_VALUE"""),8.96999425E8)</f>
        <v>896999425</v>
      </c>
      <c r="T1010" s="147">
        <f>IFERROR(__xludf.DUMMYFUNCTION("""COMPUTED_VALUE"""),1.860100131281E12)</f>
        <v>1860100131281</v>
      </c>
      <c r="U1010" t="str">
        <f>IFERROR(__xludf.DUMMYFUNCTION("""COMPUTED_VALUE"""),"AD0415669")</f>
        <v>AD0415669</v>
      </c>
      <c r="V1010" s="148">
        <f>IFERROR(__xludf.DUMMYFUNCTION("""COMPUTED_VALUE"""),44894.0)</f>
        <v>44894</v>
      </c>
      <c r="W1010" s="148">
        <f>IFERROR(__xludf.DUMMYFUNCTION("""COMPUTED_VALUE"""),48546.0)</f>
        <v>48546</v>
      </c>
      <c r="X1010" s="149">
        <f>IFERROR(__xludf.DUMMYFUNCTION("""COMPUTED_VALUE"""),48362.0)</f>
        <v>48362</v>
      </c>
      <c r="Y1010" t="str">
        <f>IFERROR(__xludf.DUMMYFUNCTION("""COMPUTED_VALUE"""),"ปลอดภัย")</f>
        <v>ปลอดภัย</v>
      </c>
      <c r="Z1010" t="str">
        <f>IFERROR(__xludf.DUMMYFUNCTION("""COMPUTED_VALUE"""),"Chumphon Province")</f>
        <v>Chumphon Province</v>
      </c>
      <c r="AA1010" t="str">
        <f>IFERROR(__xludf.DUMMYFUNCTION("""COMPUTED_VALUE"""),"NONTABUTI")</f>
        <v>NONTABUTI</v>
      </c>
      <c r="AB1010" s="145" t="str">
        <f>IFERROR(__xludf.DUMMYFUNCTION("""COMPUTED_VALUE"""),"0896999425")</f>
        <v>0896999425</v>
      </c>
      <c r="AC1010" t="str">
        <f>IFERROR(__xludf.DUMMYFUNCTION("""COMPUTED_VALUE"""),"นายเจตริน เอี่ยมแทน Friend")</f>
        <v>นายเจตริน เอี่ยมแทน Friend</v>
      </c>
      <c r="AD1010" t="str">
        <f>IFERROR(__xludf.DUMMYFUNCTION("""COMPUTED_VALUE"""),"poositawongtong@airasia.com")</f>
        <v>poositawongtong@airasia.com</v>
      </c>
    </row>
    <row r="1011">
      <c r="A1011" s="142">
        <f>IFERROR(__xludf.DUMMYFUNCTION("""COMPUTED_VALUE"""),101.0)</f>
        <v>101</v>
      </c>
      <c r="C1011">
        <f>IFERROR(__xludf.DUMMYFUNCTION("""COMPUTED_VALUE"""),1026840.0)</f>
        <v>1026840</v>
      </c>
      <c r="D1011" t="str">
        <f>IFERROR(__xludf.DUMMYFUNCTION("""COMPUTED_VALUE"""),"Mr.")</f>
        <v>Mr.</v>
      </c>
      <c r="E1011" t="str">
        <f>IFERROR(__xludf.DUMMYFUNCTION("""COMPUTED_VALUE"""),"Preampiti")</f>
        <v>Preampiti</v>
      </c>
      <c r="F1011" t="str">
        <f>IFERROR(__xludf.DUMMYFUNCTION("""COMPUTED_VALUE"""),"Umprasirt")</f>
        <v>Umprasirt</v>
      </c>
      <c r="G1011" t="str">
        <f>IFERROR(__xludf.DUMMYFUNCTION("""COMPUTED_VALUE"""),"Preampiti Umprasirt")</f>
        <v>Preampiti Umprasirt</v>
      </c>
      <c r="H1011" t="str">
        <f>IFERROR(__xludf.DUMMYFUNCTION("""COMPUTED_VALUE"""),"นาย")</f>
        <v>นาย</v>
      </c>
      <c r="I1011" t="str">
        <f>IFERROR(__xludf.DUMMYFUNCTION("""COMPUTED_VALUE"""),"เปรมปิติ")</f>
        <v>เปรมปิติ</v>
      </c>
      <c r="J1011" t="str">
        <f>IFERROR(__xludf.DUMMYFUNCTION("""COMPUTED_VALUE"""),"อ่ำประเสริฐ")</f>
        <v>อ่ำประเสริฐ</v>
      </c>
      <c r="K1011" t="str">
        <f>IFERROR(__xludf.DUMMYFUNCTION("""COMPUTED_VALUE"""),"เปรมปิติ อ่ำประเสริฐ")</f>
        <v>เปรมปิติ อ่ำประเสริฐ</v>
      </c>
      <c r="L1011" t="str">
        <f>IFERROR(__xludf.DUMMYFUNCTION("""COMPUTED_VALUE"""),"Tong/ โต้ง")</f>
        <v>Tong/ โต้ง</v>
      </c>
      <c r="M1011" t="str">
        <f>IFERROR(__xludf.DUMMYFUNCTION("""COMPUTED_VALUE"""),"Cabin Crew")</f>
        <v>Cabin Crew</v>
      </c>
      <c r="N1011" t="str">
        <f>IFERROR(__xludf.DUMMYFUNCTION("""COMPUTED_VALUE"""),"DMK")</f>
        <v>DMK</v>
      </c>
      <c r="O1011" s="145" t="str">
        <f>IFERROR(__xludf.DUMMYFUNCTION("""COMPUTED_VALUE"""),"Kor Home")</f>
        <v>Kor Home</v>
      </c>
      <c r="P1011" t="str">
        <f>IFERROR(__xludf.DUMMYFUNCTION("""COMPUTED_VALUE"""),"Active")</f>
        <v>Active</v>
      </c>
      <c r="R1011" s="159">
        <f>IFERROR(__xludf.DUMMYFUNCTION("""COMPUTED_VALUE"""),34203.0)</f>
        <v>34203</v>
      </c>
      <c r="S1011" s="146">
        <f>IFERROR(__xludf.DUMMYFUNCTION("""COMPUTED_VALUE"""),9.66432888E8)</f>
        <v>966432888</v>
      </c>
      <c r="T1011" s="147">
        <f>IFERROR(__xludf.DUMMYFUNCTION("""COMPUTED_VALUE"""),1.100800869645E12)</f>
        <v>1100800869645</v>
      </c>
      <c r="U1011" t="str">
        <f>IFERROR(__xludf.DUMMYFUNCTION("""COMPUTED_VALUE"""),"AC5755613")</f>
        <v>AC5755613</v>
      </c>
      <c r="V1011" s="148">
        <f>IFERROR(__xludf.DUMMYFUNCTION("""COMPUTED_VALUE"""),45208.0)</f>
        <v>45208</v>
      </c>
      <c r="W1011" s="148">
        <f>IFERROR(__xludf.DUMMYFUNCTION("""COMPUTED_VALUE"""),48860.0)</f>
        <v>48860</v>
      </c>
      <c r="X1011" s="149">
        <f>IFERROR(__xludf.DUMMYFUNCTION("""COMPUTED_VALUE"""),48677.0)</f>
        <v>48677</v>
      </c>
      <c r="Y1011" t="str">
        <f>IFERROR(__xludf.DUMMYFUNCTION("""COMPUTED_VALUE"""),"ปลอดภัย")</f>
        <v>ปลอดภัย</v>
      </c>
      <c r="Z1011" t="str">
        <f>IFERROR(__xludf.DUMMYFUNCTION("""COMPUTED_VALUE"""),"Bangkok")</f>
        <v>Bangkok</v>
      </c>
      <c r="AA1011" t="str">
        <f>IFERROR(__xludf.DUMMYFUNCTION("""COMPUTED_VALUE"""),"Bangkok")</f>
        <v>Bangkok</v>
      </c>
      <c r="AB1011" s="145" t="str">
        <f>IFERROR(__xludf.DUMMYFUNCTION("""COMPUTED_VALUE"""),"0814414340")</f>
        <v>0814414340</v>
      </c>
      <c r="AC1011" t="str">
        <f>IFERROR(__xludf.DUMMYFUNCTION("""COMPUTED_VALUE"""),"นางสาว ประพาฬรัตน์ อ่ำประเสริฐ Mother")</f>
        <v>นางสาว ประพาฬรัตน์ อ่ำประเสริฐ Mother</v>
      </c>
      <c r="AD1011" t="str">
        <f>IFERROR(__xludf.DUMMYFUNCTION("""COMPUTED_VALUE"""),"preampitiumprasirt@airasia.com")</f>
        <v>preampitiumprasirt@airasia.com</v>
      </c>
    </row>
    <row r="1012">
      <c r="A1012" s="142">
        <f>IFERROR(__xludf.DUMMYFUNCTION("""COMPUTED_VALUE"""),101.0)</f>
        <v>101</v>
      </c>
      <c r="C1012">
        <f>IFERROR(__xludf.DUMMYFUNCTION("""COMPUTED_VALUE"""),1026026.0)</f>
        <v>1026026</v>
      </c>
      <c r="D1012" t="str">
        <f>IFERROR(__xludf.DUMMYFUNCTION("""COMPUTED_VALUE"""),"Ms.")</f>
        <v>Ms.</v>
      </c>
      <c r="E1012" t="str">
        <f>IFERROR(__xludf.DUMMYFUNCTION("""COMPUTED_VALUE"""),"Punyisa")</f>
        <v>Punyisa</v>
      </c>
      <c r="F1012" t="str">
        <f>IFERROR(__xludf.DUMMYFUNCTION("""COMPUTED_VALUE"""),"Wongsawan")</f>
        <v>Wongsawan</v>
      </c>
      <c r="G1012" t="str">
        <f>IFERROR(__xludf.DUMMYFUNCTION("""COMPUTED_VALUE"""),"Punyisa Wongsawan")</f>
        <v>Punyisa Wongsawan</v>
      </c>
      <c r="H1012" t="str">
        <f>IFERROR(__xludf.DUMMYFUNCTION("""COMPUTED_VALUE"""),"นางสาว")</f>
        <v>นางสาว</v>
      </c>
      <c r="I1012" t="str">
        <f>IFERROR(__xludf.DUMMYFUNCTION("""COMPUTED_VALUE"""),"ปุญญิศา")</f>
        <v>ปุญญิศา</v>
      </c>
      <c r="J1012" t="str">
        <f>IFERROR(__xludf.DUMMYFUNCTION("""COMPUTED_VALUE"""),"วงษ์สวรรค์")</f>
        <v>วงษ์สวรรค์</v>
      </c>
      <c r="K1012" t="str">
        <f>IFERROR(__xludf.DUMMYFUNCTION("""COMPUTED_VALUE"""),"ปุญญิศา วงษ์สวรรค์")</f>
        <v>ปุญญิศา วงษ์สวรรค์</v>
      </c>
      <c r="L1012" t="str">
        <f>IFERROR(__xludf.DUMMYFUNCTION("""COMPUTED_VALUE"""),"Peach / พีช")</f>
        <v>Peach / พีช</v>
      </c>
      <c r="M1012" t="str">
        <f>IFERROR(__xludf.DUMMYFUNCTION("""COMPUTED_VALUE"""),"Cabin Crew")</f>
        <v>Cabin Crew</v>
      </c>
      <c r="N1012" t="str">
        <f>IFERROR(__xludf.DUMMYFUNCTION("""COMPUTED_VALUE"""),"DMK")</f>
        <v>DMK</v>
      </c>
      <c r="O1012" s="145" t="str">
        <f>IFERROR(__xludf.DUMMYFUNCTION("""COMPUTED_VALUE"""),"Namfon Home")</f>
        <v>Namfon Home</v>
      </c>
      <c r="P1012" t="str">
        <f>IFERROR(__xludf.DUMMYFUNCTION("""COMPUTED_VALUE"""),"Active")</f>
        <v>Active</v>
      </c>
      <c r="R1012" s="159">
        <f>IFERROR(__xludf.DUMMYFUNCTION("""COMPUTED_VALUE"""),34716.0)</f>
        <v>34716</v>
      </c>
      <c r="S1012" s="146">
        <f>IFERROR(__xludf.DUMMYFUNCTION("""COMPUTED_VALUE"""),8.48718296E8)</f>
        <v>848718296</v>
      </c>
      <c r="T1012" s="147">
        <f>IFERROR(__xludf.DUMMYFUNCTION("""COMPUTED_VALUE"""),1.103701617152E12)</f>
        <v>1103701617152</v>
      </c>
      <c r="U1012" t="str">
        <f>IFERROR(__xludf.DUMMYFUNCTION("""COMPUTED_VALUE"""),"AC6860081")</f>
        <v>AC6860081</v>
      </c>
      <c r="V1012" s="148">
        <f>IFERROR(__xludf.DUMMYFUNCTION("""COMPUTED_VALUE"""),45478.0)</f>
        <v>45478</v>
      </c>
      <c r="W1012" s="148">
        <f>IFERROR(__xludf.DUMMYFUNCTION("""COMPUTED_VALUE"""),47303.0)</f>
        <v>47303</v>
      </c>
      <c r="X1012" s="149">
        <f>IFERROR(__xludf.DUMMYFUNCTION("""COMPUTED_VALUE"""),47122.0)</f>
        <v>47122</v>
      </c>
      <c r="Y1012" t="str">
        <f>IFERROR(__xludf.DUMMYFUNCTION("""COMPUTED_VALUE"""),"ปลอดภัย")</f>
        <v>ปลอดภัย</v>
      </c>
      <c r="Z1012" t="str">
        <f>IFERROR(__xludf.DUMMYFUNCTION("""COMPUTED_VALUE"""),"Bangkok")</f>
        <v>Bangkok</v>
      </c>
      <c r="AA1012" t="str">
        <f>IFERROR(__xludf.DUMMYFUNCTION("""COMPUTED_VALUE"""),"NONTABUTI")</f>
        <v>NONTABUTI</v>
      </c>
      <c r="AB1012" s="145" t="str">
        <f>IFERROR(__xludf.DUMMYFUNCTION("""COMPUTED_VALUE"""),"086-077-7006")</f>
        <v>086-077-7006</v>
      </c>
      <c r="AC1012" t="str">
        <f>IFERROR(__xludf.DUMMYFUNCTION("""COMPUTED_VALUE"""),"นายพศิณ รัตนรังสิกุล Friend")</f>
        <v>นายพศิณ รัตนรังสิกุล Friend</v>
      </c>
      <c r="AD1012" t="str">
        <f>IFERROR(__xludf.DUMMYFUNCTION("""COMPUTED_VALUE"""),"punyisawongsawan@airasia.com")</f>
        <v>punyisawongsawan@airasia.com</v>
      </c>
    </row>
    <row r="1013">
      <c r="A1013" s="142">
        <f>IFERROR(__xludf.DUMMYFUNCTION("""COMPUTED_VALUE"""),101.0)</f>
        <v>101</v>
      </c>
      <c r="C1013">
        <f>IFERROR(__xludf.DUMMYFUNCTION("""COMPUTED_VALUE"""),1027519.0)</f>
        <v>1027519</v>
      </c>
      <c r="D1013" t="str">
        <f>IFERROR(__xludf.DUMMYFUNCTION("""COMPUTED_VALUE"""),"Mr.")</f>
        <v>Mr.</v>
      </c>
      <c r="E1013" t="str">
        <f>IFERROR(__xludf.DUMMYFUNCTION("""COMPUTED_VALUE"""),"Puttipat")</f>
        <v>Puttipat</v>
      </c>
      <c r="F1013" t="str">
        <f>IFERROR(__xludf.DUMMYFUNCTION("""COMPUTED_VALUE"""),"Ongrojanakul")</f>
        <v>Ongrojanakul</v>
      </c>
      <c r="G1013" t="str">
        <f>IFERROR(__xludf.DUMMYFUNCTION("""COMPUTED_VALUE"""),"Puttipat Ongrojanakul")</f>
        <v>Puttipat Ongrojanakul</v>
      </c>
      <c r="H1013" t="str">
        <f>IFERROR(__xludf.DUMMYFUNCTION("""COMPUTED_VALUE"""),"นาย")</f>
        <v>นาย</v>
      </c>
      <c r="I1013" t="str">
        <f>IFERROR(__xludf.DUMMYFUNCTION("""COMPUTED_VALUE"""),"พุฒิพัฒน์")</f>
        <v>พุฒิพัฒน์</v>
      </c>
      <c r="J1013" t="str">
        <f>IFERROR(__xludf.DUMMYFUNCTION("""COMPUTED_VALUE"""),"องศ์โรจนกุล")</f>
        <v>องศ์โรจนกุล</v>
      </c>
      <c r="K1013" t="str">
        <f>IFERROR(__xludf.DUMMYFUNCTION("""COMPUTED_VALUE"""),"พุฒิพัฒน์ องศ์โรจนกุล")</f>
        <v>พุฒิพัฒน์ องศ์โรจนกุล</v>
      </c>
      <c r="L1013" t="str">
        <f>IFERROR(__xludf.DUMMYFUNCTION("""COMPUTED_VALUE"""),"Arf / อาฟ")</f>
        <v>Arf / อาฟ</v>
      </c>
      <c r="M1013" t="str">
        <f>IFERROR(__xludf.DUMMYFUNCTION("""COMPUTED_VALUE"""),"Cabin Crew")</f>
        <v>Cabin Crew</v>
      </c>
      <c r="N1013" t="str">
        <f>IFERROR(__xludf.DUMMYFUNCTION("""COMPUTED_VALUE"""),"DMK")</f>
        <v>DMK</v>
      </c>
      <c r="O1013" s="145" t="str">
        <f>IFERROR(__xludf.DUMMYFUNCTION("""COMPUTED_VALUE"""),"Up Home")</f>
        <v>Up Home</v>
      </c>
      <c r="P1013" t="str">
        <f>IFERROR(__xludf.DUMMYFUNCTION("""COMPUTED_VALUE"""),"Active")</f>
        <v>Active</v>
      </c>
      <c r="R1013" s="159">
        <f>IFERROR(__xludf.DUMMYFUNCTION("""COMPUTED_VALUE"""),34064.0)</f>
        <v>34064</v>
      </c>
      <c r="S1013" s="146">
        <f>IFERROR(__xludf.DUMMYFUNCTION("""COMPUTED_VALUE"""),9.68018889E8)</f>
        <v>968018889</v>
      </c>
      <c r="T1013" s="147">
        <f>IFERROR(__xludf.DUMMYFUNCTION("""COMPUTED_VALUE"""),1.101401980454E12)</f>
        <v>1101401980454</v>
      </c>
      <c r="U1013" t="str">
        <f>IFERROR(__xludf.DUMMYFUNCTION("""COMPUTED_VALUE"""),"AC2224937")</f>
        <v>AC2224937</v>
      </c>
      <c r="V1013" s="148">
        <f>IFERROR(__xludf.DUMMYFUNCTION("""COMPUTED_VALUE"""),44274.0)</f>
        <v>44274</v>
      </c>
      <c r="W1013" s="148">
        <f>IFERROR(__xludf.DUMMYFUNCTION("""COMPUTED_VALUE"""),47925.0)</f>
        <v>47925</v>
      </c>
      <c r="X1013" s="149">
        <f>IFERROR(__xludf.DUMMYFUNCTION("""COMPUTED_VALUE"""),47744.0)</f>
        <v>47744</v>
      </c>
      <c r="Y1013" t="str">
        <f>IFERROR(__xludf.DUMMYFUNCTION("""COMPUTED_VALUE"""),"ปลอดภัย")</f>
        <v>ปลอดภัย</v>
      </c>
      <c r="Z1013" t="str">
        <f>IFERROR(__xludf.DUMMYFUNCTION("""COMPUTED_VALUE"""),"Bangkok")</f>
        <v>Bangkok</v>
      </c>
      <c r="AA1013" t="str">
        <f>IFERROR(__xludf.DUMMYFUNCTION("""COMPUTED_VALUE"""),"Bangkok")</f>
        <v>Bangkok</v>
      </c>
      <c r="AB1013" s="145" t="str">
        <f>IFERROR(__xludf.DUMMYFUNCTION("""COMPUTED_VALUE"""),"0654592565")</f>
        <v>0654592565</v>
      </c>
      <c r="AC1013" t="str">
        <f>IFERROR(__xludf.DUMMYFUNCTION("""COMPUTED_VALUE"""),"นางสาวจุติพร วิเศษโวหาร Wife")</f>
        <v>นางสาวจุติพร วิเศษโวหาร Wife</v>
      </c>
      <c r="AD1013" t="str">
        <f>IFERROR(__xludf.DUMMYFUNCTION("""COMPUTED_VALUE"""),"puttipatongrojanakul@airasia.com")</f>
        <v>puttipatongrojanakul@airasia.com</v>
      </c>
    </row>
    <row r="1014">
      <c r="A1014" s="142">
        <f>IFERROR(__xludf.DUMMYFUNCTION("""COMPUTED_VALUE"""),101.0)</f>
        <v>101</v>
      </c>
      <c r="C1014">
        <f>IFERROR(__xludf.DUMMYFUNCTION("""COMPUTED_VALUE"""),1011749.0)</f>
        <v>1011749</v>
      </c>
      <c r="D1014" t="str">
        <f>IFERROR(__xludf.DUMMYFUNCTION("""COMPUTED_VALUE"""),"Ms.")</f>
        <v>Ms.</v>
      </c>
      <c r="E1014" t="str">
        <f>IFERROR(__xludf.DUMMYFUNCTION("""COMPUTED_VALUE"""),"Ruedeemas")</f>
        <v>Ruedeemas</v>
      </c>
      <c r="F1014" t="str">
        <f>IFERROR(__xludf.DUMMYFUNCTION("""COMPUTED_VALUE"""),"Wachirawutthichai")</f>
        <v>Wachirawutthichai</v>
      </c>
      <c r="G1014" t="str">
        <f>IFERROR(__xludf.DUMMYFUNCTION("""COMPUTED_VALUE"""),"Ruedeemas Wachirawutthichai")</f>
        <v>Ruedeemas Wachirawutthichai</v>
      </c>
      <c r="H1014" t="str">
        <f>IFERROR(__xludf.DUMMYFUNCTION("""COMPUTED_VALUE"""),"นางสาว")</f>
        <v>นางสาว</v>
      </c>
      <c r="I1014" t="str">
        <f>IFERROR(__xludf.DUMMYFUNCTION("""COMPUTED_VALUE"""),"ฤดีมาส")</f>
        <v>ฤดีมาส</v>
      </c>
      <c r="J1014" t="str">
        <f>IFERROR(__xludf.DUMMYFUNCTION("""COMPUTED_VALUE"""),"วชิราวุฒิชัย")</f>
        <v>วชิราวุฒิชัย</v>
      </c>
      <c r="K1014" t="str">
        <f>IFERROR(__xludf.DUMMYFUNCTION("""COMPUTED_VALUE"""),"ฤดีมาส วชิราวุฒิชัย")</f>
        <v>ฤดีมาส วชิราวุฒิชัย</v>
      </c>
      <c r="L1014" t="str">
        <f>IFERROR(__xludf.DUMMYFUNCTION("""COMPUTED_VALUE"""),"Minnie / มินนี่")</f>
        <v>Minnie / มินนี่</v>
      </c>
      <c r="M1014" t="str">
        <f>IFERROR(__xludf.DUMMYFUNCTION("""COMPUTED_VALUE"""),"Cabin Crew")</f>
        <v>Cabin Crew</v>
      </c>
      <c r="N1014" t="str">
        <f>IFERROR(__xludf.DUMMYFUNCTION("""COMPUTED_VALUE"""),"DMK")</f>
        <v>DMK</v>
      </c>
      <c r="O1014" s="145" t="str">
        <f>IFERROR(__xludf.DUMMYFUNCTION("""COMPUTED_VALUE"""),"Por+ Home")</f>
        <v>Por+ Home</v>
      </c>
      <c r="P1014" t="str">
        <f>IFERROR(__xludf.DUMMYFUNCTION("""COMPUTED_VALUE"""),"V/LWP")</f>
        <v>V/LWP</v>
      </c>
      <c r="R1014" s="159">
        <f>IFERROR(__xludf.DUMMYFUNCTION("""COMPUTED_VALUE"""),32722.0)</f>
        <v>32722</v>
      </c>
      <c r="S1014" s="146" t="str">
        <f>IFERROR(__xludf.DUMMYFUNCTION("""COMPUTED_VALUE"""),"095-597-3787")</f>
        <v>095-597-3787</v>
      </c>
      <c r="T1014" s="147">
        <f>IFERROR(__xludf.DUMMYFUNCTION("""COMPUTED_VALUE"""),1.100500513357E12)</f>
        <v>1100500513357</v>
      </c>
      <c r="U1014" t="str">
        <f>IFERROR(__xludf.DUMMYFUNCTION("""COMPUTED_VALUE"""),"AD0090699")</f>
        <v>AD0090699</v>
      </c>
      <c r="V1014" s="148">
        <f>IFERROR(__xludf.DUMMYFUNCTION("""COMPUTED_VALUE"""),44834.0)</f>
        <v>44834</v>
      </c>
      <c r="W1014" s="148">
        <f>IFERROR(__xludf.DUMMYFUNCTION("""COMPUTED_VALUE"""),48486.0)</f>
        <v>48486</v>
      </c>
      <c r="X1014" s="149">
        <f>IFERROR(__xludf.DUMMYFUNCTION("""COMPUTED_VALUE"""),48302.0)</f>
        <v>48302</v>
      </c>
      <c r="Y1014" t="str">
        <f>IFERROR(__xludf.DUMMYFUNCTION("""COMPUTED_VALUE"""),"ปลอดภัย")</f>
        <v>ปลอดภัย</v>
      </c>
      <c r="Z1014" t="str">
        <f>IFERROR(__xludf.DUMMYFUNCTION("""COMPUTED_VALUE"""),"Bangkok")</f>
        <v>Bangkok</v>
      </c>
      <c r="AA1014" t="str">
        <f>IFERROR(__xludf.DUMMYFUNCTION("""COMPUTED_VALUE"""),"Bangkok")</f>
        <v>Bangkok</v>
      </c>
      <c r="AB1014" s="145" t="str">
        <f>IFERROR(__xludf.DUMMYFUNCTION("""COMPUTED_VALUE"""),"062-302-1428")</f>
        <v>062-302-1428</v>
      </c>
      <c r="AC1014" t="str">
        <f>IFERROR(__xludf.DUMMYFUNCTION("""COMPUTED_VALUE"""),"นาย วิพุธ เจนวณิชสถาพร Husband")</f>
        <v>นาย วิพุธ เจนวณิชสถาพร Husband</v>
      </c>
      <c r="AD1014" t="str">
        <f>IFERROR(__xludf.DUMMYFUNCTION("""COMPUTED_VALUE"""),"ruedeemasw@airasia.com")</f>
        <v>ruedeemasw@airasia.com</v>
      </c>
    </row>
    <row r="1015">
      <c r="A1015" s="142">
        <f>IFERROR(__xludf.DUMMYFUNCTION("""COMPUTED_VALUE"""),101.0)</f>
        <v>101</v>
      </c>
      <c r="C1015">
        <f>IFERROR(__xludf.DUMMYFUNCTION("""COMPUTED_VALUE"""),1026034.0)</f>
        <v>1026034</v>
      </c>
      <c r="D1015" t="str">
        <f>IFERROR(__xludf.DUMMYFUNCTION("""COMPUTED_VALUE"""),"Mr.")</f>
        <v>Mr.</v>
      </c>
      <c r="E1015" t="str">
        <f>IFERROR(__xludf.DUMMYFUNCTION("""COMPUTED_VALUE"""),"Siwapong")</f>
        <v>Siwapong</v>
      </c>
      <c r="F1015" t="str">
        <f>IFERROR(__xludf.DUMMYFUNCTION("""COMPUTED_VALUE"""),"Pongchampa")</f>
        <v>Pongchampa</v>
      </c>
      <c r="G1015" t="str">
        <f>IFERROR(__xludf.DUMMYFUNCTION("""COMPUTED_VALUE"""),"Siwapong Pongchampa")</f>
        <v>Siwapong Pongchampa</v>
      </c>
      <c r="H1015" t="str">
        <f>IFERROR(__xludf.DUMMYFUNCTION("""COMPUTED_VALUE"""),"นาย")</f>
        <v>นาย</v>
      </c>
      <c r="I1015" t="str">
        <f>IFERROR(__xludf.DUMMYFUNCTION("""COMPUTED_VALUE"""),"ศิวพงษ์")</f>
        <v>ศิวพงษ์</v>
      </c>
      <c r="J1015" t="str">
        <f>IFERROR(__xludf.DUMMYFUNCTION("""COMPUTED_VALUE"""),"พงษ์จำปา")</f>
        <v>พงษ์จำปา</v>
      </c>
      <c r="K1015" t="str">
        <f>IFERROR(__xludf.DUMMYFUNCTION("""COMPUTED_VALUE"""),"ศิวพงษ์ พงษ์จำปา")</f>
        <v>ศิวพงษ์ พงษ์จำปา</v>
      </c>
      <c r="L1015" t="str">
        <f>IFERROR(__xludf.DUMMYFUNCTION("""COMPUTED_VALUE"""),"Bom / บอม")</f>
        <v>Bom / บอม</v>
      </c>
      <c r="M1015" t="str">
        <f>IFERROR(__xludf.DUMMYFUNCTION("""COMPUTED_VALUE"""),"Cabin Crew - CNX")</f>
        <v>Cabin Crew - CNX</v>
      </c>
      <c r="N1015" t="str">
        <f>IFERROR(__xludf.DUMMYFUNCTION("""COMPUTED_VALUE"""),"CNX")</f>
        <v>CNX</v>
      </c>
      <c r="O1015" s="145" t="str">
        <f>IFERROR(__xludf.DUMMYFUNCTION("""COMPUTED_VALUE"""),"Up Home")</f>
        <v>Up Home</v>
      </c>
      <c r="P1015" t="str">
        <f>IFERROR(__xludf.DUMMYFUNCTION("""COMPUTED_VALUE"""),"Active")</f>
        <v>Active</v>
      </c>
      <c r="R1015" s="159">
        <f>IFERROR(__xludf.DUMMYFUNCTION("""COMPUTED_VALUE"""),32962.0)</f>
        <v>32962</v>
      </c>
      <c r="S1015" s="146" t="str">
        <f>IFERROR(__xludf.DUMMYFUNCTION("""COMPUTED_VALUE"""),"081-180-6730")</f>
        <v>081-180-6730</v>
      </c>
      <c r="T1015" s="147">
        <f>IFERROR(__xludf.DUMMYFUNCTION("""COMPUTED_VALUE"""),1.800100161449E12)</f>
        <v>1800100161449</v>
      </c>
      <c r="U1015" t="str">
        <f>IFERROR(__xludf.DUMMYFUNCTION("""COMPUTED_VALUE"""),"AC2428470")</f>
        <v>AC2428470</v>
      </c>
      <c r="V1015" s="148">
        <f>IFERROR(__xludf.DUMMYFUNCTION("""COMPUTED_VALUE"""),44452.0)</f>
        <v>44452</v>
      </c>
      <c r="W1015" s="148">
        <f>IFERROR(__xludf.DUMMYFUNCTION("""COMPUTED_VALUE"""),48103.0)</f>
        <v>48103</v>
      </c>
      <c r="X1015" s="149">
        <f>IFERROR(__xludf.DUMMYFUNCTION("""COMPUTED_VALUE"""),47919.0)</f>
        <v>47919</v>
      </c>
      <c r="Y1015" t="str">
        <f>IFERROR(__xludf.DUMMYFUNCTION("""COMPUTED_VALUE"""),"ปลอดภัย")</f>
        <v>ปลอดภัย</v>
      </c>
      <c r="Z1015" t="str">
        <f>IFERROR(__xludf.DUMMYFUNCTION("""COMPUTED_VALUE"""),"Nakhon Si Thammarat Province")</f>
        <v>Nakhon Si Thammarat Province</v>
      </c>
      <c r="AA1015" t="str">
        <f>IFERROR(__xludf.DUMMYFUNCTION("""COMPUTED_VALUE"""),"Bangkok")</f>
        <v>Bangkok</v>
      </c>
      <c r="AB1015" s="145" t="str">
        <f>IFERROR(__xludf.DUMMYFUNCTION("""COMPUTED_VALUE"""),"063-669-0955")</f>
        <v>063-669-0955</v>
      </c>
      <c r="AC1015" t="str">
        <f>IFERROR(__xludf.DUMMYFUNCTION("""COMPUTED_VALUE"""),"นางสาวภรัณยา พิมสาร Friend")</f>
        <v>นางสาวภรัณยา พิมสาร Friend</v>
      </c>
      <c r="AD1015" t="str">
        <f>IFERROR(__xludf.DUMMYFUNCTION("""COMPUTED_VALUE"""),"siwapongpongchampa@airasia.com")</f>
        <v>siwapongpongchampa@airasia.com</v>
      </c>
    </row>
    <row r="1016">
      <c r="A1016" s="142">
        <f>IFERROR(__xludf.DUMMYFUNCTION("""COMPUTED_VALUE"""),101.0)</f>
        <v>101</v>
      </c>
      <c r="C1016">
        <f>IFERROR(__xludf.DUMMYFUNCTION("""COMPUTED_VALUE"""),1010850.0)</f>
        <v>1010850</v>
      </c>
      <c r="D1016" t="str">
        <f>IFERROR(__xludf.DUMMYFUNCTION("""COMPUTED_VALUE"""),"Ms.")</f>
        <v>Ms.</v>
      </c>
      <c r="E1016" t="str">
        <f>IFERROR(__xludf.DUMMYFUNCTION("""COMPUTED_VALUE"""),"Tanaporn")</f>
        <v>Tanaporn</v>
      </c>
      <c r="F1016" t="str">
        <f>IFERROR(__xludf.DUMMYFUNCTION("""COMPUTED_VALUE"""),"Musikapun")</f>
        <v>Musikapun</v>
      </c>
      <c r="G1016" t="str">
        <f>IFERROR(__xludf.DUMMYFUNCTION("""COMPUTED_VALUE"""),"Tanaporn Musikapun")</f>
        <v>Tanaporn Musikapun</v>
      </c>
      <c r="H1016" t="str">
        <f>IFERROR(__xludf.DUMMYFUNCTION("""COMPUTED_VALUE"""),"นางสาว")</f>
        <v>นางสาว</v>
      </c>
      <c r="I1016" t="str">
        <f>IFERROR(__xludf.DUMMYFUNCTION("""COMPUTED_VALUE"""),"ธนพร")</f>
        <v>ธนพร</v>
      </c>
      <c r="J1016" t="str">
        <f>IFERROR(__xludf.DUMMYFUNCTION("""COMPUTED_VALUE"""),"มุสิกพันธ์")</f>
        <v>มุสิกพันธ์</v>
      </c>
      <c r="K1016" t="str">
        <f>IFERROR(__xludf.DUMMYFUNCTION("""COMPUTED_VALUE"""),"ธนพร มุสิกพันธ์")</f>
        <v>ธนพร มุสิกพันธ์</v>
      </c>
      <c r="L1016" t="str">
        <f>IFERROR(__xludf.DUMMYFUNCTION("""COMPUTED_VALUE"""),"อีฟ")</f>
        <v>อีฟ</v>
      </c>
      <c r="M1016" t="str">
        <f>IFERROR(__xludf.DUMMYFUNCTION("""COMPUTED_VALUE"""),"Cabin Crew")</f>
        <v>Cabin Crew</v>
      </c>
      <c r="N1016" t="str">
        <f>IFERROR(__xludf.DUMMYFUNCTION("""COMPUTED_VALUE"""),"DMK")</f>
        <v>DMK</v>
      </c>
      <c r="O1016" s="145" t="str">
        <f>IFERROR(__xludf.DUMMYFUNCTION("""COMPUTED_VALUE"""),"Um Home")</f>
        <v>Um Home</v>
      </c>
      <c r="P1016" t="str">
        <f>IFERROR(__xludf.DUMMYFUNCTION("""COMPUTED_VALUE"""),"Active")</f>
        <v>Active</v>
      </c>
      <c r="R1016" s="159">
        <f>IFERROR(__xludf.DUMMYFUNCTION("""COMPUTED_VALUE"""),33560.0)</f>
        <v>33560</v>
      </c>
      <c r="S1016" s="146">
        <f>IFERROR(__xludf.DUMMYFUNCTION("""COMPUTED_VALUE"""),9.49361995E8)</f>
        <v>949361995</v>
      </c>
      <c r="T1016" s="147">
        <f>IFERROR(__xludf.DUMMYFUNCTION("""COMPUTED_VALUE"""),1.100600218276E12)</f>
        <v>1100600218276</v>
      </c>
      <c r="U1016" t="str">
        <f>IFERROR(__xludf.DUMMYFUNCTION("""COMPUTED_VALUE"""),"AC3907259")</f>
        <v>AC3907259</v>
      </c>
      <c r="V1016" s="148">
        <f>IFERROR(__xludf.DUMMYFUNCTION("""COMPUTED_VALUE"""),44798.0)</f>
        <v>44798</v>
      </c>
      <c r="W1016" s="148">
        <f>IFERROR(__xludf.DUMMYFUNCTION("""COMPUTED_VALUE"""),48450.0)</f>
        <v>48450</v>
      </c>
      <c r="X1016" s="149">
        <f>IFERROR(__xludf.DUMMYFUNCTION("""COMPUTED_VALUE"""),48268.0)</f>
        <v>48268</v>
      </c>
      <c r="Y1016" t="str">
        <f>IFERROR(__xludf.DUMMYFUNCTION("""COMPUTED_VALUE"""),"ปลอดภัย")</f>
        <v>ปลอดภัย</v>
      </c>
      <c r="Z1016" t="str">
        <f>IFERROR(__xludf.DUMMYFUNCTION("""COMPUTED_VALUE"""),"Bangkok")</f>
        <v>Bangkok</v>
      </c>
      <c r="AA1016" t="str">
        <f>IFERROR(__xludf.DUMMYFUNCTION("""COMPUTED_VALUE"""),"Bangkok")</f>
        <v>Bangkok</v>
      </c>
      <c r="AB1016" s="145" t="str">
        <f>IFERROR(__xludf.DUMMYFUNCTION("""COMPUTED_VALUE"""),"0949361995")</f>
        <v>0949361995</v>
      </c>
      <c r="AC1016" t="str">
        <f>IFERROR(__xludf.DUMMYFUNCTION("""COMPUTED_VALUE"""),"เบญจวรรณ มุสิกพันธ์ Mother")</f>
        <v>เบญจวรรณ มุสิกพันธ์ Mother</v>
      </c>
      <c r="AD1016" t="str">
        <f>IFERROR(__xludf.DUMMYFUNCTION("""COMPUTED_VALUE"""),"tanapornm@airasia.com")</f>
        <v>tanapornm@airasia.com</v>
      </c>
    </row>
    <row r="1017">
      <c r="A1017" s="142">
        <f>IFERROR(__xludf.DUMMYFUNCTION("""COMPUTED_VALUE"""),101.0)</f>
        <v>101</v>
      </c>
      <c r="B1017" t="str">
        <f>IFERROR(__xludf.DUMMYFUNCTION("""COMPUTED_VALUE"""),"Cheeptee")</f>
        <v>Cheeptee</v>
      </c>
      <c r="C1017">
        <f>IFERROR(__xludf.DUMMYFUNCTION("""COMPUTED_VALUE"""),1027120.0)</f>
        <v>1027120</v>
      </c>
      <c r="D1017" t="str">
        <f>IFERROR(__xludf.DUMMYFUNCTION("""COMPUTED_VALUE"""),"Ms.")</f>
        <v>Ms.</v>
      </c>
      <c r="E1017" t="str">
        <f>IFERROR(__xludf.DUMMYFUNCTION("""COMPUTED_VALUE"""),"Tanchanok")</f>
        <v>Tanchanok</v>
      </c>
      <c r="F1017" t="str">
        <f>IFERROR(__xludf.DUMMYFUNCTION("""COMPUTED_VALUE"""),"Muangwattanakun")</f>
        <v>Muangwattanakun</v>
      </c>
      <c r="G1017" t="str">
        <f>IFERROR(__xludf.DUMMYFUNCTION("""COMPUTED_VALUE"""),"Tanchanok Muangwattanakun")</f>
        <v>Tanchanok Muangwattanakun</v>
      </c>
      <c r="H1017" t="str">
        <f>IFERROR(__xludf.DUMMYFUNCTION("""COMPUTED_VALUE"""),"นางสาว")</f>
        <v>นางสาว</v>
      </c>
      <c r="I1017" t="str">
        <f>IFERROR(__xludf.DUMMYFUNCTION("""COMPUTED_VALUE"""),"ธัญชนก")</f>
        <v>ธัญชนก</v>
      </c>
      <c r="J1017" t="str">
        <f>IFERROR(__xludf.DUMMYFUNCTION("""COMPUTED_VALUE"""),"ม่วงวัฒนะกุล")</f>
        <v>ม่วงวัฒนะกุล</v>
      </c>
      <c r="K1017" t="str">
        <f>IFERROR(__xludf.DUMMYFUNCTION("""COMPUTED_VALUE"""),"ธัญชนก ม่วงวัฒนะกุล")</f>
        <v>ธัญชนก ม่วงวัฒนะกุล</v>
      </c>
      <c r="L1017" t="str">
        <f>IFERROR(__xludf.DUMMYFUNCTION("""COMPUTED_VALUE"""),"นก")</f>
        <v>นก</v>
      </c>
      <c r="M1017" t="str">
        <f>IFERROR(__xludf.DUMMYFUNCTION("""COMPUTED_VALUE"""),"Cabin Crew - CNX")</f>
        <v>Cabin Crew - CNX</v>
      </c>
      <c r="N1017" t="str">
        <f>IFERROR(__xludf.DUMMYFUNCTION("""COMPUTED_VALUE"""),"CNX")</f>
        <v>CNX</v>
      </c>
      <c r="O1017" s="145" t="str">
        <f>IFERROR(__xludf.DUMMYFUNCTION("""COMPUTED_VALUE"""),"Up Home")</f>
        <v>Up Home</v>
      </c>
      <c r="P1017" t="str">
        <f>IFERROR(__xludf.DUMMYFUNCTION("""COMPUTED_VALUE"""),"Active")</f>
        <v>Active</v>
      </c>
      <c r="R1017" s="159">
        <f>IFERROR(__xludf.DUMMYFUNCTION("""COMPUTED_VALUE"""),35016.0)</f>
        <v>35016</v>
      </c>
      <c r="S1017" s="146" t="str">
        <f>IFERROR(__xludf.DUMMYFUNCTION("""COMPUTED_VALUE"""),"088-267-8390")</f>
        <v>088-267-8390</v>
      </c>
      <c r="T1017" s="147">
        <f>IFERROR(__xludf.DUMMYFUNCTION("""COMPUTED_VALUE"""),1.529900795338E12)</f>
        <v>1529900795338</v>
      </c>
      <c r="U1017" t="str">
        <f>IFERROR(__xludf.DUMMYFUNCTION("""COMPUTED_VALUE"""),"AC4876523")</f>
        <v>AC4876523</v>
      </c>
      <c r="V1017" s="148">
        <f>IFERROR(__xludf.DUMMYFUNCTION("""COMPUTED_VALUE"""),45044.0)</f>
        <v>45044</v>
      </c>
      <c r="W1017" s="148">
        <f>IFERROR(__xludf.DUMMYFUNCTION("""COMPUTED_VALUE"""),48696.0)</f>
        <v>48696</v>
      </c>
      <c r="X1017" s="149">
        <f>IFERROR(__xludf.DUMMYFUNCTION("""COMPUTED_VALUE"""),48514.0)</f>
        <v>48514</v>
      </c>
      <c r="Y1017" t="str">
        <f>IFERROR(__xludf.DUMMYFUNCTION("""COMPUTED_VALUE"""),"ปลอดภัย")</f>
        <v>ปลอดภัย</v>
      </c>
      <c r="Z1017" t="str">
        <f>IFERROR(__xludf.DUMMYFUNCTION("""COMPUTED_VALUE"""),"Lampang Province")</f>
        <v>Lampang Province</v>
      </c>
      <c r="AA1017" t="str">
        <f>IFERROR(__xludf.DUMMYFUNCTION("""COMPUTED_VALUE"""),"PATHUMTANI")</f>
        <v>PATHUMTANI</v>
      </c>
      <c r="AB1017" s="145" t="str">
        <f>IFERROR(__xludf.DUMMYFUNCTION("""COMPUTED_VALUE"""),"099-971-6155")</f>
        <v>099-971-6155</v>
      </c>
      <c r="AC1017" t="str">
        <f>IFERROR(__xludf.DUMMYFUNCTION("""COMPUTED_VALUE"""),"นายบัญชา ม่วงวัฒนะกุล Brother")</f>
        <v>นายบัญชา ม่วงวัฒนะกุล Brother</v>
      </c>
      <c r="AD1017" t="str">
        <f>IFERROR(__xludf.DUMMYFUNCTION("""COMPUTED_VALUE"""),"tanchanokmuangwatta@airasia.com")</f>
        <v>tanchanokmuangwatta@airasia.com</v>
      </c>
    </row>
    <row r="1018">
      <c r="A1018" s="142">
        <f>IFERROR(__xludf.DUMMYFUNCTION("""COMPUTED_VALUE"""),101.0)</f>
        <v>101</v>
      </c>
      <c r="C1018">
        <f>IFERROR(__xludf.DUMMYFUNCTION("""COMPUTED_VALUE"""),1038952.0)</f>
        <v>1038952</v>
      </c>
      <c r="D1018" t="str">
        <f>IFERROR(__xludf.DUMMYFUNCTION("""COMPUTED_VALUE"""),"Ms.")</f>
        <v>Ms.</v>
      </c>
      <c r="E1018" t="str">
        <f>IFERROR(__xludf.DUMMYFUNCTION("""COMPUTED_VALUE"""),"Arnnuta")</f>
        <v>Arnnuta</v>
      </c>
      <c r="F1018" t="str">
        <f>IFERROR(__xludf.DUMMYFUNCTION("""COMPUTED_VALUE"""),"Dutiyabodhi")</f>
        <v>Dutiyabodhi</v>
      </c>
      <c r="G1018" t="str">
        <f>IFERROR(__xludf.DUMMYFUNCTION("""COMPUTED_VALUE"""),"Arnnuta Dutiyabodhi")</f>
        <v>Arnnuta Dutiyabodhi</v>
      </c>
      <c r="H1018" t="str">
        <f>IFERROR(__xludf.DUMMYFUNCTION("""COMPUTED_VALUE"""),"นางสาว")</f>
        <v>นางสาว</v>
      </c>
      <c r="I1018" t="str">
        <f>IFERROR(__xludf.DUMMYFUNCTION("""COMPUTED_VALUE"""),"อัญนุตา")</f>
        <v>อัญนุตา</v>
      </c>
      <c r="J1018" t="str">
        <f>IFERROR(__xludf.DUMMYFUNCTION("""COMPUTED_VALUE"""),"ทุติยะโพธิ")</f>
        <v>ทุติยะโพธิ</v>
      </c>
      <c r="K1018" t="str">
        <f>IFERROR(__xludf.DUMMYFUNCTION("""COMPUTED_VALUE"""),"อัญนุตา ทุติยะโพธิ")</f>
        <v>อัญนุตา ทุติยะโพธิ</v>
      </c>
      <c r="L1018" t="str">
        <f>IFERROR(__xludf.DUMMYFUNCTION("""COMPUTED_VALUE"""),"Yui / ยุ้ย")</f>
        <v>Yui / ยุ้ย</v>
      </c>
      <c r="M1018" t="str">
        <f>IFERROR(__xludf.DUMMYFUNCTION("""COMPUTED_VALUE"""),"Cabin Crew")</f>
        <v>Cabin Crew</v>
      </c>
      <c r="N1018" t="str">
        <f>IFERROR(__xludf.DUMMYFUNCTION("""COMPUTED_VALUE"""),"DMK")</f>
        <v>DMK</v>
      </c>
      <c r="O1018" s="145" t="str">
        <f>IFERROR(__xludf.DUMMYFUNCTION("""COMPUTED_VALUE"""),"Um Home")</f>
        <v>Um Home</v>
      </c>
      <c r="P1018" t="str">
        <f>IFERROR(__xludf.DUMMYFUNCTION("""COMPUTED_VALUE"""),"Active")</f>
        <v>Active</v>
      </c>
      <c r="R1018" s="159">
        <f>IFERROR(__xludf.DUMMYFUNCTION("""COMPUTED_VALUE"""),33355.0)</f>
        <v>33355</v>
      </c>
      <c r="S1018" s="146" t="str">
        <f>IFERROR(__xludf.DUMMYFUNCTION("""COMPUTED_VALUE"""),"080-362-6165")</f>
        <v>080-362-6165</v>
      </c>
      <c r="T1018" s="147">
        <f>IFERROR(__xludf.DUMMYFUNCTION("""COMPUTED_VALUE"""),1.110100121761E12)</f>
        <v>1110100121761</v>
      </c>
      <c r="U1018" t="str">
        <f>IFERROR(__xludf.DUMMYFUNCTION("""COMPUTED_VALUE"""),"AC3861134")</f>
        <v>AC3861134</v>
      </c>
      <c r="V1018" s="148">
        <f>IFERROR(__xludf.DUMMYFUNCTION("""COMPUTED_VALUE"""),44774.0)</f>
        <v>44774</v>
      </c>
      <c r="W1018" s="148">
        <f>IFERROR(__xludf.DUMMYFUNCTION("""COMPUTED_VALUE"""),48443.0)</f>
        <v>48443</v>
      </c>
      <c r="X1018" s="149">
        <f>IFERROR(__xludf.DUMMYFUNCTION("""COMPUTED_VALUE"""),48261.0)</f>
        <v>48261</v>
      </c>
      <c r="Y1018" t="str">
        <f>IFERROR(__xludf.DUMMYFUNCTION("""COMPUTED_VALUE"""),"ปลอดภัย")</f>
        <v>ปลอดภัย</v>
      </c>
      <c r="Z1018" t="str">
        <f>IFERROR(__xludf.DUMMYFUNCTION("""COMPUTED_VALUE"""),"Samut Prakan Province")</f>
        <v>Samut Prakan Province</v>
      </c>
      <c r="AA1018" t="str">
        <f>IFERROR(__xludf.DUMMYFUNCTION("""COMPUTED_VALUE"""),"Samut Prakan")</f>
        <v>Samut Prakan</v>
      </c>
      <c r="AB1018" s="145" t="str">
        <f>IFERROR(__xludf.DUMMYFUNCTION("""COMPUTED_VALUE"""),"089-498-5536")</f>
        <v>089-498-5536</v>
      </c>
      <c r="AC1018" t="str">
        <f>IFERROR(__xludf.DUMMYFUNCTION("""COMPUTED_VALUE"""),"นางสาวทิพยวรรณ ทุติยะโพธิ Mother")</f>
        <v>นางสาวทิพยวรรณ ทุติยะโพธิ Mother</v>
      </c>
      <c r="AD1018" t="str">
        <f>IFERROR(__xludf.DUMMYFUNCTION("""COMPUTED_VALUE"""),"arnnutadutiyabodhi@airasia.com")</f>
        <v>arnnutadutiyabodhi@airasia.com</v>
      </c>
    </row>
    <row r="1019">
      <c r="A1019" s="142">
        <f>IFERROR(__xludf.DUMMYFUNCTION("""COMPUTED_VALUE"""),101.0)</f>
        <v>101</v>
      </c>
      <c r="C1019">
        <f>IFERROR(__xludf.DUMMYFUNCTION("""COMPUTED_VALUE"""),1038944.0)</f>
        <v>1038944</v>
      </c>
      <c r="D1019" t="str">
        <f>IFERROR(__xludf.DUMMYFUNCTION("""COMPUTED_VALUE"""),"Ms.")</f>
        <v>Ms.</v>
      </c>
      <c r="E1019" t="str">
        <f>IFERROR(__xludf.DUMMYFUNCTION("""COMPUTED_VALUE"""),"Kullanit")</f>
        <v>Kullanit</v>
      </c>
      <c r="F1019" t="str">
        <f>IFERROR(__xludf.DUMMYFUNCTION("""COMPUTED_VALUE"""),"Adireglarpwong")</f>
        <v>Adireglarpwong</v>
      </c>
      <c r="G1019" t="str">
        <f>IFERROR(__xludf.DUMMYFUNCTION("""COMPUTED_VALUE"""),"Kullanit Adireglarpwong")</f>
        <v>Kullanit Adireglarpwong</v>
      </c>
      <c r="H1019" t="str">
        <f>IFERROR(__xludf.DUMMYFUNCTION("""COMPUTED_VALUE"""),"นางสาว")</f>
        <v>นางสาว</v>
      </c>
      <c r="I1019" t="str">
        <f>IFERROR(__xludf.DUMMYFUNCTION("""COMPUTED_VALUE"""),"กุลนิษฐ์")</f>
        <v>กุลนิษฐ์</v>
      </c>
      <c r="J1019" t="str">
        <f>IFERROR(__xludf.DUMMYFUNCTION("""COMPUTED_VALUE"""),"อดิเรกลาภวงศ์")</f>
        <v>อดิเรกลาภวงศ์</v>
      </c>
      <c r="K1019" t="str">
        <f>IFERROR(__xludf.DUMMYFUNCTION("""COMPUTED_VALUE"""),"กุลนิษฐ์ อดิเรกลาภวงศ์")</f>
        <v>กุลนิษฐ์ อดิเรกลาภวงศ์</v>
      </c>
      <c r="L1019" t="str">
        <f>IFERROR(__xludf.DUMMYFUNCTION("""COMPUTED_VALUE"""),"Jean / จีน")</f>
        <v>Jean / จีน</v>
      </c>
      <c r="M1019" t="str">
        <f>IFERROR(__xludf.DUMMYFUNCTION("""COMPUTED_VALUE"""),"Cabin Crew")</f>
        <v>Cabin Crew</v>
      </c>
      <c r="N1019" t="str">
        <f>IFERROR(__xludf.DUMMYFUNCTION("""COMPUTED_VALUE"""),"DMK")</f>
        <v>DMK</v>
      </c>
      <c r="O1019" s="145" t="str">
        <f>IFERROR(__xludf.DUMMYFUNCTION("""COMPUTED_VALUE"""),"Um Home")</f>
        <v>Um Home</v>
      </c>
      <c r="P1019" t="str">
        <f>IFERROR(__xludf.DUMMYFUNCTION("""COMPUTED_VALUE"""),"Active")</f>
        <v>Active</v>
      </c>
      <c r="Q1019" t="str">
        <f>IFERROR(__xludf.DUMMYFUNCTION("""COMPUTED_VALUE"""),"Korean speaking")</f>
        <v>Korean speaking</v>
      </c>
      <c r="R1019" s="159">
        <f>IFERROR(__xludf.DUMMYFUNCTION("""COMPUTED_VALUE"""),35229.0)</f>
        <v>35229</v>
      </c>
      <c r="S1019" s="146">
        <f>IFERROR(__xludf.DUMMYFUNCTION("""COMPUTED_VALUE"""),9.11156343E8)</f>
        <v>911156343</v>
      </c>
      <c r="T1019" s="147">
        <f>IFERROR(__xludf.DUMMYFUNCTION("""COMPUTED_VALUE"""),1.509901702953E12)</f>
        <v>1509901702953</v>
      </c>
      <c r="U1019" t="str">
        <f>IFERROR(__xludf.DUMMYFUNCTION("""COMPUTED_VALUE"""),"AC3818220")</f>
        <v>AC3818220</v>
      </c>
      <c r="V1019" s="148">
        <f>IFERROR(__xludf.DUMMYFUNCTION("""COMPUTED_VALUE"""),44824.0)</f>
        <v>44824</v>
      </c>
      <c r="W1019" s="148">
        <f>IFERROR(__xludf.DUMMYFUNCTION("""COMPUTED_VALUE"""),48476.0)</f>
        <v>48476</v>
      </c>
      <c r="X1019" s="149">
        <f>IFERROR(__xludf.DUMMYFUNCTION("""COMPUTED_VALUE"""),48292.0)</f>
        <v>48292</v>
      </c>
      <c r="Y1019" t="str">
        <f>IFERROR(__xludf.DUMMYFUNCTION("""COMPUTED_VALUE"""),"ปลอดภัย")</f>
        <v>ปลอดภัย</v>
      </c>
      <c r="Z1019" t="str">
        <f>IFERROR(__xludf.DUMMYFUNCTION("""COMPUTED_VALUE"""),"Chiang Mai Province")</f>
        <v>Chiang Mai Province</v>
      </c>
      <c r="AA1019" t="str">
        <f>IFERROR(__xludf.DUMMYFUNCTION("""COMPUTED_VALUE"""),"PATHUMTANI")</f>
        <v>PATHUMTANI</v>
      </c>
      <c r="AB1019" s="145" t="str">
        <f>IFERROR(__xludf.DUMMYFUNCTION("""COMPUTED_VALUE"""),"0968615542")</f>
        <v>0968615542</v>
      </c>
      <c r="AC1019" t="str">
        <f>IFERROR(__xludf.DUMMYFUNCTION("""COMPUTED_VALUE"""),"นางพิมพ์ชนก อดิเรกลาภวงศ์ Mother")</f>
        <v>นางพิมพ์ชนก อดิเรกลาภวงศ์ Mother</v>
      </c>
      <c r="AD1019" t="str">
        <f>IFERROR(__xludf.DUMMYFUNCTION("""COMPUTED_VALUE"""),"kullanitadireglarpw@airasia.com")</f>
        <v>kullanitadireglarpw@airasia.com</v>
      </c>
    </row>
    <row r="1020">
      <c r="A1020" s="142">
        <f>IFERROR(__xludf.DUMMYFUNCTION("""COMPUTED_VALUE"""),101.0)</f>
        <v>101</v>
      </c>
      <c r="B1020" t="str">
        <f>IFERROR(__xludf.DUMMYFUNCTION("""COMPUTED_VALUE"""),"Rejion  // Change new ID (1038940)")</f>
        <v>Rejion  // Change new ID (1038940)</v>
      </c>
      <c r="C1020">
        <f>IFERROR(__xludf.DUMMYFUNCTION("""COMPUTED_VALUE"""),1019399.0)</f>
        <v>1019399</v>
      </c>
      <c r="D1020" t="str">
        <f>IFERROR(__xludf.DUMMYFUNCTION("""COMPUTED_VALUE"""),"Ms.")</f>
        <v>Ms.</v>
      </c>
      <c r="E1020" t="str">
        <f>IFERROR(__xludf.DUMMYFUNCTION("""COMPUTED_VALUE"""),"Kantida")</f>
        <v>Kantida</v>
      </c>
      <c r="F1020" t="str">
        <f>IFERROR(__xludf.DUMMYFUNCTION("""COMPUTED_VALUE"""),"Tangpradid")</f>
        <v>Tangpradid</v>
      </c>
      <c r="G1020" t="str">
        <f>IFERROR(__xludf.DUMMYFUNCTION("""COMPUTED_VALUE"""),"Kantida Tangpradid")</f>
        <v>Kantida Tangpradid</v>
      </c>
      <c r="H1020" t="str">
        <f>IFERROR(__xludf.DUMMYFUNCTION("""COMPUTED_VALUE"""),"นางสาว")</f>
        <v>นางสาว</v>
      </c>
      <c r="I1020" t="str">
        <f>IFERROR(__xludf.DUMMYFUNCTION("""COMPUTED_VALUE"""),"กานต์ธิดา")</f>
        <v>กานต์ธิดา</v>
      </c>
      <c r="J1020" t="str">
        <f>IFERROR(__xludf.DUMMYFUNCTION("""COMPUTED_VALUE"""),"ตั้งประดิษฐ")</f>
        <v>ตั้งประดิษฐ</v>
      </c>
      <c r="K1020" t="str">
        <f>IFERROR(__xludf.DUMMYFUNCTION("""COMPUTED_VALUE"""),"กานต์ธิดา ตั้งประดิษฐ")</f>
        <v>กานต์ธิดา ตั้งประดิษฐ</v>
      </c>
      <c r="L1020" t="str">
        <f>IFERROR(__xludf.DUMMYFUNCTION("""COMPUTED_VALUE"""),"เน้ะ")</f>
        <v>เน้ะ</v>
      </c>
      <c r="M1020" t="str">
        <f>IFERROR(__xludf.DUMMYFUNCTION("""COMPUTED_VALUE"""),"Cabin Crew")</f>
        <v>Cabin Crew</v>
      </c>
      <c r="N1020" t="str">
        <f>IFERROR(__xludf.DUMMYFUNCTION("""COMPUTED_VALUE"""),"DMK")</f>
        <v>DMK</v>
      </c>
      <c r="O1020" s="145" t="str">
        <f>IFERROR(__xludf.DUMMYFUNCTION("""COMPUTED_VALUE"""),"Por+ Home")</f>
        <v>Por+ Home</v>
      </c>
      <c r="P1020" t="str">
        <f>IFERROR(__xludf.DUMMYFUNCTION("""COMPUTED_VALUE"""),"Active")</f>
        <v>Active</v>
      </c>
      <c r="R1020" s="159">
        <f>IFERROR(__xludf.DUMMYFUNCTION("""COMPUTED_VALUE"""),34163.0)</f>
        <v>34163</v>
      </c>
      <c r="S1020" s="146" t="str">
        <f>IFERROR(__xludf.DUMMYFUNCTION("""COMPUTED_VALUE"""),"092-447-4249")</f>
        <v>092-447-4249</v>
      </c>
      <c r="T1020" s="147">
        <f>IFERROR(__xludf.DUMMYFUNCTION("""COMPUTED_VALUE"""),1.129700025494E12)</f>
        <v>1129700025494</v>
      </c>
      <c r="U1020" t="str">
        <f>IFERROR(__xludf.DUMMYFUNCTION("""COMPUTED_VALUE"""),"AD1866336")</f>
        <v>AD1866336</v>
      </c>
      <c r="V1020" s="148">
        <f>IFERROR(__xludf.DUMMYFUNCTION("""COMPUTED_VALUE"""),45474.0)</f>
        <v>45474</v>
      </c>
      <c r="W1020" s="148">
        <f>IFERROR(__xludf.DUMMYFUNCTION("""COMPUTED_VALUE"""),49125.0)</f>
        <v>49125</v>
      </c>
      <c r="X1020" s="149">
        <f>IFERROR(__xludf.DUMMYFUNCTION("""COMPUTED_VALUE"""),48943.0)</f>
        <v>48943</v>
      </c>
      <c r="Y1020" t="str">
        <f>IFERROR(__xludf.DUMMYFUNCTION("""COMPUTED_VALUE"""),"ปลอดภัย")</f>
        <v>ปลอดภัย</v>
      </c>
      <c r="Z1020" t="str">
        <f>IFERROR(__xludf.DUMMYFUNCTION("""COMPUTED_VALUE"""),"Nonthaburi Province")</f>
        <v>Nonthaburi Province</v>
      </c>
      <c r="AA1020" t="str">
        <f>IFERROR(__xludf.DUMMYFUNCTION("""COMPUTED_VALUE"""),"Bangkok")</f>
        <v>Bangkok</v>
      </c>
      <c r="AB1020" s="145" t="str">
        <f>IFERROR(__xludf.DUMMYFUNCTION("""COMPUTED_VALUE"""),"063-935-5641")</f>
        <v>063-935-5641</v>
      </c>
      <c r="AC1020" t="str">
        <f>IFERROR(__xludf.DUMMYFUNCTION("""COMPUTED_VALUE"""),"นายจตุพร ตั้งประดิษฐ Husband")</f>
        <v>นายจตุพร ตั้งประดิษฐ Husband</v>
      </c>
      <c r="AD1020" t="str">
        <f>IFERROR(__xludf.DUMMYFUNCTION("""COMPUTED_VALUE"""),"kantidatangpradid@airasia.com")</f>
        <v>kantidatangpradid@airasia.com</v>
      </c>
    </row>
    <row r="1021">
      <c r="A1021" s="142">
        <f>IFERROR(__xludf.DUMMYFUNCTION("""COMPUTED_VALUE"""),101.0)</f>
        <v>101</v>
      </c>
      <c r="C1021">
        <f>IFERROR(__xludf.DUMMYFUNCTION("""COMPUTED_VALUE"""),1038949.0)</f>
        <v>1038949</v>
      </c>
      <c r="D1021" t="str">
        <f>IFERROR(__xludf.DUMMYFUNCTION("""COMPUTED_VALUE"""),"Ms.")</f>
        <v>Ms.</v>
      </c>
      <c r="E1021" t="str">
        <f>IFERROR(__xludf.DUMMYFUNCTION("""COMPUTED_VALUE"""),"Kanyapon")</f>
        <v>Kanyapon</v>
      </c>
      <c r="F1021" t="str">
        <f>IFERROR(__xludf.DUMMYFUNCTION("""COMPUTED_VALUE"""),"Klinprean")</f>
        <v>Klinprean</v>
      </c>
      <c r="G1021" t="str">
        <f>IFERROR(__xludf.DUMMYFUNCTION("""COMPUTED_VALUE"""),"Kanyapon Klinprean")</f>
        <v>Kanyapon Klinprean</v>
      </c>
      <c r="H1021" t="str">
        <f>IFERROR(__xludf.DUMMYFUNCTION("""COMPUTED_VALUE"""),"นางสาว")</f>
        <v>นางสาว</v>
      </c>
      <c r="I1021" t="str">
        <f>IFERROR(__xludf.DUMMYFUNCTION("""COMPUTED_VALUE"""),"กัลยภรณ์")</f>
        <v>กัลยภรณ์</v>
      </c>
      <c r="J1021" t="str">
        <f>IFERROR(__xludf.DUMMYFUNCTION("""COMPUTED_VALUE"""),"กลิ่นเพียร")</f>
        <v>กลิ่นเพียร</v>
      </c>
      <c r="K1021" t="str">
        <f>IFERROR(__xludf.DUMMYFUNCTION("""COMPUTED_VALUE"""),"กัลยภรณ์ กลิ่นเพียร")</f>
        <v>กัลยภรณ์ กลิ่นเพียร</v>
      </c>
      <c r="L1021" t="str">
        <f>IFERROR(__xludf.DUMMYFUNCTION("""COMPUTED_VALUE"""),"Pie/ พาย")</f>
        <v>Pie/ พาย</v>
      </c>
      <c r="M1021" t="str">
        <f>IFERROR(__xludf.DUMMYFUNCTION("""COMPUTED_VALUE"""),"Cabin Crew")</f>
        <v>Cabin Crew</v>
      </c>
      <c r="N1021" t="str">
        <f>IFERROR(__xludf.DUMMYFUNCTION("""COMPUTED_VALUE"""),"DMK")</f>
        <v>DMK</v>
      </c>
      <c r="O1021" s="145" t="str">
        <f>IFERROR(__xludf.DUMMYFUNCTION("""COMPUTED_VALUE"""),"Nhui Home")</f>
        <v>Nhui Home</v>
      </c>
      <c r="P1021" t="str">
        <f>IFERROR(__xludf.DUMMYFUNCTION("""COMPUTED_VALUE"""),"Active")</f>
        <v>Active</v>
      </c>
      <c r="R1021" s="159">
        <f>IFERROR(__xludf.DUMMYFUNCTION("""COMPUTED_VALUE"""),34141.0)</f>
        <v>34141</v>
      </c>
      <c r="S1021" s="146" t="str">
        <f>IFERROR(__xludf.DUMMYFUNCTION("""COMPUTED_VALUE"""),"087-655-5456")</f>
        <v>087-655-5456</v>
      </c>
      <c r="T1021" s="147">
        <f>IFERROR(__xludf.DUMMYFUNCTION("""COMPUTED_VALUE"""),1.103000048739E12)</f>
        <v>1103000048739</v>
      </c>
      <c r="U1021" t="str">
        <f>IFERROR(__xludf.DUMMYFUNCTION("""COMPUTED_VALUE"""),"AC5801176")</f>
        <v>AC5801176</v>
      </c>
      <c r="V1021" s="148">
        <f>IFERROR(__xludf.DUMMYFUNCTION("""COMPUTED_VALUE"""),45598.0)</f>
        <v>45598</v>
      </c>
      <c r="W1021" s="150">
        <f>IFERROR(__xludf.DUMMYFUNCTION("""COMPUTED_VALUE"""),48884.0)</f>
        <v>48884</v>
      </c>
      <c r="X1021" s="149">
        <f>IFERROR(__xludf.DUMMYFUNCTION("""COMPUTED_VALUE"""),48700.0)</f>
        <v>48700</v>
      </c>
      <c r="Y1021" t="str">
        <f>IFERROR(__xludf.DUMMYFUNCTION("""COMPUTED_VALUE"""),"ปลอดภัย")</f>
        <v>ปลอดภัย</v>
      </c>
      <c r="Z1021" t="str">
        <f>IFERROR(__xludf.DUMMYFUNCTION("""COMPUTED_VALUE"""),"Bangkok")</f>
        <v>Bangkok</v>
      </c>
      <c r="AA1021" t="str">
        <f>IFERROR(__xludf.DUMMYFUNCTION("""COMPUTED_VALUE"""),"Bangkok")</f>
        <v>Bangkok</v>
      </c>
      <c r="AB1021" s="145" t="str">
        <f>IFERROR(__xludf.DUMMYFUNCTION("""COMPUTED_VALUE"""),"083-015-0527")</f>
        <v>083-015-0527</v>
      </c>
      <c r="AC1021" t="str">
        <f>IFERROR(__xludf.DUMMYFUNCTION("""COMPUTED_VALUE"""),"นายวิพุธ จันทร์วิเมลือง Husband")</f>
        <v>นายวิพุธ จันทร์วิเมลือง Husband</v>
      </c>
      <c r="AD1021" t="str">
        <f>IFERROR(__xludf.DUMMYFUNCTION("""COMPUTED_VALUE"""),"kanyaponklinprean@airasia.com")</f>
        <v>kanyaponklinprean@airasia.com</v>
      </c>
    </row>
    <row r="1022">
      <c r="A1022" s="142">
        <f>IFERROR(__xludf.DUMMYFUNCTION("""COMPUTED_VALUE"""),101.0)</f>
        <v>101</v>
      </c>
      <c r="C1022">
        <f>IFERROR(__xludf.DUMMYFUNCTION("""COMPUTED_VALUE"""),1038948.0)</f>
        <v>1038948</v>
      </c>
      <c r="D1022" t="str">
        <f>IFERROR(__xludf.DUMMYFUNCTION("""COMPUTED_VALUE"""),"Ms.")</f>
        <v>Ms.</v>
      </c>
      <c r="E1022" t="str">
        <f>IFERROR(__xludf.DUMMYFUNCTION("""COMPUTED_VALUE"""),"Pastatorn")</f>
        <v>Pastatorn</v>
      </c>
      <c r="F1022" t="str">
        <f>IFERROR(__xludf.DUMMYFUNCTION("""COMPUTED_VALUE"""),"Juengpanich")</f>
        <v>Juengpanich</v>
      </c>
      <c r="G1022" t="str">
        <f>IFERROR(__xludf.DUMMYFUNCTION("""COMPUTED_VALUE"""),"Pastatorn Juengpanich")</f>
        <v>Pastatorn Juengpanich</v>
      </c>
      <c r="H1022" t="str">
        <f>IFERROR(__xludf.DUMMYFUNCTION("""COMPUTED_VALUE"""),"นางสาว")</f>
        <v>นางสาว</v>
      </c>
      <c r="I1022" t="str">
        <f>IFERROR(__xludf.DUMMYFUNCTION("""COMPUTED_VALUE"""),"ภัสส์ฐธรณ์")</f>
        <v>ภัสส์ฐธรณ์</v>
      </c>
      <c r="J1022" t="str">
        <f>IFERROR(__xludf.DUMMYFUNCTION("""COMPUTED_VALUE"""),"จึงพานิช")</f>
        <v>จึงพานิช</v>
      </c>
      <c r="K1022" t="str">
        <f>IFERROR(__xludf.DUMMYFUNCTION("""COMPUTED_VALUE"""),"ภัสส์ฐธรณ์ จึงพานิช")</f>
        <v>ภัสส์ฐธรณ์ จึงพานิช</v>
      </c>
      <c r="L1022" t="str">
        <f>IFERROR(__xludf.DUMMYFUNCTION("""COMPUTED_VALUE"""),"แพมมี่")</f>
        <v>แพมมี่</v>
      </c>
      <c r="M1022" t="str">
        <f>IFERROR(__xludf.DUMMYFUNCTION("""COMPUTED_VALUE"""),"Cabin Crew - BKK")</f>
        <v>Cabin Crew - BKK</v>
      </c>
      <c r="N1022" t="str">
        <f>IFERROR(__xludf.DUMMYFUNCTION("""COMPUTED_VALUE"""),"BKK")</f>
        <v>BKK</v>
      </c>
      <c r="O1022" s="145" t="str">
        <f>IFERROR(__xludf.DUMMYFUNCTION("""COMPUTED_VALUE"""),"Nhui Home")</f>
        <v>Nhui Home</v>
      </c>
      <c r="P1022" t="str">
        <f>IFERROR(__xludf.DUMMYFUNCTION("""COMPUTED_VALUE"""),"Active/V/DMK")</f>
        <v>Active/V/DMK</v>
      </c>
      <c r="R1022" s="159">
        <f>IFERROR(__xludf.DUMMYFUNCTION("""COMPUTED_VALUE"""),33491.0)</f>
        <v>33491</v>
      </c>
      <c r="S1022" s="146" t="str">
        <f>IFERROR(__xludf.DUMMYFUNCTION("""COMPUTED_VALUE"""),"086-980-2393")</f>
        <v>086-980-2393</v>
      </c>
      <c r="T1022" s="147">
        <f>IFERROR(__xludf.DUMMYFUNCTION("""COMPUTED_VALUE"""),1.101401911541E12)</f>
        <v>1101401911541</v>
      </c>
      <c r="U1022" t="str">
        <f>IFERROR(__xludf.DUMMYFUNCTION("""COMPUTED_VALUE"""),"AC5679359")</f>
        <v>AC5679359</v>
      </c>
      <c r="V1022" s="148">
        <f>IFERROR(__xludf.DUMMYFUNCTION("""COMPUTED_VALUE"""),45178.0)</f>
        <v>45178</v>
      </c>
      <c r="W1022" s="148">
        <f>IFERROR(__xludf.DUMMYFUNCTION("""COMPUTED_VALUE"""),48830.0)</f>
        <v>48830</v>
      </c>
      <c r="X1022" s="149">
        <f>IFERROR(__xludf.DUMMYFUNCTION("""COMPUTED_VALUE"""),48646.0)</f>
        <v>48646</v>
      </c>
      <c r="Y1022" t="str">
        <f>IFERROR(__xludf.DUMMYFUNCTION("""COMPUTED_VALUE"""),"ปลอดภัย")</f>
        <v>ปลอดภัย</v>
      </c>
      <c r="Z1022" t="str">
        <f>IFERROR(__xludf.DUMMYFUNCTION("""COMPUTED_VALUE"""),"Bangkok")</f>
        <v>Bangkok</v>
      </c>
      <c r="AA1022" t="str">
        <f>IFERROR(__xludf.DUMMYFUNCTION("""COMPUTED_VALUE"""),"Bangkok")</f>
        <v>Bangkok</v>
      </c>
      <c r="AB1022" s="145" t="str">
        <f>IFERROR(__xludf.DUMMYFUNCTION("""COMPUTED_VALUE"""),"092-946-9649")</f>
        <v>092-946-9649</v>
      </c>
      <c r="AC1022" t="str">
        <f>IFERROR(__xludf.DUMMYFUNCTION("""COMPUTED_VALUE"""),"นางชัญนภัค พรภูรีมาศ Mother")</f>
        <v>นางชัญนภัค พรภูรีมาศ Mother</v>
      </c>
      <c r="AD1022" t="str">
        <f>IFERROR(__xludf.DUMMYFUNCTION("""COMPUTED_VALUE"""),"pastatornjuengpanich@airasia.com")</f>
        <v>pastatornjuengpanich@airasia.com</v>
      </c>
    </row>
    <row r="1023">
      <c r="A1023" s="142">
        <f>IFERROR(__xludf.DUMMYFUNCTION("""COMPUTED_VALUE"""),101.0)</f>
        <v>101</v>
      </c>
      <c r="C1023">
        <f>IFERROR(__xludf.DUMMYFUNCTION("""COMPUTED_VALUE"""),1038950.0)</f>
        <v>1038950</v>
      </c>
      <c r="D1023" t="str">
        <f>IFERROR(__xludf.DUMMYFUNCTION("""COMPUTED_VALUE"""),"Mr.")</f>
        <v>Mr.</v>
      </c>
      <c r="E1023" t="str">
        <f>IFERROR(__xludf.DUMMYFUNCTION("""COMPUTED_VALUE"""),"Parinya")</f>
        <v>Parinya</v>
      </c>
      <c r="F1023" t="str">
        <f>IFERROR(__xludf.DUMMYFUNCTION("""COMPUTED_VALUE"""),"Silasak")</f>
        <v>Silasak</v>
      </c>
      <c r="G1023" t="str">
        <f>IFERROR(__xludf.DUMMYFUNCTION("""COMPUTED_VALUE"""),"Parinya Silasak")</f>
        <v>Parinya Silasak</v>
      </c>
      <c r="H1023" t="str">
        <f>IFERROR(__xludf.DUMMYFUNCTION("""COMPUTED_VALUE"""),"นาย")</f>
        <v>นาย</v>
      </c>
      <c r="I1023" t="str">
        <f>IFERROR(__xludf.DUMMYFUNCTION("""COMPUTED_VALUE"""),"ปริญญา")</f>
        <v>ปริญญา</v>
      </c>
      <c r="J1023" t="str">
        <f>IFERROR(__xludf.DUMMYFUNCTION("""COMPUTED_VALUE"""),"ศิลาศักดิ์")</f>
        <v>ศิลาศักดิ์</v>
      </c>
      <c r="K1023" t="str">
        <f>IFERROR(__xludf.DUMMYFUNCTION("""COMPUTED_VALUE"""),"ปริญญา ศิลาศักดิ์")</f>
        <v>ปริญญา ศิลาศักดิ์</v>
      </c>
      <c r="L1023" t="str">
        <f>IFERROR(__xludf.DUMMYFUNCTION("""COMPUTED_VALUE"""),"Beer / เบียร์")</f>
        <v>Beer / เบียร์</v>
      </c>
      <c r="M1023" t="str">
        <f>IFERROR(__xludf.DUMMYFUNCTION("""COMPUTED_VALUE"""),"Cabin Crew")</f>
        <v>Cabin Crew</v>
      </c>
      <c r="N1023" t="str">
        <f>IFERROR(__xludf.DUMMYFUNCTION("""COMPUTED_VALUE"""),"DMK")</f>
        <v>DMK</v>
      </c>
      <c r="O1023" s="145" t="str">
        <f>IFERROR(__xludf.DUMMYFUNCTION("""COMPUTED_VALUE"""),"Por+ Home")</f>
        <v>Por+ Home</v>
      </c>
      <c r="P1023" t="str">
        <f>IFERROR(__xludf.DUMMYFUNCTION("""COMPUTED_VALUE"""),"Active")</f>
        <v>Active</v>
      </c>
      <c r="Q1023" t="str">
        <f>IFERROR(__xludf.DUMMYFUNCTION("""COMPUTED_VALUE"""),"Chinese Speaking")</f>
        <v>Chinese Speaking</v>
      </c>
      <c r="R1023" s="159">
        <f>IFERROR(__xludf.DUMMYFUNCTION("""COMPUTED_VALUE"""),34676.0)</f>
        <v>34676</v>
      </c>
      <c r="S1023" s="146" t="str">
        <f>IFERROR(__xludf.DUMMYFUNCTION("""COMPUTED_VALUE"""),"061-602-9233")</f>
        <v>061-602-9233</v>
      </c>
      <c r="T1023" s="147">
        <f>IFERROR(__xludf.DUMMYFUNCTION("""COMPUTED_VALUE"""),1.370500003284E12)</f>
        <v>1370500003284</v>
      </c>
      <c r="U1023" t="str">
        <f>IFERROR(__xludf.DUMMYFUNCTION("""COMPUTED_VALUE"""),"AC4550275")</f>
        <v>AC4550275</v>
      </c>
      <c r="V1023" s="148">
        <f>IFERROR(__xludf.DUMMYFUNCTION("""COMPUTED_VALUE"""),44985.0)</f>
        <v>44985</v>
      </c>
      <c r="W1023" s="148">
        <f>IFERROR(__xludf.DUMMYFUNCTION("""COMPUTED_VALUE"""),48637.0)</f>
        <v>48637</v>
      </c>
      <c r="X1023" s="149">
        <f>IFERROR(__xludf.DUMMYFUNCTION("""COMPUTED_VALUE"""),48453.0)</f>
        <v>48453</v>
      </c>
      <c r="Y1023" t="str">
        <f>IFERROR(__xludf.DUMMYFUNCTION("""COMPUTED_VALUE"""),"ปลอดภัย")</f>
        <v>ปลอดภัย</v>
      </c>
      <c r="Z1023" t="str">
        <f>IFERROR(__xludf.DUMMYFUNCTION("""COMPUTED_VALUE"""),"Amnat Charoen Province")</f>
        <v>Amnat Charoen Province</v>
      </c>
      <c r="AA1023" t="str">
        <f>IFERROR(__xludf.DUMMYFUNCTION("""COMPUTED_VALUE"""),"Bangkok")</f>
        <v>Bangkok</v>
      </c>
      <c r="AB1023" s="145" t="str">
        <f>IFERROR(__xludf.DUMMYFUNCTION("""COMPUTED_VALUE"""),"063-160-0271")</f>
        <v>063-160-0271</v>
      </c>
      <c r="AC1023" t="str">
        <f>IFERROR(__xludf.DUMMYFUNCTION("""COMPUTED_VALUE"""),"นางสมาน ศิลาศักดิ์ Mother")</f>
        <v>นางสมาน ศิลาศักดิ์ Mother</v>
      </c>
      <c r="AD1023" t="str">
        <f>IFERROR(__xludf.DUMMYFUNCTION("""COMPUTED_VALUE"""),"parinyasilasak@airasia.com")</f>
        <v>parinyasilasak@airasia.com</v>
      </c>
    </row>
    <row r="1024">
      <c r="A1024" s="142">
        <f>IFERROR(__xludf.DUMMYFUNCTION("""COMPUTED_VALUE"""),101.0)</f>
        <v>101</v>
      </c>
      <c r="C1024">
        <f>IFERROR(__xludf.DUMMYFUNCTION("""COMPUTED_VALUE"""),1038947.0)</f>
        <v>1038947</v>
      </c>
      <c r="D1024" t="str">
        <f>IFERROR(__xludf.DUMMYFUNCTION("""COMPUTED_VALUE"""),"Ms.")</f>
        <v>Ms.</v>
      </c>
      <c r="E1024" t="str">
        <f>IFERROR(__xludf.DUMMYFUNCTION("""COMPUTED_VALUE"""),"Phacharamon")</f>
        <v>Phacharamon</v>
      </c>
      <c r="F1024" t="str">
        <f>IFERROR(__xludf.DUMMYFUNCTION("""COMPUTED_VALUE"""),"Polrat")</f>
        <v>Polrat</v>
      </c>
      <c r="G1024" t="str">
        <f>IFERROR(__xludf.DUMMYFUNCTION("""COMPUTED_VALUE"""),"Phacharamon Polrat")</f>
        <v>Phacharamon Polrat</v>
      </c>
      <c r="H1024" t="str">
        <f>IFERROR(__xludf.DUMMYFUNCTION("""COMPUTED_VALUE"""),"นางสาว")</f>
        <v>นางสาว</v>
      </c>
      <c r="I1024" t="str">
        <f>IFERROR(__xludf.DUMMYFUNCTION("""COMPUTED_VALUE"""),"พชรมน")</f>
        <v>พชรมน</v>
      </c>
      <c r="J1024" t="str">
        <f>IFERROR(__xludf.DUMMYFUNCTION("""COMPUTED_VALUE"""),"พลรัตน์")</f>
        <v>พลรัตน์</v>
      </c>
      <c r="K1024" t="str">
        <f>IFERROR(__xludf.DUMMYFUNCTION("""COMPUTED_VALUE"""),"พชรมน พลรัตน์")</f>
        <v>พชรมน พลรัตน์</v>
      </c>
      <c r="L1024" t="str">
        <f>IFERROR(__xludf.DUMMYFUNCTION("""COMPUTED_VALUE"""),"เบียร์")</f>
        <v>เบียร์</v>
      </c>
      <c r="M1024" t="str">
        <f>IFERROR(__xludf.DUMMYFUNCTION("""COMPUTED_VALUE"""),"Cabin Crew")</f>
        <v>Cabin Crew</v>
      </c>
      <c r="N1024" t="str">
        <f>IFERROR(__xludf.DUMMYFUNCTION("""COMPUTED_VALUE"""),"DMK")</f>
        <v>DMK</v>
      </c>
      <c r="O1024" s="145" t="str">
        <f>IFERROR(__xludf.DUMMYFUNCTION("""COMPUTED_VALUE"""),"Namfon Home")</f>
        <v>Namfon Home</v>
      </c>
      <c r="P1024" t="str">
        <f>IFERROR(__xludf.DUMMYFUNCTION("""COMPUTED_VALUE"""),"V/LWP")</f>
        <v>V/LWP</v>
      </c>
      <c r="R1024" s="159">
        <f>IFERROR(__xludf.DUMMYFUNCTION("""COMPUTED_VALUE"""),33448.0)</f>
        <v>33448</v>
      </c>
      <c r="S1024" s="146" t="str">
        <f>IFERROR(__xludf.DUMMYFUNCTION("""COMPUTED_VALUE"""),"085-4543444")</f>
        <v>085-4543444</v>
      </c>
      <c r="T1024" s="147">
        <f>IFERROR(__xludf.DUMMYFUNCTION("""COMPUTED_VALUE"""),2.489900019761E12)</f>
        <v>2489900019761</v>
      </c>
      <c r="U1024" t="str">
        <f>IFERROR(__xludf.DUMMYFUNCTION("""COMPUTED_VALUE"""),"AC5556671")</f>
        <v>AC5556671</v>
      </c>
      <c r="V1024" s="148">
        <f>IFERROR(__xludf.DUMMYFUNCTION("""COMPUTED_VALUE"""),45165.0)</f>
        <v>45165</v>
      </c>
      <c r="W1024" s="148">
        <f>IFERROR(__xludf.DUMMYFUNCTION("""COMPUTED_VALUE"""),48817.0)</f>
        <v>48817</v>
      </c>
      <c r="X1024" s="149">
        <f>IFERROR(__xludf.DUMMYFUNCTION("""COMPUTED_VALUE"""),48636.0)</f>
        <v>48636</v>
      </c>
      <c r="Y1024" t="str">
        <f>IFERROR(__xludf.DUMMYFUNCTION("""COMPUTED_VALUE"""),"ปลอดภัย")</f>
        <v>ปลอดภัย</v>
      </c>
      <c r="Z1024" t="str">
        <f>IFERROR(__xludf.DUMMYFUNCTION("""COMPUTED_VALUE"""),"Nakhon Phanom Province")</f>
        <v>Nakhon Phanom Province</v>
      </c>
      <c r="AA1024" t="str">
        <f>IFERROR(__xludf.DUMMYFUNCTION("""COMPUTED_VALUE"""),"NONTABUTI")</f>
        <v>NONTABUTI</v>
      </c>
      <c r="AB1024" s="145" t="str">
        <f>IFERROR(__xludf.DUMMYFUNCTION("""COMPUTED_VALUE"""),"084-6878888")</f>
        <v>084-6878888</v>
      </c>
      <c r="AC1024" t="str">
        <f>IFERROR(__xludf.DUMMYFUNCTION("""COMPUTED_VALUE"""),"นายเกรียงไกร นิตยาทานุกลู Friend")</f>
        <v>นายเกรียงไกร นิตยาทานุกลู Friend</v>
      </c>
      <c r="AD1024" t="str">
        <f>IFERROR(__xludf.DUMMYFUNCTION("""COMPUTED_VALUE"""),"phacharamonpolrat@airasia.com")</f>
        <v>phacharamonpolrat@airasia.com</v>
      </c>
    </row>
    <row r="1025">
      <c r="AD1025" t="str">
        <f>IFERROR(__xludf.DUMMYFUNCTION("""COMPUTED_VALUE"""),"")</f>
        <v/>
      </c>
    </row>
    <row r="1026">
      <c r="A1026" s="142">
        <f>IFERROR(__xludf.DUMMYFUNCTION("""COMPUTED_VALUE"""),102.0)</f>
        <v>102</v>
      </c>
      <c r="C1026">
        <f>IFERROR(__xludf.DUMMYFUNCTION("""COMPUTED_VALUE"""),1027465.0)</f>
        <v>1027465</v>
      </c>
      <c r="D1026" t="str">
        <f>IFERROR(__xludf.DUMMYFUNCTION("""COMPUTED_VALUE"""),"Ms.")</f>
        <v>Ms.</v>
      </c>
      <c r="E1026" t="str">
        <f>IFERROR(__xludf.DUMMYFUNCTION("""COMPUTED_VALUE"""),"Jiraporn")</f>
        <v>Jiraporn</v>
      </c>
      <c r="F1026" t="str">
        <f>IFERROR(__xludf.DUMMYFUNCTION("""COMPUTED_VALUE"""),"Khongpan")</f>
        <v>Khongpan</v>
      </c>
      <c r="G1026" t="str">
        <f>IFERROR(__xludf.DUMMYFUNCTION("""COMPUTED_VALUE"""),"Jiraporn Khongpan")</f>
        <v>Jiraporn Khongpan</v>
      </c>
      <c r="H1026" t="str">
        <f>IFERROR(__xludf.DUMMYFUNCTION("""COMPUTED_VALUE"""),"นางสาว")</f>
        <v>นางสาว</v>
      </c>
      <c r="I1026" t="str">
        <f>IFERROR(__xludf.DUMMYFUNCTION("""COMPUTED_VALUE"""),"จิราภรณ์")</f>
        <v>จิราภรณ์</v>
      </c>
      <c r="J1026" t="str">
        <f>IFERROR(__xludf.DUMMYFUNCTION("""COMPUTED_VALUE"""),"คงปั้น")</f>
        <v>คงปั้น</v>
      </c>
      <c r="K1026" t="str">
        <f>IFERROR(__xludf.DUMMYFUNCTION("""COMPUTED_VALUE"""),"จิราภรณ์ คงปั้น")</f>
        <v>จิราภรณ์ คงปั้น</v>
      </c>
      <c r="L1026" t="str">
        <f>IFERROR(__xludf.DUMMYFUNCTION("""COMPUTED_VALUE"""),"June / จูน")</f>
        <v>June / จูน</v>
      </c>
      <c r="M1026" t="str">
        <f>IFERROR(__xludf.DUMMYFUNCTION("""COMPUTED_VALUE"""),"Cabin Crew")</f>
        <v>Cabin Crew</v>
      </c>
      <c r="N1026" t="str">
        <f>IFERROR(__xludf.DUMMYFUNCTION("""COMPUTED_VALUE"""),"DMK")</f>
        <v>DMK</v>
      </c>
      <c r="O1026" s="145" t="str">
        <f>IFERROR(__xludf.DUMMYFUNCTION("""COMPUTED_VALUE"""),"Um Home")</f>
        <v>Um Home</v>
      </c>
      <c r="P1026" t="str">
        <f>IFERROR(__xludf.DUMMYFUNCTION("""COMPUTED_VALUE"""),"Active")</f>
        <v>Active</v>
      </c>
      <c r="R1026" s="159">
        <f>IFERROR(__xludf.DUMMYFUNCTION("""COMPUTED_VALUE"""),34366.0)</f>
        <v>34366</v>
      </c>
      <c r="S1026" s="146">
        <f>IFERROR(__xludf.DUMMYFUNCTION("""COMPUTED_VALUE"""),8.04752228E8)</f>
        <v>804752228</v>
      </c>
      <c r="T1026" s="147">
        <f>IFERROR(__xludf.DUMMYFUNCTION("""COMPUTED_VALUE"""),1.559900253861E12)</f>
        <v>1559900253861</v>
      </c>
      <c r="U1026" t="str">
        <f>IFERROR(__xludf.DUMMYFUNCTION("""COMPUTED_VALUE"""),"AC8079606")</f>
        <v>AC8079606</v>
      </c>
      <c r="V1026" s="148">
        <f>IFERROR(__xludf.DUMMYFUNCTION("""COMPUTED_VALUE"""),45699.0)</f>
        <v>45699</v>
      </c>
      <c r="W1026" s="148">
        <f>IFERROR(__xludf.DUMMYFUNCTION("""COMPUTED_VALUE"""),49350.0)</f>
        <v>49350</v>
      </c>
      <c r="X1026" s="149">
        <f>IFERROR(__xludf.DUMMYFUNCTION("""COMPUTED_VALUE"""),49166.0)</f>
        <v>49166</v>
      </c>
      <c r="Y1026" t="str">
        <f>IFERROR(__xludf.DUMMYFUNCTION("""COMPUTED_VALUE"""),"ปลอดภัย")</f>
        <v>ปลอดภัย</v>
      </c>
      <c r="Z1026" t="str">
        <f>IFERROR(__xludf.DUMMYFUNCTION("""COMPUTED_VALUE"""),"Nan Province")</f>
        <v>Nan Province</v>
      </c>
      <c r="AA1026" t="str">
        <f>IFERROR(__xludf.DUMMYFUNCTION("""COMPUTED_VALUE"""),"PATHUMTANI")</f>
        <v>PATHUMTANI</v>
      </c>
      <c r="AB1026" s="145" t="str">
        <f>IFERROR(__xludf.DUMMYFUNCTION("""COMPUTED_VALUE"""),"0861169965")</f>
        <v>0861169965</v>
      </c>
      <c r="AC1026" t="str">
        <f>IFERROR(__xludf.DUMMYFUNCTION("""COMPUTED_VALUE"""),"นางสาวจุฑาทิพย์ คงปั้น Sister")</f>
        <v>นางสาวจุฑาทิพย์ คงปั้น Sister</v>
      </c>
      <c r="AD1026" t="str">
        <f>IFERROR(__xludf.DUMMYFUNCTION("""COMPUTED_VALUE"""),"jirapornkhongpan@airasia.com")</f>
        <v>jirapornkhongpan@airasia.com</v>
      </c>
    </row>
    <row r="1027">
      <c r="A1027" s="142">
        <f>IFERROR(__xludf.DUMMYFUNCTION("""COMPUTED_VALUE"""),102.0)</f>
        <v>102</v>
      </c>
      <c r="B1027" t="str">
        <f>IFERROR(__xludf.DUMMYFUNCTION("""COMPUTED_VALUE"""),"ไม่สามารถ Promote ได้ 2 ปี
จาก 22 มีนาคม 2567")</f>
        <v>ไม่สามารถ Promote ได้ 2 ปี
จาก 22 มีนาคม 2567</v>
      </c>
      <c r="C1027">
        <f>IFERROR(__xludf.DUMMYFUNCTION("""COMPUTED_VALUE"""),1025186.0)</f>
        <v>1025186</v>
      </c>
      <c r="D1027" t="str">
        <f>IFERROR(__xludf.DUMMYFUNCTION("""COMPUTED_VALUE"""),"Ms.")</f>
        <v>Ms.</v>
      </c>
      <c r="E1027" t="str">
        <f>IFERROR(__xludf.DUMMYFUNCTION("""COMPUTED_VALUE"""),"Pawaran")</f>
        <v>Pawaran</v>
      </c>
      <c r="F1027" t="str">
        <f>IFERROR(__xludf.DUMMYFUNCTION("""COMPUTED_VALUE"""),"Modsuwan (Thapwongsakorn)")</f>
        <v>Modsuwan (Thapwongsakorn)</v>
      </c>
      <c r="G1027" t="str">
        <f>IFERROR(__xludf.DUMMYFUNCTION("""COMPUTED_VALUE"""),"Pawaran Modsuwan")</f>
        <v>Pawaran Modsuwan</v>
      </c>
      <c r="H1027" t="str">
        <f>IFERROR(__xludf.DUMMYFUNCTION("""COMPUTED_VALUE"""),"นางสาว")</f>
        <v>นางสาว</v>
      </c>
      <c r="I1027" t="str">
        <f>IFERROR(__xludf.DUMMYFUNCTION("""COMPUTED_VALUE"""),"ภวรัญชน์")</f>
        <v>ภวรัญชน์</v>
      </c>
      <c r="J1027" t="str">
        <f>IFERROR(__xludf.DUMMYFUNCTION("""COMPUTED_VALUE"""),"โหมดสุวรรณ (ทัพพ์วงศกร)")</f>
        <v>โหมดสุวรรณ (ทัพพ์วงศกร)</v>
      </c>
      <c r="K1027" t="str">
        <f>IFERROR(__xludf.DUMMYFUNCTION("""COMPUTED_VALUE"""),"ภวรัญชน์ โหมดสุวรรณ")</f>
        <v>ภวรัญชน์ โหมดสุวรรณ</v>
      </c>
      <c r="L1027" s="160" t="str">
        <f>IFERROR(__xludf.DUMMYFUNCTION("""COMPUTED_VALUE"""),"Cream / ครีม")</f>
        <v>Cream / ครีม</v>
      </c>
      <c r="M1027" t="str">
        <f>IFERROR(__xludf.DUMMYFUNCTION("""COMPUTED_VALUE"""),"Cabin Crew")</f>
        <v>Cabin Crew</v>
      </c>
      <c r="N1027" t="str">
        <f>IFERROR(__xludf.DUMMYFUNCTION("""COMPUTED_VALUE"""),"DMK")</f>
        <v>DMK</v>
      </c>
      <c r="O1027" s="145" t="str">
        <f>IFERROR(__xludf.DUMMYFUNCTION("""COMPUTED_VALUE"""),"Nhui Home")</f>
        <v>Nhui Home</v>
      </c>
      <c r="P1027" t="str">
        <f>IFERROR(__xludf.DUMMYFUNCTION("""COMPUTED_VALUE"""),"Active")</f>
        <v>Active</v>
      </c>
      <c r="R1027" s="159">
        <f>IFERROR(__xludf.DUMMYFUNCTION("""COMPUTED_VALUE"""),34652.0)</f>
        <v>34652</v>
      </c>
      <c r="S1027" s="146" t="str">
        <f>IFERROR(__xludf.DUMMYFUNCTION("""COMPUTED_VALUE"""),"083-091-8817")</f>
        <v>083-091-8817</v>
      </c>
      <c r="T1027" s="147">
        <f>IFERROR(__xludf.DUMMYFUNCTION("""COMPUTED_VALUE"""),1.100400727037E12)</f>
        <v>1100400727037</v>
      </c>
      <c r="U1027" t="str">
        <f>IFERROR(__xludf.DUMMYFUNCTION("""COMPUTED_VALUE"""),"AC8169741")</f>
        <v>AC8169741</v>
      </c>
      <c r="V1027" s="148">
        <f>IFERROR(__xludf.DUMMYFUNCTION("""COMPUTED_VALUE"""),45964.0)</f>
        <v>45964</v>
      </c>
      <c r="W1027" s="148">
        <f>IFERROR(__xludf.DUMMYFUNCTION("""COMPUTED_VALUE"""),49615.0)</f>
        <v>49615</v>
      </c>
      <c r="X1027" s="149">
        <f>IFERROR(__xludf.DUMMYFUNCTION("""COMPUTED_VALUE"""),49431.0)</f>
        <v>49431</v>
      </c>
      <c r="Y1027" t="str">
        <f>IFERROR(__xludf.DUMMYFUNCTION("""COMPUTED_VALUE"""),"ปลอดภัย")</f>
        <v>ปลอดภัย</v>
      </c>
      <c r="Z1027" s="160" t="str">
        <f>IFERROR(__xludf.DUMMYFUNCTION("""COMPUTED_VALUE"""),"Bangkok")</f>
        <v>Bangkok</v>
      </c>
      <c r="AA1027" t="str">
        <f>IFERROR(__xludf.DUMMYFUNCTION("""COMPUTED_VALUE"""),"Bangkok")</f>
        <v>Bangkok</v>
      </c>
      <c r="AB1027" s="145" t="str">
        <f>IFERROR(__xludf.DUMMYFUNCTION("""COMPUTED_VALUE"""),"081-619-4698")</f>
        <v>081-619-4698</v>
      </c>
      <c r="AC1027" t="str">
        <f>IFERROR(__xludf.DUMMYFUNCTION("""COMPUTED_VALUE"""),"นายปรีเยศ ทัพพ์วงศกร Father")</f>
        <v>นายปรีเยศ ทัพพ์วงศกร Father</v>
      </c>
      <c r="AD1027" t="str">
        <f>IFERROR(__xludf.DUMMYFUNCTION("""COMPUTED_VALUE"""),"pawaranmodsuwan@airasia.com")</f>
        <v>pawaranmodsuwan@airasia.com</v>
      </c>
    </row>
    <row r="1028">
      <c r="A1028" s="142">
        <f>IFERROR(__xludf.DUMMYFUNCTION("""COMPUTED_VALUE"""),102.0)</f>
        <v>102</v>
      </c>
      <c r="C1028">
        <f>IFERROR(__xludf.DUMMYFUNCTION("""COMPUTED_VALUE"""),1013689.0)</f>
        <v>1013689</v>
      </c>
      <c r="D1028" t="str">
        <f>IFERROR(__xludf.DUMMYFUNCTION("""COMPUTED_VALUE"""),"Ms.")</f>
        <v>Ms.</v>
      </c>
      <c r="E1028" t="str">
        <f>IFERROR(__xludf.DUMMYFUNCTION("""COMPUTED_VALUE"""),"Sutthida")</f>
        <v>Sutthida</v>
      </c>
      <c r="F1028" t="str">
        <f>IFERROR(__xludf.DUMMYFUNCTION("""COMPUTED_VALUE"""),"Taprab")</f>
        <v>Taprab</v>
      </c>
      <c r="G1028" t="str">
        <f>IFERROR(__xludf.DUMMYFUNCTION("""COMPUTED_VALUE"""),"Sutthida Taprab")</f>
        <v>Sutthida Taprab</v>
      </c>
      <c r="H1028" t="str">
        <f>IFERROR(__xludf.DUMMYFUNCTION("""COMPUTED_VALUE"""),"นางสาว")</f>
        <v>นางสาว</v>
      </c>
      <c r="I1028" t="str">
        <f>IFERROR(__xludf.DUMMYFUNCTION("""COMPUTED_VALUE"""),"สุทธิดา")</f>
        <v>สุทธิดา</v>
      </c>
      <c r="J1028" t="str">
        <f>IFERROR(__xludf.DUMMYFUNCTION("""COMPUTED_VALUE"""),"ตาปราบ")</f>
        <v>ตาปราบ</v>
      </c>
      <c r="K1028" t="str">
        <f>IFERROR(__xludf.DUMMYFUNCTION("""COMPUTED_VALUE"""),"สุทธิดา ตาปราบ")</f>
        <v>สุทธิดา ตาปราบ</v>
      </c>
      <c r="L1028" t="str">
        <f>IFERROR(__xludf.DUMMYFUNCTION("""COMPUTED_VALUE"""),"Baifern / ใบเฟิร์น")</f>
        <v>Baifern / ใบเฟิร์น</v>
      </c>
      <c r="M1028" t="str">
        <f>IFERROR(__xludf.DUMMYFUNCTION("""COMPUTED_VALUE"""),"Cabin Crew")</f>
        <v>Cabin Crew</v>
      </c>
      <c r="N1028" t="str">
        <f>IFERROR(__xludf.DUMMYFUNCTION("""COMPUTED_VALUE"""),"DMK")</f>
        <v>DMK</v>
      </c>
      <c r="O1028" s="145" t="str">
        <f>IFERROR(__xludf.DUMMYFUNCTION("""COMPUTED_VALUE"""),"Toffy Home")</f>
        <v>Toffy Home</v>
      </c>
      <c r="P1028" t="str">
        <f>IFERROR(__xludf.DUMMYFUNCTION("""COMPUTED_VALUE"""),"Active")</f>
        <v>Active</v>
      </c>
      <c r="R1028" s="159">
        <f>IFERROR(__xludf.DUMMYFUNCTION("""COMPUTED_VALUE"""),34523.0)</f>
        <v>34523</v>
      </c>
      <c r="S1028" s="146">
        <f>IFERROR(__xludf.DUMMYFUNCTION("""COMPUTED_VALUE"""),8.24842399E8)</f>
        <v>824842399</v>
      </c>
      <c r="T1028" s="147">
        <f>IFERROR(__xludf.DUMMYFUNCTION("""COMPUTED_VALUE"""),1.369900299782E12)</f>
        <v>1369900299782</v>
      </c>
      <c r="U1028" t="str">
        <f>IFERROR(__xludf.DUMMYFUNCTION("""COMPUTED_VALUE"""),"AC4319819")</f>
        <v>AC4319819</v>
      </c>
      <c r="V1028" s="148">
        <f>IFERROR(__xludf.DUMMYFUNCTION("""COMPUTED_VALUE"""),44929.0)</f>
        <v>44929</v>
      </c>
      <c r="W1028" s="148">
        <f>IFERROR(__xludf.DUMMYFUNCTION("""COMPUTED_VALUE"""),48581.0)</f>
        <v>48581</v>
      </c>
      <c r="X1028" s="149">
        <f>IFERROR(__xludf.DUMMYFUNCTION("""COMPUTED_VALUE"""),48397.0)</f>
        <v>48397</v>
      </c>
      <c r="Y1028" t="str">
        <f>IFERROR(__xludf.DUMMYFUNCTION("""COMPUTED_VALUE"""),"ปลอดภัย")</f>
        <v>ปลอดภัย</v>
      </c>
      <c r="Z1028" t="str">
        <f>IFERROR(__xludf.DUMMYFUNCTION("""COMPUTED_VALUE"""),"Chaiyaphum Province")</f>
        <v>Chaiyaphum Province</v>
      </c>
      <c r="AA1028" t="str">
        <f>IFERROR(__xludf.DUMMYFUNCTION("""COMPUTED_VALUE"""),"PATHUMTANI")</f>
        <v>PATHUMTANI</v>
      </c>
      <c r="AB1028" s="145" t="str">
        <f>IFERROR(__xludf.DUMMYFUNCTION("""COMPUTED_VALUE"""),"0909787711")</f>
        <v>0909787711</v>
      </c>
      <c r="AC1028" t="str">
        <f>IFERROR(__xludf.DUMMYFUNCTION("""COMPUTED_VALUE"""),"นายพงศธร คำแพงศรี Husband")</f>
        <v>นายพงศธร คำแพงศรี Husband</v>
      </c>
      <c r="AD1028" t="str">
        <f>IFERROR(__xludf.DUMMYFUNCTION("""COMPUTED_VALUE"""),"sutthidat@airasia.com")</f>
        <v>sutthidat@airasia.com</v>
      </c>
    </row>
    <row r="1029">
      <c r="A1029" s="142">
        <f>IFERROR(__xludf.DUMMYFUNCTION("""COMPUTED_VALUE"""),102.0)</f>
        <v>102</v>
      </c>
      <c r="C1029">
        <f>IFERROR(__xludf.DUMMYFUNCTION("""COMPUTED_VALUE"""),1022201.0)</f>
        <v>1022201</v>
      </c>
      <c r="D1029" t="str">
        <f>IFERROR(__xludf.DUMMYFUNCTION("""COMPUTED_VALUE"""),"Ms.")</f>
        <v>Ms.</v>
      </c>
      <c r="E1029" t="str">
        <f>IFERROR(__xludf.DUMMYFUNCTION("""COMPUTED_VALUE"""),"Chompunut")</f>
        <v>Chompunut</v>
      </c>
      <c r="F1029" t="str">
        <f>IFERROR(__xludf.DUMMYFUNCTION("""COMPUTED_VALUE"""),"Kueankanjaroen")</f>
        <v>Kueankanjaroen</v>
      </c>
      <c r="G1029" t="str">
        <f>IFERROR(__xludf.DUMMYFUNCTION("""COMPUTED_VALUE"""),"Chompunut Kueankanjaroen")</f>
        <v>Chompunut Kueankanjaroen</v>
      </c>
      <c r="H1029" t="str">
        <f>IFERROR(__xludf.DUMMYFUNCTION("""COMPUTED_VALUE"""),"นางสาว")</f>
        <v>นางสาว</v>
      </c>
      <c r="I1029" t="str">
        <f>IFERROR(__xludf.DUMMYFUNCTION("""COMPUTED_VALUE"""),"ชมพูนุท")</f>
        <v>ชมพูนุท</v>
      </c>
      <c r="J1029" t="str">
        <f>IFERROR(__xludf.DUMMYFUNCTION("""COMPUTED_VALUE"""),"เขื่อนขันธ์เจริญ")</f>
        <v>เขื่อนขันธ์เจริญ</v>
      </c>
      <c r="K1029" t="str">
        <f>IFERROR(__xludf.DUMMYFUNCTION("""COMPUTED_VALUE"""),"ชมพูนุท เขื่อนขันธ์เจริญ")</f>
        <v>ชมพูนุท เขื่อนขันธ์เจริญ</v>
      </c>
      <c r="L1029" t="str">
        <f>IFERROR(__xludf.DUMMYFUNCTION("""COMPUTED_VALUE"""),"มุก")</f>
        <v>มุก</v>
      </c>
      <c r="M1029" t="str">
        <f>IFERROR(__xludf.DUMMYFUNCTION("""COMPUTED_VALUE"""),"Cabin Crew")</f>
        <v>Cabin Crew</v>
      </c>
      <c r="N1029" t="str">
        <f>IFERROR(__xludf.DUMMYFUNCTION("""COMPUTED_VALUE"""),"DMK")</f>
        <v>DMK</v>
      </c>
      <c r="O1029" s="145" t="str">
        <f>IFERROR(__xludf.DUMMYFUNCTION("""COMPUTED_VALUE"""),"Um Home")</f>
        <v>Um Home</v>
      </c>
      <c r="P1029" t="str">
        <f>IFERROR(__xludf.DUMMYFUNCTION("""COMPUTED_VALUE"""),"Active")</f>
        <v>Active</v>
      </c>
      <c r="R1029" s="159">
        <f>IFERROR(__xludf.DUMMYFUNCTION("""COMPUTED_VALUE"""),33221.0)</f>
        <v>33221</v>
      </c>
      <c r="S1029" s="146">
        <f>IFERROR(__xludf.DUMMYFUNCTION("""COMPUTED_VALUE"""),8.26653662E8)</f>
        <v>826653662</v>
      </c>
      <c r="T1029" s="147">
        <f>IFERROR(__xludf.DUMMYFUNCTION("""COMPUTED_VALUE"""),1.10370030455E12)</f>
        <v>1103700304550</v>
      </c>
      <c r="U1029" t="str">
        <f>IFERROR(__xludf.DUMMYFUNCTION("""COMPUTED_VALUE"""),"AD0551213")</f>
        <v>AD0551213</v>
      </c>
      <c r="V1029" s="148">
        <f>IFERROR(__xludf.DUMMYFUNCTION("""COMPUTED_VALUE"""),44923.0)</f>
        <v>44923</v>
      </c>
      <c r="W1029" s="148">
        <f>IFERROR(__xludf.DUMMYFUNCTION("""COMPUTED_VALUE"""),48575.0)</f>
        <v>48575</v>
      </c>
      <c r="X1029" s="149">
        <f>IFERROR(__xludf.DUMMYFUNCTION("""COMPUTED_VALUE"""),48392.0)</f>
        <v>48392</v>
      </c>
      <c r="Y1029" t="str">
        <f>IFERROR(__xludf.DUMMYFUNCTION("""COMPUTED_VALUE"""),"ปลอดภัย")</f>
        <v>ปลอดภัย</v>
      </c>
      <c r="Z1029" t="str">
        <f>IFERROR(__xludf.DUMMYFUNCTION("""COMPUTED_VALUE"""),"Bangkok")</f>
        <v>Bangkok</v>
      </c>
      <c r="AA1029" t="str">
        <f>IFERROR(__xludf.DUMMYFUNCTION("""COMPUTED_VALUE"""),"NONTABUTI")</f>
        <v>NONTABUTI</v>
      </c>
      <c r="AB1029" s="145" t="str">
        <f>IFERROR(__xludf.DUMMYFUNCTION("""COMPUTED_VALUE"""),"0839055652")</f>
        <v>0839055652</v>
      </c>
      <c r="AC1029" t="str">
        <f>IFERROR(__xludf.DUMMYFUNCTION("""COMPUTED_VALUE"""),"หาญณรงค์ เขื่อนขันธ์เจริญ Father")</f>
        <v>หาญณรงค์ เขื่อนขันธ์เจริญ Father</v>
      </c>
      <c r="AD1029" t="str">
        <f>IFERROR(__xludf.DUMMYFUNCTION("""COMPUTED_VALUE"""),"chompunutkueankanja@airasia.com")</f>
        <v>chompunutkueankanja@airasia.com</v>
      </c>
    </row>
    <row r="1030">
      <c r="A1030" s="142">
        <f>IFERROR(__xludf.DUMMYFUNCTION("""COMPUTED_VALUE"""),102.0)</f>
        <v>102</v>
      </c>
      <c r="C1030">
        <f>IFERROR(__xludf.DUMMYFUNCTION("""COMPUTED_VALUE"""),1022348.0)</f>
        <v>1022348</v>
      </c>
      <c r="D1030" t="str">
        <f>IFERROR(__xludf.DUMMYFUNCTION("""COMPUTED_VALUE"""),"Ms.")</f>
        <v>Ms.</v>
      </c>
      <c r="E1030" t="str">
        <f>IFERROR(__xludf.DUMMYFUNCTION("""COMPUTED_VALUE"""),"Korakanjana")</f>
        <v>Korakanjana</v>
      </c>
      <c r="F1030" t="str">
        <f>IFERROR(__xludf.DUMMYFUNCTION("""COMPUTED_VALUE"""),"Punpeng")</f>
        <v>Punpeng</v>
      </c>
      <c r="G1030" t="str">
        <f>IFERROR(__xludf.DUMMYFUNCTION("""COMPUTED_VALUE"""),"Korakanjana Punpeng")</f>
        <v>Korakanjana Punpeng</v>
      </c>
      <c r="H1030" t="str">
        <f>IFERROR(__xludf.DUMMYFUNCTION("""COMPUTED_VALUE"""),"นางสาว")</f>
        <v>นางสาว</v>
      </c>
      <c r="I1030" t="str">
        <f>IFERROR(__xludf.DUMMYFUNCTION("""COMPUTED_VALUE"""),"กรกาญจน์")</f>
        <v>กรกาญจน์</v>
      </c>
      <c r="J1030" t="str">
        <f>IFERROR(__xludf.DUMMYFUNCTION("""COMPUTED_VALUE"""),"พันธุ์เพ็ง")</f>
        <v>พันธุ์เพ็ง</v>
      </c>
      <c r="K1030" t="str">
        <f>IFERROR(__xludf.DUMMYFUNCTION("""COMPUTED_VALUE"""),"กรกาญจน์ พันธุ์เพ็ง")</f>
        <v>กรกาญจน์ พันธุ์เพ็ง</v>
      </c>
      <c r="L1030" s="160" t="str">
        <f>IFERROR(__xludf.DUMMYFUNCTION("""COMPUTED_VALUE"""),"My / มาย")</f>
        <v>My / มาย</v>
      </c>
      <c r="M1030" t="str">
        <f>IFERROR(__xludf.DUMMYFUNCTION("""COMPUTED_VALUE"""),"Cabin Crew")</f>
        <v>Cabin Crew</v>
      </c>
      <c r="N1030" t="str">
        <f>IFERROR(__xludf.DUMMYFUNCTION("""COMPUTED_VALUE"""),"DMK")</f>
        <v>DMK</v>
      </c>
      <c r="O1030" s="145" t="str">
        <f>IFERROR(__xludf.DUMMYFUNCTION("""COMPUTED_VALUE"""),"Um Home")</f>
        <v>Um Home</v>
      </c>
      <c r="P1030" t="str">
        <f>IFERROR(__xludf.DUMMYFUNCTION("""COMPUTED_VALUE"""),"V/LWP")</f>
        <v>V/LWP</v>
      </c>
      <c r="R1030" s="159">
        <f>IFERROR(__xludf.DUMMYFUNCTION("""COMPUTED_VALUE"""),33112.0)</f>
        <v>33112</v>
      </c>
      <c r="S1030" s="146">
        <f>IFERROR(__xludf.DUMMYFUNCTION("""COMPUTED_VALUE"""),6.56429525E8)</f>
        <v>656429525</v>
      </c>
      <c r="T1030" s="147">
        <f>IFERROR(__xludf.DUMMYFUNCTION("""COMPUTED_VALUE"""),1.103000007447E12)</f>
        <v>1103000007447</v>
      </c>
      <c r="U1030" t="str">
        <f>IFERROR(__xludf.DUMMYFUNCTION("""COMPUTED_VALUE"""),"AC6126118")</f>
        <v>AC6126118</v>
      </c>
      <c r="V1030" s="150">
        <f>IFERROR(__xludf.DUMMYFUNCTION("""COMPUTED_VALUE"""),45280.0)</f>
        <v>45280</v>
      </c>
      <c r="W1030" s="148">
        <f>IFERROR(__xludf.DUMMYFUNCTION("""COMPUTED_VALUE"""),48932.0)</f>
        <v>48932</v>
      </c>
      <c r="X1030" s="149">
        <f>IFERROR(__xludf.DUMMYFUNCTION("""COMPUTED_VALUE"""),48749.0)</f>
        <v>48749</v>
      </c>
      <c r="Y1030" t="str">
        <f>IFERROR(__xludf.DUMMYFUNCTION("""COMPUTED_VALUE"""),"ปลอดภัย")</f>
        <v>ปลอดภัย</v>
      </c>
      <c r="Z1030" s="160" t="str">
        <f>IFERROR(__xludf.DUMMYFUNCTION("""COMPUTED_VALUE"""),"Bangkok")</f>
        <v>Bangkok</v>
      </c>
      <c r="AA1030" t="str">
        <f>IFERROR(__xludf.DUMMYFUNCTION("""COMPUTED_VALUE"""),"NONTABUTI")</f>
        <v>NONTABUTI</v>
      </c>
      <c r="AB1030" s="145" t="str">
        <f>IFERROR(__xludf.DUMMYFUNCTION("""COMPUTED_VALUE"""),"0818170169")</f>
        <v>0818170169</v>
      </c>
      <c r="AC1030" t="str">
        <f>IFERROR(__xludf.DUMMYFUNCTION("""COMPUTED_VALUE"""),"ประภาจิรี พันธุ์เพ็ง Mother")</f>
        <v>ประภาจิรี พันธุ์เพ็ง Mother</v>
      </c>
      <c r="AD1030" t="str">
        <f>IFERROR(__xludf.DUMMYFUNCTION("""COMPUTED_VALUE"""),"korakanjanapunpeng@airasia.com")</f>
        <v>korakanjanapunpeng@airasia.com</v>
      </c>
    </row>
    <row r="1031">
      <c r="A1031" s="142">
        <f>IFERROR(__xludf.DUMMYFUNCTION("""COMPUTED_VALUE"""),102.0)</f>
        <v>102</v>
      </c>
      <c r="C1031">
        <f>IFERROR(__xludf.DUMMYFUNCTION("""COMPUTED_VALUE"""),1011748.0)</f>
        <v>1011748</v>
      </c>
      <c r="D1031" t="str">
        <f>IFERROR(__xludf.DUMMYFUNCTION("""COMPUTED_VALUE"""),"Ms.")</f>
        <v>Ms.</v>
      </c>
      <c r="E1031" t="str">
        <f>IFERROR(__xludf.DUMMYFUNCTION("""COMPUTED_VALUE"""),"Rattrawee")</f>
        <v>Rattrawee</v>
      </c>
      <c r="F1031" t="str">
        <f>IFERROR(__xludf.DUMMYFUNCTION("""COMPUTED_VALUE"""),"Jirawaree")</f>
        <v>Jirawaree</v>
      </c>
      <c r="G1031" t="str">
        <f>IFERROR(__xludf.DUMMYFUNCTION("""COMPUTED_VALUE"""),"Rattrawee Jirawaree")</f>
        <v>Rattrawee Jirawaree</v>
      </c>
      <c r="H1031" t="str">
        <f>IFERROR(__xludf.DUMMYFUNCTION("""COMPUTED_VALUE"""),"นางสาว")</f>
        <v>นางสาว</v>
      </c>
      <c r="I1031" t="str">
        <f>IFERROR(__xludf.DUMMYFUNCTION("""COMPUTED_VALUE"""),"รัตติ์รวี")</f>
        <v>รัตติ์รวี</v>
      </c>
      <c r="J1031" t="str">
        <f>IFERROR(__xludf.DUMMYFUNCTION("""COMPUTED_VALUE"""),"จิระวารี")</f>
        <v>จิระวารี</v>
      </c>
      <c r="K1031" t="str">
        <f>IFERROR(__xludf.DUMMYFUNCTION("""COMPUTED_VALUE"""),"รัตติ์รวี จิระวารี")</f>
        <v>รัตติ์รวี จิระวารี</v>
      </c>
      <c r="L1031" t="str">
        <f>IFERROR(__xludf.DUMMYFUNCTION("""COMPUTED_VALUE"""),"Prem Mee / เปรมหมี")</f>
        <v>Prem Mee / เปรมหมี</v>
      </c>
      <c r="M1031" t="str">
        <f>IFERROR(__xludf.DUMMYFUNCTION("""COMPUTED_VALUE"""),"Cabin Crew")</f>
        <v>Cabin Crew</v>
      </c>
      <c r="N1031" t="str">
        <f>IFERROR(__xludf.DUMMYFUNCTION("""COMPUTED_VALUE"""),"DMK")</f>
        <v>DMK</v>
      </c>
      <c r="O1031" s="145" t="str">
        <f>IFERROR(__xludf.DUMMYFUNCTION("""COMPUTED_VALUE"""),"Nhui Home")</f>
        <v>Nhui Home</v>
      </c>
      <c r="P1031" t="str">
        <f>IFERROR(__xludf.DUMMYFUNCTION("""COMPUTED_VALUE"""),"Active")</f>
        <v>Active</v>
      </c>
      <c r="Q1031" t="str">
        <f>IFERROR(__xludf.DUMMYFUNCTION("""COMPUTED_VALUE"""),"Japanese Speaking")</f>
        <v>Japanese Speaking</v>
      </c>
      <c r="R1031" s="159">
        <f>IFERROR(__xludf.DUMMYFUNCTION("""COMPUTED_VALUE"""),31802.0)</f>
        <v>31802</v>
      </c>
      <c r="S1031" s="146" t="str">
        <f>IFERROR(__xludf.DUMMYFUNCTION("""COMPUTED_VALUE"""),"086-540-9678")</f>
        <v>086-540-9678</v>
      </c>
      <c r="T1031" s="147">
        <f>IFERROR(__xludf.DUMMYFUNCTION("""COMPUTED_VALUE"""),1.101400904771E12)</f>
        <v>1101400904771</v>
      </c>
      <c r="U1031" t="str">
        <f>IFERROR(__xludf.DUMMYFUNCTION("""COMPUTED_VALUE"""),"AD1843019")</f>
        <v>AD1843019</v>
      </c>
      <c r="V1031" s="148">
        <f>IFERROR(__xludf.DUMMYFUNCTION("""COMPUTED_VALUE"""),45471.0)</f>
        <v>45471</v>
      </c>
      <c r="W1031" s="148">
        <f>IFERROR(__xludf.DUMMYFUNCTION("""COMPUTED_VALUE"""),49122.0)</f>
        <v>49122</v>
      </c>
      <c r="X1031" s="149">
        <f>IFERROR(__xludf.DUMMYFUNCTION("""COMPUTED_VALUE"""),48940.0)</f>
        <v>48940</v>
      </c>
      <c r="Y1031" t="str">
        <f>IFERROR(__xludf.DUMMYFUNCTION("""COMPUTED_VALUE"""),"ปลอดภัย")</f>
        <v>ปลอดภัย</v>
      </c>
      <c r="Z1031" s="160" t="str">
        <f>IFERROR(__xludf.DUMMYFUNCTION("""COMPUTED_VALUE"""),"Bangkok")</f>
        <v>Bangkok</v>
      </c>
      <c r="AA1031" t="str">
        <f>IFERROR(__xludf.DUMMYFUNCTION("""COMPUTED_VALUE"""),"Bangkok")</f>
        <v>Bangkok</v>
      </c>
      <c r="AB1031" s="145" t="str">
        <f>IFERROR(__xludf.DUMMYFUNCTION("""COMPUTED_VALUE"""),"062-245-2455")</f>
        <v>062-245-2455</v>
      </c>
      <c r="AC1031" t="str">
        <f>IFERROR(__xludf.DUMMYFUNCTION("""COMPUTED_VALUE"""),"นายพิศรพล ธนศาศวัต Friend")</f>
        <v>นายพิศรพล ธนศาศวัต Friend</v>
      </c>
      <c r="AD1031" t="str">
        <f>IFERROR(__xludf.DUMMYFUNCTION("""COMPUTED_VALUE"""),"rattraweej@airasia.com")</f>
        <v>rattraweej@airasia.com</v>
      </c>
    </row>
    <row r="1032">
      <c r="A1032" s="142">
        <f>IFERROR(__xludf.DUMMYFUNCTION("""COMPUTED_VALUE"""),102.0)</f>
        <v>102</v>
      </c>
      <c r="C1032">
        <f>IFERROR(__xludf.DUMMYFUNCTION("""COMPUTED_VALUE"""),1010805.0)</f>
        <v>1010805</v>
      </c>
      <c r="D1032" t="str">
        <f>IFERROR(__xludf.DUMMYFUNCTION("""COMPUTED_VALUE"""),"Ms.")</f>
        <v>Ms.</v>
      </c>
      <c r="E1032" t="str">
        <f>IFERROR(__xludf.DUMMYFUNCTION("""COMPUTED_VALUE"""),"Tipparada")</f>
        <v>Tipparada</v>
      </c>
      <c r="F1032" t="str">
        <f>IFERROR(__xludf.DUMMYFUNCTION("""COMPUTED_VALUE"""),"Chiewsamran")</f>
        <v>Chiewsamran</v>
      </c>
      <c r="G1032" t="str">
        <f>IFERROR(__xludf.DUMMYFUNCTION("""COMPUTED_VALUE"""),"Tipparada Chiewsamran")</f>
        <v>Tipparada Chiewsamran</v>
      </c>
      <c r="H1032" t="str">
        <f>IFERROR(__xludf.DUMMYFUNCTION("""COMPUTED_VALUE"""),"นางสาว")</f>
        <v>นางสาว</v>
      </c>
      <c r="I1032" t="str">
        <f>IFERROR(__xludf.DUMMYFUNCTION("""COMPUTED_VALUE"""),"ทิพรดา")</f>
        <v>ทิพรดา</v>
      </c>
      <c r="J1032" t="str">
        <f>IFERROR(__xludf.DUMMYFUNCTION("""COMPUTED_VALUE"""),"เชี่ยวสำราญ")</f>
        <v>เชี่ยวสำราญ</v>
      </c>
      <c r="K1032" t="str">
        <f>IFERROR(__xludf.DUMMYFUNCTION("""COMPUTED_VALUE"""),"ทิพรดา เชี่ยวสำราญ")</f>
        <v>ทิพรดา เชี่ยวสำราญ</v>
      </c>
      <c r="L1032" s="160" t="str">
        <f>IFERROR(__xludf.DUMMYFUNCTION("""COMPUTED_VALUE"""),"Mameaw / ม่าเหมี่ยว")</f>
        <v>Mameaw / ม่าเหมี่ยว</v>
      </c>
      <c r="M1032" t="str">
        <f>IFERROR(__xludf.DUMMYFUNCTION("""COMPUTED_VALUE"""),"Cabin Crew")</f>
        <v>Cabin Crew</v>
      </c>
      <c r="N1032" t="str">
        <f>IFERROR(__xludf.DUMMYFUNCTION("""COMPUTED_VALUE"""),"DMK")</f>
        <v>DMK</v>
      </c>
      <c r="O1032" s="145" t="str">
        <f>IFERROR(__xludf.DUMMYFUNCTION("""COMPUTED_VALUE"""),"Nhui Home")</f>
        <v>Nhui Home</v>
      </c>
      <c r="P1032" t="str">
        <f>IFERROR(__xludf.DUMMYFUNCTION("""COMPUTED_VALUE"""),"Active")</f>
        <v>Active</v>
      </c>
      <c r="R1032" s="159">
        <f>IFERROR(__xludf.DUMMYFUNCTION("""COMPUTED_VALUE"""),33083.0)</f>
        <v>33083</v>
      </c>
      <c r="S1032" s="146">
        <f>IFERROR(__xludf.DUMMYFUNCTION("""COMPUTED_VALUE"""),8.04509005E8)</f>
        <v>804509005</v>
      </c>
      <c r="T1032" s="147">
        <f>IFERROR(__xludf.DUMMYFUNCTION("""COMPUTED_VALUE"""),1.10370021321E12)</f>
        <v>1103700213210</v>
      </c>
      <c r="U1032" t="str">
        <f>IFERROR(__xludf.DUMMYFUNCTION("""COMPUTED_VALUE"""),"AD0177782")</f>
        <v>AD0177782</v>
      </c>
      <c r="V1032" s="148">
        <f>IFERROR(__xludf.DUMMYFUNCTION("""COMPUTED_VALUE"""),44861.0)</f>
        <v>44861</v>
      </c>
      <c r="W1032" s="148">
        <f>IFERROR(__xludf.DUMMYFUNCTION("""COMPUTED_VALUE"""),48513.0)</f>
        <v>48513</v>
      </c>
      <c r="X1032" s="149">
        <f>IFERROR(__xludf.DUMMYFUNCTION("""COMPUTED_VALUE"""),48330.0)</f>
        <v>48330</v>
      </c>
      <c r="Y1032" t="str">
        <f>IFERROR(__xludf.DUMMYFUNCTION("""COMPUTED_VALUE"""),"ปลอดภัย")</f>
        <v>ปลอดภัย</v>
      </c>
      <c r="Z1032" t="str">
        <f>IFERROR(__xludf.DUMMYFUNCTION("""COMPUTED_VALUE"""),"Bangkok")</f>
        <v>Bangkok</v>
      </c>
      <c r="AA1032" t="str">
        <f>IFERROR(__xludf.DUMMYFUNCTION("""COMPUTED_VALUE"""),"Bangkok")</f>
        <v>Bangkok</v>
      </c>
      <c r="AB1032" s="145" t="str">
        <f>IFERROR(__xludf.DUMMYFUNCTION("""COMPUTED_VALUE"""),"0922507790")</f>
        <v>0922507790</v>
      </c>
      <c r="AC1032" t="str">
        <f>IFERROR(__xludf.DUMMYFUNCTION("""COMPUTED_VALUE"""),"นางรดา สมบัติศิริ Mother")</f>
        <v>นางรดา สมบัติศิริ Mother</v>
      </c>
      <c r="AD1032" t="str">
        <f>IFERROR(__xludf.DUMMYFUNCTION("""COMPUTED_VALUE"""),"tipparadac@airasia.com")</f>
        <v>tipparadac@airasia.com</v>
      </c>
    </row>
    <row r="1033">
      <c r="A1033" s="142">
        <f>IFERROR(__xludf.DUMMYFUNCTION("""COMPUTED_VALUE"""),102.0)</f>
        <v>102</v>
      </c>
      <c r="C1033">
        <f>IFERROR(__xludf.DUMMYFUNCTION("""COMPUTED_VALUE"""),1012193.0)</f>
        <v>1012193</v>
      </c>
      <c r="D1033" t="str">
        <f>IFERROR(__xludf.DUMMYFUNCTION("""COMPUTED_VALUE"""),"Mr.")</f>
        <v>Mr.</v>
      </c>
      <c r="E1033" t="str">
        <f>IFERROR(__xludf.DUMMYFUNCTION("""COMPUTED_VALUE"""),"Phoemsakun")</f>
        <v>Phoemsakun</v>
      </c>
      <c r="F1033" t="str">
        <f>IFERROR(__xludf.DUMMYFUNCTION("""COMPUTED_VALUE"""),"Phongpradist")</f>
        <v>Phongpradist</v>
      </c>
      <c r="G1033" t="str">
        <f>IFERROR(__xludf.DUMMYFUNCTION("""COMPUTED_VALUE"""),"Phoemsakun Phongpradist")</f>
        <v>Phoemsakun Phongpradist</v>
      </c>
      <c r="H1033" t="str">
        <f>IFERROR(__xludf.DUMMYFUNCTION("""COMPUTED_VALUE"""),"นาย")</f>
        <v>นาย</v>
      </c>
      <c r="I1033" t="str">
        <f>IFERROR(__xludf.DUMMYFUNCTION("""COMPUTED_VALUE"""),"เพิ่มสกุล")</f>
        <v>เพิ่มสกุล</v>
      </c>
      <c r="J1033" t="str">
        <f>IFERROR(__xludf.DUMMYFUNCTION("""COMPUTED_VALUE"""),"พงษ์ประดิษฐ")</f>
        <v>พงษ์ประดิษฐ</v>
      </c>
      <c r="K1033" t="str">
        <f>IFERROR(__xludf.DUMMYFUNCTION("""COMPUTED_VALUE"""),"เพิ่มสกุล พงษ์ประดิษฐ")</f>
        <v>เพิ่มสกุล พงษ์ประดิษฐ</v>
      </c>
      <c r="L1033" t="str">
        <f>IFERROR(__xludf.DUMMYFUNCTION("""COMPUTED_VALUE"""),"พี")</f>
        <v>พี</v>
      </c>
      <c r="M1033" t="str">
        <f>IFERROR(__xludf.DUMMYFUNCTION("""COMPUTED_VALUE"""),"Cabin Crew")</f>
        <v>Cabin Crew</v>
      </c>
      <c r="N1033" t="str">
        <f>IFERROR(__xludf.DUMMYFUNCTION("""COMPUTED_VALUE"""),"DMK")</f>
        <v>DMK</v>
      </c>
      <c r="O1033" s="145" t="str">
        <f>IFERROR(__xludf.DUMMYFUNCTION("""COMPUTED_VALUE"""),"Por+ Home")</f>
        <v>Por+ Home</v>
      </c>
      <c r="P1033" t="str">
        <f>IFERROR(__xludf.DUMMYFUNCTION("""COMPUTED_VALUE"""),"Active")</f>
        <v>Active</v>
      </c>
      <c r="R1033" s="159">
        <f>IFERROR(__xludf.DUMMYFUNCTION("""COMPUTED_VALUE"""),33493.0)</f>
        <v>33493</v>
      </c>
      <c r="S1033" s="146">
        <f>IFERROR(__xludf.DUMMYFUNCTION("""COMPUTED_VALUE"""),8.23967746E8)</f>
        <v>823967746</v>
      </c>
      <c r="T1033" s="147">
        <f>IFERROR(__xludf.DUMMYFUNCTION("""COMPUTED_VALUE"""),1.60990018907E11)</f>
        <v>160990018907</v>
      </c>
      <c r="U1033" t="str">
        <f>IFERROR(__xludf.DUMMYFUNCTION("""COMPUTED_VALUE"""),"AC503790")</f>
        <v>AC503790</v>
      </c>
      <c r="V1033" s="148">
        <f>IFERROR(__xludf.DUMMYFUNCTION("""COMPUTED_VALUE"""),45072.0)</f>
        <v>45072</v>
      </c>
      <c r="W1033" s="148">
        <f>IFERROR(__xludf.DUMMYFUNCTION("""COMPUTED_VALUE"""),48724.0)</f>
        <v>48724</v>
      </c>
      <c r="X1033" s="149">
        <f>IFERROR(__xludf.DUMMYFUNCTION("""COMPUTED_VALUE"""),48543.0)</f>
        <v>48543</v>
      </c>
      <c r="Y1033" t="str">
        <f>IFERROR(__xludf.DUMMYFUNCTION("""COMPUTED_VALUE"""),"ปลอดภัย")</f>
        <v>ปลอดภัย</v>
      </c>
      <c r="Z1033" s="160" t="str">
        <f>IFERROR(__xludf.DUMMYFUNCTION("""COMPUTED_VALUE"""),"Nakhon Sawan Province")</f>
        <v>Nakhon Sawan Province</v>
      </c>
      <c r="AA1033" t="str">
        <f>IFERROR(__xludf.DUMMYFUNCTION("""COMPUTED_VALUE"""),"Bangkok")</f>
        <v>Bangkok</v>
      </c>
      <c r="AB1033" s="145" t="str">
        <f>IFERROR(__xludf.DUMMYFUNCTION("""COMPUTED_VALUE"""),"0863566676")</f>
        <v>0863566676</v>
      </c>
      <c r="AC1033" t="str">
        <f>IFERROR(__xludf.DUMMYFUNCTION("""COMPUTED_VALUE"""),"ชนิดา แซ่เฮ็ง Friend")</f>
        <v>ชนิดา แซ่เฮ็ง Friend</v>
      </c>
      <c r="AD1033" t="str">
        <f>IFERROR(__xludf.DUMMYFUNCTION("""COMPUTED_VALUE"""),"phoemsakunp@airasia.com")</f>
        <v>phoemsakunp@airasia.com</v>
      </c>
    </row>
    <row r="1034">
      <c r="A1034" s="142">
        <f>IFERROR(__xludf.DUMMYFUNCTION("""COMPUTED_VALUE"""),102.0)</f>
        <v>102</v>
      </c>
      <c r="C1034">
        <f>IFERROR(__xludf.DUMMYFUNCTION("""COMPUTED_VALUE"""),1039102.0)</f>
        <v>1039102</v>
      </c>
      <c r="D1034" t="str">
        <f>IFERROR(__xludf.DUMMYFUNCTION("""COMPUTED_VALUE"""),"Ms.")</f>
        <v>Ms.</v>
      </c>
      <c r="E1034" t="str">
        <f>IFERROR(__xludf.DUMMYFUNCTION("""COMPUTED_VALUE"""),"Raviphan")</f>
        <v>Raviphan</v>
      </c>
      <c r="F1034" t="str">
        <f>IFERROR(__xludf.DUMMYFUNCTION("""COMPUTED_VALUE"""),"Medej")</f>
        <v>Medej</v>
      </c>
      <c r="G1034" t="str">
        <f>IFERROR(__xludf.DUMMYFUNCTION("""COMPUTED_VALUE"""),"Raviphan Medej")</f>
        <v>Raviphan Medej</v>
      </c>
      <c r="H1034" t="str">
        <f>IFERROR(__xludf.DUMMYFUNCTION("""COMPUTED_VALUE"""),"นางสาว")</f>
        <v>นางสาว</v>
      </c>
      <c r="I1034" t="str">
        <f>IFERROR(__xludf.DUMMYFUNCTION("""COMPUTED_VALUE"""),"รวิภัน")</f>
        <v>รวิภัน</v>
      </c>
      <c r="J1034" t="str">
        <f>IFERROR(__xludf.DUMMYFUNCTION("""COMPUTED_VALUE"""),"มีเดช")</f>
        <v>มีเดช</v>
      </c>
      <c r="K1034" t="str">
        <f>IFERROR(__xludf.DUMMYFUNCTION("""COMPUTED_VALUE"""),"รวิภัน มีเดช")</f>
        <v>รวิภัน มีเดช</v>
      </c>
      <c r="L1034" s="160" t="str">
        <f>IFERROR(__xludf.DUMMYFUNCTION("""COMPUTED_VALUE"""),"แอร์")</f>
        <v>แอร์</v>
      </c>
      <c r="M1034" t="str">
        <f>IFERROR(__xludf.DUMMYFUNCTION("""COMPUTED_VALUE"""),"Cabin Crew")</f>
        <v>Cabin Crew</v>
      </c>
      <c r="N1034" t="str">
        <f>IFERROR(__xludf.DUMMYFUNCTION("""COMPUTED_VALUE"""),"DMK")</f>
        <v>DMK</v>
      </c>
      <c r="O1034" s="145" t="str">
        <f>IFERROR(__xludf.DUMMYFUNCTION("""COMPUTED_VALUE"""),"Toffy Home")</f>
        <v>Toffy Home</v>
      </c>
      <c r="P1034" t="str">
        <f>IFERROR(__xludf.DUMMYFUNCTION("""COMPUTED_VALUE"""),"Active")</f>
        <v>Active</v>
      </c>
      <c r="R1034" s="159">
        <f>IFERROR(__xludf.DUMMYFUNCTION("""COMPUTED_VALUE"""),34850.0)</f>
        <v>34850</v>
      </c>
      <c r="S1034" s="146">
        <f>IFERROR(__xludf.DUMMYFUNCTION("""COMPUTED_VALUE"""),9.59414159E8)</f>
        <v>959414159</v>
      </c>
      <c r="T1034" s="147">
        <f>IFERROR(__xludf.DUMMYFUNCTION("""COMPUTED_VALUE"""),1.103000077879E12)</f>
        <v>1103000077879</v>
      </c>
      <c r="U1034" t="str">
        <f>IFERROR(__xludf.DUMMYFUNCTION("""COMPUTED_VALUE"""),"AD1050660")</f>
        <v>AD1050660</v>
      </c>
      <c r="V1034" s="148">
        <f>IFERROR(__xludf.DUMMYFUNCTION("""COMPUTED_VALUE"""),45055.0)</f>
        <v>45055</v>
      </c>
      <c r="W1034" s="148">
        <f>IFERROR(__xludf.DUMMYFUNCTION("""COMPUTED_VALUE"""),48707.0)</f>
        <v>48707</v>
      </c>
      <c r="X1034" s="149">
        <f>IFERROR(__xludf.DUMMYFUNCTION("""COMPUTED_VALUE"""),48526.0)</f>
        <v>48526</v>
      </c>
      <c r="Y1034" t="str">
        <f>IFERROR(__xludf.DUMMYFUNCTION("""COMPUTED_VALUE"""),"ปลอดภัย")</f>
        <v>ปลอดภัย</v>
      </c>
      <c r="Z1034" s="160" t="str">
        <f>IFERROR(__xludf.DUMMYFUNCTION("""COMPUTED_VALUE"""),"Bangkok")</f>
        <v>Bangkok</v>
      </c>
      <c r="AA1034" t="str">
        <f>IFERROR(__xludf.DUMMYFUNCTION("""COMPUTED_VALUE"""),"Bangkok")</f>
        <v>Bangkok</v>
      </c>
      <c r="AB1034" s="145" t="str">
        <f>IFERROR(__xludf.DUMMYFUNCTION("""COMPUTED_VALUE"""),"0818477232")</f>
        <v>0818477232</v>
      </c>
      <c r="AC1034" t="str">
        <f>IFERROR(__xludf.DUMMYFUNCTION("""COMPUTED_VALUE"""),"นางฐณิกาญ มีเดช Mother")</f>
        <v>นางฐณิกาญ มีเดช Mother</v>
      </c>
      <c r="AD1034" t="str">
        <f>IFERROR(__xludf.DUMMYFUNCTION("""COMPUTED_VALUE"""),"raviphanmedej@airasia.com")</f>
        <v>raviphanmedej@airasia.com</v>
      </c>
    </row>
    <row r="1035">
      <c r="A1035" s="142">
        <f>IFERROR(__xludf.DUMMYFUNCTION("""COMPUTED_VALUE"""),102.0)</f>
        <v>102</v>
      </c>
      <c r="C1035">
        <f>IFERROR(__xludf.DUMMYFUNCTION("""COMPUTED_VALUE"""),1039103.0)</f>
        <v>1039103</v>
      </c>
      <c r="D1035" t="str">
        <f>IFERROR(__xludf.DUMMYFUNCTION("""COMPUTED_VALUE"""),"Mr.")</f>
        <v>Mr.</v>
      </c>
      <c r="E1035" t="str">
        <f>IFERROR(__xludf.DUMMYFUNCTION("""COMPUTED_VALUE"""),"Thaweechai")</f>
        <v>Thaweechai</v>
      </c>
      <c r="F1035" t="str">
        <f>IFERROR(__xludf.DUMMYFUNCTION("""COMPUTED_VALUE"""),"Pruthisart")</f>
        <v>Pruthisart</v>
      </c>
      <c r="G1035" t="str">
        <f>IFERROR(__xludf.DUMMYFUNCTION("""COMPUTED_VALUE"""),"Thaweechai Pruthisart")</f>
        <v>Thaweechai Pruthisart</v>
      </c>
      <c r="H1035" t="str">
        <f>IFERROR(__xludf.DUMMYFUNCTION("""COMPUTED_VALUE"""),"นาย")</f>
        <v>นาย</v>
      </c>
      <c r="I1035" t="str">
        <f>IFERROR(__xludf.DUMMYFUNCTION("""COMPUTED_VALUE"""),"ทวีชัย")</f>
        <v>ทวีชัย</v>
      </c>
      <c r="J1035" t="str">
        <f>IFERROR(__xludf.DUMMYFUNCTION("""COMPUTED_VALUE"""),"พฤฒิศาสตร์")</f>
        <v>พฤฒิศาสตร์</v>
      </c>
      <c r="K1035" t="str">
        <f>IFERROR(__xludf.DUMMYFUNCTION("""COMPUTED_VALUE"""),"ทวีชัย พฤฒิศาสตร์")</f>
        <v>ทวีชัย พฤฒิศาสตร์</v>
      </c>
      <c r="L1035" t="str">
        <f>IFERROR(__xludf.DUMMYFUNCTION("""COMPUTED_VALUE"""),"Toto / โตโต้")</f>
        <v>Toto / โตโต้</v>
      </c>
      <c r="M1035" t="str">
        <f>IFERROR(__xludf.DUMMYFUNCTION("""COMPUTED_VALUE"""),"Cabin Crew")</f>
        <v>Cabin Crew</v>
      </c>
      <c r="N1035" t="str">
        <f>IFERROR(__xludf.DUMMYFUNCTION("""COMPUTED_VALUE"""),"DMK")</f>
        <v>DMK</v>
      </c>
      <c r="O1035" s="145" t="str">
        <f>IFERROR(__xludf.DUMMYFUNCTION("""COMPUTED_VALUE"""),"Por+ Home")</f>
        <v>Por+ Home</v>
      </c>
      <c r="P1035" t="str">
        <f>IFERROR(__xludf.DUMMYFUNCTION("""COMPUTED_VALUE"""),"Active")</f>
        <v>Active</v>
      </c>
      <c r="R1035" s="159">
        <f>IFERROR(__xludf.DUMMYFUNCTION("""COMPUTED_VALUE"""),34944.0)</f>
        <v>34944</v>
      </c>
      <c r="S1035" s="146">
        <f>IFERROR(__xludf.DUMMYFUNCTION("""COMPUTED_VALUE"""),9.0990952E8)</f>
        <v>909909520</v>
      </c>
      <c r="T1035" s="147">
        <f>IFERROR(__xludf.DUMMYFUNCTION("""COMPUTED_VALUE"""),1.100801041322E12)</f>
        <v>1100801041322</v>
      </c>
      <c r="U1035" t="str">
        <f>IFERROR(__xludf.DUMMYFUNCTION("""COMPUTED_VALUE"""),"AC4958621")</f>
        <v>AC4958621</v>
      </c>
      <c r="V1035" s="148">
        <f>IFERROR(__xludf.DUMMYFUNCTION("""COMPUTED_VALUE"""),45068.0)</f>
        <v>45068</v>
      </c>
      <c r="W1035" s="148">
        <f>IFERROR(__xludf.DUMMYFUNCTION("""COMPUTED_VALUE"""),48720.0)</f>
        <v>48720</v>
      </c>
      <c r="X1035" s="149">
        <f>IFERROR(__xludf.DUMMYFUNCTION("""COMPUTED_VALUE"""),48539.0)</f>
        <v>48539</v>
      </c>
      <c r="Y1035" t="str">
        <f>IFERROR(__xludf.DUMMYFUNCTION("""COMPUTED_VALUE"""),"ปลอดภัย")</f>
        <v>ปลอดภัย</v>
      </c>
      <c r="Z1035" s="160" t="str">
        <f>IFERROR(__xludf.DUMMYFUNCTION("""COMPUTED_VALUE"""),"Bangkok")</f>
        <v>Bangkok</v>
      </c>
      <c r="AA1035" t="str">
        <f>IFERROR(__xludf.DUMMYFUNCTION("""COMPUTED_VALUE"""),"Bangkok")</f>
        <v>Bangkok</v>
      </c>
      <c r="AB1035" s="145" t="str">
        <f>IFERROR(__xludf.DUMMYFUNCTION("""COMPUTED_VALUE"""),"0819449345")</f>
        <v>0819449345</v>
      </c>
      <c r="AC1035" t="str">
        <f>IFERROR(__xludf.DUMMYFUNCTION("""COMPUTED_VALUE"""),"สมใจ เมธานพคุณ Mother")</f>
        <v>สมใจ เมธานพคุณ Mother</v>
      </c>
      <c r="AD1035" t="str">
        <f>IFERROR(__xludf.DUMMYFUNCTION("""COMPUTED_VALUE"""),"thaweechaipruthisart@airasia.com")</f>
        <v>thaweechaipruthisart@airasia.com</v>
      </c>
    </row>
    <row r="1036">
      <c r="A1036" s="142">
        <f>IFERROR(__xludf.DUMMYFUNCTION("""COMPUTED_VALUE"""),102.0)</f>
        <v>102</v>
      </c>
      <c r="C1036">
        <f>IFERROR(__xludf.DUMMYFUNCTION("""COMPUTED_VALUE"""),1039129.0)</f>
        <v>1039129</v>
      </c>
      <c r="D1036" t="str">
        <f>IFERROR(__xludf.DUMMYFUNCTION("""COMPUTED_VALUE"""),"Ms.")</f>
        <v>Ms.</v>
      </c>
      <c r="E1036" t="str">
        <f>IFERROR(__xludf.DUMMYFUNCTION("""COMPUTED_VALUE"""),"Thitikan")</f>
        <v>Thitikan</v>
      </c>
      <c r="F1036" t="str">
        <f>IFERROR(__xludf.DUMMYFUNCTION("""COMPUTED_VALUE"""),"Bubphachuen")</f>
        <v>Bubphachuen</v>
      </c>
      <c r="G1036" t="str">
        <f>IFERROR(__xludf.DUMMYFUNCTION("""COMPUTED_VALUE"""),"Thitikan Bubphachuen")</f>
        <v>Thitikan Bubphachuen</v>
      </c>
      <c r="H1036" t="str">
        <f>IFERROR(__xludf.DUMMYFUNCTION("""COMPUTED_VALUE"""),"นางสาว")</f>
        <v>นางสาว</v>
      </c>
      <c r="I1036" t="str">
        <f>IFERROR(__xludf.DUMMYFUNCTION("""COMPUTED_VALUE"""),"ฐิติกานต์")</f>
        <v>ฐิติกานต์</v>
      </c>
      <c r="J1036" t="str">
        <f>IFERROR(__xludf.DUMMYFUNCTION("""COMPUTED_VALUE"""),"บุบผาชื่น")</f>
        <v>บุบผาชื่น</v>
      </c>
      <c r="K1036" t="str">
        <f>IFERROR(__xludf.DUMMYFUNCTION("""COMPUTED_VALUE"""),"ฐิติกานต์ บุบผาชื่น")</f>
        <v>ฐิติกานต์ บุบผาชื่น</v>
      </c>
      <c r="L1036" s="160" t="str">
        <f>IFERROR(__xludf.DUMMYFUNCTION("""COMPUTED_VALUE"""),"ฟักแฟง")</f>
        <v>ฟักแฟง</v>
      </c>
      <c r="M1036" t="str">
        <f>IFERROR(__xludf.DUMMYFUNCTION("""COMPUTED_VALUE"""),"Cabin Crew")</f>
        <v>Cabin Crew</v>
      </c>
      <c r="N1036" t="str">
        <f>IFERROR(__xludf.DUMMYFUNCTION("""COMPUTED_VALUE"""),"DMK")</f>
        <v>DMK</v>
      </c>
      <c r="O1036" s="145" t="str">
        <f>IFERROR(__xludf.DUMMYFUNCTION("""COMPUTED_VALUE"""),"Namfon Home")</f>
        <v>Namfon Home</v>
      </c>
      <c r="P1036" t="str">
        <f>IFERROR(__xludf.DUMMYFUNCTION("""COMPUTED_VALUE"""),"Active")</f>
        <v>Active</v>
      </c>
      <c r="R1036" s="159">
        <f>IFERROR(__xludf.DUMMYFUNCTION("""COMPUTED_VALUE"""),33688.0)</f>
        <v>33688</v>
      </c>
      <c r="S1036" s="146" t="str">
        <f>IFERROR(__xludf.DUMMYFUNCTION("""COMPUTED_VALUE"""),"082-632-3599")</f>
        <v>082-632-3599</v>
      </c>
      <c r="T1036" s="147">
        <f>IFERROR(__xludf.DUMMYFUNCTION("""COMPUTED_VALUE"""),1.579900416078E12)</f>
        <v>1579900416078</v>
      </c>
      <c r="U1036" t="str">
        <f>IFERROR(__xludf.DUMMYFUNCTION("""COMPUTED_VALUE"""),"AC5035586")</f>
        <v>AC5035586</v>
      </c>
      <c r="V1036" s="148">
        <f>IFERROR(__xludf.DUMMYFUNCTION("""COMPUTED_VALUE"""),45072.0)</f>
        <v>45072</v>
      </c>
      <c r="W1036" s="148">
        <f>IFERROR(__xludf.DUMMYFUNCTION("""COMPUTED_VALUE"""),46898.0)</f>
        <v>46898</v>
      </c>
      <c r="X1036" s="149">
        <f>IFERROR(__xludf.DUMMYFUNCTION("""COMPUTED_VALUE"""),46716.0)</f>
        <v>46716</v>
      </c>
      <c r="Y1036" t="str">
        <f>IFERROR(__xludf.DUMMYFUNCTION("""COMPUTED_VALUE"""),"ปลอดภัย")</f>
        <v>ปลอดภัย</v>
      </c>
      <c r="Z1036" s="160" t="str">
        <f>IFERROR(__xludf.DUMMYFUNCTION("""COMPUTED_VALUE"""),"Chiang Rai Province")</f>
        <v>Chiang Rai Province</v>
      </c>
      <c r="AA1036" t="str">
        <f>IFERROR(__xludf.DUMMYFUNCTION("""COMPUTED_VALUE"""),"Bangkok")</f>
        <v>Bangkok</v>
      </c>
      <c r="AB1036" s="145" t="str">
        <f>IFERROR(__xludf.DUMMYFUNCTION("""COMPUTED_VALUE"""),"084-809-8749")</f>
        <v>084-809-8749</v>
      </c>
      <c r="AC1036" t="str">
        <f>IFERROR(__xludf.DUMMYFUNCTION("""COMPUTED_VALUE"""),"นายสงวนศักดิ์ บุบผาชื่น Father")</f>
        <v>นายสงวนศักดิ์ บุบผาชื่น Father</v>
      </c>
      <c r="AD1036" t="str">
        <f>IFERROR(__xludf.DUMMYFUNCTION("""COMPUTED_VALUE"""),"thitikanbubphachuen@airasia.com")</f>
        <v>thitikanbubphachuen@airasia.com</v>
      </c>
    </row>
    <row r="1037">
      <c r="A1037" s="142">
        <f>IFERROR(__xludf.DUMMYFUNCTION("""COMPUTED_VALUE"""),102.0)</f>
        <v>102</v>
      </c>
      <c r="C1037">
        <f>IFERROR(__xludf.DUMMYFUNCTION("""COMPUTED_VALUE"""),1039104.0)</f>
        <v>1039104</v>
      </c>
      <c r="D1037" t="str">
        <f>IFERROR(__xludf.DUMMYFUNCTION("""COMPUTED_VALUE"""),"Ms.")</f>
        <v>Ms.</v>
      </c>
      <c r="E1037" t="str">
        <f>IFERROR(__xludf.DUMMYFUNCTION("""COMPUTED_VALUE"""),"Dusitta")</f>
        <v>Dusitta</v>
      </c>
      <c r="F1037" t="str">
        <f>IFERROR(__xludf.DUMMYFUNCTION("""COMPUTED_VALUE"""),"Porananon")</f>
        <v>Porananon</v>
      </c>
      <c r="G1037" t="str">
        <f>IFERROR(__xludf.DUMMYFUNCTION("""COMPUTED_VALUE"""),"Dusitta Porananon")</f>
        <v>Dusitta Porananon</v>
      </c>
      <c r="H1037" t="str">
        <f>IFERROR(__xludf.DUMMYFUNCTION("""COMPUTED_VALUE"""),"นางสาว")</f>
        <v>นางสาว</v>
      </c>
      <c r="I1037" t="str">
        <f>IFERROR(__xludf.DUMMYFUNCTION("""COMPUTED_VALUE"""),"ดุสิตตา")</f>
        <v>ดุสิตตา</v>
      </c>
      <c r="J1037" t="str">
        <f>IFERROR(__xludf.DUMMYFUNCTION("""COMPUTED_VALUE"""),"โปราณานนท์")</f>
        <v>โปราณานนท์</v>
      </c>
      <c r="K1037" t="str">
        <f>IFERROR(__xludf.DUMMYFUNCTION("""COMPUTED_VALUE"""),"ดุสิตตา โปราณานนท์")</f>
        <v>ดุสิตตา โปราณานนท์</v>
      </c>
      <c r="L1037" s="160" t="str">
        <f>IFERROR(__xludf.DUMMYFUNCTION("""COMPUTED_VALUE"""),"แพท")</f>
        <v>แพท</v>
      </c>
      <c r="M1037" t="str">
        <f>IFERROR(__xludf.DUMMYFUNCTION("""COMPUTED_VALUE"""),"Cabin Crew")</f>
        <v>Cabin Crew</v>
      </c>
      <c r="N1037" t="str">
        <f>IFERROR(__xludf.DUMMYFUNCTION("""COMPUTED_VALUE"""),"DMK")</f>
        <v>DMK</v>
      </c>
      <c r="O1037" s="145" t="str">
        <f>IFERROR(__xludf.DUMMYFUNCTION("""COMPUTED_VALUE"""),"Por+ Home")</f>
        <v>Por+ Home</v>
      </c>
      <c r="P1037" t="str">
        <f>IFERROR(__xludf.DUMMYFUNCTION("""COMPUTED_VALUE"""),"Active")</f>
        <v>Active</v>
      </c>
      <c r="R1037" s="159">
        <f>IFERROR(__xludf.DUMMYFUNCTION("""COMPUTED_VALUE"""),33568.0)</f>
        <v>33568</v>
      </c>
      <c r="S1037" s="146">
        <f>IFERROR(__xludf.DUMMYFUNCTION("""COMPUTED_VALUE"""),8.69927144E8)</f>
        <v>869927144</v>
      </c>
      <c r="T1037" s="147">
        <f>IFERROR(__xludf.DUMMYFUNCTION("""COMPUTED_VALUE"""),1.102200089594E12)</f>
        <v>1102200089594</v>
      </c>
      <c r="U1037" t="str">
        <f>IFERROR(__xludf.DUMMYFUNCTION("""COMPUTED_VALUE"""),"AC5191678")</f>
        <v>AC5191678</v>
      </c>
      <c r="V1037" s="148">
        <f>IFERROR(__xludf.DUMMYFUNCTION("""COMPUTED_VALUE"""),45317.0)</f>
        <v>45317</v>
      </c>
      <c r="W1037" s="148">
        <f>IFERROR(__xludf.DUMMYFUNCTION("""COMPUTED_VALUE"""),48969.0)</f>
        <v>48969</v>
      </c>
      <c r="X1037" s="149">
        <f>IFERROR(__xludf.DUMMYFUNCTION("""COMPUTED_VALUE"""),48785.0)</f>
        <v>48785</v>
      </c>
      <c r="Y1037" t="str">
        <f>IFERROR(__xludf.DUMMYFUNCTION("""COMPUTED_VALUE"""),"ปลอดภัย")</f>
        <v>ปลอดภัย</v>
      </c>
      <c r="Z1037" s="160" t="str">
        <f>IFERROR(__xludf.DUMMYFUNCTION("""COMPUTED_VALUE"""),"Bangkok")</f>
        <v>Bangkok</v>
      </c>
      <c r="AA1037" t="str">
        <f>IFERROR(__xludf.DUMMYFUNCTION("""COMPUTED_VALUE"""),"Bangkok")</f>
        <v>Bangkok</v>
      </c>
      <c r="AB1037" s="145" t="str">
        <f>IFERROR(__xludf.DUMMYFUNCTION("""COMPUTED_VALUE"""),"092-280-3415")</f>
        <v>092-280-3415</v>
      </c>
      <c r="AC1037" t="str">
        <f>IFERROR(__xludf.DUMMYFUNCTION("""COMPUTED_VALUE"""),"นางดารุณี โปราณานนท์ Mother")</f>
        <v>นางดารุณี โปราณานนท์ Mother</v>
      </c>
      <c r="AD1037" t="str">
        <f>IFERROR(__xludf.DUMMYFUNCTION("""COMPUTED_VALUE"""),"dusittaporananon@airasia.com")</f>
        <v>dusittaporananon@airasia.com</v>
      </c>
    </row>
    <row r="1038">
      <c r="A1038" s="142">
        <f>IFERROR(__xludf.DUMMYFUNCTION("""COMPUTED_VALUE"""),102.0)</f>
        <v>102</v>
      </c>
      <c r="C1038">
        <f>IFERROR(__xludf.DUMMYFUNCTION("""COMPUTED_VALUE"""),1039106.0)</f>
        <v>1039106</v>
      </c>
      <c r="D1038" t="str">
        <f>IFERROR(__xludf.DUMMYFUNCTION("""COMPUTED_VALUE"""),"Ms.")</f>
        <v>Ms.</v>
      </c>
      <c r="E1038" t="str">
        <f>IFERROR(__xludf.DUMMYFUNCTION("""COMPUTED_VALUE"""),"Thunyalak")</f>
        <v>Thunyalak</v>
      </c>
      <c r="F1038" t="str">
        <f>IFERROR(__xludf.DUMMYFUNCTION("""COMPUTED_VALUE"""),"Kaewchiangwang")</f>
        <v>Kaewchiangwang</v>
      </c>
      <c r="G1038" t="str">
        <f>IFERROR(__xludf.DUMMYFUNCTION("""COMPUTED_VALUE"""),"Thunyalak Kaewchiangwang")</f>
        <v>Thunyalak Kaewchiangwang</v>
      </c>
      <c r="H1038" t="str">
        <f>IFERROR(__xludf.DUMMYFUNCTION("""COMPUTED_VALUE"""),"นางสาว")</f>
        <v>นางสาว</v>
      </c>
      <c r="I1038" t="str">
        <f>IFERROR(__xludf.DUMMYFUNCTION("""COMPUTED_VALUE"""),"ธัญญลักษณ์")</f>
        <v>ธัญญลักษณ์</v>
      </c>
      <c r="J1038" t="str">
        <f>IFERROR(__xludf.DUMMYFUNCTION("""COMPUTED_VALUE"""),"แก้วเชียงหวาง")</f>
        <v>แก้วเชียงหวาง</v>
      </c>
      <c r="K1038" t="str">
        <f>IFERROR(__xludf.DUMMYFUNCTION("""COMPUTED_VALUE"""),"ธัญญลักษณ์ แก้วเชียงหวาง")</f>
        <v>ธัญญลักษณ์ แก้วเชียงหวาง</v>
      </c>
      <c r="L1038" s="160" t="str">
        <f>IFERROR(__xludf.DUMMYFUNCTION("""COMPUTED_VALUE"""),"Tog / ต๊อก")</f>
        <v>Tog / ต๊อก</v>
      </c>
      <c r="M1038" t="str">
        <f>IFERROR(__xludf.DUMMYFUNCTION("""COMPUTED_VALUE"""),"Cabin Crew")</f>
        <v>Cabin Crew</v>
      </c>
      <c r="N1038" t="str">
        <f>IFERROR(__xludf.DUMMYFUNCTION("""COMPUTED_VALUE"""),"DMK")</f>
        <v>DMK</v>
      </c>
      <c r="O1038" s="145" t="str">
        <f>IFERROR(__xludf.DUMMYFUNCTION("""COMPUTED_VALUE"""),"Nhui Home")</f>
        <v>Nhui Home</v>
      </c>
      <c r="P1038" t="str">
        <f>IFERROR(__xludf.DUMMYFUNCTION("""COMPUTED_VALUE"""),"Active")</f>
        <v>Active</v>
      </c>
      <c r="R1038" s="159">
        <f>IFERROR(__xludf.DUMMYFUNCTION("""COMPUTED_VALUE"""),33789.0)</f>
        <v>33789</v>
      </c>
      <c r="S1038" s="146" t="str">
        <f>IFERROR(__xludf.DUMMYFUNCTION("""COMPUTED_VALUE"""),"091-987-9569")</f>
        <v>091-987-9569</v>
      </c>
      <c r="T1038" s="147">
        <f>IFERROR(__xludf.DUMMYFUNCTION("""COMPUTED_VALUE"""),1.419900329001E12)</f>
        <v>1419900329001</v>
      </c>
      <c r="U1038" t="str">
        <f>IFERROR(__xludf.DUMMYFUNCTION("""COMPUTED_VALUE"""),"AC7664566")</f>
        <v>AC7664566</v>
      </c>
      <c r="V1038" s="148">
        <f>IFERROR(__xludf.DUMMYFUNCTION("""COMPUTED_VALUE"""),45800.0)</f>
        <v>45800</v>
      </c>
      <c r="W1038" s="148">
        <f>IFERROR(__xludf.DUMMYFUNCTION("""COMPUTED_VALUE"""),49451.0)</f>
        <v>49451</v>
      </c>
      <c r="X1038" s="149">
        <f>IFERROR(__xludf.DUMMYFUNCTION("""COMPUTED_VALUE"""),49270.0)</f>
        <v>49270</v>
      </c>
      <c r="Y1038" t="str">
        <f>IFERROR(__xludf.DUMMYFUNCTION("""COMPUTED_VALUE"""),"ปลอดภัย")</f>
        <v>ปลอดภัย</v>
      </c>
      <c r="Z1038" t="str">
        <f>IFERROR(__xludf.DUMMYFUNCTION("""COMPUTED_VALUE"""),"Udon Thani Province")</f>
        <v>Udon Thani Province</v>
      </c>
      <c r="AA1038" t="str">
        <f>IFERROR(__xludf.DUMMYFUNCTION("""COMPUTED_VALUE"""),"udontani")</f>
        <v>udontani</v>
      </c>
      <c r="AB1038" s="145" t="str">
        <f>IFERROR(__xludf.DUMMYFUNCTION("""COMPUTED_VALUE"""),"0872221678")</f>
        <v>0872221678</v>
      </c>
      <c r="AC1038" t="str">
        <f>IFERROR(__xludf.DUMMYFUNCTION("""COMPUTED_VALUE"""),"นายค้าม แก้วเชียงหวาง Father")</f>
        <v>นายค้าม แก้วเชียงหวาง Father</v>
      </c>
      <c r="AD1038" t="str">
        <f>IFERROR(__xludf.DUMMYFUNCTION("""COMPUTED_VALUE"""),"thunyalakkaewchiang@airasia.com")</f>
        <v>thunyalakkaewchiang@airasia.com</v>
      </c>
    </row>
    <row r="1039">
      <c r="A1039" s="142">
        <f>IFERROR(__xludf.DUMMYFUNCTION("""COMPUTED_VALUE"""),102.0)</f>
        <v>102</v>
      </c>
      <c r="C1039">
        <f>IFERROR(__xludf.DUMMYFUNCTION("""COMPUTED_VALUE"""),1039105.0)</f>
        <v>1039105</v>
      </c>
      <c r="D1039" t="str">
        <f>IFERROR(__xludf.DUMMYFUNCTION("""COMPUTED_VALUE"""),"Ms.")</f>
        <v>Ms.</v>
      </c>
      <c r="E1039" t="str">
        <f>IFERROR(__xludf.DUMMYFUNCTION("""COMPUTED_VALUE"""),"Nutarika")</f>
        <v>Nutarika</v>
      </c>
      <c r="F1039" t="str">
        <f>IFERROR(__xludf.DUMMYFUNCTION("""COMPUTED_VALUE"""),"Muangpho")</f>
        <v>Muangpho</v>
      </c>
      <c r="G1039" t="str">
        <f>IFERROR(__xludf.DUMMYFUNCTION("""COMPUTED_VALUE"""),"Nutarika Muangpho")</f>
        <v>Nutarika Muangpho</v>
      </c>
      <c r="H1039" t="str">
        <f>IFERROR(__xludf.DUMMYFUNCTION("""COMPUTED_VALUE"""),"นางสาว")</f>
        <v>นางสาว</v>
      </c>
      <c r="I1039" t="str">
        <f>IFERROR(__xludf.DUMMYFUNCTION("""COMPUTED_VALUE"""),"ณัฐริกา")</f>
        <v>ณัฐริกา</v>
      </c>
      <c r="J1039" t="str">
        <f>IFERROR(__xludf.DUMMYFUNCTION("""COMPUTED_VALUE"""),"ม่วงโพธิ์")</f>
        <v>ม่วงโพธิ์</v>
      </c>
      <c r="K1039" t="str">
        <f>IFERROR(__xludf.DUMMYFUNCTION("""COMPUTED_VALUE"""),"ณัฐริกา ม่วงโพธิ์")</f>
        <v>ณัฐริกา ม่วงโพธิ์</v>
      </c>
      <c r="L1039" s="160" t="str">
        <f>IFERROR(__xludf.DUMMYFUNCTION("""COMPUTED_VALUE"""),"พลอย")</f>
        <v>พลอย</v>
      </c>
      <c r="M1039" t="str">
        <f>IFERROR(__xludf.DUMMYFUNCTION("""COMPUTED_VALUE"""),"Cabin Crew")</f>
        <v>Cabin Crew</v>
      </c>
      <c r="N1039" t="str">
        <f>IFERROR(__xludf.DUMMYFUNCTION("""COMPUTED_VALUE"""),"DMK")</f>
        <v>DMK</v>
      </c>
      <c r="O1039" s="145" t="str">
        <f>IFERROR(__xludf.DUMMYFUNCTION("""COMPUTED_VALUE"""),"Kor Home")</f>
        <v>Kor Home</v>
      </c>
      <c r="P1039" t="str">
        <f>IFERROR(__xludf.DUMMYFUNCTION("""COMPUTED_VALUE"""),"Active")</f>
        <v>Active</v>
      </c>
      <c r="R1039" s="159">
        <f>IFERROR(__xludf.DUMMYFUNCTION("""COMPUTED_VALUE"""),35026.0)</f>
        <v>35026</v>
      </c>
      <c r="S1039" s="146" t="str">
        <f>IFERROR(__xludf.DUMMYFUNCTION("""COMPUTED_VALUE"""),"096-195-4422")</f>
        <v>096-195-4422</v>
      </c>
      <c r="T1039" s="147">
        <f>IFERROR(__xludf.DUMMYFUNCTION("""COMPUTED_VALUE"""),1.160100494568E12)</f>
        <v>1160100494568</v>
      </c>
      <c r="U1039" t="str">
        <f>IFERROR(__xludf.DUMMYFUNCTION("""COMPUTED_VALUE"""),"AD2888058")</f>
        <v>AD2888058</v>
      </c>
      <c r="V1039" s="148">
        <f>IFERROR(__xludf.DUMMYFUNCTION("""COMPUTED_VALUE"""),46065.0)</f>
        <v>46065</v>
      </c>
      <c r="W1039" s="148">
        <f>IFERROR(__xludf.DUMMYFUNCTION("""COMPUTED_VALUE"""),49716.0)</f>
        <v>49716</v>
      </c>
      <c r="X1039" s="149">
        <f>IFERROR(__xludf.DUMMYFUNCTION("""COMPUTED_VALUE"""),49532.0)</f>
        <v>49532</v>
      </c>
      <c r="Y1039" t="str">
        <f>IFERROR(__xludf.DUMMYFUNCTION("""COMPUTED_VALUE"""),"ปลอดภัย")</f>
        <v>ปลอดภัย</v>
      </c>
      <c r="Z1039" s="160" t="str">
        <f>IFERROR(__xludf.DUMMYFUNCTION("""COMPUTED_VALUE"""),"Lopburi Province")</f>
        <v>Lopburi Province</v>
      </c>
      <c r="AA1039" t="str">
        <f>IFERROR(__xludf.DUMMYFUNCTION("""COMPUTED_VALUE"""),"Bangkok")</f>
        <v>Bangkok</v>
      </c>
      <c r="AB1039" s="145" t="str">
        <f>IFERROR(__xludf.DUMMYFUNCTION("""COMPUTED_VALUE"""),"081-704-2627")</f>
        <v>081-704-2627</v>
      </c>
      <c r="AC1039" t="str">
        <f>IFERROR(__xludf.DUMMYFUNCTION("""COMPUTED_VALUE"""),"นางศิรินาถ ม่วงโพธิ์  Mother")</f>
        <v>นางศิรินาถ ม่วงโพธิ์  Mother</v>
      </c>
      <c r="AD1039" t="str">
        <f>IFERROR(__xludf.DUMMYFUNCTION("""COMPUTED_VALUE"""),"nutarikamuangpho@airasia.com")</f>
        <v>nutarikamuangpho@airasia.com</v>
      </c>
    </row>
    <row r="1040">
      <c r="A1040" s="142">
        <f>IFERROR(__xludf.DUMMYFUNCTION("""COMPUTED_VALUE"""),102.0)</f>
        <v>102</v>
      </c>
      <c r="C1040">
        <f>IFERROR(__xludf.DUMMYFUNCTION("""COMPUTED_VALUE"""),1039107.0)</f>
        <v>1039107</v>
      </c>
      <c r="D1040" t="str">
        <f>IFERROR(__xludf.DUMMYFUNCTION("""COMPUTED_VALUE"""),"Ms.")</f>
        <v>Ms.</v>
      </c>
      <c r="E1040" t="str">
        <f>IFERROR(__xludf.DUMMYFUNCTION("""COMPUTED_VALUE"""),"Sirada")</f>
        <v>Sirada</v>
      </c>
      <c r="F1040" t="str">
        <f>IFERROR(__xludf.DUMMYFUNCTION("""COMPUTED_VALUE"""),"Taveekitrat")</f>
        <v>Taveekitrat</v>
      </c>
      <c r="G1040" t="str">
        <f>IFERROR(__xludf.DUMMYFUNCTION("""COMPUTED_VALUE"""),"Sirada Taveekitrat")</f>
        <v>Sirada Taveekitrat</v>
      </c>
      <c r="H1040" t="str">
        <f>IFERROR(__xludf.DUMMYFUNCTION("""COMPUTED_VALUE"""),"นางสาว")</f>
        <v>นางสาว</v>
      </c>
      <c r="I1040" t="str">
        <f>IFERROR(__xludf.DUMMYFUNCTION("""COMPUTED_VALUE"""),"ศิรดา")</f>
        <v>ศิรดา</v>
      </c>
      <c r="J1040" t="str">
        <f>IFERROR(__xludf.DUMMYFUNCTION("""COMPUTED_VALUE"""),"ทวีกิจรัตน์")</f>
        <v>ทวีกิจรัตน์</v>
      </c>
      <c r="K1040" t="str">
        <f>IFERROR(__xludf.DUMMYFUNCTION("""COMPUTED_VALUE"""),"ศิรดา ทวีกิจรัตน์")</f>
        <v>ศิรดา ทวีกิจรัตน์</v>
      </c>
      <c r="L1040" t="str">
        <f>IFERROR(__xludf.DUMMYFUNCTION("""COMPUTED_VALUE"""),"Cherry/เชอร์รี่")</f>
        <v>Cherry/เชอร์รี่</v>
      </c>
      <c r="M1040" t="str">
        <f>IFERROR(__xludf.DUMMYFUNCTION("""COMPUTED_VALUE"""),"Cabin Crew")</f>
        <v>Cabin Crew</v>
      </c>
      <c r="N1040" t="str">
        <f>IFERROR(__xludf.DUMMYFUNCTION("""COMPUTED_VALUE"""),"DMK")</f>
        <v>DMK</v>
      </c>
      <c r="O1040" s="145" t="str">
        <f>IFERROR(__xludf.DUMMYFUNCTION("""COMPUTED_VALUE"""),"Toffy Home")</f>
        <v>Toffy Home</v>
      </c>
      <c r="P1040" t="str">
        <f>IFERROR(__xludf.DUMMYFUNCTION("""COMPUTED_VALUE"""),"Active")</f>
        <v>Active</v>
      </c>
      <c r="R1040" s="159">
        <f>IFERROR(__xludf.DUMMYFUNCTION("""COMPUTED_VALUE"""),34034.0)</f>
        <v>34034</v>
      </c>
      <c r="S1040" s="146">
        <f>IFERROR(__xludf.DUMMYFUNCTION("""COMPUTED_VALUE"""),9.82365563E8)</f>
        <v>982365563</v>
      </c>
      <c r="T1040" s="147">
        <f>IFERROR(__xludf.DUMMYFUNCTION("""COMPUTED_VALUE"""),1.101401975663E12)</f>
        <v>1101401975663</v>
      </c>
      <c r="U1040" t="str">
        <f>IFERROR(__xludf.DUMMYFUNCTION("""COMPUTED_VALUE"""),"AC4387582")</f>
        <v>AC4387582</v>
      </c>
      <c r="V1040" s="148">
        <f>IFERROR(__xludf.DUMMYFUNCTION("""COMPUTED_VALUE"""),44939.0)</f>
        <v>44939</v>
      </c>
      <c r="W1040" s="148">
        <f>IFERROR(__xludf.DUMMYFUNCTION("""COMPUTED_VALUE"""),48591.0)</f>
        <v>48591</v>
      </c>
      <c r="X1040" s="149">
        <f>IFERROR(__xludf.DUMMYFUNCTION("""COMPUTED_VALUE"""),48407.0)</f>
        <v>48407</v>
      </c>
      <c r="Y1040" t="str">
        <f>IFERROR(__xludf.DUMMYFUNCTION("""COMPUTED_VALUE"""),"ปลอดภัย")</f>
        <v>ปลอดภัย</v>
      </c>
      <c r="Z1040" t="str">
        <f>IFERROR(__xludf.DUMMYFUNCTION("""COMPUTED_VALUE"""),"Bangkok")</f>
        <v>Bangkok</v>
      </c>
      <c r="AA1040" t="str">
        <f>IFERROR(__xludf.DUMMYFUNCTION("""COMPUTED_VALUE"""),"Bangkok")</f>
        <v>Bangkok</v>
      </c>
      <c r="AB1040" s="145" t="str">
        <f>IFERROR(__xludf.DUMMYFUNCTION("""COMPUTED_VALUE"""),"0982929395")</f>
        <v>0982929395</v>
      </c>
      <c r="AC1040" t="str">
        <f>IFERROR(__xludf.DUMMYFUNCTION("""COMPUTED_VALUE"""),"เสาวลักษณ์ ทวีกิจรัตน์ Mother")</f>
        <v>เสาวลักษณ์ ทวีกิจรัตน์ Mother</v>
      </c>
      <c r="AD1040" t="str">
        <f>IFERROR(__xludf.DUMMYFUNCTION("""COMPUTED_VALUE"""),"siradataveekitrat@airasia.com")</f>
        <v>siradataveekitrat@airasia.com</v>
      </c>
    </row>
    <row r="1041">
      <c r="A1041" s="142">
        <f>IFERROR(__xludf.DUMMYFUNCTION("""COMPUTED_VALUE"""),102.0)</f>
        <v>102</v>
      </c>
      <c r="C1041">
        <f>IFERROR(__xludf.DUMMYFUNCTION("""COMPUTED_VALUE"""),1039130.0)</f>
        <v>1039130</v>
      </c>
      <c r="D1041" t="str">
        <f>IFERROR(__xludf.DUMMYFUNCTION("""COMPUTED_VALUE"""),"Ms.")</f>
        <v>Ms.</v>
      </c>
      <c r="E1041" t="str">
        <f>IFERROR(__xludf.DUMMYFUNCTION("""COMPUTED_VALUE"""),"Narisara")</f>
        <v>Narisara</v>
      </c>
      <c r="F1041" t="str">
        <f>IFERROR(__xludf.DUMMYFUNCTION("""COMPUTED_VALUE"""),"Phumsawarng")</f>
        <v>Phumsawarng</v>
      </c>
      <c r="G1041" t="str">
        <f>IFERROR(__xludf.DUMMYFUNCTION("""COMPUTED_VALUE"""),"Narisara Phumsawarng")</f>
        <v>Narisara Phumsawarng</v>
      </c>
      <c r="H1041" t="str">
        <f>IFERROR(__xludf.DUMMYFUNCTION("""COMPUTED_VALUE"""),"นางสาว")</f>
        <v>นางสาว</v>
      </c>
      <c r="I1041" t="str">
        <f>IFERROR(__xludf.DUMMYFUNCTION("""COMPUTED_VALUE"""),"นริศรา")</f>
        <v>นริศรา</v>
      </c>
      <c r="J1041" t="str">
        <f>IFERROR(__xludf.DUMMYFUNCTION("""COMPUTED_VALUE"""),"พุ่มสว่าง")</f>
        <v>พุ่มสว่าง</v>
      </c>
      <c r="K1041" t="str">
        <f>IFERROR(__xludf.DUMMYFUNCTION("""COMPUTED_VALUE"""),"นริศรา พุ่มสว่าง")</f>
        <v>นริศรา พุ่มสว่าง</v>
      </c>
      <c r="L1041" s="160" t="str">
        <f>IFERROR(__xludf.DUMMYFUNCTION("""COMPUTED_VALUE"""),"Boom / บูม")</f>
        <v>Boom / บูม</v>
      </c>
      <c r="M1041" t="str">
        <f>IFERROR(__xludf.DUMMYFUNCTION("""COMPUTED_VALUE"""),"Cabin Crew")</f>
        <v>Cabin Crew</v>
      </c>
      <c r="N1041" t="str">
        <f>IFERROR(__xludf.DUMMYFUNCTION("""COMPUTED_VALUE"""),"DMK")</f>
        <v>DMK</v>
      </c>
      <c r="O1041" s="145" t="str">
        <f>IFERROR(__xludf.DUMMYFUNCTION("""COMPUTED_VALUE"""),"Toffy Home")</f>
        <v>Toffy Home</v>
      </c>
      <c r="P1041" t="str">
        <f>IFERROR(__xludf.DUMMYFUNCTION("""COMPUTED_VALUE"""),"Active")</f>
        <v>Active</v>
      </c>
      <c r="R1041" s="159">
        <f>IFERROR(__xludf.DUMMYFUNCTION("""COMPUTED_VALUE"""),33904.0)</f>
        <v>33904</v>
      </c>
      <c r="S1041" s="146">
        <f>IFERROR(__xludf.DUMMYFUNCTION("""COMPUTED_VALUE"""),6.22636969E8)</f>
        <v>622636969</v>
      </c>
      <c r="T1041" s="147">
        <f>IFERROR(__xludf.DUMMYFUNCTION("""COMPUTED_VALUE"""),1.103800003381E12)</f>
        <v>1103800003381</v>
      </c>
      <c r="U1041" t="str">
        <f>IFERROR(__xludf.DUMMYFUNCTION("""COMPUTED_VALUE"""),"AC3587991")</f>
        <v>AC3587991</v>
      </c>
      <c r="V1041" s="148">
        <f>IFERROR(__xludf.DUMMYFUNCTION("""COMPUTED_VALUE"""),44753.0)</f>
        <v>44753</v>
      </c>
      <c r="W1041" s="148">
        <f>IFERROR(__xludf.DUMMYFUNCTION("""COMPUTED_VALUE"""),48405.0)</f>
        <v>48405</v>
      </c>
      <c r="X1041" s="149">
        <f>IFERROR(__xludf.DUMMYFUNCTION("""COMPUTED_VALUE"""),48223.0)</f>
        <v>48223</v>
      </c>
      <c r="Y1041" t="str">
        <f>IFERROR(__xludf.DUMMYFUNCTION("""COMPUTED_VALUE"""),"ปลอดภัย")</f>
        <v>ปลอดภัย</v>
      </c>
      <c r="Z1041" t="str">
        <f>IFERROR(__xludf.DUMMYFUNCTION("""COMPUTED_VALUE"""),"Bangkok")</f>
        <v>Bangkok</v>
      </c>
      <c r="AA1041" t="str">
        <f>IFERROR(__xludf.DUMMYFUNCTION("""COMPUTED_VALUE"""),"Bangkok")</f>
        <v>Bangkok</v>
      </c>
      <c r="AB1041" s="145" t="str">
        <f>IFERROR(__xludf.DUMMYFUNCTION("""COMPUTED_VALUE"""),"0818103757")</f>
        <v>0818103757</v>
      </c>
      <c r="AC1041" t="str">
        <f>IFERROR(__xludf.DUMMYFUNCTION("""COMPUTED_VALUE"""),"นายณรงค์ พุ่มสว่าง Father")</f>
        <v>นายณรงค์ พุ่มสว่าง Father</v>
      </c>
      <c r="AD1041" t="str">
        <f>IFERROR(__xludf.DUMMYFUNCTION("""COMPUTED_VALUE"""),"narisaraphumsawarng@airasia.com")</f>
        <v>narisaraphumsawarng@airasia.com</v>
      </c>
    </row>
    <row r="1042">
      <c r="A1042" s="142">
        <f>IFERROR(__xludf.DUMMYFUNCTION("""COMPUTED_VALUE"""),102.0)</f>
        <v>102</v>
      </c>
      <c r="C1042">
        <f>IFERROR(__xludf.DUMMYFUNCTION("""COMPUTED_VALUE"""),1039128.0)</f>
        <v>1039128</v>
      </c>
      <c r="D1042" t="str">
        <f>IFERROR(__xludf.DUMMYFUNCTION("""COMPUTED_VALUE"""),"Ms.")</f>
        <v>Ms.</v>
      </c>
      <c r="E1042" t="str">
        <f>IFERROR(__xludf.DUMMYFUNCTION("""COMPUTED_VALUE"""),"Jiratip")</f>
        <v>Jiratip</v>
      </c>
      <c r="F1042" t="str">
        <f>IFERROR(__xludf.DUMMYFUNCTION("""COMPUTED_VALUE"""),"Pimpa")</f>
        <v>Pimpa</v>
      </c>
      <c r="G1042" t="str">
        <f>IFERROR(__xludf.DUMMYFUNCTION("""COMPUTED_VALUE"""),"Jiratip Pimpa")</f>
        <v>Jiratip Pimpa</v>
      </c>
      <c r="H1042" t="str">
        <f>IFERROR(__xludf.DUMMYFUNCTION("""COMPUTED_VALUE"""),"นางสาว")</f>
        <v>นางสาว</v>
      </c>
      <c r="I1042" t="str">
        <f>IFERROR(__xludf.DUMMYFUNCTION("""COMPUTED_VALUE"""),"จิรธิป")</f>
        <v>จิรธิป</v>
      </c>
      <c r="J1042" t="str">
        <f>IFERROR(__xludf.DUMMYFUNCTION("""COMPUTED_VALUE"""),"พิมพา")</f>
        <v>พิมพา</v>
      </c>
      <c r="K1042" t="str">
        <f>IFERROR(__xludf.DUMMYFUNCTION("""COMPUTED_VALUE"""),"จิรธิป พิมพา")</f>
        <v>จิรธิป พิมพา</v>
      </c>
      <c r="L1042" t="str">
        <f>IFERROR(__xludf.DUMMYFUNCTION("""COMPUTED_VALUE"""),"ฉัตร")</f>
        <v>ฉัตร</v>
      </c>
      <c r="M1042" t="str">
        <f>IFERROR(__xludf.DUMMYFUNCTION("""COMPUTED_VALUE"""),"Cabin Crew")</f>
        <v>Cabin Crew</v>
      </c>
      <c r="N1042" t="str">
        <f>IFERROR(__xludf.DUMMYFUNCTION("""COMPUTED_VALUE"""),"DMK")</f>
        <v>DMK</v>
      </c>
      <c r="O1042" s="145" t="str">
        <f>IFERROR(__xludf.DUMMYFUNCTION("""COMPUTED_VALUE"""),"Namfon Home")</f>
        <v>Namfon Home</v>
      </c>
      <c r="P1042" t="str">
        <f>IFERROR(__xludf.DUMMYFUNCTION("""COMPUTED_VALUE"""),"Active")</f>
        <v>Active</v>
      </c>
      <c r="R1042" s="159">
        <f>IFERROR(__xludf.DUMMYFUNCTION("""COMPUTED_VALUE"""),33729.0)</f>
        <v>33729</v>
      </c>
      <c r="S1042" s="146">
        <f>IFERROR(__xludf.DUMMYFUNCTION("""COMPUTED_VALUE"""),8.16988515E8)</f>
        <v>816988515</v>
      </c>
      <c r="T1042" s="147">
        <f>IFERROR(__xludf.DUMMYFUNCTION("""COMPUTED_VALUE"""),1.909800621148E12)</f>
        <v>1909800621148</v>
      </c>
      <c r="U1042" t="str">
        <f>IFERROR(__xludf.DUMMYFUNCTION("""COMPUTED_VALUE"""),"AC3149957")</f>
        <v>AC3149957</v>
      </c>
      <c r="V1042" s="148">
        <f>IFERROR(__xludf.DUMMYFUNCTION("""COMPUTED_VALUE"""),44699.0)</f>
        <v>44699</v>
      </c>
      <c r="W1042" s="148">
        <f>IFERROR(__xludf.DUMMYFUNCTION("""COMPUTED_VALUE"""),48351.0)</f>
        <v>48351</v>
      </c>
      <c r="X1042" s="149">
        <f>IFERROR(__xludf.DUMMYFUNCTION("""COMPUTED_VALUE"""),48169.0)</f>
        <v>48169</v>
      </c>
      <c r="Y1042" t="str">
        <f>IFERROR(__xludf.DUMMYFUNCTION("""COMPUTED_VALUE"""),"ปลอดภัย")</f>
        <v>ปลอดภัย</v>
      </c>
      <c r="Z1042" s="160" t="str">
        <f>IFERROR(__xludf.DUMMYFUNCTION("""COMPUTED_VALUE"""),"Songkhla Province")</f>
        <v>Songkhla Province</v>
      </c>
      <c r="AA1042" t="str">
        <f>IFERROR(__xludf.DUMMYFUNCTION("""COMPUTED_VALUE"""),"Bangkok")</f>
        <v>Bangkok</v>
      </c>
      <c r="AB1042" s="145" t="str">
        <f>IFERROR(__xludf.DUMMYFUNCTION("""COMPUTED_VALUE"""),"0895048991")</f>
        <v>0895048991</v>
      </c>
      <c r="AC1042" t="str">
        <f>IFERROR(__xludf.DUMMYFUNCTION("""COMPUTED_VALUE"""),"นายอัครเดช คชคีรี Friend")</f>
        <v>นายอัครเดช คชคีรี Friend</v>
      </c>
      <c r="AD1042" t="str">
        <f>IFERROR(__xludf.DUMMYFUNCTION("""COMPUTED_VALUE"""),"jiratippimpa@airasia.com")</f>
        <v>jiratippimpa@airasia.com</v>
      </c>
    </row>
    <row r="1043">
      <c r="A1043" s="142">
        <f>IFERROR(__xludf.DUMMYFUNCTION("""COMPUTED_VALUE"""),102.0)</f>
        <v>102</v>
      </c>
      <c r="C1043">
        <f>IFERROR(__xludf.DUMMYFUNCTION("""COMPUTED_VALUE"""),1039131.0)</f>
        <v>1039131</v>
      </c>
      <c r="D1043" t="str">
        <f>IFERROR(__xludf.DUMMYFUNCTION("""COMPUTED_VALUE"""),"Ms.")</f>
        <v>Ms.</v>
      </c>
      <c r="E1043" t="str">
        <f>IFERROR(__xludf.DUMMYFUNCTION("""COMPUTED_VALUE"""),"Sawarin")</f>
        <v>Sawarin</v>
      </c>
      <c r="F1043" t="str">
        <f>IFERROR(__xludf.DUMMYFUNCTION("""COMPUTED_VALUE"""),"Charoenpak")</f>
        <v>Charoenpak</v>
      </c>
      <c r="G1043" t="str">
        <f>IFERROR(__xludf.DUMMYFUNCTION("""COMPUTED_VALUE"""),"Sawarin Charoenpak")</f>
        <v>Sawarin Charoenpak</v>
      </c>
      <c r="H1043" t="str">
        <f>IFERROR(__xludf.DUMMYFUNCTION("""COMPUTED_VALUE"""),"นางสาว")</f>
        <v>นางสาว</v>
      </c>
      <c r="I1043" t="str">
        <f>IFERROR(__xludf.DUMMYFUNCTION("""COMPUTED_VALUE"""),"สวรินทร์")</f>
        <v>สวรินทร์</v>
      </c>
      <c r="J1043" t="str">
        <f>IFERROR(__xludf.DUMMYFUNCTION("""COMPUTED_VALUE"""),"เจริญภักตร์")</f>
        <v>เจริญภักตร์</v>
      </c>
      <c r="K1043" t="str">
        <f>IFERROR(__xludf.DUMMYFUNCTION("""COMPUTED_VALUE"""),"สวรินทร์ เจริญภักตร์")</f>
        <v>สวรินทร์ เจริญภักตร์</v>
      </c>
      <c r="L1043" s="160" t="str">
        <f>IFERROR(__xludf.DUMMYFUNCTION("""COMPUTED_VALUE"""),"ขวัญ")</f>
        <v>ขวัญ</v>
      </c>
      <c r="M1043" t="str">
        <f>IFERROR(__xludf.DUMMYFUNCTION("""COMPUTED_VALUE"""),"Cabin Crew")</f>
        <v>Cabin Crew</v>
      </c>
      <c r="N1043" t="str">
        <f>IFERROR(__xludf.DUMMYFUNCTION("""COMPUTED_VALUE"""),"DMK")</f>
        <v>DMK</v>
      </c>
      <c r="O1043" s="145" t="str">
        <f>IFERROR(__xludf.DUMMYFUNCTION("""COMPUTED_VALUE"""),"Namfon Home")</f>
        <v>Namfon Home</v>
      </c>
      <c r="P1043" t="str">
        <f>IFERROR(__xludf.DUMMYFUNCTION("""COMPUTED_VALUE"""),"Active")</f>
        <v>Active</v>
      </c>
      <c r="R1043" s="159">
        <f>IFERROR(__xludf.DUMMYFUNCTION("""COMPUTED_VALUE"""),34664.0)</f>
        <v>34664</v>
      </c>
      <c r="S1043" s="146">
        <f>IFERROR(__xludf.DUMMYFUNCTION("""COMPUTED_VALUE"""),8.1116425E8)</f>
        <v>811164250</v>
      </c>
      <c r="T1043" s="147">
        <f>IFERROR(__xludf.DUMMYFUNCTION("""COMPUTED_VALUE"""),1.102002244577E12)</f>
        <v>1102002244577</v>
      </c>
      <c r="U1043" t="str">
        <f>IFERROR(__xludf.DUMMYFUNCTION("""COMPUTED_VALUE"""),"AC3123797")</f>
        <v>AC3123797</v>
      </c>
      <c r="V1043" s="148">
        <f>IFERROR(__xludf.DUMMYFUNCTION("""COMPUTED_VALUE"""),44692.0)</f>
        <v>44692</v>
      </c>
      <c r="W1043" s="148">
        <f>IFERROR(__xludf.DUMMYFUNCTION("""COMPUTED_VALUE"""),48344.0)</f>
        <v>48344</v>
      </c>
      <c r="X1043" s="149">
        <f>IFERROR(__xludf.DUMMYFUNCTION("""COMPUTED_VALUE"""),48162.0)</f>
        <v>48162</v>
      </c>
      <c r="Y1043" t="str">
        <f>IFERROR(__xludf.DUMMYFUNCTION("""COMPUTED_VALUE"""),"ปลอดภัย")</f>
        <v>ปลอดภัย</v>
      </c>
      <c r="Z1043" s="160" t="str">
        <f>IFERROR(__xludf.DUMMYFUNCTION("""COMPUTED_VALUE"""),"Bangkok")</f>
        <v>Bangkok</v>
      </c>
      <c r="AA1043" t="str">
        <f>IFERROR(__xludf.DUMMYFUNCTION("""COMPUTED_VALUE"""),"NONTABUTI")</f>
        <v>NONTABUTI</v>
      </c>
      <c r="AB1043" s="145" t="str">
        <f>IFERROR(__xludf.DUMMYFUNCTION("""COMPUTED_VALUE"""),"095-254-9974")</f>
        <v>095-254-9974</v>
      </c>
      <c r="AC1043" t="str">
        <f>IFERROR(__xludf.DUMMYFUNCTION("""COMPUTED_VALUE"""),"นางณัชชา เจริญภักตร์ Mother")</f>
        <v>นางณัชชา เจริญภักตร์ Mother</v>
      </c>
      <c r="AD1043" t="str">
        <f>IFERROR(__xludf.DUMMYFUNCTION("""COMPUTED_VALUE"""),"sawarincharoenpak@airasia.com")</f>
        <v>sawarincharoenpak@airasia.com</v>
      </c>
    </row>
    <row r="1044">
      <c r="A1044" s="142">
        <f>IFERROR(__xludf.DUMMYFUNCTION("""COMPUTED_VALUE"""),102.0)</f>
        <v>102</v>
      </c>
      <c r="C1044">
        <f>IFERROR(__xludf.DUMMYFUNCTION("""COMPUTED_VALUE"""),1039132.0)</f>
        <v>1039132</v>
      </c>
      <c r="D1044" t="str">
        <f>IFERROR(__xludf.DUMMYFUNCTION("""COMPUTED_VALUE"""),"Mr.")</f>
        <v>Mr.</v>
      </c>
      <c r="E1044" t="str">
        <f>IFERROR(__xludf.DUMMYFUNCTION("""COMPUTED_VALUE"""),"Intuch")</f>
        <v>Intuch</v>
      </c>
      <c r="F1044" t="str">
        <f>IFERROR(__xludf.DUMMYFUNCTION("""COMPUTED_VALUE"""),"Khanyou")</f>
        <v>Khanyou</v>
      </c>
      <c r="G1044" t="str">
        <f>IFERROR(__xludf.DUMMYFUNCTION("""COMPUTED_VALUE"""),"Intuch Khanyou")</f>
        <v>Intuch Khanyou</v>
      </c>
      <c r="H1044" t="str">
        <f>IFERROR(__xludf.DUMMYFUNCTION("""COMPUTED_VALUE"""),"นาย")</f>
        <v>นาย</v>
      </c>
      <c r="I1044" t="str">
        <f>IFERROR(__xludf.DUMMYFUNCTION("""COMPUTED_VALUE"""),"อินทัช")</f>
        <v>อินทัช</v>
      </c>
      <c r="J1044" t="str">
        <f>IFERROR(__xludf.DUMMYFUNCTION("""COMPUTED_VALUE"""),"คานยู")</f>
        <v>คานยู</v>
      </c>
      <c r="K1044" t="str">
        <f>IFERROR(__xludf.DUMMYFUNCTION("""COMPUTED_VALUE"""),"อินทัช คานยู")</f>
        <v>อินทัช คานยู</v>
      </c>
      <c r="L1044" s="160" t="str">
        <f>IFERROR(__xludf.DUMMYFUNCTION("""COMPUTED_VALUE"""),"Beam / บีม")</f>
        <v>Beam / บีม</v>
      </c>
      <c r="M1044" t="str">
        <f>IFERROR(__xludf.DUMMYFUNCTION("""COMPUTED_VALUE"""),"Cabin Crew")</f>
        <v>Cabin Crew</v>
      </c>
      <c r="N1044" t="str">
        <f>IFERROR(__xludf.DUMMYFUNCTION("""COMPUTED_VALUE"""),"DMK")</f>
        <v>DMK</v>
      </c>
      <c r="O1044" s="145" t="str">
        <f>IFERROR(__xludf.DUMMYFUNCTION("""COMPUTED_VALUE"""),"Toffy Home")</f>
        <v>Toffy Home</v>
      </c>
      <c r="P1044" t="str">
        <f>IFERROR(__xludf.DUMMYFUNCTION("""COMPUTED_VALUE"""),"Active")</f>
        <v>Active</v>
      </c>
      <c r="R1044" s="159">
        <f>IFERROR(__xludf.DUMMYFUNCTION("""COMPUTED_VALUE"""),34406.0)</f>
        <v>34406</v>
      </c>
      <c r="S1044" s="146">
        <f>IFERROR(__xludf.DUMMYFUNCTION("""COMPUTED_VALUE"""),9.1874412E8)</f>
        <v>918744120</v>
      </c>
      <c r="T1044" s="147">
        <f>IFERROR(__xludf.DUMMYFUNCTION("""COMPUTED_VALUE"""),1.9098008037E12)</f>
        <v>1909800803700</v>
      </c>
      <c r="U1044" t="str">
        <f>IFERROR(__xludf.DUMMYFUNCTION("""COMPUTED_VALUE"""),"AC6442188")</f>
        <v>AC6442188</v>
      </c>
      <c r="V1044" s="148">
        <f>IFERROR(__xludf.DUMMYFUNCTION("""COMPUTED_VALUE"""),45357.0)</f>
        <v>45357</v>
      </c>
      <c r="W1044" s="148">
        <f>IFERROR(__xludf.DUMMYFUNCTION("""COMPUTED_VALUE"""),47182.0)</f>
        <v>47182</v>
      </c>
      <c r="X1044" s="149">
        <f>IFERROR(__xludf.DUMMYFUNCTION("""COMPUTED_VALUE"""),47001.0)</f>
        <v>47001</v>
      </c>
      <c r="Y1044" t="str">
        <f>IFERROR(__xludf.DUMMYFUNCTION("""COMPUTED_VALUE"""),"ปลอดภัย")</f>
        <v>ปลอดภัย</v>
      </c>
      <c r="Z1044" s="160" t="str">
        <f>IFERROR(__xludf.DUMMYFUNCTION("""COMPUTED_VALUE"""),"Songkhla Province")</f>
        <v>Songkhla Province</v>
      </c>
      <c r="AA1044" t="str">
        <f>IFERROR(__xludf.DUMMYFUNCTION("""COMPUTED_VALUE"""),"Bangkok")</f>
        <v>Bangkok</v>
      </c>
      <c r="AB1044" s="145" t="str">
        <f>IFERROR(__xludf.DUMMYFUNCTION("""COMPUTED_VALUE"""),"061-649-2865")</f>
        <v>061-649-2865</v>
      </c>
      <c r="AC1044" t="str">
        <f>IFERROR(__xludf.DUMMYFUNCTION("""COMPUTED_VALUE"""),"นายธนพล เนียมคง Friend")</f>
        <v>นายธนพล เนียมคง Friend</v>
      </c>
      <c r="AD1044" t="str">
        <f>IFERROR(__xludf.DUMMYFUNCTION("""COMPUTED_VALUE"""),"intuchkhanyou@airasia.com")</f>
        <v>intuchkhanyou@airasia.com</v>
      </c>
    </row>
    <row r="1045">
      <c r="A1045" s="142">
        <f>IFERROR(__xludf.DUMMYFUNCTION("""COMPUTED_VALUE"""),102.0)</f>
        <v>102</v>
      </c>
      <c r="B1045" t="str">
        <f>IFERROR(__xludf.DUMMYFUNCTION("""COMPUTED_VALUE"""),"Rejion  // Change new ID (1039060)
Other department")</f>
        <v>Rejion  // Change new ID (1039060)
Other department</v>
      </c>
      <c r="C1045">
        <f>IFERROR(__xludf.DUMMYFUNCTION("""COMPUTED_VALUE"""),1013605.0)</f>
        <v>1013605</v>
      </c>
      <c r="D1045" t="str">
        <f>IFERROR(__xludf.DUMMYFUNCTION("""COMPUTED_VALUE"""),"Mr.")</f>
        <v>Mr.</v>
      </c>
      <c r="E1045" t="str">
        <f>IFERROR(__xludf.DUMMYFUNCTION("""COMPUTED_VALUE"""),"Atiluk")</f>
        <v>Atiluk</v>
      </c>
      <c r="F1045" t="str">
        <f>IFERROR(__xludf.DUMMYFUNCTION("""COMPUTED_VALUE"""),"Apiwong")</f>
        <v>Apiwong</v>
      </c>
      <c r="G1045" t="str">
        <f>IFERROR(__xludf.DUMMYFUNCTION("""COMPUTED_VALUE"""),"Atiluk Apiwong")</f>
        <v>Atiluk Apiwong</v>
      </c>
      <c r="H1045" t="str">
        <f>IFERROR(__xludf.DUMMYFUNCTION("""COMPUTED_VALUE"""),"นาย")</f>
        <v>นาย</v>
      </c>
      <c r="I1045" t="str">
        <f>IFERROR(__xludf.DUMMYFUNCTION("""COMPUTED_VALUE"""),"อติลักษณ์")</f>
        <v>อติลักษณ์</v>
      </c>
      <c r="J1045" t="str">
        <f>IFERROR(__xludf.DUMMYFUNCTION("""COMPUTED_VALUE"""),"อภิวงค์")</f>
        <v>อภิวงค์</v>
      </c>
      <c r="K1045" t="str">
        <f>IFERROR(__xludf.DUMMYFUNCTION("""COMPUTED_VALUE"""),"อติลักษณ์ อภิวงค์")</f>
        <v>อติลักษณ์ อภิวงค์</v>
      </c>
      <c r="L1045" s="160" t="str">
        <f>IFERROR(__xludf.DUMMYFUNCTION("""COMPUTED_VALUE"""),"Tum / ตั้ม")</f>
        <v>Tum / ตั้ม</v>
      </c>
      <c r="M1045" t="str">
        <f>IFERROR(__xludf.DUMMYFUNCTION("""COMPUTED_VALUE"""),"Cabin Crew")</f>
        <v>Cabin Crew</v>
      </c>
      <c r="N1045" t="str">
        <f>IFERROR(__xludf.DUMMYFUNCTION("""COMPUTED_VALUE"""),"DMK")</f>
        <v>DMK</v>
      </c>
      <c r="O1045" s="145" t="str">
        <f>IFERROR(__xludf.DUMMYFUNCTION("""COMPUTED_VALUE"""),"Por+ Home")</f>
        <v>Por+ Home</v>
      </c>
      <c r="P1045" t="str">
        <f>IFERROR(__xludf.DUMMYFUNCTION("""COMPUTED_VALUE"""),"Active")</f>
        <v>Active</v>
      </c>
      <c r="R1045" s="159">
        <f>IFERROR(__xludf.DUMMYFUNCTION("""COMPUTED_VALUE"""),33362.0)</f>
        <v>33362</v>
      </c>
      <c r="S1045" s="146" t="str">
        <f>IFERROR(__xludf.DUMMYFUNCTION("""COMPUTED_VALUE"""),"087-358-5930")</f>
        <v>087-358-5930</v>
      </c>
      <c r="T1045" s="147">
        <f>IFERROR(__xludf.DUMMYFUNCTION("""COMPUTED_VALUE"""),1.579900358671E12)</f>
        <v>1579900358671</v>
      </c>
      <c r="U1045" t="str">
        <f>IFERROR(__xludf.DUMMYFUNCTION("""COMPUTED_VALUE"""),"AC4959712")</f>
        <v>AC4959712</v>
      </c>
      <c r="V1045" s="148">
        <f>IFERROR(__xludf.DUMMYFUNCTION("""COMPUTED_VALUE"""),45068.0)</f>
        <v>45068</v>
      </c>
      <c r="W1045" s="148">
        <f>IFERROR(__xludf.DUMMYFUNCTION("""COMPUTED_VALUE"""),48720.0)</f>
        <v>48720</v>
      </c>
      <c r="X1045" s="149">
        <f>IFERROR(__xludf.DUMMYFUNCTION("""COMPUTED_VALUE"""),48539.0)</f>
        <v>48539</v>
      </c>
      <c r="Y1045" t="str">
        <f>IFERROR(__xludf.DUMMYFUNCTION("""COMPUTED_VALUE"""),"ปลอดภัย")</f>
        <v>ปลอดภัย</v>
      </c>
      <c r="Z1045" s="160" t="str">
        <f>IFERROR(__xludf.DUMMYFUNCTION("""COMPUTED_VALUE"""),"Chiang Rai Province")</f>
        <v>Chiang Rai Province</v>
      </c>
      <c r="AA1045" t="str">
        <f>IFERROR(__xludf.DUMMYFUNCTION("""COMPUTED_VALUE"""),"chiangrai")</f>
        <v>chiangrai</v>
      </c>
      <c r="AB1045" s="145" t="str">
        <f>IFERROR(__xludf.DUMMYFUNCTION("""COMPUTED_VALUE"""),"088-262-0128")</f>
        <v>088-262-0128</v>
      </c>
      <c r="AC1045" t="str">
        <f>IFERROR(__xludf.DUMMYFUNCTION("""COMPUTED_VALUE"""),"นางสาว เสาวภา ศรีไกรรส Wife")</f>
        <v>นางสาว เสาวภา ศรีไกรรส Wife</v>
      </c>
      <c r="AD1045" t="str">
        <f>IFERROR(__xludf.DUMMYFUNCTION("""COMPUTED_VALUE"""),"atilukapiwong@airasia.com")</f>
        <v>atilukapiwong@airasia.com</v>
      </c>
    </row>
    <row r="1046">
      <c r="A1046" s="142">
        <f>IFERROR(__xludf.DUMMYFUNCTION("""COMPUTED_VALUE"""),102.0)</f>
        <v>102</v>
      </c>
      <c r="B1046" t="str">
        <f>IFERROR(__xludf.DUMMYFUNCTION("""COMPUTED_VALUE"""),"Rejion  // Change new ID (1039061)")</f>
        <v>Rejion  // Change new ID (1039061)</v>
      </c>
      <c r="C1046">
        <f>IFERROR(__xludf.DUMMYFUNCTION("""COMPUTED_VALUE"""),1014054.0)</f>
        <v>1014054</v>
      </c>
      <c r="D1046" t="str">
        <f>IFERROR(__xludf.DUMMYFUNCTION("""COMPUTED_VALUE"""),"Mr.")</f>
        <v>Mr.</v>
      </c>
      <c r="E1046" t="str">
        <f>IFERROR(__xludf.DUMMYFUNCTION("""COMPUTED_VALUE"""),"Arnon")</f>
        <v>Arnon</v>
      </c>
      <c r="F1046" t="str">
        <f>IFERROR(__xludf.DUMMYFUNCTION("""COMPUTED_VALUE"""),"Pattanaanunsuk")</f>
        <v>Pattanaanunsuk</v>
      </c>
      <c r="G1046" t="str">
        <f>IFERROR(__xludf.DUMMYFUNCTION("""COMPUTED_VALUE"""),"Arnon Pattanaanunsuk")</f>
        <v>Arnon Pattanaanunsuk</v>
      </c>
      <c r="H1046" t="str">
        <f>IFERROR(__xludf.DUMMYFUNCTION("""COMPUTED_VALUE"""),"นาย")</f>
        <v>นาย</v>
      </c>
      <c r="I1046" t="str">
        <f>IFERROR(__xludf.DUMMYFUNCTION("""COMPUTED_VALUE"""),"อานนท์")</f>
        <v>อานนท์</v>
      </c>
      <c r="J1046" t="str">
        <f>IFERROR(__xludf.DUMMYFUNCTION("""COMPUTED_VALUE"""),"พัฒนอนันต์สุข")</f>
        <v>พัฒนอนันต์สุข</v>
      </c>
      <c r="K1046" t="str">
        <f>IFERROR(__xludf.DUMMYFUNCTION("""COMPUTED_VALUE"""),"อานนท์ พัฒนอนันต์สุข")</f>
        <v>อานนท์ พัฒนอนันต์สุข</v>
      </c>
      <c r="L1046" t="str">
        <f>IFERROR(__xludf.DUMMYFUNCTION("""COMPUTED_VALUE"""),"Pork / พอร์ค")</f>
        <v>Pork / พอร์ค</v>
      </c>
      <c r="M1046" t="str">
        <f>IFERROR(__xludf.DUMMYFUNCTION("""COMPUTED_VALUE"""),"Cabin Crew")</f>
        <v>Cabin Crew</v>
      </c>
      <c r="N1046" t="str">
        <f>IFERROR(__xludf.DUMMYFUNCTION("""COMPUTED_VALUE"""),"DMK")</f>
        <v>DMK</v>
      </c>
      <c r="O1046" s="145" t="str">
        <f>IFERROR(__xludf.DUMMYFUNCTION("""COMPUTED_VALUE"""),"Toffy Home")</f>
        <v>Toffy Home</v>
      </c>
      <c r="P1046" t="str">
        <f>IFERROR(__xludf.DUMMYFUNCTION("""COMPUTED_VALUE"""),"Active")</f>
        <v>Active</v>
      </c>
      <c r="R1046" s="159">
        <f>IFERROR(__xludf.DUMMYFUNCTION("""COMPUTED_VALUE"""),34080.0)</f>
        <v>34080</v>
      </c>
      <c r="S1046" s="146" t="str">
        <f>IFERROR(__xludf.DUMMYFUNCTION("""COMPUTED_VALUE"""),"089-691-8655")</f>
        <v>089-691-8655</v>
      </c>
      <c r="T1046" s="147">
        <f>IFERROR(__xludf.DUMMYFUNCTION("""COMPUTED_VALUE"""),1.102800031635E12)</f>
        <v>1102800031635</v>
      </c>
      <c r="U1046" t="str">
        <f>IFERROR(__xludf.DUMMYFUNCTION("""COMPUTED_VALUE"""),"AC5025448")</f>
        <v>AC5025448</v>
      </c>
      <c r="V1046" s="148">
        <f>IFERROR(__xludf.DUMMYFUNCTION("""COMPUTED_VALUE"""),45069.0)</f>
        <v>45069</v>
      </c>
      <c r="W1046" s="148">
        <f>IFERROR(__xludf.DUMMYFUNCTION("""COMPUTED_VALUE"""),48721.0)</f>
        <v>48721</v>
      </c>
      <c r="X1046" s="149">
        <f>IFERROR(__xludf.DUMMYFUNCTION("""COMPUTED_VALUE"""),48540.0)</f>
        <v>48540</v>
      </c>
      <c r="Y1046" t="str">
        <f>IFERROR(__xludf.DUMMYFUNCTION("""COMPUTED_VALUE"""),"ปลอดภัย")</f>
        <v>ปลอดภัย</v>
      </c>
      <c r="Z1046" t="str">
        <f>IFERROR(__xludf.DUMMYFUNCTION("""COMPUTED_VALUE"""),"Bangkok")</f>
        <v>Bangkok</v>
      </c>
      <c r="AA1046" t="str">
        <f>IFERROR(__xludf.DUMMYFUNCTION("""COMPUTED_VALUE"""),"Bangkok")</f>
        <v>Bangkok</v>
      </c>
      <c r="AB1046" s="145" t="str">
        <f>IFERROR(__xludf.DUMMYFUNCTION("""COMPUTED_VALUE"""),"088-222-3991")</f>
        <v>088-222-3991</v>
      </c>
      <c r="AC1046" t="str">
        <f>IFERROR(__xludf.DUMMYFUNCTION("""COMPUTED_VALUE"""),"นางไอริณ พัฒนอนันต์สุข Wife")</f>
        <v>นางไอริณ พัฒนอนันต์สุข Wife</v>
      </c>
      <c r="AD1046" t="str">
        <f>IFERROR(__xludf.DUMMYFUNCTION("""COMPUTED_VALUE"""),"arnonpattanaanunsuk@airasia.com")</f>
        <v>arnonpattanaanunsuk@airasia.com</v>
      </c>
    </row>
    <row r="1047">
      <c r="A1047" s="142">
        <f>IFERROR(__xludf.DUMMYFUNCTION("""COMPUTED_VALUE"""),102.0)</f>
        <v>102</v>
      </c>
      <c r="B1047" t="str">
        <f>IFERROR(__xludf.DUMMYFUNCTION("""COMPUTED_VALUE"""),"Rejion  // Change new ID (1039063)")</f>
        <v>Rejion  // Change new ID (1039063)</v>
      </c>
      <c r="C1047">
        <f>IFERROR(__xludf.DUMMYFUNCTION("""COMPUTED_VALUE"""),1003909.0)</f>
        <v>1003909</v>
      </c>
      <c r="D1047" t="str">
        <f>IFERROR(__xludf.DUMMYFUNCTION("""COMPUTED_VALUE"""),"Ms.")</f>
        <v>Ms.</v>
      </c>
      <c r="E1047" t="str">
        <f>IFERROR(__xludf.DUMMYFUNCTION("""COMPUTED_VALUE"""),"Phanlapha")</f>
        <v>Phanlapha</v>
      </c>
      <c r="F1047" t="str">
        <f>IFERROR(__xludf.DUMMYFUNCTION("""COMPUTED_VALUE"""),"Uaiphorn")</f>
        <v>Uaiphorn</v>
      </c>
      <c r="G1047" t="str">
        <f>IFERROR(__xludf.DUMMYFUNCTION("""COMPUTED_VALUE"""),"Phanlapha Uaiphorn")</f>
        <v>Phanlapha Uaiphorn</v>
      </c>
      <c r="H1047" t="str">
        <f>IFERROR(__xludf.DUMMYFUNCTION("""COMPUTED_VALUE"""),"นางสาว")</f>
        <v>นางสาว</v>
      </c>
      <c r="I1047" t="str">
        <f>IFERROR(__xludf.DUMMYFUNCTION("""COMPUTED_VALUE"""),"พัลลภา")</f>
        <v>พัลลภา</v>
      </c>
      <c r="J1047" t="str">
        <f>IFERROR(__xludf.DUMMYFUNCTION("""COMPUTED_VALUE"""),"อวยพร")</f>
        <v>อวยพร</v>
      </c>
      <c r="K1047" t="str">
        <f>IFERROR(__xludf.DUMMYFUNCTION("""COMPUTED_VALUE"""),"พัลลภา อวยพร")</f>
        <v>พัลลภา อวยพร</v>
      </c>
      <c r="L1047" s="160" t="str">
        <f>IFERROR(__xludf.DUMMYFUNCTION("""COMPUTED_VALUE"""),"Yui/ยุ้ย")</f>
        <v>Yui/ยุ้ย</v>
      </c>
      <c r="M1047" t="str">
        <f>IFERROR(__xludf.DUMMYFUNCTION("""COMPUTED_VALUE"""),"Cabin Crew")</f>
        <v>Cabin Crew</v>
      </c>
      <c r="N1047" t="str">
        <f>IFERROR(__xludf.DUMMYFUNCTION("""COMPUTED_VALUE"""),"DMK")</f>
        <v>DMK</v>
      </c>
      <c r="O1047" s="145" t="str">
        <f>IFERROR(__xludf.DUMMYFUNCTION("""COMPUTED_VALUE"""),"Toffy Home")</f>
        <v>Toffy Home</v>
      </c>
      <c r="P1047" t="str">
        <f>IFERROR(__xludf.DUMMYFUNCTION("""COMPUTED_VALUE"""),"Active")</f>
        <v>Active</v>
      </c>
      <c r="R1047" s="159">
        <f>IFERROR(__xludf.DUMMYFUNCTION("""COMPUTED_VALUE"""),31174.0)</f>
        <v>31174</v>
      </c>
      <c r="S1047" s="146" t="str">
        <f>IFERROR(__xludf.DUMMYFUNCTION("""COMPUTED_VALUE"""),"098-239-6598")</f>
        <v>098-239-6598</v>
      </c>
      <c r="T1047" s="147">
        <f>IFERROR(__xludf.DUMMYFUNCTION("""COMPUTED_VALUE"""),1.209700055783E12)</f>
        <v>1209700055783</v>
      </c>
      <c r="U1047" t="str">
        <f>IFERROR(__xludf.DUMMYFUNCTION("""COMPUTED_VALUE"""),"AC5050391")</f>
        <v>AC5050391</v>
      </c>
      <c r="V1047" s="148">
        <f>IFERROR(__xludf.DUMMYFUNCTION("""COMPUTED_VALUE"""),45072.0)</f>
        <v>45072</v>
      </c>
      <c r="W1047" s="148">
        <f>IFERROR(__xludf.DUMMYFUNCTION("""COMPUTED_VALUE"""),48724.0)</f>
        <v>48724</v>
      </c>
      <c r="X1047" s="149">
        <f>IFERROR(__xludf.DUMMYFUNCTION("""COMPUTED_VALUE"""),48543.0)</f>
        <v>48543</v>
      </c>
      <c r="Y1047" t="str">
        <f>IFERROR(__xludf.DUMMYFUNCTION("""COMPUTED_VALUE"""),"ปลอดภัย")</f>
        <v>ปลอดภัย</v>
      </c>
      <c r="Z1047" t="str">
        <f>IFERROR(__xludf.DUMMYFUNCTION("""COMPUTED_VALUE"""),"Chonburi Province")</f>
        <v>Chonburi Province</v>
      </c>
      <c r="AA1047" t="str">
        <f>IFERROR(__xludf.DUMMYFUNCTION("""COMPUTED_VALUE"""),"Rayong")</f>
        <v>Rayong</v>
      </c>
      <c r="AB1047" s="145" t="str">
        <f>IFERROR(__xludf.DUMMYFUNCTION("""COMPUTED_VALUE"""),"087-1422608")</f>
        <v>087-1422608</v>
      </c>
      <c r="AC1047" t="str">
        <f>IFERROR(__xludf.DUMMYFUNCTION("""COMPUTED_VALUE"""),"น.ส.จันทิมา อวยพร Sister")</f>
        <v>น.ส.จันทิมา อวยพร Sister</v>
      </c>
      <c r="AD1047" t="str">
        <f>IFERROR(__xludf.DUMMYFUNCTION("""COMPUTED_VALUE"""),"phanlaphauaiphorn@airasia.com")</f>
        <v>phanlaphauaiphorn@airasia.com</v>
      </c>
    </row>
    <row r="1048">
      <c r="A1048" s="142">
        <f>IFERROR(__xludf.DUMMYFUNCTION("""COMPUTED_VALUE"""),102.0)</f>
        <v>102</v>
      </c>
      <c r="B1048" t="str">
        <f>IFERROR(__xludf.DUMMYFUNCTION("""COMPUTED_VALUE"""),"Rejion  // Change new ID (1039064)
Other department")</f>
        <v>Rejion  // Change new ID (1039064)
Other department</v>
      </c>
      <c r="C1048">
        <f>IFERROR(__xludf.DUMMYFUNCTION("""COMPUTED_VALUE"""),1014262.0)</f>
        <v>1014262</v>
      </c>
      <c r="D1048" t="str">
        <f>IFERROR(__xludf.DUMMYFUNCTION("""COMPUTED_VALUE"""),"Mr.")</f>
        <v>Mr.</v>
      </c>
      <c r="E1048" t="str">
        <f>IFERROR(__xludf.DUMMYFUNCTION("""COMPUTED_VALUE"""),"Wongsakorn")</f>
        <v>Wongsakorn</v>
      </c>
      <c r="F1048" t="str">
        <f>IFERROR(__xludf.DUMMYFUNCTION("""COMPUTED_VALUE"""),"Chumniwatesa")</f>
        <v>Chumniwatesa</v>
      </c>
      <c r="G1048" t="str">
        <f>IFERROR(__xludf.DUMMYFUNCTION("""COMPUTED_VALUE"""),"Wongsakorn Chumniwatesa")</f>
        <v>Wongsakorn Chumniwatesa</v>
      </c>
      <c r="H1048" t="str">
        <f>IFERROR(__xludf.DUMMYFUNCTION("""COMPUTED_VALUE"""),"นาย")</f>
        <v>นาย</v>
      </c>
      <c r="I1048" t="str">
        <f>IFERROR(__xludf.DUMMYFUNCTION("""COMPUTED_VALUE"""),"วงศกร")</f>
        <v>วงศกร</v>
      </c>
      <c r="J1048" t="str">
        <f>IFERROR(__xludf.DUMMYFUNCTION("""COMPUTED_VALUE"""),"ชำนิเวสสะ")</f>
        <v>ชำนิเวสสะ</v>
      </c>
      <c r="K1048" t="str">
        <f>IFERROR(__xludf.DUMMYFUNCTION("""COMPUTED_VALUE"""),"วงศกร ชำนิเวสสะ")</f>
        <v>วงศกร ชำนิเวสสะ</v>
      </c>
      <c r="L1048" s="160" t="str">
        <f>IFERROR(__xludf.DUMMYFUNCTION("""COMPUTED_VALUE"""),"Korn / กร")</f>
        <v>Korn / กร</v>
      </c>
      <c r="M1048" t="str">
        <f>IFERROR(__xludf.DUMMYFUNCTION("""COMPUTED_VALUE"""),"Cabin Crew")</f>
        <v>Cabin Crew</v>
      </c>
      <c r="N1048" t="str">
        <f>IFERROR(__xludf.DUMMYFUNCTION("""COMPUTED_VALUE"""),"DMK")</f>
        <v>DMK</v>
      </c>
      <c r="O1048" s="145" t="str">
        <f>IFERROR(__xludf.DUMMYFUNCTION("""COMPUTED_VALUE"""),"Por+ Home")</f>
        <v>Por+ Home</v>
      </c>
      <c r="P1048" t="str">
        <f>IFERROR(__xludf.DUMMYFUNCTION("""COMPUTED_VALUE"""),"Active")</f>
        <v>Active</v>
      </c>
      <c r="R1048" s="159">
        <f>IFERROR(__xludf.DUMMYFUNCTION("""COMPUTED_VALUE"""),33805.0)</f>
        <v>33805</v>
      </c>
      <c r="S1048" s="146">
        <f>IFERROR(__xludf.DUMMYFUNCTION("""COMPUTED_VALUE"""),8.76164118E8)</f>
        <v>876164118</v>
      </c>
      <c r="T1048" s="147">
        <f>IFERROR(__xludf.DUMMYFUNCTION("""COMPUTED_VALUE"""),1.103700842284E12)</f>
        <v>1103700842284</v>
      </c>
      <c r="U1048" t="str">
        <f>IFERROR(__xludf.DUMMYFUNCTION("""COMPUTED_VALUE"""),"AC3004188")</f>
        <v>AC3004188</v>
      </c>
      <c r="V1048" s="148">
        <f>IFERROR(__xludf.DUMMYFUNCTION("""COMPUTED_VALUE"""),44673.0)</f>
        <v>44673</v>
      </c>
      <c r="W1048" s="148">
        <f>IFERROR(__xludf.DUMMYFUNCTION("""COMPUTED_VALUE"""),48325.0)</f>
        <v>48325</v>
      </c>
      <c r="X1048" s="149">
        <f>IFERROR(__xludf.DUMMYFUNCTION("""COMPUTED_VALUE"""),48142.0)</f>
        <v>48142</v>
      </c>
      <c r="Y1048" t="str">
        <f>IFERROR(__xludf.DUMMYFUNCTION("""COMPUTED_VALUE"""),"ปลอดภัย")</f>
        <v>ปลอดภัย</v>
      </c>
      <c r="Z1048" s="160" t="str">
        <f>IFERROR(__xludf.DUMMYFUNCTION("""COMPUTED_VALUE"""),"Bangkok")</f>
        <v>Bangkok</v>
      </c>
      <c r="AA1048" t="str">
        <f>IFERROR(__xludf.DUMMYFUNCTION("""COMPUTED_VALUE"""),"Chonburi")</f>
        <v>Chonburi</v>
      </c>
      <c r="AB1048" s="145" t="str">
        <f>IFERROR(__xludf.DUMMYFUNCTION("""COMPUTED_VALUE"""),"0814847193")</f>
        <v>0814847193</v>
      </c>
      <c r="AC1048" t="str">
        <f>IFERROR(__xludf.DUMMYFUNCTION("""COMPUTED_VALUE"""),"นายวิบูลย์ ชำนิเวสสะ Father")</f>
        <v>นายวิบูลย์ ชำนิเวสสะ Father</v>
      </c>
      <c r="AD1048" t="str">
        <f>IFERROR(__xludf.DUMMYFUNCTION("""COMPUTED_VALUE"""),"wongsakornchumniwat@airasia.com")</f>
        <v>wongsakornchumniwat@airasia.com</v>
      </c>
    </row>
    <row r="1049">
      <c r="AD1049" t="str">
        <f>IFERROR(__xludf.DUMMYFUNCTION("""COMPUTED_VALUE"""),"")</f>
        <v/>
      </c>
    </row>
    <row r="1050">
      <c r="A1050" s="142">
        <f>IFERROR(__xludf.DUMMYFUNCTION("""COMPUTED_VALUE"""),103.0)</f>
        <v>103</v>
      </c>
      <c r="C1050">
        <f>IFERROR(__xludf.DUMMYFUNCTION("""COMPUTED_VALUE"""),1018720.0)</f>
        <v>1018720</v>
      </c>
      <c r="D1050" t="str">
        <f>IFERROR(__xludf.DUMMYFUNCTION("""COMPUTED_VALUE"""),"Ms.")</f>
        <v>Ms.</v>
      </c>
      <c r="E1050" t="str">
        <f>IFERROR(__xludf.DUMMYFUNCTION("""COMPUTED_VALUE"""),"Ratteera")</f>
        <v>Ratteera</v>
      </c>
      <c r="F1050" t="str">
        <f>IFERROR(__xludf.DUMMYFUNCTION("""COMPUTED_VALUE"""),"Dissamarn")</f>
        <v>Dissamarn</v>
      </c>
      <c r="G1050" t="str">
        <f>IFERROR(__xludf.DUMMYFUNCTION("""COMPUTED_VALUE"""),"Ratteera Dissamarn")</f>
        <v>Ratteera Dissamarn</v>
      </c>
      <c r="H1050" t="str">
        <f>IFERROR(__xludf.DUMMYFUNCTION("""COMPUTED_VALUE"""),"นางสาว")</f>
        <v>นางสาว</v>
      </c>
      <c r="I1050" t="str">
        <f>IFERROR(__xludf.DUMMYFUNCTION("""COMPUTED_VALUE"""),"รัฐธีรา")</f>
        <v>รัฐธีรา</v>
      </c>
      <c r="J1050" t="str">
        <f>IFERROR(__xludf.DUMMYFUNCTION("""COMPUTED_VALUE"""),"ดิสสะมาน")</f>
        <v>ดิสสะมาน</v>
      </c>
      <c r="K1050" t="str">
        <f>IFERROR(__xludf.DUMMYFUNCTION("""COMPUTED_VALUE"""),"รัฐธีรา ดิสสะมาน")</f>
        <v>รัฐธีรา ดิสสะมาน</v>
      </c>
      <c r="L1050" t="str">
        <f>IFERROR(__xludf.DUMMYFUNCTION("""COMPUTED_VALUE"""),"พลอย")</f>
        <v>พลอย</v>
      </c>
      <c r="M1050" t="str">
        <f>IFERROR(__xludf.DUMMYFUNCTION("""COMPUTED_VALUE"""),"Cabin Crew")</f>
        <v>Cabin Crew</v>
      </c>
      <c r="N1050" t="str">
        <f>IFERROR(__xludf.DUMMYFUNCTION("""COMPUTED_VALUE"""),"DMK")</f>
        <v>DMK</v>
      </c>
      <c r="O1050" s="145" t="str">
        <f>IFERROR(__xludf.DUMMYFUNCTION("""COMPUTED_VALUE"""),"Namfon Home")</f>
        <v>Namfon Home</v>
      </c>
      <c r="P1050" t="str">
        <f>IFERROR(__xludf.DUMMYFUNCTION("""COMPUTED_VALUE"""),"Active")</f>
        <v>Active</v>
      </c>
      <c r="R1050" s="159">
        <f>IFERROR(__xludf.DUMMYFUNCTION("""COMPUTED_VALUE"""),33741.0)</f>
        <v>33741</v>
      </c>
      <c r="S1050" s="146" t="str">
        <f>IFERROR(__xludf.DUMMYFUNCTION("""COMPUTED_VALUE"""),"086-923-9655")</f>
        <v>086-923-9655</v>
      </c>
      <c r="T1050" s="147">
        <f>IFERROR(__xludf.DUMMYFUNCTION("""COMPUTED_VALUE"""),1.100701522451E12)</f>
        <v>1100701522451</v>
      </c>
      <c r="U1050" t="str">
        <f>IFERROR(__xludf.DUMMYFUNCTION("""COMPUTED_VALUE"""),"AC5081515")</f>
        <v>AC5081515</v>
      </c>
      <c r="V1050" s="148">
        <f>IFERROR(__xludf.DUMMYFUNCTION("""COMPUTED_VALUE"""),45083.0)</f>
        <v>45083</v>
      </c>
      <c r="W1050" s="148">
        <f>IFERROR(__xludf.DUMMYFUNCTION("""COMPUTED_VALUE"""),48735.0)</f>
        <v>48735</v>
      </c>
      <c r="X1050" s="149">
        <f>IFERROR(__xludf.DUMMYFUNCTION("""COMPUTED_VALUE"""),48553.0)</f>
        <v>48553</v>
      </c>
      <c r="Y1050" t="str">
        <f>IFERROR(__xludf.DUMMYFUNCTION("""COMPUTED_VALUE"""),"ปลอดภัย")</f>
        <v>ปลอดภัย</v>
      </c>
      <c r="Z1050" t="str">
        <f>IFERROR(__xludf.DUMMYFUNCTION("""COMPUTED_VALUE"""),"Bangkok")</f>
        <v>Bangkok</v>
      </c>
      <c r="AA1050" t="str">
        <f>IFERROR(__xludf.DUMMYFUNCTION("""COMPUTED_VALUE"""),"Bangkok")</f>
        <v>Bangkok</v>
      </c>
      <c r="AB1050" s="145" t="str">
        <f>IFERROR(__xludf.DUMMYFUNCTION("""COMPUTED_VALUE"""),"094-474-5354")</f>
        <v>094-474-5354</v>
      </c>
      <c r="AC1050" t="str">
        <f>IFERROR(__xludf.DUMMYFUNCTION("""COMPUTED_VALUE"""),"พรทิพย์ ทาทอง Friend")</f>
        <v>พรทิพย์ ทาทอง Friend</v>
      </c>
      <c r="AD1050" t="str">
        <f>IFERROR(__xludf.DUMMYFUNCTION("""COMPUTED_VALUE"""),"ratteerad@airasia.com")</f>
        <v>ratteerad@airasia.com</v>
      </c>
    </row>
    <row r="1051">
      <c r="A1051" s="142">
        <f>IFERROR(__xludf.DUMMYFUNCTION("""COMPUTED_VALUE"""),103.0)</f>
        <v>103</v>
      </c>
      <c r="C1051">
        <f>IFERROR(__xludf.DUMMYFUNCTION("""COMPUTED_VALUE"""),1010843.0)</f>
        <v>1010843</v>
      </c>
      <c r="D1051" t="str">
        <f>IFERROR(__xludf.DUMMYFUNCTION("""COMPUTED_VALUE"""),"Ms.")</f>
        <v>Ms.</v>
      </c>
      <c r="E1051" t="str">
        <f>IFERROR(__xludf.DUMMYFUNCTION("""COMPUTED_VALUE"""),"Montakant")</f>
        <v>Montakant</v>
      </c>
      <c r="F1051" t="str">
        <f>IFERROR(__xludf.DUMMYFUNCTION("""COMPUTED_VALUE"""),"Jampathong")</f>
        <v>Jampathong</v>
      </c>
      <c r="G1051" t="str">
        <f>IFERROR(__xludf.DUMMYFUNCTION("""COMPUTED_VALUE"""),"Montakant Jampathong")</f>
        <v>Montakant Jampathong</v>
      </c>
      <c r="H1051" t="str">
        <f>IFERROR(__xludf.DUMMYFUNCTION("""COMPUTED_VALUE"""),"นางสาว")</f>
        <v>นางสาว</v>
      </c>
      <c r="I1051" t="str">
        <f>IFERROR(__xludf.DUMMYFUNCTION("""COMPUTED_VALUE"""),"มนตกานต์")</f>
        <v>มนตกานต์</v>
      </c>
      <c r="J1051" t="str">
        <f>IFERROR(__xludf.DUMMYFUNCTION("""COMPUTED_VALUE"""),"จำปาทอง")</f>
        <v>จำปาทอง</v>
      </c>
      <c r="K1051" t="str">
        <f>IFERROR(__xludf.DUMMYFUNCTION("""COMPUTED_VALUE"""),"มนตกานต์ จำปาทอง")</f>
        <v>มนตกานต์ จำปาทอง</v>
      </c>
      <c r="L1051" t="str">
        <f>IFERROR(__xludf.DUMMYFUNCTION("""COMPUTED_VALUE"""),"Danie / ดานี่")</f>
        <v>Danie / ดานี่</v>
      </c>
      <c r="M1051" t="str">
        <f>IFERROR(__xludf.DUMMYFUNCTION("""COMPUTED_VALUE"""),"Cabin Crew")</f>
        <v>Cabin Crew</v>
      </c>
      <c r="N1051" t="str">
        <f>IFERROR(__xludf.DUMMYFUNCTION("""COMPUTED_VALUE"""),"DMK")</f>
        <v>DMK</v>
      </c>
      <c r="O1051" s="145" t="str">
        <f>IFERROR(__xludf.DUMMYFUNCTION("""COMPUTED_VALUE"""),"Um Home")</f>
        <v>Um Home</v>
      </c>
      <c r="P1051" t="str">
        <f>IFERROR(__xludf.DUMMYFUNCTION("""COMPUTED_VALUE"""),"Active")</f>
        <v>Active</v>
      </c>
      <c r="R1051" s="159">
        <f>IFERROR(__xludf.DUMMYFUNCTION("""COMPUTED_VALUE"""),33858.0)</f>
        <v>33858</v>
      </c>
      <c r="S1051" s="146" t="str">
        <f>IFERROR(__xludf.DUMMYFUNCTION("""COMPUTED_VALUE"""),"061-297-8936")</f>
        <v>061-297-8936</v>
      </c>
      <c r="T1051" s="147">
        <f>IFERROR(__xludf.DUMMYFUNCTION("""COMPUTED_VALUE"""),1.199900344321E12)</f>
        <v>1199900344321</v>
      </c>
      <c r="U1051" t="str">
        <f>IFERROR(__xludf.DUMMYFUNCTION("""COMPUTED_VALUE"""),"AC2825396")</f>
        <v>AC2825396</v>
      </c>
      <c r="V1051" s="148">
        <f>IFERROR(__xludf.DUMMYFUNCTION("""COMPUTED_VALUE"""),44518.0)</f>
        <v>44518</v>
      </c>
      <c r="W1051" s="148">
        <f>IFERROR(__xludf.DUMMYFUNCTION("""COMPUTED_VALUE"""),48169.0)</f>
        <v>48169</v>
      </c>
      <c r="X1051" s="149">
        <f>IFERROR(__xludf.DUMMYFUNCTION("""COMPUTED_VALUE"""),47985.0)</f>
        <v>47985</v>
      </c>
      <c r="Y1051" t="str">
        <f>IFERROR(__xludf.DUMMYFUNCTION("""COMPUTED_VALUE"""),"ปลอดภัย")</f>
        <v>ปลอดภัย</v>
      </c>
      <c r="Z1051" t="str">
        <f>IFERROR(__xludf.DUMMYFUNCTION("""COMPUTED_VALUE"""),"Saraburi Province")</f>
        <v>Saraburi Province</v>
      </c>
      <c r="AA1051" t="str">
        <f>IFERROR(__xludf.DUMMYFUNCTION("""COMPUTED_VALUE"""),"Bangkok")</f>
        <v>Bangkok</v>
      </c>
      <c r="AB1051" s="145" t="str">
        <f>IFERROR(__xludf.DUMMYFUNCTION("""COMPUTED_VALUE"""),"080-126-2884")</f>
        <v>080-126-2884</v>
      </c>
      <c r="AC1051" t="str">
        <f>IFERROR(__xludf.DUMMYFUNCTION("""COMPUTED_VALUE"""),"นายกนกพล กูรแก้ว Friend")</f>
        <v>นายกนกพล กูรแก้ว Friend</v>
      </c>
      <c r="AD1051" t="str">
        <f>IFERROR(__xludf.DUMMYFUNCTION("""COMPUTED_VALUE"""),"montakantj@airasia.com")</f>
        <v>montakantj@airasia.com</v>
      </c>
    </row>
    <row r="1052">
      <c r="A1052" s="142">
        <f>IFERROR(__xludf.DUMMYFUNCTION("""COMPUTED_VALUE"""),103.0)</f>
        <v>103</v>
      </c>
      <c r="C1052">
        <f>IFERROR(__xludf.DUMMYFUNCTION("""COMPUTED_VALUE"""),1026187.0)</f>
        <v>1026187</v>
      </c>
      <c r="D1052" t="str">
        <f>IFERROR(__xludf.DUMMYFUNCTION("""COMPUTED_VALUE"""),"Ms.")</f>
        <v>Ms.</v>
      </c>
      <c r="E1052" t="str">
        <f>IFERROR(__xludf.DUMMYFUNCTION("""COMPUTED_VALUE"""),"Nutnicha")</f>
        <v>Nutnicha</v>
      </c>
      <c r="F1052" t="str">
        <f>IFERROR(__xludf.DUMMYFUNCTION("""COMPUTED_VALUE"""),"Pitsuwan")</f>
        <v>Pitsuwan</v>
      </c>
      <c r="G1052" t="str">
        <f>IFERROR(__xludf.DUMMYFUNCTION("""COMPUTED_VALUE"""),"Nutnicha Pitsuwan")</f>
        <v>Nutnicha Pitsuwan</v>
      </c>
      <c r="H1052" t="str">
        <f>IFERROR(__xludf.DUMMYFUNCTION("""COMPUTED_VALUE"""),"นางสาว")</f>
        <v>นางสาว</v>
      </c>
      <c r="I1052" t="str">
        <f>IFERROR(__xludf.DUMMYFUNCTION("""COMPUTED_VALUE"""),"ณัฐณิชา")</f>
        <v>ณัฐณิชา</v>
      </c>
      <c r="J1052" t="str">
        <f>IFERROR(__xludf.DUMMYFUNCTION("""COMPUTED_VALUE"""),"พิศสุวรรณ์")</f>
        <v>พิศสุวรรณ์</v>
      </c>
      <c r="K1052" t="str">
        <f>IFERROR(__xludf.DUMMYFUNCTION("""COMPUTED_VALUE"""),"ณัฐณิชา พิศสุวรรณ์")</f>
        <v>ณัฐณิชา พิศสุวรรณ์</v>
      </c>
      <c r="L1052" t="str">
        <f>IFERROR(__xludf.DUMMYFUNCTION("""COMPUTED_VALUE"""),"Nicha / ณิชา")</f>
        <v>Nicha / ณิชา</v>
      </c>
      <c r="M1052" t="str">
        <f>IFERROR(__xludf.DUMMYFUNCTION("""COMPUTED_VALUE"""),"Cabin Crew")</f>
        <v>Cabin Crew</v>
      </c>
      <c r="N1052" t="str">
        <f>IFERROR(__xludf.DUMMYFUNCTION("""COMPUTED_VALUE"""),"DMK")</f>
        <v>DMK</v>
      </c>
      <c r="O1052" s="145" t="str">
        <f>IFERROR(__xludf.DUMMYFUNCTION("""COMPUTED_VALUE"""),"Nhui Home")</f>
        <v>Nhui Home</v>
      </c>
      <c r="P1052" t="str">
        <f>IFERROR(__xludf.DUMMYFUNCTION("""COMPUTED_VALUE"""),"Active")</f>
        <v>Active</v>
      </c>
      <c r="R1052" s="159">
        <f>IFERROR(__xludf.DUMMYFUNCTION("""COMPUTED_VALUE"""),34971.0)</f>
        <v>34971</v>
      </c>
      <c r="S1052" s="146">
        <f>IFERROR(__xludf.DUMMYFUNCTION("""COMPUTED_VALUE"""),9.23915159E8)</f>
        <v>923915159</v>
      </c>
      <c r="T1052" s="147">
        <f>IFERROR(__xludf.DUMMYFUNCTION("""COMPUTED_VALUE"""),1.909800972897E12)</f>
        <v>1909800972897</v>
      </c>
      <c r="U1052" t="str">
        <f>IFERROR(__xludf.DUMMYFUNCTION("""COMPUTED_VALUE"""),"AC6229744")</f>
        <v>AC6229744</v>
      </c>
      <c r="V1052" s="148">
        <f>IFERROR(__xludf.DUMMYFUNCTION("""COMPUTED_VALUE"""),45301.0)</f>
        <v>45301</v>
      </c>
      <c r="W1052" s="148">
        <f>IFERROR(__xludf.DUMMYFUNCTION("""COMPUTED_VALUE"""),48953.0)</f>
        <v>48953</v>
      </c>
      <c r="X1052" s="149">
        <f>IFERROR(__xludf.DUMMYFUNCTION("""COMPUTED_VALUE"""),48769.0)</f>
        <v>48769</v>
      </c>
      <c r="Y1052" t="str">
        <f>IFERROR(__xludf.DUMMYFUNCTION("""COMPUTED_VALUE"""),"ปลอดภัย")</f>
        <v>ปลอดภัย</v>
      </c>
      <c r="Z1052" t="str">
        <f>IFERROR(__xludf.DUMMYFUNCTION("""COMPUTED_VALUE"""),"Songkhla Province")</f>
        <v>Songkhla Province</v>
      </c>
      <c r="AA1052" t="str">
        <f>IFERROR(__xludf.DUMMYFUNCTION("""COMPUTED_VALUE"""),"Bangkok")</f>
        <v>Bangkok</v>
      </c>
      <c r="AB1052" s="145" t="str">
        <f>IFERROR(__xludf.DUMMYFUNCTION("""COMPUTED_VALUE"""),"0949647445")</f>
        <v>0949647445</v>
      </c>
      <c r="AC1052" t="str">
        <f>IFERROR(__xludf.DUMMYFUNCTION("""COMPUTED_VALUE"""),"นพรัตน์ พิศสุวรรณ์ Mother")</f>
        <v>นพรัตน์ พิศสุวรรณ์ Mother</v>
      </c>
      <c r="AD1052" t="str">
        <f>IFERROR(__xludf.DUMMYFUNCTION("""COMPUTED_VALUE"""),"nutnichapitsuwan@airasia.com")</f>
        <v>nutnichapitsuwan@airasia.com</v>
      </c>
    </row>
    <row r="1053">
      <c r="A1053" s="142">
        <f>IFERROR(__xludf.DUMMYFUNCTION("""COMPUTED_VALUE"""),103.0)</f>
        <v>103</v>
      </c>
      <c r="C1053">
        <f>IFERROR(__xludf.DUMMYFUNCTION("""COMPUTED_VALUE"""),1029036.0)</f>
        <v>1029036</v>
      </c>
      <c r="D1053" t="str">
        <f>IFERROR(__xludf.DUMMYFUNCTION("""COMPUTED_VALUE"""),"Ms.")</f>
        <v>Ms.</v>
      </c>
      <c r="E1053" t="str">
        <f>IFERROR(__xludf.DUMMYFUNCTION("""COMPUTED_VALUE"""),"Sornsawan")</f>
        <v>Sornsawan</v>
      </c>
      <c r="F1053" t="str">
        <f>IFERROR(__xludf.DUMMYFUNCTION("""COMPUTED_VALUE"""),"Meksung")</f>
        <v>Meksung</v>
      </c>
      <c r="G1053" t="str">
        <f>IFERROR(__xludf.DUMMYFUNCTION("""COMPUTED_VALUE"""),"Sornsawan Meksung")</f>
        <v>Sornsawan Meksung</v>
      </c>
      <c r="H1053" t="str">
        <f>IFERROR(__xludf.DUMMYFUNCTION("""COMPUTED_VALUE"""),"นางสาว")</f>
        <v>นางสาว</v>
      </c>
      <c r="I1053" t="str">
        <f>IFERROR(__xludf.DUMMYFUNCTION("""COMPUTED_VALUE"""),"ศรสวรรค์")</f>
        <v>ศรสวรรค์</v>
      </c>
      <c r="J1053" t="str">
        <f>IFERROR(__xludf.DUMMYFUNCTION("""COMPUTED_VALUE"""),"เมฆสังข์")</f>
        <v>เมฆสังข์</v>
      </c>
      <c r="K1053" t="str">
        <f>IFERROR(__xludf.DUMMYFUNCTION("""COMPUTED_VALUE"""),"ศรสวรรค์ เมฆสังข์")</f>
        <v>ศรสวรรค์ เมฆสังข์</v>
      </c>
      <c r="L1053" t="str">
        <f>IFERROR(__xludf.DUMMYFUNCTION("""COMPUTED_VALUE"""),"แป้ง")</f>
        <v>แป้ง</v>
      </c>
      <c r="M1053" t="str">
        <f>IFERROR(__xludf.DUMMYFUNCTION("""COMPUTED_VALUE"""),"Cabin Crew")</f>
        <v>Cabin Crew</v>
      </c>
      <c r="N1053" t="str">
        <f>IFERROR(__xludf.DUMMYFUNCTION("""COMPUTED_VALUE"""),"DMK")</f>
        <v>DMK</v>
      </c>
      <c r="O1053" s="145" t="str">
        <f>IFERROR(__xludf.DUMMYFUNCTION("""COMPUTED_VALUE"""),"Toffy Home")</f>
        <v>Toffy Home</v>
      </c>
      <c r="P1053" t="str">
        <f>IFERROR(__xludf.DUMMYFUNCTION("""COMPUTED_VALUE"""),"Active")</f>
        <v>Active</v>
      </c>
      <c r="R1053" s="159">
        <f>IFERROR(__xludf.DUMMYFUNCTION("""COMPUTED_VALUE"""),35016.0)</f>
        <v>35016</v>
      </c>
      <c r="S1053" s="146" t="str">
        <f>IFERROR(__xludf.DUMMYFUNCTION("""COMPUTED_VALUE"""),"062-6614197")</f>
        <v>062-6614197</v>
      </c>
      <c r="T1053" s="147">
        <f>IFERROR(__xludf.DUMMYFUNCTION("""COMPUTED_VALUE"""),1.539900517265E12)</f>
        <v>1539900517265</v>
      </c>
      <c r="U1053" t="str">
        <f>IFERROR(__xludf.DUMMYFUNCTION("""COMPUTED_VALUE"""),"AC4984364")</f>
        <v>AC4984364</v>
      </c>
      <c r="V1053" s="148">
        <f>IFERROR(__xludf.DUMMYFUNCTION("""COMPUTED_VALUE"""),45083.0)</f>
        <v>45083</v>
      </c>
      <c r="W1053" s="148">
        <f>IFERROR(__xludf.DUMMYFUNCTION("""COMPUTED_VALUE"""),46909.0)</f>
        <v>46909</v>
      </c>
      <c r="X1053" s="149">
        <f>IFERROR(__xludf.DUMMYFUNCTION("""COMPUTED_VALUE"""),46726.0)</f>
        <v>46726</v>
      </c>
      <c r="Y1053" t="str">
        <f>IFERROR(__xludf.DUMMYFUNCTION("""COMPUTED_VALUE"""),"ปลอดภัย")</f>
        <v>ปลอดภัย</v>
      </c>
      <c r="Z1053" t="str">
        <f>IFERROR(__xludf.DUMMYFUNCTION("""COMPUTED_VALUE"""),"Uttaradit Province")</f>
        <v>Uttaradit Province</v>
      </c>
      <c r="AA1053" t="str">
        <f>IFERROR(__xludf.DUMMYFUNCTION("""COMPUTED_VALUE"""),"Bangkok")</f>
        <v>Bangkok</v>
      </c>
      <c r="AB1053" s="145" t="str">
        <f>IFERROR(__xludf.DUMMYFUNCTION("""COMPUTED_VALUE"""),"099-239-3899")</f>
        <v>099-239-3899</v>
      </c>
      <c r="AC1053" t="str">
        <f>IFERROR(__xludf.DUMMYFUNCTION("""COMPUTED_VALUE"""),"นายพีรพงษ์ พงษ์ภักดี Friend")</f>
        <v>นายพีรพงษ์ พงษ์ภักดี Friend</v>
      </c>
      <c r="AD1053" t="str">
        <f>IFERROR(__xludf.DUMMYFUNCTION("""COMPUTED_VALUE"""),"sornsawanmeksung@airasia.com")</f>
        <v>sornsawanmeksung@airasia.com</v>
      </c>
    </row>
    <row r="1054">
      <c r="A1054" s="142">
        <f>IFERROR(__xludf.DUMMYFUNCTION("""COMPUTED_VALUE"""),103.0)</f>
        <v>103</v>
      </c>
      <c r="C1054">
        <f>IFERROR(__xludf.DUMMYFUNCTION("""COMPUTED_VALUE"""),1027515.0)</f>
        <v>1027515</v>
      </c>
      <c r="D1054" t="str">
        <f>IFERROR(__xludf.DUMMYFUNCTION("""COMPUTED_VALUE"""),"Ms.")</f>
        <v>Ms.</v>
      </c>
      <c r="E1054" t="str">
        <f>IFERROR(__xludf.DUMMYFUNCTION("""COMPUTED_VALUE"""),"Kantaporn")</f>
        <v>Kantaporn</v>
      </c>
      <c r="F1054" t="str">
        <f>IFERROR(__xludf.DUMMYFUNCTION("""COMPUTED_VALUE"""),"Dechchu")</f>
        <v>Dechchu</v>
      </c>
      <c r="G1054" t="str">
        <f>IFERROR(__xludf.DUMMYFUNCTION("""COMPUTED_VALUE"""),"Kantaporn Dechchu")</f>
        <v>Kantaporn Dechchu</v>
      </c>
      <c r="H1054" t="str">
        <f>IFERROR(__xludf.DUMMYFUNCTION("""COMPUTED_VALUE"""),"นางสาว")</f>
        <v>นางสาว</v>
      </c>
      <c r="I1054" t="str">
        <f>IFERROR(__xludf.DUMMYFUNCTION("""COMPUTED_VALUE"""),"กันตพร")</f>
        <v>กันตพร</v>
      </c>
      <c r="J1054" t="str">
        <f>IFERROR(__xludf.DUMMYFUNCTION("""COMPUTED_VALUE"""),"เดชชู")</f>
        <v>เดชชู</v>
      </c>
      <c r="K1054" t="str">
        <f>IFERROR(__xludf.DUMMYFUNCTION("""COMPUTED_VALUE"""),"กันตพร เดชชู")</f>
        <v>กันตพร เดชชู</v>
      </c>
      <c r="L1054" t="str">
        <f>IFERROR(__xludf.DUMMYFUNCTION("""COMPUTED_VALUE"""),"กันต์")</f>
        <v>กันต์</v>
      </c>
      <c r="M1054" t="str">
        <f>IFERROR(__xludf.DUMMYFUNCTION("""COMPUTED_VALUE"""),"Cabin Crew")</f>
        <v>Cabin Crew</v>
      </c>
      <c r="N1054" t="str">
        <f>IFERROR(__xludf.DUMMYFUNCTION("""COMPUTED_VALUE"""),"DMK")</f>
        <v>DMK</v>
      </c>
      <c r="O1054" s="145" t="str">
        <f>IFERROR(__xludf.DUMMYFUNCTION("""COMPUTED_VALUE"""),"Up Home")</f>
        <v>Up Home</v>
      </c>
      <c r="P1054" t="str">
        <f>IFERROR(__xludf.DUMMYFUNCTION("""COMPUTED_VALUE"""),"Active")</f>
        <v>Active</v>
      </c>
      <c r="R1054" s="159">
        <f>IFERROR(__xludf.DUMMYFUNCTION("""COMPUTED_VALUE"""),34449.0)</f>
        <v>34449</v>
      </c>
      <c r="S1054" s="146">
        <f>IFERROR(__xludf.DUMMYFUNCTION("""COMPUTED_VALUE"""),8.97313723E8)</f>
        <v>897313723</v>
      </c>
      <c r="T1054" s="147">
        <f>IFERROR(__xludf.DUMMYFUNCTION("""COMPUTED_VALUE"""),1.939900248881E12)</f>
        <v>1939900248881</v>
      </c>
      <c r="U1054" t="str">
        <f>IFERROR(__xludf.DUMMYFUNCTION("""COMPUTED_VALUE"""),"AC3099250")</f>
        <v>AC3099250</v>
      </c>
      <c r="V1054" s="148">
        <f>IFERROR(__xludf.DUMMYFUNCTION("""COMPUTED_VALUE"""),44688.0)</f>
        <v>44688</v>
      </c>
      <c r="W1054" s="148">
        <f>IFERROR(__xludf.DUMMYFUNCTION("""COMPUTED_VALUE"""),48340.0)</f>
        <v>48340</v>
      </c>
      <c r="X1054" s="149">
        <f>IFERROR(__xludf.DUMMYFUNCTION("""COMPUTED_VALUE"""),48158.0)</f>
        <v>48158</v>
      </c>
      <c r="Y1054" t="str">
        <f>IFERROR(__xludf.DUMMYFUNCTION("""COMPUTED_VALUE"""),"ปลอดภัย")</f>
        <v>ปลอดภัย</v>
      </c>
      <c r="Z1054" t="str">
        <f>IFERROR(__xludf.DUMMYFUNCTION("""COMPUTED_VALUE"""),"Phatthalung Province")</f>
        <v>Phatthalung Province</v>
      </c>
      <c r="AA1054" t="str">
        <f>IFERROR(__xludf.DUMMYFUNCTION("""COMPUTED_VALUE"""),"Krabi")</f>
        <v>Krabi</v>
      </c>
      <c r="AB1054" s="145" t="str">
        <f>IFERROR(__xludf.DUMMYFUNCTION("""COMPUTED_VALUE"""),"0876298256")</f>
        <v>0876298256</v>
      </c>
      <c r="AC1054" t="str">
        <f>IFERROR(__xludf.DUMMYFUNCTION("""COMPUTED_VALUE"""),"นางอารีรัตน์ เดชชู Mother")</f>
        <v>นางอารีรัตน์ เดชชู Mother</v>
      </c>
      <c r="AD1054" t="str">
        <f>IFERROR(__xludf.DUMMYFUNCTION("""COMPUTED_VALUE"""),"kantaporndechchu@airasia.com")</f>
        <v>kantaporndechchu@airasia.com</v>
      </c>
    </row>
    <row r="1055">
      <c r="A1055" s="142">
        <f>IFERROR(__xludf.DUMMYFUNCTION("""COMPUTED_VALUE"""),103.0)</f>
        <v>103</v>
      </c>
      <c r="C1055">
        <f>IFERROR(__xludf.DUMMYFUNCTION("""COMPUTED_VALUE"""),1023140.0)</f>
        <v>1023140</v>
      </c>
      <c r="D1055" t="str">
        <f>IFERROR(__xludf.DUMMYFUNCTION("""COMPUTED_VALUE"""),"Mr.")</f>
        <v>Mr.</v>
      </c>
      <c r="E1055" t="str">
        <f>IFERROR(__xludf.DUMMYFUNCTION("""COMPUTED_VALUE"""),"Muhammadreeduan")</f>
        <v>Muhammadreeduan</v>
      </c>
      <c r="F1055" t="str">
        <f>IFERROR(__xludf.DUMMYFUNCTION("""COMPUTED_VALUE"""),"Madoromae")</f>
        <v>Madoromae</v>
      </c>
      <c r="G1055" t="str">
        <f>IFERROR(__xludf.DUMMYFUNCTION("""COMPUTED_VALUE"""),"Muhammadreeduan Madoromae")</f>
        <v>Muhammadreeduan Madoromae</v>
      </c>
      <c r="H1055" t="str">
        <f>IFERROR(__xludf.DUMMYFUNCTION("""COMPUTED_VALUE"""),"นาย")</f>
        <v>นาย</v>
      </c>
      <c r="I1055" t="str">
        <f>IFERROR(__xludf.DUMMYFUNCTION("""COMPUTED_VALUE"""),"มูฮัมหมัดรีดวน")</f>
        <v>มูฮัมหมัดรีดวน</v>
      </c>
      <c r="J1055" t="str">
        <f>IFERROR(__xludf.DUMMYFUNCTION("""COMPUTED_VALUE"""),"มะดอรอรแม")</f>
        <v>มะดอรอรแม</v>
      </c>
      <c r="K1055" t="str">
        <f>IFERROR(__xludf.DUMMYFUNCTION("""COMPUTED_VALUE"""),"มูฮัมหมัดรีดวน มะดอรอรแม")</f>
        <v>มูฮัมหมัดรีดวน มะดอรอรแม</v>
      </c>
      <c r="L1055" t="str">
        <f>IFERROR(__xludf.DUMMYFUNCTION("""COMPUTED_VALUE"""),"วัน")</f>
        <v>วัน</v>
      </c>
      <c r="M1055" t="str">
        <f>IFERROR(__xludf.DUMMYFUNCTION("""COMPUTED_VALUE"""),"Cabin Crew")</f>
        <v>Cabin Crew</v>
      </c>
      <c r="N1055" t="str">
        <f>IFERROR(__xludf.DUMMYFUNCTION("""COMPUTED_VALUE"""),"DMK")</f>
        <v>DMK</v>
      </c>
      <c r="O1055" s="145" t="str">
        <f>IFERROR(__xludf.DUMMYFUNCTION("""COMPUTED_VALUE"""),"Namfon Home")</f>
        <v>Namfon Home</v>
      </c>
      <c r="P1055" t="str">
        <f>IFERROR(__xludf.DUMMYFUNCTION("""COMPUTED_VALUE"""),"Active")</f>
        <v>Active</v>
      </c>
      <c r="R1055" s="159">
        <f>IFERROR(__xludf.DUMMYFUNCTION("""COMPUTED_VALUE"""),34467.0)</f>
        <v>34467</v>
      </c>
      <c r="S1055" s="146" t="str">
        <f>IFERROR(__xludf.DUMMYFUNCTION("""COMPUTED_VALUE"""),"088-758-6920")</f>
        <v>088-758-6920</v>
      </c>
      <c r="T1055" s="147">
        <f>IFERROR(__xludf.DUMMYFUNCTION("""COMPUTED_VALUE"""),1.969900189302E12)</f>
        <v>1969900189302</v>
      </c>
      <c r="U1055" t="str">
        <f>IFERROR(__xludf.DUMMYFUNCTION("""COMPUTED_VALUE"""),"AD0445483")</f>
        <v>AD0445483</v>
      </c>
      <c r="V1055" s="148">
        <f>IFERROR(__xludf.DUMMYFUNCTION("""COMPUTED_VALUE"""),44876.0)</f>
        <v>44876</v>
      </c>
      <c r="W1055" s="148">
        <f>IFERROR(__xludf.DUMMYFUNCTION("""COMPUTED_VALUE"""),48528.0)</f>
        <v>48528</v>
      </c>
      <c r="X1055" s="149">
        <f>IFERROR(__xludf.DUMMYFUNCTION("""COMPUTED_VALUE"""),48344.0)</f>
        <v>48344</v>
      </c>
      <c r="Y1055" t="str">
        <f>IFERROR(__xludf.DUMMYFUNCTION("""COMPUTED_VALUE"""),"ปลอดภัย")</f>
        <v>ปลอดภัย</v>
      </c>
      <c r="Z1055" t="str">
        <f>IFERROR(__xludf.DUMMYFUNCTION("""COMPUTED_VALUE"""),"Narathiwat Province")</f>
        <v>Narathiwat Province</v>
      </c>
      <c r="AA1055" t="str">
        <f>IFERROR(__xludf.DUMMYFUNCTION("""COMPUTED_VALUE"""),"Narathiwat")</f>
        <v>Narathiwat</v>
      </c>
      <c r="AB1055" s="145" t="str">
        <f>IFERROR(__xludf.DUMMYFUNCTION("""COMPUTED_VALUE"""),"0612058383")</f>
        <v>0612058383</v>
      </c>
      <c r="AC1055" t="str">
        <f>IFERROR(__xludf.DUMMYFUNCTION("""COMPUTED_VALUE"""),"นางเพ็ญวิภา แวยูโซะ Mother")</f>
        <v>นางเพ็ญวิภา แวยูโซะ Mother</v>
      </c>
      <c r="AD1055" t="str">
        <f>IFERROR(__xludf.DUMMYFUNCTION("""COMPUTED_VALUE"""),"muhammadreeduanmado@airasia.com")</f>
        <v>muhammadreeduanmado@airasia.com</v>
      </c>
    </row>
    <row r="1056">
      <c r="A1056" s="142">
        <f>IFERROR(__xludf.DUMMYFUNCTION("""COMPUTED_VALUE"""),103.0)</f>
        <v>103</v>
      </c>
      <c r="C1056">
        <f>IFERROR(__xludf.DUMMYFUNCTION("""COMPUTED_VALUE"""),1012236.0)</f>
        <v>1012236</v>
      </c>
      <c r="D1056" t="str">
        <f>IFERROR(__xludf.DUMMYFUNCTION("""COMPUTED_VALUE"""),"Mr.")</f>
        <v>Mr.</v>
      </c>
      <c r="E1056" t="str">
        <f>IFERROR(__xludf.DUMMYFUNCTION("""COMPUTED_VALUE"""),"Anucha")</f>
        <v>Anucha</v>
      </c>
      <c r="F1056" t="str">
        <f>IFERROR(__xludf.DUMMYFUNCTION("""COMPUTED_VALUE"""),"Panyachai")</f>
        <v>Panyachai</v>
      </c>
      <c r="G1056" t="str">
        <f>IFERROR(__xludf.DUMMYFUNCTION("""COMPUTED_VALUE"""),"Anucha Panyachai")</f>
        <v>Anucha Panyachai</v>
      </c>
      <c r="H1056" t="str">
        <f>IFERROR(__xludf.DUMMYFUNCTION("""COMPUTED_VALUE"""),"นาย")</f>
        <v>นาย</v>
      </c>
      <c r="I1056" t="str">
        <f>IFERROR(__xludf.DUMMYFUNCTION("""COMPUTED_VALUE"""),"อนุชา")</f>
        <v>อนุชา</v>
      </c>
      <c r="J1056" t="str">
        <f>IFERROR(__xludf.DUMMYFUNCTION("""COMPUTED_VALUE"""),"ปัญญาชัย")</f>
        <v>ปัญญาชัย</v>
      </c>
      <c r="K1056" t="str">
        <f>IFERROR(__xludf.DUMMYFUNCTION("""COMPUTED_VALUE"""),"อนุชา ปัญญาชัย")</f>
        <v>อนุชา ปัญญาชัย</v>
      </c>
      <c r="L1056" t="str">
        <f>IFERROR(__xludf.DUMMYFUNCTION("""COMPUTED_VALUE"""),"Bank / แบงค์")</f>
        <v>Bank / แบงค์</v>
      </c>
      <c r="M1056" t="str">
        <f>IFERROR(__xludf.DUMMYFUNCTION("""COMPUTED_VALUE"""),"Cabin Crew")</f>
        <v>Cabin Crew</v>
      </c>
      <c r="N1056" t="str">
        <f>IFERROR(__xludf.DUMMYFUNCTION("""COMPUTED_VALUE"""),"DMK")</f>
        <v>DMK</v>
      </c>
      <c r="O1056" s="145" t="str">
        <f>IFERROR(__xludf.DUMMYFUNCTION("""COMPUTED_VALUE"""),"Namfon Home")</f>
        <v>Namfon Home</v>
      </c>
      <c r="P1056" t="str">
        <f>IFERROR(__xludf.DUMMYFUNCTION("""COMPUTED_VALUE"""),"Active")</f>
        <v>Active</v>
      </c>
      <c r="R1056" s="159">
        <f>IFERROR(__xludf.DUMMYFUNCTION("""COMPUTED_VALUE"""),34053.0)</f>
        <v>34053</v>
      </c>
      <c r="S1056" s="146">
        <f>IFERROR(__xludf.DUMMYFUNCTION("""COMPUTED_VALUE"""),8.21876656E8)</f>
        <v>821876656</v>
      </c>
      <c r="T1056" s="147">
        <f>IFERROR(__xludf.DUMMYFUNCTION("""COMPUTED_VALUE"""),1.500900166545E12)</f>
        <v>1500900166545</v>
      </c>
      <c r="U1056" t="str">
        <f>IFERROR(__xludf.DUMMYFUNCTION("""COMPUTED_VALUE"""),"AC3626528")</f>
        <v>AC3626528</v>
      </c>
      <c r="V1056" s="148">
        <f>IFERROR(__xludf.DUMMYFUNCTION("""COMPUTED_VALUE"""),44761.0)</f>
        <v>44761</v>
      </c>
      <c r="W1056" s="148">
        <f>IFERROR(__xludf.DUMMYFUNCTION("""COMPUTED_VALUE"""),48413.0)</f>
        <v>48413</v>
      </c>
      <c r="X1056" s="149">
        <f>IFERROR(__xludf.DUMMYFUNCTION("""COMPUTED_VALUE"""),48231.0)</f>
        <v>48231</v>
      </c>
      <c r="Y1056" t="str">
        <f>IFERROR(__xludf.DUMMYFUNCTION("""COMPUTED_VALUE"""),"ปลอดภัย")</f>
        <v>ปลอดภัย</v>
      </c>
      <c r="Z1056" t="str">
        <f>IFERROR(__xludf.DUMMYFUNCTION("""COMPUTED_VALUE"""),"Chiang Mai Province")</f>
        <v>Chiang Mai Province</v>
      </c>
      <c r="AA1056" t="str">
        <f>IFERROR(__xludf.DUMMYFUNCTION("""COMPUTED_VALUE"""),"Bangkok")</f>
        <v>Bangkok</v>
      </c>
      <c r="AB1056" s="145" t="str">
        <f>IFERROR(__xludf.DUMMYFUNCTION("""COMPUTED_VALUE"""),"0856222130")</f>
        <v>0856222130</v>
      </c>
      <c r="AC1056" t="str">
        <f>IFERROR(__xludf.DUMMYFUNCTION("""COMPUTED_VALUE"""),"นางสาวเอมมิกา ปัญญาชัย Sister")</f>
        <v>นางสาวเอมมิกา ปัญญาชัย Sister</v>
      </c>
      <c r="AD1056" t="str">
        <f>IFERROR(__xludf.DUMMYFUNCTION("""COMPUTED_VALUE"""),"anuchay@airasia.com")</f>
        <v>anuchay@airasia.com</v>
      </c>
    </row>
    <row r="1057">
      <c r="A1057" s="142">
        <f>IFERROR(__xludf.DUMMYFUNCTION("""COMPUTED_VALUE"""),103.0)</f>
        <v>103</v>
      </c>
      <c r="C1057">
        <f>IFERROR(__xludf.DUMMYFUNCTION("""COMPUTED_VALUE"""),1025144.0)</f>
        <v>1025144</v>
      </c>
      <c r="D1057" t="str">
        <f>IFERROR(__xludf.DUMMYFUNCTION("""COMPUTED_VALUE"""),"Ms.")</f>
        <v>Ms.</v>
      </c>
      <c r="E1057" t="str">
        <f>IFERROR(__xludf.DUMMYFUNCTION("""COMPUTED_VALUE"""),"Maythawee")</f>
        <v>Maythawee</v>
      </c>
      <c r="F1057" t="str">
        <f>IFERROR(__xludf.DUMMYFUNCTION("""COMPUTED_VALUE"""),"Krabuansri")</f>
        <v>Krabuansri</v>
      </c>
      <c r="G1057" t="str">
        <f>IFERROR(__xludf.DUMMYFUNCTION("""COMPUTED_VALUE"""),"Maythawee Krabuansri")</f>
        <v>Maythawee Krabuansri</v>
      </c>
      <c r="H1057" t="str">
        <f>IFERROR(__xludf.DUMMYFUNCTION("""COMPUTED_VALUE"""),"นางสาว")</f>
        <v>นางสาว</v>
      </c>
      <c r="I1057" t="str">
        <f>IFERROR(__xludf.DUMMYFUNCTION("""COMPUTED_VALUE"""),"เมธาวี")</f>
        <v>เมธาวี</v>
      </c>
      <c r="J1057" t="str">
        <f>IFERROR(__xludf.DUMMYFUNCTION("""COMPUTED_VALUE"""),"กระบวนศรี")</f>
        <v>กระบวนศรี</v>
      </c>
      <c r="K1057" t="str">
        <f>IFERROR(__xludf.DUMMYFUNCTION("""COMPUTED_VALUE"""),"เมธาวี กระบวนศรี")</f>
        <v>เมธาวี กระบวนศรี</v>
      </c>
      <c r="L1057" t="str">
        <f>IFERROR(__xludf.DUMMYFUNCTION("""COMPUTED_VALUE"""),"Mayya / เมญ่า")</f>
        <v>Mayya / เมญ่า</v>
      </c>
      <c r="M1057" t="str">
        <f>IFERROR(__xludf.DUMMYFUNCTION("""COMPUTED_VALUE"""),"Cabin Crew")</f>
        <v>Cabin Crew</v>
      </c>
      <c r="N1057" t="str">
        <f>IFERROR(__xludf.DUMMYFUNCTION("""COMPUTED_VALUE"""),"DMK")</f>
        <v>DMK</v>
      </c>
      <c r="O1057" s="145" t="str">
        <f>IFERROR(__xludf.DUMMYFUNCTION("""COMPUTED_VALUE"""),"Kor Home")</f>
        <v>Kor Home</v>
      </c>
      <c r="P1057" t="str">
        <f>IFERROR(__xludf.DUMMYFUNCTION("""COMPUTED_VALUE"""),"Active")</f>
        <v>Active</v>
      </c>
      <c r="R1057" s="159">
        <f>IFERROR(__xludf.DUMMYFUNCTION("""COMPUTED_VALUE"""),33685.0)</f>
        <v>33685</v>
      </c>
      <c r="S1057" s="146">
        <f>IFERROR(__xludf.DUMMYFUNCTION("""COMPUTED_VALUE"""),9.74239165E8)</f>
        <v>974239165</v>
      </c>
      <c r="T1057" s="147">
        <f>IFERROR(__xludf.DUMMYFUNCTION("""COMPUTED_VALUE"""),1.101500577569E12)</f>
        <v>1101500577569</v>
      </c>
      <c r="U1057" t="str">
        <f>IFERROR(__xludf.DUMMYFUNCTION("""COMPUTED_VALUE"""),"AC4203336")</f>
        <v>AC4203336</v>
      </c>
      <c r="V1057" s="148">
        <f>IFERROR(__xludf.DUMMYFUNCTION("""COMPUTED_VALUE"""),44893.0)</f>
        <v>44893</v>
      </c>
      <c r="W1057" s="148">
        <f>IFERROR(__xludf.DUMMYFUNCTION("""COMPUTED_VALUE"""),48545.0)</f>
        <v>48545</v>
      </c>
      <c r="X1057" s="149">
        <f>IFERROR(__xludf.DUMMYFUNCTION("""COMPUTED_VALUE"""),48361.0)</f>
        <v>48361</v>
      </c>
      <c r="Y1057" t="str">
        <f>IFERROR(__xludf.DUMMYFUNCTION("""COMPUTED_VALUE"""),"ปลอดภัย")</f>
        <v>ปลอดภัย</v>
      </c>
      <c r="Z1057" t="str">
        <f>IFERROR(__xludf.DUMMYFUNCTION("""COMPUTED_VALUE"""),"Bangkok")</f>
        <v>Bangkok</v>
      </c>
      <c r="AA1057" t="str">
        <f>IFERROR(__xludf.DUMMYFUNCTION("""COMPUTED_VALUE"""),"Bangkok")</f>
        <v>Bangkok</v>
      </c>
      <c r="AB1057" s="145" t="str">
        <f>IFERROR(__xludf.DUMMYFUNCTION("""COMPUTED_VALUE"""),"0914459164")</f>
        <v>0914459164</v>
      </c>
      <c r="AC1057" t="str">
        <f>IFERROR(__xludf.DUMMYFUNCTION("""COMPUTED_VALUE"""),"นายฐณชล วีรทัตประภา Friend")</f>
        <v>นายฐณชล วีรทัตประภา Friend</v>
      </c>
      <c r="AD1057" t="str">
        <f>IFERROR(__xludf.DUMMYFUNCTION("""COMPUTED_VALUE"""),"maythaweekrabuansri@airasia.com")</f>
        <v>maythaweekrabuansri@airasia.com</v>
      </c>
    </row>
    <row r="1058">
      <c r="A1058" s="142">
        <f>IFERROR(__xludf.DUMMYFUNCTION("""COMPUTED_VALUE"""),103.0)</f>
        <v>103</v>
      </c>
      <c r="C1058">
        <f>IFERROR(__xludf.DUMMYFUNCTION("""COMPUTED_VALUE"""),1021432.0)</f>
        <v>1021432</v>
      </c>
      <c r="D1058" t="str">
        <f>IFERROR(__xludf.DUMMYFUNCTION("""COMPUTED_VALUE"""),"Mr.")</f>
        <v>Mr.</v>
      </c>
      <c r="E1058" t="str">
        <f>IFERROR(__xludf.DUMMYFUNCTION("""COMPUTED_VALUE"""),"Nuttapong")</f>
        <v>Nuttapong</v>
      </c>
      <c r="F1058" t="str">
        <f>IFERROR(__xludf.DUMMYFUNCTION("""COMPUTED_VALUE"""),"Pumcharoen")</f>
        <v>Pumcharoen</v>
      </c>
      <c r="G1058" t="str">
        <f>IFERROR(__xludf.DUMMYFUNCTION("""COMPUTED_VALUE"""),"Nuttapong Pumcharoen")</f>
        <v>Nuttapong Pumcharoen</v>
      </c>
      <c r="H1058" t="str">
        <f>IFERROR(__xludf.DUMMYFUNCTION("""COMPUTED_VALUE"""),"นาย")</f>
        <v>นาย</v>
      </c>
      <c r="I1058" t="str">
        <f>IFERROR(__xludf.DUMMYFUNCTION("""COMPUTED_VALUE"""),"นัทพงษ์")</f>
        <v>นัทพงษ์</v>
      </c>
      <c r="J1058" t="str">
        <f>IFERROR(__xludf.DUMMYFUNCTION("""COMPUTED_VALUE"""),"พุ่มเจริญ")</f>
        <v>พุ่มเจริญ</v>
      </c>
      <c r="K1058" t="str">
        <f>IFERROR(__xludf.DUMMYFUNCTION("""COMPUTED_VALUE"""),"นัทพงษ์ พุ่มเจริญ")</f>
        <v>นัทพงษ์ พุ่มเจริญ</v>
      </c>
      <c r="L1058" t="str">
        <f>IFERROR(__xludf.DUMMYFUNCTION("""COMPUTED_VALUE"""),"Benz / เบนซ์")</f>
        <v>Benz / เบนซ์</v>
      </c>
      <c r="M1058" t="str">
        <f>IFERROR(__xludf.DUMMYFUNCTION("""COMPUTED_VALUE"""),"Cabin Crew")</f>
        <v>Cabin Crew</v>
      </c>
      <c r="N1058" t="str">
        <f>IFERROR(__xludf.DUMMYFUNCTION("""COMPUTED_VALUE"""),"DMK")</f>
        <v>DMK</v>
      </c>
      <c r="O1058" s="145" t="str">
        <f>IFERROR(__xludf.DUMMYFUNCTION("""COMPUTED_VALUE"""),"Por+ Home")</f>
        <v>Por+ Home</v>
      </c>
      <c r="P1058" t="str">
        <f>IFERROR(__xludf.DUMMYFUNCTION("""COMPUTED_VALUE"""),"Active")</f>
        <v>Active</v>
      </c>
      <c r="R1058" s="159">
        <f>IFERROR(__xludf.DUMMYFUNCTION("""COMPUTED_VALUE"""),33488.0)</f>
        <v>33488</v>
      </c>
      <c r="S1058" s="146">
        <f>IFERROR(__xludf.DUMMYFUNCTION("""COMPUTED_VALUE"""),9.80140093E8)</f>
        <v>980140093</v>
      </c>
      <c r="T1058" s="147">
        <f>IFERROR(__xludf.DUMMYFUNCTION("""COMPUTED_VALUE"""),1.103700568883E12)</f>
        <v>1103700568883</v>
      </c>
      <c r="U1058" t="str">
        <f>IFERROR(__xludf.DUMMYFUNCTION("""COMPUTED_VALUE"""),"AC5992349")</f>
        <v>AC5992349</v>
      </c>
      <c r="V1058" s="148">
        <f>IFERROR(__xludf.DUMMYFUNCTION("""COMPUTED_VALUE"""),45593.0)</f>
        <v>45593</v>
      </c>
      <c r="W1058" s="148">
        <f>IFERROR(__xludf.DUMMYFUNCTION("""COMPUTED_VALUE"""),48879.0)</f>
        <v>48879</v>
      </c>
      <c r="X1058" s="149">
        <f>IFERROR(__xludf.DUMMYFUNCTION("""COMPUTED_VALUE"""),48696.0)</f>
        <v>48696</v>
      </c>
      <c r="Y1058" t="str">
        <f>IFERROR(__xludf.DUMMYFUNCTION("""COMPUTED_VALUE"""),"ปลอดภัย")</f>
        <v>ปลอดภัย</v>
      </c>
      <c r="Z1058" t="str">
        <f>IFERROR(__xludf.DUMMYFUNCTION("""COMPUTED_VALUE"""),"Bangkok")</f>
        <v>Bangkok</v>
      </c>
      <c r="AA1058" t="str">
        <f>IFERROR(__xludf.DUMMYFUNCTION("""COMPUTED_VALUE"""),"Bangkok")</f>
        <v>Bangkok</v>
      </c>
      <c r="AB1058" s="145" t="str">
        <f>IFERROR(__xludf.DUMMYFUNCTION("""COMPUTED_VALUE"""),"0654941592")</f>
        <v>0654941592</v>
      </c>
      <c r="AC1058" t="str">
        <f>IFERROR(__xludf.DUMMYFUNCTION("""COMPUTED_VALUE"""),"นางสาว ทิวทัศน์ สัตตรัตนขจร Friend")</f>
        <v>นางสาว ทิวทัศน์ สัตตรัตนขจร Friend</v>
      </c>
      <c r="AD1058" t="str">
        <f>IFERROR(__xludf.DUMMYFUNCTION("""COMPUTED_VALUE"""),"nuttapongm@airasia.com")</f>
        <v>nuttapongm@airasia.com</v>
      </c>
    </row>
    <row r="1059">
      <c r="A1059" s="142">
        <f>IFERROR(__xludf.DUMMYFUNCTION("""COMPUTED_VALUE"""),103.0)</f>
        <v>103</v>
      </c>
      <c r="C1059">
        <f>IFERROR(__xludf.DUMMYFUNCTION("""COMPUTED_VALUE"""),1012847.0)</f>
        <v>1012847</v>
      </c>
      <c r="D1059" t="str">
        <f>IFERROR(__xludf.DUMMYFUNCTION("""COMPUTED_VALUE"""),"Ms.")</f>
        <v>Ms.</v>
      </c>
      <c r="E1059" t="str">
        <f>IFERROR(__xludf.DUMMYFUNCTION("""COMPUTED_VALUE"""),"Alisa")</f>
        <v>Alisa</v>
      </c>
      <c r="F1059" t="str">
        <f>IFERROR(__xludf.DUMMYFUNCTION("""COMPUTED_VALUE"""),"Khunta")</f>
        <v>Khunta</v>
      </c>
      <c r="G1059" t="str">
        <f>IFERROR(__xludf.DUMMYFUNCTION("""COMPUTED_VALUE"""),"Alisa Khunta")</f>
        <v>Alisa Khunta</v>
      </c>
      <c r="H1059" t="str">
        <f>IFERROR(__xludf.DUMMYFUNCTION("""COMPUTED_VALUE"""),"นางสาว")</f>
        <v>นางสาว</v>
      </c>
      <c r="I1059" t="str">
        <f>IFERROR(__xludf.DUMMYFUNCTION("""COMPUTED_VALUE"""),"อลิศา")</f>
        <v>อลิศา</v>
      </c>
      <c r="J1059" t="str">
        <f>IFERROR(__xludf.DUMMYFUNCTION("""COMPUTED_VALUE"""),"ขันธะ")</f>
        <v>ขันธะ</v>
      </c>
      <c r="K1059" t="str">
        <f>IFERROR(__xludf.DUMMYFUNCTION("""COMPUTED_VALUE"""),"อลิศา ขันธะ")</f>
        <v>อลิศา ขันธะ</v>
      </c>
      <c r="L1059" t="str">
        <f>IFERROR(__xludf.DUMMYFUNCTION("""COMPUTED_VALUE"""),"Mudmee / มัดหมี่")</f>
        <v>Mudmee / มัดหมี่</v>
      </c>
      <c r="M1059" t="str">
        <f>IFERROR(__xludf.DUMMYFUNCTION("""COMPUTED_VALUE"""),"Cabin Crew - CNX")</f>
        <v>Cabin Crew - CNX</v>
      </c>
      <c r="N1059" t="str">
        <f>IFERROR(__xludf.DUMMYFUNCTION("""COMPUTED_VALUE"""),"CNX")</f>
        <v>CNX</v>
      </c>
      <c r="O1059" s="145" t="str">
        <f>IFERROR(__xludf.DUMMYFUNCTION("""COMPUTED_VALUE"""),"Up Home")</f>
        <v>Up Home</v>
      </c>
      <c r="P1059" t="str">
        <f>IFERROR(__xludf.DUMMYFUNCTION("""COMPUTED_VALUE"""),"Active")</f>
        <v>Active</v>
      </c>
      <c r="R1059" s="159">
        <f>IFERROR(__xludf.DUMMYFUNCTION("""COMPUTED_VALUE"""),33538.0)</f>
        <v>33538</v>
      </c>
      <c r="S1059" s="146" t="str">
        <f>IFERROR(__xludf.DUMMYFUNCTION("""COMPUTED_VALUE"""),"098-923-6922")</f>
        <v>098-923-6922</v>
      </c>
      <c r="T1059" s="147">
        <f>IFERROR(__xludf.DUMMYFUNCTION("""COMPUTED_VALUE"""),1.500700129255E12)</f>
        <v>1500700129255</v>
      </c>
      <c r="U1059" t="str">
        <f>IFERROR(__xludf.DUMMYFUNCTION("""COMPUTED_VALUE"""),"AD1811724")</f>
        <v>AD1811724</v>
      </c>
      <c r="V1059" s="148">
        <f>IFERROR(__xludf.DUMMYFUNCTION("""COMPUTED_VALUE"""),45458.0)</f>
        <v>45458</v>
      </c>
      <c r="W1059" s="148">
        <f>IFERROR(__xludf.DUMMYFUNCTION("""COMPUTED_VALUE"""),49109.0)</f>
        <v>49109</v>
      </c>
      <c r="X1059" s="149">
        <f>IFERROR(__xludf.DUMMYFUNCTION("""COMPUTED_VALUE"""),48927.0)</f>
        <v>48927</v>
      </c>
      <c r="Y1059" t="str">
        <f>IFERROR(__xludf.DUMMYFUNCTION("""COMPUTED_VALUE"""),"ปลอดภัย")</f>
        <v>ปลอดภัย</v>
      </c>
      <c r="Z1059" t="str">
        <f>IFERROR(__xludf.DUMMYFUNCTION("""COMPUTED_VALUE"""),"Chiang Mai Province")</f>
        <v>Chiang Mai Province</v>
      </c>
      <c r="AA1059" t="str">
        <f>IFERROR(__xludf.DUMMYFUNCTION("""COMPUTED_VALUE"""),"Chiang Mai")</f>
        <v>Chiang Mai</v>
      </c>
      <c r="AB1059" s="145" t="str">
        <f>IFERROR(__xludf.DUMMYFUNCTION("""COMPUTED_VALUE"""),"094-830-1905")</f>
        <v>094-830-1905</v>
      </c>
      <c r="AC1059" t="str">
        <f>IFERROR(__xludf.DUMMYFUNCTION("""COMPUTED_VALUE"""),"นายไพศาล ขันธะ Father")</f>
        <v>นายไพศาล ขันธะ Father</v>
      </c>
      <c r="AD1059" t="str">
        <f>IFERROR(__xludf.DUMMYFUNCTION("""COMPUTED_VALUE"""),"alisak@airasia.com")</f>
        <v>alisak@airasia.com</v>
      </c>
    </row>
    <row r="1060">
      <c r="A1060" s="142">
        <f>IFERROR(__xludf.DUMMYFUNCTION("""COMPUTED_VALUE"""),103.0)</f>
        <v>103</v>
      </c>
      <c r="C1060">
        <f>IFERROR(__xludf.DUMMYFUNCTION("""COMPUTED_VALUE"""),1006109.0)</f>
        <v>1006109</v>
      </c>
      <c r="D1060" t="str">
        <f>IFERROR(__xludf.DUMMYFUNCTION("""COMPUTED_VALUE"""),"Ms.")</f>
        <v>Ms.</v>
      </c>
      <c r="E1060" t="str">
        <f>IFERROR(__xludf.DUMMYFUNCTION("""COMPUTED_VALUE"""),"Suthasinee")</f>
        <v>Suthasinee</v>
      </c>
      <c r="F1060" t="str">
        <f>IFERROR(__xludf.DUMMYFUNCTION("""COMPUTED_VALUE"""),"Kramsiri")</f>
        <v>Kramsiri</v>
      </c>
      <c r="G1060" t="str">
        <f>IFERROR(__xludf.DUMMYFUNCTION("""COMPUTED_VALUE"""),"Suthasinee Kramsiri")</f>
        <v>Suthasinee Kramsiri</v>
      </c>
      <c r="H1060" t="str">
        <f>IFERROR(__xludf.DUMMYFUNCTION("""COMPUTED_VALUE"""),"นางสาว")</f>
        <v>นางสาว</v>
      </c>
      <c r="I1060" t="str">
        <f>IFERROR(__xludf.DUMMYFUNCTION("""COMPUTED_VALUE"""),"สุธาสินี")</f>
        <v>สุธาสินี</v>
      </c>
      <c r="J1060" t="str">
        <f>IFERROR(__xludf.DUMMYFUNCTION("""COMPUTED_VALUE"""),"คร้ามศิริ")</f>
        <v>คร้ามศิริ</v>
      </c>
      <c r="K1060" t="str">
        <f>IFERROR(__xludf.DUMMYFUNCTION("""COMPUTED_VALUE"""),"สุธาสินี คร้ามศิริ")</f>
        <v>สุธาสินี คร้ามศิริ</v>
      </c>
      <c r="L1060" t="str">
        <f>IFERROR(__xludf.DUMMYFUNCTION("""COMPUTED_VALUE"""),"มิ้นท์")</f>
        <v>มิ้นท์</v>
      </c>
      <c r="M1060" t="str">
        <f>IFERROR(__xludf.DUMMYFUNCTION("""COMPUTED_VALUE"""),"Cabin Crew")</f>
        <v>Cabin Crew</v>
      </c>
      <c r="N1060" t="str">
        <f>IFERROR(__xludf.DUMMYFUNCTION("""COMPUTED_VALUE"""),"DMK")</f>
        <v>DMK</v>
      </c>
      <c r="O1060" s="145" t="str">
        <f>IFERROR(__xludf.DUMMYFUNCTION("""COMPUTED_VALUE"""),"Namfon Home")</f>
        <v>Namfon Home</v>
      </c>
      <c r="P1060" t="str">
        <f>IFERROR(__xludf.DUMMYFUNCTION("""COMPUTED_VALUE"""),"Active")</f>
        <v>Active</v>
      </c>
      <c r="R1060" s="159">
        <f>IFERROR(__xludf.DUMMYFUNCTION("""COMPUTED_VALUE"""),32980.0)</f>
        <v>32980</v>
      </c>
      <c r="S1060" s="146">
        <f>IFERROR(__xludf.DUMMYFUNCTION("""COMPUTED_VALUE"""),8.50763974E8)</f>
        <v>850763974</v>
      </c>
      <c r="T1060" s="147">
        <f>IFERROR(__xludf.DUMMYFUNCTION("""COMPUTED_VALUE"""),1.559900166659E12)</f>
        <v>1559900166659</v>
      </c>
      <c r="U1060" t="str">
        <f>IFERROR(__xludf.DUMMYFUNCTION("""COMPUTED_VALUE"""),"AC4372055")</f>
        <v>AC4372055</v>
      </c>
      <c r="V1060" s="148">
        <f>IFERROR(__xludf.DUMMYFUNCTION("""COMPUTED_VALUE"""),44935.0)</f>
        <v>44935</v>
      </c>
      <c r="W1060" s="150">
        <f>IFERROR(__xludf.DUMMYFUNCTION("""COMPUTED_VALUE"""),46760.0)</f>
        <v>46760</v>
      </c>
      <c r="X1060" s="149">
        <f>IFERROR(__xludf.DUMMYFUNCTION("""COMPUTED_VALUE"""),46576.0)</f>
        <v>46576</v>
      </c>
      <c r="Y1060" t="str">
        <f>IFERROR(__xludf.DUMMYFUNCTION("""COMPUTED_VALUE"""),"ปลอดภัย")</f>
        <v>ปลอดภัย</v>
      </c>
      <c r="Z1060" t="str">
        <f>IFERROR(__xludf.DUMMYFUNCTION("""COMPUTED_VALUE"""),"Nan Province")</f>
        <v>Nan Province</v>
      </c>
      <c r="AA1060" t="str">
        <f>IFERROR(__xludf.DUMMYFUNCTION("""COMPUTED_VALUE"""),"Bangkok")</f>
        <v>Bangkok</v>
      </c>
      <c r="AB1060" s="145" t="str">
        <f>IFERROR(__xludf.DUMMYFUNCTION("""COMPUTED_VALUE"""),"0822593939")</f>
        <v>0822593939</v>
      </c>
      <c r="AC1060" t="str">
        <f>IFERROR(__xludf.DUMMYFUNCTION("""COMPUTED_VALUE"""),"นาย อิทธืพงษ์ ช่วยแก้ว Brother")</f>
        <v>นาย อิทธืพงษ์ ช่วยแก้ว Brother</v>
      </c>
      <c r="AD1060" t="str">
        <f>IFERROR(__xludf.DUMMYFUNCTION("""COMPUTED_VALUE"""),"suthasinee@airasia.com")</f>
        <v>suthasinee@airasia.com</v>
      </c>
    </row>
    <row r="1061">
      <c r="A1061" s="142">
        <f>IFERROR(__xludf.DUMMYFUNCTION("""COMPUTED_VALUE"""),103.0)</f>
        <v>103</v>
      </c>
      <c r="C1061">
        <f>IFERROR(__xludf.DUMMYFUNCTION("""COMPUTED_VALUE"""),1007325.0)</f>
        <v>1007325</v>
      </c>
      <c r="D1061" t="str">
        <f>IFERROR(__xludf.DUMMYFUNCTION("""COMPUTED_VALUE"""),"Ms.")</f>
        <v>Ms.</v>
      </c>
      <c r="E1061" t="str">
        <f>IFERROR(__xludf.DUMMYFUNCTION("""COMPUTED_VALUE"""),"Supattra")</f>
        <v>Supattra</v>
      </c>
      <c r="F1061" t="str">
        <f>IFERROR(__xludf.DUMMYFUNCTION("""COMPUTED_VALUE"""),"Waswilai")</f>
        <v>Waswilai</v>
      </c>
      <c r="G1061" t="str">
        <f>IFERROR(__xludf.DUMMYFUNCTION("""COMPUTED_VALUE"""),"Supattra Waswilai")</f>
        <v>Supattra Waswilai</v>
      </c>
      <c r="H1061" t="str">
        <f>IFERROR(__xludf.DUMMYFUNCTION("""COMPUTED_VALUE"""),"นางสาว")</f>
        <v>นางสาว</v>
      </c>
      <c r="I1061" t="str">
        <f>IFERROR(__xludf.DUMMYFUNCTION("""COMPUTED_VALUE"""),"สุภัทรา")</f>
        <v>สุภัทรา</v>
      </c>
      <c r="J1061" t="str">
        <f>IFERROR(__xludf.DUMMYFUNCTION("""COMPUTED_VALUE"""),"วาสวิลัย")</f>
        <v>วาสวิลัย</v>
      </c>
      <c r="K1061" t="str">
        <f>IFERROR(__xludf.DUMMYFUNCTION("""COMPUTED_VALUE"""),"สุภัทรา วาสวิลัย")</f>
        <v>สุภัทรา วาสวิลัย</v>
      </c>
      <c r="L1061" t="str">
        <f>IFERROR(__xludf.DUMMYFUNCTION("""COMPUTED_VALUE"""),"กวาง")</f>
        <v>กวาง</v>
      </c>
      <c r="M1061" t="str">
        <f>IFERROR(__xludf.DUMMYFUNCTION("""COMPUTED_VALUE"""),"Cabin Crew - HKT")</f>
        <v>Cabin Crew - HKT</v>
      </c>
      <c r="N1061" t="str">
        <f>IFERROR(__xludf.DUMMYFUNCTION("""COMPUTED_VALUE"""),"HKT")</f>
        <v>HKT</v>
      </c>
      <c r="O1061" s="145" t="str">
        <f>IFERROR(__xludf.DUMMYFUNCTION("""COMPUTED_VALUE"""),"Kor Home")</f>
        <v>Kor Home</v>
      </c>
      <c r="P1061" t="str">
        <f>IFERROR(__xludf.DUMMYFUNCTION("""COMPUTED_VALUE"""),"Active")</f>
        <v>Active</v>
      </c>
      <c r="R1061" s="159">
        <f>IFERROR(__xludf.DUMMYFUNCTION("""COMPUTED_VALUE"""),34205.0)</f>
        <v>34205</v>
      </c>
      <c r="S1061" s="146">
        <f>IFERROR(__xludf.DUMMYFUNCTION("""COMPUTED_VALUE"""),9.94789899E8)</f>
        <v>994789899</v>
      </c>
      <c r="T1061" s="147">
        <f>IFERROR(__xludf.DUMMYFUNCTION("""COMPUTED_VALUE"""),1.839900308001E12)</f>
        <v>1839900308001</v>
      </c>
      <c r="U1061" t="str">
        <f>IFERROR(__xludf.DUMMYFUNCTION("""COMPUTED_VALUE"""),"AD33766770")</f>
        <v>AD33766770</v>
      </c>
      <c r="V1061" s="148">
        <f>IFERROR(__xludf.DUMMYFUNCTION("""COMPUTED_VALUE"""),46115.0)</f>
        <v>46115</v>
      </c>
      <c r="W1061" s="148">
        <f>IFERROR(__xludf.DUMMYFUNCTION("""COMPUTED_VALUE"""),49767.0)</f>
        <v>49767</v>
      </c>
      <c r="X1061" s="149">
        <f>IFERROR(__xludf.DUMMYFUNCTION("""COMPUTED_VALUE"""),49584.0)</f>
        <v>49584</v>
      </c>
      <c r="Y1061" t="str">
        <f>IFERROR(__xludf.DUMMYFUNCTION("""COMPUTED_VALUE"""),"ปลอดภัย")</f>
        <v>ปลอดภัย</v>
      </c>
      <c r="Z1061" t="str">
        <f>IFERROR(__xludf.DUMMYFUNCTION("""COMPUTED_VALUE"""),"Phuket Province")</f>
        <v>Phuket Province</v>
      </c>
      <c r="AA1061" t="str">
        <f>IFERROR(__xludf.DUMMYFUNCTION("""COMPUTED_VALUE"""),"Phuket")</f>
        <v>Phuket</v>
      </c>
      <c r="AB1061" s="145" t="str">
        <f>IFERROR(__xludf.DUMMYFUNCTION("""COMPUTED_VALUE"""),"0876283970")</f>
        <v>0876283970</v>
      </c>
      <c r="AC1061" t="str">
        <f>IFERROR(__xludf.DUMMYFUNCTION("""COMPUTED_VALUE"""),"นายศักรินทร์ บุญศรี Husband")</f>
        <v>นายศักรินทร์ บุญศรี Husband</v>
      </c>
      <c r="AD1061" t="str">
        <f>IFERROR(__xludf.DUMMYFUNCTION("""COMPUTED_VALUE"""),"supattraw@airasia.com")</f>
        <v>supattraw@airasia.com</v>
      </c>
    </row>
    <row r="1062">
      <c r="A1062" s="142">
        <f>IFERROR(__xludf.DUMMYFUNCTION("""COMPUTED_VALUE"""),103.0)</f>
        <v>103</v>
      </c>
      <c r="C1062">
        <f>IFERROR(__xludf.DUMMYFUNCTION("""COMPUTED_VALUE"""),1007841.0)</f>
        <v>1007841</v>
      </c>
      <c r="D1062" t="str">
        <f>IFERROR(__xludf.DUMMYFUNCTION("""COMPUTED_VALUE"""),"Ms.")</f>
        <v>Ms.</v>
      </c>
      <c r="E1062" t="str">
        <f>IFERROR(__xludf.DUMMYFUNCTION("""COMPUTED_VALUE"""),"Wisanee")</f>
        <v>Wisanee</v>
      </c>
      <c r="F1062" t="str">
        <f>IFERROR(__xludf.DUMMYFUNCTION("""COMPUTED_VALUE"""),"Nateeviriyaworakul")</f>
        <v>Nateeviriyaworakul</v>
      </c>
      <c r="G1062" t="str">
        <f>IFERROR(__xludf.DUMMYFUNCTION("""COMPUTED_VALUE"""),"Wisanee Nateeviriyaworakul")</f>
        <v>Wisanee Nateeviriyaworakul</v>
      </c>
      <c r="H1062" t="str">
        <f>IFERROR(__xludf.DUMMYFUNCTION("""COMPUTED_VALUE"""),"นางสาว")</f>
        <v>นางสาว</v>
      </c>
      <c r="I1062" t="str">
        <f>IFERROR(__xludf.DUMMYFUNCTION("""COMPUTED_VALUE"""),"วิสนี")</f>
        <v>วิสนี</v>
      </c>
      <c r="J1062" t="str">
        <f>IFERROR(__xludf.DUMMYFUNCTION("""COMPUTED_VALUE"""),"นทีวิริยะวรกุล")</f>
        <v>นทีวิริยะวรกุล</v>
      </c>
      <c r="K1062" t="str">
        <f>IFERROR(__xludf.DUMMYFUNCTION("""COMPUTED_VALUE"""),"วิสนี นทีวิริยะวรกุล")</f>
        <v>วิสนี นทีวิริยะวรกุล</v>
      </c>
      <c r="L1062" t="str">
        <f>IFERROR(__xludf.DUMMYFUNCTION("""COMPUTED_VALUE"""),"Sine /ทราย")</f>
        <v>Sine /ทราย</v>
      </c>
      <c r="M1062" t="str">
        <f>IFERROR(__xludf.DUMMYFUNCTION("""COMPUTED_VALUE"""),"Cabin Crew")</f>
        <v>Cabin Crew</v>
      </c>
      <c r="N1062" t="str">
        <f>IFERROR(__xludf.DUMMYFUNCTION("""COMPUTED_VALUE"""),"DMK")</f>
        <v>DMK</v>
      </c>
      <c r="O1062" s="145" t="str">
        <f>IFERROR(__xludf.DUMMYFUNCTION("""COMPUTED_VALUE"""),"Nhui Home")</f>
        <v>Nhui Home</v>
      </c>
      <c r="P1062" t="str">
        <f>IFERROR(__xludf.DUMMYFUNCTION("""COMPUTED_VALUE"""),"Active")</f>
        <v>Active</v>
      </c>
      <c r="R1062" s="159">
        <f>IFERROR(__xludf.DUMMYFUNCTION("""COMPUTED_VALUE"""),32949.0)</f>
        <v>32949</v>
      </c>
      <c r="S1062" s="146" t="str">
        <f>IFERROR(__xludf.DUMMYFUNCTION("""COMPUTED_VALUE"""),"083-8206247")</f>
        <v>083-8206247</v>
      </c>
      <c r="T1062" s="147">
        <f>IFERROR(__xludf.DUMMYFUNCTION("""COMPUTED_VALUE"""),1.819900089295E12)</f>
        <v>1819900089295</v>
      </c>
      <c r="U1062" t="str">
        <f>IFERROR(__xludf.DUMMYFUNCTION("""COMPUTED_VALUE"""),"AC4799993")</f>
        <v>AC4799993</v>
      </c>
      <c r="V1062" s="148">
        <f>IFERROR(__xludf.DUMMYFUNCTION("""COMPUTED_VALUE"""),45013.0)</f>
        <v>45013</v>
      </c>
      <c r="W1062" s="148">
        <f>IFERROR(__xludf.DUMMYFUNCTION("""COMPUTED_VALUE"""),48665.0)</f>
        <v>48665</v>
      </c>
      <c r="X1062" s="149">
        <f>IFERROR(__xludf.DUMMYFUNCTION("""COMPUTED_VALUE"""),48484.0)</f>
        <v>48484</v>
      </c>
      <c r="Y1062" t="str">
        <f>IFERROR(__xludf.DUMMYFUNCTION("""COMPUTED_VALUE"""),"ปลอดภัย")</f>
        <v>ปลอดภัย</v>
      </c>
      <c r="Z1062" t="str">
        <f>IFERROR(__xludf.DUMMYFUNCTION("""COMPUTED_VALUE"""),"Krabi Province")</f>
        <v>Krabi Province</v>
      </c>
      <c r="AA1062" t="str">
        <f>IFERROR(__xludf.DUMMYFUNCTION("""COMPUTED_VALUE"""),"Bangkok")</f>
        <v>Bangkok</v>
      </c>
      <c r="AB1062" s="145" t="str">
        <f>IFERROR(__xludf.DUMMYFUNCTION("""COMPUTED_VALUE"""),"083-5519009")</f>
        <v>083-5519009</v>
      </c>
      <c r="AC1062" t="str">
        <f>IFERROR(__xludf.DUMMYFUNCTION("""COMPUTED_VALUE"""),"นายฐิติกร รัตนะ Husband")</f>
        <v>นายฐิติกร รัตนะ Husband</v>
      </c>
      <c r="AD1062" t="str">
        <f>IFERROR(__xludf.DUMMYFUNCTION("""COMPUTED_VALUE"""),"wisaneen@airasia.com")</f>
        <v>wisaneen@airasia.com</v>
      </c>
    </row>
    <row r="1063">
      <c r="A1063" s="142">
        <f>IFERROR(__xludf.DUMMYFUNCTION("""COMPUTED_VALUE"""),103.0)</f>
        <v>103</v>
      </c>
      <c r="C1063">
        <f>IFERROR(__xludf.DUMMYFUNCTION("""COMPUTED_VALUE"""),1013700.0)</f>
        <v>1013700</v>
      </c>
      <c r="D1063" t="str">
        <f>IFERROR(__xludf.DUMMYFUNCTION("""COMPUTED_VALUE"""),"Mr.")</f>
        <v>Mr.</v>
      </c>
      <c r="E1063" t="str">
        <f>IFERROR(__xludf.DUMMYFUNCTION("""COMPUTED_VALUE"""),"Wittawat")</f>
        <v>Wittawat</v>
      </c>
      <c r="F1063" t="str">
        <f>IFERROR(__xludf.DUMMYFUNCTION("""COMPUTED_VALUE"""),"Indraram")</f>
        <v>Indraram</v>
      </c>
      <c r="G1063" t="str">
        <f>IFERROR(__xludf.DUMMYFUNCTION("""COMPUTED_VALUE"""),"Wittawat Indraram")</f>
        <v>Wittawat Indraram</v>
      </c>
      <c r="H1063" t="str">
        <f>IFERROR(__xludf.DUMMYFUNCTION("""COMPUTED_VALUE"""),"นาย")</f>
        <v>นาย</v>
      </c>
      <c r="I1063" t="str">
        <f>IFERROR(__xludf.DUMMYFUNCTION("""COMPUTED_VALUE"""),"วิทวัส")</f>
        <v>วิทวัส</v>
      </c>
      <c r="J1063" t="str">
        <f>IFERROR(__xludf.DUMMYFUNCTION("""COMPUTED_VALUE"""),"อินทร์อร่าม")</f>
        <v>อินทร์อร่าม</v>
      </c>
      <c r="K1063" t="str">
        <f>IFERROR(__xludf.DUMMYFUNCTION("""COMPUTED_VALUE"""),"วิทวัส อินทร์อร่าม")</f>
        <v>วิทวัส อินทร์อร่าม</v>
      </c>
      <c r="L1063" t="str">
        <f>IFERROR(__xludf.DUMMYFUNCTION("""COMPUTED_VALUE"""),"เม")</f>
        <v>เม</v>
      </c>
      <c r="M1063" t="str">
        <f>IFERROR(__xludf.DUMMYFUNCTION("""COMPUTED_VALUE"""),"Cabin Crew")</f>
        <v>Cabin Crew</v>
      </c>
      <c r="N1063" t="str">
        <f>IFERROR(__xludf.DUMMYFUNCTION("""COMPUTED_VALUE"""),"DMK")</f>
        <v>DMK</v>
      </c>
      <c r="O1063" s="145" t="str">
        <f>IFERROR(__xludf.DUMMYFUNCTION("""COMPUTED_VALUE"""),"Up Home")</f>
        <v>Up Home</v>
      </c>
      <c r="P1063" t="str">
        <f>IFERROR(__xludf.DUMMYFUNCTION("""COMPUTED_VALUE"""),"Active")</f>
        <v>Active</v>
      </c>
      <c r="R1063" s="159">
        <f>IFERROR(__xludf.DUMMYFUNCTION("""COMPUTED_VALUE"""),34471.0)</f>
        <v>34471</v>
      </c>
      <c r="S1063" s="146">
        <f>IFERROR(__xludf.DUMMYFUNCTION("""COMPUTED_VALUE"""),8.90248062E8)</f>
        <v>890248062</v>
      </c>
      <c r="T1063" s="147">
        <f>IFERROR(__xludf.DUMMYFUNCTION("""COMPUTED_VALUE"""),1.100501099872E12)</f>
        <v>1100501099872</v>
      </c>
      <c r="U1063" t="str">
        <f>IFERROR(__xludf.DUMMYFUNCTION("""COMPUTED_VALUE"""),"AC5024310")</f>
        <v>AC5024310</v>
      </c>
      <c r="V1063" s="148">
        <f>IFERROR(__xludf.DUMMYFUNCTION("""COMPUTED_VALUE"""),45068.0)</f>
        <v>45068</v>
      </c>
      <c r="W1063" s="148">
        <f>IFERROR(__xludf.DUMMYFUNCTION("""COMPUTED_VALUE"""),46894.0)</f>
        <v>46894</v>
      </c>
      <c r="X1063" s="149">
        <f>IFERROR(__xludf.DUMMYFUNCTION("""COMPUTED_VALUE"""),46712.0)</f>
        <v>46712</v>
      </c>
      <c r="Y1063" t="str">
        <f>IFERROR(__xludf.DUMMYFUNCTION("""COMPUTED_VALUE"""),"ปลอดภัย")</f>
        <v>ปลอดภัย</v>
      </c>
      <c r="Z1063" t="str">
        <f>IFERROR(__xludf.DUMMYFUNCTION("""COMPUTED_VALUE"""),"Bangkok")</f>
        <v>Bangkok</v>
      </c>
      <c r="AA1063" t="str">
        <f>IFERROR(__xludf.DUMMYFUNCTION("""COMPUTED_VALUE"""),"Bangkok")</f>
        <v>Bangkok</v>
      </c>
      <c r="AB1063" s="145" t="str">
        <f>IFERROR(__xludf.DUMMYFUNCTION("""COMPUTED_VALUE"""),"0819363291")</f>
        <v>0819363291</v>
      </c>
      <c r="AC1063" t="str">
        <f>IFERROR(__xludf.DUMMYFUNCTION("""COMPUTED_VALUE"""),"นางจำ อินทร์อร่าม Mother")</f>
        <v>นางจำ อินทร์อร่าม Mother</v>
      </c>
      <c r="AD1063" t="str">
        <f>IFERROR(__xludf.DUMMYFUNCTION("""COMPUTED_VALUE"""),"wittawati@airasia.com")</f>
        <v>wittawati@airasia.com</v>
      </c>
    </row>
    <row r="1064">
      <c r="A1064" s="142">
        <f>IFERROR(__xludf.DUMMYFUNCTION("""COMPUTED_VALUE"""),103.0)</f>
        <v>103</v>
      </c>
      <c r="C1064">
        <f>IFERROR(__xludf.DUMMYFUNCTION("""COMPUTED_VALUE"""),1009255.0)</f>
        <v>1009255</v>
      </c>
      <c r="D1064" t="str">
        <f>IFERROR(__xludf.DUMMYFUNCTION("""COMPUTED_VALUE"""),"Mr.")</f>
        <v>Mr.</v>
      </c>
      <c r="E1064" t="str">
        <f>IFERROR(__xludf.DUMMYFUNCTION("""COMPUTED_VALUE"""),"Pirachat")</f>
        <v>Pirachat</v>
      </c>
      <c r="F1064" t="str">
        <f>IFERROR(__xludf.DUMMYFUNCTION("""COMPUTED_VALUE"""),"Benjanukorn")</f>
        <v>Benjanukorn</v>
      </c>
      <c r="G1064" t="str">
        <f>IFERROR(__xludf.DUMMYFUNCTION("""COMPUTED_VALUE"""),"Pirachat Benjanukorn")</f>
        <v>Pirachat Benjanukorn</v>
      </c>
      <c r="H1064" t="str">
        <f>IFERROR(__xludf.DUMMYFUNCTION("""COMPUTED_VALUE"""),"นาย")</f>
        <v>นาย</v>
      </c>
      <c r="I1064" t="str">
        <f>IFERROR(__xludf.DUMMYFUNCTION("""COMPUTED_VALUE"""),"พิรชัช")</f>
        <v>พิรชัช</v>
      </c>
      <c r="J1064" t="str">
        <f>IFERROR(__xludf.DUMMYFUNCTION("""COMPUTED_VALUE"""),"เบญจานุกร")</f>
        <v>เบญจานุกร</v>
      </c>
      <c r="K1064" t="str">
        <f>IFERROR(__xludf.DUMMYFUNCTION("""COMPUTED_VALUE"""),"พิรชัช เบญจานุกร")</f>
        <v>พิรชัช เบญจานุกร</v>
      </c>
      <c r="L1064" t="str">
        <f>IFERROR(__xludf.DUMMYFUNCTION("""COMPUTED_VALUE"""),"เบญ")</f>
        <v>เบญ</v>
      </c>
      <c r="M1064" t="str">
        <f>IFERROR(__xludf.DUMMYFUNCTION("""COMPUTED_VALUE"""),"Cabin Crew")</f>
        <v>Cabin Crew</v>
      </c>
      <c r="N1064" t="str">
        <f>IFERROR(__xludf.DUMMYFUNCTION("""COMPUTED_VALUE"""),"DMK")</f>
        <v>DMK</v>
      </c>
      <c r="O1064" s="145" t="str">
        <f>IFERROR(__xludf.DUMMYFUNCTION("""COMPUTED_VALUE"""),"Up Home")</f>
        <v>Up Home</v>
      </c>
      <c r="P1064" t="str">
        <f>IFERROR(__xludf.DUMMYFUNCTION("""COMPUTED_VALUE"""),"Active")</f>
        <v>Active</v>
      </c>
      <c r="R1064" s="159">
        <f>IFERROR(__xludf.DUMMYFUNCTION("""COMPUTED_VALUE"""),33346.0)</f>
        <v>33346</v>
      </c>
      <c r="S1064" s="146" t="str">
        <f>IFERROR(__xludf.DUMMYFUNCTION("""COMPUTED_VALUE"""),"096-654-4446")</f>
        <v>096-654-4446</v>
      </c>
      <c r="T1064" s="147">
        <f>IFERROR(__xludf.DUMMYFUNCTION("""COMPUTED_VALUE"""),1.919900107594E12)</f>
        <v>1919900107594</v>
      </c>
      <c r="U1064" t="str">
        <f>IFERROR(__xludf.DUMMYFUNCTION("""COMPUTED_VALUE"""),"AD0755986")</f>
        <v>AD0755986</v>
      </c>
      <c r="V1064" s="148">
        <f>IFERROR(__xludf.DUMMYFUNCTION("""COMPUTED_VALUE"""),44969.0)</f>
        <v>44969</v>
      </c>
      <c r="W1064" s="148">
        <f>IFERROR(__xludf.DUMMYFUNCTION("""COMPUTED_VALUE"""),48621.0)</f>
        <v>48621</v>
      </c>
      <c r="X1064" s="149">
        <f>IFERROR(__xludf.DUMMYFUNCTION("""COMPUTED_VALUE"""),48437.0)</f>
        <v>48437</v>
      </c>
      <c r="Y1064" t="str">
        <f>IFERROR(__xludf.DUMMYFUNCTION("""COMPUTED_VALUE"""),"ปลอดภัย")</f>
        <v>ปลอดภัย</v>
      </c>
      <c r="Z1064" t="str">
        <f>IFERROR(__xludf.DUMMYFUNCTION("""COMPUTED_VALUE"""),"Satun Province")</f>
        <v>Satun Province</v>
      </c>
      <c r="AA1064" t="str">
        <f>IFERROR(__xludf.DUMMYFUNCTION("""COMPUTED_VALUE"""),"Bangkok")</f>
        <v>Bangkok</v>
      </c>
      <c r="AB1064" s="145" t="str">
        <f>IFERROR(__xludf.DUMMYFUNCTION("""COMPUTED_VALUE"""),"086-628-1550")</f>
        <v>086-628-1550</v>
      </c>
      <c r="AC1064" t="str">
        <f>IFERROR(__xludf.DUMMYFUNCTION("""COMPUTED_VALUE"""),"นายสันติ สันติเสนาะ Friend")</f>
        <v>นายสันติ สันติเสนาะ Friend</v>
      </c>
      <c r="AD1064" t="str">
        <f>IFERROR(__xludf.DUMMYFUNCTION("""COMPUTED_VALUE"""),"pirachatb@airasia.com")</f>
        <v>pirachatb@airasia.com</v>
      </c>
    </row>
    <row r="1065">
      <c r="A1065" s="142">
        <f>IFERROR(__xludf.DUMMYFUNCTION("""COMPUTED_VALUE"""),103.0)</f>
        <v>103</v>
      </c>
      <c r="C1065">
        <f>IFERROR(__xludf.DUMMYFUNCTION("""COMPUTED_VALUE"""),1005575.0)</f>
        <v>1005575</v>
      </c>
      <c r="D1065" t="str">
        <f>IFERROR(__xludf.DUMMYFUNCTION("""COMPUTED_VALUE"""),"Ms.")</f>
        <v>Ms.</v>
      </c>
      <c r="E1065" t="str">
        <f>IFERROR(__xludf.DUMMYFUNCTION("""COMPUTED_VALUE"""),"Sopan")</f>
        <v>Sopan</v>
      </c>
      <c r="F1065" t="str">
        <f>IFERROR(__xludf.DUMMYFUNCTION("""COMPUTED_VALUE"""),"Srikaew")</f>
        <v>Srikaew</v>
      </c>
      <c r="G1065" t="str">
        <f>IFERROR(__xludf.DUMMYFUNCTION("""COMPUTED_VALUE"""),"Sopan Srikaew")</f>
        <v>Sopan Srikaew</v>
      </c>
      <c r="H1065" t="str">
        <f>IFERROR(__xludf.DUMMYFUNCTION("""COMPUTED_VALUE"""),"นางสาว")</f>
        <v>นางสาว</v>
      </c>
      <c r="I1065" t="str">
        <f>IFERROR(__xludf.DUMMYFUNCTION("""COMPUTED_VALUE"""),"โสภัณ")</f>
        <v>โสภัณ</v>
      </c>
      <c r="J1065" t="str">
        <f>IFERROR(__xludf.DUMMYFUNCTION("""COMPUTED_VALUE"""),"ศรีแก้ว")</f>
        <v>ศรีแก้ว</v>
      </c>
      <c r="K1065" t="str">
        <f>IFERROR(__xludf.DUMMYFUNCTION("""COMPUTED_VALUE"""),"โสภัณ ศรีแก้ว")</f>
        <v>โสภัณ ศรีแก้ว</v>
      </c>
      <c r="L1065" t="str">
        <f>IFERROR(__xludf.DUMMYFUNCTION("""COMPUTED_VALUE"""),"นุ่น")</f>
        <v>นุ่น</v>
      </c>
      <c r="M1065" t="str">
        <f>IFERROR(__xludf.DUMMYFUNCTION("""COMPUTED_VALUE"""),"Cabin Crew")</f>
        <v>Cabin Crew</v>
      </c>
      <c r="N1065" t="str">
        <f>IFERROR(__xludf.DUMMYFUNCTION("""COMPUTED_VALUE"""),"DMK")</f>
        <v>DMK</v>
      </c>
      <c r="O1065" s="145" t="str">
        <f>IFERROR(__xludf.DUMMYFUNCTION("""COMPUTED_VALUE"""),"Por+ Home")</f>
        <v>Por+ Home</v>
      </c>
      <c r="P1065" t="str">
        <f>IFERROR(__xludf.DUMMYFUNCTION("""COMPUTED_VALUE"""),"V/LWP")</f>
        <v>V/LWP</v>
      </c>
      <c r="R1065" s="159">
        <f>IFERROR(__xludf.DUMMYFUNCTION("""COMPUTED_VALUE"""),32997.0)</f>
        <v>32997</v>
      </c>
      <c r="S1065" s="146">
        <f>IFERROR(__xludf.DUMMYFUNCTION("""COMPUTED_VALUE"""),9.57456114E8)</f>
        <v>957456114</v>
      </c>
      <c r="T1065" s="147">
        <f>IFERROR(__xludf.DUMMYFUNCTION("""COMPUTED_VALUE"""),1.199600040262E12)</f>
        <v>1199600040262</v>
      </c>
      <c r="U1065" t="str">
        <f>IFERROR(__xludf.DUMMYFUNCTION("""COMPUTED_VALUE"""),"AC2858992")</f>
        <v>AC2858992</v>
      </c>
      <c r="V1065" s="148">
        <f>IFERROR(__xludf.DUMMYFUNCTION("""COMPUTED_VALUE"""),44595.0)</f>
        <v>44595</v>
      </c>
      <c r="W1065" s="148">
        <f>IFERROR(__xludf.DUMMYFUNCTION("""COMPUTED_VALUE"""),48246.0)</f>
        <v>48246</v>
      </c>
      <c r="X1065" s="149">
        <f>IFERROR(__xludf.DUMMYFUNCTION("""COMPUTED_VALUE"""),48062.0)</f>
        <v>48062</v>
      </c>
      <c r="Y1065" t="str">
        <f>IFERROR(__xludf.DUMMYFUNCTION("""COMPUTED_VALUE"""),"ปลอดภัย")</f>
        <v>ปลอดภัย</v>
      </c>
      <c r="Z1065" t="str">
        <f>IFERROR(__xludf.DUMMYFUNCTION("""COMPUTED_VALUE"""),"Saraburi Province")</f>
        <v>Saraburi Province</v>
      </c>
      <c r="AA1065" t="str">
        <f>IFERROR(__xludf.DUMMYFUNCTION("""COMPUTED_VALUE"""),"Bangkok")</f>
        <v>Bangkok</v>
      </c>
      <c r="AB1065" s="145" t="str">
        <f>IFERROR(__xludf.DUMMYFUNCTION("""COMPUTED_VALUE"""),"0874957309")</f>
        <v>0874957309</v>
      </c>
      <c r="AC1065" t="str">
        <f>IFERROR(__xludf.DUMMYFUNCTION("""COMPUTED_VALUE"""),"นายสุทธิพงษ์ เตี๋ยวบุตร Husband")</f>
        <v>นายสุทธิพงษ์ เตี๋ยวบุตร Husband</v>
      </c>
      <c r="AD1065" t="str">
        <f>IFERROR(__xludf.DUMMYFUNCTION("""COMPUTED_VALUE"""),"sopans@airasia.com")</f>
        <v>sopans@airasia.com</v>
      </c>
    </row>
    <row r="1066">
      <c r="A1066" s="142">
        <f>IFERROR(__xludf.DUMMYFUNCTION("""COMPUTED_VALUE"""),103.0)</f>
        <v>103</v>
      </c>
      <c r="C1066">
        <f>IFERROR(__xludf.DUMMYFUNCTION("""COMPUTED_VALUE"""),1009326.0)</f>
        <v>1009326</v>
      </c>
      <c r="D1066" t="str">
        <f>IFERROR(__xludf.DUMMYFUNCTION("""COMPUTED_VALUE"""),"Mr.")</f>
        <v>Mr.</v>
      </c>
      <c r="E1066" t="str">
        <f>IFERROR(__xludf.DUMMYFUNCTION("""COMPUTED_VALUE"""),"Thanarat")</f>
        <v>Thanarat</v>
      </c>
      <c r="F1066" t="str">
        <f>IFERROR(__xludf.DUMMYFUNCTION("""COMPUTED_VALUE"""),"Wintachai")</f>
        <v>Wintachai</v>
      </c>
      <c r="G1066" t="str">
        <f>IFERROR(__xludf.DUMMYFUNCTION("""COMPUTED_VALUE"""),"Thanarat Wintachai")</f>
        <v>Thanarat Wintachai</v>
      </c>
      <c r="H1066" t="str">
        <f>IFERROR(__xludf.DUMMYFUNCTION("""COMPUTED_VALUE"""),"นาย")</f>
        <v>นาย</v>
      </c>
      <c r="I1066" t="str">
        <f>IFERROR(__xludf.DUMMYFUNCTION("""COMPUTED_VALUE"""),"ธนรัชต์")</f>
        <v>ธนรัชต์</v>
      </c>
      <c r="J1066" t="str">
        <f>IFERROR(__xludf.DUMMYFUNCTION("""COMPUTED_VALUE"""),"วินทะไชย")</f>
        <v>วินทะไชย</v>
      </c>
      <c r="K1066" t="str">
        <f>IFERROR(__xludf.DUMMYFUNCTION("""COMPUTED_VALUE"""),"ธนรัชต์ วินทะไชย")</f>
        <v>ธนรัชต์ วินทะไชย</v>
      </c>
      <c r="L1066" t="str">
        <f>IFERROR(__xludf.DUMMYFUNCTION("""COMPUTED_VALUE"""),"ืKao / เก้า")</f>
        <v>ืKao / เก้า</v>
      </c>
      <c r="M1066" t="str">
        <f>IFERROR(__xludf.DUMMYFUNCTION("""COMPUTED_VALUE"""),"Cabin Crew")</f>
        <v>Cabin Crew</v>
      </c>
      <c r="N1066" t="str">
        <f>IFERROR(__xludf.DUMMYFUNCTION("""COMPUTED_VALUE"""),"DMK")</f>
        <v>DMK</v>
      </c>
      <c r="O1066" s="145" t="str">
        <f>IFERROR(__xludf.DUMMYFUNCTION("""COMPUTED_VALUE"""),"Por+ Home")</f>
        <v>Por+ Home</v>
      </c>
      <c r="P1066" t="str">
        <f>IFERROR(__xludf.DUMMYFUNCTION("""COMPUTED_VALUE"""),"Active")</f>
        <v>Active</v>
      </c>
      <c r="R1066" s="159">
        <f>IFERROR(__xludf.DUMMYFUNCTION("""COMPUTED_VALUE"""),33212.0)</f>
        <v>33212</v>
      </c>
      <c r="S1066" s="146" t="str">
        <f>IFERROR(__xludf.DUMMYFUNCTION("""COMPUTED_VALUE"""),"090-294-4247")</f>
        <v>090-294-4247</v>
      </c>
      <c r="T1066" s="147">
        <f>IFERROR(__xludf.DUMMYFUNCTION("""COMPUTED_VALUE"""),1.450100121301E12)</f>
        <v>1450100121301</v>
      </c>
      <c r="U1066" t="str">
        <f>IFERROR(__xludf.DUMMYFUNCTION("""COMPUTED_VALUE"""),"AC5061808")</f>
        <v>AC5061808</v>
      </c>
      <c r="V1066" s="148">
        <f>IFERROR(__xludf.DUMMYFUNCTION("""COMPUTED_VALUE"""),45075.0)</f>
        <v>45075</v>
      </c>
      <c r="W1066" s="148">
        <f>IFERROR(__xludf.DUMMYFUNCTION("""COMPUTED_VALUE"""),46901.0)</f>
        <v>46901</v>
      </c>
      <c r="X1066" s="149">
        <f>IFERROR(__xludf.DUMMYFUNCTION("""COMPUTED_VALUE"""),46719.0)</f>
        <v>46719</v>
      </c>
      <c r="Y1066" t="str">
        <f>IFERROR(__xludf.DUMMYFUNCTION("""COMPUTED_VALUE"""),"ปลอดภัย")</f>
        <v>ปลอดภัย</v>
      </c>
      <c r="Z1066" t="str">
        <f>IFERROR(__xludf.DUMMYFUNCTION("""COMPUTED_VALUE"""),"Roi Et Province")</f>
        <v>Roi Et Province</v>
      </c>
      <c r="AA1066" t="str">
        <f>IFERROR(__xludf.DUMMYFUNCTION("""COMPUTED_VALUE"""),"Roi Et")</f>
        <v>Roi Et</v>
      </c>
      <c r="AB1066" s="145" t="str">
        <f>IFERROR(__xludf.DUMMYFUNCTION("""COMPUTED_VALUE"""),"089-620-9812")</f>
        <v>089-620-9812</v>
      </c>
      <c r="AC1066" t="str">
        <f>IFERROR(__xludf.DUMMYFUNCTION("""COMPUTED_VALUE"""),"นาย ชัยรัตน์ วินทะไชย Father")</f>
        <v>นาย ชัยรัตน์ วินทะไชย Father</v>
      </c>
      <c r="AD1066" t="str">
        <f>IFERROR(__xludf.DUMMYFUNCTION("""COMPUTED_VALUE"""),"thanaratw@airasia.com")</f>
        <v>thanaratw@airasia.com</v>
      </c>
    </row>
    <row r="1067">
      <c r="A1067" s="142">
        <f>IFERROR(__xludf.DUMMYFUNCTION("""COMPUTED_VALUE"""),103.0)</f>
        <v>103</v>
      </c>
      <c r="C1067">
        <f>IFERROR(__xludf.DUMMYFUNCTION("""COMPUTED_VALUE"""),1013988.0)</f>
        <v>1013988</v>
      </c>
      <c r="D1067" t="str">
        <f>IFERROR(__xludf.DUMMYFUNCTION("""COMPUTED_VALUE"""),"Ms.")</f>
        <v>Ms.</v>
      </c>
      <c r="E1067" t="str">
        <f>IFERROR(__xludf.DUMMYFUNCTION("""COMPUTED_VALUE"""),"Kritlada")</f>
        <v>Kritlada</v>
      </c>
      <c r="F1067" t="str">
        <f>IFERROR(__xludf.DUMMYFUNCTION("""COMPUTED_VALUE"""),"Thapanapark")</f>
        <v>Thapanapark</v>
      </c>
      <c r="G1067" t="str">
        <f>IFERROR(__xludf.DUMMYFUNCTION("""COMPUTED_VALUE"""),"Kritlada Thapanapark")</f>
        <v>Kritlada Thapanapark</v>
      </c>
      <c r="H1067" t="str">
        <f>IFERROR(__xludf.DUMMYFUNCTION("""COMPUTED_VALUE"""),"นางสาว")</f>
        <v>นางสาว</v>
      </c>
      <c r="I1067" t="str">
        <f>IFERROR(__xludf.DUMMYFUNCTION("""COMPUTED_VALUE"""),"กฤษลดา")</f>
        <v>กฤษลดา</v>
      </c>
      <c r="J1067" t="str">
        <f>IFERROR(__xludf.DUMMYFUNCTION("""COMPUTED_VALUE"""),"ฐาปนภาคย์")</f>
        <v>ฐาปนภาคย์</v>
      </c>
      <c r="K1067" t="str">
        <f>IFERROR(__xludf.DUMMYFUNCTION("""COMPUTED_VALUE"""),"กฤษลดา ฐาปนภาคย์")</f>
        <v>กฤษลดา ฐาปนภาคย์</v>
      </c>
      <c r="L1067" t="str">
        <f>IFERROR(__xludf.DUMMYFUNCTION("""COMPUTED_VALUE"""),"Cartoon / การ์ตูน")</f>
        <v>Cartoon / การ์ตูน</v>
      </c>
      <c r="M1067" t="str">
        <f>IFERROR(__xludf.DUMMYFUNCTION("""COMPUTED_VALUE"""),"Cabin Crew")</f>
        <v>Cabin Crew</v>
      </c>
      <c r="N1067" t="str">
        <f>IFERROR(__xludf.DUMMYFUNCTION("""COMPUTED_VALUE"""),"DMK")</f>
        <v>DMK</v>
      </c>
      <c r="O1067" s="145" t="str">
        <f>IFERROR(__xludf.DUMMYFUNCTION("""COMPUTED_VALUE"""),"Toffy Home")</f>
        <v>Toffy Home</v>
      </c>
      <c r="P1067" t="str">
        <f>IFERROR(__xludf.DUMMYFUNCTION("""COMPUTED_VALUE"""),"Active")</f>
        <v>Active</v>
      </c>
      <c r="R1067" s="159">
        <f>IFERROR(__xludf.DUMMYFUNCTION("""COMPUTED_VALUE"""),34033.0)</f>
        <v>34033</v>
      </c>
      <c r="S1067" s="146" t="str">
        <f>IFERROR(__xludf.DUMMYFUNCTION("""COMPUTED_VALUE"""),"095-653-0563")</f>
        <v>095-653-0563</v>
      </c>
      <c r="T1067" s="147">
        <f>IFERROR(__xludf.DUMMYFUNCTION("""COMPUTED_VALUE"""),1.10050097575E12)</f>
        <v>1100500975750</v>
      </c>
      <c r="U1067" t="str">
        <f>IFERROR(__xludf.DUMMYFUNCTION("""COMPUTED_VALUE"""),"AC4182688")</f>
        <v>AC4182688</v>
      </c>
      <c r="V1067" s="148">
        <f>IFERROR(__xludf.DUMMYFUNCTION("""COMPUTED_VALUE"""),44888.0)</f>
        <v>44888</v>
      </c>
      <c r="W1067" s="148">
        <f>IFERROR(__xludf.DUMMYFUNCTION("""COMPUTED_VALUE"""),48540.0)</f>
        <v>48540</v>
      </c>
      <c r="X1067" s="149">
        <f>IFERROR(__xludf.DUMMYFUNCTION("""COMPUTED_VALUE"""),48356.0)</f>
        <v>48356</v>
      </c>
      <c r="Y1067" t="str">
        <f>IFERROR(__xludf.DUMMYFUNCTION("""COMPUTED_VALUE"""),"ปลอดภัย")</f>
        <v>ปลอดภัย</v>
      </c>
      <c r="Z1067" t="str">
        <f>IFERROR(__xludf.DUMMYFUNCTION("""COMPUTED_VALUE"""),"Bangkok")</f>
        <v>Bangkok</v>
      </c>
      <c r="AA1067" t="str">
        <f>IFERROR(__xludf.DUMMYFUNCTION("""COMPUTED_VALUE"""),"PATHUMTANI")</f>
        <v>PATHUMTANI</v>
      </c>
      <c r="AB1067" s="145" t="str">
        <f>IFERROR(__xludf.DUMMYFUNCTION("""COMPUTED_VALUE"""),"086-352-7195")</f>
        <v>086-352-7195</v>
      </c>
      <c r="AC1067" t="str">
        <f>IFERROR(__xludf.DUMMYFUNCTION("""COMPUTED_VALUE"""),"นางชนิตา ฐาปนภาคย์ Mother")</f>
        <v>นางชนิตา ฐาปนภาคย์ Mother</v>
      </c>
      <c r="AD1067" t="str">
        <f>IFERROR(__xludf.DUMMYFUNCTION("""COMPUTED_VALUE"""),"kritladat@airasia.com")</f>
        <v>kritladat@airasia.com</v>
      </c>
    </row>
    <row r="1068">
      <c r="A1068" s="142">
        <f>IFERROR(__xludf.DUMMYFUNCTION("""COMPUTED_VALUE"""),103.0)</f>
        <v>103</v>
      </c>
      <c r="C1068">
        <f>IFERROR(__xludf.DUMMYFUNCTION("""COMPUTED_VALUE"""),1009659.0)</f>
        <v>1009659</v>
      </c>
      <c r="D1068" t="str">
        <f>IFERROR(__xludf.DUMMYFUNCTION("""COMPUTED_VALUE"""),"Ms.")</f>
        <v>Ms.</v>
      </c>
      <c r="E1068" t="str">
        <f>IFERROR(__xludf.DUMMYFUNCTION("""COMPUTED_VALUE"""),"Kanokkorn")</f>
        <v>Kanokkorn</v>
      </c>
      <c r="F1068" t="str">
        <f>IFERROR(__xludf.DUMMYFUNCTION("""COMPUTED_VALUE"""),"Pradit")</f>
        <v>Pradit</v>
      </c>
      <c r="G1068" t="str">
        <f>IFERROR(__xludf.DUMMYFUNCTION("""COMPUTED_VALUE"""),"Kanokkorn Pradit")</f>
        <v>Kanokkorn Pradit</v>
      </c>
      <c r="H1068" t="str">
        <f>IFERROR(__xludf.DUMMYFUNCTION("""COMPUTED_VALUE"""),"นางสาว")</f>
        <v>นางสาว</v>
      </c>
      <c r="I1068" t="str">
        <f>IFERROR(__xludf.DUMMYFUNCTION("""COMPUTED_VALUE"""),"กนกกรณ์")</f>
        <v>กนกกรณ์</v>
      </c>
      <c r="J1068" t="str">
        <f>IFERROR(__xludf.DUMMYFUNCTION("""COMPUTED_VALUE"""),"ประดิษฐ์")</f>
        <v>ประดิษฐ์</v>
      </c>
      <c r="K1068" t="str">
        <f>IFERROR(__xludf.DUMMYFUNCTION("""COMPUTED_VALUE"""),"กนกกรณ์ ประดิษฐ์")</f>
        <v>กนกกรณ์ ประดิษฐ์</v>
      </c>
      <c r="L1068" t="str">
        <f>IFERROR(__xludf.DUMMYFUNCTION("""COMPUTED_VALUE"""),"May / เมย์")</f>
        <v>May / เมย์</v>
      </c>
      <c r="M1068" t="str">
        <f>IFERROR(__xludf.DUMMYFUNCTION("""COMPUTED_VALUE"""),"Cabin Crew")</f>
        <v>Cabin Crew</v>
      </c>
      <c r="N1068" t="str">
        <f>IFERROR(__xludf.DUMMYFUNCTION("""COMPUTED_VALUE"""),"DMK")</f>
        <v>DMK</v>
      </c>
      <c r="O1068" s="145" t="str">
        <f>IFERROR(__xludf.DUMMYFUNCTION("""COMPUTED_VALUE"""),"Up Home")</f>
        <v>Up Home</v>
      </c>
      <c r="P1068" t="str">
        <f>IFERROR(__xludf.DUMMYFUNCTION("""COMPUTED_VALUE"""),"Active")</f>
        <v>Active</v>
      </c>
      <c r="R1068" s="159">
        <f>IFERROR(__xludf.DUMMYFUNCTION("""COMPUTED_VALUE"""),33329.0)</f>
        <v>33329</v>
      </c>
      <c r="S1068" s="146" t="str">
        <f>IFERROR(__xludf.DUMMYFUNCTION("""COMPUTED_VALUE"""),"086-466-8368")</f>
        <v>086-466-8368</v>
      </c>
      <c r="T1068" s="147">
        <f>IFERROR(__xludf.DUMMYFUNCTION("""COMPUTED_VALUE"""),1.102700089062E12)</f>
        <v>1102700089062</v>
      </c>
      <c r="U1068" t="str">
        <f>IFERROR(__xludf.DUMMYFUNCTION("""COMPUTED_VALUE"""),"AD1100091")</f>
        <v>AD1100091</v>
      </c>
      <c r="V1068" s="148">
        <f>IFERROR(__xludf.DUMMYFUNCTION("""COMPUTED_VALUE"""),45067.0)</f>
        <v>45067</v>
      </c>
      <c r="W1068" s="148">
        <f>IFERROR(__xludf.DUMMYFUNCTION("""COMPUTED_VALUE"""),48719.0)</f>
        <v>48719</v>
      </c>
      <c r="X1068" s="149">
        <f>IFERROR(__xludf.DUMMYFUNCTION("""COMPUTED_VALUE"""),48538.0)</f>
        <v>48538</v>
      </c>
      <c r="Y1068" t="str">
        <f>IFERROR(__xludf.DUMMYFUNCTION("""COMPUTED_VALUE"""),"ปลอดภัย")</f>
        <v>ปลอดภัย</v>
      </c>
      <c r="Z1068" t="str">
        <f>IFERROR(__xludf.DUMMYFUNCTION("""COMPUTED_VALUE"""),"Bangkok")</f>
        <v>Bangkok</v>
      </c>
      <c r="AA1068" t="str">
        <f>IFERROR(__xludf.DUMMYFUNCTION("""COMPUTED_VALUE"""),"Bangkok")</f>
        <v>Bangkok</v>
      </c>
      <c r="AB1068" s="145" t="str">
        <f>IFERROR(__xludf.DUMMYFUNCTION("""COMPUTED_VALUE"""),"086-456-6587")</f>
        <v>086-456-6587</v>
      </c>
      <c r="AC1068" t="str">
        <f>IFERROR(__xludf.DUMMYFUNCTION("""COMPUTED_VALUE"""),"ปราณี ประดิษฐ์ Mother")</f>
        <v>ปราณี ประดิษฐ์ Mother</v>
      </c>
      <c r="AD1068" t="str">
        <f>IFERROR(__xludf.DUMMYFUNCTION("""COMPUTED_VALUE"""),"kanokkornp@airasia.com")</f>
        <v>kanokkornp@airasia.com</v>
      </c>
    </row>
    <row r="1069">
      <c r="A1069" s="142">
        <f>IFERROR(__xludf.DUMMYFUNCTION("""COMPUTED_VALUE"""),103.0)</f>
        <v>103</v>
      </c>
      <c r="C1069">
        <f>IFERROR(__xludf.DUMMYFUNCTION("""COMPUTED_VALUE"""),1010703.0)</f>
        <v>1010703</v>
      </c>
      <c r="D1069" t="str">
        <f>IFERROR(__xludf.DUMMYFUNCTION("""COMPUTED_VALUE"""),"Mr.")</f>
        <v>Mr.</v>
      </c>
      <c r="E1069" t="str">
        <f>IFERROR(__xludf.DUMMYFUNCTION("""COMPUTED_VALUE"""),"Chayapon")</f>
        <v>Chayapon</v>
      </c>
      <c r="F1069" t="str">
        <f>IFERROR(__xludf.DUMMYFUNCTION("""COMPUTED_VALUE"""),"Singkiporn")</f>
        <v>Singkiporn</v>
      </c>
      <c r="G1069" t="str">
        <f>IFERROR(__xludf.DUMMYFUNCTION("""COMPUTED_VALUE"""),"Chayapon Singkiporn")</f>
        <v>Chayapon Singkiporn</v>
      </c>
      <c r="H1069" t="str">
        <f>IFERROR(__xludf.DUMMYFUNCTION("""COMPUTED_VALUE"""),"นาย")</f>
        <v>นาย</v>
      </c>
      <c r="I1069" t="str">
        <f>IFERROR(__xludf.DUMMYFUNCTION("""COMPUTED_VALUE"""),"ชยพล")</f>
        <v>ชยพล</v>
      </c>
      <c r="J1069" t="str">
        <f>IFERROR(__xludf.DUMMYFUNCTION("""COMPUTED_VALUE"""),"สิงคิพร")</f>
        <v>สิงคิพร</v>
      </c>
      <c r="K1069" t="str">
        <f>IFERROR(__xludf.DUMMYFUNCTION("""COMPUTED_VALUE"""),"ชยพล สิงคิพร")</f>
        <v>ชยพล สิงคิพร</v>
      </c>
      <c r="L1069" t="str">
        <f>IFERROR(__xludf.DUMMYFUNCTION("""COMPUTED_VALUE"""),"Puen/เพื่อน")</f>
        <v>Puen/เพื่อน</v>
      </c>
      <c r="M1069" t="str">
        <f>IFERROR(__xludf.DUMMYFUNCTION("""COMPUTED_VALUE"""),"Cabin Crew")</f>
        <v>Cabin Crew</v>
      </c>
      <c r="N1069" t="str">
        <f>IFERROR(__xludf.DUMMYFUNCTION("""COMPUTED_VALUE"""),"DMK")</f>
        <v>DMK</v>
      </c>
      <c r="O1069" s="145" t="str">
        <f>IFERROR(__xludf.DUMMYFUNCTION("""COMPUTED_VALUE"""),"Kor Home")</f>
        <v>Kor Home</v>
      </c>
      <c r="P1069" t="str">
        <f>IFERROR(__xludf.DUMMYFUNCTION("""COMPUTED_VALUE"""),"Active")</f>
        <v>Active</v>
      </c>
      <c r="R1069" s="159">
        <f>IFERROR(__xludf.DUMMYFUNCTION("""COMPUTED_VALUE"""),33104.0)</f>
        <v>33104</v>
      </c>
      <c r="S1069" s="146" t="str">
        <f>IFERROR(__xludf.DUMMYFUNCTION("""COMPUTED_VALUE"""),"091-444-6954")</f>
        <v>091-444-6954</v>
      </c>
      <c r="T1069" s="147">
        <f>IFERROR(__xludf.DUMMYFUNCTION("""COMPUTED_VALUE"""),1.809900326211E12)</f>
        <v>1809900326211</v>
      </c>
      <c r="U1069" t="str">
        <f>IFERROR(__xludf.DUMMYFUNCTION("""COMPUTED_VALUE"""),"AC6095895")</f>
        <v>AC6095895</v>
      </c>
      <c r="V1069" s="148">
        <f>IFERROR(__xludf.DUMMYFUNCTION("""COMPUTED_VALUE"""),45268.0)</f>
        <v>45268</v>
      </c>
      <c r="W1069" s="148">
        <f>IFERROR(__xludf.DUMMYFUNCTION("""COMPUTED_VALUE"""),48920.0)</f>
        <v>48920</v>
      </c>
      <c r="X1069" s="149">
        <f>IFERROR(__xludf.DUMMYFUNCTION("""COMPUTED_VALUE"""),48737.0)</f>
        <v>48737</v>
      </c>
      <c r="Y1069" t="str">
        <f>IFERROR(__xludf.DUMMYFUNCTION("""COMPUTED_VALUE"""),"ปลอดภัย")</f>
        <v>ปลอดภัย</v>
      </c>
      <c r="Z1069" t="str">
        <f>IFERROR(__xludf.DUMMYFUNCTION("""COMPUTED_VALUE"""),"Nakhon Si Thammarat Province")</f>
        <v>Nakhon Si Thammarat Province</v>
      </c>
      <c r="AA1069" t="str">
        <f>IFERROR(__xludf.DUMMYFUNCTION("""COMPUTED_VALUE"""),"Bangkok")</f>
        <v>Bangkok</v>
      </c>
      <c r="AB1069" s="145" t="str">
        <f>IFERROR(__xludf.DUMMYFUNCTION("""COMPUTED_VALUE"""),"094-646-2244")</f>
        <v>094-646-2244</v>
      </c>
      <c r="AC1069" t="str">
        <f>IFERROR(__xludf.DUMMYFUNCTION("""COMPUTED_VALUE"""),"นางสาวหทัยทิพย์ ชัยชนะ Friend")</f>
        <v>นางสาวหทัยทิพย์ ชัยชนะ Friend</v>
      </c>
      <c r="AD1069" t="str">
        <f>IFERROR(__xludf.DUMMYFUNCTION("""COMPUTED_VALUE"""),"chayapons@airasia.com")</f>
        <v>chayapons@airasia.com</v>
      </c>
    </row>
    <row r="1070">
      <c r="A1070" s="142">
        <f>IFERROR(__xludf.DUMMYFUNCTION("""COMPUTED_VALUE"""),103.0)</f>
        <v>103</v>
      </c>
      <c r="C1070">
        <f>IFERROR(__xludf.DUMMYFUNCTION("""COMPUTED_VALUE"""),1006548.0)</f>
        <v>1006548</v>
      </c>
      <c r="D1070" t="str">
        <f>IFERROR(__xludf.DUMMYFUNCTION("""COMPUTED_VALUE"""),"Ms.")</f>
        <v>Ms.</v>
      </c>
      <c r="E1070" t="str">
        <f>IFERROR(__xludf.DUMMYFUNCTION("""COMPUTED_VALUE"""),"Kanokrat")</f>
        <v>Kanokrat</v>
      </c>
      <c r="F1070" t="str">
        <f>IFERROR(__xludf.DUMMYFUNCTION("""COMPUTED_VALUE"""),"Worasuwat")</f>
        <v>Worasuwat</v>
      </c>
      <c r="G1070" t="str">
        <f>IFERROR(__xludf.DUMMYFUNCTION("""COMPUTED_VALUE"""),"Kanokrat Worasuwat")</f>
        <v>Kanokrat Worasuwat</v>
      </c>
      <c r="H1070" t="str">
        <f>IFERROR(__xludf.DUMMYFUNCTION("""COMPUTED_VALUE"""),"นางสาว")</f>
        <v>นางสาว</v>
      </c>
      <c r="I1070" t="str">
        <f>IFERROR(__xludf.DUMMYFUNCTION("""COMPUTED_VALUE"""),"กนกรัตน์")</f>
        <v>กนกรัตน์</v>
      </c>
      <c r="J1070" t="str">
        <f>IFERROR(__xludf.DUMMYFUNCTION("""COMPUTED_VALUE"""),"วรสุวัฒน์")</f>
        <v>วรสุวัฒน์</v>
      </c>
      <c r="K1070" t="str">
        <f>IFERROR(__xludf.DUMMYFUNCTION("""COMPUTED_VALUE"""),"กนกรัตน์ วรสุวัฒน์")</f>
        <v>กนกรัตน์ วรสุวัฒน์</v>
      </c>
      <c r="L1070" t="str">
        <f>IFERROR(__xludf.DUMMYFUNCTION("""COMPUTED_VALUE"""),"Tem / เต็ม")</f>
        <v>Tem / เต็ม</v>
      </c>
      <c r="M1070" t="str">
        <f>IFERROR(__xludf.DUMMYFUNCTION("""COMPUTED_VALUE"""),"Cabin Crew - HKT")</f>
        <v>Cabin Crew - HKT</v>
      </c>
      <c r="N1070" t="str">
        <f>IFERROR(__xludf.DUMMYFUNCTION("""COMPUTED_VALUE"""),"HKT")</f>
        <v>HKT</v>
      </c>
      <c r="O1070" s="145" t="str">
        <f>IFERROR(__xludf.DUMMYFUNCTION("""COMPUTED_VALUE"""),"Kor Home")</f>
        <v>Kor Home</v>
      </c>
      <c r="P1070" t="str">
        <f>IFERROR(__xludf.DUMMYFUNCTION("""COMPUTED_VALUE"""),"Active")</f>
        <v>Active</v>
      </c>
      <c r="R1070" s="159">
        <f>IFERROR(__xludf.DUMMYFUNCTION("""COMPUTED_VALUE"""),33271.0)</f>
        <v>33271</v>
      </c>
      <c r="S1070" s="146">
        <f>IFERROR(__xludf.DUMMYFUNCTION("""COMPUTED_VALUE"""),9.93975669E8)</f>
        <v>993975669</v>
      </c>
      <c r="T1070" s="147">
        <f>IFERROR(__xludf.DUMMYFUNCTION("""COMPUTED_VALUE"""),1.959900264509E12)</f>
        <v>1959900264509</v>
      </c>
      <c r="U1070" t="str">
        <f>IFERROR(__xludf.DUMMYFUNCTION("""COMPUTED_VALUE"""),"AD0877532")</f>
        <v>AD0877532</v>
      </c>
      <c r="V1070" s="148">
        <f>IFERROR(__xludf.DUMMYFUNCTION("""COMPUTED_VALUE"""),44985.0)</f>
        <v>44985</v>
      </c>
      <c r="W1070" s="148">
        <f>IFERROR(__xludf.DUMMYFUNCTION("""COMPUTED_VALUE"""),48637.0)</f>
        <v>48637</v>
      </c>
      <c r="X1070" s="149">
        <f>IFERROR(__xludf.DUMMYFUNCTION("""COMPUTED_VALUE"""),48453.0)</f>
        <v>48453</v>
      </c>
      <c r="Y1070" t="str">
        <f>IFERROR(__xludf.DUMMYFUNCTION("""COMPUTED_VALUE"""),"ปลอดภัย")</f>
        <v>ปลอดภัย</v>
      </c>
      <c r="Z1070" t="str">
        <f>IFERROR(__xludf.DUMMYFUNCTION("""COMPUTED_VALUE"""),"Yala Province")</f>
        <v>Yala Province</v>
      </c>
      <c r="AA1070" t="str">
        <f>IFERROR(__xludf.DUMMYFUNCTION("""COMPUTED_VALUE"""),"Phuket")</f>
        <v>Phuket</v>
      </c>
      <c r="AB1070" s="145" t="str">
        <f>IFERROR(__xludf.DUMMYFUNCTION("""COMPUTED_VALUE"""),"0954292906")</f>
        <v>0954292906</v>
      </c>
      <c r="AC1070" t="str">
        <f>IFERROR(__xludf.DUMMYFUNCTION("""COMPUTED_VALUE"""),"นางพัชรินทร์ แซ่จิ๋ว Mother")</f>
        <v>นางพัชรินทร์ แซ่จิ๋ว Mother</v>
      </c>
      <c r="AD1070" t="str">
        <f>IFERROR(__xludf.DUMMYFUNCTION("""COMPUTED_VALUE"""),"kanokratw@airasia.com")</f>
        <v>kanokratw@airasia.com</v>
      </c>
    </row>
    <row r="1071">
      <c r="A1071" s="142">
        <f>IFERROR(__xludf.DUMMYFUNCTION("""COMPUTED_VALUE"""),103.0)</f>
        <v>103</v>
      </c>
      <c r="C1071">
        <f>IFERROR(__xludf.DUMMYFUNCTION("""COMPUTED_VALUE"""),1007147.0)</f>
        <v>1007147</v>
      </c>
      <c r="D1071" t="str">
        <f>IFERROR(__xludf.DUMMYFUNCTION("""COMPUTED_VALUE"""),"Ms.")</f>
        <v>Ms.</v>
      </c>
      <c r="E1071" t="str">
        <f>IFERROR(__xludf.DUMMYFUNCTION("""COMPUTED_VALUE"""),"Nongnaphat")</f>
        <v>Nongnaphat</v>
      </c>
      <c r="F1071" t="str">
        <f>IFERROR(__xludf.DUMMYFUNCTION("""COMPUTED_VALUE"""),"Ongetphon")</f>
        <v>Ongetphon</v>
      </c>
      <c r="G1071" t="str">
        <f>IFERROR(__xludf.DUMMYFUNCTION("""COMPUTED_VALUE"""),"Nongnaphat Ongetphon")</f>
        <v>Nongnaphat Ongetphon</v>
      </c>
      <c r="H1071" t="str">
        <f>IFERROR(__xludf.DUMMYFUNCTION("""COMPUTED_VALUE"""),"นางสาว")</f>
        <v>นางสาว</v>
      </c>
      <c r="I1071" t="str">
        <f>IFERROR(__xludf.DUMMYFUNCTION("""COMPUTED_VALUE"""),"นงนภัส")</f>
        <v>นงนภัส</v>
      </c>
      <c r="J1071" t="str">
        <f>IFERROR(__xludf.DUMMYFUNCTION("""COMPUTED_VALUE"""),"อ่อนเกตุพล")</f>
        <v>อ่อนเกตุพล</v>
      </c>
      <c r="K1071" t="str">
        <f>IFERROR(__xludf.DUMMYFUNCTION("""COMPUTED_VALUE"""),"นงนภัส อ่อนเกตุพล")</f>
        <v>นงนภัส อ่อนเกตุพล</v>
      </c>
      <c r="L1071" t="str">
        <f>IFERROR(__xludf.DUMMYFUNCTION("""COMPUTED_VALUE"""),"หมี่หยก")</f>
        <v>หมี่หยก</v>
      </c>
      <c r="M1071" t="str">
        <f>IFERROR(__xludf.DUMMYFUNCTION("""COMPUTED_VALUE"""),"Cabin Crew")</f>
        <v>Cabin Crew</v>
      </c>
      <c r="N1071" t="str">
        <f>IFERROR(__xludf.DUMMYFUNCTION("""COMPUTED_VALUE"""),"DMK")</f>
        <v>DMK</v>
      </c>
      <c r="O1071" s="145" t="str">
        <f>IFERROR(__xludf.DUMMYFUNCTION("""COMPUTED_VALUE"""),"Por+ Home")</f>
        <v>Por+ Home</v>
      </c>
      <c r="P1071" t="str">
        <f>IFERROR(__xludf.DUMMYFUNCTION("""COMPUTED_VALUE"""),"Active")</f>
        <v>Active</v>
      </c>
      <c r="R1071" s="159">
        <f>IFERROR(__xludf.DUMMYFUNCTION("""COMPUTED_VALUE"""),33343.0)</f>
        <v>33343</v>
      </c>
      <c r="S1071" s="146" t="str">
        <f>IFERROR(__xludf.DUMMYFUNCTION("""COMPUTED_VALUE"""),"092-6392645")</f>
        <v>092-6392645</v>
      </c>
      <c r="T1071" s="147">
        <f>IFERROR(__xludf.DUMMYFUNCTION("""COMPUTED_VALUE"""),1.841500089673E12)</f>
        <v>1841500089673</v>
      </c>
      <c r="U1071" t="str">
        <f>IFERROR(__xludf.DUMMYFUNCTION("""COMPUTED_VALUE"""),"AD0161200")</f>
        <v>AD0161200</v>
      </c>
      <c r="V1071" s="148">
        <f>IFERROR(__xludf.DUMMYFUNCTION("""COMPUTED_VALUE"""),44852.0)</f>
        <v>44852</v>
      </c>
      <c r="W1071" s="148">
        <f>IFERROR(__xludf.DUMMYFUNCTION("""COMPUTED_VALUE"""),48504.0)</f>
        <v>48504</v>
      </c>
      <c r="X1071" s="149">
        <f>IFERROR(__xludf.DUMMYFUNCTION("""COMPUTED_VALUE"""),48321.0)</f>
        <v>48321</v>
      </c>
      <c r="Y1071" t="str">
        <f>IFERROR(__xludf.DUMMYFUNCTION("""COMPUTED_VALUE"""),"ปลอดภัย")</f>
        <v>ปลอดภัย</v>
      </c>
      <c r="Z1071" t="str">
        <f>IFERROR(__xludf.DUMMYFUNCTION("""COMPUTED_VALUE"""),"Surat Thani Province")</f>
        <v>Surat Thani Province</v>
      </c>
      <c r="AA1071" t="str">
        <f>IFERROR(__xludf.DUMMYFUNCTION("""COMPUTED_VALUE"""),"Surat Thani")</f>
        <v>Surat Thani</v>
      </c>
      <c r="AB1071" s="145" t="str">
        <f>IFERROR(__xludf.DUMMYFUNCTION("""COMPUTED_VALUE"""),"0887517010")</f>
        <v>0887517010</v>
      </c>
      <c r="AC1071" t="str">
        <f>IFERROR(__xludf.DUMMYFUNCTION("""COMPUTED_VALUE"""),"นายพงศธร เพ็ชรรัตน์ Friend")</f>
        <v>นายพงศธร เพ็ชรรัตน์ Friend</v>
      </c>
      <c r="AD1071" t="str">
        <f>IFERROR(__xludf.DUMMYFUNCTION("""COMPUTED_VALUE"""),"nongnaphato@airasia.com")</f>
        <v>nongnaphato@airasia.com</v>
      </c>
    </row>
    <row r="1072">
      <c r="A1072" s="142">
        <f>IFERROR(__xludf.DUMMYFUNCTION("""COMPUTED_VALUE"""),103.0)</f>
        <v>103</v>
      </c>
      <c r="C1072">
        <f>IFERROR(__xludf.DUMMYFUNCTION("""COMPUTED_VALUE"""),1016381.0)</f>
        <v>1016381</v>
      </c>
      <c r="D1072" t="str">
        <f>IFERROR(__xludf.DUMMYFUNCTION("""COMPUTED_VALUE"""),"Mr.")</f>
        <v>Mr.</v>
      </c>
      <c r="E1072" t="str">
        <f>IFERROR(__xludf.DUMMYFUNCTION("""COMPUTED_VALUE"""),"Pongsathorn")</f>
        <v>Pongsathorn</v>
      </c>
      <c r="F1072" t="str">
        <f>IFERROR(__xludf.DUMMYFUNCTION("""COMPUTED_VALUE"""),"Petcharat")</f>
        <v>Petcharat</v>
      </c>
      <c r="G1072" t="str">
        <f>IFERROR(__xludf.DUMMYFUNCTION("""COMPUTED_VALUE"""),"Pongsathorn Petcharat")</f>
        <v>Pongsathorn Petcharat</v>
      </c>
      <c r="H1072" t="str">
        <f>IFERROR(__xludf.DUMMYFUNCTION("""COMPUTED_VALUE"""),"นาย")</f>
        <v>นาย</v>
      </c>
      <c r="I1072" t="str">
        <f>IFERROR(__xludf.DUMMYFUNCTION("""COMPUTED_VALUE"""),"พงศธร")</f>
        <v>พงศธร</v>
      </c>
      <c r="J1072" t="str">
        <f>IFERROR(__xludf.DUMMYFUNCTION("""COMPUTED_VALUE"""),"เพ็ชรรัตน์")</f>
        <v>เพ็ชรรัตน์</v>
      </c>
      <c r="K1072" t="str">
        <f>IFERROR(__xludf.DUMMYFUNCTION("""COMPUTED_VALUE"""),"พงศธร เพ็ชรรัตน์")</f>
        <v>พงศธร เพ็ชรรัตน์</v>
      </c>
      <c r="L1072" t="str">
        <f>IFERROR(__xludf.DUMMYFUNCTION("""COMPUTED_VALUE"""),"James/เจมส์")</f>
        <v>James/เจมส์</v>
      </c>
      <c r="M1072" t="str">
        <f>IFERROR(__xludf.DUMMYFUNCTION("""COMPUTED_VALUE"""),"Cabin Crew")</f>
        <v>Cabin Crew</v>
      </c>
      <c r="N1072" t="str">
        <f>IFERROR(__xludf.DUMMYFUNCTION("""COMPUTED_VALUE"""),"DMK")</f>
        <v>DMK</v>
      </c>
      <c r="O1072" s="145" t="str">
        <f>IFERROR(__xludf.DUMMYFUNCTION("""COMPUTED_VALUE"""),"Nhui Home")</f>
        <v>Nhui Home</v>
      </c>
      <c r="P1072" t="str">
        <f>IFERROR(__xludf.DUMMYFUNCTION("""COMPUTED_VALUE"""),"Active")</f>
        <v>Active</v>
      </c>
      <c r="R1072" s="159">
        <f>IFERROR(__xludf.DUMMYFUNCTION("""COMPUTED_VALUE"""),34077.0)</f>
        <v>34077</v>
      </c>
      <c r="S1072" s="146" t="str">
        <f>IFERROR(__xludf.DUMMYFUNCTION("""COMPUTED_VALUE"""),"088-7517010")</f>
        <v>088-7517010</v>
      </c>
      <c r="T1072" s="147">
        <f>IFERROR(__xludf.DUMMYFUNCTION("""COMPUTED_VALUE"""),1.840100434828E12)</f>
        <v>1840100434828</v>
      </c>
      <c r="U1072" t="str">
        <f>IFERROR(__xludf.DUMMYFUNCTION("""COMPUTED_VALUE"""),"AC5609885")</f>
        <v>AC5609885</v>
      </c>
      <c r="V1072" s="148">
        <f>IFERROR(__xludf.DUMMYFUNCTION("""COMPUTED_VALUE"""),45159.0)</f>
        <v>45159</v>
      </c>
      <c r="W1072" s="148">
        <f>IFERROR(__xludf.DUMMYFUNCTION("""COMPUTED_VALUE"""),48811.0)</f>
        <v>48811</v>
      </c>
      <c r="X1072" s="149">
        <f>IFERROR(__xludf.DUMMYFUNCTION("""COMPUTED_VALUE"""),48630.0)</f>
        <v>48630</v>
      </c>
      <c r="Y1072" t="str">
        <f>IFERROR(__xludf.DUMMYFUNCTION("""COMPUTED_VALUE"""),"ปลอดภัย")</f>
        <v>ปลอดภัย</v>
      </c>
      <c r="Z1072" t="str">
        <f>IFERROR(__xludf.DUMMYFUNCTION("""COMPUTED_VALUE"""),"Surat Thani Province")</f>
        <v>Surat Thani Province</v>
      </c>
      <c r="AA1072" t="str">
        <f>IFERROR(__xludf.DUMMYFUNCTION("""COMPUTED_VALUE"""),"Bangkok")</f>
        <v>Bangkok</v>
      </c>
      <c r="AB1072" s="145" t="str">
        <f>IFERROR(__xludf.DUMMYFUNCTION("""COMPUTED_VALUE"""),"092-6392645")</f>
        <v>092-6392645</v>
      </c>
      <c r="AC1072" t="str">
        <f>IFERROR(__xludf.DUMMYFUNCTION("""COMPUTED_VALUE"""),"นงนภัส อ่อนเกตุพล Friend")</f>
        <v>นงนภัส อ่อนเกตุพล Friend</v>
      </c>
      <c r="AD1072" t="str">
        <f>IFERROR(__xludf.DUMMYFUNCTION("""COMPUTED_VALUE"""),"pongsathornb@airasia.com")</f>
        <v>pongsathornb@airasia.com</v>
      </c>
    </row>
    <row r="1073">
      <c r="A1073" s="142">
        <f>IFERROR(__xludf.DUMMYFUNCTION("""COMPUTED_VALUE"""),103.0)</f>
        <v>103</v>
      </c>
      <c r="C1073">
        <f>IFERROR(__xludf.DUMMYFUNCTION("""COMPUTED_VALUE"""),1039924.0)</f>
        <v>1039924</v>
      </c>
      <c r="D1073" t="str">
        <f>IFERROR(__xludf.DUMMYFUNCTION("""COMPUTED_VALUE"""),"Ms.")</f>
        <v>Ms.</v>
      </c>
      <c r="E1073" t="str">
        <f>IFERROR(__xludf.DUMMYFUNCTION("""COMPUTED_VALUE"""),"Pornkamol")</f>
        <v>Pornkamol</v>
      </c>
      <c r="F1073" t="str">
        <f>IFERROR(__xludf.DUMMYFUNCTION("""COMPUTED_VALUE"""),"Tonsakulwong")</f>
        <v>Tonsakulwong</v>
      </c>
      <c r="G1073" t="str">
        <f>IFERROR(__xludf.DUMMYFUNCTION("""COMPUTED_VALUE"""),"Pornkamol Tonsakulwong")</f>
        <v>Pornkamol Tonsakulwong</v>
      </c>
      <c r="H1073" t="str">
        <f>IFERROR(__xludf.DUMMYFUNCTION("""COMPUTED_VALUE"""),"นางสาว")</f>
        <v>นางสาว</v>
      </c>
      <c r="I1073" t="str">
        <f>IFERROR(__xludf.DUMMYFUNCTION("""COMPUTED_VALUE"""),"พรกมล")</f>
        <v>พรกมล</v>
      </c>
      <c r="J1073" t="str">
        <f>IFERROR(__xludf.DUMMYFUNCTION("""COMPUTED_VALUE"""),"ต้นสกุลวงศ์")</f>
        <v>ต้นสกุลวงศ์</v>
      </c>
      <c r="K1073" t="str">
        <f>IFERROR(__xludf.DUMMYFUNCTION("""COMPUTED_VALUE"""),"พรกมล ต้นสกุลวงศ์")</f>
        <v>พรกมล ต้นสกุลวงศ์</v>
      </c>
      <c r="L1073" t="str">
        <f>IFERROR(__xludf.DUMMYFUNCTION("""COMPUTED_VALUE"""),"Mon/มน")</f>
        <v>Mon/มน</v>
      </c>
      <c r="M1073" t="str">
        <f>IFERROR(__xludf.DUMMYFUNCTION("""COMPUTED_VALUE"""),"Cabin Crew")</f>
        <v>Cabin Crew</v>
      </c>
      <c r="N1073" t="str">
        <f>IFERROR(__xludf.DUMMYFUNCTION("""COMPUTED_VALUE"""),"DMK")</f>
        <v>DMK</v>
      </c>
      <c r="O1073" s="145" t="str">
        <f>IFERROR(__xludf.DUMMYFUNCTION("""COMPUTED_VALUE"""),"Toffy Home")</f>
        <v>Toffy Home</v>
      </c>
      <c r="P1073" t="str">
        <f>IFERROR(__xludf.DUMMYFUNCTION("""COMPUTED_VALUE"""),"Active")</f>
        <v>Active</v>
      </c>
      <c r="R1073" s="159">
        <f>IFERROR(__xludf.DUMMYFUNCTION("""COMPUTED_VALUE"""),34128.0)</f>
        <v>34128</v>
      </c>
      <c r="S1073" s="146" t="str">
        <f>IFERROR(__xludf.DUMMYFUNCTION("""COMPUTED_VALUE"""),"095-696-1541")</f>
        <v>095-696-1541</v>
      </c>
      <c r="T1073" s="147">
        <f>IFERROR(__xludf.DUMMYFUNCTION("""COMPUTED_VALUE"""),1.102400065711E12)</f>
        <v>1102400065711</v>
      </c>
      <c r="U1073" t="str">
        <f>IFERROR(__xludf.DUMMYFUNCTION("""COMPUTED_VALUE"""),"AC7498765")</f>
        <v>AC7498765</v>
      </c>
      <c r="V1073" s="148">
        <f>IFERROR(__xludf.DUMMYFUNCTION("""COMPUTED_VALUE"""),45541.0)</f>
        <v>45541</v>
      </c>
      <c r="W1073" s="148">
        <f>IFERROR(__xludf.DUMMYFUNCTION("""COMPUTED_VALUE"""),49192.0)</f>
        <v>49192</v>
      </c>
      <c r="X1073" s="149">
        <f>IFERROR(__xludf.DUMMYFUNCTION("""COMPUTED_VALUE"""),49008.0)</f>
        <v>49008</v>
      </c>
      <c r="Y1073" t="str">
        <f>IFERROR(__xludf.DUMMYFUNCTION("""COMPUTED_VALUE"""),"ปลอดภัย")</f>
        <v>ปลอดภัย</v>
      </c>
      <c r="Z1073" t="str">
        <f>IFERROR(__xludf.DUMMYFUNCTION("""COMPUTED_VALUE"""),"Bangkok")</f>
        <v>Bangkok</v>
      </c>
      <c r="AA1073" t="str">
        <f>IFERROR(__xludf.DUMMYFUNCTION("""COMPUTED_VALUE"""),"Bangkok")</f>
        <v>Bangkok</v>
      </c>
      <c r="AB1073" s="145" t="str">
        <f>IFERROR(__xludf.DUMMYFUNCTION("""COMPUTED_VALUE"""),"095-364-9245")</f>
        <v>095-364-9245</v>
      </c>
      <c r="AC1073" t="str">
        <f>IFERROR(__xludf.DUMMYFUNCTION("""COMPUTED_VALUE"""),"นางพัทธนันท์ ต้นสกุลวงศ์ Mother")</f>
        <v>นางพัทธนันท์ ต้นสกุลวงศ์ Mother</v>
      </c>
      <c r="AD1073" t="str">
        <f>IFERROR(__xludf.DUMMYFUNCTION("""COMPUTED_VALUE"""),"pornkamoltonsakulwo@airasia.com")</f>
        <v>pornkamoltonsakulwo@airasia.com</v>
      </c>
    </row>
    <row r="1074">
      <c r="A1074" s="142">
        <f>IFERROR(__xludf.DUMMYFUNCTION("""COMPUTED_VALUE"""),103.0)</f>
        <v>103</v>
      </c>
      <c r="C1074">
        <f>IFERROR(__xludf.DUMMYFUNCTION("""COMPUTED_VALUE"""),1009672.0)</f>
        <v>1009672</v>
      </c>
      <c r="D1074" t="str">
        <f>IFERROR(__xludf.DUMMYFUNCTION("""COMPUTED_VALUE"""),"Ms.")</f>
        <v>Ms.</v>
      </c>
      <c r="E1074" t="str">
        <f>IFERROR(__xludf.DUMMYFUNCTION("""COMPUTED_VALUE"""),"Sujarinee")</f>
        <v>Sujarinee</v>
      </c>
      <c r="F1074" t="str">
        <f>IFERROR(__xludf.DUMMYFUNCTION("""COMPUTED_VALUE"""),"Sukhon")</f>
        <v>Sukhon</v>
      </c>
      <c r="G1074" t="str">
        <f>IFERROR(__xludf.DUMMYFUNCTION("""COMPUTED_VALUE"""),"Sujarinee Sukhon")</f>
        <v>Sujarinee Sukhon</v>
      </c>
      <c r="H1074" t="str">
        <f>IFERROR(__xludf.DUMMYFUNCTION("""COMPUTED_VALUE"""),"นางสาว")</f>
        <v>นางสาว</v>
      </c>
      <c r="I1074" t="str">
        <f>IFERROR(__xludf.DUMMYFUNCTION("""COMPUTED_VALUE"""),"สุจาริณี")</f>
        <v>สุจาริณี</v>
      </c>
      <c r="J1074" t="str">
        <f>IFERROR(__xludf.DUMMYFUNCTION("""COMPUTED_VALUE"""),"สุคนธ์")</f>
        <v>สุคนธ์</v>
      </c>
      <c r="K1074" t="str">
        <f>IFERROR(__xludf.DUMMYFUNCTION("""COMPUTED_VALUE"""),"สุจาริณี สุคนธ์")</f>
        <v>สุจาริณี สุคนธ์</v>
      </c>
      <c r="L1074" t="str">
        <f>IFERROR(__xludf.DUMMYFUNCTION("""COMPUTED_VALUE"""),"ก้อย")</f>
        <v>ก้อย</v>
      </c>
      <c r="M1074" t="str">
        <f>IFERROR(__xludf.DUMMYFUNCTION("""COMPUTED_VALUE"""),"Cabin Crew")</f>
        <v>Cabin Crew</v>
      </c>
      <c r="N1074" t="str">
        <f>IFERROR(__xludf.DUMMYFUNCTION("""COMPUTED_VALUE"""),"DMK")</f>
        <v>DMK</v>
      </c>
      <c r="O1074" s="145" t="str">
        <f>IFERROR(__xludf.DUMMYFUNCTION("""COMPUTED_VALUE"""),"Kor Home")</f>
        <v>Kor Home</v>
      </c>
      <c r="P1074" t="str">
        <f>IFERROR(__xludf.DUMMYFUNCTION("""COMPUTED_VALUE"""),"Active")</f>
        <v>Active</v>
      </c>
      <c r="R1074" s="159">
        <f>IFERROR(__xludf.DUMMYFUNCTION("""COMPUTED_VALUE"""),32729.0)</f>
        <v>32729</v>
      </c>
      <c r="S1074" s="146" t="str">
        <f>IFERROR(__xludf.DUMMYFUNCTION("""COMPUTED_VALUE"""),"084-7488489")</f>
        <v>084-7488489</v>
      </c>
      <c r="T1074" s="147">
        <f>IFERROR(__xludf.DUMMYFUNCTION("""COMPUTED_VALUE"""),1.959900204484E12)</f>
        <v>1959900204484</v>
      </c>
      <c r="U1074" t="str">
        <f>IFERROR(__xludf.DUMMYFUNCTION("""COMPUTED_VALUE"""),"AC2328007")</f>
        <v>AC2328007</v>
      </c>
      <c r="V1074" s="148">
        <f>IFERROR(__xludf.DUMMYFUNCTION("""COMPUTED_VALUE"""),44371.0)</f>
        <v>44371</v>
      </c>
      <c r="W1074" s="148">
        <f>IFERROR(__xludf.DUMMYFUNCTION("""COMPUTED_VALUE"""),48022.0)</f>
        <v>48022</v>
      </c>
      <c r="X1074" s="149">
        <f>IFERROR(__xludf.DUMMYFUNCTION("""COMPUTED_VALUE"""),47840.0)</f>
        <v>47840</v>
      </c>
      <c r="Y1074" t="str">
        <f>IFERROR(__xludf.DUMMYFUNCTION("""COMPUTED_VALUE"""),"ปลอดภัย")</f>
        <v>ปลอดภัย</v>
      </c>
      <c r="Z1074" t="str">
        <f>IFERROR(__xludf.DUMMYFUNCTION("""COMPUTED_VALUE"""),"Yala Province")</f>
        <v>Yala Province</v>
      </c>
      <c r="AA1074" t="str">
        <f>IFERROR(__xludf.DUMMYFUNCTION("""COMPUTED_VALUE"""),"Bangkok")</f>
        <v>Bangkok</v>
      </c>
      <c r="AB1074" s="145" t="str">
        <f>IFERROR(__xludf.DUMMYFUNCTION("""COMPUTED_VALUE"""),"086-399-6031")</f>
        <v>086-399-6031</v>
      </c>
      <c r="AC1074" t="str">
        <f>IFERROR(__xludf.DUMMYFUNCTION("""COMPUTED_VALUE"""),"นางสาวสาวิตรี สุคนธ์ Sister")</f>
        <v>นางสาวสาวิตรี สุคนธ์ Sister</v>
      </c>
      <c r="AD1074" t="str">
        <f>IFERROR(__xludf.DUMMYFUNCTION("""COMPUTED_VALUE"""),"sujarinees@airasia.com")</f>
        <v>sujarinees@airasia.com</v>
      </c>
    </row>
    <row r="1075">
      <c r="A1075" s="142">
        <f>IFERROR(__xludf.DUMMYFUNCTION("""COMPUTED_VALUE"""),103.0)</f>
        <v>103</v>
      </c>
      <c r="C1075">
        <f>IFERROR(__xludf.DUMMYFUNCTION("""COMPUTED_VALUE"""),1007543.0)</f>
        <v>1007543</v>
      </c>
      <c r="D1075" t="str">
        <f>IFERROR(__xludf.DUMMYFUNCTION("""COMPUTED_VALUE"""),"Ms.")</f>
        <v>Ms.</v>
      </c>
      <c r="E1075" t="str">
        <f>IFERROR(__xludf.DUMMYFUNCTION("""COMPUTED_VALUE"""),"Praewphan")</f>
        <v>Praewphan</v>
      </c>
      <c r="F1075" t="str">
        <f>IFERROR(__xludf.DUMMYFUNCTION("""COMPUTED_VALUE"""),"Jampradang")</f>
        <v>Jampradang</v>
      </c>
      <c r="G1075" t="str">
        <f>IFERROR(__xludf.DUMMYFUNCTION("""COMPUTED_VALUE"""),"Praewphan Jampradang")</f>
        <v>Praewphan Jampradang</v>
      </c>
      <c r="H1075" t="str">
        <f>IFERROR(__xludf.DUMMYFUNCTION("""COMPUTED_VALUE"""),"นางสาว")</f>
        <v>นางสาว</v>
      </c>
      <c r="I1075" t="str">
        <f>IFERROR(__xludf.DUMMYFUNCTION("""COMPUTED_VALUE"""),"แพรวพรรณ")</f>
        <v>แพรวพรรณ</v>
      </c>
      <c r="J1075" t="str">
        <f>IFERROR(__xludf.DUMMYFUNCTION("""COMPUTED_VALUE"""),"แจ่มประแดง")</f>
        <v>แจ่มประแดง</v>
      </c>
      <c r="K1075" t="str">
        <f>IFERROR(__xludf.DUMMYFUNCTION("""COMPUTED_VALUE"""),"แพรวพรรณ แจ่มประแดง")</f>
        <v>แพรวพรรณ แจ่มประแดง</v>
      </c>
      <c r="L1075" t="str">
        <f>IFERROR(__xludf.DUMMYFUNCTION("""COMPUTED_VALUE"""),"Bow / โบว์")</f>
        <v>Bow / โบว์</v>
      </c>
      <c r="M1075" t="str">
        <f>IFERROR(__xludf.DUMMYFUNCTION("""COMPUTED_VALUE"""),"Cabin Crew")</f>
        <v>Cabin Crew</v>
      </c>
      <c r="N1075" t="str">
        <f>IFERROR(__xludf.DUMMYFUNCTION("""COMPUTED_VALUE"""),"DMK")</f>
        <v>DMK</v>
      </c>
      <c r="O1075" s="145" t="str">
        <f>IFERROR(__xludf.DUMMYFUNCTION("""COMPUTED_VALUE"""),"Por+ Home")</f>
        <v>Por+ Home</v>
      </c>
      <c r="P1075" t="str">
        <f>IFERROR(__xludf.DUMMYFUNCTION("""COMPUTED_VALUE"""),"Active")</f>
        <v>Active</v>
      </c>
      <c r="R1075" s="159">
        <f>IFERROR(__xludf.DUMMYFUNCTION("""COMPUTED_VALUE"""),33252.0)</f>
        <v>33252</v>
      </c>
      <c r="S1075" s="146" t="str">
        <f>IFERROR(__xludf.DUMMYFUNCTION("""COMPUTED_VALUE"""),"094-6391496")</f>
        <v>094-6391496</v>
      </c>
      <c r="T1075" s="147">
        <f>IFERROR(__xludf.DUMMYFUNCTION("""COMPUTED_VALUE"""),1.103700360255E12)</f>
        <v>1103700360255</v>
      </c>
      <c r="U1075" t="str">
        <f>IFERROR(__xludf.DUMMYFUNCTION("""COMPUTED_VALUE"""),"AD0572612")</f>
        <v>AD0572612</v>
      </c>
      <c r="V1075" s="148">
        <f>IFERROR(__xludf.DUMMYFUNCTION("""COMPUTED_VALUE"""),44929.0)</f>
        <v>44929</v>
      </c>
      <c r="W1075" s="148">
        <f>IFERROR(__xludf.DUMMYFUNCTION("""COMPUTED_VALUE"""),48581.0)</f>
        <v>48581</v>
      </c>
      <c r="X1075" s="149">
        <f>IFERROR(__xludf.DUMMYFUNCTION("""COMPUTED_VALUE"""),48397.0)</f>
        <v>48397</v>
      </c>
      <c r="Y1075" t="str">
        <f>IFERROR(__xludf.DUMMYFUNCTION("""COMPUTED_VALUE"""),"ปลอดภัย")</f>
        <v>ปลอดภัย</v>
      </c>
      <c r="Z1075" t="str">
        <f>IFERROR(__xludf.DUMMYFUNCTION("""COMPUTED_VALUE"""),"Bangkok")</f>
        <v>Bangkok</v>
      </c>
      <c r="AA1075" t="str">
        <f>IFERROR(__xludf.DUMMYFUNCTION("""COMPUTED_VALUE"""),"Bangkok")</f>
        <v>Bangkok</v>
      </c>
      <c r="AB1075" s="145" t="str">
        <f>IFERROR(__xludf.DUMMYFUNCTION("""COMPUTED_VALUE"""),"096-193-5942")</f>
        <v>096-193-5942</v>
      </c>
      <c r="AC1075" t="str">
        <f>IFERROR(__xludf.DUMMYFUNCTION("""COMPUTED_VALUE"""),"นายพงศกร ธนาธร Friend")</f>
        <v>นายพงศกร ธนาธร Friend</v>
      </c>
      <c r="AD1075" t="str">
        <f>IFERROR(__xludf.DUMMYFUNCTION("""COMPUTED_VALUE"""),"praewphanj@airasia.com")</f>
        <v>praewphanj@airasia.com</v>
      </c>
    </row>
    <row r="1076">
      <c r="A1076" s="142">
        <f>IFERROR(__xludf.DUMMYFUNCTION("""COMPUTED_VALUE"""),103.0)</f>
        <v>103</v>
      </c>
      <c r="C1076">
        <f>IFERROR(__xludf.DUMMYFUNCTION("""COMPUTED_VALUE"""),1012850.0)</f>
        <v>1012850</v>
      </c>
      <c r="D1076" t="str">
        <f>IFERROR(__xludf.DUMMYFUNCTION("""COMPUTED_VALUE"""),"Mr.")</f>
        <v>Mr.</v>
      </c>
      <c r="E1076" t="str">
        <f>IFERROR(__xludf.DUMMYFUNCTION("""COMPUTED_VALUE"""),"Chanagun")</f>
        <v>Chanagun</v>
      </c>
      <c r="F1076" t="str">
        <f>IFERROR(__xludf.DUMMYFUNCTION("""COMPUTED_VALUE"""),"Phanturat")</f>
        <v>Phanturat</v>
      </c>
      <c r="G1076" t="str">
        <f>IFERROR(__xludf.DUMMYFUNCTION("""COMPUTED_VALUE"""),"Chanagun Phanturat")</f>
        <v>Chanagun Phanturat</v>
      </c>
      <c r="H1076" t="str">
        <f>IFERROR(__xludf.DUMMYFUNCTION("""COMPUTED_VALUE"""),"นาย")</f>
        <v>นาย</v>
      </c>
      <c r="I1076" t="str">
        <f>IFERROR(__xludf.DUMMYFUNCTION("""COMPUTED_VALUE"""),"ชนกันต์")</f>
        <v>ชนกันต์</v>
      </c>
      <c r="J1076" t="str">
        <f>IFERROR(__xludf.DUMMYFUNCTION("""COMPUTED_VALUE"""),"พันธุรัตน์")</f>
        <v>พันธุรัตน์</v>
      </c>
      <c r="K1076" t="str">
        <f>IFERROR(__xludf.DUMMYFUNCTION("""COMPUTED_VALUE"""),"ชนกันต์ พันธุรัตน์")</f>
        <v>ชนกันต์ พันธุรัตน์</v>
      </c>
      <c r="L1076" t="str">
        <f>IFERROR(__xludf.DUMMYFUNCTION("""COMPUTED_VALUE"""),"Chon / ชน")</f>
        <v>Chon / ชน</v>
      </c>
      <c r="M1076" t="str">
        <f>IFERROR(__xludf.DUMMYFUNCTION("""COMPUTED_VALUE"""),"Cabin Crew")</f>
        <v>Cabin Crew</v>
      </c>
      <c r="N1076" t="str">
        <f>IFERROR(__xludf.DUMMYFUNCTION("""COMPUTED_VALUE"""),"DMK")</f>
        <v>DMK</v>
      </c>
      <c r="O1076" s="145" t="str">
        <f>IFERROR(__xludf.DUMMYFUNCTION("""COMPUTED_VALUE"""),"Um Home")</f>
        <v>Um Home</v>
      </c>
      <c r="P1076" t="str">
        <f>IFERROR(__xludf.DUMMYFUNCTION("""COMPUTED_VALUE"""),"Active")</f>
        <v>Active</v>
      </c>
      <c r="R1076" s="159">
        <f>IFERROR(__xludf.DUMMYFUNCTION("""COMPUTED_VALUE"""),34063.0)</f>
        <v>34063</v>
      </c>
      <c r="S1076" s="146" t="str">
        <f>IFERROR(__xludf.DUMMYFUNCTION("""COMPUTED_VALUE"""),"061-909-3838")</f>
        <v>061-909-3838</v>
      </c>
      <c r="T1076" s="147">
        <f>IFERROR(__xludf.DUMMYFUNCTION("""COMPUTED_VALUE"""),1.100600271207E12)</f>
        <v>1100600271207</v>
      </c>
      <c r="U1076" t="str">
        <f>IFERROR(__xludf.DUMMYFUNCTION("""COMPUTED_VALUE"""),"AC4928045")</f>
        <v>AC4928045</v>
      </c>
      <c r="V1076" s="148">
        <f>IFERROR(__xludf.DUMMYFUNCTION("""COMPUTED_VALUE"""),45057.0)</f>
        <v>45057</v>
      </c>
      <c r="W1076" s="148">
        <f>IFERROR(__xludf.DUMMYFUNCTION("""COMPUTED_VALUE"""),46883.0)</f>
        <v>46883</v>
      </c>
      <c r="X1076" s="149">
        <f>IFERROR(__xludf.DUMMYFUNCTION("""COMPUTED_VALUE"""),46701.0)</f>
        <v>46701</v>
      </c>
      <c r="Y1076" t="str">
        <f>IFERROR(__xludf.DUMMYFUNCTION("""COMPUTED_VALUE"""),"ปลอดภัย")</f>
        <v>ปลอดภัย</v>
      </c>
      <c r="Z1076" t="str">
        <f>IFERROR(__xludf.DUMMYFUNCTION("""COMPUTED_VALUE"""),"Bangkok")</f>
        <v>Bangkok</v>
      </c>
      <c r="AA1076" t="str">
        <f>IFERROR(__xludf.DUMMYFUNCTION("""COMPUTED_VALUE"""),"Bangkok")</f>
        <v>Bangkok</v>
      </c>
      <c r="AB1076" s="145" t="str">
        <f>IFERROR(__xludf.DUMMYFUNCTION("""COMPUTED_VALUE"""),"085-114-2254")</f>
        <v>085-114-2254</v>
      </c>
      <c r="AC1076" t="str">
        <f>IFERROR(__xludf.DUMMYFUNCTION("""COMPUTED_VALUE"""),"นางสาว อโนมา ธำรงรัตน์ Mother")</f>
        <v>นางสาว อโนมา ธำรงรัตน์ Mother</v>
      </c>
      <c r="AD1076" t="str">
        <f>IFERROR(__xludf.DUMMYFUNCTION("""COMPUTED_VALUE"""),"chanagunp@airasia.com")</f>
        <v>chanagunp@airasia.com</v>
      </c>
    </row>
    <row r="1077">
      <c r="A1077" s="142">
        <f>IFERROR(__xludf.DUMMYFUNCTION("""COMPUTED_VALUE"""),103.0)</f>
        <v>103</v>
      </c>
      <c r="C1077">
        <f>IFERROR(__xludf.DUMMYFUNCTION("""COMPUTED_VALUE"""),1012256.0)</f>
        <v>1012256</v>
      </c>
      <c r="D1077" t="str">
        <f>IFERROR(__xludf.DUMMYFUNCTION("""COMPUTED_VALUE"""),"Mr.")</f>
        <v>Mr.</v>
      </c>
      <c r="E1077" t="str">
        <f>IFERROR(__xludf.DUMMYFUNCTION("""COMPUTED_VALUE"""),"Sarayut")</f>
        <v>Sarayut</v>
      </c>
      <c r="F1077" t="str">
        <f>IFERROR(__xludf.DUMMYFUNCTION("""COMPUTED_VALUE"""),"Ungsaichue")</f>
        <v>Ungsaichue</v>
      </c>
      <c r="G1077" t="str">
        <f>IFERROR(__xludf.DUMMYFUNCTION("""COMPUTED_VALUE"""),"Sarayut Ungsaichue")</f>
        <v>Sarayut Ungsaichue</v>
      </c>
      <c r="H1077" t="str">
        <f>IFERROR(__xludf.DUMMYFUNCTION("""COMPUTED_VALUE"""),"นาย")</f>
        <v>นาย</v>
      </c>
      <c r="I1077" t="str">
        <f>IFERROR(__xludf.DUMMYFUNCTION("""COMPUTED_VALUE"""),"ศรายุทธ​")</f>
        <v>ศรายุทธ​</v>
      </c>
      <c r="J1077" t="str">
        <f>IFERROR(__xludf.DUMMYFUNCTION("""COMPUTED_VALUE"""),"อึ​้งสายเชื้อ​")</f>
        <v>อึ​้งสายเชื้อ​</v>
      </c>
      <c r="K1077" t="str">
        <f>IFERROR(__xludf.DUMMYFUNCTION("""COMPUTED_VALUE"""),"ศรายุทธ​ อึ​้งสายเชื้อ​")</f>
        <v>ศรายุทธ​ อึ​้งสายเชื้อ​</v>
      </c>
      <c r="L1077" t="str">
        <f>IFERROR(__xludf.DUMMYFUNCTION("""COMPUTED_VALUE"""),"เก่ง")</f>
        <v>เก่ง</v>
      </c>
      <c r="M1077" t="str">
        <f>IFERROR(__xludf.DUMMYFUNCTION("""COMPUTED_VALUE"""),"Cabin Crew")</f>
        <v>Cabin Crew</v>
      </c>
      <c r="N1077" t="str">
        <f>IFERROR(__xludf.DUMMYFUNCTION("""COMPUTED_VALUE"""),"DMK")</f>
        <v>DMK</v>
      </c>
      <c r="O1077" s="145" t="str">
        <f>IFERROR(__xludf.DUMMYFUNCTION("""COMPUTED_VALUE"""),"Por+ Home")</f>
        <v>Por+ Home</v>
      </c>
      <c r="P1077" t="str">
        <f>IFERROR(__xludf.DUMMYFUNCTION("""COMPUTED_VALUE"""),"Active")</f>
        <v>Active</v>
      </c>
      <c r="R1077" s="159">
        <f>IFERROR(__xludf.DUMMYFUNCTION("""COMPUTED_VALUE"""),34143.0)</f>
        <v>34143</v>
      </c>
      <c r="S1077" s="146">
        <f>IFERROR(__xludf.DUMMYFUNCTION("""COMPUTED_VALUE"""),9.44605769E8)</f>
        <v>944605769</v>
      </c>
      <c r="T1077" s="147">
        <f>IFERROR(__xludf.DUMMYFUNCTION("""COMPUTED_VALUE"""),1.100800895921E12)</f>
        <v>1100800895921</v>
      </c>
      <c r="U1077" t="str">
        <f>IFERROR(__xludf.DUMMYFUNCTION("""COMPUTED_VALUE"""),"AD0327422")</f>
        <v>AD0327422</v>
      </c>
      <c r="V1077" s="148">
        <f>IFERROR(__xludf.DUMMYFUNCTION("""COMPUTED_VALUE"""),44868.0)</f>
        <v>44868</v>
      </c>
      <c r="W1077" s="148">
        <f>IFERROR(__xludf.DUMMYFUNCTION("""COMPUTED_VALUE"""),46693.0)</f>
        <v>46693</v>
      </c>
      <c r="X1077" s="149">
        <f>IFERROR(__xludf.DUMMYFUNCTION("""COMPUTED_VALUE"""),46509.0)</f>
        <v>46509</v>
      </c>
      <c r="Y1077" t="str">
        <f>IFERROR(__xludf.DUMMYFUNCTION("""COMPUTED_VALUE"""),"ปลอดภัย")</f>
        <v>ปลอดภัย</v>
      </c>
      <c r="Z1077" t="str">
        <f>IFERROR(__xludf.DUMMYFUNCTION("""COMPUTED_VALUE"""),"Bangkok")</f>
        <v>Bangkok</v>
      </c>
      <c r="AA1077" t="str">
        <f>IFERROR(__xludf.DUMMYFUNCTION("""COMPUTED_VALUE"""),"Bangkok")</f>
        <v>Bangkok</v>
      </c>
      <c r="AB1077" s="145" t="str">
        <f>IFERROR(__xludf.DUMMYFUNCTION("""COMPUTED_VALUE"""),"0657656551")</f>
        <v>0657656551</v>
      </c>
      <c r="AC1077" t="str">
        <f>IFERROR(__xludf.DUMMYFUNCTION("""COMPUTED_VALUE"""),"นางพรพิมล​ อึ​้งสายเชื้อ​ Mother")</f>
        <v>นางพรพิมล​ อึ​้งสายเชื้อ​ Mother</v>
      </c>
      <c r="AD1077" t="str">
        <f>IFERROR(__xludf.DUMMYFUNCTION("""COMPUTED_VALUE"""),"sarayutu@airasia.com")</f>
        <v>sarayutu@airasia.com</v>
      </c>
    </row>
    <row r="1078">
      <c r="A1078" s="142">
        <f>IFERROR(__xludf.DUMMYFUNCTION("""COMPUTED_VALUE"""),103.0)</f>
        <v>103</v>
      </c>
      <c r="C1078">
        <f>IFERROR(__xludf.DUMMYFUNCTION("""COMPUTED_VALUE"""),1013600.0)</f>
        <v>1013600</v>
      </c>
      <c r="D1078" t="str">
        <f>IFERROR(__xludf.DUMMYFUNCTION("""COMPUTED_VALUE"""),"Ms.")</f>
        <v>Ms.</v>
      </c>
      <c r="E1078" t="str">
        <f>IFERROR(__xludf.DUMMYFUNCTION("""COMPUTED_VALUE"""),"Ammarawadee")</f>
        <v>Ammarawadee</v>
      </c>
      <c r="F1078" t="str">
        <f>IFERROR(__xludf.DUMMYFUNCTION("""COMPUTED_VALUE"""),"Sornsuphap")</f>
        <v>Sornsuphap</v>
      </c>
      <c r="G1078" t="str">
        <f>IFERROR(__xludf.DUMMYFUNCTION("""COMPUTED_VALUE"""),"Ammarawadee Sornsuphap")</f>
        <v>Ammarawadee Sornsuphap</v>
      </c>
      <c r="H1078" t="str">
        <f>IFERROR(__xludf.DUMMYFUNCTION("""COMPUTED_VALUE"""),"นางสาว")</f>
        <v>นางสาว</v>
      </c>
      <c r="I1078" t="str">
        <f>IFERROR(__xludf.DUMMYFUNCTION("""COMPUTED_VALUE"""),"อมราวดี")</f>
        <v>อมราวดี</v>
      </c>
      <c r="J1078" t="str">
        <f>IFERROR(__xludf.DUMMYFUNCTION("""COMPUTED_VALUE"""),"สอนสุภาพ")</f>
        <v>สอนสุภาพ</v>
      </c>
      <c r="K1078" t="str">
        <f>IFERROR(__xludf.DUMMYFUNCTION("""COMPUTED_VALUE"""),"อมราวดี สอนสุภาพ")</f>
        <v>อมราวดี สอนสุภาพ</v>
      </c>
      <c r="L1078" t="str">
        <f>IFERROR(__xludf.DUMMYFUNCTION("""COMPUTED_VALUE"""),"ก๋อมแก๋ม")</f>
        <v>ก๋อมแก๋ม</v>
      </c>
      <c r="M1078" t="str">
        <f>IFERROR(__xludf.DUMMYFUNCTION("""COMPUTED_VALUE"""),"Cabin Crew")</f>
        <v>Cabin Crew</v>
      </c>
      <c r="N1078" t="str">
        <f>IFERROR(__xludf.DUMMYFUNCTION("""COMPUTED_VALUE"""),"DMK")</f>
        <v>DMK</v>
      </c>
      <c r="O1078" s="145" t="str">
        <f>IFERROR(__xludf.DUMMYFUNCTION("""COMPUTED_VALUE"""),"Toffy Home")</f>
        <v>Toffy Home</v>
      </c>
      <c r="P1078" t="str">
        <f>IFERROR(__xludf.DUMMYFUNCTION("""COMPUTED_VALUE"""),"Active")</f>
        <v>Active</v>
      </c>
      <c r="R1078" s="159">
        <f>IFERROR(__xludf.DUMMYFUNCTION("""COMPUTED_VALUE"""),33811.0)</f>
        <v>33811</v>
      </c>
      <c r="S1078" s="146" t="str">
        <f>IFERROR(__xludf.DUMMYFUNCTION("""COMPUTED_VALUE"""),"098-353-9294")</f>
        <v>098-353-9294</v>
      </c>
      <c r="T1078" s="147">
        <f>IFERROR(__xludf.DUMMYFUNCTION("""COMPUTED_VALUE"""),1.350100249154E12)</f>
        <v>1350100249154</v>
      </c>
      <c r="U1078" t="str">
        <f>IFERROR(__xludf.DUMMYFUNCTION("""COMPUTED_VALUE"""),"AC8420405")</f>
        <v>AC8420405</v>
      </c>
      <c r="V1078" s="148">
        <f>IFERROR(__xludf.DUMMYFUNCTION("""COMPUTED_VALUE"""),46085.0)</f>
        <v>46085</v>
      </c>
      <c r="W1078" s="148">
        <f>IFERROR(__xludf.DUMMYFUNCTION("""COMPUTED_VALUE"""),47910.0)</f>
        <v>47910</v>
      </c>
      <c r="X1078" s="149">
        <f>IFERROR(__xludf.DUMMYFUNCTION("""COMPUTED_VALUE"""),47729.0)</f>
        <v>47729</v>
      </c>
      <c r="Y1078" t="str">
        <f>IFERROR(__xludf.DUMMYFUNCTION("""COMPUTED_VALUE"""),"ปลอดภัย")</f>
        <v>ปลอดภัย</v>
      </c>
      <c r="Z1078" t="str">
        <f>IFERROR(__xludf.DUMMYFUNCTION("""COMPUTED_VALUE"""),"Yasothon Province")</f>
        <v>Yasothon Province</v>
      </c>
      <c r="AA1078" t="str">
        <f>IFERROR(__xludf.DUMMYFUNCTION("""COMPUTED_VALUE"""),"Bangkok")</f>
        <v>Bangkok</v>
      </c>
      <c r="AB1078" s="145" t="str">
        <f>IFERROR(__xludf.DUMMYFUNCTION("""COMPUTED_VALUE"""),"0935596303")</f>
        <v>0935596303</v>
      </c>
      <c r="AC1078" t="str">
        <f>IFERROR(__xludf.DUMMYFUNCTION("""COMPUTED_VALUE"""),"ศิวนันท์ พรรณวัชรีไชย Friend")</f>
        <v>ศิวนันท์ พรรณวัชรีไชย Friend</v>
      </c>
      <c r="AD1078" t="str">
        <f>IFERROR(__xludf.DUMMYFUNCTION("""COMPUTED_VALUE"""),"ammarawadees@airasia.com")</f>
        <v>ammarawadees@airasia.com</v>
      </c>
    </row>
    <row r="1079">
      <c r="A1079" s="142">
        <f>IFERROR(__xludf.DUMMYFUNCTION("""COMPUTED_VALUE"""),103.0)</f>
        <v>103</v>
      </c>
      <c r="C1079">
        <f>IFERROR(__xludf.DUMMYFUNCTION("""COMPUTED_VALUE"""),1014241.0)</f>
        <v>1014241</v>
      </c>
      <c r="D1079" t="str">
        <f>IFERROR(__xludf.DUMMYFUNCTION("""COMPUTED_VALUE"""),"Ms.")</f>
        <v>Ms.</v>
      </c>
      <c r="E1079" t="str">
        <f>IFERROR(__xludf.DUMMYFUNCTION("""COMPUTED_VALUE"""),"Kittima")</f>
        <v>Kittima</v>
      </c>
      <c r="F1079" t="str">
        <f>IFERROR(__xludf.DUMMYFUNCTION("""COMPUTED_VALUE"""),"Khongnukool")</f>
        <v>Khongnukool</v>
      </c>
      <c r="G1079" t="str">
        <f>IFERROR(__xludf.DUMMYFUNCTION("""COMPUTED_VALUE"""),"Kittima Khongnukool")</f>
        <v>Kittima Khongnukool</v>
      </c>
      <c r="H1079" t="str">
        <f>IFERROR(__xludf.DUMMYFUNCTION("""COMPUTED_VALUE"""),"นางสาว")</f>
        <v>นางสาว</v>
      </c>
      <c r="I1079" t="str">
        <f>IFERROR(__xludf.DUMMYFUNCTION("""COMPUTED_VALUE"""),"กิตติมา")</f>
        <v>กิตติมา</v>
      </c>
      <c r="J1079" t="str">
        <f>IFERROR(__xludf.DUMMYFUNCTION("""COMPUTED_VALUE"""),"คงนุกูล")</f>
        <v>คงนุกูล</v>
      </c>
      <c r="K1079" t="str">
        <f>IFERROR(__xludf.DUMMYFUNCTION("""COMPUTED_VALUE"""),"กิตติมา คงนุกูล")</f>
        <v>กิตติมา คงนุกูล</v>
      </c>
      <c r="L1079" t="str">
        <f>IFERROR(__xludf.DUMMYFUNCTION("""COMPUTED_VALUE"""),"Nan / แนน")</f>
        <v>Nan / แนน</v>
      </c>
      <c r="M1079" t="str">
        <f>IFERROR(__xludf.DUMMYFUNCTION("""COMPUTED_VALUE"""),"Cabin Crew")</f>
        <v>Cabin Crew</v>
      </c>
      <c r="N1079" t="str">
        <f>IFERROR(__xludf.DUMMYFUNCTION("""COMPUTED_VALUE"""),"DMK")</f>
        <v>DMK</v>
      </c>
      <c r="O1079" s="145" t="str">
        <f>IFERROR(__xludf.DUMMYFUNCTION("""COMPUTED_VALUE"""),"Kor Home")</f>
        <v>Kor Home</v>
      </c>
      <c r="P1079" t="str">
        <f>IFERROR(__xludf.DUMMYFUNCTION("""COMPUTED_VALUE"""),"Active")</f>
        <v>Active</v>
      </c>
      <c r="R1079" s="159">
        <f>IFERROR(__xludf.DUMMYFUNCTION("""COMPUTED_VALUE"""),34006.0)</f>
        <v>34006</v>
      </c>
      <c r="S1079" s="146">
        <f>IFERROR(__xludf.DUMMYFUNCTION("""COMPUTED_VALUE"""),8.90090387E8)</f>
        <v>890090387</v>
      </c>
      <c r="T1079" s="147">
        <f>IFERROR(__xludf.DUMMYFUNCTION("""COMPUTED_VALUE"""),1.809800099906E12)</f>
        <v>1809800099906</v>
      </c>
      <c r="U1079" t="str">
        <f>IFERROR(__xludf.DUMMYFUNCTION("""COMPUTED_VALUE"""),"AC4007033")</f>
        <v>AC4007033</v>
      </c>
      <c r="V1079" s="148">
        <f>IFERROR(__xludf.DUMMYFUNCTION("""COMPUTED_VALUE"""),44813.0)</f>
        <v>44813</v>
      </c>
      <c r="W1079" s="148">
        <f>IFERROR(__xludf.DUMMYFUNCTION("""COMPUTED_VALUE"""),48465.0)</f>
        <v>48465</v>
      </c>
      <c r="X1079" s="149">
        <f>IFERROR(__xludf.DUMMYFUNCTION("""COMPUTED_VALUE"""),48281.0)</f>
        <v>48281</v>
      </c>
      <c r="Y1079" t="str">
        <f>IFERROR(__xludf.DUMMYFUNCTION("""COMPUTED_VALUE"""),"ปลอดภัย")</f>
        <v>ปลอดภัย</v>
      </c>
      <c r="Z1079" t="str">
        <f>IFERROR(__xludf.DUMMYFUNCTION("""COMPUTED_VALUE"""),"Nakhon Si Thammarat Province")</f>
        <v>Nakhon Si Thammarat Province</v>
      </c>
      <c r="AA1079" t="str">
        <f>IFERROR(__xludf.DUMMYFUNCTION("""COMPUTED_VALUE"""),"Bangkok")</f>
        <v>Bangkok</v>
      </c>
      <c r="AB1079" s="145" t="str">
        <f>IFERROR(__xludf.DUMMYFUNCTION("""COMPUTED_VALUE"""),"0901639727")</f>
        <v>0901639727</v>
      </c>
      <c r="AC1079" t="str">
        <f>IFERROR(__xludf.DUMMYFUNCTION("""COMPUTED_VALUE"""),"นายสมศักดิ์ คงนุกูล Father")</f>
        <v>นายสมศักดิ์ คงนุกูล Father</v>
      </c>
      <c r="AD1079" t="str">
        <f>IFERROR(__xludf.DUMMYFUNCTION("""COMPUTED_VALUE"""),"kittimah@airasia.com")</f>
        <v>kittimah@airasia.com</v>
      </c>
    </row>
    <row r="1080">
      <c r="AD1080" t="str">
        <f>IFERROR(__xludf.DUMMYFUNCTION("""COMPUTED_VALUE"""),"")</f>
        <v/>
      </c>
    </row>
    <row r="1081">
      <c r="A1081" s="142">
        <f>IFERROR(__xludf.DUMMYFUNCTION("""COMPUTED_VALUE"""),104.0)</f>
        <v>104</v>
      </c>
      <c r="C1081" s="161">
        <f>IFERROR(__xludf.DUMMYFUNCTION("""COMPUTED_VALUE"""),1040171.0)</f>
        <v>1040171</v>
      </c>
      <c r="D1081" t="str">
        <f>IFERROR(__xludf.DUMMYFUNCTION("""COMPUTED_VALUE"""),"Mr.")</f>
        <v>Mr.</v>
      </c>
      <c r="E1081" t="str">
        <f>IFERROR(__xludf.DUMMYFUNCTION("""COMPUTED_VALUE"""),"Chaiyawat")</f>
        <v>Chaiyawat</v>
      </c>
      <c r="F1081" t="str">
        <f>IFERROR(__xludf.DUMMYFUNCTION("""COMPUTED_VALUE"""),"Sripornsawan")</f>
        <v>Sripornsawan</v>
      </c>
      <c r="G1081" t="str">
        <f>IFERROR(__xludf.DUMMYFUNCTION("""COMPUTED_VALUE"""),"Chaiyawat Sripornsawan")</f>
        <v>Chaiyawat Sripornsawan</v>
      </c>
      <c r="H1081" t="str">
        <f>IFERROR(__xludf.DUMMYFUNCTION("""COMPUTED_VALUE"""),"นาย")</f>
        <v>นาย</v>
      </c>
      <c r="I1081" t="str">
        <f>IFERROR(__xludf.DUMMYFUNCTION("""COMPUTED_VALUE"""),"ไชยวัฒน์")</f>
        <v>ไชยวัฒน์</v>
      </c>
      <c r="J1081" t="str">
        <f>IFERROR(__xludf.DUMMYFUNCTION("""COMPUTED_VALUE"""),"ศรีพรสวรรค์")</f>
        <v>ศรีพรสวรรค์</v>
      </c>
      <c r="K1081" t="str">
        <f>IFERROR(__xludf.DUMMYFUNCTION("""COMPUTED_VALUE"""),"ไชยวัฒน์ ศรีพรสวรรค์")</f>
        <v>ไชยวัฒน์ ศรีพรสวรรค์</v>
      </c>
      <c r="L1081" t="str">
        <f>IFERROR(__xludf.DUMMYFUNCTION("""COMPUTED_VALUE"""),"น็อต")</f>
        <v>น็อต</v>
      </c>
      <c r="M1081" t="str">
        <f>IFERROR(__xludf.DUMMYFUNCTION("""COMPUTED_VALUE"""),"Cabin Crew")</f>
        <v>Cabin Crew</v>
      </c>
      <c r="N1081" t="str">
        <f>IFERROR(__xludf.DUMMYFUNCTION("""COMPUTED_VALUE"""),"DMK")</f>
        <v>DMK</v>
      </c>
      <c r="O1081" s="145" t="str">
        <f>IFERROR(__xludf.DUMMYFUNCTION("""COMPUTED_VALUE"""),"Por+ Home")</f>
        <v>Por+ Home</v>
      </c>
      <c r="P1081" t="str">
        <f>IFERROR(__xludf.DUMMYFUNCTION("""COMPUTED_VALUE"""),"Active")</f>
        <v>Active</v>
      </c>
      <c r="R1081" s="159">
        <f>IFERROR(__xludf.DUMMYFUNCTION("""COMPUTED_VALUE"""),33636.0)</f>
        <v>33636</v>
      </c>
      <c r="S1081" s="146">
        <f>IFERROR(__xludf.DUMMYFUNCTION("""COMPUTED_VALUE"""),6.25145593E8)</f>
        <v>625145593</v>
      </c>
      <c r="T1081" s="147">
        <f>IFERROR(__xludf.DUMMYFUNCTION("""COMPUTED_VALUE"""),1.959800076379E12)</f>
        <v>1959800076379</v>
      </c>
      <c r="U1081" t="str">
        <f>IFERROR(__xludf.DUMMYFUNCTION("""COMPUTED_VALUE"""),"ADO177424")</f>
        <v>ADO177424</v>
      </c>
      <c r="V1081" s="148">
        <f>IFERROR(__xludf.DUMMYFUNCTION("""COMPUTED_VALUE"""),44861.0)</f>
        <v>44861</v>
      </c>
      <c r="W1081" s="148">
        <f>IFERROR(__xludf.DUMMYFUNCTION("""COMPUTED_VALUE"""),48513.0)</f>
        <v>48513</v>
      </c>
      <c r="X1081" s="149">
        <f>IFERROR(__xludf.DUMMYFUNCTION("""COMPUTED_VALUE"""),48330.0)</f>
        <v>48330</v>
      </c>
      <c r="Y1081" t="str">
        <f>IFERROR(__xludf.DUMMYFUNCTION("""COMPUTED_VALUE"""),"ปลอดภัย")</f>
        <v>ปลอดภัย</v>
      </c>
      <c r="Z1081" t="str">
        <f>IFERROR(__xludf.DUMMYFUNCTION("""COMPUTED_VALUE"""),"Yala Province")</f>
        <v>Yala Province</v>
      </c>
      <c r="AA1081" t="str">
        <f>IFERROR(__xludf.DUMMYFUNCTION("""COMPUTED_VALUE"""),"Nontaburi")</f>
        <v>Nontaburi</v>
      </c>
      <c r="AB1081" s="145" t="str">
        <f>IFERROR(__xludf.DUMMYFUNCTION("""COMPUTED_VALUE"""),"0818985790")</f>
        <v>0818985790</v>
      </c>
      <c r="AC1081" t="str">
        <f>IFERROR(__xludf.DUMMYFUNCTION("""COMPUTED_VALUE"""),"นายสรรชัย ศรีพรสวรรค์ Father")</f>
        <v>นายสรรชัย ศรีพรสวรรค์ Father</v>
      </c>
      <c r="AD1081" t="str">
        <f>IFERROR(__xludf.DUMMYFUNCTION("""COMPUTED_VALUE"""),"chaiyawatsripornsaw@airasia.com")</f>
        <v>chaiyawatsripornsaw@airasia.com</v>
      </c>
    </row>
    <row r="1082">
      <c r="A1082" s="142">
        <f>IFERROR(__xludf.DUMMYFUNCTION("""COMPUTED_VALUE"""),104.0)</f>
        <v>104</v>
      </c>
      <c r="C1082" s="161">
        <f>IFERROR(__xludf.DUMMYFUNCTION("""COMPUTED_VALUE"""),1023519.0)</f>
        <v>1023519</v>
      </c>
      <c r="D1082" t="str">
        <f>IFERROR(__xludf.DUMMYFUNCTION("""COMPUTED_VALUE"""),"Ms.")</f>
        <v>Ms.</v>
      </c>
      <c r="E1082" t="str">
        <f>IFERROR(__xludf.DUMMYFUNCTION("""COMPUTED_VALUE"""),"Chuleepohn")</f>
        <v>Chuleepohn</v>
      </c>
      <c r="F1082" t="str">
        <f>IFERROR(__xludf.DUMMYFUNCTION("""COMPUTED_VALUE"""),"Saeiab")</f>
        <v>Saeiab</v>
      </c>
      <c r="G1082" t="str">
        <f>IFERROR(__xludf.DUMMYFUNCTION("""COMPUTED_VALUE"""),"Chuleepohn Saeiab")</f>
        <v>Chuleepohn Saeiab</v>
      </c>
      <c r="H1082" t="str">
        <f>IFERROR(__xludf.DUMMYFUNCTION("""COMPUTED_VALUE"""),"นางสาว")</f>
        <v>นางสาว</v>
      </c>
      <c r="I1082" t="str">
        <f>IFERROR(__xludf.DUMMYFUNCTION("""COMPUTED_VALUE"""),"ชุลีพร")</f>
        <v>ชุลีพร</v>
      </c>
      <c r="J1082" t="str">
        <f>IFERROR(__xludf.DUMMYFUNCTION("""COMPUTED_VALUE"""),"แซ่เอี๊ยบ")</f>
        <v>แซ่เอี๊ยบ</v>
      </c>
      <c r="K1082" t="str">
        <f>IFERROR(__xludf.DUMMYFUNCTION("""COMPUTED_VALUE"""),"ชุลีพร แซ่เอี๊ยบ")</f>
        <v>ชุลีพร แซ่เอี๊ยบ</v>
      </c>
      <c r="L1082" t="str">
        <f>IFERROR(__xludf.DUMMYFUNCTION("""COMPUTED_VALUE"""),"May / เมย์")</f>
        <v>May / เมย์</v>
      </c>
      <c r="M1082" t="str">
        <f>IFERROR(__xludf.DUMMYFUNCTION("""COMPUTED_VALUE"""),"Cabin Crew")</f>
        <v>Cabin Crew</v>
      </c>
      <c r="N1082" t="str">
        <f>IFERROR(__xludf.DUMMYFUNCTION("""COMPUTED_VALUE"""),"DMK")</f>
        <v>DMK</v>
      </c>
      <c r="O1082" s="145" t="str">
        <f>IFERROR(__xludf.DUMMYFUNCTION("""COMPUTED_VALUE"""),"Toffy Home")</f>
        <v>Toffy Home</v>
      </c>
      <c r="P1082" t="str">
        <f>IFERROR(__xludf.DUMMYFUNCTION("""COMPUTED_VALUE"""),"Active")</f>
        <v>Active</v>
      </c>
      <c r="R1082" s="159">
        <f>IFERROR(__xludf.DUMMYFUNCTION("""COMPUTED_VALUE"""),34665.0)</f>
        <v>34665</v>
      </c>
      <c r="S1082" s="146" t="str">
        <f>IFERROR(__xludf.DUMMYFUNCTION("""COMPUTED_VALUE"""),"098-289-6977")</f>
        <v>098-289-6977</v>
      </c>
      <c r="T1082" s="147">
        <f>IFERROR(__xludf.DUMMYFUNCTION("""COMPUTED_VALUE"""),1.849900128738E12)</f>
        <v>1849900128738</v>
      </c>
      <c r="U1082" t="str">
        <f>IFERROR(__xludf.DUMMYFUNCTION("""COMPUTED_VALUE"""),"AD0035897")</f>
        <v>AD0035897</v>
      </c>
      <c r="V1082" s="148">
        <f>IFERROR(__xludf.DUMMYFUNCTION("""COMPUTED_VALUE"""),44825.0)</f>
        <v>44825</v>
      </c>
      <c r="W1082" s="148">
        <f>IFERROR(__xludf.DUMMYFUNCTION("""COMPUTED_VALUE"""),48477.0)</f>
        <v>48477</v>
      </c>
      <c r="X1082" s="149">
        <f>IFERROR(__xludf.DUMMYFUNCTION("""COMPUTED_VALUE"""),48293.0)</f>
        <v>48293</v>
      </c>
      <c r="Y1082" t="str">
        <f>IFERROR(__xludf.DUMMYFUNCTION("""COMPUTED_VALUE"""),"ปลอดภัย")</f>
        <v>ปลอดภัย</v>
      </c>
      <c r="Z1082" t="str">
        <f>IFERROR(__xludf.DUMMYFUNCTION("""COMPUTED_VALUE"""),"Surat Thani Province")</f>
        <v>Surat Thani Province</v>
      </c>
      <c r="AA1082" t="str">
        <f>IFERROR(__xludf.DUMMYFUNCTION("""COMPUTED_VALUE"""),"Bangkok")</f>
        <v>Bangkok</v>
      </c>
      <c r="AB1082" s="145" t="str">
        <f>IFERROR(__xludf.DUMMYFUNCTION("""COMPUTED_VALUE"""),"061-546-3654")</f>
        <v>061-546-3654</v>
      </c>
      <c r="AC1082" t="str">
        <f>IFERROR(__xludf.DUMMYFUNCTION("""COMPUTED_VALUE"""),"นายธนทัต แสนวิเศษ Friend")</f>
        <v>นายธนทัต แสนวิเศษ Friend</v>
      </c>
      <c r="AD1082" t="str">
        <f>IFERROR(__xludf.DUMMYFUNCTION("""COMPUTED_VALUE"""),"chuleepohnsaeiab@airasia.com")</f>
        <v>chuleepohnsaeiab@airasia.com</v>
      </c>
    </row>
    <row r="1083">
      <c r="A1083" s="142">
        <f>IFERROR(__xludf.DUMMYFUNCTION("""COMPUTED_VALUE"""),104.0)</f>
        <v>104</v>
      </c>
      <c r="C1083" s="161">
        <f>IFERROR(__xludf.DUMMYFUNCTION("""COMPUTED_VALUE"""),1014254.0)</f>
        <v>1014254</v>
      </c>
      <c r="D1083" t="str">
        <f>IFERROR(__xludf.DUMMYFUNCTION("""COMPUTED_VALUE"""),"Mr.")</f>
        <v>Mr.</v>
      </c>
      <c r="E1083" t="str">
        <f>IFERROR(__xludf.DUMMYFUNCTION("""COMPUTED_VALUE"""),"Sivakron")</f>
        <v>Sivakron</v>
      </c>
      <c r="F1083" t="str">
        <f>IFERROR(__xludf.DUMMYFUNCTION("""COMPUTED_VALUE"""),"Montriwat")</f>
        <v>Montriwat</v>
      </c>
      <c r="G1083" t="str">
        <f>IFERROR(__xludf.DUMMYFUNCTION("""COMPUTED_VALUE"""),"Sivakron Montriwat")</f>
        <v>Sivakron Montriwat</v>
      </c>
      <c r="H1083" t="str">
        <f>IFERROR(__xludf.DUMMYFUNCTION("""COMPUTED_VALUE"""),"นาย")</f>
        <v>นาย</v>
      </c>
      <c r="I1083" t="str">
        <f>IFERROR(__xludf.DUMMYFUNCTION("""COMPUTED_VALUE"""),"ศิวกร")</f>
        <v>ศิวกร</v>
      </c>
      <c r="J1083" t="str">
        <f>IFERROR(__xludf.DUMMYFUNCTION("""COMPUTED_VALUE"""),"มนตรีวัตร")</f>
        <v>มนตรีวัตร</v>
      </c>
      <c r="K1083" t="str">
        <f>IFERROR(__xludf.DUMMYFUNCTION("""COMPUTED_VALUE"""),"ศิวกร มนตรีวัตร")</f>
        <v>ศิวกร มนตรีวัตร</v>
      </c>
      <c r="L1083" t="str">
        <f>IFERROR(__xludf.DUMMYFUNCTION("""COMPUTED_VALUE"""),"Chopper / ชอปเปอร์")</f>
        <v>Chopper / ชอปเปอร์</v>
      </c>
      <c r="M1083" t="str">
        <f>IFERROR(__xludf.DUMMYFUNCTION("""COMPUTED_VALUE"""),"Cabin Crew")</f>
        <v>Cabin Crew</v>
      </c>
      <c r="N1083" t="str">
        <f>IFERROR(__xludf.DUMMYFUNCTION("""COMPUTED_VALUE"""),"DMK")</f>
        <v>DMK</v>
      </c>
      <c r="O1083" s="145" t="str">
        <f>IFERROR(__xludf.DUMMYFUNCTION("""COMPUTED_VALUE"""),"Kor Home")</f>
        <v>Kor Home</v>
      </c>
      <c r="P1083" t="str">
        <f>IFERROR(__xludf.DUMMYFUNCTION("""COMPUTED_VALUE"""),"Active")</f>
        <v>Active</v>
      </c>
      <c r="R1083" s="159">
        <f>IFERROR(__xludf.DUMMYFUNCTION("""COMPUTED_VALUE"""),34326.0)</f>
        <v>34326</v>
      </c>
      <c r="S1083" s="146">
        <f>IFERROR(__xludf.DUMMYFUNCTION("""COMPUTED_VALUE"""),8.30475456E8)</f>
        <v>830475456</v>
      </c>
      <c r="T1083" s="147">
        <f>IFERROR(__xludf.DUMMYFUNCTION("""COMPUTED_VALUE"""),1.103000056863E12)</f>
        <v>1103000056863</v>
      </c>
      <c r="U1083" t="str">
        <f>IFERROR(__xludf.DUMMYFUNCTION("""COMPUTED_VALUE"""),"AC2401365")</f>
        <v>AC2401365</v>
      </c>
      <c r="V1083" s="148">
        <f>IFERROR(__xludf.DUMMYFUNCTION("""COMPUTED_VALUE"""),44432.0)</f>
        <v>44432</v>
      </c>
      <c r="W1083" s="148">
        <f>IFERROR(__xludf.DUMMYFUNCTION("""COMPUTED_VALUE"""),48083.0)</f>
        <v>48083</v>
      </c>
      <c r="X1083" s="149">
        <f>IFERROR(__xludf.DUMMYFUNCTION("""COMPUTED_VALUE"""),47902.0)</f>
        <v>47902</v>
      </c>
      <c r="Y1083" t="str">
        <f>IFERROR(__xludf.DUMMYFUNCTION("""COMPUTED_VALUE"""),"ปลอดภัย")</f>
        <v>ปลอดภัย</v>
      </c>
      <c r="Z1083" t="str">
        <f>IFERROR(__xludf.DUMMYFUNCTION("""COMPUTED_VALUE"""),"Bangkok")</f>
        <v>Bangkok</v>
      </c>
      <c r="AA1083" t="str">
        <f>IFERROR(__xludf.DUMMYFUNCTION("""COMPUTED_VALUE"""),"Bangkok")</f>
        <v>Bangkok</v>
      </c>
      <c r="AB1083" s="145" t="str">
        <f>IFERROR(__xludf.DUMMYFUNCTION("""COMPUTED_VALUE"""),"0840994414")</f>
        <v>0840994414</v>
      </c>
      <c r="AC1083" t="str">
        <f>IFERROR(__xludf.DUMMYFUNCTION("""COMPUTED_VALUE"""),"นางสาว ณัฐนันท์ พงศ์สุทธิคุณ Friend")</f>
        <v>นางสาว ณัฐนันท์ พงศ์สุทธิคุณ Friend</v>
      </c>
      <c r="AD1083" t="str">
        <f>IFERROR(__xludf.DUMMYFUNCTION("""COMPUTED_VALUE"""),"sivakronm@airasia.com")</f>
        <v>sivakronm@airasia.com</v>
      </c>
    </row>
    <row r="1084">
      <c r="A1084" s="142">
        <f>IFERROR(__xludf.DUMMYFUNCTION("""COMPUTED_VALUE"""),104.0)</f>
        <v>104</v>
      </c>
      <c r="C1084" s="161">
        <f>IFERROR(__xludf.DUMMYFUNCTION("""COMPUTED_VALUE"""),1016385.0)</f>
        <v>1016385</v>
      </c>
      <c r="D1084" t="str">
        <f>IFERROR(__xludf.DUMMYFUNCTION("""COMPUTED_VALUE"""),"Ms.")</f>
        <v>Ms.</v>
      </c>
      <c r="E1084" t="str">
        <f>IFERROR(__xludf.DUMMYFUNCTION("""COMPUTED_VALUE"""),"Raweewan")</f>
        <v>Raweewan</v>
      </c>
      <c r="F1084" t="str">
        <f>IFERROR(__xludf.DUMMYFUNCTION("""COMPUTED_VALUE"""),"Sritong")</f>
        <v>Sritong</v>
      </c>
      <c r="G1084" t="str">
        <f>IFERROR(__xludf.DUMMYFUNCTION("""COMPUTED_VALUE"""),"Raweewan Sritong")</f>
        <v>Raweewan Sritong</v>
      </c>
      <c r="H1084" t="str">
        <f>IFERROR(__xludf.DUMMYFUNCTION("""COMPUTED_VALUE"""),"นางสาว")</f>
        <v>นางสาว</v>
      </c>
      <c r="I1084" t="str">
        <f>IFERROR(__xludf.DUMMYFUNCTION("""COMPUTED_VALUE"""),"รวีวรรณ")</f>
        <v>รวีวรรณ</v>
      </c>
      <c r="J1084" t="str">
        <f>IFERROR(__xludf.DUMMYFUNCTION("""COMPUTED_VALUE"""),"ศรีทอง")</f>
        <v>ศรีทอง</v>
      </c>
      <c r="K1084" t="str">
        <f>IFERROR(__xludf.DUMMYFUNCTION("""COMPUTED_VALUE"""),"รวีวรรณ ศรีทอง")</f>
        <v>รวีวรรณ ศรีทอง</v>
      </c>
      <c r="L1084" t="str">
        <f>IFERROR(__xludf.DUMMYFUNCTION("""COMPUTED_VALUE"""),"Art/อาร์ท")</f>
        <v>Art/อาร์ท</v>
      </c>
      <c r="M1084" t="str">
        <f>IFERROR(__xludf.DUMMYFUNCTION("""COMPUTED_VALUE"""),"Cabin Crew")</f>
        <v>Cabin Crew</v>
      </c>
      <c r="N1084" t="str">
        <f>IFERROR(__xludf.DUMMYFUNCTION("""COMPUTED_VALUE"""),"DMK")</f>
        <v>DMK</v>
      </c>
      <c r="O1084" s="145" t="str">
        <f>IFERROR(__xludf.DUMMYFUNCTION("""COMPUTED_VALUE"""),"Toffy Home")</f>
        <v>Toffy Home</v>
      </c>
      <c r="P1084" t="str">
        <f>IFERROR(__xludf.DUMMYFUNCTION("""COMPUTED_VALUE"""),"Active")</f>
        <v>Active</v>
      </c>
      <c r="R1084" s="159">
        <f>IFERROR(__xludf.DUMMYFUNCTION("""COMPUTED_VALUE"""),33184.0)</f>
        <v>33184</v>
      </c>
      <c r="S1084" s="146">
        <f>IFERROR(__xludf.DUMMYFUNCTION("""COMPUTED_VALUE"""),8.54142265E8)</f>
        <v>854142265</v>
      </c>
      <c r="T1084" s="147">
        <f>IFERROR(__xludf.DUMMYFUNCTION("""COMPUTED_VALUE"""),1.410100206314E12)</f>
        <v>1410100206314</v>
      </c>
      <c r="U1084" t="str">
        <f>IFERROR(__xludf.DUMMYFUNCTION("""COMPUTED_VALUE"""),"AD0999942")</f>
        <v>AD0999942</v>
      </c>
      <c r="V1084" s="148">
        <f>IFERROR(__xludf.DUMMYFUNCTION("""COMPUTED_VALUE"""),45043.0)</f>
        <v>45043</v>
      </c>
      <c r="W1084" s="148">
        <f>IFERROR(__xludf.DUMMYFUNCTION("""COMPUTED_VALUE"""),48695.0)</f>
        <v>48695</v>
      </c>
      <c r="X1084" s="149">
        <f>IFERROR(__xludf.DUMMYFUNCTION("""COMPUTED_VALUE"""),48513.0)</f>
        <v>48513</v>
      </c>
      <c r="Y1084" t="str">
        <f>IFERROR(__xludf.DUMMYFUNCTION("""COMPUTED_VALUE"""),"ปลอดภัย")</f>
        <v>ปลอดภัย</v>
      </c>
      <c r="Z1084" t="str">
        <f>IFERROR(__xludf.DUMMYFUNCTION("""COMPUTED_VALUE"""),"Udon Thani Province")</f>
        <v>Udon Thani Province</v>
      </c>
      <c r="AA1084" t="str">
        <f>IFERROR(__xludf.DUMMYFUNCTION("""COMPUTED_VALUE"""),"Bangkok")</f>
        <v>Bangkok</v>
      </c>
      <c r="AB1084" s="145" t="str">
        <f>IFERROR(__xludf.DUMMYFUNCTION("""COMPUTED_VALUE"""),"0657254612")</f>
        <v>0657254612</v>
      </c>
      <c r="AC1084" t="str">
        <f>IFERROR(__xludf.DUMMYFUNCTION("""COMPUTED_VALUE"""),"นางประสบพร แหล่งสนาม Mother")</f>
        <v>นางประสบพร แหล่งสนาม Mother</v>
      </c>
      <c r="AD1084" t="str">
        <f>IFERROR(__xludf.DUMMYFUNCTION("""COMPUTED_VALUE"""),"raweewans@airasia.com")</f>
        <v>raweewans@airasia.com</v>
      </c>
    </row>
    <row r="1085">
      <c r="A1085" s="142">
        <f>IFERROR(__xludf.DUMMYFUNCTION("""COMPUTED_VALUE"""),104.0)</f>
        <v>104</v>
      </c>
      <c r="C1085" s="161">
        <f>IFERROR(__xludf.DUMMYFUNCTION("""COMPUTED_VALUE"""),1026213.0)</f>
        <v>1026213</v>
      </c>
      <c r="D1085" t="str">
        <f>IFERROR(__xludf.DUMMYFUNCTION("""COMPUTED_VALUE"""),"Mr.")</f>
        <v>Mr.</v>
      </c>
      <c r="E1085" t="str">
        <f>IFERROR(__xludf.DUMMYFUNCTION("""COMPUTED_VALUE"""),"Yossapon")</f>
        <v>Yossapon</v>
      </c>
      <c r="F1085" t="str">
        <f>IFERROR(__xludf.DUMMYFUNCTION("""COMPUTED_VALUE"""),"Pankham")</f>
        <v>Pankham</v>
      </c>
      <c r="G1085" t="str">
        <f>IFERROR(__xludf.DUMMYFUNCTION("""COMPUTED_VALUE"""),"Yossapon Pankham")</f>
        <v>Yossapon Pankham</v>
      </c>
      <c r="H1085" t="str">
        <f>IFERROR(__xludf.DUMMYFUNCTION("""COMPUTED_VALUE"""),"นาย")</f>
        <v>นาย</v>
      </c>
      <c r="I1085" t="str">
        <f>IFERROR(__xludf.DUMMYFUNCTION("""COMPUTED_VALUE"""),"ยศพนธ์")</f>
        <v>ยศพนธ์</v>
      </c>
      <c r="J1085" t="str">
        <f>IFERROR(__xludf.DUMMYFUNCTION("""COMPUTED_VALUE"""),"พันธ์คำ")</f>
        <v>พันธ์คำ</v>
      </c>
      <c r="K1085" t="str">
        <f>IFERROR(__xludf.DUMMYFUNCTION("""COMPUTED_VALUE"""),"ยศพนธ์ พันธ์คำ")</f>
        <v>ยศพนธ์ พันธ์คำ</v>
      </c>
      <c r="L1085" t="str">
        <f>IFERROR(__xludf.DUMMYFUNCTION("""COMPUTED_VALUE"""),"Big")</f>
        <v>Big</v>
      </c>
      <c r="M1085" t="str">
        <f>IFERROR(__xludf.DUMMYFUNCTION("""COMPUTED_VALUE"""),"Cabin Crew")</f>
        <v>Cabin Crew</v>
      </c>
      <c r="N1085" t="str">
        <f>IFERROR(__xludf.DUMMYFUNCTION("""COMPUTED_VALUE"""),"DMK")</f>
        <v>DMK</v>
      </c>
      <c r="O1085" s="145" t="str">
        <f>IFERROR(__xludf.DUMMYFUNCTION("""COMPUTED_VALUE"""),"Por+ Home")</f>
        <v>Por+ Home</v>
      </c>
      <c r="P1085" t="str">
        <f>IFERROR(__xludf.DUMMYFUNCTION("""COMPUTED_VALUE"""),"Active")</f>
        <v>Active</v>
      </c>
      <c r="R1085" s="159">
        <f>IFERROR(__xludf.DUMMYFUNCTION("""COMPUTED_VALUE"""),34657.0)</f>
        <v>34657</v>
      </c>
      <c r="S1085" s="146">
        <f>IFERROR(__xludf.DUMMYFUNCTION("""COMPUTED_VALUE"""),8.82269729E8)</f>
        <v>882269729</v>
      </c>
      <c r="T1085" s="147">
        <f>IFERROR(__xludf.DUMMYFUNCTION("""COMPUTED_VALUE"""),1.579900570735E12)</f>
        <v>1579900570735</v>
      </c>
      <c r="U1085" t="str">
        <f>IFERROR(__xludf.DUMMYFUNCTION("""COMPUTED_VALUE"""),"AD1749315")</f>
        <v>AD1749315</v>
      </c>
      <c r="V1085" s="148">
        <f>IFERROR(__xludf.DUMMYFUNCTION("""COMPUTED_VALUE"""),45440.0)</f>
        <v>45440</v>
      </c>
      <c r="W1085" s="148">
        <f>IFERROR(__xludf.DUMMYFUNCTION("""COMPUTED_VALUE"""),49091.0)</f>
        <v>49091</v>
      </c>
      <c r="X1085" s="149">
        <f>IFERROR(__xludf.DUMMYFUNCTION("""COMPUTED_VALUE"""),48910.0)</f>
        <v>48910</v>
      </c>
      <c r="Y1085" t="str">
        <f>IFERROR(__xludf.DUMMYFUNCTION("""COMPUTED_VALUE"""),"ปลอดภัย")</f>
        <v>ปลอดภัย</v>
      </c>
      <c r="Z1085" t="str">
        <f>IFERROR(__xludf.DUMMYFUNCTION("""COMPUTED_VALUE"""),"Chiang Rai Province")</f>
        <v>Chiang Rai Province</v>
      </c>
      <c r="AA1085" t="str">
        <f>IFERROR(__xludf.DUMMYFUNCTION("""COMPUTED_VALUE"""),"Bangkok")</f>
        <v>Bangkok</v>
      </c>
      <c r="AB1085" s="145" t="str">
        <f>IFERROR(__xludf.DUMMYFUNCTION("""COMPUTED_VALUE"""),"0891064568")</f>
        <v>0891064568</v>
      </c>
      <c r="AC1085" t="str">
        <f>IFERROR(__xludf.DUMMYFUNCTION("""COMPUTED_VALUE"""),"สีเล็ก พันธ์คำ Mother")</f>
        <v>สีเล็ก พันธ์คำ Mother</v>
      </c>
      <c r="AD1085" t="str">
        <f>IFERROR(__xludf.DUMMYFUNCTION("""COMPUTED_VALUE"""),"yossaponpankham@airasia.com")</f>
        <v>yossaponpankham@airasia.com</v>
      </c>
    </row>
    <row r="1086">
      <c r="A1086" s="142">
        <f>IFERROR(__xludf.DUMMYFUNCTION("""COMPUTED_VALUE"""),104.0)</f>
        <v>104</v>
      </c>
      <c r="C1086" s="161">
        <f>IFERROR(__xludf.DUMMYFUNCTION("""COMPUTED_VALUE"""),1017564.0)</f>
        <v>1017564</v>
      </c>
      <c r="D1086" t="str">
        <f>IFERROR(__xludf.DUMMYFUNCTION("""COMPUTED_VALUE"""),"Ms.")</f>
        <v>Ms.</v>
      </c>
      <c r="E1086" t="str">
        <f>IFERROR(__xludf.DUMMYFUNCTION("""COMPUTED_VALUE"""),"Atchara")</f>
        <v>Atchara</v>
      </c>
      <c r="F1086" t="str">
        <f>IFERROR(__xludf.DUMMYFUNCTION("""COMPUTED_VALUE"""),"Rungrot")</f>
        <v>Rungrot</v>
      </c>
      <c r="G1086" t="str">
        <f>IFERROR(__xludf.DUMMYFUNCTION("""COMPUTED_VALUE"""),"Atchara Rungrot")</f>
        <v>Atchara Rungrot</v>
      </c>
      <c r="H1086" t="str">
        <f>IFERROR(__xludf.DUMMYFUNCTION("""COMPUTED_VALUE"""),"นางสาว")</f>
        <v>นางสาว</v>
      </c>
      <c r="I1086" t="str">
        <f>IFERROR(__xludf.DUMMYFUNCTION("""COMPUTED_VALUE"""),"อัจฉรา")</f>
        <v>อัจฉรา</v>
      </c>
      <c r="J1086" t="str">
        <f>IFERROR(__xludf.DUMMYFUNCTION("""COMPUTED_VALUE"""),"รุ่งโรจน์")</f>
        <v>รุ่งโรจน์</v>
      </c>
      <c r="K1086" t="str">
        <f>IFERROR(__xludf.DUMMYFUNCTION("""COMPUTED_VALUE"""),"อัจฉรา รุ่งโรจน์")</f>
        <v>อัจฉรา รุ่งโรจน์</v>
      </c>
      <c r="L1086" t="str">
        <f>IFERROR(__xludf.DUMMYFUNCTION("""COMPUTED_VALUE"""),"Air / แอร์")</f>
        <v>Air / แอร์</v>
      </c>
      <c r="M1086" t="str">
        <f>IFERROR(__xludf.DUMMYFUNCTION("""COMPUTED_VALUE"""),"Cabin Crew")</f>
        <v>Cabin Crew</v>
      </c>
      <c r="N1086" t="str">
        <f>IFERROR(__xludf.DUMMYFUNCTION("""COMPUTED_VALUE"""),"DMK")</f>
        <v>DMK</v>
      </c>
      <c r="O1086" s="145" t="str">
        <f>IFERROR(__xludf.DUMMYFUNCTION("""COMPUTED_VALUE"""),"Namfon Home")</f>
        <v>Namfon Home</v>
      </c>
      <c r="P1086" t="str">
        <f>IFERROR(__xludf.DUMMYFUNCTION("""COMPUTED_VALUE"""),"Active")</f>
        <v>Active</v>
      </c>
      <c r="R1086" s="159">
        <f>IFERROR(__xludf.DUMMYFUNCTION("""COMPUTED_VALUE"""),33874.0)</f>
        <v>33874</v>
      </c>
      <c r="S1086" s="146">
        <f>IFERROR(__xludf.DUMMYFUNCTION("""COMPUTED_VALUE"""),8.35924828E8)</f>
        <v>835924828</v>
      </c>
      <c r="T1086" s="147">
        <f>IFERROR(__xludf.DUMMYFUNCTION("""COMPUTED_VALUE"""),1.840400057621E12)</f>
        <v>1840400057621</v>
      </c>
      <c r="U1086" t="str">
        <f>IFERROR(__xludf.DUMMYFUNCTION("""COMPUTED_VALUE"""),"AC4924544")</f>
        <v>AC4924544</v>
      </c>
      <c r="V1086" s="148">
        <f>IFERROR(__xludf.DUMMYFUNCTION("""COMPUTED_VALUE"""),45055.0)</f>
        <v>45055</v>
      </c>
      <c r="W1086" s="148">
        <f>IFERROR(__xludf.DUMMYFUNCTION("""COMPUTED_VALUE"""),48707.0)</f>
        <v>48707</v>
      </c>
      <c r="X1086" s="149">
        <f>IFERROR(__xludf.DUMMYFUNCTION("""COMPUTED_VALUE"""),48526.0)</f>
        <v>48526</v>
      </c>
      <c r="Y1086" t="str">
        <f>IFERROR(__xludf.DUMMYFUNCTION("""COMPUTED_VALUE"""),"ปลอดภัย")</f>
        <v>ปลอดภัย</v>
      </c>
      <c r="Z1086" t="str">
        <f>IFERROR(__xludf.DUMMYFUNCTION("""COMPUTED_VALUE"""),"Surat Thani Province")</f>
        <v>Surat Thani Province</v>
      </c>
      <c r="AA1086" t="str">
        <f>IFERROR(__xludf.DUMMYFUNCTION("""COMPUTED_VALUE"""),"Bangkok")</f>
        <v>Bangkok</v>
      </c>
      <c r="AB1086" s="145" t="str">
        <f>IFERROR(__xludf.DUMMYFUNCTION("""COMPUTED_VALUE"""),"092-445-6645")</f>
        <v>092-445-6645</v>
      </c>
      <c r="AC1086" t="str">
        <f>IFERROR(__xludf.DUMMYFUNCTION("""COMPUTED_VALUE"""),"ธีรวรรณ มีเพียร Sister")</f>
        <v>ธีรวรรณ มีเพียร Sister</v>
      </c>
      <c r="AD1086" t="str">
        <f>IFERROR(__xludf.DUMMYFUNCTION("""COMPUTED_VALUE"""),"atcharar@airasia.com")</f>
        <v>atcharar@airasia.com</v>
      </c>
    </row>
    <row r="1087">
      <c r="A1087" s="142">
        <f>IFERROR(__xludf.DUMMYFUNCTION("""COMPUTED_VALUE"""),104.0)</f>
        <v>104</v>
      </c>
      <c r="C1087" s="161">
        <f>IFERROR(__xludf.DUMMYFUNCTION("""COMPUTED_VALUE"""),1015472.0)</f>
        <v>1015472</v>
      </c>
      <c r="D1087" t="str">
        <f>IFERROR(__xludf.DUMMYFUNCTION("""COMPUTED_VALUE"""),"Mr.")</f>
        <v>Mr.</v>
      </c>
      <c r="E1087" t="str">
        <f>IFERROR(__xludf.DUMMYFUNCTION("""COMPUTED_VALUE"""),"Atchariya")</f>
        <v>Atchariya</v>
      </c>
      <c r="F1087" t="str">
        <f>IFERROR(__xludf.DUMMYFUNCTION("""COMPUTED_VALUE"""),"Jandawan")</f>
        <v>Jandawan</v>
      </c>
      <c r="G1087" t="str">
        <f>IFERROR(__xludf.DUMMYFUNCTION("""COMPUTED_VALUE"""),"Atchariya Jandawan")</f>
        <v>Atchariya Jandawan</v>
      </c>
      <c r="H1087" t="str">
        <f>IFERROR(__xludf.DUMMYFUNCTION("""COMPUTED_VALUE"""),"นาย")</f>
        <v>นาย</v>
      </c>
      <c r="I1087" t="str">
        <f>IFERROR(__xludf.DUMMYFUNCTION("""COMPUTED_VALUE"""),"อัจฉริยะ")</f>
        <v>อัจฉริยะ</v>
      </c>
      <c r="J1087" t="str">
        <f>IFERROR(__xludf.DUMMYFUNCTION("""COMPUTED_VALUE"""),"จันดาวัลย์")</f>
        <v>จันดาวัลย์</v>
      </c>
      <c r="K1087" t="str">
        <f>IFERROR(__xludf.DUMMYFUNCTION("""COMPUTED_VALUE"""),"อัจฉริยะ จันดาวัลย์")</f>
        <v>อัจฉริยะ จันดาวัลย์</v>
      </c>
      <c r="L1087" t="str">
        <f>IFERROR(__xludf.DUMMYFUNCTION("""COMPUTED_VALUE"""),"เอิร์ธ")</f>
        <v>เอิร์ธ</v>
      </c>
      <c r="M1087" t="str">
        <f>IFERROR(__xludf.DUMMYFUNCTION("""COMPUTED_VALUE"""),"Cabin Crew")</f>
        <v>Cabin Crew</v>
      </c>
      <c r="N1087" t="str">
        <f>IFERROR(__xludf.DUMMYFUNCTION("""COMPUTED_VALUE"""),"DMK")</f>
        <v>DMK</v>
      </c>
      <c r="O1087" s="145" t="str">
        <f>IFERROR(__xludf.DUMMYFUNCTION("""COMPUTED_VALUE"""),"Toffy Home")</f>
        <v>Toffy Home</v>
      </c>
      <c r="P1087" t="str">
        <f>IFERROR(__xludf.DUMMYFUNCTION("""COMPUTED_VALUE"""),"Active")</f>
        <v>Active</v>
      </c>
      <c r="R1087" s="159">
        <f>IFERROR(__xludf.DUMMYFUNCTION("""COMPUTED_VALUE"""),34370.0)</f>
        <v>34370</v>
      </c>
      <c r="S1087" s="146">
        <f>IFERROR(__xludf.DUMMYFUNCTION("""COMPUTED_VALUE"""),8.17687162E8)</f>
        <v>817687162</v>
      </c>
      <c r="T1087" s="147">
        <f>IFERROR(__xludf.DUMMYFUNCTION("""COMPUTED_VALUE"""),1.47040017518E12)</f>
        <v>1470400175180</v>
      </c>
      <c r="U1087" t="str">
        <f>IFERROR(__xludf.DUMMYFUNCTION("""COMPUTED_VALUE"""),"AC2746513")</f>
        <v>AC2746513</v>
      </c>
      <c r="V1087" s="148">
        <f>IFERROR(__xludf.DUMMYFUNCTION("""COMPUTED_VALUE"""),44488.0)</f>
        <v>44488</v>
      </c>
      <c r="W1087" s="148">
        <f>IFERROR(__xludf.DUMMYFUNCTION("""COMPUTED_VALUE"""),48139.0)</f>
        <v>48139</v>
      </c>
      <c r="X1087" s="149">
        <f>IFERROR(__xludf.DUMMYFUNCTION("""COMPUTED_VALUE"""),47956.0)</f>
        <v>47956</v>
      </c>
      <c r="Y1087" t="str">
        <f>IFERROR(__xludf.DUMMYFUNCTION("""COMPUTED_VALUE"""),"ปลอดภัย")</f>
        <v>ปลอดภัย</v>
      </c>
      <c r="Z1087" t="str">
        <f>IFERROR(__xludf.DUMMYFUNCTION("""COMPUTED_VALUE"""),"Sakon Nakhon Province")</f>
        <v>Sakon Nakhon Province</v>
      </c>
      <c r="AA1087" t="str">
        <f>IFERROR(__xludf.DUMMYFUNCTION("""COMPUTED_VALUE"""),"Bangkok")</f>
        <v>Bangkok</v>
      </c>
      <c r="AB1087" s="145" t="str">
        <f>IFERROR(__xludf.DUMMYFUNCTION("""COMPUTED_VALUE"""),"0812632108")</f>
        <v>0812632108</v>
      </c>
      <c r="AC1087" t="str">
        <f>IFERROR(__xludf.DUMMYFUNCTION("""COMPUTED_VALUE"""),"นาย อดิราช จันดาวัลย์ Father")</f>
        <v>นาย อดิราช จันดาวัลย์ Father</v>
      </c>
      <c r="AD1087" t="str">
        <f>IFERROR(__xludf.DUMMYFUNCTION("""COMPUTED_VALUE"""),"atchariyaj@airasia.com")</f>
        <v>atchariyaj@airasia.com</v>
      </c>
    </row>
    <row r="1088">
      <c r="A1088" s="142">
        <f>IFERROR(__xludf.DUMMYFUNCTION("""COMPUTED_VALUE"""),104.0)</f>
        <v>104</v>
      </c>
      <c r="C1088" s="161">
        <f>IFERROR(__xludf.DUMMYFUNCTION("""COMPUTED_VALUE"""),1019949.0)</f>
        <v>1019949</v>
      </c>
      <c r="D1088" t="str">
        <f>IFERROR(__xludf.DUMMYFUNCTION("""COMPUTED_VALUE"""),"Mrs.")</f>
        <v>Mrs.</v>
      </c>
      <c r="E1088" t="str">
        <f>IFERROR(__xludf.DUMMYFUNCTION("""COMPUTED_VALUE"""),"Suphannikar")</f>
        <v>Suphannikar</v>
      </c>
      <c r="F1088" t="str">
        <f>IFERROR(__xludf.DUMMYFUNCTION("""COMPUTED_VALUE"""),"Teparatana (Kaenchan)")</f>
        <v>Teparatana (Kaenchan)</v>
      </c>
      <c r="G1088" t="str">
        <f>IFERROR(__xludf.DUMMYFUNCTION("""COMPUTED_VALUE"""),"Suphannikar Teparatana")</f>
        <v>Suphannikar Teparatana</v>
      </c>
      <c r="H1088" t="str">
        <f>IFERROR(__xludf.DUMMYFUNCTION("""COMPUTED_VALUE"""),"นาง")</f>
        <v>นาง</v>
      </c>
      <c r="I1088" t="str">
        <f>IFERROR(__xludf.DUMMYFUNCTION("""COMPUTED_VALUE"""),"สุพรรณิการ์")</f>
        <v>สุพรรณิการ์</v>
      </c>
      <c r="J1088" t="str">
        <f>IFERROR(__xludf.DUMMYFUNCTION("""COMPUTED_VALUE"""),"เทพรัตน์ (แก่นจันทร์)")</f>
        <v>เทพรัตน์ (แก่นจันทร์)</v>
      </c>
      <c r="K1088" t="str">
        <f>IFERROR(__xludf.DUMMYFUNCTION("""COMPUTED_VALUE"""),"สุพรรณิการ์ เทพรัตน์")</f>
        <v>สุพรรณิการ์ เทพรัตน์</v>
      </c>
      <c r="L1088" t="str">
        <f>IFERROR(__xludf.DUMMYFUNCTION("""COMPUTED_VALUE"""),"Bumbim/บุ๋มบิ๋ม")</f>
        <v>Bumbim/บุ๋มบิ๋ม</v>
      </c>
      <c r="M1088" t="str">
        <f>IFERROR(__xludf.DUMMYFUNCTION("""COMPUTED_VALUE"""),"Cabin Crew - CNX")</f>
        <v>Cabin Crew - CNX</v>
      </c>
      <c r="N1088" t="str">
        <f>IFERROR(__xludf.DUMMYFUNCTION("""COMPUTED_VALUE"""),"CNX")</f>
        <v>CNX</v>
      </c>
      <c r="O1088" s="145" t="str">
        <f>IFERROR(__xludf.DUMMYFUNCTION("""COMPUTED_VALUE"""),"Up Home")</f>
        <v>Up Home</v>
      </c>
      <c r="P1088" t="str">
        <f>IFERROR(__xludf.DUMMYFUNCTION("""COMPUTED_VALUE"""),"MATL")</f>
        <v>MATL</v>
      </c>
      <c r="R1088" s="159">
        <f>IFERROR(__xludf.DUMMYFUNCTION("""COMPUTED_VALUE"""),34580.0)</f>
        <v>34580</v>
      </c>
      <c r="S1088" s="146">
        <f>IFERROR(__xludf.DUMMYFUNCTION("""COMPUTED_VALUE"""),6.54919193E8)</f>
        <v>654919193</v>
      </c>
      <c r="T1088" s="147">
        <f>IFERROR(__xludf.DUMMYFUNCTION("""COMPUTED_VALUE"""),1.521100049332E12)</f>
        <v>1521100049332</v>
      </c>
      <c r="U1088" t="str">
        <f>IFERROR(__xludf.DUMMYFUNCTION("""COMPUTED_VALUE"""),"AC8488111")</f>
        <v>AC8488111</v>
      </c>
      <c r="V1088" s="148">
        <f>IFERROR(__xludf.DUMMYFUNCTION("""COMPUTED_VALUE"""),45950.0)</f>
        <v>45950</v>
      </c>
      <c r="W1088" s="148">
        <f>IFERROR(__xludf.DUMMYFUNCTION("""COMPUTED_VALUE"""),49601.0)</f>
        <v>49601</v>
      </c>
      <c r="X1088" s="149">
        <f>IFERROR(__xludf.DUMMYFUNCTION("""COMPUTED_VALUE"""),49418.0)</f>
        <v>49418</v>
      </c>
      <c r="Y1088" t="str">
        <f>IFERROR(__xludf.DUMMYFUNCTION("""COMPUTED_VALUE"""),"ปลอดภัย")</f>
        <v>ปลอดภัย</v>
      </c>
      <c r="Z1088" t="str">
        <f>IFERROR(__xludf.DUMMYFUNCTION("""COMPUTED_VALUE"""),"Lampang Province")</f>
        <v>Lampang Province</v>
      </c>
      <c r="AA1088" t="str">
        <f>IFERROR(__xludf.DUMMYFUNCTION("""COMPUTED_VALUE"""),"lumpang")</f>
        <v>lumpang</v>
      </c>
      <c r="AB1088" s="145" t="str">
        <f>IFERROR(__xludf.DUMMYFUNCTION("""COMPUTED_VALUE"""),"0843698362")</f>
        <v>0843698362</v>
      </c>
      <c r="AC1088" t="str">
        <f>IFERROR(__xludf.DUMMYFUNCTION("""COMPUTED_VALUE"""),"นางมาลัย แก่นจันทร์ Mother")</f>
        <v>นางมาลัย แก่นจันทร์ Mother</v>
      </c>
      <c r="AD1088" t="str">
        <f>IFERROR(__xludf.DUMMYFUNCTION("""COMPUTED_VALUE"""),"suphannikarte@airasia.com")</f>
        <v>suphannikarte@airasia.com</v>
      </c>
    </row>
    <row r="1089">
      <c r="A1089" s="142">
        <f>IFERROR(__xludf.DUMMYFUNCTION("""COMPUTED_VALUE"""),104.0)</f>
        <v>104</v>
      </c>
      <c r="C1089" s="161">
        <f>IFERROR(__xludf.DUMMYFUNCTION("""COMPUTED_VALUE"""),1026704.0)</f>
        <v>1026704</v>
      </c>
      <c r="D1089" t="str">
        <f>IFERROR(__xludf.DUMMYFUNCTION("""COMPUTED_VALUE"""),"Ms.")</f>
        <v>Ms.</v>
      </c>
      <c r="E1089" t="str">
        <f>IFERROR(__xludf.DUMMYFUNCTION("""COMPUTED_VALUE"""),"Khemjira")</f>
        <v>Khemjira</v>
      </c>
      <c r="F1089" t="str">
        <f>IFERROR(__xludf.DUMMYFUNCTION("""COMPUTED_VALUE"""),"Weeradetch")</f>
        <v>Weeradetch</v>
      </c>
      <c r="G1089" t="str">
        <f>IFERROR(__xludf.DUMMYFUNCTION("""COMPUTED_VALUE"""),"Khemjira Weeradetch")</f>
        <v>Khemjira Weeradetch</v>
      </c>
      <c r="H1089" t="str">
        <f>IFERROR(__xludf.DUMMYFUNCTION("""COMPUTED_VALUE"""),"นางสาว")</f>
        <v>นางสาว</v>
      </c>
      <c r="I1089" t="str">
        <f>IFERROR(__xludf.DUMMYFUNCTION("""COMPUTED_VALUE"""),"เขมจิรา")</f>
        <v>เขมจิรา</v>
      </c>
      <c r="J1089" t="str">
        <f>IFERROR(__xludf.DUMMYFUNCTION("""COMPUTED_VALUE"""),"วีระเดช")</f>
        <v>วีระเดช</v>
      </c>
      <c r="K1089" t="str">
        <f>IFERROR(__xludf.DUMMYFUNCTION("""COMPUTED_VALUE"""),"เขมจิรา วีระเดช")</f>
        <v>เขมจิรา วีระเดช</v>
      </c>
      <c r="L1089" t="str">
        <f>IFERROR(__xludf.DUMMYFUNCTION("""COMPUTED_VALUE"""),"โยปัน")</f>
        <v>โยปัน</v>
      </c>
      <c r="M1089" t="str">
        <f>IFERROR(__xludf.DUMMYFUNCTION("""COMPUTED_VALUE"""),"Cabin Crew")</f>
        <v>Cabin Crew</v>
      </c>
      <c r="N1089" t="str">
        <f>IFERROR(__xludf.DUMMYFUNCTION("""COMPUTED_VALUE"""),"DMK")</f>
        <v>DMK</v>
      </c>
      <c r="O1089" s="145" t="str">
        <f>IFERROR(__xludf.DUMMYFUNCTION("""COMPUTED_VALUE"""),"Toffy Home")</f>
        <v>Toffy Home</v>
      </c>
      <c r="P1089" t="str">
        <f>IFERROR(__xludf.DUMMYFUNCTION("""COMPUTED_VALUE"""),"Active")</f>
        <v>Active</v>
      </c>
      <c r="R1089" s="159">
        <f>IFERROR(__xludf.DUMMYFUNCTION("""COMPUTED_VALUE"""),34886.0)</f>
        <v>34886</v>
      </c>
      <c r="S1089" s="146">
        <f>IFERROR(__xludf.DUMMYFUNCTION("""COMPUTED_VALUE"""),6.14292663E8)</f>
        <v>614292663</v>
      </c>
      <c r="T1089" s="147">
        <f>IFERROR(__xludf.DUMMYFUNCTION("""COMPUTED_VALUE"""),1.103701750839E12)</f>
        <v>1103701750839</v>
      </c>
      <c r="U1089" t="str">
        <f>IFERROR(__xludf.DUMMYFUNCTION("""COMPUTED_VALUE"""),"AD0586936")</f>
        <v>AD0586936</v>
      </c>
      <c r="V1089" s="148">
        <f>IFERROR(__xludf.DUMMYFUNCTION("""COMPUTED_VALUE"""),44930.0)</f>
        <v>44930</v>
      </c>
      <c r="W1089" s="148">
        <f>IFERROR(__xludf.DUMMYFUNCTION("""COMPUTED_VALUE"""),46755.0)</f>
        <v>46755</v>
      </c>
      <c r="X1089" s="149">
        <f>IFERROR(__xludf.DUMMYFUNCTION("""COMPUTED_VALUE"""),46571.0)</f>
        <v>46571</v>
      </c>
      <c r="Y1089" t="str">
        <f>IFERROR(__xludf.DUMMYFUNCTION("""COMPUTED_VALUE"""),"ปลอดภัย")</f>
        <v>ปลอดภัย</v>
      </c>
      <c r="Z1089" t="str">
        <f>IFERROR(__xludf.DUMMYFUNCTION("""COMPUTED_VALUE"""),"Bangkok")</f>
        <v>Bangkok</v>
      </c>
      <c r="AA1089" t="str">
        <f>IFERROR(__xludf.DUMMYFUNCTION("""COMPUTED_VALUE"""),"Bangkok")</f>
        <v>Bangkok</v>
      </c>
      <c r="AB1089" s="145" t="str">
        <f>IFERROR(__xludf.DUMMYFUNCTION("""COMPUTED_VALUE"""),"0996215550")</f>
        <v>0996215550</v>
      </c>
      <c r="AC1089" t="str">
        <f>IFERROR(__xludf.DUMMYFUNCTION("""COMPUTED_VALUE"""),"นางสาวณทิพรดา วีระเดช Sister")</f>
        <v>นางสาวณทิพรดา วีระเดช Sister</v>
      </c>
      <c r="AD1089" t="str">
        <f>IFERROR(__xludf.DUMMYFUNCTION("""COMPUTED_VALUE"""),"khemjiraweeradetch@airasia.com")</f>
        <v>khemjiraweeradetch@airasia.com</v>
      </c>
    </row>
    <row r="1090">
      <c r="A1090" s="142">
        <f>IFERROR(__xludf.DUMMYFUNCTION("""COMPUTED_VALUE"""),104.0)</f>
        <v>104</v>
      </c>
      <c r="C1090" s="161">
        <f>IFERROR(__xludf.DUMMYFUNCTION("""COMPUTED_VALUE"""),1022690.0)</f>
        <v>1022690</v>
      </c>
      <c r="D1090" t="str">
        <f>IFERROR(__xludf.DUMMYFUNCTION("""COMPUTED_VALUE"""),"Mr.")</f>
        <v>Mr.</v>
      </c>
      <c r="E1090" t="str">
        <f>IFERROR(__xludf.DUMMYFUNCTION("""COMPUTED_VALUE"""),"Peerasin")</f>
        <v>Peerasin</v>
      </c>
      <c r="F1090" t="str">
        <f>IFERROR(__xludf.DUMMYFUNCTION("""COMPUTED_VALUE"""),"Yinharnmingmongkol")</f>
        <v>Yinharnmingmongkol</v>
      </c>
      <c r="G1090" t="str">
        <f>IFERROR(__xludf.DUMMYFUNCTION("""COMPUTED_VALUE"""),"Peerasin Yinharnmingmongkol")</f>
        <v>Peerasin Yinharnmingmongkol</v>
      </c>
      <c r="H1090" t="str">
        <f>IFERROR(__xludf.DUMMYFUNCTION("""COMPUTED_VALUE"""),"นาย")</f>
        <v>นาย</v>
      </c>
      <c r="I1090" t="str">
        <f>IFERROR(__xludf.DUMMYFUNCTION("""COMPUTED_VALUE"""),"ภีรศิลป์")</f>
        <v>ภีรศิลป์</v>
      </c>
      <c r="J1090" t="str">
        <f>IFERROR(__xludf.DUMMYFUNCTION("""COMPUTED_VALUE"""),"ยินหาญมิ่งมงคล")</f>
        <v>ยินหาญมิ่งมงคล</v>
      </c>
      <c r="K1090" t="str">
        <f>IFERROR(__xludf.DUMMYFUNCTION("""COMPUTED_VALUE"""),"ภีรศิลป์ ยินหาญมิ่งมงคล")</f>
        <v>ภีรศิลป์ ยินหาญมิ่งมงคล</v>
      </c>
      <c r="L1090" t="str">
        <f>IFERROR(__xludf.DUMMYFUNCTION("""COMPUTED_VALUE"""),"Pee / ภี")</f>
        <v>Pee / ภี</v>
      </c>
      <c r="M1090" t="str">
        <f>IFERROR(__xludf.DUMMYFUNCTION("""COMPUTED_VALUE"""),"Cabin Crew")</f>
        <v>Cabin Crew</v>
      </c>
      <c r="N1090" t="str">
        <f>IFERROR(__xludf.DUMMYFUNCTION("""COMPUTED_VALUE"""),"DMK")</f>
        <v>DMK</v>
      </c>
      <c r="O1090" s="145" t="str">
        <f>IFERROR(__xludf.DUMMYFUNCTION("""COMPUTED_VALUE"""),"Namfon Home")</f>
        <v>Namfon Home</v>
      </c>
      <c r="P1090" t="str">
        <f>IFERROR(__xludf.DUMMYFUNCTION("""COMPUTED_VALUE"""),"Active")</f>
        <v>Active</v>
      </c>
      <c r="R1090" s="159">
        <f>IFERROR(__xludf.DUMMYFUNCTION("""COMPUTED_VALUE"""),34049.0)</f>
        <v>34049</v>
      </c>
      <c r="S1090" s="146" t="str">
        <f>IFERROR(__xludf.DUMMYFUNCTION("""COMPUTED_VALUE"""),"082-356-5424")</f>
        <v>082-356-5424</v>
      </c>
      <c r="T1090" s="147">
        <f>IFERROR(__xludf.DUMMYFUNCTION("""COMPUTED_VALUE"""),1.100701693824E12)</f>
        <v>1100701693824</v>
      </c>
      <c r="U1090" t="str">
        <f>IFERROR(__xludf.DUMMYFUNCTION("""COMPUTED_VALUE"""),"AD0754614")</f>
        <v>AD0754614</v>
      </c>
      <c r="V1090" s="148">
        <f>IFERROR(__xludf.DUMMYFUNCTION("""COMPUTED_VALUE"""),44968.0)</f>
        <v>44968</v>
      </c>
      <c r="W1090" s="148">
        <f>IFERROR(__xludf.DUMMYFUNCTION("""COMPUTED_VALUE"""),48620.0)</f>
        <v>48620</v>
      </c>
      <c r="X1090" s="149">
        <f>IFERROR(__xludf.DUMMYFUNCTION("""COMPUTED_VALUE"""),48436.0)</f>
        <v>48436</v>
      </c>
      <c r="Y1090" t="str">
        <f>IFERROR(__xludf.DUMMYFUNCTION("""COMPUTED_VALUE"""),"ปลอดภัย")</f>
        <v>ปลอดภัย</v>
      </c>
      <c r="Z1090" t="str">
        <f>IFERROR(__xludf.DUMMYFUNCTION("""COMPUTED_VALUE"""),"Bangkok")</f>
        <v>Bangkok</v>
      </c>
      <c r="AA1090" t="str">
        <f>IFERROR(__xludf.DUMMYFUNCTION("""COMPUTED_VALUE"""),"Bangkok")</f>
        <v>Bangkok</v>
      </c>
      <c r="AB1090" s="145" t="str">
        <f>IFERROR(__xludf.DUMMYFUNCTION("""COMPUTED_VALUE"""),"096-261-5551")</f>
        <v>096-261-5551</v>
      </c>
      <c r="AC1090" t="str">
        <f>IFERROR(__xludf.DUMMYFUNCTION("""COMPUTED_VALUE"""),"นางสาว รวีวรรณ ยินหาญมิ่งมงคล Sister")</f>
        <v>นางสาว รวีวรรณ ยินหาญมิ่งมงคล Sister</v>
      </c>
      <c r="AD1090" t="str">
        <f>IFERROR(__xludf.DUMMYFUNCTION("""COMPUTED_VALUE"""),"peerasinyinharnming@airasia.com")</f>
        <v>peerasinyinharnming@airasia.com</v>
      </c>
    </row>
    <row r="1091">
      <c r="A1091" s="142">
        <f>IFERROR(__xludf.DUMMYFUNCTION("""COMPUTED_VALUE"""),104.0)</f>
        <v>104</v>
      </c>
      <c r="C1091" s="161">
        <f>IFERROR(__xludf.DUMMYFUNCTION("""COMPUTED_VALUE"""),1025338.0)</f>
        <v>1025338</v>
      </c>
      <c r="D1091" t="str">
        <f>IFERROR(__xludf.DUMMYFUNCTION("""COMPUTED_VALUE"""),"Ms.")</f>
        <v>Ms.</v>
      </c>
      <c r="E1091" t="str">
        <f>IFERROR(__xludf.DUMMYFUNCTION("""COMPUTED_VALUE"""),"Ampawan")</f>
        <v>Ampawan</v>
      </c>
      <c r="F1091" t="str">
        <f>IFERROR(__xludf.DUMMYFUNCTION("""COMPUTED_VALUE"""),"Chinsakchai")</f>
        <v>Chinsakchai</v>
      </c>
      <c r="G1091" t="str">
        <f>IFERROR(__xludf.DUMMYFUNCTION("""COMPUTED_VALUE"""),"Ampawan Chinsakchai")</f>
        <v>Ampawan Chinsakchai</v>
      </c>
      <c r="H1091" t="str">
        <f>IFERROR(__xludf.DUMMYFUNCTION("""COMPUTED_VALUE"""),"นางสาว")</f>
        <v>นางสาว</v>
      </c>
      <c r="I1091" t="str">
        <f>IFERROR(__xludf.DUMMYFUNCTION("""COMPUTED_VALUE"""),"อัมพวัน")</f>
        <v>อัมพวัน</v>
      </c>
      <c r="J1091" t="str">
        <f>IFERROR(__xludf.DUMMYFUNCTION("""COMPUTED_VALUE"""),"ชินศักดิ์ชัย")</f>
        <v>ชินศักดิ์ชัย</v>
      </c>
      <c r="K1091" t="str">
        <f>IFERROR(__xludf.DUMMYFUNCTION("""COMPUTED_VALUE"""),"อัมพวัน ชินศักดิ์ชัย")</f>
        <v>อัมพวัน ชินศักดิ์ชัย</v>
      </c>
      <c r="L1091" t="str">
        <f>IFERROR(__xludf.DUMMYFUNCTION("""COMPUTED_VALUE"""),"อองฟองต์")</f>
        <v>อองฟองต์</v>
      </c>
      <c r="M1091" t="str">
        <f>IFERROR(__xludf.DUMMYFUNCTION("""COMPUTED_VALUE"""),"Cabin Crew")</f>
        <v>Cabin Crew</v>
      </c>
      <c r="N1091" t="str">
        <f>IFERROR(__xludf.DUMMYFUNCTION("""COMPUTED_VALUE"""),"DMK")</f>
        <v>DMK</v>
      </c>
      <c r="O1091" s="145" t="str">
        <f>IFERROR(__xludf.DUMMYFUNCTION("""COMPUTED_VALUE"""),"Por+ Home")</f>
        <v>Por+ Home</v>
      </c>
      <c r="P1091" t="str">
        <f>IFERROR(__xludf.DUMMYFUNCTION("""COMPUTED_VALUE"""),"LWPP")</f>
        <v>LWPP</v>
      </c>
      <c r="R1091" s="159">
        <f>IFERROR(__xludf.DUMMYFUNCTION("""COMPUTED_VALUE"""),34229.0)</f>
        <v>34229</v>
      </c>
      <c r="S1091" s="146">
        <f>IFERROR(__xludf.DUMMYFUNCTION("""COMPUTED_VALUE"""),8.71431752E8)</f>
        <v>871431752</v>
      </c>
      <c r="T1091" s="147">
        <f>IFERROR(__xludf.DUMMYFUNCTION("""COMPUTED_VALUE"""),1.250100258162E12)</f>
        <v>1250100258162</v>
      </c>
      <c r="U1091" t="str">
        <f>IFERROR(__xludf.DUMMYFUNCTION("""COMPUTED_VALUE"""),"AC5810561")</f>
        <v>AC5810561</v>
      </c>
      <c r="V1091" s="148">
        <f>IFERROR(__xludf.DUMMYFUNCTION("""COMPUTED_VALUE"""),45188.0)</f>
        <v>45188</v>
      </c>
      <c r="W1091" s="148">
        <f>IFERROR(__xludf.DUMMYFUNCTION("""COMPUTED_VALUE"""),47014.0)</f>
        <v>47014</v>
      </c>
      <c r="X1091" s="149">
        <f>IFERROR(__xludf.DUMMYFUNCTION("""COMPUTED_VALUE"""),46830.0)</f>
        <v>46830</v>
      </c>
      <c r="Y1091" t="str">
        <f>IFERROR(__xludf.DUMMYFUNCTION("""COMPUTED_VALUE"""),"ปลอดภัย")</f>
        <v>ปลอดภัย</v>
      </c>
      <c r="Z1091" t="str">
        <f>IFERROR(__xludf.DUMMYFUNCTION("""COMPUTED_VALUE"""),"Prachinburi Province")</f>
        <v>Prachinburi Province</v>
      </c>
      <c r="AA1091" t="str">
        <f>IFERROR(__xludf.DUMMYFUNCTION("""COMPUTED_VALUE"""),"Bangkok")</f>
        <v>Bangkok</v>
      </c>
      <c r="AB1091" s="145" t="str">
        <f>IFERROR(__xludf.DUMMYFUNCTION("""COMPUTED_VALUE"""),"0890115253")</f>
        <v>0890115253</v>
      </c>
      <c r="AC1091" t="str">
        <f>IFERROR(__xludf.DUMMYFUNCTION("""COMPUTED_VALUE"""),"นางอุทัยวรรณ ถาวร Mother")</f>
        <v>นางอุทัยวรรณ ถาวร Mother</v>
      </c>
      <c r="AD1091" t="str">
        <f>IFERROR(__xludf.DUMMYFUNCTION("""COMPUTED_VALUE"""),"ampawanchinsakchai@airasia.com")</f>
        <v>ampawanchinsakchai@airasia.com</v>
      </c>
    </row>
    <row r="1092">
      <c r="A1092" s="142">
        <f>IFERROR(__xludf.DUMMYFUNCTION("""COMPUTED_VALUE"""),104.0)</f>
        <v>104</v>
      </c>
      <c r="C1092" s="161">
        <f>IFERROR(__xludf.DUMMYFUNCTION("""COMPUTED_VALUE"""),1009006.0)</f>
        <v>1009006</v>
      </c>
      <c r="D1092" t="str">
        <f>IFERROR(__xludf.DUMMYFUNCTION("""COMPUTED_VALUE"""),"Mr.")</f>
        <v>Mr.</v>
      </c>
      <c r="E1092" t="str">
        <f>IFERROR(__xludf.DUMMYFUNCTION("""COMPUTED_VALUE"""),"Tuchteerasit")</f>
        <v>Tuchteerasit</v>
      </c>
      <c r="F1092" t="str">
        <f>IFERROR(__xludf.DUMMYFUNCTION("""COMPUTED_VALUE"""),"Saichittham")</f>
        <v>Saichittham</v>
      </c>
      <c r="G1092" t="str">
        <f>IFERROR(__xludf.DUMMYFUNCTION("""COMPUTED_VALUE"""),"Tuchteerasit Saichittham")</f>
        <v>Tuchteerasit Saichittham</v>
      </c>
      <c r="H1092" t="str">
        <f>IFERROR(__xludf.DUMMYFUNCTION("""COMPUTED_VALUE"""),"นาย")</f>
        <v>นาย</v>
      </c>
      <c r="I1092" t="str">
        <f>IFERROR(__xludf.DUMMYFUNCTION("""COMPUTED_VALUE"""),"ธัชธีรสิทธิ์")</f>
        <v>ธัชธีรสิทธิ์</v>
      </c>
      <c r="J1092" t="str">
        <f>IFERROR(__xludf.DUMMYFUNCTION("""COMPUTED_VALUE"""),"สายจิตธรรม")</f>
        <v>สายจิตธรรม</v>
      </c>
      <c r="K1092" t="str">
        <f>IFERROR(__xludf.DUMMYFUNCTION("""COMPUTED_VALUE"""),"ธัชธีรสิทธิ์ สายจิตธรรม")</f>
        <v>ธัชธีรสิทธิ์ สายจิตธรรม</v>
      </c>
      <c r="L1092" t="str">
        <f>IFERROR(__xludf.DUMMYFUNCTION("""COMPUTED_VALUE"""),"Tonnam / ต้นน้ำ")</f>
        <v>Tonnam / ต้นน้ำ</v>
      </c>
      <c r="M1092" t="str">
        <f>IFERROR(__xludf.DUMMYFUNCTION("""COMPUTED_VALUE"""),"Cabin Crew - CNX")</f>
        <v>Cabin Crew - CNX</v>
      </c>
      <c r="N1092" t="str">
        <f>IFERROR(__xludf.DUMMYFUNCTION("""COMPUTED_VALUE"""),"CNX")</f>
        <v>CNX</v>
      </c>
      <c r="O1092" s="145" t="str">
        <f>IFERROR(__xludf.DUMMYFUNCTION("""COMPUTED_VALUE"""),"Up Home")</f>
        <v>Up Home</v>
      </c>
      <c r="P1092" t="str">
        <f>IFERROR(__xludf.DUMMYFUNCTION("""COMPUTED_VALUE"""),"Active")</f>
        <v>Active</v>
      </c>
      <c r="R1092" s="159">
        <f>IFERROR(__xludf.DUMMYFUNCTION("""COMPUTED_VALUE"""),33559.0)</f>
        <v>33559</v>
      </c>
      <c r="S1092" s="146" t="str">
        <f>IFERROR(__xludf.DUMMYFUNCTION("""COMPUTED_VALUE"""),"095-675-2505")</f>
        <v>095-675-2505</v>
      </c>
      <c r="T1092" s="147">
        <f>IFERROR(__xludf.DUMMYFUNCTION("""COMPUTED_VALUE"""),1.34070035451E12)</f>
        <v>1340700354510</v>
      </c>
      <c r="U1092" t="str">
        <f>IFERROR(__xludf.DUMMYFUNCTION("""COMPUTED_VALUE"""),"AC4701955")</f>
        <v>AC4701955</v>
      </c>
      <c r="V1092" s="148">
        <f>IFERROR(__xludf.DUMMYFUNCTION("""COMPUTED_VALUE"""),45001.0)</f>
        <v>45001</v>
      </c>
      <c r="W1092" s="148">
        <f>IFERROR(__xludf.DUMMYFUNCTION("""COMPUTED_VALUE"""),48653.0)</f>
        <v>48653</v>
      </c>
      <c r="X1092" s="149">
        <f>IFERROR(__xludf.DUMMYFUNCTION("""COMPUTED_VALUE"""),48472.0)</f>
        <v>48472</v>
      </c>
      <c r="Y1092" t="str">
        <f>IFERROR(__xludf.DUMMYFUNCTION("""COMPUTED_VALUE"""),"ปลอดภัย")</f>
        <v>ปลอดภัย</v>
      </c>
      <c r="Z1092" t="str">
        <f>IFERROR(__xludf.DUMMYFUNCTION("""COMPUTED_VALUE"""),"Ubon Ratchathani Province")</f>
        <v>Ubon Ratchathani Province</v>
      </c>
      <c r="AA1092" t="str">
        <f>IFERROR(__xludf.DUMMYFUNCTION("""COMPUTED_VALUE"""),"chaing mai")</f>
        <v>chaing mai</v>
      </c>
      <c r="AB1092" s="145" t="str">
        <f>IFERROR(__xludf.DUMMYFUNCTION("""COMPUTED_VALUE"""),"081-162-7707")</f>
        <v>081-162-7707</v>
      </c>
      <c r="AC1092" t="str">
        <f>IFERROR(__xludf.DUMMYFUNCTION("""COMPUTED_VALUE"""),"นางนิภาพร สายจิตธรรม Mother")</f>
        <v>นางนิภาพร สายจิตธรรม Mother</v>
      </c>
      <c r="AD1092" t="str">
        <f>IFERROR(__xludf.DUMMYFUNCTION("""COMPUTED_VALUE"""),"tuchteerasits@airasia.com")</f>
        <v>tuchteerasits@airasia.com</v>
      </c>
    </row>
    <row r="1093">
      <c r="A1093" s="142">
        <f>IFERROR(__xludf.DUMMYFUNCTION("""COMPUTED_VALUE"""),104.0)</f>
        <v>104</v>
      </c>
      <c r="C1093" s="161">
        <f>IFERROR(__xludf.DUMMYFUNCTION("""COMPUTED_VALUE"""),1026210.0)</f>
        <v>1026210</v>
      </c>
      <c r="D1093" t="str">
        <f>IFERROR(__xludf.DUMMYFUNCTION("""COMPUTED_VALUE"""),"Ms.")</f>
        <v>Ms.</v>
      </c>
      <c r="E1093" t="str">
        <f>IFERROR(__xludf.DUMMYFUNCTION("""COMPUTED_VALUE"""),"Warissaraporn")</f>
        <v>Warissaraporn</v>
      </c>
      <c r="F1093" t="str">
        <f>IFERROR(__xludf.DUMMYFUNCTION("""COMPUTED_VALUE"""),"Srisathienkul")</f>
        <v>Srisathienkul</v>
      </c>
      <c r="G1093" t="str">
        <f>IFERROR(__xludf.DUMMYFUNCTION("""COMPUTED_VALUE"""),"Warissaraporn Srisathienkul")</f>
        <v>Warissaraporn Srisathienkul</v>
      </c>
      <c r="H1093" t="str">
        <f>IFERROR(__xludf.DUMMYFUNCTION("""COMPUTED_VALUE"""),"นางสาว")</f>
        <v>นางสาว</v>
      </c>
      <c r="I1093" t="str">
        <f>IFERROR(__xludf.DUMMYFUNCTION("""COMPUTED_VALUE"""),"วริศราภรณ์")</f>
        <v>วริศราภรณ์</v>
      </c>
      <c r="J1093" t="str">
        <f>IFERROR(__xludf.DUMMYFUNCTION("""COMPUTED_VALUE"""),"ศรีเสถียรกุล")</f>
        <v>ศรีเสถียรกุล</v>
      </c>
      <c r="K1093" t="str">
        <f>IFERROR(__xludf.DUMMYFUNCTION("""COMPUTED_VALUE"""),"วริศราภรณ์ ศรีเสถียรกุล")</f>
        <v>วริศราภรณ์ ศรีเสถียรกุล</v>
      </c>
      <c r="L1093" t="str">
        <f>IFERROR(__xludf.DUMMYFUNCTION("""COMPUTED_VALUE"""),"มิก")</f>
        <v>มิก</v>
      </c>
      <c r="M1093" t="str">
        <f>IFERROR(__xludf.DUMMYFUNCTION("""COMPUTED_VALUE"""),"Cabin Crew")</f>
        <v>Cabin Crew</v>
      </c>
      <c r="N1093" t="str">
        <f>IFERROR(__xludf.DUMMYFUNCTION("""COMPUTED_VALUE"""),"DMK")</f>
        <v>DMK</v>
      </c>
      <c r="O1093" s="145" t="str">
        <f>IFERROR(__xludf.DUMMYFUNCTION("""COMPUTED_VALUE"""),"Por+ Home")</f>
        <v>Por+ Home</v>
      </c>
      <c r="P1093" t="str">
        <f>IFERROR(__xludf.DUMMYFUNCTION("""COMPUTED_VALUE"""),"Active")</f>
        <v>Active</v>
      </c>
      <c r="R1093" s="159">
        <f>IFERROR(__xludf.DUMMYFUNCTION("""COMPUTED_VALUE"""),34830.0)</f>
        <v>34830</v>
      </c>
      <c r="S1093" s="146">
        <f>IFERROR(__xludf.DUMMYFUNCTION("""COMPUTED_VALUE"""),8.53664245E8)</f>
        <v>853664245</v>
      </c>
      <c r="T1093" s="147">
        <f>IFERROR(__xludf.DUMMYFUNCTION("""COMPUTED_VALUE"""),1.709900967609E12)</f>
        <v>1709900967609</v>
      </c>
      <c r="U1093" t="str">
        <f>IFERROR(__xludf.DUMMYFUNCTION("""COMPUTED_VALUE"""),"AC4186177")</f>
        <v>AC4186177</v>
      </c>
      <c r="V1093" s="148">
        <f>IFERROR(__xludf.DUMMYFUNCTION("""COMPUTED_VALUE"""),44888.0)</f>
        <v>44888</v>
      </c>
      <c r="W1093" s="148">
        <f>IFERROR(__xludf.DUMMYFUNCTION("""COMPUTED_VALUE"""),48540.0)</f>
        <v>48540</v>
      </c>
      <c r="X1093" s="149">
        <f>IFERROR(__xludf.DUMMYFUNCTION("""COMPUTED_VALUE"""),48356.0)</f>
        <v>48356</v>
      </c>
      <c r="Y1093" t="str">
        <f>IFERROR(__xludf.DUMMYFUNCTION("""COMPUTED_VALUE"""),"ปลอดภัย")</f>
        <v>ปลอดภัย</v>
      </c>
      <c r="Z1093" t="str">
        <f>IFERROR(__xludf.DUMMYFUNCTION("""COMPUTED_VALUE"""),"Ratchaburi Province")</f>
        <v>Ratchaburi Province</v>
      </c>
      <c r="AA1093" t="str">
        <f>IFERROR(__xludf.DUMMYFUNCTION("""COMPUTED_VALUE"""),"Bangkok")</f>
        <v>Bangkok</v>
      </c>
      <c r="AB1093" s="145" t="str">
        <f>IFERROR(__xludf.DUMMYFUNCTION("""COMPUTED_VALUE"""),"0865140829")</f>
        <v>0865140829</v>
      </c>
      <c r="AC1093" t="str">
        <f>IFERROR(__xludf.DUMMYFUNCTION("""COMPUTED_VALUE"""),"คุณ สมจิตร โพธิ์สีมา Mother")</f>
        <v>คุณ สมจิตร โพธิ์สีมา Mother</v>
      </c>
      <c r="AD1093" t="str">
        <f>IFERROR(__xludf.DUMMYFUNCTION("""COMPUTED_VALUE"""),"warissarapornsrisat@airasia.com")</f>
        <v>warissarapornsrisat@airasia.com</v>
      </c>
    </row>
    <row r="1094">
      <c r="A1094" s="142">
        <f>IFERROR(__xludf.DUMMYFUNCTION("""COMPUTED_VALUE"""),104.0)</f>
        <v>104</v>
      </c>
      <c r="C1094" s="161">
        <f>IFERROR(__xludf.DUMMYFUNCTION("""COMPUTED_VALUE"""),1026705.0)</f>
        <v>1026705</v>
      </c>
      <c r="D1094" t="str">
        <f>IFERROR(__xludf.DUMMYFUNCTION("""COMPUTED_VALUE"""),"Ms.")</f>
        <v>Ms.</v>
      </c>
      <c r="E1094" t="str">
        <f>IFERROR(__xludf.DUMMYFUNCTION("""COMPUTED_VALUE"""),"Krittaya")</f>
        <v>Krittaya</v>
      </c>
      <c r="F1094" t="str">
        <f>IFERROR(__xludf.DUMMYFUNCTION("""COMPUTED_VALUE"""),"Tejawong")</f>
        <v>Tejawong</v>
      </c>
      <c r="G1094" t="str">
        <f>IFERROR(__xludf.DUMMYFUNCTION("""COMPUTED_VALUE"""),"Krittaya Tejawong")</f>
        <v>Krittaya Tejawong</v>
      </c>
      <c r="H1094" t="str">
        <f>IFERROR(__xludf.DUMMYFUNCTION("""COMPUTED_VALUE"""),"นางสาว")</f>
        <v>นางสาว</v>
      </c>
      <c r="I1094" t="str">
        <f>IFERROR(__xludf.DUMMYFUNCTION("""COMPUTED_VALUE"""),"กฤตยา")</f>
        <v>กฤตยา</v>
      </c>
      <c r="J1094" t="str">
        <f>IFERROR(__xludf.DUMMYFUNCTION("""COMPUTED_VALUE"""),"เตจ๊ะวงค์")</f>
        <v>เตจ๊ะวงค์</v>
      </c>
      <c r="K1094" t="str">
        <f>IFERROR(__xludf.DUMMYFUNCTION("""COMPUTED_VALUE"""),"กฤตยา เตจ๊ะวงค์")</f>
        <v>กฤตยา เตจ๊ะวงค์</v>
      </c>
      <c r="L1094" t="str">
        <f>IFERROR(__xludf.DUMMYFUNCTION("""COMPUTED_VALUE"""),"Pompam / ป๋อมแป๋ม")</f>
        <v>Pompam / ป๋อมแป๋ม</v>
      </c>
      <c r="M1094" t="str">
        <f>IFERROR(__xludf.DUMMYFUNCTION("""COMPUTED_VALUE"""),"Cabin Crew")</f>
        <v>Cabin Crew</v>
      </c>
      <c r="N1094" t="str">
        <f>IFERROR(__xludf.DUMMYFUNCTION("""COMPUTED_VALUE"""),"DMK")</f>
        <v>DMK</v>
      </c>
      <c r="O1094" s="145" t="str">
        <f>IFERROR(__xludf.DUMMYFUNCTION("""COMPUTED_VALUE"""),"Um Home")</f>
        <v>Um Home</v>
      </c>
      <c r="P1094" t="str">
        <f>IFERROR(__xludf.DUMMYFUNCTION("""COMPUTED_VALUE"""),"Active")</f>
        <v>Active</v>
      </c>
      <c r="R1094" s="159">
        <f>IFERROR(__xludf.DUMMYFUNCTION("""COMPUTED_VALUE"""),34584.0)</f>
        <v>34584</v>
      </c>
      <c r="S1094" s="146" t="str">
        <f>IFERROR(__xludf.DUMMYFUNCTION("""COMPUTED_VALUE"""),"095-446-2834")</f>
        <v>095-446-2834</v>
      </c>
      <c r="T1094" s="147">
        <f>IFERROR(__xludf.DUMMYFUNCTION("""COMPUTED_VALUE"""),1.509901483551E12)</f>
        <v>1509901483551</v>
      </c>
      <c r="U1094" t="str">
        <f>IFERROR(__xludf.DUMMYFUNCTION("""COMPUTED_VALUE"""),"AC4397692")</f>
        <v>AC4397692</v>
      </c>
      <c r="V1094" s="148">
        <f>IFERROR(__xludf.DUMMYFUNCTION("""COMPUTED_VALUE"""),44942.0)</f>
        <v>44942</v>
      </c>
      <c r="W1094" s="148">
        <f>IFERROR(__xludf.DUMMYFUNCTION("""COMPUTED_VALUE"""),46767.0)</f>
        <v>46767</v>
      </c>
      <c r="X1094" s="149">
        <f>IFERROR(__xludf.DUMMYFUNCTION("""COMPUTED_VALUE"""),46583.0)</f>
        <v>46583</v>
      </c>
      <c r="Y1094" t="str">
        <f>IFERROR(__xludf.DUMMYFUNCTION("""COMPUTED_VALUE"""),"ปลอดภัย")</f>
        <v>ปลอดภัย</v>
      </c>
      <c r="Z1094" t="str">
        <f>IFERROR(__xludf.DUMMYFUNCTION("""COMPUTED_VALUE"""),"Chiang Mai Province")</f>
        <v>Chiang Mai Province</v>
      </c>
      <c r="AA1094" t="str">
        <f>IFERROR(__xludf.DUMMYFUNCTION("""COMPUTED_VALUE"""),"Bangkok")</f>
        <v>Bangkok</v>
      </c>
      <c r="AB1094" s="145" t="str">
        <f>IFERROR(__xludf.DUMMYFUNCTION("""COMPUTED_VALUE"""),"089-264-9788")</f>
        <v>089-264-9788</v>
      </c>
      <c r="AC1094" t="str">
        <f>IFERROR(__xludf.DUMMYFUNCTION("""COMPUTED_VALUE"""),"นางกรองจิตร เตจ๊ะวงค์ Mother")</f>
        <v>นางกรองจิตร เตจ๊ะวงค์ Mother</v>
      </c>
      <c r="AD1094" t="str">
        <f>IFERROR(__xludf.DUMMYFUNCTION("""COMPUTED_VALUE"""),"krittayatejawong@airasia.com")</f>
        <v>krittayatejawong@airasia.com</v>
      </c>
    </row>
    <row r="1095">
      <c r="A1095" s="142">
        <f>IFERROR(__xludf.DUMMYFUNCTION("""COMPUTED_VALUE"""),104.0)</f>
        <v>104</v>
      </c>
      <c r="C1095" s="161">
        <f>IFERROR(__xludf.DUMMYFUNCTION("""COMPUTED_VALUE"""),1014554.0)</f>
        <v>1014554</v>
      </c>
      <c r="D1095" t="str">
        <f>IFERROR(__xludf.DUMMYFUNCTION("""COMPUTED_VALUE"""),"Ms.")</f>
        <v>Ms.</v>
      </c>
      <c r="E1095" t="str">
        <f>IFERROR(__xludf.DUMMYFUNCTION("""COMPUTED_VALUE"""),"Katthareeya")</f>
        <v>Katthareeya</v>
      </c>
      <c r="F1095" t="str">
        <f>IFERROR(__xludf.DUMMYFUNCTION("""COMPUTED_VALUE"""),"Trachoowanich")</f>
        <v>Trachoowanich</v>
      </c>
      <c r="G1095" t="str">
        <f>IFERROR(__xludf.DUMMYFUNCTION("""COMPUTED_VALUE"""),"Katthareeya Trachoowanich")</f>
        <v>Katthareeya Trachoowanich</v>
      </c>
      <c r="H1095" t="str">
        <f>IFERROR(__xludf.DUMMYFUNCTION("""COMPUTED_VALUE"""),"นางสาว")</f>
        <v>นางสาว</v>
      </c>
      <c r="I1095" t="str">
        <f>IFERROR(__xludf.DUMMYFUNCTION("""COMPUTED_VALUE"""),"แคทรียา")</f>
        <v>แคทรียา</v>
      </c>
      <c r="J1095" t="str">
        <f>IFERROR(__xludf.DUMMYFUNCTION("""COMPUTED_VALUE"""),"ตราชูวณิช")</f>
        <v>ตราชูวณิช</v>
      </c>
      <c r="K1095" t="str">
        <f>IFERROR(__xludf.DUMMYFUNCTION("""COMPUTED_VALUE"""),"แคทรียา ตราชูวณิช")</f>
        <v>แคทรียา ตราชูวณิช</v>
      </c>
      <c r="L1095" t="str">
        <f>IFERROR(__xludf.DUMMYFUNCTION("""COMPUTED_VALUE"""),"Green / กรีน")</f>
        <v>Green / กรีน</v>
      </c>
      <c r="M1095" t="str">
        <f>IFERROR(__xludf.DUMMYFUNCTION("""COMPUTED_VALUE"""),"Cabin Crew")</f>
        <v>Cabin Crew</v>
      </c>
      <c r="N1095" t="str">
        <f>IFERROR(__xludf.DUMMYFUNCTION("""COMPUTED_VALUE"""),"DMK")</f>
        <v>DMK</v>
      </c>
      <c r="O1095" s="145" t="str">
        <f>IFERROR(__xludf.DUMMYFUNCTION("""COMPUTED_VALUE"""),"Kor Home")</f>
        <v>Kor Home</v>
      </c>
      <c r="P1095" t="str">
        <f>IFERROR(__xludf.DUMMYFUNCTION("""COMPUTED_VALUE"""),"Active")</f>
        <v>Active</v>
      </c>
      <c r="R1095" s="159">
        <f>IFERROR(__xludf.DUMMYFUNCTION("""COMPUTED_VALUE"""),34593.0)</f>
        <v>34593</v>
      </c>
      <c r="S1095" s="146" t="str">
        <f>IFERROR(__xludf.DUMMYFUNCTION("""COMPUTED_VALUE"""),"086-353-5311")</f>
        <v>086-353-5311</v>
      </c>
      <c r="T1095" s="147">
        <f>IFERROR(__xludf.DUMMYFUNCTION("""COMPUTED_VALUE"""),1.769900359072E12)</f>
        <v>1769900359072</v>
      </c>
      <c r="U1095" t="str">
        <f>IFERROR(__xludf.DUMMYFUNCTION("""COMPUTED_VALUE"""),"AC6215064")</f>
        <v>AC6215064</v>
      </c>
      <c r="V1095" s="148">
        <f>IFERROR(__xludf.DUMMYFUNCTION("""COMPUTED_VALUE"""),45301.0)</f>
        <v>45301</v>
      </c>
      <c r="W1095" s="148">
        <f>IFERROR(__xludf.DUMMYFUNCTION("""COMPUTED_VALUE"""),48953.0)</f>
        <v>48953</v>
      </c>
      <c r="X1095" s="149">
        <f>IFERROR(__xludf.DUMMYFUNCTION("""COMPUTED_VALUE"""),48769.0)</f>
        <v>48769</v>
      </c>
      <c r="Y1095" t="str">
        <f>IFERROR(__xludf.DUMMYFUNCTION("""COMPUTED_VALUE"""),"ปลอดภัย")</f>
        <v>ปลอดภัย</v>
      </c>
      <c r="Z1095" t="str">
        <f>IFERROR(__xludf.DUMMYFUNCTION("""COMPUTED_VALUE"""),"Phetchaburi Province")</f>
        <v>Phetchaburi Province</v>
      </c>
      <c r="AA1095" t="str">
        <f>IFERROR(__xludf.DUMMYFUNCTION("""COMPUTED_VALUE"""),"Bangkok")</f>
        <v>Bangkok</v>
      </c>
      <c r="AB1095" s="145" t="str">
        <f>IFERROR(__xludf.DUMMYFUNCTION("""COMPUTED_VALUE"""),"088-674-8213")</f>
        <v>088-674-8213</v>
      </c>
      <c r="AC1095" t="str">
        <f>IFERROR(__xludf.DUMMYFUNCTION("""COMPUTED_VALUE"""),"นางอัญชลี ตราชูวณิช Mother")</f>
        <v>นางอัญชลี ตราชูวณิช Mother</v>
      </c>
      <c r="AD1095" t="str">
        <f>IFERROR(__xludf.DUMMYFUNCTION("""COMPUTED_VALUE"""),"katthareeyat@airasia.com")</f>
        <v>katthareeyat@airasia.com</v>
      </c>
    </row>
    <row r="1096">
      <c r="A1096" s="142">
        <f>IFERROR(__xludf.DUMMYFUNCTION("""COMPUTED_VALUE"""),104.0)</f>
        <v>104</v>
      </c>
      <c r="C1096" s="161">
        <f>IFERROR(__xludf.DUMMYFUNCTION("""COMPUTED_VALUE"""),1013468.0)</f>
        <v>1013468</v>
      </c>
      <c r="D1096" t="str">
        <f>IFERROR(__xludf.DUMMYFUNCTION("""COMPUTED_VALUE"""),"Ms.")</f>
        <v>Ms.</v>
      </c>
      <c r="E1096" t="str">
        <f>IFERROR(__xludf.DUMMYFUNCTION("""COMPUTED_VALUE"""),"Pim")</f>
        <v>Pim</v>
      </c>
      <c r="F1096" t="str">
        <f>IFERROR(__xludf.DUMMYFUNCTION("""COMPUTED_VALUE"""),"Piwasin")</f>
        <v>Piwasin</v>
      </c>
      <c r="G1096" t="str">
        <f>IFERROR(__xludf.DUMMYFUNCTION("""COMPUTED_VALUE"""),"Pim Piwasin")</f>
        <v>Pim Piwasin</v>
      </c>
      <c r="H1096" t="str">
        <f>IFERROR(__xludf.DUMMYFUNCTION("""COMPUTED_VALUE"""),"นางสาว")</f>
        <v>นางสาว</v>
      </c>
      <c r="I1096" t="str">
        <f>IFERROR(__xludf.DUMMYFUNCTION("""COMPUTED_VALUE"""),"พิม")</f>
        <v>พิม</v>
      </c>
      <c r="J1096" t="str">
        <f>IFERROR(__xludf.DUMMYFUNCTION("""COMPUTED_VALUE"""),"ปิวศิลป์")</f>
        <v>ปิวศิลป์</v>
      </c>
      <c r="K1096" t="str">
        <f>IFERROR(__xludf.DUMMYFUNCTION("""COMPUTED_VALUE"""),"พิม ปิวศิลป์")</f>
        <v>พิม ปิวศิลป์</v>
      </c>
      <c r="L1096" t="str">
        <f>IFERROR(__xludf.DUMMYFUNCTION("""COMPUTED_VALUE"""),"พิม")</f>
        <v>พิม</v>
      </c>
      <c r="M1096" t="str">
        <f>IFERROR(__xludf.DUMMYFUNCTION("""COMPUTED_VALUE"""),"Cabin Crew - CNX")</f>
        <v>Cabin Crew - CNX</v>
      </c>
      <c r="N1096" t="str">
        <f>IFERROR(__xludf.DUMMYFUNCTION("""COMPUTED_VALUE"""),"CNX")</f>
        <v>CNX</v>
      </c>
      <c r="O1096" s="145" t="str">
        <f>IFERROR(__xludf.DUMMYFUNCTION("""COMPUTED_VALUE"""),"Up Home")</f>
        <v>Up Home</v>
      </c>
      <c r="P1096" t="str">
        <f>IFERROR(__xludf.DUMMYFUNCTION("""COMPUTED_VALUE"""),"Active")</f>
        <v>Active</v>
      </c>
      <c r="R1096" s="159">
        <f>IFERROR(__xludf.DUMMYFUNCTION("""COMPUTED_VALUE"""),33978.0)</f>
        <v>33978</v>
      </c>
      <c r="S1096" s="146" t="str">
        <f>IFERROR(__xludf.DUMMYFUNCTION("""COMPUTED_VALUE"""),"084-363-3993")</f>
        <v>084-363-3993</v>
      </c>
      <c r="T1096" s="147">
        <f>IFERROR(__xludf.DUMMYFUNCTION("""COMPUTED_VALUE"""),1.509901256694E12)</f>
        <v>1509901256694</v>
      </c>
      <c r="U1096" t="str">
        <f>IFERROR(__xludf.DUMMYFUNCTION("""COMPUTED_VALUE"""),"AC4735844")</f>
        <v>AC4735844</v>
      </c>
      <c r="V1096" s="148">
        <f>IFERROR(__xludf.DUMMYFUNCTION("""COMPUTED_VALUE"""),45012.0)</f>
        <v>45012</v>
      </c>
      <c r="W1096" s="148">
        <f>IFERROR(__xludf.DUMMYFUNCTION("""COMPUTED_VALUE"""),46838.0)</f>
        <v>46838</v>
      </c>
      <c r="X1096" s="149">
        <f>IFERROR(__xludf.DUMMYFUNCTION("""COMPUTED_VALUE"""),46656.0)</f>
        <v>46656</v>
      </c>
      <c r="Y1096" t="str">
        <f>IFERROR(__xludf.DUMMYFUNCTION("""COMPUTED_VALUE"""),"ปลอดภัย")</f>
        <v>ปลอดภัย</v>
      </c>
      <c r="Z1096" t="str">
        <f>IFERROR(__xludf.DUMMYFUNCTION("""COMPUTED_VALUE"""),"Chiang Mai Province")</f>
        <v>Chiang Mai Province</v>
      </c>
      <c r="AA1096" t="str">
        <f>IFERROR(__xludf.DUMMYFUNCTION("""COMPUTED_VALUE"""),"Lumphoon")</f>
        <v>Lumphoon</v>
      </c>
      <c r="AB1096" s="145" t="str">
        <f>IFERROR(__xludf.DUMMYFUNCTION("""COMPUTED_VALUE"""),"081-163-4343")</f>
        <v>081-163-4343</v>
      </c>
      <c r="AC1096" t="str">
        <f>IFERROR(__xludf.DUMMYFUNCTION("""COMPUTED_VALUE"""),"นางโสภาพรรณ ปิวศิลป์ Mother")</f>
        <v>นางโสภาพรรณ ปิวศิลป์ Mother</v>
      </c>
      <c r="AD1096" t="str">
        <f>IFERROR(__xludf.DUMMYFUNCTION("""COMPUTED_VALUE"""),"pimp@airasia.com")</f>
        <v>pimp@airasia.com</v>
      </c>
    </row>
    <row r="1097">
      <c r="A1097" s="142">
        <f>IFERROR(__xludf.DUMMYFUNCTION("""COMPUTED_VALUE"""),104.0)</f>
        <v>104</v>
      </c>
      <c r="C1097">
        <f>IFERROR(__xludf.DUMMYFUNCTION("""COMPUTED_VALUE"""),1014143.0)</f>
        <v>1014143</v>
      </c>
      <c r="D1097" t="str">
        <f>IFERROR(__xludf.DUMMYFUNCTION("""COMPUTED_VALUE"""),"Ms.")</f>
        <v>Ms.</v>
      </c>
      <c r="E1097" t="str">
        <f>IFERROR(__xludf.DUMMYFUNCTION("""COMPUTED_VALUE"""),"Sudarat ")</f>
        <v>Sudarat </v>
      </c>
      <c r="F1097" t="str">
        <f>IFERROR(__xludf.DUMMYFUNCTION("""COMPUTED_VALUE"""),"Prosri")</f>
        <v>Prosri</v>
      </c>
      <c r="G1097" t="str">
        <f>IFERROR(__xludf.DUMMYFUNCTION("""COMPUTED_VALUE"""),"Sudarat  Prosri")</f>
        <v>Sudarat  Prosri</v>
      </c>
      <c r="H1097" t="str">
        <f>IFERROR(__xludf.DUMMYFUNCTION("""COMPUTED_VALUE"""),"นางสาว")</f>
        <v>นางสาว</v>
      </c>
      <c r="I1097" t="str">
        <f>IFERROR(__xludf.DUMMYFUNCTION("""COMPUTED_VALUE"""),"สุดารัตน์")</f>
        <v>สุดารัตน์</v>
      </c>
      <c r="J1097" t="str">
        <f>IFERROR(__xludf.DUMMYFUNCTION("""COMPUTED_VALUE"""),"โพธิ์ศรี")</f>
        <v>โพธิ์ศรี</v>
      </c>
      <c r="K1097" t="str">
        <f>IFERROR(__xludf.DUMMYFUNCTION("""COMPUTED_VALUE"""),"สุดารัตน์ โพธิ์ศรี")</f>
        <v>สุดารัตน์ โพธิ์ศรี</v>
      </c>
      <c r="L1097" t="str">
        <f>IFERROR(__xludf.DUMMYFUNCTION("""COMPUTED_VALUE"""),"มิ้งค์")</f>
        <v>มิ้งค์</v>
      </c>
      <c r="M1097" t="str">
        <f>IFERROR(__xludf.DUMMYFUNCTION("""COMPUTED_VALUE"""),"Cabin Crew - CNX")</f>
        <v>Cabin Crew - CNX</v>
      </c>
      <c r="N1097" t="str">
        <f>IFERROR(__xludf.DUMMYFUNCTION("""COMPUTED_VALUE"""),"CNX")</f>
        <v>CNX</v>
      </c>
      <c r="O1097" s="145" t="str">
        <f>IFERROR(__xludf.DUMMYFUNCTION("""COMPUTED_VALUE"""),"Up Home")</f>
        <v>Up Home</v>
      </c>
      <c r="P1097" t="str">
        <f>IFERROR(__xludf.DUMMYFUNCTION("""COMPUTED_VALUE"""),"Active")</f>
        <v>Active</v>
      </c>
      <c r="R1097" s="159">
        <f>IFERROR(__xludf.DUMMYFUNCTION("""COMPUTED_VALUE"""),33830.0)</f>
        <v>33830</v>
      </c>
      <c r="S1097" s="146">
        <f>IFERROR(__xludf.DUMMYFUNCTION("""COMPUTED_VALUE"""),8.95021547E8)</f>
        <v>895021547</v>
      </c>
      <c r="T1097" s="147">
        <f>IFERROR(__xludf.DUMMYFUNCTION("""COMPUTED_VALUE"""),1.52010009616E12)</f>
        <v>1520100096160</v>
      </c>
      <c r="U1097" t="str">
        <f>IFERROR(__xludf.DUMMYFUNCTION("""COMPUTED_VALUE"""),"AC4898666")</f>
        <v>AC4898666</v>
      </c>
      <c r="V1097" s="148">
        <f>IFERROR(__xludf.DUMMYFUNCTION("""COMPUTED_VALUE"""),45042.0)</f>
        <v>45042</v>
      </c>
      <c r="W1097" s="148">
        <f>IFERROR(__xludf.DUMMYFUNCTION("""COMPUTED_VALUE"""),48694.0)</f>
        <v>48694</v>
      </c>
      <c r="X1097" s="149">
        <f>IFERROR(__xludf.DUMMYFUNCTION("""COMPUTED_VALUE"""),48512.0)</f>
        <v>48512</v>
      </c>
      <c r="Y1097" t="str">
        <f>IFERROR(__xludf.DUMMYFUNCTION("""COMPUTED_VALUE"""),"ปลอดภัย")</f>
        <v>ปลอดภัย</v>
      </c>
      <c r="Z1097" t="str">
        <f>IFERROR(__xludf.DUMMYFUNCTION("""COMPUTED_VALUE"""),"lamprang")</f>
        <v>lamprang</v>
      </c>
      <c r="AA1097" t="str">
        <f>IFERROR(__xludf.DUMMYFUNCTION("""COMPUTED_VALUE"""),"Bangkok")</f>
        <v>Bangkok</v>
      </c>
      <c r="AB1097" s="145" t="str">
        <f>IFERROR(__xludf.DUMMYFUNCTION("""COMPUTED_VALUE"""),"06-4720-7137")</f>
        <v>06-4720-7137</v>
      </c>
      <c r="AC1097" t="str">
        <f>IFERROR(__xludf.DUMMYFUNCTION("""COMPUTED_VALUE"""),"นางอำพร โพธิ์ศรี Mother")</f>
        <v>นางอำพร โพธิ์ศรี Mother</v>
      </c>
      <c r="AD1097" t="str">
        <f>IFERROR(__xludf.DUMMYFUNCTION("""COMPUTED_VALUE"""),"sudaratp@airasia.com")</f>
        <v>sudaratp@airasia.com</v>
      </c>
    </row>
    <row r="1098">
      <c r="A1098" s="142">
        <f>IFERROR(__xludf.DUMMYFUNCTION("""COMPUTED_VALUE"""),104.0)</f>
        <v>104</v>
      </c>
      <c r="C1098">
        <f>IFERROR(__xludf.DUMMYFUNCTION("""COMPUTED_VALUE"""),1009434.0)</f>
        <v>1009434</v>
      </c>
      <c r="D1098" t="str">
        <f>IFERROR(__xludf.DUMMYFUNCTION("""COMPUTED_VALUE"""),"Mr.")</f>
        <v>Mr.</v>
      </c>
      <c r="E1098" t="str">
        <f>IFERROR(__xludf.DUMMYFUNCTION("""COMPUTED_VALUE"""),"Wanpiya")</f>
        <v>Wanpiya</v>
      </c>
      <c r="F1098" t="str">
        <f>IFERROR(__xludf.DUMMYFUNCTION("""COMPUTED_VALUE"""),"Kaewyok")</f>
        <v>Kaewyok</v>
      </c>
      <c r="G1098" t="str">
        <f>IFERROR(__xludf.DUMMYFUNCTION("""COMPUTED_VALUE"""),"Wanpiya Kaewyok")</f>
        <v>Wanpiya Kaewyok</v>
      </c>
      <c r="H1098" t="str">
        <f>IFERROR(__xludf.DUMMYFUNCTION("""COMPUTED_VALUE"""),"นาย")</f>
        <v>นาย</v>
      </c>
      <c r="I1098" t="str">
        <f>IFERROR(__xludf.DUMMYFUNCTION("""COMPUTED_VALUE"""),"วันปิยะ")</f>
        <v>วันปิยะ</v>
      </c>
      <c r="J1098" t="str">
        <f>IFERROR(__xludf.DUMMYFUNCTION("""COMPUTED_VALUE"""),"แก้วยก")</f>
        <v>แก้วยก</v>
      </c>
      <c r="K1098" t="str">
        <f>IFERROR(__xludf.DUMMYFUNCTION("""COMPUTED_VALUE"""),"วันปิยะ แก้วยก")</f>
        <v>วันปิยะ แก้วยก</v>
      </c>
      <c r="L1098" t="str">
        <f>IFERROR(__xludf.DUMMYFUNCTION("""COMPUTED_VALUE"""),"ไนน์")</f>
        <v>ไนน์</v>
      </c>
      <c r="M1098" t="str">
        <f>IFERROR(__xludf.DUMMYFUNCTION("""COMPUTED_VALUE"""),"Cabin Crew")</f>
        <v>Cabin Crew</v>
      </c>
      <c r="N1098" t="str">
        <f>IFERROR(__xludf.DUMMYFUNCTION("""COMPUTED_VALUE"""),"DMK")</f>
        <v>DMK</v>
      </c>
      <c r="O1098" s="145" t="str">
        <f>IFERROR(__xludf.DUMMYFUNCTION("""COMPUTED_VALUE"""),"Toffy Home")</f>
        <v>Toffy Home</v>
      </c>
      <c r="P1098" t="str">
        <f>IFERROR(__xludf.DUMMYFUNCTION("""COMPUTED_VALUE"""),"Active")</f>
        <v>Active</v>
      </c>
      <c r="R1098" s="159">
        <f>IFERROR(__xludf.DUMMYFUNCTION("""COMPUTED_VALUE"""),34265.0)</f>
        <v>34265</v>
      </c>
      <c r="S1098" s="146" t="str">
        <f>IFERROR(__xludf.DUMMYFUNCTION("""COMPUTED_VALUE"""),"089-659-0090")</f>
        <v>089-659-0090</v>
      </c>
      <c r="T1098" s="147">
        <f>IFERROR(__xludf.DUMMYFUNCTION("""COMPUTED_VALUE"""),1.909800762485E12)</f>
        <v>1909800762485</v>
      </c>
      <c r="U1098" t="str">
        <f>IFERROR(__xludf.DUMMYFUNCTION("""COMPUTED_VALUE"""),"AC2223037")</f>
        <v>AC2223037</v>
      </c>
      <c r="V1098" s="148">
        <f>IFERROR(__xludf.DUMMYFUNCTION("""COMPUTED_VALUE"""),44271.0)</f>
        <v>44271</v>
      </c>
      <c r="W1098" s="148">
        <f>IFERROR(__xludf.DUMMYFUNCTION("""COMPUTED_VALUE"""),47922.0)</f>
        <v>47922</v>
      </c>
      <c r="X1098" s="149">
        <f>IFERROR(__xludf.DUMMYFUNCTION("""COMPUTED_VALUE"""),47741.0)</f>
        <v>47741</v>
      </c>
      <c r="Y1098" t="str">
        <f>IFERROR(__xludf.DUMMYFUNCTION("""COMPUTED_VALUE"""),"ปลอดภัย")</f>
        <v>ปลอดภัย</v>
      </c>
      <c r="Z1098" t="str">
        <f>IFERROR(__xludf.DUMMYFUNCTION("""COMPUTED_VALUE"""),"Songkhla Province")</f>
        <v>Songkhla Province</v>
      </c>
      <c r="AA1098" t="str">
        <f>IFERROR(__xludf.DUMMYFUNCTION("""COMPUTED_VALUE"""),"Bangkok")</f>
        <v>Bangkok</v>
      </c>
      <c r="AB1098" s="145" t="str">
        <f>IFERROR(__xludf.DUMMYFUNCTION("""COMPUTED_VALUE"""),"089-776-4944")</f>
        <v>089-776-4944</v>
      </c>
      <c r="AC1098" t="str">
        <f>IFERROR(__xludf.DUMMYFUNCTION("""COMPUTED_VALUE"""),"นายเฉลิม แก้วยก Father")</f>
        <v>นายเฉลิม แก้วยก Father</v>
      </c>
      <c r="AD1098" t="str">
        <f>IFERROR(__xludf.DUMMYFUNCTION("""COMPUTED_VALUE"""),"wanpiyak@airasia.com")</f>
        <v>wanpiyak@airasia.com</v>
      </c>
    </row>
    <row r="1099">
      <c r="A1099" s="142">
        <f>IFERROR(__xludf.DUMMYFUNCTION("""COMPUTED_VALUE"""),104.0)</f>
        <v>104</v>
      </c>
      <c r="C1099">
        <f>IFERROR(__xludf.DUMMYFUNCTION("""COMPUTED_VALUE"""),1007306.0)</f>
        <v>1007306</v>
      </c>
      <c r="D1099" t="str">
        <f>IFERROR(__xludf.DUMMYFUNCTION("""COMPUTED_VALUE"""),"Ms.")</f>
        <v>Ms.</v>
      </c>
      <c r="E1099" t="str">
        <f>IFERROR(__xludf.DUMMYFUNCTION("""COMPUTED_VALUE"""),"Theevipa")</f>
        <v>Theevipa</v>
      </c>
      <c r="F1099" t="str">
        <f>IFERROR(__xludf.DUMMYFUNCTION("""COMPUTED_VALUE"""),"Thanunjirabul")</f>
        <v>Thanunjirabul</v>
      </c>
      <c r="G1099" t="str">
        <f>IFERROR(__xludf.DUMMYFUNCTION("""COMPUTED_VALUE"""),"Theevipa Thanunjirabul")</f>
        <v>Theevipa Thanunjirabul</v>
      </c>
      <c r="H1099" t="str">
        <f>IFERROR(__xludf.DUMMYFUNCTION("""COMPUTED_VALUE"""),"นางสาว")</f>
        <v>นางสาว</v>
      </c>
      <c r="I1099" t="str">
        <f>IFERROR(__xludf.DUMMYFUNCTION("""COMPUTED_VALUE"""),"ธีร์วิภา")</f>
        <v>ธีร์วิภา</v>
      </c>
      <c r="J1099" t="str">
        <f>IFERROR(__xludf.DUMMYFUNCTION("""COMPUTED_VALUE"""),"ธนันจิรบูลย์")</f>
        <v>ธนันจิรบูลย์</v>
      </c>
      <c r="K1099" t="str">
        <f>IFERROR(__xludf.DUMMYFUNCTION("""COMPUTED_VALUE"""),"ธีร์วิภา ธนันจิรบูลย์")</f>
        <v>ธีร์วิภา ธนันจิรบูลย์</v>
      </c>
      <c r="L1099" t="str">
        <f>IFERROR(__xludf.DUMMYFUNCTION("""COMPUTED_VALUE"""),"กุ๊กกิ๊ก")</f>
        <v>กุ๊กกิ๊ก</v>
      </c>
      <c r="M1099" t="str">
        <f>IFERROR(__xludf.DUMMYFUNCTION("""COMPUTED_VALUE"""),"Cabin Crew")</f>
        <v>Cabin Crew</v>
      </c>
      <c r="N1099" t="str">
        <f>IFERROR(__xludf.DUMMYFUNCTION("""COMPUTED_VALUE"""),"DMK")</f>
        <v>DMK</v>
      </c>
      <c r="O1099" s="145" t="str">
        <f>IFERROR(__xludf.DUMMYFUNCTION("""COMPUTED_VALUE"""),"Por+ Home")</f>
        <v>Por+ Home</v>
      </c>
      <c r="P1099" t="str">
        <f>IFERROR(__xludf.DUMMYFUNCTION("""COMPUTED_VALUE"""),"Active")</f>
        <v>Active</v>
      </c>
      <c r="R1099" s="159">
        <f>IFERROR(__xludf.DUMMYFUNCTION("""COMPUTED_VALUE"""),32467.0)</f>
        <v>32467</v>
      </c>
      <c r="S1099" s="146" t="str">
        <f>IFERROR(__xludf.DUMMYFUNCTION("""COMPUTED_VALUE"""),"083-245-5559")</f>
        <v>083-245-5559</v>
      </c>
      <c r="T1099" s="147">
        <f>IFERROR(__xludf.DUMMYFUNCTION("""COMPUTED_VALUE"""),1.100400363639E12)</f>
        <v>1100400363639</v>
      </c>
      <c r="U1099" t="str">
        <f>IFERROR(__xludf.DUMMYFUNCTION("""COMPUTED_VALUE"""),"AC4030854")</f>
        <v>AC4030854</v>
      </c>
      <c r="V1099" s="148">
        <f>IFERROR(__xludf.DUMMYFUNCTION("""COMPUTED_VALUE"""),44817.0)</f>
        <v>44817</v>
      </c>
      <c r="W1099" s="148">
        <f>IFERROR(__xludf.DUMMYFUNCTION("""COMPUTED_VALUE"""),48469.0)</f>
        <v>48469</v>
      </c>
      <c r="X1099" s="149">
        <f>IFERROR(__xludf.DUMMYFUNCTION("""COMPUTED_VALUE"""),48285.0)</f>
        <v>48285</v>
      </c>
      <c r="Y1099" t="str">
        <f>IFERROR(__xludf.DUMMYFUNCTION("""COMPUTED_VALUE"""),"ปลอดภัย")</f>
        <v>ปลอดภัย</v>
      </c>
      <c r="Z1099" t="str">
        <f>IFERROR(__xludf.DUMMYFUNCTION("""COMPUTED_VALUE"""),"Bangkok")</f>
        <v>Bangkok</v>
      </c>
      <c r="AA1099" t="str">
        <f>IFERROR(__xludf.DUMMYFUNCTION("""COMPUTED_VALUE"""),"Bangkok")</f>
        <v>Bangkok</v>
      </c>
      <c r="AB1099" s="145" t="str">
        <f>IFERROR(__xludf.DUMMYFUNCTION("""COMPUTED_VALUE"""),"091-552-8987")</f>
        <v>091-552-8987</v>
      </c>
      <c r="AC1099" t="str">
        <f>IFERROR(__xludf.DUMMYFUNCTION("""COMPUTED_VALUE"""),"นายชินวัฒน์ หิรัญชัย Friend")</f>
        <v>นายชินวัฒน์ หิรัญชัย Friend</v>
      </c>
      <c r="AD1099" t="str">
        <f>IFERROR(__xludf.DUMMYFUNCTION("""COMPUTED_VALUE"""),"theevipat@airasia.com")</f>
        <v>theevipat@airasia.com</v>
      </c>
    </row>
    <row r="1100">
      <c r="A1100" s="142">
        <f>IFERROR(__xludf.DUMMYFUNCTION("""COMPUTED_VALUE"""),104.0)</f>
        <v>104</v>
      </c>
      <c r="C1100">
        <f>IFERROR(__xludf.DUMMYFUNCTION("""COMPUTED_VALUE"""),1008424.0)</f>
        <v>1008424</v>
      </c>
      <c r="D1100" t="str">
        <f>IFERROR(__xludf.DUMMYFUNCTION("""COMPUTED_VALUE"""),"Ms.")</f>
        <v>Ms.</v>
      </c>
      <c r="E1100" t="str">
        <f>IFERROR(__xludf.DUMMYFUNCTION("""COMPUTED_VALUE"""),"Sudsaiparn")</f>
        <v>Sudsaiparn</v>
      </c>
      <c r="F1100" t="str">
        <f>IFERROR(__xludf.DUMMYFUNCTION("""COMPUTED_VALUE"""),"Sasiwannapong")</f>
        <v>Sasiwannapong</v>
      </c>
      <c r="G1100" t="str">
        <f>IFERROR(__xludf.DUMMYFUNCTION("""COMPUTED_VALUE"""),"Sudsaiparn Sasiwannapong")</f>
        <v>Sudsaiparn Sasiwannapong</v>
      </c>
      <c r="H1100" t="str">
        <f>IFERROR(__xludf.DUMMYFUNCTION("""COMPUTED_VALUE"""),"นางสาว")</f>
        <v>นางสาว</v>
      </c>
      <c r="I1100" t="str">
        <f>IFERROR(__xludf.DUMMYFUNCTION("""COMPUTED_VALUE"""),"สุดสายป่าน")</f>
        <v>สุดสายป่าน</v>
      </c>
      <c r="J1100" t="str">
        <f>IFERROR(__xludf.DUMMYFUNCTION("""COMPUTED_VALUE"""),"ศศิวรรณพงศ์")</f>
        <v>ศศิวรรณพงศ์</v>
      </c>
      <c r="K1100" t="str">
        <f>IFERROR(__xludf.DUMMYFUNCTION("""COMPUTED_VALUE"""),"สุดสายป่าน ศศิวรรณพงศ์")</f>
        <v>สุดสายป่าน ศศิวรรณพงศ์</v>
      </c>
      <c r="L1100" t="str">
        <f>IFERROR(__xludf.DUMMYFUNCTION("""COMPUTED_VALUE"""),"สายป่าน")</f>
        <v>สายป่าน</v>
      </c>
      <c r="M1100" t="str">
        <f>IFERROR(__xludf.DUMMYFUNCTION("""COMPUTED_VALUE"""),"Cabin Crew - CNX")</f>
        <v>Cabin Crew - CNX</v>
      </c>
      <c r="N1100" t="str">
        <f>IFERROR(__xludf.DUMMYFUNCTION("""COMPUTED_VALUE"""),"CNX")</f>
        <v>CNX</v>
      </c>
      <c r="O1100" s="145" t="str">
        <f>IFERROR(__xludf.DUMMYFUNCTION("""COMPUTED_VALUE"""),"Up Home")</f>
        <v>Up Home</v>
      </c>
      <c r="P1100" t="str">
        <f>IFERROR(__xludf.DUMMYFUNCTION("""COMPUTED_VALUE"""),"Active/V/DMK")</f>
        <v>Active/V/DMK</v>
      </c>
      <c r="R1100" s="159">
        <f>IFERROR(__xludf.DUMMYFUNCTION("""COMPUTED_VALUE"""),33383.0)</f>
        <v>33383</v>
      </c>
      <c r="S1100" s="146" t="str">
        <f>IFERROR(__xludf.DUMMYFUNCTION("""COMPUTED_VALUE"""),"082-563-9259")</f>
        <v>082-563-9259</v>
      </c>
      <c r="T1100" s="147">
        <f>IFERROR(__xludf.DUMMYFUNCTION("""COMPUTED_VALUE"""),1.509901012884E12)</f>
        <v>1509901012884</v>
      </c>
      <c r="U1100" t="str">
        <f>IFERROR(__xludf.DUMMYFUNCTION("""COMPUTED_VALUE"""),"AC2314658")</f>
        <v>AC2314658</v>
      </c>
      <c r="V1100" s="148">
        <f>IFERROR(__xludf.DUMMYFUNCTION("""COMPUTED_VALUE"""),44362.0)</f>
        <v>44362</v>
      </c>
      <c r="W1100" s="148">
        <f>IFERROR(__xludf.DUMMYFUNCTION("""COMPUTED_VALUE"""),48013.0)</f>
        <v>48013</v>
      </c>
      <c r="X1100" s="149">
        <f>IFERROR(__xludf.DUMMYFUNCTION("""COMPUTED_VALUE"""),47831.0)</f>
        <v>47831</v>
      </c>
      <c r="Y1100" t="str">
        <f>IFERROR(__xludf.DUMMYFUNCTION("""COMPUTED_VALUE"""),"ปลอดภัย")</f>
        <v>ปลอดภัย</v>
      </c>
      <c r="Z1100" t="str">
        <f>IFERROR(__xludf.DUMMYFUNCTION("""COMPUTED_VALUE"""),"Chiang Mai Province")</f>
        <v>Chiang Mai Province</v>
      </c>
      <c r="AA1100" t="str">
        <f>IFERROR(__xludf.DUMMYFUNCTION("""COMPUTED_VALUE"""),"Bangkok")</f>
        <v>Bangkok</v>
      </c>
      <c r="AB1100" s="145" t="str">
        <f>IFERROR(__xludf.DUMMYFUNCTION("""COMPUTED_VALUE"""),"081-881-4151")</f>
        <v>081-881-4151</v>
      </c>
      <c r="AC1100" t="str">
        <f>IFERROR(__xludf.DUMMYFUNCTION("""COMPUTED_VALUE"""),"นาง ยุพรัตน์ ศศิวรรณพงศ์ Mother")</f>
        <v>นาง ยุพรัตน์ ศศิวรรณพงศ์ Mother</v>
      </c>
      <c r="AD1100" t="str">
        <f>IFERROR(__xludf.DUMMYFUNCTION("""COMPUTED_VALUE"""),"sudsaiparns@airasia.com")</f>
        <v>sudsaiparns@airasia.com</v>
      </c>
    </row>
    <row r="1101">
      <c r="A1101" s="142">
        <f>IFERROR(__xludf.DUMMYFUNCTION("""COMPUTED_VALUE"""),104.0)</f>
        <v>104</v>
      </c>
      <c r="C1101">
        <f>IFERROR(__xludf.DUMMYFUNCTION("""COMPUTED_VALUE"""),1012554.0)</f>
        <v>1012554</v>
      </c>
      <c r="D1101" t="str">
        <f>IFERROR(__xludf.DUMMYFUNCTION("""COMPUTED_VALUE"""),"Mr.")</f>
        <v>Mr.</v>
      </c>
      <c r="E1101" t="str">
        <f>IFERROR(__xludf.DUMMYFUNCTION("""COMPUTED_VALUE"""),"Bhuriwat")</f>
        <v>Bhuriwat</v>
      </c>
      <c r="F1101" t="str">
        <f>IFERROR(__xludf.DUMMYFUNCTION("""COMPUTED_VALUE"""),"Udomphol")</f>
        <v>Udomphol</v>
      </c>
      <c r="G1101" t="str">
        <f>IFERROR(__xludf.DUMMYFUNCTION("""COMPUTED_VALUE"""),"Bhuriwat Udomphol")</f>
        <v>Bhuriwat Udomphol</v>
      </c>
      <c r="H1101" t="str">
        <f>IFERROR(__xludf.DUMMYFUNCTION("""COMPUTED_VALUE"""),"นาย")</f>
        <v>นาย</v>
      </c>
      <c r="I1101" t="str">
        <f>IFERROR(__xludf.DUMMYFUNCTION("""COMPUTED_VALUE"""),"ภูริวัชร์")</f>
        <v>ภูริวัชร์</v>
      </c>
      <c r="J1101" t="str">
        <f>IFERROR(__xludf.DUMMYFUNCTION("""COMPUTED_VALUE"""),"อุดมผล")</f>
        <v>อุดมผล</v>
      </c>
      <c r="K1101" t="str">
        <f>IFERROR(__xludf.DUMMYFUNCTION("""COMPUTED_VALUE"""),"ภูริวัชร์ อุดมผล")</f>
        <v>ภูริวัชร์ อุดมผล</v>
      </c>
      <c r="L1101" t="str">
        <f>IFERROR(__xludf.DUMMYFUNCTION("""COMPUTED_VALUE"""),"max / แม๊กซ์")</f>
        <v>max / แม๊กซ์</v>
      </c>
      <c r="M1101" t="str">
        <f>IFERROR(__xludf.DUMMYFUNCTION("""COMPUTED_VALUE"""),"Cabin Crew")</f>
        <v>Cabin Crew</v>
      </c>
      <c r="N1101" t="str">
        <f>IFERROR(__xludf.DUMMYFUNCTION("""COMPUTED_VALUE"""),"DMK")</f>
        <v>DMK</v>
      </c>
      <c r="O1101" s="145" t="str">
        <f>IFERROR(__xludf.DUMMYFUNCTION("""COMPUTED_VALUE"""),"Um Home")</f>
        <v>Um Home</v>
      </c>
      <c r="P1101" t="str">
        <f>IFERROR(__xludf.DUMMYFUNCTION("""COMPUTED_VALUE"""),"Active")</f>
        <v>Active</v>
      </c>
      <c r="R1101" s="159">
        <f>IFERROR(__xludf.DUMMYFUNCTION("""COMPUTED_VALUE"""),33143.0)</f>
        <v>33143</v>
      </c>
      <c r="S1101" s="146">
        <f>IFERROR(__xludf.DUMMYFUNCTION("""COMPUTED_VALUE"""),8.92233909E8)</f>
        <v>892233909</v>
      </c>
      <c r="T1101" s="147">
        <f>IFERROR(__xludf.DUMMYFUNCTION("""COMPUTED_VALUE"""),1.309900620661E12)</f>
        <v>1309900620661</v>
      </c>
      <c r="U1101" t="str">
        <f>IFERROR(__xludf.DUMMYFUNCTION("""COMPUTED_VALUE"""),"AC3158709")</f>
        <v>AC3158709</v>
      </c>
      <c r="V1101" s="148">
        <f>IFERROR(__xludf.DUMMYFUNCTION("""COMPUTED_VALUE"""),44700.0)</f>
        <v>44700</v>
      </c>
      <c r="W1101" s="148">
        <f>IFERROR(__xludf.DUMMYFUNCTION("""COMPUTED_VALUE"""),48352.0)</f>
        <v>48352</v>
      </c>
      <c r="X1101" s="149">
        <f>IFERROR(__xludf.DUMMYFUNCTION("""COMPUTED_VALUE"""),48170.0)</f>
        <v>48170</v>
      </c>
      <c r="Y1101" t="str">
        <f>IFERROR(__xludf.DUMMYFUNCTION("""COMPUTED_VALUE"""),"ปลอดภัย")</f>
        <v>ปลอดภัย</v>
      </c>
      <c r="Z1101" t="str">
        <f>IFERROR(__xludf.DUMMYFUNCTION("""COMPUTED_VALUE"""),"Nakhon Ratchasima Province")</f>
        <v>Nakhon Ratchasima Province</v>
      </c>
      <c r="AA1101" t="str">
        <f>IFERROR(__xludf.DUMMYFUNCTION("""COMPUTED_VALUE"""),"Bangkok")</f>
        <v>Bangkok</v>
      </c>
      <c r="AB1101" s="145" t="str">
        <f>IFERROR(__xludf.DUMMYFUNCTION("""COMPUTED_VALUE"""),"0862451933")</f>
        <v>0862451933</v>
      </c>
      <c r="AC1101" t="str">
        <f>IFERROR(__xludf.DUMMYFUNCTION("""COMPUTED_VALUE"""),"นางกฤษณี อุดมผล Mother")</f>
        <v>นางกฤษณี อุดมผล Mother</v>
      </c>
      <c r="AD1101" t="str">
        <f>IFERROR(__xludf.DUMMYFUNCTION("""COMPUTED_VALUE"""),"bhuriwatu@airasia.com")</f>
        <v>bhuriwatu@airasia.com</v>
      </c>
    </row>
    <row r="1102">
      <c r="A1102" s="142">
        <f>IFERROR(__xludf.DUMMYFUNCTION("""COMPUTED_VALUE"""),104.0)</f>
        <v>104</v>
      </c>
      <c r="C1102">
        <f>IFERROR(__xludf.DUMMYFUNCTION("""COMPUTED_VALUE"""),1017975.0)</f>
        <v>1017975</v>
      </c>
      <c r="D1102" t="str">
        <f>IFERROR(__xludf.DUMMYFUNCTION("""COMPUTED_VALUE"""),"Ms.")</f>
        <v>Ms.</v>
      </c>
      <c r="E1102" t="str">
        <f>IFERROR(__xludf.DUMMYFUNCTION("""COMPUTED_VALUE"""),"Nilin")</f>
        <v>Nilin</v>
      </c>
      <c r="F1102" t="str">
        <f>IFERROR(__xludf.DUMMYFUNCTION("""COMPUTED_VALUE"""),"Ngampuak")</f>
        <v>Ngampuak</v>
      </c>
      <c r="G1102" t="str">
        <f>IFERROR(__xludf.DUMMYFUNCTION("""COMPUTED_VALUE"""),"Nilin Ngampuak")</f>
        <v>Nilin Ngampuak</v>
      </c>
      <c r="H1102" t="str">
        <f>IFERROR(__xludf.DUMMYFUNCTION("""COMPUTED_VALUE"""),"นางสาว")</f>
        <v>นางสาว</v>
      </c>
      <c r="I1102" t="str">
        <f>IFERROR(__xludf.DUMMYFUNCTION("""COMPUTED_VALUE"""),"นิลิน")</f>
        <v>นิลิน</v>
      </c>
      <c r="J1102" t="str">
        <f>IFERROR(__xludf.DUMMYFUNCTION("""COMPUTED_VALUE"""),"งามเผือก")</f>
        <v>งามเผือก</v>
      </c>
      <c r="K1102" t="str">
        <f>IFERROR(__xludf.DUMMYFUNCTION("""COMPUTED_VALUE"""),"นิลิน งามเผือก")</f>
        <v>นิลิน งามเผือก</v>
      </c>
      <c r="L1102" t="str">
        <f>IFERROR(__xludf.DUMMYFUNCTION("""COMPUTED_VALUE"""),"New/นิว")</f>
        <v>New/นิว</v>
      </c>
      <c r="M1102" t="str">
        <f>IFERROR(__xludf.DUMMYFUNCTION("""COMPUTED_VALUE"""),"Cabin Crew")</f>
        <v>Cabin Crew</v>
      </c>
      <c r="N1102" t="str">
        <f>IFERROR(__xludf.DUMMYFUNCTION("""COMPUTED_VALUE"""),"DMK")</f>
        <v>DMK</v>
      </c>
      <c r="O1102" s="145" t="str">
        <f>IFERROR(__xludf.DUMMYFUNCTION("""COMPUTED_VALUE"""),"Por+ Home")</f>
        <v>Por+ Home</v>
      </c>
      <c r="P1102" t="str">
        <f>IFERROR(__xludf.DUMMYFUNCTION("""COMPUTED_VALUE"""),"Active")</f>
        <v>Active</v>
      </c>
      <c r="R1102" s="159">
        <f>IFERROR(__xludf.DUMMYFUNCTION("""COMPUTED_VALUE"""),34333.0)</f>
        <v>34333</v>
      </c>
      <c r="S1102" s="146">
        <f>IFERROR(__xludf.DUMMYFUNCTION("""COMPUTED_VALUE"""),9.76942424E8)</f>
        <v>976942424</v>
      </c>
      <c r="T1102" s="147">
        <f>IFERROR(__xludf.DUMMYFUNCTION("""COMPUTED_VALUE"""),1.759900244241E12)</f>
        <v>1759900244241</v>
      </c>
      <c r="U1102" t="str">
        <f>IFERROR(__xludf.DUMMYFUNCTION("""COMPUTED_VALUE"""),"AC3215769")</f>
        <v>AC3215769</v>
      </c>
      <c r="V1102" s="148">
        <f>IFERROR(__xludf.DUMMYFUNCTION("""COMPUTED_VALUE"""),44707.0)</f>
        <v>44707</v>
      </c>
      <c r="W1102" s="148">
        <f>IFERROR(__xludf.DUMMYFUNCTION("""COMPUTED_VALUE"""),48359.0)</f>
        <v>48359</v>
      </c>
      <c r="X1102" s="149">
        <f>IFERROR(__xludf.DUMMYFUNCTION("""COMPUTED_VALUE"""),48177.0)</f>
        <v>48177</v>
      </c>
      <c r="Y1102" t="str">
        <f>IFERROR(__xludf.DUMMYFUNCTION("""COMPUTED_VALUE"""),"ปลอดภัย")</f>
        <v>ปลอดภัย</v>
      </c>
      <c r="Z1102" t="str">
        <f>IFERROR(__xludf.DUMMYFUNCTION("""COMPUTED_VALUE"""),"Samut Songkhram Province")</f>
        <v>Samut Songkhram Province</v>
      </c>
      <c r="AA1102" t="str">
        <f>IFERROR(__xludf.DUMMYFUNCTION("""COMPUTED_VALUE"""),"PATHUMTANI")</f>
        <v>PATHUMTANI</v>
      </c>
      <c r="AB1102" s="145" t="str">
        <f>IFERROR(__xludf.DUMMYFUNCTION("""COMPUTED_VALUE"""),"0626546646")</f>
        <v>0626546646</v>
      </c>
      <c r="AC1102" t="str">
        <f>IFERROR(__xludf.DUMMYFUNCTION("""COMPUTED_VALUE"""),"นายธนดล ฤกษ์ดี Friend")</f>
        <v>นายธนดล ฤกษ์ดี Friend</v>
      </c>
      <c r="AD1102" t="str">
        <f>IFERROR(__xludf.DUMMYFUNCTION("""COMPUTED_VALUE"""),"nilinn@airasia.com")</f>
        <v>nilinn@airasia.com</v>
      </c>
    </row>
    <row r="1103">
      <c r="A1103" s="142">
        <f>IFERROR(__xludf.DUMMYFUNCTION("""COMPUTED_VALUE"""),104.0)</f>
        <v>104</v>
      </c>
      <c r="C1103">
        <f>IFERROR(__xludf.DUMMYFUNCTION("""COMPUTED_VALUE"""),1024269.0)</f>
        <v>1024269</v>
      </c>
      <c r="D1103" t="str">
        <f>IFERROR(__xludf.DUMMYFUNCTION("""COMPUTED_VALUE"""),"Ms.")</f>
        <v>Ms.</v>
      </c>
      <c r="E1103" t="str">
        <f>IFERROR(__xludf.DUMMYFUNCTION("""COMPUTED_VALUE"""),"Amarita")</f>
        <v>Amarita</v>
      </c>
      <c r="F1103" t="str">
        <f>IFERROR(__xludf.DUMMYFUNCTION("""COMPUTED_VALUE"""),"Haithuk")</f>
        <v>Haithuk</v>
      </c>
      <c r="G1103" t="str">
        <f>IFERROR(__xludf.DUMMYFUNCTION("""COMPUTED_VALUE"""),"Amarita Haithuk")</f>
        <v>Amarita Haithuk</v>
      </c>
      <c r="H1103" t="str">
        <f>IFERROR(__xludf.DUMMYFUNCTION("""COMPUTED_VALUE"""),"นางสาว")</f>
        <v>นางสาว</v>
      </c>
      <c r="I1103" t="str">
        <f>IFERROR(__xludf.DUMMYFUNCTION("""COMPUTED_VALUE"""),"อมฤตา")</f>
        <v>อมฤตา</v>
      </c>
      <c r="J1103" t="str">
        <f>IFERROR(__xludf.DUMMYFUNCTION("""COMPUTED_VALUE"""),"หายทุกข์")</f>
        <v>หายทุกข์</v>
      </c>
      <c r="K1103" t="str">
        <f>IFERROR(__xludf.DUMMYFUNCTION("""COMPUTED_VALUE"""),"อมฤตา หายทุกข์")</f>
        <v>อมฤตา หายทุกข์</v>
      </c>
      <c r="L1103" t="str">
        <f>IFERROR(__xludf.DUMMYFUNCTION("""COMPUTED_VALUE"""),"ปอย")</f>
        <v>ปอย</v>
      </c>
      <c r="M1103" t="str">
        <f>IFERROR(__xludf.DUMMYFUNCTION("""COMPUTED_VALUE"""),"Cabin Crew - HKT")</f>
        <v>Cabin Crew - HKT</v>
      </c>
      <c r="N1103" t="str">
        <f>IFERROR(__xludf.DUMMYFUNCTION("""COMPUTED_VALUE"""),"HKT")</f>
        <v>HKT</v>
      </c>
      <c r="O1103" s="145" t="str">
        <f>IFERROR(__xludf.DUMMYFUNCTION("""COMPUTED_VALUE"""),"Kor Home")</f>
        <v>Kor Home</v>
      </c>
      <c r="P1103" t="str">
        <f>IFERROR(__xludf.DUMMYFUNCTION("""COMPUTED_VALUE"""),"V/LWP")</f>
        <v>V/LWP</v>
      </c>
      <c r="R1103" s="159">
        <f>IFERROR(__xludf.DUMMYFUNCTION("""COMPUTED_VALUE"""),34882.0)</f>
        <v>34882</v>
      </c>
      <c r="S1103" s="146">
        <f>IFERROR(__xludf.DUMMYFUNCTION("""COMPUTED_VALUE"""),9.52763236E8)</f>
        <v>952763236</v>
      </c>
      <c r="T1103" s="147">
        <f>IFERROR(__xludf.DUMMYFUNCTION("""COMPUTED_VALUE"""),1.839900383363E12)</f>
        <v>1839900383363</v>
      </c>
      <c r="U1103" t="str">
        <f>IFERROR(__xludf.DUMMYFUNCTION("""COMPUTED_VALUE"""),"AC6833152")</f>
        <v>AC6833152</v>
      </c>
      <c r="V1103" s="148">
        <f>IFERROR(__xludf.DUMMYFUNCTION("""COMPUTED_VALUE"""),45447.0)</f>
        <v>45447</v>
      </c>
      <c r="W1103" s="148">
        <f>IFERROR(__xludf.DUMMYFUNCTION("""COMPUTED_VALUE"""),49098.0)</f>
        <v>49098</v>
      </c>
      <c r="X1103" s="149">
        <f>IFERROR(__xludf.DUMMYFUNCTION("""COMPUTED_VALUE"""),48916.0)</f>
        <v>48916</v>
      </c>
      <c r="Y1103" t="str">
        <f>IFERROR(__xludf.DUMMYFUNCTION("""COMPUTED_VALUE"""),"ปลอดภัย")</f>
        <v>ปลอดภัย</v>
      </c>
      <c r="Z1103" t="str">
        <f>IFERROR(__xludf.DUMMYFUNCTION("""COMPUTED_VALUE"""),"Phuket Province")</f>
        <v>Phuket Province</v>
      </c>
      <c r="AA1103" t="str">
        <f>IFERROR(__xludf.DUMMYFUNCTION("""COMPUTED_VALUE"""),"Chaing rai")</f>
        <v>Chaing rai</v>
      </c>
      <c r="AB1103" s="145" t="str">
        <f>IFERROR(__xludf.DUMMYFUNCTION("""COMPUTED_VALUE"""),"0882519890")</f>
        <v>0882519890</v>
      </c>
      <c r="AC1103" t="str">
        <f>IFERROR(__xludf.DUMMYFUNCTION("""COMPUTED_VALUE"""),"นายรัชนันท์ เชาวน์สถาพรพงศ์ Friend")</f>
        <v>นายรัชนันท์ เชาวน์สถาพรพงศ์ Friend</v>
      </c>
      <c r="AD1103" t="str">
        <f>IFERROR(__xludf.DUMMYFUNCTION("""COMPUTED_VALUE"""),"amaritahaithuk@airasia.com")</f>
        <v>amaritahaithuk@airasia.com</v>
      </c>
    </row>
    <row r="1104">
      <c r="A1104" s="142">
        <f>IFERROR(__xludf.DUMMYFUNCTION("""COMPUTED_VALUE"""),104.0)</f>
        <v>104</v>
      </c>
      <c r="C1104">
        <f>IFERROR(__xludf.DUMMYFUNCTION("""COMPUTED_VALUE"""),1012680.0)</f>
        <v>1012680</v>
      </c>
      <c r="D1104" t="str">
        <f>IFERROR(__xludf.DUMMYFUNCTION("""COMPUTED_VALUE"""),"Ms.")</f>
        <v>Ms.</v>
      </c>
      <c r="E1104" t="str">
        <f>IFERROR(__xludf.DUMMYFUNCTION("""COMPUTED_VALUE"""),"Wiracha")</f>
        <v>Wiracha</v>
      </c>
      <c r="F1104" t="str">
        <f>IFERROR(__xludf.DUMMYFUNCTION("""COMPUTED_VALUE"""),"Chamsoongnern")</f>
        <v>Chamsoongnern</v>
      </c>
      <c r="G1104" t="str">
        <f>IFERROR(__xludf.DUMMYFUNCTION("""COMPUTED_VALUE"""),"Wiracha Chamsoongnern")</f>
        <v>Wiracha Chamsoongnern</v>
      </c>
      <c r="H1104" t="str">
        <f>IFERROR(__xludf.DUMMYFUNCTION("""COMPUTED_VALUE"""),"นางสาว")</f>
        <v>นางสาว</v>
      </c>
      <c r="I1104" t="str">
        <f>IFERROR(__xludf.DUMMYFUNCTION("""COMPUTED_VALUE"""),"วิรชา")</f>
        <v>วิรชา</v>
      </c>
      <c r="J1104" t="str">
        <f>IFERROR(__xludf.DUMMYFUNCTION("""COMPUTED_VALUE"""),"ฉ่ำสูงเนิน")</f>
        <v>ฉ่ำสูงเนิน</v>
      </c>
      <c r="K1104" t="str">
        <f>IFERROR(__xludf.DUMMYFUNCTION("""COMPUTED_VALUE"""),"วิรชา ฉ่ำสูงเนิน")</f>
        <v>วิรชา ฉ่ำสูงเนิน</v>
      </c>
      <c r="L1104" t="str">
        <f>IFERROR(__xludf.DUMMYFUNCTION("""COMPUTED_VALUE"""),"Beau/โบ")</f>
        <v>Beau/โบ</v>
      </c>
      <c r="M1104" t="str">
        <f>IFERROR(__xludf.DUMMYFUNCTION("""COMPUTED_VALUE"""),"Cabin Crew")</f>
        <v>Cabin Crew</v>
      </c>
      <c r="N1104" t="str">
        <f>IFERROR(__xludf.DUMMYFUNCTION("""COMPUTED_VALUE"""),"DMK")</f>
        <v>DMK</v>
      </c>
      <c r="O1104" s="145" t="str">
        <f>IFERROR(__xludf.DUMMYFUNCTION("""COMPUTED_VALUE"""),"Namfon Home")</f>
        <v>Namfon Home</v>
      </c>
      <c r="P1104" t="str">
        <f>IFERROR(__xludf.DUMMYFUNCTION("""COMPUTED_VALUE"""),"Active")</f>
        <v>Active</v>
      </c>
      <c r="R1104" s="159">
        <f>IFERROR(__xludf.DUMMYFUNCTION("""COMPUTED_VALUE"""),33223.0)</f>
        <v>33223</v>
      </c>
      <c r="S1104" s="146" t="str">
        <f>IFERROR(__xludf.DUMMYFUNCTION("""COMPUTED_VALUE"""),"081-5405993")</f>
        <v>081-5405993</v>
      </c>
      <c r="T1104" s="147">
        <f>IFERROR(__xludf.DUMMYFUNCTION("""COMPUTED_VALUE"""),1.90980049491E12)</f>
        <v>1909800494910</v>
      </c>
      <c r="U1104" t="str">
        <f>IFERROR(__xludf.DUMMYFUNCTION("""COMPUTED_VALUE"""),"AC6767122")</f>
        <v>AC6767122</v>
      </c>
      <c r="V1104" s="148">
        <f>IFERROR(__xludf.DUMMYFUNCTION("""COMPUTED_VALUE"""),45427.0)</f>
        <v>45427</v>
      </c>
      <c r="W1104" s="148">
        <f>IFERROR(__xludf.DUMMYFUNCTION("""COMPUTED_VALUE"""),49078.0)</f>
        <v>49078</v>
      </c>
      <c r="X1104" s="149">
        <f>IFERROR(__xludf.DUMMYFUNCTION("""COMPUTED_VALUE"""),48897.0)</f>
        <v>48897</v>
      </c>
      <c r="Y1104" t="str">
        <f>IFERROR(__xludf.DUMMYFUNCTION("""COMPUTED_VALUE"""),"ปลอดภัย")</f>
        <v>ปลอดภัย</v>
      </c>
      <c r="Z1104" t="str">
        <f>IFERROR(__xludf.DUMMYFUNCTION("""COMPUTED_VALUE"""),"Songkhla Province")</f>
        <v>Songkhla Province</v>
      </c>
      <c r="AA1104" t="str">
        <f>IFERROR(__xludf.DUMMYFUNCTION("""COMPUTED_VALUE"""),"Bangkok")</f>
        <v>Bangkok</v>
      </c>
      <c r="AB1104" s="145" t="str">
        <f>IFERROR(__xludf.DUMMYFUNCTION("""COMPUTED_VALUE"""),"083-515-9971")</f>
        <v>083-515-9971</v>
      </c>
      <c r="AC1104" t="str">
        <f>IFERROR(__xludf.DUMMYFUNCTION("""COMPUTED_VALUE"""),"นายทิวัส ฉ่ำสูงเนิน Brother")</f>
        <v>นายทิวัส ฉ่ำสูงเนิน Brother</v>
      </c>
      <c r="AD1104" t="str">
        <f>IFERROR(__xludf.DUMMYFUNCTION("""COMPUTED_VALUE"""),"wirachac@airasia.com")</f>
        <v>wirachac@airasia.com</v>
      </c>
    </row>
    <row r="1105">
      <c r="A1105" s="142">
        <f>IFERROR(__xludf.DUMMYFUNCTION("""COMPUTED_VALUE"""),104.0)</f>
        <v>104</v>
      </c>
      <c r="C1105">
        <f>IFERROR(__xludf.DUMMYFUNCTION("""COMPUTED_VALUE"""),1022817.0)</f>
        <v>1022817</v>
      </c>
      <c r="D1105" t="str">
        <f>IFERROR(__xludf.DUMMYFUNCTION("""COMPUTED_VALUE"""),"Ms.")</f>
        <v>Ms.</v>
      </c>
      <c r="E1105" t="str">
        <f>IFERROR(__xludf.DUMMYFUNCTION("""COMPUTED_VALUE"""),"Paradee")</f>
        <v>Paradee</v>
      </c>
      <c r="F1105" t="str">
        <f>IFERROR(__xludf.DUMMYFUNCTION("""COMPUTED_VALUE"""),"Pupradid")</f>
        <v>Pupradid</v>
      </c>
      <c r="G1105" t="str">
        <f>IFERROR(__xludf.DUMMYFUNCTION("""COMPUTED_VALUE"""),"Paradee Pupradid")</f>
        <v>Paradee Pupradid</v>
      </c>
      <c r="H1105" t="str">
        <f>IFERROR(__xludf.DUMMYFUNCTION("""COMPUTED_VALUE"""),"นางสาว")</f>
        <v>นางสาว</v>
      </c>
      <c r="I1105" t="str">
        <f>IFERROR(__xludf.DUMMYFUNCTION("""COMPUTED_VALUE"""),"ภารดี")</f>
        <v>ภารดี</v>
      </c>
      <c r="J1105" t="str">
        <f>IFERROR(__xludf.DUMMYFUNCTION("""COMPUTED_VALUE"""),"ภู่ประดิษฐ์")</f>
        <v>ภู่ประดิษฐ์</v>
      </c>
      <c r="K1105" t="str">
        <f>IFERROR(__xludf.DUMMYFUNCTION("""COMPUTED_VALUE"""),"ภารดี ภู่ประดิษฐ์")</f>
        <v>ภารดี ภู่ประดิษฐ์</v>
      </c>
      <c r="L1105" t="str">
        <f>IFERROR(__xludf.DUMMYFUNCTION("""COMPUTED_VALUE"""),"Stamp/แสตมป์")</f>
        <v>Stamp/แสตมป์</v>
      </c>
      <c r="M1105" t="str">
        <f>IFERROR(__xludf.DUMMYFUNCTION("""COMPUTED_VALUE"""),"Cabin Crew")</f>
        <v>Cabin Crew</v>
      </c>
      <c r="N1105" t="str">
        <f>IFERROR(__xludf.DUMMYFUNCTION("""COMPUTED_VALUE"""),"DMK")</f>
        <v>DMK</v>
      </c>
      <c r="O1105" s="145" t="str">
        <f>IFERROR(__xludf.DUMMYFUNCTION("""COMPUTED_VALUE"""),"Nhui Home")</f>
        <v>Nhui Home</v>
      </c>
      <c r="P1105" t="str">
        <f>IFERROR(__xludf.DUMMYFUNCTION("""COMPUTED_VALUE"""),"Active")</f>
        <v>Active</v>
      </c>
      <c r="R1105" s="159">
        <f>IFERROR(__xludf.DUMMYFUNCTION("""COMPUTED_VALUE"""),34940.0)</f>
        <v>34940</v>
      </c>
      <c r="S1105" s="146" t="str">
        <f>IFERROR(__xludf.DUMMYFUNCTION("""COMPUTED_VALUE"""),"092-278-2885")</f>
        <v>092-278-2885</v>
      </c>
      <c r="T1105" s="147">
        <f>IFERROR(__xludf.DUMMYFUNCTION("""COMPUTED_VALUE"""),1.100501229113E12)</f>
        <v>1100501229113</v>
      </c>
      <c r="U1105" t="str">
        <f>IFERROR(__xludf.DUMMYFUNCTION("""COMPUTED_VALUE"""),"Ac3504969")</f>
        <v>Ac3504969</v>
      </c>
      <c r="V1105" s="148">
        <f>IFERROR(__xludf.DUMMYFUNCTION("""COMPUTED_VALUE"""),44743.0)</f>
        <v>44743</v>
      </c>
      <c r="W1105" s="148">
        <f>IFERROR(__xludf.DUMMYFUNCTION("""COMPUTED_VALUE"""),48395.0)</f>
        <v>48395</v>
      </c>
      <c r="X1105" s="149">
        <f>IFERROR(__xludf.DUMMYFUNCTION("""COMPUTED_VALUE"""),48212.0)</f>
        <v>48212</v>
      </c>
      <c r="Y1105" t="str">
        <f>IFERROR(__xludf.DUMMYFUNCTION("""COMPUTED_VALUE"""),"ปลอดภัย")</f>
        <v>ปลอดภัย</v>
      </c>
      <c r="Z1105" t="str">
        <f>IFERROR(__xludf.DUMMYFUNCTION("""COMPUTED_VALUE"""),"Bangkok")</f>
        <v>Bangkok</v>
      </c>
      <c r="AA1105" t="str">
        <f>IFERROR(__xludf.DUMMYFUNCTION("""COMPUTED_VALUE"""),"Bangkok")</f>
        <v>Bangkok</v>
      </c>
      <c r="AB1105" s="145" t="str">
        <f>IFERROR(__xludf.DUMMYFUNCTION("""COMPUTED_VALUE"""),"062-150-9355")</f>
        <v>062-150-9355</v>
      </c>
      <c r="AC1105" t="str">
        <f>IFERROR(__xludf.DUMMYFUNCTION("""COMPUTED_VALUE"""),"นางสาวธัญชนก สุขใจ Mother")</f>
        <v>นางสาวธัญชนก สุขใจ Mother</v>
      </c>
      <c r="AD1105" t="str">
        <f>IFERROR(__xludf.DUMMYFUNCTION("""COMPUTED_VALUE"""),"paradeepupradid@airasia.com")</f>
        <v>paradeepupradid@airasia.com</v>
      </c>
    </row>
    <row r="1106">
      <c r="A1106" s="142">
        <f>IFERROR(__xludf.DUMMYFUNCTION("""COMPUTED_VALUE"""),104.0)</f>
        <v>104</v>
      </c>
      <c r="C1106">
        <f>IFERROR(__xludf.DUMMYFUNCTION("""COMPUTED_VALUE"""),1021945.0)</f>
        <v>1021945</v>
      </c>
      <c r="D1106" t="str">
        <f>IFERROR(__xludf.DUMMYFUNCTION("""COMPUTED_VALUE"""),"Ms.")</f>
        <v>Ms.</v>
      </c>
      <c r="E1106" t="str">
        <f>IFERROR(__xludf.DUMMYFUNCTION("""COMPUTED_VALUE"""),"Pornpimon")</f>
        <v>Pornpimon</v>
      </c>
      <c r="F1106" t="str">
        <f>IFERROR(__xludf.DUMMYFUNCTION("""COMPUTED_VALUE"""),"Sakulpan")</f>
        <v>Sakulpan</v>
      </c>
      <c r="G1106" t="str">
        <f>IFERROR(__xludf.DUMMYFUNCTION("""COMPUTED_VALUE"""),"Pornpimon Sakulpan")</f>
        <v>Pornpimon Sakulpan</v>
      </c>
      <c r="H1106" t="str">
        <f>IFERROR(__xludf.DUMMYFUNCTION("""COMPUTED_VALUE"""),"นางสาว")</f>
        <v>นางสาว</v>
      </c>
      <c r="I1106" t="str">
        <f>IFERROR(__xludf.DUMMYFUNCTION("""COMPUTED_VALUE"""),"พรพิมล")</f>
        <v>พรพิมล</v>
      </c>
      <c r="J1106" t="str">
        <f>IFERROR(__xludf.DUMMYFUNCTION("""COMPUTED_VALUE"""),"สกุลพันธ์ุ")</f>
        <v>สกุลพันธ์ุ</v>
      </c>
      <c r="K1106" t="str">
        <f>IFERROR(__xludf.DUMMYFUNCTION("""COMPUTED_VALUE"""),"พรพิมล สกุลพันธ์ุ")</f>
        <v>พรพิมล สกุลพันธ์ุ</v>
      </c>
      <c r="L1106" t="str">
        <f>IFERROR(__xludf.DUMMYFUNCTION("""COMPUTED_VALUE"""),"Pond/พร")</f>
        <v>Pond/พร</v>
      </c>
      <c r="M1106" t="str">
        <f>IFERROR(__xludf.DUMMYFUNCTION("""COMPUTED_VALUE"""),"Cabin Crew")</f>
        <v>Cabin Crew</v>
      </c>
      <c r="N1106" t="str">
        <f>IFERROR(__xludf.DUMMYFUNCTION("""COMPUTED_VALUE"""),"DMK")</f>
        <v>DMK</v>
      </c>
      <c r="O1106" s="145" t="str">
        <f>IFERROR(__xludf.DUMMYFUNCTION("""COMPUTED_VALUE"""),"Kor Home")</f>
        <v>Kor Home</v>
      </c>
      <c r="P1106" t="str">
        <f>IFERROR(__xludf.DUMMYFUNCTION("""COMPUTED_VALUE"""),"Active")</f>
        <v>Active</v>
      </c>
      <c r="R1106" s="159">
        <f>IFERROR(__xludf.DUMMYFUNCTION("""COMPUTED_VALUE"""),33743.0)</f>
        <v>33743</v>
      </c>
      <c r="S1106" s="146" t="str">
        <f>IFERROR(__xludf.DUMMYFUNCTION("""COMPUTED_VALUE"""),"080-092-6626")</f>
        <v>080-092-6626</v>
      </c>
      <c r="T1106" s="147">
        <f>IFERROR(__xludf.DUMMYFUNCTION("""COMPUTED_VALUE"""),1.20010040682E12)</f>
        <v>1200100406820</v>
      </c>
      <c r="U1106" t="str">
        <f>IFERROR(__xludf.DUMMYFUNCTION("""COMPUTED_VALUE"""),"AD0268594")</f>
        <v>AD0268594</v>
      </c>
      <c r="V1106" s="148">
        <f>IFERROR(__xludf.DUMMYFUNCTION("""COMPUTED_VALUE"""),44865.0)</f>
        <v>44865</v>
      </c>
      <c r="W1106" s="148">
        <f>IFERROR(__xludf.DUMMYFUNCTION("""COMPUTED_VALUE"""),48517.0)</f>
        <v>48517</v>
      </c>
      <c r="X1106" s="149">
        <f>IFERROR(__xludf.DUMMYFUNCTION("""COMPUTED_VALUE"""),48334.0)</f>
        <v>48334</v>
      </c>
      <c r="Y1106" t="str">
        <f>IFERROR(__xludf.DUMMYFUNCTION("""COMPUTED_VALUE"""),"ปลอดภัย")</f>
        <v>ปลอดภัย</v>
      </c>
      <c r="Z1106" t="str">
        <f>IFERROR(__xludf.DUMMYFUNCTION("""COMPUTED_VALUE"""),"Chonburi Province")</f>
        <v>Chonburi Province</v>
      </c>
      <c r="AA1106" t="str">
        <f>IFERROR(__xludf.DUMMYFUNCTION("""COMPUTED_VALUE"""),"Chonburi")</f>
        <v>Chonburi</v>
      </c>
      <c r="AB1106" s="145" t="str">
        <f>IFERROR(__xludf.DUMMYFUNCTION("""COMPUTED_VALUE"""),"062-407-8299")</f>
        <v>062-407-8299</v>
      </c>
      <c r="AC1106" t="str">
        <f>IFERROR(__xludf.DUMMYFUNCTION("""COMPUTED_VALUE"""),"นางพจนีย์ สกุลพันธุ์ Mother")</f>
        <v>นางพจนีย์ สกุลพันธุ์ Mother</v>
      </c>
      <c r="AD1106" t="str">
        <f>IFERROR(__xludf.DUMMYFUNCTION("""COMPUTED_VALUE"""),"pornpimons@airasia.com")</f>
        <v>pornpimons@airasia.com</v>
      </c>
    </row>
    <row r="1107">
      <c r="A1107" s="142">
        <f>IFERROR(__xludf.DUMMYFUNCTION("""COMPUTED_VALUE"""),104.0)</f>
        <v>104</v>
      </c>
      <c r="C1107">
        <f>IFERROR(__xludf.DUMMYFUNCTION("""COMPUTED_VALUE"""),1014778.0)</f>
        <v>1014778</v>
      </c>
      <c r="D1107" t="str">
        <f>IFERROR(__xludf.DUMMYFUNCTION("""COMPUTED_VALUE"""),"Ms.")</f>
        <v>Ms.</v>
      </c>
      <c r="E1107" t="str">
        <f>IFERROR(__xludf.DUMMYFUNCTION("""COMPUTED_VALUE"""),"Parita")</f>
        <v>Parita</v>
      </c>
      <c r="F1107" t="str">
        <f>IFERROR(__xludf.DUMMYFUNCTION("""COMPUTED_VALUE"""),"Sutinanopas")</f>
        <v>Sutinanopas</v>
      </c>
      <c r="G1107" t="str">
        <f>IFERROR(__xludf.DUMMYFUNCTION("""COMPUTED_VALUE"""),"Parita Sutinanopas")</f>
        <v>Parita Sutinanopas</v>
      </c>
      <c r="H1107" t="str">
        <f>IFERROR(__xludf.DUMMYFUNCTION("""COMPUTED_VALUE"""),"นางสาว")</f>
        <v>นางสาว</v>
      </c>
      <c r="I1107" t="str">
        <f>IFERROR(__xludf.DUMMYFUNCTION("""COMPUTED_VALUE"""),"ปาริตา")</f>
        <v>ปาริตา</v>
      </c>
      <c r="J1107" t="str">
        <f>IFERROR(__xludf.DUMMYFUNCTION("""COMPUTED_VALUE"""),"สูตินันท์โอภาส")</f>
        <v>สูตินันท์โอภาส</v>
      </c>
      <c r="K1107" t="str">
        <f>IFERROR(__xludf.DUMMYFUNCTION("""COMPUTED_VALUE"""),"ปาริตา สูตินันท์โอภาส")</f>
        <v>ปาริตา สูตินันท์โอภาส</v>
      </c>
      <c r="L1107" t="str">
        <f>IFERROR(__xludf.DUMMYFUNCTION("""COMPUTED_VALUE"""),"แบ๋ม")</f>
        <v>แบ๋ม</v>
      </c>
      <c r="M1107" t="str">
        <f>IFERROR(__xludf.DUMMYFUNCTION("""COMPUTED_VALUE"""),"Cabin Crew")</f>
        <v>Cabin Crew</v>
      </c>
      <c r="N1107" t="str">
        <f>IFERROR(__xludf.DUMMYFUNCTION("""COMPUTED_VALUE"""),"DMK")</f>
        <v>DMK</v>
      </c>
      <c r="O1107" s="145" t="str">
        <f>IFERROR(__xludf.DUMMYFUNCTION("""COMPUTED_VALUE"""),"Toffy Home")</f>
        <v>Toffy Home</v>
      </c>
      <c r="P1107" t="str">
        <f>IFERROR(__xludf.DUMMYFUNCTION("""COMPUTED_VALUE"""),"Active")</f>
        <v>Active</v>
      </c>
      <c r="R1107" s="159">
        <f>IFERROR(__xludf.DUMMYFUNCTION("""COMPUTED_VALUE"""),33884.0)</f>
        <v>33884</v>
      </c>
      <c r="S1107" s="146" t="str">
        <f>IFERROR(__xludf.DUMMYFUNCTION("""COMPUTED_VALUE"""),"095-662-2282")</f>
        <v>095-662-2282</v>
      </c>
      <c r="T1107" s="147">
        <f>IFERROR(__xludf.DUMMYFUNCTION("""COMPUTED_VALUE"""),1.469900212121E12)</f>
        <v>1469900212121</v>
      </c>
      <c r="U1107" t="str">
        <f>IFERROR(__xludf.DUMMYFUNCTION("""COMPUTED_VALUE"""),"AC6152607")</f>
        <v>AC6152607</v>
      </c>
      <c r="V1107" s="148">
        <f>IFERROR(__xludf.DUMMYFUNCTION("""COMPUTED_VALUE"""),45262.0)</f>
        <v>45262</v>
      </c>
      <c r="W1107" s="148">
        <f>IFERROR(__xludf.DUMMYFUNCTION("""COMPUTED_VALUE"""),48914.0)</f>
        <v>48914</v>
      </c>
      <c r="X1107" s="149">
        <f>IFERROR(__xludf.DUMMYFUNCTION("""COMPUTED_VALUE"""),48731.0)</f>
        <v>48731</v>
      </c>
      <c r="Y1107" t="str">
        <f>IFERROR(__xludf.DUMMYFUNCTION("""COMPUTED_VALUE"""),"ปลอดภัย")</f>
        <v>ปลอดภัย</v>
      </c>
      <c r="Z1107" t="str">
        <f>IFERROR(__xludf.DUMMYFUNCTION("""COMPUTED_VALUE"""),"Kalasin Province")</f>
        <v>Kalasin Province</v>
      </c>
      <c r="AA1107" t="str">
        <f>IFERROR(__xludf.DUMMYFUNCTION("""COMPUTED_VALUE"""),"Bangkok")</f>
        <v>Bangkok</v>
      </c>
      <c r="AB1107" s="145" t="str">
        <f>IFERROR(__xludf.DUMMYFUNCTION("""COMPUTED_VALUE"""),"062-291-6226")</f>
        <v>062-291-6226</v>
      </c>
      <c r="AC1107" t="str">
        <f>IFERROR(__xludf.DUMMYFUNCTION("""COMPUTED_VALUE"""),"นางสาวปรีชญา สูตินันท์โอภาส Sister")</f>
        <v>นางสาวปรีชญา สูตินันท์โอภาส Sister</v>
      </c>
      <c r="AD1107" t="str">
        <f>IFERROR(__xludf.DUMMYFUNCTION("""COMPUTED_VALUE"""),"paritas@airasia.com")</f>
        <v>paritas@airasia.com</v>
      </c>
    </row>
    <row r="1108">
      <c r="A1108" s="142">
        <f>IFERROR(__xludf.DUMMYFUNCTION("""COMPUTED_VALUE"""),104.0)</f>
        <v>104</v>
      </c>
      <c r="C1108">
        <f>IFERROR(__xludf.DUMMYFUNCTION("""COMPUTED_VALUE"""),1018553.0)</f>
        <v>1018553</v>
      </c>
      <c r="D1108" t="str">
        <f>IFERROR(__xludf.DUMMYFUNCTION("""COMPUTED_VALUE"""),"Ms.")</f>
        <v>Ms.</v>
      </c>
      <c r="E1108" t="str">
        <f>IFERROR(__xludf.DUMMYFUNCTION("""COMPUTED_VALUE"""),"Kawisara")</f>
        <v>Kawisara</v>
      </c>
      <c r="F1108" t="str">
        <f>IFERROR(__xludf.DUMMYFUNCTION("""COMPUTED_VALUE"""),"Klinkesorn")</f>
        <v>Klinkesorn</v>
      </c>
      <c r="G1108" t="str">
        <f>IFERROR(__xludf.DUMMYFUNCTION("""COMPUTED_VALUE"""),"Kawisara Klinkesorn")</f>
        <v>Kawisara Klinkesorn</v>
      </c>
      <c r="H1108" t="str">
        <f>IFERROR(__xludf.DUMMYFUNCTION("""COMPUTED_VALUE"""),"นางสาว")</f>
        <v>นางสาว</v>
      </c>
      <c r="I1108" t="str">
        <f>IFERROR(__xludf.DUMMYFUNCTION("""COMPUTED_VALUE"""),"กวิสรา")</f>
        <v>กวิสรา</v>
      </c>
      <c r="J1108" t="str">
        <f>IFERROR(__xludf.DUMMYFUNCTION("""COMPUTED_VALUE"""),"กลิ่นเกษร")</f>
        <v>กลิ่นเกษร</v>
      </c>
      <c r="K1108" t="str">
        <f>IFERROR(__xludf.DUMMYFUNCTION("""COMPUTED_VALUE"""),"กวิสรา กลิ่นเกษร")</f>
        <v>กวิสรา กลิ่นเกษร</v>
      </c>
      <c r="L1108" t="str">
        <f>IFERROR(__xludf.DUMMYFUNCTION("""COMPUTED_VALUE"""),"New / นิว")</f>
        <v>New / นิว</v>
      </c>
      <c r="M1108" t="str">
        <f>IFERROR(__xludf.DUMMYFUNCTION("""COMPUTED_VALUE"""),"Cabin Crew")</f>
        <v>Cabin Crew</v>
      </c>
      <c r="N1108" t="str">
        <f>IFERROR(__xludf.DUMMYFUNCTION("""COMPUTED_VALUE"""),"DMK")</f>
        <v>DMK</v>
      </c>
      <c r="O1108" s="145" t="str">
        <f>IFERROR(__xludf.DUMMYFUNCTION("""COMPUTED_VALUE"""),"Namfon Home")</f>
        <v>Namfon Home</v>
      </c>
      <c r="P1108" t="str">
        <f>IFERROR(__xludf.DUMMYFUNCTION("""COMPUTED_VALUE"""),"Active")</f>
        <v>Active</v>
      </c>
      <c r="R1108" s="159">
        <f>IFERROR(__xludf.DUMMYFUNCTION("""COMPUTED_VALUE"""),34843.0)</f>
        <v>34843</v>
      </c>
      <c r="S1108" s="146" t="str">
        <f>IFERROR(__xludf.DUMMYFUNCTION("""COMPUTED_VALUE"""),"093-226-9236")</f>
        <v>093-226-9236</v>
      </c>
      <c r="T1108" s="147">
        <f>IFERROR(__xludf.DUMMYFUNCTION("""COMPUTED_VALUE"""),1.103701714778E12)</f>
        <v>1103701714778</v>
      </c>
      <c r="U1108" t="str">
        <f>IFERROR(__xludf.DUMMYFUNCTION("""COMPUTED_VALUE"""),"AC4100530")</f>
        <v>AC4100530</v>
      </c>
      <c r="V1108" s="148">
        <f>IFERROR(__xludf.DUMMYFUNCTION("""COMPUTED_VALUE"""),44840.0)</f>
        <v>44840</v>
      </c>
      <c r="W1108" s="148">
        <f>IFERROR(__xludf.DUMMYFUNCTION("""COMPUTED_VALUE"""),48492.0)</f>
        <v>48492</v>
      </c>
      <c r="X1108" s="149">
        <f>IFERROR(__xludf.DUMMYFUNCTION("""COMPUTED_VALUE"""),48309.0)</f>
        <v>48309</v>
      </c>
      <c r="Y1108" t="str">
        <f>IFERROR(__xludf.DUMMYFUNCTION("""COMPUTED_VALUE"""),"ปลอดภัย")</f>
        <v>ปลอดภัย</v>
      </c>
      <c r="Z1108" t="str">
        <f>IFERROR(__xludf.DUMMYFUNCTION("""COMPUTED_VALUE"""),"Bangkok")</f>
        <v>Bangkok</v>
      </c>
      <c r="AA1108" t="str">
        <f>IFERROR(__xludf.DUMMYFUNCTION("""COMPUTED_VALUE"""),"Bangkok")</f>
        <v>Bangkok</v>
      </c>
      <c r="AB1108" s="145" t="str">
        <f>IFERROR(__xludf.DUMMYFUNCTION("""COMPUTED_VALUE"""),"064-897-9790")</f>
        <v>064-897-9790</v>
      </c>
      <c r="AC1108" t="str">
        <f>IFERROR(__xludf.DUMMYFUNCTION("""COMPUTED_VALUE"""),"น.ส.รวิภา พรหมณะ Mother")</f>
        <v>น.ส.รวิภา พรหมณะ Mother</v>
      </c>
      <c r="AD1108" t="str">
        <f>IFERROR(__xludf.DUMMYFUNCTION("""COMPUTED_VALUE"""),"kawisarak@airasia.com")</f>
        <v>kawisarak@airasia.com</v>
      </c>
    </row>
    <row r="1109">
      <c r="AD1109" t="str">
        <f>IFERROR(__xludf.DUMMYFUNCTION("""COMPUTED_VALUE"""),"")</f>
        <v/>
      </c>
    </row>
    <row r="1110">
      <c r="A1110" s="142">
        <f>IFERROR(__xludf.DUMMYFUNCTION("""COMPUTED_VALUE"""),105.0)</f>
        <v>105</v>
      </c>
      <c r="C1110">
        <f>IFERROR(__xludf.DUMMYFUNCTION("""COMPUTED_VALUE"""),1040341.0)</f>
        <v>1040341</v>
      </c>
      <c r="D1110" t="str">
        <f>IFERROR(__xludf.DUMMYFUNCTION("""COMPUTED_VALUE"""),"Ms.")</f>
        <v>Ms.</v>
      </c>
      <c r="E1110" t="str">
        <f>IFERROR(__xludf.DUMMYFUNCTION("""COMPUTED_VALUE"""),"Adipa")</f>
        <v>Adipa</v>
      </c>
      <c r="F1110" t="str">
        <f>IFERROR(__xludf.DUMMYFUNCTION("""COMPUTED_VALUE"""),"Nilachart")</f>
        <v>Nilachart</v>
      </c>
      <c r="G1110" t="str">
        <f>IFERROR(__xludf.DUMMYFUNCTION("""COMPUTED_VALUE"""),"Adipa Nilachart")</f>
        <v>Adipa Nilachart</v>
      </c>
      <c r="H1110" t="str">
        <f>IFERROR(__xludf.DUMMYFUNCTION("""COMPUTED_VALUE"""),"นางสาว")</f>
        <v>นางสาว</v>
      </c>
      <c r="I1110" t="str">
        <f>IFERROR(__xludf.DUMMYFUNCTION("""COMPUTED_VALUE"""),"อดิภา")</f>
        <v>อดิภา</v>
      </c>
      <c r="J1110" t="str">
        <f>IFERROR(__xludf.DUMMYFUNCTION("""COMPUTED_VALUE"""),"นิลชาติ")</f>
        <v>นิลชาติ</v>
      </c>
      <c r="K1110" t="str">
        <f>IFERROR(__xludf.DUMMYFUNCTION("""COMPUTED_VALUE"""),"อดิภา นิลชาติ")</f>
        <v>อดิภา นิลชาติ</v>
      </c>
      <c r="L1110" s="145" t="str">
        <f>IFERROR(__xludf.DUMMYFUNCTION("""COMPUTED_VALUE"""),"Aom/ออม")</f>
        <v>Aom/ออม</v>
      </c>
      <c r="M1110" t="str">
        <f>IFERROR(__xludf.DUMMYFUNCTION("""COMPUTED_VALUE"""),"Cabin Crew")</f>
        <v>Cabin Crew</v>
      </c>
      <c r="N1110" t="str">
        <f>IFERROR(__xludf.DUMMYFUNCTION("""COMPUTED_VALUE"""),"DMK")</f>
        <v>DMK</v>
      </c>
      <c r="O1110" s="145" t="str">
        <f>IFERROR(__xludf.DUMMYFUNCTION("""COMPUTED_VALUE"""),"Um Home")</f>
        <v>Um Home</v>
      </c>
      <c r="P1110" t="str">
        <f>IFERROR(__xludf.DUMMYFUNCTION("""COMPUTED_VALUE"""),"Active")</f>
        <v>Active</v>
      </c>
      <c r="R1110" s="162">
        <f>IFERROR(__xludf.DUMMYFUNCTION("""COMPUTED_VALUE"""),35601.0)</f>
        <v>35601</v>
      </c>
      <c r="S1110" s="146" t="str">
        <f>IFERROR(__xludf.DUMMYFUNCTION("""COMPUTED_VALUE"""),"089 765 7965")</f>
        <v>089 765 7965</v>
      </c>
      <c r="T1110" s="147" t="str">
        <f>IFERROR(__xludf.DUMMYFUNCTION("""COMPUTED_VALUE"""),"1-1014-02148-32-9")</f>
        <v>1-1014-02148-32-9</v>
      </c>
      <c r="U1110" t="str">
        <f>IFERROR(__xludf.DUMMYFUNCTION("""COMPUTED_VALUE"""),"AC2385570")</f>
        <v>AC2385570</v>
      </c>
      <c r="V1110" s="148">
        <f>IFERROR(__xludf.DUMMYFUNCTION("""COMPUTED_VALUE"""),44406.0)</f>
        <v>44406</v>
      </c>
      <c r="W1110" s="148">
        <f>IFERROR(__xludf.DUMMYFUNCTION("""COMPUTED_VALUE"""),48057.0)</f>
        <v>48057</v>
      </c>
      <c r="X1110" s="149">
        <f>IFERROR(__xludf.DUMMYFUNCTION("""COMPUTED_VALUE"""),47876.0)</f>
        <v>47876</v>
      </c>
      <c r="Y1110" t="str">
        <f>IFERROR(__xludf.DUMMYFUNCTION("""COMPUTED_VALUE"""),"ปลอดภัย")</f>
        <v>ปลอดภัย</v>
      </c>
      <c r="Z1110" t="str">
        <f>IFERROR(__xludf.DUMMYFUNCTION("""COMPUTED_VALUE"""),"Bangkok")</f>
        <v>Bangkok</v>
      </c>
      <c r="AA1110" s="145" t="str">
        <f>IFERROR(__xludf.DUMMYFUNCTION("""COMPUTED_VALUE"""),"Bangkok")</f>
        <v>Bangkok</v>
      </c>
      <c r="AB1110" s="145" t="str">
        <f>IFERROR(__xludf.DUMMYFUNCTION("""COMPUTED_VALUE"""),"089-692-2929")</f>
        <v>089-692-2929</v>
      </c>
      <c r="AC1110" s="145" t="str">
        <f>IFERROR(__xludf.DUMMYFUNCTION("""COMPUTED_VALUE"""),"นายชูศักดิ์ นิลชาติ Father")</f>
        <v>นายชูศักดิ์ นิลชาติ Father</v>
      </c>
      <c r="AD1110" t="str">
        <f>IFERROR(__xludf.DUMMYFUNCTION("""COMPUTED_VALUE"""),"adipanilachart@airasia.com")</f>
        <v>adipanilachart@airasia.com</v>
      </c>
    </row>
    <row r="1111">
      <c r="A1111" s="142">
        <f>IFERROR(__xludf.DUMMYFUNCTION("""COMPUTED_VALUE"""),105.0)</f>
        <v>105</v>
      </c>
      <c r="C1111">
        <f>IFERROR(__xludf.DUMMYFUNCTION("""COMPUTED_VALUE"""),1040342.0)</f>
        <v>1040342</v>
      </c>
      <c r="D1111" t="str">
        <f>IFERROR(__xludf.DUMMYFUNCTION("""COMPUTED_VALUE"""),"Ms.")</f>
        <v>Ms.</v>
      </c>
      <c r="E1111" t="str">
        <f>IFERROR(__xludf.DUMMYFUNCTION("""COMPUTED_VALUE"""),"Areeya")</f>
        <v>Areeya</v>
      </c>
      <c r="F1111" t="str">
        <f>IFERROR(__xludf.DUMMYFUNCTION("""COMPUTED_VALUE"""),"Taleb")</f>
        <v>Taleb</v>
      </c>
      <c r="G1111" t="str">
        <f>IFERROR(__xludf.DUMMYFUNCTION("""COMPUTED_VALUE"""),"Areeya Taleb")</f>
        <v>Areeya Taleb</v>
      </c>
      <c r="H1111" t="str">
        <f>IFERROR(__xludf.DUMMYFUNCTION("""COMPUTED_VALUE"""),"นางสาว")</f>
        <v>นางสาว</v>
      </c>
      <c r="I1111" t="str">
        <f>IFERROR(__xludf.DUMMYFUNCTION("""COMPUTED_VALUE"""),"อารียา")</f>
        <v>อารียา</v>
      </c>
      <c r="J1111" t="str">
        <f>IFERROR(__xludf.DUMMYFUNCTION("""COMPUTED_VALUE"""),"ตะเหลบ")</f>
        <v>ตะเหลบ</v>
      </c>
      <c r="K1111" t="str">
        <f>IFERROR(__xludf.DUMMYFUNCTION("""COMPUTED_VALUE"""),"อารียา ตะเหลบ")</f>
        <v>อารียา ตะเหลบ</v>
      </c>
      <c r="L1111" s="145" t="str">
        <f>IFERROR(__xludf.DUMMYFUNCTION("""COMPUTED_VALUE"""),"Ai / ไอ")</f>
        <v>Ai / ไอ</v>
      </c>
      <c r="M1111" t="str">
        <f>IFERROR(__xludf.DUMMYFUNCTION("""COMPUTED_VALUE"""),"Cabin Crew")</f>
        <v>Cabin Crew</v>
      </c>
      <c r="N1111" t="str">
        <f>IFERROR(__xludf.DUMMYFUNCTION("""COMPUTED_VALUE"""),"DMK")</f>
        <v>DMK</v>
      </c>
      <c r="O1111" s="145" t="str">
        <f>IFERROR(__xludf.DUMMYFUNCTION("""COMPUTED_VALUE"""),"Namfon Home")</f>
        <v>Namfon Home</v>
      </c>
      <c r="P1111" t="str">
        <f>IFERROR(__xludf.DUMMYFUNCTION("""COMPUTED_VALUE"""),"Active")</f>
        <v>Active</v>
      </c>
      <c r="R1111" s="162">
        <f>IFERROR(__xludf.DUMMYFUNCTION("""COMPUTED_VALUE"""),36430.0)</f>
        <v>36430</v>
      </c>
      <c r="S1111" s="146" t="str">
        <f>IFERROR(__xludf.DUMMYFUNCTION("""COMPUTED_VALUE"""),"082 806 5767")</f>
        <v>082 806 5767</v>
      </c>
      <c r="T1111" s="147" t="str">
        <f>IFERROR(__xludf.DUMMYFUNCTION("""COMPUTED_VALUE"""),"1-8099-00946-59-7")</f>
        <v>1-8099-00946-59-7</v>
      </c>
      <c r="U1111" t="str">
        <f>IFERROR(__xludf.DUMMYFUNCTION("""COMPUTED_VALUE"""),"AC6632369")</f>
        <v>AC6632369</v>
      </c>
      <c r="V1111" s="148">
        <f>IFERROR(__xludf.DUMMYFUNCTION("""COMPUTED_VALUE"""),45412.0)</f>
        <v>45412</v>
      </c>
      <c r="W1111" s="148">
        <f>IFERROR(__xludf.DUMMYFUNCTION("""COMPUTED_VALUE"""),49063.0)</f>
        <v>49063</v>
      </c>
      <c r="X1111" s="149">
        <f>IFERROR(__xludf.DUMMYFUNCTION("""COMPUTED_VALUE"""),48881.0)</f>
        <v>48881</v>
      </c>
      <c r="Y1111" t="str">
        <f>IFERROR(__xludf.DUMMYFUNCTION("""COMPUTED_VALUE"""),"ปลอดภัย")</f>
        <v>ปลอดภัย</v>
      </c>
      <c r="Z1111" t="str">
        <f>IFERROR(__xludf.DUMMYFUNCTION("""COMPUTED_VALUE"""),"Nakhon Si Thammarat Province")</f>
        <v>Nakhon Si Thammarat Province</v>
      </c>
      <c r="AA1111" s="145" t="str">
        <f>IFERROR(__xludf.DUMMYFUNCTION("""COMPUTED_VALUE"""),"Krabi")</f>
        <v>Krabi</v>
      </c>
      <c r="AB1111" s="145" t="str">
        <f>IFERROR(__xludf.DUMMYFUNCTION("""COMPUTED_VALUE"""),"0806907032")</f>
        <v>0806907032</v>
      </c>
      <c r="AC1111" s="145" t="str">
        <f>IFERROR(__xludf.DUMMYFUNCTION("""COMPUTED_VALUE"""),"สุดา เส็มหมาด Mother")</f>
        <v>สุดา เส็มหมาด Mother</v>
      </c>
      <c r="AD1111" t="str">
        <f>IFERROR(__xludf.DUMMYFUNCTION("""COMPUTED_VALUE"""),"areeyataleb@airasia.com")</f>
        <v>areeyataleb@airasia.com</v>
      </c>
    </row>
    <row r="1112">
      <c r="A1112" s="142">
        <f>IFERROR(__xludf.DUMMYFUNCTION("""COMPUTED_VALUE"""),105.0)</f>
        <v>105</v>
      </c>
      <c r="C1112">
        <f>IFERROR(__xludf.DUMMYFUNCTION("""COMPUTED_VALUE"""),1040356.0)</f>
        <v>1040356</v>
      </c>
      <c r="D1112" t="str">
        <f>IFERROR(__xludf.DUMMYFUNCTION("""COMPUTED_VALUE"""),"Ms.")</f>
        <v>Ms.</v>
      </c>
      <c r="E1112" t="str">
        <f>IFERROR(__xludf.DUMMYFUNCTION("""COMPUTED_VALUE"""),"Benyapa")</f>
        <v>Benyapa</v>
      </c>
      <c r="F1112" t="str">
        <f>IFERROR(__xludf.DUMMYFUNCTION("""COMPUTED_VALUE"""),"Suyaai")</f>
        <v>Suyaai</v>
      </c>
      <c r="G1112" t="str">
        <f>IFERROR(__xludf.DUMMYFUNCTION("""COMPUTED_VALUE"""),"Benyapa Suyaai")</f>
        <v>Benyapa Suyaai</v>
      </c>
      <c r="H1112" t="str">
        <f>IFERROR(__xludf.DUMMYFUNCTION("""COMPUTED_VALUE"""),"นางสาว")</f>
        <v>นางสาว</v>
      </c>
      <c r="I1112" t="str">
        <f>IFERROR(__xludf.DUMMYFUNCTION("""COMPUTED_VALUE"""),"เบญญาภา")</f>
        <v>เบญญาภา</v>
      </c>
      <c r="J1112" t="str">
        <f>IFERROR(__xludf.DUMMYFUNCTION("""COMPUTED_VALUE"""),"สุยะไอ่")</f>
        <v>สุยะไอ่</v>
      </c>
      <c r="K1112" t="str">
        <f>IFERROR(__xludf.DUMMYFUNCTION("""COMPUTED_VALUE"""),"เบญญาภา สุยะไอ่")</f>
        <v>เบญญาภา สุยะไอ่</v>
      </c>
      <c r="L1112" s="145" t="str">
        <f>IFERROR(__xludf.DUMMYFUNCTION("""COMPUTED_VALUE"""),"Champagne / แชมเปญ")</f>
        <v>Champagne / แชมเปญ</v>
      </c>
      <c r="M1112" t="str">
        <f>IFERROR(__xludf.DUMMYFUNCTION("""COMPUTED_VALUE"""),"Cabin Crew - CNX")</f>
        <v>Cabin Crew - CNX</v>
      </c>
      <c r="N1112" t="str">
        <f>IFERROR(__xludf.DUMMYFUNCTION("""COMPUTED_VALUE"""),"CNX")</f>
        <v>CNX</v>
      </c>
      <c r="O1112" s="145" t="str">
        <f>IFERROR(__xludf.DUMMYFUNCTION("""COMPUTED_VALUE"""),"Up Home")</f>
        <v>Up Home</v>
      </c>
      <c r="P1112" t="str">
        <f>IFERROR(__xludf.DUMMYFUNCTION("""COMPUTED_VALUE"""),"Active/V/DMK")</f>
        <v>Active/V/DMK</v>
      </c>
      <c r="R1112" s="162">
        <f>IFERROR(__xludf.DUMMYFUNCTION("""COMPUTED_VALUE"""),35397.0)</f>
        <v>35397</v>
      </c>
      <c r="S1112" s="146" t="str">
        <f>IFERROR(__xludf.DUMMYFUNCTION("""COMPUTED_VALUE"""),"063 564 2624")</f>
        <v>063 564 2624</v>
      </c>
      <c r="T1112" s="147" t="str">
        <f>IFERROR(__xludf.DUMMYFUNCTION("""COMPUTED_VALUE"""),"1-5099-01724-61-2")</f>
        <v>1-5099-01724-61-2</v>
      </c>
      <c r="U1112" t="str">
        <f>IFERROR(__xludf.DUMMYFUNCTION("""COMPUTED_VALUE"""),"AC4061316")</f>
        <v>AC4061316</v>
      </c>
      <c r="V1112" s="148">
        <f>IFERROR(__xludf.DUMMYFUNCTION("""COMPUTED_VALUE"""),44824.0)</f>
        <v>44824</v>
      </c>
      <c r="W1112" s="148">
        <f>IFERROR(__xludf.DUMMYFUNCTION("""COMPUTED_VALUE"""),48476.0)</f>
        <v>48476</v>
      </c>
      <c r="X1112" s="149">
        <f>IFERROR(__xludf.DUMMYFUNCTION("""COMPUTED_VALUE"""),48292.0)</f>
        <v>48292</v>
      </c>
      <c r="Y1112" t="str">
        <f>IFERROR(__xludf.DUMMYFUNCTION("""COMPUTED_VALUE"""),"ปลอดภัย")</f>
        <v>ปลอดภัย</v>
      </c>
      <c r="Z1112" t="str">
        <f>IFERROR(__xludf.DUMMYFUNCTION("""COMPUTED_VALUE"""),"Chiang Mai Province")</f>
        <v>Chiang Mai Province</v>
      </c>
      <c r="AA1112" s="145" t="str">
        <f>IFERROR(__xludf.DUMMYFUNCTION("""COMPUTED_VALUE"""),"Chiang mai")</f>
        <v>Chiang mai</v>
      </c>
      <c r="AB1112" s="145" t="str">
        <f>IFERROR(__xludf.DUMMYFUNCTION("""COMPUTED_VALUE"""),"0635642915")</f>
        <v>0635642915</v>
      </c>
      <c r="AC1112" s="145" t="str">
        <f>IFERROR(__xludf.DUMMYFUNCTION("""COMPUTED_VALUE"""),"นางชนมณี ไชยยศ Mother")</f>
        <v>นางชนมณี ไชยยศ Mother</v>
      </c>
      <c r="AD1112" t="str">
        <f>IFERROR(__xludf.DUMMYFUNCTION("""COMPUTED_VALUE"""),"benyapasuyaai@airasia.com")</f>
        <v>benyapasuyaai@airasia.com</v>
      </c>
    </row>
    <row r="1113">
      <c r="A1113" s="142">
        <f>IFERROR(__xludf.DUMMYFUNCTION("""COMPUTED_VALUE"""),105.0)</f>
        <v>105</v>
      </c>
      <c r="C1113">
        <f>IFERROR(__xludf.DUMMYFUNCTION("""COMPUTED_VALUE"""),1040350.0)</f>
        <v>1040350</v>
      </c>
      <c r="D1113" t="str">
        <f>IFERROR(__xludf.DUMMYFUNCTION("""COMPUTED_VALUE"""),"Ms.")</f>
        <v>Ms.</v>
      </c>
      <c r="E1113" t="str">
        <f>IFERROR(__xludf.DUMMYFUNCTION("""COMPUTED_VALUE"""),"Busakorn")</f>
        <v>Busakorn</v>
      </c>
      <c r="F1113" t="str">
        <f>IFERROR(__xludf.DUMMYFUNCTION("""COMPUTED_VALUE"""),"Soonthonthaisri")</f>
        <v>Soonthonthaisri</v>
      </c>
      <c r="G1113" t="str">
        <f>IFERROR(__xludf.DUMMYFUNCTION("""COMPUTED_VALUE"""),"Busakorn Soonthonthaisri")</f>
        <v>Busakorn Soonthonthaisri</v>
      </c>
      <c r="H1113" t="str">
        <f>IFERROR(__xludf.DUMMYFUNCTION("""COMPUTED_VALUE"""),"นางสาว")</f>
        <v>นางสาว</v>
      </c>
      <c r="I1113" t="str">
        <f>IFERROR(__xludf.DUMMYFUNCTION("""COMPUTED_VALUE"""),"บุษกร")</f>
        <v>บุษกร</v>
      </c>
      <c r="J1113" t="str">
        <f>IFERROR(__xludf.DUMMYFUNCTION("""COMPUTED_VALUE"""),"สุนทรไทศรี")</f>
        <v>สุนทรไทศรี</v>
      </c>
      <c r="K1113" t="str">
        <f>IFERROR(__xludf.DUMMYFUNCTION("""COMPUTED_VALUE"""),"บุษกร สุนทรไทศรี")</f>
        <v>บุษกร สุนทรไทศรี</v>
      </c>
      <c r="L1113" s="145" t="str">
        <f>IFERROR(__xludf.DUMMYFUNCTION("""COMPUTED_VALUE"""),"ซิน")</f>
        <v>ซิน</v>
      </c>
      <c r="M1113" t="str">
        <f>IFERROR(__xludf.DUMMYFUNCTION("""COMPUTED_VALUE"""),"Cabin Crew")</f>
        <v>Cabin Crew</v>
      </c>
      <c r="N1113" t="str">
        <f>IFERROR(__xludf.DUMMYFUNCTION("""COMPUTED_VALUE"""),"DMK")</f>
        <v>DMK</v>
      </c>
      <c r="O1113" s="145" t="str">
        <f>IFERROR(__xludf.DUMMYFUNCTION("""COMPUTED_VALUE"""),"Um Home")</f>
        <v>Um Home</v>
      </c>
      <c r="P1113" t="str">
        <f>IFERROR(__xludf.DUMMYFUNCTION("""COMPUTED_VALUE"""),"Active")</f>
        <v>Active</v>
      </c>
      <c r="R1113" s="162">
        <f>IFERROR(__xludf.DUMMYFUNCTION("""COMPUTED_VALUE"""),36237.0)</f>
        <v>36237</v>
      </c>
      <c r="S1113" s="146" t="str">
        <f>IFERROR(__xludf.DUMMYFUNCTION("""COMPUTED_VALUE"""),"097 275 1326")</f>
        <v>097 275 1326</v>
      </c>
      <c r="T1113" s="147" t="str">
        <f>IFERROR(__xludf.DUMMYFUNCTION("""COMPUTED_VALUE"""),"1-1042-00085-66-3")</f>
        <v>1-1042-00085-66-3</v>
      </c>
      <c r="U1113" t="str">
        <f>IFERROR(__xludf.DUMMYFUNCTION("""COMPUTED_VALUE"""),"AC6247202")</f>
        <v>AC6247202</v>
      </c>
      <c r="V1113" s="148">
        <f>IFERROR(__xludf.DUMMYFUNCTION("""COMPUTED_VALUE"""),45310.0)</f>
        <v>45310</v>
      </c>
      <c r="W1113" s="148">
        <f>IFERROR(__xludf.DUMMYFUNCTION("""COMPUTED_VALUE"""),47136.0)</f>
        <v>47136</v>
      </c>
      <c r="X1113" s="149">
        <f>IFERROR(__xludf.DUMMYFUNCTION("""COMPUTED_VALUE"""),46952.0)</f>
        <v>46952</v>
      </c>
      <c r="Y1113" t="str">
        <f>IFERROR(__xludf.DUMMYFUNCTION("""COMPUTED_VALUE"""),"ปลอดภัย")</f>
        <v>ปลอดภัย</v>
      </c>
      <c r="Z1113" t="str">
        <f>IFERROR(__xludf.DUMMYFUNCTION("""COMPUTED_VALUE"""),"Bangkok")</f>
        <v>Bangkok</v>
      </c>
      <c r="AA1113" s="145" t="str">
        <f>IFERROR(__xludf.DUMMYFUNCTION("""COMPUTED_VALUE"""),"Bangkok")</f>
        <v>Bangkok</v>
      </c>
      <c r="AB1113" s="145" t="str">
        <f>IFERROR(__xludf.DUMMYFUNCTION("""COMPUTED_VALUE"""),"088-611-7171")</f>
        <v>088-611-7171</v>
      </c>
      <c r="AC1113" s="145" t="str">
        <f>IFERROR(__xludf.DUMMYFUNCTION("""COMPUTED_VALUE"""),"นางอังคณา สุนทรไทศรี Mother")</f>
        <v>นางอังคณา สุนทรไทศรี Mother</v>
      </c>
      <c r="AD1113" t="str">
        <f>IFERROR(__xludf.DUMMYFUNCTION("""COMPUTED_VALUE"""),"busakornsoonthontha@airasia.com")</f>
        <v>busakornsoonthontha@airasia.com</v>
      </c>
    </row>
    <row r="1114">
      <c r="A1114" s="142">
        <f>IFERROR(__xludf.DUMMYFUNCTION("""COMPUTED_VALUE"""),105.0)</f>
        <v>105</v>
      </c>
      <c r="C1114">
        <f>IFERROR(__xludf.DUMMYFUNCTION("""COMPUTED_VALUE"""),1040348.0)</f>
        <v>1040348</v>
      </c>
      <c r="D1114" t="str">
        <f>IFERROR(__xludf.DUMMYFUNCTION("""COMPUTED_VALUE"""),"Ms.")</f>
        <v>Ms.</v>
      </c>
      <c r="E1114" t="str">
        <f>IFERROR(__xludf.DUMMYFUNCTION("""COMPUTED_VALUE"""),"Chitsanucha")</f>
        <v>Chitsanucha</v>
      </c>
      <c r="F1114" t="str">
        <f>IFERROR(__xludf.DUMMYFUNCTION("""COMPUTED_VALUE"""),"Sanvanitpattana")</f>
        <v>Sanvanitpattana</v>
      </c>
      <c r="G1114" t="str">
        <f>IFERROR(__xludf.DUMMYFUNCTION("""COMPUTED_VALUE"""),"Chitsanucha Sanvanitpattana")</f>
        <v>Chitsanucha Sanvanitpattana</v>
      </c>
      <c r="H1114" t="str">
        <f>IFERROR(__xludf.DUMMYFUNCTION("""COMPUTED_VALUE"""),"นางสาว")</f>
        <v>นางสาว</v>
      </c>
      <c r="I1114" t="str">
        <f>IFERROR(__xludf.DUMMYFUNCTION("""COMPUTED_VALUE"""),"ชิษณุชา")</f>
        <v>ชิษณุชา</v>
      </c>
      <c r="J1114" t="str">
        <f>IFERROR(__xludf.DUMMYFUNCTION("""COMPUTED_VALUE"""),"สรรค์วนิชพัฒนา")</f>
        <v>สรรค์วนิชพัฒนา</v>
      </c>
      <c r="K1114" t="str">
        <f>IFERROR(__xludf.DUMMYFUNCTION("""COMPUTED_VALUE"""),"ชิษณุชา สรรค์วนิชพัฒนา")</f>
        <v>ชิษณุชา สรรค์วนิชพัฒนา</v>
      </c>
      <c r="L1114" s="145" t="str">
        <f>IFERROR(__xludf.DUMMYFUNCTION("""COMPUTED_VALUE"""),"Kanomcake / ขนมเค้ก")</f>
        <v>Kanomcake / ขนมเค้ก</v>
      </c>
      <c r="M1114" t="str">
        <f>IFERROR(__xludf.DUMMYFUNCTION("""COMPUTED_VALUE"""),"Cabin Crew")</f>
        <v>Cabin Crew</v>
      </c>
      <c r="N1114" t="str">
        <f>IFERROR(__xludf.DUMMYFUNCTION("""COMPUTED_VALUE"""),"DMK")</f>
        <v>DMK</v>
      </c>
      <c r="O1114" s="145" t="str">
        <f>IFERROR(__xludf.DUMMYFUNCTION("""COMPUTED_VALUE"""),"Um Home")</f>
        <v>Um Home</v>
      </c>
      <c r="P1114" t="str">
        <f>IFERROR(__xludf.DUMMYFUNCTION("""COMPUTED_VALUE"""),"Active")</f>
        <v>Active</v>
      </c>
      <c r="R1114" s="162">
        <f>IFERROR(__xludf.DUMMYFUNCTION("""COMPUTED_VALUE"""),37134.0)</f>
        <v>37134</v>
      </c>
      <c r="S1114" s="146" t="str">
        <f>IFERROR(__xludf.DUMMYFUNCTION("""COMPUTED_VALUE"""),"095 549 4193")</f>
        <v>095 549 4193</v>
      </c>
      <c r="T1114" s="147" t="str">
        <f>IFERROR(__xludf.DUMMYFUNCTION("""COMPUTED_VALUE"""),"1-1017-00305-36-8")</f>
        <v>1-1017-00305-36-8</v>
      </c>
      <c r="U1114" t="str">
        <f>IFERROR(__xludf.DUMMYFUNCTION("""COMPUTED_VALUE"""),"AC6370234")</f>
        <v>AC6370234</v>
      </c>
      <c r="V1114" s="148">
        <f>IFERROR(__xludf.DUMMYFUNCTION("""COMPUTED_VALUE"""),45355.0)</f>
        <v>45355</v>
      </c>
      <c r="W1114" s="148">
        <f>IFERROR(__xludf.DUMMYFUNCTION("""COMPUTED_VALUE"""),49006.0)</f>
        <v>49006</v>
      </c>
      <c r="X1114" s="149">
        <f>IFERROR(__xludf.DUMMYFUNCTION("""COMPUTED_VALUE"""),48825.0)</f>
        <v>48825</v>
      </c>
      <c r="Y1114" t="str">
        <f>IFERROR(__xludf.DUMMYFUNCTION("""COMPUTED_VALUE"""),"ปลอดภัย")</f>
        <v>ปลอดภัย</v>
      </c>
      <c r="Z1114" t="str">
        <f>IFERROR(__xludf.DUMMYFUNCTION("""COMPUTED_VALUE"""),"Bangkok")</f>
        <v>Bangkok</v>
      </c>
      <c r="AA1114" s="145" t="str">
        <f>IFERROR(__xludf.DUMMYFUNCTION("""COMPUTED_VALUE"""),"Bangkok")</f>
        <v>Bangkok</v>
      </c>
      <c r="AB1114" s="145" t="str">
        <f>IFERROR(__xludf.DUMMYFUNCTION("""COMPUTED_VALUE"""),"081-422-2092")</f>
        <v>081-422-2092</v>
      </c>
      <c r="AC1114" s="145" t="str">
        <f>IFERROR(__xludf.DUMMYFUNCTION("""COMPUTED_VALUE"""),"นายบุตรปิยะ สรรค์วนิชพัฒนา Father")</f>
        <v>นายบุตรปิยะ สรรค์วนิชพัฒนา Father</v>
      </c>
      <c r="AD1114" t="str">
        <f>IFERROR(__xludf.DUMMYFUNCTION("""COMPUTED_VALUE"""),"chitsanuchasanvanit@airasia.com")</f>
        <v>chitsanuchasanvanit@airasia.com</v>
      </c>
    </row>
    <row r="1115">
      <c r="A1115" s="142">
        <f>IFERROR(__xludf.DUMMYFUNCTION("""COMPUTED_VALUE"""),105.0)</f>
        <v>105</v>
      </c>
      <c r="C1115">
        <f>IFERROR(__xludf.DUMMYFUNCTION("""COMPUTED_VALUE"""),1040358.0)</f>
        <v>1040358</v>
      </c>
      <c r="D1115" t="str">
        <f>IFERROR(__xludf.DUMMYFUNCTION("""COMPUTED_VALUE"""),"Ms.")</f>
        <v>Ms.</v>
      </c>
      <c r="E1115" t="str">
        <f>IFERROR(__xludf.DUMMYFUNCTION("""COMPUTED_VALUE"""),"Dena")</f>
        <v>Dena</v>
      </c>
      <c r="F1115" t="str">
        <f>IFERROR(__xludf.DUMMYFUNCTION("""COMPUTED_VALUE"""),"Satthamanu")</f>
        <v>Satthamanu</v>
      </c>
      <c r="G1115" t="str">
        <f>IFERROR(__xludf.DUMMYFUNCTION("""COMPUTED_VALUE"""),"Dena Satthamanu")</f>
        <v>Dena Satthamanu</v>
      </c>
      <c r="H1115" t="str">
        <f>IFERROR(__xludf.DUMMYFUNCTION("""COMPUTED_VALUE"""),"นางสาว")</f>
        <v>นางสาว</v>
      </c>
      <c r="I1115" t="str">
        <f>IFERROR(__xludf.DUMMYFUNCTION("""COMPUTED_VALUE"""),"ดีน่า")</f>
        <v>ดีน่า</v>
      </c>
      <c r="J1115" t="str">
        <f>IFERROR(__xludf.DUMMYFUNCTION("""COMPUTED_VALUE"""),"ศรัทธามนู")</f>
        <v>ศรัทธามนู</v>
      </c>
      <c r="K1115" t="str">
        <f>IFERROR(__xludf.DUMMYFUNCTION("""COMPUTED_VALUE"""),"ดีน่า ศรัทธามนู")</f>
        <v>ดีน่า ศรัทธามนู</v>
      </c>
      <c r="L1115" s="145" t="str">
        <f>IFERROR(__xludf.DUMMYFUNCTION("""COMPUTED_VALUE"""),"ดีน่า")</f>
        <v>ดีน่า</v>
      </c>
      <c r="M1115" t="str">
        <f>IFERROR(__xludf.DUMMYFUNCTION("""COMPUTED_VALUE"""),"Cabin Crew - HKT")</f>
        <v>Cabin Crew - HKT</v>
      </c>
      <c r="N1115" t="str">
        <f>IFERROR(__xludf.DUMMYFUNCTION("""COMPUTED_VALUE"""),"HKT")</f>
        <v>HKT</v>
      </c>
      <c r="O1115" s="145" t="str">
        <f>IFERROR(__xludf.DUMMYFUNCTION("""COMPUTED_VALUE"""),"Kor Home")</f>
        <v>Kor Home</v>
      </c>
      <c r="P1115" t="str">
        <f>IFERROR(__xludf.DUMMYFUNCTION("""COMPUTED_VALUE"""),"Active")</f>
        <v>Active</v>
      </c>
      <c r="R1115" s="162">
        <f>IFERROR(__xludf.DUMMYFUNCTION("""COMPUTED_VALUE"""),36840.0)</f>
        <v>36840</v>
      </c>
      <c r="S1115" s="146" t="str">
        <f>IFERROR(__xludf.DUMMYFUNCTION("""COMPUTED_VALUE"""),"099  317 3934")</f>
        <v>099  317 3934</v>
      </c>
      <c r="T1115" s="147" t="str">
        <f>IFERROR(__xludf.DUMMYFUNCTION("""COMPUTED_VALUE"""),"1-8399-00624-10-7")</f>
        <v>1-8399-00624-10-7</v>
      </c>
      <c r="U1115" t="str">
        <f>IFERROR(__xludf.DUMMYFUNCTION("""COMPUTED_VALUE"""),"AD0188959")</f>
        <v>AD0188959</v>
      </c>
      <c r="V1115" s="148">
        <f>IFERROR(__xludf.DUMMYFUNCTION("""COMPUTED_VALUE"""),44854.0)</f>
        <v>44854</v>
      </c>
      <c r="W1115" s="148">
        <f>IFERROR(__xludf.DUMMYFUNCTION("""COMPUTED_VALUE"""),48506.0)</f>
        <v>48506</v>
      </c>
      <c r="X1115" s="149">
        <f>IFERROR(__xludf.DUMMYFUNCTION("""COMPUTED_VALUE"""),48323.0)</f>
        <v>48323</v>
      </c>
      <c r="Y1115" t="str">
        <f>IFERROR(__xludf.DUMMYFUNCTION("""COMPUTED_VALUE"""),"ปลอดภัย")</f>
        <v>ปลอดภัย</v>
      </c>
      <c r="Z1115" t="str">
        <f>IFERROR(__xludf.DUMMYFUNCTION("""COMPUTED_VALUE"""),"Phuket Province")</f>
        <v>Phuket Province</v>
      </c>
      <c r="AA1115" s="145" t="str">
        <f>IFERROR(__xludf.DUMMYFUNCTION("""COMPUTED_VALUE"""),"Phuket")</f>
        <v>Phuket</v>
      </c>
      <c r="AB1115" s="145" t="str">
        <f>IFERROR(__xludf.DUMMYFUNCTION("""COMPUTED_VALUE"""),"080-526-1347")</f>
        <v>080-526-1347</v>
      </c>
      <c r="AC1115" s="145" t="str">
        <f>IFERROR(__xludf.DUMMYFUNCTION("""COMPUTED_VALUE"""),"นายเกษมสันต์ ศรัทธามนู Father")</f>
        <v>นายเกษมสันต์ ศรัทธามนู Father</v>
      </c>
      <c r="AD1115" t="str">
        <f>IFERROR(__xludf.DUMMYFUNCTION("""COMPUTED_VALUE"""),"denasatthamanu@airasia.com")</f>
        <v>denasatthamanu@airasia.com</v>
      </c>
    </row>
    <row r="1116">
      <c r="A1116" s="142">
        <f>IFERROR(__xludf.DUMMYFUNCTION("""COMPUTED_VALUE"""),105.0)</f>
        <v>105</v>
      </c>
      <c r="C1116">
        <f>IFERROR(__xludf.DUMMYFUNCTION("""COMPUTED_VALUE"""),1040352.0)</f>
        <v>1040352</v>
      </c>
      <c r="D1116" t="str">
        <f>IFERROR(__xludf.DUMMYFUNCTION("""COMPUTED_VALUE"""),"Ms.")</f>
        <v>Ms.</v>
      </c>
      <c r="E1116" t="str">
        <f>IFERROR(__xludf.DUMMYFUNCTION("""COMPUTED_VALUE"""),"Jaksananapa")</f>
        <v>Jaksananapa</v>
      </c>
      <c r="F1116" t="str">
        <f>IFERROR(__xludf.DUMMYFUNCTION("""COMPUTED_VALUE"""),"Yingprayoon")</f>
        <v>Yingprayoon</v>
      </c>
      <c r="G1116" t="str">
        <f>IFERROR(__xludf.DUMMYFUNCTION("""COMPUTED_VALUE"""),"Jaksananapa Yingprayoon")</f>
        <v>Jaksananapa Yingprayoon</v>
      </c>
      <c r="H1116" t="str">
        <f>IFERROR(__xludf.DUMMYFUNCTION("""COMPUTED_VALUE"""),"นางสาว")</f>
        <v>นางสาว</v>
      </c>
      <c r="I1116" t="str">
        <f>IFERROR(__xludf.DUMMYFUNCTION("""COMPUTED_VALUE"""),"จักษณนภา")</f>
        <v>จักษณนภา</v>
      </c>
      <c r="J1116" t="str">
        <f>IFERROR(__xludf.DUMMYFUNCTION("""COMPUTED_VALUE"""),"หญิงประยูร")</f>
        <v>หญิงประยูร</v>
      </c>
      <c r="K1116" t="str">
        <f>IFERROR(__xludf.DUMMYFUNCTION("""COMPUTED_VALUE"""),"จักษณนภา หญิงประยูร")</f>
        <v>จักษณนภา หญิงประยูร</v>
      </c>
      <c r="L1116" s="145" t="str">
        <f>IFERROR(__xludf.DUMMYFUNCTION("""COMPUTED_VALUE"""),"TEM / เต็ม")</f>
        <v>TEM / เต็ม</v>
      </c>
      <c r="M1116" t="str">
        <f>IFERROR(__xludf.DUMMYFUNCTION("""COMPUTED_VALUE"""),"Cabin Crew")</f>
        <v>Cabin Crew</v>
      </c>
      <c r="N1116" t="str">
        <f>IFERROR(__xludf.DUMMYFUNCTION("""COMPUTED_VALUE"""),"DMK")</f>
        <v>DMK</v>
      </c>
      <c r="O1116" s="145" t="str">
        <f>IFERROR(__xludf.DUMMYFUNCTION("""COMPUTED_VALUE"""),"Kor Home")</f>
        <v>Kor Home</v>
      </c>
      <c r="P1116" t="str">
        <f>IFERROR(__xludf.DUMMYFUNCTION("""COMPUTED_VALUE"""),"Active")</f>
        <v>Active</v>
      </c>
      <c r="R1116" s="162">
        <f>IFERROR(__xludf.DUMMYFUNCTION("""COMPUTED_VALUE"""),35573.0)</f>
        <v>35573</v>
      </c>
      <c r="S1116" s="146" t="str">
        <f>IFERROR(__xludf.DUMMYFUNCTION("""COMPUTED_VALUE"""),"095 792 6951")</f>
        <v>095 792 6951</v>
      </c>
      <c r="T1116" s="147" t="str">
        <f>IFERROR(__xludf.DUMMYFUNCTION("""COMPUTED_VALUE"""),"1-1014-02146-18-1")</f>
        <v>1-1014-02146-18-1</v>
      </c>
      <c r="U1116" t="str">
        <f>IFERROR(__xludf.DUMMYFUNCTION("""COMPUTED_VALUE"""),"AC2289486")</f>
        <v>AC2289486</v>
      </c>
      <c r="V1116" s="148">
        <f>IFERROR(__xludf.DUMMYFUNCTION("""COMPUTED_VALUE"""),44341.0)</f>
        <v>44341</v>
      </c>
      <c r="W1116" s="148">
        <f>IFERROR(__xludf.DUMMYFUNCTION("""COMPUTED_VALUE"""),47992.0)</f>
        <v>47992</v>
      </c>
      <c r="X1116" s="149">
        <f>IFERROR(__xludf.DUMMYFUNCTION("""COMPUTED_VALUE"""),47811.0)</f>
        <v>47811</v>
      </c>
      <c r="Y1116" t="str">
        <f>IFERROR(__xludf.DUMMYFUNCTION("""COMPUTED_VALUE"""),"ปลอดภัย")</f>
        <v>ปลอดภัย</v>
      </c>
      <c r="Z1116" t="str">
        <f>IFERROR(__xludf.DUMMYFUNCTION("""COMPUTED_VALUE"""),"Bangkok")</f>
        <v>Bangkok</v>
      </c>
      <c r="AA1116" s="145" t="str">
        <f>IFERROR(__xludf.DUMMYFUNCTION("""COMPUTED_VALUE"""),"Bangkok")</f>
        <v>Bangkok</v>
      </c>
      <c r="AB1116" s="145" t="str">
        <f>IFERROR(__xludf.DUMMYFUNCTION("""COMPUTED_VALUE"""),"087-544-6628")</f>
        <v>087-544-6628</v>
      </c>
      <c r="AC1116" s="145" t="str">
        <f>IFERROR(__xludf.DUMMYFUNCTION("""COMPUTED_VALUE"""),"นายปฐมพร ศรีอร่าม Friend")</f>
        <v>นายปฐมพร ศรีอร่าม Friend</v>
      </c>
      <c r="AD1116" t="str">
        <f>IFERROR(__xludf.DUMMYFUNCTION("""COMPUTED_VALUE"""),"jaksananapayingpray@airasia.com")</f>
        <v>jaksananapayingpray@airasia.com</v>
      </c>
    </row>
    <row r="1117">
      <c r="A1117" s="142">
        <f>IFERROR(__xludf.DUMMYFUNCTION("""COMPUTED_VALUE"""),105.0)</f>
        <v>105</v>
      </c>
      <c r="C1117">
        <f>IFERROR(__xludf.DUMMYFUNCTION("""COMPUTED_VALUE"""),1040353.0)</f>
        <v>1040353</v>
      </c>
      <c r="D1117" t="str">
        <f>IFERROR(__xludf.DUMMYFUNCTION("""COMPUTED_VALUE"""),"Ms.")</f>
        <v>Ms.</v>
      </c>
      <c r="E1117" t="str">
        <f>IFERROR(__xludf.DUMMYFUNCTION("""COMPUTED_VALUE"""),"Khanthida")</f>
        <v>Khanthida</v>
      </c>
      <c r="F1117" t="str">
        <f>IFERROR(__xludf.DUMMYFUNCTION("""COMPUTED_VALUE"""),"Phethai")</f>
        <v>Phethai</v>
      </c>
      <c r="G1117" t="str">
        <f>IFERROR(__xludf.DUMMYFUNCTION("""COMPUTED_VALUE"""),"Khanthida Phethai")</f>
        <v>Khanthida Phethai</v>
      </c>
      <c r="H1117" t="str">
        <f>IFERROR(__xludf.DUMMYFUNCTION("""COMPUTED_VALUE"""),"นางสาว")</f>
        <v>นางสาว</v>
      </c>
      <c r="I1117" t="str">
        <f>IFERROR(__xludf.DUMMYFUNCTION("""COMPUTED_VALUE"""),"กานต์ธิดา")</f>
        <v>กานต์ธิดา</v>
      </c>
      <c r="J1117" t="str">
        <f>IFERROR(__xludf.DUMMYFUNCTION("""COMPUTED_VALUE"""),"เพทัย")</f>
        <v>เพทัย</v>
      </c>
      <c r="K1117" t="str">
        <f>IFERROR(__xludf.DUMMYFUNCTION("""COMPUTED_VALUE"""),"กานต์ธิดา เพทัย")</f>
        <v>กานต์ธิดา เพทัย</v>
      </c>
      <c r="L1117" s="145" t="str">
        <f>IFERROR(__xludf.DUMMYFUNCTION("""COMPUTED_VALUE"""),"เฟิร์ส")</f>
        <v>เฟิร์ส</v>
      </c>
      <c r="M1117" t="str">
        <f>IFERROR(__xludf.DUMMYFUNCTION("""COMPUTED_VALUE"""),"Cabin Crew")</f>
        <v>Cabin Crew</v>
      </c>
      <c r="N1117" t="str">
        <f>IFERROR(__xludf.DUMMYFUNCTION("""COMPUTED_VALUE"""),"DMK")</f>
        <v>DMK</v>
      </c>
      <c r="O1117" s="145" t="str">
        <f>IFERROR(__xludf.DUMMYFUNCTION("""COMPUTED_VALUE"""),"Namfon Home")</f>
        <v>Namfon Home</v>
      </c>
      <c r="P1117" t="str">
        <f>IFERROR(__xludf.DUMMYFUNCTION("""COMPUTED_VALUE"""),"Active")</f>
        <v>Active</v>
      </c>
      <c r="R1117" s="162">
        <f>IFERROR(__xludf.DUMMYFUNCTION("""COMPUTED_VALUE"""),35664.0)</f>
        <v>35664</v>
      </c>
      <c r="S1117" s="146" t="str">
        <f>IFERROR(__xludf.DUMMYFUNCTION("""COMPUTED_VALUE"""),"092 594 9944")</f>
        <v>092 594 9944</v>
      </c>
      <c r="T1117" s="147" t="str">
        <f>IFERROR(__xludf.DUMMYFUNCTION("""COMPUTED_VALUE"""),"1-1030-00125-81-4")</f>
        <v>1-1030-00125-81-4</v>
      </c>
      <c r="U1117" t="str">
        <f>IFERROR(__xludf.DUMMYFUNCTION("""COMPUTED_VALUE"""),"AC5258215")</f>
        <v>AC5258215</v>
      </c>
      <c r="V1117" s="148">
        <f>IFERROR(__xludf.DUMMYFUNCTION("""COMPUTED_VALUE"""),45111.0)</f>
        <v>45111</v>
      </c>
      <c r="W1117" s="148">
        <f>IFERROR(__xludf.DUMMYFUNCTION("""COMPUTED_VALUE"""),48763.0)</f>
        <v>48763</v>
      </c>
      <c r="X1117" s="149">
        <f>IFERROR(__xludf.DUMMYFUNCTION("""COMPUTED_VALUE"""),48582.0)</f>
        <v>48582</v>
      </c>
      <c r="Y1117" t="str">
        <f>IFERROR(__xludf.DUMMYFUNCTION("""COMPUTED_VALUE"""),"ปลอดภัย")</f>
        <v>ปลอดภัย</v>
      </c>
      <c r="Z1117" t="str">
        <f>IFERROR(__xludf.DUMMYFUNCTION("""COMPUTED_VALUE"""),"Bangkok")</f>
        <v>Bangkok</v>
      </c>
      <c r="AA1117" s="145" t="str">
        <f>IFERROR(__xludf.DUMMYFUNCTION("""COMPUTED_VALUE"""),"Bangkok")</f>
        <v>Bangkok</v>
      </c>
      <c r="AB1117" s="145" t="str">
        <f>IFERROR(__xludf.DUMMYFUNCTION("""COMPUTED_VALUE"""),"0850188393")</f>
        <v>0850188393</v>
      </c>
      <c r="AC1117" s="145" t="str">
        <f>IFERROR(__xludf.DUMMYFUNCTION("""COMPUTED_VALUE"""),"สิริพร เพทัย Mother")</f>
        <v>สิริพร เพทัย Mother</v>
      </c>
      <c r="AD1117" t="str">
        <f>IFERROR(__xludf.DUMMYFUNCTION("""COMPUTED_VALUE"""),"khanthidaphethai@airasia.com")</f>
        <v>khanthidaphethai@airasia.com</v>
      </c>
    </row>
    <row r="1118">
      <c r="A1118" s="142">
        <f>IFERROR(__xludf.DUMMYFUNCTION("""COMPUTED_VALUE"""),105.0)</f>
        <v>105</v>
      </c>
      <c r="C1118">
        <f>IFERROR(__xludf.DUMMYFUNCTION("""COMPUTED_VALUE"""),1040357.0)</f>
        <v>1040357</v>
      </c>
      <c r="D1118" t="str">
        <f>IFERROR(__xludf.DUMMYFUNCTION("""COMPUTED_VALUE"""),"Mr.")</f>
        <v>Mr.</v>
      </c>
      <c r="E1118" t="str">
        <f>IFERROR(__xludf.DUMMYFUNCTION("""COMPUTED_VALUE"""),"Korakot")</f>
        <v>Korakot</v>
      </c>
      <c r="F1118" t="str">
        <f>IFERROR(__xludf.DUMMYFUNCTION("""COMPUTED_VALUE"""),"Santisurat")</f>
        <v>Santisurat</v>
      </c>
      <c r="G1118" t="str">
        <f>IFERROR(__xludf.DUMMYFUNCTION("""COMPUTED_VALUE"""),"Korakot Santisurat")</f>
        <v>Korakot Santisurat</v>
      </c>
      <c r="H1118" t="str">
        <f>IFERROR(__xludf.DUMMYFUNCTION("""COMPUTED_VALUE"""),"นาย")</f>
        <v>นาย</v>
      </c>
      <c r="I1118" t="str">
        <f>IFERROR(__xludf.DUMMYFUNCTION("""COMPUTED_VALUE"""),"กรกฎ")</f>
        <v>กรกฎ</v>
      </c>
      <c r="J1118" t="str">
        <f>IFERROR(__xludf.DUMMYFUNCTION("""COMPUTED_VALUE"""),"สันติสุรัตน์")</f>
        <v>สันติสุรัตน์</v>
      </c>
      <c r="K1118" t="str">
        <f>IFERROR(__xludf.DUMMYFUNCTION("""COMPUTED_VALUE"""),"กรกฎ สันติสุรัตน์")</f>
        <v>กรกฎ สันติสุรัตน์</v>
      </c>
      <c r="L1118" s="145" t="str">
        <f>IFERROR(__xludf.DUMMYFUNCTION("""COMPUTED_VALUE"""),"Sky/ สกาย")</f>
        <v>Sky/ สกาย</v>
      </c>
      <c r="M1118" t="str">
        <f>IFERROR(__xludf.DUMMYFUNCTION("""COMPUTED_VALUE"""),"Cabin Crew - CNX")</f>
        <v>Cabin Crew - CNX</v>
      </c>
      <c r="N1118" t="str">
        <f>IFERROR(__xludf.DUMMYFUNCTION("""COMPUTED_VALUE"""),"CNX")</f>
        <v>CNX</v>
      </c>
      <c r="O1118" s="145" t="str">
        <f>IFERROR(__xludf.DUMMYFUNCTION("""COMPUTED_VALUE"""),"Up Home")</f>
        <v>Up Home</v>
      </c>
      <c r="P1118" t="str">
        <f>IFERROR(__xludf.DUMMYFUNCTION("""COMPUTED_VALUE"""),"Active")</f>
        <v>Active</v>
      </c>
      <c r="R1118" s="162">
        <f>IFERROR(__xludf.DUMMYFUNCTION("""COMPUTED_VALUE"""),35086.0)</f>
        <v>35086</v>
      </c>
      <c r="S1118" s="146" t="str">
        <f>IFERROR(__xludf.DUMMYFUNCTION("""COMPUTED_VALUE"""),"094 836 9423")</f>
        <v>094 836 9423</v>
      </c>
      <c r="T1118" s="147" t="str">
        <f>IFERROR(__xludf.DUMMYFUNCTION("""COMPUTED_VALUE"""),"1-5099-01672-82-5")</f>
        <v>1-5099-01672-82-5</v>
      </c>
      <c r="U1118" t="str">
        <f>IFERROR(__xludf.DUMMYFUNCTION("""COMPUTED_VALUE"""),"AC4926267")</f>
        <v>AC4926267</v>
      </c>
      <c r="V1118" s="148">
        <f>IFERROR(__xludf.DUMMYFUNCTION("""COMPUTED_VALUE"""),45055.0)</f>
        <v>45055</v>
      </c>
      <c r="W1118" s="148">
        <f>IFERROR(__xludf.DUMMYFUNCTION("""COMPUTED_VALUE"""),46881.0)</f>
        <v>46881</v>
      </c>
      <c r="X1118" s="149">
        <f>IFERROR(__xludf.DUMMYFUNCTION("""COMPUTED_VALUE"""),46699.0)</f>
        <v>46699</v>
      </c>
      <c r="Y1118" t="str">
        <f>IFERROR(__xludf.DUMMYFUNCTION("""COMPUTED_VALUE"""),"ปลอดภัย")</f>
        <v>ปลอดภัย</v>
      </c>
      <c r="Z1118" t="str">
        <f>IFERROR(__xludf.DUMMYFUNCTION("""COMPUTED_VALUE"""),"Chiang Mai Province")</f>
        <v>Chiang Mai Province</v>
      </c>
      <c r="AA1118" s="145" t="str">
        <f>IFERROR(__xludf.DUMMYFUNCTION("""COMPUTED_VALUE"""),"Chiang mai")</f>
        <v>Chiang mai</v>
      </c>
      <c r="AB1118" s="145" t="str">
        <f>IFERROR(__xludf.DUMMYFUNCTION("""COMPUTED_VALUE"""),"099-242-5656")</f>
        <v>099-242-5656</v>
      </c>
      <c r="AC1118" s="145" t="str">
        <f>IFERROR(__xludf.DUMMYFUNCTION("""COMPUTED_VALUE"""),"นางทรรศน์มน แก้วเป็ง Mother")</f>
        <v>นางทรรศน์มน แก้วเป็ง Mother</v>
      </c>
      <c r="AD1118" t="str">
        <f>IFERROR(__xludf.DUMMYFUNCTION("""COMPUTED_VALUE"""),"korakotsantisurat@airasia.com")</f>
        <v>korakotsantisurat@airasia.com</v>
      </c>
    </row>
    <row r="1119">
      <c r="A1119" s="142">
        <f>IFERROR(__xludf.DUMMYFUNCTION("""COMPUTED_VALUE"""),105.0)</f>
        <v>105</v>
      </c>
      <c r="C1119">
        <f>IFERROR(__xludf.DUMMYFUNCTION("""COMPUTED_VALUE"""),1040349.0)</f>
        <v>1040349</v>
      </c>
      <c r="D1119" t="str">
        <f>IFERROR(__xludf.DUMMYFUNCTION("""COMPUTED_VALUE"""),"Ms.")</f>
        <v>Ms.</v>
      </c>
      <c r="E1119" t="str">
        <f>IFERROR(__xludf.DUMMYFUNCTION("""COMPUTED_VALUE"""),"Kwanchanok")</f>
        <v>Kwanchanok</v>
      </c>
      <c r="F1119" t="str">
        <f>IFERROR(__xludf.DUMMYFUNCTION("""COMPUTED_VALUE"""),"Kositanont")</f>
        <v>Kositanont</v>
      </c>
      <c r="G1119" t="str">
        <f>IFERROR(__xludf.DUMMYFUNCTION("""COMPUTED_VALUE"""),"Kwanchanok Kositanont")</f>
        <v>Kwanchanok Kositanont</v>
      </c>
      <c r="H1119" t="str">
        <f>IFERROR(__xludf.DUMMYFUNCTION("""COMPUTED_VALUE"""),"นางสาว")</f>
        <v>นางสาว</v>
      </c>
      <c r="I1119" t="str">
        <f>IFERROR(__xludf.DUMMYFUNCTION("""COMPUTED_VALUE"""),"ขวัญชนก")</f>
        <v>ขวัญชนก</v>
      </c>
      <c r="J1119" t="str">
        <f>IFERROR(__xludf.DUMMYFUNCTION("""COMPUTED_VALUE"""),"โฆษิตานนท์")</f>
        <v>โฆษิตานนท์</v>
      </c>
      <c r="K1119" t="str">
        <f>IFERROR(__xludf.DUMMYFUNCTION("""COMPUTED_VALUE"""),"ขวัญชนก โฆษิตานนท์")</f>
        <v>ขวัญชนก โฆษิตานนท์</v>
      </c>
      <c r="L1119" s="145" t="str">
        <f>IFERROR(__xludf.DUMMYFUNCTION("""COMPUTED_VALUE"""),"Bling / บลิ่ง")</f>
        <v>Bling / บลิ่ง</v>
      </c>
      <c r="M1119" t="str">
        <f>IFERROR(__xludf.DUMMYFUNCTION("""COMPUTED_VALUE"""),"Cabin Crew")</f>
        <v>Cabin Crew</v>
      </c>
      <c r="N1119" t="str">
        <f>IFERROR(__xludf.DUMMYFUNCTION("""COMPUTED_VALUE"""),"DMK")</f>
        <v>DMK</v>
      </c>
      <c r="O1119" s="145" t="str">
        <f>IFERROR(__xludf.DUMMYFUNCTION("""COMPUTED_VALUE"""),"Um Home")</f>
        <v>Um Home</v>
      </c>
      <c r="P1119" t="str">
        <f>IFERROR(__xludf.DUMMYFUNCTION("""COMPUTED_VALUE"""),"Active")</f>
        <v>Active</v>
      </c>
      <c r="R1119" s="162">
        <f>IFERROR(__xludf.DUMMYFUNCTION("""COMPUTED_VALUE"""),34379.0)</f>
        <v>34379</v>
      </c>
      <c r="S1119" s="146" t="str">
        <f>IFERROR(__xludf.DUMMYFUNCTION("""COMPUTED_VALUE"""),"096 292 9359")</f>
        <v>096 292 9359</v>
      </c>
      <c r="T1119" s="147" t="str">
        <f>IFERROR(__xludf.DUMMYFUNCTION("""COMPUTED_VALUE"""),"1-5099-01413-01-3")</f>
        <v>1-5099-01413-01-3</v>
      </c>
      <c r="U1119" t="str">
        <f>IFERROR(__xludf.DUMMYFUNCTION("""COMPUTED_VALUE"""),"AD1586726")</f>
        <v>AD1586726</v>
      </c>
      <c r="V1119" s="148">
        <f>IFERROR(__xludf.DUMMYFUNCTION("""COMPUTED_VALUE"""),45309.0)</f>
        <v>45309</v>
      </c>
      <c r="W1119" s="148">
        <f>IFERROR(__xludf.DUMMYFUNCTION("""COMPUTED_VALUE"""),48961.0)</f>
        <v>48961</v>
      </c>
      <c r="X1119" s="149">
        <f>IFERROR(__xludf.DUMMYFUNCTION("""COMPUTED_VALUE"""),48777.0)</f>
        <v>48777</v>
      </c>
      <c r="Y1119" t="str">
        <f>IFERROR(__xludf.DUMMYFUNCTION("""COMPUTED_VALUE"""),"ปลอดภัย")</f>
        <v>ปลอดภัย</v>
      </c>
      <c r="Z1119" t="str">
        <f>IFERROR(__xludf.DUMMYFUNCTION("""COMPUTED_VALUE"""),"Chiang Mai Province")</f>
        <v>Chiang Mai Province</v>
      </c>
      <c r="AA1119" s="145" t="str">
        <f>IFERROR(__xludf.DUMMYFUNCTION("""COMPUTED_VALUE"""),"Bangkok")</f>
        <v>Bangkok</v>
      </c>
      <c r="AB1119" s="145" t="str">
        <f>IFERROR(__xludf.DUMMYFUNCTION("""COMPUTED_VALUE"""),"083-824-5965")</f>
        <v>083-824-5965</v>
      </c>
      <c r="AC1119" s="145" t="str">
        <f>IFERROR(__xludf.DUMMYFUNCTION("""COMPUTED_VALUE"""),"นายดุษิต โฆษิตานนท์ Brother")</f>
        <v>นายดุษิต โฆษิตานนท์ Brother</v>
      </c>
      <c r="AD1119" t="str">
        <f>IFERROR(__xludf.DUMMYFUNCTION("""COMPUTED_VALUE"""),"kwanchanokkositanont@airasia.com")</f>
        <v>kwanchanokkositanont@airasia.com</v>
      </c>
    </row>
    <row r="1120">
      <c r="A1120" s="142">
        <f>IFERROR(__xludf.DUMMYFUNCTION("""COMPUTED_VALUE"""),105.0)</f>
        <v>105</v>
      </c>
      <c r="C1120">
        <f>IFERROR(__xludf.DUMMYFUNCTION("""COMPUTED_VALUE"""),1040343.0)</f>
        <v>1040343</v>
      </c>
      <c r="D1120" t="str">
        <f>IFERROR(__xludf.DUMMYFUNCTION("""COMPUTED_VALUE"""),"Ms.")</f>
        <v>Ms.</v>
      </c>
      <c r="E1120" t="str">
        <f>IFERROR(__xludf.DUMMYFUNCTION("""COMPUTED_VALUE"""),"Sherlyn")</f>
        <v>Sherlyn</v>
      </c>
      <c r="F1120" t="str">
        <f>IFERROR(__xludf.DUMMYFUNCTION("""COMPUTED_VALUE"""),"Polmethakulluk")</f>
        <v>Polmethakulluk</v>
      </c>
      <c r="G1120" t="str">
        <f>IFERROR(__xludf.DUMMYFUNCTION("""COMPUTED_VALUE"""),"Sherlyn Polmethakulluk")</f>
        <v>Sherlyn Polmethakulluk</v>
      </c>
      <c r="H1120" t="str">
        <f>IFERROR(__xludf.DUMMYFUNCTION("""COMPUTED_VALUE"""),"นางสาว")</f>
        <v>นางสาว</v>
      </c>
      <c r="I1120" t="str">
        <f>IFERROR(__xludf.DUMMYFUNCTION("""COMPUTED_VALUE"""),"เฌอลินญ์")</f>
        <v>เฌอลินญ์</v>
      </c>
      <c r="J1120" t="str">
        <f>IFERROR(__xludf.DUMMYFUNCTION("""COMPUTED_VALUE"""),"พลเมธากุลลักษณ์")</f>
        <v>พลเมธากุลลักษณ์</v>
      </c>
      <c r="K1120" t="str">
        <f>IFERROR(__xludf.DUMMYFUNCTION("""COMPUTED_VALUE"""),"เฌอลินญ์ พลเมธากุลลักษณ์")</f>
        <v>เฌอลินญ์ พลเมธากุลลักษณ์</v>
      </c>
      <c r="L1120" s="145" t="str">
        <f>IFERROR(__xludf.DUMMYFUNCTION("""COMPUTED_VALUE"""),"Paan / ป่าน")</f>
        <v>Paan / ป่าน</v>
      </c>
      <c r="M1120" t="str">
        <f>IFERROR(__xludf.DUMMYFUNCTION("""COMPUTED_VALUE"""),"Cabin Crew")</f>
        <v>Cabin Crew</v>
      </c>
      <c r="N1120" t="str">
        <f>IFERROR(__xludf.DUMMYFUNCTION("""COMPUTED_VALUE"""),"DMK")</f>
        <v>DMK</v>
      </c>
      <c r="O1120" s="145" t="str">
        <f>IFERROR(__xludf.DUMMYFUNCTION("""COMPUTED_VALUE"""),"Por+ Home")</f>
        <v>Por+ Home</v>
      </c>
      <c r="P1120" t="str">
        <f>IFERROR(__xludf.DUMMYFUNCTION("""COMPUTED_VALUE"""),"Active")</f>
        <v>Active</v>
      </c>
      <c r="R1120" s="162">
        <f>IFERROR(__xludf.DUMMYFUNCTION("""COMPUTED_VALUE"""),35769.0)</f>
        <v>35769</v>
      </c>
      <c r="S1120" s="146" t="str">
        <f>IFERROR(__xludf.DUMMYFUNCTION("""COMPUTED_VALUE"""),"092 445 6917")</f>
        <v>092 445 6917</v>
      </c>
      <c r="T1120" s="147" t="str">
        <f>IFERROR(__xludf.DUMMYFUNCTION("""COMPUTED_VALUE"""),"1-1007-02628-48-1")</f>
        <v>1-1007-02628-48-1</v>
      </c>
      <c r="U1120" t="str">
        <f>IFERROR(__xludf.DUMMYFUNCTION("""COMPUTED_VALUE"""),"AD1170890")</f>
        <v>AD1170890</v>
      </c>
      <c r="V1120" s="148">
        <f>IFERROR(__xludf.DUMMYFUNCTION("""COMPUTED_VALUE"""),45204.0)</f>
        <v>45204</v>
      </c>
      <c r="W1120" s="148">
        <f>IFERROR(__xludf.DUMMYFUNCTION("""COMPUTED_VALUE"""),48856.0)</f>
        <v>48856</v>
      </c>
      <c r="X1120" s="149">
        <f>IFERROR(__xludf.DUMMYFUNCTION("""COMPUTED_VALUE"""),48673.0)</f>
        <v>48673</v>
      </c>
      <c r="Y1120" t="str">
        <f>IFERROR(__xludf.DUMMYFUNCTION("""COMPUTED_VALUE"""),"ปลอดภัย")</f>
        <v>ปลอดภัย</v>
      </c>
      <c r="Z1120" t="str">
        <f>IFERROR(__xludf.DUMMYFUNCTION("""COMPUTED_VALUE"""),"Bangkok")</f>
        <v>Bangkok</v>
      </c>
      <c r="AA1120" s="145" t="str">
        <f>IFERROR(__xludf.DUMMYFUNCTION("""COMPUTED_VALUE"""),"Bangkok")</f>
        <v>Bangkok</v>
      </c>
      <c r="AB1120" s="145" t="str">
        <f>IFERROR(__xludf.DUMMYFUNCTION("""COMPUTED_VALUE"""),"081-809-0228")</f>
        <v>081-809-0228</v>
      </c>
      <c r="AC1120" s="145" t="str">
        <f>IFERROR(__xludf.DUMMYFUNCTION("""COMPUTED_VALUE"""),"นายกัณฐัศว์ วุ่นทางบุญ Father")</f>
        <v>นายกัณฐัศว์ วุ่นทางบุญ Father</v>
      </c>
      <c r="AD1120" t="str">
        <f>IFERROR(__xludf.DUMMYFUNCTION("""COMPUTED_VALUE"""),"sherlynpolmethakull@airasia.com")</f>
        <v>sherlynpolmethakull@airasia.com</v>
      </c>
    </row>
    <row r="1121">
      <c r="A1121" s="142">
        <f>IFERROR(__xludf.DUMMYFUNCTION("""COMPUTED_VALUE"""),105.0)</f>
        <v>105</v>
      </c>
      <c r="C1121">
        <f>IFERROR(__xludf.DUMMYFUNCTION("""COMPUTED_VALUE"""),1040337.0)</f>
        <v>1040337</v>
      </c>
      <c r="D1121" t="str">
        <f>IFERROR(__xludf.DUMMYFUNCTION("""COMPUTED_VALUE"""),"Ms.")</f>
        <v>Ms.</v>
      </c>
      <c r="E1121" t="str">
        <f>IFERROR(__xludf.DUMMYFUNCTION("""COMPUTED_VALUE"""),"Monthicha")</f>
        <v>Monthicha</v>
      </c>
      <c r="F1121" t="str">
        <f>IFERROR(__xludf.DUMMYFUNCTION("""COMPUTED_VALUE"""),"Roschan")</f>
        <v>Roschan</v>
      </c>
      <c r="G1121" t="str">
        <f>IFERROR(__xludf.DUMMYFUNCTION("""COMPUTED_VALUE"""),"Monthicha Roschan")</f>
        <v>Monthicha Roschan</v>
      </c>
      <c r="H1121" t="str">
        <f>IFERROR(__xludf.DUMMYFUNCTION("""COMPUTED_VALUE"""),"นางสาว")</f>
        <v>นางสาว</v>
      </c>
      <c r="I1121" t="str">
        <f>IFERROR(__xludf.DUMMYFUNCTION("""COMPUTED_VALUE"""),"มณฑิชา")</f>
        <v>มณฑิชา</v>
      </c>
      <c r="J1121" t="str">
        <f>IFERROR(__xludf.DUMMYFUNCTION("""COMPUTED_VALUE"""),"รสจันทน์")</f>
        <v>รสจันทน์</v>
      </c>
      <c r="K1121" t="str">
        <f>IFERROR(__xludf.DUMMYFUNCTION("""COMPUTED_VALUE"""),"มณฑิชา รสจันทน์")</f>
        <v>มณฑิชา รสจันทน์</v>
      </c>
      <c r="L1121" s="145" t="str">
        <f>IFERROR(__xludf.DUMMYFUNCTION("""COMPUTED_VALUE"""),"Gift / กิ๊ฟ")</f>
        <v>Gift / กิ๊ฟ</v>
      </c>
      <c r="M1121" t="str">
        <f>IFERROR(__xludf.DUMMYFUNCTION("""COMPUTED_VALUE"""),"Cabin Crew")</f>
        <v>Cabin Crew</v>
      </c>
      <c r="N1121" t="str">
        <f>IFERROR(__xludf.DUMMYFUNCTION("""COMPUTED_VALUE"""),"DMK")</f>
        <v>DMK</v>
      </c>
      <c r="O1121" s="145" t="str">
        <f>IFERROR(__xludf.DUMMYFUNCTION("""COMPUTED_VALUE"""),"Namfon Home")</f>
        <v>Namfon Home</v>
      </c>
      <c r="P1121" t="str">
        <f>IFERROR(__xludf.DUMMYFUNCTION("""COMPUTED_VALUE"""),"Active")</f>
        <v>Active</v>
      </c>
      <c r="R1121" s="162">
        <f>IFERROR(__xludf.DUMMYFUNCTION("""COMPUTED_VALUE"""),36923.0)</f>
        <v>36923</v>
      </c>
      <c r="S1121" s="146" t="str">
        <f>IFERROR(__xludf.DUMMYFUNCTION("""COMPUTED_VALUE"""),"085 131 8442")</f>
        <v>085 131 8442</v>
      </c>
      <c r="T1121" s="147" t="str">
        <f>IFERROR(__xludf.DUMMYFUNCTION("""COMPUTED_VALUE"""),"1-1037-03186-36-1")</f>
        <v>1-1037-03186-36-1</v>
      </c>
      <c r="U1121" t="str">
        <f>IFERROR(__xludf.DUMMYFUNCTION("""COMPUTED_VALUE"""),"AC5444008")</f>
        <v>AC5444008</v>
      </c>
      <c r="V1121" s="148">
        <f>IFERROR(__xludf.DUMMYFUNCTION("""COMPUTED_VALUE"""),45133.0)</f>
        <v>45133</v>
      </c>
      <c r="W1121" s="148">
        <f>IFERROR(__xludf.DUMMYFUNCTION("""COMPUTED_VALUE"""),48785.0)</f>
        <v>48785</v>
      </c>
      <c r="X1121" s="149">
        <f>IFERROR(__xludf.DUMMYFUNCTION("""COMPUTED_VALUE"""),48604.0)</f>
        <v>48604</v>
      </c>
      <c r="Y1121" t="str">
        <f>IFERROR(__xludf.DUMMYFUNCTION("""COMPUTED_VALUE"""),"ปลอดภัย")</f>
        <v>ปลอดภัย</v>
      </c>
      <c r="Z1121" t="str">
        <f>IFERROR(__xludf.DUMMYFUNCTION("""COMPUTED_VALUE"""),"Bangkok")</f>
        <v>Bangkok</v>
      </c>
      <c r="AA1121" s="145" t="str">
        <f>IFERROR(__xludf.DUMMYFUNCTION("""COMPUTED_VALUE"""),"Bangkok")</f>
        <v>Bangkok</v>
      </c>
      <c r="AB1121" s="145" t="str">
        <f>IFERROR(__xludf.DUMMYFUNCTION("""COMPUTED_VALUE"""),"0909267943")</f>
        <v>0909267943</v>
      </c>
      <c r="AC1121" s="145" t="str">
        <f>IFERROR(__xludf.DUMMYFUNCTION("""COMPUTED_VALUE"""),"นายมงคลรัฐ รสจันทน์ Brother")</f>
        <v>นายมงคลรัฐ รสจันทน์ Brother</v>
      </c>
      <c r="AD1121" t="str">
        <f>IFERROR(__xludf.DUMMYFUNCTION("""COMPUTED_VALUE"""),"monthicharoschan@airasia.com")</f>
        <v>monthicharoschan@airasia.com</v>
      </c>
    </row>
    <row r="1122">
      <c r="A1122" s="142">
        <f>IFERROR(__xludf.DUMMYFUNCTION("""COMPUTED_VALUE"""),105.0)</f>
        <v>105</v>
      </c>
      <c r="C1122">
        <f>IFERROR(__xludf.DUMMYFUNCTION("""COMPUTED_VALUE"""),1040359.0)</f>
        <v>1040359</v>
      </c>
      <c r="D1122" t="str">
        <f>IFERROR(__xludf.DUMMYFUNCTION("""COMPUTED_VALUE"""),"Ms.")</f>
        <v>Ms.</v>
      </c>
      <c r="E1122" t="str">
        <f>IFERROR(__xludf.DUMMYFUNCTION("""COMPUTED_VALUE"""),"Naphaphon")</f>
        <v>Naphaphon</v>
      </c>
      <c r="F1122" t="str">
        <f>IFERROR(__xludf.DUMMYFUNCTION("""COMPUTED_VALUE"""),"Khakham")</f>
        <v>Khakham</v>
      </c>
      <c r="G1122" t="str">
        <f>IFERROR(__xludf.DUMMYFUNCTION("""COMPUTED_VALUE"""),"Naphaphon Khakham")</f>
        <v>Naphaphon Khakham</v>
      </c>
      <c r="H1122" t="str">
        <f>IFERROR(__xludf.DUMMYFUNCTION("""COMPUTED_VALUE"""),"นางสาว")</f>
        <v>นางสาว</v>
      </c>
      <c r="I1122" t="str">
        <f>IFERROR(__xludf.DUMMYFUNCTION("""COMPUTED_VALUE"""),"นภาพร")</f>
        <v>นภาพร</v>
      </c>
      <c r="J1122" t="str">
        <f>IFERROR(__xludf.DUMMYFUNCTION("""COMPUTED_VALUE"""),"ค่าคาม")</f>
        <v>ค่าคาม</v>
      </c>
      <c r="K1122" t="str">
        <f>IFERROR(__xludf.DUMMYFUNCTION("""COMPUTED_VALUE"""),"นภาพร ค่าคาม")</f>
        <v>นภาพร ค่าคาม</v>
      </c>
      <c r="L1122" s="145" t="str">
        <f>IFERROR(__xludf.DUMMYFUNCTION("""COMPUTED_VALUE"""),"จีจี้")</f>
        <v>จีจี้</v>
      </c>
      <c r="M1122" t="str">
        <f>IFERROR(__xludf.DUMMYFUNCTION("""COMPUTED_VALUE"""),"Cabin Crew - CNX")</f>
        <v>Cabin Crew - CNX</v>
      </c>
      <c r="N1122" t="str">
        <f>IFERROR(__xludf.DUMMYFUNCTION("""COMPUTED_VALUE"""),"CNX")</f>
        <v>CNX</v>
      </c>
      <c r="O1122" s="145" t="str">
        <f>IFERROR(__xludf.DUMMYFUNCTION("""COMPUTED_VALUE"""),"Up Home")</f>
        <v>Up Home</v>
      </c>
      <c r="P1122" t="str">
        <f>IFERROR(__xludf.DUMMYFUNCTION("""COMPUTED_VALUE"""),"Active")</f>
        <v>Active</v>
      </c>
      <c r="R1122" s="162">
        <f>IFERROR(__xludf.DUMMYFUNCTION("""COMPUTED_VALUE"""),36548.0)</f>
        <v>36548</v>
      </c>
      <c r="S1122" s="146" t="str">
        <f>IFERROR(__xludf.DUMMYFUNCTION("""COMPUTED_VALUE"""),"095 686 1218")</f>
        <v>095 686 1218</v>
      </c>
      <c r="T1122" s="147" t="str">
        <f>IFERROR(__xludf.DUMMYFUNCTION("""COMPUTED_VALUE"""),"1-5599-00380-02-2")</f>
        <v>1-5599-00380-02-2</v>
      </c>
      <c r="U1122" t="str">
        <f>IFERROR(__xludf.DUMMYFUNCTION("""COMPUTED_VALUE"""),"AC3383657")</f>
        <v>AC3383657</v>
      </c>
      <c r="V1122" s="148">
        <f>IFERROR(__xludf.DUMMYFUNCTION("""COMPUTED_VALUE"""),44727.0)</f>
        <v>44727</v>
      </c>
      <c r="W1122" s="148">
        <f>IFERROR(__xludf.DUMMYFUNCTION("""COMPUTED_VALUE"""),48379.0)</f>
        <v>48379</v>
      </c>
      <c r="X1122" s="149">
        <f>IFERROR(__xludf.DUMMYFUNCTION("""COMPUTED_VALUE"""),48196.0)</f>
        <v>48196</v>
      </c>
      <c r="Y1122" t="str">
        <f>IFERROR(__xludf.DUMMYFUNCTION("""COMPUTED_VALUE"""),"ปลอดภัย")</f>
        <v>ปลอดภัย</v>
      </c>
      <c r="Z1122" t="str">
        <f>IFERROR(__xludf.DUMMYFUNCTION("""COMPUTED_VALUE"""),"Nan Province")</f>
        <v>Nan Province</v>
      </c>
      <c r="AA1122" s="145" t="str">
        <f>IFERROR(__xludf.DUMMYFUNCTION("""COMPUTED_VALUE"""),"Nan")</f>
        <v>Nan</v>
      </c>
      <c r="AB1122" s="145" t="str">
        <f>IFERROR(__xludf.DUMMYFUNCTION("""COMPUTED_VALUE"""),"0644915199")</f>
        <v>0644915199</v>
      </c>
      <c r="AC1122" s="145" t="str">
        <f>IFERROR(__xludf.DUMMYFUNCTION("""COMPUTED_VALUE"""),"นายนิพิฐพนธ์ สุวรรณ์ Husband")</f>
        <v>นายนิพิฐพนธ์ สุวรรณ์ Husband</v>
      </c>
      <c r="AD1122" t="str">
        <f>IFERROR(__xludf.DUMMYFUNCTION("""COMPUTED_VALUE"""),"naphaphonkhakham@airasia.com")</f>
        <v>naphaphonkhakham@airasia.com</v>
      </c>
    </row>
    <row r="1123">
      <c r="A1123" s="142">
        <f>IFERROR(__xludf.DUMMYFUNCTION("""COMPUTED_VALUE"""),105.0)</f>
        <v>105</v>
      </c>
      <c r="C1123">
        <f>IFERROR(__xludf.DUMMYFUNCTION("""COMPUTED_VALUE"""),1040339.0)</f>
        <v>1040339</v>
      </c>
      <c r="D1123" t="str">
        <f>IFERROR(__xludf.DUMMYFUNCTION("""COMPUTED_VALUE"""),"Ms.")</f>
        <v>Ms.</v>
      </c>
      <c r="E1123" t="str">
        <f>IFERROR(__xludf.DUMMYFUNCTION("""COMPUTED_VALUE"""),"Nutthanita")</f>
        <v>Nutthanita</v>
      </c>
      <c r="F1123" t="str">
        <f>IFERROR(__xludf.DUMMYFUNCTION("""COMPUTED_VALUE"""),"Akarapasit")</f>
        <v>Akarapasit</v>
      </c>
      <c r="G1123" t="str">
        <f>IFERROR(__xludf.DUMMYFUNCTION("""COMPUTED_VALUE"""),"Nutthanita Akarapasit")</f>
        <v>Nutthanita Akarapasit</v>
      </c>
      <c r="H1123" t="str">
        <f>IFERROR(__xludf.DUMMYFUNCTION("""COMPUTED_VALUE"""),"นางสาว")</f>
        <v>นางสาว</v>
      </c>
      <c r="I1123" t="str">
        <f>IFERROR(__xludf.DUMMYFUNCTION("""COMPUTED_VALUE"""),"ณัฐฐานิตา")</f>
        <v>ณัฐฐานิตา</v>
      </c>
      <c r="J1123" t="str">
        <f>IFERROR(__xludf.DUMMYFUNCTION("""COMPUTED_VALUE"""),"อัครพสิษฐ์")</f>
        <v>อัครพสิษฐ์</v>
      </c>
      <c r="K1123" t="str">
        <f>IFERROR(__xludf.DUMMYFUNCTION("""COMPUTED_VALUE"""),"ณัฐฐานิตา อัครพสิษฐ์")</f>
        <v>ณัฐฐานิตา อัครพสิษฐ์</v>
      </c>
      <c r="L1123" s="145" t="str">
        <f>IFERROR(__xludf.DUMMYFUNCTION("""COMPUTED_VALUE"""),"แก้ม")</f>
        <v>แก้ม</v>
      </c>
      <c r="M1123" t="str">
        <f>IFERROR(__xludf.DUMMYFUNCTION("""COMPUTED_VALUE"""),"Cabin Crew")</f>
        <v>Cabin Crew</v>
      </c>
      <c r="N1123" t="str">
        <f>IFERROR(__xludf.DUMMYFUNCTION("""COMPUTED_VALUE"""),"DMK")</f>
        <v>DMK</v>
      </c>
      <c r="O1123" s="145" t="str">
        <f>IFERROR(__xludf.DUMMYFUNCTION("""COMPUTED_VALUE"""),"Toffy Home")</f>
        <v>Toffy Home</v>
      </c>
      <c r="P1123" t="str">
        <f>IFERROR(__xludf.DUMMYFUNCTION("""COMPUTED_VALUE"""),"V/LWP")</f>
        <v>V/LWP</v>
      </c>
      <c r="R1123" s="162">
        <f>IFERROR(__xludf.DUMMYFUNCTION("""COMPUTED_VALUE"""),35664.0)</f>
        <v>35664</v>
      </c>
      <c r="S1123" s="146" t="str">
        <f>IFERROR(__xludf.DUMMYFUNCTION("""COMPUTED_VALUE"""),"083 2655991")</f>
        <v>083 2655991</v>
      </c>
      <c r="T1123" s="147" t="str">
        <f>IFERROR(__xludf.DUMMYFUNCTION("""COMPUTED_VALUE"""),"2-3099-01056-05-9")</f>
        <v>2-3099-01056-05-9</v>
      </c>
      <c r="U1123" t="str">
        <f>IFERROR(__xludf.DUMMYFUNCTION("""COMPUTED_VALUE"""),"AC5888794")</f>
        <v>AC5888794</v>
      </c>
      <c r="V1123" s="148">
        <f>IFERROR(__xludf.DUMMYFUNCTION("""COMPUTED_VALUE"""),45217.0)</f>
        <v>45217</v>
      </c>
      <c r="W1123" s="148">
        <f>IFERROR(__xludf.DUMMYFUNCTION("""COMPUTED_VALUE"""),47043.0)</f>
        <v>47043</v>
      </c>
      <c r="X1123" s="149">
        <f>IFERROR(__xludf.DUMMYFUNCTION("""COMPUTED_VALUE"""),46860.0)</f>
        <v>46860</v>
      </c>
      <c r="Y1123" t="str">
        <f>IFERROR(__xludf.DUMMYFUNCTION("""COMPUTED_VALUE"""),"ปลอดภัย")</f>
        <v>ปลอดภัย</v>
      </c>
      <c r="Z1123" t="str">
        <f>IFERROR(__xludf.DUMMYFUNCTION("""COMPUTED_VALUE"""),"Nakhon Ratchasima Province")</f>
        <v>Nakhon Ratchasima Province</v>
      </c>
      <c r="AA1123" s="145" t="str">
        <f>IFERROR(__xludf.DUMMYFUNCTION("""COMPUTED_VALUE"""),"nakhon ratchasima")</f>
        <v>nakhon ratchasima</v>
      </c>
      <c r="AB1123" s="145" t="str">
        <f>IFERROR(__xludf.DUMMYFUNCTION("""COMPUTED_VALUE"""),"0832265463")</f>
        <v>0832265463</v>
      </c>
      <c r="AC1123" s="145" t="str">
        <f>IFERROR(__xludf.DUMMYFUNCTION("""COMPUTED_VALUE"""),"นางสาวปรียาวัลย์ มหาชานนท์ Mother")</f>
        <v>นางสาวปรียาวัลย์ มหาชานนท์ Mother</v>
      </c>
      <c r="AD1123" t="str">
        <f>IFERROR(__xludf.DUMMYFUNCTION("""COMPUTED_VALUE"""),"nutthanitaakarapasit@airasia.com")</f>
        <v>nutthanitaakarapasit@airasia.com</v>
      </c>
    </row>
    <row r="1124">
      <c r="A1124" s="142">
        <f>IFERROR(__xludf.DUMMYFUNCTION("""COMPUTED_VALUE"""),105.0)</f>
        <v>105</v>
      </c>
      <c r="C1124">
        <f>IFERROR(__xludf.DUMMYFUNCTION("""COMPUTED_VALUE"""),1040336.0)</f>
        <v>1040336</v>
      </c>
      <c r="D1124" t="str">
        <f>IFERROR(__xludf.DUMMYFUNCTION("""COMPUTED_VALUE"""),"Ms.")</f>
        <v>Ms.</v>
      </c>
      <c r="E1124" t="str">
        <f>IFERROR(__xludf.DUMMYFUNCTION("""COMPUTED_VALUE"""),"Patcharapan")</f>
        <v>Patcharapan</v>
      </c>
      <c r="F1124" t="str">
        <f>IFERROR(__xludf.DUMMYFUNCTION("""COMPUTED_VALUE"""),"Suwanmanee")</f>
        <v>Suwanmanee</v>
      </c>
      <c r="G1124" t="str">
        <f>IFERROR(__xludf.DUMMYFUNCTION("""COMPUTED_VALUE"""),"Patcharapan Suwanmanee")</f>
        <v>Patcharapan Suwanmanee</v>
      </c>
      <c r="H1124" t="str">
        <f>IFERROR(__xludf.DUMMYFUNCTION("""COMPUTED_VALUE"""),"นางสาว")</f>
        <v>นางสาว</v>
      </c>
      <c r="I1124" t="str">
        <f>IFERROR(__xludf.DUMMYFUNCTION("""COMPUTED_VALUE"""),"พัชราพรรณ")</f>
        <v>พัชราพรรณ</v>
      </c>
      <c r="J1124" t="str">
        <f>IFERROR(__xludf.DUMMYFUNCTION("""COMPUTED_VALUE"""),"สุวรรณมณี")</f>
        <v>สุวรรณมณี</v>
      </c>
      <c r="K1124" t="str">
        <f>IFERROR(__xludf.DUMMYFUNCTION("""COMPUTED_VALUE"""),"พัชราพรรณ สุวรรณมณี")</f>
        <v>พัชราพรรณ สุวรรณมณี</v>
      </c>
      <c r="L1124" s="145" t="str">
        <f>IFERROR(__xludf.DUMMYFUNCTION("""COMPUTED_VALUE"""),"Noon / นุ่น")</f>
        <v>Noon / นุ่น</v>
      </c>
      <c r="M1124" t="str">
        <f>IFERROR(__xludf.DUMMYFUNCTION("""COMPUTED_VALUE"""),"Cabin Crew")</f>
        <v>Cabin Crew</v>
      </c>
      <c r="N1124" t="str">
        <f>IFERROR(__xludf.DUMMYFUNCTION("""COMPUTED_VALUE"""),"DMK")</f>
        <v>DMK</v>
      </c>
      <c r="O1124" s="145" t="str">
        <f>IFERROR(__xludf.DUMMYFUNCTION("""COMPUTED_VALUE"""),"Um Home")</f>
        <v>Um Home</v>
      </c>
      <c r="P1124" t="str">
        <f>IFERROR(__xludf.DUMMYFUNCTION("""COMPUTED_VALUE"""),"V/LWP")</f>
        <v>V/LWP</v>
      </c>
      <c r="R1124" s="162">
        <f>IFERROR(__xludf.DUMMYFUNCTION("""COMPUTED_VALUE"""),35240.0)</f>
        <v>35240</v>
      </c>
      <c r="S1124" s="146" t="str">
        <f>IFERROR(__xludf.DUMMYFUNCTION("""COMPUTED_VALUE"""),"084 246 4926")</f>
        <v>084 246 4926</v>
      </c>
      <c r="T1124" s="147" t="str">
        <f>IFERROR(__xludf.DUMMYFUNCTION("""COMPUTED_VALUE"""),"1-9098-01055-88-0")</f>
        <v>1-9098-01055-88-0</v>
      </c>
      <c r="U1124" t="str">
        <f>IFERROR(__xludf.DUMMYFUNCTION("""COMPUTED_VALUE"""),"AC4208985")</f>
        <v>AC4208985</v>
      </c>
      <c r="V1124" s="148">
        <f>IFERROR(__xludf.DUMMYFUNCTION("""COMPUTED_VALUE"""),44890.0)</f>
        <v>44890</v>
      </c>
      <c r="W1124" s="148">
        <f>IFERROR(__xludf.DUMMYFUNCTION("""COMPUTED_VALUE"""),48542.0)</f>
        <v>48542</v>
      </c>
      <c r="X1124" s="149">
        <f>IFERROR(__xludf.DUMMYFUNCTION("""COMPUTED_VALUE"""),48358.0)</f>
        <v>48358</v>
      </c>
      <c r="Y1124" t="str">
        <f>IFERROR(__xludf.DUMMYFUNCTION("""COMPUTED_VALUE"""),"ปลอดภัย")</f>
        <v>ปลอดภัย</v>
      </c>
      <c r="Z1124" t="str">
        <f>IFERROR(__xludf.DUMMYFUNCTION("""COMPUTED_VALUE"""),"Songkhla Province")</f>
        <v>Songkhla Province</v>
      </c>
      <c r="AA1124" s="145" t="str">
        <f>IFERROR(__xludf.DUMMYFUNCTION("""COMPUTED_VALUE"""),"Songkra")</f>
        <v>Songkra</v>
      </c>
      <c r="AB1124" s="145" t="str">
        <f>IFERROR(__xludf.DUMMYFUNCTION("""COMPUTED_VALUE"""),"061-465-0666")</f>
        <v>061-465-0666</v>
      </c>
      <c r="AC1124" s="145" t="str">
        <f>IFERROR(__xludf.DUMMYFUNCTION("""COMPUTED_VALUE"""),"นางสาวทิพย์สุคนธ์ สุวรรณมณี Sister")</f>
        <v>นางสาวทิพย์สุคนธ์ สุวรรณมณี Sister</v>
      </c>
      <c r="AD1124" t="str">
        <f>IFERROR(__xludf.DUMMYFUNCTION("""COMPUTED_VALUE"""),"patcharapansuwanman@airasia.com")</f>
        <v>patcharapansuwanman@airasia.com</v>
      </c>
    </row>
    <row r="1125">
      <c r="A1125" s="142">
        <f>IFERROR(__xludf.DUMMYFUNCTION("""COMPUTED_VALUE"""),105.0)</f>
        <v>105</v>
      </c>
      <c r="C1125">
        <f>IFERROR(__xludf.DUMMYFUNCTION("""COMPUTED_VALUE"""),1040338.0)</f>
        <v>1040338</v>
      </c>
      <c r="D1125" t="str">
        <f>IFERROR(__xludf.DUMMYFUNCTION("""COMPUTED_VALUE"""),"Ms.")</f>
        <v>Ms.</v>
      </c>
      <c r="E1125" t="str">
        <f>IFERROR(__xludf.DUMMYFUNCTION("""COMPUTED_VALUE"""),"Piyakorn")</f>
        <v>Piyakorn</v>
      </c>
      <c r="F1125" t="str">
        <f>IFERROR(__xludf.DUMMYFUNCTION("""COMPUTED_VALUE"""),"Sripraphan")</f>
        <v>Sripraphan</v>
      </c>
      <c r="G1125" t="str">
        <f>IFERROR(__xludf.DUMMYFUNCTION("""COMPUTED_VALUE"""),"Piyakorn Sripraphan")</f>
        <v>Piyakorn Sripraphan</v>
      </c>
      <c r="H1125" t="str">
        <f>IFERROR(__xludf.DUMMYFUNCTION("""COMPUTED_VALUE"""),"นางสาว")</f>
        <v>นางสาว</v>
      </c>
      <c r="I1125" t="str">
        <f>IFERROR(__xludf.DUMMYFUNCTION("""COMPUTED_VALUE"""),"ปิยากร")</f>
        <v>ปิยากร</v>
      </c>
      <c r="J1125" t="str">
        <f>IFERROR(__xludf.DUMMYFUNCTION("""COMPUTED_VALUE"""),"ศรีประพันธ์")</f>
        <v>ศรีประพันธ์</v>
      </c>
      <c r="K1125" t="str">
        <f>IFERROR(__xludf.DUMMYFUNCTION("""COMPUTED_VALUE"""),"ปิยากร ศรีประพันธ์")</f>
        <v>ปิยากร ศรีประพันธ์</v>
      </c>
      <c r="L1125" s="145" t="str">
        <f>IFERROR(__xludf.DUMMYFUNCTION("""COMPUTED_VALUE"""),"Knew / นิว")</f>
        <v>Knew / นิว</v>
      </c>
      <c r="M1125" t="str">
        <f>IFERROR(__xludf.DUMMYFUNCTION("""COMPUTED_VALUE"""),"Cabin Crew")</f>
        <v>Cabin Crew</v>
      </c>
      <c r="N1125" t="str">
        <f>IFERROR(__xludf.DUMMYFUNCTION("""COMPUTED_VALUE"""),"DMK")</f>
        <v>DMK</v>
      </c>
      <c r="O1125" s="145" t="str">
        <f>IFERROR(__xludf.DUMMYFUNCTION("""COMPUTED_VALUE"""),"Kor Home")</f>
        <v>Kor Home</v>
      </c>
      <c r="P1125" t="str">
        <f>IFERROR(__xludf.DUMMYFUNCTION("""COMPUTED_VALUE"""),"V/LWP")</f>
        <v>V/LWP</v>
      </c>
      <c r="R1125" s="143">
        <f>IFERROR(__xludf.DUMMYFUNCTION("""COMPUTED_VALUE"""),37022.0)</f>
        <v>37022</v>
      </c>
      <c r="S1125" s="146" t="str">
        <f>IFERROR(__xludf.DUMMYFUNCTION("""COMPUTED_VALUE"""),"062 921 5755")</f>
        <v>062 921 5755</v>
      </c>
      <c r="T1125" s="147" t="str">
        <f>IFERROR(__xludf.DUMMYFUNCTION("""COMPUTED_VALUE"""),"1-1008-01392-54-1")</f>
        <v>1-1008-01392-54-1</v>
      </c>
      <c r="U1125" t="str">
        <f>IFERROR(__xludf.DUMMYFUNCTION("""COMPUTED_VALUE"""),"AC5270457")</f>
        <v>AC5270457</v>
      </c>
      <c r="V1125" s="148">
        <f>IFERROR(__xludf.DUMMYFUNCTION("""COMPUTED_VALUE"""),45114.0)</f>
        <v>45114</v>
      </c>
      <c r="W1125" s="148">
        <f>IFERROR(__xludf.DUMMYFUNCTION("""COMPUTED_VALUE"""),46940.0)</f>
        <v>46940</v>
      </c>
      <c r="X1125" s="149">
        <f>IFERROR(__xludf.DUMMYFUNCTION("""COMPUTED_VALUE"""),46758.0)</f>
        <v>46758</v>
      </c>
      <c r="Y1125" t="str">
        <f>IFERROR(__xludf.DUMMYFUNCTION("""COMPUTED_VALUE"""),"ปลอดภัย")</f>
        <v>ปลอดภัย</v>
      </c>
      <c r="Z1125" t="str">
        <f>IFERROR(__xludf.DUMMYFUNCTION("""COMPUTED_VALUE"""),"Bangkok")</f>
        <v>Bangkok</v>
      </c>
      <c r="AA1125" s="145" t="str">
        <f>IFERROR(__xludf.DUMMYFUNCTION("""COMPUTED_VALUE"""),"Bangkok")</f>
        <v>Bangkok</v>
      </c>
      <c r="AB1125" s="145" t="str">
        <f>IFERROR(__xludf.DUMMYFUNCTION("""COMPUTED_VALUE"""),"086-539-3996")</f>
        <v>086-539-3996</v>
      </c>
      <c r="AC1125" s="145" t="str">
        <f>IFERROR(__xludf.DUMMYFUNCTION("""COMPUTED_VALUE"""),"นางมุกดาวรรณ ศรีประพันธ์ Mother")</f>
        <v>นางมุกดาวรรณ ศรีประพันธ์ Mother</v>
      </c>
      <c r="AD1125" t="str">
        <f>IFERROR(__xludf.DUMMYFUNCTION("""COMPUTED_VALUE"""),"piyakornsripraphan@airasia.com")</f>
        <v>piyakornsripraphan@airasia.com</v>
      </c>
    </row>
    <row r="1126">
      <c r="A1126" s="142">
        <f>IFERROR(__xludf.DUMMYFUNCTION("""COMPUTED_VALUE"""),105.0)</f>
        <v>105</v>
      </c>
      <c r="C1126">
        <f>IFERROR(__xludf.DUMMYFUNCTION("""COMPUTED_VALUE"""),1040344.0)</f>
        <v>1040344</v>
      </c>
      <c r="D1126" t="str">
        <f>IFERROR(__xludf.DUMMYFUNCTION("""COMPUTED_VALUE"""),"Ms.")</f>
        <v>Ms.</v>
      </c>
      <c r="E1126" t="str">
        <f>IFERROR(__xludf.DUMMYFUNCTION("""COMPUTED_VALUE"""),"Rinlaphat")</f>
        <v>Rinlaphat</v>
      </c>
      <c r="F1126" t="str">
        <f>IFERROR(__xludf.DUMMYFUNCTION("""COMPUTED_VALUE"""),"Wattanadechrojkul")</f>
        <v>Wattanadechrojkul</v>
      </c>
      <c r="G1126" t="str">
        <f>IFERROR(__xludf.DUMMYFUNCTION("""COMPUTED_VALUE"""),"Rinlaphat Wattanadechrojkul")</f>
        <v>Rinlaphat Wattanadechrojkul</v>
      </c>
      <c r="H1126" t="str">
        <f>IFERROR(__xludf.DUMMYFUNCTION("""COMPUTED_VALUE"""),"นางสาว")</f>
        <v>นางสาว</v>
      </c>
      <c r="I1126" t="str">
        <f>IFERROR(__xludf.DUMMYFUNCTION("""COMPUTED_VALUE"""),"รินทร์ลภัส")</f>
        <v>รินทร์ลภัส</v>
      </c>
      <c r="J1126" t="str">
        <f>IFERROR(__xludf.DUMMYFUNCTION("""COMPUTED_VALUE"""),"วัฒนเดชโรจน์กุล")</f>
        <v>วัฒนเดชโรจน์กุล</v>
      </c>
      <c r="K1126" t="str">
        <f>IFERROR(__xludf.DUMMYFUNCTION("""COMPUTED_VALUE"""),"รินทร์ลภัส วัฒนเดชโรจน์กุล")</f>
        <v>รินทร์ลภัส วัฒนเดชโรจน์กุล</v>
      </c>
      <c r="L1126" s="145" t="str">
        <f>IFERROR(__xludf.DUMMYFUNCTION("""COMPUTED_VALUE"""),"Enjoy/ เอ็นจอย")</f>
        <v>Enjoy/ เอ็นจอย</v>
      </c>
      <c r="M1126" t="str">
        <f>IFERROR(__xludf.DUMMYFUNCTION("""COMPUTED_VALUE"""),"Cabin Crew - HKT")</f>
        <v>Cabin Crew - HKT</v>
      </c>
      <c r="N1126" t="str">
        <f>IFERROR(__xludf.DUMMYFUNCTION("""COMPUTED_VALUE"""),"HKT")</f>
        <v>HKT</v>
      </c>
      <c r="O1126" s="145" t="str">
        <f>IFERROR(__xludf.DUMMYFUNCTION("""COMPUTED_VALUE"""),"Kor Home")</f>
        <v>Kor Home</v>
      </c>
      <c r="P1126" t="str">
        <f>IFERROR(__xludf.DUMMYFUNCTION("""COMPUTED_VALUE"""),"Active")</f>
        <v>Active</v>
      </c>
      <c r="R1126" s="162">
        <f>IFERROR(__xludf.DUMMYFUNCTION("""COMPUTED_VALUE"""),36839.0)</f>
        <v>36839</v>
      </c>
      <c r="S1126" s="146" t="str">
        <f>IFERROR(__xludf.DUMMYFUNCTION("""COMPUTED_VALUE"""),"093 678 2319")</f>
        <v>093 678 2319</v>
      </c>
      <c r="T1126" s="147" t="str">
        <f>IFERROR(__xludf.DUMMYFUNCTION("""COMPUTED_VALUE"""),"1-8205-01190-54-7")</f>
        <v>1-8205-01190-54-7</v>
      </c>
      <c r="U1126" t="str">
        <f>IFERROR(__xludf.DUMMYFUNCTION("""COMPUTED_VALUE"""),"AD0970806")</f>
        <v>AD0970806</v>
      </c>
      <c r="V1126" s="148">
        <f>IFERROR(__xludf.DUMMYFUNCTION("""COMPUTED_VALUE"""),45038.0)</f>
        <v>45038</v>
      </c>
      <c r="W1126" s="148">
        <f>IFERROR(__xludf.DUMMYFUNCTION("""COMPUTED_VALUE"""),48690.0)</f>
        <v>48690</v>
      </c>
      <c r="X1126" s="149">
        <f>IFERROR(__xludf.DUMMYFUNCTION("""COMPUTED_VALUE"""),48508.0)</f>
        <v>48508</v>
      </c>
      <c r="Y1126" t="str">
        <f>IFERROR(__xludf.DUMMYFUNCTION("""COMPUTED_VALUE"""),"ปลอดภัย")</f>
        <v>ปลอดภัย</v>
      </c>
      <c r="Z1126" t="str">
        <f>IFERROR(__xludf.DUMMYFUNCTION("""COMPUTED_VALUE"""),"Phang Nga Province")</f>
        <v>Phang Nga Province</v>
      </c>
      <c r="AA1126" s="145" t="str">
        <f>IFERROR(__xludf.DUMMYFUNCTION("""COMPUTED_VALUE"""),"Phangnga")</f>
        <v>Phangnga</v>
      </c>
      <c r="AB1126" s="145" t="str">
        <f>IFERROR(__xludf.DUMMYFUNCTION("""COMPUTED_VALUE"""),"0616902179")</f>
        <v>0616902179</v>
      </c>
      <c r="AC1126" s="145" t="str">
        <f>IFERROR(__xludf.DUMMYFUNCTION("""COMPUTED_VALUE"""),"นายพีระวัฒน์ พวงทอง Friend")</f>
        <v>นายพีระวัฒน์ พวงทอง Friend</v>
      </c>
      <c r="AD1126" t="str">
        <f>IFERROR(__xludf.DUMMYFUNCTION("""COMPUTED_VALUE"""),"rinlaphatwattanadec@airasia.com")</f>
        <v>rinlaphatwattanadec@airasia.com</v>
      </c>
    </row>
    <row r="1127">
      <c r="A1127" s="142">
        <f>IFERROR(__xludf.DUMMYFUNCTION("""COMPUTED_VALUE"""),105.0)</f>
        <v>105</v>
      </c>
      <c r="C1127">
        <f>IFERROR(__xludf.DUMMYFUNCTION("""COMPUTED_VALUE"""),1040334.0)</f>
        <v>1040334</v>
      </c>
      <c r="D1127" t="str">
        <f>IFERROR(__xludf.DUMMYFUNCTION("""COMPUTED_VALUE"""),"Ms.")</f>
        <v>Ms.</v>
      </c>
      <c r="E1127" t="str">
        <f>IFERROR(__xludf.DUMMYFUNCTION("""COMPUTED_VALUE"""),"Switta")</f>
        <v>Switta</v>
      </c>
      <c r="F1127" t="str">
        <f>IFERROR(__xludf.DUMMYFUNCTION("""COMPUTED_VALUE"""),"Pongdontree")</f>
        <v>Pongdontree</v>
      </c>
      <c r="G1127" t="str">
        <f>IFERROR(__xludf.DUMMYFUNCTION("""COMPUTED_VALUE"""),"Switta Pongdontree")</f>
        <v>Switta Pongdontree</v>
      </c>
      <c r="H1127" t="str">
        <f>IFERROR(__xludf.DUMMYFUNCTION("""COMPUTED_VALUE"""),"นางสาว")</f>
        <v>นางสาว</v>
      </c>
      <c r="I1127" t="str">
        <f>IFERROR(__xludf.DUMMYFUNCTION("""COMPUTED_VALUE"""),"สวิตตา")</f>
        <v>สวิตตา</v>
      </c>
      <c r="J1127" t="str">
        <f>IFERROR(__xludf.DUMMYFUNCTION("""COMPUTED_VALUE"""),"พงษ์ดนตรี")</f>
        <v>พงษ์ดนตรี</v>
      </c>
      <c r="K1127" t="str">
        <f>IFERROR(__xludf.DUMMYFUNCTION("""COMPUTED_VALUE"""),"สวิตตา พงษ์ดนตรี")</f>
        <v>สวิตตา พงษ์ดนตรี</v>
      </c>
      <c r="L1127" s="145" t="str">
        <f>IFERROR(__xludf.DUMMYFUNCTION("""COMPUTED_VALUE"""),"Dazy / เดซี่")</f>
        <v>Dazy / เดซี่</v>
      </c>
      <c r="M1127" t="str">
        <f>IFERROR(__xludf.DUMMYFUNCTION("""COMPUTED_VALUE"""),"Cabin Crew")</f>
        <v>Cabin Crew</v>
      </c>
      <c r="N1127" t="str">
        <f>IFERROR(__xludf.DUMMYFUNCTION("""COMPUTED_VALUE"""),"DMK")</f>
        <v>DMK</v>
      </c>
      <c r="O1127" s="145" t="str">
        <f>IFERROR(__xludf.DUMMYFUNCTION("""COMPUTED_VALUE"""),"Namfon Home")</f>
        <v>Namfon Home</v>
      </c>
      <c r="P1127" t="str">
        <f>IFERROR(__xludf.DUMMYFUNCTION("""COMPUTED_VALUE"""),"Active")</f>
        <v>Active</v>
      </c>
      <c r="R1127" s="162">
        <f>IFERROR(__xludf.DUMMYFUNCTION("""COMPUTED_VALUE"""),36446.0)</f>
        <v>36446</v>
      </c>
      <c r="S1127" s="146" t="str">
        <f>IFERROR(__xludf.DUMMYFUNCTION("""COMPUTED_VALUE"""),"094 927 6665")</f>
        <v>094 927 6665</v>
      </c>
      <c r="T1127" s="147" t="str">
        <f>IFERROR(__xludf.DUMMYFUNCTION("""COMPUTED_VALUE"""),"1-1037-02903-05-1")</f>
        <v>1-1037-02903-05-1</v>
      </c>
      <c r="U1127" t="str">
        <f>IFERROR(__xludf.DUMMYFUNCTION("""COMPUTED_VALUE"""),"AC5063415")</f>
        <v>AC5063415</v>
      </c>
      <c r="V1127" s="148">
        <f>IFERROR(__xludf.DUMMYFUNCTION("""COMPUTED_VALUE"""),45075.0)</f>
        <v>45075</v>
      </c>
      <c r="W1127" s="148">
        <f>IFERROR(__xludf.DUMMYFUNCTION("""COMPUTED_VALUE"""),46901.0)</f>
        <v>46901</v>
      </c>
      <c r="X1127" s="149">
        <f>IFERROR(__xludf.DUMMYFUNCTION("""COMPUTED_VALUE"""),46719.0)</f>
        <v>46719</v>
      </c>
      <c r="Y1127" t="str">
        <f>IFERROR(__xludf.DUMMYFUNCTION("""COMPUTED_VALUE"""),"ปลอดภัย")</f>
        <v>ปลอดภัย</v>
      </c>
      <c r="Z1127" t="str">
        <f>IFERROR(__xludf.DUMMYFUNCTION("""COMPUTED_VALUE"""),"Bangkok")</f>
        <v>Bangkok</v>
      </c>
      <c r="AA1127" s="145" t="str">
        <f>IFERROR(__xludf.DUMMYFUNCTION("""COMPUTED_VALUE"""),"Bangkok")</f>
        <v>Bangkok</v>
      </c>
      <c r="AB1127" s="145" t="str">
        <f>IFERROR(__xludf.DUMMYFUNCTION("""COMPUTED_VALUE"""),"094-858-4114")</f>
        <v>094-858-4114</v>
      </c>
      <c r="AC1127" s="145" t="str">
        <f>IFERROR(__xludf.DUMMYFUNCTION("""COMPUTED_VALUE"""),"นางเนตรดาว พงษ์ดนตรี Mother")</f>
        <v>นางเนตรดาว พงษ์ดนตรี Mother</v>
      </c>
      <c r="AD1127" t="str">
        <f>IFERROR(__xludf.DUMMYFUNCTION("""COMPUTED_VALUE"""),"swittapongdontree@airasia.com")</f>
        <v>swittapongdontree@airasia.com</v>
      </c>
    </row>
    <row r="1128">
      <c r="A1128" s="142">
        <f>IFERROR(__xludf.DUMMYFUNCTION("""COMPUTED_VALUE"""),105.0)</f>
        <v>105</v>
      </c>
      <c r="B1128" t="str">
        <f>IFERROR(__xludf.DUMMYFUNCTION("""COMPUTED_VALUE"""),"MDIA")</f>
        <v>MDIA</v>
      </c>
      <c r="C1128">
        <f>IFERROR(__xludf.DUMMYFUNCTION("""COMPUTED_VALUE"""),1040347.0)</f>
        <v>1040347</v>
      </c>
      <c r="D1128" t="str">
        <f>IFERROR(__xludf.DUMMYFUNCTION("""COMPUTED_VALUE"""),"Ms.")</f>
        <v>Ms.</v>
      </c>
      <c r="E1128" t="str">
        <f>IFERROR(__xludf.DUMMYFUNCTION("""COMPUTED_VALUE"""),"Thatchanya")</f>
        <v>Thatchanya</v>
      </c>
      <c r="F1128" t="str">
        <f>IFERROR(__xludf.DUMMYFUNCTION("""COMPUTED_VALUE"""),"Wongsachayo")</f>
        <v>Wongsachayo</v>
      </c>
      <c r="G1128" t="str">
        <f>IFERROR(__xludf.DUMMYFUNCTION("""COMPUTED_VALUE"""),"Thatchanya Wongsachayo")</f>
        <v>Thatchanya Wongsachayo</v>
      </c>
      <c r="H1128" t="str">
        <f>IFERROR(__xludf.DUMMYFUNCTION("""COMPUTED_VALUE"""),"นางสาว")</f>
        <v>นางสาว</v>
      </c>
      <c r="I1128" t="str">
        <f>IFERROR(__xludf.DUMMYFUNCTION("""COMPUTED_VALUE"""),"ธัชชัญญา")</f>
        <v>ธัชชัญญา</v>
      </c>
      <c r="J1128" t="str">
        <f>IFERROR(__xludf.DUMMYFUNCTION("""COMPUTED_VALUE"""),"วงศาชโย")</f>
        <v>วงศาชโย</v>
      </c>
      <c r="K1128" t="str">
        <f>IFERROR(__xludf.DUMMYFUNCTION("""COMPUTED_VALUE"""),"ธัชชัญญา วงศาชโย")</f>
        <v>ธัชชัญญา วงศาชโย</v>
      </c>
      <c r="L1128" s="145" t="str">
        <f>IFERROR(__xludf.DUMMYFUNCTION("""COMPUTED_VALUE"""),"Almond / แอลมอนด์")</f>
        <v>Almond / แอลมอนด์</v>
      </c>
      <c r="M1128" t="str">
        <f>IFERROR(__xludf.DUMMYFUNCTION("""COMPUTED_VALUE"""),"Cabin Crew")</f>
        <v>Cabin Crew</v>
      </c>
      <c r="N1128" t="str">
        <f>IFERROR(__xludf.DUMMYFUNCTION("""COMPUTED_VALUE"""),"DMK")</f>
        <v>DMK</v>
      </c>
      <c r="O1128" s="145" t="str">
        <f>IFERROR(__xludf.DUMMYFUNCTION("""COMPUTED_VALUE"""),"Nhui Home")</f>
        <v>Nhui Home</v>
      </c>
      <c r="P1128" t="str">
        <f>IFERROR(__xludf.DUMMYFUNCTION("""COMPUTED_VALUE"""),"Active")</f>
        <v>Active</v>
      </c>
      <c r="R1128" s="162">
        <f>IFERROR(__xludf.DUMMYFUNCTION("""COMPUTED_VALUE"""),36793.0)</f>
        <v>36793</v>
      </c>
      <c r="S1128" s="146" t="str">
        <f>IFERROR(__xludf.DUMMYFUNCTION("""COMPUTED_VALUE"""),"080 049 5602")</f>
        <v>080 049 5602</v>
      </c>
      <c r="T1128" s="147" t="str">
        <f>IFERROR(__xludf.DUMMYFUNCTION("""COMPUTED_VALUE"""),"1-7399-01903-45-1")</f>
        <v>1-7399-01903-45-1</v>
      </c>
      <c r="U1128" t="str">
        <f>IFERROR(__xludf.DUMMYFUNCTION("""COMPUTED_VALUE"""),"AC6768946")</f>
        <v>AC6768946</v>
      </c>
      <c r="V1128" s="148">
        <f>IFERROR(__xludf.DUMMYFUNCTION("""COMPUTED_VALUE"""),45427.0)</f>
        <v>45427</v>
      </c>
      <c r="W1128" s="148">
        <f>IFERROR(__xludf.DUMMYFUNCTION("""COMPUTED_VALUE"""),49078.0)</f>
        <v>49078</v>
      </c>
      <c r="X1128" s="149">
        <f>IFERROR(__xludf.DUMMYFUNCTION("""COMPUTED_VALUE"""),48897.0)</f>
        <v>48897</v>
      </c>
      <c r="Y1128" t="str">
        <f>IFERROR(__xludf.DUMMYFUNCTION("""COMPUTED_VALUE"""),"ปลอดภัย")</f>
        <v>ปลอดภัย</v>
      </c>
      <c r="Z1128" t="str">
        <f>IFERROR(__xludf.DUMMYFUNCTION("""COMPUTED_VALUE"""),"Nakhon Pathom Province")</f>
        <v>Nakhon Pathom Province</v>
      </c>
      <c r="AA1128" s="145" t="str">
        <f>IFERROR(__xludf.DUMMYFUNCTION("""COMPUTED_VALUE"""),"nakornpathom")</f>
        <v>nakornpathom</v>
      </c>
      <c r="AB1128" s="145" t="str">
        <f>IFERROR(__xludf.DUMMYFUNCTION("""COMPUTED_VALUE"""),"089-836-1121")</f>
        <v>089-836-1121</v>
      </c>
      <c r="AC1128" s="145" t="str">
        <f>IFERROR(__xludf.DUMMYFUNCTION("""COMPUTED_VALUE"""),"นางวิภา วงศาชโย Mother")</f>
        <v>นางวิภา วงศาชโย Mother</v>
      </c>
      <c r="AD1128" t="str">
        <f>IFERROR(__xludf.DUMMYFUNCTION("""COMPUTED_VALUE"""),"thatchanyawongsacha@airasia.com")</f>
        <v>thatchanyawongsacha@airasia.com</v>
      </c>
    </row>
    <row r="1129">
      <c r="A1129" s="142">
        <f>IFERROR(__xludf.DUMMYFUNCTION("""COMPUTED_VALUE"""),105.0)</f>
        <v>105</v>
      </c>
      <c r="C1129">
        <f>IFERROR(__xludf.DUMMYFUNCTION("""COMPUTED_VALUE"""),1040333.0)</f>
        <v>1040333</v>
      </c>
      <c r="D1129" t="str">
        <f>IFERROR(__xludf.DUMMYFUNCTION("""COMPUTED_VALUE"""),"Ms.")</f>
        <v>Ms.</v>
      </c>
      <c r="E1129" t="str">
        <f>IFERROR(__xludf.DUMMYFUNCTION("""COMPUTED_VALUE"""),"Warisara")</f>
        <v>Warisara</v>
      </c>
      <c r="F1129" t="str">
        <f>IFERROR(__xludf.DUMMYFUNCTION("""COMPUTED_VALUE"""),"Chaoyut")</f>
        <v>Chaoyut</v>
      </c>
      <c r="G1129" t="str">
        <f>IFERROR(__xludf.DUMMYFUNCTION("""COMPUTED_VALUE"""),"Warisara Chaoyut")</f>
        <v>Warisara Chaoyut</v>
      </c>
      <c r="H1129" t="str">
        <f>IFERROR(__xludf.DUMMYFUNCTION("""COMPUTED_VALUE"""),"นางสาว")</f>
        <v>นางสาว</v>
      </c>
      <c r="I1129" t="str">
        <f>IFERROR(__xludf.DUMMYFUNCTION("""COMPUTED_VALUE"""),"วริศรา")</f>
        <v>วริศรา</v>
      </c>
      <c r="J1129" t="str">
        <f>IFERROR(__xludf.DUMMYFUNCTION("""COMPUTED_VALUE"""),"เชาว์ยุทธ์")</f>
        <v>เชาว์ยุทธ์</v>
      </c>
      <c r="K1129" t="str">
        <f>IFERROR(__xludf.DUMMYFUNCTION("""COMPUTED_VALUE"""),"วริศรา เชาว์ยุทธ์")</f>
        <v>วริศรา เชาว์ยุทธ์</v>
      </c>
      <c r="L1129" s="145" t="str">
        <f>IFERROR(__xludf.DUMMYFUNCTION("""COMPUTED_VALUE"""),"Praew/แพรว")</f>
        <v>Praew/แพรว</v>
      </c>
      <c r="M1129" t="str">
        <f>IFERROR(__xludf.DUMMYFUNCTION("""COMPUTED_VALUE"""),"Cabin Crew - CNX")</f>
        <v>Cabin Crew - CNX</v>
      </c>
      <c r="N1129" t="str">
        <f>IFERROR(__xludf.DUMMYFUNCTION("""COMPUTED_VALUE"""),"CNX")</f>
        <v>CNX</v>
      </c>
      <c r="O1129" s="145" t="str">
        <f>IFERROR(__xludf.DUMMYFUNCTION("""COMPUTED_VALUE"""),"Up Home")</f>
        <v>Up Home</v>
      </c>
      <c r="P1129" t="str">
        <f>IFERROR(__xludf.DUMMYFUNCTION("""COMPUTED_VALUE"""),"Active")</f>
        <v>Active</v>
      </c>
      <c r="R1129" s="162">
        <f>IFERROR(__xludf.DUMMYFUNCTION("""COMPUTED_VALUE"""),35146.0)</f>
        <v>35146</v>
      </c>
      <c r="S1129" s="146" t="str">
        <f>IFERROR(__xludf.DUMMYFUNCTION("""COMPUTED_VALUE"""),"096 678 6963")</f>
        <v>096 678 6963</v>
      </c>
      <c r="T1129" s="147" t="str">
        <f>IFERROR(__xludf.DUMMYFUNCTION("""COMPUTED_VALUE"""),"1-5799-00654-92-1")</f>
        <v>1-5799-00654-92-1</v>
      </c>
      <c r="U1129" t="str">
        <f>IFERROR(__xludf.DUMMYFUNCTION("""COMPUTED_VALUE"""),"AD0144570")</f>
        <v>AD0144570</v>
      </c>
      <c r="V1129" s="148">
        <f>IFERROR(__xludf.DUMMYFUNCTION("""COMPUTED_VALUE"""),44851.0)</f>
        <v>44851</v>
      </c>
      <c r="W1129" s="148">
        <f>IFERROR(__xludf.DUMMYFUNCTION("""COMPUTED_VALUE"""),48503.0)</f>
        <v>48503</v>
      </c>
      <c r="X1129" s="149">
        <f>IFERROR(__xludf.DUMMYFUNCTION("""COMPUTED_VALUE"""),48320.0)</f>
        <v>48320</v>
      </c>
      <c r="Y1129" t="str">
        <f>IFERROR(__xludf.DUMMYFUNCTION("""COMPUTED_VALUE"""),"ปลอดภัย")</f>
        <v>ปลอดภัย</v>
      </c>
      <c r="Z1129" t="str">
        <f>IFERROR(__xludf.DUMMYFUNCTION("""COMPUTED_VALUE"""),"Chiang Rai Province")</f>
        <v>Chiang Rai Province</v>
      </c>
      <c r="AA1129" s="145" t="str">
        <f>IFERROR(__xludf.DUMMYFUNCTION("""COMPUTED_VALUE"""),"Chiang rai")</f>
        <v>Chiang rai</v>
      </c>
      <c r="AB1129" s="145" t="str">
        <f>IFERROR(__xludf.DUMMYFUNCTION("""COMPUTED_VALUE"""),"089-2630612")</f>
        <v>089-2630612</v>
      </c>
      <c r="AC1129" s="145" t="str">
        <f>IFERROR(__xludf.DUMMYFUNCTION("""COMPUTED_VALUE"""),"นางสาวศิริลักษณ์ เชาว์ยุทธ์ Mother")</f>
        <v>นางสาวศิริลักษณ์ เชาว์ยุทธ์ Mother</v>
      </c>
      <c r="AD1129" t="str">
        <f>IFERROR(__xludf.DUMMYFUNCTION("""COMPUTED_VALUE"""),"warisarachaoyut@airasia.com")</f>
        <v>warisarachaoyut@airasia.com</v>
      </c>
    </row>
    <row r="1130">
      <c r="A1130" s="142">
        <f>IFERROR(__xludf.DUMMYFUNCTION("""COMPUTED_VALUE"""),105.0)</f>
        <v>105</v>
      </c>
      <c r="C1130">
        <f>IFERROR(__xludf.DUMMYFUNCTION("""COMPUTED_VALUE"""),1040332.0)</f>
        <v>1040332</v>
      </c>
      <c r="D1130" t="str">
        <f>IFERROR(__xludf.DUMMYFUNCTION("""COMPUTED_VALUE"""),"Ms.")</f>
        <v>Ms.</v>
      </c>
      <c r="E1130" t="str">
        <f>IFERROR(__xludf.DUMMYFUNCTION("""COMPUTED_VALUE"""),"Wijittra")</f>
        <v>Wijittra</v>
      </c>
      <c r="F1130" t="str">
        <f>IFERROR(__xludf.DUMMYFUNCTION("""COMPUTED_VALUE"""),"Asawasukhon")</f>
        <v>Asawasukhon</v>
      </c>
      <c r="G1130" t="str">
        <f>IFERROR(__xludf.DUMMYFUNCTION("""COMPUTED_VALUE"""),"Wijittra Asawasukhon")</f>
        <v>Wijittra Asawasukhon</v>
      </c>
      <c r="H1130" t="str">
        <f>IFERROR(__xludf.DUMMYFUNCTION("""COMPUTED_VALUE"""),"นางสาว")</f>
        <v>นางสาว</v>
      </c>
      <c r="I1130" t="str">
        <f>IFERROR(__xludf.DUMMYFUNCTION("""COMPUTED_VALUE"""),"วิจิตรา")</f>
        <v>วิจิตรา</v>
      </c>
      <c r="J1130" t="str">
        <f>IFERROR(__xludf.DUMMYFUNCTION("""COMPUTED_VALUE"""),"อัศวสุคนธ์")</f>
        <v>อัศวสุคนธ์</v>
      </c>
      <c r="K1130" t="str">
        <f>IFERROR(__xludf.DUMMYFUNCTION("""COMPUTED_VALUE"""),"วิจิตรา อัศวสุคนธ์")</f>
        <v>วิจิตรา อัศวสุคนธ์</v>
      </c>
      <c r="L1130" s="145" t="str">
        <f>IFERROR(__xludf.DUMMYFUNCTION("""COMPUTED_VALUE"""),"Ying / หญิง")</f>
        <v>Ying / หญิง</v>
      </c>
      <c r="M1130" t="str">
        <f>IFERROR(__xludf.DUMMYFUNCTION("""COMPUTED_VALUE"""),"Cabin Crew - CNX")</f>
        <v>Cabin Crew - CNX</v>
      </c>
      <c r="N1130" t="str">
        <f>IFERROR(__xludf.DUMMYFUNCTION("""COMPUTED_VALUE"""),"CNX")</f>
        <v>CNX</v>
      </c>
      <c r="O1130" s="145" t="str">
        <f>IFERROR(__xludf.DUMMYFUNCTION("""COMPUTED_VALUE"""),"Up Home")</f>
        <v>Up Home</v>
      </c>
      <c r="P1130" t="str">
        <f>IFERROR(__xludf.DUMMYFUNCTION("""COMPUTED_VALUE"""),"Active")</f>
        <v>Active</v>
      </c>
      <c r="R1130" s="162">
        <f>IFERROR(__xludf.DUMMYFUNCTION("""COMPUTED_VALUE"""),34997.0)</f>
        <v>34997</v>
      </c>
      <c r="S1130" s="146" t="str">
        <f>IFERROR(__xludf.DUMMYFUNCTION("""COMPUTED_VALUE"""),"089 851 2448")</f>
        <v>089 851 2448</v>
      </c>
      <c r="T1130" s="147" t="str">
        <f>IFERROR(__xludf.DUMMYFUNCTION("""COMPUTED_VALUE"""),"1-5799-00625-93-9")</f>
        <v>1-5799-00625-93-9</v>
      </c>
      <c r="U1130" t="str">
        <f>IFERROR(__xludf.DUMMYFUNCTION("""COMPUTED_VALUE"""),"AC4830902")</f>
        <v>AC4830902</v>
      </c>
      <c r="V1130" s="148">
        <f>IFERROR(__xludf.DUMMYFUNCTION("""COMPUTED_VALUE"""),45018.0)</f>
        <v>45018</v>
      </c>
      <c r="W1130" s="148">
        <f>IFERROR(__xludf.DUMMYFUNCTION("""COMPUTED_VALUE"""),46844.0)</f>
        <v>46844</v>
      </c>
      <c r="X1130" s="149">
        <f>IFERROR(__xludf.DUMMYFUNCTION("""COMPUTED_VALUE"""),46661.0)</f>
        <v>46661</v>
      </c>
      <c r="Y1130" t="str">
        <f>IFERROR(__xludf.DUMMYFUNCTION("""COMPUTED_VALUE"""),"ปลอดภัย")</f>
        <v>ปลอดภัย</v>
      </c>
      <c r="Z1130" t="str">
        <f>IFERROR(__xludf.DUMMYFUNCTION("""COMPUTED_VALUE"""),"Chiang Rai Province")</f>
        <v>Chiang Rai Province</v>
      </c>
      <c r="AA1130" s="145" t="str">
        <f>IFERROR(__xludf.DUMMYFUNCTION("""COMPUTED_VALUE"""),"Chiang rai")</f>
        <v>Chiang rai</v>
      </c>
      <c r="AB1130" s="145" t="str">
        <f>IFERROR(__xludf.DUMMYFUNCTION("""COMPUTED_VALUE"""),"081-993-9001")</f>
        <v>081-993-9001</v>
      </c>
      <c r="AC1130" s="145" t="str">
        <f>IFERROR(__xludf.DUMMYFUNCTION("""COMPUTED_VALUE"""),"นางสาวจิรา อินทจักร Mother")</f>
        <v>นางสาวจิรา อินทจักร Mother</v>
      </c>
      <c r="AD1130" t="str">
        <f>IFERROR(__xludf.DUMMYFUNCTION("""COMPUTED_VALUE"""),"wijittraasawasukhon@airasia.com")</f>
        <v>wijittraasawasukhon@airasia.com</v>
      </c>
    </row>
    <row r="1131">
      <c r="AD1131" t="str">
        <f>IFERROR(__xludf.DUMMYFUNCTION("""COMPUTED_VALUE"""),"")</f>
        <v/>
      </c>
    </row>
    <row r="1132">
      <c r="A1132" s="142">
        <f>IFERROR(__xludf.DUMMYFUNCTION("""COMPUTED_VALUE"""),106.0)</f>
        <v>106</v>
      </c>
      <c r="C1132">
        <f>IFERROR(__xludf.DUMMYFUNCTION("""COMPUTED_VALUE"""),1040505.0)</f>
        <v>1040505</v>
      </c>
      <c r="D1132" t="str">
        <f>IFERROR(__xludf.DUMMYFUNCTION("""COMPUTED_VALUE"""),"Ms.")</f>
        <v>Ms.</v>
      </c>
      <c r="E1132" t="str">
        <f>IFERROR(__xludf.DUMMYFUNCTION("""COMPUTED_VALUE"""),"Atchamaporn")</f>
        <v>Atchamaporn</v>
      </c>
      <c r="F1132" t="str">
        <f>IFERROR(__xludf.DUMMYFUNCTION("""COMPUTED_VALUE"""),"Pimrin")</f>
        <v>Pimrin</v>
      </c>
      <c r="G1132" t="str">
        <f>IFERROR(__xludf.DUMMYFUNCTION("""COMPUTED_VALUE"""),"Atchamaporn Pimrin")</f>
        <v>Atchamaporn Pimrin</v>
      </c>
      <c r="H1132" t="str">
        <f>IFERROR(__xludf.DUMMYFUNCTION("""COMPUTED_VALUE"""),"นางสาว")</f>
        <v>นางสาว</v>
      </c>
      <c r="I1132" t="str">
        <f>IFERROR(__xludf.DUMMYFUNCTION("""COMPUTED_VALUE"""),"อัฌมาภรณ์")</f>
        <v>อัฌมาภรณ์</v>
      </c>
      <c r="J1132" t="str">
        <f>IFERROR(__xludf.DUMMYFUNCTION("""COMPUTED_VALUE"""),"พิมรินทร์")</f>
        <v>พิมรินทร์</v>
      </c>
      <c r="K1132" t="str">
        <f>IFERROR(__xludf.DUMMYFUNCTION("""COMPUTED_VALUE"""),"อัฌมาภรณ์ พิมรินทร์")</f>
        <v>อัฌมาภรณ์ พิมรินทร์</v>
      </c>
      <c r="L1132" t="str">
        <f>IFERROR(__xludf.DUMMYFUNCTION("""COMPUTED_VALUE"""),"Aom / ออม")</f>
        <v>Aom / ออม</v>
      </c>
      <c r="M1132" t="str">
        <f>IFERROR(__xludf.DUMMYFUNCTION("""COMPUTED_VALUE"""),"Cabin Crew")</f>
        <v>Cabin Crew</v>
      </c>
      <c r="N1132" t="str">
        <f>IFERROR(__xludf.DUMMYFUNCTION("""COMPUTED_VALUE"""),"DMK")</f>
        <v>DMK</v>
      </c>
      <c r="O1132" s="145" t="str">
        <f>IFERROR(__xludf.DUMMYFUNCTION("""COMPUTED_VALUE"""),"Por+ Home")</f>
        <v>Por+ Home</v>
      </c>
      <c r="P1132" t="str">
        <f>IFERROR(__xludf.DUMMYFUNCTION("""COMPUTED_VALUE"""),"Active")</f>
        <v>Active</v>
      </c>
      <c r="R1132" s="163">
        <f>IFERROR(__xludf.DUMMYFUNCTION("""COMPUTED_VALUE"""),36392.0)</f>
        <v>36392</v>
      </c>
      <c r="S1132" s="146" t="str">
        <f>IFERROR(__xludf.DUMMYFUNCTION("""COMPUTED_VALUE"""),"091 060 4751")</f>
        <v>091 060 4751</v>
      </c>
      <c r="T1132" s="146" t="str">
        <f>IFERROR(__xludf.DUMMYFUNCTION("""COMPUTED_VALUE"""),"1-4099-01831-13-4")</f>
        <v>1-4099-01831-13-4</v>
      </c>
      <c r="U1132" t="str">
        <f>IFERROR(__xludf.DUMMYFUNCTION("""COMPUTED_VALUE"""),"AC5338487")</f>
        <v>AC5338487</v>
      </c>
      <c r="V1132" s="148">
        <f>IFERROR(__xludf.DUMMYFUNCTION("""COMPUTED_VALUE"""),45094.0)</f>
        <v>45094</v>
      </c>
      <c r="W1132" s="148">
        <f>IFERROR(__xludf.DUMMYFUNCTION("""COMPUTED_VALUE"""),48746.0)</f>
        <v>48746</v>
      </c>
      <c r="X1132" s="149">
        <f>IFERROR(__xludf.DUMMYFUNCTION("""COMPUTED_VALUE"""),48564.0)</f>
        <v>48564</v>
      </c>
      <c r="Y1132" t="str">
        <f>IFERROR(__xludf.DUMMYFUNCTION("""COMPUTED_VALUE"""),"ปลอดภัย")</f>
        <v>ปลอดภัย</v>
      </c>
      <c r="Z1132" t="str">
        <f>IFERROR(__xludf.DUMMYFUNCTION("""COMPUTED_VALUE"""),"Khon Kaen Province")</f>
        <v>Khon Kaen Province</v>
      </c>
      <c r="AA1132" t="str">
        <f>IFERROR(__xludf.DUMMYFUNCTION("""COMPUTED_VALUE"""),"Bangkok")</f>
        <v>Bangkok</v>
      </c>
      <c r="AB1132" s="161" t="str">
        <f>IFERROR(__xludf.DUMMYFUNCTION("""COMPUTED_VALUE"""),"089-711-6418")</f>
        <v>089-711-6418</v>
      </c>
      <c r="AC1132" t="str">
        <f>IFERROR(__xludf.DUMMYFUNCTION("""COMPUTED_VALUE"""),"นายผาด พิมรินทร์ Father")</f>
        <v>นายผาด พิมรินทร์ Father</v>
      </c>
      <c r="AD1132" t="str">
        <f>IFERROR(__xludf.DUMMYFUNCTION("""COMPUTED_VALUE"""),"atchamapornpimrin@airasia.com")</f>
        <v>atchamapornpimrin@airasia.com</v>
      </c>
    </row>
    <row r="1133">
      <c r="A1133" s="142">
        <f>IFERROR(__xludf.DUMMYFUNCTION("""COMPUTED_VALUE"""),106.0)</f>
        <v>106</v>
      </c>
      <c r="C1133">
        <f>IFERROR(__xludf.DUMMYFUNCTION("""COMPUTED_VALUE"""),1040506.0)</f>
        <v>1040506</v>
      </c>
      <c r="D1133" t="str">
        <f>IFERROR(__xludf.DUMMYFUNCTION("""COMPUTED_VALUE"""),"Ms.")</f>
        <v>Ms.</v>
      </c>
      <c r="E1133" t="str">
        <f>IFERROR(__xludf.DUMMYFUNCTION("""COMPUTED_VALUE"""),"Chomphunut")</f>
        <v>Chomphunut</v>
      </c>
      <c r="F1133" t="str">
        <f>IFERROR(__xludf.DUMMYFUNCTION("""COMPUTED_VALUE"""),"Detdutsadee")</f>
        <v>Detdutsadee</v>
      </c>
      <c r="G1133" t="str">
        <f>IFERROR(__xludf.DUMMYFUNCTION("""COMPUTED_VALUE"""),"Chomphunut Detdutsadee")</f>
        <v>Chomphunut Detdutsadee</v>
      </c>
      <c r="H1133" t="str">
        <f>IFERROR(__xludf.DUMMYFUNCTION("""COMPUTED_VALUE"""),"นางสาว")</f>
        <v>นางสาว</v>
      </c>
      <c r="I1133" t="str">
        <f>IFERROR(__xludf.DUMMYFUNCTION("""COMPUTED_VALUE"""),"ชมพูนุท")</f>
        <v>ชมพูนุท</v>
      </c>
      <c r="J1133" t="str">
        <f>IFERROR(__xludf.DUMMYFUNCTION("""COMPUTED_VALUE"""),"เดชดุษฎี")</f>
        <v>เดชดุษฎี</v>
      </c>
      <c r="K1133" t="str">
        <f>IFERROR(__xludf.DUMMYFUNCTION("""COMPUTED_VALUE"""),"ชมพูนุท เดชดุษฎี")</f>
        <v>ชมพูนุท เดชดุษฎี</v>
      </c>
      <c r="L1133" t="str">
        <f>IFERROR(__xludf.DUMMYFUNCTION("""COMPUTED_VALUE"""),"Wen / เหวิน")</f>
        <v>Wen / เหวิน</v>
      </c>
      <c r="M1133" t="str">
        <f>IFERROR(__xludf.DUMMYFUNCTION("""COMPUTED_VALUE"""),"Cabin Crew")</f>
        <v>Cabin Crew</v>
      </c>
      <c r="N1133" t="str">
        <f>IFERROR(__xludf.DUMMYFUNCTION("""COMPUTED_VALUE"""),"DMK")</f>
        <v>DMK</v>
      </c>
      <c r="O1133" s="145" t="str">
        <f>IFERROR(__xludf.DUMMYFUNCTION("""COMPUTED_VALUE"""),"Kor Home")</f>
        <v>Kor Home</v>
      </c>
      <c r="P1133" t="str">
        <f>IFERROR(__xludf.DUMMYFUNCTION("""COMPUTED_VALUE"""),"Active")</f>
        <v>Active</v>
      </c>
      <c r="Q1133" t="str">
        <f>IFERROR(__xludf.DUMMYFUNCTION("""COMPUTED_VALUE"""),"Chinese Speaking")</f>
        <v>Chinese Speaking</v>
      </c>
      <c r="R1133" s="163">
        <f>IFERROR(__xludf.DUMMYFUNCTION("""COMPUTED_VALUE"""),35902.0)</f>
        <v>35902</v>
      </c>
      <c r="S1133" s="146" t="str">
        <f>IFERROR(__xludf.DUMMYFUNCTION("""COMPUTED_VALUE"""),"090 319 1390")</f>
        <v>090 319 1390</v>
      </c>
      <c r="T1133" s="146" t="str">
        <f>IFERROR(__xludf.DUMMYFUNCTION("""COMPUTED_VALUE"""),"8-5710-73002-24-2")</f>
        <v>8-5710-73002-24-2</v>
      </c>
      <c r="U1133" t="str">
        <f>IFERROR(__xludf.DUMMYFUNCTION("""COMPUTED_VALUE"""),"AC3122134")</f>
        <v>AC3122134</v>
      </c>
      <c r="V1133" s="148">
        <f>IFERROR(__xludf.DUMMYFUNCTION("""COMPUTED_VALUE"""),44692.0)</f>
        <v>44692</v>
      </c>
      <c r="W1133" s="148">
        <f>IFERROR(__xludf.DUMMYFUNCTION("""COMPUTED_VALUE"""),48344.0)</f>
        <v>48344</v>
      </c>
      <c r="X1133" s="149">
        <f>IFERROR(__xludf.DUMMYFUNCTION("""COMPUTED_VALUE"""),48162.0)</f>
        <v>48162</v>
      </c>
      <c r="Y1133" t="str">
        <f>IFERROR(__xludf.DUMMYFUNCTION("""COMPUTED_VALUE"""),"ปลอดภัย")</f>
        <v>ปลอดภัย</v>
      </c>
      <c r="Z1133" t="str">
        <f>IFERROR(__xludf.DUMMYFUNCTION("""COMPUTED_VALUE"""),"Chiang Mai Province")</f>
        <v>Chiang Mai Province</v>
      </c>
      <c r="AA1133" t="str">
        <f>IFERROR(__xludf.DUMMYFUNCTION("""COMPUTED_VALUE"""),"Chiang Mai")</f>
        <v>Chiang Mai</v>
      </c>
      <c r="AB1133" s="161" t="str">
        <f>IFERROR(__xludf.DUMMYFUNCTION("""COMPUTED_VALUE"""),"0998645826")</f>
        <v>0998645826</v>
      </c>
      <c r="AC1133" t="str">
        <f>IFERROR(__xludf.DUMMYFUNCTION("""COMPUTED_VALUE"""),"นางสาว อาเซียง แซ่เชล Mother")</f>
        <v>นางสาว อาเซียง แซ่เชล Mother</v>
      </c>
      <c r="AD1133" t="str">
        <f>IFERROR(__xludf.DUMMYFUNCTION("""COMPUTED_VALUE"""),"chomphunutdetdutsad@airasia.com")</f>
        <v>chomphunutdetdutsad@airasia.com</v>
      </c>
    </row>
    <row r="1134">
      <c r="A1134" s="142">
        <f>IFERROR(__xludf.DUMMYFUNCTION("""COMPUTED_VALUE"""),106.0)</f>
        <v>106</v>
      </c>
      <c r="C1134">
        <f>IFERROR(__xludf.DUMMYFUNCTION("""COMPUTED_VALUE"""),1040507.0)</f>
        <v>1040507</v>
      </c>
      <c r="D1134" t="str">
        <f>IFERROR(__xludf.DUMMYFUNCTION("""COMPUTED_VALUE"""),"Ms.")</f>
        <v>Ms.</v>
      </c>
      <c r="E1134" t="str">
        <f>IFERROR(__xludf.DUMMYFUNCTION("""COMPUTED_VALUE"""),"Jenine")</f>
        <v>Jenine</v>
      </c>
      <c r="F1134" t="str">
        <f>IFERROR(__xludf.DUMMYFUNCTION("""COMPUTED_VALUE"""),"Satiranon")</f>
        <v>Satiranon</v>
      </c>
      <c r="G1134" t="str">
        <f>IFERROR(__xludf.DUMMYFUNCTION("""COMPUTED_VALUE"""),"Jenine Satiranon")</f>
        <v>Jenine Satiranon</v>
      </c>
      <c r="H1134" t="str">
        <f>IFERROR(__xludf.DUMMYFUNCTION("""COMPUTED_VALUE"""),"นางสาว")</f>
        <v>นางสาว</v>
      </c>
      <c r="I1134" t="str">
        <f>IFERROR(__xludf.DUMMYFUNCTION("""COMPUTED_VALUE"""),"เจนีร")</f>
        <v>เจนีร</v>
      </c>
      <c r="J1134" t="str">
        <f>IFERROR(__xludf.DUMMYFUNCTION("""COMPUTED_VALUE"""),"สถิรานนท์")</f>
        <v>สถิรานนท์</v>
      </c>
      <c r="K1134" t="str">
        <f>IFERROR(__xludf.DUMMYFUNCTION("""COMPUTED_VALUE"""),"เจนีร สถิรานนท์")</f>
        <v>เจนีร สถิรานนท์</v>
      </c>
      <c r="L1134" t="str">
        <f>IFERROR(__xludf.DUMMYFUNCTION("""COMPUTED_VALUE"""),"เจนนี่")</f>
        <v>เจนนี่</v>
      </c>
      <c r="M1134" t="str">
        <f>IFERROR(__xludf.DUMMYFUNCTION("""COMPUTED_VALUE"""),"Cabin Crew")</f>
        <v>Cabin Crew</v>
      </c>
      <c r="N1134" t="str">
        <f>IFERROR(__xludf.DUMMYFUNCTION("""COMPUTED_VALUE"""),"DMK")</f>
        <v>DMK</v>
      </c>
      <c r="O1134" s="145" t="str">
        <f>IFERROR(__xludf.DUMMYFUNCTION("""COMPUTED_VALUE"""),"Um Home")</f>
        <v>Um Home</v>
      </c>
      <c r="P1134" t="str">
        <f>IFERROR(__xludf.DUMMYFUNCTION("""COMPUTED_VALUE"""),"Active")</f>
        <v>Active</v>
      </c>
      <c r="R1134" s="163">
        <f>IFERROR(__xludf.DUMMYFUNCTION("""COMPUTED_VALUE"""),36555.0)</f>
        <v>36555</v>
      </c>
      <c r="S1134" s="146" t="str">
        <f>IFERROR(__xludf.DUMMYFUNCTION("""COMPUTED_VALUE"""),"083 722 1444")</f>
        <v>083 722 1444</v>
      </c>
      <c r="T1134" s="146" t="str">
        <f>IFERROR(__xludf.DUMMYFUNCTION("""COMPUTED_VALUE"""),"1-1299-01579-93-4")</f>
        <v>1-1299-01579-93-4</v>
      </c>
      <c r="U1134" t="str">
        <f>IFERROR(__xludf.DUMMYFUNCTION("""COMPUTED_VALUE"""),"AC2745783")</f>
        <v>AC2745783</v>
      </c>
      <c r="V1134" s="148">
        <f>IFERROR(__xludf.DUMMYFUNCTION("""COMPUTED_VALUE"""),44484.0)</f>
        <v>44484</v>
      </c>
      <c r="W1134" s="148">
        <f>IFERROR(__xludf.DUMMYFUNCTION("""COMPUTED_VALUE"""),48135.0)</f>
        <v>48135</v>
      </c>
      <c r="X1134" s="149">
        <f>IFERROR(__xludf.DUMMYFUNCTION("""COMPUTED_VALUE"""),47952.0)</f>
        <v>47952</v>
      </c>
      <c r="Y1134" t="str">
        <f>IFERROR(__xludf.DUMMYFUNCTION("""COMPUTED_VALUE"""),"ปลอดภัย")</f>
        <v>ปลอดภัย</v>
      </c>
      <c r="Z1134" t="str">
        <f>IFERROR(__xludf.DUMMYFUNCTION("""COMPUTED_VALUE"""),"Nonthaburi Province")</f>
        <v>Nonthaburi Province</v>
      </c>
      <c r="AA1134" t="str">
        <f>IFERROR(__xludf.DUMMYFUNCTION("""COMPUTED_VALUE"""),"Nonthaburi")</f>
        <v>Nonthaburi</v>
      </c>
      <c r="AB1134" s="161" t="str">
        <f>IFERROR(__xludf.DUMMYFUNCTION("""COMPUTED_VALUE"""),"083-722-1444")</f>
        <v>083-722-1444</v>
      </c>
      <c r="AC1134" t="str">
        <f>IFERROR(__xludf.DUMMYFUNCTION("""COMPUTED_VALUE"""),"นางพชรชล สถิรานนท์ Mother")</f>
        <v>นางพชรชล สถิรานนท์ Mother</v>
      </c>
      <c r="AD1134" t="str">
        <f>IFERROR(__xludf.DUMMYFUNCTION("""COMPUTED_VALUE"""),"jeninesatiranon@airasia.com")</f>
        <v>jeninesatiranon@airasia.com</v>
      </c>
    </row>
    <row r="1135">
      <c r="A1135" s="142">
        <f>IFERROR(__xludf.DUMMYFUNCTION("""COMPUTED_VALUE"""),106.0)</f>
        <v>106</v>
      </c>
      <c r="C1135">
        <f>IFERROR(__xludf.DUMMYFUNCTION("""COMPUTED_VALUE"""),1023167.0)</f>
        <v>1023167</v>
      </c>
      <c r="D1135" t="str">
        <f>IFERROR(__xludf.DUMMYFUNCTION("""COMPUTED_VALUE"""),"Ms.")</f>
        <v>Ms.</v>
      </c>
      <c r="E1135" t="str">
        <f>IFERROR(__xludf.DUMMYFUNCTION("""COMPUTED_VALUE"""),"Jiratchaya")</f>
        <v>Jiratchaya</v>
      </c>
      <c r="F1135" t="str">
        <f>IFERROR(__xludf.DUMMYFUNCTION("""COMPUTED_VALUE"""),"Ubonpitak")</f>
        <v>Ubonpitak</v>
      </c>
      <c r="G1135" t="str">
        <f>IFERROR(__xludf.DUMMYFUNCTION("""COMPUTED_VALUE"""),"Jiratchaya Ubonpitak")</f>
        <v>Jiratchaya Ubonpitak</v>
      </c>
      <c r="H1135" t="str">
        <f>IFERROR(__xludf.DUMMYFUNCTION("""COMPUTED_VALUE"""),"นางสาว")</f>
        <v>นางสาว</v>
      </c>
      <c r="I1135" t="str">
        <f>IFERROR(__xludf.DUMMYFUNCTION("""COMPUTED_VALUE"""),"จิรัชยา")</f>
        <v>จิรัชยา</v>
      </c>
      <c r="J1135" t="str">
        <f>IFERROR(__xludf.DUMMYFUNCTION("""COMPUTED_VALUE"""),"อุบลพิทักษ์")</f>
        <v>อุบลพิทักษ์</v>
      </c>
      <c r="K1135" t="str">
        <f>IFERROR(__xludf.DUMMYFUNCTION("""COMPUTED_VALUE"""),"จิรัชยา อุบลพิทักษ์")</f>
        <v>จิรัชยา อุบลพิทักษ์</v>
      </c>
      <c r="L1135" t="str">
        <f>IFERROR(__xludf.DUMMYFUNCTION("""COMPUTED_VALUE"""),"นุ่มนิ่ม")</f>
        <v>นุ่มนิ่ม</v>
      </c>
      <c r="M1135" t="str">
        <f>IFERROR(__xludf.DUMMYFUNCTION("""COMPUTED_VALUE"""),"Cabin Crew - BKK")</f>
        <v>Cabin Crew - BKK</v>
      </c>
      <c r="N1135" t="str">
        <f>IFERROR(__xludf.DUMMYFUNCTION("""COMPUTED_VALUE"""),"BKK")</f>
        <v>BKK</v>
      </c>
      <c r="O1135" s="145" t="str">
        <f>IFERROR(__xludf.DUMMYFUNCTION("""COMPUTED_VALUE"""),"Nhui Home")</f>
        <v>Nhui Home</v>
      </c>
      <c r="P1135" t="str">
        <f>IFERROR(__xludf.DUMMYFUNCTION("""COMPUTED_VALUE"""),"Active")</f>
        <v>Active</v>
      </c>
      <c r="R1135" s="163">
        <f>IFERROR(__xludf.DUMMYFUNCTION("""COMPUTED_VALUE"""),32960.0)</f>
        <v>32960</v>
      </c>
      <c r="S1135" s="146" t="str">
        <f>IFERROR(__xludf.DUMMYFUNCTION("""COMPUTED_VALUE"""),"065 926 3614")</f>
        <v>065 926 3614</v>
      </c>
      <c r="T1135" s="146" t="str">
        <f>IFERROR(__xludf.DUMMYFUNCTION("""COMPUTED_VALUE"""),"1-4101-00193-29-8")</f>
        <v>1-4101-00193-29-8</v>
      </c>
      <c r="U1135" t="str">
        <f>IFERROR(__xludf.DUMMYFUNCTION("""COMPUTED_VALUE"""),"AD2175739")</f>
        <v>AD2175739</v>
      </c>
      <c r="V1135" s="148">
        <f>IFERROR(__xludf.DUMMYFUNCTION("""COMPUTED_VALUE"""),45798.0)</f>
        <v>45798</v>
      </c>
      <c r="W1135" s="148">
        <f>IFERROR(__xludf.DUMMYFUNCTION("""COMPUTED_VALUE"""),47623.0)</f>
        <v>47623</v>
      </c>
      <c r="X1135" s="149">
        <f>IFERROR(__xludf.DUMMYFUNCTION("""COMPUTED_VALUE"""),47442.0)</f>
        <v>47442</v>
      </c>
      <c r="Y1135" t="str">
        <f>IFERROR(__xludf.DUMMYFUNCTION("""COMPUTED_VALUE"""),"ปลอดภัย")</f>
        <v>ปลอดภัย</v>
      </c>
      <c r="Z1135" t="str">
        <f>IFERROR(__xludf.DUMMYFUNCTION("""COMPUTED_VALUE"""),"Udon Thani Province")</f>
        <v>Udon Thani Province</v>
      </c>
      <c r="AA1135" t="str">
        <f>IFERROR(__xludf.DUMMYFUNCTION("""COMPUTED_VALUE"""),"Bangkok")</f>
        <v>Bangkok</v>
      </c>
      <c r="AB1135" s="161" t="str">
        <f>IFERROR(__xludf.DUMMYFUNCTION("""COMPUTED_VALUE"""),"0898402028")</f>
        <v>0898402028</v>
      </c>
      <c r="AC1135" t="str">
        <f>IFERROR(__xludf.DUMMYFUNCTION("""COMPUTED_VALUE"""),"นางจินดา อุบลพิทักษ์ Mother")</f>
        <v>นางจินดา อุบลพิทักษ์ Mother</v>
      </c>
      <c r="AD1135" t="str">
        <f>IFERROR(__xludf.DUMMYFUNCTION("""COMPUTED_VALUE"""),"jiratchayau@airasia.com")</f>
        <v>jiratchayau@airasia.com</v>
      </c>
    </row>
    <row r="1136">
      <c r="A1136" s="142">
        <f>IFERROR(__xludf.DUMMYFUNCTION("""COMPUTED_VALUE"""),106.0)</f>
        <v>106</v>
      </c>
      <c r="C1136">
        <f>IFERROR(__xludf.DUMMYFUNCTION("""COMPUTED_VALUE"""),1040508.0)</f>
        <v>1040508</v>
      </c>
      <c r="D1136" t="str">
        <f>IFERROR(__xludf.DUMMYFUNCTION("""COMPUTED_VALUE"""),"Ms.")</f>
        <v>Ms.</v>
      </c>
      <c r="E1136" t="str">
        <f>IFERROR(__xludf.DUMMYFUNCTION("""COMPUTED_VALUE"""),"Kittikan")</f>
        <v>Kittikan</v>
      </c>
      <c r="F1136" t="str">
        <f>IFERROR(__xludf.DUMMYFUNCTION("""COMPUTED_VALUE"""),"Wajanaruangthai")</f>
        <v>Wajanaruangthai</v>
      </c>
      <c r="G1136" t="str">
        <f>IFERROR(__xludf.DUMMYFUNCTION("""COMPUTED_VALUE"""),"Kittikan Wajanaruangthai")</f>
        <v>Kittikan Wajanaruangthai</v>
      </c>
      <c r="H1136" t="str">
        <f>IFERROR(__xludf.DUMMYFUNCTION("""COMPUTED_VALUE"""),"นางสาว")</f>
        <v>นางสาว</v>
      </c>
      <c r="I1136" t="str">
        <f>IFERROR(__xludf.DUMMYFUNCTION("""COMPUTED_VALUE"""),"กิตติกานต์")</f>
        <v>กิตติกานต์</v>
      </c>
      <c r="J1136" t="str">
        <f>IFERROR(__xludf.DUMMYFUNCTION("""COMPUTED_VALUE"""),"วจนะเรืองไท")</f>
        <v>วจนะเรืองไท</v>
      </c>
      <c r="K1136" t="str">
        <f>IFERROR(__xludf.DUMMYFUNCTION("""COMPUTED_VALUE"""),"กิตติกานต์ วจนะเรืองไท")</f>
        <v>กิตติกานต์ วจนะเรืองไท</v>
      </c>
      <c r="L1136" t="str">
        <f>IFERROR(__xludf.DUMMYFUNCTION("""COMPUTED_VALUE"""),"Sandy / แซนดี้")</f>
        <v>Sandy / แซนดี้</v>
      </c>
      <c r="M1136" t="str">
        <f>IFERROR(__xludf.DUMMYFUNCTION("""COMPUTED_VALUE"""),"Cabin Crew")</f>
        <v>Cabin Crew</v>
      </c>
      <c r="N1136" t="str">
        <f>IFERROR(__xludf.DUMMYFUNCTION("""COMPUTED_VALUE"""),"DMK")</f>
        <v>DMK</v>
      </c>
      <c r="O1136" s="145" t="str">
        <f>IFERROR(__xludf.DUMMYFUNCTION("""COMPUTED_VALUE"""),"Por+ Home")</f>
        <v>Por+ Home</v>
      </c>
      <c r="P1136" t="str">
        <f>IFERROR(__xludf.DUMMYFUNCTION("""COMPUTED_VALUE"""),"Active")</f>
        <v>Active</v>
      </c>
      <c r="R1136" s="163">
        <f>IFERROR(__xludf.DUMMYFUNCTION("""COMPUTED_VALUE"""),35292.0)</f>
        <v>35292</v>
      </c>
      <c r="S1136" s="146" t="str">
        <f>IFERROR(__xludf.DUMMYFUNCTION("""COMPUTED_VALUE"""),"088 737 6263")</f>
        <v>088 737 6263</v>
      </c>
      <c r="T1136" s="146" t="str">
        <f>IFERROR(__xludf.DUMMYFUNCTION("""COMPUTED_VALUE"""),"1-4999-00231-79-6")</f>
        <v>1-4999-00231-79-6</v>
      </c>
      <c r="U1136" t="str">
        <f>IFERROR(__xludf.DUMMYFUNCTION("""COMPUTED_VALUE"""),"Ad1165509")</f>
        <v>Ad1165509</v>
      </c>
      <c r="V1136" s="148">
        <f>IFERROR(__xludf.DUMMYFUNCTION("""COMPUTED_VALUE"""),45182.0)</f>
        <v>45182</v>
      </c>
      <c r="W1136" s="150">
        <f>IFERROR(__xludf.DUMMYFUNCTION("""COMPUTED_VALUE"""),47008.0)</f>
        <v>47008</v>
      </c>
      <c r="X1136" s="149">
        <f>IFERROR(__xludf.DUMMYFUNCTION("""COMPUTED_VALUE"""),46824.0)</f>
        <v>46824</v>
      </c>
      <c r="Y1136" t="str">
        <f>IFERROR(__xludf.DUMMYFUNCTION("""COMPUTED_VALUE"""),"ปลอดภัย")</f>
        <v>ปลอดภัย</v>
      </c>
      <c r="Z1136" t="str">
        <f>IFERROR(__xludf.DUMMYFUNCTION("""COMPUTED_VALUE"""),"Mukdahan Province")</f>
        <v>Mukdahan Province</v>
      </c>
      <c r="AA1136" t="str">
        <f>IFERROR(__xludf.DUMMYFUNCTION("""COMPUTED_VALUE"""),"Bangkok")</f>
        <v>Bangkok</v>
      </c>
      <c r="AB1136" s="161" t="str">
        <f>IFERROR(__xludf.DUMMYFUNCTION("""COMPUTED_VALUE"""),"081-551-6225")</f>
        <v>081-551-6225</v>
      </c>
      <c r="AC1136" t="str">
        <f>IFERROR(__xludf.DUMMYFUNCTION("""COMPUTED_VALUE"""),"นายอนุกูล วจนะเรืองไท Father")</f>
        <v>นายอนุกูล วจนะเรืองไท Father</v>
      </c>
      <c r="AD1136" t="str">
        <f>IFERROR(__xludf.DUMMYFUNCTION("""COMPUTED_VALUE"""),"kittikanwajanaruang@airasia.com")</f>
        <v>kittikanwajanaruang@airasia.com</v>
      </c>
    </row>
    <row r="1137">
      <c r="A1137" s="142">
        <f>IFERROR(__xludf.DUMMYFUNCTION("""COMPUTED_VALUE"""),106.0)</f>
        <v>106</v>
      </c>
      <c r="C1137">
        <f>IFERROR(__xludf.DUMMYFUNCTION("""COMPUTED_VALUE"""),1022986.0)</f>
        <v>1022986</v>
      </c>
      <c r="D1137" t="str">
        <f>IFERROR(__xludf.DUMMYFUNCTION("""COMPUTED_VALUE"""),"Ms.")</f>
        <v>Ms.</v>
      </c>
      <c r="E1137" t="str">
        <f>IFERROR(__xludf.DUMMYFUNCTION("""COMPUTED_VALUE"""),"Minthita")</f>
        <v>Minthita</v>
      </c>
      <c r="F1137" t="str">
        <f>IFERROR(__xludf.DUMMYFUNCTION("""COMPUTED_VALUE"""),"Kanchanapinpong")</f>
        <v>Kanchanapinpong</v>
      </c>
      <c r="G1137" t="str">
        <f>IFERROR(__xludf.DUMMYFUNCTION("""COMPUTED_VALUE"""),"Minthita Kanchanapinpong")</f>
        <v>Minthita Kanchanapinpong</v>
      </c>
      <c r="H1137" t="str">
        <f>IFERROR(__xludf.DUMMYFUNCTION("""COMPUTED_VALUE"""),"นางสาว")</f>
        <v>นางสาว</v>
      </c>
      <c r="I1137" t="str">
        <f>IFERROR(__xludf.DUMMYFUNCTION("""COMPUTED_VALUE"""),"มินทร์ฐิตา")</f>
        <v>มินทร์ฐิตา</v>
      </c>
      <c r="J1137" t="str">
        <f>IFERROR(__xludf.DUMMYFUNCTION("""COMPUTED_VALUE"""),"กาญจนภิญพงศ์")</f>
        <v>กาญจนภิญพงศ์</v>
      </c>
      <c r="K1137" t="str">
        <f>IFERROR(__xludf.DUMMYFUNCTION("""COMPUTED_VALUE"""),"มินทร์ฐิตา กาญจนภิญพงศ์")</f>
        <v>มินทร์ฐิตา กาญจนภิญพงศ์</v>
      </c>
      <c r="L1137" t="str">
        <f>IFERROR(__xludf.DUMMYFUNCTION("""COMPUTED_VALUE"""),"PLOY")</f>
        <v>PLOY</v>
      </c>
      <c r="M1137" t="str">
        <f>IFERROR(__xludf.DUMMYFUNCTION("""COMPUTED_VALUE"""),"Cabin Crew")</f>
        <v>Cabin Crew</v>
      </c>
      <c r="N1137" t="str">
        <f>IFERROR(__xludf.DUMMYFUNCTION("""COMPUTED_VALUE"""),"DMK")</f>
        <v>DMK</v>
      </c>
      <c r="O1137" s="145" t="str">
        <f>IFERROR(__xludf.DUMMYFUNCTION("""COMPUTED_VALUE"""),"Namfon Home")</f>
        <v>Namfon Home</v>
      </c>
      <c r="P1137" t="str">
        <f>IFERROR(__xludf.DUMMYFUNCTION("""COMPUTED_VALUE"""),"Active")</f>
        <v>Active</v>
      </c>
      <c r="R1137" s="163">
        <f>IFERROR(__xludf.DUMMYFUNCTION("""COMPUTED_VALUE"""),33170.0)</f>
        <v>33170</v>
      </c>
      <c r="S1137" s="146" t="str">
        <f>IFERROR(__xludf.DUMMYFUNCTION("""COMPUTED_VALUE"""),"084 678 7960")</f>
        <v>084 678 7960</v>
      </c>
      <c r="T1137" s="146" t="str">
        <f>IFERROR(__xludf.DUMMYFUNCTION("""COMPUTED_VALUE"""),"1-1008-00646-04-2")</f>
        <v>1-1008-00646-04-2</v>
      </c>
      <c r="U1137" t="str">
        <f>IFERROR(__xludf.DUMMYFUNCTION("""COMPUTED_VALUE"""),"AD1300473")</f>
        <v>AD1300473</v>
      </c>
      <c r="V1137" s="148">
        <f>IFERROR(__xludf.DUMMYFUNCTION("""COMPUTED_VALUE"""),45334.0)</f>
        <v>45334</v>
      </c>
      <c r="W1137" s="148">
        <f>IFERROR(__xludf.DUMMYFUNCTION("""COMPUTED_VALUE"""),48986.0)</f>
        <v>48986</v>
      </c>
      <c r="X1137" s="149">
        <f>IFERROR(__xludf.DUMMYFUNCTION("""COMPUTED_VALUE"""),48802.0)</f>
        <v>48802</v>
      </c>
      <c r="Y1137" t="str">
        <f>IFERROR(__xludf.DUMMYFUNCTION("""COMPUTED_VALUE"""),"ปลอดภัย")</f>
        <v>ปลอดภัย</v>
      </c>
      <c r="Z1137" t="str">
        <f>IFERROR(__xludf.DUMMYFUNCTION("""COMPUTED_VALUE"""),"Bangkok")</f>
        <v>Bangkok</v>
      </c>
      <c r="AA1137" t="str">
        <f>IFERROR(__xludf.DUMMYFUNCTION("""COMPUTED_VALUE"""),"Bangkok")</f>
        <v>Bangkok</v>
      </c>
      <c r="AB1137" t="str">
        <f>IFERROR(__xludf.DUMMYFUNCTION("""COMPUTED_VALUE"""),"089-9149669")</f>
        <v>089-9149669</v>
      </c>
      <c r="AC1137" t="str">
        <f>IFERROR(__xludf.DUMMYFUNCTION("""COMPUTED_VALUE"""),"นางสุพิชฌาย์ กาญจนภิญพงศ์ Mother")</f>
        <v>นางสุพิชฌาย์ กาญจนภิญพงศ์ Mother</v>
      </c>
      <c r="AD1137" t="str">
        <f>IFERROR(__xludf.DUMMYFUNCTION("""COMPUTED_VALUE"""),"minthitaka@airasia.com")</f>
        <v>minthitaka@airasia.com</v>
      </c>
    </row>
    <row r="1138">
      <c r="A1138" s="142">
        <f>IFERROR(__xludf.DUMMYFUNCTION("""COMPUTED_VALUE"""),106.0)</f>
        <v>106</v>
      </c>
      <c r="C1138">
        <f>IFERROR(__xludf.DUMMYFUNCTION("""COMPUTED_VALUE"""),1040509.0)</f>
        <v>1040509</v>
      </c>
      <c r="D1138" t="str">
        <f>IFERROR(__xludf.DUMMYFUNCTION("""COMPUTED_VALUE"""),"Ms.")</f>
        <v>Ms.</v>
      </c>
      <c r="E1138" t="str">
        <f>IFERROR(__xludf.DUMMYFUNCTION("""COMPUTED_VALUE"""),"Namita")</f>
        <v>Namita</v>
      </c>
      <c r="F1138" t="str">
        <f>IFERROR(__xludf.DUMMYFUNCTION("""COMPUTED_VALUE"""),"Sukanan")</f>
        <v>Sukanan</v>
      </c>
      <c r="G1138" t="str">
        <f>IFERROR(__xludf.DUMMYFUNCTION("""COMPUTED_VALUE"""),"Namita Sukanan")</f>
        <v>Namita Sukanan</v>
      </c>
      <c r="H1138" t="str">
        <f>IFERROR(__xludf.DUMMYFUNCTION("""COMPUTED_VALUE"""),"นางสาว")</f>
        <v>นางสาว</v>
      </c>
      <c r="I1138" t="str">
        <f>IFERROR(__xludf.DUMMYFUNCTION("""COMPUTED_VALUE"""),"นมิตา")</f>
        <v>นมิตา</v>
      </c>
      <c r="J1138" t="str">
        <f>IFERROR(__xludf.DUMMYFUNCTION("""COMPUTED_VALUE"""),"สุขอนันต์")</f>
        <v>สุขอนันต์</v>
      </c>
      <c r="K1138" t="str">
        <f>IFERROR(__xludf.DUMMYFUNCTION("""COMPUTED_VALUE"""),"นมิตา สุขอนันต์")</f>
        <v>นมิตา สุขอนันต์</v>
      </c>
      <c r="L1138" t="str">
        <f>IFERROR(__xludf.DUMMYFUNCTION("""COMPUTED_VALUE"""),"Midta / มิดต้า")</f>
        <v>Midta / มิดต้า</v>
      </c>
      <c r="M1138" t="str">
        <f>IFERROR(__xludf.DUMMYFUNCTION("""COMPUTED_VALUE"""),"Cabin Crew")</f>
        <v>Cabin Crew</v>
      </c>
      <c r="N1138" t="str">
        <f>IFERROR(__xludf.DUMMYFUNCTION("""COMPUTED_VALUE"""),"DMK")</f>
        <v>DMK</v>
      </c>
      <c r="O1138" s="145" t="str">
        <f>IFERROR(__xludf.DUMMYFUNCTION("""COMPUTED_VALUE"""),"Toffy Home")</f>
        <v>Toffy Home</v>
      </c>
      <c r="P1138" t="str">
        <f>IFERROR(__xludf.DUMMYFUNCTION("""COMPUTED_VALUE"""),"Active")</f>
        <v>Active</v>
      </c>
      <c r="R1138" s="163">
        <f>IFERROR(__xludf.DUMMYFUNCTION("""COMPUTED_VALUE"""),36524.0)</f>
        <v>36524</v>
      </c>
      <c r="S1138" s="146" t="str">
        <f>IFERROR(__xludf.DUMMYFUNCTION("""COMPUTED_VALUE"""),"094 218 0546")</f>
        <v>094 218 0546</v>
      </c>
      <c r="T1138" s="146" t="str">
        <f>IFERROR(__xludf.DUMMYFUNCTION("""COMPUTED_VALUE"""),"1-8097-00350-63-1")</f>
        <v>1-8097-00350-63-1</v>
      </c>
      <c r="U1138" t="str">
        <f>IFERROR(__xludf.DUMMYFUNCTION("""COMPUTED_VALUE"""),"AC8158028")</f>
        <v>AC8158028</v>
      </c>
      <c r="V1138" s="148">
        <f>IFERROR(__xludf.DUMMYFUNCTION("""COMPUTED_VALUE"""),45873.0)</f>
        <v>45873</v>
      </c>
      <c r="W1138" s="148">
        <f>IFERROR(__xludf.DUMMYFUNCTION("""COMPUTED_VALUE"""),47698.0)</f>
        <v>47698</v>
      </c>
      <c r="X1138" s="149">
        <f>IFERROR(__xludf.DUMMYFUNCTION("""COMPUTED_VALUE"""),47517.0)</f>
        <v>47517</v>
      </c>
      <c r="Y1138" t="str">
        <f>IFERROR(__xludf.DUMMYFUNCTION("""COMPUTED_VALUE"""),"ปลอดภัย")</f>
        <v>ปลอดภัย</v>
      </c>
      <c r="Z1138" t="str">
        <f>IFERROR(__xludf.DUMMYFUNCTION("""COMPUTED_VALUE"""),"Nakhon Si Thammarat Province")</f>
        <v>Nakhon Si Thammarat Province</v>
      </c>
      <c r="AA1138" t="str">
        <f>IFERROR(__xludf.DUMMYFUNCTION("""COMPUTED_VALUE"""),"Pathum Thani")</f>
        <v>Pathum Thani</v>
      </c>
      <c r="AB1138" s="161" t="str">
        <f>IFERROR(__xludf.DUMMYFUNCTION("""COMPUTED_VALUE"""),"0932539888")</f>
        <v>0932539888</v>
      </c>
      <c r="AC1138" t="str">
        <f>IFERROR(__xludf.DUMMYFUNCTION("""COMPUTED_VALUE"""),"นาย เสฏฐะวุฒิ บุญนำ Friend")</f>
        <v>นาย เสฏฐะวุฒิ บุญนำ Friend</v>
      </c>
      <c r="AD1138" t="str">
        <f>IFERROR(__xludf.DUMMYFUNCTION("""COMPUTED_VALUE"""),"namitasukanan@airasia.com")</f>
        <v>namitasukanan@airasia.com</v>
      </c>
    </row>
    <row r="1139">
      <c r="A1139" s="142">
        <f>IFERROR(__xludf.DUMMYFUNCTION("""COMPUTED_VALUE"""),106.0)</f>
        <v>106</v>
      </c>
      <c r="C1139">
        <f>IFERROR(__xludf.DUMMYFUNCTION("""COMPUTED_VALUE"""),1040510.0)</f>
        <v>1040510</v>
      </c>
      <c r="D1139" t="str">
        <f>IFERROR(__xludf.DUMMYFUNCTION("""COMPUTED_VALUE"""),"Ms.")</f>
        <v>Ms.</v>
      </c>
      <c r="E1139" t="str">
        <f>IFERROR(__xludf.DUMMYFUNCTION("""COMPUTED_VALUE"""),"Namwa")</f>
        <v>Namwa</v>
      </c>
      <c r="F1139" t="str">
        <f>IFERROR(__xludf.DUMMYFUNCTION("""COMPUTED_VALUE"""),"Paettrakul")</f>
        <v>Paettrakul</v>
      </c>
      <c r="G1139" t="str">
        <f>IFERROR(__xludf.DUMMYFUNCTION("""COMPUTED_VALUE"""),"Namwa Paettrakul")</f>
        <v>Namwa Paettrakul</v>
      </c>
      <c r="H1139" t="str">
        <f>IFERROR(__xludf.DUMMYFUNCTION("""COMPUTED_VALUE"""),"นางสาว")</f>
        <v>นางสาว</v>
      </c>
      <c r="I1139" t="str">
        <f>IFERROR(__xludf.DUMMYFUNCTION("""COMPUTED_VALUE"""),"น้ำว้า")</f>
        <v>น้ำว้า</v>
      </c>
      <c r="J1139" t="str">
        <f>IFERROR(__xludf.DUMMYFUNCTION("""COMPUTED_VALUE"""),"แพศย์ตระกูล")</f>
        <v>แพศย์ตระกูล</v>
      </c>
      <c r="K1139" t="str">
        <f>IFERROR(__xludf.DUMMYFUNCTION("""COMPUTED_VALUE"""),"น้ำว้า แพศย์ตระกูล")</f>
        <v>น้ำว้า แพศย์ตระกูล</v>
      </c>
      <c r="L1139" t="str">
        <f>IFERROR(__xludf.DUMMYFUNCTION("""COMPUTED_VALUE"""),"Namwa / น้ำว้า")</f>
        <v>Namwa / น้ำว้า</v>
      </c>
      <c r="M1139" t="str">
        <f>IFERROR(__xludf.DUMMYFUNCTION("""COMPUTED_VALUE"""),"Cabin Crew")</f>
        <v>Cabin Crew</v>
      </c>
      <c r="N1139" t="str">
        <f>IFERROR(__xludf.DUMMYFUNCTION("""COMPUTED_VALUE"""),"DMK")</f>
        <v>DMK</v>
      </c>
      <c r="O1139" s="145" t="str">
        <f>IFERROR(__xludf.DUMMYFUNCTION("""COMPUTED_VALUE"""),"Toffy Home")</f>
        <v>Toffy Home</v>
      </c>
      <c r="P1139" t="str">
        <f>IFERROR(__xludf.DUMMYFUNCTION("""COMPUTED_VALUE"""),"Active")</f>
        <v>Active</v>
      </c>
      <c r="R1139" s="163">
        <f>IFERROR(__xludf.DUMMYFUNCTION("""COMPUTED_VALUE"""),35093.0)</f>
        <v>35093</v>
      </c>
      <c r="S1139" s="146" t="str">
        <f>IFERROR(__xludf.DUMMYFUNCTION("""COMPUTED_VALUE"""),"094 665 4191")</f>
        <v>094 665 4191</v>
      </c>
      <c r="T1139" s="146" t="str">
        <f>IFERROR(__xludf.DUMMYFUNCTION("""COMPUTED_VALUE"""),"1-1006-00342-99-6")</f>
        <v>1-1006-00342-99-6</v>
      </c>
      <c r="U1139" t="str">
        <f>IFERROR(__xludf.DUMMYFUNCTION("""COMPUTED_VALUE"""),"AD0968846")</f>
        <v>AD0968846</v>
      </c>
      <c r="V1139" s="148">
        <f>IFERROR(__xludf.DUMMYFUNCTION("""COMPUTED_VALUE"""),45037.0)</f>
        <v>45037</v>
      </c>
      <c r="W1139" s="148">
        <f>IFERROR(__xludf.DUMMYFUNCTION("""COMPUTED_VALUE"""),48689.0)</f>
        <v>48689</v>
      </c>
      <c r="X1139" s="149">
        <f>IFERROR(__xludf.DUMMYFUNCTION("""COMPUTED_VALUE"""),48507.0)</f>
        <v>48507</v>
      </c>
      <c r="Y1139" t="str">
        <f>IFERROR(__xludf.DUMMYFUNCTION("""COMPUTED_VALUE"""),"ปลอดภัย")</f>
        <v>ปลอดภัย</v>
      </c>
      <c r="Z1139" t="str">
        <f>IFERROR(__xludf.DUMMYFUNCTION("""COMPUTED_VALUE"""),"Bangkok")</f>
        <v>Bangkok</v>
      </c>
      <c r="AA1139" t="str">
        <f>IFERROR(__xludf.DUMMYFUNCTION("""COMPUTED_VALUE"""),"Bangkok")</f>
        <v>Bangkok</v>
      </c>
      <c r="AB1139" s="161" t="str">
        <f>IFERROR(__xludf.DUMMYFUNCTION("""COMPUTED_VALUE"""),"085-414-9191")</f>
        <v>085-414-9191</v>
      </c>
      <c r="AC1139" t="str">
        <f>IFERROR(__xludf.DUMMYFUNCTION("""COMPUTED_VALUE"""),"นายมานพ แพศย์ตระกูล Father")</f>
        <v>นายมานพ แพศย์ตระกูล Father</v>
      </c>
      <c r="AD1139" t="str">
        <f>IFERROR(__xludf.DUMMYFUNCTION("""COMPUTED_VALUE"""),"namwapaettrakul@airasia.com")</f>
        <v>namwapaettrakul@airasia.com</v>
      </c>
    </row>
    <row r="1140">
      <c r="A1140" s="142">
        <f>IFERROR(__xludf.DUMMYFUNCTION("""COMPUTED_VALUE"""),106.0)</f>
        <v>106</v>
      </c>
      <c r="C1140">
        <f>IFERROR(__xludf.DUMMYFUNCTION("""COMPUTED_VALUE"""),1040512.0)</f>
        <v>1040512</v>
      </c>
      <c r="D1140" t="str">
        <f>IFERROR(__xludf.DUMMYFUNCTION("""COMPUTED_VALUE"""),"Ms.")</f>
        <v>Ms.</v>
      </c>
      <c r="E1140" t="str">
        <f>IFERROR(__xludf.DUMMYFUNCTION("""COMPUTED_VALUE"""),"Nichapa")</f>
        <v>Nichapa</v>
      </c>
      <c r="F1140" t="str">
        <f>IFERROR(__xludf.DUMMYFUNCTION("""COMPUTED_VALUE"""),"Punsuwan")</f>
        <v>Punsuwan</v>
      </c>
      <c r="G1140" t="str">
        <f>IFERROR(__xludf.DUMMYFUNCTION("""COMPUTED_VALUE"""),"Nichapa Punsuwan")</f>
        <v>Nichapa Punsuwan</v>
      </c>
      <c r="H1140" t="str">
        <f>IFERROR(__xludf.DUMMYFUNCTION("""COMPUTED_VALUE"""),"นางสาว")</f>
        <v>นางสาว</v>
      </c>
      <c r="I1140" t="str">
        <f>IFERROR(__xludf.DUMMYFUNCTION("""COMPUTED_VALUE"""),"นิชาภา")</f>
        <v>นิชาภา</v>
      </c>
      <c r="J1140" t="str">
        <f>IFERROR(__xludf.DUMMYFUNCTION("""COMPUTED_VALUE"""),"ปั้นสุวรรณ")</f>
        <v>ปั้นสุวรรณ</v>
      </c>
      <c r="K1140" t="str">
        <f>IFERROR(__xludf.DUMMYFUNCTION("""COMPUTED_VALUE"""),"นิชาภา ปั้นสุวรรณ")</f>
        <v>นิชาภา ปั้นสุวรรณ</v>
      </c>
      <c r="L1140" t="str">
        <f>IFERROR(__xludf.DUMMYFUNCTION("""COMPUTED_VALUE"""),"จิ๊กกี๋")</f>
        <v>จิ๊กกี๋</v>
      </c>
      <c r="M1140" t="str">
        <f>IFERROR(__xludf.DUMMYFUNCTION("""COMPUTED_VALUE"""),"Cabin Crew")</f>
        <v>Cabin Crew</v>
      </c>
      <c r="N1140" t="str">
        <f>IFERROR(__xludf.DUMMYFUNCTION("""COMPUTED_VALUE"""),"DMK")</f>
        <v>DMK</v>
      </c>
      <c r="O1140" s="145" t="str">
        <f>IFERROR(__xludf.DUMMYFUNCTION("""COMPUTED_VALUE"""),"Nhui Home")</f>
        <v>Nhui Home</v>
      </c>
      <c r="P1140" t="str">
        <f>IFERROR(__xludf.DUMMYFUNCTION("""COMPUTED_VALUE"""),"Active")</f>
        <v>Active</v>
      </c>
      <c r="R1140" s="163">
        <f>IFERROR(__xludf.DUMMYFUNCTION("""COMPUTED_VALUE"""),32651.0)</f>
        <v>32651</v>
      </c>
      <c r="S1140" s="146" t="str">
        <f>IFERROR(__xludf.DUMMYFUNCTION("""COMPUTED_VALUE"""),"081 406 3336")</f>
        <v>081 406 3336</v>
      </c>
      <c r="T1140" s="146" t="str">
        <f>IFERROR(__xludf.DUMMYFUNCTION("""COMPUTED_VALUE"""),"1-1014-01616-89-2")</f>
        <v>1-1014-01616-89-2</v>
      </c>
      <c r="U1140" t="str">
        <f>IFERROR(__xludf.DUMMYFUNCTION("""COMPUTED_VALUE"""),"AC3242655")</f>
        <v>AC3242655</v>
      </c>
      <c r="V1140" s="148">
        <f>IFERROR(__xludf.DUMMYFUNCTION("""COMPUTED_VALUE"""),44712.0)</f>
        <v>44712</v>
      </c>
      <c r="W1140" s="148">
        <f>IFERROR(__xludf.DUMMYFUNCTION("""COMPUTED_VALUE"""),48364.0)</f>
        <v>48364</v>
      </c>
      <c r="X1140" s="149">
        <f>IFERROR(__xludf.DUMMYFUNCTION("""COMPUTED_VALUE"""),48182.0)</f>
        <v>48182</v>
      </c>
      <c r="Y1140" t="str">
        <f>IFERROR(__xludf.DUMMYFUNCTION("""COMPUTED_VALUE"""),"ปลอดภัย")</f>
        <v>ปลอดภัย</v>
      </c>
      <c r="Z1140" t="str">
        <f>IFERROR(__xludf.DUMMYFUNCTION("""COMPUTED_VALUE"""),"Bangkok")</f>
        <v>Bangkok</v>
      </c>
      <c r="AA1140" t="str">
        <f>IFERROR(__xludf.DUMMYFUNCTION("""COMPUTED_VALUE"""),"Bangkok")</f>
        <v>Bangkok</v>
      </c>
      <c r="AB1140" s="161" t="str">
        <f>IFERROR(__xludf.DUMMYFUNCTION("""COMPUTED_VALUE"""),"081-621-3840")</f>
        <v>081-621-3840</v>
      </c>
      <c r="AC1140" t="str">
        <f>IFERROR(__xludf.DUMMYFUNCTION("""COMPUTED_VALUE"""),"นาง รัตนา ปั้นสุวรรณ Mother")</f>
        <v>นาง รัตนา ปั้นสุวรรณ Mother</v>
      </c>
      <c r="AD1140" t="str">
        <f>IFERROR(__xludf.DUMMYFUNCTION("""COMPUTED_VALUE"""),"nichapapunsuwan@airasia.com")</f>
        <v>nichapapunsuwan@airasia.com</v>
      </c>
    </row>
    <row r="1141">
      <c r="A1141" s="142">
        <f>IFERROR(__xludf.DUMMYFUNCTION("""COMPUTED_VALUE"""),106.0)</f>
        <v>106</v>
      </c>
      <c r="C1141">
        <f>IFERROR(__xludf.DUMMYFUNCTION("""COMPUTED_VALUE"""),1040514.0)</f>
        <v>1040514</v>
      </c>
      <c r="D1141" t="str">
        <f>IFERROR(__xludf.DUMMYFUNCTION("""COMPUTED_VALUE"""),"Ms.")</f>
        <v>Ms.</v>
      </c>
      <c r="E1141" t="str">
        <f>IFERROR(__xludf.DUMMYFUNCTION("""COMPUTED_VALUE"""),"Ploylada")</f>
        <v>Ploylada</v>
      </c>
      <c r="F1141" t="str">
        <f>IFERROR(__xludf.DUMMYFUNCTION("""COMPUTED_VALUE"""),"Phanitwaranan")</f>
        <v>Phanitwaranan</v>
      </c>
      <c r="G1141" t="str">
        <f>IFERROR(__xludf.DUMMYFUNCTION("""COMPUTED_VALUE"""),"Ploylada Phanitwaranan")</f>
        <v>Ploylada Phanitwaranan</v>
      </c>
      <c r="H1141" t="str">
        <f>IFERROR(__xludf.DUMMYFUNCTION("""COMPUTED_VALUE"""),"นางสาว")</f>
        <v>นางสาว</v>
      </c>
      <c r="I1141" t="str">
        <f>IFERROR(__xludf.DUMMYFUNCTION("""COMPUTED_VALUE"""),"พลอยลดา")</f>
        <v>พลอยลดา</v>
      </c>
      <c r="J1141" t="str">
        <f>IFERROR(__xludf.DUMMYFUNCTION("""COMPUTED_VALUE"""),"พานิจวรานันท์")</f>
        <v>พานิจวรานันท์</v>
      </c>
      <c r="K1141" t="str">
        <f>IFERROR(__xludf.DUMMYFUNCTION("""COMPUTED_VALUE"""),"พลอยลดา พานิจวรานันท์")</f>
        <v>พลอยลดา พานิจวรานันท์</v>
      </c>
      <c r="L1141" t="str">
        <f>IFERROR(__xludf.DUMMYFUNCTION("""COMPUTED_VALUE"""),"Ball / บอล")</f>
        <v>Ball / บอล</v>
      </c>
      <c r="M1141" t="str">
        <f>IFERROR(__xludf.DUMMYFUNCTION("""COMPUTED_VALUE"""),"Cabin Crew")</f>
        <v>Cabin Crew</v>
      </c>
      <c r="N1141" t="str">
        <f>IFERROR(__xludf.DUMMYFUNCTION("""COMPUTED_VALUE"""),"DMK")</f>
        <v>DMK</v>
      </c>
      <c r="O1141" s="145" t="str">
        <f>IFERROR(__xludf.DUMMYFUNCTION("""COMPUTED_VALUE"""),"Kor Home")</f>
        <v>Kor Home</v>
      </c>
      <c r="P1141" t="str">
        <f>IFERROR(__xludf.DUMMYFUNCTION("""COMPUTED_VALUE"""),"Active")</f>
        <v>Active</v>
      </c>
      <c r="R1141" s="163">
        <f>IFERROR(__xludf.DUMMYFUNCTION("""COMPUTED_VALUE"""),36612.0)</f>
        <v>36612</v>
      </c>
      <c r="S1141" s="146" t="str">
        <f>IFERROR(__xludf.DUMMYFUNCTION("""COMPUTED_VALUE"""),"095 629 7093")</f>
        <v>095 629 7093</v>
      </c>
      <c r="T1141" s="146" t="str">
        <f>IFERROR(__xludf.DUMMYFUNCTION("""COMPUTED_VALUE"""),"1-6099-00497-14-0")</f>
        <v>1-6099-00497-14-0</v>
      </c>
      <c r="U1141" t="str">
        <f>IFERROR(__xludf.DUMMYFUNCTION("""COMPUTED_VALUE"""),"AC5655488")</f>
        <v>AC5655488</v>
      </c>
      <c r="V1141" s="148">
        <f>IFERROR(__xludf.DUMMYFUNCTION("""COMPUTED_VALUE"""),45176.0)</f>
        <v>45176</v>
      </c>
      <c r="W1141" s="148">
        <f>IFERROR(__xludf.DUMMYFUNCTION("""COMPUTED_VALUE"""),48828.0)</f>
        <v>48828</v>
      </c>
      <c r="X1141" s="149">
        <f>IFERROR(__xludf.DUMMYFUNCTION("""COMPUTED_VALUE"""),48644.0)</f>
        <v>48644</v>
      </c>
      <c r="Y1141" t="str">
        <f>IFERROR(__xludf.DUMMYFUNCTION("""COMPUTED_VALUE"""),"ปลอดภัย")</f>
        <v>ปลอดภัย</v>
      </c>
      <c r="Z1141" t="str">
        <f>IFERROR(__xludf.DUMMYFUNCTION("""COMPUTED_VALUE"""),"Nakhon Sawan Province")</f>
        <v>Nakhon Sawan Province</v>
      </c>
      <c r="AA1141" t="str">
        <f>IFERROR(__xludf.DUMMYFUNCTION("""COMPUTED_VALUE"""),"Bangkok")</f>
        <v>Bangkok</v>
      </c>
      <c r="AB1141" s="161" t="str">
        <f>IFERROR(__xludf.DUMMYFUNCTION("""COMPUTED_VALUE"""),"064-6296156")</f>
        <v>064-6296156</v>
      </c>
      <c r="AC1141" t="str">
        <f>IFERROR(__xludf.DUMMYFUNCTION("""COMPUTED_VALUE"""),"นางสาวณัฐจารี พานิจวรานันท์ Sister")</f>
        <v>นางสาวณัฐจารี พานิจวรานันท์ Sister</v>
      </c>
      <c r="AD1141" t="str">
        <f>IFERROR(__xludf.DUMMYFUNCTION("""COMPUTED_VALUE"""),"ployladaphanitwaran@airasia.com")</f>
        <v>ployladaphanitwaran@airasia.com</v>
      </c>
    </row>
    <row r="1142">
      <c r="A1142" s="142">
        <f>IFERROR(__xludf.DUMMYFUNCTION("""COMPUTED_VALUE"""),106.0)</f>
        <v>106</v>
      </c>
      <c r="C1142">
        <f>IFERROR(__xludf.DUMMYFUNCTION("""COMPUTED_VALUE"""),1040516.0)</f>
        <v>1040516</v>
      </c>
      <c r="D1142" t="str">
        <f>IFERROR(__xludf.DUMMYFUNCTION("""COMPUTED_VALUE"""),"Ms.")</f>
        <v>Ms.</v>
      </c>
      <c r="E1142" t="str">
        <f>IFERROR(__xludf.DUMMYFUNCTION("""COMPUTED_VALUE"""),"Suchanan")</f>
        <v>Suchanan</v>
      </c>
      <c r="F1142" t="str">
        <f>IFERROR(__xludf.DUMMYFUNCTION("""COMPUTED_VALUE"""),"Chungsai")</f>
        <v>Chungsai</v>
      </c>
      <c r="G1142" t="str">
        <f>IFERROR(__xludf.DUMMYFUNCTION("""COMPUTED_VALUE"""),"Suchanan Chungsai")</f>
        <v>Suchanan Chungsai</v>
      </c>
      <c r="H1142" t="str">
        <f>IFERROR(__xludf.DUMMYFUNCTION("""COMPUTED_VALUE"""),"นางสาว")</f>
        <v>นางสาว</v>
      </c>
      <c r="I1142" t="str">
        <f>IFERROR(__xludf.DUMMYFUNCTION("""COMPUTED_VALUE"""),"สุชานันท์")</f>
        <v>สุชานันท์</v>
      </c>
      <c r="J1142" t="str">
        <f>IFERROR(__xludf.DUMMYFUNCTION("""COMPUTED_VALUE"""),"จูงสาย")</f>
        <v>จูงสาย</v>
      </c>
      <c r="K1142" t="str">
        <f>IFERROR(__xludf.DUMMYFUNCTION("""COMPUTED_VALUE"""),"สุชานันท์ จูงสาย")</f>
        <v>สุชานันท์ จูงสาย</v>
      </c>
      <c r="L1142" t="str">
        <f>IFERROR(__xludf.DUMMYFUNCTION("""COMPUTED_VALUE"""),"Nook")</f>
        <v>Nook</v>
      </c>
      <c r="M1142" t="str">
        <f>IFERROR(__xludf.DUMMYFUNCTION("""COMPUTED_VALUE"""),"Cabin Crew")</f>
        <v>Cabin Crew</v>
      </c>
      <c r="N1142" t="str">
        <f>IFERROR(__xludf.DUMMYFUNCTION("""COMPUTED_VALUE"""),"DMK")</f>
        <v>DMK</v>
      </c>
      <c r="O1142" s="145" t="str">
        <f>IFERROR(__xludf.DUMMYFUNCTION("""COMPUTED_VALUE"""),"Um Home")</f>
        <v>Um Home</v>
      </c>
      <c r="P1142" t="str">
        <f>IFERROR(__xludf.DUMMYFUNCTION("""COMPUTED_VALUE"""),"Active")</f>
        <v>Active</v>
      </c>
      <c r="R1142" s="163">
        <f>IFERROR(__xludf.DUMMYFUNCTION("""COMPUTED_VALUE"""),35503.0)</f>
        <v>35503</v>
      </c>
      <c r="S1142" s="146" t="str">
        <f>IFERROR(__xludf.DUMMYFUNCTION("""COMPUTED_VALUE"""),"099 215 9222")</f>
        <v>099 215 9222</v>
      </c>
      <c r="T1142" s="146" t="str">
        <f>IFERROR(__xludf.DUMMYFUNCTION("""COMPUTED_VALUE"""),"1-1005-01394-86-6")</f>
        <v>1-1005-01394-86-6</v>
      </c>
      <c r="U1142" t="str">
        <f>IFERROR(__xludf.DUMMYFUNCTION("""COMPUTED_VALUE"""),"AD1394283")</f>
        <v>AD1394283</v>
      </c>
      <c r="V1142" s="148">
        <f>IFERROR(__xludf.DUMMYFUNCTION("""COMPUTED_VALUE"""),45236.0)</f>
        <v>45236</v>
      </c>
      <c r="W1142" s="148">
        <f>IFERROR(__xludf.DUMMYFUNCTION("""COMPUTED_VALUE"""),48888.0)</f>
        <v>48888</v>
      </c>
      <c r="X1142" s="149">
        <f>IFERROR(__xludf.DUMMYFUNCTION("""COMPUTED_VALUE"""),48704.0)</f>
        <v>48704</v>
      </c>
      <c r="Y1142" t="str">
        <f>IFERROR(__xludf.DUMMYFUNCTION("""COMPUTED_VALUE"""),"ปลอดภัย")</f>
        <v>ปลอดภัย</v>
      </c>
      <c r="Z1142" t="str">
        <f>IFERROR(__xludf.DUMMYFUNCTION("""COMPUTED_VALUE"""),"Bangkok")</f>
        <v>Bangkok</v>
      </c>
      <c r="AA1142" t="str">
        <f>IFERROR(__xludf.DUMMYFUNCTION("""COMPUTED_VALUE"""),"Bangkok")</f>
        <v>Bangkok</v>
      </c>
      <c r="AB1142" s="161" t="str">
        <f>IFERROR(__xludf.DUMMYFUNCTION("""COMPUTED_VALUE"""),"0905654442")</f>
        <v>0905654442</v>
      </c>
      <c r="AC1142" t="str">
        <f>IFERROR(__xludf.DUMMYFUNCTION("""COMPUTED_VALUE"""),"นางสุชานุช เกษจรัล Mother")</f>
        <v>นางสุชานุช เกษจรัล Mother</v>
      </c>
      <c r="AD1142" t="str">
        <f>IFERROR(__xludf.DUMMYFUNCTION("""COMPUTED_VALUE"""),"suchananchungsai@airasia.com")</f>
        <v>suchananchungsai@airasia.com</v>
      </c>
    </row>
    <row r="1143">
      <c r="A1143" s="142">
        <f>IFERROR(__xludf.DUMMYFUNCTION("""COMPUTED_VALUE"""),106.0)</f>
        <v>106</v>
      </c>
      <c r="C1143">
        <f>IFERROR(__xludf.DUMMYFUNCTION("""COMPUTED_VALUE"""),1040518.0)</f>
        <v>1040518</v>
      </c>
      <c r="D1143" t="str">
        <f>IFERROR(__xludf.DUMMYFUNCTION("""COMPUTED_VALUE"""),"Ms.")</f>
        <v>Ms.</v>
      </c>
      <c r="E1143" t="str">
        <f>IFERROR(__xludf.DUMMYFUNCTION("""COMPUTED_VALUE"""),"Thanyarat")</f>
        <v>Thanyarat</v>
      </c>
      <c r="F1143" t="str">
        <f>IFERROR(__xludf.DUMMYFUNCTION("""COMPUTED_VALUE"""),"Kajornchaiyakul")</f>
        <v>Kajornchaiyakul</v>
      </c>
      <c r="G1143" t="str">
        <f>IFERROR(__xludf.DUMMYFUNCTION("""COMPUTED_VALUE"""),"Thanyarat Kajornchaiyakul")</f>
        <v>Thanyarat Kajornchaiyakul</v>
      </c>
      <c r="H1143" t="str">
        <f>IFERROR(__xludf.DUMMYFUNCTION("""COMPUTED_VALUE"""),"นางสาว")</f>
        <v>นางสาว</v>
      </c>
      <c r="I1143" t="str">
        <f>IFERROR(__xludf.DUMMYFUNCTION("""COMPUTED_VALUE"""),"ธัญรัศ")</f>
        <v>ธัญรัศ</v>
      </c>
      <c r="J1143" t="str">
        <f>IFERROR(__xludf.DUMMYFUNCTION("""COMPUTED_VALUE"""),"ขจรไชยกูล")</f>
        <v>ขจรไชยกูล</v>
      </c>
      <c r="K1143" t="str">
        <f>IFERROR(__xludf.DUMMYFUNCTION("""COMPUTED_VALUE"""),"ธัญรัศ ขจรไชยกูล")</f>
        <v>ธัญรัศ ขจรไชยกูล</v>
      </c>
      <c r="L1143" t="str">
        <f>IFERROR(__xludf.DUMMYFUNCTION("""COMPUTED_VALUE"""),"Ben / เบญ")</f>
        <v>Ben / เบญ</v>
      </c>
      <c r="M1143" t="str">
        <f>IFERROR(__xludf.DUMMYFUNCTION("""COMPUTED_VALUE"""),"Cabin Crew")</f>
        <v>Cabin Crew</v>
      </c>
      <c r="N1143" t="str">
        <f>IFERROR(__xludf.DUMMYFUNCTION("""COMPUTED_VALUE"""),"DMK")</f>
        <v>DMK</v>
      </c>
      <c r="O1143" s="145" t="str">
        <f>IFERROR(__xludf.DUMMYFUNCTION("""COMPUTED_VALUE"""),"Toffy Home")</f>
        <v>Toffy Home</v>
      </c>
      <c r="P1143" t="str">
        <f>IFERROR(__xludf.DUMMYFUNCTION("""COMPUTED_VALUE"""),"Active")</f>
        <v>Active</v>
      </c>
      <c r="R1143" s="163">
        <f>IFERROR(__xludf.DUMMYFUNCTION("""COMPUTED_VALUE"""),32033.0)</f>
        <v>32033</v>
      </c>
      <c r="S1143" s="146" t="str">
        <f>IFERROR(__xludf.DUMMYFUNCTION("""COMPUTED_VALUE"""),"082 664 9697")</f>
        <v>082 664 9697</v>
      </c>
      <c r="T1143" s="146" t="str">
        <f>IFERROR(__xludf.DUMMYFUNCTION("""COMPUTED_VALUE"""),"1-1008-00373-35-6")</f>
        <v>1-1008-00373-35-6</v>
      </c>
      <c r="U1143" t="str">
        <f>IFERROR(__xludf.DUMMYFUNCTION("""COMPUTED_VALUE"""),"AD0594538")</f>
        <v>AD0594538</v>
      </c>
      <c r="V1143" s="148">
        <f>IFERROR(__xludf.DUMMYFUNCTION("""COMPUTED_VALUE"""),48591.0)</f>
        <v>48591</v>
      </c>
      <c r="W1143" s="148">
        <f>IFERROR(__xludf.DUMMYFUNCTION("""COMPUTED_VALUE"""),48590.0)</f>
        <v>48590</v>
      </c>
      <c r="X1143" s="149">
        <f>IFERROR(__xludf.DUMMYFUNCTION("""COMPUTED_VALUE"""),48406.0)</f>
        <v>48406</v>
      </c>
      <c r="Y1143" t="str">
        <f>IFERROR(__xludf.DUMMYFUNCTION("""COMPUTED_VALUE"""),"ปลอดภัย")</f>
        <v>ปลอดภัย</v>
      </c>
      <c r="Z1143" t="str">
        <f>IFERROR(__xludf.DUMMYFUNCTION("""COMPUTED_VALUE"""),"Bangkok")</f>
        <v>Bangkok</v>
      </c>
      <c r="AA1143" t="str">
        <f>IFERROR(__xludf.DUMMYFUNCTION("""COMPUTED_VALUE"""),"Nonthaburi")</f>
        <v>Nonthaburi</v>
      </c>
      <c r="AB1143" s="161" t="str">
        <f>IFERROR(__xludf.DUMMYFUNCTION("""COMPUTED_VALUE"""),"062-909-5924")</f>
        <v>062-909-5924</v>
      </c>
      <c r="AC1143" t="str">
        <f>IFERROR(__xludf.DUMMYFUNCTION("""COMPUTED_VALUE"""),"นายฤทธิรงค์ เรืองศักดิ์ Friend")</f>
        <v>นายฤทธิรงค์ เรืองศักดิ์ Friend</v>
      </c>
      <c r="AD1143" t="str">
        <f>IFERROR(__xludf.DUMMYFUNCTION("""COMPUTED_VALUE"""),"thanyaratkajornchai@airasia.com")</f>
        <v>thanyaratkajornchai@airasia.com</v>
      </c>
    </row>
    <row r="1144">
      <c r="A1144" s="142">
        <f>IFERROR(__xludf.DUMMYFUNCTION("""COMPUTED_VALUE"""),106.0)</f>
        <v>106</v>
      </c>
      <c r="C1144">
        <f>IFERROR(__xludf.DUMMYFUNCTION("""COMPUTED_VALUE"""),1040519.0)</f>
        <v>1040519</v>
      </c>
      <c r="D1144" t="str">
        <f>IFERROR(__xludf.DUMMYFUNCTION("""COMPUTED_VALUE"""),"Ms.")</f>
        <v>Ms.</v>
      </c>
      <c r="E1144" t="str">
        <f>IFERROR(__xludf.DUMMYFUNCTION("""COMPUTED_VALUE"""),"Thatsani")</f>
        <v>Thatsani</v>
      </c>
      <c r="F1144" t="str">
        <f>IFERROR(__xludf.DUMMYFUNCTION("""COMPUTED_VALUE"""),"Saecai")</f>
        <v>Saecai</v>
      </c>
      <c r="G1144" t="str">
        <f>IFERROR(__xludf.DUMMYFUNCTION("""COMPUTED_VALUE"""),"Thatsani Saecai")</f>
        <v>Thatsani Saecai</v>
      </c>
      <c r="H1144" t="str">
        <f>IFERROR(__xludf.DUMMYFUNCTION("""COMPUTED_VALUE"""),"นางสาว")</f>
        <v>นางสาว</v>
      </c>
      <c r="I1144" t="str">
        <f>IFERROR(__xludf.DUMMYFUNCTION("""COMPUTED_VALUE"""),"ทัศนีย์")</f>
        <v>ทัศนีย์</v>
      </c>
      <c r="J1144" t="str">
        <f>IFERROR(__xludf.DUMMYFUNCTION("""COMPUTED_VALUE"""),"แซ่ไช่")</f>
        <v>แซ่ไช่</v>
      </c>
      <c r="K1144" t="str">
        <f>IFERROR(__xludf.DUMMYFUNCTION("""COMPUTED_VALUE"""),"ทัศนีย์ แซ่ไช่")</f>
        <v>ทัศนีย์ แซ่ไช่</v>
      </c>
      <c r="L1144" t="str">
        <f>IFERROR(__xludf.DUMMYFUNCTION("""COMPUTED_VALUE"""),"Lhing / หลิง")</f>
        <v>Lhing / หลิง</v>
      </c>
      <c r="M1144" t="str">
        <f>IFERROR(__xludf.DUMMYFUNCTION("""COMPUTED_VALUE"""),"Cabin Crew")</f>
        <v>Cabin Crew</v>
      </c>
      <c r="N1144" t="str">
        <f>IFERROR(__xludf.DUMMYFUNCTION("""COMPUTED_VALUE"""),"DMK")</f>
        <v>DMK</v>
      </c>
      <c r="O1144" s="145" t="str">
        <f>IFERROR(__xludf.DUMMYFUNCTION("""COMPUTED_VALUE"""),"Kor Home")</f>
        <v>Kor Home</v>
      </c>
      <c r="P1144" t="str">
        <f>IFERROR(__xludf.DUMMYFUNCTION("""COMPUTED_VALUE"""),"Active")</f>
        <v>Active</v>
      </c>
      <c r="R1144" s="163">
        <f>IFERROR(__xludf.DUMMYFUNCTION("""COMPUTED_VALUE"""),35371.0)</f>
        <v>35371</v>
      </c>
      <c r="S1144" s="146" t="str">
        <f>IFERROR(__xludf.DUMMYFUNCTION("""COMPUTED_VALUE"""),"065 953 6246")</f>
        <v>065 953 6246</v>
      </c>
      <c r="T1144" s="146" t="str">
        <f>IFERROR(__xludf.DUMMYFUNCTION("""COMPUTED_VALUE"""),"1-1101-00179-79-4")</f>
        <v>1-1101-00179-79-4</v>
      </c>
      <c r="U1144" t="str">
        <f>IFERROR(__xludf.DUMMYFUNCTION("""COMPUTED_VALUE"""),"AC3916876")</f>
        <v>AC3916876</v>
      </c>
      <c r="V1144" s="148">
        <f>IFERROR(__xludf.DUMMYFUNCTION("""COMPUTED_VALUE"""),44799.0)</f>
        <v>44799</v>
      </c>
      <c r="W1144" s="148">
        <f>IFERROR(__xludf.DUMMYFUNCTION("""COMPUTED_VALUE"""),48451.0)</f>
        <v>48451</v>
      </c>
      <c r="X1144" s="149">
        <f>IFERROR(__xludf.DUMMYFUNCTION("""COMPUTED_VALUE"""),48269.0)</f>
        <v>48269</v>
      </c>
      <c r="Y1144" t="str">
        <f>IFERROR(__xludf.DUMMYFUNCTION("""COMPUTED_VALUE"""),"ปลอดภัย")</f>
        <v>ปลอดภัย</v>
      </c>
      <c r="Z1144" t="str">
        <f>IFERROR(__xludf.DUMMYFUNCTION("""COMPUTED_VALUE"""),"Samut Prakan Province")</f>
        <v>Samut Prakan Province</v>
      </c>
      <c r="AA1144" t="str">
        <f>IFERROR(__xludf.DUMMYFUNCTION("""COMPUTED_VALUE"""),"Bangkok")</f>
        <v>Bangkok</v>
      </c>
      <c r="AB1144" s="161" t="str">
        <f>IFERROR(__xludf.DUMMYFUNCTION("""COMPUTED_VALUE"""),"085-027-1425")</f>
        <v>085-027-1425</v>
      </c>
      <c r="AC1144" t="str">
        <f>IFERROR(__xludf.DUMMYFUNCTION("""COMPUTED_VALUE"""),"นายวรากร เจริญรัตน์ Friend")</f>
        <v>นายวรากร เจริญรัตน์ Friend</v>
      </c>
      <c r="AD1144" t="str">
        <f>IFERROR(__xludf.DUMMYFUNCTION("""COMPUTED_VALUE"""),"thatsanisaecai@airasia.com")</f>
        <v>thatsanisaecai@airasia.com</v>
      </c>
    </row>
    <row r="1145">
      <c r="A1145" s="142">
        <f>IFERROR(__xludf.DUMMYFUNCTION("""COMPUTED_VALUE"""),106.0)</f>
        <v>106</v>
      </c>
      <c r="C1145">
        <f>IFERROR(__xludf.DUMMYFUNCTION("""COMPUTED_VALUE"""),1040520.0)</f>
        <v>1040520</v>
      </c>
      <c r="D1145" t="str">
        <f>IFERROR(__xludf.DUMMYFUNCTION("""COMPUTED_VALUE"""),"Ms.")</f>
        <v>Ms.</v>
      </c>
      <c r="E1145" t="str">
        <f>IFERROR(__xludf.DUMMYFUNCTION("""COMPUTED_VALUE"""),"Thitapron")</f>
        <v>Thitapron</v>
      </c>
      <c r="F1145" t="str">
        <f>IFERROR(__xludf.DUMMYFUNCTION("""COMPUTED_VALUE"""),"Rattanavichien")</f>
        <v>Rattanavichien</v>
      </c>
      <c r="G1145" t="str">
        <f>IFERROR(__xludf.DUMMYFUNCTION("""COMPUTED_VALUE"""),"Thitapron Rattanavichien")</f>
        <v>Thitapron Rattanavichien</v>
      </c>
      <c r="H1145" t="str">
        <f>IFERROR(__xludf.DUMMYFUNCTION("""COMPUTED_VALUE"""),"นางสาว")</f>
        <v>นางสาว</v>
      </c>
      <c r="I1145" t="str">
        <f>IFERROR(__xludf.DUMMYFUNCTION("""COMPUTED_VALUE"""),"ฐิตาภรณ์")</f>
        <v>ฐิตาภรณ์</v>
      </c>
      <c r="J1145" t="str">
        <f>IFERROR(__xludf.DUMMYFUNCTION("""COMPUTED_VALUE"""),"รัตนวิเชียร")</f>
        <v>รัตนวิเชียร</v>
      </c>
      <c r="K1145" t="str">
        <f>IFERROR(__xludf.DUMMYFUNCTION("""COMPUTED_VALUE"""),"ฐิตาภรณ์ รัตนวิเชียร")</f>
        <v>ฐิตาภรณ์ รัตนวิเชียร</v>
      </c>
      <c r="L1145" t="str">
        <f>IFERROR(__xludf.DUMMYFUNCTION("""COMPUTED_VALUE"""),"Mind / มายด์")</f>
        <v>Mind / มายด์</v>
      </c>
      <c r="M1145" t="str">
        <f>IFERROR(__xludf.DUMMYFUNCTION("""COMPUTED_VALUE"""),"Cabin Crew")</f>
        <v>Cabin Crew</v>
      </c>
      <c r="N1145" t="str">
        <f>IFERROR(__xludf.DUMMYFUNCTION("""COMPUTED_VALUE"""),"DMK")</f>
        <v>DMK</v>
      </c>
      <c r="O1145" s="145" t="str">
        <f>IFERROR(__xludf.DUMMYFUNCTION("""COMPUTED_VALUE"""),"Nhui Home")</f>
        <v>Nhui Home</v>
      </c>
      <c r="P1145" t="str">
        <f>IFERROR(__xludf.DUMMYFUNCTION("""COMPUTED_VALUE"""),"Active")</f>
        <v>Active</v>
      </c>
      <c r="R1145" s="163">
        <f>IFERROR(__xludf.DUMMYFUNCTION("""COMPUTED_VALUE"""),35004.0)</f>
        <v>35004</v>
      </c>
      <c r="S1145" s="146" t="str">
        <f>IFERROR(__xludf.DUMMYFUNCTION("""COMPUTED_VALUE"""),"081 534 0680")</f>
        <v>081 534 0680</v>
      </c>
      <c r="T1145" s="146" t="str">
        <f>IFERROR(__xludf.DUMMYFUNCTION("""COMPUTED_VALUE"""),"1-1005-01254-25-8")</f>
        <v>1-1005-01254-25-8</v>
      </c>
      <c r="U1145" t="str">
        <f>IFERROR(__xludf.DUMMYFUNCTION("""COMPUTED_VALUE"""),"AC2561421")</f>
        <v>AC2561421</v>
      </c>
      <c r="V1145" s="148">
        <f>IFERROR(__xludf.DUMMYFUNCTION("""COMPUTED_VALUE"""),44663.0)</f>
        <v>44663</v>
      </c>
      <c r="W1145" s="148">
        <f>IFERROR(__xludf.DUMMYFUNCTION("""COMPUTED_VALUE"""),48315.0)</f>
        <v>48315</v>
      </c>
      <c r="X1145" s="149">
        <f>IFERROR(__xludf.DUMMYFUNCTION("""COMPUTED_VALUE"""),48132.0)</f>
        <v>48132</v>
      </c>
      <c r="Y1145" t="str">
        <f>IFERROR(__xludf.DUMMYFUNCTION("""COMPUTED_VALUE"""),"ปลอดภัย")</f>
        <v>ปลอดภัย</v>
      </c>
      <c r="Z1145" t="str">
        <f>IFERROR(__xludf.DUMMYFUNCTION("""COMPUTED_VALUE"""),"Bangkok")</f>
        <v>Bangkok</v>
      </c>
      <c r="AA1145" t="str">
        <f>IFERROR(__xludf.DUMMYFUNCTION("""COMPUTED_VALUE"""),"Pathum Thani")</f>
        <v>Pathum Thani</v>
      </c>
      <c r="AB1145" s="161" t="str">
        <f>IFERROR(__xludf.DUMMYFUNCTION("""COMPUTED_VALUE"""),"081-533-2635")</f>
        <v>081-533-2635</v>
      </c>
      <c r="AC1145" t="str">
        <f>IFERROR(__xludf.DUMMYFUNCTION("""COMPUTED_VALUE"""),"นาวาอากาศเอกหญิง สิริกร รัตนวิเชียร Mother")</f>
        <v>นาวาอากาศเอกหญิง สิริกร รัตนวิเชียร Mother</v>
      </c>
      <c r="AD1145" t="str">
        <f>IFERROR(__xludf.DUMMYFUNCTION("""COMPUTED_VALUE"""),"thitapronrattanavic@airasia.com")</f>
        <v>thitapronrattanavic@airasia.com</v>
      </c>
    </row>
    <row r="1146">
      <c r="A1146" s="142">
        <f>IFERROR(__xludf.DUMMYFUNCTION("""COMPUTED_VALUE"""),106.0)</f>
        <v>106</v>
      </c>
      <c r="C1146">
        <f>IFERROR(__xludf.DUMMYFUNCTION("""COMPUTED_VALUE"""),1040521.0)</f>
        <v>1040521</v>
      </c>
      <c r="D1146" t="str">
        <f>IFERROR(__xludf.DUMMYFUNCTION("""COMPUTED_VALUE"""),"Ms.")</f>
        <v>Ms.</v>
      </c>
      <c r="E1146" t="str">
        <f>IFERROR(__xludf.DUMMYFUNCTION("""COMPUTED_VALUE"""),"Thunsuda")</f>
        <v>Thunsuda</v>
      </c>
      <c r="F1146" t="str">
        <f>IFERROR(__xludf.DUMMYFUNCTION("""COMPUTED_VALUE"""),"Kwawsibsam")</f>
        <v>Kwawsibsam</v>
      </c>
      <c r="G1146" t="str">
        <f>IFERROR(__xludf.DUMMYFUNCTION("""COMPUTED_VALUE"""),"Thunsuda Kwawsibsam")</f>
        <v>Thunsuda Kwawsibsam</v>
      </c>
      <c r="H1146" t="str">
        <f>IFERROR(__xludf.DUMMYFUNCTION("""COMPUTED_VALUE"""),"นางสาว")</f>
        <v>นางสาว</v>
      </c>
      <c r="I1146" t="str">
        <f>IFERROR(__xludf.DUMMYFUNCTION("""COMPUTED_VALUE"""),"ธัญสุดา")</f>
        <v>ธัญสุดา</v>
      </c>
      <c r="J1146" t="str">
        <f>IFERROR(__xludf.DUMMYFUNCTION("""COMPUTED_VALUE"""),"กวาวสิบสาม")</f>
        <v>กวาวสิบสาม</v>
      </c>
      <c r="K1146" t="str">
        <f>IFERROR(__xludf.DUMMYFUNCTION("""COMPUTED_VALUE"""),"ธัญสุดา กวาวสิบสาม")</f>
        <v>ธัญสุดา กวาวสิบสาม</v>
      </c>
      <c r="L1146" t="str">
        <f>IFERROR(__xludf.DUMMYFUNCTION("""COMPUTED_VALUE"""),"Bifern")</f>
        <v>Bifern</v>
      </c>
      <c r="M1146" t="str">
        <f>IFERROR(__xludf.DUMMYFUNCTION("""COMPUTED_VALUE"""),"Cabin Crew")</f>
        <v>Cabin Crew</v>
      </c>
      <c r="N1146" t="str">
        <f>IFERROR(__xludf.DUMMYFUNCTION("""COMPUTED_VALUE"""),"DMK")</f>
        <v>DMK</v>
      </c>
      <c r="O1146" s="145" t="str">
        <f>IFERROR(__xludf.DUMMYFUNCTION("""COMPUTED_VALUE"""),"Toffy Home")</f>
        <v>Toffy Home</v>
      </c>
      <c r="P1146" t="str">
        <f>IFERROR(__xludf.DUMMYFUNCTION("""COMPUTED_VALUE"""),"Active")</f>
        <v>Active</v>
      </c>
      <c r="R1146" s="163">
        <f>IFERROR(__xludf.DUMMYFUNCTION("""COMPUTED_VALUE"""),35252.0)</f>
        <v>35252</v>
      </c>
      <c r="S1146" s="146" t="str">
        <f>IFERROR(__xludf.DUMMYFUNCTION("""COMPUTED_VALUE"""),"089 637 0250")</f>
        <v>089 637 0250</v>
      </c>
      <c r="T1146" s="146" t="str">
        <f>IFERROR(__xludf.DUMMYFUNCTION("""COMPUTED_VALUE"""),"1-5599-00308-43-7")</f>
        <v>1-5599-00308-43-7</v>
      </c>
      <c r="U1146" t="str">
        <f>IFERROR(__xludf.DUMMYFUNCTION("""COMPUTED_VALUE"""),"AC2298253")</f>
        <v>AC2298253</v>
      </c>
      <c r="V1146" s="148">
        <f>IFERROR(__xludf.DUMMYFUNCTION("""COMPUTED_VALUE"""),44351.0)</f>
        <v>44351</v>
      </c>
      <c r="W1146" s="148">
        <f>IFERROR(__xludf.DUMMYFUNCTION("""COMPUTED_VALUE"""),48002.0)</f>
        <v>48002</v>
      </c>
      <c r="X1146" s="149">
        <f>IFERROR(__xludf.DUMMYFUNCTION("""COMPUTED_VALUE"""),47820.0)</f>
        <v>47820</v>
      </c>
      <c r="Y1146" t="str">
        <f>IFERROR(__xludf.DUMMYFUNCTION("""COMPUTED_VALUE"""),"ปลอดภัย")</f>
        <v>ปลอดภัย</v>
      </c>
      <c r="Z1146" t="str">
        <f>IFERROR(__xludf.DUMMYFUNCTION("""COMPUTED_VALUE"""),"Nan Province")</f>
        <v>Nan Province</v>
      </c>
      <c r="AA1146" t="str">
        <f>IFERROR(__xludf.DUMMYFUNCTION("""COMPUTED_VALUE"""),"Bangkok")</f>
        <v>Bangkok</v>
      </c>
      <c r="AB1146" s="161" t="str">
        <f>IFERROR(__xludf.DUMMYFUNCTION("""COMPUTED_VALUE"""),"0823852457")</f>
        <v>0823852457</v>
      </c>
      <c r="AC1146" t="str">
        <f>IFERROR(__xludf.DUMMYFUNCTION("""COMPUTED_VALUE"""),"นางสุธาทิพย์ กวาวสิบสาม Mother")</f>
        <v>นางสุธาทิพย์ กวาวสิบสาม Mother</v>
      </c>
      <c r="AD1146" t="str">
        <f>IFERROR(__xludf.DUMMYFUNCTION("""COMPUTED_VALUE"""),"thunsudakwawsibsam@airasia.com")</f>
        <v>thunsudakwawsibsam@airasia.com</v>
      </c>
    </row>
    <row r="1147">
      <c r="A1147" s="142">
        <f>IFERROR(__xludf.DUMMYFUNCTION("""COMPUTED_VALUE"""),106.0)</f>
        <v>106</v>
      </c>
      <c r="C1147">
        <f>IFERROR(__xludf.DUMMYFUNCTION("""COMPUTED_VALUE"""),1040522.0)</f>
        <v>1040522</v>
      </c>
      <c r="D1147" t="str">
        <f>IFERROR(__xludf.DUMMYFUNCTION("""COMPUTED_VALUE"""),"Ms.")</f>
        <v>Ms.</v>
      </c>
      <c r="E1147" t="str">
        <f>IFERROR(__xludf.DUMMYFUNCTION("""COMPUTED_VALUE"""),"Titapa")</f>
        <v>Titapa</v>
      </c>
      <c r="F1147" t="str">
        <f>IFERROR(__xludf.DUMMYFUNCTION("""COMPUTED_VALUE"""),"Tiyasoponjit")</f>
        <v>Tiyasoponjit</v>
      </c>
      <c r="G1147" t="str">
        <f>IFERROR(__xludf.DUMMYFUNCTION("""COMPUTED_VALUE"""),"Titapa Tiyasoponjit")</f>
        <v>Titapa Tiyasoponjit</v>
      </c>
      <c r="H1147" t="str">
        <f>IFERROR(__xludf.DUMMYFUNCTION("""COMPUTED_VALUE"""),"นางสาว")</f>
        <v>นางสาว</v>
      </c>
      <c r="I1147" t="str">
        <f>IFERROR(__xludf.DUMMYFUNCTION("""COMPUTED_VALUE"""),"ฐิติาภา")</f>
        <v>ฐิติาภา</v>
      </c>
      <c r="J1147" t="str">
        <f>IFERROR(__xludf.DUMMYFUNCTION("""COMPUTED_VALUE"""),"ติยะโสภณจิต")</f>
        <v>ติยะโสภณจิต</v>
      </c>
      <c r="K1147" t="str">
        <f>IFERROR(__xludf.DUMMYFUNCTION("""COMPUTED_VALUE"""),"ฐิติาภา ติยะโสภณจิต")</f>
        <v>ฐิติาภา ติยะโสภณจิต</v>
      </c>
      <c r="L1147" t="str">
        <f>IFERROR(__xludf.DUMMYFUNCTION("""COMPUTED_VALUE"""),"Patty / แพตตี้")</f>
        <v>Patty / แพตตี้</v>
      </c>
      <c r="M1147" t="str">
        <f>IFERROR(__xludf.DUMMYFUNCTION("""COMPUTED_VALUE"""),"Cabin Crew")</f>
        <v>Cabin Crew</v>
      </c>
      <c r="N1147" t="str">
        <f>IFERROR(__xludf.DUMMYFUNCTION("""COMPUTED_VALUE"""),"DMK")</f>
        <v>DMK</v>
      </c>
      <c r="O1147" s="145" t="str">
        <f>IFERROR(__xludf.DUMMYFUNCTION("""COMPUTED_VALUE"""),"Kor Home")</f>
        <v>Kor Home</v>
      </c>
      <c r="P1147" t="str">
        <f>IFERROR(__xludf.DUMMYFUNCTION("""COMPUTED_VALUE"""),"V/LWP")</f>
        <v>V/LWP</v>
      </c>
      <c r="R1147" s="163">
        <f>IFERROR(__xludf.DUMMYFUNCTION("""COMPUTED_VALUE"""),35767.0)</f>
        <v>35767</v>
      </c>
      <c r="S1147" s="146" t="str">
        <f>IFERROR(__xludf.DUMMYFUNCTION("""COMPUTED_VALUE"""),"089 888 0946")</f>
        <v>089 888 0946</v>
      </c>
      <c r="T1147" s="146" t="str">
        <f>IFERROR(__xludf.DUMMYFUNCTION("""COMPUTED_VALUE"""),"1-1020-02851-20-1")</f>
        <v>1-1020-02851-20-1</v>
      </c>
      <c r="U1147" t="str">
        <f>IFERROR(__xludf.DUMMYFUNCTION("""COMPUTED_VALUE"""),"AD3257190")</f>
        <v>AD3257190</v>
      </c>
      <c r="V1147" s="148">
        <f>IFERROR(__xludf.DUMMYFUNCTION("""COMPUTED_VALUE"""),46041.0)</f>
        <v>46041</v>
      </c>
      <c r="W1147" s="148">
        <f>IFERROR(__xludf.DUMMYFUNCTION("""COMPUTED_VALUE"""),49692.0)</f>
        <v>49692</v>
      </c>
      <c r="X1147" s="149">
        <f>IFERROR(__xludf.DUMMYFUNCTION("""COMPUTED_VALUE"""),49508.0)</f>
        <v>49508</v>
      </c>
      <c r="Y1147" t="str">
        <f>IFERROR(__xludf.DUMMYFUNCTION("""COMPUTED_VALUE"""),"ปลอดภัย")</f>
        <v>ปลอดภัย</v>
      </c>
      <c r="Z1147" t="str">
        <f>IFERROR(__xludf.DUMMYFUNCTION("""COMPUTED_VALUE"""),"Bangkok")</f>
        <v>Bangkok</v>
      </c>
      <c r="AA1147" t="str">
        <f>IFERROR(__xludf.DUMMYFUNCTION("""COMPUTED_VALUE"""),"Bangkok")</f>
        <v>Bangkok</v>
      </c>
      <c r="AB1147" s="161" t="str">
        <f>IFERROR(__xludf.DUMMYFUNCTION("""COMPUTED_VALUE"""),"081-584-5041")</f>
        <v>081-584-5041</v>
      </c>
      <c r="AC1147" t="str">
        <f>IFERROR(__xludf.DUMMYFUNCTION("""COMPUTED_VALUE"""),"นางสาววราภรณ์ อรุณอาภารัตน์ Mother")</f>
        <v>นางสาววราภรณ์ อรุณอาภารัตน์ Mother</v>
      </c>
      <c r="AD1147" t="str">
        <f>IFERROR(__xludf.DUMMYFUNCTION("""COMPUTED_VALUE"""),"titapatiyasoponjit@airasia.com")</f>
        <v>titapatiyasoponjit@airasia.com</v>
      </c>
    </row>
    <row r="1148">
      <c r="A1148" s="142">
        <f>IFERROR(__xludf.DUMMYFUNCTION("""COMPUTED_VALUE"""),106.0)</f>
        <v>106</v>
      </c>
      <c r="C1148">
        <f>IFERROR(__xludf.DUMMYFUNCTION("""COMPUTED_VALUE"""),1040524.0)</f>
        <v>1040524</v>
      </c>
      <c r="D1148" t="str">
        <f>IFERROR(__xludf.DUMMYFUNCTION("""COMPUTED_VALUE"""),"Ms.")</f>
        <v>Ms.</v>
      </c>
      <c r="E1148" t="str">
        <f>IFERROR(__xludf.DUMMYFUNCTION("""COMPUTED_VALUE"""),"Vipassara")</f>
        <v>Vipassara</v>
      </c>
      <c r="F1148" t="str">
        <f>IFERROR(__xludf.DUMMYFUNCTION("""COMPUTED_VALUE"""),"Cheepsaritdiphong")</f>
        <v>Cheepsaritdiphong</v>
      </c>
      <c r="G1148" t="str">
        <f>IFERROR(__xludf.DUMMYFUNCTION("""COMPUTED_VALUE"""),"Vipassara Cheepsaritdiphong")</f>
        <v>Vipassara Cheepsaritdiphong</v>
      </c>
      <c r="H1148" t="str">
        <f>IFERROR(__xludf.DUMMYFUNCTION("""COMPUTED_VALUE"""),"นางสาว")</f>
        <v>นางสาว</v>
      </c>
      <c r="I1148" t="str">
        <f>IFERROR(__xludf.DUMMYFUNCTION("""COMPUTED_VALUE"""),"วิภัสรา")</f>
        <v>วิภัสรา</v>
      </c>
      <c r="J1148" t="str">
        <f>IFERROR(__xludf.DUMMYFUNCTION("""COMPUTED_VALUE"""),"ชีพสฤษดิพงศ์")</f>
        <v>ชีพสฤษดิพงศ์</v>
      </c>
      <c r="K1148" t="str">
        <f>IFERROR(__xludf.DUMMYFUNCTION("""COMPUTED_VALUE"""),"วิภัสรา ชีพสฤษดิพงศ์")</f>
        <v>วิภัสรา ชีพสฤษดิพงศ์</v>
      </c>
      <c r="L1148" t="str">
        <f>IFERROR(__xludf.DUMMYFUNCTION("""COMPUTED_VALUE"""),"Nam / น้ำ")</f>
        <v>Nam / น้ำ</v>
      </c>
      <c r="M1148" t="str">
        <f>IFERROR(__xludf.DUMMYFUNCTION("""COMPUTED_VALUE"""),"Cabin Crew")</f>
        <v>Cabin Crew</v>
      </c>
      <c r="N1148" t="str">
        <f>IFERROR(__xludf.DUMMYFUNCTION("""COMPUTED_VALUE"""),"DMK")</f>
        <v>DMK</v>
      </c>
      <c r="O1148" s="145" t="str">
        <f>IFERROR(__xludf.DUMMYFUNCTION("""COMPUTED_VALUE"""),"Kor Home")</f>
        <v>Kor Home</v>
      </c>
      <c r="P1148" t="str">
        <f>IFERROR(__xludf.DUMMYFUNCTION("""COMPUTED_VALUE"""),"Active")</f>
        <v>Active</v>
      </c>
      <c r="R1148" s="163">
        <f>IFERROR(__xludf.DUMMYFUNCTION("""COMPUTED_VALUE"""),36629.0)</f>
        <v>36629</v>
      </c>
      <c r="S1148" s="146" t="str">
        <f>IFERROR(__xludf.DUMMYFUNCTION("""COMPUTED_VALUE"""),"086 392 7257")</f>
        <v>086 392 7257</v>
      </c>
      <c r="T1148" s="146" t="str">
        <f>IFERROR(__xludf.DUMMYFUNCTION("""COMPUTED_VALUE"""),"1-1024-00122-86-2")</f>
        <v>1-1024-00122-86-2</v>
      </c>
      <c r="U1148" t="str">
        <f>IFERROR(__xludf.DUMMYFUNCTION("""COMPUTED_VALUE"""),"AC5831492")</f>
        <v>AC5831492</v>
      </c>
      <c r="V1148" s="148">
        <f>IFERROR(__xludf.DUMMYFUNCTION("""COMPUTED_VALUE"""),45194.0)</f>
        <v>45194</v>
      </c>
      <c r="W1148" s="148">
        <f>IFERROR(__xludf.DUMMYFUNCTION("""COMPUTED_VALUE"""),48846.0)</f>
        <v>48846</v>
      </c>
      <c r="X1148" s="149">
        <f>IFERROR(__xludf.DUMMYFUNCTION("""COMPUTED_VALUE"""),48662.0)</f>
        <v>48662</v>
      </c>
      <c r="Y1148" t="str">
        <f>IFERROR(__xludf.DUMMYFUNCTION("""COMPUTED_VALUE"""),"ปลอดภัย")</f>
        <v>ปลอดภัย</v>
      </c>
      <c r="Z1148" t="str">
        <f>IFERROR(__xludf.DUMMYFUNCTION("""COMPUTED_VALUE"""),"Bangkok")</f>
        <v>Bangkok</v>
      </c>
      <c r="AA1148" t="str">
        <f>IFERROR(__xludf.DUMMYFUNCTION("""COMPUTED_VALUE"""),"Bangkok")</f>
        <v>Bangkok</v>
      </c>
      <c r="AB1148" s="161" t="str">
        <f>IFERROR(__xludf.DUMMYFUNCTION("""COMPUTED_VALUE"""),"085-898-2745")</f>
        <v>085-898-2745</v>
      </c>
      <c r="AC1148" t="str">
        <f>IFERROR(__xludf.DUMMYFUNCTION("""COMPUTED_VALUE"""),"นางสาวประภัสสร ภิรมย์รัตน์ Mother")</f>
        <v>นางสาวประภัสสร ภิรมย์รัตน์ Mother</v>
      </c>
      <c r="AD1148" t="str">
        <f>IFERROR(__xludf.DUMMYFUNCTION("""COMPUTED_VALUE"""),"vipassaracheepsarit@airasia.com")</f>
        <v>vipassaracheepsarit@airasia.com</v>
      </c>
    </row>
    <row r="1149">
      <c r="A1149" s="142">
        <f>IFERROR(__xludf.DUMMYFUNCTION("""COMPUTED_VALUE"""),106.0)</f>
        <v>106</v>
      </c>
      <c r="C1149">
        <f>IFERROR(__xludf.DUMMYFUNCTION("""COMPUTED_VALUE"""),1040525.0)</f>
        <v>1040525</v>
      </c>
      <c r="D1149" t="str">
        <f>IFERROR(__xludf.DUMMYFUNCTION("""COMPUTED_VALUE"""),"Ms.")</f>
        <v>Ms.</v>
      </c>
      <c r="E1149" t="str">
        <f>IFERROR(__xludf.DUMMYFUNCTION("""COMPUTED_VALUE"""),"Watsamon")</f>
        <v>Watsamon</v>
      </c>
      <c r="F1149" t="str">
        <f>IFERROR(__xludf.DUMMYFUNCTION("""COMPUTED_VALUE"""),"Buaphuean")</f>
        <v>Buaphuean</v>
      </c>
      <c r="G1149" t="str">
        <f>IFERROR(__xludf.DUMMYFUNCTION("""COMPUTED_VALUE"""),"Watsamon Buaphuean")</f>
        <v>Watsamon Buaphuean</v>
      </c>
      <c r="H1149" t="str">
        <f>IFERROR(__xludf.DUMMYFUNCTION("""COMPUTED_VALUE"""),"นางสาว")</f>
        <v>นางสาว</v>
      </c>
      <c r="I1149" t="str">
        <f>IFERROR(__xludf.DUMMYFUNCTION("""COMPUTED_VALUE"""),"วรรษมน")</f>
        <v>วรรษมน</v>
      </c>
      <c r="J1149" t="str">
        <f>IFERROR(__xludf.DUMMYFUNCTION("""COMPUTED_VALUE"""),"บัวเผื่อน")</f>
        <v>บัวเผื่อน</v>
      </c>
      <c r="K1149" t="str">
        <f>IFERROR(__xludf.DUMMYFUNCTION("""COMPUTED_VALUE"""),"วรรษมน บัวเผื่อน")</f>
        <v>วรรษมน บัวเผื่อน</v>
      </c>
      <c r="L1149" t="str">
        <f>IFERROR(__xludf.DUMMYFUNCTION("""COMPUTED_VALUE"""),"แตงกวา")</f>
        <v>แตงกวา</v>
      </c>
      <c r="M1149" t="str">
        <f>IFERROR(__xludf.DUMMYFUNCTION("""COMPUTED_VALUE"""),"Cabin Crew")</f>
        <v>Cabin Crew</v>
      </c>
      <c r="N1149" t="str">
        <f>IFERROR(__xludf.DUMMYFUNCTION("""COMPUTED_VALUE"""),"DMK")</f>
        <v>DMK</v>
      </c>
      <c r="O1149" s="145" t="str">
        <f>IFERROR(__xludf.DUMMYFUNCTION("""COMPUTED_VALUE"""),"Kor Home")</f>
        <v>Kor Home</v>
      </c>
      <c r="P1149" t="str">
        <f>IFERROR(__xludf.DUMMYFUNCTION("""COMPUTED_VALUE"""),"Active")</f>
        <v>Active</v>
      </c>
      <c r="R1149" s="163">
        <f>IFERROR(__xludf.DUMMYFUNCTION("""COMPUTED_VALUE"""),35009.0)</f>
        <v>35009</v>
      </c>
      <c r="S1149" s="146" t="str">
        <f>IFERROR(__xludf.DUMMYFUNCTION("""COMPUTED_VALUE"""),"089 091 1481")</f>
        <v>089 091 1481</v>
      </c>
      <c r="T1149" s="146" t="str">
        <f>IFERROR(__xludf.DUMMYFUNCTION("""COMPUTED_VALUE"""),"1-2299-00681-13-1")</f>
        <v>1-2299-00681-13-1</v>
      </c>
      <c r="U1149" t="str">
        <f>IFERROR(__xludf.DUMMYFUNCTION("""COMPUTED_VALUE"""),"AC2933829")</f>
        <v>AC2933829</v>
      </c>
      <c r="V1149" s="148">
        <f>IFERROR(__xludf.DUMMYFUNCTION("""COMPUTED_VALUE"""),44629.0)</f>
        <v>44629</v>
      </c>
      <c r="W1149" s="148">
        <f>IFERROR(__xludf.DUMMYFUNCTION("""COMPUTED_VALUE"""),46454.0)</f>
        <v>46454</v>
      </c>
      <c r="X1149" s="149">
        <f>IFERROR(__xludf.DUMMYFUNCTION("""COMPUTED_VALUE"""),46273.0)</f>
        <v>46273</v>
      </c>
      <c r="Y1149" t="str">
        <f>IFERROR(__xludf.DUMMYFUNCTION("""COMPUTED_VALUE"""),"ปลอดภัย")</f>
        <v>ปลอดภัย</v>
      </c>
      <c r="Z1149" t="str">
        <f>IFERROR(__xludf.DUMMYFUNCTION("""COMPUTED_VALUE"""),"Chanthaburi Province")</f>
        <v>Chanthaburi Province</v>
      </c>
      <c r="AA1149" t="str">
        <f>IFERROR(__xludf.DUMMYFUNCTION("""COMPUTED_VALUE"""),"Chanthaburi")</f>
        <v>Chanthaburi</v>
      </c>
      <c r="AB1149" s="161" t="str">
        <f>IFERROR(__xludf.DUMMYFUNCTION("""COMPUTED_VALUE"""),"0895428801")</f>
        <v>0895428801</v>
      </c>
      <c r="AC1149" t="str">
        <f>IFERROR(__xludf.DUMMYFUNCTION("""COMPUTED_VALUE"""),"นางนงนภัส หนองบัวล่าง Mother")</f>
        <v>นางนงนภัส หนองบัวล่าง Mother</v>
      </c>
      <c r="AD1149" t="str">
        <f>IFERROR(__xludf.DUMMYFUNCTION("""COMPUTED_VALUE"""),"watsamonbuaphuean@airasia.com")</f>
        <v>watsamonbuaphuean@airasia.com</v>
      </c>
    </row>
    <row r="1150">
      <c r="A1150" s="142">
        <f>IFERROR(__xludf.DUMMYFUNCTION("""COMPUTED_VALUE"""),106.0)</f>
        <v>106</v>
      </c>
      <c r="C1150">
        <f>IFERROR(__xludf.DUMMYFUNCTION("""COMPUTED_VALUE"""),1040526.0)</f>
        <v>1040526</v>
      </c>
      <c r="D1150" t="str">
        <f>IFERROR(__xludf.DUMMYFUNCTION("""COMPUTED_VALUE"""),"Ms.")</f>
        <v>Ms.</v>
      </c>
      <c r="E1150" t="str">
        <f>IFERROR(__xludf.DUMMYFUNCTION("""COMPUTED_VALUE"""),"Wichayakarn")</f>
        <v>Wichayakarn</v>
      </c>
      <c r="F1150" t="str">
        <f>IFERROR(__xludf.DUMMYFUNCTION("""COMPUTED_VALUE"""),"Wongsunthon")</f>
        <v>Wongsunthon</v>
      </c>
      <c r="G1150" t="str">
        <f>IFERROR(__xludf.DUMMYFUNCTION("""COMPUTED_VALUE"""),"Wichayakarn Wongsunthon")</f>
        <v>Wichayakarn Wongsunthon</v>
      </c>
      <c r="H1150" t="str">
        <f>IFERROR(__xludf.DUMMYFUNCTION("""COMPUTED_VALUE"""),"นางสาว")</f>
        <v>นางสาว</v>
      </c>
      <c r="I1150" t="str">
        <f>IFERROR(__xludf.DUMMYFUNCTION("""COMPUTED_VALUE"""),"วิชญกานต์")</f>
        <v>วิชญกานต์</v>
      </c>
      <c r="J1150" t="str">
        <f>IFERROR(__xludf.DUMMYFUNCTION("""COMPUTED_VALUE"""),"วงศ์สุนทร")</f>
        <v>วงศ์สุนทร</v>
      </c>
      <c r="K1150" t="str">
        <f>IFERROR(__xludf.DUMMYFUNCTION("""COMPUTED_VALUE"""),"วิชญกานต์ วงศ์สุนทร")</f>
        <v>วิชญกานต์ วงศ์สุนทร</v>
      </c>
      <c r="L1150" t="str">
        <f>IFERROR(__xludf.DUMMYFUNCTION("""COMPUTED_VALUE"""),"สมายด์")</f>
        <v>สมายด์</v>
      </c>
      <c r="M1150" t="str">
        <f>IFERROR(__xludf.DUMMYFUNCTION("""COMPUTED_VALUE"""),"Cabin Crew")</f>
        <v>Cabin Crew</v>
      </c>
      <c r="N1150" t="str">
        <f>IFERROR(__xludf.DUMMYFUNCTION("""COMPUTED_VALUE"""),"DMK")</f>
        <v>DMK</v>
      </c>
      <c r="O1150" s="145" t="str">
        <f>IFERROR(__xludf.DUMMYFUNCTION("""COMPUTED_VALUE"""),"Toffy Home")</f>
        <v>Toffy Home</v>
      </c>
      <c r="P1150" t="str">
        <f>IFERROR(__xludf.DUMMYFUNCTION("""COMPUTED_VALUE"""),"Active")</f>
        <v>Active</v>
      </c>
      <c r="R1150" s="163">
        <f>IFERROR(__xludf.DUMMYFUNCTION("""COMPUTED_VALUE"""),36190.0)</f>
        <v>36190</v>
      </c>
      <c r="S1150" s="146" t="str">
        <f>IFERROR(__xludf.DUMMYFUNCTION("""COMPUTED_VALUE"""),"093 129 0495")</f>
        <v>093 129 0495</v>
      </c>
      <c r="T1150" s="146" t="str">
        <f>IFERROR(__xludf.DUMMYFUNCTION("""COMPUTED_VALUE"""),"1-5007-01252-01-8")</f>
        <v>1-5007-01252-01-8</v>
      </c>
      <c r="U1150" t="str">
        <f>IFERROR(__xludf.DUMMYFUNCTION("""COMPUTED_VALUE"""),"AC8570584")</f>
        <v>AC8570584</v>
      </c>
      <c r="V1150" s="148">
        <f>IFERROR(__xludf.DUMMYFUNCTION("""COMPUTED_VALUE"""),45971.0)</f>
        <v>45971</v>
      </c>
      <c r="W1150" s="148">
        <f>IFERROR(__xludf.DUMMYFUNCTION("""COMPUTED_VALUE"""),49622.0)</f>
        <v>49622</v>
      </c>
      <c r="X1150" s="149">
        <f>IFERROR(__xludf.DUMMYFUNCTION("""COMPUTED_VALUE"""),49438.0)</f>
        <v>49438</v>
      </c>
      <c r="Y1150" t="str">
        <f>IFERROR(__xludf.DUMMYFUNCTION("""COMPUTED_VALUE"""),"ปลอดภัย")</f>
        <v>ปลอดภัย</v>
      </c>
      <c r="Z1150" t="str">
        <f>IFERROR(__xludf.DUMMYFUNCTION("""COMPUTED_VALUE"""),"Chiang Mai Province")</f>
        <v>Chiang Mai Province</v>
      </c>
      <c r="AA1150" t="str">
        <f>IFERROR(__xludf.DUMMYFUNCTION("""COMPUTED_VALUE"""),"Chiang Mai")</f>
        <v>Chiang Mai</v>
      </c>
      <c r="AB1150" s="161" t="str">
        <f>IFERROR(__xludf.DUMMYFUNCTION("""COMPUTED_VALUE"""),"0629519594")</f>
        <v>0629519594</v>
      </c>
      <c r="AC1150" t="str">
        <f>IFERROR(__xludf.DUMMYFUNCTION("""COMPUTED_VALUE"""),"ปิติภูมิ บุญญวรรณ Friend")</f>
        <v>ปิติภูมิ บุญญวรรณ Friend</v>
      </c>
      <c r="AD1150" t="str">
        <f>IFERROR(__xludf.DUMMYFUNCTION("""COMPUTED_VALUE"""),"wichayakarnwongsunt@airasia.com")</f>
        <v>wichayakarnwongsunt@airasia.com</v>
      </c>
    </row>
    <row r="1151">
      <c r="A1151" s="142">
        <f>IFERROR(__xludf.DUMMYFUNCTION("""COMPUTED_VALUE"""),106.0)</f>
        <v>106</v>
      </c>
      <c r="C1151">
        <f>IFERROR(__xludf.DUMMYFUNCTION("""COMPUTED_VALUE"""),1040527.0)</f>
        <v>1040527</v>
      </c>
      <c r="D1151" t="str">
        <f>IFERROR(__xludf.DUMMYFUNCTION("""COMPUTED_VALUE"""),"Ms.")</f>
        <v>Ms.</v>
      </c>
      <c r="E1151" t="str">
        <f>IFERROR(__xludf.DUMMYFUNCTION("""COMPUTED_VALUE"""),"Yasumin")</f>
        <v>Yasumin</v>
      </c>
      <c r="F1151" t="str">
        <f>IFERROR(__xludf.DUMMYFUNCTION("""COMPUTED_VALUE"""),"Yuenyong")</f>
        <v>Yuenyong</v>
      </c>
      <c r="G1151" t="str">
        <f>IFERROR(__xludf.DUMMYFUNCTION("""COMPUTED_VALUE"""),"Yasumin Yuenyong")</f>
        <v>Yasumin Yuenyong</v>
      </c>
      <c r="H1151" t="str">
        <f>IFERROR(__xludf.DUMMYFUNCTION("""COMPUTED_VALUE"""),"นางสาว")</f>
        <v>นางสาว</v>
      </c>
      <c r="I1151" t="str">
        <f>IFERROR(__xludf.DUMMYFUNCTION("""COMPUTED_VALUE"""),"ญาสุมินทร์")</f>
        <v>ญาสุมินทร์</v>
      </c>
      <c r="J1151" t="str">
        <f>IFERROR(__xludf.DUMMYFUNCTION("""COMPUTED_VALUE"""),"ยืนยง")</f>
        <v>ยืนยง</v>
      </c>
      <c r="K1151" t="str">
        <f>IFERROR(__xludf.DUMMYFUNCTION("""COMPUTED_VALUE"""),"ญาสุมินทร์ ยืนยง")</f>
        <v>ญาสุมินทร์ ยืนยง</v>
      </c>
      <c r="L1151" t="str">
        <f>IFERROR(__xludf.DUMMYFUNCTION("""COMPUTED_VALUE"""),"Min/มินทร์")</f>
        <v>Min/มินทร์</v>
      </c>
      <c r="M1151" t="str">
        <f>IFERROR(__xludf.DUMMYFUNCTION("""COMPUTED_VALUE"""),"Cabin Crew")</f>
        <v>Cabin Crew</v>
      </c>
      <c r="N1151" t="str">
        <f>IFERROR(__xludf.DUMMYFUNCTION("""COMPUTED_VALUE"""),"DMK")</f>
        <v>DMK</v>
      </c>
      <c r="O1151" s="145" t="str">
        <f>IFERROR(__xludf.DUMMYFUNCTION("""COMPUTED_VALUE"""),"Nhui Home")</f>
        <v>Nhui Home</v>
      </c>
      <c r="P1151" t="str">
        <f>IFERROR(__xludf.DUMMYFUNCTION("""COMPUTED_VALUE"""),"Active")</f>
        <v>Active</v>
      </c>
      <c r="R1151" s="163">
        <f>IFERROR(__xludf.DUMMYFUNCTION("""COMPUTED_VALUE"""),35115.0)</f>
        <v>35115</v>
      </c>
      <c r="S1151" s="146" t="str">
        <f>IFERROR(__xludf.DUMMYFUNCTION("""COMPUTED_VALUE"""),"092 999 3552")</f>
        <v>092 999 3552</v>
      </c>
      <c r="T1151" s="146" t="str">
        <f>IFERROR(__xludf.DUMMYFUNCTION("""COMPUTED_VALUE"""),"1-1399-00208-74-6")</f>
        <v>1-1399-00208-74-6</v>
      </c>
      <c r="U1151" t="str">
        <f>IFERROR(__xludf.DUMMYFUNCTION("""COMPUTED_VALUE"""),"AC2506976")</f>
        <v>AC2506976</v>
      </c>
      <c r="V1151" s="148">
        <f>IFERROR(__xludf.DUMMYFUNCTION("""COMPUTED_VALUE"""),44568.0)</f>
        <v>44568</v>
      </c>
      <c r="W1151" s="148">
        <f>IFERROR(__xludf.DUMMYFUNCTION("""COMPUTED_VALUE"""),48219.0)</f>
        <v>48219</v>
      </c>
      <c r="X1151" s="149">
        <f>IFERROR(__xludf.DUMMYFUNCTION("""COMPUTED_VALUE"""),48035.0)</f>
        <v>48035</v>
      </c>
      <c r="Y1151" t="str">
        <f>IFERROR(__xludf.DUMMYFUNCTION("""COMPUTED_VALUE"""),"ปลอดภัย")</f>
        <v>ปลอดภัย</v>
      </c>
      <c r="Z1151" t="str">
        <f>IFERROR(__xludf.DUMMYFUNCTION("""COMPUTED_VALUE"""),"Pathum Thani Province")</f>
        <v>Pathum Thani Province</v>
      </c>
      <c r="AA1151" t="str">
        <f>IFERROR(__xludf.DUMMYFUNCTION("""COMPUTED_VALUE"""),"Bangkok")</f>
        <v>Bangkok</v>
      </c>
      <c r="AB1151" s="161" t="str">
        <f>IFERROR(__xludf.DUMMYFUNCTION("""COMPUTED_VALUE"""),"0815848448")</f>
        <v>0815848448</v>
      </c>
      <c r="AC1151" t="str">
        <f>IFERROR(__xludf.DUMMYFUNCTION("""COMPUTED_VALUE"""),"นางสาวฐิศิรักน์ เทียนเกษม Friend")</f>
        <v>นางสาวฐิศิรักน์ เทียนเกษม Friend</v>
      </c>
      <c r="AD1151" t="str">
        <f>IFERROR(__xludf.DUMMYFUNCTION("""COMPUTED_VALUE"""),"yasuminyuenyong@airasia.com")</f>
        <v>yasuminyuenyong@airasia.com</v>
      </c>
    </row>
    <row r="1152">
      <c r="A1152" s="142">
        <f>IFERROR(__xludf.DUMMYFUNCTION("""COMPUTED_VALUE"""),106.0)</f>
        <v>106</v>
      </c>
      <c r="C1152">
        <f>IFERROR(__xludf.DUMMYFUNCTION("""COMPUTED_VALUE"""),1028736.0)</f>
        <v>1028736</v>
      </c>
      <c r="D1152" t="str">
        <f>IFERROR(__xludf.DUMMYFUNCTION("""COMPUTED_VALUE"""),"Ms.")</f>
        <v>Ms.</v>
      </c>
      <c r="E1152" t="str">
        <f>IFERROR(__xludf.DUMMYFUNCTION("""COMPUTED_VALUE"""),"Nutchanat")</f>
        <v>Nutchanat</v>
      </c>
      <c r="F1152" t="str">
        <f>IFERROR(__xludf.DUMMYFUNCTION("""COMPUTED_VALUE"""),"Tawong")</f>
        <v>Tawong</v>
      </c>
      <c r="G1152" t="str">
        <f>IFERROR(__xludf.DUMMYFUNCTION("""COMPUTED_VALUE"""),"Nutchanat Tawong")</f>
        <v>Nutchanat Tawong</v>
      </c>
      <c r="H1152" t="str">
        <f>IFERROR(__xludf.DUMMYFUNCTION("""COMPUTED_VALUE"""),"นางสาว")</f>
        <v>นางสาว</v>
      </c>
      <c r="I1152" t="str">
        <f>IFERROR(__xludf.DUMMYFUNCTION("""COMPUTED_VALUE"""),"นุชนารถ")</f>
        <v>นุชนารถ</v>
      </c>
      <c r="J1152" t="str">
        <f>IFERROR(__xludf.DUMMYFUNCTION("""COMPUTED_VALUE"""),"ทะวงศ์")</f>
        <v>ทะวงศ์</v>
      </c>
      <c r="K1152" t="str">
        <f>IFERROR(__xludf.DUMMYFUNCTION("""COMPUTED_VALUE"""),"นุชนารถ ทะวงศ์")</f>
        <v>นุชนารถ ทะวงศ์</v>
      </c>
      <c r="L1152" t="str">
        <f>IFERROR(__xludf.DUMMYFUNCTION("""COMPUTED_VALUE"""),"น้ำตาล")</f>
        <v>น้ำตาล</v>
      </c>
      <c r="M1152" t="str">
        <f>IFERROR(__xludf.DUMMYFUNCTION("""COMPUTED_VALUE"""),"Cabin Crew")</f>
        <v>Cabin Crew</v>
      </c>
      <c r="N1152" t="str">
        <f>IFERROR(__xludf.DUMMYFUNCTION("""COMPUTED_VALUE"""),"DMK")</f>
        <v>DMK</v>
      </c>
      <c r="O1152" s="145" t="str">
        <f>IFERROR(__xludf.DUMMYFUNCTION("""COMPUTED_VALUE"""),"Por+ Home")</f>
        <v>Por+ Home</v>
      </c>
      <c r="P1152" t="str">
        <f>IFERROR(__xludf.DUMMYFUNCTION("""COMPUTED_VALUE"""),"Active")</f>
        <v>Active</v>
      </c>
      <c r="R1152" s="164">
        <f>IFERROR(__xludf.DUMMYFUNCTION("""COMPUTED_VALUE"""),34836.0)</f>
        <v>34836</v>
      </c>
      <c r="S1152" s="146" t="str">
        <f>IFERROR(__xludf.DUMMYFUNCTION("""COMPUTED_VALUE"""),"097 359 6511")</f>
        <v>097 359 6511</v>
      </c>
      <c r="T1152" s="146" t="str">
        <f>IFERROR(__xludf.DUMMYFUNCTION("""COMPUTED_VALUE"""),"1-1037-01717-54-8")</f>
        <v>1-1037-01717-54-8</v>
      </c>
      <c r="U1152" t="str">
        <f>IFERROR(__xludf.DUMMYFUNCTION("""COMPUTED_VALUE"""),"AB2707008")</f>
        <v>AB2707008</v>
      </c>
      <c r="V1152" s="148">
        <f>IFERROR(__xludf.DUMMYFUNCTION("""COMPUTED_VALUE"""),44594.0)</f>
        <v>44594</v>
      </c>
      <c r="W1152" s="148">
        <f>IFERROR(__xludf.DUMMYFUNCTION("""COMPUTED_VALUE"""),46419.0)</f>
        <v>46419</v>
      </c>
      <c r="X1152" s="149">
        <f>IFERROR(__xludf.DUMMYFUNCTION("""COMPUTED_VALUE"""),46235.0)</f>
        <v>46235</v>
      </c>
      <c r="Y1152" t="str">
        <f>IFERROR(__xludf.DUMMYFUNCTION("""COMPUTED_VALUE"""),"ปลอดภัย")</f>
        <v>ปลอดภัย</v>
      </c>
      <c r="Z1152" t="str">
        <f>IFERROR(__xludf.DUMMYFUNCTION("""COMPUTED_VALUE"""),"Bangkok")</f>
        <v>Bangkok</v>
      </c>
      <c r="AA1152" t="str">
        <f>IFERROR(__xludf.DUMMYFUNCTION("""COMPUTED_VALUE"""),"Bangkok")</f>
        <v>Bangkok</v>
      </c>
      <c r="AB1152" s="161" t="str">
        <f>IFERROR(__xludf.DUMMYFUNCTION("""COMPUTED_VALUE"""),"0837636927")</f>
        <v>0837636927</v>
      </c>
      <c r="AC1152" t="str">
        <f>IFERROR(__xludf.DUMMYFUNCTION("""COMPUTED_VALUE"""),"นายจิรายุ สุวรรณสัมพันธ์ Friend")</f>
        <v>นายจิรายุ สุวรรณสัมพันธ์ Friend</v>
      </c>
      <c r="AD1152" t="str">
        <f>IFERROR(__xludf.DUMMYFUNCTION("""COMPUTED_VALUE"""),"nutchanattawong@airasia.com")</f>
        <v>nutchanattawong@airasia.com</v>
      </c>
    </row>
    <row r="1153">
      <c r="A1153" s="142">
        <f>IFERROR(__xludf.DUMMYFUNCTION("""COMPUTED_VALUE"""),106.0)</f>
        <v>106</v>
      </c>
      <c r="C1153">
        <f>IFERROR(__xludf.DUMMYFUNCTION("""COMPUTED_VALUE"""),1018573.0)</f>
        <v>1018573</v>
      </c>
      <c r="D1153" t="str">
        <f>IFERROR(__xludf.DUMMYFUNCTION("""COMPUTED_VALUE"""),"Mr.")</f>
        <v>Mr.</v>
      </c>
      <c r="E1153" t="str">
        <f>IFERROR(__xludf.DUMMYFUNCTION("""COMPUTED_VALUE"""),"Sutat")</f>
        <v>Sutat</v>
      </c>
      <c r="F1153" t="str">
        <f>IFERROR(__xludf.DUMMYFUNCTION("""COMPUTED_VALUE"""),"Chapchainai")</f>
        <v>Chapchainai</v>
      </c>
      <c r="G1153" t="str">
        <f>IFERROR(__xludf.DUMMYFUNCTION("""COMPUTED_VALUE"""),"Sutat Chapchainai")</f>
        <v>Sutat Chapchainai</v>
      </c>
      <c r="H1153" t="str">
        <f>IFERROR(__xludf.DUMMYFUNCTION("""COMPUTED_VALUE"""),"นาย")</f>
        <v>นาย</v>
      </c>
      <c r="I1153" t="str">
        <f>IFERROR(__xludf.DUMMYFUNCTION("""COMPUTED_VALUE"""),"สุทัศน์")</f>
        <v>สุทัศน์</v>
      </c>
      <c r="J1153" t="str">
        <f>IFERROR(__xludf.DUMMYFUNCTION("""COMPUTED_VALUE"""),"จับใจนาย")</f>
        <v>จับใจนาย</v>
      </c>
      <c r="K1153" t="str">
        <f>IFERROR(__xludf.DUMMYFUNCTION("""COMPUTED_VALUE"""),"สุทัศน์ จับใจนาย")</f>
        <v>สุทัศน์ จับใจนาย</v>
      </c>
      <c r="L1153" t="str">
        <f>IFERROR(__xludf.DUMMYFUNCTION("""COMPUTED_VALUE"""),"Peter / ปีเตอร์")</f>
        <v>Peter / ปีเตอร์</v>
      </c>
      <c r="M1153" t="str">
        <f>IFERROR(__xludf.DUMMYFUNCTION("""COMPUTED_VALUE"""),"Cabin Crew")</f>
        <v>Cabin Crew</v>
      </c>
      <c r="N1153" t="str">
        <f>IFERROR(__xludf.DUMMYFUNCTION("""COMPUTED_VALUE"""),"DMK")</f>
        <v>DMK</v>
      </c>
      <c r="O1153" s="145" t="str">
        <f>IFERROR(__xludf.DUMMYFUNCTION("""COMPUTED_VALUE"""),"Kor Home")</f>
        <v>Kor Home</v>
      </c>
      <c r="P1153" t="str">
        <f>IFERROR(__xludf.DUMMYFUNCTION("""COMPUTED_VALUE"""),"Active")</f>
        <v>Active</v>
      </c>
      <c r="R1153" s="163">
        <f>IFERROR(__xludf.DUMMYFUNCTION("""COMPUTED_VALUE"""),34319.0)</f>
        <v>34319</v>
      </c>
      <c r="S1153" s="146" t="str">
        <f>IFERROR(__xludf.DUMMYFUNCTION("""COMPUTED_VALUE"""),"088 251 8245")</f>
        <v>088 251 8245</v>
      </c>
      <c r="T1153" s="146" t="str">
        <f>IFERROR(__xludf.DUMMYFUNCTION("""COMPUTED_VALUE"""),"1-5707-00180-67-6")</f>
        <v>1-5707-00180-67-6</v>
      </c>
      <c r="U1153" t="str">
        <f>IFERROR(__xludf.DUMMYFUNCTION("""COMPUTED_VALUE"""),"AD1600675")</f>
        <v>AD1600675</v>
      </c>
      <c r="V1153" s="148">
        <f>IFERROR(__xludf.DUMMYFUNCTION("""COMPUTED_VALUE"""),45312.0)</f>
        <v>45312</v>
      </c>
      <c r="W1153" s="148">
        <f>IFERROR(__xludf.DUMMYFUNCTION("""COMPUTED_VALUE"""),48964.0)</f>
        <v>48964</v>
      </c>
      <c r="X1153" s="149">
        <f>IFERROR(__xludf.DUMMYFUNCTION("""COMPUTED_VALUE"""),48780.0)</f>
        <v>48780</v>
      </c>
      <c r="Y1153" t="str">
        <f>IFERROR(__xludf.DUMMYFUNCTION("""COMPUTED_VALUE"""),"ปลอดภัย")</f>
        <v>ปลอดภัย</v>
      </c>
      <c r="Z1153" t="str">
        <f>IFERROR(__xludf.DUMMYFUNCTION("""COMPUTED_VALUE"""),"Chiang Rai Province")</f>
        <v>Chiang Rai Province</v>
      </c>
      <c r="AA1153" t="str">
        <f>IFERROR(__xludf.DUMMYFUNCTION("""COMPUTED_VALUE"""),"Bangkok")</f>
        <v>Bangkok</v>
      </c>
      <c r="AB1153" s="161" t="str">
        <f>IFERROR(__xludf.DUMMYFUNCTION("""COMPUTED_VALUE"""),"089-794-4512")</f>
        <v>089-794-4512</v>
      </c>
      <c r="AC1153" t="str">
        <f>IFERROR(__xludf.DUMMYFUNCTION("""COMPUTED_VALUE"""),"นายภูมมินทร์ จับใจนาย Brother")</f>
        <v>นายภูมมินทร์ จับใจนาย Brother</v>
      </c>
      <c r="AD1153" t="str">
        <f>IFERROR(__xludf.DUMMYFUNCTION("""COMPUTED_VALUE"""),"sutatc@airasia.com")</f>
        <v>sutatc@airasia.com</v>
      </c>
    </row>
    <row r="1154">
      <c r="AD1154" t="str">
        <f>IFERROR(__xludf.DUMMYFUNCTION("""COMPUTED_VALUE"""),"")</f>
        <v/>
      </c>
    </row>
    <row r="1155">
      <c r="A1155" s="142">
        <f>IFERROR(__xludf.DUMMYFUNCTION("""COMPUTED_VALUE"""),107.0)</f>
        <v>107</v>
      </c>
      <c r="C1155">
        <f>IFERROR(__xludf.DUMMYFUNCTION("""COMPUTED_VALUE"""),1003199.0)</f>
        <v>1003199</v>
      </c>
      <c r="D1155" t="str">
        <f>IFERROR(__xludf.DUMMYFUNCTION("""COMPUTED_VALUE"""),"Ms.")</f>
        <v>Ms.</v>
      </c>
      <c r="E1155" t="str">
        <f>IFERROR(__xludf.DUMMYFUNCTION("""COMPUTED_VALUE"""),"Sumana")</f>
        <v>Sumana</v>
      </c>
      <c r="F1155" t="str">
        <f>IFERROR(__xludf.DUMMYFUNCTION("""COMPUTED_VALUE"""),"Chongkewtrakul")</f>
        <v>Chongkewtrakul</v>
      </c>
      <c r="G1155" t="str">
        <f>IFERROR(__xludf.DUMMYFUNCTION("""COMPUTED_VALUE"""),"Sumana Chongkewtrakul")</f>
        <v>Sumana Chongkewtrakul</v>
      </c>
      <c r="H1155" t="str">
        <f>IFERROR(__xludf.DUMMYFUNCTION("""COMPUTED_VALUE"""),"นางสาว")</f>
        <v>นางสาว</v>
      </c>
      <c r="I1155" t="str">
        <f>IFERROR(__xludf.DUMMYFUNCTION("""COMPUTED_VALUE"""),"สุมนา")</f>
        <v>สุมนา</v>
      </c>
      <c r="J1155" t="str">
        <f>IFERROR(__xludf.DUMMYFUNCTION("""COMPUTED_VALUE"""),"จงเกื้อตระกูล")</f>
        <v>จงเกื้อตระกูล</v>
      </c>
      <c r="K1155" t="str">
        <f>IFERROR(__xludf.DUMMYFUNCTION("""COMPUTED_VALUE"""),"สุมนา จงเกื้อตระกูล")</f>
        <v>สุมนา จงเกื้อตระกูล</v>
      </c>
      <c r="L1155" t="str">
        <f>IFERROR(__xludf.DUMMYFUNCTION("""COMPUTED_VALUE"""),"แก้ม")</f>
        <v>แก้ม</v>
      </c>
      <c r="M1155" t="str">
        <f>IFERROR(__xludf.DUMMYFUNCTION("""COMPUTED_VALUE"""),"Cabin Crew")</f>
        <v>Cabin Crew</v>
      </c>
      <c r="N1155" t="str">
        <f>IFERROR(__xludf.DUMMYFUNCTION("""COMPUTED_VALUE"""),"DMK")</f>
        <v>DMK</v>
      </c>
      <c r="O1155" s="145" t="str">
        <f>IFERROR(__xludf.DUMMYFUNCTION("""COMPUTED_VALUE"""),"Namfon Home")</f>
        <v>Namfon Home</v>
      </c>
      <c r="P1155" t="str">
        <f>IFERROR(__xludf.DUMMYFUNCTION("""COMPUTED_VALUE"""),"Active")</f>
        <v>Active</v>
      </c>
      <c r="R1155" s="165">
        <f>IFERROR(__xludf.DUMMYFUNCTION("""COMPUTED_VALUE"""),31548.0)</f>
        <v>31548</v>
      </c>
      <c r="S1155" s="146" t="str">
        <f>IFERROR(__xludf.DUMMYFUNCTION("""COMPUTED_VALUE"""),"098-259-0155")</f>
        <v>098-259-0155</v>
      </c>
      <c r="T1155" s="147" t="str">
        <f>IFERROR(__xludf.DUMMYFUNCTION("""COMPUTED_VALUE"""),"1-1007-00485-59-4")</f>
        <v>1-1007-00485-59-4</v>
      </c>
      <c r="U1155" t="str">
        <f>IFERROR(__xludf.DUMMYFUNCTION("""COMPUTED_VALUE"""),"AC5584583")</f>
        <v>AC5584583</v>
      </c>
      <c r="V1155" s="148">
        <f>IFERROR(__xludf.DUMMYFUNCTION("""COMPUTED_VALUE"""),45170.0)</f>
        <v>45170</v>
      </c>
      <c r="W1155" s="148">
        <f>IFERROR(__xludf.DUMMYFUNCTION("""COMPUTED_VALUE"""),48822.0)</f>
        <v>48822</v>
      </c>
      <c r="X1155" s="149">
        <f>IFERROR(__xludf.DUMMYFUNCTION("""COMPUTED_VALUE"""),48638.0)</f>
        <v>48638</v>
      </c>
      <c r="Y1155" t="str">
        <f>IFERROR(__xludf.DUMMYFUNCTION("""COMPUTED_VALUE"""),"ปลอดภัย")</f>
        <v>ปลอดภัย</v>
      </c>
      <c r="Z1155" t="str">
        <f>IFERROR(__xludf.DUMMYFUNCTION("""COMPUTED_VALUE"""),"Bangkok")</f>
        <v>Bangkok</v>
      </c>
      <c r="AA1155" t="str">
        <f>IFERROR(__xludf.DUMMYFUNCTION("""COMPUTED_VALUE"""),"Bangkok")</f>
        <v>Bangkok</v>
      </c>
      <c r="AB1155" s="145" t="str">
        <f>IFERROR(__xludf.DUMMYFUNCTION("""COMPUTED_VALUE"""),"0845426461")</f>
        <v>0845426461</v>
      </c>
      <c r="AC1155" t="str">
        <f>IFERROR(__xludf.DUMMYFUNCTION("""COMPUTED_VALUE"""),"นาย ภูธร พุกะทรัพย์ Husband")</f>
        <v>นาย ภูธร พุกะทรัพย์ Husband</v>
      </c>
      <c r="AD1155" t="str">
        <f>IFERROR(__xludf.DUMMYFUNCTION("""COMPUTED_VALUE"""),"sumanachongkewtraku@airasia.com")</f>
        <v>sumanachongkewtraku@airasia.com</v>
      </c>
    </row>
    <row r="1156">
      <c r="A1156" s="142">
        <f>IFERROR(__xludf.DUMMYFUNCTION("""COMPUTED_VALUE"""),107.0)</f>
        <v>107</v>
      </c>
      <c r="C1156">
        <f>IFERROR(__xludf.DUMMYFUNCTION("""COMPUTED_VALUE"""),1040813.0)</f>
        <v>1040813</v>
      </c>
      <c r="D1156" t="str">
        <f>IFERROR(__xludf.DUMMYFUNCTION("""COMPUTED_VALUE"""),"Ms.")</f>
        <v>Ms.</v>
      </c>
      <c r="E1156" t="str">
        <f>IFERROR(__xludf.DUMMYFUNCTION("""COMPUTED_VALUE"""),"Areeyaporn")</f>
        <v>Areeyaporn</v>
      </c>
      <c r="F1156" t="str">
        <f>IFERROR(__xludf.DUMMYFUNCTION("""COMPUTED_VALUE"""),"Korajak")</f>
        <v>Korajak</v>
      </c>
      <c r="G1156" t="str">
        <f>IFERROR(__xludf.DUMMYFUNCTION("""COMPUTED_VALUE"""),"Areeyaporn Korajak")</f>
        <v>Areeyaporn Korajak</v>
      </c>
      <c r="H1156" t="str">
        <f>IFERROR(__xludf.DUMMYFUNCTION("""COMPUTED_VALUE"""),"นางสาว")</f>
        <v>นางสาว</v>
      </c>
      <c r="I1156" t="str">
        <f>IFERROR(__xludf.DUMMYFUNCTION("""COMPUTED_VALUE"""),"อารียาพร")</f>
        <v>อารียาพร</v>
      </c>
      <c r="J1156" t="str">
        <f>IFERROR(__xludf.DUMMYFUNCTION("""COMPUTED_VALUE"""),"กรจักร์")</f>
        <v>กรจักร์</v>
      </c>
      <c r="K1156" t="str">
        <f>IFERROR(__xludf.DUMMYFUNCTION("""COMPUTED_VALUE"""),"อารียาพร กรจักร์")</f>
        <v>อารียาพร กรจักร์</v>
      </c>
      <c r="L1156" t="str">
        <f>IFERROR(__xludf.DUMMYFUNCTION("""COMPUTED_VALUE"""),"Kratae / กระแต")</f>
        <v>Kratae / กระแต</v>
      </c>
      <c r="M1156" t="str">
        <f>IFERROR(__xludf.DUMMYFUNCTION("""COMPUTED_VALUE"""),"Cabin Crew")</f>
        <v>Cabin Crew</v>
      </c>
      <c r="N1156" t="str">
        <f>IFERROR(__xludf.DUMMYFUNCTION("""COMPUTED_VALUE"""),"DMK")</f>
        <v>DMK</v>
      </c>
      <c r="O1156" s="145" t="str">
        <f>IFERROR(__xludf.DUMMYFUNCTION("""COMPUTED_VALUE"""),"Nhui Home")</f>
        <v>Nhui Home</v>
      </c>
      <c r="P1156" t="str">
        <f>IFERROR(__xludf.DUMMYFUNCTION("""COMPUTED_VALUE"""),"Active")</f>
        <v>Active</v>
      </c>
      <c r="R1156" s="156">
        <f>IFERROR(__xludf.DUMMYFUNCTION("""COMPUTED_VALUE"""),35011.0)</f>
        <v>35011</v>
      </c>
      <c r="S1156" s="146" t="str">
        <f>IFERROR(__xludf.DUMMYFUNCTION("""COMPUTED_VALUE"""),"065 450 5995")</f>
        <v>065 450 5995</v>
      </c>
      <c r="T1156" s="147" t="str">
        <f>IFERROR(__xludf.DUMMYFUNCTION("""COMPUTED_VALUE"""),"1-4399-00240-60-4")</f>
        <v>1-4399-00240-60-4</v>
      </c>
      <c r="U1156" t="str">
        <f>IFERROR(__xludf.DUMMYFUNCTION("""COMPUTED_VALUE"""),"AC2774194")</f>
        <v>AC2774194</v>
      </c>
      <c r="V1156" s="148">
        <f>IFERROR(__xludf.DUMMYFUNCTION("""COMPUTED_VALUE"""),45227.0)</f>
        <v>45227</v>
      </c>
      <c r="W1156" s="148">
        <f>IFERROR(__xludf.DUMMYFUNCTION("""COMPUTED_VALUE"""),48148.0)</f>
        <v>48148</v>
      </c>
      <c r="X1156" s="149">
        <f>IFERROR(__xludf.DUMMYFUNCTION("""COMPUTED_VALUE"""),47965.0)</f>
        <v>47965</v>
      </c>
      <c r="Y1156" t="str">
        <f>IFERROR(__xludf.DUMMYFUNCTION("""COMPUTED_VALUE"""),"ปลอดภัย")</f>
        <v>ปลอดภัย</v>
      </c>
      <c r="Z1156" t="str">
        <f>IFERROR(__xludf.DUMMYFUNCTION("""COMPUTED_VALUE"""),"Nong Khai Province")</f>
        <v>Nong Khai Province</v>
      </c>
      <c r="AA1156" t="str">
        <f>IFERROR(__xludf.DUMMYFUNCTION("""COMPUTED_VALUE"""),"Bangkok")</f>
        <v>Bangkok</v>
      </c>
      <c r="AB1156" s="145" t="str">
        <f>IFERROR(__xludf.DUMMYFUNCTION("""COMPUTED_VALUE"""),"061-989-9365")</f>
        <v>061-989-9365</v>
      </c>
      <c r="AC1156" t="str">
        <f>IFERROR(__xludf.DUMMYFUNCTION("""COMPUTED_VALUE"""),"นายสุรวุฒิ ศรีสถิต Friend")</f>
        <v>นายสุรวุฒิ ศรีสถิต Friend</v>
      </c>
      <c r="AD1156" t="str">
        <f>IFERROR(__xludf.DUMMYFUNCTION("""COMPUTED_VALUE"""),"areeyapornk@airasia.com")</f>
        <v>areeyapornk@airasia.com</v>
      </c>
    </row>
    <row r="1157">
      <c r="A1157" s="142">
        <f>IFERROR(__xludf.DUMMYFUNCTION("""COMPUTED_VALUE"""),107.0)</f>
        <v>107</v>
      </c>
      <c r="C1157">
        <f>IFERROR(__xludf.DUMMYFUNCTION("""COMPUTED_VALUE"""),1040860.0)</f>
        <v>1040860</v>
      </c>
      <c r="D1157" t="str">
        <f>IFERROR(__xludf.DUMMYFUNCTION("""COMPUTED_VALUE"""),"Ms.")</f>
        <v>Ms.</v>
      </c>
      <c r="E1157" t="str">
        <f>IFERROR(__xludf.DUMMYFUNCTION("""COMPUTED_VALUE"""),"Chananya")</f>
        <v>Chananya</v>
      </c>
      <c r="F1157" t="str">
        <f>IFERROR(__xludf.DUMMYFUNCTION("""COMPUTED_VALUE"""),"Srichamchoi")</f>
        <v>Srichamchoi</v>
      </c>
      <c r="G1157" t="str">
        <f>IFERROR(__xludf.DUMMYFUNCTION("""COMPUTED_VALUE"""),"Chananya Srichamchoi")</f>
        <v>Chananya Srichamchoi</v>
      </c>
      <c r="H1157" t="str">
        <f>IFERROR(__xludf.DUMMYFUNCTION("""COMPUTED_VALUE"""),"นางสาว")</f>
        <v>นางสาว</v>
      </c>
      <c r="I1157" t="str">
        <f>IFERROR(__xludf.DUMMYFUNCTION("""COMPUTED_VALUE"""),"ชนัญญา")</f>
        <v>ชนัญญา</v>
      </c>
      <c r="J1157" t="str">
        <f>IFERROR(__xludf.DUMMYFUNCTION("""COMPUTED_VALUE"""),"ศรีแช่มช้อย")</f>
        <v>ศรีแช่มช้อย</v>
      </c>
      <c r="K1157" t="str">
        <f>IFERROR(__xludf.DUMMYFUNCTION("""COMPUTED_VALUE"""),"ชนัญญา ศรีแช่มช้อย")</f>
        <v>ชนัญญา ศรีแช่มช้อย</v>
      </c>
      <c r="L1157" t="str">
        <f>IFERROR(__xludf.DUMMYFUNCTION("""COMPUTED_VALUE"""),"มาย")</f>
        <v>มาย</v>
      </c>
      <c r="M1157" t="str">
        <f>IFERROR(__xludf.DUMMYFUNCTION("""COMPUTED_VALUE"""),"Cabin Crew")</f>
        <v>Cabin Crew</v>
      </c>
      <c r="N1157" t="str">
        <f>IFERROR(__xludf.DUMMYFUNCTION("""COMPUTED_VALUE"""),"DMK")</f>
        <v>DMK</v>
      </c>
      <c r="O1157" s="145" t="str">
        <f>IFERROR(__xludf.DUMMYFUNCTION("""COMPUTED_VALUE"""),"Um Home")</f>
        <v>Um Home</v>
      </c>
      <c r="P1157" t="str">
        <f>IFERROR(__xludf.DUMMYFUNCTION("""COMPUTED_VALUE"""),"Active")</f>
        <v>Active</v>
      </c>
      <c r="R1157" s="156">
        <f>IFERROR(__xludf.DUMMYFUNCTION("""COMPUTED_VALUE"""),35475.0)</f>
        <v>35475</v>
      </c>
      <c r="S1157" s="146" t="str">
        <f>IFERROR(__xludf.DUMMYFUNCTION("""COMPUTED_VALUE"""),"085 369 7071")</f>
        <v>085 369 7071</v>
      </c>
      <c r="T1157" s="147" t="str">
        <f>IFERROR(__xludf.DUMMYFUNCTION("""COMPUTED_VALUE"""),"1-1203-00080-34-1")</f>
        <v>1-1203-00080-34-1</v>
      </c>
      <c r="U1157" t="str">
        <f>IFERROR(__xludf.DUMMYFUNCTION("""COMPUTED_VALUE"""),"AC2401054")</f>
        <v>AC2401054</v>
      </c>
      <c r="V1157" s="148">
        <f>IFERROR(__xludf.DUMMYFUNCTION("""COMPUTED_VALUE"""),44427.0)</f>
        <v>44427</v>
      </c>
      <c r="W1157" s="148">
        <f>IFERROR(__xludf.DUMMYFUNCTION("""COMPUTED_VALUE"""),48078.0)</f>
        <v>48078</v>
      </c>
      <c r="X1157" s="149">
        <f>IFERROR(__xludf.DUMMYFUNCTION("""COMPUTED_VALUE"""),47897.0)</f>
        <v>47897</v>
      </c>
      <c r="Y1157" t="str">
        <f>IFERROR(__xludf.DUMMYFUNCTION("""COMPUTED_VALUE"""),"ปลอดภัย")</f>
        <v>ปลอดภัย</v>
      </c>
      <c r="Z1157" t="str">
        <f>IFERROR(__xludf.DUMMYFUNCTION("""COMPUTED_VALUE"""),"Nonthaburi Province")</f>
        <v>Nonthaburi Province</v>
      </c>
      <c r="AA1157" t="str">
        <f>IFERROR(__xludf.DUMMYFUNCTION("""COMPUTED_VALUE"""),"Nonthaburi")</f>
        <v>Nonthaburi</v>
      </c>
      <c r="AB1157" s="145" t="str">
        <f>IFERROR(__xludf.DUMMYFUNCTION("""COMPUTED_VALUE"""),"0846750651")</f>
        <v>0846750651</v>
      </c>
      <c r="AC1157" t="str">
        <f>IFERROR(__xludf.DUMMYFUNCTION("""COMPUTED_VALUE"""),"นางอินทิรา ศรีแช่มช้อย Mother")</f>
        <v>นางอินทิรา ศรีแช่มช้อย Mother</v>
      </c>
      <c r="AD1157" t="str">
        <f>IFERROR(__xludf.DUMMYFUNCTION("""COMPUTED_VALUE"""),"chananyasrichamchoi@airasia.com")</f>
        <v>chananyasrichamchoi@airasia.com</v>
      </c>
    </row>
    <row r="1158">
      <c r="A1158" s="142">
        <f>IFERROR(__xludf.DUMMYFUNCTION("""COMPUTED_VALUE"""),107.0)</f>
        <v>107</v>
      </c>
      <c r="C1158">
        <f>IFERROR(__xludf.DUMMYFUNCTION("""COMPUTED_VALUE"""),1040861.0)</f>
        <v>1040861</v>
      </c>
      <c r="D1158" t="str">
        <f>IFERROR(__xludf.DUMMYFUNCTION("""COMPUTED_VALUE"""),"Ms.")</f>
        <v>Ms.</v>
      </c>
      <c r="E1158" t="str">
        <f>IFERROR(__xludf.DUMMYFUNCTION("""COMPUTED_VALUE"""),"Chanikan")</f>
        <v>Chanikan</v>
      </c>
      <c r="F1158" t="str">
        <f>IFERROR(__xludf.DUMMYFUNCTION("""COMPUTED_VALUE"""),"Naktongkaew")</f>
        <v>Naktongkaew</v>
      </c>
      <c r="G1158" t="str">
        <f>IFERROR(__xludf.DUMMYFUNCTION("""COMPUTED_VALUE"""),"Chanikan Naktongkaew")</f>
        <v>Chanikan Naktongkaew</v>
      </c>
      <c r="H1158" t="str">
        <f>IFERROR(__xludf.DUMMYFUNCTION("""COMPUTED_VALUE"""),"นางสาว")</f>
        <v>นางสาว</v>
      </c>
      <c r="I1158" t="str">
        <f>IFERROR(__xludf.DUMMYFUNCTION("""COMPUTED_VALUE"""),"ชนิกานต์")</f>
        <v>ชนิกานต์</v>
      </c>
      <c r="J1158" t="str">
        <f>IFERROR(__xludf.DUMMYFUNCTION("""COMPUTED_VALUE"""),"นาคทองแก้ว")</f>
        <v>นาคทองแก้ว</v>
      </c>
      <c r="K1158" t="str">
        <f>IFERROR(__xludf.DUMMYFUNCTION("""COMPUTED_VALUE"""),"ชนิกานต์ นาคทองแก้ว")</f>
        <v>ชนิกานต์ นาคทองแก้ว</v>
      </c>
      <c r="L1158" t="str">
        <f>IFERROR(__xludf.DUMMYFUNCTION("""COMPUTED_VALUE"""),"ฟ้า")</f>
        <v>ฟ้า</v>
      </c>
      <c r="M1158" t="str">
        <f>IFERROR(__xludf.DUMMYFUNCTION("""COMPUTED_VALUE"""),"Cabin Crew")</f>
        <v>Cabin Crew</v>
      </c>
      <c r="N1158" t="str">
        <f>IFERROR(__xludf.DUMMYFUNCTION("""COMPUTED_VALUE"""),"DMK")</f>
        <v>DMK</v>
      </c>
      <c r="O1158" s="145" t="str">
        <f>IFERROR(__xludf.DUMMYFUNCTION("""COMPUTED_VALUE"""),"Toffy Home")</f>
        <v>Toffy Home</v>
      </c>
      <c r="P1158" t="str">
        <f>IFERROR(__xludf.DUMMYFUNCTION("""COMPUTED_VALUE"""),"Active")</f>
        <v>Active</v>
      </c>
      <c r="R1158" s="156">
        <f>IFERROR(__xludf.DUMMYFUNCTION("""COMPUTED_VALUE"""),36259.0)</f>
        <v>36259</v>
      </c>
      <c r="S1158" s="146" t="str">
        <f>IFERROR(__xludf.DUMMYFUNCTION("""COMPUTED_VALUE"""),"093 756 3765")</f>
        <v>093 756 3765</v>
      </c>
      <c r="T1158" s="147" t="str">
        <f>IFERROR(__xludf.DUMMYFUNCTION("""COMPUTED_VALUE"""),"1-8499-01370-92-3")</f>
        <v>1-8499-01370-92-3</v>
      </c>
      <c r="U1158" t="str">
        <f>IFERROR(__xludf.DUMMYFUNCTION("""COMPUTED_VALUE"""),"AC5847126")</f>
        <v>AC5847126</v>
      </c>
      <c r="V1158" s="148">
        <f>IFERROR(__xludf.DUMMYFUNCTION("""COMPUTED_VALUE"""),45186.0)</f>
        <v>45186</v>
      </c>
      <c r="W1158" s="148">
        <f>IFERROR(__xludf.DUMMYFUNCTION("""COMPUTED_VALUE"""),48838.0)</f>
        <v>48838</v>
      </c>
      <c r="X1158" s="149">
        <f>IFERROR(__xludf.DUMMYFUNCTION("""COMPUTED_VALUE"""),48654.0)</f>
        <v>48654</v>
      </c>
      <c r="Y1158" t="str">
        <f>IFERROR(__xludf.DUMMYFUNCTION("""COMPUTED_VALUE"""),"ปลอดภัย")</f>
        <v>ปลอดภัย</v>
      </c>
      <c r="Z1158" t="str">
        <f>IFERROR(__xludf.DUMMYFUNCTION("""COMPUTED_VALUE"""),"Surat thani Province")</f>
        <v>Surat thani Province</v>
      </c>
      <c r="AA1158" t="str">
        <f>IFERROR(__xludf.DUMMYFUNCTION("""COMPUTED_VALUE"""),"Bangkok")</f>
        <v>Bangkok</v>
      </c>
      <c r="AB1158" s="145" t="str">
        <f>IFERROR(__xludf.DUMMYFUNCTION("""COMPUTED_VALUE"""),"086-279-5569")</f>
        <v>086-279-5569</v>
      </c>
      <c r="AC1158" t="str">
        <f>IFERROR(__xludf.DUMMYFUNCTION("""COMPUTED_VALUE"""),"นางพันธุ์รัตนา นาคทองแก้ว Mother")</f>
        <v>นางพันธุ์รัตนา นาคทองแก้ว Mother</v>
      </c>
      <c r="AD1158" t="str">
        <f>IFERROR(__xludf.DUMMYFUNCTION("""COMPUTED_VALUE"""),"chanikannaktongkaew@airasia.com")</f>
        <v>chanikannaktongkaew@airasia.com</v>
      </c>
    </row>
    <row r="1159">
      <c r="A1159" s="142">
        <f>IFERROR(__xludf.DUMMYFUNCTION("""COMPUTED_VALUE"""),107.0)</f>
        <v>107</v>
      </c>
      <c r="C1159">
        <f>IFERROR(__xludf.DUMMYFUNCTION("""COMPUTED_VALUE"""),1040862.0)</f>
        <v>1040862</v>
      </c>
      <c r="D1159" t="str">
        <f>IFERROR(__xludf.DUMMYFUNCTION("""COMPUTED_VALUE"""),"Ms.")</f>
        <v>Ms.</v>
      </c>
      <c r="E1159" t="str">
        <f>IFERROR(__xludf.DUMMYFUNCTION("""COMPUTED_VALUE"""),"Chatsita")</f>
        <v>Chatsita</v>
      </c>
      <c r="F1159" t="str">
        <f>IFERROR(__xludf.DUMMYFUNCTION("""COMPUTED_VALUE"""),"Kleekhajai")</f>
        <v>Kleekhajai</v>
      </c>
      <c r="G1159" t="str">
        <f>IFERROR(__xludf.DUMMYFUNCTION("""COMPUTED_VALUE"""),"Chatsita Kleekhajai")</f>
        <v>Chatsita Kleekhajai</v>
      </c>
      <c r="H1159" t="str">
        <f>IFERROR(__xludf.DUMMYFUNCTION("""COMPUTED_VALUE"""),"นางสาว")</f>
        <v>นางสาว</v>
      </c>
      <c r="I1159" t="str">
        <f>IFERROR(__xludf.DUMMYFUNCTION("""COMPUTED_VALUE"""),"ฉัตสิตา")</f>
        <v>ฉัตสิตา</v>
      </c>
      <c r="J1159" t="str">
        <f>IFERROR(__xludf.DUMMYFUNCTION("""COMPUTED_VALUE"""),"คลี่ขจาย")</f>
        <v>คลี่ขจาย</v>
      </c>
      <c r="K1159" t="str">
        <f>IFERROR(__xludf.DUMMYFUNCTION("""COMPUTED_VALUE"""),"ฉัตสิตา คลี่ขจาย")</f>
        <v>ฉัตสิตา คลี่ขจาย</v>
      </c>
      <c r="L1159" t="str">
        <f>IFERROR(__xludf.DUMMYFUNCTION("""COMPUTED_VALUE"""),"อุ๋มอิ๋ม")</f>
        <v>อุ๋มอิ๋ม</v>
      </c>
      <c r="M1159" t="str">
        <f>IFERROR(__xludf.DUMMYFUNCTION("""COMPUTED_VALUE"""),"Cabin Crew")</f>
        <v>Cabin Crew</v>
      </c>
      <c r="N1159" t="str">
        <f>IFERROR(__xludf.DUMMYFUNCTION("""COMPUTED_VALUE"""),"DMK")</f>
        <v>DMK</v>
      </c>
      <c r="O1159" s="145" t="str">
        <f>IFERROR(__xludf.DUMMYFUNCTION("""COMPUTED_VALUE"""),"Um Home")</f>
        <v>Um Home</v>
      </c>
      <c r="P1159" t="str">
        <f>IFERROR(__xludf.DUMMYFUNCTION("""COMPUTED_VALUE"""),"Active")</f>
        <v>Active</v>
      </c>
      <c r="R1159" s="165">
        <f>IFERROR(__xludf.DUMMYFUNCTION("""COMPUTED_VALUE"""),34096.0)</f>
        <v>34096</v>
      </c>
      <c r="S1159" s="146" t="str">
        <f>IFERROR(__xludf.DUMMYFUNCTION("""COMPUTED_VALUE"""),"081 822 6206")</f>
        <v>081 822 6206</v>
      </c>
      <c r="T1159" s="147" t="str">
        <f>IFERROR(__xludf.DUMMYFUNCTION("""COMPUTED_VALUE"""),"1-1014-01982-67-8")</f>
        <v>1-1014-01982-67-8</v>
      </c>
      <c r="U1159" t="str">
        <f>IFERROR(__xludf.DUMMYFUNCTION("""COMPUTED_VALUE"""),"ac6200891")</f>
        <v>ac6200891</v>
      </c>
      <c r="V1159" s="148">
        <f>IFERROR(__xludf.DUMMYFUNCTION("""COMPUTED_VALUE"""),45276.0)</f>
        <v>45276</v>
      </c>
      <c r="W1159" s="148">
        <f>IFERROR(__xludf.DUMMYFUNCTION("""COMPUTED_VALUE"""),48928.0)</f>
        <v>48928</v>
      </c>
      <c r="X1159" s="149">
        <f>IFERROR(__xludf.DUMMYFUNCTION("""COMPUTED_VALUE"""),48745.0)</f>
        <v>48745</v>
      </c>
      <c r="Y1159" t="str">
        <f>IFERROR(__xludf.DUMMYFUNCTION("""COMPUTED_VALUE"""),"ปลอดภัย")</f>
        <v>ปลอดภัย</v>
      </c>
      <c r="Z1159" t="str">
        <f>IFERROR(__xludf.DUMMYFUNCTION("""COMPUTED_VALUE"""),"Bangkok")</f>
        <v>Bangkok</v>
      </c>
      <c r="AA1159" t="str">
        <f>IFERROR(__xludf.DUMMYFUNCTION("""COMPUTED_VALUE"""),"Bangkok")</f>
        <v>Bangkok</v>
      </c>
      <c r="AB1159" s="145" t="str">
        <f>IFERROR(__xludf.DUMMYFUNCTION("""COMPUTED_VALUE"""),"0891596464")</f>
        <v>0891596464</v>
      </c>
      <c r="AC1159" t="str">
        <f>IFERROR(__xludf.DUMMYFUNCTION("""COMPUTED_VALUE"""),"ศุภมน อิงคะประดิษฐ์ Friend")</f>
        <v>ศุภมน อิงคะประดิษฐ์ Friend</v>
      </c>
      <c r="AD1159" t="str">
        <f>IFERROR(__xludf.DUMMYFUNCTION("""COMPUTED_VALUE"""),"chatsitakleekhajai@airasia.com")</f>
        <v>chatsitakleekhajai@airasia.com</v>
      </c>
    </row>
    <row r="1160">
      <c r="A1160" s="142">
        <f>IFERROR(__xludf.DUMMYFUNCTION("""COMPUTED_VALUE"""),107.0)</f>
        <v>107</v>
      </c>
      <c r="C1160">
        <f>IFERROR(__xludf.DUMMYFUNCTION("""COMPUTED_VALUE"""),1040863.0)</f>
        <v>1040863</v>
      </c>
      <c r="D1160" t="str">
        <f>IFERROR(__xludf.DUMMYFUNCTION("""COMPUTED_VALUE"""),"Ms.")</f>
        <v>Ms.</v>
      </c>
      <c r="E1160" t="str">
        <f>IFERROR(__xludf.DUMMYFUNCTION("""COMPUTED_VALUE"""),"Hathaithip")</f>
        <v>Hathaithip</v>
      </c>
      <c r="F1160" t="str">
        <f>IFERROR(__xludf.DUMMYFUNCTION("""COMPUTED_VALUE"""),"Tangwangmon")</f>
        <v>Tangwangmon</v>
      </c>
      <c r="G1160" t="str">
        <f>IFERROR(__xludf.DUMMYFUNCTION("""COMPUTED_VALUE"""),"Hathaithip Tangwangmon")</f>
        <v>Hathaithip Tangwangmon</v>
      </c>
      <c r="H1160" t="str">
        <f>IFERROR(__xludf.DUMMYFUNCTION("""COMPUTED_VALUE"""),"นางสาว")</f>
        <v>นางสาว</v>
      </c>
      <c r="I1160" t="str">
        <f>IFERROR(__xludf.DUMMYFUNCTION("""COMPUTED_VALUE"""),"หทัยทิพย์")</f>
        <v>หทัยทิพย์</v>
      </c>
      <c r="J1160" t="str">
        <f>IFERROR(__xludf.DUMMYFUNCTION("""COMPUTED_VALUE"""),"ตั้งวังมน")</f>
        <v>ตั้งวังมน</v>
      </c>
      <c r="K1160" t="str">
        <f>IFERROR(__xludf.DUMMYFUNCTION("""COMPUTED_VALUE"""),"หทัยทิพย์ ตั้งวังมน")</f>
        <v>หทัยทิพย์ ตั้งวังมน</v>
      </c>
      <c r="L1160" t="str">
        <f>IFERROR(__xludf.DUMMYFUNCTION("""COMPUTED_VALUE"""),"อาปวย")</f>
        <v>อาปวย</v>
      </c>
      <c r="M1160" t="str">
        <f>IFERROR(__xludf.DUMMYFUNCTION("""COMPUTED_VALUE"""),"Cabin Crew")</f>
        <v>Cabin Crew</v>
      </c>
      <c r="N1160" t="str">
        <f>IFERROR(__xludf.DUMMYFUNCTION("""COMPUTED_VALUE"""),"DMK")</f>
        <v>DMK</v>
      </c>
      <c r="O1160" s="145" t="str">
        <f>IFERROR(__xludf.DUMMYFUNCTION("""COMPUTED_VALUE"""),"Namfon Home")</f>
        <v>Namfon Home</v>
      </c>
      <c r="P1160" t="str">
        <f>IFERROR(__xludf.DUMMYFUNCTION("""COMPUTED_VALUE"""),"Active")</f>
        <v>Active</v>
      </c>
      <c r="R1160" s="156">
        <f>IFERROR(__xludf.DUMMYFUNCTION("""COMPUTED_VALUE"""),35606.0)</f>
        <v>35606</v>
      </c>
      <c r="S1160" s="146" t="str">
        <f>IFERROR(__xludf.DUMMYFUNCTION("""COMPUTED_VALUE"""),"081 392 6345")</f>
        <v>081 392 6345</v>
      </c>
      <c r="T1160" s="147" t="str">
        <f>IFERROR(__xludf.DUMMYFUNCTION("""COMPUTED_VALUE"""),"1-4299-00296-48-1")</f>
        <v>1-4299-00296-48-1</v>
      </c>
      <c r="U1160" t="str">
        <f>IFERROR(__xludf.DUMMYFUNCTION("""COMPUTED_VALUE"""),"AC3460965")</f>
        <v>AC3460965</v>
      </c>
      <c r="V1160" s="148">
        <f>IFERROR(__xludf.DUMMYFUNCTION("""COMPUTED_VALUE"""),44739.0)</f>
        <v>44739</v>
      </c>
      <c r="W1160" s="148">
        <f>IFERROR(__xludf.DUMMYFUNCTION("""COMPUTED_VALUE"""),48391.0)</f>
        <v>48391</v>
      </c>
      <c r="X1160" s="149">
        <f>IFERROR(__xludf.DUMMYFUNCTION("""COMPUTED_VALUE"""),48208.0)</f>
        <v>48208</v>
      </c>
      <c r="Y1160" t="str">
        <f>IFERROR(__xludf.DUMMYFUNCTION("""COMPUTED_VALUE"""),"ปลอดภัย")</f>
        <v>ปลอดภัย</v>
      </c>
      <c r="Z1160" t="str">
        <f>IFERROR(__xludf.DUMMYFUNCTION("""COMPUTED_VALUE"""),"Loei Province")</f>
        <v>Loei Province</v>
      </c>
      <c r="AA1160" t="str">
        <f>IFERROR(__xludf.DUMMYFUNCTION("""COMPUTED_VALUE"""),"Pathum Thani Province")</f>
        <v>Pathum Thani Province</v>
      </c>
      <c r="AB1160" s="145" t="str">
        <f>IFERROR(__xludf.DUMMYFUNCTION("""COMPUTED_VALUE"""),"0815443268")</f>
        <v>0815443268</v>
      </c>
      <c r="AC1160" t="str">
        <f>IFERROR(__xludf.DUMMYFUNCTION("""COMPUTED_VALUE"""),"นางปุญญิศา ตั้งวังมน Mother")</f>
        <v>นางปุญญิศา ตั้งวังมน Mother</v>
      </c>
      <c r="AD1160" t="str">
        <f>IFERROR(__xludf.DUMMYFUNCTION("""COMPUTED_VALUE"""),"hathaithiptangwangm@airasia.com")</f>
        <v>hathaithiptangwangm@airasia.com</v>
      </c>
    </row>
    <row r="1161">
      <c r="A1161" s="142">
        <f>IFERROR(__xludf.DUMMYFUNCTION("""COMPUTED_VALUE"""),107.0)</f>
        <v>107</v>
      </c>
      <c r="C1161">
        <f>IFERROR(__xludf.DUMMYFUNCTION("""COMPUTED_VALUE"""),1040864.0)</f>
        <v>1040864</v>
      </c>
      <c r="D1161" t="str">
        <f>IFERROR(__xludf.DUMMYFUNCTION("""COMPUTED_VALUE"""),"Ms.")</f>
        <v>Ms.</v>
      </c>
      <c r="E1161" t="str">
        <f>IFERROR(__xludf.DUMMYFUNCTION("""COMPUTED_VALUE"""),"Jaratpon")</f>
        <v>Jaratpon</v>
      </c>
      <c r="F1161" t="str">
        <f>IFERROR(__xludf.DUMMYFUNCTION("""COMPUTED_VALUE"""),"Saetong")</f>
        <v>Saetong</v>
      </c>
      <c r="G1161" t="str">
        <f>IFERROR(__xludf.DUMMYFUNCTION("""COMPUTED_VALUE"""),"Jaratpon Saetong")</f>
        <v>Jaratpon Saetong</v>
      </c>
      <c r="H1161" t="str">
        <f>IFERROR(__xludf.DUMMYFUNCTION("""COMPUTED_VALUE"""),"นางสาว")</f>
        <v>นางสาว</v>
      </c>
      <c r="I1161" t="str">
        <f>IFERROR(__xludf.DUMMYFUNCTION("""COMPUTED_VALUE"""),"จรัสพร")</f>
        <v>จรัสพร</v>
      </c>
      <c r="J1161" t="str">
        <f>IFERROR(__xludf.DUMMYFUNCTION("""COMPUTED_VALUE"""),"แซ่ตั้ง")</f>
        <v>แซ่ตั้ง</v>
      </c>
      <c r="K1161" t="str">
        <f>IFERROR(__xludf.DUMMYFUNCTION("""COMPUTED_VALUE"""),"จรัสพร แซ่ตั้ง")</f>
        <v>จรัสพร แซ่ตั้ง</v>
      </c>
      <c r="L1161" t="str">
        <f>IFERROR(__xludf.DUMMYFUNCTION("""COMPUTED_VALUE"""),"Kukkik / กุ๊กกิ๊ก")</f>
        <v>Kukkik / กุ๊กกิ๊ก</v>
      </c>
      <c r="M1161" t="str">
        <f>IFERROR(__xludf.DUMMYFUNCTION("""COMPUTED_VALUE"""),"Cabin Crew")</f>
        <v>Cabin Crew</v>
      </c>
      <c r="N1161" t="str">
        <f>IFERROR(__xludf.DUMMYFUNCTION("""COMPUTED_VALUE"""),"DMK")</f>
        <v>DMK</v>
      </c>
      <c r="O1161" s="145" t="str">
        <f>IFERROR(__xludf.DUMMYFUNCTION("""COMPUTED_VALUE"""),"Kor Home")</f>
        <v>Kor Home</v>
      </c>
      <c r="P1161" t="str">
        <f>IFERROR(__xludf.DUMMYFUNCTION("""COMPUTED_VALUE"""),"Active")</f>
        <v>Active</v>
      </c>
      <c r="R1161" s="156">
        <f>IFERROR(__xludf.DUMMYFUNCTION("""COMPUTED_VALUE"""),35909.0)</f>
        <v>35909</v>
      </c>
      <c r="S1161" s="146" t="str">
        <f>IFERROR(__xludf.DUMMYFUNCTION("""COMPUTED_VALUE"""),"081 160 4871")</f>
        <v>081 160 4871</v>
      </c>
      <c r="T1161" s="147" t="str">
        <f>IFERROR(__xludf.DUMMYFUNCTION("""COMPUTED_VALUE"""),"1-2299-00808-19-0")</f>
        <v>1-2299-00808-19-0</v>
      </c>
      <c r="U1161" t="str">
        <f>IFERROR(__xludf.DUMMYFUNCTION("""COMPUTED_VALUE"""),"AC4747192")</f>
        <v>AC4747192</v>
      </c>
      <c r="V1161" s="148">
        <f>IFERROR(__xludf.DUMMYFUNCTION("""COMPUTED_VALUE"""),45007.0)</f>
        <v>45007</v>
      </c>
      <c r="W1161" s="148">
        <f>IFERROR(__xludf.DUMMYFUNCTION("""COMPUTED_VALUE"""),46833.0)</f>
        <v>46833</v>
      </c>
      <c r="X1161" s="149">
        <f>IFERROR(__xludf.DUMMYFUNCTION("""COMPUTED_VALUE"""),46651.0)</f>
        <v>46651</v>
      </c>
      <c r="Y1161" t="str">
        <f>IFERROR(__xludf.DUMMYFUNCTION("""COMPUTED_VALUE"""),"ปลอดภัย")</f>
        <v>ปลอดภัย</v>
      </c>
      <c r="Z1161" t="str">
        <f>IFERROR(__xludf.DUMMYFUNCTION("""COMPUTED_VALUE"""),"Chanthaburi Province")</f>
        <v>Chanthaburi Province</v>
      </c>
      <c r="AA1161" t="str">
        <f>IFERROR(__xludf.DUMMYFUNCTION("""COMPUTED_VALUE"""),"Bangkok")</f>
        <v>Bangkok</v>
      </c>
      <c r="AB1161" s="145" t="str">
        <f>IFERROR(__xludf.DUMMYFUNCTION("""COMPUTED_VALUE"""),"061-149-8555")</f>
        <v>061-149-8555</v>
      </c>
      <c r="AC1161" t="str">
        <f>IFERROR(__xludf.DUMMYFUNCTION("""COMPUTED_VALUE"""),"นางสาวรัตติยากร ทวีสุข Friend")</f>
        <v>นางสาวรัตติยากร ทวีสุข Friend</v>
      </c>
      <c r="AD1161" t="str">
        <f>IFERROR(__xludf.DUMMYFUNCTION("""COMPUTED_VALUE"""),"jaratponsaetong@airasia.com")</f>
        <v>jaratponsaetong@airasia.com</v>
      </c>
    </row>
    <row r="1162">
      <c r="A1162" s="142">
        <f>IFERROR(__xludf.DUMMYFUNCTION("""COMPUTED_VALUE"""),107.0)</f>
        <v>107</v>
      </c>
      <c r="C1162">
        <f>IFERROR(__xludf.DUMMYFUNCTION("""COMPUTED_VALUE"""),1040865.0)</f>
        <v>1040865</v>
      </c>
      <c r="D1162" t="str">
        <f>IFERROR(__xludf.DUMMYFUNCTION("""COMPUTED_VALUE"""),"Ms.")</f>
        <v>Ms.</v>
      </c>
      <c r="E1162" t="str">
        <f>IFERROR(__xludf.DUMMYFUNCTION("""COMPUTED_VALUE"""),"Kantiya")</f>
        <v>Kantiya</v>
      </c>
      <c r="F1162" t="str">
        <f>IFERROR(__xludf.DUMMYFUNCTION("""COMPUTED_VALUE"""),"Hengprasert")</f>
        <v>Hengprasert</v>
      </c>
      <c r="G1162" t="str">
        <f>IFERROR(__xludf.DUMMYFUNCTION("""COMPUTED_VALUE"""),"Kantiya Hengprasert")</f>
        <v>Kantiya Hengprasert</v>
      </c>
      <c r="H1162" t="str">
        <f>IFERROR(__xludf.DUMMYFUNCTION("""COMPUTED_VALUE"""),"นางสาว")</f>
        <v>นางสาว</v>
      </c>
      <c r="I1162" t="str">
        <f>IFERROR(__xludf.DUMMYFUNCTION("""COMPUTED_VALUE"""),"กันติยา")</f>
        <v>กันติยา</v>
      </c>
      <c r="J1162" t="str">
        <f>IFERROR(__xludf.DUMMYFUNCTION("""COMPUTED_VALUE"""),"เฮงประเสริฐ")</f>
        <v>เฮงประเสริฐ</v>
      </c>
      <c r="K1162" t="str">
        <f>IFERROR(__xludf.DUMMYFUNCTION("""COMPUTED_VALUE"""),"กันติยา เฮงประเสริฐ")</f>
        <v>กันติยา เฮงประเสริฐ</v>
      </c>
      <c r="L1162" t="str">
        <f>IFERROR(__xludf.DUMMYFUNCTION("""COMPUTED_VALUE"""),"Eve / อีฟ")</f>
        <v>Eve / อีฟ</v>
      </c>
      <c r="M1162" t="str">
        <f>IFERROR(__xludf.DUMMYFUNCTION("""COMPUTED_VALUE"""),"Cabin Crew")</f>
        <v>Cabin Crew</v>
      </c>
      <c r="N1162" t="str">
        <f>IFERROR(__xludf.DUMMYFUNCTION("""COMPUTED_VALUE"""),"DMK")</f>
        <v>DMK</v>
      </c>
      <c r="O1162" s="145" t="str">
        <f>IFERROR(__xludf.DUMMYFUNCTION("""COMPUTED_VALUE"""),"Um Home")</f>
        <v>Um Home</v>
      </c>
      <c r="P1162" t="str">
        <f>IFERROR(__xludf.DUMMYFUNCTION("""COMPUTED_VALUE"""),"Active")</f>
        <v>Active</v>
      </c>
      <c r="R1162" s="156">
        <f>IFERROR(__xludf.DUMMYFUNCTION("""COMPUTED_VALUE"""),36938.0)</f>
        <v>36938</v>
      </c>
      <c r="S1162" s="146" t="str">
        <f>IFERROR(__xludf.DUMMYFUNCTION("""COMPUTED_VALUE"""),"080 635 5838")</f>
        <v>080 635 5838</v>
      </c>
      <c r="T1162" s="147" t="str">
        <f>IFERROR(__xludf.DUMMYFUNCTION("""COMPUTED_VALUE"""),"1-2799-00158-72-1")</f>
        <v>1-2799-00158-72-1</v>
      </c>
      <c r="U1162" t="str">
        <f>IFERROR(__xludf.DUMMYFUNCTION("""COMPUTED_VALUE"""),"AC4503744")</f>
        <v>AC4503744</v>
      </c>
      <c r="V1162" s="148">
        <f>IFERROR(__xludf.DUMMYFUNCTION("""COMPUTED_VALUE"""),44977.0)</f>
        <v>44977</v>
      </c>
      <c r="W1162" s="148">
        <f>IFERROR(__xludf.DUMMYFUNCTION("""COMPUTED_VALUE"""),46802.0)</f>
        <v>46802</v>
      </c>
      <c r="X1162" s="149">
        <f>IFERROR(__xludf.DUMMYFUNCTION("""COMPUTED_VALUE"""),46618.0)</f>
        <v>46618</v>
      </c>
      <c r="Y1162" t="str">
        <f>IFERROR(__xludf.DUMMYFUNCTION("""COMPUTED_VALUE"""),"ปลอดภัย")</f>
        <v>ปลอดภัย</v>
      </c>
      <c r="Z1162" t="str">
        <f>IFERROR(__xludf.DUMMYFUNCTION("""COMPUTED_VALUE"""),"Sa Kaeo Province")</f>
        <v>Sa Kaeo Province</v>
      </c>
      <c r="AA1162" t="str">
        <f>IFERROR(__xludf.DUMMYFUNCTION("""COMPUTED_VALUE"""),"Bangkok")</f>
        <v>Bangkok</v>
      </c>
      <c r="AB1162" s="145" t="str">
        <f>IFERROR(__xludf.DUMMYFUNCTION("""COMPUTED_VALUE"""),"0813771164")</f>
        <v>0813771164</v>
      </c>
      <c r="AC1162" t="str">
        <f>IFERROR(__xludf.DUMMYFUNCTION("""COMPUTED_VALUE"""),"นางกานดา เฮงประเสริฐ Mother")</f>
        <v>นางกานดา เฮงประเสริฐ Mother</v>
      </c>
      <c r="AD1162" t="str">
        <f>IFERROR(__xludf.DUMMYFUNCTION("""COMPUTED_VALUE"""),"kantiyahengprasert@airasia.com")</f>
        <v>kantiyahengprasert@airasia.com</v>
      </c>
    </row>
    <row r="1163">
      <c r="A1163" s="142">
        <f>IFERROR(__xludf.DUMMYFUNCTION("""COMPUTED_VALUE"""),107.0)</f>
        <v>107</v>
      </c>
      <c r="C1163">
        <f>IFERROR(__xludf.DUMMYFUNCTION("""COMPUTED_VALUE"""),1040866.0)</f>
        <v>1040866</v>
      </c>
      <c r="D1163" t="str">
        <f>IFERROR(__xludf.DUMMYFUNCTION("""COMPUTED_VALUE"""),"Ms.")</f>
        <v>Ms.</v>
      </c>
      <c r="E1163" t="str">
        <f>IFERROR(__xludf.DUMMYFUNCTION("""COMPUTED_VALUE"""),"Kesinee")</f>
        <v>Kesinee</v>
      </c>
      <c r="F1163" t="str">
        <f>IFERROR(__xludf.DUMMYFUNCTION("""COMPUTED_VALUE"""),"Kanha")</f>
        <v>Kanha</v>
      </c>
      <c r="G1163" t="str">
        <f>IFERROR(__xludf.DUMMYFUNCTION("""COMPUTED_VALUE"""),"Kesinee Kanha")</f>
        <v>Kesinee Kanha</v>
      </c>
      <c r="H1163" t="str">
        <f>IFERROR(__xludf.DUMMYFUNCTION("""COMPUTED_VALUE"""),"นางสาว")</f>
        <v>นางสาว</v>
      </c>
      <c r="I1163" t="str">
        <f>IFERROR(__xludf.DUMMYFUNCTION("""COMPUTED_VALUE"""),"เกศินี")</f>
        <v>เกศินี</v>
      </c>
      <c r="J1163" t="str">
        <f>IFERROR(__xludf.DUMMYFUNCTION("""COMPUTED_VALUE"""),"กัณฑ์หา")</f>
        <v>กัณฑ์หา</v>
      </c>
      <c r="K1163" t="str">
        <f>IFERROR(__xludf.DUMMYFUNCTION("""COMPUTED_VALUE"""),"เกศินี กัณฑ์หา")</f>
        <v>เกศินี กัณฑ์หา</v>
      </c>
      <c r="L1163" t="str">
        <f>IFERROR(__xludf.DUMMYFUNCTION("""COMPUTED_VALUE"""),"Cherry")</f>
        <v>Cherry</v>
      </c>
      <c r="M1163" t="str">
        <f>IFERROR(__xludf.DUMMYFUNCTION("""COMPUTED_VALUE"""),"Cabin Crew")</f>
        <v>Cabin Crew</v>
      </c>
      <c r="N1163" t="str">
        <f>IFERROR(__xludf.DUMMYFUNCTION("""COMPUTED_VALUE"""),"DMK")</f>
        <v>DMK</v>
      </c>
      <c r="O1163" s="145" t="str">
        <f>IFERROR(__xludf.DUMMYFUNCTION("""COMPUTED_VALUE"""),"Namfon Home")</f>
        <v>Namfon Home</v>
      </c>
      <c r="P1163" t="str">
        <f>IFERROR(__xludf.DUMMYFUNCTION("""COMPUTED_VALUE"""),"Active")</f>
        <v>Active</v>
      </c>
      <c r="R1163" s="156">
        <f>IFERROR(__xludf.DUMMYFUNCTION("""COMPUTED_VALUE"""),33067.0)</f>
        <v>33067</v>
      </c>
      <c r="S1163" s="146" t="str">
        <f>IFERROR(__xludf.DUMMYFUNCTION("""COMPUTED_VALUE"""),"095 763 7973")</f>
        <v>095 763 7973</v>
      </c>
      <c r="T1163" s="147" t="str">
        <f>IFERROR(__xludf.DUMMYFUNCTION("""COMPUTED_VALUE"""),"1-3309-00174-78-7")</f>
        <v>1-3309-00174-78-7</v>
      </c>
      <c r="U1163" t="str">
        <f>IFERROR(__xludf.DUMMYFUNCTION("""COMPUTED_VALUE"""),"AC2640702")</f>
        <v>AC2640702</v>
      </c>
      <c r="V1163" s="148">
        <f>IFERROR(__xludf.DUMMYFUNCTION("""COMPUTED_VALUE"""),44554.0)</f>
        <v>44554</v>
      </c>
      <c r="W1163" s="148">
        <f>IFERROR(__xludf.DUMMYFUNCTION("""COMPUTED_VALUE"""),48205.0)</f>
        <v>48205</v>
      </c>
      <c r="X1163" s="149">
        <f>IFERROR(__xludf.DUMMYFUNCTION("""COMPUTED_VALUE"""),48022.0)</f>
        <v>48022</v>
      </c>
      <c r="Y1163" t="str">
        <f>IFERROR(__xludf.DUMMYFUNCTION("""COMPUTED_VALUE"""),"ปลอดภัย")</f>
        <v>ปลอดภัย</v>
      </c>
      <c r="Z1163" t="str">
        <f>IFERROR(__xludf.DUMMYFUNCTION("""COMPUTED_VALUE"""),"Sisaket Province")</f>
        <v>Sisaket Province</v>
      </c>
      <c r="AA1163" t="str">
        <f>IFERROR(__xludf.DUMMYFUNCTION("""COMPUTED_VALUE"""),"Bangkok")</f>
        <v>Bangkok</v>
      </c>
      <c r="AB1163" s="145" t="str">
        <f>IFERROR(__xludf.DUMMYFUNCTION("""COMPUTED_VALUE"""),"095-639-6914")</f>
        <v>095-639-6914</v>
      </c>
      <c r="AC1163" t="str">
        <f>IFERROR(__xludf.DUMMYFUNCTION("""COMPUTED_VALUE"""),"นางสาววรัญญา ไทยานนท์ Friend")</f>
        <v>นางสาววรัญญา ไทยานนท์ Friend</v>
      </c>
      <c r="AD1163" t="str">
        <f>IFERROR(__xludf.DUMMYFUNCTION("""COMPUTED_VALUE"""),"kesineekanha@airasia.com")</f>
        <v>kesineekanha@airasia.com</v>
      </c>
    </row>
    <row r="1164">
      <c r="A1164" s="142">
        <f>IFERROR(__xludf.DUMMYFUNCTION("""COMPUTED_VALUE"""),107.0)</f>
        <v>107</v>
      </c>
      <c r="C1164">
        <f>IFERROR(__xludf.DUMMYFUNCTION("""COMPUTED_VALUE"""),1040868.0)</f>
        <v>1040868</v>
      </c>
      <c r="D1164" t="str">
        <f>IFERROR(__xludf.DUMMYFUNCTION("""COMPUTED_VALUE"""),"Ms.")</f>
        <v>Ms.</v>
      </c>
      <c r="E1164" t="str">
        <f>IFERROR(__xludf.DUMMYFUNCTION("""COMPUTED_VALUE"""),"Napatchakorn")</f>
        <v>Napatchakorn</v>
      </c>
      <c r="F1164" t="str">
        <f>IFERROR(__xludf.DUMMYFUNCTION("""COMPUTED_VALUE"""),"Khaminbut")</f>
        <v>Khaminbut</v>
      </c>
      <c r="G1164" t="str">
        <f>IFERROR(__xludf.DUMMYFUNCTION("""COMPUTED_VALUE"""),"Napatchakorn Khaminbut")</f>
        <v>Napatchakorn Khaminbut</v>
      </c>
      <c r="H1164" t="str">
        <f>IFERROR(__xludf.DUMMYFUNCTION("""COMPUTED_VALUE"""),"นางสาว")</f>
        <v>นางสาว</v>
      </c>
      <c r="I1164" t="str">
        <f>IFERROR(__xludf.DUMMYFUNCTION("""COMPUTED_VALUE"""),"นพัชกร")</f>
        <v>นพัชกร</v>
      </c>
      <c r="J1164" t="str">
        <f>IFERROR(__xludf.DUMMYFUNCTION("""COMPUTED_VALUE"""),"คำอินบุตร")</f>
        <v>คำอินบุตร</v>
      </c>
      <c r="K1164" t="str">
        <f>IFERROR(__xludf.DUMMYFUNCTION("""COMPUTED_VALUE"""),"นพัชกร คำอินบุตร")</f>
        <v>นพัชกร คำอินบุตร</v>
      </c>
      <c r="L1164" t="str">
        <f>IFERROR(__xludf.DUMMYFUNCTION("""COMPUTED_VALUE"""),"Pang/แป้ง")</f>
        <v>Pang/แป้ง</v>
      </c>
      <c r="M1164" t="str">
        <f>IFERROR(__xludf.DUMMYFUNCTION("""COMPUTED_VALUE"""),"Cabin Crew - CNX")</f>
        <v>Cabin Crew - CNX</v>
      </c>
      <c r="N1164" t="str">
        <f>IFERROR(__xludf.DUMMYFUNCTION("""COMPUTED_VALUE"""),"CNX")</f>
        <v>CNX</v>
      </c>
      <c r="O1164" s="145" t="str">
        <f>IFERROR(__xludf.DUMMYFUNCTION("""COMPUTED_VALUE"""),"Up Home")</f>
        <v>Up Home</v>
      </c>
      <c r="P1164" t="str">
        <f>IFERROR(__xludf.DUMMYFUNCTION("""COMPUTED_VALUE"""),"Active/V/DMK")</f>
        <v>Active/V/DMK</v>
      </c>
      <c r="R1164" s="156">
        <f>IFERROR(__xludf.DUMMYFUNCTION("""COMPUTED_VALUE"""),35058.0)</f>
        <v>35058</v>
      </c>
      <c r="S1164" s="146" t="str">
        <f>IFERROR(__xludf.DUMMYFUNCTION("""COMPUTED_VALUE"""),"082 694 6304")</f>
        <v>082 694 6304</v>
      </c>
      <c r="T1164" s="147" t="str">
        <f>IFERROR(__xludf.DUMMYFUNCTION("""COMPUTED_VALUE"""),"1-5299-00802-19-9")</f>
        <v>1-5299-00802-19-9</v>
      </c>
      <c r="U1164" t="str">
        <f>IFERROR(__xludf.DUMMYFUNCTION("""COMPUTED_VALUE"""),"AC2774857")</f>
        <v>AC2774857</v>
      </c>
      <c r="V1164" s="148">
        <f>IFERROR(__xludf.DUMMYFUNCTION("""COMPUTED_VALUE"""),44501.0)</f>
        <v>44501</v>
      </c>
      <c r="W1164" s="148">
        <f>IFERROR(__xludf.DUMMYFUNCTION("""COMPUTED_VALUE"""),48152.0)</f>
        <v>48152</v>
      </c>
      <c r="X1164" s="149">
        <f>IFERROR(__xludf.DUMMYFUNCTION("""COMPUTED_VALUE"""),47968.0)</f>
        <v>47968</v>
      </c>
      <c r="Y1164" t="str">
        <f>IFERROR(__xludf.DUMMYFUNCTION("""COMPUTED_VALUE"""),"ปลอดภัย")</f>
        <v>ปลอดภัย</v>
      </c>
      <c r="Z1164" t="str">
        <f>IFERROR(__xludf.DUMMYFUNCTION("""COMPUTED_VALUE"""),"Lampang Province")</f>
        <v>Lampang Province</v>
      </c>
      <c r="AA1164" t="str">
        <f>IFERROR(__xludf.DUMMYFUNCTION("""COMPUTED_VALUE"""),"Pathum Thani Province")</f>
        <v>Pathum Thani Province</v>
      </c>
      <c r="AB1164" s="145" t="str">
        <f>IFERROR(__xludf.DUMMYFUNCTION("""COMPUTED_VALUE"""),"0903171579")</f>
        <v>0903171579</v>
      </c>
      <c r="AC1164" t="str">
        <f>IFERROR(__xludf.DUMMYFUNCTION("""COMPUTED_VALUE"""),"นางจุรีย์ อรรจนเมธี Mother")</f>
        <v>นางจุรีย์ อรรจนเมธี Mother</v>
      </c>
      <c r="AD1164" t="str">
        <f>IFERROR(__xludf.DUMMYFUNCTION("""COMPUTED_VALUE"""),"napatchakornkhaminb@airasia.com")</f>
        <v>napatchakornkhaminb@airasia.com</v>
      </c>
    </row>
    <row r="1165">
      <c r="A1165" s="142">
        <f>IFERROR(__xludf.DUMMYFUNCTION("""COMPUTED_VALUE"""),107.0)</f>
        <v>107</v>
      </c>
      <c r="C1165">
        <f>IFERROR(__xludf.DUMMYFUNCTION("""COMPUTED_VALUE"""),1040869.0)</f>
        <v>1040869</v>
      </c>
      <c r="D1165" t="str">
        <f>IFERROR(__xludf.DUMMYFUNCTION("""COMPUTED_VALUE"""),"Ms.")</f>
        <v>Ms.</v>
      </c>
      <c r="E1165" t="str">
        <f>IFERROR(__xludf.DUMMYFUNCTION("""COMPUTED_VALUE"""),"Natachon")</f>
        <v>Natachon</v>
      </c>
      <c r="F1165" t="str">
        <f>IFERROR(__xludf.DUMMYFUNCTION("""COMPUTED_VALUE"""),"Boonpradit")</f>
        <v>Boonpradit</v>
      </c>
      <c r="G1165" t="str">
        <f>IFERROR(__xludf.DUMMYFUNCTION("""COMPUTED_VALUE"""),"Natachon Boonpradit")</f>
        <v>Natachon Boonpradit</v>
      </c>
      <c r="H1165" t="str">
        <f>IFERROR(__xludf.DUMMYFUNCTION("""COMPUTED_VALUE"""),"นางสาว")</f>
        <v>นางสาว</v>
      </c>
      <c r="I1165" t="str">
        <f>IFERROR(__xludf.DUMMYFUNCTION("""COMPUTED_VALUE"""),"ณฐชนม์")</f>
        <v>ณฐชนม์</v>
      </c>
      <c r="J1165" t="str">
        <f>IFERROR(__xludf.DUMMYFUNCTION("""COMPUTED_VALUE"""),"บุญประดิษฐ์")</f>
        <v>บุญประดิษฐ์</v>
      </c>
      <c r="K1165" t="str">
        <f>IFERROR(__xludf.DUMMYFUNCTION("""COMPUTED_VALUE"""),"ณฐชนม์ บุญประดิษฐ์")</f>
        <v>ณฐชนม์ บุญประดิษฐ์</v>
      </c>
      <c r="L1165" t="str">
        <f>IFERROR(__xludf.DUMMYFUNCTION("""COMPUTED_VALUE"""),"Ploy / พลอย")</f>
        <v>Ploy / พลอย</v>
      </c>
      <c r="M1165" t="str">
        <f>IFERROR(__xludf.DUMMYFUNCTION("""COMPUTED_VALUE"""),"Cabin Crew")</f>
        <v>Cabin Crew</v>
      </c>
      <c r="N1165" t="str">
        <f>IFERROR(__xludf.DUMMYFUNCTION("""COMPUTED_VALUE"""),"DMK")</f>
        <v>DMK</v>
      </c>
      <c r="O1165" s="145" t="str">
        <f>IFERROR(__xludf.DUMMYFUNCTION("""COMPUTED_VALUE"""),"Nhui Home")</f>
        <v>Nhui Home</v>
      </c>
      <c r="P1165" t="str">
        <f>IFERROR(__xludf.DUMMYFUNCTION("""COMPUTED_VALUE"""),"Active")</f>
        <v>Active</v>
      </c>
      <c r="R1165" s="156">
        <f>IFERROR(__xludf.DUMMYFUNCTION("""COMPUTED_VALUE"""),35373.0)</f>
        <v>35373</v>
      </c>
      <c r="S1165" s="146" t="str">
        <f>IFERROR(__xludf.DUMMYFUNCTION("""COMPUTED_VALUE"""),"089 535 9594")</f>
        <v>089 535 9594</v>
      </c>
      <c r="T1165" s="147" t="str">
        <f>IFERROR(__xludf.DUMMYFUNCTION("""COMPUTED_VALUE"""),"1-1027-00671-59-4")</f>
        <v>1-1027-00671-59-4</v>
      </c>
      <c r="U1165" t="str">
        <f>IFERROR(__xludf.DUMMYFUNCTION("""COMPUTED_VALUE"""),"AC3706210")</f>
        <v>AC3706210</v>
      </c>
      <c r="V1165" s="148">
        <f>IFERROR(__xludf.DUMMYFUNCTION("""COMPUTED_VALUE"""),44775.0)</f>
        <v>44775</v>
      </c>
      <c r="W1165" s="148">
        <f>IFERROR(__xludf.DUMMYFUNCTION("""COMPUTED_VALUE"""),48427.0)</f>
        <v>48427</v>
      </c>
      <c r="X1165" s="149">
        <f>IFERROR(__xludf.DUMMYFUNCTION("""COMPUTED_VALUE"""),48245.0)</f>
        <v>48245</v>
      </c>
      <c r="Y1165" t="str">
        <f>IFERROR(__xludf.DUMMYFUNCTION("""COMPUTED_VALUE"""),"ปลอดภัย")</f>
        <v>ปลอดภัย</v>
      </c>
      <c r="Z1165" t="str">
        <f>IFERROR(__xludf.DUMMYFUNCTION("""COMPUTED_VALUE"""),"Bangkok")</f>
        <v>Bangkok</v>
      </c>
      <c r="AA1165" t="str">
        <f>IFERROR(__xludf.DUMMYFUNCTION("""COMPUTED_VALUE"""),"Bangkok")</f>
        <v>Bangkok</v>
      </c>
      <c r="AB1165" s="145" t="str">
        <f>IFERROR(__xludf.DUMMYFUNCTION("""COMPUTED_VALUE"""),"089-822-9422")</f>
        <v>089-822-9422</v>
      </c>
      <c r="AC1165" t="str">
        <f>IFERROR(__xludf.DUMMYFUNCTION("""COMPUTED_VALUE"""),"นางสาวบุษรินทร์ ใกล้ชิด Mother")</f>
        <v>นางสาวบุษรินทร์ ใกล้ชิด Mother</v>
      </c>
      <c r="AD1165" t="str">
        <f>IFERROR(__xludf.DUMMYFUNCTION("""COMPUTED_VALUE"""),"natachonboonpradit@airasia.com")</f>
        <v>natachonboonpradit@airasia.com</v>
      </c>
    </row>
    <row r="1166">
      <c r="A1166" s="142">
        <f>IFERROR(__xludf.DUMMYFUNCTION("""COMPUTED_VALUE"""),107.0)</f>
        <v>107</v>
      </c>
      <c r="C1166">
        <f>IFERROR(__xludf.DUMMYFUNCTION("""COMPUTED_VALUE"""),1040870.0)</f>
        <v>1040870</v>
      </c>
      <c r="D1166" t="str">
        <f>IFERROR(__xludf.DUMMYFUNCTION("""COMPUTED_VALUE"""),"Ms.")</f>
        <v>Ms.</v>
      </c>
      <c r="E1166" t="str">
        <f>IFERROR(__xludf.DUMMYFUNCTION("""COMPUTED_VALUE"""),"Nipha")</f>
        <v>Nipha</v>
      </c>
      <c r="F1166" t="str">
        <f>IFERROR(__xludf.DUMMYFUNCTION("""COMPUTED_VALUE"""),"Thaveekijphokai")</f>
        <v>Thaveekijphokai</v>
      </c>
      <c r="G1166" t="str">
        <f>IFERROR(__xludf.DUMMYFUNCTION("""COMPUTED_VALUE"""),"Nipha Thaveekijphokai")</f>
        <v>Nipha Thaveekijphokai</v>
      </c>
      <c r="H1166" t="str">
        <f>IFERROR(__xludf.DUMMYFUNCTION("""COMPUTED_VALUE"""),"นางสาว")</f>
        <v>นางสาว</v>
      </c>
      <c r="I1166" t="str">
        <f>IFERROR(__xludf.DUMMYFUNCTION("""COMPUTED_VALUE"""),"นิภา")</f>
        <v>นิภา</v>
      </c>
      <c r="J1166" t="str">
        <f>IFERROR(__xludf.DUMMYFUNCTION("""COMPUTED_VALUE"""),"ทวีกิจโภไคย")</f>
        <v>ทวีกิจโภไคย</v>
      </c>
      <c r="K1166" t="str">
        <f>IFERROR(__xludf.DUMMYFUNCTION("""COMPUTED_VALUE"""),"นิภา ทวีกิจโภไคย")</f>
        <v>นิภา ทวีกิจโภไคย</v>
      </c>
      <c r="L1166" t="str">
        <f>IFERROR(__xludf.DUMMYFUNCTION("""COMPUTED_VALUE"""),"Ploy / พลอย")</f>
        <v>Ploy / พลอย</v>
      </c>
      <c r="M1166" t="str">
        <f>IFERROR(__xludf.DUMMYFUNCTION("""COMPUTED_VALUE"""),"Cabin Crew")</f>
        <v>Cabin Crew</v>
      </c>
      <c r="N1166" t="str">
        <f>IFERROR(__xludf.DUMMYFUNCTION("""COMPUTED_VALUE"""),"DMK")</f>
        <v>DMK</v>
      </c>
      <c r="O1166" s="145" t="str">
        <f>IFERROR(__xludf.DUMMYFUNCTION("""COMPUTED_VALUE"""),"Toffy Home")</f>
        <v>Toffy Home</v>
      </c>
      <c r="P1166" t="str">
        <f>IFERROR(__xludf.DUMMYFUNCTION("""COMPUTED_VALUE"""),"Active")</f>
        <v>Active</v>
      </c>
      <c r="R1166" s="156">
        <f>IFERROR(__xludf.DUMMYFUNCTION("""COMPUTED_VALUE"""),35320.0)</f>
        <v>35320</v>
      </c>
      <c r="S1166" s="146" t="str">
        <f>IFERROR(__xludf.DUMMYFUNCTION("""COMPUTED_VALUE"""),"064 146 9444")</f>
        <v>064 146 9444</v>
      </c>
      <c r="T1166" s="147" t="str">
        <f>IFERROR(__xludf.DUMMYFUNCTION("""COMPUTED_VALUE"""),"1-1199-00639-33-0")</f>
        <v>1-1199-00639-33-0</v>
      </c>
      <c r="U1166" t="str">
        <f>IFERROR(__xludf.DUMMYFUNCTION("""COMPUTED_VALUE"""),"AC4446617")</f>
        <v>AC4446617</v>
      </c>
      <c r="V1166" s="148">
        <f>IFERROR(__xludf.DUMMYFUNCTION("""COMPUTED_VALUE"""),44961.0)</f>
        <v>44961</v>
      </c>
      <c r="W1166" s="148">
        <f>IFERROR(__xludf.DUMMYFUNCTION("""COMPUTED_VALUE"""),48613.0)</f>
        <v>48613</v>
      </c>
      <c r="X1166" s="149">
        <f>IFERROR(__xludf.DUMMYFUNCTION("""COMPUTED_VALUE"""),48429.0)</f>
        <v>48429</v>
      </c>
      <c r="Y1166" t="str">
        <f>IFERROR(__xludf.DUMMYFUNCTION("""COMPUTED_VALUE"""),"ปลอดภัย")</f>
        <v>ปลอดภัย</v>
      </c>
      <c r="Z1166" t="str">
        <f>IFERROR(__xludf.DUMMYFUNCTION("""COMPUTED_VALUE"""),"Samut Prakan Province")</f>
        <v>Samut Prakan Province</v>
      </c>
      <c r="AA1166" t="str">
        <f>IFERROR(__xludf.DUMMYFUNCTION("""COMPUTED_VALUE"""),"Bangkok")</f>
        <v>Bangkok</v>
      </c>
      <c r="AB1166" s="145" t="str">
        <f>IFERROR(__xludf.DUMMYFUNCTION("""COMPUTED_VALUE"""),"0818318295")</f>
        <v>0818318295</v>
      </c>
      <c r="AC1166" t="str">
        <f>IFERROR(__xludf.DUMMYFUNCTION("""COMPUTED_VALUE"""),"นายสมนึก ทวีกิจโภไคย Father")</f>
        <v>นายสมนึก ทวีกิจโภไคย Father</v>
      </c>
      <c r="AD1166" t="str">
        <f>IFERROR(__xludf.DUMMYFUNCTION("""COMPUTED_VALUE"""),"niphathaveekijphoka@airasia.com")</f>
        <v>niphathaveekijphoka@airasia.com</v>
      </c>
    </row>
    <row r="1167">
      <c r="A1167" s="142">
        <f>IFERROR(__xludf.DUMMYFUNCTION("""COMPUTED_VALUE"""),107.0)</f>
        <v>107</v>
      </c>
      <c r="C1167">
        <f>IFERROR(__xludf.DUMMYFUNCTION("""COMPUTED_VALUE"""),1040871.0)</f>
        <v>1040871</v>
      </c>
      <c r="D1167" t="str">
        <f>IFERROR(__xludf.DUMMYFUNCTION("""COMPUTED_VALUE"""),"Ms.")</f>
        <v>Ms.</v>
      </c>
      <c r="E1167" t="str">
        <f>IFERROR(__xludf.DUMMYFUNCTION("""COMPUTED_VALUE"""),"Niraporn")</f>
        <v>Niraporn</v>
      </c>
      <c r="F1167" t="str">
        <f>IFERROR(__xludf.DUMMYFUNCTION("""COMPUTED_VALUE"""),"Soithong")</f>
        <v>Soithong</v>
      </c>
      <c r="G1167" t="str">
        <f>IFERROR(__xludf.DUMMYFUNCTION("""COMPUTED_VALUE"""),"Niraporn Soithong")</f>
        <v>Niraporn Soithong</v>
      </c>
      <c r="H1167" t="str">
        <f>IFERROR(__xludf.DUMMYFUNCTION("""COMPUTED_VALUE"""),"นางสาว")</f>
        <v>นางสาว</v>
      </c>
      <c r="I1167" t="str">
        <f>IFERROR(__xludf.DUMMYFUNCTION("""COMPUTED_VALUE"""),"นิราพร")</f>
        <v>นิราพร</v>
      </c>
      <c r="J1167" t="str">
        <f>IFERROR(__xludf.DUMMYFUNCTION("""COMPUTED_VALUE"""),"สร้อยทอง")</f>
        <v>สร้อยทอง</v>
      </c>
      <c r="K1167" t="str">
        <f>IFERROR(__xludf.DUMMYFUNCTION("""COMPUTED_VALUE"""),"นิราพร สร้อยทอง")</f>
        <v>นิราพร สร้อยทอง</v>
      </c>
      <c r="L1167" t="str">
        <f>IFERROR(__xludf.DUMMYFUNCTION("""COMPUTED_VALUE"""),"เฟิร์น")</f>
        <v>เฟิร์น</v>
      </c>
      <c r="M1167" t="str">
        <f>IFERROR(__xludf.DUMMYFUNCTION("""COMPUTED_VALUE"""),"Cabin Crew")</f>
        <v>Cabin Crew</v>
      </c>
      <c r="N1167" t="str">
        <f>IFERROR(__xludf.DUMMYFUNCTION("""COMPUTED_VALUE"""),"DMK")</f>
        <v>DMK</v>
      </c>
      <c r="O1167" s="145" t="str">
        <f>IFERROR(__xludf.DUMMYFUNCTION("""COMPUTED_VALUE"""),"Por+ Home")</f>
        <v>Por+ Home</v>
      </c>
      <c r="P1167" t="str">
        <f>IFERROR(__xludf.DUMMYFUNCTION("""COMPUTED_VALUE"""),"Active")</f>
        <v>Active</v>
      </c>
      <c r="R1167" s="156">
        <f>IFERROR(__xludf.DUMMYFUNCTION("""COMPUTED_VALUE"""),35000.0)</f>
        <v>35000</v>
      </c>
      <c r="S1167" s="146" t="str">
        <f>IFERROR(__xludf.DUMMYFUNCTION("""COMPUTED_VALUE"""),"093 469 9298")</f>
        <v>093 469 9298</v>
      </c>
      <c r="T1167" s="147" t="str">
        <f>IFERROR(__xludf.DUMMYFUNCTION("""COMPUTED_VALUE"""),"1-6406-00235-11-7")</f>
        <v>1-6406-00235-11-7</v>
      </c>
      <c r="U1167" t="str">
        <f>IFERROR(__xludf.DUMMYFUNCTION("""COMPUTED_VALUE"""),"AC5491864")</f>
        <v>AC5491864</v>
      </c>
      <c r="V1167" s="148">
        <f>IFERROR(__xludf.DUMMYFUNCTION("""COMPUTED_VALUE"""),45154.0)</f>
        <v>45154</v>
      </c>
      <c r="W1167" s="148">
        <f>IFERROR(__xludf.DUMMYFUNCTION("""COMPUTED_VALUE"""),48806.0)</f>
        <v>48806</v>
      </c>
      <c r="X1167" s="149">
        <f>IFERROR(__xludf.DUMMYFUNCTION("""COMPUTED_VALUE"""),48625.0)</f>
        <v>48625</v>
      </c>
      <c r="Y1167" t="str">
        <f>IFERROR(__xludf.DUMMYFUNCTION("""COMPUTED_VALUE"""),"ปลอดภัย")</f>
        <v>ปลอดภัย</v>
      </c>
      <c r="Z1167" t="str">
        <f>IFERROR(__xludf.DUMMYFUNCTION("""COMPUTED_VALUE"""),"Sukhothai Province")</f>
        <v>Sukhothai Province</v>
      </c>
      <c r="AA1167" t="str">
        <f>IFERROR(__xludf.DUMMYFUNCTION("""COMPUTED_VALUE"""),"Bangkok")</f>
        <v>Bangkok</v>
      </c>
      <c r="AB1167" s="145" t="str">
        <f>IFERROR(__xludf.DUMMYFUNCTION("""COMPUTED_VALUE"""),"0895667365")</f>
        <v>0895667365</v>
      </c>
      <c r="AC1167" t="str">
        <f>IFERROR(__xludf.DUMMYFUNCTION("""COMPUTED_VALUE"""),"นางสาวนันทวรรณ์ ภู่พันธ์ Mother")</f>
        <v>นางสาวนันทวรรณ์ ภู่พันธ์ Mother</v>
      </c>
      <c r="AD1167" t="str">
        <f>IFERROR(__xludf.DUMMYFUNCTION("""COMPUTED_VALUE"""),"nirapornsoithong@airasia.com")</f>
        <v>nirapornsoithong@airasia.com</v>
      </c>
    </row>
    <row r="1168">
      <c r="A1168" s="142">
        <f>IFERROR(__xludf.DUMMYFUNCTION("""COMPUTED_VALUE"""),107.0)</f>
        <v>107</v>
      </c>
      <c r="C1168">
        <f>IFERROR(__xludf.DUMMYFUNCTION("""COMPUTED_VALUE"""),1040874.0)</f>
        <v>1040874</v>
      </c>
      <c r="D1168" t="str">
        <f>IFERROR(__xludf.DUMMYFUNCTION("""COMPUTED_VALUE"""),"Ms.")</f>
        <v>Ms.</v>
      </c>
      <c r="E1168" t="str">
        <f>IFERROR(__xludf.DUMMYFUNCTION("""COMPUTED_VALUE"""),"Pairwa")</f>
        <v>Pairwa</v>
      </c>
      <c r="F1168" t="str">
        <f>IFERROR(__xludf.DUMMYFUNCTION("""COMPUTED_VALUE"""),"Suwan")</f>
        <v>Suwan</v>
      </c>
      <c r="G1168" t="str">
        <f>IFERROR(__xludf.DUMMYFUNCTION("""COMPUTED_VALUE"""),"Pairwa Suwan")</f>
        <v>Pairwa Suwan</v>
      </c>
      <c r="H1168" t="str">
        <f>IFERROR(__xludf.DUMMYFUNCTION("""COMPUTED_VALUE"""),"นางสาว")</f>
        <v>นางสาว</v>
      </c>
      <c r="I1168" t="str">
        <f>IFERROR(__xludf.DUMMYFUNCTION("""COMPUTED_VALUE"""),"แพรวา")</f>
        <v>แพรวา</v>
      </c>
      <c r="J1168" t="str">
        <f>IFERROR(__xludf.DUMMYFUNCTION("""COMPUTED_VALUE"""),"สุวรรณ")</f>
        <v>สุวรรณ</v>
      </c>
      <c r="K1168" t="str">
        <f>IFERROR(__xludf.DUMMYFUNCTION("""COMPUTED_VALUE"""),"แพรวา สุวรรณ")</f>
        <v>แพรวา สุวรรณ</v>
      </c>
      <c r="L1168" t="str">
        <f>IFERROR(__xludf.DUMMYFUNCTION("""COMPUTED_VALUE"""),"Wa / วา")</f>
        <v>Wa / วา</v>
      </c>
      <c r="M1168" t="str">
        <f>IFERROR(__xludf.DUMMYFUNCTION("""COMPUTED_VALUE"""),"Cabin Crew")</f>
        <v>Cabin Crew</v>
      </c>
      <c r="N1168" t="str">
        <f>IFERROR(__xludf.DUMMYFUNCTION("""COMPUTED_VALUE"""),"DMK")</f>
        <v>DMK</v>
      </c>
      <c r="O1168" s="145" t="str">
        <f>IFERROR(__xludf.DUMMYFUNCTION("""COMPUTED_VALUE"""),"Toffy Home")</f>
        <v>Toffy Home</v>
      </c>
      <c r="P1168" t="str">
        <f>IFERROR(__xludf.DUMMYFUNCTION("""COMPUTED_VALUE"""),"Active")</f>
        <v>Active</v>
      </c>
      <c r="R1168" s="156">
        <f>IFERROR(__xludf.DUMMYFUNCTION("""COMPUTED_VALUE"""),35383.0)</f>
        <v>35383</v>
      </c>
      <c r="S1168" s="146" t="str">
        <f>IFERROR(__xludf.DUMMYFUNCTION("""COMPUTED_VALUE"""),"080 592 1918")</f>
        <v>080 592 1918</v>
      </c>
      <c r="T1168" s="147" t="str">
        <f>IFERROR(__xludf.DUMMYFUNCTION("""COMPUTED_VALUE"""),"1-1030-00114-65-1")</f>
        <v>1-1030-00114-65-1</v>
      </c>
      <c r="U1168" t="str">
        <f>IFERROR(__xludf.DUMMYFUNCTION("""COMPUTED_VALUE"""),"AC2669626")</f>
        <v>AC2669626</v>
      </c>
      <c r="V1168" s="148">
        <f>IFERROR(__xludf.DUMMYFUNCTION("""COMPUTED_VALUE"""),44574.0)</f>
        <v>44574</v>
      </c>
      <c r="W1168" s="148">
        <f>IFERROR(__xludf.DUMMYFUNCTION("""COMPUTED_VALUE"""),48225.0)</f>
        <v>48225</v>
      </c>
      <c r="X1168" s="149">
        <f>IFERROR(__xludf.DUMMYFUNCTION("""COMPUTED_VALUE"""),48041.0)</f>
        <v>48041</v>
      </c>
      <c r="Y1168" t="str">
        <f>IFERROR(__xludf.DUMMYFUNCTION("""COMPUTED_VALUE"""),"ปลอดภัย")</f>
        <v>ปลอดภัย</v>
      </c>
      <c r="Z1168" t="str">
        <f>IFERROR(__xludf.DUMMYFUNCTION("""COMPUTED_VALUE"""),"Bangkok")</f>
        <v>Bangkok</v>
      </c>
      <c r="AA1168" t="str">
        <f>IFERROR(__xludf.DUMMYFUNCTION("""COMPUTED_VALUE"""),"Bangkok")</f>
        <v>Bangkok</v>
      </c>
      <c r="AB1168" s="145" t="str">
        <f>IFERROR(__xludf.DUMMYFUNCTION("""COMPUTED_VALUE"""),"086-781-0550")</f>
        <v>086-781-0550</v>
      </c>
      <c r="AC1168" t="str">
        <f>IFERROR(__xludf.DUMMYFUNCTION("""COMPUTED_VALUE"""),"นาง ทรรศพร สุวรรณ Mother")</f>
        <v>นาง ทรรศพร สุวรรณ Mother</v>
      </c>
      <c r="AD1168" t="str">
        <f>IFERROR(__xludf.DUMMYFUNCTION("""COMPUTED_VALUE"""),"pairwasuwan@airasia.com")</f>
        <v>pairwasuwan@airasia.com</v>
      </c>
    </row>
    <row r="1169">
      <c r="A1169" s="142">
        <f>IFERROR(__xludf.DUMMYFUNCTION("""COMPUTED_VALUE"""),107.0)</f>
        <v>107</v>
      </c>
      <c r="C1169">
        <f>IFERROR(__xludf.DUMMYFUNCTION("""COMPUTED_VALUE"""),1040875.0)</f>
        <v>1040875</v>
      </c>
      <c r="D1169" t="str">
        <f>IFERROR(__xludf.DUMMYFUNCTION("""COMPUTED_VALUE"""),"Ms.")</f>
        <v>Ms.</v>
      </c>
      <c r="E1169" t="str">
        <f>IFERROR(__xludf.DUMMYFUNCTION("""COMPUTED_VALUE"""),"Peerachaya")</f>
        <v>Peerachaya</v>
      </c>
      <c r="F1169" t="str">
        <f>IFERROR(__xludf.DUMMYFUNCTION("""COMPUTED_VALUE"""),"Wuttichonlapak")</f>
        <v>Wuttichonlapak</v>
      </c>
      <c r="G1169" t="str">
        <f>IFERROR(__xludf.DUMMYFUNCTION("""COMPUTED_VALUE"""),"Peerachaya Wuttichonlapak")</f>
        <v>Peerachaya Wuttichonlapak</v>
      </c>
      <c r="H1169" t="str">
        <f>IFERROR(__xludf.DUMMYFUNCTION("""COMPUTED_VALUE"""),"นางสาว")</f>
        <v>นางสาว</v>
      </c>
      <c r="I1169" t="str">
        <f>IFERROR(__xludf.DUMMYFUNCTION("""COMPUTED_VALUE"""),"พีรชญา")</f>
        <v>พีรชญา</v>
      </c>
      <c r="J1169" t="str">
        <f>IFERROR(__xludf.DUMMYFUNCTION("""COMPUTED_VALUE"""),"วุฒิชลภัค")</f>
        <v>วุฒิชลภัค</v>
      </c>
      <c r="K1169" t="str">
        <f>IFERROR(__xludf.DUMMYFUNCTION("""COMPUTED_VALUE"""),"พีรชญา วุฒิชลภัค")</f>
        <v>พีรชญา วุฒิชลภัค</v>
      </c>
      <c r="L1169" t="str">
        <f>IFERROR(__xludf.DUMMYFUNCTION("""COMPUTED_VALUE"""),"Por / ปอ")</f>
        <v>Por / ปอ</v>
      </c>
      <c r="M1169" t="str">
        <f>IFERROR(__xludf.DUMMYFUNCTION("""COMPUTED_VALUE"""),"Cabin Crew - CNX")</f>
        <v>Cabin Crew - CNX</v>
      </c>
      <c r="N1169" t="str">
        <f>IFERROR(__xludf.DUMMYFUNCTION("""COMPUTED_VALUE"""),"CNX")</f>
        <v>CNX</v>
      </c>
      <c r="O1169" s="145" t="str">
        <f>IFERROR(__xludf.DUMMYFUNCTION("""COMPUTED_VALUE"""),"Up Home")</f>
        <v>Up Home</v>
      </c>
      <c r="P1169" t="str">
        <f>IFERROR(__xludf.DUMMYFUNCTION("""COMPUTED_VALUE"""),"Active/V/DMK")</f>
        <v>Active/V/DMK</v>
      </c>
      <c r="R1169" s="156">
        <f>IFERROR(__xludf.DUMMYFUNCTION("""COMPUTED_VALUE"""),35771.0)</f>
        <v>35771</v>
      </c>
      <c r="S1169" s="146" t="str">
        <f>IFERROR(__xludf.DUMMYFUNCTION("""COMPUTED_VALUE"""),"089 636 9189")</f>
        <v>089 636 9189</v>
      </c>
      <c r="T1169" s="147" t="str">
        <f>IFERROR(__xludf.DUMMYFUNCTION("""COMPUTED_VALUE"""),"1-5601-00436-751")</f>
        <v>1-5601-00436-751</v>
      </c>
      <c r="U1169" t="str">
        <f>IFERROR(__xludf.DUMMYFUNCTION("""COMPUTED_VALUE"""),"AC3864585")</f>
        <v>AC3864585</v>
      </c>
      <c r="V1169" s="148">
        <f>IFERROR(__xludf.DUMMYFUNCTION("""COMPUTED_VALUE"""),44791.0)</f>
        <v>44791</v>
      </c>
      <c r="W1169" s="148">
        <f>IFERROR(__xludf.DUMMYFUNCTION("""COMPUTED_VALUE"""),46616.0)</f>
        <v>46616</v>
      </c>
      <c r="X1169" s="149">
        <f>IFERROR(__xludf.DUMMYFUNCTION("""COMPUTED_VALUE"""),46435.0)</f>
        <v>46435</v>
      </c>
      <c r="Y1169" t="str">
        <f>IFERROR(__xludf.DUMMYFUNCTION("""COMPUTED_VALUE"""),"ปลอดภัย")</f>
        <v>ปลอดภัย</v>
      </c>
      <c r="Z1169" t="str">
        <f>IFERROR(__xludf.DUMMYFUNCTION("""COMPUTED_VALUE"""),"Phayao Province")</f>
        <v>Phayao Province</v>
      </c>
      <c r="AA1169" t="str">
        <f>IFERROR(__xludf.DUMMYFUNCTION("""COMPUTED_VALUE"""),"Bangkok")</f>
        <v>Bangkok</v>
      </c>
      <c r="AB1169" s="145" t="str">
        <f>IFERROR(__xludf.DUMMYFUNCTION("""COMPUTED_VALUE"""),"0882323978")</f>
        <v>0882323978</v>
      </c>
      <c r="AC1169" t="str">
        <f>IFERROR(__xludf.DUMMYFUNCTION("""COMPUTED_VALUE"""),"ธนาศิลป์ สุขสถิตย์ Friend")</f>
        <v>ธนาศิลป์ สุขสถิตย์ Friend</v>
      </c>
      <c r="AD1169" t="str">
        <f>IFERROR(__xludf.DUMMYFUNCTION("""COMPUTED_VALUE"""),"peerachayawuttichon@airasia.com")</f>
        <v>peerachayawuttichon@airasia.com</v>
      </c>
    </row>
    <row r="1170">
      <c r="A1170" s="142">
        <f>IFERROR(__xludf.DUMMYFUNCTION("""COMPUTED_VALUE"""),107.0)</f>
        <v>107</v>
      </c>
      <c r="C1170">
        <f>IFERROR(__xludf.DUMMYFUNCTION("""COMPUTED_VALUE"""),1040876.0)</f>
        <v>1040876</v>
      </c>
      <c r="D1170" t="str">
        <f>IFERROR(__xludf.DUMMYFUNCTION("""COMPUTED_VALUE"""),"Ms.")</f>
        <v>Ms.</v>
      </c>
      <c r="E1170" t="str">
        <f>IFERROR(__xludf.DUMMYFUNCTION("""COMPUTED_VALUE"""),"Piangruethai")</f>
        <v>Piangruethai</v>
      </c>
      <c r="F1170" t="str">
        <f>IFERROR(__xludf.DUMMYFUNCTION("""COMPUTED_VALUE"""),"Prathumchompoo")</f>
        <v>Prathumchompoo</v>
      </c>
      <c r="G1170" t="str">
        <f>IFERROR(__xludf.DUMMYFUNCTION("""COMPUTED_VALUE"""),"Piangruethai Prathumchompoo")</f>
        <v>Piangruethai Prathumchompoo</v>
      </c>
      <c r="H1170" t="str">
        <f>IFERROR(__xludf.DUMMYFUNCTION("""COMPUTED_VALUE"""),"นางสาว")</f>
        <v>นางสาว</v>
      </c>
      <c r="I1170" t="str">
        <f>IFERROR(__xludf.DUMMYFUNCTION("""COMPUTED_VALUE"""),"เพียงฤทัย")</f>
        <v>เพียงฤทัย</v>
      </c>
      <c r="J1170" t="str">
        <f>IFERROR(__xludf.DUMMYFUNCTION("""COMPUTED_VALUE"""),"ประทุมชมภู")</f>
        <v>ประทุมชมภู</v>
      </c>
      <c r="K1170" t="str">
        <f>IFERROR(__xludf.DUMMYFUNCTION("""COMPUTED_VALUE"""),"เพียงฤทัย ประทุมชมภู")</f>
        <v>เพียงฤทัย ประทุมชมภู</v>
      </c>
      <c r="L1170" t="str">
        <f>IFERROR(__xludf.DUMMYFUNCTION("""COMPUTED_VALUE"""),"อีฟ")</f>
        <v>อีฟ</v>
      </c>
      <c r="M1170" t="str">
        <f>IFERROR(__xludf.DUMMYFUNCTION("""COMPUTED_VALUE"""),"Cabin Crew")</f>
        <v>Cabin Crew</v>
      </c>
      <c r="N1170" t="str">
        <f>IFERROR(__xludf.DUMMYFUNCTION("""COMPUTED_VALUE"""),"DMK")</f>
        <v>DMK</v>
      </c>
      <c r="O1170" s="145" t="str">
        <f>IFERROR(__xludf.DUMMYFUNCTION("""COMPUTED_VALUE"""),"Por+ Home")</f>
        <v>Por+ Home</v>
      </c>
      <c r="P1170" t="str">
        <f>IFERROR(__xludf.DUMMYFUNCTION("""COMPUTED_VALUE"""),"Active")</f>
        <v>Active</v>
      </c>
      <c r="R1170" s="156">
        <f>IFERROR(__xludf.DUMMYFUNCTION("""COMPUTED_VALUE"""),36329.0)</f>
        <v>36329</v>
      </c>
      <c r="S1170" s="146" t="str">
        <f>IFERROR(__xludf.DUMMYFUNCTION("""COMPUTED_VALUE"""),"087 976 2938")</f>
        <v>087 976 2938</v>
      </c>
      <c r="T1170" s="147" t="str">
        <f>IFERROR(__xludf.DUMMYFUNCTION("""COMPUTED_VALUE"""),"1-3499-00987-02-6")</f>
        <v>1-3499-00987-02-6</v>
      </c>
      <c r="U1170" t="str">
        <f>IFERROR(__xludf.DUMMYFUNCTION("""COMPUTED_VALUE"""),"AC2293522")</f>
        <v>AC2293522</v>
      </c>
      <c r="V1170" s="148">
        <f>IFERROR(__xludf.DUMMYFUNCTION("""COMPUTED_VALUE"""),44347.0)</f>
        <v>44347</v>
      </c>
      <c r="W1170" s="148">
        <f>IFERROR(__xludf.DUMMYFUNCTION("""COMPUTED_VALUE"""),47998.0)</f>
        <v>47998</v>
      </c>
      <c r="X1170" s="149">
        <f>IFERROR(__xludf.DUMMYFUNCTION("""COMPUTED_VALUE"""),47817.0)</f>
        <v>47817</v>
      </c>
      <c r="Y1170" t="str">
        <f>IFERROR(__xludf.DUMMYFUNCTION("""COMPUTED_VALUE"""),"ปลอดภัย")</f>
        <v>ปลอดภัย</v>
      </c>
      <c r="Z1170" t="str">
        <f>IFERROR(__xludf.DUMMYFUNCTION("""COMPUTED_VALUE"""),"Ubon Ratchathani Province")</f>
        <v>Ubon Ratchathani Province</v>
      </c>
      <c r="AA1170" t="str">
        <f>IFERROR(__xludf.DUMMYFUNCTION("""COMPUTED_VALUE"""),"Samut prakarn")</f>
        <v>Samut prakarn</v>
      </c>
      <c r="AB1170" s="145" t="str">
        <f>IFERROR(__xludf.DUMMYFUNCTION("""COMPUTED_VALUE"""),"0898176738")</f>
        <v>0898176738</v>
      </c>
      <c r="AC1170" t="str">
        <f>IFERROR(__xludf.DUMMYFUNCTION("""COMPUTED_VALUE"""),"นางพิศมัย ประทุมชมภู Mother")</f>
        <v>นางพิศมัย ประทุมชมภู Mother</v>
      </c>
      <c r="AD1170" t="str">
        <f>IFERROR(__xludf.DUMMYFUNCTION("""COMPUTED_VALUE"""),"piangruethaiprathum@airasia.com")</f>
        <v>piangruethaiprathum@airasia.com</v>
      </c>
    </row>
    <row r="1171">
      <c r="A1171" s="142">
        <f>IFERROR(__xludf.DUMMYFUNCTION("""COMPUTED_VALUE"""),107.0)</f>
        <v>107</v>
      </c>
      <c r="C1171">
        <f>IFERROR(__xludf.DUMMYFUNCTION("""COMPUTED_VALUE"""),1040877.0)</f>
        <v>1040877</v>
      </c>
      <c r="D1171" t="str">
        <f>IFERROR(__xludf.DUMMYFUNCTION("""COMPUTED_VALUE"""),"Ms.")</f>
        <v>Ms.</v>
      </c>
      <c r="E1171" t="str">
        <f>IFERROR(__xludf.DUMMYFUNCTION("""COMPUTED_VALUE"""),"Pitchayaporn")</f>
        <v>Pitchayaporn</v>
      </c>
      <c r="F1171" t="str">
        <f>IFERROR(__xludf.DUMMYFUNCTION("""COMPUTED_VALUE"""),"Uthaituraton")</f>
        <v>Uthaituraton</v>
      </c>
      <c r="G1171" t="str">
        <f>IFERROR(__xludf.DUMMYFUNCTION("""COMPUTED_VALUE"""),"Pitchayaporn Uthaituraton")</f>
        <v>Pitchayaporn Uthaituraton</v>
      </c>
      <c r="H1171" t="str">
        <f>IFERROR(__xludf.DUMMYFUNCTION("""COMPUTED_VALUE"""),"นางสาว")</f>
        <v>นางสาว</v>
      </c>
      <c r="I1171" t="str">
        <f>IFERROR(__xludf.DUMMYFUNCTION("""COMPUTED_VALUE"""),"พิชญาพร")</f>
        <v>พิชญาพร</v>
      </c>
      <c r="J1171" t="str">
        <f>IFERROR(__xludf.DUMMYFUNCTION("""COMPUTED_VALUE"""),"อุไทยธุราทร")</f>
        <v>อุไทยธุราทร</v>
      </c>
      <c r="K1171" t="str">
        <f>IFERROR(__xludf.DUMMYFUNCTION("""COMPUTED_VALUE"""),"พิชญาพร อุไทยธุราทร")</f>
        <v>พิชญาพร อุไทยธุราทร</v>
      </c>
      <c r="L1171" t="str">
        <f>IFERROR(__xludf.DUMMYFUNCTION("""COMPUTED_VALUE"""),"Lukkade / ลูกเกด")</f>
        <v>Lukkade / ลูกเกด</v>
      </c>
      <c r="M1171" t="str">
        <f>IFERROR(__xludf.DUMMYFUNCTION("""COMPUTED_VALUE"""),"Cabin Crew")</f>
        <v>Cabin Crew</v>
      </c>
      <c r="N1171" t="str">
        <f>IFERROR(__xludf.DUMMYFUNCTION("""COMPUTED_VALUE"""),"DMK")</f>
        <v>DMK</v>
      </c>
      <c r="O1171" s="145" t="str">
        <f>IFERROR(__xludf.DUMMYFUNCTION("""COMPUTED_VALUE"""),"Por+ Home")</f>
        <v>Por+ Home</v>
      </c>
      <c r="P1171" t="str">
        <f>IFERROR(__xludf.DUMMYFUNCTION("""COMPUTED_VALUE"""),"Active")</f>
        <v>Active</v>
      </c>
      <c r="R1171" s="156">
        <f>IFERROR(__xludf.DUMMYFUNCTION("""COMPUTED_VALUE"""),35544.0)</f>
        <v>35544</v>
      </c>
      <c r="S1171" s="146" t="str">
        <f>IFERROR(__xludf.DUMMYFUNCTION("""COMPUTED_VALUE"""),"081 929 6328")</f>
        <v>081 929 6328</v>
      </c>
      <c r="T1171" s="147" t="str">
        <f>IFERROR(__xludf.DUMMYFUNCTION("""COMPUTED_VALUE"""),"1-1037-02311-61-8")</f>
        <v>1-1037-02311-61-8</v>
      </c>
      <c r="U1171" t="str">
        <f>IFERROR(__xludf.DUMMYFUNCTION("""COMPUTED_VALUE"""),"AD3553623")</f>
        <v>AD3553623</v>
      </c>
      <c r="V1171" s="148">
        <f>IFERROR(__xludf.DUMMYFUNCTION("""COMPUTED_VALUE"""),46108.0)</f>
        <v>46108</v>
      </c>
      <c r="W1171" s="148">
        <f>IFERROR(__xludf.DUMMYFUNCTION("""COMPUTED_VALUE"""),47933.0)</f>
        <v>47933</v>
      </c>
      <c r="X1171" s="149">
        <f>IFERROR(__xludf.DUMMYFUNCTION("""COMPUTED_VALUE"""),47752.0)</f>
        <v>47752</v>
      </c>
      <c r="Y1171" t="str">
        <f>IFERROR(__xludf.DUMMYFUNCTION("""COMPUTED_VALUE"""),"ปลอดภัย")</f>
        <v>ปลอดภัย</v>
      </c>
      <c r="Z1171" t="str">
        <f>IFERROR(__xludf.DUMMYFUNCTION("""COMPUTED_VALUE"""),"Bangkok")</f>
        <v>Bangkok</v>
      </c>
      <c r="AA1171" t="str">
        <f>IFERROR(__xludf.DUMMYFUNCTION("""COMPUTED_VALUE"""),"Bangkok")</f>
        <v>Bangkok</v>
      </c>
      <c r="AB1171" s="145" t="str">
        <f>IFERROR(__xludf.DUMMYFUNCTION("""COMPUTED_VALUE"""),"0813413525")</f>
        <v>0813413525</v>
      </c>
      <c r="AC1171" t="str">
        <f>IFERROR(__xludf.DUMMYFUNCTION("""COMPUTED_VALUE"""),"นายกษิเดช อุไทยธุราทร Father")</f>
        <v>นายกษิเดช อุไทยธุราทร Father</v>
      </c>
      <c r="AD1171" t="str">
        <f>IFERROR(__xludf.DUMMYFUNCTION("""COMPUTED_VALUE"""),"pitchayapornuthaitu@airasia.com")</f>
        <v>pitchayapornuthaitu@airasia.com</v>
      </c>
    </row>
    <row r="1172">
      <c r="A1172" s="142">
        <f>IFERROR(__xludf.DUMMYFUNCTION("""COMPUTED_VALUE"""),107.0)</f>
        <v>107</v>
      </c>
      <c r="C1172">
        <f>IFERROR(__xludf.DUMMYFUNCTION("""COMPUTED_VALUE"""),1040879.0)</f>
        <v>1040879</v>
      </c>
      <c r="D1172" t="str">
        <f>IFERROR(__xludf.DUMMYFUNCTION("""COMPUTED_VALUE"""),"Ms.")</f>
        <v>Ms.</v>
      </c>
      <c r="E1172" t="str">
        <f>IFERROR(__xludf.DUMMYFUNCTION("""COMPUTED_VALUE"""),"Sirikorn")</f>
        <v>Sirikorn</v>
      </c>
      <c r="F1172" t="str">
        <f>IFERROR(__xludf.DUMMYFUNCTION("""COMPUTED_VALUE"""),"Phuakbangna")</f>
        <v>Phuakbangna</v>
      </c>
      <c r="G1172" t="str">
        <f>IFERROR(__xludf.DUMMYFUNCTION("""COMPUTED_VALUE"""),"Sirikorn Phuakbangna")</f>
        <v>Sirikorn Phuakbangna</v>
      </c>
      <c r="H1172" t="str">
        <f>IFERROR(__xludf.DUMMYFUNCTION("""COMPUTED_VALUE"""),"นางสาว")</f>
        <v>นางสาว</v>
      </c>
      <c r="I1172" t="str">
        <f>IFERROR(__xludf.DUMMYFUNCTION("""COMPUTED_VALUE"""),"สิริกร")</f>
        <v>สิริกร</v>
      </c>
      <c r="J1172" t="str">
        <f>IFERROR(__xludf.DUMMYFUNCTION("""COMPUTED_VALUE"""),"เผือกบางนา")</f>
        <v>เผือกบางนา</v>
      </c>
      <c r="K1172" t="str">
        <f>IFERROR(__xludf.DUMMYFUNCTION("""COMPUTED_VALUE"""),"สิริกร เผือกบางนา")</f>
        <v>สิริกร เผือกบางนา</v>
      </c>
      <c r="L1172" t="str">
        <f>IFERROR(__xludf.DUMMYFUNCTION("""COMPUTED_VALUE"""),"Sea / ซี")</f>
        <v>Sea / ซี</v>
      </c>
      <c r="M1172" t="str">
        <f>IFERROR(__xludf.DUMMYFUNCTION("""COMPUTED_VALUE"""),"Cabin Crew")</f>
        <v>Cabin Crew</v>
      </c>
      <c r="N1172" t="str">
        <f>IFERROR(__xludf.DUMMYFUNCTION("""COMPUTED_VALUE"""),"DMK")</f>
        <v>DMK</v>
      </c>
      <c r="O1172" s="145" t="str">
        <f>IFERROR(__xludf.DUMMYFUNCTION("""COMPUTED_VALUE"""),"Por+ Home")</f>
        <v>Por+ Home</v>
      </c>
      <c r="P1172" t="str">
        <f>IFERROR(__xludf.DUMMYFUNCTION("""COMPUTED_VALUE"""),"Active")</f>
        <v>Active</v>
      </c>
      <c r="R1172" s="156">
        <f>IFERROR(__xludf.DUMMYFUNCTION("""COMPUTED_VALUE"""),36195.0)</f>
        <v>36195</v>
      </c>
      <c r="S1172" s="146" t="str">
        <f>IFERROR(__xludf.DUMMYFUNCTION("""COMPUTED_VALUE"""),"094 554 2462")</f>
        <v>094 554 2462</v>
      </c>
      <c r="T1172" s="147" t="str">
        <f>IFERROR(__xludf.DUMMYFUNCTION("""COMPUTED_VALUE"""),"1-1042-00079-92-2")</f>
        <v>1-1042-00079-92-2</v>
      </c>
      <c r="U1172" t="str">
        <f>IFERROR(__xludf.DUMMYFUNCTION("""COMPUTED_VALUE"""),"AD0605255")</f>
        <v>AD0605255</v>
      </c>
      <c r="V1172" s="148">
        <f>IFERROR(__xludf.DUMMYFUNCTION("""COMPUTED_VALUE"""),44931.0)</f>
        <v>44931</v>
      </c>
      <c r="W1172" s="148">
        <f>IFERROR(__xludf.DUMMYFUNCTION("""COMPUTED_VALUE"""),48583.0)</f>
        <v>48583</v>
      </c>
      <c r="X1172" s="149">
        <f>IFERROR(__xludf.DUMMYFUNCTION("""COMPUTED_VALUE"""),48399.0)</f>
        <v>48399</v>
      </c>
      <c r="Y1172" t="str">
        <f>IFERROR(__xludf.DUMMYFUNCTION("""COMPUTED_VALUE"""),"ปลอดภัย")</f>
        <v>ปลอดภัย</v>
      </c>
      <c r="Z1172" t="str">
        <f>IFERROR(__xludf.DUMMYFUNCTION("""COMPUTED_VALUE"""),"Bangkok")</f>
        <v>Bangkok</v>
      </c>
      <c r="AA1172" t="str">
        <f>IFERROR(__xludf.DUMMYFUNCTION("""COMPUTED_VALUE"""),"Bangkok")</f>
        <v>Bangkok</v>
      </c>
      <c r="AB1172" s="145" t="str">
        <f>IFERROR(__xludf.DUMMYFUNCTION("""COMPUTED_VALUE"""),"0869972035")</f>
        <v>0869972035</v>
      </c>
      <c r="AC1172" t="str">
        <f>IFERROR(__xludf.DUMMYFUNCTION("""COMPUTED_VALUE"""),"นางกรรณิกา เผือกบางนา Mother")</f>
        <v>นางกรรณิกา เผือกบางนา Mother</v>
      </c>
      <c r="AD1172" t="str">
        <f>IFERROR(__xludf.DUMMYFUNCTION("""COMPUTED_VALUE"""),"sirikornphuakbangna@airasia.com")</f>
        <v>sirikornphuakbangna@airasia.com</v>
      </c>
    </row>
    <row r="1173">
      <c r="A1173" s="142">
        <f>IFERROR(__xludf.DUMMYFUNCTION("""COMPUTED_VALUE"""),107.0)</f>
        <v>107</v>
      </c>
      <c r="C1173">
        <f>IFERROR(__xludf.DUMMYFUNCTION("""COMPUTED_VALUE"""),1040911.0)</f>
        <v>1040911</v>
      </c>
      <c r="D1173" t="str">
        <f>IFERROR(__xludf.DUMMYFUNCTION("""COMPUTED_VALUE"""),"Ms.")</f>
        <v>Ms.</v>
      </c>
      <c r="E1173" t="str">
        <f>IFERROR(__xludf.DUMMYFUNCTION("""COMPUTED_VALUE"""),"Supanun")</f>
        <v>Supanun</v>
      </c>
      <c r="F1173" t="str">
        <f>IFERROR(__xludf.DUMMYFUNCTION("""COMPUTED_VALUE"""),"Suwanbongkot")</f>
        <v>Suwanbongkot</v>
      </c>
      <c r="G1173" t="str">
        <f>IFERROR(__xludf.DUMMYFUNCTION("""COMPUTED_VALUE"""),"Supanun Suwanbongkot")</f>
        <v>Supanun Suwanbongkot</v>
      </c>
      <c r="H1173" t="str">
        <f>IFERROR(__xludf.DUMMYFUNCTION("""COMPUTED_VALUE"""),"นางสาว")</f>
        <v>นางสาว</v>
      </c>
      <c r="I1173" t="str">
        <f>IFERROR(__xludf.DUMMYFUNCTION("""COMPUTED_VALUE"""),"ศุภานัน")</f>
        <v>ศุภานัน</v>
      </c>
      <c r="J1173" t="str">
        <f>IFERROR(__xludf.DUMMYFUNCTION("""COMPUTED_VALUE"""),"สุวรรณบงกช")</f>
        <v>สุวรรณบงกช</v>
      </c>
      <c r="K1173" t="str">
        <f>IFERROR(__xludf.DUMMYFUNCTION("""COMPUTED_VALUE"""),"ศุภานัน สุวรรณบงกช")</f>
        <v>ศุภานัน สุวรรณบงกช</v>
      </c>
      <c r="L1173" t="str">
        <f>IFERROR(__xludf.DUMMYFUNCTION("""COMPUTED_VALUE"""),"มิ้น")</f>
        <v>มิ้น</v>
      </c>
      <c r="M1173" t="str">
        <f>IFERROR(__xludf.DUMMYFUNCTION("""COMPUTED_VALUE"""),"Cabin Crew")</f>
        <v>Cabin Crew</v>
      </c>
      <c r="N1173" t="str">
        <f>IFERROR(__xludf.DUMMYFUNCTION("""COMPUTED_VALUE"""),"DMK")</f>
        <v>DMK</v>
      </c>
      <c r="O1173" s="145" t="str">
        <f>IFERROR(__xludf.DUMMYFUNCTION("""COMPUTED_VALUE"""),"Um Home")</f>
        <v>Um Home</v>
      </c>
      <c r="P1173" t="str">
        <f>IFERROR(__xludf.DUMMYFUNCTION("""COMPUTED_VALUE"""),"Active")</f>
        <v>Active</v>
      </c>
      <c r="R1173" s="156">
        <f>IFERROR(__xludf.DUMMYFUNCTION("""COMPUTED_VALUE"""),35371.0)</f>
        <v>35371</v>
      </c>
      <c r="S1173" s="146" t="str">
        <f>IFERROR(__xludf.DUMMYFUNCTION("""COMPUTED_VALUE"""),"089 261 6075")</f>
        <v>089 261 6075</v>
      </c>
      <c r="T1173" s="147" t="str">
        <f>IFERROR(__xludf.DUMMYFUNCTION("""COMPUTED_VALUE"""),"1-5052-00020-75-5")</f>
        <v>1-5052-00020-75-5</v>
      </c>
      <c r="U1173" t="str">
        <f>IFERROR(__xludf.DUMMYFUNCTION("""COMPUTED_VALUE"""),"AD1833266")</f>
        <v>AD1833266</v>
      </c>
      <c r="V1173" s="148">
        <f>IFERROR(__xludf.DUMMYFUNCTION("""COMPUTED_VALUE"""),45467.0)</f>
        <v>45467</v>
      </c>
      <c r="W1173" s="148">
        <f>IFERROR(__xludf.DUMMYFUNCTION("""COMPUTED_VALUE"""),49118.0)</f>
        <v>49118</v>
      </c>
      <c r="X1173" s="149">
        <f>IFERROR(__xludf.DUMMYFUNCTION("""COMPUTED_VALUE"""),48936.0)</f>
        <v>48936</v>
      </c>
      <c r="Y1173" t="str">
        <f>IFERROR(__xludf.DUMMYFUNCTION("""COMPUTED_VALUE"""),"ปลอดภัย")</f>
        <v>ปลอดภัย</v>
      </c>
      <c r="Z1173" t="str">
        <f>IFERROR(__xludf.DUMMYFUNCTION("""COMPUTED_VALUE"""),"Chiang Mai Province")</f>
        <v>Chiang Mai Province</v>
      </c>
      <c r="AA1173" t="str">
        <f>IFERROR(__xludf.DUMMYFUNCTION("""COMPUTED_VALUE"""),"Bangkok")</f>
        <v>Bangkok</v>
      </c>
      <c r="AB1173" s="145" t="str">
        <f>IFERROR(__xludf.DUMMYFUNCTION("""COMPUTED_VALUE"""),"0892616075")</f>
        <v>0892616075</v>
      </c>
      <c r="AC1173" t="str">
        <f>IFERROR(__xludf.DUMMYFUNCTION("""COMPUTED_VALUE"""),"ประภาพร สุวรรณบงกช Mother")</f>
        <v>ประภาพร สุวรรณบงกช Mother</v>
      </c>
      <c r="AD1173" t="str">
        <f>IFERROR(__xludf.DUMMYFUNCTION("""COMPUTED_VALUE"""),"supanunsuwanbongkot@airasia.com")</f>
        <v>supanunsuwanbongkot@airasia.com</v>
      </c>
    </row>
    <row r="1174">
      <c r="A1174" s="142">
        <f>IFERROR(__xludf.DUMMYFUNCTION("""COMPUTED_VALUE"""),107.0)</f>
        <v>107</v>
      </c>
      <c r="C1174">
        <f>IFERROR(__xludf.DUMMYFUNCTION("""COMPUTED_VALUE"""),1040912.0)</f>
        <v>1040912</v>
      </c>
      <c r="D1174" t="str">
        <f>IFERROR(__xludf.DUMMYFUNCTION("""COMPUTED_VALUE"""),"Ms.")</f>
        <v>Ms.</v>
      </c>
      <c r="E1174" t="str">
        <f>IFERROR(__xludf.DUMMYFUNCTION("""COMPUTED_VALUE"""),"Wesudanatcha")</f>
        <v>Wesudanatcha</v>
      </c>
      <c r="F1174" t="str">
        <f>IFERROR(__xludf.DUMMYFUNCTION("""COMPUTED_VALUE"""),"Hengsuwan")</f>
        <v>Hengsuwan</v>
      </c>
      <c r="G1174" t="str">
        <f>IFERROR(__xludf.DUMMYFUNCTION("""COMPUTED_VALUE"""),"Wesudanatcha Hengsuwan")</f>
        <v>Wesudanatcha Hengsuwan</v>
      </c>
      <c r="H1174" t="str">
        <f>IFERROR(__xludf.DUMMYFUNCTION("""COMPUTED_VALUE"""),"นางสาว")</f>
        <v>นางสาว</v>
      </c>
      <c r="I1174" t="str">
        <f>IFERROR(__xludf.DUMMYFUNCTION("""COMPUTED_VALUE"""),"วีร์สุดานัชชา")</f>
        <v>วีร์สุดานัชชา</v>
      </c>
      <c r="J1174" t="str">
        <f>IFERROR(__xludf.DUMMYFUNCTION("""COMPUTED_VALUE"""),"เฮงสุวรรณ์")</f>
        <v>เฮงสุวรรณ์</v>
      </c>
      <c r="K1174" t="str">
        <f>IFERROR(__xludf.DUMMYFUNCTION("""COMPUTED_VALUE"""),"วีร์สุดานัชชา เฮงสุวรรณ์")</f>
        <v>วีร์สุดานัชชา เฮงสุวรรณ์</v>
      </c>
      <c r="L1174" t="str">
        <f>IFERROR(__xludf.DUMMYFUNCTION("""COMPUTED_VALUE"""),"Paytong / เปตอง")</f>
        <v>Paytong / เปตอง</v>
      </c>
      <c r="M1174" t="str">
        <f>IFERROR(__xludf.DUMMYFUNCTION("""COMPUTED_VALUE"""),"Cabin Crew")</f>
        <v>Cabin Crew</v>
      </c>
      <c r="N1174" t="str">
        <f>IFERROR(__xludf.DUMMYFUNCTION("""COMPUTED_VALUE"""),"DMK")</f>
        <v>DMK</v>
      </c>
      <c r="O1174" s="145" t="str">
        <f>IFERROR(__xludf.DUMMYFUNCTION("""COMPUTED_VALUE"""),"Toffy Home")</f>
        <v>Toffy Home</v>
      </c>
      <c r="P1174" t="str">
        <f>IFERROR(__xludf.DUMMYFUNCTION("""COMPUTED_VALUE"""),"Active")</f>
        <v>Active</v>
      </c>
      <c r="R1174" s="156">
        <f>IFERROR(__xludf.DUMMYFUNCTION("""COMPUTED_VALUE"""),34062.0)</f>
        <v>34062</v>
      </c>
      <c r="S1174" s="146" t="str">
        <f>IFERROR(__xludf.DUMMYFUNCTION("""COMPUTED_VALUE"""),"081 358 7942")</f>
        <v>081 358 7942</v>
      </c>
      <c r="T1174" s="147" t="str">
        <f>IFERROR(__xludf.DUMMYFUNCTION("""COMPUTED_VALUE"""),"1-1002-00821-33-1")</f>
        <v>1-1002-00821-33-1</v>
      </c>
      <c r="U1174" t="str">
        <f>IFERROR(__xludf.DUMMYFUNCTION("""COMPUTED_VALUE"""),"AD0436359")</f>
        <v>AD0436359</v>
      </c>
      <c r="V1174" s="148">
        <f>IFERROR(__xludf.DUMMYFUNCTION("""COMPUTED_VALUE"""),44902.0)</f>
        <v>44902</v>
      </c>
      <c r="W1174" s="148">
        <f>IFERROR(__xludf.DUMMYFUNCTION("""COMPUTED_VALUE"""),48554.0)</f>
        <v>48554</v>
      </c>
      <c r="X1174" s="149">
        <f>IFERROR(__xludf.DUMMYFUNCTION("""COMPUTED_VALUE"""),48371.0)</f>
        <v>48371</v>
      </c>
      <c r="Y1174" t="str">
        <f>IFERROR(__xludf.DUMMYFUNCTION("""COMPUTED_VALUE"""),"ปลอดภัย")</f>
        <v>ปลอดภัย</v>
      </c>
      <c r="Z1174" t="str">
        <f>IFERROR(__xludf.DUMMYFUNCTION("""COMPUTED_VALUE"""),"Bangkok")</f>
        <v>Bangkok</v>
      </c>
      <c r="AA1174" t="str">
        <f>IFERROR(__xludf.DUMMYFUNCTION("""COMPUTED_VALUE"""),"Bangkok")</f>
        <v>Bangkok</v>
      </c>
      <c r="AB1174" s="145" t="str">
        <f>IFERROR(__xludf.DUMMYFUNCTION("""COMPUTED_VALUE"""),"065-989-9789")</f>
        <v>065-989-9789</v>
      </c>
      <c r="AC1174" t="str">
        <f>IFERROR(__xludf.DUMMYFUNCTION("""COMPUTED_VALUE"""),"พ.ต.อ. ประเสริฐสุข เฮงสุวรรณ์ Father")</f>
        <v>พ.ต.อ. ประเสริฐสุข เฮงสุวรรณ์ Father</v>
      </c>
      <c r="AD1174" t="str">
        <f>IFERROR(__xludf.DUMMYFUNCTION("""COMPUTED_VALUE"""),"wesudanatchahengsuw@airasia.com")</f>
        <v>wesudanatchahengsuw@airasia.com</v>
      </c>
    </row>
    <row r="1175">
      <c r="AD1175" t="str">
        <f>IFERROR(__xludf.DUMMYFUNCTION("""COMPUTED_VALUE"""),"")</f>
        <v/>
      </c>
    </row>
    <row r="1176">
      <c r="A1176" s="142">
        <f>IFERROR(__xludf.DUMMYFUNCTION("""COMPUTED_VALUE"""),108.0)</f>
        <v>108</v>
      </c>
      <c r="B1176" t="str">
        <f>IFERROR(__xludf.DUMMYFUNCTION("""COMPUTED_VALUE"""),"102 -&gt;108")</f>
        <v>102 -&gt;108</v>
      </c>
      <c r="C1176">
        <f>IFERROR(__xludf.DUMMYFUNCTION("""COMPUTED_VALUE"""),1010830.0)</f>
        <v>1010830</v>
      </c>
      <c r="D1176" t="str">
        <f>IFERROR(__xludf.DUMMYFUNCTION("""COMPUTED_VALUE"""),"Mrs.")</f>
        <v>Mrs.</v>
      </c>
      <c r="E1176" t="str">
        <f>IFERROR(__xludf.DUMMYFUNCTION("""COMPUTED_VALUE"""),"Maylada")</f>
        <v>Maylada</v>
      </c>
      <c r="F1176" t="str">
        <f>IFERROR(__xludf.DUMMYFUNCTION("""COMPUTED_VALUE"""),"Srithai")</f>
        <v>Srithai</v>
      </c>
      <c r="G1176" t="str">
        <f>IFERROR(__xludf.DUMMYFUNCTION("""COMPUTED_VALUE"""),"Maylada Srithai")</f>
        <v>Maylada Srithai</v>
      </c>
      <c r="H1176" t="str">
        <f>IFERROR(__xludf.DUMMYFUNCTION("""COMPUTED_VALUE"""),"นาง")</f>
        <v>นาง</v>
      </c>
      <c r="I1176" t="str">
        <f>IFERROR(__xludf.DUMMYFUNCTION("""COMPUTED_VALUE"""),"เมลดา")</f>
        <v>เมลดา</v>
      </c>
      <c r="J1176" t="str">
        <f>IFERROR(__xludf.DUMMYFUNCTION("""COMPUTED_VALUE"""),"ศรีไทย")</f>
        <v>ศรีไทย</v>
      </c>
      <c r="K1176" t="str">
        <f>IFERROR(__xludf.DUMMYFUNCTION("""COMPUTED_VALUE"""),"เมลดา ศรีไทย")</f>
        <v>เมลดา ศรีไทย</v>
      </c>
      <c r="L1176" t="str">
        <f>IFERROR(__xludf.DUMMYFUNCTION("""COMPUTED_VALUE"""),"เม")</f>
        <v>เม</v>
      </c>
      <c r="M1176" t="str">
        <f>IFERROR(__xludf.DUMMYFUNCTION("""COMPUTED_VALUE"""),"Cabin Crew")</f>
        <v>Cabin Crew</v>
      </c>
      <c r="N1176" t="str">
        <f>IFERROR(__xludf.DUMMYFUNCTION("""COMPUTED_VALUE"""),"DMK")</f>
        <v>DMK</v>
      </c>
      <c r="O1176" s="145" t="str">
        <f>IFERROR(__xludf.DUMMYFUNCTION("""COMPUTED_VALUE"""),"Por+ Home")</f>
        <v>Por+ Home</v>
      </c>
      <c r="P1176" t="str">
        <f>IFERROR(__xludf.DUMMYFUNCTION("""COMPUTED_VALUE"""),"Active")</f>
        <v>Active</v>
      </c>
      <c r="R1176" s="156">
        <f>IFERROR(__xludf.DUMMYFUNCTION("""COMPUTED_VALUE"""),31726.0)</f>
        <v>31726</v>
      </c>
      <c r="S1176" s="146">
        <f>IFERROR(__xludf.DUMMYFUNCTION("""COMPUTED_VALUE"""),9.36245429E8)</f>
        <v>936245429</v>
      </c>
      <c r="T1176" s="147" t="str">
        <f>IFERROR(__xludf.DUMMYFUNCTION("""COMPUTED_VALUE"""),"1-9098-99008-10-9")</f>
        <v>1-9098-99008-10-9</v>
      </c>
      <c r="U1176" t="str">
        <f>IFERROR(__xludf.DUMMYFUNCTION("""COMPUTED_VALUE"""),"AC5551044")</f>
        <v>AC5551044</v>
      </c>
      <c r="V1176" s="148">
        <f>IFERROR(__xludf.DUMMYFUNCTION("""COMPUTED_VALUE"""),45163.0)</f>
        <v>45163</v>
      </c>
      <c r="W1176" s="148">
        <f>IFERROR(__xludf.DUMMYFUNCTION("""COMPUTED_VALUE"""),48815.0)</f>
        <v>48815</v>
      </c>
      <c r="X1176" s="149">
        <f>IFERROR(__xludf.DUMMYFUNCTION("""COMPUTED_VALUE"""),48634.0)</f>
        <v>48634</v>
      </c>
      <c r="Y1176" t="str">
        <f>IFERROR(__xludf.DUMMYFUNCTION("""COMPUTED_VALUE"""),"ปลอดภัย")</f>
        <v>ปลอดภัย</v>
      </c>
      <c r="Z1176" t="str">
        <f>IFERROR(__xludf.DUMMYFUNCTION("""COMPUTED_VALUE"""),"Songkhla Province")</f>
        <v>Songkhla Province</v>
      </c>
      <c r="AA1176" t="str">
        <f>IFERROR(__xludf.DUMMYFUNCTION("""COMPUTED_VALUE"""),"Bangkok")</f>
        <v>Bangkok</v>
      </c>
      <c r="AB1176" s="145" t="str">
        <f>IFERROR(__xludf.DUMMYFUNCTION("""COMPUTED_VALUE"""),"0936245429")</f>
        <v>0936245429</v>
      </c>
      <c r="AC1176" t="str">
        <f>IFERROR(__xludf.DUMMYFUNCTION("""COMPUTED_VALUE"""),"นายนพคุณ ศรีไทย Husband")</f>
        <v>นายนพคุณ ศรีไทย Husband</v>
      </c>
      <c r="AD1176" t="str">
        <f>IFERROR(__xludf.DUMMYFUNCTION("""COMPUTED_VALUE"""),"mayladasri@airasia.com")</f>
        <v>mayladasri@airasia.com</v>
      </c>
    </row>
    <row r="1177">
      <c r="A1177" s="142">
        <f>IFERROR(__xludf.DUMMYFUNCTION("""COMPUTED_VALUE"""),108.0)</f>
        <v>108</v>
      </c>
      <c r="B1177" t="str">
        <f>IFERROR(__xludf.DUMMYFUNCTION("""COMPUTED_VALUE"""),"22/11/2024")</f>
        <v>22/11/2024</v>
      </c>
      <c r="C1177">
        <f>IFERROR(__xludf.DUMMYFUNCTION("""COMPUTED_VALUE"""),1026025.0)</f>
        <v>1026025</v>
      </c>
      <c r="D1177" t="str">
        <f>IFERROR(__xludf.DUMMYFUNCTION("""COMPUTED_VALUE"""),"Ms.")</f>
        <v>Ms.</v>
      </c>
      <c r="E1177" t="str">
        <f>IFERROR(__xludf.DUMMYFUNCTION("""COMPUTED_VALUE"""),"Marisa")</f>
        <v>Marisa</v>
      </c>
      <c r="F1177" t="str">
        <f>IFERROR(__xludf.DUMMYFUNCTION("""COMPUTED_VALUE"""),"Homderm")</f>
        <v>Homderm</v>
      </c>
      <c r="G1177" t="str">
        <f>IFERROR(__xludf.DUMMYFUNCTION("""COMPUTED_VALUE"""),"Marisa Homderm")</f>
        <v>Marisa Homderm</v>
      </c>
      <c r="H1177" t="str">
        <f>IFERROR(__xludf.DUMMYFUNCTION("""COMPUTED_VALUE"""),"นางสาว")</f>
        <v>นางสาว</v>
      </c>
      <c r="I1177" t="str">
        <f>IFERROR(__xludf.DUMMYFUNCTION("""COMPUTED_VALUE"""),"มาริสา")</f>
        <v>มาริสา</v>
      </c>
      <c r="J1177" t="str">
        <f>IFERROR(__xludf.DUMMYFUNCTION("""COMPUTED_VALUE"""),"หอมเดิม")</f>
        <v>หอมเดิม</v>
      </c>
      <c r="K1177" t="str">
        <f>IFERROR(__xludf.DUMMYFUNCTION("""COMPUTED_VALUE"""),"มาริสา หอมเดิม")</f>
        <v>มาริสา หอมเดิม</v>
      </c>
      <c r="L1177" t="str">
        <f>IFERROR(__xludf.DUMMYFUNCTION("""COMPUTED_VALUE"""),"สา")</f>
        <v>สา</v>
      </c>
      <c r="M1177" t="str">
        <f>IFERROR(__xludf.DUMMYFUNCTION("""COMPUTED_VALUE"""),"Cabin Crew")</f>
        <v>Cabin Crew</v>
      </c>
      <c r="N1177" t="str">
        <f>IFERROR(__xludf.DUMMYFUNCTION("""COMPUTED_VALUE"""),"DMK")</f>
        <v>DMK</v>
      </c>
      <c r="O1177" s="145" t="str">
        <f>IFERROR(__xludf.DUMMYFUNCTION("""COMPUTED_VALUE"""),"Toffy Home")</f>
        <v>Toffy Home</v>
      </c>
      <c r="P1177" t="str">
        <f>IFERROR(__xludf.DUMMYFUNCTION("""COMPUTED_VALUE"""),"Active")</f>
        <v>Active</v>
      </c>
      <c r="R1177" s="156">
        <f>IFERROR(__xludf.DUMMYFUNCTION("""COMPUTED_VALUE"""),35105.0)</f>
        <v>35105</v>
      </c>
      <c r="S1177" s="146">
        <f>IFERROR(__xludf.DUMMYFUNCTION("""COMPUTED_VALUE"""),9.4649777E8)</f>
        <v>946497770</v>
      </c>
      <c r="T1177" s="147">
        <f>IFERROR(__xludf.DUMMYFUNCTION("""COMPUTED_VALUE"""),1.549900434661E12)</f>
        <v>1549900434661</v>
      </c>
      <c r="U1177" t="str">
        <f>IFERROR(__xludf.DUMMYFUNCTION("""COMPUTED_VALUE"""),"AC4686837")</f>
        <v>AC4686837</v>
      </c>
      <c r="V1177" s="148">
        <f>IFERROR(__xludf.DUMMYFUNCTION("""COMPUTED_VALUE"""),45004.0)</f>
        <v>45004</v>
      </c>
      <c r="W1177" s="148">
        <f>IFERROR(__xludf.DUMMYFUNCTION("""COMPUTED_VALUE"""),48656.0)</f>
        <v>48656</v>
      </c>
      <c r="X1177" s="149">
        <f>IFERROR(__xludf.DUMMYFUNCTION("""COMPUTED_VALUE"""),48475.0)</f>
        <v>48475</v>
      </c>
      <c r="Y1177" t="str">
        <f>IFERROR(__xludf.DUMMYFUNCTION("""COMPUTED_VALUE"""),"ปลอดภัย")</f>
        <v>ปลอดภัย</v>
      </c>
      <c r="Z1177" t="str">
        <f>IFERROR(__xludf.DUMMYFUNCTION("""COMPUTED_VALUE"""),"Phrae Province")</f>
        <v>Phrae Province</v>
      </c>
      <c r="AA1177" t="str">
        <f>IFERROR(__xludf.DUMMYFUNCTION("""COMPUTED_VALUE"""),"Pathum Thani")</f>
        <v>Pathum Thani</v>
      </c>
      <c r="AB1177" s="145">
        <f>IFERROR(__xludf.DUMMYFUNCTION("""COMPUTED_VALUE"""),8.19218277E8)</f>
        <v>819218277</v>
      </c>
      <c r="AC1177" t="str">
        <f>IFERROR(__xludf.DUMMYFUNCTION("""COMPUTED_VALUE"""),"นายจิระเกียรติ อภิชาตสุภาพขจร Friend")</f>
        <v>นายจิระเกียรติ อภิชาตสุภาพขจร Friend</v>
      </c>
      <c r="AD1177" t="str">
        <f>IFERROR(__xludf.DUMMYFUNCTION("""COMPUTED_VALUE"""),"marisahom@airasia.com")</f>
        <v>marisahom@airasia.com</v>
      </c>
    </row>
    <row r="1178">
      <c r="A1178" s="142">
        <f>IFERROR(__xludf.DUMMYFUNCTION("""COMPUTED_VALUE"""),108.0)</f>
        <v>108</v>
      </c>
      <c r="C1178">
        <f>IFERROR(__xludf.DUMMYFUNCTION("""COMPUTED_VALUE"""),1043860.0)</f>
        <v>1043860</v>
      </c>
      <c r="D1178" t="str">
        <f>IFERROR(__xludf.DUMMYFUNCTION("""COMPUTED_VALUE"""),"Ms.")</f>
        <v>Ms.</v>
      </c>
      <c r="E1178" t="str">
        <f>IFERROR(__xludf.DUMMYFUNCTION("""COMPUTED_VALUE"""),"Sunantarak")</f>
        <v>Sunantarak</v>
      </c>
      <c r="F1178" t="str">
        <f>IFERROR(__xludf.DUMMYFUNCTION("""COMPUTED_VALUE"""),"Borwornnantadej")</f>
        <v>Borwornnantadej</v>
      </c>
      <c r="G1178" t="str">
        <f>IFERROR(__xludf.DUMMYFUNCTION("""COMPUTED_VALUE"""),"Sunantarak Borwornnantadej")</f>
        <v>Sunantarak Borwornnantadej</v>
      </c>
      <c r="H1178" t="str">
        <f>IFERROR(__xludf.DUMMYFUNCTION("""COMPUTED_VALUE"""),"นางสาว")</f>
        <v>นางสาว</v>
      </c>
      <c r="I1178" t="str">
        <f>IFERROR(__xludf.DUMMYFUNCTION("""COMPUTED_VALUE"""),"สุนันทรักษ์")</f>
        <v>สุนันทรักษ์</v>
      </c>
      <c r="J1178" t="str">
        <f>IFERROR(__xludf.DUMMYFUNCTION("""COMPUTED_VALUE"""),"บวรนันทเดช")</f>
        <v>บวรนันทเดช</v>
      </c>
      <c r="K1178" t="str">
        <f>IFERROR(__xludf.DUMMYFUNCTION("""COMPUTED_VALUE"""),"สุนันทรักษ์ บวรนันทเดช")</f>
        <v>สุนันทรักษ์ บวรนันทเดช</v>
      </c>
      <c r="L1178" t="str">
        <f>IFERROR(__xludf.DUMMYFUNCTION("""COMPUTED_VALUE"""),"แนน")</f>
        <v>แนน</v>
      </c>
      <c r="M1178" t="str">
        <f>IFERROR(__xludf.DUMMYFUNCTION("""COMPUTED_VALUE"""),"Cabin Crew")</f>
        <v>Cabin Crew</v>
      </c>
      <c r="N1178" t="str">
        <f>IFERROR(__xludf.DUMMYFUNCTION("""COMPUTED_VALUE"""),"DMK")</f>
        <v>DMK</v>
      </c>
      <c r="O1178" s="145" t="str">
        <f>IFERROR(__xludf.DUMMYFUNCTION("""COMPUTED_VALUE"""),"Por+ Home")</f>
        <v>Por+ Home</v>
      </c>
      <c r="P1178" t="str">
        <f>IFERROR(__xludf.DUMMYFUNCTION("""COMPUTED_VALUE"""),"Active")</f>
        <v>Active</v>
      </c>
      <c r="R1178" s="156">
        <f>IFERROR(__xludf.DUMMYFUNCTION("""COMPUTED_VALUE"""),34986.0)</f>
        <v>34986</v>
      </c>
      <c r="S1178" s="146">
        <f>IFERROR(__xludf.DUMMYFUNCTION("""COMPUTED_VALUE"""),8.02414778E8)</f>
        <v>802414778</v>
      </c>
      <c r="T1178" s="147">
        <f>IFERROR(__xludf.DUMMYFUNCTION("""COMPUTED_VALUE"""),1.100600317983E12)</f>
        <v>1100600317983</v>
      </c>
      <c r="U1178" t="str">
        <f>IFERROR(__xludf.DUMMYFUNCTION("""COMPUTED_VALUE"""),"AC2940916")</f>
        <v>AC2940916</v>
      </c>
      <c r="V1178" s="148">
        <f>IFERROR(__xludf.DUMMYFUNCTION("""COMPUTED_VALUE"""),44631.0)</f>
        <v>44631</v>
      </c>
      <c r="W1178" s="148">
        <f>IFERROR(__xludf.DUMMYFUNCTION("""COMPUTED_VALUE"""),48283.0)</f>
        <v>48283</v>
      </c>
      <c r="X1178" s="149">
        <f>IFERROR(__xludf.DUMMYFUNCTION("""COMPUTED_VALUE"""),48101.0)</f>
        <v>48101</v>
      </c>
      <c r="Y1178" t="str">
        <f>IFERROR(__xludf.DUMMYFUNCTION("""COMPUTED_VALUE"""),"ปลอดภัย")</f>
        <v>ปลอดภัย</v>
      </c>
      <c r="Z1178" t="str">
        <f>IFERROR(__xludf.DUMMYFUNCTION("""COMPUTED_VALUE"""),"Bangkok")</f>
        <v>Bangkok</v>
      </c>
      <c r="AA1178" t="str">
        <f>IFERROR(__xludf.DUMMYFUNCTION("""COMPUTED_VALUE"""),"Bangkok")</f>
        <v>Bangkok</v>
      </c>
      <c r="AB1178" s="145" t="str">
        <f>IFERROR(__xludf.DUMMYFUNCTION("""COMPUTED_VALUE"""),"099-437-8431")</f>
        <v>099-437-8431</v>
      </c>
      <c r="AC1178" t="str">
        <f>IFERROR(__xludf.DUMMYFUNCTION("""COMPUTED_VALUE"""),"นางรัศมี บวรนันทเดช Mother")</f>
        <v>นางรัศมี บวรนันทเดช Mother</v>
      </c>
      <c r="AD1178" t="str">
        <f>IFERROR(__xludf.DUMMYFUNCTION("""COMPUTED_VALUE"""),"sunantarakbor@airasia.com")</f>
        <v>sunantarakbor@airasia.com</v>
      </c>
    </row>
    <row r="1179">
      <c r="A1179" s="142">
        <f>IFERROR(__xludf.DUMMYFUNCTION("""COMPUTED_VALUE"""),108.0)</f>
        <v>108</v>
      </c>
      <c r="C1179">
        <f>IFERROR(__xludf.DUMMYFUNCTION("""COMPUTED_VALUE"""),1043861.0)</f>
        <v>1043861</v>
      </c>
      <c r="D1179" t="str">
        <f>IFERROR(__xludf.DUMMYFUNCTION("""COMPUTED_VALUE"""),"Mr.")</f>
        <v>Mr.</v>
      </c>
      <c r="E1179" t="str">
        <f>IFERROR(__xludf.DUMMYFUNCTION("""COMPUTED_VALUE"""),"Chonkaseam")</f>
        <v>Chonkaseam</v>
      </c>
      <c r="F1179" t="str">
        <f>IFERROR(__xludf.DUMMYFUNCTION("""COMPUTED_VALUE"""),"Borisuth")</f>
        <v>Borisuth</v>
      </c>
      <c r="G1179" t="str">
        <f>IFERROR(__xludf.DUMMYFUNCTION("""COMPUTED_VALUE"""),"Chonkaseam Borisuth")</f>
        <v>Chonkaseam Borisuth</v>
      </c>
      <c r="H1179" t="str">
        <f>IFERROR(__xludf.DUMMYFUNCTION("""COMPUTED_VALUE"""),"นาย")</f>
        <v>นาย</v>
      </c>
      <c r="I1179" t="str">
        <f>IFERROR(__xludf.DUMMYFUNCTION("""COMPUTED_VALUE"""),"ชนม์เกษม")</f>
        <v>ชนม์เกษม</v>
      </c>
      <c r="J1179" t="str">
        <f>IFERROR(__xludf.DUMMYFUNCTION("""COMPUTED_VALUE"""),"บริสุทธิ์")</f>
        <v>บริสุทธิ์</v>
      </c>
      <c r="K1179" t="str">
        <f>IFERROR(__xludf.DUMMYFUNCTION("""COMPUTED_VALUE"""),"ชนม์เกษม บริสุทธิ์")</f>
        <v>ชนม์เกษม บริสุทธิ์</v>
      </c>
      <c r="L1179" t="str">
        <f>IFERROR(__xludf.DUMMYFUNCTION("""COMPUTED_VALUE"""),"Milo / ไมโล")</f>
        <v>Milo / ไมโล</v>
      </c>
      <c r="M1179" t="str">
        <f>IFERROR(__xludf.DUMMYFUNCTION("""COMPUTED_VALUE"""),"Cabin Crew")</f>
        <v>Cabin Crew</v>
      </c>
      <c r="N1179" t="str">
        <f>IFERROR(__xludf.DUMMYFUNCTION("""COMPUTED_VALUE"""),"DMK")</f>
        <v>DMK</v>
      </c>
      <c r="O1179" s="145" t="str">
        <f>IFERROR(__xludf.DUMMYFUNCTION("""COMPUTED_VALUE"""),"Namfon Home")</f>
        <v>Namfon Home</v>
      </c>
      <c r="P1179" t="str">
        <f>IFERROR(__xludf.DUMMYFUNCTION("""COMPUTED_VALUE"""),"Active")</f>
        <v>Active</v>
      </c>
      <c r="R1179" s="156">
        <f>IFERROR(__xludf.DUMMYFUNCTION("""COMPUTED_VALUE"""),36063.0)</f>
        <v>36063</v>
      </c>
      <c r="S1179" s="146" t="str">
        <f>IFERROR(__xludf.DUMMYFUNCTION("""COMPUTED_VALUE"""),"087-894-4463")</f>
        <v>087-894-4463</v>
      </c>
      <c r="T1179" s="147">
        <f>IFERROR(__xludf.DUMMYFUNCTION("""COMPUTED_VALUE"""),1.801300258951E12)</f>
        <v>1801300258951</v>
      </c>
      <c r="U1179" t="str">
        <f>IFERROR(__xludf.DUMMYFUNCTION("""COMPUTED_VALUE"""),"AD1051221")</f>
        <v>AD1051221</v>
      </c>
      <c r="V1179" s="148">
        <f>IFERROR(__xludf.DUMMYFUNCTION("""COMPUTED_VALUE"""),45055.0)</f>
        <v>45055</v>
      </c>
      <c r="W1179" s="148">
        <f>IFERROR(__xludf.DUMMYFUNCTION("""COMPUTED_VALUE"""),48707.0)</f>
        <v>48707</v>
      </c>
      <c r="X1179" s="149">
        <f>IFERROR(__xludf.DUMMYFUNCTION("""COMPUTED_VALUE"""),48526.0)</f>
        <v>48526</v>
      </c>
      <c r="Y1179" t="str">
        <f>IFERROR(__xludf.DUMMYFUNCTION("""COMPUTED_VALUE"""),"ปลอดภัย")</f>
        <v>ปลอดภัย</v>
      </c>
      <c r="Z1179" t="str">
        <f>IFERROR(__xludf.DUMMYFUNCTION("""COMPUTED_VALUE"""),"Nakhon Si Thammarat Province")</f>
        <v>Nakhon Si Thammarat Province</v>
      </c>
      <c r="AA1179" t="str">
        <f>IFERROR(__xludf.DUMMYFUNCTION("""COMPUTED_VALUE"""),"Pathum Thani")</f>
        <v>Pathum Thani</v>
      </c>
      <c r="AB1179" s="145" t="str">
        <f>IFERROR(__xludf.DUMMYFUNCTION("""COMPUTED_VALUE"""),"065-942-8981")</f>
        <v>065-942-8981</v>
      </c>
      <c r="AC1179" t="str">
        <f>IFERROR(__xludf.DUMMYFUNCTION("""COMPUTED_VALUE"""),"นางสาวณริดา บริสุทธิ์ Mother")</f>
        <v>นางสาวณริดา บริสุทธิ์ Mother</v>
      </c>
      <c r="AD1179" t="str">
        <f>IFERROR(__xludf.DUMMYFUNCTION("""COMPUTED_VALUE"""),"chonkaseambor@airasia.com")</f>
        <v>chonkaseambor@airasia.com</v>
      </c>
    </row>
    <row r="1180">
      <c r="A1180" s="142">
        <f>IFERROR(__xludf.DUMMYFUNCTION("""COMPUTED_VALUE"""),108.0)</f>
        <v>108</v>
      </c>
      <c r="C1180">
        <f>IFERROR(__xludf.DUMMYFUNCTION("""COMPUTED_VALUE"""),1043862.0)</f>
        <v>1043862</v>
      </c>
      <c r="D1180" t="str">
        <f>IFERROR(__xludf.DUMMYFUNCTION("""COMPUTED_VALUE"""),"Ms.")</f>
        <v>Ms.</v>
      </c>
      <c r="E1180" t="str">
        <f>IFERROR(__xludf.DUMMYFUNCTION("""COMPUTED_VALUE"""),"Pansita")</f>
        <v>Pansita</v>
      </c>
      <c r="F1180" t="str">
        <f>IFERROR(__xludf.DUMMYFUNCTION("""COMPUTED_VALUE"""),"Jansavang")</f>
        <v>Jansavang</v>
      </c>
      <c r="G1180" t="str">
        <f>IFERROR(__xludf.DUMMYFUNCTION("""COMPUTED_VALUE"""),"Pansita Jansavang")</f>
        <v>Pansita Jansavang</v>
      </c>
      <c r="H1180" t="str">
        <f>IFERROR(__xludf.DUMMYFUNCTION("""COMPUTED_VALUE"""),"นางสาว")</f>
        <v>นางสาว</v>
      </c>
      <c r="I1180" t="str">
        <f>IFERROR(__xludf.DUMMYFUNCTION("""COMPUTED_VALUE"""),"ภัณศิตา")</f>
        <v>ภัณศิตา</v>
      </c>
      <c r="J1180" t="str">
        <f>IFERROR(__xludf.DUMMYFUNCTION("""COMPUTED_VALUE"""),"จันท์สว่าง")</f>
        <v>จันท์สว่าง</v>
      </c>
      <c r="K1180" t="str">
        <f>IFERROR(__xludf.DUMMYFUNCTION("""COMPUTED_VALUE"""),"ภัณศิตา จันท์สว่าง")</f>
        <v>ภัณศิตา จันท์สว่าง</v>
      </c>
      <c r="L1180" t="str">
        <f>IFERROR(__xludf.DUMMYFUNCTION("""COMPUTED_VALUE"""),"Nan / แนน")</f>
        <v>Nan / แนน</v>
      </c>
      <c r="M1180" t="str">
        <f>IFERROR(__xludf.DUMMYFUNCTION("""COMPUTED_VALUE"""),"Cabin Crew")</f>
        <v>Cabin Crew</v>
      </c>
      <c r="N1180" t="str">
        <f>IFERROR(__xludf.DUMMYFUNCTION("""COMPUTED_VALUE"""),"DMK")</f>
        <v>DMK</v>
      </c>
      <c r="O1180" s="145" t="str">
        <f>IFERROR(__xludf.DUMMYFUNCTION("""COMPUTED_VALUE"""),"Toffy Home")</f>
        <v>Toffy Home</v>
      </c>
      <c r="P1180" t="str">
        <f>IFERROR(__xludf.DUMMYFUNCTION("""COMPUTED_VALUE"""),"Active")</f>
        <v>Active</v>
      </c>
      <c r="Q1180" t="str">
        <f>IFERROR(__xludf.DUMMYFUNCTION("""COMPUTED_VALUE"""),"Japanese Speaking")</f>
        <v>Japanese Speaking</v>
      </c>
      <c r="R1180" s="156">
        <f>IFERROR(__xludf.DUMMYFUNCTION("""COMPUTED_VALUE"""),36462.0)</f>
        <v>36462</v>
      </c>
      <c r="S1180" s="146" t="str">
        <f>IFERROR(__xludf.DUMMYFUNCTION("""COMPUTED_VALUE"""),"085-871-2791")</f>
        <v>085-871-2791</v>
      </c>
      <c r="T1180" s="147">
        <f>IFERROR(__xludf.DUMMYFUNCTION("""COMPUTED_VALUE"""),1.129700189209E12)</f>
        <v>1129700189209</v>
      </c>
      <c r="U1180" t="str">
        <f>IFERROR(__xludf.DUMMYFUNCTION("""COMPUTED_VALUE"""),"AC2789891")</f>
        <v>AC2789891</v>
      </c>
      <c r="V1180" s="148">
        <f>IFERROR(__xludf.DUMMYFUNCTION("""COMPUTED_VALUE"""),44503.0)</f>
        <v>44503</v>
      </c>
      <c r="W1180" s="148">
        <f>IFERROR(__xludf.DUMMYFUNCTION("""COMPUTED_VALUE"""),48154.0)</f>
        <v>48154</v>
      </c>
      <c r="X1180" s="149">
        <f>IFERROR(__xludf.DUMMYFUNCTION("""COMPUTED_VALUE"""),47970.0)</f>
        <v>47970</v>
      </c>
      <c r="Y1180" t="str">
        <f>IFERROR(__xludf.DUMMYFUNCTION("""COMPUTED_VALUE"""),"ปลอดภัย")</f>
        <v>ปลอดภัย</v>
      </c>
      <c r="Z1180" t="str">
        <f>IFERROR(__xludf.DUMMYFUNCTION("""COMPUTED_VALUE"""),"Nonthaburi Province")</f>
        <v>Nonthaburi Province</v>
      </c>
      <c r="AA1180" t="str">
        <f>IFERROR(__xludf.DUMMYFUNCTION("""COMPUTED_VALUE"""),"Bangkok")</f>
        <v>Bangkok</v>
      </c>
      <c r="AB1180" s="145" t="str">
        <f>IFERROR(__xludf.DUMMYFUNCTION("""COMPUTED_VALUE"""),"095-282-8095")</f>
        <v>095-282-8095</v>
      </c>
      <c r="AC1180" t="str">
        <f>IFERROR(__xludf.DUMMYFUNCTION("""COMPUTED_VALUE"""),"นายจิตติ จันท์สว่าง Father")</f>
        <v>นายจิตติ จันท์สว่าง Father</v>
      </c>
      <c r="AD1180" t="str">
        <f>IFERROR(__xludf.DUMMYFUNCTION("""COMPUTED_VALUE"""),"pansitajan@airasia.com")</f>
        <v>pansitajan@airasia.com</v>
      </c>
    </row>
    <row r="1181">
      <c r="A1181" s="142">
        <f>IFERROR(__xludf.DUMMYFUNCTION("""COMPUTED_VALUE"""),108.0)</f>
        <v>108</v>
      </c>
      <c r="C1181">
        <f>IFERROR(__xludf.DUMMYFUNCTION("""COMPUTED_VALUE"""),1043863.0)</f>
        <v>1043863</v>
      </c>
      <c r="D1181" t="str">
        <f>IFERROR(__xludf.DUMMYFUNCTION("""COMPUTED_VALUE"""),"Ms.")</f>
        <v>Ms.</v>
      </c>
      <c r="E1181" t="str">
        <f>IFERROR(__xludf.DUMMYFUNCTION("""COMPUTED_VALUE"""),"Paritchamon")</f>
        <v>Paritchamon</v>
      </c>
      <c r="F1181" t="str">
        <f>IFERROR(__xludf.DUMMYFUNCTION("""COMPUTED_VALUE"""),"Seomphong")</f>
        <v>Seomphong</v>
      </c>
      <c r="G1181" t="str">
        <f>IFERROR(__xludf.DUMMYFUNCTION("""COMPUTED_VALUE"""),"Paritchamon Seomphong")</f>
        <v>Paritchamon Seomphong</v>
      </c>
      <c r="H1181" t="str">
        <f>IFERROR(__xludf.DUMMYFUNCTION("""COMPUTED_VALUE"""),"นางสาว")</f>
        <v>นางสาว</v>
      </c>
      <c r="I1181" t="str">
        <f>IFERROR(__xludf.DUMMYFUNCTION("""COMPUTED_VALUE"""),"ปริชมน")</f>
        <v>ปริชมน</v>
      </c>
      <c r="J1181" t="str">
        <f>IFERROR(__xludf.DUMMYFUNCTION("""COMPUTED_VALUE"""),"เสริมพงศ์")</f>
        <v>เสริมพงศ์</v>
      </c>
      <c r="K1181" t="str">
        <f>IFERROR(__xludf.DUMMYFUNCTION("""COMPUTED_VALUE"""),"ปริชมน เสริมพงศ์")</f>
        <v>ปริชมน เสริมพงศ์</v>
      </c>
      <c r="L1181" t="str">
        <f>IFERROR(__xludf.DUMMYFUNCTION("""COMPUTED_VALUE"""),"เล็ก")</f>
        <v>เล็ก</v>
      </c>
      <c r="M1181" t="str">
        <f>IFERROR(__xludf.DUMMYFUNCTION("""COMPUTED_VALUE"""),"Cabin Crew")</f>
        <v>Cabin Crew</v>
      </c>
      <c r="N1181" t="str">
        <f>IFERROR(__xludf.DUMMYFUNCTION("""COMPUTED_VALUE"""),"DMK")</f>
        <v>DMK</v>
      </c>
      <c r="O1181" s="145" t="str">
        <f>IFERROR(__xludf.DUMMYFUNCTION("""COMPUTED_VALUE"""),"Namfon Home")</f>
        <v>Namfon Home</v>
      </c>
      <c r="P1181" t="str">
        <f>IFERROR(__xludf.DUMMYFUNCTION("""COMPUTED_VALUE"""),"Active")</f>
        <v>Active</v>
      </c>
      <c r="Q1181" t="str">
        <f>IFERROR(__xludf.DUMMYFUNCTION("""COMPUTED_VALUE"""),"Japanese Speaking")</f>
        <v>Japanese Speaking</v>
      </c>
      <c r="R1181" s="156">
        <f>IFERROR(__xludf.DUMMYFUNCTION("""COMPUTED_VALUE"""),35877.0)</f>
        <v>35877</v>
      </c>
      <c r="S1181" s="146">
        <f>IFERROR(__xludf.DUMMYFUNCTION("""COMPUTED_VALUE"""),6.23896003E8)</f>
        <v>623896003</v>
      </c>
      <c r="T1181" s="147">
        <f>IFERROR(__xludf.DUMMYFUNCTION("""COMPUTED_VALUE"""),1.409901685553E12)</f>
        <v>1409901685553</v>
      </c>
      <c r="U1181" t="str">
        <f>IFERROR(__xludf.DUMMYFUNCTION("""COMPUTED_VALUE"""),"AD0809035")</f>
        <v>AD0809035</v>
      </c>
      <c r="V1181" s="148">
        <f>IFERROR(__xludf.DUMMYFUNCTION("""COMPUTED_VALUE"""),44970.0)</f>
        <v>44970</v>
      </c>
      <c r="W1181" s="148">
        <f>IFERROR(__xludf.DUMMYFUNCTION("""COMPUTED_VALUE"""),48622.0)</f>
        <v>48622</v>
      </c>
      <c r="X1181" s="149">
        <f>IFERROR(__xludf.DUMMYFUNCTION("""COMPUTED_VALUE"""),48438.0)</f>
        <v>48438</v>
      </c>
      <c r="Y1181" t="str">
        <f>IFERROR(__xludf.DUMMYFUNCTION("""COMPUTED_VALUE"""),"ปลอดภัย")</f>
        <v>ปลอดภัย</v>
      </c>
      <c r="Z1181" t="str">
        <f>IFERROR(__xludf.DUMMYFUNCTION("""COMPUTED_VALUE"""),"Khon Kaen Province")</f>
        <v>Khon Kaen Province</v>
      </c>
      <c r="AA1181" t="str">
        <f>IFERROR(__xludf.DUMMYFUNCTION("""COMPUTED_VALUE"""),"Samut Prakan")</f>
        <v>Samut Prakan</v>
      </c>
      <c r="AB1181" s="145" t="str">
        <f>IFERROR(__xludf.DUMMYFUNCTION("""COMPUTED_VALUE"""),"0819714479")</f>
        <v>0819714479</v>
      </c>
      <c r="AC1181" t="str">
        <f>IFERROR(__xludf.DUMMYFUNCTION("""COMPUTED_VALUE"""),"นายธนิตนนท์ แก้วสง่า Friend")</f>
        <v>นายธนิตนนท์ แก้วสง่า Friend</v>
      </c>
      <c r="AD1181" t="str">
        <f>IFERROR(__xludf.DUMMYFUNCTION("""COMPUTED_VALUE"""),"paritchamonseo@airasia.com")</f>
        <v>paritchamonseo@airasia.com</v>
      </c>
    </row>
    <row r="1182">
      <c r="A1182" s="142">
        <f>IFERROR(__xludf.DUMMYFUNCTION("""COMPUTED_VALUE"""),108.0)</f>
        <v>108</v>
      </c>
      <c r="C1182">
        <f>IFERROR(__xludf.DUMMYFUNCTION("""COMPUTED_VALUE"""),1043864.0)</f>
        <v>1043864</v>
      </c>
      <c r="D1182" t="str">
        <f>IFERROR(__xludf.DUMMYFUNCTION("""COMPUTED_VALUE"""),"Ms.")</f>
        <v>Ms.</v>
      </c>
      <c r="E1182" t="str">
        <f>IFERROR(__xludf.DUMMYFUNCTION("""COMPUTED_VALUE"""),"Natnaree")</f>
        <v>Natnaree</v>
      </c>
      <c r="F1182" t="str">
        <f>IFERROR(__xludf.DUMMYFUNCTION("""COMPUTED_VALUE"""),"Phithakphakorn")</f>
        <v>Phithakphakorn</v>
      </c>
      <c r="G1182" t="str">
        <f>IFERROR(__xludf.DUMMYFUNCTION("""COMPUTED_VALUE"""),"Natnaree Phithakphakorn")</f>
        <v>Natnaree Phithakphakorn</v>
      </c>
      <c r="H1182" t="str">
        <f>IFERROR(__xludf.DUMMYFUNCTION("""COMPUTED_VALUE"""),"นางสาว")</f>
        <v>นางสาว</v>
      </c>
      <c r="I1182" t="str">
        <f>IFERROR(__xludf.DUMMYFUNCTION("""COMPUTED_VALUE"""),"ณัฐนรี")</f>
        <v>ณัฐนรี</v>
      </c>
      <c r="J1182" t="str">
        <f>IFERROR(__xludf.DUMMYFUNCTION("""COMPUTED_VALUE"""),"พิทักษ์ภากร")</f>
        <v>พิทักษ์ภากร</v>
      </c>
      <c r="K1182" t="str">
        <f>IFERROR(__xludf.DUMMYFUNCTION("""COMPUTED_VALUE"""),"ณัฐนรี พิทักษ์ภากร")</f>
        <v>ณัฐนรี พิทักษ์ภากร</v>
      </c>
      <c r="L1182" t="str">
        <f>IFERROR(__xludf.DUMMYFUNCTION("""COMPUTED_VALUE"""),"Nokyung / นกยูง")</f>
        <v>Nokyung / นกยูง</v>
      </c>
      <c r="M1182" t="str">
        <f>IFERROR(__xludf.DUMMYFUNCTION("""COMPUTED_VALUE"""),"Cabin Crew")</f>
        <v>Cabin Crew</v>
      </c>
      <c r="N1182" t="str">
        <f>IFERROR(__xludf.DUMMYFUNCTION("""COMPUTED_VALUE"""),"DMK")</f>
        <v>DMK</v>
      </c>
      <c r="O1182" s="145" t="str">
        <f>IFERROR(__xludf.DUMMYFUNCTION("""COMPUTED_VALUE"""),"Por+ Home")</f>
        <v>Por+ Home</v>
      </c>
      <c r="P1182" t="str">
        <f>IFERROR(__xludf.DUMMYFUNCTION("""COMPUTED_VALUE"""),"Active")</f>
        <v>Active</v>
      </c>
      <c r="R1182" s="156">
        <f>IFERROR(__xludf.DUMMYFUNCTION("""COMPUTED_VALUE"""),36033.0)</f>
        <v>36033</v>
      </c>
      <c r="S1182" s="146" t="str">
        <f>IFERROR(__xludf.DUMMYFUNCTION("""COMPUTED_VALUE"""),"090-991-4561")</f>
        <v>090-991-4561</v>
      </c>
      <c r="T1182" s="147">
        <f>IFERROR(__xludf.DUMMYFUNCTION("""COMPUTED_VALUE"""),1.709901224791E12)</f>
        <v>1709901224791</v>
      </c>
      <c r="U1182" t="str">
        <f>IFERROR(__xludf.DUMMYFUNCTION("""COMPUTED_VALUE"""),"AC2962282")</f>
        <v>AC2962282</v>
      </c>
      <c r="V1182" s="148">
        <f>IFERROR(__xludf.DUMMYFUNCTION("""COMPUTED_VALUE"""),44642.0)</f>
        <v>44642</v>
      </c>
      <c r="W1182" s="148">
        <f>IFERROR(__xludf.DUMMYFUNCTION("""COMPUTED_VALUE"""),48294.0)</f>
        <v>48294</v>
      </c>
      <c r="X1182" s="149">
        <f>IFERROR(__xludf.DUMMYFUNCTION("""COMPUTED_VALUE"""),48112.0)</f>
        <v>48112</v>
      </c>
      <c r="Y1182" t="str">
        <f>IFERROR(__xludf.DUMMYFUNCTION("""COMPUTED_VALUE"""),"ปลอดภัย")</f>
        <v>ปลอดภัย</v>
      </c>
      <c r="Z1182" t="str">
        <f>IFERROR(__xludf.DUMMYFUNCTION("""COMPUTED_VALUE"""),"Ratchaburi Province")</f>
        <v>Ratchaburi Province</v>
      </c>
      <c r="AA1182" t="str">
        <f>IFERROR(__xludf.DUMMYFUNCTION("""COMPUTED_VALUE"""),"Bangkok")</f>
        <v>Bangkok</v>
      </c>
      <c r="AB1182" s="145" t="str">
        <f>IFERROR(__xludf.DUMMYFUNCTION("""COMPUTED_VALUE"""),"0984919789")</f>
        <v>0984919789</v>
      </c>
      <c r="AC1182" t="str">
        <f>IFERROR(__xludf.DUMMYFUNCTION("""COMPUTED_VALUE"""),"นางบุศรา พิทักษ์ภากร Mother")</f>
        <v>นางบุศรา พิทักษ์ภากร Mother</v>
      </c>
      <c r="AD1182" t="str">
        <f>IFERROR(__xludf.DUMMYFUNCTION("""COMPUTED_VALUE"""),"natnareephi@airasia.com")</f>
        <v>natnareephi@airasia.com</v>
      </c>
    </row>
    <row r="1183">
      <c r="A1183" s="142">
        <f>IFERROR(__xludf.DUMMYFUNCTION("""COMPUTED_VALUE"""),108.0)</f>
        <v>108</v>
      </c>
      <c r="C1183">
        <f>IFERROR(__xludf.DUMMYFUNCTION("""COMPUTED_VALUE"""),1043865.0)</f>
        <v>1043865</v>
      </c>
      <c r="D1183" t="str">
        <f>IFERROR(__xludf.DUMMYFUNCTION("""COMPUTED_VALUE"""),"Ms.")</f>
        <v>Ms.</v>
      </c>
      <c r="E1183" t="str">
        <f>IFERROR(__xludf.DUMMYFUNCTION("""COMPUTED_VALUE"""),"Wiphada")</f>
        <v>Wiphada</v>
      </c>
      <c r="F1183" t="str">
        <f>IFERROR(__xludf.DUMMYFUNCTION("""COMPUTED_VALUE"""),"Kumraksa")</f>
        <v>Kumraksa</v>
      </c>
      <c r="G1183" t="str">
        <f>IFERROR(__xludf.DUMMYFUNCTION("""COMPUTED_VALUE"""),"Wiphada Kumraksa")</f>
        <v>Wiphada Kumraksa</v>
      </c>
      <c r="H1183" t="str">
        <f>IFERROR(__xludf.DUMMYFUNCTION("""COMPUTED_VALUE"""),"นางสาว")</f>
        <v>นางสาว</v>
      </c>
      <c r="I1183" t="str">
        <f>IFERROR(__xludf.DUMMYFUNCTION("""COMPUTED_VALUE"""),"วิภาดา ")</f>
        <v>วิภาดา </v>
      </c>
      <c r="J1183" t="str">
        <f>IFERROR(__xludf.DUMMYFUNCTION("""COMPUTED_VALUE"""),"คุ้มรักษา")</f>
        <v>คุ้มรักษา</v>
      </c>
      <c r="K1183" t="str">
        <f>IFERROR(__xludf.DUMMYFUNCTION("""COMPUTED_VALUE"""),"วิภาดา คุ้มรักษา")</f>
        <v>วิภาดา คุ้มรักษา</v>
      </c>
      <c r="L1183" t="str">
        <f>IFERROR(__xludf.DUMMYFUNCTION("""COMPUTED_VALUE"""),"Aom/อ้อม")</f>
        <v>Aom/อ้อม</v>
      </c>
      <c r="M1183" t="str">
        <f>IFERROR(__xludf.DUMMYFUNCTION("""COMPUTED_VALUE"""),"Cabin Crew")</f>
        <v>Cabin Crew</v>
      </c>
      <c r="N1183" t="str">
        <f>IFERROR(__xludf.DUMMYFUNCTION("""COMPUTED_VALUE"""),"DMK")</f>
        <v>DMK</v>
      </c>
      <c r="O1183" s="145" t="str">
        <f>IFERROR(__xludf.DUMMYFUNCTION("""COMPUTED_VALUE"""),"Por+ Home")</f>
        <v>Por+ Home</v>
      </c>
      <c r="P1183" t="str">
        <f>IFERROR(__xludf.DUMMYFUNCTION("""COMPUTED_VALUE"""),"Active")</f>
        <v>Active</v>
      </c>
      <c r="R1183" s="156">
        <f>IFERROR(__xludf.DUMMYFUNCTION("""COMPUTED_VALUE"""),33807.0)</f>
        <v>33807</v>
      </c>
      <c r="S1183" s="146" t="str">
        <f>IFERROR(__xludf.DUMMYFUNCTION("""COMPUTED_VALUE"""),"095-595-6924")</f>
        <v>095-595-6924</v>
      </c>
      <c r="T1183" s="147">
        <f>IFERROR(__xludf.DUMMYFUNCTION("""COMPUTED_VALUE"""),1.102001762876E12)</f>
        <v>1102001762876</v>
      </c>
      <c r="U1183" t="str">
        <f>IFERROR(__xludf.DUMMYFUNCTION("""COMPUTED_VALUE"""),"AC4813823")</f>
        <v>AC4813823</v>
      </c>
      <c r="V1183" s="148">
        <f>IFERROR(__xludf.DUMMYFUNCTION("""COMPUTED_VALUE"""),45015.0)</f>
        <v>45015</v>
      </c>
      <c r="W1183" s="148">
        <f>IFERROR(__xludf.DUMMYFUNCTION("""COMPUTED_VALUE"""),48667.0)</f>
        <v>48667</v>
      </c>
      <c r="X1183" s="149">
        <f>IFERROR(__xludf.DUMMYFUNCTION("""COMPUTED_VALUE"""),48486.0)</f>
        <v>48486</v>
      </c>
      <c r="Y1183" t="str">
        <f>IFERROR(__xludf.DUMMYFUNCTION("""COMPUTED_VALUE"""),"ปลอดภัย")</f>
        <v>ปลอดภัย</v>
      </c>
      <c r="Z1183" t="str">
        <f>IFERROR(__xludf.DUMMYFUNCTION("""COMPUTED_VALUE"""),"Bangkok")</f>
        <v>Bangkok</v>
      </c>
      <c r="AA1183" t="str">
        <f>IFERROR(__xludf.DUMMYFUNCTION("""COMPUTED_VALUE"""),"Nonthaburi")</f>
        <v>Nonthaburi</v>
      </c>
      <c r="AB1183" s="145" t="str">
        <f>IFERROR(__xludf.DUMMYFUNCTION("""COMPUTED_VALUE"""),"095-969-9459")</f>
        <v>095-969-9459</v>
      </c>
      <c r="AC1183" t="str">
        <f>IFERROR(__xludf.DUMMYFUNCTION("""COMPUTED_VALUE"""),"ลภัสรดา คุ้มรักษา Mother")</f>
        <v>ลภัสรดา คุ้มรักษา Mother</v>
      </c>
      <c r="AD1183" t="str">
        <f>IFERROR(__xludf.DUMMYFUNCTION("""COMPUTED_VALUE"""),"wiphadakum@airasia.com")</f>
        <v>wiphadakum@airasia.com</v>
      </c>
    </row>
    <row r="1184">
      <c r="A1184" s="142">
        <f>IFERROR(__xludf.DUMMYFUNCTION("""COMPUTED_VALUE"""),108.0)</f>
        <v>108</v>
      </c>
      <c r="C1184">
        <f>IFERROR(__xludf.DUMMYFUNCTION("""COMPUTED_VALUE"""),1043866.0)</f>
        <v>1043866</v>
      </c>
      <c r="D1184" t="str">
        <f>IFERROR(__xludf.DUMMYFUNCTION("""COMPUTED_VALUE"""),"Ms.")</f>
        <v>Ms.</v>
      </c>
      <c r="E1184" t="str">
        <f>IFERROR(__xludf.DUMMYFUNCTION("""COMPUTED_VALUE"""),"Jiranan")</f>
        <v>Jiranan</v>
      </c>
      <c r="F1184" t="str">
        <f>IFERROR(__xludf.DUMMYFUNCTION("""COMPUTED_VALUE"""),"Lanjakornhielan")</f>
        <v>Lanjakornhielan</v>
      </c>
      <c r="G1184" t="str">
        <f>IFERROR(__xludf.DUMMYFUNCTION("""COMPUTED_VALUE"""),"Jiranan Lanjakornhielan")</f>
        <v>Jiranan Lanjakornhielan</v>
      </c>
      <c r="H1184" t="str">
        <f>IFERROR(__xludf.DUMMYFUNCTION("""COMPUTED_VALUE"""),"นางสาว")</f>
        <v>นางสาว</v>
      </c>
      <c r="I1184" t="str">
        <f>IFERROR(__xludf.DUMMYFUNCTION("""COMPUTED_VALUE"""),"จิรนันท์")</f>
        <v>จิรนันท์</v>
      </c>
      <c r="J1184" t="str">
        <f>IFERROR(__xludf.DUMMYFUNCTION("""COMPUTED_VALUE"""),"ลัญจกรหิรัญ")</f>
        <v>ลัญจกรหิรัญ</v>
      </c>
      <c r="K1184" t="str">
        <f>IFERROR(__xludf.DUMMYFUNCTION("""COMPUTED_VALUE"""),"จิรนันท์ ลัญจกรหิรัญ")</f>
        <v>จิรนันท์ ลัญจกรหิรัญ</v>
      </c>
      <c r="L1184" t="str">
        <f>IFERROR(__xludf.DUMMYFUNCTION("""COMPUTED_VALUE"""),"Py / พี")</f>
        <v>Py / พี</v>
      </c>
      <c r="M1184" t="str">
        <f>IFERROR(__xludf.DUMMYFUNCTION("""COMPUTED_VALUE"""),"Cabin Crew")</f>
        <v>Cabin Crew</v>
      </c>
      <c r="N1184" t="str">
        <f>IFERROR(__xludf.DUMMYFUNCTION("""COMPUTED_VALUE"""),"DMK")</f>
        <v>DMK</v>
      </c>
      <c r="O1184" s="145" t="str">
        <f>IFERROR(__xludf.DUMMYFUNCTION("""COMPUTED_VALUE"""),"Um Home")</f>
        <v>Um Home</v>
      </c>
      <c r="P1184" t="str">
        <f>IFERROR(__xludf.DUMMYFUNCTION("""COMPUTED_VALUE"""),"Active")</f>
        <v>Active</v>
      </c>
      <c r="Q1184" t="str">
        <f>IFERROR(__xludf.DUMMYFUNCTION("""COMPUTED_VALUE"""),"Japanese Speaking")</f>
        <v>Japanese Speaking</v>
      </c>
      <c r="R1184" s="156">
        <f>IFERROR(__xludf.DUMMYFUNCTION("""COMPUTED_VALUE"""),33672.0)</f>
        <v>33672</v>
      </c>
      <c r="S1184" s="146">
        <f>IFERROR(__xludf.DUMMYFUNCTION("""COMPUTED_VALUE"""),9.69358107E8)</f>
        <v>969358107</v>
      </c>
      <c r="T1184" s="147">
        <f>IFERROR(__xludf.DUMMYFUNCTION("""COMPUTED_VALUE"""),1.102001691812E12)</f>
        <v>1102001691812</v>
      </c>
      <c r="U1184" t="str">
        <f>IFERROR(__xludf.DUMMYFUNCTION("""COMPUTED_VALUE"""),"AC3929197")</f>
        <v>AC3929197</v>
      </c>
      <c r="V1184" s="148">
        <f>IFERROR(__xludf.DUMMYFUNCTION("""COMPUTED_VALUE"""),44802.0)</f>
        <v>44802</v>
      </c>
      <c r="W1184" s="148">
        <f>IFERROR(__xludf.DUMMYFUNCTION("""COMPUTED_VALUE"""),48454.0)</f>
        <v>48454</v>
      </c>
      <c r="X1184" s="149">
        <f>IFERROR(__xludf.DUMMYFUNCTION("""COMPUTED_VALUE"""),48272.0)</f>
        <v>48272</v>
      </c>
      <c r="Y1184" t="str">
        <f>IFERROR(__xludf.DUMMYFUNCTION("""COMPUTED_VALUE"""),"ปลอดภัย")</f>
        <v>ปลอดภัย</v>
      </c>
      <c r="Z1184" t="str">
        <f>IFERROR(__xludf.DUMMYFUNCTION("""COMPUTED_VALUE"""),"Bangkok")</f>
        <v>Bangkok</v>
      </c>
      <c r="AA1184" t="str">
        <f>IFERROR(__xludf.DUMMYFUNCTION("""COMPUTED_VALUE"""),"Bangkok")</f>
        <v>Bangkok</v>
      </c>
      <c r="AB1184" s="145" t="str">
        <f>IFERROR(__xludf.DUMMYFUNCTION("""COMPUTED_VALUE"""),"0855452951")</f>
        <v>0855452951</v>
      </c>
      <c r="AC1184" t="str">
        <f>IFERROR(__xludf.DUMMYFUNCTION("""COMPUTED_VALUE"""),"นายดำรงฤทธิ์ ลัญจกรหิรัญ Brother")</f>
        <v>นายดำรงฤทธิ์ ลัญจกรหิรัญ Brother</v>
      </c>
      <c r="AD1184" t="str">
        <f>IFERROR(__xludf.DUMMYFUNCTION("""COMPUTED_VALUE"""),"jirananlan@airasia.com")</f>
        <v>jirananlan@airasia.com</v>
      </c>
    </row>
    <row r="1185">
      <c r="A1185" s="142">
        <f>IFERROR(__xludf.DUMMYFUNCTION("""COMPUTED_VALUE"""),108.0)</f>
        <v>108</v>
      </c>
      <c r="C1185">
        <f>IFERROR(__xludf.DUMMYFUNCTION("""COMPUTED_VALUE"""),1043867.0)</f>
        <v>1043867</v>
      </c>
      <c r="D1185" t="str">
        <f>IFERROR(__xludf.DUMMYFUNCTION("""COMPUTED_VALUE"""),"Ms.")</f>
        <v>Ms.</v>
      </c>
      <c r="E1185" t="str">
        <f>IFERROR(__xludf.DUMMYFUNCTION("""COMPUTED_VALUE"""),"Petcharat")</f>
        <v>Petcharat</v>
      </c>
      <c r="F1185" t="str">
        <f>IFERROR(__xludf.DUMMYFUNCTION("""COMPUTED_VALUE"""),"Jitnarong")</f>
        <v>Jitnarong</v>
      </c>
      <c r="G1185" t="str">
        <f>IFERROR(__xludf.DUMMYFUNCTION("""COMPUTED_VALUE"""),"Petcharat Jitnarong")</f>
        <v>Petcharat Jitnarong</v>
      </c>
      <c r="H1185" t="str">
        <f>IFERROR(__xludf.DUMMYFUNCTION("""COMPUTED_VALUE"""),"นางสาว")</f>
        <v>นางสาว</v>
      </c>
      <c r="I1185" t="str">
        <f>IFERROR(__xludf.DUMMYFUNCTION("""COMPUTED_VALUE"""),"เพชรรัตน์")</f>
        <v>เพชรรัตน์</v>
      </c>
      <c r="J1185" t="str">
        <f>IFERROR(__xludf.DUMMYFUNCTION("""COMPUTED_VALUE"""),"จิตณรงค์")</f>
        <v>จิตณรงค์</v>
      </c>
      <c r="K1185" t="str">
        <f>IFERROR(__xludf.DUMMYFUNCTION("""COMPUTED_VALUE"""),"เพชรรัตน์ จิตณรงค์")</f>
        <v>เพชรรัตน์ จิตณรงค์</v>
      </c>
      <c r="L1185" t="str">
        <f>IFERROR(__xludf.DUMMYFUNCTION("""COMPUTED_VALUE"""),"Sugar / น้ำตาล")</f>
        <v>Sugar / น้ำตาล</v>
      </c>
      <c r="M1185" t="str">
        <f>IFERROR(__xludf.DUMMYFUNCTION("""COMPUTED_VALUE"""),"Cabin Crew")</f>
        <v>Cabin Crew</v>
      </c>
      <c r="N1185" t="str">
        <f>IFERROR(__xludf.DUMMYFUNCTION("""COMPUTED_VALUE"""),"DMK")</f>
        <v>DMK</v>
      </c>
      <c r="O1185" s="145" t="str">
        <f>IFERROR(__xludf.DUMMYFUNCTION("""COMPUTED_VALUE"""),"Um Home")</f>
        <v>Um Home</v>
      </c>
      <c r="P1185" t="str">
        <f>IFERROR(__xludf.DUMMYFUNCTION("""COMPUTED_VALUE"""),"Active")</f>
        <v>Active</v>
      </c>
      <c r="Q1185" t="str">
        <f>IFERROR(__xludf.DUMMYFUNCTION("""COMPUTED_VALUE"""),"Japanese Speaking")</f>
        <v>Japanese Speaking</v>
      </c>
      <c r="R1185" s="156">
        <f>IFERROR(__xludf.DUMMYFUNCTION("""COMPUTED_VALUE"""),35626.0)</f>
        <v>35626</v>
      </c>
      <c r="S1185" s="146" t="str">
        <f>IFERROR(__xludf.DUMMYFUNCTION("""COMPUTED_VALUE"""),"080-081-4428")</f>
        <v>080-081-4428</v>
      </c>
      <c r="T1185" s="147">
        <f>IFERROR(__xludf.DUMMYFUNCTION("""COMPUTED_VALUE"""),1.949900304161E12)</f>
        <v>1949900304161</v>
      </c>
      <c r="U1185" t="str">
        <f>IFERROR(__xludf.DUMMYFUNCTION("""COMPUTED_VALUE"""),"AC3705967")</f>
        <v>AC3705967</v>
      </c>
      <c r="V1185" s="148">
        <f>IFERROR(__xludf.DUMMYFUNCTION("""COMPUTED_VALUE"""),44775.0)</f>
        <v>44775</v>
      </c>
      <c r="W1185" s="148">
        <f>IFERROR(__xludf.DUMMYFUNCTION("""COMPUTED_VALUE"""),48427.0)</f>
        <v>48427</v>
      </c>
      <c r="X1185" s="149">
        <f>IFERROR(__xludf.DUMMYFUNCTION("""COMPUTED_VALUE"""),48245.0)</f>
        <v>48245</v>
      </c>
      <c r="Y1185" t="str">
        <f>IFERROR(__xludf.DUMMYFUNCTION("""COMPUTED_VALUE"""),"ปลอดภัย")</f>
        <v>ปลอดภัย</v>
      </c>
      <c r="Z1185" t="str">
        <f>IFERROR(__xludf.DUMMYFUNCTION("""COMPUTED_VALUE"""),"Pattani Province")</f>
        <v>Pattani Province</v>
      </c>
      <c r="AA1185" t="str">
        <f>IFERROR(__xludf.DUMMYFUNCTION("""COMPUTED_VALUE"""),"Bangkok")</f>
        <v>Bangkok</v>
      </c>
      <c r="AB1185" s="145" t="str">
        <f>IFERROR(__xludf.DUMMYFUNCTION("""COMPUTED_VALUE"""),"085-057-3725")</f>
        <v>085-057-3725</v>
      </c>
      <c r="AC1185" t="str">
        <f>IFERROR(__xludf.DUMMYFUNCTION("""COMPUTED_VALUE"""),"นางสาวภาวิตา สิทธิเวช Friend")</f>
        <v>นางสาวภาวิตา สิทธิเวช Friend</v>
      </c>
      <c r="AD1185" t="str">
        <f>IFERROR(__xludf.DUMMYFUNCTION("""COMPUTED_VALUE"""),"petcharatjit@airasia.com")</f>
        <v>petcharatjit@airasia.com</v>
      </c>
    </row>
    <row r="1186">
      <c r="A1186" s="142">
        <f>IFERROR(__xludf.DUMMYFUNCTION("""COMPUTED_VALUE"""),108.0)</f>
        <v>108</v>
      </c>
      <c r="C1186">
        <f>IFERROR(__xludf.DUMMYFUNCTION("""COMPUTED_VALUE"""),1043868.0)</f>
        <v>1043868</v>
      </c>
      <c r="D1186" t="str">
        <f>IFERROR(__xludf.DUMMYFUNCTION("""COMPUTED_VALUE"""),"Ms.")</f>
        <v>Ms.</v>
      </c>
      <c r="E1186" t="str">
        <f>IFERROR(__xludf.DUMMYFUNCTION("""COMPUTED_VALUE"""),"Sutida")</f>
        <v>Sutida</v>
      </c>
      <c r="F1186" t="str">
        <f>IFERROR(__xludf.DUMMYFUNCTION("""COMPUTED_VALUE"""),"Srisuwantada")</f>
        <v>Srisuwantada</v>
      </c>
      <c r="G1186" t="str">
        <f>IFERROR(__xludf.DUMMYFUNCTION("""COMPUTED_VALUE"""),"Sutida Srisuwantada")</f>
        <v>Sutida Srisuwantada</v>
      </c>
      <c r="H1186" t="str">
        <f>IFERROR(__xludf.DUMMYFUNCTION("""COMPUTED_VALUE"""),"นางสาว")</f>
        <v>นางสาว</v>
      </c>
      <c r="I1186" t="str">
        <f>IFERROR(__xludf.DUMMYFUNCTION("""COMPUTED_VALUE"""),"สุธิดา")</f>
        <v>สุธิดา</v>
      </c>
      <c r="J1186" t="str">
        <f>IFERROR(__xludf.DUMMYFUNCTION("""COMPUTED_VALUE"""),"ศรีสุวรรณธาดา")</f>
        <v>ศรีสุวรรณธาดา</v>
      </c>
      <c r="K1186" t="str">
        <f>IFERROR(__xludf.DUMMYFUNCTION("""COMPUTED_VALUE"""),"สุธิดา ศรีสุวรรณธาดา")</f>
        <v>สุธิดา ศรีสุวรรณธาดา</v>
      </c>
      <c r="L1186" t="str">
        <f>IFERROR(__xludf.DUMMYFUNCTION("""COMPUTED_VALUE"""),"พลอย")</f>
        <v>พลอย</v>
      </c>
      <c r="M1186" t="str">
        <f>IFERROR(__xludf.DUMMYFUNCTION("""COMPUTED_VALUE"""),"Cabin Crew")</f>
        <v>Cabin Crew</v>
      </c>
      <c r="N1186" t="str">
        <f>IFERROR(__xludf.DUMMYFUNCTION("""COMPUTED_VALUE"""),"DMK")</f>
        <v>DMK</v>
      </c>
      <c r="O1186" s="145" t="str">
        <f>IFERROR(__xludf.DUMMYFUNCTION("""COMPUTED_VALUE"""),"Um Home")</f>
        <v>Um Home</v>
      </c>
      <c r="P1186" t="str">
        <f>IFERROR(__xludf.DUMMYFUNCTION("""COMPUTED_VALUE"""),"Active")</f>
        <v>Active</v>
      </c>
      <c r="R1186" s="156">
        <f>IFERROR(__xludf.DUMMYFUNCTION("""COMPUTED_VALUE"""),36534.0)</f>
        <v>36534</v>
      </c>
      <c r="S1186" s="146" t="str">
        <f>IFERROR(__xludf.DUMMYFUNCTION("""COMPUTED_VALUE"""),"084-192-2795")</f>
        <v>084-192-2795</v>
      </c>
      <c r="T1186" s="147">
        <f>IFERROR(__xludf.DUMMYFUNCTION("""COMPUTED_VALUE"""),1.103702947687E12)</f>
        <v>1103702947687</v>
      </c>
      <c r="U1186" t="str">
        <f>IFERROR(__xludf.DUMMYFUNCTION("""COMPUTED_VALUE"""),"AC4666134")</f>
        <v>AC4666134</v>
      </c>
      <c r="V1186" s="148">
        <f>IFERROR(__xludf.DUMMYFUNCTION("""COMPUTED_VALUE"""),44995.0)</f>
        <v>44995</v>
      </c>
      <c r="W1186" s="148">
        <f>IFERROR(__xludf.DUMMYFUNCTION("""COMPUTED_VALUE"""),46821.0)</f>
        <v>46821</v>
      </c>
      <c r="X1186" s="149">
        <f>IFERROR(__xludf.DUMMYFUNCTION("""COMPUTED_VALUE"""),46639.0)</f>
        <v>46639</v>
      </c>
      <c r="Y1186" t="str">
        <f>IFERROR(__xludf.DUMMYFUNCTION("""COMPUTED_VALUE"""),"ปลอดภัย")</f>
        <v>ปลอดภัย</v>
      </c>
      <c r="Z1186" t="str">
        <f>IFERROR(__xludf.DUMMYFUNCTION("""COMPUTED_VALUE"""),"Bangkok")</f>
        <v>Bangkok</v>
      </c>
      <c r="AA1186" t="str">
        <f>IFERROR(__xludf.DUMMYFUNCTION("""COMPUTED_VALUE"""),"Bangkok")</f>
        <v>Bangkok</v>
      </c>
      <c r="AB1186" s="145" t="str">
        <f>IFERROR(__xludf.DUMMYFUNCTION("""COMPUTED_VALUE"""),"063-862-6099")</f>
        <v>063-862-6099</v>
      </c>
      <c r="AC1186" t="str">
        <f>IFERROR(__xludf.DUMMYFUNCTION("""COMPUTED_VALUE"""),"นายจิรชัย ไหลเกียรติคุณ Brother")</f>
        <v>นายจิรชัย ไหลเกียรติคุณ Brother</v>
      </c>
      <c r="AD1186" t="str">
        <f>IFERROR(__xludf.DUMMYFUNCTION("""COMPUTED_VALUE"""),"sutidasri@airasia.com")</f>
        <v>sutidasri@airasia.com</v>
      </c>
    </row>
    <row r="1187">
      <c r="A1187" s="142">
        <f>IFERROR(__xludf.DUMMYFUNCTION("""COMPUTED_VALUE"""),108.0)</f>
        <v>108</v>
      </c>
      <c r="C1187">
        <f>IFERROR(__xludf.DUMMYFUNCTION("""COMPUTED_VALUE"""),1043869.0)</f>
        <v>1043869</v>
      </c>
      <c r="D1187" t="str">
        <f>IFERROR(__xludf.DUMMYFUNCTION("""COMPUTED_VALUE"""),"Mr.")</f>
        <v>Mr.</v>
      </c>
      <c r="E1187" t="str">
        <f>IFERROR(__xludf.DUMMYFUNCTION("""COMPUTED_VALUE"""),"Jaturong")</f>
        <v>Jaturong</v>
      </c>
      <c r="F1187" t="str">
        <f>IFERROR(__xludf.DUMMYFUNCTION("""COMPUTED_VALUE"""),"Phomhom")</f>
        <v>Phomhom</v>
      </c>
      <c r="G1187" t="str">
        <f>IFERROR(__xludf.DUMMYFUNCTION("""COMPUTED_VALUE"""),"Jaturong Phomhom")</f>
        <v>Jaturong Phomhom</v>
      </c>
      <c r="H1187" t="str">
        <f>IFERROR(__xludf.DUMMYFUNCTION("""COMPUTED_VALUE"""),"นาย")</f>
        <v>นาย</v>
      </c>
      <c r="I1187" t="str">
        <f>IFERROR(__xludf.DUMMYFUNCTION("""COMPUTED_VALUE"""),"จตุรงค์")</f>
        <v>จตุรงค์</v>
      </c>
      <c r="J1187" t="str">
        <f>IFERROR(__xludf.DUMMYFUNCTION("""COMPUTED_VALUE"""),"ผมหอม")</f>
        <v>ผมหอม</v>
      </c>
      <c r="K1187" t="str">
        <f>IFERROR(__xludf.DUMMYFUNCTION("""COMPUTED_VALUE"""),"จตุรงค์ ผมหอม")</f>
        <v>จตุรงค์ ผมหอม</v>
      </c>
      <c r="L1187" t="str">
        <f>IFERROR(__xludf.DUMMYFUNCTION("""COMPUTED_VALUE"""),"Jess / เจส")</f>
        <v>Jess / เจส</v>
      </c>
      <c r="M1187" t="str">
        <f>IFERROR(__xludf.DUMMYFUNCTION("""COMPUTED_VALUE"""),"Cabin Crew")</f>
        <v>Cabin Crew</v>
      </c>
      <c r="N1187" t="str">
        <f>IFERROR(__xludf.DUMMYFUNCTION("""COMPUTED_VALUE"""),"DMK")</f>
        <v>DMK</v>
      </c>
      <c r="O1187" s="145" t="str">
        <f>IFERROR(__xludf.DUMMYFUNCTION("""COMPUTED_VALUE"""),"Por+ Home")</f>
        <v>Por+ Home</v>
      </c>
      <c r="P1187" t="str">
        <f>IFERROR(__xludf.DUMMYFUNCTION("""COMPUTED_VALUE"""),"Active")</f>
        <v>Active</v>
      </c>
      <c r="Q1187" t="str">
        <f>IFERROR(__xludf.DUMMYFUNCTION("""COMPUTED_VALUE"""),"Japanese Speaking / Korean Speaking")</f>
        <v>Japanese Speaking / Korean Speaking</v>
      </c>
      <c r="R1187" s="156">
        <f>IFERROR(__xludf.DUMMYFUNCTION("""COMPUTED_VALUE"""),34075.0)</f>
        <v>34075</v>
      </c>
      <c r="S1187" s="146" t="str">
        <f>IFERROR(__xludf.DUMMYFUNCTION("""COMPUTED_VALUE"""),"089-735-3087")</f>
        <v>089-735-3087</v>
      </c>
      <c r="T1187" s="147">
        <f>IFERROR(__xludf.DUMMYFUNCTION("""COMPUTED_VALUE"""),1.100701695151E12)</f>
        <v>1100701695151</v>
      </c>
      <c r="U1187" t="str">
        <f>IFERROR(__xludf.DUMMYFUNCTION("""COMPUTED_VALUE"""),"AC3842594")</f>
        <v>AC3842594</v>
      </c>
      <c r="V1187" s="148">
        <f>IFERROR(__xludf.DUMMYFUNCTION("""COMPUTED_VALUE"""),44789.0)</f>
        <v>44789</v>
      </c>
      <c r="W1187" s="148">
        <f>IFERROR(__xludf.DUMMYFUNCTION("""COMPUTED_VALUE"""),48441.0)</f>
        <v>48441</v>
      </c>
      <c r="X1187" s="149">
        <f>IFERROR(__xludf.DUMMYFUNCTION("""COMPUTED_VALUE"""),48259.0)</f>
        <v>48259</v>
      </c>
      <c r="Y1187" t="str">
        <f>IFERROR(__xludf.DUMMYFUNCTION("""COMPUTED_VALUE"""),"ปลอดภัย")</f>
        <v>ปลอดภัย</v>
      </c>
      <c r="Z1187" t="str">
        <f>IFERROR(__xludf.DUMMYFUNCTION("""COMPUTED_VALUE"""),"Bangkok")</f>
        <v>Bangkok</v>
      </c>
      <c r="AA1187" t="str">
        <f>IFERROR(__xludf.DUMMYFUNCTION("""COMPUTED_VALUE"""),"Samut Prakan")</f>
        <v>Samut Prakan</v>
      </c>
      <c r="AB1187" s="145" t="str">
        <f>IFERROR(__xludf.DUMMYFUNCTION("""COMPUTED_VALUE"""),"081-187-7260")</f>
        <v>081-187-7260</v>
      </c>
      <c r="AC1187" t="str">
        <f>IFERROR(__xludf.DUMMYFUNCTION("""COMPUTED_VALUE"""),"นางธมลวรรณ จีนไทย Friend")</f>
        <v>นางธมลวรรณ จีนไทย Friend</v>
      </c>
      <c r="AD1187" t="str">
        <f>IFERROR(__xludf.DUMMYFUNCTION("""COMPUTED_VALUE"""),"jaturongpho@airasia.com")</f>
        <v>jaturongpho@airasia.com</v>
      </c>
    </row>
    <row r="1188">
      <c r="A1188" s="142">
        <f>IFERROR(__xludf.DUMMYFUNCTION("""COMPUTED_VALUE"""),108.0)</f>
        <v>108</v>
      </c>
      <c r="C1188">
        <f>IFERROR(__xludf.DUMMYFUNCTION("""COMPUTED_VALUE"""),1043870.0)</f>
        <v>1043870</v>
      </c>
      <c r="D1188" t="str">
        <f>IFERROR(__xludf.DUMMYFUNCTION("""COMPUTED_VALUE"""),"Ms.")</f>
        <v>Ms.</v>
      </c>
      <c r="E1188" t="str">
        <f>IFERROR(__xludf.DUMMYFUNCTION("""COMPUTED_VALUE"""),"Daranphon")</f>
        <v>Daranphon</v>
      </c>
      <c r="F1188" t="str">
        <f>IFERROR(__xludf.DUMMYFUNCTION("""COMPUTED_VALUE"""),"Chaikiatchanyaphon")</f>
        <v>Chaikiatchanyaphon</v>
      </c>
      <c r="G1188" t="str">
        <f>IFERROR(__xludf.DUMMYFUNCTION("""COMPUTED_VALUE"""),"Daranphon Chaikiatchanyaphon")</f>
        <v>Daranphon Chaikiatchanyaphon</v>
      </c>
      <c r="H1188" t="str">
        <f>IFERROR(__xludf.DUMMYFUNCTION("""COMPUTED_VALUE"""),"นางสาว")</f>
        <v>นางสาว</v>
      </c>
      <c r="I1188" t="str">
        <f>IFERROR(__xludf.DUMMYFUNCTION("""COMPUTED_VALUE"""),"ดรัลพร")</f>
        <v>ดรัลพร</v>
      </c>
      <c r="J1188" t="str">
        <f>IFERROR(__xludf.DUMMYFUNCTION("""COMPUTED_VALUE"""),"ชัยเกียรติชัญพร")</f>
        <v>ชัยเกียรติชัญพร</v>
      </c>
      <c r="K1188" t="str">
        <f>IFERROR(__xludf.DUMMYFUNCTION("""COMPUTED_VALUE"""),"ดรัลพร ชัยเกียรติชัญพร")</f>
        <v>ดรัลพร ชัยเกียรติชัญพร</v>
      </c>
      <c r="L1188" t="str">
        <f>IFERROR(__xludf.DUMMYFUNCTION("""COMPUTED_VALUE"""),"ไตเติ้ล")</f>
        <v>ไตเติ้ล</v>
      </c>
      <c r="M1188" t="str">
        <f>IFERROR(__xludf.DUMMYFUNCTION("""COMPUTED_VALUE"""),"Cabin Crew")</f>
        <v>Cabin Crew</v>
      </c>
      <c r="N1188" t="str">
        <f>IFERROR(__xludf.DUMMYFUNCTION("""COMPUTED_VALUE"""),"DMK")</f>
        <v>DMK</v>
      </c>
      <c r="O1188" s="145" t="str">
        <f>IFERROR(__xludf.DUMMYFUNCTION("""COMPUTED_VALUE"""),"Toffy Home")</f>
        <v>Toffy Home</v>
      </c>
      <c r="P1188" t="str">
        <f>IFERROR(__xludf.DUMMYFUNCTION("""COMPUTED_VALUE"""),"Active")</f>
        <v>Active</v>
      </c>
      <c r="Q1188" t="str">
        <f>IFERROR(__xludf.DUMMYFUNCTION("""COMPUTED_VALUE"""),"Japanese Speaking")</f>
        <v>Japanese Speaking</v>
      </c>
      <c r="R1188" s="156">
        <f>IFERROR(__xludf.DUMMYFUNCTION("""COMPUTED_VALUE"""),34617.0)</f>
        <v>34617</v>
      </c>
      <c r="S1188" s="146" t="str">
        <f>IFERROR(__xludf.DUMMYFUNCTION("""COMPUTED_VALUE"""),"094-362-2765")</f>
        <v>094-362-2765</v>
      </c>
      <c r="T1188" s="147">
        <f>IFERROR(__xludf.DUMMYFUNCTION("""COMPUTED_VALUE"""),1.309901084143E12)</f>
        <v>1309901084143</v>
      </c>
      <c r="U1188" t="str">
        <f>IFERROR(__xludf.DUMMYFUNCTION("""COMPUTED_VALUE"""),"AD1073919")</f>
        <v>AD1073919</v>
      </c>
      <c r="V1188" s="148">
        <f>IFERROR(__xludf.DUMMYFUNCTION("""COMPUTED_VALUE"""),45058.0)</f>
        <v>45058</v>
      </c>
      <c r="W1188" s="148">
        <f>IFERROR(__xludf.DUMMYFUNCTION("""COMPUTED_VALUE"""),48710.0)</f>
        <v>48710</v>
      </c>
      <c r="X1188" s="149">
        <f>IFERROR(__xludf.DUMMYFUNCTION("""COMPUTED_VALUE"""),48529.0)</f>
        <v>48529</v>
      </c>
      <c r="Y1188" t="str">
        <f>IFERROR(__xludf.DUMMYFUNCTION("""COMPUTED_VALUE"""),"ปลอดภัย")</f>
        <v>ปลอดภัย</v>
      </c>
      <c r="Z1188" t="str">
        <f>IFERROR(__xludf.DUMMYFUNCTION("""COMPUTED_VALUE"""),"Nakhon Ratchasima Province")</f>
        <v>Nakhon Ratchasima Province</v>
      </c>
      <c r="AA1188" t="str">
        <f>IFERROR(__xludf.DUMMYFUNCTION("""COMPUTED_VALUE"""),"Bangkok")</f>
        <v>Bangkok</v>
      </c>
      <c r="AB1188" s="145" t="str">
        <f>IFERROR(__xludf.DUMMYFUNCTION("""COMPUTED_VALUE"""),"081-266-5553")</f>
        <v>081-266-5553</v>
      </c>
      <c r="AC1188" t="str">
        <f>IFERROR(__xludf.DUMMYFUNCTION("""COMPUTED_VALUE"""),"นายจิรัฎฐ์ ธัญญ์จิโรจน์ Father")</f>
        <v>นายจิรัฎฐ์ ธัญญ์จิโรจน์ Father</v>
      </c>
      <c r="AD1188" t="str">
        <f>IFERROR(__xludf.DUMMYFUNCTION("""COMPUTED_VALUE"""),"daranphoncha@airasia.com")</f>
        <v>daranphoncha@airasia.com</v>
      </c>
    </row>
    <row r="1189">
      <c r="A1189" s="142">
        <f>IFERROR(__xludf.DUMMYFUNCTION("""COMPUTED_VALUE"""),108.0)</f>
        <v>108</v>
      </c>
      <c r="C1189">
        <f>IFERROR(__xludf.DUMMYFUNCTION("""COMPUTED_VALUE"""),1043871.0)</f>
        <v>1043871</v>
      </c>
      <c r="D1189" t="str">
        <f>IFERROR(__xludf.DUMMYFUNCTION("""COMPUTED_VALUE"""),"Ms.")</f>
        <v>Ms.</v>
      </c>
      <c r="E1189" t="str">
        <f>IFERROR(__xludf.DUMMYFUNCTION("""COMPUTED_VALUE"""),"Waleerat")</f>
        <v>Waleerat</v>
      </c>
      <c r="F1189" t="str">
        <f>IFERROR(__xludf.DUMMYFUNCTION("""COMPUTED_VALUE"""),"Thaworn")</f>
        <v>Thaworn</v>
      </c>
      <c r="G1189" t="str">
        <f>IFERROR(__xludf.DUMMYFUNCTION("""COMPUTED_VALUE"""),"Waleerat Thaworn")</f>
        <v>Waleerat Thaworn</v>
      </c>
      <c r="H1189" t="str">
        <f>IFERROR(__xludf.DUMMYFUNCTION("""COMPUTED_VALUE"""),"นางสาว")</f>
        <v>นางสาว</v>
      </c>
      <c r="I1189" t="str">
        <f>IFERROR(__xludf.DUMMYFUNCTION("""COMPUTED_VALUE"""),"วลีรัตน์")</f>
        <v>วลีรัตน์</v>
      </c>
      <c r="J1189" t="str">
        <f>IFERROR(__xludf.DUMMYFUNCTION("""COMPUTED_VALUE"""),"ถาวร")</f>
        <v>ถาวร</v>
      </c>
      <c r="K1189" t="str">
        <f>IFERROR(__xludf.DUMMYFUNCTION("""COMPUTED_VALUE"""),"วลีรัตน์ ถาวร")</f>
        <v>วลีรัตน์ ถาวร</v>
      </c>
      <c r="L1189" t="str">
        <f>IFERROR(__xludf.DUMMYFUNCTION("""COMPUTED_VALUE"""),"อาย")</f>
        <v>อาย</v>
      </c>
      <c r="M1189" t="str">
        <f>IFERROR(__xludf.DUMMYFUNCTION("""COMPUTED_VALUE"""),"Cabin Crew")</f>
        <v>Cabin Crew</v>
      </c>
      <c r="N1189" t="str">
        <f>IFERROR(__xludf.DUMMYFUNCTION("""COMPUTED_VALUE"""),"DMK")</f>
        <v>DMK</v>
      </c>
      <c r="O1189" s="145" t="str">
        <f>IFERROR(__xludf.DUMMYFUNCTION("""COMPUTED_VALUE"""),"Namfon Home")</f>
        <v>Namfon Home</v>
      </c>
      <c r="P1189" t="str">
        <f>IFERROR(__xludf.DUMMYFUNCTION("""COMPUTED_VALUE"""),"Active")</f>
        <v>Active</v>
      </c>
      <c r="Q1189" t="str">
        <f>IFERROR(__xludf.DUMMYFUNCTION("""COMPUTED_VALUE"""),"Japanese Speaking")</f>
        <v>Japanese Speaking</v>
      </c>
      <c r="R1189" s="156">
        <f>IFERROR(__xludf.DUMMYFUNCTION("""COMPUTED_VALUE"""),33418.0)</f>
        <v>33418</v>
      </c>
      <c r="S1189" s="146">
        <f>IFERROR(__xludf.DUMMYFUNCTION("""COMPUTED_VALUE"""),6.50059088E8)</f>
        <v>650059088</v>
      </c>
      <c r="T1189" s="147">
        <f>IFERROR(__xludf.DUMMYFUNCTION("""COMPUTED_VALUE"""),1.249900234258E12)</f>
        <v>1249900234258</v>
      </c>
      <c r="U1189" t="str">
        <f>IFERROR(__xludf.DUMMYFUNCTION("""COMPUTED_VALUE"""),"AD0383990")</f>
        <v>AD0383990</v>
      </c>
      <c r="V1189" s="148">
        <f>IFERROR(__xludf.DUMMYFUNCTION("""COMPUTED_VALUE"""),44877.0)</f>
        <v>44877</v>
      </c>
      <c r="W1189" s="148">
        <f>IFERROR(__xludf.DUMMYFUNCTION("""COMPUTED_VALUE"""),48529.0)</f>
        <v>48529</v>
      </c>
      <c r="X1189" s="149">
        <f>IFERROR(__xludf.DUMMYFUNCTION("""COMPUTED_VALUE"""),48345.0)</f>
        <v>48345</v>
      </c>
      <c r="Y1189" t="str">
        <f>IFERROR(__xludf.DUMMYFUNCTION("""COMPUTED_VALUE"""),"ปลอดภัย")</f>
        <v>ปลอดภัย</v>
      </c>
      <c r="Z1189" t="str">
        <f>IFERROR(__xludf.DUMMYFUNCTION("""COMPUTED_VALUE"""),"Chachoengsao Province")</f>
        <v>Chachoengsao Province</v>
      </c>
      <c r="AA1189" t="str">
        <f>IFERROR(__xludf.DUMMYFUNCTION("""COMPUTED_VALUE"""),"Bangkok")</f>
        <v>Bangkok</v>
      </c>
      <c r="AB1189" s="145" t="str">
        <f>IFERROR(__xludf.DUMMYFUNCTION("""COMPUTED_VALUE"""),"0869986668")</f>
        <v>0869986668</v>
      </c>
      <c r="AC1189" t="str">
        <f>IFERROR(__xludf.DUMMYFUNCTION("""COMPUTED_VALUE"""),"นายธัญญพล จาตกานนท์ Friend")</f>
        <v>นายธัญญพล จาตกานนท์ Friend</v>
      </c>
      <c r="AD1189" t="str">
        <f>IFERROR(__xludf.DUMMYFUNCTION("""COMPUTED_VALUE"""),"waleerattha@airasia.com")</f>
        <v>waleerattha@airasia.com</v>
      </c>
    </row>
    <row r="1190">
      <c r="A1190" s="142">
        <f>IFERROR(__xludf.DUMMYFUNCTION("""COMPUTED_VALUE"""),108.0)</f>
        <v>108</v>
      </c>
      <c r="C1190">
        <f>IFERROR(__xludf.DUMMYFUNCTION("""COMPUTED_VALUE"""),1043872.0)</f>
        <v>1043872</v>
      </c>
      <c r="D1190" t="str">
        <f>IFERROR(__xludf.DUMMYFUNCTION("""COMPUTED_VALUE"""),"Ms.")</f>
        <v>Ms.</v>
      </c>
      <c r="E1190" t="str">
        <f>IFERROR(__xludf.DUMMYFUNCTION("""COMPUTED_VALUE"""),"Phatreeya")</f>
        <v>Phatreeya</v>
      </c>
      <c r="F1190" t="str">
        <f>IFERROR(__xludf.DUMMYFUNCTION("""COMPUTED_VALUE"""),"Chanurai")</f>
        <v>Chanurai</v>
      </c>
      <c r="G1190" t="str">
        <f>IFERROR(__xludf.DUMMYFUNCTION("""COMPUTED_VALUE"""),"Phatreeya Chanurai")</f>
        <v>Phatreeya Chanurai</v>
      </c>
      <c r="H1190" t="str">
        <f>IFERROR(__xludf.DUMMYFUNCTION("""COMPUTED_VALUE"""),"นางสาว")</f>
        <v>นางสาว</v>
      </c>
      <c r="I1190" t="str">
        <f>IFERROR(__xludf.DUMMYFUNCTION("""COMPUTED_VALUE"""),"ภัทรียา")</f>
        <v>ภัทรียา</v>
      </c>
      <c r="J1190" t="str">
        <f>IFERROR(__xludf.DUMMYFUNCTION("""COMPUTED_VALUE"""),"จันทร์อุไร")</f>
        <v>จันทร์อุไร</v>
      </c>
      <c r="K1190" t="str">
        <f>IFERROR(__xludf.DUMMYFUNCTION("""COMPUTED_VALUE"""),"ภัทรียา จันทร์อุไร")</f>
        <v>ภัทรียา จันทร์อุไร</v>
      </c>
      <c r="L1190" t="str">
        <f>IFERROR(__xludf.DUMMYFUNCTION("""COMPUTED_VALUE"""),"Dream / ดรีม")</f>
        <v>Dream / ดรีม</v>
      </c>
      <c r="M1190" t="str">
        <f>IFERROR(__xludf.DUMMYFUNCTION("""COMPUTED_VALUE"""),"Cabin Crew")</f>
        <v>Cabin Crew</v>
      </c>
      <c r="N1190" t="str">
        <f>IFERROR(__xludf.DUMMYFUNCTION("""COMPUTED_VALUE"""),"DMK")</f>
        <v>DMK</v>
      </c>
      <c r="O1190" s="145" t="str">
        <f>IFERROR(__xludf.DUMMYFUNCTION("""COMPUTED_VALUE"""),"Kor Home")</f>
        <v>Kor Home</v>
      </c>
      <c r="P1190" t="str">
        <f>IFERROR(__xludf.DUMMYFUNCTION("""COMPUTED_VALUE"""),"Active")</f>
        <v>Active</v>
      </c>
      <c r="Q1190" t="str">
        <f>IFERROR(__xludf.DUMMYFUNCTION("""COMPUTED_VALUE"""),"Korean Speaking")</f>
        <v>Korean Speaking</v>
      </c>
      <c r="R1190" s="156">
        <f>IFERROR(__xludf.DUMMYFUNCTION("""COMPUTED_VALUE"""),37094.0)</f>
        <v>37094</v>
      </c>
      <c r="S1190" s="146" t="str">
        <f>IFERROR(__xludf.DUMMYFUNCTION("""COMPUTED_VALUE"""),"083-704-4419")</f>
        <v>083-704-4419</v>
      </c>
      <c r="T1190" s="147">
        <f>IFERROR(__xludf.DUMMYFUNCTION("""COMPUTED_VALUE"""),1.101402234608E12)</f>
        <v>1101402234608</v>
      </c>
      <c r="U1190" t="str">
        <f>IFERROR(__xludf.DUMMYFUNCTION("""COMPUTED_VALUE"""),"AC2938658")</f>
        <v>AC2938658</v>
      </c>
      <c r="V1190" s="148">
        <f>IFERROR(__xludf.DUMMYFUNCTION("""COMPUTED_VALUE"""),44630.0)</f>
        <v>44630</v>
      </c>
      <c r="W1190" s="148">
        <f>IFERROR(__xludf.DUMMYFUNCTION("""COMPUTED_VALUE"""),48282.0)</f>
        <v>48282</v>
      </c>
      <c r="X1190" s="149">
        <f>IFERROR(__xludf.DUMMYFUNCTION("""COMPUTED_VALUE"""),48100.0)</f>
        <v>48100</v>
      </c>
      <c r="Y1190" t="str">
        <f>IFERROR(__xludf.DUMMYFUNCTION("""COMPUTED_VALUE"""),"ปลอดภัย")</f>
        <v>ปลอดภัย</v>
      </c>
      <c r="Z1190" t="str">
        <f>IFERROR(__xludf.DUMMYFUNCTION("""COMPUTED_VALUE"""),"Bangkok")</f>
        <v>Bangkok</v>
      </c>
      <c r="AA1190" t="str">
        <f>IFERROR(__xludf.DUMMYFUNCTION("""COMPUTED_VALUE"""),"Bangkok")</f>
        <v>Bangkok</v>
      </c>
      <c r="AB1190" s="145" t="str">
        <f>IFERROR(__xludf.DUMMYFUNCTION("""COMPUTED_VALUE"""),"083-714-4999")</f>
        <v>083-714-4999</v>
      </c>
      <c r="AC1190" t="str">
        <f>IFERROR(__xludf.DUMMYFUNCTION("""COMPUTED_VALUE"""),"นายอภิรัฐ จันทร์อุไร Father")</f>
        <v>นายอภิรัฐ จันทร์อุไร Father</v>
      </c>
      <c r="AD1190" t="str">
        <f>IFERROR(__xludf.DUMMYFUNCTION("""COMPUTED_VALUE"""),"phatreeyacha@airasia.com")</f>
        <v>phatreeyacha@airasia.com</v>
      </c>
    </row>
    <row r="1191">
      <c r="A1191" s="142">
        <f>IFERROR(__xludf.DUMMYFUNCTION("""COMPUTED_VALUE"""),108.0)</f>
        <v>108</v>
      </c>
      <c r="C1191">
        <f>IFERROR(__xludf.DUMMYFUNCTION("""COMPUTED_VALUE"""),1043873.0)</f>
        <v>1043873</v>
      </c>
      <c r="D1191" t="str">
        <f>IFERROR(__xludf.DUMMYFUNCTION("""COMPUTED_VALUE"""),"Ms.")</f>
        <v>Ms.</v>
      </c>
      <c r="E1191" t="str">
        <f>IFERROR(__xludf.DUMMYFUNCTION("""COMPUTED_VALUE"""),"Thansinee")</f>
        <v>Thansinee</v>
      </c>
      <c r="F1191" t="str">
        <f>IFERROR(__xludf.DUMMYFUNCTION("""COMPUTED_VALUE"""),"Pankaew")</f>
        <v>Pankaew</v>
      </c>
      <c r="G1191" t="str">
        <f>IFERROR(__xludf.DUMMYFUNCTION("""COMPUTED_VALUE"""),"Thansinee Pankaew")</f>
        <v>Thansinee Pankaew</v>
      </c>
      <c r="H1191" t="str">
        <f>IFERROR(__xludf.DUMMYFUNCTION("""COMPUTED_VALUE"""),"นางสาว")</f>
        <v>นางสาว</v>
      </c>
      <c r="I1191" t="str">
        <f>IFERROR(__xludf.DUMMYFUNCTION("""COMPUTED_VALUE"""),"ธัญสินี")</f>
        <v>ธัญสินี</v>
      </c>
      <c r="J1191" t="str">
        <f>IFERROR(__xludf.DUMMYFUNCTION("""COMPUTED_VALUE"""),"ปานแก้ว")</f>
        <v>ปานแก้ว</v>
      </c>
      <c r="K1191" t="str">
        <f>IFERROR(__xludf.DUMMYFUNCTION("""COMPUTED_VALUE"""),"ธัญสินี ปานแก้ว")</f>
        <v>ธัญสินี ปานแก้ว</v>
      </c>
      <c r="L1191" t="str">
        <f>IFERROR(__xludf.DUMMYFUNCTION("""COMPUTED_VALUE"""),"ชิงๆ")</f>
        <v>ชิงๆ</v>
      </c>
      <c r="M1191" t="str">
        <f>IFERROR(__xludf.DUMMYFUNCTION("""COMPUTED_VALUE"""),"Cabin Crew")</f>
        <v>Cabin Crew</v>
      </c>
      <c r="N1191" t="str">
        <f>IFERROR(__xludf.DUMMYFUNCTION("""COMPUTED_VALUE"""),"DMK")</f>
        <v>DMK</v>
      </c>
      <c r="O1191" s="145" t="str">
        <f>IFERROR(__xludf.DUMMYFUNCTION("""COMPUTED_VALUE"""),"Namfon Home")</f>
        <v>Namfon Home</v>
      </c>
      <c r="P1191" t="str">
        <f>IFERROR(__xludf.DUMMYFUNCTION("""COMPUTED_VALUE"""),"Active")</f>
        <v>Active</v>
      </c>
      <c r="Q1191" t="str">
        <f>IFERROR(__xludf.DUMMYFUNCTION("""COMPUTED_VALUE"""),"Japanese Speaking")</f>
        <v>Japanese Speaking</v>
      </c>
      <c r="R1191" s="156">
        <f>IFERROR(__xludf.DUMMYFUNCTION("""COMPUTED_VALUE"""),36240.0)</f>
        <v>36240</v>
      </c>
      <c r="S1191" s="146">
        <f>IFERROR(__xludf.DUMMYFUNCTION("""COMPUTED_VALUE"""),8.49493303E8)</f>
        <v>849493303</v>
      </c>
      <c r="T1191" s="147">
        <f>IFERROR(__xludf.DUMMYFUNCTION("""COMPUTED_VALUE"""),8.571576076971E12)</f>
        <v>8571576076971</v>
      </c>
      <c r="U1191" t="str">
        <f>IFERROR(__xludf.DUMMYFUNCTION("""COMPUTED_VALUE"""),"AC5625836")</f>
        <v>AC5625836</v>
      </c>
      <c r="V1191" s="148">
        <f>IFERROR(__xludf.DUMMYFUNCTION("""COMPUTED_VALUE"""),45170.0)</f>
        <v>45170</v>
      </c>
      <c r="W1191" s="148">
        <f>IFERROR(__xludf.DUMMYFUNCTION("""COMPUTED_VALUE"""),48822.0)</f>
        <v>48822</v>
      </c>
      <c r="X1191" s="149">
        <f>IFERROR(__xludf.DUMMYFUNCTION("""COMPUTED_VALUE"""),48638.0)</f>
        <v>48638</v>
      </c>
      <c r="Y1191" t="str">
        <f>IFERROR(__xludf.DUMMYFUNCTION("""COMPUTED_VALUE"""),"ปลอดภัย")</f>
        <v>ปลอดภัย</v>
      </c>
      <c r="Z1191" t="str">
        <f>IFERROR(__xludf.DUMMYFUNCTION("""COMPUTED_VALUE"""),"Chiang Rai Province")</f>
        <v>Chiang Rai Province</v>
      </c>
      <c r="AA1191" t="str">
        <f>IFERROR(__xludf.DUMMYFUNCTION("""COMPUTED_VALUE"""),"Bangkok")</f>
        <v>Bangkok</v>
      </c>
      <c r="AB1191" s="145" t="str">
        <f>IFERROR(__xludf.DUMMYFUNCTION("""COMPUTED_VALUE"""),"0968746570")</f>
        <v>0968746570</v>
      </c>
      <c r="AC1191" t="str">
        <f>IFERROR(__xludf.DUMMYFUNCTION("""COMPUTED_VALUE"""),"นายภูบดี ภู่เจริญ Friend")</f>
        <v>นายภูบดี ภู่เจริญ Friend</v>
      </c>
      <c r="AD1191" t="str">
        <f>IFERROR(__xludf.DUMMYFUNCTION("""COMPUTED_VALUE"""),"thansineepan@airasia.com")</f>
        <v>thansineepan@airasia.com</v>
      </c>
    </row>
    <row r="1192">
      <c r="A1192" s="142">
        <f>IFERROR(__xludf.DUMMYFUNCTION("""COMPUTED_VALUE"""),108.0)</f>
        <v>108</v>
      </c>
      <c r="C1192">
        <f>IFERROR(__xludf.DUMMYFUNCTION("""COMPUTED_VALUE"""),1043874.0)</f>
        <v>1043874</v>
      </c>
      <c r="D1192" t="str">
        <f>IFERROR(__xludf.DUMMYFUNCTION("""COMPUTED_VALUE"""),"Ms.")</f>
        <v>Ms.</v>
      </c>
      <c r="E1192" t="str">
        <f>IFERROR(__xludf.DUMMYFUNCTION("""COMPUTED_VALUE"""),"Weerada")</f>
        <v>Weerada</v>
      </c>
      <c r="F1192" t="str">
        <f>IFERROR(__xludf.DUMMYFUNCTION("""COMPUTED_VALUE"""),"Tossaporn")</f>
        <v>Tossaporn</v>
      </c>
      <c r="G1192" t="str">
        <f>IFERROR(__xludf.DUMMYFUNCTION("""COMPUTED_VALUE"""),"Weerada Tossaporn")</f>
        <v>Weerada Tossaporn</v>
      </c>
      <c r="H1192" t="str">
        <f>IFERROR(__xludf.DUMMYFUNCTION("""COMPUTED_VALUE"""),"นางสาว")</f>
        <v>นางสาว</v>
      </c>
      <c r="I1192" t="str">
        <f>IFERROR(__xludf.DUMMYFUNCTION("""COMPUTED_VALUE"""),"วีรดา")</f>
        <v>วีรดา</v>
      </c>
      <c r="J1192" t="str">
        <f>IFERROR(__xludf.DUMMYFUNCTION("""COMPUTED_VALUE"""),"ทศพร")</f>
        <v>ทศพร</v>
      </c>
      <c r="K1192" t="str">
        <f>IFERROR(__xludf.DUMMYFUNCTION("""COMPUTED_VALUE"""),"วีรดา ทศพร")</f>
        <v>วีรดา ทศพร</v>
      </c>
      <c r="L1192" t="str">
        <f>IFERROR(__xludf.DUMMYFUNCTION("""COMPUTED_VALUE"""),"Winnie / วินนี่")</f>
        <v>Winnie / วินนี่</v>
      </c>
      <c r="M1192" t="str">
        <f>IFERROR(__xludf.DUMMYFUNCTION("""COMPUTED_VALUE"""),"Cabin Crew")</f>
        <v>Cabin Crew</v>
      </c>
      <c r="N1192" t="str">
        <f>IFERROR(__xludf.DUMMYFUNCTION("""COMPUTED_VALUE"""),"DMK")</f>
        <v>DMK</v>
      </c>
      <c r="O1192" s="145" t="str">
        <f>IFERROR(__xludf.DUMMYFUNCTION("""COMPUTED_VALUE"""),"Namfon Home")</f>
        <v>Namfon Home</v>
      </c>
      <c r="P1192" t="str">
        <f>IFERROR(__xludf.DUMMYFUNCTION("""COMPUTED_VALUE"""),"Active")</f>
        <v>Active</v>
      </c>
      <c r="R1192" s="156">
        <f>IFERROR(__xludf.DUMMYFUNCTION("""COMPUTED_VALUE"""),36362.0)</f>
        <v>36362</v>
      </c>
      <c r="S1192" s="146" t="str">
        <f>IFERROR(__xludf.DUMMYFUNCTION("""COMPUTED_VALUE"""),"081-665-4008")</f>
        <v>081-665-4008</v>
      </c>
      <c r="T1192" s="147">
        <f>IFERROR(__xludf.DUMMYFUNCTION("""COMPUTED_VALUE"""),1.102003059536E12)</f>
        <v>1102003059536</v>
      </c>
      <c r="U1192" t="str">
        <f>IFERROR(__xludf.DUMMYFUNCTION("""COMPUTED_VALUE"""),"AC5418475")</f>
        <v>AC5418475</v>
      </c>
      <c r="V1192" s="148">
        <f>IFERROR(__xludf.DUMMYFUNCTION("""COMPUTED_VALUE"""),45145.0)</f>
        <v>45145</v>
      </c>
      <c r="W1192" s="148">
        <f>IFERROR(__xludf.DUMMYFUNCTION("""COMPUTED_VALUE"""),48797.0)</f>
        <v>48797</v>
      </c>
      <c r="X1192" s="149">
        <f>IFERROR(__xludf.DUMMYFUNCTION("""COMPUTED_VALUE"""),48616.0)</f>
        <v>48616</v>
      </c>
      <c r="Y1192" t="str">
        <f>IFERROR(__xludf.DUMMYFUNCTION("""COMPUTED_VALUE"""),"ปลอดภัย")</f>
        <v>ปลอดภัย</v>
      </c>
      <c r="Z1192" t="str">
        <f>IFERROR(__xludf.DUMMYFUNCTION("""COMPUTED_VALUE"""),"Bangkok")</f>
        <v>Bangkok</v>
      </c>
      <c r="AA1192" t="str">
        <f>IFERROR(__xludf.DUMMYFUNCTION("""COMPUTED_VALUE"""),"Nonthaburi")</f>
        <v>Nonthaburi</v>
      </c>
      <c r="AB1192" s="145" t="str">
        <f>IFERROR(__xludf.DUMMYFUNCTION("""COMPUTED_VALUE"""),"086-897-4599")</f>
        <v>086-897-4599</v>
      </c>
      <c r="AC1192" t="str">
        <f>IFERROR(__xludf.DUMMYFUNCTION("""COMPUTED_VALUE"""),"นางวรรลี ทศพร Mother")</f>
        <v>นางวรรลี ทศพร Mother</v>
      </c>
      <c r="AD1192" t="str">
        <f>IFERROR(__xludf.DUMMYFUNCTION("""COMPUTED_VALUE"""),"weeradatos@airasia.com")</f>
        <v>weeradatos@airasia.com</v>
      </c>
    </row>
    <row r="1193">
      <c r="A1193" s="142">
        <f>IFERROR(__xludf.DUMMYFUNCTION("""COMPUTED_VALUE"""),108.0)</f>
        <v>108</v>
      </c>
      <c r="C1193">
        <f>IFERROR(__xludf.DUMMYFUNCTION("""COMPUTED_VALUE"""),1043875.0)</f>
        <v>1043875</v>
      </c>
      <c r="D1193" t="str">
        <f>IFERROR(__xludf.DUMMYFUNCTION("""COMPUTED_VALUE"""),"Ms.")</f>
        <v>Ms.</v>
      </c>
      <c r="E1193" t="str">
        <f>IFERROR(__xludf.DUMMYFUNCTION("""COMPUTED_VALUE"""),"Lalita")</f>
        <v>Lalita</v>
      </c>
      <c r="F1193" t="str">
        <f>IFERROR(__xludf.DUMMYFUNCTION("""COMPUTED_VALUE"""),"Inmongkol")</f>
        <v>Inmongkol</v>
      </c>
      <c r="G1193" t="str">
        <f>IFERROR(__xludf.DUMMYFUNCTION("""COMPUTED_VALUE"""),"Lalita Inmongkol")</f>
        <v>Lalita Inmongkol</v>
      </c>
      <c r="H1193" t="str">
        <f>IFERROR(__xludf.DUMMYFUNCTION("""COMPUTED_VALUE"""),"นางสาว")</f>
        <v>นางสาว</v>
      </c>
      <c r="I1193" t="str">
        <f>IFERROR(__xludf.DUMMYFUNCTION("""COMPUTED_VALUE"""),"ลลิตา")</f>
        <v>ลลิตา</v>
      </c>
      <c r="J1193" t="str">
        <f>IFERROR(__xludf.DUMMYFUNCTION("""COMPUTED_VALUE"""),"อินมงคล")</f>
        <v>อินมงคล</v>
      </c>
      <c r="K1193" t="str">
        <f>IFERROR(__xludf.DUMMYFUNCTION("""COMPUTED_VALUE"""),"ลลิตา อินมงคล")</f>
        <v>ลลิตา อินมงคล</v>
      </c>
      <c r="L1193" t="str">
        <f>IFERROR(__xludf.DUMMYFUNCTION("""COMPUTED_VALUE"""),"Nook / นุ๊ก")</f>
        <v>Nook / นุ๊ก</v>
      </c>
      <c r="M1193" t="str">
        <f>IFERROR(__xludf.DUMMYFUNCTION("""COMPUTED_VALUE"""),"Cabin Crew")</f>
        <v>Cabin Crew</v>
      </c>
      <c r="N1193" t="str">
        <f>IFERROR(__xludf.DUMMYFUNCTION("""COMPUTED_VALUE"""),"DMK")</f>
        <v>DMK</v>
      </c>
      <c r="O1193" s="145" t="str">
        <f>IFERROR(__xludf.DUMMYFUNCTION("""COMPUTED_VALUE"""),"Nhui Home")</f>
        <v>Nhui Home</v>
      </c>
      <c r="P1193" t="str">
        <f>IFERROR(__xludf.DUMMYFUNCTION("""COMPUTED_VALUE"""),"Active")</f>
        <v>Active</v>
      </c>
      <c r="R1193" s="156">
        <f>IFERROR(__xludf.DUMMYFUNCTION("""COMPUTED_VALUE"""),35067.0)</f>
        <v>35067</v>
      </c>
      <c r="S1193" s="146" t="str">
        <f>IFERROR(__xludf.DUMMYFUNCTION("""COMPUTED_VALUE"""),"087-4149449")</f>
        <v>087-4149449</v>
      </c>
      <c r="T1193" s="147">
        <f>IFERROR(__xludf.DUMMYFUNCTION("""COMPUTED_VALUE"""),1.102200143432E12)</f>
        <v>1102200143432</v>
      </c>
      <c r="U1193" t="str">
        <f>IFERROR(__xludf.DUMMYFUNCTION("""COMPUTED_VALUE"""),"AC8184910")</f>
        <v>AC8184910</v>
      </c>
      <c r="V1193" s="148">
        <f>IFERROR(__xludf.DUMMYFUNCTION("""COMPUTED_VALUE"""),46042.0)</f>
        <v>46042</v>
      </c>
      <c r="W1193" s="148">
        <f>IFERROR(__xludf.DUMMYFUNCTION("""COMPUTED_VALUE"""),49693.0)</f>
        <v>49693</v>
      </c>
      <c r="X1193" s="149">
        <f>IFERROR(__xludf.DUMMYFUNCTION("""COMPUTED_VALUE"""),49509.0)</f>
        <v>49509</v>
      </c>
      <c r="Y1193" t="str">
        <f>IFERROR(__xludf.DUMMYFUNCTION("""COMPUTED_VALUE"""),"ปลอดภัย")</f>
        <v>ปลอดภัย</v>
      </c>
      <c r="Z1193" t="str">
        <f>IFERROR(__xludf.DUMMYFUNCTION("""COMPUTED_VALUE"""),"Bangkok")</f>
        <v>Bangkok</v>
      </c>
      <c r="AA1193" t="str">
        <f>IFERROR(__xludf.DUMMYFUNCTION("""COMPUTED_VALUE"""),"Nakhon Pathom")</f>
        <v>Nakhon Pathom</v>
      </c>
      <c r="AB1193" s="145" t="str">
        <f>IFERROR(__xludf.DUMMYFUNCTION("""COMPUTED_VALUE"""),"093-4465519")</f>
        <v>093-4465519</v>
      </c>
      <c r="AC1193" t="str">
        <f>IFERROR(__xludf.DUMMYFUNCTION("""COMPUTED_VALUE"""),"นางพนาวรรณ แย้มประยูร Mother")</f>
        <v>นางพนาวรรณ แย้มประยูร Mother</v>
      </c>
      <c r="AD1193" t="str">
        <f>IFERROR(__xludf.DUMMYFUNCTION("""COMPUTED_VALUE"""),"lalitainm@airasia.com")</f>
        <v>lalitainm@airasia.com</v>
      </c>
    </row>
    <row r="1194">
      <c r="A1194" s="142">
        <f>IFERROR(__xludf.DUMMYFUNCTION("""COMPUTED_VALUE"""),108.0)</f>
        <v>108</v>
      </c>
      <c r="C1194">
        <f>IFERROR(__xludf.DUMMYFUNCTION("""COMPUTED_VALUE"""),1043876.0)</f>
        <v>1043876</v>
      </c>
      <c r="D1194" t="str">
        <f>IFERROR(__xludf.DUMMYFUNCTION("""COMPUTED_VALUE"""),"Ms.")</f>
        <v>Ms.</v>
      </c>
      <c r="E1194" t="str">
        <f>IFERROR(__xludf.DUMMYFUNCTION("""COMPUTED_VALUE"""),"phan")</f>
        <v>phan</v>
      </c>
      <c r="F1194" t="str">
        <f>IFERROR(__xludf.DUMMYFUNCTION("""COMPUTED_VALUE"""),"Kawashima")</f>
        <v>Kawashima</v>
      </c>
      <c r="G1194" t="str">
        <f>IFERROR(__xludf.DUMMYFUNCTION("""COMPUTED_VALUE"""),"phan Kawashima")</f>
        <v>phan Kawashima</v>
      </c>
      <c r="H1194" t="str">
        <f>IFERROR(__xludf.DUMMYFUNCTION("""COMPUTED_VALUE"""),"นางสาว")</f>
        <v>นางสาว</v>
      </c>
      <c r="I1194" t="str">
        <f>IFERROR(__xludf.DUMMYFUNCTION("""COMPUTED_VALUE"""),"นลินพรรณ")</f>
        <v>นลินพรรณ</v>
      </c>
      <c r="J1194" t="str">
        <f>IFERROR(__xludf.DUMMYFUNCTION("""COMPUTED_VALUE"""),"คาวาชิม่า")</f>
        <v>คาวาชิม่า</v>
      </c>
      <c r="K1194" t="str">
        <f>IFERROR(__xludf.DUMMYFUNCTION("""COMPUTED_VALUE"""),"นลินพรรณ คาวาชิม่า")</f>
        <v>นลินพรรณ คาวาชิม่า</v>
      </c>
      <c r="L1194" t="str">
        <f>IFERROR(__xludf.DUMMYFUNCTION("""COMPUTED_VALUE"""),"Aya/อายะ")</f>
        <v>Aya/อายะ</v>
      </c>
      <c r="M1194" t="str">
        <f>IFERROR(__xludf.DUMMYFUNCTION("""COMPUTED_VALUE"""),"Cabin Crew")</f>
        <v>Cabin Crew</v>
      </c>
      <c r="N1194" t="str">
        <f>IFERROR(__xludf.DUMMYFUNCTION("""COMPUTED_VALUE"""),"DMK")</f>
        <v>DMK</v>
      </c>
      <c r="O1194" s="145" t="str">
        <f>IFERROR(__xludf.DUMMYFUNCTION("""COMPUTED_VALUE"""),"Um Home")</f>
        <v>Um Home</v>
      </c>
      <c r="P1194" t="str">
        <f>IFERROR(__xludf.DUMMYFUNCTION("""COMPUTED_VALUE"""),"Active")</f>
        <v>Active</v>
      </c>
      <c r="Q1194" t="str">
        <f>IFERROR(__xludf.DUMMYFUNCTION("""COMPUTED_VALUE"""),"Japanese Speaking")</f>
        <v>Japanese Speaking</v>
      </c>
      <c r="R1194" s="156">
        <f>IFERROR(__xludf.DUMMYFUNCTION("""COMPUTED_VALUE"""),36091.0)</f>
        <v>36091</v>
      </c>
      <c r="S1194" s="146">
        <f>IFERROR(__xludf.DUMMYFUNCTION("""COMPUTED_VALUE"""),9.54959902E8)</f>
        <v>954959902</v>
      </c>
      <c r="T1194" s="147">
        <f>IFERROR(__xludf.DUMMYFUNCTION("""COMPUTED_VALUE"""),1.10470000638E12)</f>
        <v>1104700006380</v>
      </c>
      <c r="U1194" t="str">
        <f>IFERROR(__xludf.DUMMYFUNCTION("""COMPUTED_VALUE"""),"AD1642814")</f>
        <v>AD1642814</v>
      </c>
      <c r="V1194" s="148">
        <f>IFERROR(__xludf.DUMMYFUNCTION("""COMPUTED_VALUE"""),45319.0)</f>
        <v>45319</v>
      </c>
      <c r="W1194" s="148">
        <f>IFERROR(__xludf.DUMMYFUNCTION("""COMPUTED_VALUE"""),48971.0)</f>
        <v>48971</v>
      </c>
      <c r="X1194" s="149">
        <f>IFERROR(__xludf.DUMMYFUNCTION("""COMPUTED_VALUE"""),48787.0)</f>
        <v>48787</v>
      </c>
      <c r="Y1194" t="str">
        <f>IFERROR(__xludf.DUMMYFUNCTION("""COMPUTED_VALUE"""),"ปลอดภัย")</f>
        <v>ปลอดภัย</v>
      </c>
      <c r="Z1194" t="str">
        <f>IFERROR(__xludf.DUMMYFUNCTION("""COMPUTED_VALUE"""),"Bangkok")</f>
        <v>Bangkok</v>
      </c>
      <c r="AA1194" t="str">
        <f>IFERROR(__xludf.DUMMYFUNCTION("""COMPUTED_VALUE"""),"Bangkok")</f>
        <v>Bangkok</v>
      </c>
      <c r="AB1194" s="145" t="str">
        <f>IFERROR(__xludf.DUMMYFUNCTION("""COMPUTED_VALUE"""),"0952536158")</f>
        <v>0952536158</v>
      </c>
      <c r="AC1194" t="str">
        <f>IFERROR(__xludf.DUMMYFUNCTION("""COMPUTED_VALUE"""),"รินทร์ มัสสึดะ Friend")</f>
        <v>รินทร์ มัสสึดะ Friend</v>
      </c>
      <c r="AD1194" t="str">
        <f>IFERROR(__xludf.DUMMYFUNCTION("""COMPUTED_VALUE"""),"phankaw@airasia.com")</f>
        <v>phankaw@airasia.com</v>
      </c>
    </row>
    <row r="1195">
      <c r="A1195" s="142">
        <f>IFERROR(__xludf.DUMMYFUNCTION("""COMPUTED_VALUE"""),108.0)</f>
        <v>108</v>
      </c>
      <c r="C1195">
        <f>IFERROR(__xludf.DUMMYFUNCTION("""COMPUTED_VALUE"""),1043877.0)</f>
        <v>1043877</v>
      </c>
      <c r="D1195" t="str">
        <f>IFERROR(__xludf.DUMMYFUNCTION("""COMPUTED_VALUE"""),"Mr.")</f>
        <v>Mr.</v>
      </c>
      <c r="E1195" t="str">
        <f>IFERROR(__xludf.DUMMYFUNCTION("""COMPUTED_VALUE"""),"Gwyn")</f>
        <v>Gwyn</v>
      </c>
      <c r="F1195" t="str">
        <f>IFERROR(__xludf.DUMMYFUNCTION("""COMPUTED_VALUE"""),"Pahonpipat")</f>
        <v>Pahonpipat</v>
      </c>
      <c r="G1195" t="str">
        <f>IFERROR(__xludf.DUMMYFUNCTION("""COMPUTED_VALUE"""),"Gwyn Pahonpipat")</f>
        <v>Gwyn Pahonpipat</v>
      </c>
      <c r="H1195" t="str">
        <f>IFERROR(__xludf.DUMMYFUNCTION("""COMPUTED_VALUE"""),"นาย")</f>
        <v>นาย</v>
      </c>
      <c r="I1195" t="str">
        <f>IFERROR(__xludf.DUMMYFUNCTION("""COMPUTED_VALUE"""),"กวินท์")</f>
        <v>กวินท์</v>
      </c>
      <c r="J1195" t="str">
        <f>IFERROR(__xludf.DUMMYFUNCTION("""COMPUTED_VALUE"""),"พหลพิพัฒน์")</f>
        <v>พหลพิพัฒน์</v>
      </c>
      <c r="K1195" t="str">
        <f>IFERROR(__xludf.DUMMYFUNCTION("""COMPUTED_VALUE"""),"กวินท์ พหลพิพัฒน์")</f>
        <v>กวินท์ พหลพิพัฒน์</v>
      </c>
      <c r="L1195" t="str">
        <f>IFERROR(__xludf.DUMMYFUNCTION("""COMPUTED_VALUE"""),"Wyn วิน")</f>
        <v>Wyn วิน</v>
      </c>
      <c r="M1195" t="str">
        <f>IFERROR(__xludf.DUMMYFUNCTION("""COMPUTED_VALUE"""),"Cabin Crew")</f>
        <v>Cabin Crew</v>
      </c>
      <c r="N1195" t="str">
        <f>IFERROR(__xludf.DUMMYFUNCTION("""COMPUTED_VALUE"""),"DMK")</f>
        <v>DMK</v>
      </c>
      <c r="O1195" s="145" t="str">
        <f>IFERROR(__xludf.DUMMYFUNCTION("""COMPUTED_VALUE"""),"Um Home")</f>
        <v>Um Home</v>
      </c>
      <c r="P1195" t="str">
        <f>IFERROR(__xludf.DUMMYFUNCTION("""COMPUTED_VALUE"""),"Active")</f>
        <v>Active</v>
      </c>
      <c r="Q1195" t="str">
        <f>IFERROR(__xludf.DUMMYFUNCTION("""COMPUTED_VALUE"""),"Japanese Speaking")</f>
        <v>Japanese Speaking</v>
      </c>
      <c r="R1195" s="156">
        <f>IFERROR(__xludf.DUMMYFUNCTION("""COMPUTED_VALUE"""),36887.0)</f>
        <v>36887</v>
      </c>
      <c r="S1195" s="146">
        <f>IFERROR(__xludf.DUMMYFUNCTION("""COMPUTED_VALUE"""),9.54466922E8)</f>
        <v>954466922</v>
      </c>
      <c r="T1195" s="147">
        <f>IFERROR(__xludf.DUMMYFUNCTION("""COMPUTED_VALUE"""),1.102003239852E12)</f>
        <v>1102003239852</v>
      </c>
      <c r="U1195" t="str">
        <f>IFERROR(__xludf.DUMMYFUNCTION("""COMPUTED_VALUE"""),"AC2830612")</f>
        <v>AC2830612</v>
      </c>
      <c r="V1195" s="148">
        <f>IFERROR(__xludf.DUMMYFUNCTION("""COMPUTED_VALUE"""),44519.0)</f>
        <v>44519</v>
      </c>
      <c r="W1195" s="148">
        <f>IFERROR(__xludf.DUMMYFUNCTION("""COMPUTED_VALUE"""),48170.0)</f>
        <v>48170</v>
      </c>
      <c r="X1195" s="149">
        <f>IFERROR(__xludf.DUMMYFUNCTION("""COMPUTED_VALUE"""),47986.0)</f>
        <v>47986</v>
      </c>
      <c r="Y1195" t="str">
        <f>IFERROR(__xludf.DUMMYFUNCTION("""COMPUTED_VALUE"""),"ปลอดภัย")</f>
        <v>ปลอดภัย</v>
      </c>
      <c r="Z1195" t="str">
        <f>IFERROR(__xludf.DUMMYFUNCTION("""COMPUTED_VALUE"""),"Bangkok")</f>
        <v>Bangkok</v>
      </c>
      <c r="AA1195" t="str">
        <f>IFERROR(__xludf.DUMMYFUNCTION("""COMPUTED_VALUE"""),"Nonthaburi")</f>
        <v>Nonthaburi</v>
      </c>
      <c r="AB1195" s="145">
        <f>IFERROR(__xludf.DUMMYFUNCTION("""COMPUTED_VALUE"""),9.02635424E8)</f>
        <v>902635424</v>
      </c>
      <c r="AC1195" t="str">
        <f>IFERROR(__xludf.DUMMYFUNCTION("""COMPUTED_VALUE"""),"มนธนิกันต์ พหลพิพัฒน์ Mother")</f>
        <v>มนธนิกันต์ พหลพิพัฒน์ Mother</v>
      </c>
      <c r="AD1195" t="str">
        <f>IFERROR(__xludf.DUMMYFUNCTION("""COMPUTED_VALUE"""),"gwynpah@airasia.com")</f>
        <v>gwynpah@airasia.com</v>
      </c>
    </row>
    <row r="1196">
      <c r="A1196" s="142">
        <f>IFERROR(__xludf.DUMMYFUNCTION("""COMPUTED_VALUE"""),108.0)</f>
        <v>108</v>
      </c>
      <c r="C1196">
        <f>IFERROR(__xludf.DUMMYFUNCTION("""COMPUTED_VALUE"""),1043878.0)</f>
        <v>1043878</v>
      </c>
      <c r="D1196" t="str">
        <f>IFERROR(__xludf.DUMMYFUNCTION("""COMPUTED_VALUE"""),"Mr.")</f>
        <v>Mr.</v>
      </c>
      <c r="E1196" t="str">
        <f>IFERROR(__xludf.DUMMYFUNCTION("""COMPUTED_VALUE"""),"Nakarin")</f>
        <v>Nakarin</v>
      </c>
      <c r="F1196" t="str">
        <f>IFERROR(__xludf.DUMMYFUNCTION("""COMPUTED_VALUE"""),"Chang")</f>
        <v>Chang</v>
      </c>
      <c r="G1196" t="str">
        <f>IFERROR(__xludf.DUMMYFUNCTION("""COMPUTED_VALUE"""),"Nakarin Chang")</f>
        <v>Nakarin Chang</v>
      </c>
      <c r="H1196" t="str">
        <f>IFERROR(__xludf.DUMMYFUNCTION("""COMPUTED_VALUE"""),"นาย")</f>
        <v>นาย</v>
      </c>
      <c r="I1196" t="str">
        <f>IFERROR(__xludf.DUMMYFUNCTION("""COMPUTED_VALUE"""),"นครินทร์")</f>
        <v>นครินทร์</v>
      </c>
      <c r="J1196" t="str">
        <f>IFERROR(__xludf.DUMMYFUNCTION("""COMPUTED_VALUE"""),"จาง")</f>
        <v>จาง</v>
      </c>
      <c r="K1196" t="str">
        <f>IFERROR(__xludf.DUMMYFUNCTION("""COMPUTED_VALUE"""),"นครินทร์ จาง")</f>
        <v>นครินทร์ จาง</v>
      </c>
      <c r="L1196" t="str">
        <f>IFERROR(__xludf.DUMMYFUNCTION("""COMPUTED_VALUE"""),"ข้าวโอ๊ต")</f>
        <v>ข้าวโอ๊ต</v>
      </c>
      <c r="M1196" t="str">
        <f>IFERROR(__xludf.DUMMYFUNCTION("""COMPUTED_VALUE"""),"Cabin Crew")</f>
        <v>Cabin Crew</v>
      </c>
      <c r="N1196" t="str">
        <f>IFERROR(__xludf.DUMMYFUNCTION("""COMPUTED_VALUE"""),"DMK")</f>
        <v>DMK</v>
      </c>
      <c r="O1196" s="145" t="str">
        <f>IFERROR(__xludf.DUMMYFUNCTION("""COMPUTED_VALUE"""),"Namfon Home")</f>
        <v>Namfon Home</v>
      </c>
      <c r="P1196" t="str">
        <f>IFERROR(__xludf.DUMMYFUNCTION("""COMPUTED_VALUE"""),"Active")</f>
        <v>Active</v>
      </c>
      <c r="Q1196" t="str">
        <f>IFERROR(__xludf.DUMMYFUNCTION("""COMPUTED_VALUE"""),"Japanese Speaking")</f>
        <v>Japanese Speaking</v>
      </c>
      <c r="R1196" s="156">
        <f>IFERROR(__xludf.DUMMYFUNCTION("""COMPUTED_VALUE"""),36481.0)</f>
        <v>36481</v>
      </c>
      <c r="S1196" s="146">
        <f>IFERROR(__xludf.DUMMYFUNCTION("""COMPUTED_VALUE"""),9.32018449E8)</f>
        <v>932018449</v>
      </c>
      <c r="T1196" s="147">
        <f>IFERROR(__xludf.DUMMYFUNCTION("""COMPUTED_VALUE"""),1.509963053479E12)</f>
        <v>1509963053479</v>
      </c>
      <c r="U1196" t="str">
        <f>IFERROR(__xludf.DUMMYFUNCTION("""COMPUTED_VALUE"""),"AC6444673")</f>
        <v>AC6444673</v>
      </c>
      <c r="V1196" s="148">
        <f>IFERROR(__xludf.DUMMYFUNCTION("""COMPUTED_VALUE"""),45373.0)</f>
        <v>45373</v>
      </c>
      <c r="W1196" s="148">
        <f>IFERROR(__xludf.DUMMYFUNCTION("""COMPUTED_VALUE"""),49024.0)</f>
        <v>49024</v>
      </c>
      <c r="X1196" s="149">
        <f>IFERROR(__xludf.DUMMYFUNCTION("""COMPUTED_VALUE"""),48843.0)</f>
        <v>48843</v>
      </c>
      <c r="Y1196" t="str">
        <f>IFERROR(__xludf.DUMMYFUNCTION("""COMPUTED_VALUE"""),"ปลอดภัย")</f>
        <v>ปลอดภัย</v>
      </c>
      <c r="Z1196" t="str">
        <f>IFERROR(__xludf.DUMMYFUNCTION("""COMPUTED_VALUE"""),"Chiang Mai Province")</f>
        <v>Chiang Mai Province</v>
      </c>
      <c r="AA1196" t="str">
        <f>IFERROR(__xludf.DUMMYFUNCTION("""COMPUTED_VALUE"""),"Bangkok")</f>
        <v>Bangkok</v>
      </c>
      <c r="AB1196" s="145" t="str">
        <f>IFERROR(__xludf.DUMMYFUNCTION("""COMPUTED_VALUE"""),"0818817860")</f>
        <v>0818817860</v>
      </c>
      <c r="AC1196" t="str">
        <f>IFERROR(__xludf.DUMMYFUNCTION("""COMPUTED_VALUE"""),"นิศารัตน์ พงศ์วิมลศิริ Mother")</f>
        <v>นิศารัตน์ พงศ์วิมลศิริ Mother</v>
      </c>
      <c r="AD1196" t="str">
        <f>IFERROR(__xludf.DUMMYFUNCTION("""COMPUTED_VALUE"""),"nakarincha@airasia.com")</f>
        <v>nakarincha@airasia.com</v>
      </c>
    </row>
    <row r="1197">
      <c r="A1197" s="142">
        <f>IFERROR(__xludf.DUMMYFUNCTION("""COMPUTED_VALUE"""),108.0)</f>
        <v>108</v>
      </c>
      <c r="C1197">
        <f>IFERROR(__xludf.DUMMYFUNCTION("""COMPUTED_VALUE"""),1043879.0)</f>
        <v>1043879</v>
      </c>
      <c r="D1197" t="str">
        <f>IFERROR(__xludf.DUMMYFUNCTION("""COMPUTED_VALUE"""),"Ms.")</f>
        <v>Ms.</v>
      </c>
      <c r="E1197" t="str">
        <f>IFERROR(__xludf.DUMMYFUNCTION("""COMPUTED_VALUE"""),"Thanyaphon")</f>
        <v>Thanyaphon</v>
      </c>
      <c r="F1197" t="str">
        <f>IFERROR(__xludf.DUMMYFUNCTION("""COMPUTED_VALUE"""),"Chiraphatphokin")</f>
        <v>Chiraphatphokin</v>
      </c>
      <c r="G1197" t="str">
        <f>IFERROR(__xludf.DUMMYFUNCTION("""COMPUTED_VALUE"""),"Thanyaphon Chiraphatphokin")</f>
        <v>Thanyaphon Chiraphatphokin</v>
      </c>
      <c r="H1197" t="str">
        <f>IFERROR(__xludf.DUMMYFUNCTION("""COMPUTED_VALUE"""),"นางสาว")</f>
        <v>นางสาว</v>
      </c>
      <c r="I1197" t="str">
        <f>IFERROR(__xludf.DUMMYFUNCTION("""COMPUTED_VALUE"""),"ธัญพร")</f>
        <v>ธัญพร</v>
      </c>
      <c r="J1197" t="str">
        <f>IFERROR(__xludf.DUMMYFUNCTION("""COMPUTED_VALUE"""),"จิรภาสโภคิน")</f>
        <v>จิรภาสโภคิน</v>
      </c>
      <c r="K1197" t="str">
        <f>IFERROR(__xludf.DUMMYFUNCTION("""COMPUTED_VALUE"""),"ธัญพร จิรภาสโภคิน")</f>
        <v>ธัญพร จิรภาสโภคิน</v>
      </c>
      <c r="L1197" t="str">
        <f>IFERROR(__xludf.DUMMYFUNCTION("""COMPUTED_VALUE"""),"แอน")</f>
        <v>แอน</v>
      </c>
      <c r="M1197" t="str">
        <f>IFERROR(__xludf.DUMMYFUNCTION("""COMPUTED_VALUE"""),"Cabin Crew")</f>
        <v>Cabin Crew</v>
      </c>
      <c r="N1197" t="str">
        <f>IFERROR(__xludf.DUMMYFUNCTION("""COMPUTED_VALUE"""),"DMK")</f>
        <v>DMK</v>
      </c>
      <c r="O1197" s="145" t="str">
        <f>IFERROR(__xludf.DUMMYFUNCTION("""COMPUTED_VALUE"""),"Toffy Home")</f>
        <v>Toffy Home</v>
      </c>
      <c r="P1197" t="str">
        <f>IFERROR(__xludf.DUMMYFUNCTION("""COMPUTED_VALUE"""),"Active")</f>
        <v>Active</v>
      </c>
      <c r="Q1197" t="str">
        <f>IFERROR(__xludf.DUMMYFUNCTION("""COMPUTED_VALUE"""),"Japanese Speaking / Korean Speaking")</f>
        <v>Japanese Speaking / Korean Speaking</v>
      </c>
      <c r="R1197" s="156">
        <f>IFERROR(__xludf.DUMMYFUNCTION("""COMPUTED_VALUE"""),36269.0)</f>
        <v>36269</v>
      </c>
      <c r="S1197" s="146">
        <f>IFERROR(__xludf.DUMMYFUNCTION("""COMPUTED_VALUE"""),6.38953822E8)</f>
        <v>638953822</v>
      </c>
      <c r="T1197" s="147">
        <f>IFERROR(__xludf.DUMMYFUNCTION("""COMPUTED_VALUE"""),1.104300159332E12)</f>
        <v>1104300159332</v>
      </c>
      <c r="U1197" t="str">
        <f>IFERROR(__xludf.DUMMYFUNCTION("""COMPUTED_VALUE"""),"AC7332072")</f>
        <v>AC7332072</v>
      </c>
      <c r="V1197" s="148">
        <f>IFERROR(__xludf.DUMMYFUNCTION("""COMPUTED_VALUE"""),45555.0)</f>
        <v>45555</v>
      </c>
      <c r="W1197" s="148">
        <f>IFERROR(__xludf.DUMMYFUNCTION("""COMPUTED_VALUE"""),47380.0)</f>
        <v>47380</v>
      </c>
      <c r="X1197" s="149">
        <f>IFERROR(__xludf.DUMMYFUNCTION("""COMPUTED_VALUE"""),47196.0)</f>
        <v>47196</v>
      </c>
      <c r="Y1197" t="str">
        <f>IFERROR(__xludf.DUMMYFUNCTION("""COMPUTED_VALUE"""),"ปลอดภัย")</f>
        <v>ปลอดภัย</v>
      </c>
      <c r="Z1197" t="str">
        <f>IFERROR(__xludf.DUMMYFUNCTION("""COMPUTED_VALUE"""),"Bangkok")</f>
        <v>Bangkok</v>
      </c>
      <c r="AA1197" t="str">
        <f>IFERROR(__xludf.DUMMYFUNCTION("""COMPUTED_VALUE"""),"Bangkok")</f>
        <v>Bangkok</v>
      </c>
      <c r="AB1197" s="145" t="str">
        <f>IFERROR(__xludf.DUMMYFUNCTION("""COMPUTED_VALUE"""),"06-4143-1919")</f>
        <v>06-4143-1919</v>
      </c>
      <c r="AC1197" t="str">
        <f>IFERROR(__xludf.DUMMYFUNCTION("""COMPUTED_VALUE"""),"ธัญนันท์ มานิตย์วงษ์ Mother")</f>
        <v>ธัญนันท์ มานิตย์วงษ์ Mother</v>
      </c>
      <c r="AD1197" t="str">
        <f>IFERROR(__xludf.DUMMYFUNCTION("""COMPUTED_VALUE"""),"thanyaphonchi@airasia.com")</f>
        <v>thanyaphonchi@airasia.com</v>
      </c>
    </row>
    <row r="1198">
      <c r="A1198" s="142">
        <f>IFERROR(__xludf.DUMMYFUNCTION("""COMPUTED_VALUE"""),108.0)</f>
        <v>108</v>
      </c>
      <c r="C1198">
        <f>IFERROR(__xludf.DUMMYFUNCTION("""COMPUTED_VALUE"""),1043880.0)</f>
        <v>1043880</v>
      </c>
      <c r="D1198" t="str">
        <f>IFERROR(__xludf.DUMMYFUNCTION("""COMPUTED_VALUE"""),"Mr.")</f>
        <v>Mr.</v>
      </c>
      <c r="E1198" t="str">
        <f>IFERROR(__xludf.DUMMYFUNCTION("""COMPUTED_VALUE"""),"Teeranantpat")</f>
        <v>Teeranantpat</v>
      </c>
      <c r="F1198" t="str">
        <f>IFERROR(__xludf.DUMMYFUNCTION("""COMPUTED_VALUE"""),"Joengklinjantana")</f>
        <v>Joengklinjantana</v>
      </c>
      <c r="G1198" t="str">
        <f>IFERROR(__xludf.DUMMYFUNCTION("""COMPUTED_VALUE"""),"Teeranantpat Joengklinjantana")</f>
        <v>Teeranantpat Joengklinjantana</v>
      </c>
      <c r="H1198" t="str">
        <f>IFERROR(__xludf.DUMMYFUNCTION("""COMPUTED_VALUE"""),"นาย")</f>
        <v>นาย</v>
      </c>
      <c r="I1198" t="str">
        <f>IFERROR(__xludf.DUMMYFUNCTION("""COMPUTED_VALUE"""),"ธีรนันทน์ภัทร์")</f>
        <v>ธีรนันทน์ภัทร์</v>
      </c>
      <c r="J1198" t="str">
        <f>IFERROR(__xludf.DUMMYFUNCTION("""COMPUTED_VALUE"""),"เจิงกลิ่นจันทน์")</f>
        <v>เจิงกลิ่นจันทน์</v>
      </c>
      <c r="K1198" t="str">
        <f>IFERROR(__xludf.DUMMYFUNCTION("""COMPUTED_VALUE"""),"ธีรนันทน์ภัทร์ เจิงกลิ่นจันทน์")</f>
        <v>ธีรนันทน์ภัทร์ เจิงกลิ่นจันทน์</v>
      </c>
      <c r="L1198" t="str">
        <f>IFERROR(__xludf.DUMMYFUNCTION("""COMPUTED_VALUE"""),"คิน")</f>
        <v>คิน</v>
      </c>
      <c r="M1198" t="str">
        <f>IFERROR(__xludf.DUMMYFUNCTION("""COMPUTED_VALUE"""),"Cabin Crew")</f>
        <v>Cabin Crew</v>
      </c>
      <c r="N1198" t="str">
        <f>IFERROR(__xludf.DUMMYFUNCTION("""COMPUTED_VALUE"""),"DMK")</f>
        <v>DMK</v>
      </c>
      <c r="O1198" s="145" t="str">
        <f>IFERROR(__xludf.DUMMYFUNCTION("""COMPUTED_VALUE"""),"Nhui Home")</f>
        <v>Nhui Home</v>
      </c>
      <c r="P1198" t="str">
        <f>IFERROR(__xludf.DUMMYFUNCTION("""COMPUTED_VALUE"""),"Active")</f>
        <v>Active</v>
      </c>
      <c r="Q1198" t="str">
        <f>IFERROR(__xludf.DUMMYFUNCTION("""COMPUTED_VALUE"""),"Japanese Speaking")</f>
        <v>Japanese Speaking</v>
      </c>
      <c r="R1198" s="156">
        <f>IFERROR(__xludf.DUMMYFUNCTION("""COMPUTED_VALUE"""),35301.0)</f>
        <v>35301</v>
      </c>
      <c r="S1198" s="146">
        <f>IFERROR(__xludf.DUMMYFUNCTION("""COMPUTED_VALUE"""),9.22621065E8)</f>
        <v>922621065</v>
      </c>
      <c r="T1198" s="147">
        <f>IFERROR(__xludf.DUMMYFUNCTION("""COMPUTED_VALUE"""),1.101402119451E12)</f>
        <v>1101402119451</v>
      </c>
      <c r="U1198" t="str">
        <f>IFERROR(__xludf.DUMMYFUNCTION("""COMPUTED_VALUE"""),"AD1043471")</f>
        <v>AD1043471</v>
      </c>
      <c r="V1198" s="148">
        <f>IFERROR(__xludf.DUMMYFUNCTION("""COMPUTED_VALUE"""),45054.0)</f>
        <v>45054</v>
      </c>
      <c r="W1198" s="148">
        <f>IFERROR(__xludf.DUMMYFUNCTION("""COMPUTED_VALUE"""),46880.0)</f>
        <v>46880</v>
      </c>
      <c r="X1198" s="149">
        <f>IFERROR(__xludf.DUMMYFUNCTION("""COMPUTED_VALUE"""),46698.0)</f>
        <v>46698</v>
      </c>
      <c r="Y1198" t="str">
        <f>IFERROR(__xludf.DUMMYFUNCTION("""COMPUTED_VALUE"""),"ปลอดภัย")</f>
        <v>ปลอดภัย</v>
      </c>
      <c r="Z1198" t="str">
        <f>IFERROR(__xludf.DUMMYFUNCTION("""COMPUTED_VALUE"""),"Bangkok")</f>
        <v>Bangkok</v>
      </c>
      <c r="AA1198" t="str">
        <f>IFERROR(__xludf.DUMMYFUNCTION("""COMPUTED_VALUE"""),"Nonthaburi")</f>
        <v>Nonthaburi</v>
      </c>
      <c r="AB1198" s="145" t="str">
        <f>IFERROR(__xludf.DUMMYFUNCTION("""COMPUTED_VALUE"""),"0914089065")</f>
        <v>0914089065</v>
      </c>
      <c r="AC1198" t="str">
        <f>IFERROR(__xludf.DUMMYFUNCTION("""COMPUTED_VALUE"""),"มนัสวีนันทน์ เจิงกลิ่นจันทน์ Sister")</f>
        <v>มนัสวีนันทน์ เจิงกลิ่นจันทน์ Sister</v>
      </c>
      <c r="AD1198" t="str">
        <f>IFERROR(__xludf.DUMMYFUNCTION("""COMPUTED_VALUE"""),"teeranantpatjoe@airasia.com")</f>
        <v>teeranantpatjoe@airasia.com</v>
      </c>
    </row>
    <row r="1199">
      <c r="A1199" s="142">
        <f>IFERROR(__xludf.DUMMYFUNCTION("""COMPUTED_VALUE"""),108.0)</f>
        <v>108</v>
      </c>
      <c r="C1199">
        <f>IFERROR(__xludf.DUMMYFUNCTION("""COMPUTED_VALUE"""),1043881.0)</f>
        <v>1043881</v>
      </c>
      <c r="D1199" t="str">
        <f>IFERROR(__xludf.DUMMYFUNCTION("""COMPUTED_VALUE"""),"Ms.")</f>
        <v>Ms.</v>
      </c>
      <c r="E1199" t="str">
        <f>IFERROR(__xludf.DUMMYFUNCTION("""COMPUTED_VALUE"""),"Fuko")</f>
        <v>Fuko</v>
      </c>
      <c r="F1199" t="str">
        <f>IFERROR(__xludf.DUMMYFUNCTION("""COMPUTED_VALUE"""),"Sugawara")</f>
        <v>Sugawara</v>
      </c>
      <c r="G1199" t="str">
        <f>IFERROR(__xludf.DUMMYFUNCTION("""COMPUTED_VALUE"""),"Fuko Sugawara")</f>
        <v>Fuko Sugawara</v>
      </c>
      <c r="H1199" t="str">
        <f>IFERROR(__xludf.DUMMYFUNCTION("""COMPUTED_VALUE"""),"นางสาว")</f>
        <v>นางสาว</v>
      </c>
      <c r="I1199" t="str">
        <f>IFERROR(__xludf.DUMMYFUNCTION("""COMPUTED_VALUE"""),"ฟูโกะ")</f>
        <v>ฟูโกะ</v>
      </c>
      <c r="J1199" t="str">
        <f>IFERROR(__xludf.DUMMYFUNCTION("""COMPUTED_VALUE"""),"ซึกาวาร่า")</f>
        <v>ซึกาวาร่า</v>
      </c>
      <c r="K1199" t="str">
        <f>IFERROR(__xludf.DUMMYFUNCTION("""COMPUTED_VALUE"""),"ฟูโกะ ซึกาวาร่า")</f>
        <v>ฟูโกะ ซึกาวาร่า</v>
      </c>
      <c r="L1199" t="str">
        <f>IFERROR(__xludf.DUMMYFUNCTION("""COMPUTED_VALUE"""),"Fuko/ฟูโกะ")</f>
        <v>Fuko/ฟูโกะ</v>
      </c>
      <c r="M1199" t="str">
        <f>IFERROR(__xludf.DUMMYFUNCTION("""COMPUTED_VALUE"""),"Cabin Crew")</f>
        <v>Cabin Crew</v>
      </c>
      <c r="N1199" t="str">
        <f>IFERROR(__xludf.DUMMYFUNCTION("""COMPUTED_VALUE"""),"DMK")</f>
        <v>DMK</v>
      </c>
      <c r="O1199" s="145" t="str">
        <f>IFERROR(__xludf.DUMMYFUNCTION("""COMPUTED_VALUE"""),"Namfon Home")</f>
        <v>Namfon Home</v>
      </c>
      <c r="P1199" t="str">
        <f>IFERROR(__xludf.DUMMYFUNCTION("""COMPUTED_VALUE"""),"Active")</f>
        <v>Active</v>
      </c>
      <c r="Q1199" t="str">
        <f>IFERROR(__xludf.DUMMYFUNCTION("""COMPUTED_VALUE"""),"Japanese Speaking")</f>
        <v>Japanese Speaking</v>
      </c>
      <c r="R1199" s="156">
        <f>IFERROR(__xludf.DUMMYFUNCTION("""COMPUTED_VALUE"""),37254.0)</f>
        <v>37254</v>
      </c>
      <c r="S1199" s="146" t="str">
        <f>IFERROR(__xludf.DUMMYFUNCTION("""COMPUTED_VALUE"""),"099-610-2225")</f>
        <v>099-610-2225</v>
      </c>
      <c r="T1199" s="147">
        <f>IFERROR(__xludf.DUMMYFUNCTION("""COMPUTED_VALUE"""),1.104700042921E12)</f>
        <v>1104700042921</v>
      </c>
      <c r="U1199" t="str">
        <f>IFERROR(__xludf.DUMMYFUNCTION("""COMPUTED_VALUE"""),"AC2859138")</f>
        <v>AC2859138</v>
      </c>
      <c r="V1199" s="148">
        <f>IFERROR(__xludf.DUMMYFUNCTION("""COMPUTED_VALUE"""),44595.0)</f>
        <v>44595</v>
      </c>
      <c r="W1199" s="148">
        <f>IFERROR(__xludf.DUMMYFUNCTION("""COMPUTED_VALUE"""),48246.0)</f>
        <v>48246</v>
      </c>
      <c r="X1199" s="149">
        <f>IFERROR(__xludf.DUMMYFUNCTION("""COMPUTED_VALUE"""),48062.0)</f>
        <v>48062</v>
      </c>
      <c r="Y1199" t="str">
        <f>IFERROR(__xludf.DUMMYFUNCTION("""COMPUTED_VALUE"""),"ปลอดภัย")</f>
        <v>ปลอดภัย</v>
      </c>
      <c r="Z1199" t="str">
        <f>IFERROR(__xludf.DUMMYFUNCTION("""COMPUTED_VALUE"""),"Bangkok")</f>
        <v>Bangkok</v>
      </c>
      <c r="AA1199" t="str">
        <f>IFERROR(__xludf.DUMMYFUNCTION("""COMPUTED_VALUE"""),"Bangkok")</f>
        <v>Bangkok</v>
      </c>
      <c r="AB1199" s="145" t="str">
        <f>IFERROR(__xludf.DUMMYFUNCTION("""COMPUTED_VALUE"""),"081-827-8937")</f>
        <v>081-827-8937</v>
      </c>
      <c r="AC1199" t="str">
        <f>IFERROR(__xludf.DUMMYFUNCTION("""COMPUTED_VALUE"""),"นางฉวีวรรณ ซึกาวาร่า Mother")</f>
        <v>นางฉวีวรรณ ซึกาวาร่า Mother</v>
      </c>
      <c r="AD1199" t="str">
        <f>IFERROR(__xludf.DUMMYFUNCTION("""COMPUTED_VALUE"""),"fukosug@airasia.com")</f>
        <v>fukosug@airasia.com</v>
      </c>
    </row>
    <row r="1200">
      <c r="A1200" s="142">
        <f>IFERROR(__xludf.DUMMYFUNCTION("""COMPUTED_VALUE"""),108.0)</f>
        <v>108</v>
      </c>
      <c r="C1200">
        <f>IFERROR(__xludf.DUMMYFUNCTION("""COMPUTED_VALUE"""),1043882.0)</f>
        <v>1043882</v>
      </c>
      <c r="D1200" t="str">
        <f>IFERROR(__xludf.DUMMYFUNCTION("""COMPUTED_VALUE"""),"Ms.")</f>
        <v>Ms.</v>
      </c>
      <c r="E1200" t="str">
        <f>IFERROR(__xludf.DUMMYFUNCTION("""COMPUTED_VALUE"""),"Nannat")</f>
        <v>Nannat</v>
      </c>
      <c r="F1200" t="str">
        <f>IFERROR(__xludf.DUMMYFUNCTION("""COMPUTED_VALUE"""),"Wongset")</f>
        <v>Wongset</v>
      </c>
      <c r="G1200" t="str">
        <f>IFERROR(__xludf.DUMMYFUNCTION("""COMPUTED_VALUE"""),"Nannat Wongset")</f>
        <v>Nannat Wongset</v>
      </c>
      <c r="H1200" t="str">
        <f>IFERROR(__xludf.DUMMYFUNCTION("""COMPUTED_VALUE"""),"นางสาว")</f>
        <v>นางสาว</v>
      </c>
      <c r="I1200" t="str">
        <f>IFERROR(__xludf.DUMMYFUNCTION("""COMPUTED_VALUE"""),"นันท์ณัฏฐ")</f>
        <v>นันท์ณัฏฐ</v>
      </c>
      <c r="J1200" t="str">
        <f>IFERROR(__xludf.DUMMYFUNCTION("""COMPUTED_VALUE"""),"วงษ์เศษ")</f>
        <v>วงษ์เศษ</v>
      </c>
      <c r="K1200" t="str">
        <f>IFERROR(__xludf.DUMMYFUNCTION("""COMPUTED_VALUE"""),"นันท์ณัฏฐ วงษ์เศษ")</f>
        <v>นันท์ณัฏฐ วงษ์เศษ</v>
      </c>
      <c r="L1200" t="str">
        <f>IFERROR(__xludf.DUMMYFUNCTION("""COMPUTED_VALUE"""),"Guide\ไกด์")</f>
        <v>Guide\ไกด์</v>
      </c>
      <c r="M1200" t="str">
        <f>IFERROR(__xludf.DUMMYFUNCTION("""COMPUTED_VALUE"""),"Cabin Crew")</f>
        <v>Cabin Crew</v>
      </c>
      <c r="N1200" t="str">
        <f>IFERROR(__xludf.DUMMYFUNCTION("""COMPUTED_VALUE"""),"DMK")</f>
        <v>DMK</v>
      </c>
      <c r="O1200" s="145" t="str">
        <f>IFERROR(__xludf.DUMMYFUNCTION("""COMPUTED_VALUE"""),"Um Home")</f>
        <v>Um Home</v>
      </c>
      <c r="P1200" t="str">
        <f>IFERROR(__xludf.DUMMYFUNCTION("""COMPUTED_VALUE"""),"Active")</f>
        <v>Active</v>
      </c>
      <c r="Q1200" t="str">
        <f>IFERROR(__xludf.DUMMYFUNCTION("""COMPUTED_VALUE"""),"Japanese Speaking")</f>
        <v>Japanese Speaking</v>
      </c>
      <c r="R1200" s="156">
        <f>IFERROR(__xludf.DUMMYFUNCTION("""COMPUTED_VALUE"""),35794.0)</f>
        <v>35794</v>
      </c>
      <c r="S1200" s="146">
        <f>IFERROR(__xludf.DUMMYFUNCTION("""COMPUTED_VALUE"""),9.22088138E8)</f>
        <v>922088138</v>
      </c>
      <c r="T1200" s="147">
        <f>IFERROR(__xludf.DUMMYFUNCTION("""COMPUTED_VALUE"""),1.160400224515E12)</f>
        <v>1160400224515</v>
      </c>
      <c r="U1200" t="str">
        <f>IFERROR(__xludf.DUMMYFUNCTION("""COMPUTED_VALUE"""),"Ac2234096")</f>
        <v>Ac2234096</v>
      </c>
      <c r="V1200" s="148">
        <f>IFERROR(__xludf.DUMMYFUNCTION("""COMPUTED_VALUE"""),44284.0)</f>
        <v>44284</v>
      </c>
      <c r="W1200" s="148">
        <f>IFERROR(__xludf.DUMMYFUNCTION("""COMPUTED_VALUE"""),47935.0)</f>
        <v>47935</v>
      </c>
      <c r="X1200" s="149">
        <f>IFERROR(__xludf.DUMMYFUNCTION("""COMPUTED_VALUE"""),47754.0)</f>
        <v>47754</v>
      </c>
      <c r="Y1200" t="str">
        <f>IFERROR(__xludf.DUMMYFUNCTION("""COMPUTED_VALUE"""),"ปลอดภัย")</f>
        <v>ปลอดภัย</v>
      </c>
      <c r="Z1200" t="str">
        <f>IFERROR(__xludf.DUMMYFUNCTION("""COMPUTED_VALUE"""),"Lopburi Province")</f>
        <v>Lopburi Province</v>
      </c>
      <c r="AA1200" t="str">
        <f>IFERROR(__xludf.DUMMYFUNCTION("""COMPUTED_VALUE"""),"Bangkok")</f>
        <v>Bangkok</v>
      </c>
      <c r="AB1200" s="145" t="str">
        <f>IFERROR(__xludf.DUMMYFUNCTION("""COMPUTED_VALUE"""),"0961230121")</f>
        <v>0961230121</v>
      </c>
      <c r="AC1200" t="str">
        <f>IFERROR(__xludf.DUMMYFUNCTION("""COMPUTED_VALUE"""),"นันทริยา วงษ์เศษ Sister")</f>
        <v>นันทริยา วงษ์เศษ Sister</v>
      </c>
      <c r="AD1200" t="str">
        <f>IFERROR(__xludf.DUMMYFUNCTION("""COMPUTED_VALUE"""),"nannatwon@airasia.com")</f>
        <v>nannatwon@airasia.com</v>
      </c>
    </row>
    <row r="1201">
      <c r="A1201" s="142">
        <f>IFERROR(__xludf.DUMMYFUNCTION("""COMPUTED_VALUE"""),108.0)</f>
        <v>108</v>
      </c>
      <c r="C1201">
        <f>IFERROR(__xludf.DUMMYFUNCTION("""COMPUTED_VALUE"""),1043891.0)</f>
        <v>1043891</v>
      </c>
      <c r="D1201" t="str">
        <f>IFERROR(__xludf.DUMMYFUNCTION("""COMPUTED_VALUE"""),"Ms.")</f>
        <v>Ms.</v>
      </c>
      <c r="E1201" t="str">
        <f>IFERROR(__xludf.DUMMYFUNCTION("""COMPUTED_VALUE"""),"Vannaporn")</f>
        <v>Vannaporn</v>
      </c>
      <c r="F1201" t="str">
        <f>IFERROR(__xludf.DUMMYFUNCTION("""COMPUTED_VALUE"""),"Chaiwatsittikul")</f>
        <v>Chaiwatsittikul</v>
      </c>
      <c r="G1201" t="str">
        <f>IFERROR(__xludf.DUMMYFUNCTION("""COMPUTED_VALUE"""),"Vannaporn Chaiwatsittikul")</f>
        <v>Vannaporn Chaiwatsittikul</v>
      </c>
      <c r="H1201" t="str">
        <f>IFERROR(__xludf.DUMMYFUNCTION("""COMPUTED_VALUE"""),"นางสาว")</f>
        <v>นางสาว</v>
      </c>
      <c r="I1201" t="str">
        <f>IFERROR(__xludf.DUMMYFUNCTION("""COMPUTED_VALUE"""),"วรรณพร")</f>
        <v>วรรณพร</v>
      </c>
      <c r="J1201" t="str">
        <f>IFERROR(__xludf.DUMMYFUNCTION("""COMPUTED_VALUE"""),"ชัยวัฒน์สิทธิกุล")</f>
        <v>ชัยวัฒน์สิทธิกุล</v>
      </c>
      <c r="K1201" t="str">
        <f>IFERROR(__xludf.DUMMYFUNCTION("""COMPUTED_VALUE"""),"วรรณพร ชัยวัฒน์สิทธิกุล")</f>
        <v>วรรณพร ชัยวัฒน์สิทธิกุล</v>
      </c>
      <c r="L1201" t="str">
        <f>IFERROR(__xludf.DUMMYFUNCTION("""COMPUTED_VALUE"""),"Rodjeep/รถจี๊ฟ")</f>
        <v>Rodjeep/รถจี๊ฟ</v>
      </c>
      <c r="M1201" t="str">
        <f>IFERROR(__xludf.DUMMYFUNCTION("""COMPUTED_VALUE"""),"Cabin Crew")</f>
        <v>Cabin Crew</v>
      </c>
      <c r="N1201" t="str">
        <f>IFERROR(__xludf.DUMMYFUNCTION("""COMPUTED_VALUE"""),"DMK")</f>
        <v>DMK</v>
      </c>
      <c r="O1201" s="145" t="str">
        <f>IFERROR(__xludf.DUMMYFUNCTION("""COMPUTED_VALUE"""),"Nhui Home")</f>
        <v>Nhui Home</v>
      </c>
      <c r="P1201" t="str">
        <f>IFERROR(__xludf.DUMMYFUNCTION("""COMPUTED_VALUE"""),"Active")</f>
        <v>Active</v>
      </c>
      <c r="Q1201" t="str">
        <f>IFERROR(__xludf.DUMMYFUNCTION("""COMPUTED_VALUE"""),"Japanese Speaking")</f>
        <v>Japanese Speaking</v>
      </c>
      <c r="R1201" s="156">
        <f>IFERROR(__xludf.DUMMYFUNCTION("""COMPUTED_VALUE"""),31796.0)</f>
        <v>31796</v>
      </c>
      <c r="S1201" s="146" t="str">
        <f>IFERROR(__xludf.DUMMYFUNCTION("""COMPUTED_VALUE"""),"062-224-5242")</f>
        <v>062-224-5242</v>
      </c>
      <c r="T1201" s="147">
        <f>IFERROR(__xludf.DUMMYFUNCTION("""COMPUTED_VALUE"""),1.100200291952E12)</f>
        <v>1100200291952</v>
      </c>
      <c r="U1201" t="str">
        <f>IFERROR(__xludf.DUMMYFUNCTION("""COMPUTED_VALUE"""),"AC2697622")</f>
        <v>AC2697622</v>
      </c>
      <c r="V1201" s="148">
        <f>IFERROR(__xludf.DUMMYFUNCTION("""COMPUTED_VALUE"""),44587.0)</f>
        <v>44587</v>
      </c>
      <c r="W1201" s="148">
        <f>IFERROR(__xludf.DUMMYFUNCTION("""COMPUTED_VALUE"""),48238.0)</f>
        <v>48238</v>
      </c>
      <c r="X1201" s="149">
        <f>IFERROR(__xludf.DUMMYFUNCTION("""COMPUTED_VALUE"""),48054.0)</f>
        <v>48054</v>
      </c>
      <c r="Y1201" t="str">
        <f>IFERROR(__xludf.DUMMYFUNCTION("""COMPUTED_VALUE"""),"ปลอดภัย")</f>
        <v>ปลอดภัย</v>
      </c>
      <c r="Z1201" t="str">
        <f>IFERROR(__xludf.DUMMYFUNCTION("""COMPUTED_VALUE"""),"Bangkok")</f>
        <v>Bangkok</v>
      </c>
      <c r="AA1201" t="str">
        <f>IFERROR(__xludf.DUMMYFUNCTION("""COMPUTED_VALUE"""),"Bangkok")</f>
        <v>Bangkok</v>
      </c>
      <c r="AB1201" s="145" t="str">
        <f>IFERROR(__xludf.DUMMYFUNCTION("""COMPUTED_VALUE"""),"062-224-5242")</f>
        <v>062-224-5242</v>
      </c>
      <c r="AC1201" t="str">
        <f>IFERROR(__xludf.DUMMYFUNCTION("""COMPUTED_VALUE"""),"นายวินัย ชัยวัฒน์สิทธิกุล Father")</f>
        <v>นายวินัย ชัยวัฒน์สิทธิกุล Father</v>
      </c>
      <c r="AD1201" t="str">
        <f>IFERROR(__xludf.DUMMYFUNCTION("""COMPUTED_VALUE"""),"vannaporncha@airasia.com")</f>
        <v>vannaporncha@airasia.com</v>
      </c>
    </row>
    <row r="1202">
      <c r="A1202" s="142">
        <f>IFERROR(__xludf.DUMMYFUNCTION("""COMPUTED_VALUE"""),108.0)</f>
        <v>108</v>
      </c>
      <c r="C1202">
        <f>IFERROR(__xludf.DUMMYFUNCTION("""COMPUTED_VALUE"""),1043894.0)</f>
        <v>1043894</v>
      </c>
      <c r="D1202" t="str">
        <f>IFERROR(__xludf.DUMMYFUNCTION("""COMPUTED_VALUE"""),"Ms.")</f>
        <v>Ms.</v>
      </c>
      <c r="E1202" t="str">
        <f>IFERROR(__xludf.DUMMYFUNCTION("""COMPUTED_VALUE"""),"Thantheera")</f>
        <v>Thantheera</v>
      </c>
      <c r="F1202" t="str">
        <f>IFERROR(__xludf.DUMMYFUNCTION("""COMPUTED_VALUE"""),"Prueksasilp")</f>
        <v>Prueksasilp</v>
      </c>
      <c r="G1202" t="str">
        <f>IFERROR(__xludf.DUMMYFUNCTION("""COMPUTED_VALUE"""),"Thantheera Prueksasilp")</f>
        <v>Thantheera Prueksasilp</v>
      </c>
      <c r="H1202" t="str">
        <f>IFERROR(__xludf.DUMMYFUNCTION("""COMPUTED_VALUE"""),"นางสาว")</f>
        <v>นางสาว</v>
      </c>
      <c r="I1202" t="str">
        <f>IFERROR(__xludf.DUMMYFUNCTION("""COMPUTED_VALUE"""),"ธัญธีรา")</f>
        <v>ธัญธีรา</v>
      </c>
      <c r="J1202" t="str">
        <f>IFERROR(__xludf.DUMMYFUNCTION("""COMPUTED_VALUE"""),"พฤกษาศิลป์")</f>
        <v>พฤกษาศิลป์</v>
      </c>
      <c r="K1202" t="str">
        <f>IFERROR(__xludf.DUMMYFUNCTION("""COMPUTED_VALUE"""),"ธัญธีรา พฤกษาศิลป์")</f>
        <v>ธัญธีรา พฤกษาศิลป์</v>
      </c>
      <c r="L1202" t="str">
        <f>IFERROR(__xludf.DUMMYFUNCTION("""COMPUTED_VALUE"""),"Am / แอ๋ม")</f>
        <v>Am / แอ๋ม</v>
      </c>
      <c r="M1202" t="str">
        <f>IFERROR(__xludf.DUMMYFUNCTION("""COMPUTED_VALUE"""),"Cabin Crew")</f>
        <v>Cabin Crew</v>
      </c>
      <c r="N1202" t="str">
        <f>IFERROR(__xludf.DUMMYFUNCTION("""COMPUTED_VALUE"""),"DMK")</f>
        <v>DMK</v>
      </c>
      <c r="O1202" s="145" t="str">
        <f>IFERROR(__xludf.DUMMYFUNCTION("""COMPUTED_VALUE"""),"Namfon Home")</f>
        <v>Namfon Home</v>
      </c>
      <c r="P1202" t="str">
        <f>IFERROR(__xludf.DUMMYFUNCTION("""COMPUTED_VALUE"""),"Active")</f>
        <v>Active</v>
      </c>
      <c r="R1202" s="156">
        <f>IFERROR(__xludf.DUMMYFUNCTION("""COMPUTED_VALUE"""),35739.0)</f>
        <v>35739</v>
      </c>
      <c r="S1202" s="146">
        <f>IFERROR(__xludf.DUMMYFUNCTION("""COMPUTED_VALUE"""),8.16255048E8)</f>
        <v>816255048</v>
      </c>
      <c r="T1202" s="147">
        <f>IFERROR(__xludf.DUMMYFUNCTION("""COMPUTED_VALUE"""),1.100501462764E12)</f>
        <v>1100501462764</v>
      </c>
      <c r="U1202" t="str">
        <f>IFERROR(__xludf.DUMMYFUNCTION("""COMPUTED_VALUE"""),"AC5539073")</f>
        <v>AC5539073</v>
      </c>
      <c r="V1202" s="148">
        <f>IFERROR(__xludf.DUMMYFUNCTION("""COMPUTED_VALUE"""),45161.0)</f>
        <v>45161</v>
      </c>
      <c r="W1202" s="148">
        <f>IFERROR(__xludf.DUMMYFUNCTION("""COMPUTED_VALUE"""),46987.0)</f>
        <v>46987</v>
      </c>
      <c r="X1202" s="149">
        <f>IFERROR(__xludf.DUMMYFUNCTION("""COMPUTED_VALUE"""),46805.0)</f>
        <v>46805</v>
      </c>
      <c r="Y1202" t="str">
        <f>IFERROR(__xludf.DUMMYFUNCTION("""COMPUTED_VALUE"""),"ปลอดภัย")</f>
        <v>ปลอดภัย</v>
      </c>
      <c r="Z1202" t="str">
        <f>IFERROR(__xludf.DUMMYFUNCTION("""COMPUTED_VALUE"""),"Bangkok")</f>
        <v>Bangkok</v>
      </c>
      <c r="AA1202" t="str">
        <f>IFERROR(__xludf.DUMMYFUNCTION("""COMPUTED_VALUE"""),"Pathum Thani")</f>
        <v>Pathum Thani</v>
      </c>
      <c r="AB1202" s="145" t="str">
        <f>IFERROR(__xludf.DUMMYFUNCTION("""COMPUTED_VALUE"""),"0614080689")</f>
        <v>0614080689</v>
      </c>
      <c r="AC1202" t="str">
        <f>IFERROR(__xludf.DUMMYFUNCTION("""COMPUTED_VALUE"""),"นางสาวธัญธร พฤกษาศิลป์ Sister")</f>
        <v>นางสาวธัญธร พฤกษาศิลป์ Sister</v>
      </c>
      <c r="AD1202" t="str">
        <f>IFERROR(__xludf.DUMMYFUNCTION("""COMPUTED_VALUE"""),"thantheerapru@airasia.com")</f>
        <v>thantheerapru@airasia.com</v>
      </c>
    </row>
    <row r="1203">
      <c r="A1203" s="142">
        <f>IFERROR(__xludf.DUMMYFUNCTION("""COMPUTED_VALUE"""),108.0)</f>
        <v>108</v>
      </c>
      <c r="C1203">
        <f>IFERROR(__xludf.DUMMYFUNCTION("""COMPUTED_VALUE"""),1043895.0)</f>
        <v>1043895</v>
      </c>
      <c r="D1203" t="str">
        <f>IFERROR(__xludf.DUMMYFUNCTION("""COMPUTED_VALUE"""),"Ms.")</f>
        <v>Ms.</v>
      </c>
      <c r="E1203" t="str">
        <f>IFERROR(__xludf.DUMMYFUNCTION("""COMPUTED_VALUE"""),"Sawaros")</f>
        <v>Sawaros</v>
      </c>
      <c r="F1203" t="str">
        <f>IFERROR(__xludf.DUMMYFUNCTION("""COMPUTED_VALUE"""),"Phanichvibul")</f>
        <v>Phanichvibul</v>
      </c>
      <c r="G1203" t="str">
        <f>IFERROR(__xludf.DUMMYFUNCTION("""COMPUTED_VALUE"""),"Sawaros Phanichvibul")</f>
        <v>Sawaros Phanichvibul</v>
      </c>
      <c r="H1203" t="str">
        <f>IFERROR(__xludf.DUMMYFUNCTION("""COMPUTED_VALUE"""),"นางสาว")</f>
        <v>นางสาว</v>
      </c>
      <c r="I1203" t="str">
        <f>IFERROR(__xludf.DUMMYFUNCTION("""COMPUTED_VALUE"""),"สวรส")</f>
        <v>สวรส</v>
      </c>
      <c r="J1203" t="str">
        <f>IFERROR(__xludf.DUMMYFUNCTION("""COMPUTED_VALUE"""),"พาณิชยวิบูลย์")</f>
        <v>พาณิชยวิบูลย์</v>
      </c>
      <c r="K1203" t="str">
        <f>IFERROR(__xludf.DUMMYFUNCTION("""COMPUTED_VALUE"""),"สวรส พาณิชยวิบูลย์")</f>
        <v>สวรส พาณิชยวิบูลย์</v>
      </c>
      <c r="L1203" t="str">
        <f>IFERROR(__xludf.DUMMYFUNCTION("""COMPUTED_VALUE"""),"Bam แบม")</f>
        <v>Bam แบม</v>
      </c>
      <c r="M1203" t="str">
        <f>IFERROR(__xludf.DUMMYFUNCTION("""COMPUTED_VALUE"""),"Cabin Crew")</f>
        <v>Cabin Crew</v>
      </c>
      <c r="N1203" t="str">
        <f>IFERROR(__xludf.DUMMYFUNCTION("""COMPUTED_VALUE"""),"DMK")</f>
        <v>DMK</v>
      </c>
      <c r="O1203" s="145" t="str">
        <f>IFERROR(__xludf.DUMMYFUNCTION("""COMPUTED_VALUE"""),"Namfon Home")</f>
        <v>Namfon Home</v>
      </c>
      <c r="P1203" t="str">
        <f>IFERROR(__xludf.DUMMYFUNCTION("""COMPUTED_VALUE"""),"Active")</f>
        <v>Active</v>
      </c>
      <c r="Q1203" t="str">
        <f>IFERROR(__xludf.DUMMYFUNCTION("""COMPUTED_VALUE"""),"Japanese Speaking")</f>
        <v>Japanese Speaking</v>
      </c>
      <c r="R1203" s="156">
        <f>IFERROR(__xludf.DUMMYFUNCTION("""COMPUTED_VALUE"""),35046.0)</f>
        <v>35046</v>
      </c>
      <c r="S1203" s="146">
        <f>IFERROR(__xludf.DUMMYFUNCTION("""COMPUTED_VALUE"""),8.63646451E8)</f>
        <v>863646451</v>
      </c>
      <c r="T1203" s="147">
        <f>IFERROR(__xludf.DUMMYFUNCTION("""COMPUTED_VALUE"""),1.100702204568E12)</f>
        <v>1100702204568</v>
      </c>
      <c r="U1203" t="str">
        <f>IFERROR(__xludf.DUMMYFUNCTION("""COMPUTED_VALUE"""),"AC7593306")</f>
        <v>AC7593306</v>
      </c>
      <c r="V1203" s="148">
        <f>IFERROR(__xludf.DUMMYFUNCTION("""COMPUTED_VALUE"""),45580.0)</f>
        <v>45580</v>
      </c>
      <c r="W1203" s="148">
        <f>IFERROR(__xludf.DUMMYFUNCTION("""COMPUTED_VALUE"""),47405.0)</f>
        <v>47405</v>
      </c>
      <c r="X1203" s="149">
        <f>IFERROR(__xludf.DUMMYFUNCTION("""COMPUTED_VALUE"""),47222.0)</f>
        <v>47222</v>
      </c>
      <c r="Y1203" t="str">
        <f>IFERROR(__xludf.DUMMYFUNCTION("""COMPUTED_VALUE"""),"ปลอดภัย")</f>
        <v>ปลอดภัย</v>
      </c>
      <c r="Z1203" t="str">
        <f>IFERROR(__xludf.DUMMYFUNCTION("""COMPUTED_VALUE"""),"Bangkok")</f>
        <v>Bangkok</v>
      </c>
      <c r="AA1203" t="str">
        <f>IFERROR(__xludf.DUMMYFUNCTION("""COMPUTED_VALUE"""),"Bangkok")</f>
        <v>Bangkok</v>
      </c>
      <c r="AB1203" s="145" t="str">
        <f>IFERROR(__xludf.DUMMYFUNCTION("""COMPUTED_VALUE"""),"0624500066")</f>
        <v>0624500066</v>
      </c>
      <c r="AC1203" t="str">
        <f>IFERROR(__xludf.DUMMYFUNCTION("""COMPUTED_VALUE"""),"นายชาลี อารีมิตร Friend")</f>
        <v>นายชาลี อารีมิตร Friend</v>
      </c>
      <c r="AD1203" t="str">
        <f>IFERROR(__xludf.DUMMYFUNCTION("""COMPUTED_VALUE"""),"sawarospha@airasia.com")</f>
        <v>sawarospha@airasia.com</v>
      </c>
    </row>
    <row r="1204">
      <c r="AD1204" t="str">
        <f>IFERROR(__xludf.DUMMYFUNCTION("""COMPUTED_VALUE"""),"")</f>
        <v/>
      </c>
    </row>
    <row r="1205">
      <c r="A1205" s="142">
        <f>IFERROR(__xludf.DUMMYFUNCTION("""COMPUTED_VALUE"""),109.0)</f>
        <v>109</v>
      </c>
      <c r="C1205">
        <f>IFERROR(__xludf.DUMMYFUNCTION("""COMPUTED_VALUE"""),1044217.0)</f>
        <v>1044217</v>
      </c>
      <c r="D1205" t="str">
        <f>IFERROR(__xludf.DUMMYFUNCTION("""COMPUTED_VALUE"""),"Ms.")</f>
        <v>Ms.</v>
      </c>
      <c r="E1205" t="str">
        <f>IFERROR(__xludf.DUMMYFUNCTION("""COMPUTED_VALUE"""),"Tanayaporn")</f>
        <v>Tanayaporn</v>
      </c>
      <c r="F1205" t="str">
        <f>IFERROR(__xludf.DUMMYFUNCTION("""COMPUTED_VALUE"""),"Sombatboriboon")</f>
        <v>Sombatboriboon</v>
      </c>
      <c r="G1205" t="str">
        <f>IFERROR(__xludf.DUMMYFUNCTION("""COMPUTED_VALUE"""),"Tanayaporn Sombatboriboon")</f>
        <v>Tanayaporn Sombatboriboon</v>
      </c>
      <c r="H1205" t="str">
        <f>IFERROR(__xludf.DUMMYFUNCTION("""COMPUTED_VALUE"""),"นางสาว")</f>
        <v>นางสาว</v>
      </c>
      <c r="I1205" t="str">
        <f>IFERROR(__xludf.DUMMYFUNCTION("""COMPUTED_VALUE"""),"ธนยพร")</f>
        <v>ธนยพร</v>
      </c>
      <c r="J1205" t="str">
        <f>IFERROR(__xludf.DUMMYFUNCTION("""COMPUTED_VALUE"""),"สมบัติบริบูรณ์")</f>
        <v>สมบัติบริบูรณ์</v>
      </c>
      <c r="K1205" t="str">
        <f>IFERROR(__xludf.DUMMYFUNCTION("""COMPUTED_VALUE"""),"ธนยพร สมบัติบริบูรณ์")</f>
        <v>ธนยพร สมบัติบริบูรณ์</v>
      </c>
      <c r="L1205" t="str">
        <f>IFERROR(__xludf.DUMMYFUNCTION("""COMPUTED_VALUE"""),"Itim / ไอติม")</f>
        <v>Itim / ไอติม</v>
      </c>
      <c r="M1205" t="str">
        <f>IFERROR(__xludf.DUMMYFUNCTION("""COMPUTED_VALUE"""),"Cabin Crew")</f>
        <v>Cabin Crew</v>
      </c>
      <c r="N1205" t="str">
        <f>IFERROR(__xludf.DUMMYFUNCTION("""COMPUTED_VALUE"""),"DMK")</f>
        <v>DMK</v>
      </c>
      <c r="O1205" s="145" t="str">
        <f>IFERROR(__xludf.DUMMYFUNCTION("""COMPUTED_VALUE"""),"Namfon Home")</f>
        <v>Namfon Home</v>
      </c>
      <c r="P1205" t="str">
        <f>IFERROR(__xludf.DUMMYFUNCTION("""COMPUTED_VALUE"""),"Active")</f>
        <v>Active</v>
      </c>
      <c r="R1205" s="156">
        <f>IFERROR(__xludf.DUMMYFUNCTION("""COMPUTED_VALUE"""),35121.0)</f>
        <v>35121</v>
      </c>
      <c r="S1205" s="146">
        <f>IFERROR(__xludf.DUMMYFUNCTION("""COMPUTED_VALUE"""),8.39356899E8)</f>
        <v>839356899</v>
      </c>
      <c r="T1205" s="147">
        <f>IFERROR(__xludf.DUMMYFUNCTION("""COMPUTED_VALUE"""),1.10080112208E12)</f>
        <v>1100801122080</v>
      </c>
      <c r="U1205" t="str">
        <f>IFERROR(__xludf.DUMMYFUNCTION("""COMPUTED_VALUE"""),"AD1099651")</f>
        <v>AD1099651</v>
      </c>
      <c r="V1205" s="148">
        <f>IFERROR(__xludf.DUMMYFUNCTION("""COMPUTED_VALUE"""),45067.0)</f>
        <v>45067</v>
      </c>
      <c r="W1205" s="148">
        <f>IFERROR(__xludf.DUMMYFUNCTION("""COMPUTED_VALUE"""),46893.0)</f>
        <v>46893</v>
      </c>
      <c r="X1205" s="149">
        <f>IFERROR(__xludf.DUMMYFUNCTION("""COMPUTED_VALUE"""),46711.0)</f>
        <v>46711</v>
      </c>
      <c r="Y1205" t="str">
        <f>IFERROR(__xludf.DUMMYFUNCTION("""COMPUTED_VALUE"""),"ปลอดภัย")</f>
        <v>ปลอดภัย</v>
      </c>
      <c r="Z1205" t="str">
        <f>IFERROR(__xludf.DUMMYFUNCTION("""COMPUTED_VALUE"""),"Bangkok")</f>
        <v>Bangkok</v>
      </c>
      <c r="AA1205" t="str">
        <f>IFERROR(__xludf.DUMMYFUNCTION("""COMPUTED_VALUE"""),"Bangkok")</f>
        <v>Bangkok</v>
      </c>
      <c r="AB1205" s="145" t="str">
        <f>IFERROR(__xludf.DUMMYFUNCTION("""COMPUTED_VALUE"""),"081-824-5682")</f>
        <v>081-824-5682</v>
      </c>
      <c r="AC1205" t="str">
        <f>IFERROR(__xludf.DUMMYFUNCTION("""COMPUTED_VALUE"""),"นายพงศธัช สมบัติบริบูรณ์ Father")</f>
        <v>นายพงศธัช สมบัติบริบูรณ์ Father</v>
      </c>
      <c r="AD1205" t="str">
        <f>IFERROR(__xludf.DUMMYFUNCTION("""COMPUTED_VALUE"""),"tanayapornsom@airasia.com")</f>
        <v>tanayapornsom@airasia.com</v>
      </c>
    </row>
    <row r="1206">
      <c r="A1206" s="142">
        <f>IFERROR(__xludf.DUMMYFUNCTION("""COMPUTED_VALUE"""),109.0)</f>
        <v>109</v>
      </c>
      <c r="C1206">
        <f>IFERROR(__xludf.DUMMYFUNCTION("""COMPUTED_VALUE"""),1044218.0)</f>
        <v>1044218</v>
      </c>
      <c r="D1206" t="str">
        <f>IFERROR(__xludf.DUMMYFUNCTION("""COMPUTED_VALUE"""),"Mr.")</f>
        <v>Mr.</v>
      </c>
      <c r="E1206" t="str">
        <f>IFERROR(__xludf.DUMMYFUNCTION("""COMPUTED_VALUE"""),"Nopanon")</f>
        <v>Nopanon</v>
      </c>
      <c r="F1206" t="str">
        <f>IFERROR(__xludf.DUMMYFUNCTION("""COMPUTED_VALUE"""),"Amonchinviwat")</f>
        <v>Amonchinviwat</v>
      </c>
      <c r="G1206" t="str">
        <f>IFERROR(__xludf.DUMMYFUNCTION("""COMPUTED_VALUE"""),"Nopanon Amonchinviwat")</f>
        <v>Nopanon Amonchinviwat</v>
      </c>
      <c r="H1206" t="str">
        <f>IFERROR(__xludf.DUMMYFUNCTION("""COMPUTED_VALUE"""),"นาย")</f>
        <v>นาย</v>
      </c>
      <c r="I1206" t="str">
        <f>IFERROR(__xludf.DUMMYFUNCTION("""COMPUTED_VALUE"""),"นพอนนต์")</f>
        <v>นพอนนต์</v>
      </c>
      <c r="J1206" t="str">
        <f>IFERROR(__xludf.DUMMYFUNCTION("""COMPUTED_VALUE"""),"อมรชินวิวัฒน์")</f>
        <v>อมรชินวิวัฒน์</v>
      </c>
      <c r="K1206" t="str">
        <f>IFERROR(__xludf.DUMMYFUNCTION("""COMPUTED_VALUE"""),"นพอนนต์ อมรชินวิวัฒน์")</f>
        <v>นพอนนต์ อมรชินวิวัฒน์</v>
      </c>
      <c r="L1206" t="str">
        <f>IFERROR(__xludf.DUMMYFUNCTION("""COMPUTED_VALUE"""),"Kong / ก้อง")</f>
        <v>Kong / ก้อง</v>
      </c>
      <c r="M1206" t="str">
        <f>IFERROR(__xludf.DUMMYFUNCTION("""COMPUTED_VALUE"""),"Cabin Crew")</f>
        <v>Cabin Crew</v>
      </c>
      <c r="N1206" t="str">
        <f>IFERROR(__xludf.DUMMYFUNCTION("""COMPUTED_VALUE"""),"DMK")</f>
        <v>DMK</v>
      </c>
      <c r="O1206" s="145" t="str">
        <f>IFERROR(__xludf.DUMMYFUNCTION("""COMPUTED_VALUE"""),"Up Home")</f>
        <v>Up Home</v>
      </c>
      <c r="P1206" t="str">
        <f>IFERROR(__xludf.DUMMYFUNCTION("""COMPUTED_VALUE"""),"Active")</f>
        <v>Active</v>
      </c>
      <c r="R1206" s="156">
        <f>IFERROR(__xludf.DUMMYFUNCTION("""COMPUTED_VALUE"""),33385.0)</f>
        <v>33385</v>
      </c>
      <c r="S1206" s="146">
        <f>IFERROR(__xludf.DUMMYFUNCTION("""COMPUTED_VALUE"""),8.27012931E8)</f>
        <v>827012931</v>
      </c>
      <c r="T1206" s="147">
        <f>IFERROR(__xludf.DUMMYFUNCTION("""COMPUTED_VALUE"""),1.103300039425E12)</f>
        <v>1103300039425</v>
      </c>
      <c r="U1206" t="str">
        <f>IFERROR(__xludf.DUMMYFUNCTION("""COMPUTED_VALUE"""),"AC3090467")</f>
        <v>AC3090467</v>
      </c>
      <c r="V1206" s="148">
        <f>IFERROR(__xludf.DUMMYFUNCTION("""COMPUTED_VALUE"""),44687.0)</f>
        <v>44687</v>
      </c>
      <c r="W1206" s="148">
        <f>IFERROR(__xludf.DUMMYFUNCTION("""COMPUTED_VALUE"""),48339.0)</f>
        <v>48339</v>
      </c>
      <c r="X1206" s="149">
        <f>IFERROR(__xludf.DUMMYFUNCTION("""COMPUTED_VALUE"""),48157.0)</f>
        <v>48157</v>
      </c>
      <c r="Y1206" t="str">
        <f>IFERROR(__xludf.DUMMYFUNCTION("""COMPUTED_VALUE"""),"ปลอดภัย")</f>
        <v>ปลอดภัย</v>
      </c>
      <c r="Z1206" t="str">
        <f>IFERROR(__xludf.DUMMYFUNCTION("""COMPUTED_VALUE"""),"Bangkok")</f>
        <v>Bangkok</v>
      </c>
      <c r="AA1206" t="str">
        <f>IFERROR(__xludf.DUMMYFUNCTION("""COMPUTED_VALUE"""),"Bangkok")</f>
        <v>Bangkok</v>
      </c>
      <c r="AB1206" s="145" t="str">
        <f>IFERROR(__xludf.DUMMYFUNCTION("""COMPUTED_VALUE"""),"087-094-4963")</f>
        <v>087-094-4963</v>
      </c>
      <c r="AC1206" t="str">
        <f>IFERROR(__xludf.DUMMYFUNCTION("""COMPUTED_VALUE"""),"นางสุวรีย์ อมรชินวิวัฒน์ Mother")</f>
        <v>นางสุวรีย์ อมรชินวิวัฒน์ Mother</v>
      </c>
      <c r="AD1206" t="str">
        <f>IFERROR(__xludf.DUMMYFUNCTION("""COMPUTED_VALUE"""),"nopanonamo@airasia.com")</f>
        <v>nopanonamo@airasia.com</v>
      </c>
    </row>
    <row r="1207">
      <c r="A1207" s="142">
        <f>IFERROR(__xludf.DUMMYFUNCTION("""COMPUTED_VALUE"""),109.0)</f>
        <v>109</v>
      </c>
      <c r="C1207">
        <f>IFERROR(__xludf.DUMMYFUNCTION("""COMPUTED_VALUE"""),1044219.0)</f>
        <v>1044219</v>
      </c>
      <c r="D1207" t="str">
        <f>IFERROR(__xludf.DUMMYFUNCTION("""COMPUTED_VALUE"""),"Mr.")</f>
        <v>Mr.</v>
      </c>
      <c r="E1207" t="str">
        <f>IFERROR(__xludf.DUMMYFUNCTION("""COMPUTED_VALUE"""),"Woranan")</f>
        <v>Woranan</v>
      </c>
      <c r="F1207" t="str">
        <f>IFERROR(__xludf.DUMMYFUNCTION("""COMPUTED_VALUE"""),"Duangngarm")</f>
        <v>Duangngarm</v>
      </c>
      <c r="G1207" t="str">
        <f>IFERROR(__xludf.DUMMYFUNCTION("""COMPUTED_VALUE"""),"Woranan Duangngarm")</f>
        <v>Woranan Duangngarm</v>
      </c>
      <c r="H1207" t="str">
        <f>IFERROR(__xludf.DUMMYFUNCTION("""COMPUTED_VALUE"""),"นาย")</f>
        <v>นาย</v>
      </c>
      <c r="I1207" t="str">
        <f>IFERROR(__xludf.DUMMYFUNCTION("""COMPUTED_VALUE"""),"วรนันท์")</f>
        <v>วรนันท์</v>
      </c>
      <c r="J1207" t="str">
        <f>IFERROR(__xludf.DUMMYFUNCTION("""COMPUTED_VALUE"""),"ดวงงาม")</f>
        <v>ดวงงาม</v>
      </c>
      <c r="K1207" t="str">
        <f>IFERROR(__xludf.DUMMYFUNCTION("""COMPUTED_VALUE"""),"วรนันท์ ดวงงาม")</f>
        <v>วรนันท์ ดวงงาม</v>
      </c>
      <c r="L1207" t="str">
        <f>IFERROR(__xludf.DUMMYFUNCTION("""COMPUTED_VALUE"""),"Data / ดาต้า")</f>
        <v>Data / ดาต้า</v>
      </c>
      <c r="M1207" t="str">
        <f>IFERROR(__xludf.DUMMYFUNCTION("""COMPUTED_VALUE"""),"Cabin Crew")</f>
        <v>Cabin Crew</v>
      </c>
      <c r="N1207" t="str">
        <f>IFERROR(__xludf.DUMMYFUNCTION("""COMPUTED_VALUE"""),"DMK")</f>
        <v>DMK</v>
      </c>
      <c r="O1207" s="145" t="str">
        <f>IFERROR(__xludf.DUMMYFUNCTION("""COMPUTED_VALUE"""),"Por+ Home")</f>
        <v>Por+ Home</v>
      </c>
      <c r="P1207" t="str">
        <f>IFERROR(__xludf.DUMMYFUNCTION("""COMPUTED_VALUE"""),"Active")</f>
        <v>Active</v>
      </c>
      <c r="R1207" s="156">
        <f>IFERROR(__xludf.DUMMYFUNCTION("""COMPUTED_VALUE"""),36844.0)</f>
        <v>36844</v>
      </c>
      <c r="S1207" s="146">
        <f>IFERROR(__xludf.DUMMYFUNCTION("""COMPUTED_VALUE"""),9.03213954E8)</f>
        <v>903213954</v>
      </c>
      <c r="T1207" s="147">
        <f>IFERROR(__xludf.DUMMYFUNCTION("""COMPUTED_VALUE"""),1.509966096381E12)</f>
        <v>1509966096381</v>
      </c>
      <c r="U1207" t="str">
        <f>IFERROR(__xludf.DUMMYFUNCTION("""COMPUTED_VALUE"""),"AC8176293")</f>
        <v>AC8176293</v>
      </c>
      <c r="V1207" s="148">
        <f>IFERROR(__xludf.DUMMYFUNCTION("""COMPUTED_VALUE"""),46000.0)</f>
        <v>46000</v>
      </c>
      <c r="W1207" s="148">
        <f>IFERROR(__xludf.DUMMYFUNCTION("""COMPUTED_VALUE"""),49651.0)</f>
        <v>49651</v>
      </c>
      <c r="X1207" s="149">
        <f>IFERROR(__xludf.DUMMYFUNCTION("""COMPUTED_VALUE"""),49468.0)</f>
        <v>49468</v>
      </c>
      <c r="Y1207" t="str">
        <f>IFERROR(__xludf.DUMMYFUNCTION("""COMPUTED_VALUE"""),"ปลอดภัย")</f>
        <v>ปลอดภัย</v>
      </c>
      <c r="Z1207" t="str">
        <f>IFERROR(__xludf.DUMMYFUNCTION("""COMPUTED_VALUE"""),"Chiang Mai Province")</f>
        <v>Chiang Mai Province</v>
      </c>
      <c r="AA1207" t="str">
        <f>IFERROR(__xludf.DUMMYFUNCTION("""COMPUTED_VALUE"""),"Chiang mai")</f>
        <v>Chiang mai</v>
      </c>
      <c r="AB1207" s="145" t="str">
        <f>IFERROR(__xludf.DUMMYFUNCTION("""COMPUTED_VALUE"""),"083-863-4115")</f>
        <v>083-863-4115</v>
      </c>
      <c r="AC1207" t="str">
        <f>IFERROR(__xludf.DUMMYFUNCTION("""COMPUTED_VALUE"""),"นางพิกุลทอง ดวงงาม Mother")</f>
        <v>นางพิกุลทอง ดวงงาม Mother</v>
      </c>
      <c r="AD1207" t="str">
        <f>IFERROR(__xludf.DUMMYFUNCTION("""COMPUTED_VALUE"""),"woranandua@airasia.com")</f>
        <v>woranandua@airasia.com</v>
      </c>
    </row>
    <row r="1208">
      <c r="A1208" s="142">
        <f>IFERROR(__xludf.DUMMYFUNCTION("""COMPUTED_VALUE"""),109.0)</f>
        <v>109</v>
      </c>
      <c r="C1208">
        <f>IFERROR(__xludf.DUMMYFUNCTION("""COMPUTED_VALUE"""),1044220.0)</f>
        <v>1044220</v>
      </c>
      <c r="D1208" t="str">
        <f>IFERROR(__xludf.DUMMYFUNCTION("""COMPUTED_VALUE"""),"Ms.")</f>
        <v>Ms.</v>
      </c>
      <c r="E1208" t="str">
        <f>IFERROR(__xludf.DUMMYFUNCTION("""COMPUTED_VALUE"""),"Warissara")</f>
        <v>Warissara</v>
      </c>
      <c r="F1208" t="str">
        <f>IFERROR(__xludf.DUMMYFUNCTION("""COMPUTED_VALUE"""),"Klanbuds")</f>
        <v>Klanbuds</v>
      </c>
      <c r="G1208" t="str">
        <f>IFERROR(__xludf.DUMMYFUNCTION("""COMPUTED_VALUE"""),"Warissara Klanbuds")</f>
        <v>Warissara Klanbuds</v>
      </c>
      <c r="H1208" t="str">
        <f>IFERROR(__xludf.DUMMYFUNCTION("""COMPUTED_VALUE"""),"นางสาว")</f>
        <v>นางสาว</v>
      </c>
      <c r="I1208" t="str">
        <f>IFERROR(__xludf.DUMMYFUNCTION("""COMPUTED_VALUE"""),"วริษสรา")</f>
        <v>วริษสรา</v>
      </c>
      <c r="J1208" t="str">
        <f>IFERROR(__xludf.DUMMYFUNCTION("""COMPUTED_VALUE"""),"กลั่นบุศย์")</f>
        <v>กลั่นบุศย์</v>
      </c>
      <c r="K1208" t="str">
        <f>IFERROR(__xludf.DUMMYFUNCTION("""COMPUTED_VALUE"""),"วริษสรา กลั่นบุศย์")</f>
        <v>วริษสรา กลั่นบุศย์</v>
      </c>
      <c r="L1208" t="str">
        <f>IFERROR(__xludf.DUMMYFUNCTION("""COMPUTED_VALUE"""),"ปุยฝ้าย")</f>
        <v>ปุยฝ้าย</v>
      </c>
      <c r="M1208" t="str">
        <f>IFERROR(__xludf.DUMMYFUNCTION("""COMPUTED_VALUE"""),"Cabin Crew")</f>
        <v>Cabin Crew</v>
      </c>
      <c r="N1208" t="str">
        <f>IFERROR(__xludf.DUMMYFUNCTION("""COMPUTED_VALUE"""),"DMK")</f>
        <v>DMK</v>
      </c>
      <c r="O1208" s="145" t="str">
        <f>IFERROR(__xludf.DUMMYFUNCTION("""COMPUTED_VALUE"""),"Namfon Home")</f>
        <v>Namfon Home</v>
      </c>
      <c r="P1208" t="str">
        <f>IFERROR(__xludf.DUMMYFUNCTION("""COMPUTED_VALUE"""),"Active")</f>
        <v>Active</v>
      </c>
      <c r="Q1208" t="str">
        <f>IFERROR(__xludf.DUMMYFUNCTION("""COMPUTED_VALUE"""),"Japanese Speaking")</f>
        <v>Japanese Speaking</v>
      </c>
      <c r="R1208" s="156">
        <f>IFERROR(__xludf.DUMMYFUNCTION("""COMPUTED_VALUE"""),33569.0)</f>
        <v>33569</v>
      </c>
      <c r="S1208" s="146">
        <f>IFERROR(__xludf.DUMMYFUNCTION("""COMPUTED_VALUE"""),8.18697078E8)</f>
        <v>818697078</v>
      </c>
      <c r="T1208" s="147">
        <f>IFERROR(__xludf.DUMMYFUNCTION("""COMPUTED_VALUE"""),1.10370064802E12)</f>
        <v>1103700648020</v>
      </c>
      <c r="U1208" t="str">
        <f>IFERROR(__xludf.DUMMYFUNCTION("""COMPUTED_VALUE"""),"AC2814753")</f>
        <v>AC2814753</v>
      </c>
      <c r="V1208" s="148">
        <f>IFERROR(__xludf.DUMMYFUNCTION("""COMPUTED_VALUE"""),44512.0)</f>
        <v>44512</v>
      </c>
      <c r="W1208" s="148">
        <f>IFERROR(__xludf.DUMMYFUNCTION("""COMPUTED_VALUE"""),48163.0)</f>
        <v>48163</v>
      </c>
      <c r="X1208" s="149">
        <f>IFERROR(__xludf.DUMMYFUNCTION("""COMPUTED_VALUE"""),47979.0)</f>
        <v>47979</v>
      </c>
      <c r="Y1208" t="str">
        <f>IFERROR(__xludf.DUMMYFUNCTION("""COMPUTED_VALUE"""),"ปลอดภัย")</f>
        <v>ปลอดภัย</v>
      </c>
      <c r="Z1208" t="str">
        <f>IFERROR(__xludf.DUMMYFUNCTION("""COMPUTED_VALUE"""),"Bangkok")</f>
        <v>Bangkok</v>
      </c>
      <c r="AA1208" t="str">
        <f>IFERROR(__xludf.DUMMYFUNCTION("""COMPUTED_VALUE"""),"Pathum Thani Province")</f>
        <v>Pathum Thani Province</v>
      </c>
      <c r="AB1208" s="145" t="str">
        <f>IFERROR(__xludf.DUMMYFUNCTION("""COMPUTED_VALUE"""),"0868931629")</f>
        <v>0868931629</v>
      </c>
      <c r="AC1208" t="str">
        <f>IFERROR(__xludf.DUMMYFUNCTION("""COMPUTED_VALUE"""),"นางอุทุมพร กลั่นบุศย์ Mother")</f>
        <v>นางอุทุมพร กลั่นบุศย์ Mother</v>
      </c>
      <c r="AD1208" t="str">
        <f>IFERROR(__xludf.DUMMYFUNCTION("""COMPUTED_VALUE"""),"warissarakla@airasia.com")</f>
        <v>warissarakla@airasia.com</v>
      </c>
    </row>
    <row r="1209">
      <c r="A1209" s="142">
        <f>IFERROR(__xludf.DUMMYFUNCTION("""COMPUTED_VALUE"""),109.0)</f>
        <v>109</v>
      </c>
      <c r="C1209">
        <f>IFERROR(__xludf.DUMMYFUNCTION("""COMPUTED_VALUE"""),1044221.0)</f>
        <v>1044221</v>
      </c>
      <c r="D1209" t="str">
        <f>IFERROR(__xludf.DUMMYFUNCTION("""COMPUTED_VALUE"""),"Ms.")</f>
        <v>Ms.</v>
      </c>
      <c r="E1209" t="str">
        <f>IFERROR(__xludf.DUMMYFUNCTION("""COMPUTED_VALUE"""),"Natthapond")</f>
        <v>Natthapond</v>
      </c>
      <c r="F1209" t="str">
        <f>IFERROR(__xludf.DUMMYFUNCTION("""COMPUTED_VALUE"""),"Pangpongma")</f>
        <v>Pangpongma</v>
      </c>
      <c r="G1209" t="str">
        <f>IFERROR(__xludf.DUMMYFUNCTION("""COMPUTED_VALUE"""),"Natthapond Pangpongma")</f>
        <v>Natthapond Pangpongma</v>
      </c>
      <c r="H1209" t="str">
        <f>IFERROR(__xludf.DUMMYFUNCTION("""COMPUTED_VALUE"""),"นางสาว")</f>
        <v>นางสาว</v>
      </c>
      <c r="I1209" t="str">
        <f>IFERROR(__xludf.DUMMYFUNCTION("""COMPUTED_VALUE"""),"ณัฐพร")</f>
        <v>ณัฐพร</v>
      </c>
      <c r="J1209" t="str">
        <f>IFERROR(__xludf.DUMMYFUNCTION("""COMPUTED_VALUE"""),"แพงพงษ์มา")</f>
        <v>แพงพงษ์มา</v>
      </c>
      <c r="K1209" t="str">
        <f>IFERROR(__xludf.DUMMYFUNCTION("""COMPUTED_VALUE"""),"ณัฐพร แพงพงษ์มา")</f>
        <v>ณัฐพร แพงพงษ์มา</v>
      </c>
      <c r="L1209" t="str">
        <f>IFERROR(__xludf.DUMMYFUNCTION("""COMPUTED_VALUE"""),"หลี")</f>
        <v>หลี</v>
      </c>
      <c r="M1209" t="str">
        <f>IFERROR(__xludf.DUMMYFUNCTION("""COMPUTED_VALUE"""),"Cabin Crew")</f>
        <v>Cabin Crew</v>
      </c>
      <c r="N1209" t="str">
        <f>IFERROR(__xludf.DUMMYFUNCTION("""COMPUTED_VALUE"""),"DMK")</f>
        <v>DMK</v>
      </c>
      <c r="O1209" s="145" t="str">
        <f>IFERROR(__xludf.DUMMYFUNCTION("""COMPUTED_VALUE"""),"Por+ Home")</f>
        <v>Por+ Home</v>
      </c>
      <c r="P1209" t="str">
        <f>IFERROR(__xludf.DUMMYFUNCTION("""COMPUTED_VALUE"""),"Active")</f>
        <v>Active</v>
      </c>
      <c r="Q1209" t="str">
        <f>IFERROR(__xludf.DUMMYFUNCTION("""COMPUTED_VALUE"""),"Japanese Speaking")</f>
        <v>Japanese Speaking</v>
      </c>
      <c r="R1209" s="156">
        <f>IFERROR(__xludf.DUMMYFUNCTION("""COMPUTED_VALUE"""),33872.0)</f>
        <v>33872</v>
      </c>
      <c r="S1209" s="146">
        <f>IFERROR(__xludf.DUMMYFUNCTION("""COMPUTED_VALUE"""),8.96753026E8)</f>
        <v>896753026</v>
      </c>
      <c r="T1209" s="147">
        <f>IFERROR(__xludf.DUMMYFUNCTION("""COMPUTED_VALUE"""),1.103100146775E12)</f>
        <v>1103100146775</v>
      </c>
      <c r="U1209" t="str">
        <f>IFERROR(__xludf.DUMMYFUNCTION("""COMPUTED_VALUE"""),"AC2399933")</f>
        <v>AC2399933</v>
      </c>
      <c r="V1209" s="148">
        <f>IFERROR(__xludf.DUMMYFUNCTION("""COMPUTED_VALUE"""),45156.0)</f>
        <v>45156</v>
      </c>
      <c r="W1209" s="148">
        <f>IFERROR(__xludf.DUMMYFUNCTION("""COMPUTED_VALUE"""),48808.0)</f>
        <v>48808</v>
      </c>
      <c r="X1209" s="149">
        <f>IFERROR(__xludf.DUMMYFUNCTION("""COMPUTED_VALUE"""),48627.0)</f>
        <v>48627</v>
      </c>
      <c r="Y1209" t="str">
        <f>IFERROR(__xludf.DUMMYFUNCTION("""COMPUTED_VALUE"""),"ปลอดภัย")</f>
        <v>ปลอดภัย</v>
      </c>
      <c r="Z1209" t="str">
        <f>IFERROR(__xludf.DUMMYFUNCTION("""COMPUTED_VALUE"""),"Bangkok")</f>
        <v>Bangkok</v>
      </c>
      <c r="AA1209" t="str">
        <f>IFERROR(__xludf.DUMMYFUNCTION("""COMPUTED_VALUE"""),"Bangkok")</f>
        <v>Bangkok</v>
      </c>
      <c r="AB1209" s="145" t="str">
        <f>IFERROR(__xludf.DUMMYFUNCTION("""COMPUTED_VALUE"""),"0838284675")</f>
        <v>0838284675</v>
      </c>
      <c r="AC1209" t="str">
        <f>IFERROR(__xludf.DUMMYFUNCTION("""COMPUTED_VALUE"""),"นายธีระยุทธ ทองสุทธิ์ Husband")</f>
        <v>นายธีระยุทธ ทองสุทธิ์ Husband</v>
      </c>
      <c r="AD1209" t="str">
        <f>IFERROR(__xludf.DUMMYFUNCTION("""COMPUTED_VALUE"""),"natthapondpan@airasia.com")</f>
        <v>natthapondpan@airasia.com</v>
      </c>
    </row>
    <row r="1210">
      <c r="A1210" s="142">
        <f>IFERROR(__xludf.DUMMYFUNCTION("""COMPUTED_VALUE"""),109.0)</f>
        <v>109</v>
      </c>
      <c r="C1210">
        <f>IFERROR(__xludf.DUMMYFUNCTION("""COMPUTED_VALUE"""),1044222.0)</f>
        <v>1044222</v>
      </c>
      <c r="D1210" t="str">
        <f>IFERROR(__xludf.DUMMYFUNCTION("""COMPUTED_VALUE"""),"Mr.")</f>
        <v>Mr.</v>
      </c>
      <c r="E1210" t="str">
        <f>IFERROR(__xludf.DUMMYFUNCTION("""COMPUTED_VALUE"""),"Pichit")</f>
        <v>Pichit</v>
      </c>
      <c r="F1210" t="str">
        <f>IFERROR(__xludf.DUMMYFUNCTION("""COMPUTED_VALUE"""),"Jinakaew")</f>
        <v>Jinakaew</v>
      </c>
      <c r="G1210" t="str">
        <f>IFERROR(__xludf.DUMMYFUNCTION("""COMPUTED_VALUE"""),"Pichit Jinakaew")</f>
        <v>Pichit Jinakaew</v>
      </c>
      <c r="H1210" t="str">
        <f>IFERROR(__xludf.DUMMYFUNCTION("""COMPUTED_VALUE"""),"นาย")</f>
        <v>นาย</v>
      </c>
      <c r="I1210" t="str">
        <f>IFERROR(__xludf.DUMMYFUNCTION("""COMPUTED_VALUE"""),"พิชิต")</f>
        <v>พิชิต</v>
      </c>
      <c r="J1210" t="str">
        <f>IFERROR(__xludf.DUMMYFUNCTION("""COMPUTED_VALUE"""),"จินาแก้ว")</f>
        <v>จินาแก้ว</v>
      </c>
      <c r="K1210" t="str">
        <f>IFERROR(__xludf.DUMMYFUNCTION("""COMPUTED_VALUE"""),"พิชิต จินาแก้ว")</f>
        <v>พิชิต จินาแก้ว</v>
      </c>
      <c r="L1210" t="str">
        <f>IFERROR(__xludf.DUMMYFUNCTION("""COMPUTED_VALUE"""),"เอ็ม / M")</f>
        <v>เอ็ม / M</v>
      </c>
      <c r="M1210" t="str">
        <f>IFERROR(__xludf.DUMMYFUNCTION("""COMPUTED_VALUE"""),"Cabin Crew")</f>
        <v>Cabin Crew</v>
      </c>
      <c r="N1210" t="str">
        <f>IFERROR(__xludf.DUMMYFUNCTION("""COMPUTED_VALUE"""),"DMK")</f>
        <v>DMK</v>
      </c>
      <c r="O1210" s="145" t="str">
        <f>IFERROR(__xludf.DUMMYFUNCTION("""COMPUTED_VALUE"""),"Por+ Home")</f>
        <v>Por+ Home</v>
      </c>
      <c r="P1210" t="str">
        <f>IFERROR(__xludf.DUMMYFUNCTION("""COMPUTED_VALUE"""),"Active")</f>
        <v>Active</v>
      </c>
      <c r="Q1210" t="str">
        <f>IFERROR(__xludf.DUMMYFUNCTION("""COMPUTED_VALUE"""),"Japanese Speaking")</f>
        <v>Japanese Speaking</v>
      </c>
      <c r="R1210" s="156">
        <f>IFERROR(__xludf.DUMMYFUNCTION("""COMPUTED_VALUE"""),32747.0)</f>
        <v>32747</v>
      </c>
      <c r="S1210" s="146">
        <f>IFERROR(__xludf.DUMMYFUNCTION("""COMPUTED_VALUE"""),9.11438089E8)</f>
        <v>911438089</v>
      </c>
      <c r="T1210" s="147">
        <f>IFERROR(__xludf.DUMMYFUNCTION("""COMPUTED_VALUE"""),1.500900111872E12)</f>
        <v>1500900111872</v>
      </c>
      <c r="U1210" t="str">
        <f>IFERROR(__xludf.DUMMYFUNCTION("""COMPUTED_VALUE"""),"AC2904509")</f>
        <v>AC2904509</v>
      </c>
      <c r="V1210" s="148">
        <f>IFERROR(__xludf.DUMMYFUNCTION("""COMPUTED_VALUE"""),44616.0)</f>
        <v>44616</v>
      </c>
      <c r="W1210" s="148">
        <f>IFERROR(__xludf.DUMMYFUNCTION("""COMPUTED_VALUE"""),48267.0)</f>
        <v>48267</v>
      </c>
      <c r="X1210" s="149">
        <f>IFERROR(__xludf.DUMMYFUNCTION("""COMPUTED_VALUE"""),48083.0)</f>
        <v>48083</v>
      </c>
      <c r="Y1210" t="str">
        <f>IFERROR(__xludf.DUMMYFUNCTION("""COMPUTED_VALUE"""),"ปลอดภัย")</f>
        <v>ปลอดภัย</v>
      </c>
      <c r="Z1210" t="str">
        <f>IFERROR(__xludf.DUMMYFUNCTION("""COMPUTED_VALUE"""),"Chiang Mai Province")</f>
        <v>Chiang Mai Province</v>
      </c>
      <c r="AA1210" t="str">
        <f>IFERROR(__xludf.DUMMYFUNCTION("""COMPUTED_VALUE"""),"Chiang mai")</f>
        <v>Chiang mai</v>
      </c>
      <c r="AB1210" s="145" t="str">
        <f>IFERROR(__xludf.DUMMYFUNCTION("""COMPUTED_VALUE"""),"061-719-3694")</f>
        <v>061-719-3694</v>
      </c>
      <c r="AC1210" t="str">
        <f>IFERROR(__xludf.DUMMYFUNCTION("""COMPUTED_VALUE"""),"นางสาววิจิตตรา จินาแก้ว Sister")</f>
        <v>นางสาววิจิตตรา จินาแก้ว Sister</v>
      </c>
      <c r="AD1210" t="str">
        <f>IFERROR(__xludf.DUMMYFUNCTION("""COMPUTED_VALUE"""),"pichitjin@airasia.com")</f>
        <v>pichitjin@airasia.com</v>
      </c>
    </row>
    <row r="1211">
      <c r="A1211" s="142">
        <f>IFERROR(__xludf.DUMMYFUNCTION("""COMPUTED_VALUE"""),109.0)</f>
        <v>109</v>
      </c>
      <c r="C1211">
        <f>IFERROR(__xludf.DUMMYFUNCTION("""COMPUTED_VALUE"""),1044223.0)</f>
        <v>1044223</v>
      </c>
      <c r="D1211" t="str">
        <f>IFERROR(__xludf.DUMMYFUNCTION("""COMPUTED_VALUE"""),"Ms.")</f>
        <v>Ms.</v>
      </c>
      <c r="E1211" t="str">
        <f>IFERROR(__xludf.DUMMYFUNCTION("""COMPUTED_VALUE"""),"Sujipa")</f>
        <v>Sujipa</v>
      </c>
      <c r="F1211" t="str">
        <f>IFERROR(__xludf.DUMMYFUNCTION("""COMPUTED_VALUE"""),"Prasitchairit")</f>
        <v>Prasitchairit</v>
      </c>
      <c r="G1211" t="str">
        <f>IFERROR(__xludf.DUMMYFUNCTION("""COMPUTED_VALUE"""),"Sujipa Prasitchairit")</f>
        <v>Sujipa Prasitchairit</v>
      </c>
      <c r="H1211" t="str">
        <f>IFERROR(__xludf.DUMMYFUNCTION("""COMPUTED_VALUE"""),"นางสาว")</f>
        <v>นางสาว</v>
      </c>
      <c r="I1211" t="str">
        <f>IFERROR(__xludf.DUMMYFUNCTION("""COMPUTED_VALUE"""),"ศุจิภา")</f>
        <v>ศุจิภา</v>
      </c>
      <c r="J1211" t="str">
        <f>IFERROR(__xludf.DUMMYFUNCTION("""COMPUTED_VALUE"""),"ประสิทธิ์ชัยฤทธิ์")</f>
        <v>ประสิทธิ์ชัยฤทธิ์</v>
      </c>
      <c r="K1211" t="str">
        <f>IFERROR(__xludf.DUMMYFUNCTION("""COMPUTED_VALUE"""),"ศุจิภา ประสิทธิ์ชัยฤทธิ์")</f>
        <v>ศุจิภา ประสิทธิ์ชัยฤทธิ์</v>
      </c>
      <c r="L1211" t="str">
        <f>IFERROR(__xludf.DUMMYFUNCTION("""COMPUTED_VALUE"""),"บริ๊ง")</f>
        <v>บริ๊ง</v>
      </c>
      <c r="M1211" t="str">
        <f>IFERROR(__xludf.DUMMYFUNCTION("""COMPUTED_VALUE"""),"Cabin Crew")</f>
        <v>Cabin Crew</v>
      </c>
      <c r="N1211" t="str">
        <f>IFERROR(__xludf.DUMMYFUNCTION("""COMPUTED_VALUE"""),"DMK")</f>
        <v>DMK</v>
      </c>
      <c r="O1211" s="145" t="str">
        <f>IFERROR(__xludf.DUMMYFUNCTION("""COMPUTED_VALUE"""),"Um Home")</f>
        <v>Um Home</v>
      </c>
      <c r="P1211" t="str">
        <f>IFERROR(__xludf.DUMMYFUNCTION("""COMPUTED_VALUE"""),"Active")</f>
        <v>Active</v>
      </c>
      <c r="Q1211" t="str">
        <f>IFERROR(__xludf.DUMMYFUNCTION("""COMPUTED_VALUE"""),"Japanese Speaking")</f>
        <v>Japanese Speaking</v>
      </c>
      <c r="R1211" s="156">
        <f>IFERROR(__xludf.DUMMYFUNCTION("""COMPUTED_VALUE"""),33704.0)</f>
        <v>33704</v>
      </c>
      <c r="S1211" s="146">
        <f>IFERROR(__xludf.DUMMYFUNCTION("""COMPUTED_VALUE"""),9.51654127E8)</f>
        <v>951654127</v>
      </c>
      <c r="T1211" s="147">
        <f>IFERROR(__xludf.DUMMYFUNCTION("""COMPUTED_VALUE"""),1.102001710167E12)</f>
        <v>1102001710167</v>
      </c>
      <c r="U1211" t="str">
        <f>IFERROR(__xludf.DUMMYFUNCTION("""COMPUTED_VALUE"""),"AD0340802")</f>
        <v>AD0340802</v>
      </c>
      <c r="V1211" s="148">
        <f>IFERROR(__xludf.DUMMYFUNCTION("""COMPUTED_VALUE"""),44869.0)</f>
        <v>44869</v>
      </c>
      <c r="W1211" s="148">
        <f>IFERROR(__xludf.DUMMYFUNCTION("""COMPUTED_VALUE"""),48521.0)</f>
        <v>48521</v>
      </c>
      <c r="X1211" s="149">
        <f>IFERROR(__xludf.DUMMYFUNCTION("""COMPUTED_VALUE"""),48337.0)</f>
        <v>48337</v>
      </c>
      <c r="Y1211" t="str">
        <f>IFERROR(__xludf.DUMMYFUNCTION("""COMPUTED_VALUE"""),"ปลอดภัย")</f>
        <v>ปลอดภัย</v>
      </c>
      <c r="Z1211" t="str">
        <f>IFERROR(__xludf.DUMMYFUNCTION("""COMPUTED_VALUE"""),"Bangkok")</f>
        <v>Bangkok</v>
      </c>
      <c r="AA1211" t="str">
        <f>IFERROR(__xludf.DUMMYFUNCTION("""COMPUTED_VALUE"""),"ayutthaya")</f>
        <v>ayutthaya</v>
      </c>
      <c r="AB1211" s="145" t="str">
        <f>IFERROR(__xludf.DUMMYFUNCTION("""COMPUTED_VALUE"""),"081-4002415")</f>
        <v>081-4002415</v>
      </c>
      <c r="AC1211" t="str">
        <f>IFERROR(__xludf.DUMMYFUNCTION("""COMPUTED_VALUE"""),"นางศิริพรรณ ประสิทธิ์ชัยฤทธิ์ Mother")</f>
        <v>นางศิริพรรณ ประสิทธิ์ชัยฤทธิ์ Mother</v>
      </c>
      <c r="AD1211" t="str">
        <f>IFERROR(__xludf.DUMMYFUNCTION("""COMPUTED_VALUE"""),"sujipapra@airasia.com")</f>
        <v>sujipapra@airasia.com</v>
      </c>
    </row>
    <row r="1212">
      <c r="A1212" s="142">
        <f>IFERROR(__xludf.DUMMYFUNCTION("""COMPUTED_VALUE"""),109.0)</f>
        <v>109</v>
      </c>
      <c r="C1212">
        <f>IFERROR(__xludf.DUMMYFUNCTION("""COMPUTED_VALUE"""),1044224.0)</f>
        <v>1044224</v>
      </c>
      <c r="D1212" t="str">
        <f>IFERROR(__xludf.DUMMYFUNCTION("""COMPUTED_VALUE"""),"Ms.")</f>
        <v>Ms.</v>
      </c>
      <c r="E1212" t="str">
        <f>IFERROR(__xludf.DUMMYFUNCTION("""COMPUTED_VALUE"""),"Praew")</f>
        <v>Praew</v>
      </c>
      <c r="F1212" t="str">
        <f>IFERROR(__xludf.DUMMYFUNCTION("""COMPUTED_VALUE"""),"Tubtimtong")</f>
        <v>Tubtimtong</v>
      </c>
      <c r="G1212" t="str">
        <f>IFERROR(__xludf.DUMMYFUNCTION("""COMPUTED_VALUE"""),"Praew Tubtimtong")</f>
        <v>Praew Tubtimtong</v>
      </c>
      <c r="H1212" t="str">
        <f>IFERROR(__xludf.DUMMYFUNCTION("""COMPUTED_VALUE"""),"นางสาว")</f>
        <v>นางสาว</v>
      </c>
      <c r="I1212" t="str">
        <f>IFERROR(__xludf.DUMMYFUNCTION("""COMPUTED_VALUE"""),"แพรว")</f>
        <v>แพรว</v>
      </c>
      <c r="J1212" t="str">
        <f>IFERROR(__xludf.DUMMYFUNCTION("""COMPUTED_VALUE"""),"ทับทิมทอง")</f>
        <v>ทับทิมทอง</v>
      </c>
      <c r="K1212" t="str">
        <f>IFERROR(__xludf.DUMMYFUNCTION("""COMPUTED_VALUE"""),"แพรว ทับทิมทอง")</f>
        <v>แพรว ทับทิมทอง</v>
      </c>
      <c r="L1212" t="str">
        <f>IFERROR(__xludf.DUMMYFUNCTION("""COMPUTED_VALUE"""),"Praew / แพรว")</f>
        <v>Praew / แพรว</v>
      </c>
      <c r="M1212" t="str">
        <f>IFERROR(__xludf.DUMMYFUNCTION("""COMPUTED_VALUE"""),"Cabin Crew")</f>
        <v>Cabin Crew</v>
      </c>
      <c r="N1212" t="str">
        <f>IFERROR(__xludf.DUMMYFUNCTION("""COMPUTED_VALUE"""),"DMK")</f>
        <v>DMK</v>
      </c>
      <c r="O1212" s="145" t="str">
        <f>IFERROR(__xludf.DUMMYFUNCTION("""COMPUTED_VALUE"""),"Kor Home")</f>
        <v>Kor Home</v>
      </c>
      <c r="P1212" t="str">
        <f>IFERROR(__xludf.DUMMYFUNCTION("""COMPUTED_VALUE"""),"Active")</f>
        <v>Active</v>
      </c>
      <c r="Q1212" t="str">
        <f>IFERROR(__xludf.DUMMYFUNCTION("""COMPUTED_VALUE"""),"Japanese Speaking")</f>
        <v>Japanese Speaking</v>
      </c>
      <c r="R1212" s="156">
        <f>IFERROR(__xludf.DUMMYFUNCTION("""COMPUTED_VALUE"""),36079.0)</f>
        <v>36079</v>
      </c>
      <c r="S1212" s="146">
        <f>IFERROR(__xludf.DUMMYFUNCTION("""COMPUTED_VALUE"""),9.17606711E8)</f>
        <v>917606711</v>
      </c>
      <c r="T1212" s="147">
        <f>IFERROR(__xludf.DUMMYFUNCTION("""COMPUTED_VALUE"""),1.769900521473E12)</f>
        <v>1769900521473</v>
      </c>
      <c r="U1212" t="str">
        <f>IFERROR(__xludf.DUMMYFUNCTION("""COMPUTED_VALUE"""),"AC5510320")</f>
        <v>AC5510320</v>
      </c>
      <c r="V1212" s="148">
        <f>IFERROR(__xludf.DUMMYFUNCTION("""COMPUTED_VALUE"""),45156.0)</f>
        <v>45156</v>
      </c>
      <c r="W1212" s="148">
        <f>IFERROR(__xludf.DUMMYFUNCTION("""COMPUTED_VALUE"""),48808.0)</f>
        <v>48808</v>
      </c>
      <c r="X1212" s="149">
        <f>IFERROR(__xludf.DUMMYFUNCTION("""COMPUTED_VALUE"""),48627.0)</f>
        <v>48627</v>
      </c>
      <c r="Y1212" t="str">
        <f>IFERROR(__xludf.DUMMYFUNCTION("""COMPUTED_VALUE"""),"ปลอดภัย")</f>
        <v>ปลอดภัย</v>
      </c>
      <c r="Z1212" t="str">
        <f>IFERROR(__xludf.DUMMYFUNCTION("""COMPUTED_VALUE"""),"Phetchaburi Province")</f>
        <v>Phetchaburi Province</v>
      </c>
      <c r="AA1212" t="str">
        <f>IFERROR(__xludf.DUMMYFUNCTION("""COMPUTED_VALUE"""),"Phetchaburi")</f>
        <v>Phetchaburi</v>
      </c>
      <c r="AB1212" s="145" t="str">
        <f>IFERROR(__xludf.DUMMYFUNCTION("""COMPUTED_VALUE"""),"080-901-4858")</f>
        <v>080-901-4858</v>
      </c>
      <c r="AC1212" t="str">
        <f>IFERROR(__xludf.DUMMYFUNCTION("""COMPUTED_VALUE"""),"นางรัศมี ทับทิมทอง Mother")</f>
        <v>นางรัศมี ทับทิมทอง Mother</v>
      </c>
      <c r="AD1212" t="str">
        <f>IFERROR(__xludf.DUMMYFUNCTION("""COMPUTED_VALUE"""),"praewtub@airasia.com")</f>
        <v>praewtub@airasia.com</v>
      </c>
    </row>
    <row r="1213">
      <c r="A1213" s="142">
        <f>IFERROR(__xludf.DUMMYFUNCTION("""COMPUTED_VALUE"""),109.0)</f>
        <v>109</v>
      </c>
      <c r="C1213">
        <f>IFERROR(__xludf.DUMMYFUNCTION("""COMPUTED_VALUE"""),1044226.0)</f>
        <v>1044226</v>
      </c>
      <c r="D1213" t="str">
        <f>IFERROR(__xludf.DUMMYFUNCTION("""COMPUTED_VALUE"""),"Ms.")</f>
        <v>Ms.</v>
      </c>
      <c r="E1213" t="str">
        <f>IFERROR(__xludf.DUMMYFUNCTION("""COMPUTED_VALUE"""),"Nongnapasorn")</f>
        <v>Nongnapasorn</v>
      </c>
      <c r="F1213" t="str">
        <f>IFERROR(__xludf.DUMMYFUNCTION("""COMPUTED_VALUE"""),"O-chawat")</f>
        <v>O-chawat</v>
      </c>
      <c r="G1213" t="str">
        <f>IFERROR(__xludf.DUMMYFUNCTION("""COMPUTED_VALUE"""),"Nongnapasorn O-chawat")</f>
        <v>Nongnapasorn O-chawat</v>
      </c>
      <c r="H1213" t="str">
        <f>IFERROR(__xludf.DUMMYFUNCTION("""COMPUTED_VALUE"""),"นางสาว")</f>
        <v>นางสาว</v>
      </c>
      <c r="I1213" t="str">
        <f>IFERROR(__xludf.DUMMYFUNCTION("""COMPUTED_VALUE"""),"นงนภสร")</f>
        <v>นงนภสร</v>
      </c>
      <c r="J1213" t="str">
        <f>IFERROR(__xludf.DUMMYFUNCTION("""COMPUTED_VALUE"""),"โอชาวัฒน์")</f>
        <v>โอชาวัฒน์</v>
      </c>
      <c r="K1213" t="str">
        <f>IFERROR(__xludf.DUMMYFUNCTION("""COMPUTED_VALUE"""),"นงนภสร โอชาวัฒน์")</f>
        <v>นงนภสร โอชาวัฒน์</v>
      </c>
      <c r="L1213" t="str">
        <f>IFERROR(__xludf.DUMMYFUNCTION("""COMPUTED_VALUE"""),"น้าม")</f>
        <v>น้าม</v>
      </c>
      <c r="M1213" t="str">
        <f>IFERROR(__xludf.DUMMYFUNCTION("""COMPUTED_VALUE"""),"Cabin Crew")</f>
        <v>Cabin Crew</v>
      </c>
      <c r="N1213" t="str">
        <f>IFERROR(__xludf.DUMMYFUNCTION("""COMPUTED_VALUE"""),"DMK")</f>
        <v>DMK</v>
      </c>
      <c r="O1213" s="145" t="str">
        <f>IFERROR(__xludf.DUMMYFUNCTION("""COMPUTED_VALUE"""),"Toffy Home")</f>
        <v>Toffy Home</v>
      </c>
      <c r="P1213" t="str">
        <f>IFERROR(__xludf.DUMMYFUNCTION("""COMPUTED_VALUE"""),"Active")</f>
        <v>Active</v>
      </c>
      <c r="Q1213" t="str">
        <f>IFERROR(__xludf.DUMMYFUNCTION("""COMPUTED_VALUE"""),"Japanese Speaking")</f>
        <v>Japanese Speaking</v>
      </c>
      <c r="R1213" s="156">
        <f>IFERROR(__xludf.DUMMYFUNCTION("""COMPUTED_VALUE"""),34736.0)</f>
        <v>34736</v>
      </c>
      <c r="S1213" s="146">
        <f>IFERROR(__xludf.DUMMYFUNCTION("""COMPUTED_VALUE"""),9.54568877E8)</f>
        <v>954568877</v>
      </c>
      <c r="T1213" s="147">
        <f>IFERROR(__xludf.DUMMYFUNCTION("""COMPUTED_VALUE"""),1.101800717137E12)</f>
        <v>1101800717137</v>
      </c>
      <c r="U1213" t="str">
        <f>IFERROR(__xludf.DUMMYFUNCTION("""COMPUTED_VALUE"""),"AD0425671")</f>
        <v>AD0425671</v>
      </c>
      <c r="V1213" s="148">
        <f>IFERROR(__xludf.DUMMYFUNCTION("""COMPUTED_VALUE"""),44897.0)</f>
        <v>44897</v>
      </c>
      <c r="W1213" s="148">
        <f>IFERROR(__xludf.DUMMYFUNCTION("""COMPUTED_VALUE"""),48549.0)</f>
        <v>48549</v>
      </c>
      <c r="X1213" s="149">
        <f>IFERROR(__xludf.DUMMYFUNCTION("""COMPUTED_VALUE"""),48366.0)</f>
        <v>48366</v>
      </c>
      <c r="Y1213" t="str">
        <f>IFERROR(__xludf.DUMMYFUNCTION("""COMPUTED_VALUE"""),"ปลอดภัย")</f>
        <v>ปลอดภัย</v>
      </c>
      <c r="Z1213" t="str">
        <f>IFERROR(__xludf.DUMMYFUNCTION("""COMPUTED_VALUE"""),"Bangkok")</f>
        <v>Bangkok</v>
      </c>
      <c r="AA1213" t="str">
        <f>IFERROR(__xludf.DUMMYFUNCTION("""COMPUTED_VALUE"""),"Chiang mai")</f>
        <v>Chiang mai</v>
      </c>
      <c r="AB1213" s="145" t="str">
        <f>IFERROR(__xludf.DUMMYFUNCTION("""COMPUTED_VALUE"""),"0639578444")</f>
        <v>0639578444</v>
      </c>
      <c r="AC1213" t="str">
        <f>IFERROR(__xludf.DUMMYFUNCTION("""COMPUTED_VALUE"""),"กนกวรรณ โอชาวัฒน์ Mother")</f>
        <v>กนกวรรณ โอชาวัฒน์ Mother</v>
      </c>
      <c r="AD1213" t="str">
        <f>IFERROR(__xludf.DUMMYFUNCTION("""COMPUTED_VALUE"""),"nongnapasornoch@airasia.com")</f>
        <v>nongnapasornoch@airasia.com</v>
      </c>
    </row>
    <row r="1214">
      <c r="A1214" s="142">
        <f>IFERROR(__xludf.DUMMYFUNCTION("""COMPUTED_VALUE"""),109.0)</f>
        <v>109</v>
      </c>
      <c r="C1214">
        <f>IFERROR(__xludf.DUMMYFUNCTION("""COMPUTED_VALUE"""),1044227.0)</f>
        <v>1044227</v>
      </c>
      <c r="D1214" t="str">
        <f>IFERROR(__xludf.DUMMYFUNCTION("""COMPUTED_VALUE"""),"Ms.")</f>
        <v>Ms.</v>
      </c>
      <c r="E1214" t="str">
        <f>IFERROR(__xludf.DUMMYFUNCTION("""COMPUTED_VALUE"""),"Kasama")</f>
        <v>Kasama</v>
      </c>
      <c r="F1214" t="str">
        <f>IFERROR(__xludf.DUMMYFUNCTION("""COMPUTED_VALUE"""),"Guaynil")</f>
        <v>Guaynil</v>
      </c>
      <c r="G1214" t="str">
        <f>IFERROR(__xludf.DUMMYFUNCTION("""COMPUTED_VALUE"""),"Kasama Guaynil")</f>
        <v>Kasama Guaynil</v>
      </c>
      <c r="H1214" t="str">
        <f>IFERROR(__xludf.DUMMYFUNCTION("""COMPUTED_VALUE"""),"นางสาว")</f>
        <v>นางสาว</v>
      </c>
      <c r="I1214" t="str">
        <f>IFERROR(__xludf.DUMMYFUNCTION("""COMPUTED_VALUE"""),"กษมา")</f>
        <v>กษมา</v>
      </c>
      <c r="J1214" t="str">
        <f>IFERROR(__xludf.DUMMYFUNCTION("""COMPUTED_VALUE"""),"กวยนิล")</f>
        <v>กวยนิล</v>
      </c>
      <c r="K1214" t="str">
        <f>IFERROR(__xludf.DUMMYFUNCTION("""COMPUTED_VALUE"""),"กษมา กวยนิล")</f>
        <v>กษมา กวยนิล</v>
      </c>
      <c r="L1214" t="str">
        <f>IFERROR(__xludf.DUMMYFUNCTION("""COMPUTED_VALUE"""),"Bam / แบม")</f>
        <v>Bam / แบม</v>
      </c>
      <c r="M1214" t="str">
        <f>IFERROR(__xludf.DUMMYFUNCTION("""COMPUTED_VALUE"""),"Cabin Crew")</f>
        <v>Cabin Crew</v>
      </c>
      <c r="N1214" t="str">
        <f>IFERROR(__xludf.DUMMYFUNCTION("""COMPUTED_VALUE"""),"DMK")</f>
        <v>DMK</v>
      </c>
      <c r="O1214" s="145" t="str">
        <f>IFERROR(__xludf.DUMMYFUNCTION("""COMPUTED_VALUE"""),"Up Home")</f>
        <v>Up Home</v>
      </c>
      <c r="P1214" t="str">
        <f>IFERROR(__xludf.DUMMYFUNCTION("""COMPUTED_VALUE"""),"Active")</f>
        <v>Active</v>
      </c>
      <c r="Q1214" t="str">
        <f>IFERROR(__xludf.DUMMYFUNCTION("""COMPUTED_VALUE"""),"Japanese Speaking")</f>
        <v>Japanese Speaking</v>
      </c>
      <c r="R1214" s="156">
        <f>IFERROR(__xludf.DUMMYFUNCTION("""COMPUTED_VALUE"""),35663.0)</f>
        <v>35663</v>
      </c>
      <c r="S1214" s="146">
        <f>IFERROR(__xludf.DUMMYFUNCTION("""COMPUTED_VALUE"""),8.3445554E8)</f>
        <v>834455540</v>
      </c>
      <c r="T1214" s="147">
        <f>IFERROR(__xludf.DUMMYFUNCTION("""COMPUTED_VALUE"""),1.139600023244E12)</f>
        <v>1139600023244</v>
      </c>
      <c r="U1214" t="str">
        <f>IFERROR(__xludf.DUMMYFUNCTION("""COMPUTED_VALUE"""),"AC4468894")</f>
        <v>AC4468894</v>
      </c>
      <c r="V1214" s="148">
        <f>IFERROR(__xludf.DUMMYFUNCTION("""COMPUTED_VALUE"""),44965.0)</f>
        <v>44965</v>
      </c>
      <c r="W1214" s="148">
        <f>IFERROR(__xludf.DUMMYFUNCTION("""COMPUTED_VALUE"""),48617.0)</f>
        <v>48617</v>
      </c>
      <c r="X1214" s="149">
        <f>IFERROR(__xludf.DUMMYFUNCTION("""COMPUTED_VALUE"""),48433.0)</f>
        <v>48433</v>
      </c>
      <c r="Y1214" t="str">
        <f>IFERROR(__xludf.DUMMYFUNCTION("""COMPUTED_VALUE"""),"ปลอดภัย")</f>
        <v>ปลอดภัย</v>
      </c>
      <c r="Z1214" t="str">
        <f>IFERROR(__xludf.DUMMYFUNCTION("""COMPUTED_VALUE"""),"Pathum Thani Province")</f>
        <v>Pathum Thani Province</v>
      </c>
      <c r="AA1214" t="str">
        <f>IFERROR(__xludf.DUMMYFUNCTION("""COMPUTED_VALUE"""),"Pathum Thani Province")</f>
        <v>Pathum Thani Province</v>
      </c>
      <c r="AB1214" s="145" t="str">
        <f>IFERROR(__xludf.DUMMYFUNCTION("""COMPUTED_VALUE"""),"090-975-5035")</f>
        <v>090-975-5035</v>
      </c>
      <c r="AC1214" t="str">
        <f>IFERROR(__xludf.DUMMYFUNCTION("""COMPUTED_VALUE"""),"นายณัชพล กวยนิล Brother")</f>
        <v>นายณัชพล กวยนิล Brother</v>
      </c>
      <c r="AD1214" t="str">
        <f>IFERROR(__xludf.DUMMYFUNCTION("""COMPUTED_VALUE"""),"kasamagua@airasia.com")</f>
        <v>kasamagua@airasia.com</v>
      </c>
    </row>
    <row r="1215">
      <c r="A1215" s="142">
        <f>IFERROR(__xludf.DUMMYFUNCTION("""COMPUTED_VALUE"""),109.0)</f>
        <v>109</v>
      </c>
      <c r="C1215">
        <f>IFERROR(__xludf.DUMMYFUNCTION("""COMPUTED_VALUE"""),1044229.0)</f>
        <v>1044229</v>
      </c>
      <c r="D1215" t="str">
        <f>IFERROR(__xludf.DUMMYFUNCTION("""COMPUTED_VALUE"""),"Ms.")</f>
        <v>Ms.</v>
      </c>
      <c r="E1215" t="str">
        <f>IFERROR(__xludf.DUMMYFUNCTION("""COMPUTED_VALUE"""),"Napaporn")</f>
        <v>Napaporn</v>
      </c>
      <c r="F1215" t="str">
        <f>IFERROR(__xludf.DUMMYFUNCTION("""COMPUTED_VALUE"""),"Pansamdaeng")</f>
        <v>Pansamdaeng</v>
      </c>
      <c r="G1215" t="str">
        <f>IFERROR(__xludf.DUMMYFUNCTION("""COMPUTED_VALUE"""),"Napaporn Pansamdaeng")</f>
        <v>Napaporn Pansamdaeng</v>
      </c>
      <c r="H1215" t="str">
        <f>IFERROR(__xludf.DUMMYFUNCTION("""COMPUTED_VALUE"""),"นางสาว")</f>
        <v>นางสาว</v>
      </c>
      <c r="I1215" t="str">
        <f>IFERROR(__xludf.DUMMYFUNCTION("""COMPUTED_VALUE"""),"นภาพร")</f>
        <v>นภาพร</v>
      </c>
      <c r="J1215" t="str">
        <f>IFERROR(__xludf.DUMMYFUNCTION("""COMPUTED_VALUE"""),"ผ่านสำแดง")</f>
        <v>ผ่านสำแดง</v>
      </c>
      <c r="K1215" t="str">
        <f>IFERROR(__xludf.DUMMYFUNCTION("""COMPUTED_VALUE"""),"นภาพร ผ่านสำแดง")</f>
        <v>นภาพร ผ่านสำแดง</v>
      </c>
      <c r="L1215" t="str">
        <f>IFERROR(__xludf.DUMMYFUNCTION("""COMPUTED_VALUE"""),"Um / อุ๋ม")</f>
        <v>Um / อุ๋ม</v>
      </c>
      <c r="M1215" t="str">
        <f>IFERROR(__xludf.DUMMYFUNCTION("""COMPUTED_VALUE"""),"Cabin Crew")</f>
        <v>Cabin Crew</v>
      </c>
      <c r="N1215" t="str">
        <f>IFERROR(__xludf.DUMMYFUNCTION("""COMPUTED_VALUE"""),"DMK")</f>
        <v>DMK</v>
      </c>
      <c r="O1215" s="145" t="str">
        <f>IFERROR(__xludf.DUMMYFUNCTION("""COMPUTED_VALUE"""),"Um Home")</f>
        <v>Um Home</v>
      </c>
      <c r="P1215" t="str">
        <f>IFERROR(__xludf.DUMMYFUNCTION("""COMPUTED_VALUE"""),"Active")</f>
        <v>Active</v>
      </c>
      <c r="Q1215" t="str">
        <f>IFERROR(__xludf.DUMMYFUNCTION("""COMPUTED_VALUE"""),"Japanese Speaking")</f>
        <v>Japanese Speaking</v>
      </c>
      <c r="R1215" s="156">
        <f>IFERROR(__xludf.DUMMYFUNCTION("""COMPUTED_VALUE"""),33650.0)</f>
        <v>33650</v>
      </c>
      <c r="S1215" s="146">
        <f>IFERROR(__xludf.DUMMYFUNCTION("""COMPUTED_VALUE"""),8.06135019E8)</f>
        <v>806135019</v>
      </c>
      <c r="T1215" s="147">
        <f>IFERROR(__xludf.DUMMYFUNCTION("""COMPUTED_VALUE"""),1.469900193037E12)</f>
        <v>1469900193037</v>
      </c>
      <c r="U1215" t="str">
        <f>IFERROR(__xludf.DUMMYFUNCTION("""COMPUTED_VALUE"""),"AC7070112")</f>
        <v>AC7070112</v>
      </c>
      <c r="V1215" s="148">
        <f>IFERROR(__xludf.DUMMYFUNCTION("""COMPUTED_VALUE"""),44687.0)</f>
        <v>44687</v>
      </c>
      <c r="W1215" s="148">
        <f>IFERROR(__xludf.DUMMYFUNCTION("""COMPUTED_VALUE"""),48339.0)</f>
        <v>48339</v>
      </c>
      <c r="X1215" s="149">
        <f>IFERROR(__xludf.DUMMYFUNCTION("""COMPUTED_VALUE"""),48157.0)</f>
        <v>48157</v>
      </c>
      <c r="Y1215" t="str">
        <f>IFERROR(__xludf.DUMMYFUNCTION("""COMPUTED_VALUE"""),"ปลอดภัย")</f>
        <v>ปลอดภัย</v>
      </c>
      <c r="Z1215" t="str">
        <f>IFERROR(__xludf.DUMMYFUNCTION("""COMPUTED_VALUE"""),"Kalasin Province")</f>
        <v>Kalasin Province</v>
      </c>
      <c r="AA1215" t="str">
        <f>IFERROR(__xludf.DUMMYFUNCTION("""COMPUTED_VALUE"""),"Bangkok")</f>
        <v>Bangkok</v>
      </c>
      <c r="AB1215" s="145" t="str">
        <f>IFERROR(__xludf.DUMMYFUNCTION("""COMPUTED_VALUE"""),"091-753-1188")</f>
        <v>091-753-1188</v>
      </c>
      <c r="AC1215" t="str">
        <f>IFERROR(__xludf.DUMMYFUNCTION("""COMPUTED_VALUE"""),"นางสาคร ผ่านสำแดง Mother")</f>
        <v>นางสาคร ผ่านสำแดง Mother</v>
      </c>
      <c r="AD1215" t="str">
        <f>IFERROR(__xludf.DUMMYFUNCTION("""COMPUTED_VALUE"""),"napapornpan@airasia.com")</f>
        <v>napapornpan@airasia.com</v>
      </c>
    </row>
    <row r="1216">
      <c r="A1216" s="142">
        <f>IFERROR(__xludf.DUMMYFUNCTION("""COMPUTED_VALUE"""),109.0)</f>
        <v>109</v>
      </c>
      <c r="C1216">
        <f>IFERROR(__xludf.DUMMYFUNCTION("""COMPUTED_VALUE"""),1044230.0)</f>
        <v>1044230</v>
      </c>
      <c r="D1216" t="str">
        <f>IFERROR(__xludf.DUMMYFUNCTION("""COMPUTED_VALUE"""),"Ms.")</f>
        <v>Ms.</v>
      </c>
      <c r="E1216" t="str">
        <f>IFERROR(__xludf.DUMMYFUNCTION("""COMPUTED_VALUE"""),"Sujinut")</f>
        <v>Sujinut</v>
      </c>
      <c r="F1216" t="str">
        <f>IFERROR(__xludf.DUMMYFUNCTION("""COMPUTED_VALUE"""),"Ruangmalai")</f>
        <v>Ruangmalai</v>
      </c>
      <c r="G1216" t="str">
        <f>IFERROR(__xludf.DUMMYFUNCTION("""COMPUTED_VALUE"""),"Sujinut Ruangmalai")</f>
        <v>Sujinut Ruangmalai</v>
      </c>
      <c r="H1216" t="str">
        <f>IFERROR(__xludf.DUMMYFUNCTION("""COMPUTED_VALUE"""),"นางสาว")</f>
        <v>นางสาว</v>
      </c>
      <c r="I1216" t="str">
        <f>IFERROR(__xludf.DUMMYFUNCTION("""COMPUTED_VALUE"""),"ศุจิณัฐ")</f>
        <v>ศุจิณัฐ</v>
      </c>
      <c r="J1216" t="str">
        <f>IFERROR(__xludf.DUMMYFUNCTION("""COMPUTED_VALUE"""),"เรืองมาลัย")</f>
        <v>เรืองมาลัย</v>
      </c>
      <c r="K1216" t="str">
        <f>IFERROR(__xludf.DUMMYFUNCTION("""COMPUTED_VALUE"""),"ศุจิณัฐ เรืองมาลัย")</f>
        <v>ศุจิณัฐ เรืองมาลัย</v>
      </c>
      <c r="L1216" t="str">
        <f>IFERROR(__xludf.DUMMYFUNCTION("""COMPUTED_VALUE"""),"opal/โอปอล์")</f>
        <v>opal/โอปอล์</v>
      </c>
      <c r="M1216" t="str">
        <f>IFERROR(__xludf.DUMMYFUNCTION("""COMPUTED_VALUE"""),"Cabin Crew")</f>
        <v>Cabin Crew</v>
      </c>
      <c r="N1216" t="str">
        <f>IFERROR(__xludf.DUMMYFUNCTION("""COMPUTED_VALUE"""),"DMK")</f>
        <v>DMK</v>
      </c>
      <c r="O1216" s="145" t="str">
        <f>IFERROR(__xludf.DUMMYFUNCTION("""COMPUTED_VALUE"""),"Toffy Home")</f>
        <v>Toffy Home</v>
      </c>
      <c r="P1216" t="str">
        <f>IFERROR(__xludf.DUMMYFUNCTION("""COMPUTED_VALUE"""),"Active")</f>
        <v>Active</v>
      </c>
      <c r="Q1216" t="str">
        <f>IFERROR(__xludf.DUMMYFUNCTION("""COMPUTED_VALUE"""),"Japanese Speaking")</f>
        <v>Japanese Speaking</v>
      </c>
      <c r="R1216" s="156">
        <f>IFERROR(__xludf.DUMMYFUNCTION("""COMPUTED_VALUE"""),34261.0)</f>
        <v>34261</v>
      </c>
      <c r="S1216" s="146">
        <f>IFERROR(__xludf.DUMMYFUNCTION("""COMPUTED_VALUE"""),6.31922578E8)</f>
        <v>631922578</v>
      </c>
      <c r="T1216" s="147">
        <f>IFERROR(__xludf.DUMMYFUNCTION("""COMPUTED_VALUE"""),1.101402001221E12)</f>
        <v>1101402001221</v>
      </c>
      <c r="U1216" t="str">
        <f>IFERROR(__xludf.DUMMYFUNCTION("""COMPUTED_VALUE"""),"AD0407023")</f>
        <v>AD0407023</v>
      </c>
      <c r="V1216" s="148">
        <f>IFERROR(__xludf.DUMMYFUNCTION("""COMPUTED_VALUE"""),44893.0)</f>
        <v>44893</v>
      </c>
      <c r="W1216" s="148">
        <f>IFERROR(__xludf.DUMMYFUNCTION("""COMPUTED_VALUE"""),48545.0)</f>
        <v>48545</v>
      </c>
      <c r="X1216" s="149">
        <f>IFERROR(__xludf.DUMMYFUNCTION("""COMPUTED_VALUE"""),48361.0)</f>
        <v>48361</v>
      </c>
      <c r="Y1216" t="str">
        <f>IFERROR(__xludf.DUMMYFUNCTION("""COMPUTED_VALUE"""),"ปลอดภัย")</f>
        <v>ปลอดภัย</v>
      </c>
      <c r="Z1216" t="str">
        <f>IFERROR(__xludf.DUMMYFUNCTION("""COMPUTED_VALUE"""),"Bangkok")</f>
        <v>Bangkok</v>
      </c>
      <c r="AA1216" t="str">
        <f>IFERROR(__xludf.DUMMYFUNCTION("""COMPUTED_VALUE"""),"Bangkok")</f>
        <v>Bangkok</v>
      </c>
      <c r="AB1216" s="145" t="str">
        <f>IFERROR(__xludf.DUMMYFUNCTION("""COMPUTED_VALUE"""),"0865711557")</f>
        <v>0865711557</v>
      </c>
      <c r="AC1216" t="str">
        <f>IFERROR(__xludf.DUMMYFUNCTION("""COMPUTED_VALUE"""),"นาง รุจี เรืองมาลัย Mother")</f>
        <v>นาง รุจี เรืองมาลัย Mother</v>
      </c>
      <c r="AD1216" t="str">
        <f>IFERROR(__xludf.DUMMYFUNCTION("""COMPUTED_VALUE"""),"sujinutrua@airasia.com")</f>
        <v>sujinutrua@airasia.com</v>
      </c>
    </row>
    <row r="1217">
      <c r="A1217" s="142">
        <f>IFERROR(__xludf.DUMMYFUNCTION("""COMPUTED_VALUE"""),109.0)</f>
        <v>109</v>
      </c>
      <c r="C1217">
        <f>IFERROR(__xludf.DUMMYFUNCTION("""COMPUTED_VALUE"""),1044231.0)</f>
        <v>1044231</v>
      </c>
      <c r="D1217" t="str">
        <f>IFERROR(__xludf.DUMMYFUNCTION("""COMPUTED_VALUE"""),"Ms.")</f>
        <v>Ms.</v>
      </c>
      <c r="E1217" t="str">
        <f>IFERROR(__xludf.DUMMYFUNCTION("""COMPUTED_VALUE"""),"Panitnant")</f>
        <v>Panitnant</v>
      </c>
      <c r="F1217" t="str">
        <f>IFERROR(__xludf.DUMMYFUNCTION("""COMPUTED_VALUE"""),"Suparadon")</f>
        <v>Suparadon</v>
      </c>
      <c r="G1217" t="str">
        <f>IFERROR(__xludf.DUMMYFUNCTION("""COMPUTED_VALUE"""),"Panitnant Suparadon")</f>
        <v>Panitnant Suparadon</v>
      </c>
      <c r="H1217" t="str">
        <f>IFERROR(__xludf.DUMMYFUNCTION("""COMPUTED_VALUE"""),"นางสาว")</f>
        <v>นางสาว</v>
      </c>
      <c r="I1217" t="str">
        <f>IFERROR(__xludf.DUMMYFUNCTION("""COMPUTED_VALUE"""),"พนิตนันท์")</f>
        <v>พนิตนันท์</v>
      </c>
      <c r="J1217" t="str">
        <f>IFERROR(__xludf.DUMMYFUNCTION("""COMPUTED_VALUE"""),"ศุภรดร")</f>
        <v>ศุภรดร</v>
      </c>
      <c r="K1217" t="str">
        <f>IFERROR(__xludf.DUMMYFUNCTION("""COMPUTED_VALUE"""),"พนิตนันท์ ศุภรดร")</f>
        <v>พนิตนันท์ ศุภรดร</v>
      </c>
      <c r="L1217" t="str">
        <f>IFERROR(__xludf.DUMMYFUNCTION("""COMPUTED_VALUE"""),"ก้ามปู")</f>
        <v>ก้ามปู</v>
      </c>
      <c r="M1217" t="str">
        <f>IFERROR(__xludf.DUMMYFUNCTION("""COMPUTED_VALUE"""),"Cabin Crew")</f>
        <v>Cabin Crew</v>
      </c>
      <c r="N1217" t="str">
        <f>IFERROR(__xludf.DUMMYFUNCTION("""COMPUTED_VALUE"""),"DMK")</f>
        <v>DMK</v>
      </c>
      <c r="O1217" s="145" t="str">
        <f>IFERROR(__xludf.DUMMYFUNCTION("""COMPUTED_VALUE"""),"Um Home")</f>
        <v>Um Home</v>
      </c>
      <c r="P1217" t="str">
        <f>IFERROR(__xludf.DUMMYFUNCTION("""COMPUTED_VALUE"""),"Active")</f>
        <v>Active</v>
      </c>
      <c r="Q1217" t="str">
        <f>IFERROR(__xludf.DUMMYFUNCTION("""COMPUTED_VALUE"""),"Japanese Speaking")</f>
        <v>Japanese Speaking</v>
      </c>
      <c r="R1217" s="156">
        <f>IFERROR(__xludf.DUMMYFUNCTION("""COMPUTED_VALUE"""),34381.0)</f>
        <v>34381</v>
      </c>
      <c r="S1217" s="146">
        <f>IFERROR(__xludf.DUMMYFUNCTION("""COMPUTED_VALUE"""),9.35426696E8)</f>
        <v>935426696</v>
      </c>
      <c r="T1217" s="147">
        <f>IFERROR(__xludf.DUMMYFUNCTION("""COMPUTED_VALUE"""),1.100800933084E12)</f>
        <v>1100800933084</v>
      </c>
      <c r="U1217" t="str">
        <f>IFERROR(__xludf.DUMMYFUNCTION("""COMPUTED_VALUE"""),"AC7329818")</f>
        <v>AC7329818</v>
      </c>
      <c r="V1217" s="148">
        <f>IFERROR(__xludf.DUMMYFUNCTION("""COMPUTED_VALUE"""),45554.0)</f>
        <v>45554</v>
      </c>
      <c r="W1217" s="148">
        <f>IFERROR(__xludf.DUMMYFUNCTION("""COMPUTED_VALUE"""),49205.0)</f>
        <v>49205</v>
      </c>
      <c r="X1217" s="149">
        <f>IFERROR(__xludf.DUMMYFUNCTION("""COMPUTED_VALUE"""),49021.0)</f>
        <v>49021</v>
      </c>
      <c r="Y1217" t="str">
        <f>IFERROR(__xludf.DUMMYFUNCTION("""COMPUTED_VALUE"""),"ปลอดภัย")</f>
        <v>ปลอดภัย</v>
      </c>
      <c r="Z1217" t="str">
        <f>IFERROR(__xludf.DUMMYFUNCTION("""COMPUTED_VALUE"""),"Bangkok")</f>
        <v>Bangkok</v>
      </c>
      <c r="AA1217" t="str">
        <f>IFERROR(__xludf.DUMMYFUNCTION("""COMPUTED_VALUE"""),"Nakorn ratchasrima")</f>
        <v>Nakorn ratchasrima</v>
      </c>
      <c r="AB1217" s="145" t="str">
        <f>IFERROR(__xludf.DUMMYFUNCTION("""COMPUTED_VALUE"""),"0988311095")</f>
        <v>0988311095</v>
      </c>
      <c r="AC1217" t="str">
        <f>IFERROR(__xludf.DUMMYFUNCTION("""COMPUTED_VALUE"""),"พลภัทร สิมะดำรงค์ Friend")</f>
        <v>พลภัทร สิมะดำรงค์ Friend</v>
      </c>
      <c r="AD1217" t="str">
        <f>IFERROR(__xludf.DUMMYFUNCTION("""COMPUTED_VALUE"""),"panitnantsup@airasia.com")</f>
        <v>panitnantsup@airasia.com</v>
      </c>
    </row>
    <row r="1218">
      <c r="A1218" s="142">
        <f>IFERROR(__xludf.DUMMYFUNCTION("""COMPUTED_VALUE"""),109.0)</f>
        <v>109</v>
      </c>
      <c r="C1218">
        <f>IFERROR(__xludf.DUMMYFUNCTION("""COMPUTED_VALUE"""),1044232.0)</f>
        <v>1044232</v>
      </c>
      <c r="D1218" t="str">
        <f>IFERROR(__xludf.DUMMYFUNCTION("""COMPUTED_VALUE"""),"Ms.")</f>
        <v>Ms.</v>
      </c>
      <c r="E1218" t="str">
        <f>IFERROR(__xludf.DUMMYFUNCTION("""COMPUTED_VALUE"""),"Nisa")</f>
        <v>Nisa</v>
      </c>
      <c r="F1218" t="str">
        <f>IFERROR(__xludf.DUMMYFUNCTION("""COMPUTED_VALUE"""),"Tangkamolsuk")</f>
        <v>Tangkamolsuk</v>
      </c>
      <c r="G1218" t="str">
        <f>IFERROR(__xludf.DUMMYFUNCTION("""COMPUTED_VALUE"""),"Nisa Tangkamolsuk")</f>
        <v>Nisa Tangkamolsuk</v>
      </c>
      <c r="H1218" t="str">
        <f>IFERROR(__xludf.DUMMYFUNCTION("""COMPUTED_VALUE"""),"นางสาว")</f>
        <v>นางสาว</v>
      </c>
      <c r="I1218" t="str">
        <f>IFERROR(__xludf.DUMMYFUNCTION("""COMPUTED_VALUE"""),"นิศา")</f>
        <v>นิศา</v>
      </c>
      <c r="J1218" t="str">
        <f>IFERROR(__xludf.DUMMYFUNCTION("""COMPUTED_VALUE"""),"ตั้งกมลสุข")</f>
        <v>ตั้งกมลสุข</v>
      </c>
      <c r="K1218" t="str">
        <f>IFERROR(__xludf.DUMMYFUNCTION("""COMPUTED_VALUE"""),"นิศา ตั้งกมลสุข")</f>
        <v>นิศา ตั้งกมลสุข</v>
      </c>
      <c r="L1218" t="str">
        <f>IFERROR(__xludf.DUMMYFUNCTION("""COMPUTED_VALUE"""),"นิศา")</f>
        <v>นิศา</v>
      </c>
      <c r="M1218" t="str">
        <f>IFERROR(__xludf.DUMMYFUNCTION("""COMPUTED_VALUE"""),"Cabin Crew")</f>
        <v>Cabin Crew</v>
      </c>
      <c r="N1218" t="str">
        <f>IFERROR(__xludf.DUMMYFUNCTION("""COMPUTED_VALUE"""),"DMK")</f>
        <v>DMK</v>
      </c>
      <c r="O1218" s="145" t="str">
        <f>IFERROR(__xludf.DUMMYFUNCTION("""COMPUTED_VALUE"""),"Toffy Home")</f>
        <v>Toffy Home</v>
      </c>
      <c r="P1218" t="str">
        <f>IFERROR(__xludf.DUMMYFUNCTION("""COMPUTED_VALUE"""),"Active")</f>
        <v>Active</v>
      </c>
      <c r="R1218" s="156">
        <f>IFERROR(__xludf.DUMMYFUNCTION("""COMPUTED_VALUE"""),33529.0)</f>
        <v>33529</v>
      </c>
      <c r="S1218" s="146">
        <f>IFERROR(__xludf.DUMMYFUNCTION("""COMPUTED_VALUE"""),9.94239464E8)</f>
        <v>994239464</v>
      </c>
      <c r="T1218" s="147">
        <f>IFERROR(__xludf.DUMMYFUNCTION("""COMPUTED_VALUE"""),5.103300007747E12)</f>
        <v>5103300007747</v>
      </c>
      <c r="U1218" t="str">
        <f>IFERROR(__xludf.DUMMYFUNCTION("""COMPUTED_VALUE"""),"AC4841285")</f>
        <v>AC4841285</v>
      </c>
      <c r="V1218" s="148">
        <f>IFERROR(__xludf.DUMMYFUNCTION("""COMPUTED_VALUE"""),45021.0)</f>
        <v>45021</v>
      </c>
      <c r="W1218" s="148">
        <f>IFERROR(__xludf.DUMMYFUNCTION("""COMPUTED_VALUE"""),48673.0)</f>
        <v>48673</v>
      </c>
      <c r="X1218" s="149">
        <f>IFERROR(__xludf.DUMMYFUNCTION("""COMPUTED_VALUE"""),48491.0)</f>
        <v>48491</v>
      </c>
      <c r="Y1218" t="str">
        <f>IFERROR(__xludf.DUMMYFUNCTION("""COMPUTED_VALUE"""),"ปลอดภัย")</f>
        <v>ปลอดภัย</v>
      </c>
      <c r="Z1218" t="str">
        <f>IFERROR(__xludf.DUMMYFUNCTION("""COMPUTED_VALUE"""),"Japan")</f>
        <v>Japan</v>
      </c>
      <c r="AA1218" t="str">
        <f>IFERROR(__xludf.DUMMYFUNCTION("""COMPUTED_VALUE"""),"Bangkok")</f>
        <v>Bangkok</v>
      </c>
      <c r="AB1218" s="145" t="str">
        <f>IFERROR(__xludf.DUMMYFUNCTION("""COMPUTED_VALUE"""),"093-936-5326")</f>
        <v>093-936-5326</v>
      </c>
      <c r="AC1218" t="str">
        <f>IFERROR(__xludf.DUMMYFUNCTION("""COMPUTED_VALUE"""),"นางสาววิชกา ม่วงประเสริฐ Friend")</f>
        <v>นางสาววิชกา ม่วงประเสริฐ Friend</v>
      </c>
      <c r="AD1218" t="str">
        <f>IFERROR(__xludf.DUMMYFUNCTION("""COMPUTED_VALUE"""),"nisatan@airasia.com")</f>
        <v>nisatan@airasia.com</v>
      </c>
    </row>
    <row r="1219">
      <c r="A1219" s="142">
        <f>IFERROR(__xludf.DUMMYFUNCTION("""COMPUTED_VALUE"""),109.0)</f>
        <v>109</v>
      </c>
      <c r="C1219">
        <f>IFERROR(__xludf.DUMMYFUNCTION("""COMPUTED_VALUE"""),1044233.0)</f>
        <v>1044233</v>
      </c>
      <c r="D1219" t="str">
        <f>IFERROR(__xludf.DUMMYFUNCTION("""COMPUTED_VALUE"""),"Ms.")</f>
        <v>Ms.</v>
      </c>
      <c r="E1219" t="str">
        <f>IFERROR(__xludf.DUMMYFUNCTION("""COMPUTED_VALUE"""),"Lalana")</f>
        <v>Lalana</v>
      </c>
      <c r="F1219" t="str">
        <f>IFERROR(__xludf.DUMMYFUNCTION("""COMPUTED_VALUE"""),"Lertussawachai")</f>
        <v>Lertussawachai</v>
      </c>
      <c r="G1219" t="str">
        <f>IFERROR(__xludf.DUMMYFUNCTION("""COMPUTED_VALUE"""),"Lalana Lertussawachai")</f>
        <v>Lalana Lertussawachai</v>
      </c>
      <c r="H1219" t="str">
        <f>IFERROR(__xludf.DUMMYFUNCTION("""COMPUTED_VALUE"""),"นางสาว")</f>
        <v>นางสาว</v>
      </c>
      <c r="I1219" t="str">
        <f>IFERROR(__xludf.DUMMYFUNCTION("""COMPUTED_VALUE"""),"ลลนา")</f>
        <v>ลลนา</v>
      </c>
      <c r="J1219" t="str">
        <f>IFERROR(__xludf.DUMMYFUNCTION("""COMPUTED_VALUE"""),"เลิศอัศวไชย")</f>
        <v>เลิศอัศวไชย</v>
      </c>
      <c r="K1219" t="str">
        <f>IFERROR(__xludf.DUMMYFUNCTION("""COMPUTED_VALUE"""),"ลลนา เลิศอัศวไชย")</f>
        <v>ลลนา เลิศอัศวไชย</v>
      </c>
      <c r="L1219" t="str">
        <f>IFERROR(__xludf.DUMMYFUNCTION("""COMPUTED_VALUE"""),"Best / เบส")</f>
        <v>Best / เบส</v>
      </c>
      <c r="M1219" t="str">
        <f>IFERROR(__xludf.DUMMYFUNCTION("""COMPUTED_VALUE"""),"Cabin Crew")</f>
        <v>Cabin Crew</v>
      </c>
      <c r="N1219" t="str">
        <f>IFERROR(__xludf.DUMMYFUNCTION("""COMPUTED_VALUE"""),"DMK")</f>
        <v>DMK</v>
      </c>
      <c r="O1219" s="145" t="str">
        <f>IFERROR(__xludf.DUMMYFUNCTION("""COMPUTED_VALUE"""),"Nhui Home")</f>
        <v>Nhui Home</v>
      </c>
      <c r="P1219" t="str">
        <f>IFERROR(__xludf.DUMMYFUNCTION("""COMPUTED_VALUE"""),"Active")</f>
        <v>Active</v>
      </c>
      <c r="R1219" s="156">
        <f>IFERROR(__xludf.DUMMYFUNCTION("""COMPUTED_VALUE"""),35332.0)</f>
        <v>35332</v>
      </c>
      <c r="S1219" s="146">
        <f>IFERROR(__xludf.DUMMYFUNCTION("""COMPUTED_VALUE"""),8.4670651E8)</f>
        <v>846706510</v>
      </c>
      <c r="T1219" s="147">
        <f>IFERROR(__xludf.DUMMYFUNCTION("""COMPUTED_VALUE"""),1.100801161875E12)</f>
        <v>1100801161875</v>
      </c>
      <c r="U1219" t="str">
        <f>IFERROR(__xludf.DUMMYFUNCTION("""COMPUTED_VALUE"""),"AC4962403")</f>
        <v>AC4962403</v>
      </c>
      <c r="V1219" s="148">
        <f>IFERROR(__xludf.DUMMYFUNCTION("""COMPUTED_VALUE"""),45071.0)</f>
        <v>45071</v>
      </c>
      <c r="W1219" s="148">
        <f>IFERROR(__xludf.DUMMYFUNCTION("""COMPUTED_VALUE"""),48723.0)</f>
        <v>48723</v>
      </c>
      <c r="X1219" s="149">
        <f>IFERROR(__xludf.DUMMYFUNCTION("""COMPUTED_VALUE"""),48542.0)</f>
        <v>48542</v>
      </c>
      <c r="Y1219" t="str">
        <f>IFERROR(__xludf.DUMMYFUNCTION("""COMPUTED_VALUE"""),"ปลอดภัย")</f>
        <v>ปลอดภัย</v>
      </c>
      <c r="Z1219" t="str">
        <f>IFERROR(__xludf.DUMMYFUNCTION("""COMPUTED_VALUE"""),"Bangkok")</f>
        <v>Bangkok</v>
      </c>
      <c r="AA1219" t="str">
        <f>IFERROR(__xludf.DUMMYFUNCTION("""COMPUTED_VALUE"""),"Bangkok")</f>
        <v>Bangkok</v>
      </c>
      <c r="AB1219" s="145" t="str">
        <f>IFERROR(__xludf.DUMMYFUNCTION("""COMPUTED_VALUE"""),"085-862-4511")</f>
        <v>085-862-4511</v>
      </c>
      <c r="AC1219" t="str">
        <f>IFERROR(__xludf.DUMMYFUNCTION("""COMPUTED_VALUE"""),"นางนภา เลิศอัศวไชย Mother")</f>
        <v>นางนภา เลิศอัศวไชย Mother</v>
      </c>
      <c r="AD1219" t="str">
        <f>IFERROR(__xludf.DUMMYFUNCTION("""COMPUTED_VALUE"""),"lalanaler@airasia.com")</f>
        <v>lalanaler@airasia.com</v>
      </c>
    </row>
    <row r="1220">
      <c r="A1220" s="142">
        <f>IFERROR(__xludf.DUMMYFUNCTION("""COMPUTED_VALUE"""),109.0)</f>
        <v>109</v>
      </c>
      <c r="C1220">
        <f>IFERROR(__xludf.DUMMYFUNCTION("""COMPUTED_VALUE"""),1044234.0)</f>
        <v>1044234</v>
      </c>
      <c r="D1220" t="str">
        <f>IFERROR(__xludf.DUMMYFUNCTION("""COMPUTED_VALUE"""),"Ms.")</f>
        <v>Ms.</v>
      </c>
      <c r="E1220" t="str">
        <f>IFERROR(__xludf.DUMMYFUNCTION("""COMPUTED_VALUE"""),"Adipa")</f>
        <v>Adipa</v>
      </c>
      <c r="F1220" t="str">
        <f>IFERROR(__xludf.DUMMYFUNCTION("""COMPUTED_VALUE"""),"Charoenthongtrakul")</f>
        <v>Charoenthongtrakul</v>
      </c>
      <c r="G1220" t="str">
        <f>IFERROR(__xludf.DUMMYFUNCTION("""COMPUTED_VALUE"""),"Adipa Charoenthongtrakul")</f>
        <v>Adipa Charoenthongtrakul</v>
      </c>
      <c r="H1220" t="str">
        <f>IFERROR(__xludf.DUMMYFUNCTION("""COMPUTED_VALUE"""),"นางสาว")</f>
        <v>นางสาว</v>
      </c>
      <c r="I1220" t="str">
        <f>IFERROR(__xludf.DUMMYFUNCTION("""COMPUTED_VALUE"""),"อดิภา")</f>
        <v>อดิภา</v>
      </c>
      <c r="J1220" t="str">
        <f>IFERROR(__xludf.DUMMYFUNCTION("""COMPUTED_VALUE"""),"เจริญทองตระกูล")</f>
        <v>เจริญทองตระกูล</v>
      </c>
      <c r="K1220" t="str">
        <f>IFERROR(__xludf.DUMMYFUNCTION("""COMPUTED_VALUE"""),"อดิภา เจริญทองตระกูล")</f>
        <v>อดิภา เจริญทองตระกูล</v>
      </c>
      <c r="L1220" t="str">
        <f>IFERROR(__xludf.DUMMYFUNCTION("""COMPUTED_VALUE"""),"Dow / ดาว")</f>
        <v>Dow / ดาว</v>
      </c>
      <c r="M1220" t="str">
        <f>IFERROR(__xludf.DUMMYFUNCTION("""COMPUTED_VALUE"""),"Cabin Crew")</f>
        <v>Cabin Crew</v>
      </c>
      <c r="N1220" t="str">
        <f>IFERROR(__xludf.DUMMYFUNCTION("""COMPUTED_VALUE"""),"DMK")</f>
        <v>DMK</v>
      </c>
      <c r="O1220" s="145" t="str">
        <f>IFERROR(__xludf.DUMMYFUNCTION("""COMPUTED_VALUE"""),"Nhui Home")</f>
        <v>Nhui Home</v>
      </c>
      <c r="P1220" t="str">
        <f>IFERROR(__xludf.DUMMYFUNCTION("""COMPUTED_VALUE"""),"Active")</f>
        <v>Active</v>
      </c>
      <c r="R1220" s="156">
        <f>IFERROR(__xludf.DUMMYFUNCTION("""COMPUTED_VALUE"""),33453.0)</f>
        <v>33453</v>
      </c>
      <c r="S1220" s="146">
        <f>IFERROR(__xludf.DUMMYFUNCTION("""COMPUTED_VALUE"""),6.47956555E8)</f>
        <v>647956555</v>
      </c>
      <c r="T1220" s="147">
        <f>IFERROR(__xludf.DUMMYFUNCTION("""COMPUTED_VALUE"""),1.100800726135E12)</f>
        <v>1100800726135</v>
      </c>
      <c r="U1220" t="str">
        <f>IFERROR(__xludf.DUMMYFUNCTION("""COMPUTED_VALUE"""),"AD0406188")</f>
        <v>AD0406188</v>
      </c>
      <c r="V1220" s="148">
        <f>IFERROR(__xludf.DUMMYFUNCTION("""COMPUTED_VALUE"""),44893.0)</f>
        <v>44893</v>
      </c>
      <c r="W1220" s="148">
        <f>IFERROR(__xludf.DUMMYFUNCTION("""COMPUTED_VALUE"""),48546.0)</f>
        <v>48546</v>
      </c>
      <c r="X1220" s="149">
        <f>IFERROR(__xludf.DUMMYFUNCTION("""COMPUTED_VALUE"""),48362.0)</f>
        <v>48362</v>
      </c>
      <c r="Y1220" t="str">
        <f>IFERROR(__xludf.DUMMYFUNCTION("""COMPUTED_VALUE"""),"ปลอดภัย")</f>
        <v>ปลอดภัย</v>
      </c>
      <c r="Z1220" t="str">
        <f>IFERROR(__xludf.DUMMYFUNCTION("""COMPUTED_VALUE"""),"Bangkok")</f>
        <v>Bangkok</v>
      </c>
      <c r="AA1220" t="str">
        <f>IFERROR(__xludf.DUMMYFUNCTION("""COMPUTED_VALUE"""),"Bangkok")</f>
        <v>Bangkok</v>
      </c>
      <c r="AB1220" s="145" t="str">
        <f>IFERROR(__xludf.DUMMYFUNCTION("""COMPUTED_VALUE"""),"081-173-6937")</f>
        <v>081-173-6937</v>
      </c>
      <c r="AC1220" t="str">
        <f>IFERROR(__xludf.DUMMYFUNCTION("""COMPUTED_VALUE"""),"นายชวัสวิชญ์ วรพจน์ Friend")</f>
        <v>นายชวัสวิชญ์ วรพจน์ Friend</v>
      </c>
      <c r="AD1220" t="str">
        <f>IFERROR(__xludf.DUMMYFUNCTION("""COMPUTED_VALUE"""),"adipacha@airasia.com")</f>
        <v>adipacha@airasia.com</v>
      </c>
    </row>
    <row r="1221">
      <c r="A1221" s="142">
        <f>IFERROR(__xludf.DUMMYFUNCTION("""COMPUTED_VALUE"""),109.0)</f>
        <v>109</v>
      </c>
      <c r="C1221">
        <f>IFERROR(__xludf.DUMMYFUNCTION("""COMPUTED_VALUE"""),1044235.0)</f>
        <v>1044235</v>
      </c>
      <c r="D1221" t="str">
        <f>IFERROR(__xludf.DUMMYFUNCTION("""COMPUTED_VALUE"""),"Ms.")</f>
        <v>Ms.</v>
      </c>
      <c r="E1221" t="str">
        <f>IFERROR(__xludf.DUMMYFUNCTION("""COMPUTED_VALUE"""),"Monthakarn")</f>
        <v>Monthakarn</v>
      </c>
      <c r="F1221" t="str">
        <f>IFERROR(__xludf.DUMMYFUNCTION("""COMPUTED_VALUE"""),"Panyaboot")</f>
        <v>Panyaboot</v>
      </c>
      <c r="G1221" t="str">
        <f>IFERROR(__xludf.DUMMYFUNCTION("""COMPUTED_VALUE"""),"Monthakarn Panyaboot")</f>
        <v>Monthakarn Panyaboot</v>
      </c>
      <c r="H1221" t="str">
        <f>IFERROR(__xludf.DUMMYFUNCTION("""COMPUTED_VALUE"""),"นางสาว")</f>
        <v>นางสาว</v>
      </c>
      <c r="I1221" t="str">
        <f>IFERROR(__xludf.DUMMYFUNCTION("""COMPUTED_VALUE"""),"มนธกานต์")</f>
        <v>มนธกานต์</v>
      </c>
      <c r="J1221" t="str">
        <f>IFERROR(__xludf.DUMMYFUNCTION("""COMPUTED_VALUE"""),"ปัญญาบุตร")</f>
        <v>ปัญญาบุตร</v>
      </c>
      <c r="K1221" t="str">
        <f>IFERROR(__xludf.DUMMYFUNCTION("""COMPUTED_VALUE"""),"มนธกานต์ ปัญญาบุตร")</f>
        <v>มนธกานต์ ปัญญาบุตร</v>
      </c>
      <c r="L1221" t="str">
        <f>IFERROR(__xludf.DUMMYFUNCTION("""COMPUTED_VALUE"""),"Aon/อ้อน")</f>
        <v>Aon/อ้อน</v>
      </c>
      <c r="M1221" t="str">
        <f>IFERROR(__xludf.DUMMYFUNCTION("""COMPUTED_VALUE"""),"Cabin Crew")</f>
        <v>Cabin Crew</v>
      </c>
      <c r="N1221" t="str">
        <f>IFERROR(__xludf.DUMMYFUNCTION("""COMPUTED_VALUE"""),"DMK")</f>
        <v>DMK</v>
      </c>
      <c r="O1221" s="145" t="str">
        <f>IFERROR(__xludf.DUMMYFUNCTION("""COMPUTED_VALUE"""),"Nhui Home")</f>
        <v>Nhui Home</v>
      </c>
      <c r="P1221" t="str">
        <f>IFERROR(__xludf.DUMMYFUNCTION("""COMPUTED_VALUE"""),"Active")</f>
        <v>Active</v>
      </c>
      <c r="Q1221" t="str">
        <f>IFERROR(__xludf.DUMMYFUNCTION("""COMPUTED_VALUE"""),"Japanese Speaking")</f>
        <v>Japanese Speaking</v>
      </c>
      <c r="R1221" s="156">
        <f>IFERROR(__xludf.DUMMYFUNCTION("""COMPUTED_VALUE"""),35190.0)</f>
        <v>35190</v>
      </c>
      <c r="S1221" s="146" t="str">
        <f>IFERROR(__xludf.DUMMYFUNCTION("""COMPUTED_VALUE"""),"0934787656 , 09347876560")</f>
        <v>0934787656 , 09347876560</v>
      </c>
      <c r="T1221" s="147">
        <f>IFERROR(__xludf.DUMMYFUNCTION("""COMPUTED_VALUE"""),1.12990035923E12)</f>
        <v>1129900359230</v>
      </c>
      <c r="U1221" t="str">
        <f>IFERROR(__xludf.DUMMYFUNCTION("""COMPUTED_VALUE"""),"AC2779110")</f>
        <v>AC2779110</v>
      </c>
      <c r="V1221" s="148">
        <f>IFERROR(__xludf.DUMMYFUNCTION("""COMPUTED_VALUE"""),44498.0)</f>
        <v>44498</v>
      </c>
      <c r="W1221" s="148">
        <f>IFERROR(__xludf.DUMMYFUNCTION("""COMPUTED_VALUE"""),48149.0)</f>
        <v>48149</v>
      </c>
      <c r="X1221" s="149">
        <f>IFERROR(__xludf.DUMMYFUNCTION("""COMPUTED_VALUE"""),47966.0)</f>
        <v>47966</v>
      </c>
      <c r="Y1221" t="str">
        <f>IFERROR(__xludf.DUMMYFUNCTION("""COMPUTED_VALUE"""),"ปลอดภัย")</f>
        <v>ปลอดภัย</v>
      </c>
      <c r="Z1221" t="str">
        <f>IFERROR(__xludf.DUMMYFUNCTION("""COMPUTED_VALUE"""),"Nonthaburi Province")</f>
        <v>Nonthaburi Province</v>
      </c>
      <c r="AA1221" t="str">
        <f>IFERROR(__xludf.DUMMYFUNCTION("""COMPUTED_VALUE"""),"Mookdaharn")</f>
        <v>Mookdaharn</v>
      </c>
      <c r="AB1221" s="145" t="str">
        <f>IFERROR(__xludf.DUMMYFUNCTION("""COMPUTED_VALUE"""),"086-0572116")</f>
        <v>086-0572116</v>
      </c>
      <c r="AC1221" t="str">
        <f>IFERROR(__xludf.DUMMYFUNCTION("""COMPUTED_VALUE"""),"นายวีรยุทธ ปัญญาบุตร Father")</f>
        <v>นายวีรยุทธ ปัญญาบุตร Father</v>
      </c>
      <c r="AD1221" t="str">
        <f>IFERROR(__xludf.DUMMYFUNCTION("""COMPUTED_VALUE"""),"monthakarnpan@airasia.com")</f>
        <v>monthakarnpan@airasia.com</v>
      </c>
    </row>
    <row r="1222">
      <c r="A1222" s="142">
        <f>IFERROR(__xludf.DUMMYFUNCTION("""COMPUTED_VALUE"""),109.0)</f>
        <v>109</v>
      </c>
      <c r="C1222">
        <f>IFERROR(__xludf.DUMMYFUNCTION("""COMPUTED_VALUE"""),1044236.0)</f>
        <v>1044236</v>
      </c>
      <c r="D1222" t="str">
        <f>IFERROR(__xludf.DUMMYFUNCTION("""COMPUTED_VALUE"""),"Ms.")</f>
        <v>Ms.</v>
      </c>
      <c r="E1222" t="str">
        <f>IFERROR(__xludf.DUMMYFUNCTION("""COMPUTED_VALUE"""),"Manthita")</f>
        <v>Manthita</v>
      </c>
      <c r="F1222" t="str">
        <f>IFERROR(__xludf.DUMMYFUNCTION("""COMPUTED_VALUE"""),"Banthoeng")</f>
        <v>Banthoeng</v>
      </c>
      <c r="G1222" t="str">
        <f>IFERROR(__xludf.DUMMYFUNCTION("""COMPUTED_VALUE"""),"Manthita Banthoeng")</f>
        <v>Manthita Banthoeng</v>
      </c>
      <c r="H1222" t="str">
        <f>IFERROR(__xludf.DUMMYFUNCTION("""COMPUTED_VALUE"""),"นางสาว")</f>
        <v>นางสาว</v>
      </c>
      <c r="I1222" t="str">
        <f>IFERROR(__xludf.DUMMYFUNCTION("""COMPUTED_VALUE"""),"มัณฑิตา")</f>
        <v>มัณฑิตา</v>
      </c>
      <c r="J1222" t="str">
        <f>IFERROR(__xludf.DUMMYFUNCTION("""COMPUTED_VALUE"""),"บรรเทิง")</f>
        <v>บรรเทิง</v>
      </c>
      <c r="K1222" t="str">
        <f>IFERROR(__xludf.DUMMYFUNCTION("""COMPUTED_VALUE"""),"มัณฑิตา บรรเทิง")</f>
        <v>มัณฑิตา บรรเทิง</v>
      </c>
      <c r="L1222" t="str">
        <f>IFERROR(__xludf.DUMMYFUNCTION("""COMPUTED_VALUE"""),"May/เม")</f>
        <v>May/เม</v>
      </c>
      <c r="M1222" t="str">
        <f>IFERROR(__xludf.DUMMYFUNCTION("""COMPUTED_VALUE"""),"Cabin Crew")</f>
        <v>Cabin Crew</v>
      </c>
      <c r="N1222" t="str">
        <f>IFERROR(__xludf.DUMMYFUNCTION("""COMPUTED_VALUE"""),"DMK")</f>
        <v>DMK</v>
      </c>
      <c r="O1222" s="145" t="str">
        <f>IFERROR(__xludf.DUMMYFUNCTION("""COMPUTED_VALUE"""),"Namfon Home")</f>
        <v>Namfon Home</v>
      </c>
      <c r="P1222" t="str">
        <f>IFERROR(__xludf.DUMMYFUNCTION("""COMPUTED_VALUE"""),"Active")</f>
        <v>Active</v>
      </c>
      <c r="R1222" s="156">
        <f>IFERROR(__xludf.DUMMYFUNCTION("""COMPUTED_VALUE"""),36277.0)</f>
        <v>36277</v>
      </c>
      <c r="S1222" s="146">
        <f>IFERROR(__xludf.DUMMYFUNCTION("""COMPUTED_VALUE"""),8.12655154E8)</f>
        <v>812655154</v>
      </c>
      <c r="T1222" s="147">
        <f>IFERROR(__xludf.DUMMYFUNCTION("""COMPUTED_VALUE"""),1.34990097952E12)</f>
        <v>1349900979520</v>
      </c>
      <c r="U1222" t="str">
        <f>IFERROR(__xludf.DUMMYFUNCTION("""COMPUTED_VALUE"""),"AC6712023")</f>
        <v>AC6712023</v>
      </c>
      <c r="V1222" s="148">
        <f>IFERROR(__xludf.DUMMYFUNCTION("""COMPUTED_VALUE"""),45410.0)</f>
        <v>45410</v>
      </c>
      <c r="W1222" s="148">
        <f>IFERROR(__xludf.DUMMYFUNCTION("""COMPUTED_VALUE"""),49061.0)</f>
        <v>49061</v>
      </c>
      <c r="X1222" s="149">
        <f>IFERROR(__xludf.DUMMYFUNCTION("""COMPUTED_VALUE"""),48879.0)</f>
        <v>48879</v>
      </c>
      <c r="Y1222" t="str">
        <f>IFERROR(__xludf.DUMMYFUNCTION("""COMPUTED_VALUE"""),"ปลอดภัย")</f>
        <v>ปลอดภัย</v>
      </c>
      <c r="Z1222" t="str">
        <f>IFERROR(__xludf.DUMMYFUNCTION("""COMPUTED_VALUE"""),"Ubon Ratchathani Province")</f>
        <v>Ubon Ratchathani Province</v>
      </c>
      <c r="AA1222" t="str">
        <f>IFERROR(__xludf.DUMMYFUNCTION("""COMPUTED_VALUE"""),"Ubontani")</f>
        <v>Ubontani</v>
      </c>
      <c r="AB1222" s="145" t="str">
        <f>IFERROR(__xludf.DUMMYFUNCTION("""COMPUTED_VALUE"""),"098-104-0065")</f>
        <v>098-104-0065</v>
      </c>
      <c r="AC1222" t="str">
        <f>IFERROR(__xludf.DUMMYFUNCTION("""COMPUTED_VALUE"""),"นายพินิจ บรรเทิง Father")</f>
        <v>นายพินิจ บรรเทิง Father</v>
      </c>
      <c r="AD1222" t="str">
        <f>IFERROR(__xludf.DUMMYFUNCTION("""COMPUTED_VALUE"""),"manthitaban@airasia.com")</f>
        <v>manthitaban@airasia.com</v>
      </c>
    </row>
    <row r="1223">
      <c r="A1223" s="142">
        <f>IFERROR(__xludf.DUMMYFUNCTION("""COMPUTED_VALUE"""),109.0)</f>
        <v>109</v>
      </c>
      <c r="C1223">
        <f>IFERROR(__xludf.DUMMYFUNCTION("""COMPUTED_VALUE"""),1044237.0)</f>
        <v>1044237</v>
      </c>
      <c r="D1223" t="str">
        <f>IFERROR(__xludf.DUMMYFUNCTION("""COMPUTED_VALUE"""),"Ms.")</f>
        <v>Ms.</v>
      </c>
      <c r="E1223" t="str">
        <f>IFERROR(__xludf.DUMMYFUNCTION("""COMPUTED_VALUE"""),"Suyomi")</f>
        <v>Suyomi</v>
      </c>
      <c r="F1223" t="str">
        <f>IFERROR(__xludf.DUMMYFUNCTION("""COMPUTED_VALUE"""),"Setthamungkorn")</f>
        <v>Setthamungkorn</v>
      </c>
      <c r="G1223" t="str">
        <f>IFERROR(__xludf.DUMMYFUNCTION("""COMPUTED_VALUE"""),"Suyomi Setthamungkorn")</f>
        <v>Suyomi Setthamungkorn</v>
      </c>
      <c r="H1223" t="str">
        <f>IFERROR(__xludf.DUMMYFUNCTION("""COMPUTED_VALUE"""),"นางสาว")</f>
        <v>นางสาว</v>
      </c>
      <c r="I1223" t="str">
        <f>IFERROR(__xludf.DUMMYFUNCTION("""COMPUTED_VALUE"""),"สุโยมิ")</f>
        <v>สุโยมิ</v>
      </c>
      <c r="J1223" t="str">
        <f>IFERROR(__xludf.DUMMYFUNCTION("""COMPUTED_VALUE"""),"เศรษฐมังกร")</f>
        <v>เศรษฐมังกร</v>
      </c>
      <c r="K1223" t="str">
        <f>IFERROR(__xludf.DUMMYFUNCTION("""COMPUTED_VALUE"""),"สุโยมิ เศรษฐมังกร")</f>
        <v>สุโยมิ เศรษฐมังกร</v>
      </c>
      <c r="L1223" t="str">
        <f>IFERROR(__xludf.DUMMYFUNCTION("""COMPUTED_VALUE"""),"Yomi / โยมิ")</f>
        <v>Yomi / โยมิ</v>
      </c>
      <c r="M1223" t="str">
        <f>IFERROR(__xludf.DUMMYFUNCTION("""COMPUTED_VALUE"""),"Cabin Crew")</f>
        <v>Cabin Crew</v>
      </c>
      <c r="N1223" t="str">
        <f>IFERROR(__xludf.DUMMYFUNCTION("""COMPUTED_VALUE"""),"DMK")</f>
        <v>DMK</v>
      </c>
      <c r="O1223" s="145" t="str">
        <f>IFERROR(__xludf.DUMMYFUNCTION("""COMPUTED_VALUE"""),"Toffy Home")</f>
        <v>Toffy Home</v>
      </c>
      <c r="P1223" t="str">
        <f>IFERROR(__xludf.DUMMYFUNCTION("""COMPUTED_VALUE"""),"Active")</f>
        <v>Active</v>
      </c>
      <c r="Q1223" t="str">
        <f>IFERROR(__xludf.DUMMYFUNCTION("""COMPUTED_VALUE"""),"Japanese Speaking")</f>
        <v>Japanese Speaking</v>
      </c>
      <c r="R1223" s="156">
        <f>IFERROR(__xludf.DUMMYFUNCTION("""COMPUTED_VALUE"""),37060.0)</f>
        <v>37060</v>
      </c>
      <c r="S1223" s="146">
        <f>IFERROR(__xludf.DUMMYFUNCTION("""COMPUTED_VALUE"""),6.3123982E8)</f>
        <v>631239820</v>
      </c>
      <c r="T1223" s="147">
        <f>IFERROR(__xludf.DUMMYFUNCTION("""COMPUTED_VALUE"""),1.509966140291E12)</f>
        <v>1509966140291</v>
      </c>
      <c r="U1223" t="str">
        <f>IFERROR(__xludf.DUMMYFUNCTION("""COMPUTED_VALUE"""),"AC5705246")</f>
        <v>AC5705246</v>
      </c>
      <c r="V1223" s="148">
        <f>IFERROR(__xludf.DUMMYFUNCTION("""COMPUTED_VALUE"""),45184.0)</f>
        <v>45184</v>
      </c>
      <c r="W1223" s="148">
        <f>IFERROR(__xludf.DUMMYFUNCTION("""COMPUTED_VALUE"""),48836.0)</f>
        <v>48836</v>
      </c>
      <c r="X1223" s="149">
        <f>IFERROR(__xludf.DUMMYFUNCTION("""COMPUTED_VALUE"""),48652.0)</f>
        <v>48652</v>
      </c>
      <c r="Y1223" t="str">
        <f>IFERROR(__xludf.DUMMYFUNCTION("""COMPUTED_VALUE"""),"ปลอดภัย")</f>
        <v>ปลอดภัย</v>
      </c>
      <c r="Z1223" t="str">
        <f>IFERROR(__xludf.DUMMYFUNCTION("""COMPUTED_VALUE"""),"Chiang Mai Province")</f>
        <v>Chiang Mai Province</v>
      </c>
      <c r="AA1223" t="str">
        <f>IFERROR(__xludf.DUMMYFUNCTION("""COMPUTED_VALUE"""),"Chiang mai")</f>
        <v>Chiang mai</v>
      </c>
      <c r="AB1223" s="145" t="str">
        <f>IFERROR(__xludf.DUMMYFUNCTION("""COMPUTED_VALUE"""),"084-295-4244")</f>
        <v>084-295-4244</v>
      </c>
      <c r="AC1223" t="str">
        <f>IFERROR(__xludf.DUMMYFUNCTION("""COMPUTED_VALUE"""),"นายสุธร เศรษฐมังกร Brother")</f>
        <v>นายสุธร เศรษฐมังกร Brother</v>
      </c>
      <c r="AD1223" t="str">
        <f>IFERROR(__xludf.DUMMYFUNCTION("""COMPUTED_VALUE"""),"suyomiset@airasia.com")</f>
        <v>suyomiset@airasia.com</v>
      </c>
    </row>
    <row r="1224">
      <c r="A1224" s="142">
        <f>IFERROR(__xludf.DUMMYFUNCTION("""COMPUTED_VALUE"""),109.0)</f>
        <v>109</v>
      </c>
      <c r="C1224">
        <f>IFERROR(__xludf.DUMMYFUNCTION("""COMPUTED_VALUE"""),1044238.0)</f>
        <v>1044238</v>
      </c>
      <c r="D1224" t="str">
        <f>IFERROR(__xludf.DUMMYFUNCTION("""COMPUTED_VALUE"""),"Ms.")</f>
        <v>Ms.</v>
      </c>
      <c r="E1224" t="str">
        <f>IFERROR(__xludf.DUMMYFUNCTION("""COMPUTED_VALUE"""),"Chayanin")</f>
        <v>Chayanin</v>
      </c>
      <c r="F1224" t="str">
        <f>IFERROR(__xludf.DUMMYFUNCTION("""COMPUTED_VALUE"""),"Prachayaporn")</f>
        <v>Prachayaporn</v>
      </c>
      <c r="G1224" t="str">
        <f>IFERROR(__xludf.DUMMYFUNCTION("""COMPUTED_VALUE"""),"Chayanin Prachayaporn")</f>
        <v>Chayanin Prachayaporn</v>
      </c>
      <c r="H1224" t="str">
        <f>IFERROR(__xludf.DUMMYFUNCTION("""COMPUTED_VALUE"""),"นางสาว")</f>
        <v>นางสาว</v>
      </c>
      <c r="I1224" t="str">
        <f>IFERROR(__xludf.DUMMYFUNCTION("""COMPUTED_VALUE"""),"ชญานิน")</f>
        <v>ชญานิน</v>
      </c>
      <c r="J1224" t="str">
        <f>IFERROR(__xludf.DUMMYFUNCTION("""COMPUTED_VALUE"""),"ปราชญาพร")</f>
        <v>ปราชญาพร</v>
      </c>
      <c r="K1224" t="str">
        <f>IFERROR(__xludf.DUMMYFUNCTION("""COMPUTED_VALUE"""),"ชญานิน ปราชญาพร")</f>
        <v>ชญานิน ปราชญาพร</v>
      </c>
      <c r="L1224" t="str">
        <f>IFERROR(__xludf.DUMMYFUNCTION("""COMPUTED_VALUE"""),"Pob / พ็อบ")</f>
        <v>Pob / พ็อบ</v>
      </c>
      <c r="M1224" t="str">
        <f>IFERROR(__xludf.DUMMYFUNCTION("""COMPUTED_VALUE"""),"Cabin Crew")</f>
        <v>Cabin Crew</v>
      </c>
      <c r="N1224" t="str">
        <f>IFERROR(__xludf.DUMMYFUNCTION("""COMPUTED_VALUE"""),"DMK")</f>
        <v>DMK</v>
      </c>
      <c r="O1224" s="145" t="str">
        <f>IFERROR(__xludf.DUMMYFUNCTION("""COMPUTED_VALUE"""),"Namfon Home")</f>
        <v>Namfon Home</v>
      </c>
      <c r="P1224" t="str">
        <f>IFERROR(__xludf.DUMMYFUNCTION("""COMPUTED_VALUE"""),"Active")</f>
        <v>Active</v>
      </c>
      <c r="Q1224" t="str">
        <f>IFERROR(__xludf.DUMMYFUNCTION("""COMPUTED_VALUE"""),"Japanese Speaking")</f>
        <v>Japanese Speaking</v>
      </c>
      <c r="R1224" s="156">
        <f>IFERROR(__xludf.DUMMYFUNCTION("""COMPUTED_VALUE"""),35038.0)</f>
        <v>35038</v>
      </c>
      <c r="S1224" s="146">
        <f>IFERROR(__xludf.DUMMYFUNCTION("""COMPUTED_VALUE"""),6.56646165E8)</f>
        <v>656646165</v>
      </c>
      <c r="T1224" s="147">
        <f>IFERROR(__xludf.DUMMYFUNCTION("""COMPUTED_VALUE"""),1.10280005841E12)</f>
        <v>1102800058410</v>
      </c>
      <c r="U1224" t="str">
        <f>IFERROR(__xludf.DUMMYFUNCTION("""COMPUTED_VALUE"""),"AD3100928")</f>
        <v>AD3100928</v>
      </c>
      <c r="V1224" s="148">
        <f>IFERROR(__xludf.DUMMYFUNCTION("""COMPUTED_VALUE"""),46078.0)</f>
        <v>46078</v>
      </c>
      <c r="W1224" s="148">
        <f>IFERROR(__xludf.DUMMYFUNCTION("""COMPUTED_VALUE"""),47903.0)</f>
        <v>47903</v>
      </c>
      <c r="X1224" s="149">
        <f>IFERROR(__xludf.DUMMYFUNCTION("""COMPUTED_VALUE"""),47719.0)</f>
        <v>47719</v>
      </c>
      <c r="Y1224" t="str">
        <f>IFERROR(__xludf.DUMMYFUNCTION("""COMPUTED_VALUE"""),"ปลอดภัย")</f>
        <v>ปลอดภัย</v>
      </c>
      <c r="Z1224" t="str">
        <f>IFERROR(__xludf.DUMMYFUNCTION("""COMPUTED_VALUE"""),"Bangkok")</f>
        <v>Bangkok</v>
      </c>
      <c r="AA1224" t="str">
        <f>IFERROR(__xludf.DUMMYFUNCTION("""COMPUTED_VALUE"""),"Bangkok")</f>
        <v>Bangkok</v>
      </c>
      <c r="AB1224" s="145" t="str">
        <f>IFERROR(__xludf.DUMMYFUNCTION("""COMPUTED_VALUE"""),"098-128-8688")</f>
        <v>098-128-8688</v>
      </c>
      <c r="AC1224" t="str">
        <f>IFERROR(__xludf.DUMMYFUNCTION("""COMPUTED_VALUE"""),"นายจิตริน ปราชญาพร Brother")</f>
        <v>นายจิตริน ปราชญาพร Brother</v>
      </c>
      <c r="AD1224" t="str">
        <f>IFERROR(__xludf.DUMMYFUNCTION("""COMPUTED_VALUE"""),"chayaninpra@airasia.com")</f>
        <v>chayaninpra@airasia.com</v>
      </c>
    </row>
    <row r="1225">
      <c r="AD1225" t="str">
        <f>IFERROR(__xludf.DUMMYFUNCTION("""COMPUTED_VALUE"""),"")</f>
        <v/>
      </c>
    </row>
    <row r="1226">
      <c r="A1226" s="142">
        <f>IFERROR(__xludf.DUMMYFUNCTION("""COMPUTED_VALUE"""),110.0)</f>
        <v>110</v>
      </c>
      <c r="B1226" t="str">
        <f>IFERROR(__xludf.DUMMYFUNCTION("""COMPUTED_VALUE"""),"Tranfer from AK")</f>
        <v>Tranfer from AK</v>
      </c>
      <c r="C1226">
        <f>IFERROR(__xludf.DUMMYFUNCTION("""COMPUTED_VALUE"""),1008750.0)</f>
        <v>1008750</v>
      </c>
      <c r="D1226" t="str">
        <f>IFERROR(__xludf.DUMMYFUNCTION("""COMPUTED_VALUE"""),"Ms.")</f>
        <v>Ms.</v>
      </c>
      <c r="E1226" t="str">
        <f>IFERROR(__xludf.DUMMYFUNCTION("""COMPUTED_VALUE"""),"Nannaphat")</f>
        <v>Nannaphat</v>
      </c>
      <c r="F1226" t="str">
        <f>IFERROR(__xludf.DUMMYFUNCTION("""COMPUTED_VALUE"""),"Jitrungruangsuk")</f>
        <v>Jitrungruangsuk</v>
      </c>
      <c r="G1226" t="str">
        <f>IFERROR(__xludf.DUMMYFUNCTION("""COMPUTED_VALUE"""),"Nannaphat Jitrungruangsuk")</f>
        <v>Nannaphat Jitrungruangsuk</v>
      </c>
      <c r="H1226" t="str">
        <f>IFERROR(__xludf.DUMMYFUNCTION("""COMPUTED_VALUE"""),"นางสาว")</f>
        <v>นางสาว</v>
      </c>
      <c r="I1226" t="str">
        <f>IFERROR(__xludf.DUMMYFUNCTION("""COMPUTED_VALUE"""),"นันท์นภัส")</f>
        <v>นันท์นภัส</v>
      </c>
      <c r="J1226" t="str">
        <f>IFERROR(__xludf.DUMMYFUNCTION("""COMPUTED_VALUE"""),"จิตต์รุ่งเรืองสุข")</f>
        <v>จิตต์รุ่งเรืองสุข</v>
      </c>
      <c r="K1226" t="str">
        <f>IFERROR(__xludf.DUMMYFUNCTION("""COMPUTED_VALUE"""),"นันท์นภัส จิตต์รุ่งเรืองสุข")</f>
        <v>นันท์นภัส จิตต์รุ่งเรืองสุข</v>
      </c>
      <c r="L1226" t="str">
        <f>IFERROR(__xludf.DUMMYFUNCTION("""COMPUTED_VALUE"""),"พิ้งค์")</f>
        <v>พิ้งค์</v>
      </c>
      <c r="M1226" t="str">
        <f>IFERROR(__xludf.DUMMYFUNCTION("""COMPUTED_VALUE"""),"Cabin Crew")</f>
        <v>Cabin Crew</v>
      </c>
      <c r="N1226" t="str">
        <f>IFERROR(__xludf.DUMMYFUNCTION("""COMPUTED_VALUE"""),"DMK")</f>
        <v>DMK</v>
      </c>
      <c r="O1226" s="145" t="str">
        <f>IFERROR(__xludf.DUMMYFUNCTION("""COMPUTED_VALUE"""),"Namfon Home")</f>
        <v>Namfon Home</v>
      </c>
      <c r="P1226" t="str">
        <f>IFERROR(__xludf.DUMMYFUNCTION("""COMPUTED_VALUE"""),"Active")</f>
        <v>Active</v>
      </c>
      <c r="R1226" s="143">
        <f>IFERROR(__xludf.DUMMYFUNCTION("""COMPUTED_VALUE"""),32489.0)</f>
        <v>32489</v>
      </c>
      <c r="S1226" s="146">
        <f>IFERROR(__xludf.DUMMYFUNCTION("""COMPUTED_VALUE"""),8.16928795E8)</f>
        <v>816928795</v>
      </c>
      <c r="T1226" s="147">
        <f>IFERROR(__xludf.DUMMYFUNCTION("""COMPUTED_VALUE"""),1.319800023581E12)</f>
        <v>1319800023581</v>
      </c>
      <c r="U1226" t="str">
        <f>IFERROR(__xludf.DUMMYFUNCTION("""COMPUTED_VALUE"""),"AC3823772")</f>
        <v>AC3823772</v>
      </c>
      <c r="V1226" s="148">
        <f>IFERROR(__xludf.DUMMYFUNCTION("""COMPUTED_VALUE"""),44839.0)</f>
        <v>44839</v>
      </c>
      <c r="W1226" s="148">
        <f>IFERROR(__xludf.DUMMYFUNCTION("""COMPUTED_VALUE"""),48491.0)</f>
        <v>48491</v>
      </c>
      <c r="X1226" s="149">
        <f>IFERROR(__xludf.DUMMYFUNCTION("""COMPUTED_VALUE"""),48308.0)</f>
        <v>48308</v>
      </c>
      <c r="Y1226" t="str">
        <f>IFERROR(__xludf.DUMMYFUNCTION("""COMPUTED_VALUE"""),"ปลอดภัย")</f>
        <v>ปลอดภัย</v>
      </c>
      <c r="Z1226" t="str">
        <f>IFERROR(__xludf.DUMMYFUNCTION("""COMPUTED_VALUE"""),"Buriram Province")</f>
        <v>Buriram Province</v>
      </c>
      <c r="AA1226" t="str">
        <f>IFERROR(__xludf.DUMMYFUNCTION("""COMPUTED_VALUE"""),"Bangkok")</f>
        <v>Bangkok</v>
      </c>
      <c r="AB1226" s="145" t="str">
        <f>IFERROR(__xludf.DUMMYFUNCTION("""COMPUTED_VALUE"""),"096-920-3219")</f>
        <v>096-920-3219</v>
      </c>
      <c r="AC1226" t="str">
        <f>IFERROR(__xludf.DUMMYFUNCTION("""COMPUTED_VALUE"""),"นายศุภชัย จิตต์รุ่งเรืองสุข Father")</f>
        <v>นายศุภชัย จิตต์รุ่งเรืองสุข Father</v>
      </c>
      <c r="AD1226" t="str">
        <f>IFERROR(__xludf.DUMMYFUNCTION("""COMPUTED_VALUE"""),"nannaphatj@airasia.com")</f>
        <v>nannaphatj@airasia.com</v>
      </c>
    </row>
    <row r="1227">
      <c r="A1227" s="142">
        <f>IFERROR(__xludf.DUMMYFUNCTION("""COMPUTED_VALUE"""),110.0)</f>
        <v>110</v>
      </c>
      <c r="B1227" t="str">
        <f>IFERROR(__xludf.DUMMYFUNCTION("""COMPUTED_VALUE"""),"Tranfer from AK")</f>
        <v>Tranfer from AK</v>
      </c>
      <c r="C1227">
        <f>IFERROR(__xludf.DUMMYFUNCTION("""COMPUTED_VALUE"""),1038177.0)</f>
        <v>1038177</v>
      </c>
      <c r="D1227" t="str">
        <f>IFERROR(__xludf.DUMMYFUNCTION("""COMPUTED_VALUE"""),"Ms.")</f>
        <v>Ms.</v>
      </c>
      <c r="E1227" t="str">
        <f>IFERROR(__xludf.DUMMYFUNCTION("""COMPUTED_VALUE"""),"Sujinun")</f>
        <v>Sujinun</v>
      </c>
      <c r="F1227" t="str">
        <f>IFERROR(__xludf.DUMMYFUNCTION("""COMPUTED_VALUE"""),"Singkarach")</f>
        <v>Singkarach</v>
      </c>
      <c r="G1227" t="str">
        <f>IFERROR(__xludf.DUMMYFUNCTION("""COMPUTED_VALUE"""),"Sujinun Singkarach")</f>
        <v>Sujinun Singkarach</v>
      </c>
      <c r="H1227" t="str">
        <f>IFERROR(__xludf.DUMMYFUNCTION("""COMPUTED_VALUE"""),"นางสาว")</f>
        <v>นางสาว</v>
      </c>
      <c r="I1227" t="str">
        <f>IFERROR(__xludf.DUMMYFUNCTION("""COMPUTED_VALUE"""),"สุจินันท์")</f>
        <v>สุจินันท์</v>
      </c>
      <c r="J1227" t="str">
        <f>IFERROR(__xludf.DUMMYFUNCTION("""COMPUTED_VALUE"""),"สิงฆราช")</f>
        <v>สิงฆราช</v>
      </c>
      <c r="K1227" t="str">
        <f>IFERROR(__xludf.DUMMYFUNCTION("""COMPUTED_VALUE"""),"สุจินันท์ สิงฆราช")</f>
        <v>สุจินันท์ สิงฆราช</v>
      </c>
      <c r="L1227" t="str">
        <f>IFERROR(__xludf.DUMMYFUNCTION("""COMPUTED_VALUE"""),"Anne/แอน")</f>
        <v>Anne/แอน</v>
      </c>
      <c r="M1227" t="str">
        <f>IFERROR(__xludf.DUMMYFUNCTION("""COMPUTED_VALUE"""),"Cabin Crew - BKK")</f>
        <v>Cabin Crew - BKK</v>
      </c>
      <c r="N1227" t="str">
        <f>IFERROR(__xludf.DUMMYFUNCTION("""COMPUTED_VALUE"""),"BKK")</f>
        <v>BKK</v>
      </c>
      <c r="O1227" s="145" t="str">
        <f>IFERROR(__xludf.DUMMYFUNCTION("""COMPUTED_VALUE"""),"Nhui Home")</f>
        <v>Nhui Home</v>
      </c>
      <c r="P1227" t="str">
        <f>IFERROR(__xludf.DUMMYFUNCTION("""COMPUTED_VALUE"""),"Active")</f>
        <v>Active</v>
      </c>
      <c r="R1227" s="163">
        <f>IFERROR(__xludf.DUMMYFUNCTION("""COMPUTED_VALUE"""),34384.0)</f>
        <v>34384</v>
      </c>
      <c r="S1227" s="146">
        <f>IFERROR(__xludf.DUMMYFUNCTION("""COMPUTED_VALUE"""),9.2581939E8)</f>
        <v>925819390</v>
      </c>
      <c r="T1227" s="147">
        <f>IFERROR(__xludf.DUMMYFUNCTION("""COMPUTED_VALUE"""),1.100501073245E12)</f>
        <v>1100501073245</v>
      </c>
      <c r="U1227" t="str">
        <f>IFERROR(__xludf.DUMMYFUNCTION("""COMPUTED_VALUE"""),"AC4668413")</f>
        <v>AC4668413</v>
      </c>
      <c r="V1227" s="148">
        <f>IFERROR(__xludf.DUMMYFUNCTION("""COMPUTED_VALUE"""),44998.0)</f>
        <v>44998</v>
      </c>
      <c r="W1227" s="148">
        <f>IFERROR(__xludf.DUMMYFUNCTION("""COMPUTED_VALUE"""),46824.0)</f>
        <v>46824</v>
      </c>
      <c r="X1227" s="149">
        <f>IFERROR(__xludf.DUMMYFUNCTION("""COMPUTED_VALUE"""),46642.0)</f>
        <v>46642</v>
      </c>
      <c r="Y1227" t="str">
        <f>IFERROR(__xludf.DUMMYFUNCTION("""COMPUTED_VALUE"""),"ปลอดภัย")</f>
        <v>ปลอดภัย</v>
      </c>
      <c r="Z1227" t="str">
        <f>IFERROR(__xludf.DUMMYFUNCTION("""COMPUTED_VALUE"""),"Bangkok")</f>
        <v>Bangkok</v>
      </c>
      <c r="AA1227" t="str">
        <f>IFERROR(__xludf.DUMMYFUNCTION("""COMPUTED_VALUE"""),"Samutprakarn")</f>
        <v>Samutprakarn</v>
      </c>
      <c r="AB1227" s="145" t="str">
        <f>IFERROR(__xludf.DUMMYFUNCTION("""COMPUTED_VALUE"""),"0827600597")</f>
        <v>0827600597</v>
      </c>
      <c r="AC1227" t="str">
        <f>IFERROR(__xludf.DUMMYFUNCTION("""COMPUTED_VALUE"""),"นางพีรพร สิงฆราช Mother")</f>
        <v>นางพีรพร สิงฆราช Mother</v>
      </c>
      <c r="AD1227" t="str">
        <f>IFERROR(__xludf.DUMMYFUNCTION("""COMPUTED_VALUE"""),"sujinuns@airasia.com")</f>
        <v>sujinuns@airasia.com</v>
      </c>
    </row>
    <row r="1228">
      <c r="A1228" s="142">
        <f>IFERROR(__xludf.DUMMYFUNCTION("""COMPUTED_VALUE"""),110.0)</f>
        <v>110</v>
      </c>
      <c r="C1228">
        <f>IFERROR(__xludf.DUMMYFUNCTION("""COMPUTED_VALUE"""),1002800.0)</f>
        <v>1002800</v>
      </c>
      <c r="D1228" t="str">
        <f>IFERROR(__xludf.DUMMYFUNCTION("""COMPUTED_VALUE"""),"Mr.")</f>
        <v>Mr.</v>
      </c>
      <c r="E1228" t="str">
        <f>IFERROR(__xludf.DUMMYFUNCTION("""COMPUTED_VALUE"""),"San")</f>
        <v>San</v>
      </c>
      <c r="F1228" t="str">
        <f>IFERROR(__xludf.DUMMYFUNCTION("""COMPUTED_VALUE"""),"Pratanyos")</f>
        <v>Pratanyos</v>
      </c>
      <c r="G1228" t="str">
        <f>IFERROR(__xludf.DUMMYFUNCTION("""COMPUTED_VALUE"""),"San Pratanyos")</f>
        <v>San Pratanyos</v>
      </c>
      <c r="H1228" t="str">
        <f>IFERROR(__xludf.DUMMYFUNCTION("""COMPUTED_VALUE"""),"นาย")</f>
        <v>นาย</v>
      </c>
      <c r="I1228" t="str">
        <f>IFERROR(__xludf.DUMMYFUNCTION("""COMPUTED_VALUE"""),"สันต์")</f>
        <v>สันต์</v>
      </c>
      <c r="J1228" t="str">
        <f>IFERROR(__xludf.DUMMYFUNCTION("""COMPUTED_VALUE"""),"ประธานยศ")</f>
        <v>ประธานยศ</v>
      </c>
      <c r="K1228" t="str">
        <f>IFERROR(__xludf.DUMMYFUNCTION("""COMPUTED_VALUE"""),"สันต์ ประธานยศ")</f>
        <v>สันต์ ประธานยศ</v>
      </c>
      <c r="L1228" t="str">
        <f>IFERROR(__xludf.DUMMYFUNCTION("""COMPUTED_VALUE"""),"Ty / ตี้")</f>
        <v>Ty / ตี้</v>
      </c>
      <c r="M1228" t="str">
        <f>IFERROR(__xludf.DUMMYFUNCTION("""COMPUTED_VALUE"""),"Cabin Crew - BKK")</f>
        <v>Cabin Crew - BKK</v>
      </c>
      <c r="N1228" t="str">
        <f>IFERROR(__xludf.DUMMYFUNCTION("""COMPUTED_VALUE"""),"BKK")</f>
        <v>BKK</v>
      </c>
      <c r="O1228" s="145" t="str">
        <f>IFERROR(__xludf.DUMMYFUNCTION("""COMPUTED_VALUE"""),"Nhui Home")</f>
        <v>Nhui Home</v>
      </c>
      <c r="P1228" t="str">
        <f>IFERROR(__xludf.DUMMYFUNCTION("""COMPUTED_VALUE"""),"Active")</f>
        <v>Active</v>
      </c>
      <c r="R1228" s="163">
        <f>IFERROR(__xludf.DUMMYFUNCTION("""COMPUTED_VALUE"""),31617.0)</f>
        <v>31617</v>
      </c>
      <c r="S1228" s="146">
        <f>IFERROR(__xludf.DUMMYFUNCTION("""COMPUTED_VALUE"""),8.55293641E8)</f>
        <v>855293641</v>
      </c>
      <c r="T1228" s="147">
        <f>IFERROR(__xludf.DUMMYFUNCTION("""COMPUTED_VALUE"""),1.719900109815E12)</f>
        <v>1719900109815</v>
      </c>
      <c r="U1228" t="str">
        <f>IFERROR(__xludf.DUMMYFUNCTION("""COMPUTED_VALUE"""),"AD0897999")</f>
        <v>AD0897999</v>
      </c>
      <c r="V1228" s="148">
        <f>IFERROR(__xludf.DUMMYFUNCTION("""COMPUTED_VALUE"""),44988.0)</f>
        <v>44988</v>
      </c>
      <c r="W1228" s="148">
        <f>IFERROR(__xludf.DUMMYFUNCTION("""COMPUTED_VALUE"""),46814.0)</f>
        <v>46814</v>
      </c>
      <c r="X1228" s="149">
        <f>IFERROR(__xludf.DUMMYFUNCTION("""COMPUTED_VALUE"""),46632.0)</f>
        <v>46632</v>
      </c>
      <c r="Y1228" t="str">
        <f>IFERROR(__xludf.DUMMYFUNCTION("""COMPUTED_VALUE"""),"ปลอดภัย")</f>
        <v>ปลอดภัย</v>
      </c>
      <c r="Z1228" t="str">
        <f>IFERROR(__xludf.DUMMYFUNCTION("""COMPUTED_VALUE"""),"Phetchaburi Province")</f>
        <v>Phetchaburi Province</v>
      </c>
      <c r="AA1228" t="str">
        <f>IFERROR(__xludf.DUMMYFUNCTION("""COMPUTED_VALUE"""),"Bangkok")</f>
        <v>Bangkok</v>
      </c>
      <c r="AB1228" s="145" t="str">
        <f>IFERROR(__xludf.DUMMYFUNCTION("""COMPUTED_VALUE"""),"0636353162")</f>
        <v>0636353162</v>
      </c>
      <c r="AC1228" t="str">
        <f>IFERROR(__xludf.DUMMYFUNCTION("""COMPUTED_VALUE"""),"นางสาวมลฤดี นภาเวชกุล Friend")</f>
        <v>นางสาวมลฤดี นภาเวชกุล Friend</v>
      </c>
      <c r="AD1228" t="str">
        <f>IFERROR(__xludf.DUMMYFUNCTION("""COMPUTED_VALUE"""),"sanpra@airasia.com")</f>
        <v>sanpra@airasia.com</v>
      </c>
    </row>
    <row r="1229">
      <c r="A1229" s="142">
        <f>IFERROR(__xludf.DUMMYFUNCTION("""COMPUTED_VALUE"""),110.0)</f>
        <v>110</v>
      </c>
      <c r="C1229">
        <f>IFERROR(__xludf.DUMMYFUNCTION("""COMPUTED_VALUE"""),1005766.0)</f>
        <v>1005766</v>
      </c>
      <c r="D1229" t="str">
        <f>IFERROR(__xludf.DUMMYFUNCTION("""COMPUTED_VALUE"""),"Ms.")</f>
        <v>Ms.</v>
      </c>
      <c r="E1229" t="str">
        <f>IFERROR(__xludf.DUMMYFUNCTION("""COMPUTED_VALUE"""),"Saleera")</f>
        <v>Saleera</v>
      </c>
      <c r="F1229" t="str">
        <f>IFERROR(__xludf.DUMMYFUNCTION("""COMPUTED_VALUE"""),"Wangphoka")</f>
        <v>Wangphoka</v>
      </c>
      <c r="G1229" t="str">
        <f>IFERROR(__xludf.DUMMYFUNCTION("""COMPUTED_VALUE"""),"Saleera Wangphoka")</f>
        <v>Saleera Wangphoka</v>
      </c>
      <c r="H1229" t="str">
        <f>IFERROR(__xludf.DUMMYFUNCTION("""COMPUTED_VALUE"""),"นางสาว")</f>
        <v>นางสาว</v>
      </c>
      <c r="I1229" t="str">
        <f>IFERROR(__xludf.DUMMYFUNCTION("""COMPUTED_VALUE"""),"ศลีรา")</f>
        <v>ศลีรา</v>
      </c>
      <c r="J1229" t="str">
        <f>IFERROR(__xludf.DUMMYFUNCTION("""COMPUTED_VALUE"""),"หวังโภคา")</f>
        <v>หวังโภคา</v>
      </c>
      <c r="K1229" t="str">
        <f>IFERROR(__xludf.DUMMYFUNCTION("""COMPUTED_VALUE"""),"ศลีรา หวังโภคา")</f>
        <v>ศลีรา หวังโภคา</v>
      </c>
      <c r="L1229" t="str">
        <f>IFERROR(__xludf.DUMMYFUNCTION("""COMPUTED_VALUE"""),"แอร์")</f>
        <v>แอร์</v>
      </c>
      <c r="M1229" t="str">
        <f>IFERROR(__xludf.DUMMYFUNCTION("""COMPUTED_VALUE"""),"Cabin Crew - BKK")</f>
        <v>Cabin Crew - BKK</v>
      </c>
      <c r="N1229" t="str">
        <f>IFERROR(__xludf.DUMMYFUNCTION("""COMPUTED_VALUE"""),"BKK")</f>
        <v>BKK</v>
      </c>
      <c r="O1229" s="145" t="str">
        <f>IFERROR(__xludf.DUMMYFUNCTION("""COMPUTED_VALUE"""),"Nhui Home")</f>
        <v>Nhui Home</v>
      </c>
      <c r="P1229" t="str">
        <f>IFERROR(__xludf.DUMMYFUNCTION("""COMPUTED_VALUE"""),"Active/V/DMK")</f>
        <v>Active/V/DMK</v>
      </c>
      <c r="R1229" s="163">
        <f>IFERROR(__xludf.DUMMYFUNCTION("""COMPUTED_VALUE"""),32407.0)</f>
        <v>32407</v>
      </c>
      <c r="S1229" s="146">
        <f>IFERROR(__xludf.DUMMYFUNCTION("""COMPUTED_VALUE"""),8.16622946E8)</f>
        <v>816622946</v>
      </c>
      <c r="T1229" s="147">
        <f>IFERROR(__xludf.DUMMYFUNCTION("""COMPUTED_VALUE"""),1.100600166128E12)</f>
        <v>1100600166128</v>
      </c>
      <c r="U1229" t="str">
        <f>IFERROR(__xludf.DUMMYFUNCTION("""COMPUTED_VALUE"""),"AC7082259")</f>
        <v>AC7082259</v>
      </c>
      <c r="V1229" s="148">
        <f>IFERROR(__xludf.DUMMYFUNCTION("""COMPUTED_VALUE"""),45600.0)</f>
        <v>45600</v>
      </c>
      <c r="W1229" s="148">
        <f>IFERROR(__xludf.DUMMYFUNCTION("""COMPUTED_VALUE"""),49251.0)</f>
        <v>49251</v>
      </c>
      <c r="X1229" s="149">
        <f>IFERROR(__xludf.DUMMYFUNCTION("""COMPUTED_VALUE"""),49067.0)</f>
        <v>49067</v>
      </c>
      <c r="Y1229" t="str">
        <f>IFERROR(__xludf.DUMMYFUNCTION("""COMPUTED_VALUE"""),"ปลอดภัย")</f>
        <v>ปลอดภัย</v>
      </c>
      <c r="Z1229" t="str">
        <f>IFERROR(__xludf.DUMMYFUNCTION("""COMPUTED_VALUE"""),"Bangkok")</f>
        <v>Bangkok</v>
      </c>
      <c r="AA1229" t="str">
        <f>IFERROR(__xludf.DUMMYFUNCTION("""COMPUTED_VALUE"""),"Bangkok")</f>
        <v>Bangkok</v>
      </c>
      <c r="AB1229" t="str">
        <f>IFERROR(__xludf.DUMMYFUNCTION("""COMPUTED_VALUE"""),"0816251889")</f>
        <v>0816251889</v>
      </c>
      <c r="AC1229" t="str">
        <f>IFERROR(__xludf.DUMMYFUNCTION("""COMPUTED_VALUE"""),"นางธนัญญา เอี่ยมธนาภรณ์ Mother")</f>
        <v>นางธนัญญา เอี่ยมธนาภรณ์ Mother</v>
      </c>
      <c r="AD1229" t="str">
        <f>IFERROR(__xludf.DUMMYFUNCTION("""COMPUTED_VALUE"""),"saleerawan@airasia.com")</f>
        <v>saleerawan@airasia.com</v>
      </c>
    </row>
    <row r="1230">
      <c r="A1230" s="142">
        <f>IFERROR(__xludf.DUMMYFUNCTION("""COMPUTED_VALUE"""),110.0)</f>
        <v>110</v>
      </c>
      <c r="C1230">
        <f>IFERROR(__xludf.DUMMYFUNCTION("""COMPUTED_VALUE"""),1004443.0)</f>
        <v>1004443</v>
      </c>
      <c r="D1230" t="str">
        <f>IFERROR(__xludf.DUMMYFUNCTION("""COMPUTED_VALUE"""),"Mr.")</f>
        <v>Mr.</v>
      </c>
      <c r="E1230" t="str">
        <f>IFERROR(__xludf.DUMMYFUNCTION("""COMPUTED_VALUE"""),"Anantaporn")</f>
        <v>Anantaporn</v>
      </c>
      <c r="F1230" t="str">
        <f>IFERROR(__xludf.DUMMYFUNCTION("""COMPUTED_VALUE"""),"Intravisit")</f>
        <v>Intravisit</v>
      </c>
      <c r="G1230" t="str">
        <f>IFERROR(__xludf.DUMMYFUNCTION("""COMPUTED_VALUE"""),"Anantaporn Intravisit")</f>
        <v>Anantaporn Intravisit</v>
      </c>
      <c r="H1230" t="str">
        <f>IFERROR(__xludf.DUMMYFUNCTION("""COMPUTED_VALUE"""),"นาย")</f>
        <v>นาย</v>
      </c>
      <c r="I1230" t="str">
        <f>IFERROR(__xludf.DUMMYFUNCTION("""COMPUTED_VALUE"""),"อนันตพร")</f>
        <v>อนันตพร</v>
      </c>
      <c r="J1230" t="str">
        <f>IFERROR(__xludf.DUMMYFUNCTION("""COMPUTED_VALUE"""),"อินทรวิศิษฏ์")</f>
        <v>อินทรวิศิษฏ์</v>
      </c>
      <c r="K1230" t="str">
        <f>IFERROR(__xludf.DUMMYFUNCTION("""COMPUTED_VALUE"""),"อนันตพร อินทรวิศิษฏ์")</f>
        <v>อนันตพร อินทรวิศิษฏ์</v>
      </c>
      <c r="L1230" t="str">
        <f>IFERROR(__xludf.DUMMYFUNCTION("""COMPUTED_VALUE"""),"Ice / ไอซ์")</f>
        <v>Ice / ไอซ์</v>
      </c>
      <c r="M1230" t="str">
        <f>IFERROR(__xludf.DUMMYFUNCTION("""COMPUTED_VALUE"""),"Cabin Crew - BKK")</f>
        <v>Cabin Crew - BKK</v>
      </c>
      <c r="N1230" t="str">
        <f>IFERROR(__xludf.DUMMYFUNCTION("""COMPUTED_VALUE"""),"BKK")</f>
        <v>BKK</v>
      </c>
      <c r="O1230" s="145" t="str">
        <f>IFERROR(__xludf.DUMMYFUNCTION("""COMPUTED_VALUE"""),"Nhui Home")</f>
        <v>Nhui Home</v>
      </c>
      <c r="P1230" t="str">
        <f>IFERROR(__xludf.DUMMYFUNCTION("""COMPUTED_VALUE"""),"Active")</f>
        <v>Active</v>
      </c>
      <c r="R1230" s="163">
        <f>IFERROR(__xludf.DUMMYFUNCTION("""COMPUTED_VALUE"""),32020.0)</f>
        <v>32020</v>
      </c>
      <c r="S1230" s="146">
        <f>IFERROR(__xludf.DUMMYFUNCTION("""COMPUTED_VALUE"""),8.96661115E8)</f>
        <v>896661115</v>
      </c>
      <c r="T1230" s="147">
        <f>IFERROR(__xludf.DUMMYFUNCTION("""COMPUTED_VALUE"""),1.100900390619E12)</f>
        <v>1100900390619</v>
      </c>
      <c r="U1230" t="str">
        <f>IFERROR(__xludf.DUMMYFUNCTION("""COMPUTED_VALUE"""),"AC5080747")</f>
        <v>AC5080747</v>
      </c>
      <c r="V1230" s="148">
        <f>IFERROR(__xludf.DUMMYFUNCTION("""COMPUTED_VALUE"""),45083.0)</f>
        <v>45083</v>
      </c>
      <c r="W1230" s="148">
        <f>IFERROR(__xludf.DUMMYFUNCTION("""COMPUTED_VALUE"""),48735.0)</f>
        <v>48735</v>
      </c>
      <c r="X1230" s="149">
        <f>IFERROR(__xludf.DUMMYFUNCTION("""COMPUTED_VALUE"""),48553.0)</f>
        <v>48553</v>
      </c>
      <c r="Y1230" t="str">
        <f>IFERROR(__xludf.DUMMYFUNCTION("""COMPUTED_VALUE"""),"ปลอดภัย")</f>
        <v>ปลอดภัย</v>
      </c>
      <c r="Z1230" t="str">
        <f>IFERROR(__xludf.DUMMYFUNCTION("""COMPUTED_VALUE"""),"Bangkok")</f>
        <v>Bangkok</v>
      </c>
      <c r="AA1230" t="str">
        <f>IFERROR(__xludf.DUMMYFUNCTION("""COMPUTED_VALUE"""),"Bangkok")</f>
        <v>Bangkok</v>
      </c>
      <c r="AB1230" t="str">
        <f>IFERROR(__xludf.DUMMYFUNCTION("""COMPUTED_VALUE"""),"0899922216")</f>
        <v>0899922216</v>
      </c>
      <c r="AC1230" t="str">
        <f>IFERROR(__xludf.DUMMYFUNCTION("""COMPUTED_VALUE"""),"นาย อนันตเดช อินทรวิศิษฏ์ Brother")</f>
        <v>นาย อนันตเดช อินทรวิศิษฏ์ Brother</v>
      </c>
      <c r="AD1230" t="str">
        <f>IFERROR(__xludf.DUMMYFUNCTION("""COMPUTED_VALUE"""),"anantapornint@airasia.com")</f>
        <v>anantapornint@airasia.com</v>
      </c>
    </row>
    <row r="1231">
      <c r="A1231" s="142">
        <f>IFERROR(__xludf.DUMMYFUNCTION("""COMPUTED_VALUE"""),110.0)</f>
        <v>110</v>
      </c>
      <c r="C1231">
        <f>IFERROR(__xludf.DUMMYFUNCTION("""COMPUTED_VALUE"""),1044858.0)</f>
        <v>1044858</v>
      </c>
      <c r="D1231" t="str">
        <f>IFERROR(__xludf.DUMMYFUNCTION("""COMPUTED_VALUE"""),"Ms.")</f>
        <v>Ms.</v>
      </c>
      <c r="E1231" t="str">
        <f>IFERROR(__xludf.DUMMYFUNCTION("""COMPUTED_VALUE"""),"Arunutcha")</f>
        <v>Arunutcha</v>
      </c>
      <c r="F1231" t="str">
        <f>IFERROR(__xludf.DUMMYFUNCTION("""COMPUTED_VALUE"""),"Bangviwat (Charachit)")</f>
        <v>Bangviwat (Charachit)</v>
      </c>
      <c r="G1231" t="str">
        <f>IFERROR(__xludf.DUMMYFUNCTION("""COMPUTED_VALUE"""),"Arunutcha Bangviwat")</f>
        <v>Arunutcha Bangviwat</v>
      </c>
      <c r="H1231" t="str">
        <f>IFERROR(__xludf.DUMMYFUNCTION("""COMPUTED_VALUE"""),"นางสาว")</f>
        <v>นางสาว</v>
      </c>
      <c r="I1231" t="str">
        <f>IFERROR(__xludf.DUMMYFUNCTION("""COMPUTED_VALUE"""),"อรุณัชชา")</f>
        <v>อรุณัชชา</v>
      </c>
      <c r="J1231" t="str">
        <f>IFERROR(__xludf.DUMMYFUNCTION("""COMPUTED_VALUE"""),"บางวิวัฒน์ (ชราชิต)")</f>
        <v>บางวิวัฒน์ (ชราชิต)</v>
      </c>
      <c r="K1231" t="str">
        <f>IFERROR(__xludf.DUMMYFUNCTION("""COMPUTED_VALUE"""),"อรุณัชชา บางวิวัฒน์")</f>
        <v>อรุณัชชา บางวิวัฒน์</v>
      </c>
      <c r="L1231" t="str">
        <f>IFERROR(__xludf.DUMMYFUNCTION("""COMPUTED_VALUE"""),"Piano / เปียโน")</f>
        <v>Piano / เปียโน</v>
      </c>
      <c r="M1231" t="str">
        <f>IFERROR(__xludf.DUMMYFUNCTION("""COMPUTED_VALUE"""),"Cabin Crew")</f>
        <v>Cabin Crew</v>
      </c>
      <c r="N1231" t="str">
        <f>IFERROR(__xludf.DUMMYFUNCTION("""COMPUTED_VALUE"""),"DMK")</f>
        <v>DMK</v>
      </c>
      <c r="O1231" s="145" t="str">
        <f>IFERROR(__xludf.DUMMYFUNCTION("""COMPUTED_VALUE"""),"Namfon Home")</f>
        <v>Namfon Home</v>
      </c>
      <c r="P1231" t="str">
        <f>IFERROR(__xludf.DUMMYFUNCTION("""COMPUTED_VALUE"""),"Active")</f>
        <v>Active</v>
      </c>
      <c r="R1231" s="163">
        <f>IFERROR(__xludf.DUMMYFUNCTION("""COMPUTED_VALUE"""),34242.0)</f>
        <v>34242</v>
      </c>
      <c r="S1231" s="146">
        <f>IFERROR(__xludf.DUMMYFUNCTION("""COMPUTED_VALUE"""),8.06043032E8)</f>
        <v>806043032</v>
      </c>
      <c r="T1231" s="147">
        <f>IFERROR(__xludf.DUMMYFUNCTION("""COMPUTED_VALUE"""),1.559900246334E12)</f>
        <v>1559900246334</v>
      </c>
      <c r="U1231" t="str">
        <f>IFERROR(__xludf.DUMMYFUNCTION("""COMPUTED_VALUE"""),"AD2641825")</f>
        <v>AD2641825</v>
      </c>
      <c r="V1231" s="148">
        <f>IFERROR(__xludf.DUMMYFUNCTION("""COMPUTED_VALUE"""),45974.0)</f>
        <v>45974</v>
      </c>
      <c r="W1231" s="148">
        <f>IFERROR(__xludf.DUMMYFUNCTION("""COMPUTED_VALUE"""),49625.0)</f>
        <v>49625</v>
      </c>
      <c r="X1231" s="149">
        <f>IFERROR(__xludf.DUMMYFUNCTION("""COMPUTED_VALUE"""),49441.0)</f>
        <v>49441</v>
      </c>
      <c r="Y1231" t="str">
        <f>IFERROR(__xludf.DUMMYFUNCTION("""COMPUTED_VALUE"""),"ปลอดภัย")</f>
        <v>ปลอดภัย</v>
      </c>
      <c r="Z1231" t="str">
        <f>IFERROR(__xludf.DUMMYFUNCTION("""COMPUTED_VALUE"""),"Nan Province")</f>
        <v>Nan Province</v>
      </c>
      <c r="AA1231" t="str">
        <f>IFERROR(__xludf.DUMMYFUNCTION("""COMPUTED_VALUE"""),"Bangkok")</f>
        <v>Bangkok</v>
      </c>
      <c r="AB1231" t="str">
        <f>IFERROR(__xludf.DUMMYFUNCTION("""COMPUTED_VALUE"""),"0832595905")</f>
        <v>0832595905</v>
      </c>
      <c r="AC1231" t="str">
        <f>IFERROR(__xludf.DUMMYFUNCTION("""COMPUTED_VALUE"""),"นาย สุพศิน บางวิวัฒน์ Friend")</f>
        <v>นาย สุพศิน บางวิวัฒน์ Friend</v>
      </c>
      <c r="AD1231" t="str">
        <f>IFERROR(__xludf.DUMMYFUNCTION("""COMPUTED_VALUE"""),"arunutchabang@airasia.com")</f>
        <v>arunutchabang@airasia.com</v>
      </c>
    </row>
    <row r="1232">
      <c r="A1232" s="142">
        <f>IFERROR(__xludf.DUMMYFUNCTION("""COMPUTED_VALUE"""),110.0)</f>
        <v>110</v>
      </c>
      <c r="C1232">
        <f>IFERROR(__xludf.DUMMYFUNCTION("""COMPUTED_VALUE"""),1044859.0)</f>
        <v>1044859</v>
      </c>
      <c r="D1232" t="str">
        <f>IFERROR(__xludf.DUMMYFUNCTION("""COMPUTED_VALUE"""),"Ms.")</f>
        <v>Ms.</v>
      </c>
      <c r="E1232" t="str">
        <f>IFERROR(__xludf.DUMMYFUNCTION("""COMPUTED_VALUE"""),"Pitcha")</f>
        <v>Pitcha</v>
      </c>
      <c r="F1232" t="str">
        <f>IFERROR(__xludf.DUMMYFUNCTION("""COMPUTED_VALUE"""),"Klinporn")</f>
        <v>Klinporn</v>
      </c>
      <c r="G1232" t="str">
        <f>IFERROR(__xludf.DUMMYFUNCTION("""COMPUTED_VALUE"""),"Pitcha Klinporn")</f>
        <v>Pitcha Klinporn</v>
      </c>
      <c r="H1232" t="str">
        <f>IFERROR(__xludf.DUMMYFUNCTION("""COMPUTED_VALUE"""),"นางสาว")</f>
        <v>นางสาว</v>
      </c>
      <c r="I1232" t="str">
        <f>IFERROR(__xludf.DUMMYFUNCTION("""COMPUTED_VALUE"""),"พิชชา")</f>
        <v>พิชชา</v>
      </c>
      <c r="J1232" t="str">
        <f>IFERROR(__xludf.DUMMYFUNCTION("""COMPUTED_VALUE"""),"กลิ่นพร")</f>
        <v>กลิ่นพร</v>
      </c>
      <c r="K1232" t="str">
        <f>IFERROR(__xludf.DUMMYFUNCTION("""COMPUTED_VALUE"""),"พิชชา กลิ่นพร")</f>
        <v>พิชชา กลิ่นพร</v>
      </c>
      <c r="L1232" t="str">
        <f>IFERROR(__xludf.DUMMYFUNCTION("""COMPUTED_VALUE"""),"พิชชา")</f>
        <v>พิชชา</v>
      </c>
      <c r="M1232" t="str">
        <f>IFERROR(__xludf.DUMMYFUNCTION("""COMPUTED_VALUE"""),"Cabin Crew - BKK")</f>
        <v>Cabin Crew - BKK</v>
      </c>
      <c r="N1232" t="str">
        <f>IFERROR(__xludf.DUMMYFUNCTION("""COMPUTED_VALUE"""),"BKK")</f>
        <v>BKK</v>
      </c>
      <c r="O1232" s="145" t="str">
        <f>IFERROR(__xludf.DUMMYFUNCTION("""COMPUTED_VALUE"""),"Nhui Home")</f>
        <v>Nhui Home</v>
      </c>
      <c r="P1232" t="str">
        <f>IFERROR(__xludf.DUMMYFUNCTION("""COMPUTED_VALUE"""),"Active/V/DMK")</f>
        <v>Active/V/DMK</v>
      </c>
      <c r="R1232" s="163">
        <f>IFERROR(__xludf.DUMMYFUNCTION("""COMPUTED_VALUE"""),34919.0)</f>
        <v>34919</v>
      </c>
      <c r="S1232" s="146">
        <f>IFERROR(__xludf.DUMMYFUNCTION("""COMPUTED_VALUE"""),8.5256789E8)</f>
        <v>852567890</v>
      </c>
      <c r="T1232" s="147">
        <f>IFERROR(__xludf.DUMMYFUNCTION("""COMPUTED_VALUE"""),1.609900332612E12)</f>
        <v>1609900332612</v>
      </c>
      <c r="U1232" t="str">
        <f>IFERROR(__xludf.DUMMYFUNCTION("""COMPUTED_VALUE"""),"AC5373824")</f>
        <v>AC5373824</v>
      </c>
      <c r="V1232" s="148">
        <f>IFERROR(__xludf.DUMMYFUNCTION("""COMPUTED_VALUE"""),45134.0)</f>
        <v>45134</v>
      </c>
      <c r="W1232" s="148">
        <f>IFERROR(__xludf.DUMMYFUNCTION("""COMPUTED_VALUE"""),48786.0)</f>
        <v>48786</v>
      </c>
      <c r="X1232" s="149">
        <f>IFERROR(__xludf.DUMMYFUNCTION("""COMPUTED_VALUE"""),48605.0)</f>
        <v>48605</v>
      </c>
      <c r="Y1232" t="str">
        <f>IFERROR(__xludf.DUMMYFUNCTION("""COMPUTED_VALUE"""),"ปลอดภัย")</f>
        <v>ปลอดภัย</v>
      </c>
      <c r="Z1232" t="str">
        <f>IFERROR(__xludf.DUMMYFUNCTION("""COMPUTED_VALUE"""),"Nakhon Sawan Province")</f>
        <v>Nakhon Sawan Province</v>
      </c>
      <c r="AA1232" t="str">
        <f>IFERROR(__xludf.DUMMYFUNCTION("""COMPUTED_VALUE"""),"Bangkok")</f>
        <v>Bangkok</v>
      </c>
      <c r="AB1232" s="145" t="str">
        <f>IFERROR(__xludf.DUMMYFUNCTION("""COMPUTED_VALUE"""),"085-485-1805")</f>
        <v>085-485-1805</v>
      </c>
      <c r="AC1232" t="str">
        <f>IFERROR(__xludf.DUMMYFUNCTION("""COMPUTED_VALUE"""),"นายวิสุทธิ์ กลิ่นพร Father")</f>
        <v>นายวิสุทธิ์ กลิ่นพร Father</v>
      </c>
      <c r="AD1232" t="str">
        <f>IFERROR(__xludf.DUMMYFUNCTION("""COMPUTED_VALUE"""),"pitchakli@airasia.com")</f>
        <v>pitchakli@airasia.com</v>
      </c>
    </row>
    <row r="1233">
      <c r="A1233" s="142">
        <f>IFERROR(__xludf.DUMMYFUNCTION("""COMPUTED_VALUE"""),110.0)</f>
        <v>110</v>
      </c>
      <c r="C1233">
        <f>IFERROR(__xludf.DUMMYFUNCTION("""COMPUTED_VALUE"""),1044860.0)</f>
        <v>1044860</v>
      </c>
      <c r="D1233" t="str">
        <f>IFERROR(__xludf.DUMMYFUNCTION("""COMPUTED_VALUE"""),"Ms.")</f>
        <v>Ms.</v>
      </c>
      <c r="E1233" t="str">
        <f>IFERROR(__xludf.DUMMYFUNCTION("""COMPUTED_VALUE"""),"Panidsara")</f>
        <v>Panidsara</v>
      </c>
      <c r="F1233" t="str">
        <f>IFERROR(__xludf.DUMMYFUNCTION("""COMPUTED_VALUE"""),"Tseng")</f>
        <v>Tseng</v>
      </c>
      <c r="G1233" t="str">
        <f>IFERROR(__xludf.DUMMYFUNCTION("""COMPUTED_VALUE"""),"Panidsara Tseng")</f>
        <v>Panidsara Tseng</v>
      </c>
      <c r="H1233" t="str">
        <f>IFERROR(__xludf.DUMMYFUNCTION("""COMPUTED_VALUE"""),"นางสาว")</f>
        <v>นางสาว</v>
      </c>
      <c r="I1233" t="str">
        <f>IFERROR(__xludf.DUMMYFUNCTION("""COMPUTED_VALUE"""),"ปาณิสรา")</f>
        <v>ปาณิสรา</v>
      </c>
      <c r="J1233" t="str">
        <f>IFERROR(__xludf.DUMMYFUNCTION("""COMPUTED_VALUE"""),"เจิน")</f>
        <v>เจิน</v>
      </c>
      <c r="K1233" t="str">
        <f>IFERROR(__xludf.DUMMYFUNCTION("""COMPUTED_VALUE"""),"ปาณิสรา เจิน")</f>
        <v>ปาณิสรา เจิน</v>
      </c>
      <c r="L1233" t="str">
        <f>IFERROR(__xludf.DUMMYFUNCTION("""COMPUTED_VALUE"""),"กิ๋ว")</f>
        <v>กิ๋ว</v>
      </c>
      <c r="M1233" t="str">
        <f>IFERROR(__xludf.DUMMYFUNCTION("""COMPUTED_VALUE"""),"Cabin Crew")</f>
        <v>Cabin Crew</v>
      </c>
      <c r="N1233" t="str">
        <f>IFERROR(__xludf.DUMMYFUNCTION("""COMPUTED_VALUE"""),"DMK")</f>
        <v>DMK</v>
      </c>
      <c r="O1233" s="145" t="str">
        <f>IFERROR(__xludf.DUMMYFUNCTION("""COMPUTED_VALUE"""),"Toffy Home")</f>
        <v>Toffy Home</v>
      </c>
      <c r="P1233" t="str">
        <f>IFERROR(__xludf.DUMMYFUNCTION("""COMPUTED_VALUE"""),"Active")</f>
        <v>Active</v>
      </c>
      <c r="Q1233" t="str">
        <f>IFERROR(__xludf.DUMMYFUNCTION("""COMPUTED_VALUE"""),"Japanese Speaking")</f>
        <v>Japanese Speaking</v>
      </c>
      <c r="R1233" s="163">
        <f>IFERROR(__xludf.DUMMYFUNCTION("""COMPUTED_VALUE"""),36804.0)</f>
        <v>36804</v>
      </c>
      <c r="S1233" s="146">
        <f>IFERROR(__xludf.DUMMYFUNCTION("""COMPUTED_VALUE"""),6.36965664E8)</f>
        <v>636965664</v>
      </c>
      <c r="T1233" s="147">
        <f>IFERROR(__xludf.DUMMYFUNCTION("""COMPUTED_VALUE"""),1.10430032385E12)</f>
        <v>1104300323850</v>
      </c>
      <c r="U1233" t="str">
        <f>IFERROR(__xludf.DUMMYFUNCTION("""COMPUTED_VALUE"""),"AC7466103")</f>
        <v>AC7466103</v>
      </c>
      <c r="V1233" s="148">
        <f>IFERROR(__xludf.DUMMYFUNCTION("""COMPUTED_VALUE"""),45594.0)</f>
        <v>45594</v>
      </c>
      <c r="W1233" s="148">
        <f>IFERROR(__xludf.DUMMYFUNCTION("""COMPUTED_VALUE"""),49245.0)</f>
        <v>49245</v>
      </c>
      <c r="X1233" s="149">
        <f>IFERROR(__xludf.DUMMYFUNCTION("""COMPUTED_VALUE"""),49062.0)</f>
        <v>49062</v>
      </c>
      <c r="Y1233" t="str">
        <f>IFERROR(__xludf.DUMMYFUNCTION("""COMPUTED_VALUE"""),"ปลอดภัย")</f>
        <v>ปลอดภัย</v>
      </c>
      <c r="Z1233" t="str">
        <f>IFERROR(__xludf.DUMMYFUNCTION("""COMPUTED_VALUE"""),"Bangkok")</f>
        <v>Bangkok</v>
      </c>
      <c r="AA1233" t="str">
        <f>IFERROR(__xludf.DUMMYFUNCTION("""COMPUTED_VALUE"""),"Bangkok")</f>
        <v>Bangkok</v>
      </c>
      <c r="AB1233" s="145" t="str">
        <f>IFERROR(__xludf.DUMMYFUNCTION("""COMPUTED_VALUE"""),"081-122-5883")</f>
        <v>081-122-5883</v>
      </c>
      <c r="AC1233" t="str">
        <f>IFERROR(__xludf.DUMMYFUNCTION("""COMPUTED_VALUE"""),"นางสาวธนวรรณ มิตรภักดี Sister")</f>
        <v>นางสาวธนวรรณ มิตรภักดี Sister</v>
      </c>
      <c r="AD1233" t="str">
        <f>IFERROR(__xludf.DUMMYFUNCTION("""COMPUTED_VALUE"""),"panidsaratse@airasia.com")</f>
        <v>panidsaratse@airasia.com</v>
      </c>
    </row>
    <row r="1234">
      <c r="A1234" s="142">
        <f>IFERROR(__xludf.DUMMYFUNCTION("""COMPUTED_VALUE"""),110.0)</f>
        <v>110</v>
      </c>
      <c r="C1234">
        <f>IFERROR(__xludf.DUMMYFUNCTION("""COMPUTED_VALUE"""),1044861.0)</f>
        <v>1044861</v>
      </c>
      <c r="D1234" t="str">
        <f>IFERROR(__xludf.DUMMYFUNCTION("""COMPUTED_VALUE"""),"Ms.")</f>
        <v>Ms.</v>
      </c>
      <c r="E1234" t="str">
        <f>IFERROR(__xludf.DUMMYFUNCTION("""COMPUTED_VALUE"""),"Lisa")</f>
        <v>Lisa</v>
      </c>
      <c r="F1234" t="str">
        <f>IFERROR(__xludf.DUMMYFUNCTION("""COMPUTED_VALUE"""),"Chinnalai")</f>
        <v>Chinnalai</v>
      </c>
      <c r="G1234" t="str">
        <f>IFERROR(__xludf.DUMMYFUNCTION("""COMPUTED_VALUE"""),"Lisa Chinnalai")</f>
        <v>Lisa Chinnalai</v>
      </c>
      <c r="H1234" t="str">
        <f>IFERROR(__xludf.DUMMYFUNCTION("""COMPUTED_VALUE"""),"นางสาว")</f>
        <v>นางสาว</v>
      </c>
      <c r="I1234" t="str">
        <f>IFERROR(__xludf.DUMMYFUNCTION("""COMPUTED_VALUE"""),"ลิษา")</f>
        <v>ลิษา</v>
      </c>
      <c r="J1234" t="str">
        <f>IFERROR(__xludf.DUMMYFUNCTION("""COMPUTED_VALUE"""),"ชินทร์นลัย")</f>
        <v>ชินทร์นลัย</v>
      </c>
      <c r="K1234" t="str">
        <f>IFERROR(__xludf.DUMMYFUNCTION("""COMPUTED_VALUE"""),"ลิษา ชินทร์นลัย")</f>
        <v>ลิษา ชินทร์นลัย</v>
      </c>
      <c r="L1234" t="str">
        <f>IFERROR(__xludf.DUMMYFUNCTION("""COMPUTED_VALUE"""),"เค้ก")</f>
        <v>เค้ก</v>
      </c>
      <c r="M1234" t="str">
        <f>IFERROR(__xludf.DUMMYFUNCTION("""COMPUTED_VALUE"""),"Cabin Crew - BKK")</f>
        <v>Cabin Crew - BKK</v>
      </c>
      <c r="N1234" t="str">
        <f>IFERROR(__xludf.DUMMYFUNCTION("""COMPUTED_VALUE"""),"BKK")</f>
        <v>BKK</v>
      </c>
      <c r="O1234" s="145" t="str">
        <f>IFERROR(__xludf.DUMMYFUNCTION("""COMPUTED_VALUE"""),"Nhui Home")</f>
        <v>Nhui Home</v>
      </c>
      <c r="P1234" t="str">
        <f>IFERROR(__xludf.DUMMYFUNCTION("""COMPUTED_VALUE"""),"Active")</f>
        <v>Active</v>
      </c>
      <c r="R1234" s="163">
        <f>IFERROR(__xludf.DUMMYFUNCTION("""COMPUTED_VALUE"""),36445.0)</f>
        <v>36445</v>
      </c>
      <c r="S1234" s="146">
        <f>IFERROR(__xludf.DUMMYFUNCTION("""COMPUTED_VALUE"""),6.18841949E8)</f>
        <v>618841949</v>
      </c>
      <c r="T1234" s="147">
        <f>IFERROR(__xludf.DUMMYFUNCTION("""COMPUTED_VALUE"""),1.100201491769E12)</f>
        <v>1100201491769</v>
      </c>
      <c r="U1234" t="str">
        <f>IFERROR(__xludf.DUMMYFUNCTION("""COMPUTED_VALUE"""),"AC2819704")</f>
        <v>AC2819704</v>
      </c>
      <c r="V1234" s="148">
        <f>IFERROR(__xludf.DUMMYFUNCTION("""COMPUTED_VALUE"""),44516.0)</f>
        <v>44516</v>
      </c>
      <c r="W1234" s="148">
        <f>IFERROR(__xludf.DUMMYFUNCTION("""COMPUTED_VALUE"""),48167.0)</f>
        <v>48167</v>
      </c>
      <c r="X1234" s="149">
        <f>IFERROR(__xludf.DUMMYFUNCTION("""COMPUTED_VALUE"""),47983.0)</f>
        <v>47983</v>
      </c>
      <c r="Y1234" t="str">
        <f>IFERROR(__xludf.DUMMYFUNCTION("""COMPUTED_VALUE"""),"ปลอดภัย")</f>
        <v>ปลอดภัย</v>
      </c>
      <c r="Z1234" t="str">
        <f>IFERROR(__xludf.DUMMYFUNCTION("""COMPUTED_VALUE"""),"Bangkok")</f>
        <v>Bangkok</v>
      </c>
      <c r="AA1234" t="str">
        <f>IFERROR(__xludf.DUMMYFUNCTION("""COMPUTED_VALUE"""),"Nontaburi")</f>
        <v>Nontaburi</v>
      </c>
      <c r="AB1234" t="str">
        <f>IFERROR(__xludf.DUMMYFUNCTION("""COMPUTED_VALUE"""),"0850835869")</f>
        <v>0850835869</v>
      </c>
      <c r="AC1234" t="str">
        <f>IFERROR(__xludf.DUMMYFUNCTION("""COMPUTED_VALUE"""),"นายภวินท์ ชินทร์นลัย Brother")</f>
        <v>นายภวินท์ ชินทร์นลัย Brother</v>
      </c>
      <c r="AD1234" t="str">
        <f>IFERROR(__xludf.DUMMYFUNCTION("""COMPUTED_VALUE"""),"lisachi@airasia.com")</f>
        <v>lisachi@airasia.com</v>
      </c>
    </row>
    <row r="1235">
      <c r="A1235" s="142">
        <f>IFERROR(__xludf.DUMMYFUNCTION("""COMPUTED_VALUE"""),110.0)</f>
        <v>110</v>
      </c>
      <c r="C1235">
        <f>IFERROR(__xludf.DUMMYFUNCTION("""COMPUTED_VALUE"""),1044862.0)</f>
        <v>1044862</v>
      </c>
      <c r="D1235" t="str">
        <f>IFERROR(__xludf.DUMMYFUNCTION("""COMPUTED_VALUE"""),"Ms.")</f>
        <v>Ms.</v>
      </c>
      <c r="E1235" t="str">
        <f>IFERROR(__xludf.DUMMYFUNCTION("""COMPUTED_VALUE"""),"Suriwassa")</f>
        <v>Suriwassa</v>
      </c>
      <c r="F1235" t="str">
        <f>IFERROR(__xludf.DUMMYFUNCTION("""COMPUTED_VALUE"""),"Sukphon")</f>
        <v>Sukphon</v>
      </c>
      <c r="G1235" t="str">
        <f>IFERROR(__xludf.DUMMYFUNCTION("""COMPUTED_VALUE"""),"Suriwassa Sukphon")</f>
        <v>Suriwassa Sukphon</v>
      </c>
      <c r="H1235" t="str">
        <f>IFERROR(__xludf.DUMMYFUNCTION("""COMPUTED_VALUE"""),"นางสาว")</f>
        <v>นางสาว</v>
      </c>
      <c r="I1235" t="str">
        <f>IFERROR(__xludf.DUMMYFUNCTION("""COMPUTED_VALUE"""),"สุริวัสสา")</f>
        <v>สุริวัสสา</v>
      </c>
      <c r="J1235" t="str">
        <f>IFERROR(__xludf.DUMMYFUNCTION("""COMPUTED_VALUE"""),"สุขผล")</f>
        <v>สุขผล</v>
      </c>
      <c r="K1235" t="str">
        <f>IFERROR(__xludf.DUMMYFUNCTION("""COMPUTED_VALUE"""),"สุริวัสสา สุขผล")</f>
        <v>สุริวัสสา สุขผล</v>
      </c>
      <c r="L1235" t="str">
        <f>IFERROR(__xludf.DUMMYFUNCTION("""COMPUTED_VALUE"""),"Nem/เนม")</f>
        <v>Nem/เนม</v>
      </c>
      <c r="M1235" t="str">
        <f>IFERROR(__xludf.DUMMYFUNCTION("""COMPUTED_VALUE"""),"Cabin Crew")</f>
        <v>Cabin Crew</v>
      </c>
      <c r="N1235" t="str">
        <f>IFERROR(__xludf.DUMMYFUNCTION("""COMPUTED_VALUE"""),"DMK")</f>
        <v>DMK</v>
      </c>
      <c r="O1235" s="145" t="str">
        <f>IFERROR(__xludf.DUMMYFUNCTION("""COMPUTED_VALUE"""),"Namfon Home")</f>
        <v>Namfon Home</v>
      </c>
      <c r="P1235" t="str">
        <f>IFERROR(__xludf.DUMMYFUNCTION("""COMPUTED_VALUE"""),"Active")</f>
        <v>Active</v>
      </c>
      <c r="R1235" s="163">
        <f>IFERROR(__xludf.DUMMYFUNCTION("""COMPUTED_VALUE"""),33626.0)</f>
        <v>33626</v>
      </c>
      <c r="S1235" s="146">
        <f>IFERROR(__xludf.DUMMYFUNCTION("""COMPUTED_VALUE"""),8.39461932E8)</f>
        <v>839461932</v>
      </c>
      <c r="T1235" s="147">
        <f>IFERROR(__xludf.DUMMYFUNCTION("""COMPUTED_VALUE"""),1.101401928321E12)</f>
        <v>1101401928321</v>
      </c>
      <c r="U1235" t="str">
        <f>IFERROR(__xludf.DUMMYFUNCTION("""COMPUTED_VALUE"""),"AC6469324")</f>
        <v>AC6469324</v>
      </c>
      <c r="V1235" s="148">
        <f>IFERROR(__xludf.DUMMYFUNCTION("""COMPUTED_VALUE"""),45383.0)</f>
        <v>45383</v>
      </c>
      <c r="W1235" s="148">
        <f>IFERROR(__xludf.DUMMYFUNCTION("""COMPUTED_VALUE"""),49034.0)</f>
        <v>49034</v>
      </c>
      <c r="X1235" s="149">
        <f>IFERROR(__xludf.DUMMYFUNCTION("""COMPUTED_VALUE"""),48852.0)</f>
        <v>48852</v>
      </c>
      <c r="Y1235" t="str">
        <f>IFERROR(__xludf.DUMMYFUNCTION("""COMPUTED_VALUE"""),"ปลอดภัย")</f>
        <v>ปลอดภัย</v>
      </c>
      <c r="Z1235" t="str">
        <f>IFERROR(__xludf.DUMMYFUNCTION("""COMPUTED_VALUE"""),"Bangkok")</f>
        <v>Bangkok</v>
      </c>
      <c r="AA1235" t="str">
        <f>IFERROR(__xludf.DUMMYFUNCTION("""COMPUTED_VALUE"""),"Bangkok")</f>
        <v>Bangkok</v>
      </c>
      <c r="AB1235" s="145" t="str">
        <f>IFERROR(__xludf.DUMMYFUNCTION("""COMPUTED_VALUE"""),"063-965-6523")</f>
        <v>063-965-6523</v>
      </c>
      <c r="AC1235" t="str">
        <f>IFERROR(__xludf.DUMMYFUNCTION("""COMPUTED_VALUE"""),"นายณฤดล อัครอนุสรณ์ Friend")</f>
        <v>นายณฤดล อัครอนุสรณ์ Friend</v>
      </c>
      <c r="AD1235" t="str">
        <f>IFERROR(__xludf.DUMMYFUNCTION("""COMPUTED_VALUE"""),"suriwassasuk@airasia.com")</f>
        <v>suriwassasuk@airasia.com</v>
      </c>
    </row>
    <row r="1236">
      <c r="A1236" s="142">
        <f>IFERROR(__xludf.DUMMYFUNCTION("""COMPUTED_VALUE"""),110.0)</f>
        <v>110</v>
      </c>
      <c r="C1236">
        <f>IFERROR(__xludf.DUMMYFUNCTION("""COMPUTED_VALUE"""),1044863.0)</f>
        <v>1044863</v>
      </c>
      <c r="D1236" t="str">
        <f>IFERROR(__xludf.DUMMYFUNCTION("""COMPUTED_VALUE"""),"Ms.")</f>
        <v>Ms.</v>
      </c>
      <c r="E1236" t="str">
        <f>IFERROR(__xludf.DUMMYFUNCTION("""COMPUTED_VALUE"""),"Athicha")</f>
        <v>Athicha</v>
      </c>
      <c r="F1236" t="str">
        <f>IFERROR(__xludf.DUMMYFUNCTION("""COMPUTED_VALUE"""),"Mekjaroenwiwathana")</f>
        <v>Mekjaroenwiwathana</v>
      </c>
      <c r="G1236" t="str">
        <f>IFERROR(__xludf.DUMMYFUNCTION("""COMPUTED_VALUE"""),"Athicha Mekjaroenwiwathana")</f>
        <v>Athicha Mekjaroenwiwathana</v>
      </c>
      <c r="H1236" t="str">
        <f>IFERROR(__xludf.DUMMYFUNCTION("""COMPUTED_VALUE"""),"นางสาว")</f>
        <v>นางสาว</v>
      </c>
      <c r="I1236" t="str">
        <f>IFERROR(__xludf.DUMMYFUNCTION("""COMPUTED_VALUE"""),"อธิชา")</f>
        <v>อธิชา</v>
      </c>
      <c r="J1236" t="str">
        <f>IFERROR(__xludf.DUMMYFUNCTION("""COMPUTED_VALUE"""),"เมฆเจริญวิวัฒนา")</f>
        <v>เมฆเจริญวิวัฒนา</v>
      </c>
      <c r="K1236" t="str">
        <f>IFERROR(__xludf.DUMMYFUNCTION("""COMPUTED_VALUE"""),"อธิชา เมฆเจริญวิวัฒนา")</f>
        <v>อธิชา เมฆเจริญวิวัฒนา</v>
      </c>
      <c r="L1236" t="str">
        <f>IFERROR(__xludf.DUMMYFUNCTION("""COMPUTED_VALUE"""),"Tangkwa/ แตงกวา")</f>
        <v>Tangkwa/ แตงกวา</v>
      </c>
      <c r="M1236" t="str">
        <f>IFERROR(__xludf.DUMMYFUNCTION("""COMPUTED_VALUE"""),"Cabin Crew - HKT")</f>
        <v>Cabin Crew - HKT</v>
      </c>
      <c r="N1236" t="str">
        <f>IFERROR(__xludf.DUMMYFUNCTION("""COMPUTED_VALUE"""),"HKT")</f>
        <v>HKT</v>
      </c>
      <c r="O1236" s="145" t="str">
        <f>IFERROR(__xludf.DUMMYFUNCTION("""COMPUTED_VALUE"""),"Kor Home")</f>
        <v>Kor Home</v>
      </c>
      <c r="P1236" t="str">
        <f>IFERROR(__xludf.DUMMYFUNCTION("""COMPUTED_VALUE"""),"Active")</f>
        <v>Active</v>
      </c>
      <c r="R1236" s="163">
        <f>IFERROR(__xludf.DUMMYFUNCTION("""COMPUTED_VALUE"""),36700.0)</f>
        <v>36700</v>
      </c>
      <c r="S1236" s="146">
        <f>IFERROR(__xludf.DUMMYFUNCTION("""COMPUTED_VALUE"""),8.24249769E8)</f>
        <v>824249769</v>
      </c>
      <c r="T1236" s="147">
        <f>IFERROR(__xludf.DUMMYFUNCTION("""COMPUTED_VALUE"""),1.839900605323E12)</f>
        <v>1839900605323</v>
      </c>
      <c r="U1236" t="str">
        <f>IFERROR(__xludf.DUMMYFUNCTION("""COMPUTED_VALUE"""),"AC7587695")</f>
        <v>AC7587695</v>
      </c>
      <c r="V1236" s="148">
        <f>IFERROR(__xludf.DUMMYFUNCTION("""COMPUTED_VALUE"""),45561.0)</f>
        <v>45561</v>
      </c>
      <c r="W1236" s="148">
        <f>IFERROR(__xludf.DUMMYFUNCTION("""COMPUTED_VALUE"""),49212.0)</f>
        <v>49212</v>
      </c>
      <c r="X1236" s="149">
        <f>IFERROR(__xludf.DUMMYFUNCTION("""COMPUTED_VALUE"""),49028.0)</f>
        <v>49028</v>
      </c>
      <c r="Y1236" t="str">
        <f>IFERROR(__xludf.DUMMYFUNCTION("""COMPUTED_VALUE"""),"ปลอดภัย")</f>
        <v>ปลอดภัย</v>
      </c>
      <c r="Z1236" t="str">
        <f>IFERROR(__xludf.DUMMYFUNCTION("""COMPUTED_VALUE"""),"Phuket Province")</f>
        <v>Phuket Province</v>
      </c>
      <c r="AA1236" t="str">
        <f>IFERROR(__xludf.DUMMYFUNCTION("""COMPUTED_VALUE"""),"Phuket")</f>
        <v>Phuket</v>
      </c>
      <c r="AB1236" t="str">
        <f>IFERROR(__xludf.DUMMYFUNCTION("""COMPUTED_VALUE"""),"0816775386")</f>
        <v>0816775386</v>
      </c>
      <c r="AC1236" t="str">
        <f>IFERROR(__xludf.DUMMYFUNCTION("""COMPUTED_VALUE"""),"นายเสรี เมฆเจริญวิวัฒนา Father")</f>
        <v>นายเสรี เมฆเจริญวิวัฒนา Father</v>
      </c>
      <c r="AD1236" t="str">
        <f>IFERROR(__xludf.DUMMYFUNCTION("""COMPUTED_VALUE"""),"athichamek@airasia.com")</f>
        <v>athichamek@airasia.com</v>
      </c>
    </row>
    <row r="1237">
      <c r="A1237" s="142">
        <f>IFERROR(__xludf.DUMMYFUNCTION("""COMPUTED_VALUE"""),110.0)</f>
        <v>110</v>
      </c>
      <c r="C1237">
        <f>IFERROR(__xludf.DUMMYFUNCTION("""COMPUTED_VALUE"""),1044864.0)</f>
        <v>1044864</v>
      </c>
      <c r="D1237" t="str">
        <f>IFERROR(__xludf.DUMMYFUNCTION("""COMPUTED_VALUE"""),"Ms.")</f>
        <v>Ms.</v>
      </c>
      <c r="E1237" t="str">
        <f>IFERROR(__xludf.DUMMYFUNCTION("""COMPUTED_VALUE"""),"Pitchapa")</f>
        <v>Pitchapa</v>
      </c>
      <c r="F1237" t="str">
        <f>IFERROR(__xludf.DUMMYFUNCTION("""COMPUTED_VALUE"""),"Didpan")</f>
        <v>Didpan</v>
      </c>
      <c r="G1237" t="str">
        <f>IFERROR(__xludf.DUMMYFUNCTION("""COMPUTED_VALUE"""),"Pitchapa Didpan")</f>
        <v>Pitchapa Didpan</v>
      </c>
      <c r="H1237" t="str">
        <f>IFERROR(__xludf.DUMMYFUNCTION("""COMPUTED_VALUE"""),"นางสาว")</f>
        <v>นางสาว</v>
      </c>
      <c r="I1237" t="str">
        <f>IFERROR(__xludf.DUMMYFUNCTION("""COMPUTED_VALUE"""),"พิชชาภา")</f>
        <v>พิชชาภา</v>
      </c>
      <c r="J1237" t="str">
        <f>IFERROR(__xludf.DUMMYFUNCTION("""COMPUTED_VALUE"""),"ดิษฐป้าน")</f>
        <v>ดิษฐป้าน</v>
      </c>
      <c r="K1237" t="str">
        <f>IFERROR(__xludf.DUMMYFUNCTION("""COMPUTED_VALUE"""),"พิชชาภา ดิษฐป้าน")</f>
        <v>พิชชาภา ดิษฐป้าน</v>
      </c>
      <c r="L1237" t="str">
        <f>IFERROR(__xludf.DUMMYFUNCTION("""COMPUTED_VALUE"""),"Beam / บีม")</f>
        <v>Beam / บีม</v>
      </c>
      <c r="M1237" t="str">
        <f>IFERROR(__xludf.DUMMYFUNCTION("""COMPUTED_VALUE"""),"Cabin Crew - BKK")</f>
        <v>Cabin Crew - BKK</v>
      </c>
      <c r="N1237" t="str">
        <f>IFERROR(__xludf.DUMMYFUNCTION("""COMPUTED_VALUE"""),"BKK")</f>
        <v>BKK</v>
      </c>
      <c r="O1237" s="145" t="str">
        <f>IFERROR(__xludf.DUMMYFUNCTION("""COMPUTED_VALUE"""),"Nhui Home")</f>
        <v>Nhui Home</v>
      </c>
      <c r="P1237" t="str">
        <f>IFERROR(__xludf.DUMMYFUNCTION("""COMPUTED_VALUE"""),"Active")</f>
        <v>Active</v>
      </c>
      <c r="R1237" s="163">
        <f>IFERROR(__xludf.DUMMYFUNCTION("""COMPUTED_VALUE"""),37052.0)</f>
        <v>37052</v>
      </c>
      <c r="S1237" s="146">
        <f>IFERROR(__xludf.DUMMYFUNCTION("""COMPUTED_VALUE"""),9.24695129E8)</f>
        <v>924695129</v>
      </c>
      <c r="T1237" s="147">
        <f>IFERROR(__xludf.DUMMYFUNCTION("""COMPUTED_VALUE"""),1.10290003993E12)</f>
        <v>1102900039930</v>
      </c>
      <c r="U1237" t="str">
        <f>IFERROR(__xludf.DUMMYFUNCTION("""COMPUTED_VALUE"""),"AD1717690")</f>
        <v>AD1717690</v>
      </c>
      <c r="V1237" s="148">
        <f>IFERROR(__xludf.DUMMYFUNCTION("""COMPUTED_VALUE"""),45448.0)</f>
        <v>45448</v>
      </c>
      <c r="W1237" s="148">
        <f>IFERROR(__xludf.DUMMYFUNCTION("""COMPUTED_VALUE"""),47273.0)</f>
        <v>47273</v>
      </c>
      <c r="X1237" s="149">
        <f>IFERROR(__xludf.DUMMYFUNCTION("""COMPUTED_VALUE"""),47091.0)</f>
        <v>47091</v>
      </c>
      <c r="Y1237" t="str">
        <f>IFERROR(__xludf.DUMMYFUNCTION("""COMPUTED_VALUE"""),"ปลอดภัย")</f>
        <v>ปลอดภัย</v>
      </c>
      <c r="Z1237" t="str">
        <f>IFERROR(__xludf.DUMMYFUNCTION("""COMPUTED_VALUE"""),"Bangkok")</f>
        <v>Bangkok</v>
      </c>
      <c r="AA1237" t="str">
        <f>IFERROR(__xludf.DUMMYFUNCTION("""COMPUTED_VALUE"""),"Pathumtani")</f>
        <v>Pathumtani</v>
      </c>
      <c r="AB1237" t="str">
        <f>IFERROR(__xludf.DUMMYFUNCTION("""COMPUTED_VALUE"""),"0892221202")</f>
        <v>0892221202</v>
      </c>
      <c r="AC1237" t="str">
        <f>IFERROR(__xludf.DUMMYFUNCTION("""COMPUTED_VALUE"""),"นางสาว พิศมัย ประทุมชาติ Mother")</f>
        <v>นางสาว พิศมัย ประทุมชาติ Mother</v>
      </c>
      <c r="AD1237" t="str">
        <f>IFERROR(__xludf.DUMMYFUNCTION("""COMPUTED_VALUE"""),"pitchapadid@airasia.com")</f>
        <v>pitchapadid@airasia.com</v>
      </c>
    </row>
    <row r="1238">
      <c r="A1238" s="142">
        <f>IFERROR(__xludf.DUMMYFUNCTION("""COMPUTED_VALUE"""),110.0)</f>
        <v>110</v>
      </c>
      <c r="C1238">
        <f>IFERROR(__xludf.DUMMYFUNCTION("""COMPUTED_VALUE"""),1044881.0)</f>
        <v>1044881</v>
      </c>
      <c r="D1238" t="str">
        <f>IFERROR(__xludf.DUMMYFUNCTION("""COMPUTED_VALUE"""),"Ms.")</f>
        <v>Ms.</v>
      </c>
      <c r="E1238" t="str">
        <f>IFERROR(__xludf.DUMMYFUNCTION("""COMPUTED_VALUE"""),"Jalumon")</f>
        <v>Jalumon</v>
      </c>
      <c r="F1238" t="str">
        <f>IFERROR(__xludf.DUMMYFUNCTION("""COMPUTED_VALUE"""),"Suk-udom")</f>
        <v>Suk-udom</v>
      </c>
      <c r="G1238" t="str">
        <f>IFERROR(__xludf.DUMMYFUNCTION("""COMPUTED_VALUE"""),"Jalumon Suk-udom")</f>
        <v>Jalumon Suk-udom</v>
      </c>
      <c r="H1238" t="str">
        <f>IFERROR(__xludf.DUMMYFUNCTION("""COMPUTED_VALUE"""),"นางสาว")</f>
        <v>นางสาว</v>
      </c>
      <c r="I1238" t="str">
        <f>IFERROR(__xludf.DUMMYFUNCTION("""COMPUTED_VALUE"""),"จาฬุมณฑน์")</f>
        <v>จาฬุมณฑน์</v>
      </c>
      <c r="J1238" t="str">
        <f>IFERROR(__xludf.DUMMYFUNCTION("""COMPUTED_VALUE"""),"สุขอุดม")</f>
        <v>สุขอุดม</v>
      </c>
      <c r="K1238" t="str">
        <f>IFERROR(__xludf.DUMMYFUNCTION("""COMPUTED_VALUE"""),"จาฬุมณฑน์ สุขอุดม")</f>
        <v>จาฬุมณฑน์ สุขอุดม</v>
      </c>
      <c r="L1238" t="str">
        <f>IFERROR(__xludf.DUMMYFUNCTION("""COMPUTED_VALUE"""),"จ๋า")</f>
        <v>จ๋า</v>
      </c>
      <c r="M1238" t="str">
        <f>IFERROR(__xludf.DUMMYFUNCTION("""COMPUTED_VALUE"""),"Cabin Crew")</f>
        <v>Cabin Crew</v>
      </c>
      <c r="N1238" t="str">
        <f>IFERROR(__xludf.DUMMYFUNCTION("""COMPUTED_VALUE"""),"DMK")</f>
        <v>DMK</v>
      </c>
      <c r="O1238" s="145" t="str">
        <f>IFERROR(__xludf.DUMMYFUNCTION("""COMPUTED_VALUE"""),"Por+ Home")</f>
        <v>Por+ Home</v>
      </c>
      <c r="P1238" t="str">
        <f>IFERROR(__xludf.DUMMYFUNCTION("""COMPUTED_VALUE"""),"Active")</f>
        <v>Active</v>
      </c>
      <c r="R1238" s="143">
        <f>IFERROR(__xludf.DUMMYFUNCTION("""COMPUTED_VALUE"""),34026.0)</f>
        <v>34026</v>
      </c>
      <c r="S1238" s="146">
        <f>IFERROR(__xludf.DUMMYFUNCTION("""COMPUTED_VALUE"""),9.26836363E8)</f>
        <v>926836363</v>
      </c>
      <c r="T1238" s="147">
        <f>IFERROR(__xludf.DUMMYFUNCTION("""COMPUTED_VALUE"""),2.200100049529E12)</f>
        <v>2200100049529</v>
      </c>
      <c r="U1238" t="str">
        <f>IFERROR(__xludf.DUMMYFUNCTION("""COMPUTED_VALUE"""),"AD0648910")</f>
        <v>AD0648910</v>
      </c>
      <c r="V1238" s="148">
        <f>IFERROR(__xludf.DUMMYFUNCTION("""COMPUTED_VALUE"""),44945.0)</f>
        <v>44945</v>
      </c>
      <c r="W1238" s="148">
        <f>IFERROR(__xludf.DUMMYFUNCTION("""COMPUTED_VALUE"""),48597.0)</f>
        <v>48597</v>
      </c>
      <c r="X1238" s="149">
        <f>IFERROR(__xludf.DUMMYFUNCTION("""COMPUTED_VALUE"""),48413.0)</f>
        <v>48413</v>
      </c>
      <c r="Y1238" t="str">
        <f>IFERROR(__xludf.DUMMYFUNCTION("""COMPUTED_VALUE"""),"ปลอดภัย")</f>
        <v>ปลอดภัย</v>
      </c>
      <c r="Z1238" t="str">
        <f>IFERROR(__xludf.DUMMYFUNCTION("""COMPUTED_VALUE"""),"Chonburi Province")</f>
        <v>Chonburi Province</v>
      </c>
      <c r="AA1238" t="str">
        <f>IFERROR(__xludf.DUMMYFUNCTION("""COMPUTED_VALUE"""),"Bangkok")</f>
        <v>Bangkok</v>
      </c>
      <c r="AB1238" s="145" t="str">
        <f>IFERROR(__xludf.DUMMYFUNCTION("""COMPUTED_VALUE"""),"080-339-3998")</f>
        <v>080-339-3998</v>
      </c>
      <c r="AC1238" t="str">
        <f>IFERROR(__xludf.DUMMYFUNCTION("""COMPUTED_VALUE"""),"นายวรกานต์ อินทร์อร Friend")</f>
        <v>นายวรกานต์ อินทร์อร Friend</v>
      </c>
      <c r="AD1238" t="str">
        <f>IFERROR(__xludf.DUMMYFUNCTION("""COMPUTED_VALUE"""),"jalumonsuk@airasia.com")</f>
        <v>jalumonsuk@airasia.com</v>
      </c>
    </row>
    <row r="1239">
      <c r="A1239" s="142">
        <f>IFERROR(__xludf.DUMMYFUNCTION("""COMPUTED_VALUE"""),110.0)</f>
        <v>110</v>
      </c>
      <c r="C1239">
        <f>IFERROR(__xludf.DUMMYFUNCTION("""COMPUTED_VALUE"""),1044865.0)</f>
        <v>1044865</v>
      </c>
      <c r="D1239" t="str">
        <f>IFERROR(__xludf.DUMMYFUNCTION("""COMPUTED_VALUE"""),"Ms.")</f>
        <v>Ms.</v>
      </c>
      <c r="E1239" t="str">
        <f>IFERROR(__xludf.DUMMYFUNCTION("""COMPUTED_VALUE"""),"Anantaya")</f>
        <v>Anantaya</v>
      </c>
      <c r="F1239" t="str">
        <f>IFERROR(__xludf.DUMMYFUNCTION("""COMPUTED_VALUE"""),"Makkhong")</f>
        <v>Makkhong</v>
      </c>
      <c r="G1239" t="str">
        <f>IFERROR(__xludf.DUMMYFUNCTION("""COMPUTED_VALUE"""),"Anantaya Makkhong")</f>
        <v>Anantaya Makkhong</v>
      </c>
      <c r="H1239" t="str">
        <f>IFERROR(__xludf.DUMMYFUNCTION("""COMPUTED_VALUE"""),"นางสาว")</f>
        <v>นางสาว</v>
      </c>
      <c r="I1239" t="str">
        <f>IFERROR(__xludf.DUMMYFUNCTION("""COMPUTED_VALUE"""),"อนันตญา")</f>
        <v>อนันตญา</v>
      </c>
      <c r="J1239" t="str">
        <f>IFERROR(__xludf.DUMMYFUNCTION("""COMPUTED_VALUE"""),"มากคง")</f>
        <v>มากคง</v>
      </c>
      <c r="K1239" t="str">
        <f>IFERROR(__xludf.DUMMYFUNCTION("""COMPUTED_VALUE"""),"อนันตญา มากคง")</f>
        <v>อนันตญา มากคง</v>
      </c>
      <c r="L1239" t="str">
        <f>IFERROR(__xludf.DUMMYFUNCTION("""COMPUTED_VALUE"""),"An / อัญ")</f>
        <v>An / อัญ</v>
      </c>
      <c r="M1239" t="str">
        <f>IFERROR(__xludf.DUMMYFUNCTION("""COMPUTED_VALUE"""),"Cabin Crew")</f>
        <v>Cabin Crew</v>
      </c>
      <c r="N1239" t="str">
        <f>IFERROR(__xludf.DUMMYFUNCTION("""COMPUTED_VALUE"""),"DMK")</f>
        <v>DMK</v>
      </c>
      <c r="O1239" s="145" t="str">
        <f>IFERROR(__xludf.DUMMYFUNCTION("""COMPUTED_VALUE"""),"Um Home")</f>
        <v>Um Home</v>
      </c>
      <c r="P1239" t="str">
        <f>IFERROR(__xludf.DUMMYFUNCTION("""COMPUTED_VALUE"""),"Active")</f>
        <v>Active</v>
      </c>
      <c r="R1239" s="156">
        <f>IFERROR(__xludf.DUMMYFUNCTION("""COMPUTED_VALUE"""),34956.0)</f>
        <v>34956</v>
      </c>
      <c r="S1239" s="146">
        <f>IFERROR(__xludf.DUMMYFUNCTION("""COMPUTED_VALUE"""),9.72214656E8)</f>
        <v>972214656</v>
      </c>
      <c r="T1239" s="147">
        <f>IFERROR(__xludf.DUMMYFUNCTION("""COMPUTED_VALUE"""),1.102002414685E12)</f>
        <v>1102002414685</v>
      </c>
      <c r="U1239" t="str">
        <f>IFERROR(__xludf.DUMMYFUNCTION("""COMPUTED_VALUE"""),"AC6584002")</f>
        <v>AC6584002</v>
      </c>
      <c r="V1239" s="148">
        <f>IFERROR(__xludf.DUMMYFUNCTION("""COMPUTED_VALUE"""),45386.0)</f>
        <v>45386</v>
      </c>
      <c r="W1239" s="148">
        <f>IFERROR(__xludf.DUMMYFUNCTION("""COMPUTED_VALUE"""),49037.0)</f>
        <v>49037</v>
      </c>
      <c r="X1239" s="149">
        <f>IFERROR(__xludf.DUMMYFUNCTION("""COMPUTED_VALUE"""),48855.0)</f>
        <v>48855</v>
      </c>
      <c r="Y1239" t="str">
        <f>IFERROR(__xludf.DUMMYFUNCTION("""COMPUTED_VALUE"""),"ปลอดภัย")</f>
        <v>ปลอดภัย</v>
      </c>
      <c r="Z1239" t="str">
        <f>IFERROR(__xludf.DUMMYFUNCTION("""COMPUTED_VALUE"""),"Bangkok")</f>
        <v>Bangkok</v>
      </c>
      <c r="AA1239" t="str">
        <f>IFERROR(__xludf.DUMMYFUNCTION("""COMPUTED_VALUE"""),"Bangkok")</f>
        <v>Bangkok</v>
      </c>
      <c r="AB1239" t="str">
        <f>IFERROR(__xludf.DUMMYFUNCTION("""COMPUTED_VALUE"""),"0861709364")</f>
        <v>0861709364</v>
      </c>
      <c r="AC1239" t="str">
        <f>IFERROR(__xludf.DUMMYFUNCTION("""COMPUTED_VALUE"""),"นางพิมพ์ใจ มากคง Mother")</f>
        <v>นางพิมพ์ใจ มากคง Mother</v>
      </c>
      <c r="AD1239" t="str">
        <f>IFERROR(__xludf.DUMMYFUNCTION("""COMPUTED_VALUE"""),"anantayamak@airasia.com")</f>
        <v>anantayamak@airasia.com</v>
      </c>
    </row>
    <row r="1240">
      <c r="A1240" s="142">
        <f>IFERROR(__xludf.DUMMYFUNCTION("""COMPUTED_VALUE"""),110.0)</f>
        <v>110</v>
      </c>
      <c r="C1240">
        <f>IFERROR(__xludf.DUMMYFUNCTION("""COMPUTED_VALUE"""),1044866.0)</f>
        <v>1044866</v>
      </c>
      <c r="D1240" t="str">
        <f>IFERROR(__xludf.DUMMYFUNCTION("""COMPUTED_VALUE"""),"Ms.")</f>
        <v>Ms.</v>
      </c>
      <c r="E1240" t="str">
        <f>IFERROR(__xludf.DUMMYFUNCTION("""COMPUTED_VALUE"""),"Natrada")</f>
        <v>Natrada</v>
      </c>
      <c r="F1240" t="str">
        <f>IFERROR(__xludf.DUMMYFUNCTION("""COMPUTED_VALUE"""),"Phromsri")</f>
        <v>Phromsri</v>
      </c>
      <c r="G1240" t="str">
        <f>IFERROR(__xludf.DUMMYFUNCTION("""COMPUTED_VALUE"""),"Natrada Phromsri")</f>
        <v>Natrada Phromsri</v>
      </c>
      <c r="H1240" t="str">
        <f>IFERROR(__xludf.DUMMYFUNCTION("""COMPUTED_VALUE"""),"นางสาว")</f>
        <v>นางสาว</v>
      </c>
      <c r="I1240" t="str">
        <f>IFERROR(__xludf.DUMMYFUNCTION("""COMPUTED_VALUE"""),"ณัฐรดา")</f>
        <v>ณัฐรดา</v>
      </c>
      <c r="J1240" t="str">
        <f>IFERROR(__xludf.DUMMYFUNCTION("""COMPUTED_VALUE"""),"พรหมศรี")</f>
        <v>พรหมศรี</v>
      </c>
      <c r="K1240" t="str">
        <f>IFERROR(__xludf.DUMMYFUNCTION("""COMPUTED_VALUE"""),"ณัฐรดา พรหมศรี")</f>
        <v>ณัฐรดา พรหมศรี</v>
      </c>
      <c r="L1240" t="str">
        <f>IFERROR(__xludf.DUMMYFUNCTION("""COMPUTED_VALUE"""),"Joy / จอย")</f>
        <v>Joy / จอย</v>
      </c>
      <c r="M1240" t="str">
        <f>IFERROR(__xludf.DUMMYFUNCTION("""COMPUTED_VALUE"""),"Cabin Crew - BKK")</f>
        <v>Cabin Crew - BKK</v>
      </c>
      <c r="N1240" t="str">
        <f>IFERROR(__xludf.DUMMYFUNCTION("""COMPUTED_VALUE"""),"BKK")</f>
        <v>BKK</v>
      </c>
      <c r="O1240" s="145" t="str">
        <f>IFERROR(__xludf.DUMMYFUNCTION("""COMPUTED_VALUE"""),"Nhui Home")</f>
        <v>Nhui Home</v>
      </c>
      <c r="P1240" t="str">
        <f>IFERROR(__xludf.DUMMYFUNCTION("""COMPUTED_VALUE"""),"Active")</f>
        <v>Active</v>
      </c>
      <c r="R1240" s="163">
        <f>IFERROR(__xludf.DUMMYFUNCTION("""COMPUTED_VALUE"""),35827.0)</f>
        <v>35827</v>
      </c>
      <c r="S1240" s="146">
        <f>IFERROR(__xludf.DUMMYFUNCTION("""COMPUTED_VALUE"""),8.35365563E8)</f>
        <v>835365563</v>
      </c>
      <c r="T1240" s="147">
        <f>IFERROR(__xludf.DUMMYFUNCTION("""COMPUTED_VALUE"""),1.101402166068E12)</f>
        <v>1101402166068</v>
      </c>
      <c r="U1240" t="str">
        <f>IFERROR(__xludf.DUMMYFUNCTION("""COMPUTED_VALUE"""),"AC3839567")</f>
        <v>AC3839567</v>
      </c>
      <c r="V1240" s="148">
        <f>IFERROR(__xludf.DUMMYFUNCTION("""COMPUTED_VALUE"""),44788.0)</f>
        <v>44788</v>
      </c>
      <c r="W1240" s="148">
        <f>IFERROR(__xludf.DUMMYFUNCTION("""COMPUTED_VALUE"""),46613.0)</f>
        <v>46613</v>
      </c>
      <c r="X1240" s="149">
        <f>IFERROR(__xludf.DUMMYFUNCTION("""COMPUTED_VALUE"""),46432.0)</f>
        <v>46432</v>
      </c>
      <c r="Y1240" t="str">
        <f>IFERROR(__xludf.DUMMYFUNCTION("""COMPUTED_VALUE"""),"ปลอดภัย")</f>
        <v>ปลอดภัย</v>
      </c>
      <c r="Z1240" t="str">
        <f>IFERROR(__xludf.DUMMYFUNCTION("""COMPUTED_VALUE"""),"Bangkok")</f>
        <v>Bangkok</v>
      </c>
      <c r="AA1240" t="str">
        <f>IFERROR(__xludf.DUMMYFUNCTION("""COMPUTED_VALUE"""),"Bangkok")</f>
        <v>Bangkok</v>
      </c>
      <c r="AB1240" s="145" t="str">
        <f>IFERROR(__xludf.DUMMYFUNCTION("""COMPUTED_VALUE"""),"081-949-3542")</f>
        <v>081-949-3542</v>
      </c>
      <c r="AC1240" t="str">
        <f>IFERROR(__xludf.DUMMYFUNCTION("""COMPUTED_VALUE"""),"นายธนภัทร พรหมศรี Brother")</f>
        <v>นายธนภัทร พรหมศรี Brother</v>
      </c>
      <c r="AD1240" t="str">
        <f>IFERROR(__xludf.DUMMYFUNCTION("""COMPUTED_VALUE"""),"natradaphr@airasia.com")</f>
        <v>natradaphr@airasia.com</v>
      </c>
    </row>
    <row r="1241">
      <c r="A1241" s="142">
        <f>IFERROR(__xludf.DUMMYFUNCTION("""COMPUTED_VALUE"""),110.0)</f>
        <v>110</v>
      </c>
      <c r="C1241">
        <f>IFERROR(__xludf.DUMMYFUNCTION("""COMPUTED_VALUE"""),1044882.0)</f>
        <v>1044882</v>
      </c>
      <c r="D1241" t="str">
        <f>IFERROR(__xludf.DUMMYFUNCTION("""COMPUTED_VALUE"""),"Mr.")</f>
        <v>Mr.</v>
      </c>
      <c r="E1241" t="str">
        <f>IFERROR(__xludf.DUMMYFUNCTION("""COMPUTED_VALUE"""),"Nattapong")</f>
        <v>Nattapong</v>
      </c>
      <c r="F1241" t="str">
        <f>IFERROR(__xludf.DUMMYFUNCTION("""COMPUTED_VALUE"""),"Noimor")</f>
        <v>Noimor</v>
      </c>
      <c r="G1241" t="str">
        <f>IFERROR(__xludf.DUMMYFUNCTION("""COMPUTED_VALUE"""),"Nattapong Noimor")</f>
        <v>Nattapong Noimor</v>
      </c>
      <c r="H1241" t="str">
        <f>IFERROR(__xludf.DUMMYFUNCTION("""COMPUTED_VALUE"""),"นาย")</f>
        <v>นาย</v>
      </c>
      <c r="I1241" t="str">
        <f>IFERROR(__xludf.DUMMYFUNCTION("""COMPUTED_VALUE"""),"ณัฐพงษ์")</f>
        <v>ณัฐพงษ์</v>
      </c>
      <c r="J1241" t="str">
        <f>IFERROR(__xludf.DUMMYFUNCTION("""COMPUTED_VALUE"""),"น้อยหมอ")</f>
        <v>น้อยหมอ</v>
      </c>
      <c r="K1241" t="str">
        <f>IFERROR(__xludf.DUMMYFUNCTION("""COMPUTED_VALUE"""),"ณัฐพงษ์ น้อยหมอ")</f>
        <v>ณัฐพงษ์ น้อยหมอ</v>
      </c>
      <c r="L1241" t="str">
        <f>IFERROR(__xludf.DUMMYFUNCTION("""COMPUTED_VALUE"""),"Aunzer/อั๋นเซอร์")</f>
        <v>Aunzer/อั๋นเซอร์</v>
      </c>
      <c r="M1241" t="str">
        <f>IFERROR(__xludf.DUMMYFUNCTION("""COMPUTED_VALUE"""),"Cabin Crew - HKT")</f>
        <v>Cabin Crew - HKT</v>
      </c>
      <c r="N1241" t="str">
        <f>IFERROR(__xludf.DUMMYFUNCTION("""COMPUTED_VALUE"""),"HKT")</f>
        <v>HKT</v>
      </c>
      <c r="O1241" s="145" t="str">
        <f>IFERROR(__xludf.DUMMYFUNCTION("""COMPUTED_VALUE"""),"Kor Home")</f>
        <v>Kor Home</v>
      </c>
      <c r="P1241" t="str">
        <f>IFERROR(__xludf.DUMMYFUNCTION("""COMPUTED_VALUE"""),"Active")</f>
        <v>Active</v>
      </c>
      <c r="R1241" s="163">
        <f>IFERROR(__xludf.DUMMYFUNCTION("""COMPUTED_VALUE"""),34049.0)</f>
        <v>34049</v>
      </c>
      <c r="S1241" s="146">
        <f>IFERROR(__xludf.DUMMYFUNCTION("""COMPUTED_VALUE"""),9.28242478E8)</f>
        <v>928242478</v>
      </c>
      <c r="T1241" s="147">
        <f>IFERROR(__xludf.DUMMYFUNCTION("""COMPUTED_VALUE"""),1.560500066071E12)</f>
        <v>1560500066071</v>
      </c>
      <c r="U1241" t="str">
        <f>IFERROR(__xludf.DUMMYFUNCTION("""COMPUTED_VALUE"""),"AC7977248")</f>
        <v>AC7977248</v>
      </c>
      <c r="V1241" s="148">
        <f>IFERROR(__xludf.DUMMYFUNCTION("""COMPUTED_VALUE"""),45684.0)</f>
        <v>45684</v>
      </c>
      <c r="W1241" s="148">
        <f>IFERROR(__xludf.DUMMYFUNCTION("""COMPUTED_VALUE"""),49335.0)</f>
        <v>49335</v>
      </c>
      <c r="X1241" s="149">
        <f>IFERROR(__xludf.DUMMYFUNCTION("""COMPUTED_VALUE"""),49151.0)</f>
        <v>49151</v>
      </c>
      <c r="Y1241" t="str">
        <f>IFERROR(__xludf.DUMMYFUNCTION("""COMPUTED_VALUE"""),"ปลอดภัย")</f>
        <v>ปลอดภัย</v>
      </c>
      <c r="Z1241" t="str">
        <f>IFERROR(__xludf.DUMMYFUNCTION("""COMPUTED_VALUE"""),"Phayao Province")</f>
        <v>Phayao Province</v>
      </c>
      <c r="AA1241" t="str">
        <f>IFERROR(__xludf.DUMMYFUNCTION("""COMPUTED_VALUE"""),"Phuket")</f>
        <v>Phuket</v>
      </c>
      <c r="AB1241" t="str">
        <f>IFERROR(__xludf.DUMMYFUNCTION("""COMPUTED_VALUE"""),"0861986364")</f>
        <v>0861986364</v>
      </c>
      <c r="AC1241" t="str">
        <f>IFERROR(__xludf.DUMMYFUNCTION("""COMPUTED_VALUE"""),"นายวิชาญ น้อยหมอ Father")</f>
        <v>นายวิชาญ น้อยหมอ Father</v>
      </c>
      <c r="AD1241" t="str">
        <f>IFERROR(__xludf.DUMMYFUNCTION("""COMPUTED_VALUE"""),"nattapongnoi@airasia.com")</f>
        <v>nattapongnoi@airasia.com</v>
      </c>
    </row>
    <row r="1242">
      <c r="A1242" s="142">
        <f>IFERROR(__xludf.DUMMYFUNCTION("""COMPUTED_VALUE"""),110.0)</f>
        <v>110</v>
      </c>
      <c r="C1242">
        <f>IFERROR(__xludf.DUMMYFUNCTION("""COMPUTED_VALUE"""),1044867.0)</f>
        <v>1044867</v>
      </c>
      <c r="D1242" t="str">
        <f>IFERROR(__xludf.DUMMYFUNCTION("""COMPUTED_VALUE"""),"Ms.")</f>
        <v>Ms.</v>
      </c>
      <c r="E1242" t="str">
        <f>IFERROR(__xludf.DUMMYFUNCTION("""COMPUTED_VALUE"""),"Vachiraporn")</f>
        <v>Vachiraporn</v>
      </c>
      <c r="F1242" t="str">
        <f>IFERROR(__xludf.DUMMYFUNCTION("""COMPUTED_VALUE"""),"Tongtawan")</f>
        <v>Tongtawan</v>
      </c>
      <c r="G1242" t="str">
        <f>IFERROR(__xludf.DUMMYFUNCTION("""COMPUTED_VALUE"""),"Vachiraporn Tongtawan")</f>
        <v>Vachiraporn Tongtawan</v>
      </c>
      <c r="H1242" t="str">
        <f>IFERROR(__xludf.DUMMYFUNCTION("""COMPUTED_VALUE"""),"นางสาว")</f>
        <v>นางสาว</v>
      </c>
      <c r="I1242" t="str">
        <f>IFERROR(__xludf.DUMMYFUNCTION("""COMPUTED_VALUE"""),"วชิราภรณ์")</f>
        <v>วชิราภรณ์</v>
      </c>
      <c r="J1242" t="str">
        <f>IFERROR(__xludf.DUMMYFUNCTION("""COMPUTED_VALUE"""),"ต้องตะวัน")</f>
        <v>ต้องตะวัน</v>
      </c>
      <c r="K1242" t="str">
        <f>IFERROR(__xludf.DUMMYFUNCTION("""COMPUTED_VALUE"""),"วชิราภรณ์ ต้องตะวัน")</f>
        <v>วชิราภรณ์ ต้องตะวัน</v>
      </c>
      <c r="L1242" t="str">
        <f>IFERROR(__xludf.DUMMYFUNCTION("""COMPUTED_VALUE"""),"Good / กู๊ด")</f>
        <v>Good / กู๊ด</v>
      </c>
      <c r="M1242" t="str">
        <f>IFERROR(__xludf.DUMMYFUNCTION("""COMPUTED_VALUE"""),"Cabin Crew - BKK")</f>
        <v>Cabin Crew - BKK</v>
      </c>
      <c r="N1242" t="str">
        <f>IFERROR(__xludf.DUMMYFUNCTION("""COMPUTED_VALUE"""),"BKK")</f>
        <v>BKK</v>
      </c>
      <c r="O1242" s="145" t="str">
        <f>IFERROR(__xludf.DUMMYFUNCTION("""COMPUTED_VALUE"""),"Nhui Home")</f>
        <v>Nhui Home</v>
      </c>
      <c r="P1242" t="str">
        <f>IFERROR(__xludf.DUMMYFUNCTION("""COMPUTED_VALUE"""),"Active")</f>
        <v>Active</v>
      </c>
      <c r="R1242" s="156">
        <f>IFERROR(__xludf.DUMMYFUNCTION("""COMPUTED_VALUE"""),37476.0)</f>
        <v>37476</v>
      </c>
      <c r="S1242" s="146">
        <f>IFERROR(__xludf.DUMMYFUNCTION("""COMPUTED_VALUE"""),9.22714882E8)</f>
        <v>922714882</v>
      </c>
      <c r="T1242" s="147">
        <f>IFERROR(__xludf.DUMMYFUNCTION("""COMPUTED_VALUE"""),1.100401138205E12)</f>
        <v>1100401138205</v>
      </c>
      <c r="U1242" t="str">
        <f>IFERROR(__xludf.DUMMYFUNCTION("""COMPUTED_VALUE"""),"AD1532359")</f>
        <v>AD1532359</v>
      </c>
      <c r="V1242" s="148">
        <f>IFERROR(__xludf.DUMMYFUNCTION("""COMPUTED_VALUE"""),45300.0)</f>
        <v>45300</v>
      </c>
      <c r="W1242" s="148">
        <f>IFERROR(__xludf.DUMMYFUNCTION("""COMPUTED_VALUE"""),48952.0)</f>
        <v>48952</v>
      </c>
      <c r="X1242" s="149">
        <f>IFERROR(__xludf.DUMMYFUNCTION("""COMPUTED_VALUE"""),48768.0)</f>
        <v>48768</v>
      </c>
      <c r="Y1242" t="str">
        <f>IFERROR(__xludf.DUMMYFUNCTION("""COMPUTED_VALUE"""),"ปลอดภัย")</f>
        <v>ปลอดภัย</v>
      </c>
      <c r="Z1242" t="str">
        <f>IFERROR(__xludf.DUMMYFUNCTION("""COMPUTED_VALUE"""),"Bangkok")</f>
        <v>Bangkok</v>
      </c>
      <c r="AA1242" t="str">
        <f>IFERROR(__xludf.DUMMYFUNCTION("""COMPUTED_VALUE"""),"Bangkok")</f>
        <v>Bangkok</v>
      </c>
      <c r="AB1242" s="145" t="str">
        <f>IFERROR(__xludf.DUMMYFUNCTION("""COMPUTED_VALUE"""),"086-764-4555")</f>
        <v>086-764-4555</v>
      </c>
      <c r="AC1242" t="str">
        <f>IFERROR(__xludf.DUMMYFUNCTION("""COMPUTED_VALUE"""),"นายชนะชนม์ ต้องตะวัน Father")</f>
        <v>นายชนะชนม์ ต้องตะวัน Father</v>
      </c>
      <c r="AD1242" t="str">
        <f>IFERROR(__xludf.DUMMYFUNCTION("""COMPUTED_VALUE"""),"vachirapornton@airasia.com")</f>
        <v>vachirapornton@airasia.com</v>
      </c>
    </row>
    <row r="1243">
      <c r="A1243" s="142">
        <f>IFERROR(__xludf.DUMMYFUNCTION("""COMPUTED_VALUE"""),110.0)</f>
        <v>110</v>
      </c>
      <c r="C1243">
        <f>IFERROR(__xludf.DUMMYFUNCTION("""COMPUTED_VALUE"""),1044868.0)</f>
        <v>1044868</v>
      </c>
      <c r="D1243" t="str">
        <f>IFERROR(__xludf.DUMMYFUNCTION("""COMPUTED_VALUE"""),"Ms.")</f>
        <v>Ms.</v>
      </c>
      <c r="E1243" t="str">
        <f>IFERROR(__xludf.DUMMYFUNCTION("""COMPUTED_VALUE"""),"Tussamon")</f>
        <v>Tussamon</v>
      </c>
      <c r="F1243" t="str">
        <f>IFERROR(__xludf.DUMMYFUNCTION("""COMPUTED_VALUE"""),"Autthakovit")</f>
        <v>Autthakovit</v>
      </c>
      <c r="G1243" t="str">
        <f>IFERROR(__xludf.DUMMYFUNCTION("""COMPUTED_VALUE"""),"Tussamon Autthakovit")</f>
        <v>Tussamon Autthakovit</v>
      </c>
      <c r="H1243" t="str">
        <f>IFERROR(__xludf.DUMMYFUNCTION("""COMPUTED_VALUE"""),"นางสาว")</f>
        <v>นางสาว</v>
      </c>
      <c r="I1243" t="str">
        <f>IFERROR(__xludf.DUMMYFUNCTION("""COMPUTED_VALUE"""),"ธรรษมล")</f>
        <v>ธรรษมล</v>
      </c>
      <c r="J1243" t="str">
        <f>IFERROR(__xludf.DUMMYFUNCTION("""COMPUTED_VALUE"""),"อรรถโกวิท")</f>
        <v>อรรถโกวิท</v>
      </c>
      <c r="K1243" t="str">
        <f>IFERROR(__xludf.DUMMYFUNCTION("""COMPUTED_VALUE"""),"ธรรษมล อรรถโกวิท")</f>
        <v>ธรรษมล อรรถโกวิท</v>
      </c>
      <c r="L1243" t="str">
        <f>IFERROR(__xludf.DUMMYFUNCTION("""COMPUTED_VALUE"""),"Numwarn / น้ำหวาน")</f>
        <v>Numwarn / น้ำหวาน</v>
      </c>
      <c r="M1243" t="str">
        <f>IFERROR(__xludf.DUMMYFUNCTION("""COMPUTED_VALUE"""),"Cabin Crew - BKK")</f>
        <v>Cabin Crew - BKK</v>
      </c>
      <c r="N1243" t="str">
        <f>IFERROR(__xludf.DUMMYFUNCTION("""COMPUTED_VALUE"""),"BKK")</f>
        <v>BKK</v>
      </c>
      <c r="O1243" s="145" t="str">
        <f>IFERROR(__xludf.DUMMYFUNCTION("""COMPUTED_VALUE"""),"Nhui Home")</f>
        <v>Nhui Home</v>
      </c>
      <c r="P1243" t="str">
        <f>IFERROR(__xludf.DUMMYFUNCTION("""COMPUTED_VALUE"""),"Active")</f>
        <v>Active</v>
      </c>
      <c r="R1243" s="156">
        <f>IFERROR(__xludf.DUMMYFUNCTION("""COMPUTED_VALUE"""),37207.0)</f>
        <v>37207</v>
      </c>
      <c r="S1243" s="146">
        <f>IFERROR(__xludf.DUMMYFUNCTION("""COMPUTED_VALUE"""),6.23266181E8)</f>
        <v>623266181</v>
      </c>
      <c r="T1243" s="147">
        <f>IFERROR(__xludf.DUMMYFUNCTION("""COMPUTED_VALUE"""),1.73020137774E12)</f>
        <v>1730201377740</v>
      </c>
      <c r="U1243" t="str">
        <f>IFERROR(__xludf.DUMMYFUNCTION("""COMPUTED_VALUE"""),"AC6593452")</f>
        <v>AC6593452</v>
      </c>
      <c r="V1243" s="148">
        <f>IFERROR(__xludf.DUMMYFUNCTION("""COMPUTED_VALUE"""),45391.0)</f>
        <v>45391</v>
      </c>
      <c r="W1243" s="148">
        <f>IFERROR(__xludf.DUMMYFUNCTION("""COMPUTED_VALUE"""),49042.0)</f>
        <v>49042</v>
      </c>
      <c r="X1243" s="149">
        <f>IFERROR(__xludf.DUMMYFUNCTION("""COMPUTED_VALUE"""),48860.0)</f>
        <v>48860</v>
      </c>
      <c r="Y1243" t="str">
        <f>IFERROR(__xludf.DUMMYFUNCTION("""COMPUTED_VALUE"""),"ปลอดภัย")</f>
        <v>ปลอดภัย</v>
      </c>
      <c r="Z1243" t="str">
        <f>IFERROR(__xludf.DUMMYFUNCTION("""COMPUTED_VALUE"""),"Nakhon Pathom Province")</f>
        <v>Nakhon Pathom Province</v>
      </c>
      <c r="AA1243" t="str">
        <f>IFERROR(__xludf.DUMMYFUNCTION("""COMPUTED_VALUE"""),"Suphanburi")</f>
        <v>Suphanburi</v>
      </c>
      <c r="AB1243" s="145" t="str">
        <f>IFERROR(__xludf.DUMMYFUNCTION("""COMPUTED_VALUE"""),"081-840-7883")</f>
        <v>081-840-7883</v>
      </c>
      <c r="AC1243" t="str">
        <f>IFERROR(__xludf.DUMMYFUNCTION("""COMPUTED_VALUE"""),"นางธนวรรณ อรรถโกวิท Mother")</f>
        <v>นางธนวรรณ อรรถโกวิท Mother</v>
      </c>
      <c r="AD1243" t="str">
        <f>IFERROR(__xludf.DUMMYFUNCTION("""COMPUTED_VALUE"""),"tussamonaut@airasia.com")</f>
        <v>tussamonaut@airasia.com</v>
      </c>
    </row>
    <row r="1244">
      <c r="A1244" s="142">
        <f>IFERROR(__xludf.DUMMYFUNCTION("""COMPUTED_VALUE"""),110.0)</f>
        <v>110</v>
      </c>
      <c r="C1244">
        <f>IFERROR(__xludf.DUMMYFUNCTION("""COMPUTED_VALUE"""),1044869.0)</f>
        <v>1044869</v>
      </c>
      <c r="D1244" t="str">
        <f>IFERROR(__xludf.DUMMYFUNCTION("""COMPUTED_VALUE"""),"Ms.")</f>
        <v>Ms.</v>
      </c>
      <c r="E1244" t="str">
        <f>IFERROR(__xludf.DUMMYFUNCTION("""COMPUTED_VALUE"""),"Pear")</f>
        <v>Pear</v>
      </c>
      <c r="F1244" t="str">
        <f>IFERROR(__xludf.DUMMYFUNCTION("""COMPUTED_VALUE"""),"Inthrarak")</f>
        <v>Inthrarak</v>
      </c>
      <c r="G1244" t="str">
        <f>IFERROR(__xludf.DUMMYFUNCTION("""COMPUTED_VALUE"""),"Pear Inthrarak")</f>
        <v>Pear Inthrarak</v>
      </c>
      <c r="H1244" t="str">
        <f>IFERROR(__xludf.DUMMYFUNCTION("""COMPUTED_VALUE"""),"นางสาว")</f>
        <v>นางสาว</v>
      </c>
      <c r="I1244" t="str">
        <f>IFERROR(__xludf.DUMMYFUNCTION("""COMPUTED_VALUE"""),"แพร")</f>
        <v>แพร</v>
      </c>
      <c r="J1244" t="str">
        <f>IFERROR(__xludf.DUMMYFUNCTION("""COMPUTED_VALUE"""),"อินทรารักษ์")</f>
        <v>อินทรารักษ์</v>
      </c>
      <c r="K1244" t="str">
        <f>IFERROR(__xludf.DUMMYFUNCTION("""COMPUTED_VALUE"""),"แพร อินทรารักษ์")</f>
        <v>แพร อินทรารักษ์</v>
      </c>
      <c r="L1244" t="str">
        <f>IFERROR(__xludf.DUMMYFUNCTION("""COMPUTED_VALUE"""),"Pear / แพร")</f>
        <v>Pear / แพร</v>
      </c>
      <c r="M1244" t="str">
        <f>IFERROR(__xludf.DUMMYFUNCTION("""COMPUTED_VALUE"""),"Cabin Crew")</f>
        <v>Cabin Crew</v>
      </c>
      <c r="N1244" t="str">
        <f>IFERROR(__xludf.DUMMYFUNCTION("""COMPUTED_VALUE"""),"DMK")</f>
        <v>DMK</v>
      </c>
      <c r="O1244" s="145" t="str">
        <f>IFERROR(__xludf.DUMMYFUNCTION("""COMPUTED_VALUE"""),"Kor Home")</f>
        <v>Kor Home</v>
      </c>
      <c r="P1244" t="str">
        <f>IFERROR(__xludf.DUMMYFUNCTION("""COMPUTED_VALUE"""),"Active")</f>
        <v>Active</v>
      </c>
      <c r="R1244" s="156">
        <f>IFERROR(__xludf.DUMMYFUNCTION("""COMPUTED_VALUE"""),35964.0)</f>
        <v>35964</v>
      </c>
      <c r="S1244" s="146">
        <f>IFERROR(__xludf.DUMMYFUNCTION("""COMPUTED_VALUE"""),8.74412247E8)</f>
        <v>874412247</v>
      </c>
      <c r="T1244" s="147">
        <f>IFERROR(__xludf.DUMMYFUNCTION("""COMPUTED_VALUE"""),1.103702615196E12)</f>
        <v>1103702615196</v>
      </c>
      <c r="U1244" t="str">
        <f>IFERROR(__xludf.DUMMYFUNCTION("""COMPUTED_VALUE"""),"AD1038311")</f>
        <v>AD1038311</v>
      </c>
      <c r="V1244" s="148">
        <f>IFERROR(__xludf.DUMMYFUNCTION("""COMPUTED_VALUE"""),45054.0)</f>
        <v>45054</v>
      </c>
      <c r="W1244" s="148">
        <f>IFERROR(__xludf.DUMMYFUNCTION("""COMPUTED_VALUE"""),46880.0)</f>
        <v>46880</v>
      </c>
      <c r="X1244" s="149">
        <f>IFERROR(__xludf.DUMMYFUNCTION("""COMPUTED_VALUE"""),46698.0)</f>
        <v>46698</v>
      </c>
      <c r="Y1244" t="str">
        <f>IFERROR(__xludf.DUMMYFUNCTION("""COMPUTED_VALUE"""),"ปลอดภัย")</f>
        <v>ปลอดภัย</v>
      </c>
      <c r="Z1244" t="str">
        <f>IFERROR(__xludf.DUMMYFUNCTION("""COMPUTED_VALUE"""),"Bangkok")</f>
        <v>Bangkok</v>
      </c>
      <c r="AA1244" t="str">
        <f>IFERROR(__xludf.DUMMYFUNCTION("""COMPUTED_VALUE"""),"Ubon")</f>
        <v>Ubon</v>
      </c>
      <c r="AB1244" s="145" t="str">
        <f>IFERROR(__xludf.DUMMYFUNCTION("""COMPUTED_VALUE"""),"081-295-2180")</f>
        <v>081-295-2180</v>
      </c>
      <c r="AC1244" t="str">
        <f>IFERROR(__xludf.DUMMYFUNCTION("""COMPUTED_VALUE"""),"นายกฤตนันท์ วรรณดิลก Friend")</f>
        <v>นายกฤตนันท์ วรรณดิลก Friend</v>
      </c>
      <c r="AD1244" t="str">
        <f>IFERROR(__xludf.DUMMYFUNCTION("""COMPUTED_VALUE"""),"pearint@airasia.com")</f>
        <v>pearint@airasia.com</v>
      </c>
    </row>
    <row r="1245">
      <c r="A1245" s="142">
        <f>IFERROR(__xludf.DUMMYFUNCTION("""COMPUTED_VALUE"""),110.0)</f>
        <v>110</v>
      </c>
      <c r="C1245">
        <f>IFERROR(__xludf.DUMMYFUNCTION("""COMPUTED_VALUE"""),1044870.0)</f>
        <v>1044870</v>
      </c>
      <c r="D1245" t="str">
        <f>IFERROR(__xludf.DUMMYFUNCTION("""COMPUTED_VALUE"""),"Mr.")</f>
        <v>Mr.</v>
      </c>
      <c r="E1245" t="str">
        <f>IFERROR(__xludf.DUMMYFUNCTION("""COMPUTED_VALUE"""),"Nitit")</f>
        <v>Nitit</v>
      </c>
      <c r="F1245" t="str">
        <f>IFERROR(__xludf.DUMMYFUNCTION("""COMPUTED_VALUE"""),"Kawinkul")</f>
        <v>Kawinkul</v>
      </c>
      <c r="G1245" t="str">
        <f>IFERROR(__xludf.DUMMYFUNCTION("""COMPUTED_VALUE"""),"Nitit Kawinkul")</f>
        <v>Nitit Kawinkul</v>
      </c>
      <c r="H1245" t="str">
        <f>IFERROR(__xludf.DUMMYFUNCTION("""COMPUTED_VALUE"""),"นาย")</f>
        <v>นาย</v>
      </c>
      <c r="I1245" t="str">
        <f>IFERROR(__xludf.DUMMYFUNCTION("""COMPUTED_VALUE"""),"นิธิศ")</f>
        <v>นิธิศ</v>
      </c>
      <c r="J1245" t="str">
        <f>IFERROR(__xludf.DUMMYFUNCTION("""COMPUTED_VALUE"""),"กวินกุล")</f>
        <v>กวินกุล</v>
      </c>
      <c r="K1245" t="str">
        <f>IFERROR(__xludf.DUMMYFUNCTION("""COMPUTED_VALUE"""),"นิธิศ กวินกุล")</f>
        <v>นิธิศ กวินกุล</v>
      </c>
      <c r="L1245" t="str">
        <f>IFERROR(__xludf.DUMMYFUNCTION("""COMPUTED_VALUE"""),"Hark / ฮาร์ก")</f>
        <v>Hark / ฮาร์ก</v>
      </c>
      <c r="M1245" t="str">
        <f>IFERROR(__xludf.DUMMYFUNCTION("""COMPUTED_VALUE"""),"Cabin Crew - HKT")</f>
        <v>Cabin Crew - HKT</v>
      </c>
      <c r="N1245" t="str">
        <f>IFERROR(__xludf.DUMMYFUNCTION("""COMPUTED_VALUE"""),"HKT")</f>
        <v>HKT</v>
      </c>
      <c r="O1245" s="145" t="str">
        <f>IFERROR(__xludf.DUMMYFUNCTION("""COMPUTED_VALUE"""),"Kor Home")</f>
        <v>Kor Home</v>
      </c>
      <c r="P1245" t="str">
        <f>IFERROR(__xludf.DUMMYFUNCTION("""COMPUTED_VALUE"""),"Active")</f>
        <v>Active</v>
      </c>
      <c r="R1245" s="156">
        <f>IFERROR(__xludf.DUMMYFUNCTION("""COMPUTED_VALUE"""),35012.0)</f>
        <v>35012</v>
      </c>
      <c r="S1245" s="146">
        <f>IFERROR(__xludf.DUMMYFUNCTION("""COMPUTED_VALUE"""),8.7789336E8)</f>
        <v>877893360</v>
      </c>
      <c r="T1245" s="147">
        <f>IFERROR(__xludf.DUMMYFUNCTION("""COMPUTED_VALUE"""),1.509901645496E12)</f>
        <v>1509901645496</v>
      </c>
      <c r="U1245" t="str">
        <f>IFERROR(__xludf.DUMMYFUNCTION("""COMPUTED_VALUE"""),"AC3476844")</f>
        <v>AC3476844</v>
      </c>
      <c r="V1245" s="148">
        <f>IFERROR(__xludf.DUMMYFUNCTION("""COMPUTED_VALUE"""),44734.0)</f>
        <v>44734</v>
      </c>
      <c r="W1245" s="148">
        <f>IFERROR(__xludf.DUMMYFUNCTION("""COMPUTED_VALUE"""),46559.0)</f>
        <v>46559</v>
      </c>
      <c r="X1245" s="149">
        <f>IFERROR(__xludf.DUMMYFUNCTION("""COMPUTED_VALUE"""),46377.0)</f>
        <v>46377</v>
      </c>
      <c r="Y1245" t="str">
        <f>IFERROR(__xludf.DUMMYFUNCTION("""COMPUTED_VALUE"""),"ปลอดภัย")</f>
        <v>ปลอดภัย</v>
      </c>
      <c r="Z1245" t="str">
        <f>IFERROR(__xludf.DUMMYFUNCTION("""COMPUTED_VALUE"""),"Chiang Mai Province")</f>
        <v>Chiang Mai Province</v>
      </c>
      <c r="AA1245" t="str">
        <f>IFERROR(__xludf.DUMMYFUNCTION("""COMPUTED_VALUE"""),"Chiang mai")</f>
        <v>Chiang mai</v>
      </c>
      <c r="AB1245" s="145" t="str">
        <f>IFERROR(__xludf.DUMMYFUNCTION("""COMPUTED_VALUE"""),"087-6208363")</f>
        <v>087-6208363</v>
      </c>
      <c r="AC1245" t="str">
        <f>IFERROR(__xludf.DUMMYFUNCTION("""COMPUTED_VALUE"""),"นางศศิธร กวินกุล Wife")</f>
        <v>นางศศิธร กวินกุล Wife</v>
      </c>
      <c r="AD1245" t="str">
        <f>IFERROR(__xludf.DUMMYFUNCTION("""COMPUTED_VALUE"""),"nititkaw@airasia.com")</f>
        <v>nititkaw@airasia.com</v>
      </c>
    </row>
    <row r="1246">
      <c r="A1246" s="142">
        <f>IFERROR(__xludf.DUMMYFUNCTION("""COMPUTED_VALUE"""),110.0)</f>
        <v>110</v>
      </c>
      <c r="C1246">
        <f>IFERROR(__xludf.DUMMYFUNCTION("""COMPUTED_VALUE"""),1044871.0)</f>
        <v>1044871</v>
      </c>
      <c r="D1246" t="str">
        <f>IFERROR(__xludf.DUMMYFUNCTION("""COMPUTED_VALUE"""),"Mr.")</f>
        <v>Mr.</v>
      </c>
      <c r="E1246" t="str">
        <f>IFERROR(__xludf.DUMMYFUNCTION("""COMPUTED_VALUE"""),"Songporn")</f>
        <v>Songporn</v>
      </c>
      <c r="F1246" t="str">
        <f>IFERROR(__xludf.DUMMYFUNCTION("""COMPUTED_VALUE"""),"Surarit")</f>
        <v>Surarit</v>
      </c>
      <c r="G1246" t="str">
        <f>IFERROR(__xludf.DUMMYFUNCTION("""COMPUTED_VALUE"""),"Songporn Surarit")</f>
        <v>Songporn Surarit</v>
      </c>
      <c r="H1246" t="str">
        <f>IFERROR(__xludf.DUMMYFUNCTION("""COMPUTED_VALUE"""),"นาย")</f>
        <v>นาย</v>
      </c>
      <c r="I1246" t="str">
        <f>IFERROR(__xludf.DUMMYFUNCTION("""COMPUTED_VALUE"""),"ทรงพร")</f>
        <v>ทรงพร</v>
      </c>
      <c r="J1246" t="str">
        <f>IFERROR(__xludf.DUMMYFUNCTION("""COMPUTED_VALUE"""),"สุราฤทธิ์")</f>
        <v>สุราฤทธิ์</v>
      </c>
      <c r="K1246" t="str">
        <f>IFERROR(__xludf.DUMMYFUNCTION("""COMPUTED_VALUE"""),"ทรงพร สุราฤทธิ์")</f>
        <v>ทรงพร สุราฤทธิ์</v>
      </c>
      <c r="L1246" t="str">
        <f>IFERROR(__xludf.DUMMYFUNCTION("""COMPUTED_VALUE"""),"Mos / มอส")</f>
        <v>Mos / มอส</v>
      </c>
      <c r="M1246" t="str">
        <f>IFERROR(__xludf.DUMMYFUNCTION("""COMPUTED_VALUE"""),"Cabin Crew")</f>
        <v>Cabin Crew</v>
      </c>
      <c r="N1246" t="str">
        <f>IFERROR(__xludf.DUMMYFUNCTION("""COMPUTED_VALUE"""),"DMK")</f>
        <v>DMK</v>
      </c>
      <c r="O1246" s="145" t="str">
        <f>IFERROR(__xludf.DUMMYFUNCTION("""COMPUTED_VALUE"""),"Kor Home")</f>
        <v>Kor Home</v>
      </c>
      <c r="P1246" t="str">
        <f>IFERROR(__xludf.DUMMYFUNCTION("""COMPUTED_VALUE"""),"Active")</f>
        <v>Active</v>
      </c>
      <c r="R1246" s="156">
        <f>IFERROR(__xludf.DUMMYFUNCTION("""COMPUTED_VALUE"""),34925.0)</f>
        <v>34925</v>
      </c>
      <c r="S1246" s="146">
        <f>IFERROR(__xludf.DUMMYFUNCTION("""COMPUTED_VALUE"""),8.94822689E8)</f>
        <v>894822689</v>
      </c>
      <c r="T1246" s="147">
        <f>IFERROR(__xludf.DUMMYFUNCTION("""COMPUTED_VALUE"""),1.81990018414E12)</f>
        <v>1819900184140</v>
      </c>
      <c r="U1246" t="str">
        <f>IFERROR(__xludf.DUMMYFUNCTION("""COMPUTED_VALUE"""),"AD1513598")</f>
        <v>AD1513598</v>
      </c>
      <c r="V1246" s="148">
        <f>IFERROR(__xludf.DUMMYFUNCTION("""COMPUTED_VALUE"""),45295.0)</f>
        <v>45295</v>
      </c>
      <c r="W1246" s="148">
        <f>IFERROR(__xludf.DUMMYFUNCTION("""COMPUTED_VALUE"""),47121.0)</f>
        <v>47121</v>
      </c>
      <c r="X1246" s="149">
        <f>IFERROR(__xludf.DUMMYFUNCTION("""COMPUTED_VALUE"""),46937.0)</f>
        <v>46937</v>
      </c>
      <c r="Y1246" t="str">
        <f>IFERROR(__xludf.DUMMYFUNCTION("""COMPUTED_VALUE"""),"ปลอดภัย")</f>
        <v>ปลอดภัย</v>
      </c>
      <c r="Z1246" t="str">
        <f>IFERROR(__xludf.DUMMYFUNCTION("""COMPUTED_VALUE"""),"Krabi Province")</f>
        <v>Krabi Province</v>
      </c>
      <c r="AA1246" t="str">
        <f>IFERROR(__xludf.DUMMYFUNCTION("""COMPUTED_VALUE"""),"Bangkok")</f>
        <v>Bangkok</v>
      </c>
      <c r="AB1246" t="str">
        <f>IFERROR(__xludf.DUMMYFUNCTION("""COMPUTED_VALUE"""),"0896523379")</f>
        <v>0896523379</v>
      </c>
      <c r="AC1246" t="str">
        <f>IFERROR(__xludf.DUMMYFUNCTION("""COMPUTED_VALUE"""),"นางจุรี สุราฤทธิ์ Mother")</f>
        <v>นางจุรี สุราฤทธิ์ Mother</v>
      </c>
      <c r="AD1246" t="str">
        <f>IFERROR(__xludf.DUMMYFUNCTION("""COMPUTED_VALUE"""),"songpornsur@airasia.com")</f>
        <v>songpornsur@airasia.com</v>
      </c>
    </row>
    <row r="1247">
      <c r="A1247" s="142">
        <f>IFERROR(__xludf.DUMMYFUNCTION("""COMPUTED_VALUE"""),110.0)</f>
        <v>110</v>
      </c>
      <c r="C1247">
        <f>IFERROR(__xludf.DUMMYFUNCTION("""COMPUTED_VALUE"""),1044872.0)</f>
        <v>1044872</v>
      </c>
      <c r="D1247" t="str">
        <f>IFERROR(__xludf.DUMMYFUNCTION("""COMPUTED_VALUE"""),"Ms.")</f>
        <v>Ms.</v>
      </c>
      <c r="E1247" t="str">
        <f>IFERROR(__xludf.DUMMYFUNCTION("""COMPUTED_VALUE"""),"Patitta")</f>
        <v>Patitta</v>
      </c>
      <c r="F1247" t="str">
        <f>IFERROR(__xludf.DUMMYFUNCTION("""COMPUTED_VALUE"""),"Saejang")</f>
        <v>Saejang</v>
      </c>
      <c r="G1247" t="str">
        <f>IFERROR(__xludf.DUMMYFUNCTION("""COMPUTED_VALUE"""),"Patitta Saejang")</f>
        <v>Patitta Saejang</v>
      </c>
      <c r="H1247" t="str">
        <f>IFERROR(__xludf.DUMMYFUNCTION("""COMPUTED_VALUE"""),"นางสาว")</f>
        <v>นางสาว</v>
      </c>
      <c r="I1247" t="str">
        <f>IFERROR(__xludf.DUMMYFUNCTION("""COMPUTED_VALUE"""),"ปทิตตา")</f>
        <v>ปทิตตา</v>
      </c>
      <c r="J1247" t="str">
        <f>IFERROR(__xludf.DUMMYFUNCTION("""COMPUTED_VALUE"""),"แซ่จาง")</f>
        <v>แซ่จาง</v>
      </c>
      <c r="K1247" t="str">
        <f>IFERROR(__xludf.DUMMYFUNCTION("""COMPUTED_VALUE"""),"ปทิตตา แซ่จาง")</f>
        <v>ปทิตตา แซ่จาง</v>
      </c>
      <c r="L1247" t="str">
        <f>IFERROR(__xludf.DUMMYFUNCTION("""COMPUTED_VALUE"""),"Pmai / ปีใหม่")</f>
        <v>Pmai / ปีใหม่</v>
      </c>
      <c r="M1247" t="str">
        <f>IFERROR(__xludf.DUMMYFUNCTION("""COMPUTED_VALUE"""),"Cabin Crew - BKK")</f>
        <v>Cabin Crew - BKK</v>
      </c>
      <c r="N1247" t="str">
        <f>IFERROR(__xludf.DUMMYFUNCTION("""COMPUTED_VALUE"""),"BKK")</f>
        <v>BKK</v>
      </c>
      <c r="O1247" s="145" t="str">
        <f>IFERROR(__xludf.DUMMYFUNCTION("""COMPUTED_VALUE"""),"Nhui Home")</f>
        <v>Nhui Home</v>
      </c>
      <c r="P1247" t="str">
        <f>IFERROR(__xludf.DUMMYFUNCTION("""COMPUTED_VALUE"""),"Active/V/DMK")</f>
        <v>Active/V/DMK</v>
      </c>
      <c r="R1247" s="156">
        <f>IFERROR(__xludf.DUMMYFUNCTION("""COMPUTED_VALUE"""),37257.0)</f>
        <v>37257</v>
      </c>
      <c r="S1247" s="146">
        <f>IFERROR(__xludf.DUMMYFUNCTION("""COMPUTED_VALUE"""),8.22508785E8)</f>
        <v>822508785</v>
      </c>
      <c r="T1247" s="147">
        <f>IFERROR(__xludf.DUMMYFUNCTION("""COMPUTED_VALUE"""),1.101700310507E12)</f>
        <v>1101700310507</v>
      </c>
      <c r="U1247" t="str">
        <f>IFERROR(__xludf.DUMMYFUNCTION("""COMPUTED_VALUE"""),"AC5829662")</f>
        <v>AC5829662</v>
      </c>
      <c r="V1247" s="148">
        <f>IFERROR(__xludf.DUMMYFUNCTION("""COMPUTED_VALUE"""),45194.0)</f>
        <v>45194</v>
      </c>
      <c r="W1247" s="148">
        <f>IFERROR(__xludf.DUMMYFUNCTION("""COMPUTED_VALUE"""),47020.0)</f>
        <v>47020</v>
      </c>
      <c r="X1247" s="149">
        <f>IFERROR(__xludf.DUMMYFUNCTION("""COMPUTED_VALUE"""),46836.0)</f>
        <v>46836</v>
      </c>
      <c r="Y1247" t="str">
        <f>IFERROR(__xludf.DUMMYFUNCTION("""COMPUTED_VALUE"""),"ปลอดภัย")</f>
        <v>ปลอดภัย</v>
      </c>
      <c r="Z1247" t="str">
        <f>IFERROR(__xludf.DUMMYFUNCTION("""COMPUTED_VALUE"""),"Bangkok")</f>
        <v>Bangkok</v>
      </c>
      <c r="AA1247" t="str">
        <f>IFERROR(__xludf.DUMMYFUNCTION("""COMPUTED_VALUE"""),"Bangkok")</f>
        <v>Bangkok</v>
      </c>
      <c r="AB1247">
        <f>IFERROR(__xludf.DUMMYFUNCTION("""COMPUTED_VALUE"""),8.96621535E8)</f>
        <v>896621535</v>
      </c>
      <c r="AC1247" t="str">
        <f>IFERROR(__xludf.DUMMYFUNCTION("""COMPUTED_VALUE"""),"นางสาวซุ่นจิง แซ่หยาง Mother")</f>
        <v>นางสาวซุ่นจิง แซ่หยาง Mother</v>
      </c>
      <c r="AD1247" t="str">
        <f>IFERROR(__xludf.DUMMYFUNCTION("""COMPUTED_VALUE"""),"patittasae@airasia.com")</f>
        <v>patittasae@airasia.com</v>
      </c>
    </row>
    <row r="1248">
      <c r="AD1248" t="str">
        <f>IFERROR(__xludf.DUMMYFUNCTION("""COMPUTED_VALUE"""),"")</f>
        <v/>
      </c>
    </row>
    <row r="1249">
      <c r="A1249">
        <f>IFERROR(__xludf.DUMMYFUNCTION("""COMPUTED_VALUE"""),111.0)</f>
        <v>111</v>
      </c>
      <c r="C1249">
        <f>IFERROR(__xludf.DUMMYFUNCTION("""COMPUTED_VALUE"""),1011518.0)</f>
        <v>1011518</v>
      </c>
      <c r="D1249" t="str">
        <f>IFERROR(__xludf.DUMMYFUNCTION("""COMPUTED_VALUE"""),"Mr.")</f>
        <v>Mr.</v>
      </c>
      <c r="E1249" t="str">
        <f>IFERROR(__xludf.DUMMYFUNCTION("""COMPUTED_VALUE"""),"Wongsakorn")</f>
        <v>Wongsakorn</v>
      </c>
      <c r="F1249" t="str">
        <f>IFERROR(__xludf.DUMMYFUNCTION("""COMPUTED_VALUE"""),"Naokaew")</f>
        <v>Naokaew</v>
      </c>
      <c r="G1249" t="str">
        <f>IFERROR(__xludf.DUMMYFUNCTION("""COMPUTED_VALUE"""),"Wongsakorn Naokaew")</f>
        <v>Wongsakorn Naokaew</v>
      </c>
      <c r="H1249" t="str">
        <f>IFERROR(__xludf.DUMMYFUNCTION("""COMPUTED_VALUE"""),"นาย")</f>
        <v>นาย</v>
      </c>
      <c r="I1249" t="str">
        <f>IFERROR(__xludf.DUMMYFUNCTION("""COMPUTED_VALUE"""),"วงศกร")</f>
        <v>วงศกร</v>
      </c>
      <c r="J1249" t="str">
        <f>IFERROR(__xludf.DUMMYFUNCTION("""COMPUTED_VALUE"""),"เนาว์แก้ว")</f>
        <v>เนาว์แก้ว</v>
      </c>
      <c r="K1249" t="str">
        <f>IFERROR(__xludf.DUMMYFUNCTION("""COMPUTED_VALUE"""),"วงศกร เนาว์แก้ว")</f>
        <v>วงศกร เนาว์แก้ว</v>
      </c>
      <c r="L1249" t="str">
        <f>IFERROR(__xludf.DUMMYFUNCTION("""COMPUTED_VALUE"""),"Peace / พีท")</f>
        <v>Peace / พีท</v>
      </c>
      <c r="M1249" t="str">
        <f>IFERROR(__xludf.DUMMYFUNCTION("""COMPUTED_VALUE"""),"Cabin Crew")</f>
        <v>Cabin Crew</v>
      </c>
      <c r="N1249" t="str">
        <f>IFERROR(__xludf.DUMMYFUNCTION("""COMPUTED_VALUE"""),"DMK")</f>
        <v>DMK</v>
      </c>
      <c r="O1249" s="145" t="str">
        <f>IFERROR(__xludf.DUMMYFUNCTION("""COMPUTED_VALUE"""),"Um Home")</f>
        <v>Um Home</v>
      </c>
      <c r="P1249" t="str">
        <f>IFERROR(__xludf.DUMMYFUNCTION("""COMPUTED_VALUE"""),"V/LWP")</f>
        <v>V/LWP</v>
      </c>
      <c r="R1249" s="156">
        <f>IFERROR(__xludf.DUMMYFUNCTION("""COMPUTED_VALUE"""),33327.0)</f>
        <v>33327</v>
      </c>
      <c r="S1249" s="146">
        <f>IFERROR(__xludf.DUMMYFUNCTION("""COMPUTED_VALUE"""),9.63951999E8)</f>
        <v>963951999</v>
      </c>
      <c r="T1249" s="147">
        <f>IFERROR(__xludf.DUMMYFUNCTION("""COMPUTED_VALUE"""),1.449900205744E12)</f>
        <v>1449900205744</v>
      </c>
      <c r="U1249" t="str">
        <f>IFERROR(__xludf.DUMMYFUNCTION("""COMPUTED_VALUE"""),"AD1556674")</f>
        <v>AD1556674</v>
      </c>
      <c r="V1249" s="148">
        <f>IFERROR(__xludf.DUMMYFUNCTION("""COMPUTED_VALUE"""),45308.0)</f>
        <v>45308</v>
      </c>
      <c r="W1249" s="148">
        <f>IFERROR(__xludf.DUMMYFUNCTION("""COMPUTED_VALUE"""),48960.0)</f>
        <v>48960</v>
      </c>
      <c r="X1249" s="149">
        <f>IFERROR(__xludf.DUMMYFUNCTION("""COMPUTED_VALUE"""),48776.0)</f>
        <v>48776</v>
      </c>
      <c r="Y1249" t="str">
        <f>IFERROR(__xludf.DUMMYFUNCTION("""COMPUTED_VALUE"""),"ปลอดภัย")</f>
        <v>ปลอดภัย</v>
      </c>
      <c r="Z1249" t="str">
        <f>IFERROR(__xludf.DUMMYFUNCTION("""COMPUTED_VALUE"""),"Maha Sarakham Province")</f>
        <v>Maha Sarakham Province</v>
      </c>
      <c r="AA1249" t="str">
        <f>IFERROR(__xludf.DUMMYFUNCTION("""COMPUTED_VALUE"""),"Bangkok")</f>
        <v>Bangkok</v>
      </c>
      <c r="AB1249" s="145" t="str">
        <f>IFERROR(__xludf.DUMMYFUNCTION("""COMPUTED_VALUE"""),"096-395-1999")</f>
        <v>096-395-1999</v>
      </c>
      <c r="AC1249" t="str">
        <f>IFERROR(__xludf.DUMMYFUNCTION("""COMPUTED_VALUE"""),"นางสาวนิรมล เนาว์แก้ว Sister")</f>
        <v>นางสาวนิรมล เนาว์แก้ว Sister</v>
      </c>
      <c r="AD1249" t="str">
        <f>IFERROR(__xludf.DUMMYFUNCTION("""COMPUTED_VALUE"""),"wongsakornnao@airasia.com")</f>
        <v>wongsakornnao@airasia.com</v>
      </c>
    </row>
    <row r="1250">
      <c r="A1250">
        <f>IFERROR(__xludf.DUMMYFUNCTION("""COMPUTED_VALUE"""),111.0)</f>
        <v>111</v>
      </c>
      <c r="C1250">
        <f>IFERROR(__xludf.DUMMYFUNCTION("""COMPUTED_VALUE"""),1023565.0)</f>
        <v>1023565</v>
      </c>
      <c r="D1250" t="str">
        <f>IFERROR(__xludf.DUMMYFUNCTION("""COMPUTED_VALUE"""),"Mr.")</f>
        <v>Mr.</v>
      </c>
      <c r="E1250" t="str">
        <f>IFERROR(__xludf.DUMMYFUNCTION("""COMPUTED_VALUE"""),"Somchoke")</f>
        <v>Somchoke</v>
      </c>
      <c r="F1250" t="str">
        <f>IFERROR(__xludf.DUMMYFUNCTION("""COMPUTED_VALUE"""),"Direksathaphorn")</f>
        <v>Direksathaphorn</v>
      </c>
      <c r="G1250" t="str">
        <f>IFERROR(__xludf.DUMMYFUNCTION("""COMPUTED_VALUE"""),"Somchoke Direksathaphorn")</f>
        <v>Somchoke Direksathaphorn</v>
      </c>
      <c r="H1250" t="str">
        <f>IFERROR(__xludf.DUMMYFUNCTION("""COMPUTED_VALUE"""),"นาย")</f>
        <v>นาย</v>
      </c>
      <c r="I1250" t="str">
        <f>IFERROR(__xludf.DUMMYFUNCTION("""COMPUTED_VALUE"""),"สมโชค")</f>
        <v>สมโชค</v>
      </c>
      <c r="J1250" t="str">
        <f>IFERROR(__xludf.DUMMYFUNCTION("""COMPUTED_VALUE"""),"ดิเรกสถาพร")</f>
        <v>ดิเรกสถาพร</v>
      </c>
      <c r="K1250" t="str">
        <f>IFERROR(__xludf.DUMMYFUNCTION("""COMPUTED_VALUE"""),"สมโชค ดิเรกสถาพร")</f>
        <v>สมโชค ดิเรกสถาพร</v>
      </c>
      <c r="L1250" t="str">
        <f>IFERROR(__xludf.DUMMYFUNCTION("""COMPUTED_VALUE"""),"Jeng / เจ็ง")</f>
        <v>Jeng / เจ็ง</v>
      </c>
      <c r="M1250" t="str">
        <f>IFERROR(__xludf.DUMMYFUNCTION("""COMPUTED_VALUE"""),"Cabin Crew")</f>
        <v>Cabin Crew</v>
      </c>
      <c r="N1250" t="str">
        <f>IFERROR(__xludf.DUMMYFUNCTION("""COMPUTED_VALUE"""),"DMK")</f>
        <v>DMK</v>
      </c>
      <c r="O1250" s="145" t="str">
        <f>IFERROR(__xludf.DUMMYFUNCTION("""COMPUTED_VALUE"""),"Namfon Home")</f>
        <v>Namfon Home</v>
      </c>
      <c r="P1250" t="str">
        <f>IFERROR(__xludf.DUMMYFUNCTION("""COMPUTED_VALUE"""),"Active")</f>
        <v>Active</v>
      </c>
      <c r="R1250" s="156">
        <f>IFERROR(__xludf.DUMMYFUNCTION("""COMPUTED_VALUE"""),33529.0)</f>
        <v>33529</v>
      </c>
      <c r="S1250" s="146">
        <f>IFERROR(__xludf.DUMMYFUNCTION("""COMPUTED_VALUE"""),9.09167111E8)</f>
        <v>909167111</v>
      </c>
      <c r="T1250" s="147">
        <f>IFERROR(__xludf.DUMMYFUNCTION("""COMPUTED_VALUE"""),1.100701438751E12)</f>
        <v>1100701438751</v>
      </c>
      <c r="U1250" t="str">
        <f>IFERROR(__xludf.DUMMYFUNCTION("""COMPUTED_VALUE"""),"AC2266408")</f>
        <v>AC2266408</v>
      </c>
      <c r="V1250" s="148">
        <f>IFERROR(__xludf.DUMMYFUNCTION("""COMPUTED_VALUE"""),44322.0)</f>
        <v>44322</v>
      </c>
      <c r="W1250" s="148">
        <f>IFERROR(__xludf.DUMMYFUNCTION("""COMPUTED_VALUE"""),47973.0)</f>
        <v>47973</v>
      </c>
      <c r="X1250" s="149">
        <f>IFERROR(__xludf.DUMMYFUNCTION("""COMPUTED_VALUE"""),47792.0)</f>
        <v>47792</v>
      </c>
      <c r="Y1250" t="str">
        <f>IFERROR(__xludf.DUMMYFUNCTION("""COMPUTED_VALUE"""),"ปลอดภัย")</f>
        <v>ปลอดภัย</v>
      </c>
      <c r="Z1250" t="str">
        <f>IFERROR(__xludf.DUMMYFUNCTION("""COMPUTED_VALUE"""),"Bangkok")</f>
        <v>Bangkok</v>
      </c>
      <c r="AA1250" t="str">
        <f>IFERROR(__xludf.DUMMYFUNCTION("""COMPUTED_VALUE"""),"Bangkok")</f>
        <v>Bangkok</v>
      </c>
      <c r="AB1250" s="145" t="str">
        <f>IFERROR(__xludf.DUMMYFUNCTION("""COMPUTED_VALUE"""),"090-916-7111")</f>
        <v>090-916-7111</v>
      </c>
      <c r="AC1250" t="str">
        <f>IFERROR(__xludf.DUMMYFUNCTION("""COMPUTED_VALUE"""),"นางเสาวนี ดิเรกสถาพร Mother")</f>
        <v>นางเสาวนี ดิเรกสถาพร Mother</v>
      </c>
      <c r="AD1250" t="str">
        <f>IFERROR(__xludf.DUMMYFUNCTION("""COMPUTED_VALUE"""),"somchokedir@airasia.com")</f>
        <v>somchokedir@airasia.com</v>
      </c>
    </row>
    <row r="1251">
      <c r="A1251">
        <f>IFERROR(__xludf.DUMMYFUNCTION("""COMPUTED_VALUE"""),111.0)</f>
        <v>111</v>
      </c>
      <c r="C1251">
        <f>IFERROR(__xludf.DUMMYFUNCTION("""COMPUTED_VALUE"""),1046087.0)</f>
        <v>1046087</v>
      </c>
      <c r="D1251" t="str">
        <f>IFERROR(__xludf.DUMMYFUNCTION("""COMPUTED_VALUE"""),"Mr.")</f>
        <v>Mr.</v>
      </c>
      <c r="E1251" t="str">
        <f>IFERROR(__xludf.DUMMYFUNCTION("""COMPUTED_VALUE"""),"Attawut")</f>
        <v>Attawut</v>
      </c>
      <c r="F1251" t="str">
        <f>IFERROR(__xludf.DUMMYFUNCTION("""COMPUTED_VALUE"""),"Assavanadda")</f>
        <v>Assavanadda</v>
      </c>
      <c r="G1251" t="str">
        <f>IFERROR(__xludf.DUMMYFUNCTION("""COMPUTED_VALUE"""),"Attawut Assavanadda")</f>
        <v>Attawut Assavanadda</v>
      </c>
      <c r="H1251" t="str">
        <f>IFERROR(__xludf.DUMMYFUNCTION("""COMPUTED_VALUE"""),"นาย")</f>
        <v>นาย</v>
      </c>
      <c r="I1251" t="str">
        <f>IFERROR(__xludf.DUMMYFUNCTION("""COMPUTED_VALUE"""),"อรรถวุฒิ")</f>
        <v>อรรถวุฒิ</v>
      </c>
      <c r="J1251" t="str">
        <f>IFERROR(__xludf.DUMMYFUNCTION("""COMPUTED_VALUE"""),"อัศวนัดดา")</f>
        <v>อัศวนัดดา</v>
      </c>
      <c r="K1251" t="str">
        <f>IFERROR(__xludf.DUMMYFUNCTION("""COMPUTED_VALUE"""),"อรรถวุฒิ อัศวนัดดา")</f>
        <v>อรรถวุฒิ อัศวนัดดา</v>
      </c>
      <c r="L1251" t="str">
        <f>IFERROR(__xludf.DUMMYFUNCTION("""COMPUTED_VALUE"""),"Sun / ซัน")</f>
        <v>Sun / ซัน</v>
      </c>
      <c r="M1251" t="str">
        <f>IFERROR(__xludf.DUMMYFUNCTION("""COMPUTED_VALUE"""),"Cabin Crew - BKK")</f>
        <v>Cabin Crew - BKK</v>
      </c>
      <c r="N1251" t="str">
        <f>IFERROR(__xludf.DUMMYFUNCTION("""COMPUTED_VALUE"""),"BKK")</f>
        <v>BKK</v>
      </c>
      <c r="O1251" s="145" t="str">
        <f>IFERROR(__xludf.DUMMYFUNCTION("""COMPUTED_VALUE"""),"Por+ Home")</f>
        <v>Por+ Home</v>
      </c>
      <c r="P1251" t="str">
        <f>IFERROR(__xludf.DUMMYFUNCTION("""COMPUTED_VALUE"""),"Active")</f>
        <v>Active</v>
      </c>
      <c r="R1251" s="156">
        <f>IFERROR(__xludf.DUMMYFUNCTION("""COMPUTED_VALUE"""),37285.0)</f>
        <v>37285</v>
      </c>
      <c r="S1251" s="146">
        <f>IFERROR(__xludf.DUMMYFUNCTION("""COMPUTED_VALUE"""),9.09542345E8)</f>
        <v>909542345</v>
      </c>
      <c r="T1251" s="147">
        <f>IFERROR(__xludf.DUMMYFUNCTION("""COMPUTED_VALUE"""),1.100801419619E12)</f>
        <v>1100801419619</v>
      </c>
      <c r="U1251" t="str">
        <f>IFERROR(__xludf.DUMMYFUNCTION("""COMPUTED_VALUE"""),"AC2727065")</f>
        <v>AC2727065</v>
      </c>
      <c r="V1251" s="148">
        <f>IFERROR(__xludf.DUMMYFUNCTION("""COMPUTED_VALUE"""),44477.0)</f>
        <v>44477</v>
      </c>
      <c r="W1251" s="148">
        <f>IFERROR(__xludf.DUMMYFUNCTION("""COMPUTED_VALUE"""),46302.0)</f>
        <v>46302</v>
      </c>
      <c r="X1251" s="149">
        <f>IFERROR(__xludf.DUMMYFUNCTION("""COMPUTED_VALUE"""),46119.0)</f>
        <v>46119</v>
      </c>
      <c r="Y1251" t="str">
        <f>IFERROR(__xludf.DUMMYFUNCTION("""COMPUTED_VALUE"""),"เกินระยะเวลา")</f>
        <v>เกินระยะเวลา</v>
      </c>
      <c r="Z1251" t="str">
        <f>IFERROR(__xludf.DUMMYFUNCTION("""COMPUTED_VALUE"""),"Bangkok")</f>
        <v>Bangkok</v>
      </c>
      <c r="AA1251" t="str">
        <f>IFERROR(__xludf.DUMMYFUNCTION("""COMPUTED_VALUE"""),"Bangkok")</f>
        <v>Bangkok</v>
      </c>
      <c r="AB1251" s="145" t="str">
        <f>IFERROR(__xludf.DUMMYFUNCTION("""COMPUTED_VALUE"""),"090-954-2345")</f>
        <v>090-954-2345</v>
      </c>
      <c r="AC1251" t="str">
        <f>IFERROR(__xludf.DUMMYFUNCTION("""COMPUTED_VALUE"""),"นางสาว อัจฉรา คำรังษี Mother")</f>
        <v>นางสาว อัจฉรา คำรังษี Mother</v>
      </c>
      <c r="AD1251" t="str">
        <f>IFERROR(__xludf.DUMMYFUNCTION("""COMPUTED_VALUE"""),"attawutass@airasia.com")</f>
        <v>attawutass@airasia.com</v>
      </c>
    </row>
    <row r="1252">
      <c r="A1252">
        <f>IFERROR(__xludf.DUMMYFUNCTION("""COMPUTED_VALUE"""),111.0)</f>
        <v>111</v>
      </c>
      <c r="C1252">
        <f>IFERROR(__xludf.DUMMYFUNCTION("""COMPUTED_VALUE"""),1046088.0)</f>
        <v>1046088</v>
      </c>
      <c r="D1252" t="str">
        <f>IFERROR(__xludf.DUMMYFUNCTION("""COMPUTED_VALUE"""),"Ms.")</f>
        <v>Ms.</v>
      </c>
      <c r="E1252" t="str">
        <f>IFERROR(__xludf.DUMMYFUNCTION("""COMPUTED_VALUE"""),"Chatthipha")</f>
        <v>Chatthipha</v>
      </c>
      <c r="F1252" t="str">
        <f>IFERROR(__xludf.DUMMYFUNCTION("""COMPUTED_VALUE"""),"Tosuwan")</f>
        <v>Tosuwan</v>
      </c>
      <c r="G1252" t="str">
        <f>IFERROR(__xludf.DUMMYFUNCTION("""COMPUTED_VALUE"""),"Chatthipha Tosuwan")</f>
        <v>Chatthipha Tosuwan</v>
      </c>
      <c r="H1252" t="str">
        <f>IFERROR(__xludf.DUMMYFUNCTION("""COMPUTED_VALUE"""),"นางสาว")</f>
        <v>นางสาว</v>
      </c>
      <c r="I1252" t="str">
        <f>IFERROR(__xludf.DUMMYFUNCTION("""COMPUTED_VALUE"""),"ฉัฐทิพา")</f>
        <v>ฉัฐทิพา</v>
      </c>
      <c r="J1252" t="str">
        <f>IFERROR(__xludf.DUMMYFUNCTION("""COMPUTED_VALUE"""),"โตสุวรรณ์")</f>
        <v>โตสุวรรณ์</v>
      </c>
      <c r="K1252" t="str">
        <f>IFERROR(__xludf.DUMMYFUNCTION("""COMPUTED_VALUE"""),"ฉัฐทิพา โตสุวรรณ์")</f>
        <v>ฉัฐทิพา โตสุวรรณ์</v>
      </c>
      <c r="L1252" t="str">
        <f>IFERROR(__xludf.DUMMYFUNCTION("""COMPUTED_VALUE"""),"Chat / ฉัฐ")</f>
        <v>Chat / ฉัฐ</v>
      </c>
      <c r="M1252" t="str">
        <f>IFERROR(__xludf.DUMMYFUNCTION("""COMPUTED_VALUE"""),"Cabin Crew - BKK")</f>
        <v>Cabin Crew - BKK</v>
      </c>
      <c r="N1252" t="str">
        <f>IFERROR(__xludf.DUMMYFUNCTION("""COMPUTED_VALUE"""),"BKK")</f>
        <v>BKK</v>
      </c>
      <c r="O1252" s="145" t="str">
        <f>IFERROR(__xludf.DUMMYFUNCTION("""COMPUTED_VALUE"""),"Por+ Home")</f>
        <v>Por+ Home</v>
      </c>
      <c r="P1252" t="str">
        <f>IFERROR(__xludf.DUMMYFUNCTION("""COMPUTED_VALUE"""),"Active")</f>
        <v>Active</v>
      </c>
      <c r="R1252" s="156">
        <f>IFERROR(__xludf.DUMMYFUNCTION("""COMPUTED_VALUE"""),36798.0)</f>
        <v>36798</v>
      </c>
      <c r="S1252" s="146">
        <f>IFERROR(__xludf.DUMMYFUNCTION("""COMPUTED_VALUE"""),6.40408078E8)</f>
        <v>640408078</v>
      </c>
      <c r="T1252" s="147">
        <f>IFERROR(__xludf.DUMMYFUNCTION("""COMPUTED_VALUE"""),1.189900311849E12)</f>
        <v>1189900311849</v>
      </c>
      <c r="U1252" t="str">
        <f>IFERROR(__xludf.DUMMYFUNCTION("""COMPUTED_VALUE"""),"AC7362936")</f>
        <v>AC7362936</v>
      </c>
      <c r="V1252" s="148">
        <f>IFERROR(__xludf.DUMMYFUNCTION("""COMPUTED_VALUE"""),45929.0)</f>
        <v>45929</v>
      </c>
      <c r="W1252" s="148">
        <f>IFERROR(__xludf.DUMMYFUNCTION("""COMPUTED_VALUE"""),47389.0)</f>
        <v>47389</v>
      </c>
      <c r="X1252" s="149">
        <f>IFERROR(__xludf.DUMMYFUNCTION("""COMPUTED_VALUE"""),47205.0)</f>
        <v>47205</v>
      </c>
      <c r="Y1252" t="str">
        <f>IFERROR(__xludf.DUMMYFUNCTION("""COMPUTED_VALUE"""),"ปลอดภัย")</f>
        <v>ปลอดภัย</v>
      </c>
      <c r="Z1252" t="str">
        <f>IFERROR(__xludf.DUMMYFUNCTION("""COMPUTED_VALUE"""),"Chainat Province")</f>
        <v>Chainat Province</v>
      </c>
      <c r="AA1252" t="str">
        <f>IFERROR(__xludf.DUMMYFUNCTION("""COMPUTED_VALUE"""),"Chainat")</f>
        <v>Chainat</v>
      </c>
      <c r="AB1252" s="145" t="str">
        <f>IFERROR(__xludf.DUMMYFUNCTION("""COMPUTED_VALUE"""),"064-040-8078")</f>
        <v>064-040-8078</v>
      </c>
      <c r="AC1252" t="str">
        <f>IFERROR(__xludf.DUMMYFUNCTION("""COMPUTED_VALUE"""),"นางสาวฑิตฐิตา โตสุวรรณ์ Sister")</f>
        <v>นางสาวฑิตฐิตา โตสุวรรณ์ Sister</v>
      </c>
      <c r="AD1252" t="str">
        <f>IFERROR(__xludf.DUMMYFUNCTION("""COMPUTED_VALUE"""),"chatthiphatos@airasia.com")</f>
        <v>chatthiphatos@airasia.com</v>
      </c>
    </row>
    <row r="1253">
      <c r="A1253">
        <f>IFERROR(__xludf.DUMMYFUNCTION("""COMPUTED_VALUE"""),111.0)</f>
        <v>111</v>
      </c>
      <c r="C1253">
        <f>IFERROR(__xludf.DUMMYFUNCTION("""COMPUTED_VALUE"""),1046089.0)</f>
        <v>1046089</v>
      </c>
      <c r="D1253" t="str">
        <f>IFERROR(__xludf.DUMMYFUNCTION("""COMPUTED_VALUE"""),"Ms.")</f>
        <v>Ms.</v>
      </c>
      <c r="E1253" t="str">
        <f>IFERROR(__xludf.DUMMYFUNCTION("""COMPUTED_VALUE"""),"Jiratthitikarn")</f>
        <v>Jiratthitikarn</v>
      </c>
      <c r="F1253" t="str">
        <f>IFERROR(__xludf.DUMMYFUNCTION("""COMPUTED_VALUE"""),"Supantana")</f>
        <v>Supantana</v>
      </c>
      <c r="G1253" t="str">
        <f>IFERROR(__xludf.DUMMYFUNCTION("""COMPUTED_VALUE"""),"Jiratthitikarn Supantana")</f>
        <v>Jiratthitikarn Supantana</v>
      </c>
      <c r="H1253" t="str">
        <f>IFERROR(__xludf.DUMMYFUNCTION("""COMPUTED_VALUE"""),"นางสาว")</f>
        <v>นางสาว</v>
      </c>
      <c r="I1253" t="str">
        <f>IFERROR(__xludf.DUMMYFUNCTION("""COMPUTED_VALUE"""),"จิรัฐิติกาล")</f>
        <v>จิรัฐิติกาล</v>
      </c>
      <c r="J1253" t="str">
        <f>IFERROR(__xludf.DUMMYFUNCTION("""COMPUTED_VALUE"""),"สุพันธนา")</f>
        <v>สุพันธนา</v>
      </c>
      <c r="K1253" t="str">
        <f>IFERROR(__xludf.DUMMYFUNCTION("""COMPUTED_VALUE"""),"จิรัฐิติกาล สุพันธนา")</f>
        <v>จิรัฐิติกาล สุพันธนา</v>
      </c>
      <c r="L1253" t="str">
        <f>IFERROR(__xludf.DUMMYFUNCTION("""COMPUTED_VALUE"""),"Minnie / มินนี่")</f>
        <v>Minnie / มินนี่</v>
      </c>
      <c r="M1253" t="str">
        <f>IFERROR(__xludf.DUMMYFUNCTION("""COMPUTED_VALUE"""),"Cabin Crew")</f>
        <v>Cabin Crew</v>
      </c>
      <c r="N1253" t="str">
        <f>IFERROR(__xludf.DUMMYFUNCTION("""COMPUTED_VALUE"""),"DMK")</f>
        <v>DMK</v>
      </c>
      <c r="O1253" s="145" t="str">
        <f>IFERROR(__xludf.DUMMYFUNCTION("""COMPUTED_VALUE"""),"Toffy Home")</f>
        <v>Toffy Home</v>
      </c>
      <c r="P1253" t="str">
        <f>IFERROR(__xludf.DUMMYFUNCTION("""COMPUTED_VALUE"""),"Active")</f>
        <v>Active</v>
      </c>
      <c r="R1253" s="156">
        <f>IFERROR(__xludf.DUMMYFUNCTION("""COMPUTED_VALUE"""),35426.0)</f>
        <v>35426</v>
      </c>
      <c r="S1253" s="146">
        <f>IFERROR(__xludf.DUMMYFUNCTION("""COMPUTED_VALUE"""),8.27720054E8)</f>
        <v>827720054</v>
      </c>
      <c r="T1253" s="147">
        <f>IFERROR(__xludf.DUMMYFUNCTION("""COMPUTED_VALUE"""),1.65990080476E12)</f>
        <v>1659900804760</v>
      </c>
      <c r="U1253" t="str">
        <f>IFERROR(__xludf.DUMMYFUNCTION("""COMPUTED_VALUE"""),"AC5588247")</f>
        <v>AC5588247</v>
      </c>
      <c r="V1253" s="148">
        <f>IFERROR(__xludf.DUMMYFUNCTION("""COMPUTED_VALUE"""),45170.0)</f>
        <v>45170</v>
      </c>
      <c r="W1253" s="148">
        <f>IFERROR(__xludf.DUMMYFUNCTION("""COMPUTED_VALUE"""),46996.0)</f>
        <v>46996</v>
      </c>
      <c r="X1253" s="149">
        <f>IFERROR(__xludf.DUMMYFUNCTION("""COMPUTED_VALUE"""),46812.0)</f>
        <v>46812</v>
      </c>
      <c r="Y1253" t="str">
        <f>IFERROR(__xludf.DUMMYFUNCTION("""COMPUTED_VALUE"""),"ปลอดภัย")</f>
        <v>ปลอดภัย</v>
      </c>
      <c r="Z1253" t="str">
        <f>IFERROR(__xludf.DUMMYFUNCTION("""COMPUTED_VALUE"""),"Phitsanulok Province")</f>
        <v>Phitsanulok Province</v>
      </c>
      <c r="AA1253" t="str">
        <f>IFERROR(__xludf.DUMMYFUNCTION("""COMPUTED_VALUE"""),"phitsanulok")</f>
        <v>phitsanulok</v>
      </c>
      <c r="AB1253" s="145" t="str">
        <f>IFERROR(__xludf.DUMMYFUNCTION("""COMPUTED_VALUE"""),"082-772-0054")</f>
        <v>082-772-0054</v>
      </c>
      <c r="AC1253" t="str">
        <f>IFERROR(__xludf.DUMMYFUNCTION("""COMPUTED_VALUE"""),"นางกรกนก แพนคร Mother")</f>
        <v>นางกรกนก แพนคร Mother</v>
      </c>
      <c r="AD1253" t="str">
        <f>IFERROR(__xludf.DUMMYFUNCTION("""COMPUTED_VALUE"""),"jiratthitikarnsup@airasia.com")</f>
        <v>jiratthitikarnsup@airasia.com</v>
      </c>
    </row>
    <row r="1254">
      <c r="A1254">
        <f>IFERROR(__xludf.DUMMYFUNCTION("""COMPUTED_VALUE"""),111.0)</f>
        <v>111</v>
      </c>
      <c r="C1254">
        <f>IFERROR(__xludf.DUMMYFUNCTION("""COMPUTED_VALUE"""),1046090.0)</f>
        <v>1046090</v>
      </c>
      <c r="D1254" t="str">
        <f>IFERROR(__xludf.DUMMYFUNCTION("""COMPUTED_VALUE"""),"Ms.")</f>
        <v>Ms.</v>
      </c>
      <c r="E1254" t="str">
        <f>IFERROR(__xludf.DUMMYFUNCTION("""COMPUTED_VALUE"""),"Junjura")</f>
        <v>Junjura</v>
      </c>
      <c r="F1254" t="str">
        <f>IFERROR(__xludf.DUMMYFUNCTION("""COMPUTED_VALUE"""),"Kantharet")</f>
        <v>Kantharet</v>
      </c>
      <c r="G1254" t="str">
        <f>IFERROR(__xludf.DUMMYFUNCTION("""COMPUTED_VALUE"""),"Junjura Kantharet")</f>
        <v>Junjura Kantharet</v>
      </c>
      <c r="H1254" t="str">
        <f>IFERROR(__xludf.DUMMYFUNCTION("""COMPUTED_VALUE"""),"นางสาว")</f>
        <v>นางสาว</v>
      </c>
      <c r="I1254" t="str">
        <f>IFERROR(__xludf.DUMMYFUNCTION("""COMPUTED_VALUE"""),"จัญจุรา")</f>
        <v>จัญจุรา</v>
      </c>
      <c r="J1254" t="str">
        <f>IFERROR(__xludf.DUMMYFUNCTION("""COMPUTED_VALUE"""),"กันทะเรศ")</f>
        <v>กันทะเรศ</v>
      </c>
      <c r="K1254" t="str">
        <f>IFERROR(__xludf.DUMMYFUNCTION("""COMPUTED_VALUE"""),"จัญจุรา กันทะเรศ")</f>
        <v>จัญจุรา กันทะเรศ</v>
      </c>
      <c r="L1254" t="str">
        <f>IFERROR(__xludf.DUMMYFUNCTION("""COMPUTED_VALUE"""),"แจน")</f>
        <v>แจน</v>
      </c>
      <c r="M1254" t="str">
        <f>IFERROR(__xludf.DUMMYFUNCTION("""COMPUTED_VALUE"""),"Cabin Crew")</f>
        <v>Cabin Crew</v>
      </c>
      <c r="N1254" t="str">
        <f>IFERROR(__xludf.DUMMYFUNCTION("""COMPUTED_VALUE"""),"DMK")</f>
        <v>DMK</v>
      </c>
      <c r="O1254" s="145" t="str">
        <f>IFERROR(__xludf.DUMMYFUNCTION("""COMPUTED_VALUE"""),"Namfon Home")</f>
        <v>Namfon Home</v>
      </c>
      <c r="P1254" t="str">
        <f>IFERROR(__xludf.DUMMYFUNCTION("""COMPUTED_VALUE"""),"Active")</f>
        <v>Active</v>
      </c>
      <c r="R1254" s="156">
        <f>IFERROR(__xludf.DUMMYFUNCTION("""COMPUTED_VALUE"""),36057.0)</f>
        <v>36057</v>
      </c>
      <c r="S1254" s="146">
        <f>IFERROR(__xludf.DUMMYFUNCTION("""COMPUTED_VALUE"""),9.55922756E8)</f>
        <v>955922756</v>
      </c>
      <c r="T1254" s="147">
        <f>IFERROR(__xludf.DUMMYFUNCTION("""COMPUTED_VALUE"""),1.560300309914E12)</f>
        <v>1560300309914</v>
      </c>
      <c r="U1254" t="str">
        <f>IFERROR(__xludf.DUMMYFUNCTION("""COMPUTED_VALUE"""),"AD1177559")</f>
        <v>AD1177559</v>
      </c>
      <c r="V1254" s="148">
        <f>IFERROR(__xludf.DUMMYFUNCTION("""COMPUTED_VALUE"""),45205.0)</f>
        <v>45205</v>
      </c>
      <c r="W1254" s="148">
        <f>IFERROR(__xludf.DUMMYFUNCTION("""COMPUTED_VALUE"""),48857.0)</f>
        <v>48857</v>
      </c>
      <c r="X1254" s="149">
        <f>IFERROR(__xludf.DUMMYFUNCTION("""COMPUTED_VALUE"""),48674.0)</f>
        <v>48674</v>
      </c>
      <c r="Y1254" t="str">
        <f>IFERROR(__xludf.DUMMYFUNCTION("""COMPUTED_VALUE"""),"ปลอดภัย")</f>
        <v>ปลอดภัย</v>
      </c>
      <c r="Z1254" t="str">
        <f>IFERROR(__xludf.DUMMYFUNCTION("""COMPUTED_VALUE"""),"Phayao Province")</f>
        <v>Phayao Province</v>
      </c>
      <c r="AA1254" t="str">
        <f>IFERROR(__xludf.DUMMYFUNCTION("""COMPUTED_VALUE"""),"Bangkok")</f>
        <v>Bangkok</v>
      </c>
      <c r="AB1254" s="145" t="str">
        <f>IFERROR(__xludf.DUMMYFUNCTION("""COMPUTED_VALUE"""),"095-592-2756")</f>
        <v>095-592-2756</v>
      </c>
      <c r="AC1254" t="str">
        <f>IFERROR(__xludf.DUMMYFUNCTION("""COMPUTED_VALUE"""),"นายจิรทีปต์ อักขราสา Friend")</f>
        <v>นายจิรทีปต์ อักขราสา Friend</v>
      </c>
      <c r="AD1254" t="str">
        <f>IFERROR(__xludf.DUMMYFUNCTION("""COMPUTED_VALUE"""),"junjurakan@airasia.com")</f>
        <v>junjurakan@airasia.com</v>
      </c>
    </row>
    <row r="1255">
      <c r="A1255">
        <f>IFERROR(__xludf.DUMMYFUNCTION("""COMPUTED_VALUE"""),111.0)</f>
        <v>111</v>
      </c>
      <c r="C1255">
        <f>IFERROR(__xludf.DUMMYFUNCTION("""COMPUTED_VALUE"""),1046091.0)</f>
        <v>1046091</v>
      </c>
      <c r="D1255" t="str">
        <f>IFERROR(__xludf.DUMMYFUNCTION("""COMPUTED_VALUE"""),"Ms.")</f>
        <v>Ms.</v>
      </c>
      <c r="E1255" t="str">
        <f>IFERROR(__xludf.DUMMYFUNCTION("""COMPUTED_VALUE"""),"Montisa")</f>
        <v>Montisa</v>
      </c>
      <c r="F1255" t="str">
        <f>IFERROR(__xludf.DUMMYFUNCTION("""COMPUTED_VALUE"""),"Rattanatrai")</f>
        <v>Rattanatrai</v>
      </c>
      <c r="G1255" t="str">
        <f>IFERROR(__xludf.DUMMYFUNCTION("""COMPUTED_VALUE"""),"Montisa Rattanatrai")</f>
        <v>Montisa Rattanatrai</v>
      </c>
      <c r="H1255" t="str">
        <f>IFERROR(__xludf.DUMMYFUNCTION("""COMPUTED_VALUE"""),"นางสาว")</f>
        <v>นางสาว</v>
      </c>
      <c r="I1255" t="str">
        <f>IFERROR(__xludf.DUMMYFUNCTION("""COMPUTED_VALUE"""),"มณฑิสา")</f>
        <v>มณฑิสา</v>
      </c>
      <c r="J1255" t="str">
        <f>IFERROR(__xludf.DUMMYFUNCTION("""COMPUTED_VALUE"""),"รัตนไตร")</f>
        <v>รัตนไตร</v>
      </c>
      <c r="K1255" t="str">
        <f>IFERROR(__xludf.DUMMYFUNCTION("""COMPUTED_VALUE"""),"มณฑิสา รัตนไตร")</f>
        <v>มณฑิสา รัตนไตร</v>
      </c>
      <c r="L1255" t="str">
        <f>IFERROR(__xludf.DUMMYFUNCTION("""COMPUTED_VALUE"""),"Ice / ไอซ์")</f>
        <v>Ice / ไอซ์</v>
      </c>
      <c r="M1255" t="str">
        <f>IFERROR(__xludf.DUMMYFUNCTION("""COMPUTED_VALUE"""),"Cabin Crew - BKK")</f>
        <v>Cabin Crew - BKK</v>
      </c>
      <c r="N1255" t="str">
        <f>IFERROR(__xludf.DUMMYFUNCTION("""COMPUTED_VALUE"""),"BKK")</f>
        <v>BKK</v>
      </c>
      <c r="O1255" s="145" t="str">
        <f>IFERROR(__xludf.DUMMYFUNCTION("""COMPUTED_VALUE"""),"Por+ Home")</f>
        <v>Por+ Home</v>
      </c>
      <c r="P1255" t="str">
        <f>IFERROR(__xludf.DUMMYFUNCTION("""COMPUTED_VALUE"""),"Active")</f>
        <v>Active</v>
      </c>
      <c r="R1255" s="156">
        <f>IFERROR(__xludf.DUMMYFUNCTION("""COMPUTED_VALUE"""),35507.0)</f>
        <v>35507</v>
      </c>
      <c r="S1255" s="146">
        <f>IFERROR(__xludf.DUMMYFUNCTION("""COMPUTED_VALUE"""),6.36919361E8)</f>
        <v>636919361</v>
      </c>
      <c r="T1255" s="147">
        <f>IFERROR(__xludf.DUMMYFUNCTION("""COMPUTED_VALUE"""),1.103702283487E12)</f>
        <v>1103702283487</v>
      </c>
      <c r="U1255" t="str">
        <f>IFERROR(__xludf.DUMMYFUNCTION("""COMPUTED_VALUE"""),"AD0927901")</f>
        <v>AD0927901</v>
      </c>
      <c r="V1255" s="148">
        <f>IFERROR(__xludf.DUMMYFUNCTION("""COMPUTED_VALUE"""),45025.0)</f>
        <v>45025</v>
      </c>
      <c r="W1255" s="148">
        <f>IFERROR(__xludf.DUMMYFUNCTION("""COMPUTED_VALUE"""),48677.0)</f>
        <v>48677</v>
      </c>
      <c r="X1255" s="149">
        <f>IFERROR(__xludf.DUMMYFUNCTION("""COMPUTED_VALUE"""),48495.0)</f>
        <v>48495</v>
      </c>
      <c r="Y1255" t="str">
        <f>IFERROR(__xludf.DUMMYFUNCTION("""COMPUTED_VALUE"""),"ปลอดภัย")</f>
        <v>ปลอดภัย</v>
      </c>
      <c r="Z1255" t="str">
        <f>IFERROR(__xludf.DUMMYFUNCTION("""COMPUTED_VALUE"""),"Bangkok")</f>
        <v>Bangkok</v>
      </c>
      <c r="AA1255" t="str">
        <f>IFERROR(__xludf.DUMMYFUNCTION("""COMPUTED_VALUE"""),"Bangkok")</f>
        <v>Bangkok</v>
      </c>
      <c r="AB1255" s="145" t="str">
        <f>IFERROR(__xludf.DUMMYFUNCTION("""COMPUTED_VALUE"""),"063-691-9361")</f>
        <v>063-691-9361</v>
      </c>
      <c r="AC1255" t="str">
        <f>IFERROR(__xludf.DUMMYFUNCTION("""COMPUTED_VALUE"""),"นายสมชาต รัตนไตร Father")</f>
        <v>นายสมชาต รัตนไตร Father</v>
      </c>
      <c r="AD1255" t="str">
        <f>IFERROR(__xludf.DUMMYFUNCTION("""COMPUTED_VALUE"""),"montisarat@airasia.com")</f>
        <v>montisarat@airasia.com</v>
      </c>
    </row>
    <row r="1256">
      <c r="A1256">
        <f>IFERROR(__xludf.DUMMYFUNCTION("""COMPUTED_VALUE"""),111.0)</f>
        <v>111</v>
      </c>
      <c r="C1256">
        <f>IFERROR(__xludf.DUMMYFUNCTION("""COMPUTED_VALUE"""),1046092.0)</f>
        <v>1046092</v>
      </c>
      <c r="D1256" t="str">
        <f>IFERROR(__xludf.DUMMYFUNCTION("""COMPUTED_VALUE"""),"Ms.")</f>
        <v>Ms.</v>
      </c>
      <c r="E1256" t="str">
        <f>IFERROR(__xludf.DUMMYFUNCTION("""COMPUTED_VALUE"""),"Naphatcha")</f>
        <v>Naphatcha</v>
      </c>
      <c r="F1256" t="str">
        <f>IFERROR(__xludf.DUMMYFUNCTION("""COMPUTED_VALUE"""),"Wongpanich")</f>
        <v>Wongpanich</v>
      </c>
      <c r="G1256" t="str">
        <f>IFERROR(__xludf.DUMMYFUNCTION("""COMPUTED_VALUE"""),"Naphatcha Wongpanich")</f>
        <v>Naphatcha Wongpanich</v>
      </c>
      <c r="H1256" t="str">
        <f>IFERROR(__xludf.DUMMYFUNCTION("""COMPUTED_VALUE"""),"นางสาว")</f>
        <v>นางสาว</v>
      </c>
      <c r="I1256" t="str">
        <f>IFERROR(__xludf.DUMMYFUNCTION("""COMPUTED_VALUE"""),"นภัชชา")</f>
        <v>นภัชชา</v>
      </c>
      <c r="J1256" t="str">
        <f>IFERROR(__xludf.DUMMYFUNCTION("""COMPUTED_VALUE"""),"วงศ์พานิช")</f>
        <v>วงศ์พานิช</v>
      </c>
      <c r="K1256" t="str">
        <f>IFERROR(__xludf.DUMMYFUNCTION("""COMPUTED_VALUE"""),"นภัชชา วงศ์พานิช")</f>
        <v>นภัชชา วงศ์พานิช</v>
      </c>
      <c r="L1256" t="str">
        <f>IFERROR(__xludf.DUMMYFUNCTION("""COMPUTED_VALUE"""),"แตงไทย")</f>
        <v>แตงไทย</v>
      </c>
      <c r="M1256" t="str">
        <f>IFERROR(__xludf.DUMMYFUNCTION("""COMPUTED_VALUE"""),"Cabin Crew")</f>
        <v>Cabin Crew</v>
      </c>
      <c r="N1256" t="str">
        <f>IFERROR(__xludf.DUMMYFUNCTION("""COMPUTED_VALUE"""),"DMK")</f>
        <v>DMK</v>
      </c>
      <c r="O1256" s="145" t="str">
        <f>IFERROR(__xludf.DUMMYFUNCTION("""COMPUTED_VALUE"""),"Toffy Home")</f>
        <v>Toffy Home</v>
      </c>
      <c r="P1256" t="str">
        <f>IFERROR(__xludf.DUMMYFUNCTION("""COMPUTED_VALUE"""),"Active")</f>
        <v>Active</v>
      </c>
      <c r="R1256" s="165">
        <f>IFERROR(__xludf.DUMMYFUNCTION("""COMPUTED_VALUE"""),34108.0)</f>
        <v>34108</v>
      </c>
      <c r="S1256" s="146">
        <f>IFERROR(__xludf.DUMMYFUNCTION("""COMPUTED_VALUE"""),9.61929896E8)</f>
        <v>961929896</v>
      </c>
      <c r="T1256" s="147">
        <f>IFERROR(__xludf.DUMMYFUNCTION("""COMPUTED_VALUE"""),1.103701091461E12)</f>
        <v>1103701091461</v>
      </c>
      <c r="U1256" t="str">
        <f>IFERROR(__xludf.DUMMYFUNCTION("""COMPUTED_VALUE"""),"AC3486713")</f>
        <v>AC3486713</v>
      </c>
      <c r="V1256" s="148">
        <f>IFERROR(__xludf.DUMMYFUNCTION("""COMPUTED_VALUE"""),44741.0)</f>
        <v>44741</v>
      </c>
      <c r="W1256" s="148">
        <f>IFERROR(__xludf.DUMMYFUNCTION("""COMPUTED_VALUE"""),48393.0)</f>
        <v>48393</v>
      </c>
      <c r="X1256" s="149">
        <f>IFERROR(__xludf.DUMMYFUNCTION("""COMPUTED_VALUE"""),48210.0)</f>
        <v>48210</v>
      </c>
      <c r="Y1256" t="str">
        <f>IFERROR(__xludf.DUMMYFUNCTION("""COMPUTED_VALUE"""),"ปลอดภัย")</f>
        <v>ปลอดภัย</v>
      </c>
      <c r="Z1256" t="str">
        <f>IFERROR(__xludf.DUMMYFUNCTION("""COMPUTED_VALUE"""),"Bangkok")</f>
        <v>Bangkok</v>
      </c>
      <c r="AA1256" t="str">
        <f>IFERROR(__xludf.DUMMYFUNCTION("""COMPUTED_VALUE"""),"Bangkok")</f>
        <v>Bangkok</v>
      </c>
      <c r="AB1256" s="145" t="str">
        <f>IFERROR(__xludf.DUMMYFUNCTION("""COMPUTED_VALUE"""),"0961929896")</f>
        <v>0961929896</v>
      </c>
      <c r="AC1256" t="str">
        <f>IFERROR(__xludf.DUMMYFUNCTION("""COMPUTED_VALUE"""),"นางธนภร อนุตรานุสรณ์ Mother")</f>
        <v>นางธนภร อนุตรานุสรณ์ Mother</v>
      </c>
      <c r="AD1256" t="str">
        <f>IFERROR(__xludf.DUMMYFUNCTION("""COMPUTED_VALUE"""),"naphatchawon@airasia.com")</f>
        <v>naphatchawon@airasia.com</v>
      </c>
    </row>
    <row r="1257">
      <c r="A1257">
        <f>IFERROR(__xludf.DUMMYFUNCTION("""COMPUTED_VALUE"""),111.0)</f>
        <v>111</v>
      </c>
      <c r="C1257">
        <f>IFERROR(__xludf.DUMMYFUNCTION("""COMPUTED_VALUE"""),1046093.0)</f>
        <v>1046093</v>
      </c>
      <c r="D1257" t="str">
        <f>IFERROR(__xludf.DUMMYFUNCTION("""COMPUTED_VALUE"""),"Ms.")</f>
        <v>Ms.</v>
      </c>
      <c r="E1257" t="str">
        <f>IFERROR(__xludf.DUMMYFUNCTION("""COMPUTED_VALUE"""),"Natchaya")</f>
        <v>Natchaya</v>
      </c>
      <c r="F1257" t="str">
        <f>IFERROR(__xludf.DUMMYFUNCTION("""COMPUTED_VALUE"""),"Thamboontop")</f>
        <v>Thamboontop</v>
      </c>
      <c r="G1257" t="str">
        <f>IFERROR(__xludf.DUMMYFUNCTION("""COMPUTED_VALUE"""),"Natchaya Thamboontop")</f>
        <v>Natchaya Thamboontop</v>
      </c>
      <c r="H1257" t="str">
        <f>IFERROR(__xludf.DUMMYFUNCTION("""COMPUTED_VALUE"""),"นางสาว")</f>
        <v>นางสาว</v>
      </c>
      <c r="I1257" t="str">
        <f>IFERROR(__xludf.DUMMYFUNCTION("""COMPUTED_VALUE"""),"ณัฐชยา")</f>
        <v>ณัฐชยา</v>
      </c>
      <c r="J1257" t="str">
        <f>IFERROR(__xludf.DUMMYFUNCTION("""COMPUTED_VALUE"""),"ทำบุญตอบ")</f>
        <v>ทำบุญตอบ</v>
      </c>
      <c r="K1257" t="str">
        <f>IFERROR(__xludf.DUMMYFUNCTION("""COMPUTED_VALUE"""),"ณัฐชยา ทำบุญตอบ")</f>
        <v>ณัฐชยา ทำบุญตอบ</v>
      </c>
      <c r="L1257" t="str">
        <f>IFERROR(__xludf.DUMMYFUNCTION("""COMPUTED_VALUE"""),"Fai ฝ้าย")</f>
        <v>Fai ฝ้าย</v>
      </c>
      <c r="M1257" t="str">
        <f>IFERROR(__xludf.DUMMYFUNCTION("""COMPUTED_VALUE"""),"Cabin Crew - BKK")</f>
        <v>Cabin Crew - BKK</v>
      </c>
      <c r="N1257" t="str">
        <f>IFERROR(__xludf.DUMMYFUNCTION("""COMPUTED_VALUE"""),"BKK")</f>
        <v>BKK</v>
      </c>
      <c r="O1257" s="145" t="str">
        <f>IFERROR(__xludf.DUMMYFUNCTION("""COMPUTED_VALUE"""),"Um Home")</f>
        <v>Um Home</v>
      </c>
      <c r="P1257" t="str">
        <f>IFERROR(__xludf.DUMMYFUNCTION("""COMPUTED_VALUE"""),"Active")</f>
        <v>Active</v>
      </c>
      <c r="R1257" s="156">
        <f>IFERROR(__xludf.DUMMYFUNCTION("""COMPUTED_VALUE"""),36545.0)</f>
        <v>36545</v>
      </c>
      <c r="S1257" s="146">
        <f>IFERROR(__xludf.DUMMYFUNCTION("""COMPUTED_VALUE"""),8.23878215E8)</f>
        <v>823878215</v>
      </c>
      <c r="T1257" s="147">
        <f>IFERROR(__xludf.DUMMYFUNCTION("""COMPUTED_VALUE"""),1.509963060475E12)</f>
        <v>1509963060475</v>
      </c>
      <c r="U1257" t="str">
        <f>IFERROR(__xludf.DUMMYFUNCTION("""COMPUTED_VALUE"""),"AC6113593")</f>
        <v>AC6113593</v>
      </c>
      <c r="V1257" s="148">
        <f>IFERROR(__xludf.DUMMYFUNCTION("""COMPUTED_VALUE"""),45273.0)</f>
        <v>45273</v>
      </c>
      <c r="W1257" s="148">
        <f>IFERROR(__xludf.DUMMYFUNCTION("""COMPUTED_VALUE"""),48925.0)</f>
        <v>48925</v>
      </c>
      <c r="X1257" s="149">
        <f>IFERROR(__xludf.DUMMYFUNCTION("""COMPUTED_VALUE"""),48742.0)</f>
        <v>48742</v>
      </c>
      <c r="Y1257" t="str">
        <f>IFERROR(__xludf.DUMMYFUNCTION("""COMPUTED_VALUE"""),"ปลอดภัย")</f>
        <v>ปลอดภัย</v>
      </c>
      <c r="Z1257" t="str">
        <f>IFERROR(__xludf.DUMMYFUNCTION("""COMPUTED_VALUE"""),"Chiang Mai Province")</f>
        <v>Chiang Mai Province</v>
      </c>
      <c r="AA1257" t="str">
        <f>IFERROR(__xludf.DUMMYFUNCTION("""COMPUTED_VALUE"""),"Bangkok")</f>
        <v>Bangkok</v>
      </c>
      <c r="AB1257" s="145" t="str">
        <f>IFERROR(__xludf.DUMMYFUNCTION("""COMPUTED_VALUE"""),"0823878215")</f>
        <v>0823878215</v>
      </c>
      <c r="AC1257" t="str">
        <f>IFERROR(__xludf.DUMMYFUNCTION("""COMPUTED_VALUE"""),"นางจันทร์เพ็ญ ทำบุญตอบ Mother")</f>
        <v>นางจันทร์เพ็ญ ทำบุญตอบ Mother</v>
      </c>
      <c r="AD1257" t="str">
        <f>IFERROR(__xludf.DUMMYFUNCTION("""COMPUTED_VALUE"""),"natchayatha@airasia.com")</f>
        <v>natchayatha@airasia.com</v>
      </c>
    </row>
    <row r="1258">
      <c r="A1258">
        <f>IFERROR(__xludf.DUMMYFUNCTION("""COMPUTED_VALUE"""),111.0)</f>
        <v>111</v>
      </c>
      <c r="C1258">
        <f>IFERROR(__xludf.DUMMYFUNCTION("""COMPUTED_VALUE"""),1046094.0)</f>
        <v>1046094</v>
      </c>
      <c r="D1258" t="str">
        <f>IFERROR(__xludf.DUMMYFUNCTION("""COMPUTED_VALUE"""),"Ms.")</f>
        <v>Ms.</v>
      </c>
      <c r="E1258" t="str">
        <f>IFERROR(__xludf.DUMMYFUNCTION("""COMPUTED_VALUE"""),"Natphatsorn")</f>
        <v>Natphatsorn</v>
      </c>
      <c r="F1258" t="str">
        <f>IFERROR(__xludf.DUMMYFUNCTION("""COMPUTED_VALUE"""),"Namsap")</f>
        <v>Namsap</v>
      </c>
      <c r="G1258" t="str">
        <f>IFERROR(__xludf.DUMMYFUNCTION("""COMPUTED_VALUE"""),"Natphatsorn Namsap")</f>
        <v>Natphatsorn Namsap</v>
      </c>
      <c r="H1258" t="str">
        <f>IFERROR(__xludf.DUMMYFUNCTION("""COMPUTED_VALUE"""),"นางสาว")</f>
        <v>นางสาว</v>
      </c>
      <c r="I1258" t="str">
        <f>IFERROR(__xludf.DUMMYFUNCTION("""COMPUTED_VALUE"""),"ณัฐภัสสร")</f>
        <v>ณัฐภัสสร</v>
      </c>
      <c r="J1258" t="str">
        <f>IFERROR(__xludf.DUMMYFUNCTION("""COMPUTED_VALUE"""),"น้ำทรัพย์")</f>
        <v>น้ำทรัพย์</v>
      </c>
      <c r="K1258" t="str">
        <f>IFERROR(__xludf.DUMMYFUNCTION("""COMPUTED_VALUE"""),"ณัฐภัสสร น้ำทรัพย์")</f>
        <v>ณัฐภัสสร น้ำทรัพย์</v>
      </c>
      <c r="L1258" t="str">
        <f>IFERROR(__xludf.DUMMYFUNCTION("""COMPUTED_VALUE"""),"ลูกศร")</f>
        <v>ลูกศร</v>
      </c>
      <c r="M1258" t="str">
        <f>IFERROR(__xludf.DUMMYFUNCTION("""COMPUTED_VALUE"""),"Cabin Crew")</f>
        <v>Cabin Crew</v>
      </c>
      <c r="N1258" t="str">
        <f>IFERROR(__xludf.DUMMYFUNCTION("""COMPUTED_VALUE"""),"DMK")</f>
        <v>DMK</v>
      </c>
      <c r="O1258" s="145" t="str">
        <f>IFERROR(__xludf.DUMMYFUNCTION("""COMPUTED_VALUE"""),"Por+ Home")</f>
        <v>Por+ Home</v>
      </c>
      <c r="P1258" t="str">
        <f>IFERROR(__xludf.DUMMYFUNCTION("""COMPUTED_VALUE"""),"Active")</f>
        <v>Active</v>
      </c>
      <c r="R1258" s="156">
        <f>IFERROR(__xludf.DUMMYFUNCTION("""COMPUTED_VALUE"""),37642.0)</f>
        <v>37642</v>
      </c>
      <c r="S1258" s="146">
        <f>IFERROR(__xludf.DUMMYFUNCTION("""COMPUTED_VALUE"""),9.3759555E8)</f>
        <v>937595550</v>
      </c>
      <c r="T1258" s="147">
        <f>IFERROR(__xludf.DUMMYFUNCTION("""COMPUTED_VALUE"""),1.102900049919E12)</f>
        <v>1102900049919</v>
      </c>
      <c r="U1258" t="str">
        <f>IFERROR(__xludf.DUMMYFUNCTION("""COMPUTED_VALUE"""),"AC4047272")</f>
        <v>AC4047272</v>
      </c>
      <c r="V1258" s="148">
        <f>IFERROR(__xludf.DUMMYFUNCTION("""COMPUTED_VALUE"""),44820.0)</f>
        <v>44820</v>
      </c>
      <c r="W1258" s="148">
        <f>IFERROR(__xludf.DUMMYFUNCTION("""COMPUTED_VALUE"""),46645.0)</f>
        <v>46645</v>
      </c>
      <c r="X1258" s="149">
        <f>IFERROR(__xludf.DUMMYFUNCTION("""COMPUTED_VALUE"""),46461.0)</f>
        <v>46461</v>
      </c>
      <c r="Y1258" t="str">
        <f>IFERROR(__xludf.DUMMYFUNCTION("""COMPUTED_VALUE"""),"ปลอดภัย")</f>
        <v>ปลอดภัย</v>
      </c>
      <c r="Z1258" t="str">
        <f>IFERROR(__xludf.DUMMYFUNCTION("""COMPUTED_VALUE"""),"Bangkok")</f>
        <v>Bangkok</v>
      </c>
      <c r="AA1258" t="str">
        <f>IFERROR(__xludf.DUMMYFUNCTION("""COMPUTED_VALUE"""),"Nontaburi")</f>
        <v>Nontaburi</v>
      </c>
      <c r="AB1258" s="145" t="str">
        <f>IFERROR(__xludf.DUMMYFUNCTION("""COMPUTED_VALUE"""),"0937595550")</f>
        <v>0937595550</v>
      </c>
      <c r="AC1258" t="str">
        <f>IFERROR(__xludf.DUMMYFUNCTION("""COMPUTED_VALUE"""),"นางวรรณดี กาญจนภิญพงศ์ Mother")</f>
        <v>นางวรรณดี กาญจนภิญพงศ์ Mother</v>
      </c>
      <c r="AD1258" t="str">
        <f>IFERROR(__xludf.DUMMYFUNCTION("""COMPUTED_VALUE"""),"natphatsornnam@airasia.com")</f>
        <v>natphatsornnam@airasia.com</v>
      </c>
    </row>
    <row r="1259">
      <c r="A1259">
        <f>IFERROR(__xludf.DUMMYFUNCTION("""COMPUTED_VALUE"""),111.0)</f>
        <v>111</v>
      </c>
      <c r="C1259">
        <f>IFERROR(__xludf.DUMMYFUNCTION("""COMPUTED_VALUE"""),1046095.0)</f>
        <v>1046095</v>
      </c>
      <c r="D1259" t="str">
        <f>IFERROR(__xludf.DUMMYFUNCTION("""COMPUTED_VALUE"""),"Ms.")</f>
        <v>Ms.</v>
      </c>
      <c r="E1259" t="str">
        <f>IFERROR(__xludf.DUMMYFUNCTION("""COMPUTED_VALUE"""),"Natthanisha")</f>
        <v>Natthanisha</v>
      </c>
      <c r="F1259" t="str">
        <f>IFERROR(__xludf.DUMMYFUNCTION("""COMPUTED_VALUE"""),"Sukmak")</f>
        <v>Sukmak</v>
      </c>
      <c r="G1259" t="str">
        <f>IFERROR(__xludf.DUMMYFUNCTION("""COMPUTED_VALUE"""),"Natthanisha Sukmak")</f>
        <v>Natthanisha Sukmak</v>
      </c>
      <c r="H1259" t="str">
        <f>IFERROR(__xludf.DUMMYFUNCTION("""COMPUTED_VALUE"""),"นางสาว")</f>
        <v>นางสาว</v>
      </c>
      <c r="I1259" t="str">
        <f>IFERROR(__xludf.DUMMYFUNCTION("""COMPUTED_VALUE"""),"ณัฏฐณิชา")</f>
        <v>ณัฏฐณิชา</v>
      </c>
      <c r="J1259" t="str">
        <f>IFERROR(__xludf.DUMMYFUNCTION("""COMPUTED_VALUE"""),"สุขมาก")</f>
        <v>สุขมาก</v>
      </c>
      <c r="K1259" t="str">
        <f>IFERROR(__xludf.DUMMYFUNCTION("""COMPUTED_VALUE"""),"ณัฏฐณิชา สุขมาก")</f>
        <v>ณัฏฐณิชา สุขมาก</v>
      </c>
      <c r="L1259" t="str">
        <f>IFERROR(__xludf.DUMMYFUNCTION("""COMPUTED_VALUE"""),"Claire / แคลร์")</f>
        <v>Claire / แคลร์</v>
      </c>
      <c r="M1259" t="str">
        <f>IFERROR(__xludf.DUMMYFUNCTION("""COMPUTED_VALUE"""),"Cabin Crew")</f>
        <v>Cabin Crew</v>
      </c>
      <c r="N1259" t="str">
        <f>IFERROR(__xludf.DUMMYFUNCTION("""COMPUTED_VALUE"""),"DMK")</f>
        <v>DMK</v>
      </c>
      <c r="O1259" s="145" t="str">
        <f>IFERROR(__xludf.DUMMYFUNCTION("""COMPUTED_VALUE"""),"Um Home")</f>
        <v>Um Home</v>
      </c>
      <c r="P1259" t="str">
        <f>IFERROR(__xludf.DUMMYFUNCTION("""COMPUTED_VALUE"""),"Active")</f>
        <v>Active</v>
      </c>
      <c r="R1259" s="156">
        <f>IFERROR(__xludf.DUMMYFUNCTION("""COMPUTED_VALUE"""),35692.0)</f>
        <v>35692</v>
      </c>
      <c r="S1259" s="146">
        <f>IFERROR(__xludf.DUMMYFUNCTION("""COMPUTED_VALUE"""),9.03295659E8)</f>
        <v>903295659</v>
      </c>
      <c r="T1259" s="147">
        <f>IFERROR(__xludf.DUMMYFUNCTION("""COMPUTED_VALUE"""),1.129900439314E12)</f>
        <v>1129900439314</v>
      </c>
      <c r="U1259" t="str">
        <f>IFERROR(__xludf.DUMMYFUNCTION("""COMPUTED_VALUE"""),"AC3586643")</f>
        <v>AC3586643</v>
      </c>
      <c r="V1259" s="148">
        <f>IFERROR(__xludf.DUMMYFUNCTION("""COMPUTED_VALUE"""),44753.0)</f>
        <v>44753</v>
      </c>
      <c r="W1259" s="148">
        <f>IFERROR(__xludf.DUMMYFUNCTION("""COMPUTED_VALUE"""),48405.0)</f>
        <v>48405</v>
      </c>
      <c r="X1259" s="149">
        <f>IFERROR(__xludf.DUMMYFUNCTION("""COMPUTED_VALUE"""),48223.0)</f>
        <v>48223</v>
      </c>
      <c r="Y1259" t="str">
        <f>IFERROR(__xludf.DUMMYFUNCTION("""COMPUTED_VALUE"""),"ปลอดภัย")</f>
        <v>ปลอดภัย</v>
      </c>
      <c r="Z1259" t="str">
        <f>IFERROR(__xludf.DUMMYFUNCTION("""COMPUTED_VALUE"""),"Nonthaburi Province")</f>
        <v>Nonthaburi Province</v>
      </c>
      <c r="AA1259" t="str">
        <f>IFERROR(__xludf.DUMMYFUNCTION("""COMPUTED_VALUE"""),"Bangkok")</f>
        <v>Bangkok</v>
      </c>
      <c r="AB1259" s="145" t="str">
        <f>IFERROR(__xludf.DUMMYFUNCTION("""COMPUTED_VALUE"""),"0903295659")</f>
        <v>0903295659</v>
      </c>
      <c r="AC1259" t="str">
        <f>IFERROR(__xludf.DUMMYFUNCTION("""COMPUTED_VALUE"""),"ศรัญญา เภสัชชา Mother")</f>
        <v>ศรัญญา เภสัชชา Mother</v>
      </c>
      <c r="AD1259" t="str">
        <f>IFERROR(__xludf.DUMMYFUNCTION("""COMPUTED_VALUE"""),"natthanishasuk@airasia.com")</f>
        <v>natthanishasuk@airasia.com</v>
      </c>
    </row>
    <row r="1260">
      <c r="A1260">
        <f>IFERROR(__xludf.DUMMYFUNCTION("""COMPUTED_VALUE"""),111.0)</f>
        <v>111</v>
      </c>
      <c r="C1260">
        <f>IFERROR(__xludf.DUMMYFUNCTION("""COMPUTED_VALUE"""),1046096.0)</f>
        <v>1046096</v>
      </c>
      <c r="D1260" t="str">
        <f>IFERROR(__xludf.DUMMYFUNCTION("""COMPUTED_VALUE"""),"Ms.")</f>
        <v>Ms.</v>
      </c>
      <c r="E1260" t="str">
        <f>IFERROR(__xludf.DUMMYFUNCTION("""COMPUTED_VALUE"""),"Natthapat")</f>
        <v>Natthapat</v>
      </c>
      <c r="F1260" t="str">
        <f>IFERROR(__xludf.DUMMYFUNCTION("""COMPUTED_VALUE"""),"Ratiphromphong")</f>
        <v>Ratiphromphong</v>
      </c>
      <c r="G1260" t="str">
        <f>IFERROR(__xludf.DUMMYFUNCTION("""COMPUTED_VALUE"""),"Natthapat Ratiphromphong")</f>
        <v>Natthapat Ratiphromphong</v>
      </c>
      <c r="H1260" t="str">
        <f>IFERROR(__xludf.DUMMYFUNCTION("""COMPUTED_VALUE"""),"นางสาว")</f>
        <v>นางสาว</v>
      </c>
      <c r="I1260" t="str">
        <f>IFERROR(__xludf.DUMMYFUNCTION("""COMPUTED_VALUE"""),"ณัฐพัชร์")</f>
        <v>ณัฐพัชร์</v>
      </c>
      <c r="J1260" t="str">
        <f>IFERROR(__xludf.DUMMYFUNCTION("""COMPUTED_VALUE"""),"รติพร้อมพงษ์")</f>
        <v>รติพร้อมพงษ์</v>
      </c>
      <c r="K1260" t="str">
        <f>IFERROR(__xludf.DUMMYFUNCTION("""COMPUTED_VALUE"""),"ณัฐพัชร์ รติพร้อมพงษ์")</f>
        <v>ณัฐพัชร์ รติพร้อมพงษ์</v>
      </c>
      <c r="L1260" t="str">
        <f>IFERROR(__xludf.DUMMYFUNCTION("""COMPUTED_VALUE"""),"Natty / นัทตี้")</f>
        <v>Natty / นัทตี้</v>
      </c>
      <c r="M1260" t="str">
        <f>IFERROR(__xludf.DUMMYFUNCTION("""COMPUTED_VALUE"""),"Cabin Crew")</f>
        <v>Cabin Crew</v>
      </c>
      <c r="N1260" t="str">
        <f>IFERROR(__xludf.DUMMYFUNCTION("""COMPUTED_VALUE"""),"DMK")</f>
        <v>DMK</v>
      </c>
      <c r="O1260" s="145" t="str">
        <f>IFERROR(__xludf.DUMMYFUNCTION("""COMPUTED_VALUE"""),"Toffy Home")</f>
        <v>Toffy Home</v>
      </c>
      <c r="P1260" t="str">
        <f>IFERROR(__xludf.DUMMYFUNCTION("""COMPUTED_VALUE"""),"Active")</f>
        <v>Active</v>
      </c>
      <c r="R1260" s="156">
        <f>IFERROR(__xludf.DUMMYFUNCTION("""COMPUTED_VALUE"""),36825.0)</f>
        <v>36825</v>
      </c>
      <c r="S1260" s="146">
        <f>IFERROR(__xludf.DUMMYFUNCTION("""COMPUTED_VALUE"""),9.11989756E8)</f>
        <v>911989756</v>
      </c>
      <c r="T1260" s="147">
        <f>IFERROR(__xludf.DUMMYFUNCTION("""COMPUTED_VALUE"""),1.103900069414E12)</f>
        <v>1103900069414</v>
      </c>
      <c r="U1260" t="str">
        <f>IFERROR(__xludf.DUMMYFUNCTION("""COMPUTED_VALUE"""),"AD1844735")</f>
        <v>AD1844735</v>
      </c>
      <c r="V1260" s="148">
        <f>IFERROR(__xludf.DUMMYFUNCTION("""COMPUTED_VALUE"""),45472.0)</f>
        <v>45472</v>
      </c>
      <c r="W1260" s="148">
        <f>IFERROR(__xludf.DUMMYFUNCTION("""COMPUTED_VALUE"""),49123.0)</f>
        <v>49123</v>
      </c>
      <c r="X1260" s="149">
        <f>IFERROR(__xludf.DUMMYFUNCTION("""COMPUTED_VALUE"""),48941.0)</f>
        <v>48941</v>
      </c>
      <c r="Y1260" t="str">
        <f>IFERROR(__xludf.DUMMYFUNCTION("""COMPUTED_VALUE"""),"ปลอดภัย")</f>
        <v>ปลอดภัย</v>
      </c>
      <c r="Z1260" t="str">
        <f>IFERROR(__xludf.DUMMYFUNCTION("""COMPUTED_VALUE"""),"Bangkok")</f>
        <v>Bangkok</v>
      </c>
      <c r="AA1260" t="str">
        <f>IFERROR(__xludf.DUMMYFUNCTION("""COMPUTED_VALUE"""),"Bangkok")</f>
        <v>Bangkok</v>
      </c>
      <c r="AB1260" s="145" t="str">
        <f>IFERROR(__xludf.DUMMYFUNCTION("""COMPUTED_VALUE"""),"0911989756")</f>
        <v>0911989756</v>
      </c>
      <c r="AC1260" t="str">
        <f>IFERROR(__xludf.DUMMYFUNCTION("""COMPUTED_VALUE"""),"นางธันยนันท์ รติพร้อมพงษ์ Mother")</f>
        <v>นางธันยนันท์ รติพร้อมพงษ์ Mother</v>
      </c>
      <c r="AD1260" t="str">
        <f>IFERROR(__xludf.DUMMYFUNCTION("""COMPUTED_VALUE"""),"natthapatrat@airasia.com")</f>
        <v>natthapatrat@airasia.com</v>
      </c>
    </row>
    <row r="1261">
      <c r="A1261">
        <f>IFERROR(__xludf.DUMMYFUNCTION("""COMPUTED_VALUE"""),111.0)</f>
        <v>111</v>
      </c>
      <c r="C1261">
        <f>IFERROR(__xludf.DUMMYFUNCTION("""COMPUTED_VALUE"""),1046097.0)</f>
        <v>1046097</v>
      </c>
      <c r="D1261" t="str">
        <f>IFERROR(__xludf.DUMMYFUNCTION("""COMPUTED_VALUE"""),"Ms.")</f>
        <v>Ms.</v>
      </c>
      <c r="E1261" t="str">
        <f>IFERROR(__xludf.DUMMYFUNCTION("""COMPUTED_VALUE"""),"Paweenut")</f>
        <v>Paweenut</v>
      </c>
      <c r="F1261" t="str">
        <f>IFERROR(__xludf.DUMMYFUNCTION("""COMPUTED_VALUE"""),"Rotjanaratthakorn")</f>
        <v>Rotjanaratthakorn</v>
      </c>
      <c r="G1261" t="str">
        <f>IFERROR(__xludf.DUMMYFUNCTION("""COMPUTED_VALUE"""),"Paweenut Rotjanaratthakorn")</f>
        <v>Paweenut Rotjanaratthakorn</v>
      </c>
      <c r="H1261" t="str">
        <f>IFERROR(__xludf.DUMMYFUNCTION("""COMPUTED_VALUE"""),"นางสาว")</f>
        <v>นางสาว</v>
      </c>
      <c r="I1261" t="str">
        <f>IFERROR(__xludf.DUMMYFUNCTION("""COMPUTED_VALUE"""),"ปวีณ์นุช")</f>
        <v>ปวีณ์นุช</v>
      </c>
      <c r="J1261" t="str">
        <f>IFERROR(__xludf.DUMMYFUNCTION("""COMPUTED_VALUE"""),"โรจนรัตฐากร")</f>
        <v>โรจนรัตฐากร</v>
      </c>
      <c r="K1261" t="str">
        <f>IFERROR(__xludf.DUMMYFUNCTION("""COMPUTED_VALUE"""),"ปวีณ์นุช โรจนรัตฐากร")</f>
        <v>ปวีณ์นุช โรจนรัตฐากร</v>
      </c>
      <c r="L1261" t="str">
        <f>IFERROR(__xludf.DUMMYFUNCTION("""COMPUTED_VALUE"""),"Mew / มิว")</f>
        <v>Mew / มิว</v>
      </c>
      <c r="M1261" t="str">
        <f>IFERROR(__xludf.DUMMYFUNCTION("""COMPUTED_VALUE"""),"Cabin Crew - BKK")</f>
        <v>Cabin Crew - BKK</v>
      </c>
      <c r="N1261" t="str">
        <f>IFERROR(__xludf.DUMMYFUNCTION("""COMPUTED_VALUE"""),"BKK")</f>
        <v>BKK</v>
      </c>
      <c r="O1261" s="145" t="str">
        <f>IFERROR(__xludf.DUMMYFUNCTION("""COMPUTED_VALUE"""),"Namfon Home")</f>
        <v>Namfon Home</v>
      </c>
      <c r="P1261" t="str">
        <f>IFERROR(__xludf.DUMMYFUNCTION("""COMPUTED_VALUE"""),"Active")</f>
        <v>Active</v>
      </c>
      <c r="R1261" s="156">
        <f>IFERROR(__xludf.DUMMYFUNCTION("""COMPUTED_VALUE"""),37411.0)</f>
        <v>37411</v>
      </c>
      <c r="S1261" s="146">
        <f>IFERROR(__xludf.DUMMYFUNCTION("""COMPUTED_VALUE"""),9.88323494E8)</f>
        <v>988323494</v>
      </c>
      <c r="T1261" s="147">
        <f>IFERROR(__xludf.DUMMYFUNCTION("""COMPUTED_VALUE"""),1.859900265697E12)</f>
        <v>1859900265697</v>
      </c>
      <c r="U1261" t="str">
        <f>IFERROR(__xludf.DUMMYFUNCTION("""COMPUTED_VALUE"""),"AC5684259")</f>
        <v>AC5684259</v>
      </c>
      <c r="V1261" s="148">
        <f>IFERROR(__xludf.DUMMYFUNCTION("""COMPUTED_VALUE"""),45179.0)</f>
        <v>45179</v>
      </c>
      <c r="W1261" s="148">
        <f>IFERROR(__xludf.DUMMYFUNCTION("""COMPUTED_VALUE"""),47005.0)</f>
        <v>47005</v>
      </c>
      <c r="X1261" s="149">
        <f>IFERROR(__xludf.DUMMYFUNCTION("""COMPUTED_VALUE"""),46821.0)</f>
        <v>46821</v>
      </c>
      <c r="Y1261" t="str">
        <f>IFERROR(__xludf.DUMMYFUNCTION("""COMPUTED_VALUE"""),"ปลอดภัย")</f>
        <v>ปลอดภัย</v>
      </c>
      <c r="Z1261" t="str">
        <f>IFERROR(__xludf.DUMMYFUNCTION("""COMPUTED_VALUE"""),"Ranong Province")</f>
        <v>Ranong Province</v>
      </c>
      <c r="AA1261" t="str">
        <f>IFERROR(__xludf.DUMMYFUNCTION("""COMPUTED_VALUE"""),"Bangkok")</f>
        <v>Bangkok</v>
      </c>
      <c r="AB1261" s="145" t="str">
        <f>IFERROR(__xludf.DUMMYFUNCTION("""COMPUTED_VALUE"""),"0988323494")</f>
        <v>0988323494</v>
      </c>
      <c r="AC1261" t="str">
        <f>IFERROR(__xludf.DUMMYFUNCTION("""COMPUTED_VALUE"""),"นายพิสุทธิ์ โภคารักษ์ Friend")</f>
        <v>นายพิสุทธิ์ โภคารักษ์ Friend</v>
      </c>
      <c r="AD1261" t="str">
        <f>IFERROR(__xludf.DUMMYFUNCTION("""COMPUTED_VALUE"""),"paweenutrot@airasia.com")</f>
        <v>paweenutrot@airasia.com</v>
      </c>
    </row>
    <row r="1262">
      <c r="A1262">
        <f>IFERROR(__xludf.DUMMYFUNCTION("""COMPUTED_VALUE"""),111.0)</f>
        <v>111</v>
      </c>
      <c r="C1262">
        <f>IFERROR(__xludf.DUMMYFUNCTION("""COMPUTED_VALUE"""),1046098.0)</f>
        <v>1046098</v>
      </c>
      <c r="D1262" t="str">
        <f>IFERROR(__xludf.DUMMYFUNCTION("""COMPUTED_VALUE"""),"Ms.")</f>
        <v>Ms.</v>
      </c>
      <c r="E1262" t="str">
        <f>IFERROR(__xludf.DUMMYFUNCTION("""COMPUTED_VALUE"""),"Pemika")</f>
        <v>Pemika</v>
      </c>
      <c r="F1262" t="str">
        <f>IFERROR(__xludf.DUMMYFUNCTION("""COMPUTED_VALUE"""),"Krunprathum")</f>
        <v>Krunprathum</v>
      </c>
      <c r="G1262" t="str">
        <f>IFERROR(__xludf.DUMMYFUNCTION("""COMPUTED_VALUE"""),"Pemika Krunprathum")</f>
        <v>Pemika Krunprathum</v>
      </c>
      <c r="H1262" t="str">
        <f>IFERROR(__xludf.DUMMYFUNCTION("""COMPUTED_VALUE"""),"นางสาว")</f>
        <v>นางสาว</v>
      </c>
      <c r="I1262" t="str">
        <f>IFERROR(__xludf.DUMMYFUNCTION("""COMPUTED_VALUE"""),"เปมิกา")</f>
        <v>เปมิกา</v>
      </c>
      <c r="J1262" t="str">
        <f>IFERROR(__xludf.DUMMYFUNCTION("""COMPUTED_VALUE"""),"กลั่นประทุม")</f>
        <v>กลั่นประทุม</v>
      </c>
      <c r="K1262" t="str">
        <f>IFERROR(__xludf.DUMMYFUNCTION("""COMPUTED_VALUE"""),"เปมิกา กลั่นประทุม")</f>
        <v>เปมิกา กลั่นประทุม</v>
      </c>
      <c r="L1262" t="str">
        <f>IFERROR(__xludf.DUMMYFUNCTION("""COMPUTED_VALUE"""),"Champagne/แชมเปญ")</f>
        <v>Champagne/แชมเปญ</v>
      </c>
      <c r="M1262" t="str">
        <f>IFERROR(__xludf.DUMMYFUNCTION("""COMPUTED_VALUE"""),"Cabin Crew - HKT")</f>
        <v>Cabin Crew - HKT</v>
      </c>
      <c r="N1262" t="str">
        <f>IFERROR(__xludf.DUMMYFUNCTION("""COMPUTED_VALUE"""),"HKT")</f>
        <v>HKT</v>
      </c>
      <c r="O1262" s="145" t="str">
        <f>IFERROR(__xludf.DUMMYFUNCTION("""COMPUTED_VALUE"""),"Kor Home")</f>
        <v>Kor Home</v>
      </c>
      <c r="P1262" t="str">
        <f>IFERROR(__xludf.DUMMYFUNCTION("""COMPUTED_VALUE"""),"Active/V/DMK")</f>
        <v>Active/V/DMK</v>
      </c>
      <c r="R1262" s="156">
        <f>IFERROR(__xludf.DUMMYFUNCTION("""COMPUTED_VALUE"""),35346.0)</f>
        <v>35346</v>
      </c>
      <c r="S1262" s="146">
        <f>IFERROR(__xludf.DUMMYFUNCTION("""COMPUTED_VALUE"""),6.24013646E8)</f>
        <v>624013646</v>
      </c>
      <c r="T1262" s="147">
        <f>IFERROR(__xludf.DUMMYFUNCTION("""COMPUTED_VALUE"""),1.104000000745E12)</f>
        <v>1104000000745</v>
      </c>
      <c r="U1262" t="str">
        <f>IFERROR(__xludf.DUMMYFUNCTION("""COMPUTED_VALUE"""),"AC8185526")</f>
        <v>AC8185526</v>
      </c>
      <c r="V1262" s="148">
        <f>IFERROR(__xludf.DUMMYFUNCTION("""COMPUTED_VALUE"""),46035.0)</f>
        <v>46035</v>
      </c>
      <c r="W1262" s="148">
        <f>IFERROR(__xludf.DUMMYFUNCTION("""COMPUTED_VALUE"""),47860.0)</f>
        <v>47860</v>
      </c>
      <c r="X1262" s="149">
        <f>IFERROR(__xludf.DUMMYFUNCTION("""COMPUTED_VALUE"""),47676.0)</f>
        <v>47676</v>
      </c>
      <c r="Y1262" t="str">
        <f>IFERROR(__xludf.DUMMYFUNCTION("""COMPUTED_VALUE"""),"ปลอดภัย")</f>
        <v>ปลอดภัย</v>
      </c>
      <c r="Z1262" t="str">
        <f>IFERROR(__xludf.DUMMYFUNCTION("""COMPUTED_VALUE"""),"Bangkok")</f>
        <v>Bangkok</v>
      </c>
      <c r="AA1262" t="str">
        <f>IFERROR(__xludf.DUMMYFUNCTION("""COMPUTED_VALUE"""),"Bangkok")</f>
        <v>Bangkok</v>
      </c>
      <c r="AB1262" s="145" t="str">
        <f>IFERROR(__xludf.DUMMYFUNCTION("""COMPUTED_VALUE"""),"0624013646")</f>
        <v>0624013646</v>
      </c>
      <c r="AC1262" t="str">
        <f>IFERROR(__xludf.DUMMYFUNCTION("""COMPUTED_VALUE"""),"นางสาวณาริศรา สุดสวาท Mother")</f>
        <v>นางสาวณาริศรา สุดสวาท Mother</v>
      </c>
      <c r="AD1262" t="str">
        <f>IFERROR(__xludf.DUMMYFUNCTION("""COMPUTED_VALUE"""),"pemikakru@airasia.com")</f>
        <v>pemikakru@airasia.com</v>
      </c>
    </row>
    <row r="1263">
      <c r="A1263">
        <f>IFERROR(__xludf.DUMMYFUNCTION("""COMPUTED_VALUE"""),111.0)</f>
        <v>111</v>
      </c>
      <c r="C1263">
        <f>IFERROR(__xludf.DUMMYFUNCTION("""COMPUTED_VALUE"""),1046099.0)</f>
        <v>1046099</v>
      </c>
      <c r="D1263" t="str">
        <f>IFERROR(__xludf.DUMMYFUNCTION("""COMPUTED_VALUE"""),"Ms.")</f>
        <v>Ms.</v>
      </c>
      <c r="E1263" t="str">
        <f>IFERROR(__xludf.DUMMYFUNCTION("""COMPUTED_VALUE"""),"Phanita")</f>
        <v>Phanita</v>
      </c>
      <c r="F1263" t="str">
        <f>IFERROR(__xludf.DUMMYFUNCTION("""COMPUTED_VALUE"""),"Thawitpakin")</f>
        <v>Thawitpakin</v>
      </c>
      <c r="G1263" t="str">
        <f>IFERROR(__xludf.DUMMYFUNCTION("""COMPUTED_VALUE"""),"Phanita Thawitpakin")</f>
        <v>Phanita Thawitpakin</v>
      </c>
      <c r="H1263" t="str">
        <f>IFERROR(__xludf.DUMMYFUNCTION("""COMPUTED_VALUE"""),"นางสาว")</f>
        <v>นางสาว</v>
      </c>
      <c r="I1263" t="str">
        <f>IFERROR(__xludf.DUMMYFUNCTION("""COMPUTED_VALUE"""),"ภานิตา")</f>
        <v>ภานิตา</v>
      </c>
      <c r="J1263" t="str">
        <f>IFERROR(__xludf.DUMMYFUNCTION("""COMPUTED_VALUE"""),"ฐวิชภาคิน")</f>
        <v>ฐวิชภาคิน</v>
      </c>
      <c r="K1263" t="str">
        <f>IFERROR(__xludf.DUMMYFUNCTION("""COMPUTED_VALUE"""),"ภานิตา ฐวิชภาคิน")</f>
        <v>ภานิตา ฐวิชภาคิน</v>
      </c>
      <c r="L1263" t="str">
        <f>IFERROR(__xludf.DUMMYFUNCTION("""COMPUTED_VALUE"""),"Bew / บิว")</f>
        <v>Bew / บิว</v>
      </c>
      <c r="M1263" t="str">
        <f>IFERROR(__xludf.DUMMYFUNCTION("""COMPUTED_VALUE"""),"Cabin Crew")</f>
        <v>Cabin Crew</v>
      </c>
      <c r="N1263" t="str">
        <f>IFERROR(__xludf.DUMMYFUNCTION("""COMPUTED_VALUE"""),"DMK")</f>
        <v>DMK</v>
      </c>
      <c r="O1263" s="145" t="str">
        <f>IFERROR(__xludf.DUMMYFUNCTION("""COMPUTED_VALUE"""),"Toffy Home")</f>
        <v>Toffy Home</v>
      </c>
      <c r="P1263" t="str">
        <f>IFERROR(__xludf.DUMMYFUNCTION("""COMPUTED_VALUE"""),"Active")</f>
        <v>Active</v>
      </c>
      <c r="R1263" s="156">
        <f>IFERROR(__xludf.DUMMYFUNCTION("""COMPUTED_VALUE"""),35718.0)</f>
        <v>35718</v>
      </c>
      <c r="S1263" s="146">
        <f>IFERROR(__xludf.DUMMYFUNCTION("""COMPUTED_VALUE"""),9.02462449E8)</f>
        <v>902462449</v>
      </c>
      <c r="T1263" s="147">
        <f>IFERROR(__xludf.DUMMYFUNCTION("""COMPUTED_VALUE"""),1.160400220731E12)</f>
        <v>1160400220731</v>
      </c>
      <c r="U1263" t="str">
        <f>IFERROR(__xludf.DUMMYFUNCTION("""COMPUTED_VALUE"""),"AC4253996")</f>
        <v>AC4253996</v>
      </c>
      <c r="V1263" s="148">
        <f>IFERROR(__xludf.DUMMYFUNCTION("""COMPUTED_VALUE"""),44896.0)</f>
        <v>44896</v>
      </c>
      <c r="W1263" s="148">
        <f>IFERROR(__xludf.DUMMYFUNCTION("""COMPUTED_VALUE"""),46721.0)</f>
        <v>46721</v>
      </c>
      <c r="X1263" s="149">
        <f>IFERROR(__xludf.DUMMYFUNCTION("""COMPUTED_VALUE"""),46537.0)</f>
        <v>46537</v>
      </c>
      <c r="Y1263" t="str">
        <f>IFERROR(__xludf.DUMMYFUNCTION("""COMPUTED_VALUE"""),"ปลอดภัย")</f>
        <v>ปลอดภัย</v>
      </c>
      <c r="Z1263" t="str">
        <f>IFERROR(__xludf.DUMMYFUNCTION("""COMPUTED_VALUE"""),"Lopburi Province")</f>
        <v>Lopburi Province</v>
      </c>
      <c r="AA1263" t="str">
        <f>IFERROR(__xludf.DUMMYFUNCTION("""COMPUTED_VALUE"""),"Bangkok")</f>
        <v>Bangkok</v>
      </c>
      <c r="AB1263" s="145" t="str">
        <f>IFERROR(__xludf.DUMMYFUNCTION("""COMPUTED_VALUE"""),"0902462449")</f>
        <v>0902462449</v>
      </c>
      <c r="AC1263" t="str">
        <f>IFERROR(__xludf.DUMMYFUNCTION("""COMPUTED_VALUE"""),"นายตติญะ หมู่คุ้ย Friend")</f>
        <v>นายตติญะ หมู่คุ้ย Friend</v>
      </c>
      <c r="AD1263" t="str">
        <f>IFERROR(__xludf.DUMMYFUNCTION("""COMPUTED_VALUE"""),"phanitatha@airasia.com")</f>
        <v>phanitatha@airasia.com</v>
      </c>
    </row>
    <row r="1264">
      <c r="A1264">
        <f>IFERROR(__xludf.DUMMYFUNCTION("""COMPUTED_VALUE"""),111.0)</f>
        <v>111</v>
      </c>
      <c r="C1264">
        <f>IFERROR(__xludf.DUMMYFUNCTION("""COMPUTED_VALUE"""),1046101.0)</f>
        <v>1046101</v>
      </c>
      <c r="D1264" t="str">
        <f>IFERROR(__xludf.DUMMYFUNCTION("""COMPUTED_VALUE"""),"Ms.")</f>
        <v>Ms.</v>
      </c>
      <c r="E1264" t="str">
        <f>IFERROR(__xludf.DUMMYFUNCTION("""COMPUTED_VALUE"""),"Saowalak")</f>
        <v>Saowalak</v>
      </c>
      <c r="F1264" t="str">
        <f>IFERROR(__xludf.DUMMYFUNCTION("""COMPUTED_VALUE"""),"Phaesongphat")</f>
        <v>Phaesongphat</v>
      </c>
      <c r="G1264" t="str">
        <f>IFERROR(__xludf.DUMMYFUNCTION("""COMPUTED_VALUE"""),"Saowalak Phaesongphat")</f>
        <v>Saowalak Phaesongphat</v>
      </c>
      <c r="H1264" t="str">
        <f>IFERROR(__xludf.DUMMYFUNCTION("""COMPUTED_VALUE"""),"นางสาว")</f>
        <v>นางสาว</v>
      </c>
      <c r="I1264" t="str">
        <f>IFERROR(__xludf.DUMMYFUNCTION("""COMPUTED_VALUE"""),"เสาวลักษณ์")</f>
        <v>เสาวลักษณ์</v>
      </c>
      <c r="J1264" t="str">
        <f>IFERROR(__xludf.DUMMYFUNCTION("""COMPUTED_VALUE"""),"แพทรงพัฒน์")</f>
        <v>แพทรงพัฒน์</v>
      </c>
      <c r="K1264" t="str">
        <f>IFERROR(__xludf.DUMMYFUNCTION("""COMPUTED_VALUE"""),"เสาวลักษณ์ แพทรงพัฒน์")</f>
        <v>เสาวลักษณ์ แพทรงพัฒน์</v>
      </c>
      <c r="L1264" t="str">
        <f>IFERROR(__xludf.DUMMYFUNCTION("""COMPUTED_VALUE"""),"Muna / มุนา")</f>
        <v>Muna / มุนา</v>
      </c>
      <c r="M1264" t="str">
        <f>IFERROR(__xludf.DUMMYFUNCTION("""COMPUTED_VALUE"""),"Cabin Crew - BKK")</f>
        <v>Cabin Crew - BKK</v>
      </c>
      <c r="N1264" t="str">
        <f>IFERROR(__xludf.DUMMYFUNCTION("""COMPUTED_VALUE"""),"BKK")</f>
        <v>BKK</v>
      </c>
      <c r="O1264" s="145" t="str">
        <f>IFERROR(__xludf.DUMMYFUNCTION("""COMPUTED_VALUE"""),"Um Home")</f>
        <v>Um Home</v>
      </c>
      <c r="P1264" t="str">
        <f>IFERROR(__xludf.DUMMYFUNCTION("""COMPUTED_VALUE"""),"Active")</f>
        <v>Active</v>
      </c>
      <c r="R1264" s="156">
        <f>IFERROR(__xludf.DUMMYFUNCTION("""COMPUTED_VALUE"""),37056.0)</f>
        <v>37056</v>
      </c>
      <c r="S1264" s="146">
        <f>IFERROR(__xludf.DUMMYFUNCTION("""COMPUTED_VALUE"""),8.04465549E8)</f>
        <v>804465549</v>
      </c>
      <c r="T1264" s="147">
        <f>IFERROR(__xludf.DUMMYFUNCTION("""COMPUTED_VALUE"""),1.104300406097E12)</f>
        <v>1104300406097</v>
      </c>
      <c r="U1264" t="str">
        <f>IFERROR(__xludf.DUMMYFUNCTION("""COMPUTED_VALUE"""),"AD0034826")</f>
        <v>AD0034826</v>
      </c>
      <c r="V1264" s="148">
        <f>IFERROR(__xludf.DUMMYFUNCTION("""COMPUTED_VALUE"""),44825.0)</f>
        <v>44825</v>
      </c>
      <c r="W1264" s="148">
        <f>IFERROR(__xludf.DUMMYFUNCTION("""COMPUTED_VALUE"""),48477.0)</f>
        <v>48477</v>
      </c>
      <c r="X1264" s="149">
        <f>IFERROR(__xludf.DUMMYFUNCTION("""COMPUTED_VALUE"""),48293.0)</f>
        <v>48293</v>
      </c>
      <c r="Y1264" t="str">
        <f>IFERROR(__xludf.DUMMYFUNCTION("""COMPUTED_VALUE"""),"ปลอดภัย")</f>
        <v>ปลอดภัย</v>
      </c>
      <c r="Z1264" t="str">
        <f>IFERROR(__xludf.DUMMYFUNCTION("""COMPUTED_VALUE"""),"Bangkok")</f>
        <v>Bangkok</v>
      </c>
      <c r="AA1264" t="str">
        <f>IFERROR(__xludf.DUMMYFUNCTION("""COMPUTED_VALUE"""),"Pathum Thani Province")</f>
        <v>Pathum Thani Province</v>
      </c>
      <c r="AB1264" s="145" t="str">
        <f>IFERROR(__xludf.DUMMYFUNCTION("""COMPUTED_VALUE"""),"080-446-5549")</f>
        <v>080-446-5549</v>
      </c>
      <c r="AC1264" t="str">
        <f>IFERROR(__xludf.DUMMYFUNCTION("""COMPUTED_VALUE"""),"นางวิไล แซ่โง้ว Mother")</f>
        <v>นางวิไล แซ่โง้ว Mother</v>
      </c>
      <c r="AD1264" t="str">
        <f>IFERROR(__xludf.DUMMYFUNCTION("""COMPUTED_VALUE"""),"saowalakpha@airasia.com")</f>
        <v>saowalakpha@airasia.com</v>
      </c>
    </row>
    <row r="1265">
      <c r="A1265">
        <f>IFERROR(__xludf.DUMMYFUNCTION("""COMPUTED_VALUE"""),111.0)</f>
        <v>111</v>
      </c>
      <c r="C1265">
        <f>IFERROR(__xludf.DUMMYFUNCTION("""COMPUTED_VALUE"""),1046102.0)</f>
        <v>1046102</v>
      </c>
      <c r="D1265" t="str">
        <f>IFERROR(__xludf.DUMMYFUNCTION("""COMPUTED_VALUE"""),"Ms.")</f>
        <v>Ms.</v>
      </c>
      <c r="E1265" t="str">
        <f>IFERROR(__xludf.DUMMYFUNCTION("""COMPUTED_VALUE"""),"Shawisa")</f>
        <v>Shawisa</v>
      </c>
      <c r="F1265" t="str">
        <f>IFERROR(__xludf.DUMMYFUNCTION("""COMPUTED_VALUE"""),"Nillers")</f>
        <v>Nillers</v>
      </c>
      <c r="G1265" t="str">
        <f>IFERROR(__xludf.DUMMYFUNCTION("""COMPUTED_VALUE"""),"Shawisa Nillers")</f>
        <v>Shawisa Nillers</v>
      </c>
      <c r="H1265" t="str">
        <f>IFERROR(__xludf.DUMMYFUNCTION("""COMPUTED_VALUE"""),"นางสาว")</f>
        <v>นางสาว</v>
      </c>
      <c r="I1265" t="str">
        <f>IFERROR(__xludf.DUMMYFUNCTION("""COMPUTED_VALUE"""),"ชวิศา")</f>
        <v>ชวิศา</v>
      </c>
      <c r="J1265" t="str">
        <f>IFERROR(__xludf.DUMMYFUNCTION("""COMPUTED_VALUE"""),"นิลเลิศ")</f>
        <v>นิลเลิศ</v>
      </c>
      <c r="K1265" t="str">
        <f>IFERROR(__xludf.DUMMYFUNCTION("""COMPUTED_VALUE"""),"ชวิศา นิลเลิศ")</f>
        <v>ชวิศา นิลเลิศ</v>
      </c>
      <c r="L1265" t="str">
        <f>IFERROR(__xludf.DUMMYFUNCTION("""COMPUTED_VALUE"""),"Pangnum / แป้งนุ่ม")</f>
        <v>Pangnum / แป้งนุ่ม</v>
      </c>
      <c r="M1265" t="str">
        <f>IFERROR(__xludf.DUMMYFUNCTION("""COMPUTED_VALUE"""),"Cabin Crew - BKK")</f>
        <v>Cabin Crew - BKK</v>
      </c>
      <c r="N1265" t="str">
        <f>IFERROR(__xludf.DUMMYFUNCTION("""COMPUTED_VALUE"""),"BKK")</f>
        <v>BKK</v>
      </c>
      <c r="O1265" s="145" t="str">
        <f>IFERROR(__xludf.DUMMYFUNCTION("""COMPUTED_VALUE"""),"Up Home")</f>
        <v>Up Home</v>
      </c>
      <c r="P1265" t="str">
        <f>IFERROR(__xludf.DUMMYFUNCTION("""COMPUTED_VALUE"""),"Active")</f>
        <v>Active</v>
      </c>
      <c r="R1265" s="165">
        <f>IFERROR(__xludf.DUMMYFUNCTION("""COMPUTED_VALUE"""),36662.0)</f>
        <v>36662</v>
      </c>
      <c r="S1265" s="146">
        <f>IFERROR(__xludf.DUMMYFUNCTION("""COMPUTED_VALUE"""),6.15639646E8)</f>
        <v>615639646</v>
      </c>
      <c r="T1265" s="147">
        <f>IFERROR(__xludf.DUMMYFUNCTION("""COMPUTED_VALUE"""),1.229900898717E12)</f>
        <v>1229900898717</v>
      </c>
      <c r="U1265" t="str">
        <f>IFERROR(__xludf.DUMMYFUNCTION("""COMPUTED_VALUE"""),"AC5072462")</f>
        <v>AC5072462</v>
      </c>
      <c r="V1265" s="148">
        <f>IFERROR(__xludf.DUMMYFUNCTION("""COMPUTED_VALUE"""),45078.0)</f>
        <v>45078</v>
      </c>
      <c r="W1265" s="148">
        <f>IFERROR(__xludf.DUMMYFUNCTION("""COMPUTED_VALUE"""),48730.0)</f>
        <v>48730</v>
      </c>
      <c r="X1265" s="149">
        <f>IFERROR(__xludf.DUMMYFUNCTION("""COMPUTED_VALUE"""),48548.0)</f>
        <v>48548</v>
      </c>
      <c r="Y1265" t="str">
        <f>IFERROR(__xludf.DUMMYFUNCTION("""COMPUTED_VALUE"""),"ปลอดภัย")</f>
        <v>ปลอดภัย</v>
      </c>
      <c r="Z1265" t="str">
        <f>IFERROR(__xludf.DUMMYFUNCTION("""COMPUTED_VALUE"""),"Chanthaburi Province")</f>
        <v>Chanthaburi Province</v>
      </c>
      <c r="AA1265" t="str">
        <f>IFERROR(__xludf.DUMMYFUNCTION("""COMPUTED_VALUE"""),"Pathum Thani Province")</f>
        <v>Pathum Thani Province</v>
      </c>
      <c r="AB1265" s="145" t="str">
        <f>IFERROR(__xludf.DUMMYFUNCTION("""COMPUTED_VALUE"""),"061-5639646")</f>
        <v>061-5639646</v>
      </c>
      <c r="AC1265" t="str">
        <f>IFERROR(__xludf.DUMMYFUNCTION("""COMPUTED_VALUE"""),"นายพศวีร์ บุญคุ้ม Brother")</f>
        <v>นายพศวีร์ บุญคุ้ม Brother</v>
      </c>
      <c r="AD1265" t="str">
        <f>IFERROR(__xludf.DUMMYFUNCTION("""COMPUTED_VALUE"""),"shawisanil@airasia.com")</f>
        <v>shawisanil@airasia.com</v>
      </c>
    </row>
    <row r="1266">
      <c r="A1266">
        <f>IFERROR(__xludf.DUMMYFUNCTION("""COMPUTED_VALUE"""),111.0)</f>
        <v>111</v>
      </c>
      <c r="C1266">
        <f>IFERROR(__xludf.DUMMYFUNCTION("""COMPUTED_VALUE"""),1046103.0)</f>
        <v>1046103</v>
      </c>
      <c r="D1266" t="str">
        <f>IFERROR(__xludf.DUMMYFUNCTION("""COMPUTED_VALUE"""),"Mr.")</f>
        <v>Mr.</v>
      </c>
      <c r="E1266" t="str">
        <f>IFERROR(__xludf.DUMMYFUNCTION("""COMPUTED_VALUE"""),"Songpol")</f>
        <v>Songpol</v>
      </c>
      <c r="F1266" t="str">
        <f>IFERROR(__xludf.DUMMYFUNCTION("""COMPUTED_VALUE"""),"Puttabua")</f>
        <v>Puttabua</v>
      </c>
      <c r="G1266" t="str">
        <f>IFERROR(__xludf.DUMMYFUNCTION("""COMPUTED_VALUE"""),"Songpol Puttabua")</f>
        <v>Songpol Puttabua</v>
      </c>
      <c r="H1266" t="str">
        <f>IFERROR(__xludf.DUMMYFUNCTION("""COMPUTED_VALUE"""),"นาย")</f>
        <v>นาย</v>
      </c>
      <c r="I1266" t="str">
        <f>IFERROR(__xludf.DUMMYFUNCTION("""COMPUTED_VALUE"""),"ทรงพล")</f>
        <v>ทรงพล</v>
      </c>
      <c r="J1266" t="str">
        <f>IFERROR(__xludf.DUMMYFUNCTION("""COMPUTED_VALUE"""),"พุทธบัว")</f>
        <v>พุทธบัว</v>
      </c>
      <c r="K1266" t="str">
        <f>IFERROR(__xludf.DUMMYFUNCTION("""COMPUTED_VALUE"""),"ทรงพล พุทธบัว")</f>
        <v>ทรงพล พุทธบัว</v>
      </c>
      <c r="L1266" t="str">
        <f>IFERROR(__xludf.DUMMYFUNCTION("""COMPUTED_VALUE"""),"Peach / พีช")</f>
        <v>Peach / พีช</v>
      </c>
      <c r="M1266" t="str">
        <f>IFERROR(__xludf.DUMMYFUNCTION("""COMPUTED_VALUE"""),"Cabin Crew - BKK")</f>
        <v>Cabin Crew - BKK</v>
      </c>
      <c r="N1266" t="str">
        <f>IFERROR(__xludf.DUMMYFUNCTION("""COMPUTED_VALUE"""),"BKK")</f>
        <v>BKK</v>
      </c>
      <c r="O1266" s="145" t="str">
        <f>IFERROR(__xludf.DUMMYFUNCTION("""COMPUTED_VALUE"""),"Toffy Home")</f>
        <v>Toffy Home</v>
      </c>
      <c r="P1266" t="str">
        <f>IFERROR(__xludf.DUMMYFUNCTION("""COMPUTED_VALUE"""),"Active")</f>
        <v>Active</v>
      </c>
      <c r="R1266" s="156">
        <f>IFERROR(__xludf.DUMMYFUNCTION("""COMPUTED_VALUE"""),36128.0)</f>
        <v>36128</v>
      </c>
      <c r="S1266" s="146">
        <f>IFERROR(__xludf.DUMMYFUNCTION("""COMPUTED_VALUE"""),6.20504787E8)</f>
        <v>620504787</v>
      </c>
      <c r="T1266" s="147">
        <f>IFERROR(__xludf.DUMMYFUNCTION("""COMPUTED_VALUE"""),1.839900535554E12)</f>
        <v>1839900535554</v>
      </c>
      <c r="U1266" t="str">
        <f>IFERROR(__xludf.DUMMYFUNCTION("""COMPUTED_VALUE"""),"AC4867400")</f>
        <v>AC4867400</v>
      </c>
      <c r="V1266" s="148">
        <f>IFERROR(__xludf.DUMMYFUNCTION("""COMPUTED_VALUE"""),45034.0)</f>
        <v>45034</v>
      </c>
      <c r="W1266" s="150">
        <f>IFERROR(__xludf.DUMMYFUNCTION("""COMPUTED_VALUE"""),48686.0)</f>
        <v>48686</v>
      </c>
      <c r="X1266" s="149">
        <f>IFERROR(__xludf.DUMMYFUNCTION("""COMPUTED_VALUE"""),48504.0)</f>
        <v>48504</v>
      </c>
      <c r="Y1266" t="str">
        <f>IFERROR(__xludf.DUMMYFUNCTION("""COMPUTED_VALUE"""),"ปลอดภัย")</f>
        <v>ปลอดภัย</v>
      </c>
      <c r="Z1266" t="str">
        <f>IFERROR(__xludf.DUMMYFUNCTION("""COMPUTED_VALUE"""),"Phuket Province")</f>
        <v>Phuket Province</v>
      </c>
      <c r="AA1266" t="str">
        <f>IFERROR(__xludf.DUMMYFUNCTION("""COMPUTED_VALUE"""),"Phuket")</f>
        <v>Phuket</v>
      </c>
      <c r="AB1266" s="145" t="str">
        <f>IFERROR(__xludf.DUMMYFUNCTION("""COMPUTED_VALUE"""),"062-050-4787")</f>
        <v>062-050-4787</v>
      </c>
      <c r="AC1266" t="str">
        <f>IFERROR(__xludf.DUMMYFUNCTION("""COMPUTED_VALUE"""),"นางรจนา พุทธบัว Mother")</f>
        <v>นางรจนา พุทธบัว Mother</v>
      </c>
      <c r="AD1266" t="str">
        <f>IFERROR(__xludf.DUMMYFUNCTION("""COMPUTED_VALUE"""),"songpolput@airasia.com")</f>
        <v>songpolput@airasia.com</v>
      </c>
    </row>
    <row r="1267">
      <c r="A1267">
        <f>IFERROR(__xludf.DUMMYFUNCTION("""COMPUTED_VALUE"""),111.0)</f>
        <v>111</v>
      </c>
      <c r="C1267">
        <f>IFERROR(__xludf.DUMMYFUNCTION("""COMPUTED_VALUE"""),1046104.0)</f>
        <v>1046104</v>
      </c>
      <c r="D1267" t="str">
        <f>IFERROR(__xludf.DUMMYFUNCTION("""COMPUTED_VALUE"""),"Ms.")</f>
        <v>Ms.</v>
      </c>
      <c r="E1267" t="str">
        <f>IFERROR(__xludf.DUMMYFUNCTION("""COMPUTED_VALUE"""),"Swiththame")</f>
        <v>Swiththame</v>
      </c>
      <c r="F1267" t="str">
        <f>IFERROR(__xludf.DUMMYFUNCTION("""COMPUTED_VALUE"""),"Wongwacharanon")</f>
        <v>Wongwacharanon</v>
      </c>
      <c r="G1267" t="str">
        <f>IFERROR(__xludf.DUMMYFUNCTION("""COMPUTED_VALUE"""),"Swiththame Wongwacharanon")</f>
        <v>Swiththame Wongwacharanon</v>
      </c>
      <c r="H1267" t="str">
        <f>IFERROR(__xludf.DUMMYFUNCTION("""COMPUTED_VALUE"""),"นางสาว")</f>
        <v>นางสาว</v>
      </c>
      <c r="I1267" t="str">
        <f>IFERROR(__xludf.DUMMYFUNCTION("""COMPUTED_VALUE"""),"สวิตต์ธาม")</f>
        <v>สวิตต์ธาม</v>
      </c>
      <c r="J1267" t="str">
        <f>IFERROR(__xludf.DUMMYFUNCTION("""COMPUTED_VALUE"""),"วงศ์วัชรนนท์")</f>
        <v>วงศ์วัชรนนท์</v>
      </c>
      <c r="K1267" t="str">
        <f>IFERROR(__xludf.DUMMYFUNCTION("""COMPUTED_VALUE"""),"สวิตต์ธาม วงศ์วัชรนนท์")</f>
        <v>สวิตต์ธาม วงศ์วัชรนนท์</v>
      </c>
      <c r="L1267" t="str">
        <f>IFERROR(__xludf.DUMMYFUNCTION("""COMPUTED_VALUE"""),"มาย")</f>
        <v>มาย</v>
      </c>
      <c r="M1267" t="str">
        <f>IFERROR(__xludf.DUMMYFUNCTION("""COMPUTED_VALUE"""),"Cabin Crew")</f>
        <v>Cabin Crew</v>
      </c>
      <c r="N1267" t="str">
        <f>IFERROR(__xludf.DUMMYFUNCTION("""COMPUTED_VALUE"""),"DMK")</f>
        <v>DMK</v>
      </c>
      <c r="O1267" s="145" t="str">
        <f>IFERROR(__xludf.DUMMYFUNCTION("""COMPUTED_VALUE"""),"Toffy Home")</f>
        <v>Toffy Home</v>
      </c>
      <c r="P1267" t="str">
        <f>IFERROR(__xludf.DUMMYFUNCTION("""COMPUTED_VALUE"""),"Active")</f>
        <v>Active</v>
      </c>
      <c r="R1267" s="156">
        <f>IFERROR(__xludf.DUMMYFUNCTION("""COMPUTED_VALUE"""),33450.0)</f>
        <v>33450</v>
      </c>
      <c r="S1267" s="146">
        <f>IFERROR(__xludf.DUMMYFUNCTION("""COMPUTED_VALUE"""),9.71628894E8)</f>
        <v>971628894</v>
      </c>
      <c r="T1267" s="147">
        <f>IFERROR(__xludf.DUMMYFUNCTION("""COMPUTED_VALUE"""),1.103000020133E12)</f>
        <v>1103000020133</v>
      </c>
      <c r="U1267" t="str">
        <f>IFERROR(__xludf.DUMMYFUNCTION("""COMPUTED_VALUE"""),"AC5286591")</f>
        <v>AC5286591</v>
      </c>
      <c r="V1267" s="148">
        <f>IFERROR(__xludf.DUMMYFUNCTION("""COMPUTED_VALUE"""),45118.0)</f>
        <v>45118</v>
      </c>
      <c r="W1267" s="148">
        <f>IFERROR(__xludf.DUMMYFUNCTION("""COMPUTED_VALUE"""),48770.0)</f>
        <v>48770</v>
      </c>
      <c r="X1267" s="149">
        <f>IFERROR(__xludf.DUMMYFUNCTION("""COMPUTED_VALUE"""),48589.0)</f>
        <v>48589</v>
      </c>
      <c r="Y1267" t="str">
        <f>IFERROR(__xludf.DUMMYFUNCTION("""COMPUTED_VALUE"""),"ปลอดภัย")</f>
        <v>ปลอดภัย</v>
      </c>
      <c r="Z1267" t="str">
        <f>IFERROR(__xludf.DUMMYFUNCTION("""COMPUTED_VALUE"""),"Bangkok")</f>
        <v>Bangkok</v>
      </c>
      <c r="AA1267" t="str">
        <f>IFERROR(__xludf.DUMMYFUNCTION("""COMPUTED_VALUE"""),"Pathum Thani Province")</f>
        <v>Pathum Thani Province</v>
      </c>
      <c r="AB1267" s="145" t="str">
        <f>IFERROR(__xludf.DUMMYFUNCTION("""COMPUTED_VALUE"""),"0982542454")</f>
        <v>0982542454</v>
      </c>
      <c r="AC1267" t="str">
        <f>IFERROR(__xludf.DUMMYFUNCTION("""COMPUTED_VALUE"""),"จิโรจ วงศ์วัชรนนท์ Father")</f>
        <v>จิโรจ วงศ์วัชรนนท์ Father</v>
      </c>
      <c r="AD1267" t="str">
        <f>IFERROR(__xludf.DUMMYFUNCTION("""COMPUTED_VALUE"""),"swiththamewon@airasia.com")</f>
        <v>swiththamewon@airasia.com</v>
      </c>
    </row>
    <row r="1268">
      <c r="A1268">
        <f>IFERROR(__xludf.DUMMYFUNCTION("""COMPUTED_VALUE"""),111.0)</f>
        <v>111</v>
      </c>
      <c r="C1268">
        <f>IFERROR(__xludf.DUMMYFUNCTION("""COMPUTED_VALUE"""),1046105.0)</f>
        <v>1046105</v>
      </c>
      <c r="D1268" t="str">
        <f>IFERROR(__xludf.DUMMYFUNCTION("""COMPUTED_VALUE"""),"Ms.")</f>
        <v>Ms.</v>
      </c>
      <c r="E1268" t="str">
        <f>IFERROR(__xludf.DUMMYFUNCTION("""COMPUTED_VALUE"""),"Thanrada")</f>
        <v>Thanrada</v>
      </c>
      <c r="F1268" t="str">
        <f>IFERROR(__xludf.DUMMYFUNCTION("""COMPUTED_VALUE"""),"Onin")</f>
        <v>Onin</v>
      </c>
      <c r="G1268" t="str">
        <f>IFERROR(__xludf.DUMMYFUNCTION("""COMPUTED_VALUE"""),"Thanrada Onin")</f>
        <v>Thanrada Onin</v>
      </c>
      <c r="H1268" t="str">
        <f>IFERROR(__xludf.DUMMYFUNCTION("""COMPUTED_VALUE"""),"นางสาว")</f>
        <v>นางสาว</v>
      </c>
      <c r="I1268" t="str">
        <f>IFERROR(__xludf.DUMMYFUNCTION("""COMPUTED_VALUE"""),"ธัญรดา")</f>
        <v>ธัญรดา</v>
      </c>
      <c r="J1268" t="str">
        <f>IFERROR(__xludf.DUMMYFUNCTION("""COMPUTED_VALUE"""),"อ้นอิน")</f>
        <v>อ้นอิน</v>
      </c>
      <c r="K1268" t="str">
        <f>IFERROR(__xludf.DUMMYFUNCTION("""COMPUTED_VALUE"""),"ธัญรดา อ้นอิน")</f>
        <v>ธัญรดา อ้นอิน</v>
      </c>
      <c r="L1268" t="str">
        <f>IFERROR(__xludf.DUMMYFUNCTION("""COMPUTED_VALUE"""),"Dream / ดรีม")</f>
        <v>Dream / ดรีม</v>
      </c>
      <c r="M1268" t="str">
        <f>IFERROR(__xludf.DUMMYFUNCTION("""COMPUTED_VALUE"""),"Cabin Crew - BKK")</f>
        <v>Cabin Crew - BKK</v>
      </c>
      <c r="N1268" t="str">
        <f>IFERROR(__xludf.DUMMYFUNCTION("""COMPUTED_VALUE"""),"BKK")</f>
        <v>BKK</v>
      </c>
      <c r="O1268" s="145" t="str">
        <f>IFERROR(__xludf.DUMMYFUNCTION("""COMPUTED_VALUE"""),"Por+ Home")</f>
        <v>Por+ Home</v>
      </c>
      <c r="P1268" t="str">
        <f>IFERROR(__xludf.DUMMYFUNCTION("""COMPUTED_VALUE"""),"Active")</f>
        <v>Active</v>
      </c>
      <c r="R1268" s="156">
        <f>IFERROR(__xludf.DUMMYFUNCTION("""COMPUTED_VALUE"""),33957.0)</f>
        <v>33957</v>
      </c>
      <c r="S1268" s="146">
        <f>IFERROR(__xludf.DUMMYFUNCTION("""COMPUTED_VALUE"""),8.06833186E8)</f>
        <v>806833186</v>
      </c>
      <c r="T1268" s="147">
        <f>IFERROR(__xludf.DUMMYFUNCTION("""COMPUTED_VALUE"""),1.659900547619E12)</f>
        <v>1659900547619</v>
      </c>
      <c r="U1268" t="str">
        <f>IFERROR(__xludf.DUMMYFUNCTION("""COMPUTED_VALUE"""),"AC4048332")</f>
        <v>AC4048332</v>
      </c>
      <c r="V1268" s="148">
        <f>IFERROR(__xludf.DUMMYFUNCTION("""COMPUTED_VALUE"""),44820.0)</f>
        <v>44820</v>
      </c>
      <c r="W1268" s="148">
        <f>IFERROR(__xludf.DUMMYFUNCTION("""COMPUTED_VALUE"""),48472.0)</f>
        <v>48472</v>
      </c>
      <c r="X1268" s="149">
        <f>IFERROR(__xludf.DUMMYFUNCTION("""COMPUTED_VALUE"""),48288.0)</f>
        <v>48288</v>
      </c>
      <c r="Y1268" t="str">
        <f>IFERROR(__xludf.DUMMYFUNCTION("""COMPUTED_VALUE"""),"ปลอดภัย")</f>
        <v>ปลอดภัย</v>
      </c>
      <c r="Z1268" t="str">
        <f>IFERROR(__xludf.DUMMYFUNCTION("""COMPUTED_VALUE"""),"Phitsanulok Province")</f>
        <v>Phitsanulok Province</v>
      </c>
      <c r="AA1268" t="str">
        <f>IFERROR(__xludf.DUMMYFUNCTION("""COMPUTED_VALUE"""),"Bangkok")</f>
        <v>Bangkok</v>
      </c>
      <c r="AB1268" s="145" t="str">
        <f>IFERROR(__xludf.DUMMYFUNCTION("""COMPUTED_VALUE"""),"080-683-3186")</f>
        <v>080-683-3186</v>
      </c>
      <c r="AC1268" t="str">
        <f>IFERROR(__xludf.DUMMYFUNCTION("""COMPUTED_VALUE"""),"นางสุปัญญา อ้นอิน Mother")</f>
        <v>นางสุปัญญา อ้นอิน Mother</v>
      </c>
      <c r="AD1268" t="str">
        <f>IFERROR(__xludf.DUMMYFUNCTION("""COMPUTED_VALUE"""),"thanradaoni@airasia.com")</f>
        <v>thanradaoni@airasia.com</v>
      </c>
    </row>
    <row r="1269">
      <c r="A1269">
        <f>IFERROR(__xludf.DUMMYFUNCTION("""COMPUTED_VALUE"""),111.0)</f>
        <v>111</v>
      </c>
      <c r="C1269">
        <f>IFERROR(__xludf.DUMMYFUNCTION("""COMPUTED_VALUE"""),1046106.0)</f>
        <v>1046106</v>
      </c>
      <c r="D1269" t="str">
        <f>IFERROR(__xludf.DUMMYFUNCTION("""COMPUTED_VALUE"""),"Ms.")</f>
        <v>Ms.</v>
      </c>
      <c r="E1269" t="str">
        <f>IFERROR(__xludf.DUMMYFUNCTION("""COMPUTED_VALUE"""),"Thanta")</f>
        <v>Thanta</v>
      </c>
      <c r="F1269" t="str">
        <f>IFERROR(__xludf.DUMMYFUNCTION("""COMPUTED_VALUE"""),"Sakulsathaporn")</f>
        <v>Sakulsathaporn</v>
      </c>
      <c r="G1269" t="str">
        <f>IFERROR(__xludf.DUMMYFUNCTION("""COMPUTED_VALUE"""),"Thanta Sakulsathaporn")</f>
        <v>Thanta Sakulsathaporn</v>
      </c>
      <c r="H1269" t="str">
        <f>IFERROR(__xludf.DUMMYFUNCTION("""COMPUTED_VALUE"""),"นางสาว")</f>
        <v>นางสาว</v>
      </c>
      <c r="I1269" t="str">
        <f>IFERROR(__xludf.DUMMYFUNCTION("""COMPUTED_VALUE"""),"ทันตา")</f>
        <v>ทันตา</v>
      </c>
      <c r="J1269" t="str">
        <f>IFERROR(__xludf.DUMMYFUNCTION("""COMPUTED_VALUE"""),"สกุลสถาพร")</f>
        <v>สกุลสถาพร</v>
      </c>
      <c r="K1269" t="str">
        <f>IFERROR(__xludf.DUMMYFUNCTION("""COMPUTED_VALUE"""),"ทันตา สกุลสถาพร")</f>
        <v>ทันตา สกุลสถาพร</v>
      </c>
      <c r="L1269" t="str">
        <f>IFERROR(__xludf.DUMMYFUNCTION("""COMPUTED_VALUE"""),"แคท")</f>
        <v>แคท</v>
      </c>
      <c r="M1269" t="str">
        <f>IFERROR(__xludf.DUMMYFUNCTION("""COMPUTED_VALUE"""),"Cabin Crew - BKK")</f>
        <v>Cabin Crew - BKK</v>
      </c>
      <c r="N1269" t="str">
        <f>IFERROR(__xludf.DUMMYFUNCTION("""COMPUTED_VALUE"""),"BKK")</f>
        <v>BKK</v>
      </c>
      <c r="O1269" s="145" t="str">
        <f>IFERROR(__xludf.DUMMYFUNCTION("""COMPUTED_VALUE"""),"Namfon Home")</f>
        <v>Namfon Home</v>
      </c>
      <c r="P1269" t="str">
        <f>IFERROR(__xludf.DUMMYFUNCTION("""COMPUTED_VALUE"""),"Active")</f>
        <v>Active</v>
      </c>
      <c r="R1269" s="156">
        <f>IFERROR(__xludf.DUMMYFUNCTION("""COMPUTED_VALUE"""),36592.0)</f>
        <v>36592</v>
      </c>
      <c r="S1269" s="146">
        <f>IFERROR(__xludf.DUMMYFUNCTION("""COMPUTED_VALUE"""),9.29916592E8)</f>
        <v>929916592</v>
      </c>
      <c r="T1269" s="147">
        <f>IFERROR(__xludf.DUMMYFUNCTION("""COMPUTED_VALUE"""),1.100401027047E12)</f>
        <v>1100401027047</v>
      </c>
      <c r="U1269" t="str">
        <f>IFERROR(__xludf.DUMMYFUNCTION("""COMPUTED_VALUE"""),"AD0050976")</f>
        <v>AD0050976</v>
      </c>
      <c r="V1269" s="148">
        <f>IFERROR(__xludf.DUMMYFUNCTION("""COMPUTED_VALUE"""),44828.0)</f>
        <v>44828</v>
      </c>
      <c r="W1269" s="148">
        <f>IFERROR(__xludf.DUMMYFUNCTION("""COMPUTED_VALUE"""),46653.0)</f>
        <v>46653</v>
      </c>
      <c r="X1269" s="149">
        <f>IFERROR(__xludf.DUMMYFUNCTION("""COMPUTED_VALUE"""),46469.0)</f>
        <v>46469</v>
      </c>
      <c r="Y1269" t="str">
        <f>IFERROR(__xludf.DUMMYFUNCTION("""COMPUTED_VALUE"""),"ปลอดภัย")</f>
        <v>ปลอดภัย</v>
      </c>
      <c r="Z1269" t="str">
        <f>IFERROR(__xludf.DUMMYFUNCTION("""COMPUTED_VALUE"""),"Bangkok")</f>
        <v>Bangkok</v>
      </c>
      <c r="AA1269" t="str">
        <f>IFERROR(__xludf.DUMMYFUNCTION("""COMPUTED_VALUE"""),"Nontaburi")</f>
        <v>Nontaburi</v>
      </c>
      <c r="AB1269" s="145" t="str">
        <f>IFERROR(__xludf.DUMMYFUNCTION("""COMPUTED_VALUE"""),"0929916592")</f>
        <v>0929916592</v>
      </c>
      <c r="AC1269" t="str">
        <f>IFERROR(__xludf.DUMMYFUNCTION("""COMPUTED_VALUE"""),"นายจิรภัทร กองบุญศรี Friend")</f>
        <v>นายจิรภัทร กองบุญศรี Friend</v>
      </c>
      <c r="AD1269" t="str">
        <f>IFERROR(__xludf.DUMMYFUNCTION("""COMPUTED_VALUE"""),"thantasak@airasia.com")</f>
        <v>thantasak@airasia.com</v>
      </c>
    </row>
    <row r="1270">
      <c r="A1270">
        <f>IFERROR(__xludf.DUMMYFUNCTION("""COMPUTED_VALUE"""),111.0)</f>
        <v>111</v>
      </c>
      <c r="C1270">
        <f>IFERROR(__xludf.DUMMYFUNCTION("""COMPUTED_VALUE"""),1046107.0)</f>
        <v>1046107</v>
      </c>
      <c r="D1270" t="str">
        <f>IFERROR(__xludf.DUMMYFUNCTION("""COMPUTED_VALUE"""),"Ms.")</f>
        <v>Ms.</v>
      </c>
      <c r="E1270" t="str">
        <f>IFERROR(__xludf.DUMMYFUNCTION("""COMPUTED_VALUE"""),"Warantorn")</f>
        <v>Warantorn</v>
      </c>
      <c r="F1270" t="str">
        <f>IFERROR(__xludf.DUMMYFUNCTION("""COMPUTED_VALUE"""),"Sitthiyos")</f>
        <v>Sitthiyos</v>
      </c>
      <c r="G1270" t="str">
        <f>IFERROR(__xludf.DUMMYFUNCTION("""COMPUTED_VALUE"""),"Warantorn Sitthiyos")</f>
        <v>Warantorn Sitthiyos</v>
      </c>
      <c r="H1270" t="str">
        <f>IFERROR(__xludf.DUMMYFUNCTION("""COMPUTED_VALUE"""),"นางสาว")</f>
        <v>นางสาว</v>
      </c>
      <c r="I1270" t="str">
        <f>IFERROR(__xludf.DUMMYFUNCTION("""COMPUTED_VALUE"""),"วรันธร")</f>
        <v>วรันธร</v>
      </c>
      <c r="J1270" t="str">
        <f>IFERROR(__xludf.DUMMYFUNCTION("""COMPUTED_VALUE"""),"สิทธิยศ")</f>
        <v>สิทธิยศ</v>
      </c>
      <c r="K1270" t="str">
        <f>IFERROR(__xludf.DUMMYFUNCTION("""COMPUTED_VALUE"""),"วรันธร สิทธิยศ")</f>
        <v>วรันธร สิทธิยศ</v>
      </c>
      <c r="L1270" t="str">
        <f>IFERROR(__xludf.DUMMYFUNCTION("""COMPUTED_VALUE"""),"ภัค")</f>
        <v>ภัค</v>
      </c>
      <c r="M1270" t="str">
        <f>IFERROR(__xludf.DUMMYFUNCTION("""COMPUTED_VALUE"""),"Cabin Crew")</f>
        <v>Cabin Crew</v>
      </c>
      <c r="N1270" t="str">
        <f>IFERROR(__xludf.DUMMYFUNCTION("""COMPUTED_VALUE"""),"DMK")</f>
        <v>DMK</v>
      </c>
      <c r="O1270" s="145" t="str">
        <f>IFERROR(__xludf.DUMMYFUNCTION("""COMPUTED_VALUE"""),"Toffy Home")</f>
        <v>Toffy Home</v>
      </c>
      <c r="P1270" t="str">
        <f>IFERROR(__xludf.DUMMYFUNCTION("""COMPUTED_VALUE"""),"Active")</f>
        <v>Active</v>
      </c>
      <c r="R1270" s="156">
        <f>IFERROR(__xludf.DUMMYFUNCTION("""COMPUTED_VALUE"""),33147.0)</f>
        <v>33147</v>
      </c>
      <c r="S1270" s="146">
        <f>IFERROR(__xludf.DUMMYFUNCTION("""COMPUTED_VALUE"""),6.36426454E8)</f>
        <v>636426454</v>
      </c>
      <c r="T1270" s="147">
        <f>IFERROR(__xludf.DUMMYFUNCTION("""COMPUTED_VALUE"""),1.100200581799E12)</f>
        <v>1100200581799</v>
      </c>
      <c r="U1270" t="str">
        <f>IFERROR(__xludf.DUMMYFUNCTION("""COMPUTED_VALUE"""),"Ac4442161")</f>
        <v>Ac4442161</v>
      </c>
      <c r="V1270" s="148">
        <f>IFERROR(__xludf.DUMMYFUNCTION("""COMPUTED_VALUE"""),44960.0)</f>
        <v>44960</v>
      </c>
      <c r="W1270" s="148">
        <f>IFERROR(__xludf.DUMMYFUNCTION("""COMPUTED_VALUE"""),48612.0)</f>
        <v>48612</v>
      </c>
      <c r="X1270" s="149">
        <f>IFERROR(__xludf.DUMMYFUNCTION("""COMPUTED_VALUE"""),48428.0)</f>
        <v>48428</v>
      </c>
      <c r="Y1270" t="str">
        <f>IFERROR(__xludf.DUMMYFUNCTION("""COMPUTED_VALUE"""),"ปลอดภัย")</f>
        <v>ปลอดภัย</v>
      </c>
      <c r="Z1270" t="str">
        <f>IFERROR(__xludf.DUMMYFUNCTION("""COMPUTED_VALUE"""),"Bangkok")</f>
        <v>Bangkok</v>
      </c>
      <c r="AA1270" t="str">
        <f>IFERROR(__xludf.DUMMYFUNCTION("""COMPUTED_VALUE"""),"Bangkok")</f>
        <v>Bangkok</v>
      </c>
      <c r="AB1270" s="145" t="str">
        <f>IFERROR(__xludf.DUMMYFUNCTION("""COMPUTED_VALUE"""),"0636426454")</f>
        <v>0636426454</v>
      </c>
      <c r="AC1270" t="str">
        <f>IFERROR(__xludf.DUMMYFUNCTION("""COMPUTED_VALUE"""),"นางกันยารัตน์ สิทธิยศ Mother")</f>
        <v>นางกันยารัตน์ สิทธิยศ Mother</v>
      </c>
      <c r="AD1270" t="str">
        <f>IFERROR(__xludf.DUMMYFUNCTION("""COMPUTED_VALUE"""),"warantornsit@airasia.com")</f>
        <v>warantornsit@airasia.com</v>
      </c>
    </row>
    <row r="1271">
      <c r="A1271">
        <f>IFERROR(__xludf.DUMMYFUNCTION("""COMPUTED_VALUE"""),111.0)</f>
        <v>111</v>
      </c>
      <c r="C1271">
        <f>IFERROR(__xludf.DUMMYFUNCTION("""COMPUTED_VALUE"""),1046108.0)</f>
        <v>1046108</v>
      </c>
      <c r="D1271" t="str">
        <f>IFERROR(__xludf.DUMMYFUNCTION("""COMPUTED_VALUE"""),"Mr.")</f>
        <v>Mr.</v>
      </c>
      <c r="E1271" t="str">
        <f>IFERROR(__xludf.DUMMYFUNCTION("""COMPUTED_VALUE"""),"Warrunwats")</f>
        <v>Warrunwats</v>
      </c>
      <c r="F1271" t="str">
        <f>IFERROR(__xludf.DUMMYFUNCTION("""COMPUTED_VALUE"""),"Jirachartworrakun")</f>
        <v>Jirachartworrakun</v>
      </c>
      <c r="G1271" t="str">
        <f>IFERROR(__xludf.DUMMYFUNCTION("""COMPUTED_VALUE"""),"Warrunwats Jirachartworrakun")</f>
        <v>Warrunwats Jirachartworrakun</v>
      </c>
      <c r="H1271" t="str">
        <f>IFERROR(__xludf.DUMMYFUNCTION("""COMPUTED_VALUE"""),"นาย")</f>
        <v>นาย</v>
      </c>
      <c r="I1271" t="str">
        <f>IFERROR(__xludf.DUMMYFUNCTION("""COMPUTED_VALUE"""),"วรันวรรธน์")</f>
        <v>วรันวรรธน์</v>
      </c>
      <c r="J1271" t="str">
        <f>IFERROR(__xludf.DUMMYFUNCTION("""COMPUTED_VALUE"""),"จิระชาติวรกุล")</f>
        <v>จิระชาติวรกุล</v>
      </c>
      <c r="K1271" t="str">
        <f>IFERROR(__xludf.DUMMYFUNCTION("""COMPUTED_VALUE"""),"วรันวรรธน์ จิระชาติวรกุล")</f>
        <v>วรันวรรธน์ จิระชาติวรกุล</v>
      </c>
      <c r="L1271" t="str">
        <f>IFERROR(__xludf.DUMMYFUNCTION("""COMPUTED_VALUE"""),"Man U / แมนยู")</f>
        <v>Man U / แมนยู</v>
      </c>
      <c r="M1271" t="str">
        <f>IFERROR(__xludf.DUMMYFUNCTION("""COMPUTED_VALUE"""),"Cabin Crew - BKK")</f>
        <v>Cabin Crew - BKK</v>
      </c>
      <c r="N1271" t="str">
        <f>IFERROR(__xludf.DUMMYFUNCTION("""COMPUTED_VALUE"""),"BKK")</f>
        <v>BKK</v>
      </c>
      <c r="O1271" s="145" t="str">
        <f>IFERROR(__xludf.DUMMYFUNCTION("""COMPUTED_VALUE"""),"Kor Home")</f>
        <v>Kor Home</v>
      </c>
      <c r="P1271" t="str">
        <f>IFERROR(__xludf.DUMMYFUNCTION("""COMPUTED_VALUE"""),"Active")</f>
        <v>Active</v>
      </c>
      <c r="R1271" s="156">
        <f>IFERROR(__xludf.DUMMYFUNCTION("""COMPUTED_VALUE"""),35879.0)</f>
        <v>35879</v>
      </c>
      <c r="S1271" s="146">
        <f>IFERROR(__xludf.DUMMYFUNCTION("""COMPUTED_VALUE"""),8.22492879E8)</f>
        <v>822492879</v>
      </c>
      <c r="T1271" s="147">
        <f>IFERROR(__xludf.DUMMYFUNCTION("""COMPUTED_VALUE"""),1.100801254288E12)</f>
        <v>1100801254288</v>
      </c>
      <c r="U1271" t="str">
        <f>IFERROR(__xludf.DUMMYFUNCTION("""COMPUTED_VALUE"""),"AD1967392")</f>
        <v>AD1967392</v>
      </c>
      <c r="V1271" s="148">
        <f>IFERROR(__xludf.DUMMYFUNCTION("""COMPUTED_VALUE"""),45513.0)</f>
        <v>45513</v>
      </c>
      <c r="W1271" s="148">
        <f>IFERROR(__xludf.DUMMYFUNCTION("""COMPUTED_VALUE"""),49164.0)</f>
        <v>49164</v>
      </c>
      <c r="X1271" s="149">
        <f>IFERROR(__xludf.DUMMYFUNCTION("""COMPUTED_VALUE"""),48983.0)</f>
        <v>48983</v>
      </c>
      <c r="Y1271" t="str">
        <f>IFERROR(__xludf.DUMMYFUNCTION("""COMPUTED_VALUE"""),"ปลอดภัย")</f>
        <v>ปลอดภัย</v>
      </c>
      <c r="Z1271" t="str">
        <f>IFERROR(__xludf.DUMMYFUNCTION("""COMPUTED_VALUE"""),"Bangkok")</f>
        <v>Bangkok</v>
      </c>
      <c r="AA1271" t="str">
        <f>IFERROR(__xludf.DUMMYFUNCTION("""COMPUTED_VALUE"""),"Bangkok")</f>
        <v>Bangkok</v>
      </c>
      <c r="AB1271" s="145" t="str">
        <f>IFERROR(__xludf.DUMMYFUNCTION("""COMPUTED_VALUE"""),"0822492878")</f>
        <v>0822492878</v>
      </c>
      <c r="AC1271" t="str">
        <f>IFERROR(__xludf.DUMMYFUNCTION("""COMPUTED_VALUE"""),"วรรณภา เอกพงศ์ไพศาล Mother")</f>
        <v>วรรณภา เอกพงศ์ไพศาล Mother</v>
      </c>
      <c r="AD1271" t="str">
        <f>IFERROR(__xludf.DUMMYFUNCTION("""COMPUTED_VALUE"""),"warrunwatsjir@airasia.com")</f>
        <v>warrunwatsjir@airasia.com</v>
      </c>
    </row>
    <row r="1272">
      <c r="A1272">
        <f>IFERROR(__xludf.DUMMYFUNCTION("""COMPUTED_VALUE"""),111.0)</f>
        <v>111</v>
      </c>
      <c r="C1272">
        <f>IFERROR(__xludf.DUMMYFUNCTION("""COMPUTED_VALUE"""),1046109.0)</f>
        <v>1046109</v>
      </c>
      <c r="D1272" t="str">
        <f>IFERROR(__xludf.DUMMYFUNCTION("""COMPUTED_VALUE"""),"Ms.")</f>
        <v>Ms.</v>
      </c>
      <c r="E1272" t="str">
        <f>IFERROR(__xludf.DUMMYFUNCTION("""COMPUTED_VALUE"""),"Wirasuda")</f>
        <v>Wirasuda</v>
      </c>
      <c r="F1272" t="str">
        <f>IFERROR(__xludf.DUMMYFUNCTION("""COMPUTED_VALUE"""),"Chayutthanabun")</f>
        <v>Chayutthanabun</v>
      </c>
      <c r="G1272" t="str">
        <f>IFERROR(__xludf.DUMMYFUNCTION("""COMPUTED_VALUE"""),"Wirasuda Chayutthanabun")</f>
        <v>Wirasuda Chayutthanabun</v>
      </c>
      <c r="H1272" t="str">
        <f>IFERROR(__xludf.DUMMYFUNCTION("""COMPUTED_VALUE"""),"นางสาว")</f>
        <v>นางสาว</v>
      </c>
      <c r="I1272" t="str">
        <f>IFERROR(__xludf.DUMMYFUNCTION("""COMPUTED_VALUE"""),"วิรสุดา")</f>
        <v>วิรสุดา</v>
      </c>
      <c r="J1272" t="str">
        <f>IFERROR(__xludf.DUMMYFUNCTION("""COMPUTED_VALUE"""),"ชยุตธนบูลย์")</f>
        <v>ชยุตธนบูลย์</v>
      </c>
      <c r="K1272" t="str">
        <f>IFERROR(__xludf.DUMMYFUNCTION("""COMPUTED_VALUE"""),"วิรสุดา ชยุตธนบูลย์")</f>
        <v>วิรสุดา ชยุตธนบูลย์</v>
      </c>
      <c r="L1272" t="str">
        <f>IFERROR(__xludf.DUMMYFUNCTION("""COMPUTED_VALUE"""),"สตาร์")</f>
        <v>สตาร์</v>
      </c>
      <c r="M1272" t="str">
        <f>IFERROR(__xludf.DUMMYFUNCTION("""COMPUTED_VALUE"""),"Cabin Crew - BKK")</f>
        <v>Cabin Crew - BKK</v>
      </c>
      <c r="N1272" t="str">
        <f>IFERROR(__xludf.DUMMYFUNCTION("""COMPUTED_VALUE"""),"BKK")</f>
        <v>BKK</v>
      </c>
      <c r="O1272" s="145" t="str">
        <f>IFERROR(__xludf.DUMMYFUNCTION("""COMPUTED_VALUE"""),"Um Home")</f>
        <v>Um Home</v>
      </c>
      <c r="P1272" t="str">
        <f>IFERROR(__xludf.DUMMYFUNCTION("""COMPUTED_VALUE"""),"Active")</f>
        <v>Active</v>
      </c>
      <c r="R1272" s="156">
        <f>IFERROR(__xludf.DUMMYFUNCTION("""COMPUTED_VALUE"""),35742.0)</f>
        <v>35742</v>
      </c>
      <c r="S1272" s="146">
        <f>IFERROR(__xludf.DUMMYFUNCTION("""COMPUTED_VALUE"""),6.36246291E8)</f>
        <v>636246291</v>
      </c>
      <c r="T1272" s="147">
        <f>IFERROR(__xludf.DUMMYFUNCTION("""COMPUTED_VALUE"""),1.100900504223E12)</f>
        <v>1100900504223</v>
      </c>
      <c r="U1272" t="str">
        <f>IFERROR(__xludf.DUMMYFUNCTION("""COMPUTED_VALUE"""),"AC7447085")</f>
        <v>AC7447085</v>
      </c>
      <c r="V1272" s="148">
        <f>IFERROR(__xludf.DUMMYFUNCTION("""COMPUTED_VALUE"""),45586.0)</f>
        <v>45586</v>
      </c>
      <c r="W1272" s="148">
        <f>IFERROR(__xludf.DUMMYFUNCTION("""COMPUTED_VALUE"""),49237.0)</f>
        <v>49237</v>
      </c>
      <c r="X1272" s="149">
        <f>IFERROR(__xludf.DUMMYFUNCTION("""COMPUTED_VALUE"""),49054.0)</f>
        <v>49054</v>
      </c>
      <c r="Y1272" t="str">
        <f>IFERROR(__xludf.DUMMYFUNCTION("""COMPUTED_VALUE"""),"ปลอดภัย")</f>
        <v>ปลอดภัย</v>
      </c>
      <c r="Z1272" t="str">
        <f>IFERROR(__xludf.DUMMYFUNCTION("""COMPUTED_VALUE"""),"Bangkok")</f>
        <v>Bangkok</v>
      </c>
      <c r="AA1272" t="str">
        <f>IFERROR(__xludf.DUMMYFUNCTION("""COMPUTED_VALUE"""),"Bangkok")</f>
        <v>Bangkok</v>
      </c>
      <c r="AB1272" s="145" t="str">
        <f>IFERROR(__xludf.DUMMYFUNCTION("""COMPUTED_VALUE"""),"063-624-6291")</f>
        <v>063-624-6291</v>
      </c>
      <c r="AC1272" t="str">
        <f>IFERROR(__xludf.DUMMYFUNCTION("""COMPUTED_VALUE"""),"นาง ธรากร จงจอหอ Mother")</f>
        <v>นาง ธรากร จงจอหอ Mother</v>
      </c>
      <c r="AD1272" t="str">
        <f>IFERROR(__xludf.DUMMYFUNCTION("""COMPUTED_VALUE"""),"wirasudacha@airasia.com")</f>
        <v>wirasudacha@airasia.com</v>
      </c>
    </row>
    <row r="1273">
      <c r="A1273">
        <f>IFERROR(__xludf.DUMMYFUNCTION("""COMPUTED_VALUE"""),111.0)</f>
        <v>111</v>
      </c>
      <c r="C1273">
        <f>IFERROR(__xludf.DUMMYFUNCTION("""COMPUTED_VALUE"""),1046110.0)</f>
        <v>1046110</v>
      </c>
      <c r="D1273" t="str">
        <f>IFERROR(__xludf.DUMMYFUNCTION("""COMPUTED_VALUE"""),"Ms.")</f>
        <v>Ms.</v>
      </c>
      <c r="E1273" t="str">
        <f>IFERROR(__xludf.DUMMYFUNCTION("""COMPUTED_VALUE"""),"Wirintorn")</f>
        <v>Wirintorn</v>
      </c>
      <c r="F1273" t="str">
        <f>IFERROR(__xludf.DUMMYFUNCTION("""COMPUTED_VALUE"""),"Saekhow")</f>
        <v>Saekhow</v>
      </c>
      <c r="G1273" t="str">
        <f>IFERROR(__xludf.DUMMYFUNCTION("""COMPUTED_VALUE"""),"Wirintorn Saekhow")</f>
        <v>Wirintorn Saekhow</v>
      </c>
      <c r="H1273" t="str">
        <f>IFERROR(__xludf.DUMMYFUNCTION("""COMPUTED_VALUE"""),"นางสาว")</f>
        <v>นางสาว</v>
      </c>
      <c r="I1273" t="str">
        <f>IFERROR(__xludf.DUMMYFUNCTION("""COMPUTED_VALUE"""),"วิริญธรณ์")</f>
        <v>วิริญธรณ์</v>
      </c>
      <c r="J1273" t="str">
        <f>IFERROR(__xludf.DUMMYFUNCTION("""COMPUTED_VALUE"""),"แซ่โค้ว")</f>
        <v>แซ่โค้ว</v>
      </c>
      <c r="K1273" t="str">
        <f>IFERROR(__xludf.DUMMYFUNCTION("""COMPUTED_VALUE"""),"วิริญธรณ์ แซ่โค้ว")</f>
        <v>วิริญธรณ์ แซ่โค้ว</v>
      </c>
      <c r="L1273" t="str">
        <f>IFERROR(__xludf.DUMMYFUNCTION("""COMPUTED_VALUE"""),"Palm / ปาม")</f>
        <v>Palm / ปาม</v>
      </c>
      <c r="M1273" t="str">
        <f>IFERROR(__xludf.DUMMYFUNCTION("""COMPUTED_VALUE"""),"Cabin Crew - BKK")</f>
        <v>Cabin Crew - BKK</v>
      </c>
      <c r="N1273" t="str">
        <f>IFERROR(__xludf.DUMMYFUNCTION("""COMPUTED_VALUE"""),"BKK")</f>
        <v>BKK</v>
      </c>
      <c r="O1273" s="145" t="str">
        <f>IFERROR(__xludf.DUMMYFUNCTION("""COMPUTED_VALUE"""),"Por+ Home")</f>
        <v>Por+ Home</v>
      </c>
      <c r="P1273" t="str">
        <f>IFERROR(__xludf.DUMMYFUNCTION("""COMPUTED_VALUE"""),"Active")</f>
        <v>Active</v>
      </c>
      <c r="R1273" s="156">
        <f>IFERROR(__xludf.DUMMYFUNCTION("""COMPUTED_VALUE"""),33125.0)</f>
        <v>33125</v>
      </c>
      <c r="S1273" s="146">
        <f>IFERROR(__xludf.DUMMYFUNCTION("""COMPUTED_VALUE"""),8.44669941E8)</f>
        <v>844669941</v>
      </c>
      <c r="T1273" s="147">
        <f>IFERROR(__xludf.DUMMYFUNCTION("""COMPUTED_VALUE"""),1.100400474121E12)</f>
        <v>1100400474121</v>
      </c>
      <c r="U1273" t="str">
        <f>IFERROR(__xludf.DUMMYFUNCTION("""COMPUTED_VALUE"""),"AC2410403")</f>
        <v>AC2410403</v>
      </c>
      <c r="V1273" s="148">
        <f>IFERROR(__xludf.DUMMYFUNCTION("""COMPUTED_VALUE"""),44435.0)</f>
        <v>44435</v>
      </c>
      <c r="W1273" s="148">
        <f>IFERROR(__xludf.DUMMYFUNCTION("""COMPUTED_VALUE"""),48086.0)</f>
        <v>48086</v>
      </c>
      <c r="X1273" s="149">
        <f>IFERROR(__xludf.DUMMYFUNCTION("""COMPUTED_VALUE"""),47905.0)</f>
        <v>47905</v>
      </c>
      <c r="Y1273" t="str">
        <f>IFERROR(__xludf.DUMMYFUNCTION("""COMPUTED_VALUE"""),"ปลอดภัย")</f>
        <v>ปลอดภัย</v>
      </c>
      <c r="Z1273" t="str">
        <f>IFERROR(__xludf.DUMMYFUNCTION("""COMPUTED_VALUE"""),"Bangkok")</f>
        <v>Bangkok</v>
      </c>
      <c r="AA1273" t="str">
        <f>IFERROR(__xludf.DUMMYFUNCTION("""COMPUTED_VALUE"""),"Bangkok")</f>
        <v>Bangkok</v>
      </c>
      <c r="AB1273" s="145" t="str">
        <f>IFERROR(__xludf.DUMMYFUNCTION("""COMPUTED_VALUE"""),"844669941")</f>
        <v>844669941</v>
      </c>
      <c r="AC1273" t="str">
        <f>IFERROR(__xludf.DUMMYFUNCTION("""COMPUTED_VALUE"""),"นางกานดา เลิศศิลา Mother")</f>
        <v>นางกานดา เลิศศิลา Mother</v>
      </c>
      <c r="AD1273" t="str">
        <f>IFERROR(__xludf.DUMMYFUNCTION("""COMPUTED_VALUE"""),"wirintornsae@airasia.com")</f>
        <v>wirintornsae@airasia.com</v>
      </c>
    </row>
    <row r="1274">
      <c r="A1274">
        <f>IFERROR(__xludf.DUMMYFUNCTION("""COMPUTED_VALUE"""),111.0)</f>
        <v>111</v>
      </c>
      <c r="C1274">
        <f>IFERROR(__xludf.DUMMYFUNCTION("""COMPUTED_VALUE"""),1046111.0)</f>
        <v>1046111</v>
      </c>
      <c r="D1274" t="str">
        <f>IFERROR(__xludf.DUMMYFUNCTION("""COMPUTED_VALUE"""),"Ms.")</f>
        <v>Ms.</v>
      </c>
      <c r="E1274" t="str">
        <f>IFERROR(__xludf.DUMMYFUNCTION("""COMPUTED_VALUE"""),"Chayanin")</f>
        <v>Chayanin</v>
      </c>
      <c r="F1274" t="str">
        <f>IFERROR(__xludf.DUMMYFUNCTION("""COMPUTED_VALUE"""),"Ratchusanti")</f>
        <v>Ratchusanti</v>
      </c>
      <c r="G1274" t="str">
        <f>IFERROR(__xludf.DUMMYFUNCTION("""COMPUTED_VALUE"""),"Chayanin Ratchusanti")</f>
        <v>Chayanin Ratchusanti</v>
      </c>
      <c r="H1274" t="str">
        <f>IFERROR(__xludf.DUMMYFUNCTION("""COMPUTED_VALUE"""),"นางสาว")</f>
        <v>นางสาว</v>
      </c>
      <c r="I1274" t="str">
        <f>IFERROR(__xludf.DUMMYFUNCTION("""COMPUTED_VALUE"""),"ชญานิน")</f>
        <v>ชญานิน</v>
      </c>
      <c r="J1274" t="str">
        <f>IFERROR(__xludf.DUMMYFUNCTION("""COMPUTED_VALUE"""),"รัชชุศานติ")</f>
        <v>รัชชุศานติ</v>
      </c>
      <c r="K1274" t="str">
        <f>IFERROR(__xludf.DUMMYFUNCTION("""COMPUTED_VALUE"""),"ชญานิน รัชชุศานติ")</f>
        <v>ชญานิน รัชชุศานติ</v>
      </c>
      <c r="L1274" t="str">
        <f>IFERROR(__xludf.DUMMYFUNCTION("""COMPUTED_VALUE"""),"Jinny / จินนี่")</f>
        <v>Jinny / จินนี่</v>
      </c>
      <c r="M1274" t="str">
        <f>IFERROR(__xludf.DUMMYFUNCTION("""COMPUTED_VALUE"""),"Cabin Crew")</f>
        <v>Cabin Crew</v>
      </c>
      <c r="N1274" t="str">
        <f>IFERROR(__xludf.DUMMYFUNCTION("""COMPUTED_VALUE"""),"DMK")</f>
        <v>DMK</v>
      </c>
      <c r="O1274" s="145" t="str">
        <f>IFERROR(__xludf.DUMMYFUNCTION("""COMPUTED_VALUE"""),"Namfon Home")</f>
        <v>Namfon Home</v>
      </c>
      <c r="P1274" t="str">
        <f>IFERROR(__xludf.DUMMYFUNCTION("""COMPUTED_VALUE"""),"Active")</f>
        <v>Active</v>
      </c>
      <c r="R1274" s="156">
        <f>IFERROR(__xludf.DUMMYFUNCTION("""COMPUTED_VALUE"""),33932.0)</f>
        <v>33932</v>
      </c>
      <c r="S1274" s="146" t="str">
        <f>IFERROR(__xludf.DUMMYFUNCTION("""COMPUTED_VALUE"""),"093-2946514")</f>
        <v>093-2946514</v>
      </c>
      <c r="T1274" s="147">
        <f>IFERROR(__xludf.DUMMYFUNCTION("""COMPUTED_VALUE"""),1.101401965609E12)</f>
        <v>1101401965609</v>
      </c>
      <c r="U1274" t="str">
        <f>IFERROR(__xludf.DUMMYFUNCTION("""COMPUTED_VALUE"""),"AC4287221")</f>
        <v>AC4287221</v>
      </c>
      <c r="V1274" s="148">
        <f>IFERROR(__xludf.DUMMYFUNCTION("""COMPUTED_VALUE"""),44911.0)</f>
        <v>44911</v>
      </c>
      <c r="W1274" s="148">
        <f>IFERROR(__xludf.DUMMYFUNCTION("""COMPUTED_VALUE"""),48563.0)</f>
        <v>48563</v>
      </c>
      <c r="X1274" s="149">
        <f>IFERROR(__xludf.DUMMYFUNCTION("""COMPUTED_VALUE"""),48380.0)</f>
        <v>48380</v>
      </c>
      <c r="Y1274" t="str">
        <f>IFERROR(__xludf.DUMMYFUNCTION("""COMPUTED_VALUE"""),"ปลอดภัย")</f>
        <v>ปลอดภัย</v>
      </c>
      <c r="Z1274" t="str">
        <f>IFERROR(__xludf.DUMMYFUNCTION("""COMPUTED_VALUE"""),"Chaing mai")</f>
        <v>Chaing mai</v>
      </c>
      <c r="AA1274" t="str">
        <f>IFERROR(__xludf.DUMMYFUNCTION("""COMPUTED_VALUE"""),"Bangkok")</f>
        <v>Bangkok</v>
      </c>
      <c r="AB1274" s="145" t="str">
        <f>IFERROR(__xludf.DUMMYFUNCTION("""COMPUTED_VALUE"""),"064-195-9647")</f>
        <v>064-195-9647</v>
      </c>
      <c r="AC1274" t="str">
        <f>IFERROR(__xludf.DUMMYFUNCTION("""COMPUTED_VALUE"""),"นายสิริเกียรติ รัชชุศานติ Father")</f>
        <v>นายสิริเกียรติ รัชชุศานติ Father</v>
      </c>
      <c r="AD1274" t="str">
        <f>IFERROR(__xludf.DUMMYFUNCTION("""COMPUTED_VALUE"""),"chayaninrat@airasia.com")</f>
        <v>chayaninrat@airasia.com</v>
      </c>
    </row>
    <row r="1275">
      <c r="A1275">
        <f>IFERROR(__xludf.DUMMYFUNCTION("""COMPUTED_VALUE"""),111.0)</f>
        <v>111</v>
      </c>
      <c r="C1275">
        <f>IFERROR(__xludf.DUMMYFUNCTION("""COMPUTED_VALUE"""),1046112.0)</f>
        <v>1046112</v>
      </c>
      <c r="D1275" t="str">
        <f>IFERROR(__xludf.DUMMYFUNCTION("""COMPUTED_VALUE"""),"Mr.")</f>
        <v>Mr.</v>
      </c>
      <c r="E1275" t="str">
        <f>IFERROR(__xludf.DUMMYFUNCTION("""COMPUTED_VALUE"""),"Norachai")</f>
        <v>Norachai</v>
      </c>
      <c r="F1275" t="str">
        <f>IFERROR(__xludf.DUMMYFUNCTION("""COMPUTED_VALUE"""),"Sangketkit")</f>
        <v>Sangketkit</v>
      </c>
      <c r="G1275" t="str">
        <f>IFERROR(__xludf.DUMMYFUNCTION("""COMPUTED_VALUE"""),"Norachai Sangketkit")</f>
        <v>Norachai Sangketkit</v>
      </c>
      <c r="H1275" t="str">
        <f>IFERROR(__xludf.DUMMYFUNCTION("""COMPUTED_VALUE"""),"นาย")</f>
        <v>นาย</v>
      </c>
      <c r="I1275" t="str">
        <f>IFERROR(__xludf.DUMMYFUNCTION("""COMPUTED_VALUE"""),"นรชัย")</f>
        <v>นรชัย</v>
      </c>
      <c r="J1275" t="str">
        <f>IFERROR(__xludf.DUMMYFUNCTION("""COMPUTED_VALUE"""),"สังเกตกิจ")</f>
        <v>สังเกตกิจ</v>
      </c>
      <c r="K1275" t="str">
        <f>IFERROR(__xludf.DUMMYFUNCTION("""COMPUTED_VALUE"""),"นรชัย สังเกตกิจ")</f>
        <v>นรชัย สังเกตกิจ</v>
      </c>
      <c r="L1275" t="str">
        <f>IFERROR(__xludf.DUMMYFUNCTION("""COMPUTED_VALUE"""),"Net / เน็ท")</f>
        <v>Net / เน็ท</v>
      </c>
      <c r="M1275" t="str">
        <f>IFERROR(__xludf.DUMMYFUNCTION("""COMPUTED_VALUE"""),"Cabin Crew")</f>
        <v>Cabin Crew</v>
      </c>
      <c r="N1275" t="str">
        <f>IFERROR(__xludf.DUMMYFUNCTION("""COMPUTED_VALUE"""),"DMK")</f>
        <v>DMK</v>
      </c>
      <c r="O1275" s="145" t="str">
        <f>IFERROR(__xludf.DUMMYFUNCTION("""COMPUTED_VALUE"""),"Namfon Home")</f>
        <v>Namfon Home</v>
      </c>
      <c r="P1275" t="str">
        <f>IFERROR(__xludf.DUMMYFUNCTION("""COMPUTED_VALUE"""),"Active")</f>
        <v>Active</v>
      </c>
      <c r="R1275" s="156">
        <f>IFERROR(__xludf.DUMMYFUNCTION("""COMPUTED_VALUE"""),34121.0)</f>
        <v>34121</v>
      </c>
      <c r="S1275" s="146">
        <f>IFERROR(__xludf.DUMMYFUNCTION("""COMPUTED_VALUE"""),9.44897249E8)</f>
        <v>944897249</v>
      </c>
      <c r="T1275" s="147">
        <f>IFERROR(__xludf.DUMMYFUNCTION("""COMPUTED_VALUE"""),1.103701107227E12)</f>
        <v>1103701107227</v>
      </c>
      <c r="U1275" t="str">
        <f>IFERROR(__xludf.DUMMYFUNCTION("""COMPUTED_VALUE"""),"AD1543180")</f>
        <v>AD1543180</v>
      </c>
      <c r="V1275" s="148">
        <f>IFERROR(__xludf.DUMMYFUNCTION("""COMPUTED_VALUE"""),45301.0)</f>
        <v>45301</v>
      </c>
      <c r="W1275" s="148">
        <f>IFERROR(__xludf.DUMMYFUNCTION("""COMPUTED_VALUE"""),48953.0)</f>
        <v>48953</v>
      </c>
      <c r="X1275" s="149">
        <f>IFERROR(__xludf.DUMMYFUNCTION("""COMPUTED_VALUE"""),48769.0)</f>
        <v>48769</v>
      </c>
      <c r="Y1275" t="str">
        <f>IFERROR(__xludf.DUMMYFUNCTION("""COMPUTED_VALUE"""),"ปลอดภัย")</f>
        <v>ปลอดภัย</v>
      </c>
      <c r="Z1275" t="str">
        <f>IFERROR(__xludf.DUMMYFUNCTION("""COMPUTED_VALUE"""),"Bangkok")</f>
        <v>Bangkok</v>
      </c>
      <c r="AA1275" t="str">
        <f>IFERROR(__xludf.DUMMYFUNCTION("""COMPUTED_VALUE"""),"Pathum Thani Province")</f>
        <v>Pathum Thani Province</v>
      </c>
      <c r="AB1275" s="145" t="str">
        <f>IFERROR(__xludf.DUMMYFUNCTION("""COMPUTED_VALUE"""),"0944897249")</f>
        <v>0944897249</v>
      </c>
      <c r="AC1275" t="str">
        <f>IFERROR(__xludf.DUMMYFUNCTION("""COMPUTED_VALUE"""),"นางสาวอารีย์ อิ่มจิต Mother")</f>
        <v>นางสาวอารีย์ อิ่มจิต Mother</v>
      </c>
      <c r="AD1275" t="str">
        <f>IFERROR(__xludf.DUMMYFUNCTION("""COMPUTED_VALUE"""),"norachaisan@airasia.com")</f>
        <v>norachaisan@airasia.com</v>
      </c>
    </row>
    <row r="1277">
      <c r="A1277">
        <f>IFERROR(__xludf.DUMMYFUNCTION("""COMPUTED_VALUE"""),112.0)</f>
        <v>112</v>
      </c>
      <c r="B1277" t="str">
        <f>IFERROR(__xludf.DUMMYFUNCTION("""COMPUTED_VALUE"""),"Initial Training 6 Jan 26")</f>
        <v>Initial Training 6 Jan 26</v>
      </c>
      <c r="C1277">
        <f>IFERROR(__xludf.DUMMYFUNCTION("""COMPUTED_VALUE"""),1046325.0)</f>
        <v>1046325</v>
      </c>
      <c r="D1277" t="str">
        <f>IFERROR(__xludf.DUMMYFUNCTION("""COMPUTED_VALUE"""),"Ms.")</f>
        <v>Ms.</v>
      </c>
      <c r="E1277" t="str">
        <f>IFERROR(__xludf.DUMMYFUNCTION("""COMPUTED_VALUE"""),"Aemnicha")</f>
        <v>Aemnicha</v>
      </c>
      <c r="F1277" t="str">
        <f>IFERROR(__xludf.DUMMYFUNCTION("""COMPUTED_VALUE"""),"Netharn")</f>
        <v>Netharn</v>
      </c>
      <c r="G1277" t="str">
        <f>IFERROR(__xludf.DUMMYFUNCTION("""COMPUTED_VALUE"""),"Aemnicha Netharn")</f>
        <v>Aemnicha Netharn</v>
      </c>
      <c r="H1277" t="str">
        <f>IFERROR(__xludf.DUMMYFUNCTION("""COMPUTED_VALUE"""),"นางสาว")</f>
        <v>นางสาว</v>
      </c>
      <c r="I1277" t="str">
        <f>IFERROR(__xludf.DUMMYFUNCTION("""COMPUTED_VALUE"""),"เอมฬ์นิชชา")</f>
        <v>เอมฬ์นิชชา</v>
      </c>
      <c r="J1277" t="str">
        <f>IFERROR(__xludf.DUMMYFUNCTION("""COMPUTED_VALUE"""),"เนตรหาญ")</f>
        <v>เนตรหาญ</v>
      </c>
      <c r="K1277" t="str">
        <f>IFERROR(__xludf.DUMMYFUNCTION("""COMPUTED_VALUE"""),"เอมฬ์นิชชา เนตรหาญ")</f>
        <v>เอมฬ์นิชชา เนตรหาญ</v>
      </c>
      <c r="L1277" t="str">
        <f>IFERROR(__xludf.DUMMYFUNCTION("""COMPUTED_VALUE"""),"Mell / เมล")</f>
        <v>Mell / เมล</v>
      </c>
      <c r="M1277" t="str">
        <f>IFERROR(__xludf.DUMMYFUNCTION("""COMPUTED_VALUE"""),"Cabin Crew Trainee")</f>
        <v>Cabin Crew Trainee</v>
      </c>
      <c r="N1277" t="str">
        <f>IFERROR(__xludf.DUMMYFUNCTION("""COMPUTED_VALUE"""),"DMK")</f>
        <v>DMK</v>
      </c>
      <c r="O1277" s="145" t="str">
        <f>IFERROR(__xludf.DUMMYFUNCTION("""COMPUTED_VALUE"""),"Toffy Home")</f>
        <v>Toffy Home</v>
      </c>
      <c r="P1277" t="str">
        <f>IFERROR(__xludf.DUMMYFUNCTION("""COMPUTED_VALUE"""),"Active")</f>
        <v>Active</v>
      </c>
      <c r="R1277" s="156">
        <f>IFERROR(__xludf.DUMMYFUNCTION("""COMPUTED_VALUE"""),36841.0)</f>
        <v>36841</v>
      </c>
      <c r="S1277" s="146">
        <f>IFERROR(__xludf.DUMMYFUNCTION("""COMPUTED_VALUE"""),9.52464954E8)</f>
        <v>952464954</v>
      </c>
      <c r="T1277" s="147">
        <f>IFERROR(__xludf.DUMMYFUNCTION("""COMPUTED_VALUE"""),1.199900779875E12)</f>
        <v>1199900779875</v>
      </c>
      <c r="U1277" t="str">
        <f>IFERROR(__xludf.DUMMYFUNCTION("""COMPUTED_VALUE"""),"AD0114346")</f>
        <v>AD0114346</v>
      </c>
      <c r="V1277" s="148">
        <f>IFERROR(__xludf.DUMMYFUNCTION("""COMPUTED_VALUE"""),44835.0)</f>
        <v>44835</v>
      </c>
      <c r="W1277" s="148">
        <f>IFERROR(__xludf.DUMMYFUNCTION("""COMPUTED_VALUE"""),48487.0)</f>
        <v>48487</v>
      </c>
      <c r="X1277" s="149">
        <f>IFERROR(__xludf.DUMMYFUNCTION("""COMPUTED_VALUE"""),48303.0)</f>
        <v>48303</v>
      </c>
      <c r="Y1277" t="str">
        <f>IFERROR(__xludf.DUMMYFUNCTION("""COMPUTED_VALUE"""),"ปลอดภัย")</f>
        <v>ปลอดภัย</v>
      </c>
      <c r="Z1277" t="str">
        <f>IFERROR(__xludf.DUMMYFUNCTION("""COMPUTED_VALUE"""),"Saraburi Province")</f>
        <v>Saraburi Province</v>
      </c>
      <c r="AA1277" t="str">
        <f>IFERROR(__xludf.DUMMYFUNCTION("""COMPUTED_VALUE"""),"Bangkok")</f>
        <v>Bangkok</v>
      </c>
      <c r="AB1277" s="145" t="str">
        <f>IFERROR(__xludf.DUMMYFUNCTION("""COMPUTED_VALUE"""),"081-948-4415")</f>
        <v>081-948-4415</v>
      </c>
      <c r="AC1277" t="str">
        <f>IFERROR(__xludf.DUMMYFUNCTION("""COMPUTED_VALUE"""),"นางสาวพรพักตร์ เนตรหาญ Mother")</f>
        <v>นางสาวพรพักตร์ เนตรหาญ Mother</v>
      </c>
      <c r="AD1277" t="str">
        <f>IFERROR(__xludf.DUMMYFUNCTION("""COMPUTED_VALUE"""),"aemnichanet@airasia.com")</f>
        <v>aemnichanet@airasia.com</v>
      </c>
    </row>
    <row r="1278">
      <c r="A1278">
        <f>IFERROR(__xludf.DUMMYFUNCTION("""COMPUTED_VALUE"""),112.0)</f>
        <v>112</v>
      </c>
      <c r="B1278" t="str">
        <f>IFERROR(__xludf.DUMMYFUNCTION("""COMPUTED_VALUE"""),"Initial Training 6 Jan 26")</f>
        <v>Initial Training 6 Jan 26</v>
      </c>
      <c r="C1278">
        <f>IFERROR(__xludf.DUMMYFUNCTION("""COMPUTED_VALUE"""),1046326.0)</f>
        <v>1046326</v>
      </c>
      <c r="D1278" t="str">
        <f>IFERROR(__xludf.DUMMYFUNCTION("""COMPUTED_VALUE"""),"Ms.")</f>
        <v>Ms.</v>
      </c>
      <c r="E1278" t="str">
        <f>IFERROR(__xludf.DUMMYFUNCTION("""COMPUTED_VALUE"""),"Chalanthon")</f>
        <v>Chalanthon</v>
      </c>
      <c r="F1278" t="str">
        <f>IFERROR(__xludf.DUMMYFUNCTION("""COMPUTED_VALUE"""),"Kidlaied")</f>
        <v>Kidlaied</v>
      </c>
      <c r="G1278" t="str">
        <f>IFERROR(__xludf.DUMMYFUNCTION("""COMPUTED_VALUE"""),"Chalanthon Kidlaied")</f>
        <v>Chalanthon Kidlaied</v>
      </c>
      <c r="H1278" t="str">
        <f>IFERROR(__xludf.DUMMYFUNCTION("""COMPUTED_VALUE"""),"นางสาว")</f>
        <v>นางสาว</v>
      </c>
      <c r="I1278" t="str">
        <f>IFERROR(__xludf.DUMMYFUNCTION("""COMPUTED_VALUE"""),"ชลันธร")</f>
        <v>ชลันธร</v>
      </c>
      <c r="J1278" t="str">
        <f>IFERROR(__xludf.DUMMYFUNCTION("""COMPUTED_VALUE"""),"คิดละเอียด")</f>
        <v>คิดละเอียด</v>
      </c>
      <c r="K1278" t="str">
        <f>IFERROR(__xludf.DUMMYFUNCTION("""COMPUTED_VALUE"""),"ชลันธร คิดละเอียด")</f>
        <v>ชลันธร คิดละเอียด</v>
      </c>
      <c r="L1278" t="str">
        <f>IFERROR(__xludf.DUMMYFUNCTION("""COMPUTED_VALUE"""),"Fonn / ฝน")</f>
        <v>Fonn / ฝน</v>
      </c>
      <c r="M1278" t="str">
        <f>IFERROR(__xludf.DUMMYFUNCTION("""COMPUTED_VALUE"""),"Cabin Crew Trainee")</f>
        <v>Cabin Crew Trainee</v>
      </c>
      <c r="N1278" t="str">
        <f>IFERROR(__xludf.DUMMYFUNCTION("""COMPUTED_VALUE"""),"DMK")</f>
        <v>DMK</v>
      </c>
      <c r="O1278" s="145" t="str">
        <f>IFERROR(__xludf.DUMMYFUNCTION("""COMPUTED_VALUE"""),"Up Home")</f>
        <v>Up Home</v>
      </c>
      <c r="P1278" t="str">
        <f>IFERROR(__xludf.DUMMYFUNCTION("""COMPUTED_VALUE"""),"Active/V/BKK")</f>
        <v>Active/V/BKK</v>
      </c>
      <c r="R1278" s="156">
        <f>IFERROR(__xludf.DUMMYFUNCTION("""COMPUTED_VALUE"""),34862.0)</f>
        <v>34862</v>
      </c>
      <c r="S1278" s="146">
        <f>IFERROR(__xludf.DUMMYFUNCTION("""COMPUTED_VALUE"""),8.63755499E8)</f>
        <v>863755499</v>
      </c>
      <c r="T1278" s="147">
        <f>IFERROR(__xludf.DUMMYFUNCTION("""COMPUTED_VALUE"""),1.101500800012E12)</f>
        <v>1101500800012</v>
      </c>
      <c r="U1278" t="str">
        <f>IFERROR(__xludf.DUMMYFUNCTION("""COMPUTED_VALUE"""),"Ac3782687")</f>
        <v>Ac3782687</v>
      </c>
      <c r="V1278" s="148">
        <f>IFERROR(__xludf.DUMMYFUNCTION("""COMPUTED_VALUE"""),44783.0)</f>
        <v>44783</v>
      </c>
      <c r="W1278" s="148">
        <f>IFERROR(__xludf.DUMMYFUNCTION("""COMPUTED_VALUE"""),48435.0)</f>
        <v>48435</v>
      </c>
      <c r="X1278" s="149">
        <f>IFERROR(__xludf.DUMMYFUNCTION("""COMPUTED_VALUE"""),48253.0)</f>
        <v>48253</v>
      </c>
      <c r="Y1278" t="str">
        <f>IFERROR(__xludf.DUMMYFUNCTION("""COMPUTED_VALUE"""),"ปลอดภัย")</f>
        <v>ปลอดภัย</v>
      </c>
      <c r="Z1278" t="str">
        <f>IFERROR(__xludf.DUMMYFUNCTION("""COMPUTED_VALUE"""),"Bangkok")</f>
        <v>Bangkok</v>
      </c>
      <c r="AA1278" t="str">
        <f>IFERROR(__xludf.DUMMYFUNCTION("""COMPUTED_VALUE"""),"Nakhon Pathom")</f>
        <v>Nakhon Pathom</v>
      </c>
      <c r="AB1278" s="145" t="str">
        <f>IFERROR(__xludf.DUMMYFUNCTION("""COMPUTED_VALUE"""),"0859986712")</f>
        <v>0859986712</v>
      </c>
      <c r="AC1278" t="str">
        <f>IFERROR(__xludf.DUMMYFUNCTION("""COMPUTED_VALUE"""),"นายพีระพัฒน์ คิดละเอียด Brother")</f>
        <v>นายพีระพัฒน์ คิดละเอียด Brother</v>
      </c>
      <c r="AD1278" t="str">
        <f>IFERROR(__xludf.DUMMYFUNCTION("""COMPUTED_VALUE"""),"chalanthonkid@airasia.com")</f>
        <v>chalanthonkid@airasia.com</v>
      </c>
    </row>
    <row r="1279">
      <c r="A1279">
        <f>IFERROR(__xludf.DUMMYFUNCTION("""COMPUTED_VALUE"""),112.0)</f>
        <v>112</v>
      </c>
      <c r="B1279" t="str">
        <f>IFERROR(__xludf.DUMMYFUNCTION("""COMPUTED_VALUE"""),"Initial Training 6 Jan 26")</f>
        <v>Initial Training 6 Jan 26</v>
      </c>
      <c r="C1279">
        <f>IFERROR(__xludf.DUMMYFUNCTION("""COMPUTED_VALUE"""),1046327.0)</f>
        <v>1046327</v>
      </c>
      <c r="D1279" t="str">
        <f>IFERROR(__xludf.DUMMYFUNCTION("""COMPUTED_VALUE"""),"Ms.")</f>
        <v>Ms.</v>
      </c>
      <c r="E1279" t="str">
        <f>IFERROR(__xludf.DUMMYFUNCTION("""COMPUTED_VALUE"""),"Chayapohn")</f>
        <v>Chayapohn</v>
      </c>
      <c r="F1279" t="str">
        <f>IFERROR(__xludf.DUMMYFUNCTION("""COMPUTED_VALUE"""),"Singsuwan")</f>
        <v>Singsuwan</v>
      </c>
      <c r="G1279" t="str">
        <f>IFERROR(__xludf.DUMMYFUNCTION("""COMPUTED_VALUE"""),"Chayapohn Singsuwan")</f>
        <v>Chayapohn Singsuwan</v>
      </c>
      <c r="H1279" t="str">
        <f>IFERROR(__xludf.DUMMYFUNCTION("""COMPUTED_VALUE"""),"นางสาว")</f>
        <v>นางสาว</v>
      </c>
      <c r="I1279" t="str">
        <f>IFERROR(__xludf.DUMMYFUNCTION("""COMPUTED_VALUE"""),"ชญาภรณ์")</f>
        <v>ชญาภรณ์</v>
      </c>
      <c r="J1279" t="str">
        <f>IFERROR(__xludf.DUMMYFUNCTION("""COMPUTED_VALUE"""),"สิงห์สุวรรณ")</f>
        <v>สิงห์สุวรรณ</v>
      </c>
      <c r="K1279" t="str">
        <f>IFERROR(__xludf.DUMMYFUNCTION("""COMPUTED_VALUE"""),"ชญาภรณ์ สิงห์สุวรรณ")</f>
        <v>ชญาภรณ์ สิงห์สุวรรณ</v>
      </c>
      <c r="L1279" t="str">
        <f>IFERROR(__xludf.DUMMYFUNCTION("""COMPUTED_VALUE"""),"พลอย")</f>
        <v>พลอย</v>
      </c>
      <c r="M1279" t="str">
        <f>IFERROR(__xludf.DUMMYFUNCTION("""COMPUTED_VALUE"""),"Cabin Crew Trainee")</f>
        <v>Cabin Crew Trainee</v>
      </c>
      <c r="N1279" t="str">
        <f>IFERROR(__xludf.DUMMYFUNCTION("""COMPUTED_VALUE"""),"DMK")</f>
        <v>DMK</v>
      </c>
      <c r="O1279" s="145" t="str">
        <f>IFERROR(__xludf.DUMMYFUNCTION("""COMPUTED_VALUE"""),"Por+ Home")</f>
        <v>Por+ Home</v>
      </c>
      <c r="P1279" t="str">
        <f>IFERROR(__xludf.DUMMYFUNCTION("""COMPUTED_VALUE"""),"Active")</f>
        <v>Active</v>
      </c>
      <c r="R1279" s="156">
        <f>IFERROR(__xludf.DUMMYFUNCTION("""COMPUTED_VALUE"""),35738.0)</f>
        <v>35738</v>
      </c>
      <c r="S1279" s="146">
        <f>IFERROR(__xludf.DUMMYFUNCTION("""COMPUTED_VALUE"""),8.13112374E8)</f>
        <v>813112374</v>
      </c>
      <c r="T1279" s="147">
        <f>IFERROR(__xludf.DUMMYFUNCTION("""COMPUTED_VALUE"""),1.102002839821E12)</f>
        <v>1102002839821</v>
      </c>
      <c r="U1279" t="str">
        <f>IFERROR(__xludf.DUMMYFUNCTION("""COMPUTED_VALUE"""),"AC5656003")</f>
        <v>AC5656003</v>
      </c>
      <c r="V1279" s="148">
        <f>IFERROR(__xludf.DUMMYFUNCTION("""COMPUTED_VALUE"""),45176.0)</f>
        <v>45176</v>
      </c>
      <c r="W1279" s="148">
        <f>IFERROR(__xludf.DUMMYFUNCTION("""COMPUTED_VALUE"""),48828.0)</f>
        <v>48828</v>
      </c>
      <c r="X1279" s="149">
        <f>IFERROR(__xludf.DUMMYFUNCTION("""COMPUTED_VALUE"""),48644.0)</f>
        <v>48644</v>
      </c>
      <c r="Y1279" t="str">
        <f>IFERROR(__xludf.DUMMYFUNCTION("""COMPUTED_VALUE"""),"ปลอดภัย")</f>
        <v>ปลอดภัย</v>
      </c>
      <c r="Z1279" t="str">
        <f>IFERROR(__xludf.DUMMYFUNCTION("""COMPUTED_VALUE"""),"Bangkok")</f>
        <v>Bangkok</v>
      </c>
      <c r="AA1279" t="str">
        <f>IFERROR(__xludf.DUMMYFUNCTION("""COMPUTED_VALUE"""),"Nonthaburi")</f>
        <v>Nonthaburi</v>
      </c>
      <c r="AB1279" s="145" t="str">
        <f>IFERROR(__xludf.DUMMYFUNCTION("""COMPUTED_VALUE"""),"0924516697")</f>
        <v>0924516697</v>
      </c>
      <c r="AC1279" t="str">
        <f>IFERROR(__xludf.DUMMYFUNCTION("""COMPUTED_VALUE"""),"นางสาวจตุพร ทอมสัน Friend")</f>
        <v>นางสาวจตุพร ทอมสัน Friend</v>
      </c>
      <c r="AD1279" t="str">
        <f>IFERROR(__xludf.DUMMYFUNCTION("""COMPUTED_VALUE"""),"chayapohnsin@airasia.com")</f>
        <v>chayapohnsin@airasia.com</v>
      </c>
    </row>
    <row r="1280">
      <c r="A1280">
        <f>IFERROR(__xludf.DUMMYFUNCTION("""COMPUTED_VALUE"""),112.0)</f>
        <v>112</v>
      </c>
      <c r="B1280" t="str">
        <f>IFERROR(__xludf.DUMMYFUNCTION("""COMPUTED_VALUE"""),"Initial Training 6 Jan 26")</f>
        <v>Initial Training 6 Jan 26</v>
      </c>
      <c r="C1280">
        <f>IFERROR(__xludf.DUMMYFUNCTION("""COMPUTED_VALUE"""),1046328.0)</f>
        <v>1046328</v>
      </c>
      <c r="D1280" t="str">
        <f>IFERROR(__xludf.DUMMYFUNCTION("""COMPUTED_VALUE"""),"Mr.")</f>
        <v>Mr.</v>
      </c>
      <c r="E1280" t="str">
        <f>IFERROR(__xludf.DUMMYFUNCTION("""COMPUTED_VALUE"""),"Jirawat")</f>
        <v>Jirawat</v>
      </c>
      <c r="F1280" t="str">
        <f>IFERROR(__xludf.DUMMYFUNCTION("""COMPUTED_VALUE"""),"Bunyaratthaphan")</f>
        <v>Bunyaratthaphan</v>
      </c>
      <c r="G1280" t="str">
        <f>IFERROR(__xludf.DUMMYFUNCTION("""COMPUTED_VALUE"""),"Jirawat Bunyaratthaphan")</f>
        <v>Jirawat Bunyaratthaphan</v>
      </c>
      <c r="H1280" t="str">
        <f>IFERROR(__xludf.DUMMYFUNCTION("""COMPUTED_VALUE"""),"นาย")</f>
        <v>นาย</v>
      </c>
      <c r="I1280" t="str">
        <f>IFERROR(__xludf.DUMMYFUNCTION("""COMPUTED_VALUE"""),"จิรวัฒน์")</f>
        <v>จิรวัฒน์</v>
      </c>
      <c r="J1280" t="str">
        <f>IFERROR(__xludf.DUMMYFUNCTION("""COMPUTED_VALUE"""),"บุณยรัตพันธุ์")</f>
        <v>บุณยรัตพันธุ์</v>
      </c>
      <c r="K1280" t="str">
        <f>IFERROR(__xludf.DUMMYFUNCTION("""COMPUTED_VALUE"""),"จิรวัฒน์ บุณยรัตพันธุ์")</f>
        <v>จิรวัฒน์ บุณยรัตพันธุ์</v>
      </c>
      <c r="L1280" t="str">
        <f>IFERROR(__xludf.DUMMYFUNCTION("""COMPUTED_VALUE"""),"Putter / พัตเตอร์")</f>
        <v>Putter / พัตเตอร์</v>
      </c>
      <c r="M1280" t="str">
        <f>IFERROR(__xludf.DUMMYFUNCTION("""COMPUTED_VALUE"""),"Cabin Crew Trainee")</f>
        <v>Cabin Crew Trainee</v>
      </c>
      <c r="N1280" t="str">
        <f>IFERROR(__xludf.DUMMYFUNCTION("""COMPUTED_VALUE"""),"DMK")</f>
        <v>DMK</v>
      </c>
      <c r="O1280" s="145" t="str">
        <f>IFERROR(__xludf.DUMMYFUNCTION("""COMPUTED_VALUE"""),"Por+ Home")</f>
        <v>Por+ Home</v>
      </c>
      <c r="P1280" t="str">
        <f>IFERROR(__xludf.DUMMYFUNCTION("""COMPUTED_VALUE"""),"Active/V/BKK")</f>
        <v>Active/V/BKK</v>
      </c>
      <c r="R1280" s="156">
        <f>IFERROR(__xludf.DUMMYFUNCTION("""COMPUTED_VALUE"""),36849.0)</f>
        <v>36849</v>
      </c>
      <c r="S1280" s="146">
        <f>IFERROR(__xludf.DUMMYFUNCTION("""COMPUTED_VALUE"""),8.30454101E8)</f>
        <v>830454101</v>
      </c>
      <c r="T1280" s="147">
        <f>IFERROR(__xludf.DUMMYFUNCTION("""COMPUTED_VALUE"""),1.100703121178E12)</f>
        <v>1100703121178</v>
      </c>
      <c r="U1280" t="str">
        <f>IFERROR(__xludf.DUMMYFUNCTION("""COMPUTED_VALUE"""),"AC5830231")</f>
        <v>AC5830231</v>
      </c>
      <c r="V1280" s="148">
        <f>IFERROR(__xludf.DUMMYFUNCTION("""COMPUTED_VALUE"""),45194.0)</f>
        <v>45194</v>
      </c>
      <c r="W1280" s="148">
        <f>IFERROR(__xludf.DUMMYFUNCTION("""COMPUTED_VALUE"""),48846.0)</f>
        <v>48846</v>
      </c>
      <c r="X1280" s="149">
        <f>IFERROR(__xludf.DUMMYFUNCTION("""COMPUTED_VALUE"""),48662.0)</f>
        <v>48662</v>
      </c>
      <c r="Y1280" t="str">
        <f>IFERROR(__xludf.DUMMYFUNCTION("""COMPUTED_VALUE"""),"ปลอดภัย")</f>
        <v>ปลอดภัย</v>
      </c>
      <c r="Z1280" t="str">
        <f>IFERROR(__xludf.DUMMYFUNCTION("""COMPUTED_VALUE"""),"Bangkok")</f>
        <v>Bangkok</v>
      </c>
      <c r="AA1280" t="str">
        <f>IFERROR(__xludf.DUMMYFUNCTION("""COMPUTED_VALUE"""),"Nonthaburi")</f>
        <v>Nonthaburi</v>
      </c>
      <c r="AB1280" s="145" t="str">
        <f>IFERROR(__xludf.DUMMYFUNCTION("""COMPUTED_VALUE"""),"087-077-7770")</f>
        <v>087-077-7770</v>
      </c>
      <c r="AC1280" t="str">
        <f>IFERROR(__xludf.DUMMYFUNCTION("""COMPUTED_VALUE"""),"นายณภัทร บุณยรัตพันธุ์ Father")</f>
        <v>นายณภัทร บุณยรัตพันธุ์ Father</v>
      </c>
      <c r="AD1280" t="str">
        <f>IFERROR(__xludf.DUMMYFUNCTION("""COMPUTED_VALUE"""),"jirawatbun@airasia.com")</f>
        <v>jirawatbun@airasia.com</v>
      </c>
    </row>
    <row r="1281">
      <c r="A1281">
        <f>IFERROR(__xludf.DUMMYFUNCTION("""COMPUTED_VALUE"""),112.0)</f>
        <v>112</v>
      </c>
      <c r="B1281" t="str">
        <f>IFERROR(__xludf.DUMMYFUNCTION("""COMPUTED_VALUE"""),"Initial Training 6 Jan 26")</f>
        <v>Initial Training 6 Jan 26</v>
      </c>
      <c r="C1281">
        <f>IFERROR(__xludf.DUMMYFUNCTION("""COMPUTED_VALUE"""),1046329.0)</f>
        <v>1046329</v>
      </c>
      <c r="D1281" t="str">
        <f>IFERROR(__xludf.DUMMYFUNCTION("""COMPUTED_VALUE"""),"Mr.")</f>
        <v>Mr.</v>
      </c>
      <c r="E1281" t="str">
        <f>IFERROR(__xludf.DUMMYFUNCTION("""COMPUTED_VALUE"""),"Kollawat")</f>
        <v>Kollawat</v>
      </c>
      <c r="F1281" t="str">
        <f>IFERROR(__xludf.DUMMYFUNCTION("""COMPUTED_VALUE"""),"Khoosuwan")</f>
        <v>Khoosuwan</v>
      </c>
      <c r="G1281" t="str">
        <f>IFERROR(__xludf.DUMMYFUNCTION("""COMPUTED_VALUE"""),"Kollawat Khoosuwan")</f>
        <v>Kollawat Khoosuwan</v>
      </c>
      <c r="H1281" t="str">
        <f>IFERROR(__xludf.DUMMYFUNCTION("""COMPUTED_VALUE"""),"นาย")</f>
        <v>นาย</v>
      </c>
      <c r="I1281" t="str">
        <f>IFERROR(__xludf.DUMMYFUNCTION("""COMPUTED_VALUE"""),"กลวัชร")</f>
        <v>กลวัชร</v>
      </c>
      <c r="J1281" t="str">
        <f>IFERROR(__xludf.DUMMYFUNCTION("""COMPUTED_VALUE"""),"คูสุวรรณ")</f>
        <v>คูสุวรรณ</v>
      </c>
      <c r="K1281" t="str">
        <f>IFERROR(__xludf.DUMMYFUNCTION("""COMPUTED_VALUE"""),"กลวัชร คูสุวรรณ")</f>
        <v>กลวัชร คูสุวรรณ</v>
      </c>
      <c r="L1281" t="str">
        <f>IFERROR(__xludf.DUMMYFUNCTION("""COMPUTED_VALUE"""),"เค")</f>
        <v>เค</v>
      </c>
      <c r="M1281" t="str">
        <f>IFERROR(__xludf.DUMMYFUNCTION("""COMPUTED_VALUE"""),"Cabin Crew Trainee")</f>
        <v>Cabin Crew Trainee</v>
      </c>
      <c r="N1281" t="str">
        <f>IFERROR(__xludf.DUMMYFUNCTION("""COMPUTED_VALUE"""),"DMK")</f>
        <v>DMK</v>
      </c>
      <c r="O1281" s="145" t="str">
        <f>IFERROR(__xludf.DUMMYFUNCTION("""COMPUTED_VALUE"""),"Um Home")</f>
        <v>Um Home</v>
      </c>
      <c r="P1281" t="str">
        <f>IFERROR(__xludf.DUMMYFUNCTION("""COMPUTED_VALUE"""),"Active/V/BKK")</f>
        <v>Active/V/BKK</v>
      </c>
      <c r="R1281" s="156">
        <f>IFERROR(__xludf.DUMMYFUNCTION("""COMPUTED_VALUE"""),34386.0)</f>
        <v>34386</v>
      </c>
      <c r="S1281" s="146">
        <f>IFERROR(__xludf.DUMMYFUNCTION("""COMPUTED_VALUE"""),8.54951991E8)</f>
        <v>854951991</v>
      </c>
      <c r="T1281" s="147">
        <f>IFERROR(__xludf.DUMMYFUNCTION("""COMPUTED_VALUE"""),1.1004006806E12)</f>
        <v>1100400680600</v>
      </c>
      <c r="U1281" t="str">
        <f>IFERROR(__xludf.DUMMYFUNCTION("""COMPUTED_VALUE"""),"AC7454607")</f>
        <v>AC7454607</v>
      </c>
      <c r="V1281" s="148">
        <f>IFERROR(__xludf.DUMMYFUNCTION("""COMPUTED_VALUE"""),45590.0)</f>
        <v>45590</v>
      </c>
      <c r="W1281" s="148">
        <f>IFERROR(__xludf.DUMMYFUNCTION("""COMPUTED_VALUE"""),49241.0)</f>
        <v>49241</v>
      </c>
      <c r="X1281" s="149">
        <f>IFERROR(__xludf.DUMMYFUNCTION("""COMPUTED_VALUE"""),49058.0)</f>
        <v>49058</v>
      </c>
      <c r="Y1281" t="str">
        <f>IFERROR(__xludf.DUMMYFUNCTION("""COMPUTED_VALUE"""),"ปลอดภัย")</f>
        <v>ปลอดภัย</v>
      </c>
      <c r="Z1281" t="str">
        <f>IFERROR(__xludf.DUMMYFUNCTION("""COMPUTED_VALUE"""),"Bangkok")</f>
        <v>Bangkok</v>
      </c>
      <c r="AA1281" t="str">
        <f>IFERROR(__xludf.DUMMYFUNCTION("""COMPUTED_VALUE"""),"Bangkok")</f>
        <v>Bangkok</v>
      </c>
      <c r="AB1281" s="145" t="str">
        <f>IFERROR(__xludf.DUMMYFUNCTION("""COMPUTED_VALUE"""),"0889199659")</f>
        <v>0889199659</v>
      </c>
      <c r="AC1281" t="str">
        <f>IFERROR(__xludf.DUMMYFUNCTION("""COMPUTED_VALUE"""),"นาง ทัศนีย์ คูสุวรรณ Mother")</f>
        <v>นาง ทัศนีย์ คูสุวรรณ Mother</v>
      </c>
      <c r="AD1281" t="str">
        <f>IFERROR(__xludf.DUMMYFUNCTION("""COMPUTED_VALUE"""),"kollawatkho@airasia.com")</f>
        <v>kollawatkho@airasia.com</v>
      </c>
    </row>
    <row r="1282">
      <c r="A1282">
        <f>IFERROR(__xludf.DUMMYFUNCTION("""COMPUTED_VALUE"""),112.0)</f>
        <v>112</v>
      </c>
      <c r="B1282" t="str">
        <f>IFERROR(__xludf.DUMMYFUNCTION("""COMPUTED_VALUE"""),"Initial Training 6 Jan 26")</f>
        <v>Initial Training 6 Jan 26</v>
      </c>
      <c r="C1282">
        <f>IFERROR(__xludf.DUMMYFUNCTION("""COMPUTED_VALUE"""),1046330.0)</f>
        <v>1046330</v>
      </c>
      <c r="D1282" t="str">
        <f>IFERROR(__xludf.DUMMYFUNCTION("""COMPUTED_VALUE"""),"Ms.")</f>
        <v>Ms.</v>
      </c>
      <c r="E1282" t="str">
        <f>IFERROR(__xludf.DUMMYFUNCTION("""COMPUTED_VALUE"""),"Krittiyaporn")</f>
        <v>Krittiyaporn</v>
      </c>
      <c r="F1282" t="str">
        <f>IFERROR(__xludf.DUMMYFUNCTION("""COMPUTED_VALUE"""),"Khanngoen")</f>
        <v>Khanngoen</v>
      </c>
      <c r="G1282" t="str">
        <f>IFERROR(__xludf.DUMMYFUNCTION("""COMPUTED_VALUE"""),"Krittiyaporn Khanngoen")</f>
        <v>Krittiyaporn Khanngoen</v>
      </c>
      <c r="H1282" t="str">
        <f>IFERROR(__xludf.DUMMYFUNCTION("""COMPUTED_VALUE"""),"นางสาว")</f>
        <v>นางสาว</v>
      </c>
      <c r="I1282" t="str">
        <f>IFERROR(__xludf.DUMMYFUNCTION("""COMPUTED_VALUE"""),"กฤติยาภรณ์")</f>
        <v>กฤติยาภรณ์</v>
      </c>
      <c r="J1282" t="str">
        <f>IFERROR(__xludf.DUMMYFUNCTION("""COMPUTED_VALUE"""),"ขันเงิน")</f>
        <v>ขันเงิน</v>
      </c>
      <c r="K1282" t="str">
        <f>IFERROR(__xludf.DUMMYFUNCTION("""COMPUTED_VALUE"""),"กฤติยาภรณ์ ขันเงิน")</f>
        <v>กฤติยาภรณ์ ขันเงิน</v>
      </c>
      <c r="L1282" t="str">
        <f>IFERROR(__xludf.DUMMYFUNCTION("""COMPUTED_VALUE"""),"Fern / เฟิร์น")</f>
        <v>Fern / เฟิร์น</v>
      </c>
      <c r="M1282" t="str">
        <f>IFERROR(__xludf.DUMMYFUNCTION("""COMPUTED_VALUE"""),"Cabin Crew Trainee")</f>
        <v>Cabin Crew Trainee</v>
      </c>
      <c r="N1282" t="str">
        <f>IFERROR(__xludf.DUMMYFUNCTION("""COMPUTED_VALUE"""),"DMK")</f>
        <v>DMK</v>
      </c>
      <c r="O1282" s="145" t="str">
        <f>IFERROR(__xludf.DUMMYFUNCTION("""COMPUTED_VALUE"""),"Namfon Home")</f>
        <v>Namfon Home</v>
      </c>
      <c r="P1282" t="str">
        <f>IFERROR(__xludf.DUMMYFUNCTION("""COMPUTED_VALUE"""),"Active")</f>
        <v>Active</v>
      </c>
      <c r="R1282" s="156">
        <f>IFERROR(__xludf.DUMMYFUNCTION("""COMPUTED_VALUE"""),36031.0)</f>
        <v>36031</v>
      </c>
      <c r="S1282" s="146">
        <f>IFERROR(__xludf.DUMMYFUNCTION("""COMPUTED_VALUE"""),9.31390538E8)</f>
        <v>931390538</v>
      </c>
      <c r="T1282" s="147">
        <f>IFERROR(__xludf.DUMMYFUNCTION("""COMPUTED_VALUE"""),1.509963002581E12)</f>
        <v>1509963002581</v>
      </c>
      <c r="U1282" t="str">
        <f>IFERROR(__xludf.DUMMYFUNCTION("""COMPUTED_VALUE"""),"AD1692216")</f>
        <v>AD1692216</v>
      </c>
      <c r="V1282" s="148">
        <f>IFERROR(__xludf.DUMMYFUNCTION("""COMPUTED_VALUE"""),45327.0)</f>
        <v>45327</v>
      </c>
      <c r="W1282" s="148">
        <f>IFERROR(__xludf.DUMMYFUNCTION("""COMPUTED_VALUE"""),48979.0)</f>
        <v>48979</v>
      </c>
      <c r="X1282" s="149">
        <f>IFERROR(__xludf.DUMMYFUNCTION("""COMPUTED_VALUE"""),48795.0)</f>
        <v>48795</v>
      </c>
      <c r="Y1282" t="str">
        <f>IFERROR(__xludf.DUMMYFUNCTION("""COMPUTED_VALUE"""),"ปลอดภัย")</f>
        <v>ปลอดภัย</v>
      </c>
      <c r="Z1282" t="str">
        <f>IFERROR(__xludf.DUMMYFUNCTION("""COMPUTED_VALUE"""),"Chiang Mai Province")</f>
        <v>Chiang Mai Province</v>
      </c>
      <c r="AA1282" t="str">
        <f>IFERROR(__xludf.DUMMYFUNCTION("""COMPUTED_VALUE"""),"Bangkok")</f>
        <v>Bangkok</v>
      </c>
      <c r="AB1282" s="145" t="str">
        <f>IFERROR(__xludf.DUMMYFUNCTION("""COMPUTED_VALUE"""),"089-554-0779")</f>
        <v>089-554-0779</v>
      </c>
      <c r="AC1282" t="str">
        <f>IFERROR(__xludf.DUMMYFUNCTION("""COMPUTED_VALUE"""),"นายวรรณฤทธิ์ ขันเงิน Father")</f>
        <v>นายวรรณฤทธิ์ ขันเงิน Father</v>
      </c>
      <c r="AD1282" t="str">
        <f>IFERROR(__xludf.DUMMYFUNCTION("""COMPUTED_VALUE"""),"krittiyapornkha@airasia.com")</f>
        <v>krittiyapornkha@airasia.com</v>
      </c>
    </row>
    <row r="1283">
      <c r="A1283">
        <f>IFERROR(__xludf.DUMMYFUNCTION("""COMPUTED_VALUE"""),112.0)</f>
        <v>112</v>
      </c>
      <c r="B1283" t="str">
        <f>IFERROR(__xludf.DUMMYFUNCTION("""COMPUTED_VALUE"""),"Initial Training 6 Jan 26")</f>
        <v>Initial Training 6 Jan 26</v>
      </c>
      <c r="C1283">
        <f>IFERROR(__xludf.DUMMYFUNCTION("""COMPUTED_VALUE"""),1046331.0)</f>
        <v>1046331</v>
      </c>
      <c r="D1283" t="str">
        <f>IFERROR(__xludf.DUMMYFUNCTION("""COMPUTED_VALUE"""),"Mr.")</f>
        <v>Mr.</v>
      </c>
      <c r="E1283" t="str">
        <f>IFERROR(__xludf.DUMMYFUNCTION("""COMPUTED_VALUE"""),"Nopparuj")</f>
        <v>Nopparuj</v>
      </c>
      <c r="F1283" t="str">
        <f>IFERROR(__xludf.DUMMYFUNCTION("""COMPUTED_VALUE"""),"Numphong")</f>
        <v>Numphong</v>
      </c>
      <c r="G1283" t="str">
        <f>IFERROR(__xludf.DUMMYFUNCTION("""COMPUTED_VALUE"""),"Nopparuj Numphong")</f>
        <v>Nopparuj Numphong</v>
      </c>
      <c r="H1283" t="str">
        <f>IFERROR(__xludf.DUMMYFUNCTION("""COMPUTED_VALUE"""),"นาย")</f>
        <v>นาย</v>
      </c>
      <c r="I1283" t="str">
        <f>IFERROR(__xludf.DUMMYFUNCTION("""COMPUTED_VALUE"""),"นพรุจ")</f>
        <v>นพรุจ</v>
      </c>
      <c r="J1283" t="str">
        <f>IFERROR(__xludf.DUMMYFUNCTION("""COMPUTED_VALUE"""),"นุ่มผ่อง")</f>
        <v>นุ่มผ่อง</v>
      </c>
      <c r="K1283" t="str">
        <f>IFERROR(__xludf.DUMMYFUNCTION("""COMPUTED_VALUE"""),"นพรุจ นุ่มผ่อง")</f>
        <v>นพรุจ นุ่มผ่อง</v>
      </c>
      <c r="L1283" t="str">
        <f>IFERROR(__xludf.DUMMYFUNCTION("""COMPUTED_VALUE"""),"ภูมิ")</f>
        <v>ภูมิ</v>
      </c>
      <c r="M1283" t="str">
        <f>IFERROR(__xludf.DUMMYFUNCTION("""COMPUTED_VALUE"""),"Cabin Crew Trainee")</f>
        <v>Cabin Crew Trainee</v>
      </c>
      <c r="N1283" t="str">
        <f>IFERROR(__xludf.DUMMYFUNCTION("""COMPUTED_VALUE"""),"DMK")</f>
        <v>DMK</v>
      </c>
      <c r="O1283" s="145" t="str">
        <f>IFERROR(__xludf.DUMMYFUNCTION("""COMPUTED_VALUE"""),"Namfon Home")</f>
        <v>Namfon Home</v>
      </c>
      <c r="P1283" t="str">
        <f>IFERROR(__xludf.DUMMYFUNCTION("""COMPUTED_VALUE"""),"Active/V/BKK")</f>
        <v>Active/V/BKK</v>
      </c>
      <c r="R1283" s="156">
        <f>IFERROR(__xludf.DUMMYFUNCTION("""COMPUTED_VALUE"""),34618.0)</f>
        <v>34618</v>
      </c>
      <c r="S1283" s="146">
        <f>IFERROR(__xludf.DUMMYFUNCTION("""COMPUTED_VALUE"""),6.14982835E8)</f>
        <v>614982835</v>
      </c>
      <c r="T1283" s="147">
        <f>IFERROR(__xludf.DUMMYFUNCTION("""COMPUTED_VALUE"""),1.909800864911E12)</f>
        <v>1909800864911</v>
      </c>
      <c r="U1283" t="str">
        <f>IFERROR(__xludf.DUMMYFUNCTION("""COMPUTED_VALUE"""),"AD0173830")</f>
        <v>AD0173830</v>
      </c>
      <c r="V1283" s="148">
        <f>IFERROR(__xludf.DUMMYFUNCTION("""COMPUTED_VALUE"""),44861.0)</f>
        <v>44861</v>
      </c>
      <c r="W1283" s="148">
        <f>IFERROR(__xludf.DUMMYFUNCTION("""COMPUTED_VALUE"""),48513.0)</f>
        <v>48513</v>
      </c>
      <c r="X1283" s="149">
        <f>IFERROR(__xludf.DUMMYFUNCTION("""COMPUTED_VALUE"""),48330.0)</f>
        <v>48330</v>
      </c>
      <c r="Y1283" t="str">
        <f>IFERROR(__xludf.DUMMYFUNCTION("""COMPUTED_VALUE"""),"ปลอดภัย")</f>
        <v>ปลอดภัย</v>
      </c>
      <c r="Z1283" t="str">
        <f>IFERROR(__xludf.DUMMYFUNCTION("""COMPUTED_VALUE"""),"Songkhla Province")</f>
        <v>Songkhla Province</v>
      </c>
      <c r="AA1283" t="str">
        <f>IFERROR(__xludf.DUMMYFUNCTION("""COMPUTED_VALUE"""),"Bangkok")</f>
        <v>Bangkok</v>
      </c>
      <c r="AB1283" s="145" t="str">
        <f>IFERROR(__xludf.DUMMYFUNCTION("""COMPUTED_VALUE"""),"0815982894")</f>
        <v>0815982894</v>
      </c>
      <c r="AC1283" t="str">
        <f>IFERROR(__xludf.DUMMYFUNCTION("""COMPUTED_VALUE"""),"นางไพลิน ไชยลำยา Mother")</f>
        <v>นางไพลิน ไชยลำยา Mother</v>
      </c>
      <c r="AD1283" t="str">
        <f>IFERROR(__xludf.DUMMYFUNCTION("""COMPUTED_VALUE"""),"nopparujnum@airasia.com")</f>
        <v>nopparujnum@airasia.com</v>
      </c>
    </row>
    <row r="1284">
      <c r="A1284">
        <f>IFERROR(__xludf.DUMMYFUNCTION("""COMPUTED_VALUE"""),112.0)</f>
        <v>112</v>
      </c>
      <c r="B1284" t="str">
        <f>IFERROR(__xludf.DUMMYFUNCTION("""COMPUTED_VALUE"""),"Initial Training 6 Jan 26")</f>
        <v>Initial Training 6 Jan 26</v>
      </c>
      <c r="C1284">
        <f>IFERROR(__xludf.DUMMYFUNCTION("""COMPUTED_VALUE"""),1046332.0)</f>
        <v>1046332</v>
      </c>
      <c r="D1284" t="str">
        <f>IFERROR(__xludf.DUMMYFUNCTION("""COMPUTED_VALUE"""),"Ms.")</f>
        <v>Ms.</v>
      </c>
      <c r="E1284" t="str">
        <f>IFERROR(__xludf.DUMMYFUNCTION("""COMPUTED_VALUE"""),"Phirada")</f>
        <v>Phirada</v>
      </c>
      <c r="F1284" t="str">
        <f>IFERROR(__xludf.DUMMYFUNCTION("""COMPUTED_VALUE"""),"Pratt")</f>
        <v>Pratt</v>
      </c>
      <c r="G1284" t="str">
        <f>IFERROR(__xludf.DUMMYFUNCTION("""COMPUTED_VALUE"""),"Phirada Pratt")</f>
        <v>Phirada Pratt</v>
      </c>
      <c r="H1284" t="str">
        <f>IFERROR(__xludf.DUMMYFUNCTION("""COMPUTED_VALUE"""),"นางสาว")</f>
        <v>นางสาว</v>
      </c>
      <c r="I1284" t="str">
        <f>IFERROR(__xludf.DUMMYFUNCTION("""COMPUTED_VALUE"""),"ภิรฎา")</f>
        <v>ภิรฎา</v>
      </c>
      <c r="J1284" t="str">
        <f>IFERROR(__xludf.DUMMYFUNCTION("""COMPUTED_VALUE"""),"แพรทท์")</f>
        <v>แพรทท์</v>
      </c>
      <c r="K1284" t="str">
        <f>IFERROR(__xludf.DUMMYFUNCTION("""COMPUTED_VALUE"""),"ภิรฎา แพรทท์")</f>
        <v>ภิรฎา แพรทท์</v>
      </c>
      <c r="L1284" t="str">
        <f>IFERROR(__xludf.DUMMYFUNCTION("""COMPUTED_VALUE"""),"รฎา")</f>
        <v>รฎา</v>
      </c>
      <c r="M1284" t="str">
        <f>IFERROR(__xludf.DUMMYFUNCTION("""COMPUTED_VALUE"""),"Cabin Crew Trainee - HKT")</f>
        <v>Cabin Crew Trainee - HKT</v>
      </c>
      <c r="N1284" t="str">
        <f>IFERROR(__xludf.DUMMYFUNCTION("""COMPUTED_VALUE"""),"HKT")</f>
        <v>HKT</v>
      </c>
      <c r="O1284" s="145" t="str">
        <f>IFERROR(__xludf.DUMMYFUNCTION("""COMPUTED_VALUE"""),"Kor Home")</f>
        <v>Kor Home</v>
      </c>
      <c r="P1284" t="str">
        <f>IFERROR(__xludf.DUMMYFUNCTION("""COMPUTED_VALUE"""),"Active")</f>
        <v>Active</v>
      </c>
      <c r="R1284" s="156">
        <f>IFERROR(__xludf.DUMMYFUNCTION("""COMPUTED_VALUE"""),37126.0)</f>
        <v>37126</v>
      </c>
      <c r="S1284" s="146">
        <f>IFERROR(__xludf.DUMMYFUNCTION("""COMPUTED_VALUE"""),8.32619565E8)</f>
        <v>832619565</v>
      </c>
      <c r="T1284" s="147">
        <f>IFERROR(__xludf.DUMMYFUNCTION("""COMPUTED_VALUE"""),1.509966153318E12)</f>
        <v>1509966153318</v>
      </c>
      <c r="U1284" t="str">
        <f>IFERROR(__xludf.DUMMYFUNCTION("""COMPUTED_VALUE"""),"AC7001116")</f>
        <v>AC7001116</v>
      </c>
      <c r="V1284" s="148">
        <f>IFERROR(__xludf.DUMMYFUNCTION("""COMPUTED_VALUE"""),45614.0)</f>
        <v>45614</v>
      </c>
      <c r="W1284" s="148">
        <f>IFERROR(__xludf.DUMMYFUNCTION("""COMPUTED_VALUE"""),49265.0)</f>
        <v>49265</v>
      </c>
      <c r="X1284" s="149">
        <f>IFERROR(__xludf.DUMMYFUNCTION("""COMPUTED_VALUE"""),49081.0)</f>
        <v>49081</v>
      </c>
      <c r="Y1284" t="str">
        <f>IFERROR(__xludf.DUMMYFUNCTION("""COMPUTED_VALUE"""),"ปลอดภัย")</f>
        <v>ปลอดภัย</v>
      </c>
      <c r="Z1284" t="str">
        <f>IFERROR(__xludf.DUMMYFUNCTION("""COMPUTED_VALUE"""),"Chiang Mai Province")</f>
        <v>Chiang Mai Province</v>
      </c>
      <c r="AA1284" t="str">
        <f>IFERROR(__xludf.DUMMYFUNCTION("""COMPUTED_VALUE"""),"Chiang Mai Province")</f>
        <v>Chiang Mai Province</v>
      </c>
      <c r="AB1284" s="145" t="str">
        <f>IFERROR(__xludf.DUMMYFUNCTION("""COMPUTED_VALUE"""),"0621878182")</f>
        <v>0621878182</v>
      </c>
      <c r="AC1284" t="str">
        <f>IFERROR(__xludf.DUMMYFUNCTION("""COMPUTED_VALUE"""),"นาย พชร กาหลง Friend")</f>
        <v>นาย พชร กาหลง Friend</v>
      </c>
      <c r="AD1284" t="str">
        <f>IFERROR(__xludf.DUMMYFUNCTION("""COMPUTED_VALUE"""),"phiradapra@airasia.com")</f>
        <v>phiradapra@airasia.com</v>
      </c>
    </row>
    <row r="1285">
      <c r="A1285">
        <f>IFERROR(__xludf.DUMMYFUNCTION("""COMPUTED_VALUE"""),112.0)</f>
        <v>112</v>
      </c>
      <c r="B1285" t="str">
        <f>IFERROR(__xludf.DUMMYFUNCTION("""COMPUTED_VALUE"""),"Initial Training 6 Jan 26")</f>
        <v>Initial Training 6 Jan 26</v>
      </c>
      <c r="C1285">
        <f>IFERROR(__xludf.DUMMYFUNCTION("""COMPUTED_VALUE"""),1046333.0)</f>
        <v>1046333</v>
      </c>
      <c r="D1285" t="str">
        <f>IFERROR(__xludf.DUMMYFUNCTION("""COMPUTED_VALUE"""),"Ms.")</f>
        <v>Ms.</v>
      </c>
      <c r="E1285" t="str">
        <f>IFERROR(__xludf.DUMMYFUNCTION("""COMPUTED_VALUE"""),"Pimpitcha")</f>
        <v>Pimpitcha</v>
      </c>
      <c r="F1285" t="str">
        <f>IFERROR(__xludf.DUMMYFUNCTION("""COMPUTED_VALUE"""),"Thaiyuenwong")</f>
        <v>Thaiyuenwong</v>
      </c>
      <c r="G1285" t="str">
        <f>IFERROR(__xludf.DUMMYFUNCTION("""COMPUTED_VALUE"""),"Pimpitcha Thaiyuenwong")</f>
        <v>Pimpitcha Thaiyuenwong</v>
      </c>
      <c r="H1285" t="str">
        <f>IFERROR(__xludf.DUMMYFUNCTION("""COMPUTED_VALUE"""),"นางสาว")</f>
        <v>นางสาว</v>
      </c>
      <c r="I1285" t="str">
        <f>IFERROR(__xludf.DUMMYFUNCTION("""COMPUTED_VALUE"""),"พิมพิชชา")</f>
        <v>พิมพิชชา</v>
      </c>
      <c r="J1285" t="str">
        <f>IFERROR(__xludf.DUMMYFUNCTION("""COMPUTED_VALUE"""),"ไทยยืนวงษ์")</f>
        <v>ไทยยืนวงษ์</v>
      </c>
      <c r="K1285" t="str">
        <f>IFERROR(__xludf.DUMMYFUNCTION("""COMPUTED_VALUE"""),"พิมพิชชา	ไทยยืนวงษ์")</f>
        <v>พิมพิชชา	ไทยยืนวงษ์</v>
      </c>
      <c r="L1285" t="str">
        <f>IFERROR(__xludf.DUMMYFUNCTION("""COMPUTED_VALUE"""),"Noongnoong / หนุ่งนุ้ง")</f>
        <v>Noongnoong / หนุ่งนุ้ง</v>
      </c>
      <c r="M1285" t="str">
        <f>IFERROR(__xludf.DUMMYFUNCTION("""COMPUTED_VALUE"""),"Cabin Crew Trainee")</f>
        <v>Cabin Crew Trainee</v>
      </c>
      <c r="N1285" t="str">
        <f>IFERROR(__xludf.DUMMYFUNCTION("""COMPUTED_VALUE"""),"DMK")</f>
        <v>DMK</v>
      </c>
      <c r="O1285" s="145" t="str">
        <f>IFERROR(__xludf.DUMMYFUNCTION("""COMPUTED_VALUE"""),"Namfon Home")</f>
        <v>Namfon Home</v>
      </c>
      <c r="P1285" t="str">
        <f>IFERROR(__xludf.DUMMYFUNCTION("""COMPUTED_VALUE"""),"Active/V/BKK")</f>
        <v>Active/V/BKK</v>
      </c>
      <c r="R1285" s="156">
        <f>IFERROR(__xludf.DUMMYFUNCTION("""COMPUTED_VALUE"""),34589.0)</f>
        <v>34589</v>
      </c>
      <c r="S1285" s="146">
        <f>IFERROR(__xludf.DUMMYFUNCTION("""COMPUTED_VALUE"""),9.1887785E8)</f>
        <v>918877850</v>
      </c>
      <c r="T1285" s="147">
        <f>IFERROR(__xludf.DUMMYFUNCTION("""COMPUTED_VALUE"""),1.11010015404E12)</f>
        <v>1110100154040</v>
      </c>
      <c r="U1285" t="str">
        <f>IFERROR(__xludf.DUMMYFUNCTION("""COMPUTED_VALUE"""),"AD0110386")</f>
        <v>AD0110386</v>
      </c>
      <c r="V1285" s="148">
        <f>IFERROR(__xludf.DUMMYFUNCTION("""COMPUTED_VALUE"""),44834.0)</f>
        <v>44834</v>
      </c>
      <c r="W1285" s="148">
        <f>IFERROR(__xludf.DUMMYFUNCTION("""COMPUTED_VALUE"""),48486.0)</f>
        <v>48486</v>
      </c>
      <c r="X1285" s="149">
        <f>IFERROR(__xludf.DUMMYFUNCTION("""COMPUTED_VALUE"""),48302.0)</f>
        <v>48302</v>
      </c>
      <c r="Y1285" t="str">
        <f>IFERROR(__xludf.DUMMYFUNCTION("""COMPUTED_VALUE"""),"ปลอดภัย")</f>
        <v>ปลอดภัย</v>
      </c>
      <c r="Z1285" t="str">
        <f>IFERROR(__xludf.DUMMYFUNCTION("""COMPUTED_VALUE"""),"Samut Prakan Province")</f>
        <v>Samut Prakan Province</v>
      </c>
      <c r="AA1285" t="str">
        <f>IFERROR(__xludf.DUMMYFUNCTION("""COMPUTED_VALUE"""),"Bangkok")</f>
        <v>Bangkok</v>
      </c>
      <c r="AB1285" s="145" t="str">
        <f>IFERROR(__xludf.DUMMYFUNCTION("""COMPUTED_VALUE"""),"086-570-4750")</f>
        <v>086-570-4750</v>
      </c>
      <c r="AC1285" t="str">
        <f>IFERROR(__xludf.DUMMYFUNCTION("""COMPUTED_VALUE"""),"นายวินัย ไทยยืนวงษ์ Father")</f>
        <v>นายวินัย ไทยยืนวงษ์ Father</v>
      </c>
      <c r="AD1285" t="str">
        <f>IFERROR(__xludf.DUMMYFUNCTION("""COMPUTED_VALUE"""),"pimpitchatha@airasia.com")</f>
        <v>pimpitchatha@airasia.com</v>
      </c>
    </row>
    <row r="1286">
      <c r="A1286">
        <f>IFERROR(__xludf.DUMMYFUNCTION("""COMPUTED_VALUE"""),112.0)</f>
        <v>112</v>
      </c>
      <c r="B1286" t="str">
        <f>IFERROR(__xludf.DUMMYFUNCTION("""COMPUTED_VALUE"""),"Initial Training 6 Jan 26")</f>
        <v>Initial Training 6 Jan 26</v>
      </c>
      <c r="C1286">
        <f>IFERROR(__xludf.DUMMYFUNCTION("""COMPUTED_VALUE"""),1046335.0)</f>
        <v>1046335</v>
      </c>
      <c r="D1286" t="str">
        <f>IFERROR(__xludf.DUMMYFUNCTION("""COMPUTED_VALUE"""),"Ms.")</f>
        <v>Ms.</v>
      </c>
      <c r="E1286" t="str">
        <f>IFERROR(__xludf.DUMMYFUNCTION("""COMPUTED_VALUE"""),"Preeyapat")</f>
        <v>Preeyapat</v>
      </c>
      <c r="F1286" t="str">
        <f>IFERROR(__xludf.DUMMYFUNCTION("""COMPUTED_VALUE"""),"Rattanabuppa")</f>
        <v>Rattanabuppa</v>
      </c>
      <c r="G1286" t="str">
        <f>IFERROR(__xludf.DUMMYFUNCTION("""COMPUTED_VALUE"""),"Preeyapat Rattanabuppa")</f>
        <v>Preeyapat Rattanabuppa</v>
      </c>
      <c r="H1286" t="str">
        <f>IFERROR(__xludf.DUMMYFUNCTION("""COMPUTED_VALUE"""),"นางสาว")</f>
        <v>นางสาว</v>
      </c>
      <c r="I1286" t="str">
        <f>IFERROR(__xludf.DUMMYFUNCTION("""COMPUTED_VALUE"""),"ปรียาภัทร")</f>
        <v>ปรียาภัทร</v>
      </c>
      <c r="J1286" t="str">
        <f>IFERROR(__xludf.DUMMYFUNCTION("""COMPUTED_VALUE"""),"รัตนบุปผา")</f>
        <v>รัตนบุปผา</v>
      </c>
      <c r="K1286" t="str">
        <f>IFERROR(__xludf.DUMMYFUNCTION("""COMPUTED_VALUE"""),"ปรียาภัทร รัตนบุปผา")</f>
        <v>ปรียาภัทร รัตนบุปผา</v>
      </c>
      <c r="L1286" t="str">
        <f>IFERROR(__xludf.DUMMYFUNCTION("""COMPUTED_VALUE"""),"ซายน์")</f>
        <v>ซายน์</v>
      </c>
      <c r="M1286" t="str">
        <f>IFERROR(__xludf.DUMMYFUNCTION("""COMPUTED_VALUE"""),"Cabin Crew Trainee")</f>
        <v>Cabin Crew Trainee</v>
      </c>
      <c r="N1286" t="str">
        <f>IFERROR(__xludf.DUMMYFUNCTION("""COMPUTED_VALUE"""),"DMK")</f>
        <v>DMK</v>
      </c>
      <c r="O1286" s="145" t="str">
        <f>IFERROR(__xludf.DUMMYFUNCTION("""COMPUTED_VALUE"""),"Up Home")</f>
        <v>Up Home</v>
      </c>
      <c r="P1286" t="str">
        <f>IFERROR(__xludf.DUMMYFUNCTION("""COMPUTED_VALUE"""),"Active/V/BKK")</f>
        <v>Active/V/BKK</v>
      </c>
      <c r="R1286" s="165">
        <f>IFERROR(__xludf.DUMMYFUNCTION("""COMPUTED_VALUE"""),34105.0)</f>
        <v>34105</v>
      </c>
      <c r="S1286" s="146">
        <f>IFERROR(__xludf.DUMMYFUNCTION("""COMPUTED_VALUE"""),6.49899099E8)</f>
        <v>649899099</v>
      </c>
      <c r="T1286" s="147">
        <f>IFERROR(__xludf.DUMMYFUNCTION("""COMPUTED_VALUE"""),1.54990033084E12)</f>
        <v>1549900330840</v>
      </c>
      <c r="U1286" t="str">
        <f>IFERROR(__xludf.DUMMYFUNCTION("""COMPUTED_VALUE"""),"AC2770702")</f>
        <v>AC2770702</v>
      </c>
      <c r="V1286" s="148">
        <f>IFERROR(__xludf.DUMMYFUNCTION("""COMPUTED_VALUE"""),44496.0)</f>
        <v>44496</v>
      </c>
      <c r="W1286" s="148">
        <f>IFERROR(__xludf.DUMMYFUNCTION("""COMPUTED_VALUE"""),48147.0)</f>
        <v>48147</v>
      </c>
      <c r="X1286" s="149">
        <f>IFERROR(__xludf.DUMMYFUNCTION("""COMPUTED_VALUE"""),47964.0)</f>
        <v>47964</v>
      </c>
      <c r="Y1286" t="str">
        <f>IFERROR(__xludf.DUMMYFUNCTION("""COMPUTED_VALUE"""),"ปลอดภัย")</f>
        <v>ปลอดภัย</v>
      </c>
      <c r="Z1286" t="str">
        <f>IFERROR(__xludf.DUMMYFUNCTION("""COMPUTED_VALUE"""),"Phrae Province")</f>
        <v>Phrae Province</v>
      </c>
      <c r="AA1286" t="str">
        <f>IFERROR(__xludf.DUMMYFUNCTION("""COMPUTED_VALUE"""),"Bangkok")</f>
        <v>Bangkok</v>
      </c>
      <c r="AB1286" s="145" t="str">
        <f>IFERROR(__xludf.DUMMYFUNCTION("""COMPUTED_VALUE"""),"064-989-9099")</f>
        <v>064-989-9099</v>
      </c>
      <c r="AC1286" t="str">
        <f>IFERROR(__xludf.DUMMYFUNCTION("""COMPUTED_VALUE"""),"อุษา รัตนบุปผา Mother")</f>
        <v>อุษา รัตนบุปผา Mother</v>
      </c>
      <c r="AD1286" t="str">
        <f>IFERROR(__xludf.DUMMYFUNCTION("""COMPUTED_VALUE"""),"preeyapatrat@airasia.com")</f>
        <v>preeyapatrat@airasia.com</v>
      </c>
    </row>
    <row r="1287">
      <c r="A1287">
        <f>IFERROR(__xludf.DUMMYFUNCTION("""COMPUTED_VALUE"""),112.0)</f>
        <v>112</v>
      </c>
      <c r="B1287" t="str">
        <f>IFERROR(__xludf.DUMMYFUNCTION("""COMPUTED_VALUE"""),"Initial Training 6 Jan 26")</f>
        <v>Initial Training 6 Jan 26</v>
      </c>
      <c r="C1287">
        <f>IFERROR(__xludf.DUMMYFUNCTION("""COMPUTED_VALUE"""),1046336.0)</f>
        <v>1046336</v>
      </c>
      <c r="D1287" t="str">
        <f>IFERROR(__xludf.DUMMYFUNCTION("""COMPUTED_VALUE"""),"Ms.")</f>
        <v>Ms.</v>
      </c>
      <c r="E1287" t="str">
        <f>IFERROR(__xludf.DUMMYFUNCTION("""COMPUTED_VALUE"""),"Rinlapat")</f>
        <v>Rinlapat</v>
      </c>
      <c r="F1287" t="str">
        <f>IFERROR(__xludf.DUMMYFUNCTION("""COMPUTED_VALUE"""),"Pathomkittirot")</f>
        <v>Pathomkittirot</v>
      </c>
      <c r="G1287" t="str">
        <f>IFERROR(__xludf.DUMMYFUNCTION("""COMPUTED_VALUE"""),"Rinlapat Pathomkittirot")</f>
        <v>Rinlapat Pathomkittirot</v>
      </c>
      <c r="H1287" t="str">
        <f>IFERROR(__xludf.DUMMYFUNCTION("""COMPUTED_VALUE"""),"นางสาว")</f>
        <v>นางสาว</v>
      </c>
      <c r="I1287" t="str">
        <f>IFERROR(__xludf.DUMMYFUNCTION("""COMPUTED_VALUE"""),"รินทร์ลภัส")</f>
        <v>รินทร์ลภัส</v>
      </c>
      <c r="J1287" t="str">
        <f>IFERROR(__xludf.DUMMYFUNCTION("""COMPUTED_VALUE"""),"ปฐมกิตติโรจน์")</f>
        <v>ปฐมกิตติโรจน์</v>
      </c>
      <c r="K1287" t="str">
        <f>IFERROR(__xludf.DUMMYFUNCTION("""COMPUTED_VALUE"""),"รินทร์ลภัส ปฐมกิตติโรจน์")</f>
        <v>รินทร์ลภัส ปฐมกิตติโรจน์</v>
      </c>
      <c r="L1287" t="str">
        <f>IFERROR(__xludf.DUMMYFUNCTION("""COMPUTED_VALUE"""),"Breeze / บรีซ")</f>
        <v>Breeze / บรีซ</v>
      </c>
      <c r="M1287" t="str">
        <f>IFERROR(__xludf.DUMMYFUNCTION("""COMPUTED_VALUE"""),"Cabin Crew Trainee")</f>
        <v>Cabin Crew Trainee</v>
      </c>
      <c r="N1287" t="str">
        <f>IFERROR(__xludf.DUMMYFUNCTION("""COMPUTED_VALUE"""),"DMK")</f>
        <v>DMK</v>
      </c>
      <c r="O1287" s="145" t="str">
        <f>IFERROR(__xludf.DUMMYFUNCTION("""COMPUTED_VALUE"""),"Up Home")</f>
        <v>Up Home</v>
      </c>
      <c r="P1287" t="str">
        <f>IFERROR(__xludf.DUMMYFUNCTION("""COMPUTED_VALUE"""),"Active")</f>
        <v>Active</v>
      </c>
      <c r="R1287" s="156">
        <f>IFERROR(__xludf.DUMMYFUNCTION("""COMPUTED_VALUE"""),35107.0)</f>
        <v>35107</v>
      </c>
      <c r="S1287" s="146">
        <f>IFERROR(__xludf.DUMMYFUNCTION("""COMPUTED_VALUE"""),6.23932695E8)</f>
        <v>623932695</v>
      </c>
      <c r="T1287" s="147">
        <f>IFERROR(__xludf.DUMMYFUNCTION("""COMPUTED_VALUE"""),1.809700257348E12)</f>
        <v>1809700257348</v>
      </c>
      <c r="U1287" t="str">
        <f>IFERROR(__xludf.DUMMYFUNCTION("""COMPUTED_VALUE"""),"AD0008927")</f>
        <v>AD0008927</v>
      </c>
      <c r="V1287" s="148">
        <f>IFERROR(__xludf.DUMMYFUNCTION("""COMPUTED_VALUE"""),44845.0)</f>
        <v>44845</v>
      </c>
      <c r="W1287" s="148">
        <f>IFERROR(__xludf.DUMMYFUNCTION("""COMPUTED_VALUE"""),48497.0)</f>
        <v>48497</v>
      </c>
      <c r="X1287" s="149">
        <f>IFERROR(__xludf.DUMMYFUNCTION("""COMPUTED_VALUE"""),48314.0)</f>
        <v>48314</v>
      </c>
      <c r="Y1287" t="str">
        <f>IFERROR(__xludf.DUMMYFUNCTION("""COMPUTED_VALUE"""),"ปลอดภัย")</f>
        <v>ปลอดภัย</v>
      </c>
      <c r="Z1287" t="str">
        <f>IFERROR(__xludf.DUMMYFUNCTION("""COMPUTED_VALUE"""),"Nakhon Si Thammarat Province")</f>
        <v>Nakhon Si Thammarat Province</v>
      </c>
      <c r="AA1287" t="str">
        <f>IFERROR(__xludf.DUMMYFUNCTION("""COMPUTED_VALUE"""),"Nonthaburi")</f>
        <v>Nonthaburi</v>
      </c>
      <c r="AB1287" s="145" t="str">
        <f>IFERROR(__xludf.DUMMYFUNCTION("""COMPUTED_VALUE"""),"0899278952")</f>
        <v>0899278952</v>
      </c>
      <c r="AC1287" t="str">
        <f>IFERROR(__xludf.DUMMYFUNCTION("""COMPUTED_VALUE"""),"นาย สันติภาพ ชงเชื้อ Friend")</f>
        <v>นาย สันติภาพ ชงเชื้อ Friend</v>
      </c>
      <c r="AD1287" t="str">
        <f>IFERROR(__xludf.DUMMYFUNCTION("""COMPUTED_VALUE"""),"rinlapatpat@airasia.com")</f>
        <v>rinlapatpat@airasia.com</v>
      </c>
    </row>
    <row r="1288">
      <c r="A1288">
        <f>IFERROR(__xludf.DUMMYFUNCTION("""COMPUTED_VALUE"""),112.0)</f>
        <v>112</v>
      </c>
      <c r="B1288" t="str">
        <f>IFERROR(__xludf.DUMMYFUNCTION("""COMPUTED_VALUE"""),"Initial Training 6 Jan 26")</f>
        <v>Initial Training 6 Jan 26</v>
      </c>
      <c r="C1288">
        <f>IFERROR(__xludf.DUMMYFUNCTION("""COMPUTED_VALUE"""),1046337.0)</f>
        <v>1046337</v>
      </c>
      <c r="D1288" t="str">
        <f>IFERROR(__xludf.DUMMYFUNCTION("""COMPUTED_VALUE"""),"Ms.")</f>
        <v>Ms.</v>
      </c>
      <c r="E1288" t="str">
        <f>IFERROR(__xludf.DUMMYFUNCTION("""COMPUTED_VALUE"""),"Suchanun")</f>
        <v>Suchanun</v>
      </c>
      <c r="F1288" t="str">
        <f>IFERROR(__xludf.DUMMYFUNCTION("""COMPUTED_VALUE"""),"Khunboonchan")</f>
        <v>Khunboonchan</v>
      </c>
      <c r="G1288" t="str">
        <f>IFERROR(__xludf.DUMMYFUNCTION("""COMPUTED_VALUE"""),"Suchanun Khunboonchan")</f>
        <v>Suchanun Khunboonchan</v>
      </c>
      <c r="H1288" t="str">
        <f>IFERROR(__xludf.DUMMYFUNCTION("""COMPUTED_VALUE"""),"นางสาว")</f>
        <v>นางสาว</v>
      </c>
      <c r="I1288" t="str">
        <f>IFERROR(__xludf.DUMMYFUNCTION("""COMPUTED_VALUE"""),"สุชานันท์")</f>
        <v>สุชานันท์</v>
      </c>
      <c r="J1288" t="str">
        <f>IFERROR(__xludf.DUMMYFUNCTION("""COMPUTED_VALUE"""),"ขุนบุญจันทร์")</f>
        <v>ขุนบุญจันทร์</v>
      </c>
      <c r="K1288" t="str">
        <f>IFERROR(__xludf.DUMMYFUNCTION("""COMPUTED_VALUE"""),"สุชานันท์	ขุนบุญจันทร์")</f>
        <v>สุชานันท์	ขุนบุญจันทร์</v>
      </c>
      <c r="L1288" t="str">
        <f>IFERROR(__xludf.DUMMYFUNCTION("""COMPUTED_VALUE"""),"Bee / บี")</f>
        <v>Bee / บี</v>
      </c>
      <c r="M1288" t="str">
        <f>IFERROR(__xludf.DUMMYFUNCTION("""COMPUTED_VALUE"""),"Cabin Crew Trainee")</f>
        <v>Cabin Crew Trainee</v>
      </c>
      <c r="N1288" t="str">
        <f>IFERROR(__xludf.DUMMYFUNCTION("""COMPUTED_VALUE"""),"DMK")</f>
        <v>DMK</v>
      </c>
      <c r="O1288" s="145" t="str">
        <f>IFERROR(__xludf.DUMMYFUNCTION("""COMPUTED_VALUE"""),"Um Home")</f>
        <v>Um Home</v>
      </c>
      <c r="P1288" t="str">
        <f>IFERROR(__xludf.DUMMYFUNCTION("""COMPUTED_VALUE"""),"Active/V/BKK")</f>
        <v>Active/V/BKK</v>
      </c>
      <c r="R1288" s="156">
        <f>IFERROR(__xludf.DUMMYFUNCTION("""COMPUTED_VALUE"""),35629.0)</f>
        <v>35629</v>
      </c>
      <c r="S1288" s="146">
        <f>IFERROR(__xludf.DUMMYFUNCTION("""COMPUTED_VALUE"""),8.89094321E8)</f>
        <v>889094321</v>
      </c>
      <c r="T1288" s="147">
        <f>IFERROR(__xludf.DUMMYFUNCTION("""COMPUTED_VALUE"""),1.10300012446E12)</f>
        <v>1103000124460</v>
      </c>
      <c r="U1288" t="str">
        <f>IFERROR(__xludf.DUMMYFUNCTION("""COMPUTED_VALUE"""),"AC5103000")</f>
        <v>AC5103000</v>
      </c>
      <c r="V1288" s="148">
        <f>IFERROR(__xludf.DUMMYFUNCTION("""COMPUTED_VALUE"""),45084.0)</f>
        <v>45084</v>
      </c>
      <c r="W1288" s="148">
        <f>IFERROR(__xludf.DUMMYFUNCTION("""COMPUTED_VALUE"""),46912.0)</f>
        <v>46912</v>
      </c>
      <c r="X1288" s="149">
        <f>IFERROR(__xludf.DUMMYFUNCTION("""COMPUTED_VALUE"""),46729.0)</f>
        <v>46729</v>
      </c>
      <c r="Y1288" t="str">
        <f>IFERROR(__xludf.DUMMYFUNCTION("""COMPUTED_VALUE"""),"ปลอดภัย")</f>
        <v>ปลอดภัย</v>
      </c>
      <c r="Z1288" t="str">
        <f>IFERROR(__xludf.DUMMYFUNCTION("""COMPUTED_VALUE"""),"Bangkok")</f>
        <v>Bangkok</v>
      </c>
      <c r="AA1288" t="str">
        <f>IFERROR(__xludf.DUMMYFUNCTION("""COMPUTED_VALUE"""),"Pathum Thani")</f>
        <v>Pathum Thani</v>
      </c>
      <c r="AB1288" s="145" t="str">
        <f>IFERROR(__xludf.DUMMYFUNCTION("""COMPUTED_VALUE"""),"0919334115")</f>
        <v>0919334115</v>
      </c>
      <c r="AC1288" t="str">
        <f>IFERROR(__xludf.DUMMYFUNCTION("""COMPUTED_VALUE"""),"สมบูรณ์ ขุนบุญจันทร์ Father")</f>
        <v>สมบูรณ์ ขุนบุญจันทร์ Father</v>
      </c>
      <c r="AD1288" t="str">
        <f>IFERROR(__xludf.DUMMYFUNCTION("""COMPUTED_VALUE"""),"suchanunkhu@airasia.com")</f>
        <v>suchanunkhu@airasia.com</v>
      </c>
    </row>
    <row r="1289">
      <c r="A1289">
        <f>IFERROR(__xludf.DUMMYFUNCTION("""COMPUTED_VALUE"""),112.0)</f>
        <v>112</v>
      </c>
      <c r="B1289" t="str">
        <f>IFERROR(__xludf.DUMMYFUNCTION("""COMPUTED_VALUE"""),"Initial Training 6 Jan 26")</f>
        <v>Initial Training 6 Jan 26</v>
      </c>
      <c r="C1289">
        <f>IFERROR(__xludf.DUMMYFUNCTION("""COMPUTED_VALUE"""),1046338.0)</f>
        <v>1046338</v>
      </c>
      <c r="D1289" t="str">
        <f>IFERROR(__xludf.DUMMYFUNCTION("""COMPUTED_VALUE"""),"Ms.")</f>
        <v>Ms.</v>
      </c>
      <c r="E1289" t="str">
        <f>IFERROR(__xludf.DUMMYFUNCTION("""COMPUTED_VALUE"""),"Suchanya")</f>
        <v>Suchanya</v>
      </c>
      <c r="F1289" t="str">
        <f>IFERROR(__xludf.DUMMYFUNCTION("""COMPUTED_VALUE"""),"Jantanarath")</f>
        <v>Jantanarath</v>
      </c>
      <c r="G1289" t="str">
        <f>IFERROR(__xludf.DUMMYFUNCTION("""COMPUTED_VALUE"""),"Suchanya Jantanarath")</f>
        <v>Suchanya Jantanarath</v>
      </c>
      <c r="H1289" t="str">
        <f>IFERROR(__xludf.DUMMYFUNCTION("""COMPUTED_VALUE"""),"นางสาว")</f>
        <v>นางสาว</v>
      </c>
      <c r="I1289" t="str">
        <f>IFERROR(__xludf.DUMMYFUNCTION("""COMPUTED_VALUE"""),"สุชัญญา")</f>
        <v>สุชัญญา</v>
      </c>
      <c r="J1289" t="str">
        <f>IFERROR(__xludf.DUMMYFUNCTION("""COMPUTED_VALUE"""),"จันทนราช")</f>
        <v>จันทนราช</v>
      </c>
      <c r="K1289" t="str">
        <f>IFERROR(__xludf.DUMMYFUNCTION("""COMPUTED_VALUE"""),"สุชัญญา	จันทนราช")</f>
        <v>สุชัญญา	จันทนราช</v>
      </c>
      <c r="L1289" t="str">
        <f>IFERROR(__xludf.DUMMYFUNCTION("""COMPUTED_VALUE"""),"Opal / โอปอล")</f>
        <v>Opal / โอปอล</v>
      </c>
      <c r="M1289" t="str">
        <f>IFERROR(__xludf.DUMMYFUNCTION("""COMPUTED_VALUE"""),"Cabin Crew Trainee")</f>
        <v>Cabin Crew Trainee</v>
      </c>
      <c r="N1289" t="str">
        <f>IFERROR(__xludf.DUMMYFUNCTION("""COMPUTED_VALUE"""),"DMK")</f>
        <v>DMK</v>
      </c>
      <c r="O1289" s="145" t="str">
        <f>IFERROR(__xludf.DUMMYFUNCTION("""COMPUTED_VALUE"""),"Um Home")</f>
        <v>Um Home</v>
      </c>
      <c r="P1289" t="str">
        <f>IFERROR(__xludf.DUMMYFUNCTION("""COMPUTED_VALUE"""),"Active/V/BKK")</f>
        <v>Active/V/BKK</v>
      </c>
      <c r="R1289" s="156">
        <f>IFERROR(__xludf.DUMMYFUNCTION("""COMPUTED_VALUE"""),34256.0)</f>
        <v>34256</v>
      </c>
      <c r="S1289" s="146">
        <f>IFERROR(__xludf.DUMMYFUNCTION("""COMPUTED_VALUE"""),9.96152455E8)</f>
        <v>996152455</v>
      </c>
      <c r="T1289" s="147">
        <f>IFERROR(__xludf.DUMMYFUNCTION("""COMPUTED_VALUE"""),1.103701225246E12)</f>
        <v>1103701225246</v>
      </c>
      <c r="U1289" t="str">
        <f>IFERROR(__xludf.DUMMYFUNCTION("""COMPUTED_VALUE"""),"AC2842665")</f>
        <v>AC2842665</v>
      </c>
      <c r="V1289" s="148">
        <f>IFERROR(__xludf.DUMMYFUNCTION("""COMPUTED_VALUE"""),44526.0)</f>
        <v>44526</v>
      </c>
      <c r="W1289" s="148">
        <f>IFERROR(__xludf.DUMMYFUNCTION("""COMPUTED_VALUE"""),48177.0)</f>
        <v>48177</v>
      </c>
      <c r="X1289" s="149">
        <f>IFERROR(__xludf.DUMMYFUNCTION("""COMPUTED_VALUE"""),47993.0)</f>
        <v>47993</v>
      </c>
      <c r="Y1289" t="str">
        <f>IFERROR(__xludf.DUMMYFUNCTION("""COMPUTED_VALUE"""),"ปลอดภัย")</f>
        <v>ปลอดภัย</v>
      </c>
      <c r="Z1289" t="str">
        <f>IFERROR(__xludf.DUMMYFUNCTION("""COMPUTED_VALUE"""),"Bangkok")</f>
        <v>Bangkok</v>
      </c>
      <c r="AA1289" t="str">
        <f>IFERROR(__xludf.DUMMYFUNCTION("""COMPUTED_VALUE"""),"Bangkok")</f>
        <v>Bangkok</v>
      </c>
      <c r="AB1289" s="145" t="str">
        <f>IFERROR(__xludf.DUMMYFUNCTION("""COMPUTED_VALUE"""),"085-569-1416")</f>
        <v>085-569-1416</v>
      </c>
      <c r="AC1289" t="str">
        <f>IFERROR(__xludf.DUMMYFUNCTION("""COMPUTED_VALUE"""),"นายบวรนาถ สุวิวัฒน์ Friend")</f>
        <v>นายบวรนาถ สุวิวัฒน์ Friend</v>
      </c>
      <c r="AD1289" t="str">
        <f>IFERROR(__xludf.DUMMYFUNCTION("""COMPUTED_VALUE"""),"suchanyajan@airasia.com")</f>
        <v>suchanyajan@airasia.com</v>
      </c>
    </row>
    <row r="1290">
      <c r="A1290">
        <f>IFERROR(__xludf.DUMMYFUNCTION("""COMPUTED_VALUE"""),112.0)</f>
        <v>112</v>
      </c>
      <c r="B1290" t="str">
        <f>IFERROR(__xludf.DUMMYFUNCTION("""COMPUTED_VALUE"""),"Initial Training 6 Jan 26")</f>
        <v>Initial Training 6 Jan 26</v>
      </c>
      <c r="C1290">
        <f>IFERROR(__xludf.DUMMYFUNCTION("""COMPUTED_VALUE"""),1046340.0)</f>
        <v>1046340</v>
      </c>
      <c r="D1290" t="str">
        <f>IFERROR(__xludf.DUMMYFUNCTION("""COMPUTED_VALUE"""),"Ms.")</f>
        <v>Ms.</v>
      </c>
      <c r="E1290" t="str">
        <f>IFERROR(__xludf.DUMMYFUNCTION("""COMPUTED_VALUE"""),"Wachira")</f>
        <v>Wachira</v>
      </c>
      <c r="F1290" t="str">
        <f>IFERROR(__xludf.DUMMYFUNCTION("""COMPUTED_VALUE"""),"Thanasombut")</f>
        <v>Thanasombut</v>
      </c>
      <c r="G1290" t="str">
        <f>IFERROR(__xludf.DUMMYFUNCTION("""COMPUTED_VALUE"""),"Wachira Thanasombut")</f>
        <v>Wachira Thanasombut</v>
      </c>
      <c r="H1290" t="str">
        <f>IFERROR(__xludf.DUMMYFUNCTION("""COMPUTED_VALUE"""),"นางสาว")</f>
        <v>นางสาว</v>
      </c>
      <c r="I1290" t="str">
        <f>IFERROR(__xludf.DUMMYFUNCTION("""COMPUTED_VALUE"""),"วชิรา")</f>
        <v>วชิรา</v>
      </c>
      <c r="J1290" t="str">
        <f>IFERROR(__xludf.DUMMYFUNCTION("""COMPUTED_VALUE"""),"ธนะสมบัติ")</f>
        <v>ธนะสมบัติ</v>
      </c>
      <c r="K1290" t="str">
        <f>IFERROR(__xludf.DUMMYFUNCTION("""COMPUTED_VALUE"""),"วชิรา ธนะสมบัติ")</f>
        <v>วชิรา ธนะสมบัติ</v>
      </c>
      <c r="L1290" t="str">
        <f>IFERROR(__xludf.DUMMYFUNCTION("""COMPUTED_VALUE"""),"Pim/พิม")</f>
        <v>Pim/พิม</v>
      </c>
      <c r="M1290" t="str">
        <f>IFERROR(__xludf.DUMMYFUNCTION("""COMPUTED_VALUE"""),"Cabin Crew Trainee")</f>
        <v>Cabin Crew Trainee</v>
      </c>
      <c r="N1290" t="str">
        <f>IFERROR(__xludf.DUMMYFUNCTION("""COMPUTED_VALUE"""),"DMK")</f>
        <v>DMK</v>
      </c>
      <c r="O1290" s="145" t="str">
        <f>IFERROR(__xludf.DUMMYFUNCTION("""COMPUTED_VALUE"""),"Namfon Home")</f>
        <v>Namfon Home</v>
      </c>
      <c r="P1290" t="str">
        <f>IFERROR(__xludf.DUMMYFUNCTION("""COMPUTED_VALUE"""),"Active/V/BKK")</f>
        <v>Active/V/BKK</v>
      </c>
      <c r="R1290" s="165">
        <f>IFERROR(__xludf.DUMMYFUNCTION("""COMPUTED_VALUE"""),33752.0)</f>
        <v>33752</v>
      </c>
      <c r="S1290" s="146">
        <f>IFERROR(__xludf.DUMMYFUNCTION("""COMPUTED_VALUE"""),8.22586776E8)</f>
        <v>822586776</v>
      </c>
      <c r="T1290" s="147">
        <f>IFERROR(__xludf.DUMMYFUNCTION("""COMPUTED_VALUE"""),1.209700415674E12)</f>
        <v>1209700415674</v>
      </c>
      <c r="U1290" t="str">
        <f>IFERROR(__xludf.DUMMYFUNCTION("""COMPUTED_VALUE"""),"AC5647010")</f>
        <v>AC5647010</v>
      </c>
      <c r="V1290" s="148">
        <f>IFERROR(__xludf.DUMMYFUNCTION("""COMPUTED_VALUE"""),45174.0)</f>
        <v>45174</v>
      </c>
      <c r="W1290" s="148">
        <f>IFERROR(__xludf.DUMMYFUNCTION("""COMPUTED_VALUE"""),48826.0)</f>
        <v>48826</v>
      </c>
      <c r="X1290" s="149">
        <f>IFERROR(__xludf.DUMMYFUNCTION("""COMPUTED_VALUE"""),48642.0)</f>
        <v>48642</v>
      </c>
      <c r="Y1290" t="str">
        <f>IFERROR(__xludf.DUMMYFUNCTION("""COMPUTED_VALUE"""),"ปลอดภัย")</f>
        <v>ปลอดภัย</v>
      </c>
      <c r="Z1290" t="str">
        <f>IFERROR(__xludf.DUMMYFUNCTION("""COMPUTED_VALUE"""),"Chonburi Province")</f>
        <v>Chonburi Province</v>
      </c>
      <c r="AA1290" t="str">
        <f>IFERROR(__xludf.DUMMYFUNCTION("""COMPUTED_VALUE"""),"Bangkok")</f>
        <v>Bangkok</v>
      </c>
      <c r="AB1290" s="145" t="str">
        <f>IFERROR(__xludf.DUMMYFUNCTION("""COMPUTED_VALUE"""),"0851666220")</f>
        <v>0851666220</v>
      </c>
      <c r="AC1290" t="str">
        <f>IFERROR(__xludf.DUMMYFUNCTION("""COMPUTED_VALUE"""),"นายสุธนัช สุขุมาลพันธ์ Husband")</f>
        <v>นายสุธนัช สุขุมาลพันธ์ Husband</v>
      </c>
      <c r="AD1290" t="str">
        <f>IFERROR(__xludf.DUMMYFUNCTION("""COMPUTED_VALUE"""),"wachiratha@airasia.com")</f>
        <v>wachiratha@airasia.com</v>
      </c>
    </row>
    <row r="1291">
      <c r="A1291">
        <f>IFERROR(__xludf.DUMMYFUNCTION("""COMPUTED_VALUE"""),112.0)</f>
        <v>112</v>
      </c>
      <c r="B1291" t="str">
        <f>IFERROR(__xludf.DUMMYFUNCTION("""COMPUTED_VALUE"""),"Initial Training 6 Jan 26")</f>
        <v>Initial Training 6 Jan 26</v>
      </c>
      <c r="C1291">
        <f>IFERROR(__xludf.DUMMYFUNCTION("""COMPUTED_VALUE"""),1046341.0)</f>
        <v>1046341</v>
      </c>
      <c r="D1291" t="str">
        <f>IFERROR(__xludf.DUMMYFUNCTION("""COMPUTED_VALUE"""),"Ms.")</f>
        <v>Ms.</v>
      </c>
      <c r="E1291" t="str">
        <f>IFERROR(__xludf.DUMMYFUNCTION("""COMPUTED_VALUE"""),"Wanatchaphon")</f>
        <v>Wanatchaphon</v>
      </c>
      <c r="F1291" t="str">
        <f>IFERROR(__xludf.DUMMYFUNCTION("""COMPUTED_VALUE"""),"Srisuwan")</f>
        <v>Srisuwan</v>
      </c>
      <c r="G1291" t="str">
        <f>IFERROR(__xludf.DUMMYFUNCTION("""COMPUTED_VALUE"""),"Wanatchaphon Srisuwan")</f>
        <v>Wanatchaphon Srisuwan</v>
      </c>
      <c r="H1291" t="str">
        <f>IFERROR(__xludf.DUMMYFUNCTION("""COMPUTED_VALUE"""),"นางสาว")</f>
        <v>นางสาว</v>
      </c>
      <c r="I1291" t="str">
        <f>IFERROR(__xludf.DUMMYFUNCTION("""COMPUTED_VALUE"""),"วนัชพร")</f>
        <v>วนัชพร</v>
      </c>
      <c r="J1291" t="str">
        <f>IFERROR(__xludf.DUMMYFUNCTION("""COMPUTED_VALUE"""),"ศรีสุวรรณ")</f>
        <v>ศรีสุวรรณ</v>
      </c>
      <c r="K1291" t="str">
        <f>IFERROR(__xludf.DUMMYFUNCTION("""COMPUTED_VALUE"""),"วนัชพร ศรีสุวรรณ")</f>
        <v>วนัชพร ศรีสุวรรณ</v>
      </c>
      <c r="L1291" t="str">
        <f>IFERROR(__xludf.DUMMYFUNCTION("""COMPUTED_VALUE"""),"บีม")</f>
        <v>บีม</v>
      </c>
      <c r="M1291" t="str">
        <f>IFERROR(__xludf.DUMMYFUNCTION("""COMPUTED_VALUE"""),"Cabin Crew Trainee - HKT")</f>
        <v>Cabin Crew Trainee - HKT</v>
      </c>
      <c r="N1291" t="str">
        <f>IFERROR(__xludf.DUMMYFUNCTION("""COMPUTED_VALUE"""),"HKT")</f>
        <v>HKT</v>
      </c>
      <c r="O1291" s="145" t="str">
        <f>IFERROR(__xludf.DUMMYFUNCTION("""COMPUTED_VALUE"""),"Kor Home")</f>
        <v>Kor Home</v>
      </c>
      <c r="P1291" t="str">
        <f>IFERROR(__xludf.DUMMYFUNCTION("""COMPUTED_VALUE"""),"Active")</f>
        <v>Active</v>
      </c>
      <c r="R1291" s="156">
        <f>IFERROR(__xludf.DUMMYFUNCTION("""COMPUTED_VALUE"""),37375.0)</f>
        <v>37375</v>
      </c>
      <c r="S1291" s="146">
        <f>IFERROR(__xludf.DUMMYFUNCTION("""COMPUTED_VALUE"""),9.02326908E8)</f>
        <v>902326908</v>
      </c>
      <c r="T1291" s="147">
        <f>IFERROR(__xludf.DUMMYFUNCTION("""COMPUTED_VALUE"""),1.969900379438E12)</f>
        <v>1969900379438</v>
      </c>
      <c r="U1291" t="str">
        <f>IFERROR(__xludf.DUMMYFUNCTION("""COMPUTED_VALUE"""),"AC4282748")</f>
        <v>AC4282748</v>
      </c>
      <c r="V1291" s="148">
        <f>IFERROR(__xludf.DUMMYFUNCTION("""COMPUTED_VALUE"""),44910.0)</f>
        <v>44910</v>
      </c>
      <c r="W1291" s="148">
        <f>IFERROR(__xludf.DUMMYFUNCTION("""COMPUTED_VALUE"""),48562.0)</f>
        <v>48562</v>
      </c>
      <c r="X1291" s="149">
        <f>IFERROR(__xludf.DUMMYFUNCTION("""COMPUTED_VALUE"""),48379.0)</f>
        <v>48379</v>
      </c>
      <c r="Y1291" t="str">
        <f>IFERROR(__xludf.DUMMYFUNCTION("""COMPUTED_VALUE"""),"ปลอดภัย")</f>
        <v>ปลอดภัย</v>
      </c>
      <c r="Z1291" t="str">
        <f>IFERROR(__xludf.DUMMYFUNCTION("""COMPUTED_VALUE"""),"Narathiwat Province")</f>
        <v>Narathiwat Province</v>
      </c>
      <c r="AA1291" t="str">
        <f>IFERROR(__xludf.DUMMYFUNCTION("""COMPUTED_VALUE"""),"Bangkok")</f>
        <v>Bangkok</v>
      </c>
      <c r="AB1291" s="145" t="str">
        <f>IFERROR(__xludf.DUMMYFUNCTION("""COMPUTED_VALUE"""),"0872948220")</f>
        <v>0872948220</v>
      </c>
      <c r="AC1291" t="str">
        <f>IFERROR(__xludf.DUMMYFUNCTION("""COMPUTED_VALUE"""),"นางราตรี ศรีสุวรรณ Mother")</f>
        <v>นางราตรี ศรีสุวรรณ Mother</v>
      </c>
      <c r="AD1291" t="str">
        <f>IFERROR(__xludf.DUMMYFUNCTION("""COMPUTED_VALUE"""),"wanatchaphonsri@airasia.com")</f>
        <v>wanatchaphonsri@airasia.com</v>
      </c>
    </row>
    <row r="1292">
      <c r="A1292">
        <f>IFERROR(__xludf.DUMMYFUNCTION("""COMPUTED_VALUE"""),112.0)</f>
        <v>112</v>
      </c>
      <c r="B1292" t="str">
        <f>IFERROR(__xludf.DUMMYFUNCTION("""COMPUTED_VALUE"""),"Initial Training 6 Jan 26")</f>
        <v>Initial Training 6 Jan 26</v>
      </c>
      <c r="C1292">
        <f>IFERROR(__xludf.DUMMYFUNCTION("""COMPUTED_VALUE"""),1046365.0)</f>
        <v>1046365</v>
      </c>
      <c r="D1292" t="str">
        <f>IFERROR(__xludf.DUMMYFUNCTION("""COMPUTED_VALUE"""),"Ms.")</f>
        <v>Ms.</v>
      </c>
      <c r="E1292" t="str">
        <f>IFERROR(__xludf.DUMMYFUNCTION("""COMPUTED_VALUE"""),"Airada")</f>
        <v>Airada</v>
      </c>
      <c r="F1292" t="str">
        <f>IFERROR(__xludf.DUMMYFUNCTION("""COMPUTED_VALUE"""),"Anurak")</f>
        <v>Anurak</v>
      </c>
      <c r="G1292" t="str">
        <f>IFERROR(__xludf.DUMMYFUNCTION("""COMPUTED_VALUE"""),"Airada Anurak")</f>
        <v>Airada Anurak</v>
      </c>
      <c r="H1292" t="str">
        <f>IFERROR(__xludf.DUMMYFUNCTION("""COMPUTED_VALUE"""),"นางสาว")</f>
        <v>นางสาว</v>
      </c>
      <c r="I1292" t="str">
        <f>IFERROR(__xludf.DUMMYFUNCTION("""COMPUTED_VALUE"""),"อัยรดา")</f>
        <v>อัยรดา</v>
      </c>
      <c r="J1292" t="str">
        <f>IFERROR(__xludf.DUMMYFUNCTION("""COMPUTED_VALUE"""),"อนุรักษ์")</f>
        <v>อนุรักษ์</v>
      </c>
      <c r="K1292" t="str">
        <f>IFERROR(__xludf.DUMMYFUNCTION("""COMPUTED_VALUE"""),"อัยรดา อนุรักษ์")</f>
        <v>อัยรดา อนุรักษ์</v>
      </c>
      <c r="L1292" t="str">
        <f>IFERROR(__xludf.DUMMYFUNCTION("""COMPUTED_VALUE"""),"อาร์ช่า")</f>
        <v>อาร์ช่า</v>
      </c>
      <c r="M1292" t="str">
        <f>IFERROR(__xludf.DUMMYFUNCTION("""COMPUTED_VALUE"""),"Cabin Crew Trainee")</f>
        <v>Cabin Crew Trainee</v>
      </c>
      <c r="N1292" t="str">
        <f>IFERROR(__xludf.DUMMYFUNCTION("""COMPUTED_VALUE"""),"DMK")</f>
        <v>DMK</v>
      </c>
      <c r="O1292" s="145" t="str">
        <f>IFERROR(__xludf.DUMMYFUNCTION("""COMPUTED_VALUE"""),"Up Home")</f>
        <v>Up Home</v>
      </c>
      <c r="P1292" t="str">
        <f>IFERROR(__xludf.DUMMYFUNCTION("""COMPUTED_VALUE"""),"Active")</f>
        <v>Active</v>
      </c>
      <c r="R1292" s="156">
        <f>IFERROR(__xludf.DUMMYFUNCTION("""COMPUTED_VALUE"""),34819.0)</f>
        <v>34819</v>
      </c>
      <c r="S1292" s="146">
        <f>IFERROR(__xludf.DUMMYFUNCTION("""COMPUTED_VALUE"""),9.91979664E8)</f>
        <v>991979664</v>
      </c>
      <c r="T1292" s="147">
        <f>IFERROR(__xludf.DUMMYFUNCTION("""COMPUTED_VALUE"""),1.579900598354E12)</f>
        <v>1579900598354</v>
      </c>
      <c r="U1292" t="str">
        <f>IFERROR(__xludf.DUMMYFUNCTION("""COMPUTED_VALUE"""),"AC2937595")</f>
        <v>AC2937595</v>
      </c>
      <c r="V1292" s="148">
        <f>IFERROR(__xludf.DUMMYFUNCTION("""COMPUTED_VALUE"""),44634.0)</f>
        <v>44634</v>
      </c>
      <c r="W1292" s="148">
        <f>IFERROR(__xludf.DUMMYFUNCTION("""COMPUTED_VALUE"""),46459.0)</f>
        <v>46459</v>
      </c>
      <c r="X1292" s="149">
        <f>IFERROR(__xludf.DUMMYFUNCTION("""COMPUTED_VALUE"""),46278.0)</f>
        <v>46278</v>
      </c>
      <c r="Y1292" t="str">
        <f>IFERROR(__xludf.DUMMYFUNCTION("""COMPUTED_VALUE"""),"ปลอดภัย")</f>
        <v>ปลอดภัย</v>
      </c>
      <c r="Z1292" t="str">
        <f>IFERROR(__xludf.DUMMYFUNCTION("""COMPUTED_VALUE"""),"Chiang Rai Province")</f>
        <v>Chiang Rai Province</v>
      </c>
      <c r="AA1292" t="str">
        <f>IFERROR(__xludf.DUMMYFUNCTION("""COMPUTED_VALUE"""),"Bangkok")</f>
        <v>Bangkok</v>
      </c>
      <c r="AB1292" s="145" t="str">
        <f>IFERROR(__xludf.DUMMYFUNCTION("""COMPUTED_VALUE"""),"085-1954593")</f>
        <v>085-1954593</v>
      </c>
      <c r="AC1292" t="str">
        <f>IFERROR(__xludf.DUMMYFUNCTION("""COMPUTED_VALUE"""),"นางสาว นฐิณี ตันมาละ Sister")</f>
        <v>นางสาว นฐิณี ตันมาละ Sister</v>
      </c>
      <c r="AD1292" t="str">
        <f>IFERROR(__xludf.DUMMYFUNCTION("""COMPUTED_VALUE"""),"airadaanu@airasia.com")</f>
        <v>airadaanu@airasia.com</v>
      </c>
    </row>
    <row r="1293">
      <c r="A1293">
        <f>IFERROR(__xludf.DUMMYFUNCTION("""COMPUTED_VALUE"""),112.0)</f>
        <v>112</v>
      </c>
      <c r="B1293" t="str">
        <f>IFERROR(__xludf.DUMMYFUNCTION("""COMPUTED_VALUE"""),"Initial Training 6 Jan 26")</f>
        <v>Initial Training 6 Jan 26</v>
      </c>
      <c r="C1293">
        <f>IFERROR(__xludf.DUMMYFUNCTION("""COMPUTED_VALUE"""),1046367.0)</f>
        <v>1046367</v>
      </c>
      <c r="D1293" t="str">
        <f>IFERROR(__xludf.DUMMYFUNCTION("""COMPUTED_VALUE"""),"Ms.")</f>
        <v>Ms.</v>
      </c>
      <c r="E1293" t="str">
        <f>IFERROR(__xludf.DUMMYFUNCTION("""COMPUTED_VALUE"""),"Laphatwarin")</f>
        <v>Laphatwarin</v>
      </c>
      <c r="F1293" t="str">
        <f>IFERROR(__xludf.DUMMYFUNCTION("""COMPUTED_VALUE"""),"Phaesongphat")</f>
        <v>Phaesongphat</v>
      </c>
      <c r="G1293" t="str">
        <f>IFERROR(__xludf.DUMMYFUNCTION("""COMPUTED_VALUE"""),"Laphatwarin Phaesongphat")</f>
        <v>Laphatwarin Phaesongphat</v>
      </c>
      <c r="H1293" t="str">
        <f>IFERROR(__xludf.DUMMYFUNCTION("""COMPUTED_VALUE"""),"นางสาว")</f>
        <v>นางสาว</v>
      </c>
      <c r="I1293" t="str">
        <f>IFERROR(__xludf.DUMMYFUNCTION("""COMPUTED_VALUE"""),"ลภัสวรินย์")</f>
        <v>ลภัสวรินย์</v>
      </c>
      <c r="J1293" t="str">
        <f>IFERROR(__xludf.DUMMYFUNCTION("""COMPUTED_VALUE"""),"แพทรงพัฒน์")</f>
        <v>แพทรงพัฒน์</v>
      </c>
      <c r="K1293" t="str">
        <f>IFERROR(__xludf.DUMMYFUNCTION("""COMPUTED_VALUE"""),"ลภัสวรินย์ แพทรงพัฒน์")</f>
        <v>ลภัสวรินย์ แพทรงพัฒน์</v>
      </c>
      <c r="L1293" t="str">
        <f>IFERROR(__xludf.DUMMYFUNCTION("""COMPUTED_VALUE"""),"Sah / ซะห์")</f>
        <v>Sah / ซะห์</v>
      </c>
      <c r="M1293" t="str">
        <f>IFERROR(__xludf.DUMMYFUNCTION("""COMPUTED_VALUE"""),"Cabin Crew Trainee")</f>
        <v>Cabin Crew Trainee</v>
      </c>
      <c r="N1293" t="str">
        <f>IFERROR(__xludf.DUMMYFUNCTION("""COMPUTED_VALUE"""),"DMK")</f>
        <v>DMK</v>
      </c>
      <c r="O1293" s="145" t="str">
        <f>IFERROR(__xludf.DUMMYFUNCTION("""COMPUTED_VALUE"""),"Toffy Home")</f>
        <v>Toffy Home</v>
      </c>
      <c r="P1293" t="str">
        <f>IFERROR(__xludf.DUMMYFUNCTION("""COMPUTED_VALUE"""),"Active/V/BKK")</f>
        <v>Active/V/BKK</v>
      </c>
      <c r="R1293" s="156">
        <f>IFERROR(__xludf.DUMMYFUNCTION("""COMPUTED_VALUE"""),34373.0)</f>
        <v>34373</v>
      </c>
      <c r="S1293" s="146">
        <f>IFERROR(__xludf.DUMMYFUNCTION("""COMPUTED_VALUE"""),8.54146566E8)</f>
        <v>854146566</v>
      </c>
      <c r="T1293" s="147">
        <f>IFERROR(__xludf.DUMMYFUNCTION("""COMPUTED_VALUE"""),1.100800945198E12)</f>
        <v>1100800945198</v>
      </c>
      <c r="U1293" t="str">
        <f>IFERROR(__xludf.DUMMYFUNCTION("""COMPUTED_VALUE"""),"AD0034756")</f>
        <v>AD0034756</v>
      </c>
      <c r="V1293" s="148">
        <f>IFERROR(__xludf.DUMMYFUNCTION("""COMPUTED_VALUE"""),44825.0)</f>
        <v>44825</v>
      </c>
      <c r="W1293" s="148">
        <f>IFERROR(__xludf.DUMMYFUNCTION("""COMPUTED_VALUE"""),48477.0)</f>
        <v>48477</v>
      </c>
      <c r="X1293" s="149">
        <f>IFERROR(__xludf.DUMMYFUNCTION("""COMPUTED_VALUE"""),48293.0)</f>
        <v>48293</v>
      </c>
      <c r="Y1293" t="str">
        <f>IFERROR(__xludf.DUMMYFUNCTION("""COMPUTED_VALUE"""),"ปลอดภัย")</f>
        <v>ปลอดภัย</v>
      </c>
      <c r="Z1293" t="str">
        <f>IFERROR(__xludf.DUMMYFUNCTION("""COMPUTED_VALUE"""),"Bangkok")</f>
        <v>Bangkok</v>
      </c>
      <c r="AA1293" t="str">
        <f>IFERROR(__xludf.DUMMYFUNCTION("""COMPUTED_VALUE"""),"Pathum Thani")</f>
        <v>Pathum Thani</v>
      </c>
      <c r="AB1293" s="145" t="str">
        <f>IFERROR(__xludf.DUMMYFUNCTION("""COMPUTED_VALUE"""),"0966593978")</f>
        <v>0966593978</v>
      </c>
      <c r="AC1293" t="str">
        <f>IFERROR(__xludf.DUMMYFUNCTION("""COMPUTED_VALUE"""),"นางวิไล แซ่โง้ว Mother")</f>
        <v>นางวิไล แซ่โง้ว Mother</v>
      </c>
      <c r="AD1293" t="str">
        <f>IFERROR(__xludf.DUMMYFUNCTION("""COMPUTED_VALUE"""),"laphatwarinpha@airasia.com")</f>
        <v>laphatwarinpha@airasia.com</v>
      </c>
    </row>
    <row r="1294">
      <c r="A1294">
        <f>IFERROR(__xludf.DUMMYFUNCTION("""COMPUTED_VALUE"""),112.0)</f>
        <v>112</v>
      </c>
      <c r="B1294" t="str">
        <f>IFERROR(__xludf.DUMMYFUNCTION("""COMPUTED_VALUE"""),"Initial Training 6 Jan 26")</f>
        <v>Initial Training 6 Jan 26</v>
      </c>
      <c r="C1294">
        <f>IFERROR(__xludf.DUMMYFUNCTION("""COMPUTED_VALUE"""),1046368.0)</f>
        <v>1046368</v>
      </c>
      <c r="D1294" t="str">
        <f>IFERROR(__xludf.DUMMYFUNCTION("""COMPUTED_VALUE"""),"Ms.")</f>
        <v>Ms.</v>
      </c>
      <c r="E1294" t="str">
        <f>IFERROR(__xludf.DUMMYFUNCTION("""COMPUTED_VALUE"""),"Natrueja")</f>
        <v>Natrueja</v>
      </c>
      <c r="F1294" t="str">
        <f>IFERROR(__xludf.DUMMYFUNCTION("""COMPUTED_VALUE"""),"Pornpitaktepakit")</f>
        <v>Pornpitaktepakit</v>
      </c>
      <c r="G1294" t="str">
        <f>IFERROR(__xludf.DUMMYFUNCTION("""COMPUTED_VALUE"""),"Natrueja Pornpitaktepakit")</f>
        <v>Natrueja Pornpitaktepakit</v>
      </c>
      <c r="H1294" t="str">
        <f>IFERROR(__xludf.DUMMYFUNCTION("""COMPUTED_VALUE"""),"นางสาว")</f>
        <v>นางสาว</v>
      </c>
      <c r="I1294" t="str">
        <f>IFERROR(__xludf.DUMMYFUNCTION("""COMPUTED_VALUE"""),"ณัฐรุจา")</f>
        <v>ณัฐรุจา</v>
      </c>
      <c r="J1294" t="str">
        <f>IFERROR(__xludf.DUMMYFUNCTION("""COMPUTED_VALUE"""),"พรพิทักษ์เทพกิจ")</f>
        <v>พรพิทักษ์เทพกิจ</v>
      </c>
      <c r="K1294" t="str">
        <f>IFERROR(__xludf.DUMMYFUNCTION("""COMPUTED_VALUE"""),"ณัฐรุจา พรพิทักษ์เทพกิจ")</f>
        <v>ณัฐรุจา พรพิทักษ์เทพกิจ</v>
      </c>
      <c r="L1294" t="str">
        <f>IFERROR(__xludf.DUMMYFUNCTION("""COMPUTED_VALUE"""),"Bow / โบว์")</f>
        <v>Bow / โบว์</v>
      </c>
      <c r="M1294" t="str">
        <f>IFERROR(__xludf.DUMMYFUNCTION("""COMPUTED_VALUE"""),"Cabin Crew Trainee")</f>
        <v>Cabin Crew Trainee</v>
      </c>
      <c r="N1294" t="str">
        <f>IFERROR(__xludf.DUMMYFUNCTION("""COMPUTED_VALUE"""),"DMK")</f>
        <v>DMK</v>
      </c>
      <c r="O1294" s="145" t="str">
        <f>IFERROR(__xludf.DUMMYFUNCTION("""COMPUTED_VALUE"""),"Toffy Home")</f>
        <v>Toffy Home</v>
      </c>
      <c r="P1294" t="str">
        <f>IFERROR(__xludf.DUMMYFUNCTION("""COMPUTED_VALUE"""),"Active/V/BKK")</f>
        <v>Active/V/BKK</v>
      </c>
      <c r="R1294" s="156">
        <f>IFERROR(__xludf.DUMMYFUNCTION("""COMPUTED_VALUE"""),32145.0)</f>
        <v>32145</v>
      </c>
      <c r="S1294" s="146">
        <f>IFERROR(__xludf.DUMMYFUNCTION("""COMPUTED_VALUE"""),8.65720719E8)</f>
        <v>865720719</v>
      </c>
      <c r="T1294" s="147">
        <f>IFERROR(__xludf.DUMMYFUNCTION("""COMPUTED_VALUE"""),1.100800389414E12)</f>
        <v>1100800389414</v>
      </c>
      <c r="U1294" t="str">
        <f>IFERROR(__xludf.DUMMYFUNCTION("""COMPUTED_VALUE"""),"AC6761211")</f>
        <v>AC6761211</v>
      </c>
      <c r="V1294" s="148">
        <f>IFERROR(__xludf.DUMMYFUNCTION("""COMPUTED_VALUE"""),45425.0)</f>
        <v>45425</v>
      </c>
      <c r="W1294" s="148">
        <f>IFERROR(__xludf.DUMMYFUNCTION("""COMPUTED_VALUE"""),49076.0)</f>
        <v>49076</v>
      </c>
      <c r="X1294" s="149">
        <f>IFERROR(__xludf.DUMMYFUNCTION("""COMPUTED_VALUE"""),48895.0)</f>
        <v>48895</v>
      </c>
      <c r="Y1294" t="str">
        <f>IFERROR(__xludf.DUMMYFUNCTION("""COMPUTED_VALUE"""),"ปลอดภัย")</f>
        <v>ปลอดภัย</v>
      </c>
      <c r="Z1294" t="str">
        <f>IFERROR(__xludf.DUMMYFUNCTION("""COMPUTED_VALUE"""),"Bangkok")</f>
        <v>Bangkok</v>
      </c>
      <c r="AA1294" t="str">
        <f>IFERROR(__xludf.DUMMYFUNCTION("""COMPUTED_VALUE"""),"Bangkok")</f>
        <v>Bangkok</v>
      </c>
      <c r="AB1294" s="145" t="str">
        <f>IFERROR(__xludf.DUMMYFUNCTION("""COMPUTED_VALUE"""),"816265831")</f>
        <v>816265831</v>
      </c>
      <c r="AC1294" t="str">
        <f>IFERROR(__xludf.DUMMYFUNCTION("""COMPUTED_VALUE"""),"นาย ไพโรจน์ พรพิทักษ์เทพกิจ Father")</f>
        <v>นาย ไพโรจน์ พรพิทักษ์เทพกิจ Father</v>
      </c>
      <c r="AD1294" t="str">
        <f>IFERROR(__xludf.DUMMYFUNCTION("""COMPUTED_VALUE"""),"natruejapor@airasia.com")</f>
        <v>natruejapor@airasia.com</v>
      </c>
    </row>
    <row r="1295">
      <c r="A1295">
        <f>IFERROR(__xludf.DUMMYFUNCTION("""COMPUTED_VALUE"""),112.0)</f>
        <v>112</v>
      </c>
      <c r="B1295" t="str">
        <f>IFERROR(__xludf.DUMMYFUNCTION("""COMPUTED_VALUE"""),"Initial Training 6 Jan 26")</f>
        <v>Initial Training 6 Jan 26</v>
      </c>
      <c r="C1295">
        <f>IFERROR(__xludf.DUMMYFUNCTION("""COMPUTED_VALUE"""),1046369.0)</f>
        <v>1046369</v>
      </c>
      <c r="D1295" t="str">
        <f>IFERROR(__xludf.DUMMYFUNCTION("""COMPUTED_VALUE"""),"Mr.")</f>
        <v>Mr.</v>
      </c>
      <c r="E1295" t="str">
        <f>IFERROR(__xludf.DUMMYFUNCTION("""COMPUTED_VALUE"""),"Nattapong")</f>
        <v>Nattapong</v>
      </c>
      <c r="F1295" t="str">
        <f>IFERROR(__xludf.DUMMYFUNCTION("""COMPUTED_VALUE"""),"Seeyuyang")</f>
        <v>Seeyuyang</v>
      </c>
      <c r="G1295" t="str">
        <f>IFERROR(__xludf.DUMMYFUNCTION("""COMPUTED_VALUE"""),"Nattapong  Seeyuyang")</f>
        <v>Nattapong  Seeyuyang</v>
      </c>
      <c r="H1295" t="str">
        <f>IFERROR(__xludf.DUMMYFUNCTION("""COMPUTED_VALUE"""),"นาย")</f>
        <v>นาย</v>
      </c>
      <c r="I1295" t="str">
        <f>IFERROR(__xludf.DUMMYFUNCTION("""COMPUTED_VALUE"""),"ณัฐพงษ์")</f>
        <v>ณัฐพงษ์</v>
      </c>
      <c r="J1295" t="str">
        <f>IFERROR(__xludf.DUMMYFUNCTION("""COMPUTED_VALUE"""),"สียุยาง")</f>
        <v>สียุยาง</v>
      </c>
      <c r="K1295" t="str">
        <f>IFERROR(__xludf.DUMMYFUNCTION("""COMPUTED_VALUE"""),"ณัฐพงษ์  	สียุยาง")</f>
        <v>ณัฐพงษ์  	สียุยาง</v>
      </c>
      <c r="L1295" t="str">
        <f>IFERROR(__xludf.DUMMYFUNCTION("""COMPUTED_VALUE"""),"Poppy/ป๊อปปี้")</f>
        <v>Poppy/ป๊อปปี้</v>
      </c>
      <c r="M1295" t="str">
        <f>IFERROR(__xludf.DUMMYFUNCTION("""COMPUTED_VALUE"""),"Cabin Crew Trainee")</f>
        <v>Cabin Crew Trainee</v>
      </c>
      <c r="N1295" t="str">
        <f>IFERROR(__xludf.DUMMYFUNCTION("""COMPUTED_VALUE"""),"DMK")</f>
        <v>DMK</v>
      </c>
      <c r="O1295" s="145" t="str">
        <f>IFERROR(__xludf.DUMMYFUNCTION("""COMPUTED_VALUE"""),"Por+ Home")</f>
        <v>Por+ Home</v>
      </c>
      <c r="P1295" t="str">
        <f>IFERROR(__xludf.DUMMYFUNCTION("""COMPUTED_VALUE"""),"Active/V/BKK")</f>
        <v>Active/V/BKK</v>
      </c>
      <c r="R1295" s="156">
        <f>IFERROR(__xludf.DUMMYFUNCTION("""COMPUTED_VALUE"""),32560.0)</f>
        <v>32560</v>
      </c>
      <c r="S1295" s="146">
        <f>IFERROR(__xludf.DUMMYFUNCTION("""COMPUTED_VALUE"""),6.24581454E8)</f>
        <v>624581454</v>
      </c>
      <c r="T1295" s="147">
        <f>IFERROR(__xludf.DUMMYFUNCTION("""COMPUTED_VALUE"""),1.401600131888E12)</f>
        <v>1401600131888</v>
      </c>
      <c r="U1295" t="str">
        <f>IFERROR(__xludf.DUMMYFUNCTION("""COMPUTED_VALUE"""),"AD0764512")</f>
        <v>AD0764512</v>
      </c>
      <c r="V1295" s="148">
        <f>IFERROR(__xludf.DUMMYFUNCTION("""COMPUTED_VALUE"""),44964.0)</f>
        <v>44964</v>
      </c>
      <c r="W1295" s="148">
        <f>IFERROR(__xludf.DUMMYFUNCTION("""COMPUTED_VALUE"""),48616.0)</f>
        <v>48616</v>
      </c>
      <c r="X1295" s="149">
        <f>IFERROR(__xludf.DUMMYFUNCTION("""COMPUTED_VALUE"""),48432.0)</f>
        <v>48432</v>
      </c>
      <c r="Y1295" t="str">
        <f>IFERROR(__xludf.DUMMYFUNCTION("""COMPUTED_VALUE"""),"ปลอดภัย")</f>
        <v>ปลอดภัย</v>
      </c>
      <c r="Z1295" t="str">
        <f>IFERROR(__xludf.DUMMYFUNCTION("""COMPUTED_VALUE"""),"Khon Kaen Province")</f>
        <v>Khon Kaen Province</v>
      </c>
      <c r="AA1295" t="str">
        <f>IFERROR(__xludf.DUMMYFUNCTION("""COMPUTED_VALUE"""),"Pathum Thani")</f>
        <v>Pathum Thani</v>
      </c>
      <c r="AB1295" s="145" t="str">
        <f>IFERROR(__xludf.DUMMYFUNCTION("""COMPUTED_VALUE"""),"0992742529")</f>
        <v>0992742529</v>
      </c>
      <c r="AC1295" t="str">
        <f>IFERROR(__xludf.DUMMYFUNCTION("""COMPUTED_VALUE"""),"นางพิมพิสาข์  สียุยาง Mother")</f>
        <v>นางพิมพิสาข์  สียุยาง Mother</v>
      </c>
      <c r="AD1295" t="str">
        <f>IFERROR(__xludf.DUMMYFUNCTION("""COMPUTED_VALUE"""),"nattapongsee@airasia.com")</f>
        <v>nattapongsee@airasia.com</v>
      </c>
    </row>
    <row r="1297">
      <c r="A1297">
        <f>IFERROR(__xludf.DUMMYFUNCTION("""COMPUTED_VALUE"""),113.0)</f>
        <v>113</v>
      </c>
      <c r="B1297" t="str">
        <f>IFERROR(__xludf.DUMMYFUNCTION("""COMPUTED_VALUE"""),"LWP from B.111 to B.113")</f>
        <v>LWP from B.111 to B.113</v>
      </c>
      <c r="C1297">
        <f>IFERROR(__xludf.DUMMYFUNCTION("""COMPUTED_VALUE"""),1046100.0)</f>
        <v>1046100</v>
      </c>
      <c r="D1297" t="str">
        <f>IFERROR(__xludf.DUMMYFUNCTION("""COMPUTED_VALUE"""),"Ms.")</f>
        <v>Ms.</v>
      </c>
      <c r="E1297" t="str">
        <f>IFERROR(__xludf.DUMMYFUNCTION("""COMPUTED_VALUE"""),"Punnalak")</f>
        <v>Punnalak</v>
      </c>
      <c r="F1297" t="str">
        <f>IFERROR(__xludf.DUMMYFUNCTION("""COMPUTED_VALUE"""),"Pansakulwat")</f>
        <v>Pansakulwat</v>
      </c>
      <c r="G1297" t="str">
        <f>IFERROR(__xludf.DUMMYFUNCTION("""COMPUTED_VALUE"""),"Punnalak Pansakulwat")</f>
        <v>Punnalak Pansakulwat</v>
      </c>
      <c r="H1297" t="str">
        <f>IFERROR(__xludf.DUMMYFUNCTION("""COMPUTED_VALUE"""),"นางสาว")</f>
        <v>นางสาว</v>
      </c>
      <c r="I1297" t="str">
        <f>IFERROR(__xludf.DUMMYFUNCTION("""COMPUTED_VALUE"""),"ปุณณลักษณ์")</f>
        <v>ปุณณลักษณ์</v>
      </c>
      <c r="J1297" t="str">
        <f>IFERROR(__xludf.DUMMYFUNCTION("""COMPUTED_VALUE"""),"พรรณสกุลวัฒน์")</f>
        <v>พรรณสกุลวัฒน์</v>
      </c>
      <c r="K1297" s="145" t="str">
        <f>IFERROR(__xludf.DUMMYFUNCTION("""COMPUTED_VALUE"""),"ปุณณลักษณ์ พรรณสกุลวัฒน์")</f>
        <v>ปุณณลักษณ์ พรรณสกุลวัฒน์</v>
      </c>
      <c r="L1297" t="str">
        <f>IFERROR(__xludf.DUMMYFUNCTION("""COMPUTED_VALUE"""),"Bam/ แบม")</f>
        <v>Bam/ แบม</v>
      </c>
      <c r="M1297" t="str">
        <f>IFERROR(__xludf.DUMMYFUNCTION("""COMPUTED_VALUE"""),"Cabin Crew Trainee")</f>
        <v>Cabin Crew Trainee</v>
      </c>
      <c r="N1297" t="str">
        <f>IFERROR(__xludf.DUMMYFUNCTION("""COMPUTED_VALUE"""),"DMK")</f>
        <v>DMK</v>
      </c>
      <c r="O1297" s="145" t="str">
        <f>IFERROR(__xludf.DUMMYFUNCTION("""COMPUTED_VALUE"""),"Kor Home")</f>
        <v>Kor Home</v>
      </c>
      <c r="P1297" t="str">
        <f>IFERROR(__xludf.DUMMYFUNCTION("""COMPUTED_VALUE"""),"Trainee")</f>
        <v>Trainee</v>
      </c>
      <c r="R1297" s="156">
        <f>IFERROR(__xludf.DUMMYFUNCTION("""COMPUTED_VALUE"""),35978.0)</f>
        <v>35978</v>
      </c>
      <c r="S1297" s="146">
        <f>IFERROR(__xludf.DUMMYFUNCTION("""COMPUTED_VALUE"""),9.59905951E8)</f>
        <v>959905951</v>
      </c>
      <c r="T1297" s="147">
        <f>IFERROR(__xludf.DUMMYFUNCTION("""COMPUTED_VALUE"""),1.104700003186E12)</f>
        <v>1104700003186</v>
      </c>
      <c r="U1297" t="str">
        <f>IFERROR(__xludf.DUMMYFUNCTION("""COMPUTED_VALUE"""),"AC4358517")</f>
        <v>AC4358517</v>
      </c>
      <c r="V1297" s="148">
        <f>IFERROR(__xludf.DUMMYFUNCTION("""COMPUTED_VALUE"""),44937.0)</f>
        <v>44937</v>
      </c>
      <c r="W1297" s="148">
        <f>IFERROR(__xludf.DUMMYFUNCTION("""COMPUTED_VALUE"""),48589.0)</f>
        <v>48589</v>
      </c>
      <c r="X1297" s="149">
        <f>IFERROR(__xludf.DUMMYFUNCTION("""COMPUTED_VALUE"""),48405.0)</f>
        <v>48405</v>
      </c>
      <c r="Y1297" t="str">
        <f>IFERROR(__xludf.DUMMYFUNCTION("""COMPUTED_VALUE"""),"ปลอดภัย")</f>
        <v>ปลอดภัย</v>
      </c>
      <c r="Z1297" t="str">
        <f>IFERROR(__xludf.DUMMYFUNCTION("""COMPUTED_VALUE"""),"Bangkok")</f>
        <v>Bangkok</v>
      </c>
      <c r="AA1297" t="str">
        <f>IFERROR(__xludf.DUMMYFUNCTION("""COMPUTED_VALUE"""),"Nontaburi")</f>
        <v>Nontaburi</v>
      </c>
      <c r="AB1297" s="145" t="str">
        <f>IFERROR(__xludf.DUMMYFUNCTION("""COMPUTED_VALUE"""),"0959905951")</f>
        <v>0959905951</v>
      </c>
      <c r="AC1297" t="str">
        <f>IFERROR(__xludf.DUMMYFUNCTION("""COMPUTED_VALUE"""),"นาย นันทวัฒน์ พรรณสกุลวัฒน์ Father")</f>
        <v>นาย นันทวัฒน์ พรรณสกุลวัฒน์ Father</v>
      </c>
      <c r="AD1297" t="str">
        <f>IFERROR(__xludf.DUMMYFUNCTION("""COMPUTED_VALUE"""),"punnalakpan@airasia.com")</f>
        <v>punnalakpan@airasia.com</v>
      </c>
    </row>
    <row r="1298">
      <c r="A1298">
        <f>IFERROR(__xludf.DUMMYFUNCTION("""COMPUTED_VALUE"""),113.0)</f>
        <v>113</v>
      </c>
      <c r="B1298" t="str">
        <f>IFERROR(__xludf.DUMMYFUNCTION("""COMPUTED_VALUE"""),"Initial Training 2 MAR 26")</f>
        <v>Initial Training 2 MAR 26</v>
      </c>
      <c r="C1298">
        <f>IFERROR(__xludf.DUMMYFUNCTION("""COMPUTED_VALUE"""),1046342.0)</f>
        <v>1046342</v>
      </c>
      <c r="D1298" t="str">
        <f>IFERROR(__xludf.DUMMYFUNCTION("""COMPUTED_VALUE"""),"Ms.")</f>
        <v>Ms.</v>
      </c>
      <c r="E1298" t="str">
        <f>IFERROR(__xludf.DUMMYFUNCTION("""COMPUTED_VALUE"""),"Achiraya")</f>
        <v>Achiraya</v>
      </c>
      <c r="F1298" t="str">
        <f>IFERROR(__xludf.DUMMYFUNCTION("""COMPUTED_VALUE"""),"Thipsombut")</f>
        <v>Thipsombut</v>
      </c>
      <c r="G1298" t="str">
        <f>IFERROR(__xludf.DUMMYFUNCTION("""COMPUTED_VALUE"""),"Achiraya Thipsombut")</f>
        <v>Achiraya Thipsombut</v>
      </c>
      <c r="H1298" t="str">
        <f>IFERROR(__xludf.DUMMYFUNCTION("""COMPUTED_VALUE"""),"นางสาว")</f>
        <v>นางสาว</v>
      </c>
      <c r="I1298" t="str">
        <f>IFERROR(__xludf.DUMMYFUNCTION("""COMPUTED_VALUE"""),"อชิรญาณ์")</f>
        <v>อชิรญาณ์</v>
      </c>
      <c r="J1298" t="str">
        <f>IFERROR(__xludf.DUMMYFUNCTION("""COMPUTED_VALUE"""),"ทิพย์สมบัติ")</f>
        <v>ทิพย์สมบัติ</v>
      </c>
      <c r="K1298" s="145" t="str">
        <f>IFERROR(__xludf.DUMMYFUNCTION("""COMPUTED_VALUE"""),"อชิรญาณ์ ทิพย์สมบัติ")</f>
        <v>อชิรญาณ์ ทิพย์สมบัติ</v>
      </c>
      <c r="L1298" t="str">
        <f>IFERROR(__xludf.DUMMYFUNCTION("""COMPUTED_VALUE"""),"Noei / เนย")</f>
        <v>Noei / เนย</v>
      </c>
      <c r="M1298" t="str">
        <f>IFERROR(__xludf.DUMMYFUNCTION("""COMPUTED_VALUE"""),"Cabin Crew Trainee - BKK")</f>
        <v>Cabin Crew Trainee - BKK</v>
      </c>
      <c r="N1298" t="str">
        <f>IFERROR(__xludf.DUMMYFUNCTION("""COMPUTED_VALUE"""),"BKK")</f>
        <v>BKK</v>
      </c>
      <c r="O1298" s="145" t="str">
        <f>IFERROR(__xludf.DUMMYFUNCTION("""COMPUTED_VALUE"""),"Toffy Home")</f>
        <v>Toffy Home</v>
      </c>
      <c r="P1298" t="str">
        <f>IFERROR(__xludf.DUMMYFUNCTION("""COMPUTED_VALUE"""),"Trainee")</f>
        <v>Trainee</v>
      </c>
      <c r="R1298" s="156">
        <f>IFERROR(__xludf.DUMMYFUNCTION("""COMPUTED_VALUE"""),35854.0)</f>
        <v>35854</v>
      </c>
      <c r="S1298" s="146">
        <f>IFERROR(__xludf.DUMMYFUNCTION("""COMPUTED_VALUE"""),9.62519154E8)</f>
        <v>962519154</v>
      </c>
      <c r="T1298" s="147">
        <f>IFERROR(__xludf.DUMMYFUNCTION("""COMPUTED_VALUE"""),1.430200228441E12)</f>
        <v>1430200228441</v>
      </c>
      <c r="U1298" t="str">
        <f>IFERROR(__xludf.DUMMYFUNCTION("""COMPUTED_VALUE"""),"AC2705167")</f>
        <v>AC2705167</v>
      </c>
      <c r="V1298" s="148">
        <f>IFERROR(__xludf.DUMMYFUNCTION("""COMPUTED_VALUE"""),46050.0)</f>
        <v>46050</v>
      </c>
      <c r="W1298" s="148">
        <f>IFERROR(__xludf.DUMMYFUNCTION("""COMPUTED_VALUE"""),48240.0)</f>
        <v>48240</v>
      </c>
      <c r="X1298" s="149">
        <f>IFERROR(__xludf.DUMMYFUNCTION("""COMPUTED_VALUE"""),48056.0)</f>
        <v>48056</v>
      </c>
      <c r="Y1298" t="str">
        <f>IFERROR(__xludf.DUMMYFUNCTION("""COMPUTED_VALUE"""),"ปลอดภัย")</f>
        <v>ปลอดภัย</v>
      </c>
      <c r="Z1298" t="str">
        <f>IFERROR(__xludf.DUMMYFUNCTION("""COMPUTED_VALUE"""),"Nong Khai Province")</f>
        <v>Nong Khai Province</v>
      </c>
      <c r="AA1298" t="str">
        <f>IFERROR(__xludf.DUMMYFUNCTION("""COMPUTED_VALUE"""),"Bangkok")</f>
        <v>Bangkok</v>
      </c>
      <c r="AB1298" s="145" t="str">
        <f>IFERROR(__xludf.DUMMYFUNCTION("""COMPUTED_VALUE"""),"0913533419")</f>
        <v>0913533419</v>
      </c>
      <c r="AC1298" t="str">
        <f>IFERROR(__xludf.DUMMYFUNCTION("""COMPUTED_VALUE"""),"นายชิงชัย ทิพย์สมบัติ Father")</f>
        <v>นายชิงชัย ทิพย์สมบัติ Father</v>
      </c>
      <c r="AD1298" t="str">
        <f>IFERROR(__xludf.DUMMYFUNCTION("""COMPUTED_VALUE"""),"achirayathi@airasia.com")</f>
        <v>achirayathi@airasia.com</v>
      </c>
    </row>
    <row r="1299">
      <c r="A1299">
        <f>IFERROR(__xludf.DUMMYFUNCTION("""COMPUTED_VALUE"""),113.0)</f>
        <v>113</v>
      </c>
      <c r="B1299" t="str">
        <f>IFERROR(__xludf.DUMMYFUNCTION("""COMPUTED_VALUE"""),"Initial Training 2 MAR 26")</f>
        <v>Initial Training 2 MAR 26</v>
      </c>
      <c r="C1299">
        <f>IFERROR(__xludf.DUMMYFUNCTION("""COMPUTED_VALUE"""),1046343.0)</f>
        <v>1046343</v>
      </c>
      <c r="D1299" t="str">
        <f>IFERROR(__xludf.DUMMYFUNCTION("""COMPUTED_VALUE"""),"Mr.")</f>
        <v>Mr.</v>
      </c>
      <c r="E1299" t="str">
        <f>IFERROR(__xludf.DUMMYFUNCTION("""COMPUTED_VALUE"""),"Anon")</f>
        <v>Anon</v>
      </c>
      <c r="F1299" t="str">
        <f>IFERROR(__xludf.DUMMYFUNCTION("""COMPUTED_VALUE"""),"Sumethanontasak")</f>
        <v>Sumethanontasak</v>
      </c>
      <c r="G1299" t="str">
        <f>IFERROR(__xludf.DUMMYFUNCTION("""COMPUTED_VALUE"""),"Anon Sumethanontasak")</f>
        <v>Anon Sumethanontasak</v>
      </c>
      <c r="H1299" t="str">
        <f>IFERROR(__xludf.DUMMYFUNCTION("""COMPUTED_VALUE"""),"นาย")</f>
        <v>นาย</v>
      </c>
      <c r="I1299" t="str">
        <f>IFERROR(__xludf.DUMMYFUNCTION("""COMPUTED_VALUE"""),"อานนท์")</f>
        <v>อานนท์</v>
      </c>
      <c r="J1299" t="str">
        <f>IFERROR(__xludf.DUMMYFUNCTION("""COMPUTED_VALUE"""),"สุเมธานนทศักดิ์")</f>
        <v>สุเมธานนทศักดิ์</v>
      </c>
      <c r="K1299" s="145" t="str">
        <f>IFERROR(__xludf.DUMMYFUNCTION("""COMPUTED_VALUE"""),"อานนท์ สุเมธานนทศักดิ์")</f>
        <v>อานนท์ สุเมธานนทศักดิ์</v>
      </c>
      <c r="L1299" t="str">
        <f>IFERROR(__xludf.DUMMYFUNCTION("""COMPUTED_VALUE"""),"ตู้")</f>
        <v>ตู้</v>
      </c>
      <c r="M1299" t="str">
        <f>IFERROR(__xludf.DUMMYFUNCTION("""COMPUTED_VALUE"""),"Cabin Crew Trainee")</f>
        <v>Cabin Crew Trainee</v>
      </c>
      <c r="N1299" t="str">
        <f>IFERROR(__xludf.DUMMYFUNCTION("""COMPUTED_VALUE"""),"DMK")</f>
        <v>DMK</v>
      </c>
      <c r="O1299" s="145" t="str">
        <f>IFERROR(__xludf.DUMMYFUNCTION("""COMPUTED_VALUE"""),"Toffy Home")</f>
        <v>Toffy Home</v>
      </c>
      <c r="P1299" t="str">
        <f>IFERROR(__xludf.DUMMYFUNCTION("""COMPUTED_VALUE"""),"Trainee")</f>
        <v>Trainee</v>
      </c>
      <c r="R1299" s="156">
        <f>IFERROR(__xludf.DUMMYFUNCTION("""COMPUTED_VALUE"""),32696.0)</f>
        <v>32696</v>
      </c>
      <c r="S1299" s="146">
        <f>IFERROR(__xludf.DUMMYFUNCTION("""COMPUTED_VALUE"""),8.94626249E8)</f>
        <v>894626249</v>
      </c>
      <c r="T1299" s="147">
        <f>IFERROR(__xludf.DUMMYFUNCTION("""COMPUTED_VALUE"""),1.102001166246E12)</f>
        <v>1102001166246</v>
      </c>
      <c r="U1299" t="str">
        <f>IFERROR(__xludf.DUMMYFUNCTION("""COMPUTED_VALUE"""),"AD0735071")</f>
        <v>AD0735071</v>
      </c>
      <c r="V1299" s="148">
        <f>IFERROR(__xludf.DUMMYFUNCTION("""COMPUTED_VALUE"""),44967.0)</f>
        <v>44967</v>
      </c>
      <c r="W1299" s="148">
        <f>IFERROR(__xludf.DUMMYFUNCTION("""COMPUTED_VALUE"""),48619.0)</f>
        <v>48619</v>
      </c>
      <c r="X1299" s="149">
        <f>IFERROR(__xludf.DUMMYFUNCTION("""COMPUTED_VALUE"""),48435.0)</f>
        <v>48435</v>
      </c>
      <c r="Y1299" t="str">
        <f>IFERROR(__xludf.DUMMYFUNCTION("""COMPUTED_VALUE"""),"ปลอดภัย")</f>
        <v>ปลอดภัย</v>
      </c>
      <c r="Z1299" t="str">
        <f>IFERROR(__xludf.DUMMYFUNCTION("""COMPUTED_VALUE"""),"Bangkok")</f>
        <v>Bangkok</v>
      </c>
      <c r="AA1299" t="str">
        <f>IFERROR(__xludf.DUMMYFUNCTION("""COMPUTED_VALUE"""),"Bangkok")</f>
        <v>Bangkok</v>
      </c>
      <c r="AB1299" s="145" t="str">
        <f>IFERROR(__xludf.DUMMYFUNCTION("""COMPUTED_VALUE"""),"081-945-6449")</f>
        <v>081-945-6449</v>
      </c>
      <c r="AC1299" t="str">
        <f>IFERROR(__xludf.DUMMYFUNCTION("""COMPUTED_VALUE"""),"นายธนพิสิฐ ภิวัฒน์ชัยกุล Friend")</f>
        <v>นายธนพิสิฐ ภิวัฒน์ชัยกุล Friend</v>
      </c>
      <c r="AD1299" t="str">
        <f>IFERROR(__xludf.DUMMYFUNCTION("""COMPUTED_VALUE"""),"anonsum@airasia.com")</f>
        <v>anonsum@airasia.com</v>
      </c>
    </row>
    <row r="1300">
      <c r="A1300">
        <f>IFERROR(__xludf.DUMMYFUNCTION("""COMPUTED_VALUE"""),113.0)</f>
        <v>113</v>
      </c>
      <c r="B1300" t="str">
        <f>IFERROR(__xludf.DUMMYFUNCTION("""COMPUTED_VALUE"""),"Initial Training 2 MAR 26")</f>
        <v>Initial Training 2 MAR 26</v>
      </c>
      <c r="C1300">
        <f>IFERROR(__xludf.DUMMYFUNCTION("""COMPUTED_VALUE"""),1046344.0)</f>
        <v>1046344</v>
      </c>
      <c r="D1300" t="str">
        <f>IFERROR(__xludf.DUMMYFUNCTION("""COMPUTED_VALUE"""),"Mr.")</f>
        <v>Mr.</v>
      </c>
      <c r="E1300" t="str">
        <f>IFERROR(__xludf.DUMMYFUNCTION("""COMPUTED_VALUE"""),"Apicha")</f>
        <v>Apicha</v>
      </c>
      <c r="F1300" t="str">
        <f>IFERROR(__xludf.DUMMYFUNCTION("""COMPUTED_VALUE"""),"Soontornchai")</f>
        <v>Soontornchai</v>
      </c>
      <c r="G1300" t="str">
        <f>IFERROR(__xludf.DUMMYFUNCTION("""COMPUTED_VALUE"""),"Apicha Soontornchai")</f>
        <v>Apicha Soontornchai</v>
      </c>
      <c r="H1300" t="str">
        <f>IFERROR(__xludf.DUMMYFUNCTION("""COMPUTED_VALUE"""),"นาย")</f>
        <v>นาย</v>
      </c>
      <c r="I1300" t="str">
        <f>IFERROR(__xludf.DUMMYFUNCTION("""COMPUTED_VALUE"""),"อภิชา")</f>
        <v>อภิชา</v>
      </c>
      <c r="J1300" t="str">
        <f>IFERROR(__xludf.DUMMYFUNCTION("""COMPUTED_VALUE"""),"สุนทรชัย")</f>
        <v>สุนทรชัย</v>
      </c>
      <c r="K1300" s="145" t="str">
        <f>IFERROR(__xludf.DUMMYFUNCTION("""COMPUTED_VALUE"""),"อภิชา สุนทรชัย")</f>
        <v>อภิชา สุนทรชัย</v>
      </c>
      <c r="L1300" t="str">
        <f>IFERROR(__xludf.DUMMYFUNCTION("""COMPUTED_VALUE"""),"ไทน์")</f>
        <v>ไทน์</v>
      </c>
      <c r="M1300" t="str">
        <f>IFERROR(__xludf.DUMMYFUNCTION("""COMPUTED_VALUE"""),"Cabin Crew Trainee")</f>
        <v>Cabin Crew Trainee</v>
      </c>
      <c r="N1300" t="str">
        <f>IFERROR(__xludf.DUMMYFUNCTION("""COMPUTED_VALUE"""),"DMK")</f>
        <v>DMK</v>
      </c>
      <c r="O1300" s="145" t="str">
        <f>IFERROR(__xludf.DUMMYFUNCTION("""COMPUTED_VALUE"""),"Up Home")</f>
        <v>Up Home</v>
      </c>
      <c r="P1300" t="str">
        <f>IFERROR(__xludf.DUMMYFUNCTION("""COMPUTED_VALUE"""),"Trainee")</f>
        <v>Trainee</v>
      </c>
      <c r="R1300" s="156">
        <f>IFERROR(__xludf.DUMMYFUNCTION("""COMPUTED_VALUE"""),34014.0)</f>
        <v>34014</v>
      </c>
      <c r="S1300" s="146">
        <f>IFERROR(__xludf.DUMMYFUNCTION("""COMPUTED_VALUE"""),9.43644198E8)</f>
        <v>943644198</v>
      </c>
      <c r="T1300" s="147">
        <f>IFERROR(__xludf.DUMMYFUNCTION("""COMPUTED_VALUE"""),1.1030000438E12)</f>
        <v>1103000043800</v>
      </c>
      <c r="U1300" t="str">
        <f>IFERROR(__xludf.DUMMYFUNCTION("""COMPUTED_VALUE"""),"AC6630501")</f>
        <v>AC6630501</v>
      </c>
      <c r="V1300" s="148">
        <f>IFERROR(__xludf.DUMMYFUNCTION("""COMPUTED_VALUE"""),45415.0)</f>
        <v>45415</v>
      </c>
      <c r="W1300" s="148">
        <f>IFERROR(__xludf.DUMMYFUNCTION("""COMPUTED_VALUE"""),49066.0)</f>
        <v>49066</v>
      </c>
      <c r="X1300" s="149">
        <f>IFERROR(__xludf.DUMMYFUNCTION("""COMPUTED_VALUE"""),48885.0)</f>
        <v>48885</v>
      </c>
      <c r="Y1300" t="str">
        <f>IFERROR(__xludf.DUMMYFUNCTION("""COMPUTED_VALUE"""),"ปลอดภัย")</f>
        <v>ปลอดภัย</v>
      </c>
      <c r="Z1300" t="str">
        <f>IFERROR(__xludf.DUMMYFUNCTION("""COMPUTED_VALUE"""),"Bangkok")</f>
        <v>Bangkok</v>
      </c>
      <c r="AA1300" t="str">
        <f>IFERROR(__xludf.DUMMYFUNCTION("""COMPUTED_VALUE"""),"Bangkok")</f>
        <v>Bangkok</v>
      </c>
      <c r="AB1300" s="145" t="str">
        <f>IFERROR(__xludf.DUMMYFUNCTION("""COMPUTED_VALUE"""),"094-364-4198")</f>
        <v>094-364-4198</v>
      </c>
      <c r="AC1300" t="str">
        <f>IFERROR(__xludf.DUMMYFUNCTION("""COMPUTED_VALUE"""),"นางจันทศิริ สุนทรชัย Mother")</f>
        <v>นางจันทศิริ สุนทรชัย Mother</v>
      </c>
      <c r="AD1300" t="str">
        <f>IFERROR(__xludf.DUMMYFUNCTION("""COMPUTED_VALUE"""),"apichasoo@airasia.com")</f>
        <v>apichasoo@airasia.com</v>
      </c>
    </row>
    <row r="1301">
      <c r="A1301">
        <f>IFERROR(__xludf.DUMMYFUNCTION("""COMPUTED_VALUE"""),113.0)</f>
        <v>113</v>
      </c>
      <c r="B1301" t="str">
        <f>IFERROR(__xludf.DUMMYFUNCTION("""COMPUTED_VALUE"""),"Initial Training 2 MAR 26")</f>
        <v>Initial Training 2 MAR 26</v>
      </c>
      <c r="C1301">
        <f>IFERROR(__xludf.DUMMYFUNCTION("""COMPUTED_VALUE"""),1046345.0)</f>
        <v>1046345</v>
      </c>
      <c r="D1301" t="str">
        <f>IFERROR(__xludf.DUMMYFUNCTION("""COMPUTED_VALUE"""),"Ms.")</f>
        <v>Ms.</v>
      </c>
      <c r="E1301" t="str">
        <f>IFERROR(__xludf.DUMMYFUNCTION("""COMPUTED_VALUE"""),"Benyaporn")</f>
        <v>Benyaporn</v>
      </c>
      <c r="F1301" t="str">
        <f>IFERROR(__xludf.DUMMYFUNCTION("""COMPUTED_VALUE"""),"Kotcharerk")</f>
        <v>Kotcharerk</v>
      </c>
      <c r="G1301" t="str">
        <f>IFERROR(__xludf.DUMMYFUNCTION("""COMPUTED_VALUE"""),"Benyaporn Kotcharerk")</f>
        <v>Benyaporn Kotcharerk</v>
      </c>
      <c r="H1301" t="str">
        <f>IFERROR(__xludf.DUMMYFUNCTION("""COMPUTED_VALUE"""),"นางสาว")</f>
        <v>นางสาว</v>
      </c>
      <c r="I1301" t="str">
        <f>IFERROR(__xludf.DUMMYFUNCTION("""COMPUTED_VALUE"""),"เบญญาภรณ์")</f>
        <v>เบญญาภรณ์</v>
      </c>
      <c r="J1301" t="str">
        <f>IFERROR(__xludf.DUMMYFUNCTION("""COMPUTED_VALUE"""),"คชฤกษ์")</f>
        <v>คชฤกษ์</v>
      </c>
      <c r="K1301" s="145" t="str">
        <f>IFERROR(__xludf.DUMMYFUNCTION("""COMPUTED_VALUE"""),"เบญญาภรณ์ คชฤกษ์")</f>
        <v>เบญญาภรณ์ คชฤกษ์</v>
      </c>
      <c r="L1301" t="str">
        <f>IFERROR(__xludf.DUMMYFUNCTION("""COMPUTED_VALUE"""),"Feung / เฟื่อง")</f>
        <v>Feung / เฟื่อง</v>
      </c>
      <c r="M1301" t="str">
        <f>IFERROR(__xludf.DUMMYFUNCTION("""COMPUTED_VALUE"""),"Cabin Crew Trainee")</f>
        <v>Cabin Crew Trainee</v>
      </c>
      <c r="N1301" t="str">
        <f>IFERROR(__xludf.DUMMYFUNCTION("""COMPUTED_VALUE"""),"DMK")</f>
        <v>DMK</v>
      </c>
      <c r="O1301" s="145" t="str">
        <f>IFERROR(__xludf.DUMMYFUNCTION("""COMPUTED_VALUE"""),"Namfon Home")</f>
        <v>Namfon Home</v>
      </c>
      <c r="P1301" t="str">
        <f>IFERROR(__xludf.DUMMYFUNCTION("""COMPUTED_VALUE"""),"Trainee")</f>
        <v>Trainee</v>
      </c>
      <c r="R1301" s="156">
        <f>IFERROR(__xludf.DUMMYFUNCTION("""COMPUTED_VALUE"""),37357.0)</f>
        <v>37357</v>
      </c>
      <c r="S1301" s="146">
        <f>IFERROR(__xludf.DUMMYFUNCTION("""COMPUTED_VALUE"""),9.48861424E8)</f>
        <v>948861424</v>
      </c>
      <c r="T1301" s="147">
        <f>IFERROR(__xludf.DUMMYFUNCTION("""COMPUTED_VALUE"""),1.650101123585E12)</f>
        <v>1650101123585</v>
      </c>
      <c r="U1301" t="str">
        <f>IFERROR(__xludf.DUMMYFUNCTION("""COMPUTED_VALUE"""),"AC5888756")</f>
        <v>AC5888756</v>
      </c>
      <c r="V1301" s="148">
        <f>IFERROR(__xludf.DUMMYFUNCTION("""COMPUTED_VALUE"""),45217.0)</f>
        <v>45217</v>
      </c>
      <c r="W1301" s="148">
        <f>IFERROR(__xludf.DUMMYFUNCTION("""COMPUTED_VALUE"""),47043.0)</f>
        <v>47043</v>
      </c>
      <c r="X1301" s="149">
        <f>IFERROR(__xludf.DUMMYFUNCTION("""COMPUTED_VALUE"""),46860.0)</f>
        <v>46860</v>
      </c>
      <c r="Y1301" t="str">
        <f>IFERROR(__xludf.DUMMYFUNCTION("""COMPUTED_VALUE"""),"ปลอดภัย")</f>
        <v>ปลอดภัย</v>
      </c>
      <c r="Z1301" t="str">
        <f>IFERROR(__xludf.DUMMYFUNCTION("""COMPUTED_VALUE"""),"Phitsanulok Province")</f>
        <v>Phitsanulok Province</v>
      </c>
      <c r="AA1301" t="str">
        <f>IFERROR(__xludf.DUMMYFUNCTION("""COMPUTED_VALUE"""),"Bangkok")</f>
        <v>Bangkok</v>
      </c>
      <c r="AB1301" s="145" t="str">
        <f>IFERROR(__xludf.DUMMYFUNCTION("""COMPUTED_VALUE"""),"087-203-9706")</f>
        <v>087-203-9706</v>
      </c>
      <c r="AC1301" t="str">
        <f>IFERROR(__xludf.DUMMYFUNCTION("""COMPUTED_VALUE"""),"นายเจตน์ คชฤกษ์ Father")</f>
        <v>นายเจตน์ คชฤกษ์ Father</v>
      </c>
      <c r="AD1301" t="str">
        <f>IFERROR(__xludf.DUMMYFUNCTION("""COMPUTED_VALUE"""),"benyapornkot@airasia.com")</f>
        <v>benyapornkot@airasia.com</v>
      </c>
    </row>
    <row r="1302">
      <c r="A1302">
        <f>IFERROR(__xludf.DUMMYFUNCTION("""COMPUTED_VALUE"""),113.0)</f>
        <v>113</v>
      </c>
      <c r="B1302" t="str">
        <f>IFERROR(__xludf.DUMMYFUNCTION("""COMPUTED_VALUE"""),"Initial Training 2 MAR 26")</f>
        <v>Initial Training 2 MAR 26</v>
      </c>
      <c r="C1302">
        <f>IFERROR(__xludf.DUMMYFUNCTION("""COMPUTED_VALUE"""),1046346.0)</f>
        <v>1046346</v>
      </c>
      <c r="D1302" t="str">
        <f>IFERROR(__xludf.DUMMYFUNCTION("""COMPUTED_VALUE"""),"Ms.")</f>
        <v>Ms.</v>
      </c>
      <c r="E1302" t="str">
        <f>IFERROR(__xludf.DUMMYFUNCTION("""COMPUTED_VALUE"""),"Haritchaya")</f>
        <v>Haritchaya</v>
      </c>
      <c r="F1302" t="str">
        <f>IFERROR(__xludf.DUMMYFUNCTION("""COMPUTED_VALUE"""),"Phanpruek")</f>
        <v>Phanpruek</v>
      </c>
      <c r="G1302" t="str">
        <f>IFERROR(__xludf.DUMMYFUNCTION("""COMPUTED_VALUE"""),"Haritchaya Phanpruek")</f>
        <v>Haritchaya Phanpruek</v>
      </c>
      <c r="H1302" t="str">
        <f>IFERROR(__xludf.DUMMYFUNCTION("""COMPUTED_VALUE"""),"นางสาว")</f>
        <v>นางสาว</v>
      </c>
      <c r="I1302" t="str">
        <f>IFERROR(__xludf.DUMMYFUNCTION("""COMPUTED_VALUE"""),"หฤทชญา")</f>
        <v>หฤทชญา</v>
      </c>
      <c r="J1302" t="str">
        <f>IFERROR(__xludf.DUMMYFUNCTION("""COMPUTED_VALUE"""),"พันธุ์พฤกษ์")</f>
        <v>พันธุ์พฤกษ์</v>
      </c>
      <c r="K1302" s="145" t="str">
        <f>IFERROR(__xludf.DUMMYFUNCTION("""COMPUTED_VALUE"""),"หฤทชญา พันธุ์พฤกษ์")</f>
        <v>หฤทชญา พันธุ์พฤกษ์</v>
      </c>
      <c r="L1302" t="str">
        <f>IFERROR(__xludf.DUMMYFUNCTION("""COMPUTED_VALUE"""),"แพร")</f>
        <v>แพร</v>
      </c>
      <c r="M1302" t="str">
        <f>IFERROR(__xludf.DUMMYFUNCTION("""COMPUTED_VALUE"""),"Cabin Crew Trainee")</f>
        <v>Cabin Crew Trainee</v>
      </c>
      <c r="N1302" t="str">
        <f>IFERROR(__xludf.DUMMYFUNCTION("""COMPUTED_VALUE"""),"DMK")</f>
        <v>DMK</v>
      </c>
      <c r="O1302" s="145" t="str">
        <f>IFERROR(__xludf.DUMMYFUNCTION("""COMPUTED_VALUE"""),"Um Home")</f>
        <v>Um Home</v>
      </c>
      <c r="P1302" t="str">
        <f>IFERROR(__xludf.DUMMYFUNCTION("""COMPUTED_VALUE"""),"Trainee")</f>
        <v>Trainee</v>
      </c>
      <c r="R1302" s="156">
        <f>IFERROR(__xludf.DUMMYFUNCTION("""COMPUTED_VALUE"""),33327.0)</f>
        <v>33327</v>
      </c>
      <c r="S1302" s="146">
        <f>IFERROR(__xludf.DUMMYFUNCTION("""COMPUTED_VALUE"""),6.25426551E8)</f>
        <v>625426551</v>
      </c>
      <c r="T1302" s="147">
        <f>IFERROR(__xludf.DUMMYFUNCTION("""COMPUTED_VALUE"""),1.959900269799E12)</f>
        <v>1959900269799</v>
      </c>
      <c r="U1302" t="str">
        <f>IFERROR(__xludf.DUMMYFUNCTION("""COMPUTED_VALUE"""),"AC3994369")</f>
        <v>AC3994369</v>
      </c>
      <c r="V1302" s="148">
        <f>IFERROR(__xludf.DUMMYFUNCTION("""COMPUTED_VALUE"""),44811.0)</f>
        <v>44811</v>
      </c>
      <c r="W1302" s="148">
        <f>IFERROR(__xludf.DUMMYFUNCTION("""COMPUTED_VALUE"""),48463.0)</f>
        <v>48463</v>
      </c>
      <c r="X1302" s="149">
        <f>IFERROR(__xludf.DUMMYFUNCTION("""COMPUTED_VALUE"""),48279.0)</f>
        <v>48279</v>
      </c>
      <c r="Y1302" t="str">
        <f>IFERROR(__xludf.DUMMYFUNCTION("""COMPUTED_VALUE"""),"ปลอดภัย")</f>
        <v>ปลอดภัย</v>
      </c>
      <c r="Z1302" t="str">
        <f>IFERROR(__xludf.DUMMYFUNCTION("""COMPUTED_VALUE"""),"Yala Province")</f>
        <v>Yala Province</v>
      </c>
      <c r="AA1302" t="str">
        <f>IFERROR(__xludf.DUMMYFUNCTION("""COMPUTED_VALUE"""),"Bangkok")</f>
        <v>Bangkok</v>
      </c>
      <c r="AB1302" s="145" t="str">
        <f>IFERROR(__xludf.DUMMYFUNCTION("""COMPUTED_VALUE"""),"0869637133")</f>
        <v>0869637133</v>
      </c>
      <c r="AC1302" t="str">
        <f>IFERROR(__xludf.DUMMYFUNCTION("""COMPUTED_VALUE"""),"นางสาวนันท์นภัส พันธุ์พฤกษ์ Sister")</f>
        <v>นางสาวนันท์นภัส พันธุ์พฤกษ์ Sister</v>
      </c>
      <c r="AD1302" t="str">
        <f>IFERROR(__xludf.DUMMYFUNCTION("""COMPUTED_VALUE"""),"haritchayapha@airasia.com")</f>
        <v>haritchayapha@airasia.com</v>
      </c>
    </row>
    <row r="1303">
      <c r="A1303">
        <f>IFERROR(__xludf.DUMMYFUNCTION("""COMPUTED_VALUE"""),113.0)</f>
        <v>113</v>
      </c>
      <c r="B1303" t="str">
        <f>IFERROR(__xludf.DUMMYFUNCTION("""COMPUTED_VALUE"""),"Initial Training 2 MAR 26")</f>
        <v>Initial Training 2 MAR 26</v>
      </c>
      <c r="C1303">
        <f>IFERROR(__xludf.DUMMYFUNCTION("""COMPUTED_VALUE"""),1046347.0)</f>
        <v>1046347</v>
      </c>
      <c r="D1303" t="str">
        <f>IFERROR(__xludf.DUMMYFUNCTION("""COMPUTED_VALUE"""),"Ms.")</f>
        <v>Ms.</v>
      </c>
      <c r="E1303" t="str">
        <f>IFERROR(__xludf.DUMMYFUNCTION("""COMPUTED_VALUE"""),"Hussawan")</f>
        <v>Hussawan</v>
      </c>
      <c r="F1303" t="str">
        <f>IFERROR(__xludf.DUMMYFUNCTION("""COMPUTED_VALUE"""),"Poomsanguan")</f>
        <v>Poomsanguan</v>
      </c>
      <c r="G1303" t="str">
        <f>IFERROR(__xludf.DUMMYFUNCTION("""COMPUTED_VALUE"""),"Hussawan Poomsanguan")</f>
        <v>Hussawan Poomsanguan</v>
      </c>
      <c r="H1303" t="str">
        <f>IFERROR(__xludf.DUMMYFUNCTION("""COMPUTED_VALUE"""),"นางสาว")</f>
        <v>นางสาว</v>
      </c>
      <c r="I1303" t="str">
        <f>IFERROR(__xludf.DUMMYFUNCTION("""COMPUTED_VALUE"""),"หัสวรรษ์")</f>
        <v>หัสวรรษ์</v>
      </c>
      <c r="J1303" t="str">
        <f>IFERROR(__xludf.DUMMYFUNCTION("""COMPUTED_VALUE"""),"พุ่มสงวน")</f>
        <v>พุ่มสงวน</v>
      </c>
      <c r="K1303" s="145" t="str">
        <f>IFERROR(__xludf.DUMMYFUNCTION("""COMPUTED_VALUE"""),"หัสวรรษ์ พุ่มสงวน")</f>
        <v>หัสวรรษ์ พุ่มสงวน</v>
      </c>
      <c r="L1303" t="str">
        <f>IFERROR(__xludf.DUMMYFUNCTION("""COMPUTED_VALUE"""),"มิ้นท์")</f>
        <v>มิ้นท์</v>
      </c>
      <c r="M1303" t="str">
        <f>IFERROR(__xludf.DUMMYFUNCTION("""COMPUTED_VALUE"""),"Cabin Crew Trainee")</f>
        <v>Cabin Crew Trainee</v>
      </c>
      <c r="N1303" t="str">
        <f>IFERROR(__xludf.DUMMYFUNCTION("""COMPUTED_VALUE"""),"DMK")</f>
        <v>DMK</v>
      </c>
      <c r="O1303" s="145" t="str">
        <f>IFERROR(__xludf.DUMMYFUNCTION("""COMPUTED_VALUE"""),"Um Home")</f>
        <v>Um Home</v>
      </c>
      <c r="P1303" t="str">
        <f>IFERROR(__xludf.DUMMYFUNCTION("""COMPUTED_VALUE"""),"Trainee")</f>
        <v>Trainee</v>
      </c>
      <c r="R1303" s="156">
        <f>IFERROR(__xludf.DUMMYFUNCTION("""COMPUTED_VALUE"""),36511.0)</f>
        <v>36511</v>
      </c>
      <c r="S1303" s="146">
        <f>IFERROR(__xludf.DUMMYFUNCTION("""COMPUTED_VALUE"""),9.51634306E8)</f>
        <v>951634306</v>
      </c>
      <c r="T1303" s="147">
        <f>IFERROR(__xludf.DUMMYFUNCTION("""COMPUTED_VALUE"""),1.104200131886E12)</f>
        <v>1104200131886</v>
      </c>
      <c r="U1303" t="str">
        <f>IFERROR(__xludf.DUMMYFUNCTION("""COMPUTED_VALUE"""),"AC3785595")</f>
        <v>AC3785595</v>
      </c>
      <c r="V1303" s="148">
        <f>IFERROR(__xludf.DUMMYFUNCTION("""COMPUTED_VALUE"""),44784.0)</f>
        <v>44784</v>
      </c>
      <c r="W1303" s="148">
        <f>IFERROR(__xludf.DUMMYFUNCTION("""COMPUTED_VALUE"""),48436.0)</f>
        <v>48436</v>
      </c>
      <c r="X1303" s="149">
        <f>IFERROR(__xludf.DUMMYFUNCTION("""COMPUTED_VALUE"""),48254.0)</f>
        <v>48254</v>
      </c>
      <c r="Y1303" t="str">
        <f>IFERROR(__xludf.DUMMYFUNCTION("""COMPUTED_VALUE"""),"ปลอดภัย")</f>
        <v>ปลอดภัย</v>
      </c>
      <c r="Z1303" t="str">
        <f>IFERROR(__xludf.DUMMYFUNCTION("""COMPUTED_VALUE"""),"Bangkok")</f>
        <v>Bangkok</v>
      </c>
      <c r="AA1303" t="str">
        <f>IFERROR(__xludf.DUMMYFUNCTION("""COMPUTED_VALUE"""),"Pathum Thani")</f>
        <v>Pathum Thani</v>
      </c>
      <c r="AB1303" s="145" t="str">
        <f>IFERROR(__xludf.DUMMYFUNCTION("""COMPUTED_VALUE"""),"0910146234")</f>
        <v>0910146234</v>
      </c>
      <c r="AC1303" t="str">
        <f>IFERROR(__xludf.DUMMYFUNCTION("""COMPUTED_VALUE"""),"นางจุฑามาศ พุ่มสงวน Mother")</f>
        <v>นางจุฑามาศ พุ่มสงวน Mother</v>
      </c>
      <c r="AD1303" t="str">
        <f>IFERROR(__xludf.DUMMYFUNCTION("""COMPUTED_VALUE"""),"hussawanpoo@airasia.com")</f>
        <v>hussawanpoo@airasia.com</v>
      </c>
    </row>
    <row r="1304">
      <c r="A1304">
        <f>IFERROR(__xludf.DUMMYFUNCTION("""COMPUTED_VALUE"""),113.0)</f>
        <v>113</v>
      </c>
      <c r="B1304" t="str">
        <f>IFERROR(__xludf.DUMMYFUNCTION("""COMPUTED_VALUE"""),"Initial Training 2 MAR 26")</f>
        <v>Initial Training 2 MAR 26</v>
      </c>
      <c r="C1304">
        <f>IFERROR(__xludf.DUMMYFUNCTION("""COMPUTED_VALUE"""),1046348.0)</f>
        <v>1046348</v>
      </c>
      <c r="D1304" t="str">
        <f>IFERROR(__xludf.DUMMYFUNCTION("""COMPUTED_VALUE"""),"Ms.")</f>
        <v>Ms.</v>
      </c>
      <c r="E1304" t="str">
        <f>IFERROR(__xludf.DUMMYFUNCTION("""COMPUTED_VALUE"""),"Idsarawan")</f>
        <v>Idsarawan</v>
      </c>
      <c r="F1304" t="str">
        <f>IFERROR(__xludf.DUMMYFUNCTION("""COMPUTED_VALUE"""),"Charoenchua")</f>
        <v>Charoenchua</v>
      </c>
      <c r="G1304" t="str">
        <f>IFERROR(__xludf.DUMMYFUNCTION("""COMPUTED_VALUE"""),"Idsarawan Charoenchua")</f>
        <v>Idsarawan Charoenchua</v>
      </c>
      <c r="H1304" t="str">
        <f>IFERROR(__xludf.DUMMYFUNCTION("""COMPUTED_VALUE"""),"นางสาว")</f>
        <v>นางสาว</v>
      </c>
      <c r="I1304" t="str">
        <f>IFERROR(__xludf.DUMMYFUNCTION("""COMPUTED_VALUE"""),"อิศราวรรณ")</f>
        <v>อิศราวรรณ</v>
      </c>
      <c r="J1304" t="str">
        <f>IFERROR(__xludf.DUMMYFUNCTION("""COMPUTED_VALUE"""),"เจริญเชื้อ")</f>
        <v>เจริญเชื้อ</v>
      </c>
      <c r="K1304" s="145" t="str">
        <f>IFERROR(__xludf.DUMMYFUNCTION("""COMPUTED_VALUE"""),"อิศราวรรณ เจริญเชื้อ")</f>
        <v>อิศราวรรณ เจริญเชื้อ</v>
      </c>
      <c r="L1304" t="str">
        <f>IFERROR(__xludf.DUMMYFUNCTION("""COMPUTED_VALUE"""),"ฝน")</f>
        <v>ฝน</v>
      </c>
      <c r="M1304" t="str">
        <f>IFERROR(__xludf.DUMMYFUNCTION("""COMPUTED_VALUE"""),"Cabin Crew Trainee - BKK")</f>
        <v>Cabin Crew Trainee - BKK</v>
      </c>
      <c r="N1304" t="str">
        <f>IFERROR(__xludf.DUMMYFUNCTION("""COMPUTED_VALUE"""),"BKK")</f>
        <v>BKK</v>
      </c>
      <c r="O1304" s="145" t="str">
        <f>IFERROR(__xludf.DUMMYFUNCTION("""COMPUTED_VALUE"""),"Um Home")</f>
        <v>Um Home</v>
      </c>
      <c r="P1304" t="str">
        <f>IFERROR(__xludf.DUMMYFUNCTION("""COMPUTED_VALUE"""),"Trainee")</f>
        <v>Trainee</v>
      </c>
      <c r="R1304" s="156">
        <f>IFERROR(__xludf.DUMMYFUNCTION("""COMPUTED_VALUE"""),36440.0)</f>
        <v>36440</v>
      </c>
      <c r="S1304" s="146">
        <f>IFERROR(__xludf.DUMMYFUNCTION("""COMPUTED_VALUE"""),9.71276777E8)</f>
        <v>971276777</v>
      </c>
      <c r="T1304" s="147">
        <f>IFERROR(__xludf.DUMMYFUNCTION("""COMPUTED_VALUE"""),1.409901852875E12)</f>
        <v>1409901852875</v>
      </c>
      <c r="U1304" t="str">
        <f>IFERROR(__xludf.DUMMYFUNCTION("""COMPUTED_VALUE"""),"AD1647578")</f>
        <v>AD1647578</v>
      </c>
      <c r="V1304" s="148">
        <f>IFERROR(__xludf.DUMMYFUNCTION("""COMPUTED_VALUE"""),45318.0)</f>
        <v>45318</v>
      </c>
      <c r="W1304" s="148">
        <f>IFERROR(__xludf.DUMMYFUNCTION("""COMPUTED_VALUE"""),48972.0)</f>
        <v>48972</v>
      </c>
      <c r="X1304" s="149">
        <f>IFERROR(__xludf.DUMMYFUNCTION("""COMPUTED_VALUE"""),48788.0)</f>
        <v>48788</v>
      </c>
      <c r="Y1304" t="str">
        <f>IFERROR(__xludf.DUMMYFUNCTION("""COMPUTED_VALUE"""),"ปลอดภัย")</f>
        <v>ปลอดภัย</v>
      </c>
      <c r="Z1304" t="str">
        <f>IFERROR(__xludf.DUMMYFUNCTION("""COMPUTED_VALUE"""),"Khon Kaen Province")</f>
        <v>Khon Kaen Province</v>
      </c>
      <c r="AA1304" t="str">
        <f>IFERROR(__xludf.DUMMYFUNCTION("""COMPUTED_VALUE"""),"Bangkok")</f>
        <v>Bangkok</v>
      </c>
      <c r="AB1304" s="145" t="str">
        <f>IFERROR(__xludf.DUMMYFUNCTION("""COMPUTED_VALUE"""),"097-353-8289")</f>
        <v>097-353-8289</v>
      </c>
      <c r="AC1304" t="str">
        <f>IFERROR(__xludf.DUMMYFUNCTION("""COMPUTED_VALUE"""),"พิญาดา เจริญเชื้อ Sister")</f>
        <v>พิญาดา เจริญเชื้อ Sister</v>
      </c>
      <c r="AD1304" t="str">
        <f>IFERROR(__xludf.DUMMYFUNCTION("""COMPUTED_VALUE"""),"idsarawancha@airasia.com")</f>
        <v>idsarawancha@airasia.com</v>
      </c>
    </row>
    <row r="1305">
      <c r="A1305">
        <f>IFERROR(__xludf.DUMMYFUNCTION("""COMPUTED_VALUE"""),113.0)</f>
        <v>113</v>
      </c>
      <c r="B1305" t="str">
        <f>IFERROR(__xludf.DUMMYFUNCTION("""COMPUTED_VALUE"""),"Initial Training 2 MAR 26")</f>
        <v>Initial Training 2 MAR 26</v>
      </c>
      <c r="C1305">
        <f>IFERROR(__xludf.DUMMYFUNCTION("""COMPUTED_VALUE"""),1046349.0)</f>
        <v>1046349</v>
      </c>
      <c r="D1305" t="str">
        <f>IFERROR(__xludf.DUMMYFUNCTION("""COMPUTED_VALUE"""),"Mr.")</f>
        <v>Mr.</v>
      </c>
      <c r="E1305" t="str">
        <f>IFERROR(__xludf.DUMMYFUNCTION("""COMPUTED_VALUE"""),"Jiratthakiat")</f>
        <v>Jiratthakiat</v>
      </c>
      <c r="F1305" t="str">
        <f>IFERROR(__xludf.DUMMYFUNCTION("""COMPUTED_VALUE"""),"Jantaraphat")</f>
        <v>Jantaraphat</v>
      </c>
      <c r="G1305" t="str">
        <f>IFERROR(__xludf.DUMMYFUNCTION("""COMPUTED_VALUE"""),"Jiratthakiat Jantaraphat")</f>
        <v>Jiratthakiat Jantaraphat</v>
      </c>
      <c r="H1305" t="str">
        <f>IFERROR(__xludf.DUMMYFUNCTION("""COMPUTED_VALUE"""),"นาย")</f>
        <v>นาย</v>
      </c>
      <c r="I1305" t="str">
        <f>IFERROR(__xludf.DUMMYFUNCTION("""COMPUTED_VALUE"""),"จิรัฐธเกียรติ์")</f>
        <v>จิรัฐธเกียรติ์</v>
      </c>
      <c r="J1305" t="str">
        <f>IFERROR(__xludf.DUMMYFUNCTION("""COMPUTED_VALUE"""),"จันทรเพท")</f>
        <v>จันทรเพท</v>
      </c>
      <c r="K1305" s="145" t="str">
        <f>IFERROR(__xludf.DUMMYFUNCTION("""COMPUTED_VALUE"""),"จิรัฐธเกียรติ์ จันทรเพท")</f>
        <v>จิรัฐธเกียรติ์ จันทรเพท</v>
      </c>
      <c r="L1305" t="str">
        <f>IFERROR(__xludf.DUMMYFUNCTION("""COMPUTED_VALUE"""),"ท็อป")</f>
        <v>ท็อป</v>
      </c>
      <c r="M1305" t="str">
        <f>IFERROR(__xludf.DUMMYFUNCTION("""COMPUTED_VALUE"""),"Cabin Crew Trainee")</f>
        <v>Cabin Crew Trainee</v>
      </c>
      <c r="N1305" t="str">
        <f>IFERROR(__xludf.DUMMYFUNCTION("""COMPUTED_VALUE"""),"DMK")</f>
        <v>DMK</v>
      </c>
      <c r="O1305" s="145" t="str">
        <f>IFERROR(__xludf.DUMMYFUNCTION("""COMPUTED_VALUE"""),"Um Home")</f>
        <v>Um Home</v>
      </c>
      <c r="P1305" t="str">
        <f>IFERROR(__xludf.DUMMYFUNCTION("""COMPUTED_VALUE"""),"Trainee")</f>
        <v>Trainee</v>
      </c>
      <c r="R1305" s="156">
        <f>IFERROR(__xludf.DUMMYFUNCTION("""COMPUTED_VALUE"""),32551.0)</f>
        <v>32551</v>
      </c>
      <c r="S1305" s="146">
        <f>IFERROR(__xludf.DUMMYFUNCTION("""COMPUTED_VALUE"""),6.36494992E8)</f>
        <v>636494992</v>
      </c>
      <c r="T1305" s="147">
        <f>IFERROR(__xludf.DUMMYFUNCTION("""COMPUTED_VALUE"""),1.819900076894E12)</f>
        <v>1819900076894</v>
      </c>
      <c r="U1305" t="str">
        <f>IFERROR(__xludf.DUMMYFUNCTION("""COMPUTED_VALUE"""),"AC3105399")</f>
        <v>AC3105399</v>
      </c>
      <c r="V1305" s="148">
        <f>IFERROR(__xludf.DUMMYFUNCTION("""COMPUTED_VALUE"""),44690.0)</f>
        <v>44690</v>
      </c>
      <c r="W1305" s="148">
        <f>IFERROR(__xludf.DUMMYFUNCTION("""COMPUTED_VALUE"""),48342.0)</f>
        <v>48342</v>
      </c>
      <c r="X1305" s="149">
        <f>IFERROR(__xludf.DUMMYFUNCTION("""COMPUTED_VALUE"""),48160.0)</f>
        <v>48160</v>
      </c>
      <c r="Y1305" t="str">
        <f>IFERROR(__xludf.DUMMYFUNCTION("""COMPUTED_VALUE"""),"ปลอดภัย")</f>
        <v>ปลอดภัย</v>
      </c>
      <c r="Z1305" t="str">
        <f>IFERROR(__xludf.DUMMYFUNCTION("""COMPUTED_VALUE"""),"Krabi Province")</f>
        <v>Krabi Province</v>
      </c>
      <c r="AA1305" t="str">
        <f>IFERROR(__xludf.DUMMYFUNCTION("""COMPUTED_VALUE"""),"Bangkok")</f>
        <v>Bangkok</v>
      </c>
      <c r="AB1305" s="145" t="str">
        <f>IFERROR(__xludf.DUMMYFUNCTION("""COMPUTED_VALUE"""),"092-649-2393")</f>
        <v>092-649-2393</v>
      </c>
      <c r="AC1305" t="str">
        <f>IFERROR(__xludf.DUMMYFUNCTION("""COMPUTED_VALUE"""),"นายสมัชชา กัณฑะวงศ์ Friend")</f>
        <v>นายสมัชชา กัณฑะวงศ์ Friend</v>
      </c>
      <c r="AD1305" t="str">
        <f>IFERROR(__xludf.DUMMYFUNCTION("""COMPUTED_VALUE"""),"jiratthakiatjan@airasia.com")</f>
        <v>jiratthakiatjan@airasia.com</v>
      </c>
    </row>
    <row r="1306">
      <c r="A1306">
        <f>IFERROR(__xludf.DUMMYFUNCTION("""COMPUTED_VALUE"""),113.0)</f>
        <v>113</v>
      </c>
      <c r="B1306" t="str">
        <f>IFERROR(__xludf.DUMMYFUNCTION("""COMPUTED_VALUE"""),"Initial Training 2 MAR 26")</f>
        <v>Initial Training 2 MAR 26</v>
      </c>
      <c r="C1306">
        <f>IFERROR(__xludf.DUMMYFUNCTION("""COMPUTED_VALUE"""),1046350.0)</f>
        <v>1046350</v>
      </c>
      <c r="D1306" t="str">
        <f>IFERROR(__xludf.DUMMYFUNCTION("""COMPUTED_VALUE"""),"Ms.")</f>
        <v>Ms.</v>
      </c>
      <c r="E1306" t="str">
        <f>IFERROR(__xludf.DUMMYFUNCTION("""COMPUTED_VALUE"""),"Jomsurang")</f>
        <v>Jomsurang</v>
      </c>
      <c r="F1306" t="str">
        <f>IFERROR(__xludf.DUMMYFUNCTION("""COMPUTED_VALUE"""),"Kaseamtanasathien")</f>
        <v>Kaseamtanasathien</v>
      </c>
      <c r="G1306" t="str">
        <f>IFERROR(__xludf.DUMMYFUNCTION("""COMPUTED_VALUE"""),"Jomsurang Kaseamtanasathien")</f>
        <v>Jomsurang Kaseamtanasathien</v>
      </c>
      <c r="H1306" t="str">
        <f>IFERROR(__xludf.DUMMYFUNCTION("""COMPUTED_VALUE"""),"นางสาว")</f>
        <v>นางสาว</v>
      </c>
      <c r="I1306" t="str">
        <f>IFERROR(__xludf.DUMMYFUNCTION("""COMPUTED_VALUE"""),"จอมสุรางค์")</f>
        <v>จอมสุรางค์</v>
      </c>
      <c r="J1306" t="str">
        <f>IFERROR(__xludf.DUMMYFUNCTION("""COMPUTED_VALUE"""),"เกษมธนเสถียร")</f>
        <v>เกษมธนเสถียร</v>
      </c>
      <c r="K1306" s="145" t="str">
        <f>IFERROR(__xludf.DUMMYFUNCTION("""COMPUTED_VALUE"""),"จอมสุรางค์ เกษมธนเสถียร")</f>
        <v>จอมสุรางค์ เกษมธนเสถียร</v>
      </c>
      <c r="L1306" t="str">
        <f>IFERROR(__xludf.DUMMYFUNCTION("""COMPUTED_VALUE"""),"Magic")</f>
        <v>Magic</v>
      </c>
      <c r="M1306" t="str">
        <f>IFERROR(__xludf.DUMMYFUNCTION("""COMPUTED_VALUE"""),"Cabin Crew Trainee")</f>
        <v>Cabin Crew Trainee</v>
      </c>
      <c r="N1306" t="str">
        <f>IFERROR(__xludf.DUMMYFUNCTION("""COMPUTED_VALUE"""),"DMK")</f>
        <v>DMK</v>
      </c>
      <c r="O1306" s="145" t="str">
        <f>IFERROR(__xludf.DUMMYFUNCTION("""COMPUTED_VALUE"""),"Namfon Home")</f>
        <v>Namfon Home</v>
      </c>
      <c r="P1306" t="str">
        <f>IFERROR(__xludf.DUMMYFUNCTION("""COMPUTED_VALUE"""),"Trainee")</f>
        <v>Trainee</v>
      </c>
      <c r="R1306" s="156">
        <f>IFERROR(__xludf.DUMMYFUNCTION("""COMPUTED_VALUE"""),36412.0)</f>
        <v>36412</v>
      </c>
      <c r="S1306" s="146">
        <f>IFERROR(__xludf.DUMMYFUNCTION("""COMPUTED_VALUE"""),9.84517859E8)</f>
        <v>984517859</v>
      </c>
      <c r="T1306" s="147">
        <f>IFERROR(__xludf.DUMMYFUNCTION("""COMPUTED_VALUE"""),1.300101201031E12)</f>
        <v>1300101201031</v>
      </c>
      <c r="U1306" t="str">
        <f>IFERROR(__xludf.DUMMYFUNCTION("""COMPUTED_VALUE"""),"AC2284859")</f>
        <v>AC2284859</v>
      </c>
      <c r="V1306" s="148">
        <f>IFERROR(__xludf.DUMMYFUNCTION("""COMPUTED_VALUE"""),44340.0)</f>
        <v>44340</v>
      </c>
      <c r="W1306" s="148">
        <f>IFERROR(__xludf.DUMMYFUNCTION("""COMPUTED_VALUE"""),47991.0)</f>
        <v>47991</v>
      </c>
      <c r="X1306" s="149">
        <f>IFERROR(__xludf.DUMMYFUNCTION("""COMPUTED_VALUE"""),47810.0)</f>
        <v>47810</v>
      </c>
      <c r="Y1306" t="str">
        <f>IFERROR(__xludf.DUMMYFUNCTION("""COMPUTED_VALUE"""),"ปลอดภัย")</f>
        <v>ปลอดภัย</v>
      </c>
      <c r="Z1306" t="str">
        <f>IFERROR(__xludf.DUMMYFUNCTION("""COMPUTED_VALUE"""),"Nakhon Ratchasima Province")</f>
        <v>Nakhon Ratchasima Province</v>
      </c>
      <c r="AA1306" t="str">
        <f>IFERROR(__xludf.DUMMYFUNCTION("""COMPUTED_VALUE"""),"Pathum Thani")</f>
        <v>Pathum Thani</v>
      </c>
      <c r="AB1306" s="145" t="str">
        <f>IFERROR(__xludf.DUMMYFUNCTION("""COMPUTED_VALUE"""),"0873245524")</f>
        <v>0873245524</v>
      </c>
      <c r="AC1306" t="str">
        <f>IFERROR(__xludf.DUMMYFUNCTION("""COMPUTED_VALUE"""),"นางชไมลักษณ์ เกษมธนเสถียร Mother")</f>
        <v>นางชไมลักษณ์ เกษมธนเสถียร Mother</v>
      </c>
      <c r="AD1306" t="str">
        <f>IFERROR(__xludf.DUMMYFUNCTION("""COMPUTED_VALUE"""),"jomsurangkas@airasia.com")</f>
        <v>jomsurangkas@airasia.com</v>
      </c>
    </row>
    <row r="1307">
      <c r="A1307">
        <f>IFERROR(__xludf.DUMMYFUNCTION("""COMPUTED_VALUE"""),113.0)</f>
        <v>113</v>
      </c>
      <c r="B1307" t="str">
        <f>IFERROR(__xludf.DUMMYFUNCTION("""COMPUTED_VALUE"""),"Initial Training 2 MAR 26")</f>
        <v>Initial Training 2 MAR 26</v>
      </c>
      <c r="C1307">
        <f>IFERROR(__xludf.DUMMYFUNCTION("""COMPUTED_VALUE"""),1046351.0)</f>
        <v>1046351</v>
      </c>
      <c r="D1307" t="str">
        <f>IFERROR(__xludf.DUMMYFUNCTION("""COMPUTED_VALUE"""),"Mr.")</f>
        <v>Mr.</v>
      </c>
      <c r="E1307" t="str">
        <f>IFERROR(__xludf.DUMMYFUNCTION("""COMPUTED_VALUE"""),"Kittisak")</f>
        <v>Kittisak</v>
      </c>
      <c r="F1307" t="str">
        <f>IFERROR(__xludf.DUMMYFUNCTION("""COMPUTED_VALUE"""),"Rojsangrat")</f>
        <v>Rojsangrat</v>
      </c>
      <c r="G1307" t="str">
        <f>IFERROR(__xludf.DUMMYFUNCTION("""COMPUTED_VALUE"""),"Kittisak Rojsangrat")</f>
        <v>Kittisak Rojsangrat</v>
      </c>
      <c r="H1307" t="str">
        <f>IFERROR(__xludf.DUMMYFUNCTION("""COMPUTED_VALUE"""),"นาย")</f>
        <v>นาย</v>
      </c>
      <c r="I1307" t="str">
        <f>IFERROR(__xludf.DUMMYFUNCTION("""COMPUTED_VALUE"""),"กิตติศักดิ์")</f>
        <v>กิตติศักดิ์</v>
      </c>
      <c r="J1307" t="str">
        <f>IFERROR(__xludf.DUMMYFUNCTION("""COMPUTED_VALUE"""),"โรจน์แสงรัตน์")</f>
        <v>โรจน์แสงรัตน์</v>
      </c>
      <c r="K1307" s="145" t="str">
        <f>IFERROR(__xludf.DUMMYFUNCTION("""COMPUTED_VALUE"""),"กิตติศักดิ์ โรจน์แสงรัตน์")</f>
        <v>กิตติศักดิ์ โรจน์แสงรัตน์</v>
      </c>
      <c r="L1307" t="str">
        <f>IFERROR(__xludf.DUMMYFUNCTION("""COMPUTED_VALUE"""),"Max / แม็กซ์")</f>
        <v>Max / แม็กซ์</v>
      </c>
      <c r="M1307" t="str">
        <f>IFERROR(__xludf.DUMMYFUNCTION("""COMPUTED_VALUE"""),"Cabin Crew Trainee")</f>
        <v>Cabin Crew Trainee</v>
      </c>
      <c r="N1307" t="str">
        <f>IFERROR(__xludf.DUMMYFUNCTION("""COMPUTED_VALUE"""),"DMK")</f>
        <v>DMK</v>
      </c>
      <c r="O1307" s="145" t="str">
        <f>IFERROR(__xludf.DUMMYFUNCTION("""COMPUTED_VALUE"""),"Namfon Home")</f>
        <v>Namfon Home</v>
      </c>
      <c r="P1307" t="str">
        <f>IFERROR(__xludf.DUMMYFUNCTION("""COMPUTED_VALUE"""),"Trainee")</f>
        <v>Trainee</v>
      </c>
      <c r="R1307" s="156">
        <f>IFERROR(__xludf.DUMMYFUNCTION("""COMPUTED_VALUE"""),33179.0)</f>
        <v>33179</v>
      </c>
      <c r="S1307" s="146">
        <f>IFERROR(__xludf.DUMMYFUNCTION("""COMPUTED_VALUE"""),9.89246364E8)</f>
        <v>989246364</v>
      </c>
      <c r="T1307" s="147">
        <f>IFERROR(__xludf.DUMMYFUNCTION("""COMPUTED_VALUE"""),1.579900329477E12)</f>
        <v>1579900329477</v>
      </c>
      <c r="U1307" t="str">
        <f>IFERROR(__xludf.DUMMYFUNCTION("""COMPUTED_VALUE"""),"AC5087885")</f>
        <v>AC5087885</v>
      </c>
      <c r="V1307" s="148">
        <f>IFERROR(__xludf.DUMMYFUNCTION("""COMPUTED_VALUE"""),45085.0)</f>
        <v>45085</v>
      </c>
      <c r="W1307" s="148">
        <f>IFERROR(__xludf.DUMMYFUNCTION("""COMPUTED_VALUE"""),48737.0)</f>
        <v>48737</v>
      </c>
      <c r="X1307" s="149">
        <f>IFERROR(__xludf.DUMMYFUNCTION("""COMPUTED_VALUE"""),48555.0)</f>
        <v>48555</v>
      </c>
      <c r="Y1307" t="str">
        <f>IFERROR(__xludf.DUMMYFUNCTION("""COMPUTED_VALUE"""),"ปลอดภัย")</f>
        <v>ปลอดภัย</v>
      </c>
      <c r="Z1307" t="str">
        <f>IFERROR(__xludf.DUMMYFUNCTION("""COMPUTED_VALUE"""),"Chiang Rai Province")</f>
        <v>Chiang Rai Province</v>
      </c>
      <c r="AA1307" t="str">
        <f>IFERROR(__xludf.DUMMYFUNCTION("""COMPUTED_VALUE"""),"Bangkok")</f>
        <v>Bangkok</v>
      </c>
      <c r="AB1307" s="145" t="str">
        <f>IFERROR(__xludf.DUMMYFUNCTION("""COMPUTED_VALUE"""),"0622956693")</f>
        <v>0622956693</v>
      </c>
      <c r="AC1307" t="str">
        <f>IFERROR(__xludf.DUMMYFUNCTION("""COMPUTED_VALUE"""),"นางสาวธิติรัตน์ โรจน์แสงรัตน์ Sister")</f>
        <v>นางสาวธิติรัตน์ โรจน์แสงรัตน์ Sister</v>
      </c>
      <c r="AD1307" t="str">
        <f>IFERROR(__xludf.DUMMYFUNCTION("""COMPUTED_VALUE"""),"kittisakroj@airasia.com")</f>
        <v>kittisakroj@airasia.com</v>
      </c>
    </row>
    <row r="1308">
      <c r="A1308">
        <f>IFERROR(__xludf.DUMMYFUNCTION("""COMPUTED_VALUE"""),113.0)</f>
        <v>113</v>
      </c>
      <c r="B1308" t="str">
        <f>IFERROR(__xludf.DUMMYFUNCTION("""COMPUTED_VALUE"""),"Initial Training 2 MAR 26")</f>
        <v>Initial Training 2 MAR 26</v>
      </c>
      <c r="C1308">
        <f>IFERROR(__xludf.DUMMYFUNCTION("""COMPUTED_VALUE"""),1046352.0)</f>
        <v>1046352</v>
      </c>
      <c r="D1308" t="str">
        <f>IFERROR(__xludf.DUMMYFUNCTION("""COMPUTED_VALUE"""),"Ms.")</f>
        <v>Ms.</v>
      </c>
      <c r="E1308" t="str">
        <f>IFERROR(__xludf.DUMMYFUNCTION("""COMPUTED_VALUE"""),"Natthida")</f>
        <v>Natthida</v>
      </c>
      <c r="F1308" t="str">
        <f>IFERROR(__xludf.DUMMYFUNCTION("""COMPUTED_VALUE"""),"Pitchumaethitanan")</f>
        <v>Pitchumaethitanan</v>
      </c>
      <c r="G1308" t="str">
        <f>IFERROR(__xludf.DUMMYFUNCTION("""COMPUTED_VALUE"""),"Natthida Pitchumaethitanan")</f>
        <v>Natthida Pitchumaethitanan</v>
      </c>
      <c r="H1308" t="str">
        <f>IFERROR(__xludf.DUMMYFUNCTION("""COMPUTED_VALUE"""),"นางสาว")</f>
        <v>นางสาว</v>
      </c>
      <c r="I1308" t="str">
        <f>IFERROR(__xludf.DUMMYFUNCTION("""COMPUTED_VALUE"""),"ณัฐธิดา")</f>
        <v>ณัฐธิดา</v>
      </c>
      <c r="J1308" t="str">
        <f>IFERROR(__xludf.DUMMYFUNCTION("""COMPUTED_VALUE"""),"พิชชุเมธิตานันท์")</f>
        <v>พิชชุเมธิตานันท์</v>
      </c>
      <c r="K1308" s="145" t="str">
        <f>IFERROR(__xludf.DUMMYFUNCTION("""COMPUTED_VALUE"""),"ณัฐธิดา พิชชุเมธิตานันท์")</f>
        <v>ณัฐธิดา พิชชุเมธิตานันท์</v>
      </c>
      <c r="L1308" t="str">
        <f>IFERROR(__xludf.DUMMYFUNCTION("""COMPUTED_VALUE"""),"อีฟ")</f>
        <v>อีฟ</v>
      </c>
      <c r="M1308" t="str">
        <f>IFERROR(__xludf.DUMMYFUNCTION("""COMPUTED_VALUE"""),"Cabin Crew Trainee")</f>
        <v>Cabin Crew Trainee</v>
      </c>
      <c r="N1308" t="str">
        <f>IFERROR(__xludf.DUMMYFUNCTION("""COMPUTED_VALUE"""),"DMK")</f>
        <v>DMK</v>
      </c>
      <c r="O1308" s="145" t="str">
        <f>IFERROR(__xludf.DUMMYFUNCTION("""COMPUTED_VALUE"""),"Um Home")</f>
        <v>Um Home</v>
      </c>
      <c r="P1308" t="str">
        <f>IFERROR(__xludf.DUMMYFUNCTION("""COMPUTED_VALUE"""),"Trainee")</f>
        <v>Trainee</v>
      </c>
      <c r="R1308" s="156">
        <f>IFERROR(__xludf.DUMMYFUNCTION("""COMPUTED_VALUE"""),34642.0)</f>
        <v>34642</v>
      </c>
      <c r="S1308" s="146">
        <f>IFERROR(__xludf.DUMMYFUNCTION("""COMPUTED_VALUE"""),8.00650222E8)</f>
        <v>800650222</v>
      </c>
      <c r="T1308" s="147">
        <f>IFERROR(__xludf.DUMMYFUNCTION("""COMPUTED_VALUE"""),1.110100158754E12)</f>
        <v>1110100158754</v>
      </c>
      <c r="U1308" t="str">
        <f>IFERROR(__xludf.DUMMYFUNCTION("""COMPUTED_VALUE"""),"AD0255362")</f>
        <v>AD0255362</v>
      </c>
      <c r="V1308" s="148">
        <f>IFERROR(__xludf.DUMMYFUNCTION("""COMPUTED_VALUE"""),44863.0)</f>
        <v>44863</v>
      </c>
      <c r="W1308" s="148">
        <f>IFERROR(__xludf.DUMMYFUNCTION("""COMPUTED_VALUE"""),48515.0)</f>
        <v>48515</v>
      </c>
      <c r="X1308" s="149">
        <f>IFERROR(__xludf.DUMMYFUNCTION("""COMPUTED_VALUE"""),48332.0)</f>
        <v>48332</v>
      </c>
      <c r="Y1308" t="str">
        <f>IFERROR(__xludf.DUMMYFUNCTION("""COMPUTED_VALUE"""),"ปลอดภัย")</f>
        <v>ปลอดภัย</v>
      </c>
      <c r="Z1308" t="str">
        <f>IFERROR(__xludf.DUMMYFUNCTION("""COMPUTED_VALUE"""),"Samut Prakan Province")</f>
        <v>Samut Prakan Province</v>
      </c>
      <c r="AA1308" t="str">
        <f>IFERROR(__xludf.DUMMYFUNCTION("""COMPUTED_VALUE"""),"Pathum Thani")</f>
        <v>Pathum Thani</v>
      </c>
      <c r="AB1308" s="145" t="str">
        <f>IFERROR(__xludf.DUMMYFUNCTION("""COMPUTED_VALUE"""),"081-956-1759")</f>
        <v>081-956-1759</v>
      </c>
      <c r="AC1308" t="str">
        <f>IFERROR(__xludf.DUMMYFUNCTION("""COMPUTED_VALUE"""),"นายปธานิน สุขุม Friend")</f>
        <v>นายปธานิน สุขุม Friend</v>
      </c>
      <c r="AD1308" t="str">
        <f>IFERROR(__xludf.DUMMYFUNCTION("""COMPUTED_VALUE"""),"natthidapit@airasia.com")</f>
        <v>natthidapit@airasia.com</v>
      </c>
    </row>
    <row r="1309">
      <c r="A1309">
        <f>IFERROR(__xludf.DUMMYFUNCTION("""COMPUTED_VALUE"""),113.0)</f>
        <v>113</v>
      </c>
      <c r="B1309" t="str">
        <f>IFERROR(__xludf.DUMMYFUNCTION("""COMPUTED_VALUE"""),"Initial Training 2 MAR 26")</f>
        <v>Initial Training 2 MAR 26</v>
      </c>
      <c r="C1309">
        <f>IFERROR(__xludf.DUMMYFUNCTION("""COMPUTED_VALUE"""),1046353.0)</f>
        <v>1046353</v>
      </c>
      <c r="D1309" t="str">
        <f>IFERROR(__xludf.DUMMYFUNCTION("""COMPUTED_VALUE"""),"Mr.")</f>
        <v>Mr.</v>
      </c>
      <c r="E1309" t="str">
        <f>IFERROR(__xludf.DUMMYFUNCTION("""COMPUTED_VALUE"""),"Nutt")</f>
        <v>Nutt</v>
      </c>
      <c r="F1309" t="str">
        <f>IFERROR(__xludf.DUMMYFUNCTION("""COMPUTED_VALUE"""),"Athiboonsarun")</f>
        <v>Athiboonsarun</v>
      </c>
      <c r="G1309" t="str">
        <f>IFERROR(__xludf.DUMMYFUNCTION("""COMPUTED_VALUE"""),"Nutt Athiboonsarun")</f>
        <v>Nutt Athiboonsarun</v>
      </c>
      <c r="H1309" t="str">
        <f>IFERROR(__xludf.DUMMYFUNCTION("""COMPUTED_VALUE"""),"นาย")</f>
        <v>นาย</v>
      </c>
      <c r="I1309" t="str">
        <f>IFERROR(__xludf.DUMMYFUNCTION("""COMPUTED_VALUE"""),"ณัฏฐ์")</f>
        <v>ณัฏฐ์</v>
      </c>
      <c r="J1309" t="str">
        <f>IFERROR(__xludf.DUMMYFUNCTION("""COMPUTED_VALUE"""),"อธิบุญศรัณย์")</f>
        <v>อธิบุญศรัณย์</v>
      </c>
      <c r="K1309" s="145" t="str">
        <f>IFERROR(__xludf.DUMMYFUNCTION("""COMPUTED_VALUE"""),"ณัฏฐ์ อธิบุญศรัณย์")</f>
        <v>ณัฏฐ์ อธิบุญศรัณย์</v>
      </c>
      <c r="L1309" t="str">
        <f>IFERROR(__xludf.DUMMYFUNCTION("""COMPUTED_VALUE"""),"Toy / ทอย")</f>
        <v>Toy / ทอย</v>
      </c>
      <c r="M1309" t="str">
        <f>IFERROR(__xludf.DUMMYFUNCTION("""COMPUTED_VALUE"""),"Cabin Crew Trainee")</f>
        <v>Cabin Crew Trainee</v>
      </c>
      <c r="N1309" t="str">
        <f>IFERROR(__xludf.DUMMYFUNCTION("""COMPUTED_VALUE"""),"DMK")</f>
        <v>DMK</v>
      </c>
      <c r="O1309" s="145" t="str">
        <f>IFERROR(__xludf.DUMMYFUNCTION("""COMPUTED_VALUE"""),"Namfon Home")</f>
        <v>Namfon Home</v>
      </c>
      <c r="P1309" t="str">
        <f>IFERROR(__xludf.DUMMYFUNCTION("""COMPUTED_VALUE"""),"Trainee")</f>
        <v>Trainee</v>
      </c>
      <c r="R1309" s="156">
        <f>IFERROR(__xludf.DUMMYFUNCTION("""COMPUTED_VALUE"""),36986.0)</f>
        <v>36986</v>
      </c>
      <c r="S1309" s="146">
        <f>IFERROR(__xludf.DUMMYFUNCTION("""COMPUTED_VALUE"""),6.28638989E8)</f>
        <v>628638989</v>
      </c>
      <c r="T1309" s="147">
        <f>IFERROR(__xludf.DUMMYFUNCTION("""COMPUTED_VALUE"""),1.104200208781E12)</f>
        <v>1104200208781</v>
      </c>
      <c r="U1309" t="str">
        <f>IFERROR(__xludf.DUMMYFUNCTION("""COMPUTED_VALUE"""),"AD5739706")</f>
        <v>AD5739706</v>
      </c>
      <c r="V1309" s="148">
        <f>IFERROR(__xludf.DUMMYFUNCTION("""COMPUTED_VALUE"""),45191.0)</f>
        <v>45191</v>
      </c>
      <c r="W1309" s="148">
        <f>IFERROR(__xludf.DUMMYFUNCTION("""COMPUTED_VALUE"""),48843.0)</f>
        <v>48843</v>
      </c>
      <c r="X1309" s="149">
        <f>IFERROR(__xludf.DUMMYFUNCTION("""COMPUTED_VALUE"""),48659.0)</f>
        <v>48659</v>
      </c>
      <c r="Y1309" t="str">
        <f>IFERROR(__xludf.DUMMYFUNCTION("""COMPUTED_VALUE"""),"ปลอดภัย")</f>
        <v>ปลอดภัย</v>
      </c>
      <c r="Z1309" t="str">
        <f>IFERROR(__xludf.DUMMYFUNCTION("""COMPUTED_VALUE"""),"Bangkok")</f>
        <v>Bangkok</v>
      </c>
      <c r="AA1309" t="str">
        <f>IFERROR(__xludf.DUMMYFUNCTION("""COMPUTED_VALUE"""),"Pathum Thani")</f>
        <v>Pathum Thani</v>
      </c>
      <c r="AB1309" s="145" t="str">
        <f>IFERROR(__xludf.DUMMYFUNCTION("""COMPUTED_VALUE"""),"088-291-9747")</f>
        <v>088-291-9747</v>
      </c>
      <c r="AC1309" t="str">
        <f>IFERROR(__xludf.DUMMYFUNCTION("""COMPUTED_VALUE"""),"นายธนา อธิบุญศรัณย์ Brother")</f>
        <v>นายธนา อธิบุญศรัณย์ Brother</v>
      </c>
      <c r="AD1309" t="str">
        <f>IFERROR(__xludf.DUMMYFUNCTION("""COMPUTED_VALUE"""),"nuttath@airasia.com")</f>
        <v>nuttath@airasia.com</v>
      </c>
    </row>
    <row r="1310">
      <c r="A1310">
        <f>IFERROR(__xludf.DUMMYFUNCTION("""COMPUTED_VALUE"""),113.0)</f>
        <v>113</v>
      </c>
      <c r="B1310" t="str">
        <f>IFERROR(__xludf.DUMMYFUNCTION("""COMPUTED_VALUE"""),"Initial Training 2 MAR 26")</f>
        <v>Initial Training 2 MAR 26</v>
      </c>
      <c r="C1310">
        <f>IFERROR(__xludf.DUMMYFUNCTION("""COMPUTED_VALUE"""),1046356.0)</f>
        <v>1046356</v>
      </c>
      <c r="D1310" t="str">
        <f>IFERROR(__xludf.DUMMYFUNCTION("""COMPUTED_VALUE"""),"Ms.")</f>
        <v>Ms.</v>
      </c>
      <c r="E1310" t="str">
        <f>IFERROR(__xludf.DUMMYFUNCTION("""COMPUTED_VALUE"""),"Pannakorn")</f>
        <v>Pannakorn</v>
      </c>
      <c r="F1310" t="str">
        <f>IFERROR(__xludf.DUMMYFUNCTION("""COMPUTED_VALUE"""),"Tanawan")</f>
        <v>Tanawan</v>
      </c>
      <c r="G1310" t="str">
        <f>IFERROR(__xludf.DUMMYFUNCTION("""COMPUTED_VALUE"""),"Pannakorn Tanawan")</f>
        <v>Pannakorn Tanawan</v>
      </c>
      <c r="H1310" t="str">
        <f>IFERROR(__xludf.DUMMYFUNCTION("""COMPUTED_VALUE"""),"นางสาว")</f>
        <v>นางสาว</v>
      </c>
      <c r="I1310" t="str">
        <f>IFERROR(__xludf.DUMMYFUNCTION("""COMPUTED_VALUE"""),"พัณณกร")</f>
        <v>พัณณกร</v>
      </c>
      <c r="J1310" t="str">
        <f>IFERROR(__xludf.DUMMYFUNCTION("""COMPUTED_VALUE"""),"ธนวรรณ")</f>
        <v>ธนวรรณ</v>
      </c>
      <c r="K1310" s="145" t="str">
        <f>IFERROR(__xludf.DUMMYFUNCTION("""COMPUTED_VALUE"""),"พัณณกร ธนวรรณ")</f>
        <v>พัณณกร ธนวรรณ</v>
      </c>
      <c r="L1310" t="str">
        <f>IFERROR(__xludf.DUMMYFUNCTION("""COMPUTED_VALUE"""),"Earn / เอิร์น")</f>
        <v>Earn / เอิร์น</v>
      </c>
      <c r="M1310" t="str">
        <f>IFERROR(__xludf.DUMMYFUNCTION("""COMPUTED_VALUE"""),"Cabin Crew Trainee")</f>
        <v>Cabin Crew Trainee</v>
      </c>
      <c r="N1310" t="str">
        <f>IFERROR(__xludf.DUMMYFUNCTION("""COMPUTED_VALUE"""),"DMK")</f>
        <v>DMK</v>
      </c>
      <c r="O1310" s="145" t="str">
        <f>IFERROR(__xludf.DUMMYFUNCTION("""COMPUTED_VALUE"""),"Toffy Home")</f>
        <v>Toffy Home</v>
      </c>
      <c r="P1310" t="str">
        <f>IFERROR(__xludf.DUMMYFUNCTION("""COMPUTED_VALUE"""),"Trainee")</f>
        <v>Trainee</v>
      </c>
      <c r="R1310" s="156">
        <f>IFERROR(__xludf.DUMMYFUNCTION("""COMPUTED_VALUE"""),35992.0)</f>
        <v>35992</v>
      </c>
      <c r="S1310" s="146">
        <f>IFERROR(__xludf.DUMMYFUNCTION("""COMPUTED_VALUE"""),6.15545905E8)</f>
        <v>615545905</v>
      </c>
      <c r="T1310" s="147">
        <f>IFERROR(__xludf.DUMMYFUNCTION("""COMPUTED_VALUE"""),1.859900208782E12)</f>
        <v>1859900208782</v>
      </c>
      <c r="U1310" t="str">
        <f>IFERROR(__xludf.DUMMYFUNCTION("""COMPUTED_VALUE"""),"AD1881138")</f>
        <v>AD1881138</v>
      </c>
      <c r="V1310" s="148">
        <f>IFERROR(__xludf.DUMMYFUNCTION("""COMPUTED_VALUE"""),45457.0)</f>
        <v>45457</v>
      </c>
      <c r="W1310" s="148">
        <f>IFERROR(__xludf.DUMMYFUNCTION("""COMPUTED_VALUE"""),49108.0)</f>
        <v>49108</v>
      </c>
      <c r="X1310" s="149">
        <f>IFERROR(__xludf.DUMMYFUNCTION("""COMPUTED_VALUE"""),48926.0)</f>
        <v>48926</v>
      </c>
      <c r="Y1310" t="str">
        <f>IFERROR(__xludf.DUMMYFUNCTION("""COMPUTED_VALUE"""),"ปลอดภัย")</f>
        <v>ปลอดภัย</v>
      </c>
      <c r="Z1310" t="str">
        <f>IFERROR(__xludf.DUMMYFUNCTION("""COMPUTED_VALUE"""),"Ranong Province")</f>
        <v>Ranong Province</v>
      </c>
      <c r="AA1310" t="str">
        <f>IFERROR(__xludf.DUMMYFUNCTION("""COMPUTED_VALUE"""),"Bangkok")</f>
        <v>Bangkok</v>
      </c>
      <c r="AB1310" s="145" t="str">
        <f>IFERROR(__xludf.DUMMYFUNCTION("""COMPUTED_VALUE"""),"099-394-9354")</f>
        <v>099-394-9354</v>
      </c>
      <c r="AC1310" t="str">
        <f>IFERROR(__xludf.DUMMYFUNCTION("""COMPUTED_VALUE"""),"นายเกื้อตระกูล จ่างทอง Friend")</f>
        <v>นายเกื้อตระกูล จ่างทอง Friend</v>
      </c>
      <c r="AD1310" t="str">
        <f>IFERROR(__xludf.DUMMYFUNCTION("""COMPUTED_VALUE"""),"pannakorntan@airasia.com")</f>
        <v>pannakorntan@airasia.com</v>
      </c>
    </row>
    <row r="1311">
      <c r="A1311">
        <f>IFERROR(__xludf.DUMMYFUNCTION("""COMPUTED_VALUE"""),113.0)</f>
        <v>113</v>
      </c>
      <c r="B1311" t="str">
        <f>IFERROR(__xludf.DUMMYFUNCTION("""COMPUTED_VALUE"""),"Initial Training 2 MAR 26")</f>
        <v>Initial Training 2 MAR 26</v>
      </c>
      <c r="C1311">
        <f>IFERROR(__xludf.DUMMYFUNCTION("""COMPUTED_VALUE"""),1046357.0)</f>
        <v>1046357</v>
      </c>
      <c r="D1311" t="str">
        <f>IFERROR(__xludf.DUMMYFUNCTION("""COMPUTED_VALUE"""),"Mr.")</f>
        <v>Mr.</v>
      </c>
      <c r="E1311" t="str">
        <f>IFERROR(__xludf.DUMMYFUNCTION("""COMPUTED_VALUE"""),"Paramate")</f>
        <v>Paramate</v>
      </c>
      <c r="F1311" t="str">
        <f>IFERROR(__xludf.DUMMYFUNCTION("""COMPUTED_VALUE"""),"Puyati")</f>
        <v>Puyati</v>
      </c>
      <c r="G1311" t="str">
        <f>IFERROR(__xludf.DUMMYFUNCTION("""COMPUTED_VALUE"""),"Paramate Puyati")</f>
        <v>Paramate Puyati</v>
      </c>
      <c r="H1311" t="str">
        <f>IFERROR(__xludf.DUMMYFUNCTION("""COMPUTED_VALUE"""),"นาย")</f>
        <v>นาย</v>
      </c>
      <c r="I1311" t="str">
        <f>IFERROR(__xludf.DUMMYFUNCTION("""COMPUTED_VALUE"""),"ปรเมษฐ์")</f>
        <v>ปรเมษฐ์</v>
      </c>
      <c r="J1311" t="str">
        <f>IFERROR(__xludf.DUMMYFUNCTION("""COMPUTED_VALUE"""),"ปุยะติ")</f>
        <v>ปุยะติ</v>
      </c>
      <c r="K1311" s="145" t="str">
        <f>IFERROR(__xludf.DUMMYFUNCTION("""COMPUTED_VALUE"""),"ปรเมษฐ์ ปุยะติ")</f>
        <v>ปรเมษฐ์ ปุยะติ</v>
      </c>
      <c r="L1311" t="str">
        <f>IFERROR(__xludf.DUMMYFUNCTION("""COMPUTED_VALUE"""),"Peun / ปืน")</f>
        <v>Peun / ปืน</v>
      </c>
      <c r="M1311" t="str">
        <f>IFERROR(__xludf.DUMMYFUNCTION("""COMPUTED_VALUE"""),"Cabin Crew Trainee")</f>
        <v>Cabin Crew Trainee</v>
      </c>
      <c r="N1311" t="str">
        <f>IFERROR(__xludf.DUMMYFUNCTION("""COMPUTED_VALUE"""),"DMK")</f>
        <v>DMK</v>
      </c>
      <c r="O1311" s="145" t="str">
        <f>IFERROR(__xludf.DUMMYFUNCTION("""COMPUTED_VALUE"""),"Up Home")</f>
        <v>Up Home</v>
      </c>
      <c r="P1311" t="str">
        <f>IFERROR(__xludf.DUMMYFUNCTION("""COMPUTED_VALUE"""),"Trainee")</f>
        <v>Trainee</v>
      </c>
      <c r="R1311" s="156">
        <f>IFERROR(__xludf.DUMMYFUNCTION("""COMPUTED_VALUE"""),32538.0)</f>
        <v>32538</v>
      </c>
      <c r="S1311" s="146">
        <f>IFERROR(__xludf.DUMMYFUNCTION("""COMPUTED_VALUE"""),8.18099848E8)</f>
        <v>818099848</v>
      </c>
      <c r="T1311" s="147">
        <f>IFERROR(__xludf.DUMMYFUNCTION("""COMPUTED_VALUE"""),1.319900167045E12)</f>
        <v>1319900167045</v>
      </c>
      <c r="U1311" t="str">
        <f>IFERROR(__xludf.DUMMYFUNCTION("""COMPUTED_VALUE"""),"AC6440932")</f>
        <v>AC6440932</v>
      </c>
      <c r="V1311" s="148">
        <f>IFERROR(__xludf.DUMMYFUNCTION("""COMPUTED_VALUE"""),45350.0)</f>
        <v>45350</v>
      </c>
      <c r="W1311" s="148">
        <f>IFERROR(__xludf.DUMMYFUNCTION("""COMPUTED_VALUE"""),49002.0)</f>
        <v>49002</v>
      </c>
      <c r="X1311" s="149">
        <f>IFERROR(__xludf.DUMMYFUNCTION("""COMPUTED_VALUE"""),48818.0)</f>
        <v>48818</v>
      </c>
      <c r="Y1311" t="str">
        <f>IFERROR(__xludf.DUMMYFUNCTION("""COMPUTED_VALUE"""),"ปลอดภัย")</f>
        <v>ปลอดภัย</v>
      </c>
      <c r="Z1311" t="str">
        <f>IFERROR(__xludf.DUMMYFUNCTION("""COMPUTED_VALUE"""),"Buriram Province")</f>
        <v>Buriram Province</v>
      </c>
      <c r="AA1311" t="str">
        <f>IFERROR(__xludf.DUMMYFUNCTION("""COMPUTED_VALUE"""),"Pathum Thani")</f>
        <v>Pathum Thani</v>
      </c>
      <c r="AB1311" s="145" t="str">
        <f>IFERROR(__xludf.DUMMYFUNCTION("""COMPUTED_VALUE"""),"081-936-7687")</f>
        <v>081-936-7687</v>
      </c>
      <c r="AC1311" t="str">
        <f>IFERROR(__xludf.DUMMYFUNCTION("""COMPUTED_VALUE"""),"นางสาวปรมินทร์ตา ปุยะติ Sister")</f>
        <v>นางสาวปรมินทร์ตา ปุยะติ Sister</v>
      </c>
      <c r="AD1311" t="str">
        <f>IFERROR(__xludf.DUMMYFUNCTION("""COMPUTED_VALUE"""),"paramatepuy@airasia.com")</f>
        <v>paramatepuy@airasia.com</v>
      </c>
    </row>
    <row r="1312">
      <c r="A1312">
        <f>IFERROR(__xludf.DUMMYFUNCTION("""COMPUTED_VALUE"""),113.0)</f>
        <v>113</v>
      </c>
      <c r="B1312" t="str">
        <f>IFERROR(__xludf.DUMMYFUNCTION("""COMPUTED_VALUE"""),"Initial Training 2 MAR 26")</f>
        <v>Initial Training 2 MAR 26</v>
      </c>
      <c r="C1312">
        <f>IFERROR(__xludf.DUMMYFUNCTION("""COMPUTED_VALUE"""),1046359.0)</f>
        <v>1046359</v>
      </c>
      <c r="D1312" t="str">
        <f>IFERROR(__xludf.DUMMYFUNCTION("""COMPUTED_VALUE"""),"Ms.")</f>
        <v>Ms.</v>
      </c>
      <c r="E1312" t="str">
        <f>IFERROR(__xludf.DUMMYFUNCTION("""COMPUTED_VALUE"""),"Rawikan")</f>
        <v>Rawikan</v>
      </c>
      <c r="F1312" t="str">
        <f>IFERROR(__xludf.DUMMYFUNCTION("""COMPUTED_VALUE"""),"Nilabut")</f>
        <v>Nilabut</v>
      </c>
      <c r="G1312" t="str">
        <f>IFERROR(__xludf.DUMMYFUNCTION("""COMPUTED_VALUE"""),"Rawikan Nilabut")</f>
        <v>Rawikan Nilabut</v>
      </c>
      <c r="H1312" t="str">
        <f>IFERROR(__xludf.DUMMYFUNCTION("""COMPUTED_VALUE"""),"นางสาว")</f>
        <v>นางสาว</v>
      </c>
      <c r="I1312" t="str">
        <f>IFERROR(__xludf.DUMMYFUNCTION("""COMPUTED_VALUE"""),"รวิกานต์")</f>
        <v>รวิกานต์</v>
      </c>
      <c r="J1312" t="str">
        <f>IFERROR(__xludf.DUMMYFUNCTION("""COMPUTED_VALUE"""),"นิลาบุตร")</f>
        <v>นิลาบุตร</v>
      </c>
      <c r="K1312" s="145" t="str">
        <f>IFERROR(__xludf.DUMMYFUNCTION("""COMPUTED_VALUE"""),"รวิกานต์ นิลาบุตร")</f>
        <v>รวิกานต์ นิลาบุตร</v>
      </c>
      <c r="L1312" t="str">
        <f>IFERROR(__xludf.DUMMYFUNCTION("""COMPUTED_VALUE"""),"Fai / ฝ้าย")</f>
        <v>Fai / ฝ้าย</v>
      </c>
      <c r="M1312" t="str">
        <f>IFERROR(__xludf.DUMMYFUNCTION("""COMPUTED_VALUE"""),"Cabin Crew Trainee")</f>
        <v>Cabin Crew Trainee</v>
      </c>
      <c r="N1312" t="str">
        <f>IFERROR(__xludf.DUMMYFUNCTION("""COMPUTED_VALUE"""),"DMK")</f>
        <v>DMK</v>
      </c>
      <c r="O1312" s="145" t="str">
        <f>IFERROR(__xludf.DUMMYFUNCTION("""COMPUTED_VALUE"""),"Por+ Home")</f>
        <v>Por+ Home</v>
      </c>
      <c r="P1312" t="str">
        <f>IFERROR(__xludf.DUMMYFUNCTION("""COMPUTED_VALUE"""),"Trainee")</f>
        <v>Trainee</v>
      </c>
      <c r="R1312" s="156">
        <f>IFERROR(__xludf.DUMMYFUNCTION("""COMPUTED_VALUE"""),36635.0)</f>
        <v>36635</v>
      </c>
      <c r="S1312" s="146">
        <f>IFERROR(__xludf.DUMMYFUNCTION("""COMPUTED_VALUE"""),9.71984973E8)</f>
        <v>971984973</v>
      </c>
      <c r="T1312" s="147">
        <f>IFERROR(__xludf.DUMMYFUNCTION("""COMPUTED_VALUE"""),1.1005015384E12)</f>
        <v>1100501538400</v>
      </c>
      <c r="U1312" t="str">
        <f>IFERROR(__xludf.DUMMYFUNCTION("""COMPUTED_VALUE"""),"AD0794287")</f>
        <v>AD0794287</v>
      </c>
      <c r="V1312" s="148">
        <f>IFERROR(__xludf.DUMMYFUNCTION("""COMPUTED_VALUE"""),44954.0)</f>
        <v>44954</v>
      </c>
      <c r="W1312" s="148">
        <f>IFERROR(__xludf.DUMMYFUNCTION("""COMPUTED_VALUE"""),46779.0)</f>
        <v>46779</v>
      </c>
      <c r="X1312" s="149">
        <f>IFERROR(__xludf.DUMMYFUNCTION("""COMPUTED_VALUE"""),46595.0)</f>
        <v>46595</v>
      </c>
      <c r="Y1312" t="str">
        <f>IFERROR(__xludf.DUMMYFUNCTION("""COMPUTED_VALUE"""),"ปลอดภัย")</f>
        <v>ปลอดภัย</v>
      </c>
      <c r="Z1312" t="str">
        <f>IFERROR(__xludf.DUMMYFUNCTION("""COMPUTED_VALUE"""),"Bangkok")</f>
        <v>Bangkok</v>
      </c>
      <c r="AA1312" t="str">
        <f>IFERROR(__xludf.DUMMYFUNCTION("""COMPUTED_VALUE"""),"Bangkok")</f>
        <v>Bangkok</v>
      </c>
      <c r="AB1312" s="145" t="str">
        <f>IFERROR(__xludf.DUMMYFUNCTION("""COMPUTED_VALUE"""),"0894549003")</f>
        <v>0894549003</v>
      </c>
      <c r="AC1312" t="str">
        <f>IFERROR(__xludf.DUMMYFUNCTION("""COMPUTED_VALUE"""),"นางชุรีพร นิลาบุตร Mother")</f>
        <v>นางชุรีพร นิลาบุตร Mother</v>
      </c>
      <c r="AD1312" t="str">
        <f>IFERROR(__xludf.DUMMYFUNCTION("""COMPUTED_VALUE"""),"rawikannil@airasia.com")</f>
        <v>rawikannil@airasia.com</v>
      </c>
    </row>
    <row r="1313">
      <c r="A1313">
        <f>IFERROR(__xludf.DUMMYFUNCTION("""COMPUTED_VALUE"""),113.0)</f>
        <v>113</v>
      </c>
      <c r="B1313" t="str">
        <f>IFERROR(__xludf.DUMMYFUNCTION("""COMPUTED_VALUE"""),"Initial Training 2 MAR 26")</f>
        <v>Initial Training 2 MAR 26</v>
      </c>
      <c r="C1313">
        <f>IFERROR(__xludf.DUMMYFUNCTION("""COMPUTED_VALUE"""),1046360.0)</f>
        <v>1046360</v>
      </c>
      <c r="D1313" t="str">
        <f>IFERROR(__xludf.DUMMYFUNCTION("""COMPUTED_VALUE"""),"Ms.")</f>
        <v>Ms.</v>
      </c>
      <c r="E1313" t="str">
        <f>IFERROR(__xludf.DUMMYFUNCTION("""COMPUTED_VALUE"""),"Suthinee")</f>
        <v>Suthinee</v>
      </c>
      <c r="F1313" t="str">
        <f>IFERROR(__xludf.DUMMYFUNCTION("""COMPUTED_VALUE"""),"Umawongsakul")</f>
        <v>Umawongsakul</v>
      </c>
      <c r="G1313" t="str">
        <f>IFERROR(__xludf.DUMMYFUNCTION("""COMPUTED_VALUE"""),"Suthinee Umawongsakul")</f>
        <v>Suthinee Umawongsakul</v>
      </c>
      <c r="H1313" t="str">
        <f>IFERROR(__xludf.DUMMYFUNCTION("""COMPUTED_VALUE"""),"นางสาว")</f>
        <v>นางสาว</v>
      </c>
      <c r="I1313" t="str">
        <f>IFERROR(__xludf.DUMMYFUNCTION("""COMPUTED_VALUE"""),"สุธินี")</f>
        <v>สุธินี</v>
      </c>
      <c r="J1313" t="str">
        <f>IFERROR(__xludf.DUMMYFUNCTION("""COMPUTED_VALUE"""),"อุมาวงสกุล")</f>
        <v>อุมาวงสกุล</v>
      </c>
      <c r="K1313" s="145" t="str">
        <f>IFERROR(__xludf.DUMMYFUNCTION("""COMPUTED_VALUE"""),"สุธินี อุมาวงสกุล")</f>
        <v>สุธินี อุมาวงสกุล</v>
      </c>
      <c r="L1313" t="str">
        <f>IFERROR(__xludf.DUMMYFUNCTION("""COMPUTED_VALUE"""),"Thinie / ธีนี่")</f>
        <v>Thinie / ธีนี่</v>
      </c>
      <c r="M1313" t="str">
        <f>IFERROR(__xludf.DUMMYFUNCTION("""COMPUTED_VALUE"""),"Cabin Crew Trainee")</f>
        <v>Cabin Crew Trainee</v>
      </c>
      <c r="N1313" t="str">
        <f>IFERROR(__xludf.DUMMYFUNCTION("""COMPUTED_VALUE"""),"DMK")</f>
        <v>DMK</v>
      </c>
      <c r="O1313" s="145" t="str">
        <f>IFERROR(__xludf.DUMMYFUNCTION("""COMPUTED_VALUE"""),"Por+ Home")</f>
        <v>Por+ Home</v>
      </c>
      <c r="P1313" t="str">
        <f>IFERROR(__xludf.DUMMYFUNCTION("""COMPUTED_VALUE"""),"Trainee")</f>
        <v>Trainee</v>
      </c>
      <c r="R1313" s="165">
        <f>IFERROR(__xludf.DUMMYFUNCTION("""COMPUTED_VALUE"""),37379.0)</f>
        <v>37379</v>
      </c>
      <c r="S1313" s="146">
        <f>IFERROR(__xludf.DUMMYFUNCTION("""COMPUTED_VALUE"""),9.86149716E8)</f>
        <v>986149716</v>
      </c>
      <c r="T1313" s="147">
        <f>IFERROR(__xludf.DUMMYFUNCTION("""COMPUTED_VALUE"""),1.100703336417E12)</f>
        <v>1100703336417</v>
      </c>
      <c r="U1313" t="str">
        <f>IFERROR(__xludf.DUMMYFUNCTION("""COMPUTED_VALUE"""),"AC5063815")</f>
        <v>AC5063815</v>
      </c>
      <c r="V1313" s="148">
        <f>IFERROR(__xludf.DUMMYFUNCTION("""COMPUTED_VALUE"""),45075.0)</f>
        <v>45075</v>
      </c>
      <c r="W1313" s="148">
        <f>IFERROR(__xludf.DUMMYFUNCTION("""COMPUTED_VALUE"""),46901.0)</f>
        <v>46901</v>
      </c>
      <c r="X1313" s="149">
        <f>IFERROR(__xludf.DUMMYFUNCTION("""COMPUTED_VALUE"""),46719.0)</f>
        <v>46719</v>
      </c>
      <c r="Y1313" t="str">
        <f>IFERROR(__xludf.DUMMYFUNCTION("""COMPUTED_VALUE"""),"ปลอดภัย")</f>
        <v>ปลอดภัย</v>
      </c>
      <c r="Z1313" t="str">
        <f>IFERROR(__xludf.DUMMYFUNCTION("""COMPUTED_VALUE"""),"Bangkok")</f>
        <v>Bangkok</v>
      </c>
      <c r="AA1313" t="str">
        <f>IFERROR(__xludf.DUMMYFUNCTION("""COMPUTED_VALUE"""),"Pathum Thani")</f>
        <v>Pathum Thani</v>
      </c>
      <c r="AB1313" s="145" t="str">
        <f>IFERROR(__xludf.DUMMYFUNCTION("""COMPUTED_VALUE"""),"099-391-5494")</f>
        <v>099-391-5494</v>
      </c>
      <c r="AC1313" t="str">
        <f>IFERROR(__xludf.DUMMYFUNCTION("""COMPUTED_VALUE"""),"นายปรีชา อุมาวงสกุล Father")</f>
        <v>นายปรีชา อุมาวงสกุล Father</v>
      </c>
      <c r="AD1313" t="str">
        <f>IFERROR(__xludf.DUMMYFUNCTION("""COMPUTED_VALUE"""),"suthineeuma@airasia.com")</f>
        <v>suthineeuma@airasia.com</v>
      </c>
    </row>
    <row r="1314">
      <c r="A1314">
        <f>IFERROR(__xludf.DUMMYFUNCTION("""COMPUTED_VALUE"""),113.0)</f>
        <v>113</v>
      </c>
      <c r="B1314" t="str">
        <f>IFERROR(__xludf.DUMMYFUNCTION("""COMPUTED_VALUE"""),"Initial Training 2 MAR 26")</f>
        <v>Initial Training 2 MAR 26</v>
      </c>
      <c r="C1314">
        <f>IFERROR(__xludf.DUMMYFUNCTION("""COMPUTED_VALUE"""),1046361.0)</f>
        <v>1046361</v>
      </c>
      <c r="D1314" t="str">
        <f>IFERROR(__xludf.DUMMYFUNCTION("""COMPUTED_VALUE"""),"Ms.")</f>
        <v>Ms.</v>
      </c>
      <c r="E1314" t="str">
        <f>IFERROR(__xludf.DUMMYFUNCTION("""COMPUTED_VALUE"""),"Taechinee")</f>
        <v>Taechinee</v>
      </c>
      <c r="F1314" t="str">
        <f>IFERROR(__xludf.DUMMYFUNCTION("""COMPUTED_VALUE"""),"Thanawutthikosit")</f>
        <v>Thanawutthikosit</v>
      </c>
      <c r="G1314" t="str">
        <f>IFERROR(__xludf.DUMMYFUNCTION("""COMPUTED_VALUE"""),"Taechinee Thanawutthikosit")</f>
        <v>Taechinee Thanawutthikosit</v>
      </c>
      <c r="H1314" t="str">
        <f>IFERROR(__xludf.DUMMYFUNCTION("""COMPUTED_VALUE"""),"นางสาว")</f>
        <v>นางสาว</v>
      </c>
      <c r="I1314" t="str">
        <f>IFERROR(__xludf.DUMMYFUNCTION("""COMPUTED_VALUE"""),"เตชินี")</f>
        <v>เตชินี</v>
      </c>
      <c r="J1314" t="str">
        <f>IFERROR(__xludf.DUMMYFUNCTION("""COMPUTED_VALUE"""),"ธนวุฒิโฆสิต")</f>
        <v>ธนวุฒิโฆสิต</v>
      </c>
      <c r="K1314" s="145" t="str">
        <f>IFERROR(__xludf.DUMMYFUNCTION("""COMPUTED_VALUE"""),"เตชินี ธนวุฒิโฆสิต")</f>
        <v>เตชินี ธนวุฒิโฆสิต</v>
      </c>
      <c r="L1314" t="str">
        <f>IFERROR(__xludf.DUMMYFUNCTION("""COMPUTED_VALUE"""),"แนตตี้")</f>
        <v>แนตตี้</v>
      </c>
      <c r="M1314" t="str">
        <f>IFERROR(__xludf.DUMMYFUNCTION("""COMPUTED_VALUE"""),"Cabin Crew Trainee")</f>
        <v>Cabin Crew Trainee</v>
      </c>
      <c r="N1314" t="str">
        <f>IFERROR(__xludf.DUMMYFUNCTION("""COMPUTED_VALUE"""),"DMK")</f>
        <v>DMK</v>
      </c>
      <c r="O1314" s="145" t="str">
        <f>IFERROR(__xludf.DUMMYFUNCTION("""COMPUTED_VALUE"""),"Por+ Home")</f>
        <v>Por+ Home</v>
      </c>
      <c r="P1314" t="str">
        <f>IFERROR(__xludf.DUMMYFUNCTION("""COMPUTED_VALUE"""),"Trainee")</f>
        <v>Trainee</v>
      </c>
      <c r="R1314" s="156">
        <f>IFERROR(__xludf.DUMMYFUNCTION("""COMPUTED_VALUE"""),36427.0)</f>
        <v>36427</v>
      </c>
      <c r="S1314" s="146">
        <f>IFERROR(__xludf.DUMMYFUNCTION("""COMPUTED_VALUE"""),8.19196695E8)</f>
        <v>819196695</v>
      </c>
      <c r="T1314" s="147">
        <f>IFERROR(__xludf.DUMMYFUNCTION("""COMPUTED_VALUE"""),1.102003086584E12)</f>
        <v>1102003086584</v>
      </c>
      <c r="U1314" t="str">
        <f>IFERROR(__xludf.DUMMYFUNCTION("""COMPUTED_VALUE"""),"AC6284986")</f>
        <v>AC6284986</v>
      </c>
      <c r="V1314" s="148">
        <f>IFERROR(__xludf.DUMMYFUNCTION("""COMPUTED_VALUE"""),45281.0)</f>
        <v>45281</v>
      </c>
      <c r="W1314" s="148">
        <f>IFERROR(__xludf.DUMMYFUNCTION("""COMPUTED_VALUE"""),47107.0)</f>
        <v>47107</v>
      </c>
      <c r="X1314" s="149">
        <f>IFERROR(__xludf.DUMMYFUNCTION("""COMPUTED_VALUE"""),46924.0)</f>
        <v>46924</v>
      </c>
      <c r="Y1314" t="str">
        <f>IFERROR(__xludf.DUMMYFUNCTION("""COMPUTED_VALUE"""),"ปลอดภัย")</f>
        <v>ปลอดภัย</v>
      </c>
      <c r="Z1314" t="str">
        <f>IFERROR(__xludf.DUMMYFUNCTION("""COMPUTED_VALUE"""),"Bangkok")</f>
        <v>Bangkok</v>
      </c>
      <c r="AA1314" t="str">
        <f>IFERROR(__xludf.DUMMYFUNCTION("""COMPUTED_VALUE"""),"Bangkok")</f>
        <v>Bangkok</v>
      </c>
      <c r="AB1314" s="145" t="str">
        <f>IFERROR(__xludf.DUMMYFUNCTION("""COMPUTED_VALUE"""),"0987462721")</f>
        <v>0987462721</v>
      </c>
      <c r="AC1314" t="str">
        <f>IFERROR(__xludf.DUMMYFUNCTION("""COMPUTED_VALUE"""),"นาง นิธิพร ธนวุฒิโฆสิต Mother")</f>
        <v>นาง นิธิพร ธนวุฒิโฆสิต Mother</v>
      </c>
      <c r="AD1314" t="str">
        <f>IFERROR(__xludf.DUMMYFUNCTION("""COMPUTED_VALUE"""),"taechineetha@airasia.com")</f>
        <v>taechineetha@airasia.com</v>
      </c>
    </row>
    <row r="1315">
      <c r="A1315">
        <f>IFERROR(__xludf.DUMMYFUNCTION("""COMPUTED_VALUE"""),113.0)</f>
        <v>113</v>
      </c>
      <c r="B1315" t="str">
        <f>IFERROR(__xludf.DUMMYFUNCTION("""COMPUTED_VALUE"""),"Initial Training 2 MAR 26")</f>
        <v>Initial Training 2 MAR 26</v>
      </c>
      <c r="C1315">
        <f>IFERROR(__xludf.DUMMYFUNCTION("""COMPUTED_VALUE"""),1046362.0)</f>
        <v>1046362</v>
      </c>
      <c r="D1315" t="str">
        <f>IFERROR(__xludf.DUMMYFUNCTION("""COMPUTED_VALUE"""),"Ms.")</f>
        <v>Ms.</v>
      </c>
      <c r="E1315" t="str">
        <f>IFERROR(__xludf.DUMMYFUNCTION("""COMPUTED_VALUE"""),"Tanaporn")</f>
        <v>Tanaporn</v>
      </c>
      <c r="F1315" t="str">
        <f>IFERROR(__xludf.DUMMYFUNCTION("""COMPUTED_VALUE"""),"Teeranavanich")</f>
        <v>Teeranavanich</v>
      </c>
      <c r="G1315" t="str">
        <f>IFERROR(__xludf.DUMMYFUNCTION("""COMPUTED_VALUE"""),"Tanaporn Teeranavanich")</f>
        <v>Tanaporn Teeranavanich</v>
      </c>
      <c r="H1315" t="str">
        <f>IFERROR(__xludf.DUMMYFUNCTION("""COMPUTED_VALUE"""),"นางสาว")</f>
        <v>นางสาว</v>
      </c>
      <c r="I1315" t="str">
        <f>IFERROR(__xludf.DUMMYFUNCTION("""COMPUTED_VALUE"""),"ธนพร")</f>
        <v>ธนพร</v>
      </c>
      <c r="J1315" t="str">
        <f>IFERROR(__xludf.DUMMYFUNCTION("""COMPUTED_VALUE"""),"ตีรณะวาณิช")</f>
        <v>ตีรณะวาณิช</v>
      </c>
      <c r="K1315" s="145" t="str">
        <f>IFERROR(__xludf.DUMMYFUNCTION("""COMPUTED_VALUE"""),"ธนพร ตีรณะวาณิช")</f>
        <v>ธนพร ตีรณะวาณิช</v>
      </c>
      <c r="L1315" t="str">
        <f>IFERROR(__xludf.DUMMYFUNCTION("""COMPUTED_VALUE"""),"แก้มยุ้ย")</f>
        <v>แก้มยุ้ย</v>
      </c>
      <c r="M1315" t="str">
        <f>IFERROR(__xludf.DUMMYFUNCTION("""COMPUTED_VALUE"""),"Cabin Crew Trainee")</f>
        <v>Cabin Crew Trainee</v>
      </c>
      <c r="N1315" t="str">
        <f>IFERROR(__xludf.DUMMYFUNCTION("""COMPUTED_VALUE"""),"DMK")</f>
        <v>DMK</v>
      </c>
      <c r="O1315" s="145" t="str">
        <f>IFERROR(__xludf.DUMMYFUNCTION("""COMPUTED_VALUE"""),"Por+ Home")</f>
        <v>Por+ Home</v>
      </c>
      <c r="P1315" t="str">
        <f>IFERROR(__xludf.DUMMYFUNCTION("""COMPUTED_VALUE"""),"Trainee")</f>
        <v>Trainee</v>
      </c>
      <c r="R1315" s="156">
        <f>IFERROR(__xludf.DUMMYFUNCTION("""COMPUTED_VALUE"""),33903.0)</f>
        <v>33903</v>
      </c>
      <c r="S1315" s="146">
        <f>IFERROR(__xludf.DUMMYFUNCTION("""COMPUTED_VALUE"""),9.14147811E8)</f>
        <v>914147811</v>
      </c>
      <c r="T1315" s="147">
        <f>IFERROR(__xludf.DUMMYFUNCTION("""COMPUTED_VALUE"""),1.769900291389E12)</f>
        <v>1769900291389</v>
      </c>
      <c r="U1315" t="str">
        <f>IFERROR(__xludf.DUMMYFUNCTION("""COMPUTED_VALUE"""),"AC2002001")</f>
        <v>AC2002001</v>
      </c>
      <c r="V1315" s="148">
        <f>IFERROR(__xludf.DUMMYFUNCTION("""COMPUTED_VALUE"""),44676.0)</f>
        <v>44676</v>
      </c>
      <c r="W1315" s="148">
        <f>IFERROR(__xludf.DUMMYFUNCTION("""COMPUTED_VALUE"""),48328.0)</f>
        <v>48328</v>
      </c>
      <c r="X1315" s="149">
        <f>IFERROR(__xludf.DUMMYFUNCTION("""COMPUTED_VALUE"""),48145.0)</f>
        <v>48145</v>
      </c>
      <c r="Y1315" t="str">
        <f>IFERROR(__xludf.DUMMYFUNCTION("""COMPUTED_VALUE"""),"ปลอดภัย")</f>
        <v>ปลอดภัย</v>
      </c>
      <c r="Z1315" t="str">
        <f>IFERROR(__xludf.DUMMYFUNCTION("""COMPUTED_VALUE"""),"Phetchaburi Province")</f>
        <v>Phetchaburi Province</v>
      </c>
      <c r="AA1315" t="str">
        <f>IFERROR(__xludf.DUMMYFUNCTION("""COMPUTED_VALUE"""),"Bangkok")</f>
        <v>Bangkok</v>
      </c>
      <c r="AB1315" s="145" t="str">
        <f>IFERROR(__xludf.DUMMYFUNCTION("""COMPUTED_VALUE"""),"0898368060")</f>
        <v>0898368060</v>
      </c>
      <c r="AC1315" t="str">
        <f>IFERROR(__xludf.DUMMYFUNCTION("""COMPUTED_VALUE"""),"นายอนุพนธ์ ตีรณะวาณิช Father")</f>
        <v>นายอนุพนธ์ ตีรณะวาณิช Father</v>
      </c>
      <c r="AD1315" t="str">
        <f>IFERROR(__xludf.DUMMYFUNCTION("""COMPUTED_VALUE"""),"tanaporntee@airasia.com")</f>
        <v>tanaporntee@airasia.com</v>
      </c>
    </row>
    <row r="1316">
      <c r="A1316">
        <f>IFERROR(__xludf.DUMMYFUNCTION("""COMPUTED_VALUE"""),113.0)</f>
        <v>113</v>
      </c>
      <c r="B1316" t="str">
        <f>IFERROR(__xludf.DUMMYFUNCTION("""COMPUTED_VALUE"""),"Initial Training 2 MAR 26")</f>
        <v>Initial Training 2 MAR 26</v>
      </c>
      <c r="C1316">
        <f>IFERROR(__xludf.DUMMYFUNCTION("""COMPUTED_VALUE"""),1046364.0)</f>
        <v>1046364</v>
      </c>
      <c r="D1316" t="str">
        <f>IFERROR(__xludf.DUMMYFUNCTION("""COMPUTED_VALUE"""),"Ms.")</f>
        <v>Ms.</v>
      </c>
      <c r="E1316" t="str">
        <f>IFERROR(__xludf.DUMMYFUNCTION("""COMPUTED_VALUE"""),"Thanchanok")</f>
        <v>Thanchanok</v>
      </c>
      <c r="F1316" t="str">
        <f>IFERROR(__xludf.DUMMYFUNCTION("""COMPUTED_VALUE"""),"Saleephon")</f>
        <v>Saleephon</v>
      </c>
      <c r="G1316" t="str">
        <f>IFERROR(__xludf.DUMMYFUNCTION("""COMPUTED_VALUE"""),"Thanchanok Saleephon")</f>
        <v>Thanchanok Saleephon</v>
      </c>
      <c r="H1316" t="str">
        <f>IFERROR(__xludf.DUMMYFUNCTION("""COMPUTED_VALUE"""),"นางสาว")</f>
        <v>นางสาว</v>
      </c>
      <c r="I1316" t="str">
        <f>IFERROR(__xludf.DUMMYFUNCTION("""COMPUTED_VALUE"""),"ธัญชนก")</f>
        <v>ธัญชนก</v>
      </c>
      <c r="J1316" t="str">
        <f>IFERROR(__xludf.DUMMYFUNCTION("""COMPUTED_VALUE"""),"สาลีผล")</f>
        <v>สาลีผล</v>
      </c>
      <c r="K1316" s="145" t="str">
        <f>IFERROR(__xludf.DUMMYFUNCTION("""COMPUTED_VALUE"""),"ธัญชนก สาลีผล")</f>
        <v>ธัญชนก สาลีผล</v>
      </c>
      <c r="L1316" t="str">
        <f>IFERROR(__xludf.DUMMYFUNCTION("""COMPUTED_VALUE"""),"ทันนี่")</f>
        <v>ทันนี่</v>
      </c>
      <c r="M1316" t="str">
        <f>IFERROR(__xludf.DUMMYFUNCTION("""COMPUTED_VALUE"""),"Cabin Crew Trainee")</f>
        <v>Cabin Crew Trainee</v>
      </c>
      <c r="N1316" t="str">
        <f>IFERROR(__xludf.DUMMYFUNCTION("""COMPUTED_VALUE"""),"DMK")</f>
        <v>DMK</v>
      </c>
      <c r="O1316" s="145" t="str">
        <f>IFERROR(__xludf.DUMMYFUNCTION("""COMPUTED_VALUE"""),"Up Home")</f>
        <v>Up Home</v>
      </c>
      <c r="P1316" t="str">
        <f>IFERROR(__xludf.DUMMYFUNCTION("""COMPUTED_VALUE"""),"Trainee")</f>
        <v>Trainee</v>
      </c>
      <c r="R1316" s="156">
        <f>IFERROR(__xludf.DUMMYFUNCTION("""COMPUTED_VALUE"""),36199.0)</f>
        <v>36199</v>
      </c>
      <c r="S1316" s="146">
        <f>IFERROR(__xludf.DUMMYFUNCTION("""COMPUTED_VALUE"""),8.04493269E8)</f>
        <v>804493269</v>
      </c>
      <c r="T1316" s="147">
        <f>IFERROR(__xludf.DUMMYFUNCTION("""COMPUTED_VALUE"""),1.101501003281E12)</f>
        <v>1101501003281</v>
      </c>
      <c r="U1316" t="str">
        <f>IFERROR(__xludf.DUMMYFUNCTION("""COMPUTED_VALUE"""),"AC5723038")</f>
        <v>AC5723038</v>
      </c>
      <c r="V1316" s="148">
        <f>IFERROR(__xludf.DUMMYFUNCTION("""COMPUTED_VALUE"""),45183.0)</f>
        <v>45183</v>
      </c>
      <c r="W1316" s="148">
        <f>IFERROR(__xludf.DUMMYFUNCTION("""COMPUTED_VALUE"""),48835.0)</f>
        <v>48835</v>
      </c>
      <c r="X1316" s="149">
        <f>IFERROR(__xludf.DUMMYFUNCTION("""COMPUTED_VALUE"""),48651.0)</f>
        <v>48651</v>
      </c>
      <c r="Y1316" t="str">
        <f>IFERROR(__xludf.DUMMYFUNCTION("""COMPUTED_VALUE"""),"ปลอดภัย")</f>
        <v>ปลอดภัย</v>
      </c>
      <c r="Z1316" t="str">
        <f>IFERROR(__xludf.DUMMYFUNCTION("""COMPUTED_VALUE"""),"Bangkok")</f>
        <v>Bangkok</v>
      </c>
      <c r="AA1316" t="str">
        <f>IFERROR(__xludf.DUMMYFUNCTION("""COMPUTED_VALUE"""),"Samut Prakan")</f>
        <v>Samut Prakan</v>
      </c>
      <c r="AB1316" s="145" t="str">
        <f>IFERROR(__xludf.DUMMYFUNCTION("""COMPUTED_VALUE"""),"0813594178")</f>
        <v>0813594178</v>
      </c>
      <c r="AC1316" t="str">
        <f>IFERROR(__xludf.DUMMYFUNCTION("""COMPUTED_VALUE"""),"สุวิทย์ สาลีผล Father")</f>
        <v>สุวิทย์ สาลีผล Father</v>
      </c>
      <c r="AD1316" t="str">
        <f>IFERROR(__xludf.DUMMYFUNCTION("""COMPUTED_VALUE"""),"thanchanoksal@airasia.com")</f>
        <v>thanchanoksal@airasia.com</v>
      </c>
    </row>
    <row r="1317">
      <c r="A1317">
        <f>IFERROR(__xludf.DUMMYFUNCTION("""COMPUTED_VALUE"""),113.0)</f>
        <v>113</v>
      </c>
      <c r="B1317" t="str">
        <f>IFERROR(__xludf.DUMMYFUNCTION("""COMPUTED_VALUE"""),"Initial Training 2 MAR 26")</f>
        <v>Initial Training 2 MAR 26</v>
      </c>
      <c r="C1317">
        <f>IFERROR(__xludf.DUMMYFUNCTION("""COMPUTED_VALUE"""),1046371.0)</f>
        <v>1046371</v>
      </c>
      <c r="D1317" t="str">
        <f>IFERROR(__xludf.DUMMYFUNCTION("""COMPUTED_VALUE"""),"Ms.")</f>
        <v>Ms.</v>
      </c>
      <c r="E1317" t="str">
        <f>IFERROR(__xludf.DUMMYFUNCTION("""COMPUTED_VALUE"""),"Natcha")</f>
        <v>Natcha</v>
      </c>
      <c r="F1317" t="str">
        <f>IFERROR(__xludf.DUMMYFUNCTION("""COMPUTED_VALUE"""),"Sanongkhun")</f>
        <v>Sanongkhun</v>
      </c>
      <c r="G1317" t="str">
        <f>IFERROR(__xludf.DUMMYFUNCTION("""COMPUTED_VALUE"""),"Natcha Sanongkhun")</f>
        <v>Natcha Sanongkhun</v>
      </c>
      <c r="H1317" t="str">
        <f>IFERROR(__xludf.DUMMYFUNCTION("""COMPUTED_VALUE"""),"นางสาว")</f>
        <v>นางสาว</v>
      </c>
      <c r="I1317" t="str">
        <f>IFERROR(__xludf.DUMMYFUNCTION("""COMPUTED_VALUE"""),"ณัฐชา")</f>
        <v>ณัฐชา</v>
      </c>
      <c r="J1317" t="str">
        <f>IFERROR(__xludf.DUMMYFUNCTION("""COMPUTED_VALUE"""),"สนองคุณ")</f>
        <v>สนองคุณ</v>
      </c>
      <c r="K1317" s="145" t="str">
        <f>IFERROR(__xludf.DUMMYFUNCTION("""COMPUTED_VALUE"""),"ณัฐชา สนองคุณ")</f>
        <v>ณัฐชา สนองคุณ</v>
      </c>
      <c r="L1317" t="str">
        <f>IFERROR(__xludf.DUMMYFUNCTION("""COMPUTED_VALUE"""),"แตม")</f>
        <v>แตม</v>
      </c>
      <c r="M1317" t="str">
        <f>IFERROR(__xludf.DUMMYFUNCTION("""COMPUTED_VALUE"""),"Cabin Crew Trainee")</f>
        <v>Cabin Crew Trainee</v>
      </c>
      <c r="N1317" t="str">
        <f>IFERROR(__xludf.DUMMYFUNCTION("""COMPUTED_VALUE"""),"DMK")</f>
        <v>DMK</v>
      </c>
      <c r="O1317" s="145" t="str">
        <f>IFERROR(__xludf.DUMMYFUNCTION("""COMPUTED_VALUE"""),"Namfon Home")</f>
        <v>Namfon Home</v>
      </c>
      <c r="P1317" t="str">
        <f>IFERROR(__xludf.DUMMYFUNCTION("""COMPUTED_VALUE"""),"Trainee")</f>
        <v>Trainee</v>
      </c>
      <c r="R1317" s="156">
        <f>IFERROR(__xludf.DUMMYFUNCTION("""COMPUTED_VALUE"""),33524.0)</f>
        <v>33524</v>
      </c>
      <c r="S1317" s="146">
        <f>IFERROR(__xludf.DUMMYFUNCTION("""COMPUTED_VALUE"""),8.86545423E8)</f>
        <v>886545423</v>
      </c>
      <c r="T1317" s="147">
        <f>IFERROR(__xludf.DUMMYFUNCTION("""COMPUTED_VALUE"""),1.659900474531E12)</f>
        <v>1659900474531</v>
      </c>
      <c r="U1317" t="str">
        <f>IFERROR(__xludf.DUMMYFUNCTION("""COMPUTED_VALUE"""),"AD1728167")</f>
        <v>AD1728167</v>
      </c>
      <c r="V1317" s="148">
        <f>IFERROR(__xludf.DUMMYFUNCTION("""COMPUTED_VALUE"""),45433.0)</f>
        <v>45433</v>
      </c>
      <c r="W1317" s="148">
        <f>IFERROR(__xludf.DUMMYFUNCTION("""COMPUTED_VALUE"""),49084.0)</f>
        <v>49084</v>
      </c>
      <c r="X1317" s="149">
        <f>IFERROR(__xludf.DUMMYFUNCTION("""COMPUTED_VALUE"""),48903.0)</f>
        <v>48903</v>
      </c>
      <c r="Y1317" t="str">
        <f>IFERROR(__xludf.DUMMYFUNCTION("""COMPUTED_VALUE"""),"ปลอดภัย")</f>
        <v>ปลอดภัย</v>
      </c>
      <c r="Z1317" t="str">
        <f>IFERROR(__xludf.DUMMYFUNCTION("""COMPUTED_VALUE"""),"Phitsanulok Province")</f>
        <v>Phitsanulok Province</v>
      </c>
      <c r="AA1317" t="str">
        <f>IFERROR(__xludf.DUMMYFUNCTION("""COMPUTED_VALUE"""),"Bangkok")</f>
        <v>Bangkok</v>
      </c>
      <c r="AB1317" s="145" t="str">
        <f>IFERROR(__xludf.DUMMYFUNCTION("""COMPUTED_VALUE"""),"082-554-4246")</f>
        <v>082-554-4246</v>
      </c>
      <c r="AC1317" t="str">
        <f>IFERROR(__xludf.DUMMYFUNCTION("""COMPUTED_VALUE"""),"นรนิติ สนองคุณ Brother")</f>
        <v>นรนิติ สนองคุณ Brother</v>
      </c>
      <c r="AD1317" t="str">
        <f>IFERROR(__xludf.DUMMYFUNCTION("""COMPUTED_VALUE"""),"natchasan@airasia.com")</f>
        <v>natchasan@airasia.com</v>
      </c>
    </row>
    <row r="1318">
      <c r="A1318">
        <f>IFERROR(__xludf.DUMMYFUNCTION("""COMPUTED_VALUE"""),113.0)</f>
        <v>113</v>
      </c>
      <c r="B1318" t="str">
        <f>IFERROR(__xludf.DUMMYFUNCTION("""COMPUTED_VALUE"""),"Initial Training 2 MAR 26")</f>
        <v>Initial Training 2 MAR 26</v>
      </c>
      <c r="C1318">
        <f>IFERROR(__xludf.DUMMYFUNCTION("""COMPUTED_VALUE"""),1046372.0)</f>
        <v>1046372</v>
      </c>
      <c r="D1318" t="str">
        <f>IFERROR(__xludf.DUMMYFUNCTION("""COMPUTED_VALUE"""),"Ms.")</f>
        <v>Ms.</v>
      </c>
      <c r="E1318" t="str">
        <f>IFERROR(__xludf.DUMMYFUNCTION("""COMPUTED_VALUE"""),"Sirinan")</f>
        <v>Sirinan</v>
      </c>
      <c r="F1318" t="str">
        <f>IFERROR(__xludf.DUMMYFUNCTION("""COMPUTED_VALUE"""),"Jabju")</f>
        <v>Jabju</v>
      </c>
      <c r="G1318" t="str">
        <f>IFERROR(__xludf.DUMMYFUNCTION("""COMPUTED_VALUE"""),"Sirinan Jabju")</f>
        <v>Sirinan Jabju</v>
      </c>
      <c r="H1318" t="str">
        <f>IFERROR(__xludf.DUMMYFUNCTION("""COMPUTED_VALUE"""),"นางสาว")</f>
        <v>นางสาว</v>
      </c>
      <c r="I1318" t="str">
        <f>IFERROR(__xludf.DUMMYFUNCTION("""COMPUTED_VALUE"""),"สิรินันท์")</f>
        <v>สิรินันท์</v>
      </c>
      <c r="J1318" t="str">
        <f>IFERROR(__xludf.DUMMYFUNCTION("""COMPUTED_VALUE"""),"จับจุ")</f>
        <v>จับจุ</v>
      </c>
      <c r="K1318" s="145" t="str">
        <f>IFERROR(__xludf.DUMMYFUNCTION("""COMPUTED_VALUE"""),"สิรินันท์ จับจุ")</f>
        <v>สิรินันท์ จับจุ</v>
      </c>
      <c r="L1318" t="str">
        <f>IFERROR(__xludf.DUMMYFUNCTION("""COMPUTED_VALUE"""),"กระต่าย")</f>
        <v>กระต่าย</v>
      </c>
      <c r="M1318" t="str">
        <f>IFERROR(__xludf.DUMMYFUNCTION("""COMPUTED_VALUE"""),"Cabin Crew Trainee")</f>
        <v>Cabin Crew Trainee</v>
      </c>
      <c r="N1318" t="str">
        <f>IFERROR(__xludf.DUMMYFUNCTION("""COMPUTED_VALUE"""),"DMK")</f>
        <v>DMK</v>
      </c>
      <c r="O1318" s="145" t="str">
        <f>IFERROR(__xludf.DUMMYFUNCTION("""COMPUTED_VALUE"""),"Um Home")</f>
        <v>Um Home</v>
      </c>
      <c r="P1318" t="str">
        <f>IFERROR(__xludf.DUMMYFUNCTION("""COMPUTED_VALUE"""),"Trainee")</f>
        <v>Trainee</v>
      </c>
      <c r="R1318" s="156">
        <f>IFERROR(__xludf.DUMMYFUNCTION("""COMPUTED_VALUE"""),33828.0)</f>
        <v>33828</v>
      </c>
      <c r="S1318" s="146">
        <f>IFERROR(__xludf.DUMMYFUNCTION("""COMPUTED_VALUE"""),8.53295351E8)</f>
        <v>853295351</v>
      </c>
      <c r="T1318" s="147">
        <f>IFERROR(__xludf.DUMMYFUNCTION("""COMPUTED_VALUE"""),1.100200759571E12)</f>
        <v>1100200759571</v>
      </c>
      <c r="U1318" t="str">
        <f>IFERROR(__xludf.DUMMYFUNCTION("""COMPUTED_VALUE"""),"AC4360875")</f>
        <v>AC4360875</v>
      </c>
      <c r="V1318" s="148">
        <f>IFERROR(__xludf.DUMMYFUNCTION("""COMPUTED_VALUE"""),44938.0)</f>
        <v>44938</v>
      </c>
      <c r="W1318" s="148">
        <f>IFERROR(__xludf.DUMMYFUNCTION("""COMPUTED_VALUE"""),48590.0)</f>
        <v>48590</v>
      </c>
      <c r="X1318" s="149">
        <f>IFERROR(__xludf.DUMMYFUNCTION("""COMPUTED_VALUE"""),48406.0)</f>
        <v>48406</v>
      </c>
      <c r="Y1318" t="str">
        <f>IFERROR(__xludf.DUMMYFUNCTION("""COMPUTED_VALUE"""),"ปลอดภัย")</f>
        <v>ปลอดภัย</v>
      </c>
      <c r="Z1318" t="str">
        <f>IFERROR(__xludf.DUMMYFUNCTION("""COMPUTED_VALUE"""),"Bangkok")</f>
        <v>Bangkok</v>
      </c>
      <c r="AA1318" t="str">
        <f>IFERROR(__xludf.DUMMYFUNCTION("""COMPUTED_VALUE"""),"Nonthaburi")</f>
        <v>Nonthaburi</v>
      </c>
      <c r="AB1318" s="145" t="str">
        <f>IFERROR(__xludf.DUMMYFUNCTION("""COMPUTED_VALUE"""),"090-560-5661")</f>
        <v>090-560-5661</v>
      </c>
      <c r="AC1318" t="str">
        <f>IFERROR(__xludf.DUMMYFUNCTION("""COMPUTED_VALUE"""),"นายภูนที ทาคำ Husband")</f>
        <v>นายภูนที ทาคำ Husband</v>
      </c>
      <c r="AD1318" t="str">
        <f>IFERROR(__xludf.DUMMYFUNCTION("""COMPUTED_VALUE"""),"sirinanjab@airasia.com")</f>
        <v>sirinanjab@airasia.com</v>
      </c>
    </row>
    <row r="1319">
      <c r="A1319">
        <f>IFERROR(__xludf.DUMMYFUNCTION("""COMPUTED_VALUE"""),113.0)</f>
        <v>113</v>
      </c>
      <c r="C1319">
        <f>IFERROR(__xludf.DUMMYFUNCTION("""COMPUTED_VALUE"""),1047751.0)</f>
        <v>1047751</v>
      </c>
      <c r="D1319" t="str">
        <f>IFERROR(__xludf.DUMMYFUNCTION("""COMPUTED_VALUE"""),"Ms.")</f>
        <v>Ms.</v>
      </c>
      <c r="E1319" t="str">
        <f>IFERROR(__xludf.DUMMYFUNCTION("""COMPUTED_VALUE"""),"Tanyarat")</f>
        <v>Tanyarat</v>
      </c>
      <c r="F1319" t="str">
        <f>IFERROR(__xludf.DUMMYFUNCTION("""COMPUTED_VALUE"""),"Rairiang")</f>
        <v>Rairiang</v>
      </c>
      <c r="G1319" t="str">
        <f>IFERROR(__xludf.DUMMYFUNCTION("""COMPUTED_VALUE"""),"Tanyarat Rairiang")</f>
        <v>Tanyarat Rairiang</v>
      </c>
      <c r="H1319" t="str">
        <f>IFERROR(__xludf.DUMMYFUNCTION("""COMPUTED_VALUE"""),"นางสาว")</f>
        <v>นางสาว</v>
      </c>
      <c r="I1319" t="str">
        <f>IFERROR(__xludf.DUMMYFUNCTION("""COMPUTED_VALUE"""),"ธัญญารัตน์")</f>
        <v>ธัญญารัตน์</v>
      </c>
      <c r="J1319" t="str">
        <f>IFERROR(__xludf.DUMMYFUNCTION("""COMPUTED_VALUE"""),"ไร่เรียง")</f>
        <v>ไร่เรียง</v>
      </c>
      <c r="K1319" s="145" t="str">
        <f>IFERROR(__xludf.DUMMYFUNCTION("""COMPUTED_VALUE"""),"ธัญญารัตน์ ไร่เรียง")</f>
        <v>ธัญญารัตน์ ไร่เรียง</v>
      </c>
      <c r="L1319" t="str">
        <f>IFERROR(__xludf.DUMMYFUNCTION("""COMPUTED_VALUE"""),"Kiki / กีกี้")</f>
        <v>Kiki / กีกี้</v>
      </c>
      <c r="M1319" t="str">
        <f>IFERROR(__xludf.DUMMYFUNCTION("""COMPUTED_VALUE"""),"Cabin Crew Trainee")</f>
        <v>Cabin Crew Trainee</v>
      </c>
      <c r="N1319" t="str">
        <f>IFERROR(__xludf.DUMMYFUNCTION("""COMPUTED_VALUE"""),"DMK")</f>
        <v>DMK</v>
      </c>
      <c r="O1319" s="145" t="str">
        <f>IFERROR(__xludf.DUMMYFUNCTION("""COMPUTED_VALUE"""),"Toffy Home")</f>
        <v>Toffy Home</v>
      </c>
      <c r="P1319" t="str">
        <f>IFERROR(__xludf.DUMMYFUNCTION("""COMPUTED_VALUE"""),"Trainee")</f>
        <v>Trainee</v>
      </c>
      <c r="R1319" s="156">
        <f>IFERROR(__xludf.DUMMYFUNCTION("""COMPUTED_VALUE"""),35322.0)</f>
        <v>35322</v>
      </c>
      <c r="S1319" s="146">
        <f>IFERROR(__xludf.DUMMYFUNCTION("""COMPUTED_VALUE"""),8.92562669E8)</f>
        <v>892562669</v>
      </c>
      <c r="T1319" s="147">
        <f>IFERROR(__xludf.DUMMYFUNCTION("""COMPUTED_VALUE"""),1.709901079049E12)</f>
        <v>1709901079049</v>
      </c>
      <c r="U1319" t="str">
        <f>IFERROR(__xludf.DUMMYFUNCTION("""COMPUTED_VALUE"""),"AC5440984")</f>
        <v>AC5440984</v>
      </c>
      <c r="V1319" s="148">
        <f>IFERROR(__xludf.DUMMYFUNCTION("""COMPUTED_VALUE"""),45132.0)</f>
        <v>45132</v>
      </c>
      <c r="W1319" s="148">
        <f>IFERROR(__xludf.DUMMYFUNCTION("""COMPUTED_VALUE"""),48784.0)</f>
        <v>48784</v>
      </c>
      <c r="X1319" s="149">
        <f>IFERROR(__xludf.DUMMYFUNCTION("""COMPUTED_VALUE"""),48603.0)</f>
        <v>48603</v>
      </c>
      <c r="Y1319" t="str">
        <f>IFERROR(__xludf.DUMMYFUNCTION("""COMPUTED_VALUE"""),"ปลอดภัย")</f>
        <v>ปลอดภัย</v>
      </c>
      <c r="Z1319" t="str">
        <f>IFERROR(__xludf.DUMMYFUNCTION("""COMPUTED_VALUE"""),"Ratchaburi Province")</f>
        <v>Ratchaburi Province</v>
      </c>
      <c r="AA1319" t="str">
        <f>IFERROR(__xludf.DUMMYFUNCTION("""COMPUTED_VALUE"""),"Bangkok")</f>
        <v>Bangkok</v>
      </c>
      <c r="AB1319" s="145" t="str">
        <f>IFERROR(__xludf.DUMMYFUNCTION("""COMPUTED_VALUE"""),"093-068-0639")</f>
        <v>093-068-0639</v>
      </c>
      <c r="AC1319" t="str">
        <f>IFERROR(__xludf.DUMMYFUNCTION("""COMPUTED_VALUE"""),"น.ส. สุชานุช ไร่เรียง Sister")</f>
        <v>น.ส. สุชานุช ไร่เรียง Sister</v>
      </c>
      <c r="AD1319" t="str">
        <f>IFERROR(__xludf.DUMMYFUNCTION("""COMPUTED_VALUE"""),"tanyaratrai@airasia.com")</f>
        <v>tanyaratrai@airasia.com</v>
      </c>
    </row>
    <row r="1320">
      <c r="A1320">
        <f>IFERROR(__xludf.DUMMYFUNCTION("""COMPUTED_VALUE"""),113.0)</f>
        <v>113</v>
      </c>
      <c r="C1320">
        <f>IFERROR(__xludf.DUMMYFUNCTION("""COMPUTED_VALUE"""),1047799.0)</f>
        <v>1047799</v>
      </c>
      <c r="D1320" t="str">
        <f>IFERROR(__xludf.DUMMYFUNCTION("""COMPUTED_VALUE"""),"Mr.")</f>
        <v>Mr.</v>
      </c>
      <c r="E1320" t="str">
        <f>IFERROR(__xludf.DUMMYFUNCTION("""COMPUTED_VALUE"""),"Erawat")</f>
        <v>Erawat</v>
      </c>
      <c r="F1320" t="str">
        <f>IFERROR(__xludf.DUMMYFUNCTION("""COMPUTED_VALUE"""),"Lorrattanachon")</f>
        <v>Lorrattanachon</v>
      </c>
      <c r="G1320" t="str">
        <f>IFERROR(__xludf.DUMMYFUNCTION("""COMPUTED_VALUE"""),"Erawat Lorrattanachon")</f>
        <v>Erawat Lorrattanachon</v>
      </c>
      <c r="H1320" t="str">
        <f>IFERROR(__xludf.DUMMYFUNCTION("""COMPUTED_VALUE"""),"นาย")</f>
        <v>นาย</v>
      </c>
      <c r="I1320" t="str">
        <f>IFERROR(__xludf.DUMMYFUNCTION("""COMPUTED_VALUE"""),"เอราวัต")</f>
        <v>เอราวัต</v>
      </c>
      <c r="J1320" t="str">
        <f>IFERROR(__xludf.DUMMYFUNCTION("""COMPUTED_VALUE"""),"ล้อรัตนชน")</f>
        <v>ล้อรัตนชน</v>
      </c>
      <c r="K1320" s="145" t="str">
        <f>IFERROR(__xludf.DUMMYFUNCTION("""COMPUTED_VALUE"""),"เอราวัต ล้อรัตนชน")</f>
        <v>เอราวัต ล้อรัตนชน</v>
      </c>
      <c r="L1320" t="str">
        <f>IFERROR(__xludf.DUMMYFUNCTION("""COMPUTED_VALUE"""),"แฮม")</f>
        <v>แฮม</v>
      </c>
      <c r="M1320" t="str">
        <f>IFERROR(__xludf.DUMMYFUNCTION("""COMPUTED_VALUE"""),"Cabin Crew Trainee")</f>
        <v>Cabin Crew Trainee</v>
      </c>
      <c r="N1320" t="str">
        <f>IFERROR(__xludf.DUMMYFUNCTION("""COMPUTED_VALUE"""),"DMK")</f>
        <v>DMK</v>
      </c>
      <c r="O1320" s="145" t="str">
        <f>IFERROR(__xludf.DUMMYFUNCTION("""COMPUTED_VALUE"""),"Por+ Home")</f>
        <v>Por+ Home</v>
      </c>
      <c r="P1320" t="str">
        <f>IFERROR(__xludf.DUMMYFUNCTION("""COMPUTED_VALUE"""),"Trainee")</f>
        <v>Trainee</v>
      </c>
      <c r="R1320" s="156">
        <f>IFERROR(__xludf.DUMMYFUNCTION("""COMPUTED_VALUE"""),33496.0)</f>
        <v>33496</v>
      </c>
      <c r="S1320" s="146">
        <f>IFERROR(__xludf.DUMMYFUNCTION("""COMPUTED_VALUE"""),8.1818544E8)</f>
        <v>818185440</v>
      </c>
      <c r="T1320" s="147">
        <f>IFERROR(__xludf.DUMMYFUNCTION("""COMPUTED_VALUE"""),1.249900241815E12)</f>
        <v>1249900241815</v>
      </c>
      <c r="U1320" t="str">
        <f>IFERROR(__xludf.DUMMYFUNCTION("""COMPUTED_VALUE"""),"AC6390509")</f>
        <v>AC6390509</v>
      </c>
      <c r="V1320" s="148">
        <f>IFERROR(__xludf.DUMMYFUNCTION("""COMPUTED_VALUE"""),45359.0)</f>
        <v>45359</v>
      </c>
      <c r="W1320" s="148">
        <f>IFERROR(__xludf.DUMMYFUNCTION("""COMPUTED_VALUE"""),49010.0)</f>
        <v>49010</v>
      </c>
      <c r="X1320" s="149">
        <f>IFERROR(__xludf.DUMMYFUNCTION("""COMPUTED_VALUE"""),48829.0)</f>
        <v>48829</v>
      </c>
      <c r="Y1320" t="str">
        <f>IFERROR(__xludf.DUMMYFUNCTION("""COMPUTED_VALUE"""),"ปลอดภัย")</f>
        <v>ปลอดภัย</v>
      </c>
      <c r="Z1320" t="str">
        <f>IFERROR(__xludf.DUMMYFUNCTION("""COMPUTED_VALUE"""),"Chachoengsao Province")</f>
        <v>Chachoengsao Province</v>
      </c>
      <c r="AA1320" t="str">
        <f>IFERROR(__xludf.DUMMYFUNCTION("""COMPUTED_VALUE"""),"Bangkok")</f>
        <v>Bangkok</v>
      </c>
      <c r="AB1320" s="145" t="str">
        <f>IFERROR(__xludf.DUMMYFUNCTION("""COMPUTED_VALUE"""),"0818641873")</f>
        <v>0818641873</v>
      </c>
      <c r="AC1320" t="str">
        <f>IFERROR(__xludf.DUMMYFUNCTION("""COMPUTED_VALUE"""),"นิรันดร์ ล้อรัตนชน Father")</f>
        <v>นิรันดร์ ล้อรัตนชน Father</v>
      </c>
      <c r="AD1320" t="str">
        <f>IFERROR(__xludf.DUMMYFUNCTION("""COMPUTED_VALUE"""),"erawatlorr@airasia.com")</f>
        <v>erawatlorr@airasia.com</v>
      </c>
    </row>
    <row r="1321">
      <c r="A1321">
        <f>IFERROR(__xludf.DUMMYFUNCTION("""COMPUTED_VALUE"""),113.0)</f>
        <v>113</v>
      </c>
      <c r="C1321">
        <f>IFERROR(__xludf.DUMMYFUNCTION("""COMPUTED_VALUE"""),1047800.0)</f>
        <v>1047800</v>
      </c>
      <c r="D1321" t="str">
        <f>IFERROR(__xludf.DUMMYFUNCTION("""COMPUTED_VALUE"""),"Ms.")</f>
        <v>Ms.</v>
      </c>
      <c r="E1321" t="str">
        <f>IFERROR(__xludf.DUMMYFUNCTION("""COMPUTED_VALUE"""),"Thamonwan")</f>
        <v>Thamonwan</v>
      </c>
      <c r="F1321" t="str">
        <f>IFERROR(__xludf.DUMMYFUNCTION("""COMPUTED_VALUE"""),"Cheevakate")</f>
        <v>Cheevakate</v>
      </c>
      <c r="G1321" t="str">
        <f>IFERROR(__xludf.DUMMYFUNCTION("""COMPUTED_VALUE"""),"Thamonwan Cheevakate")</f>
        <v>Thamonwan Cheevakate</v>
      </c>
      <c r="H1321" t="str">
        <f>IFERROR(__xludf.DUMMYFUNCTION("""COMPUTED_VALUE"""),"นางสาว")</f>
        <v>นางสาว</v>
      </c>
      <c r="I1321" t="str">
        <f>IFERROR(__xludf.DUMMYFUNCTION("""COMPUTED_VALUE"""),"ธมนวรรณ")</f>
        <v>ธมนวรรณ</v>
      </c>
      <c r="J1321" t="str">
        <f>IFERROR(__xludf.DUMMYFUNCTION("""COMPUTED_VALUE"""),"ชีวะเกตุ")</f>
        <v>ชีวะเกตุ</v>
      </c>
      <c r="K1321" s="145" t="str">
        <f>IFERROR(__xludf.DUMMYFUNCTION("""COMPUTED_VALUE"""),"ธมนวรรณ ชีวะเกตุ")</f>
        <v>ธมนวรรณ ชีวะเกตุ</v>
      </c>
      <c r="L1321" t="str">
        <f>IFERROR(__xludf.DUMMYFUNCTION("""COMPUTED_VALUE"""),"Ning / หนิง")</f>
        <v>Ning / หนิง</v>
      </c>
      <c r="M1321" t="str">
        <f>IFERROR(__xludf.DUMMYFUNCTION("""COMPUTED_VALUE"""),"Cabin Crew Trainee")</f>
        <v>Cabin Crew Trainee</v>
      </c>
      <c r="N1321" t="str">
        <f>IFERROR(__xludf.DUMMYFUNCTION("""COMPUTED_VALUE"""),"DMK")</f>
        <v>DMK</v>
      </c>
      <c r="O1321" s="145" t="str">
        <f>IFERROR(__xludf.DUMMYFUNCTION("""COMPUTED_VALUE"""),"UM Home")</f>
        <v>UM Home</v>
      </c>
      <c r="P1321" t="str">
        <f>IFERROR(__xludf.DUMMYFUNCTION("""COMPUTED_VALUE"""),"Trainee")</f>
        <v>Trainee</v>
      </c>
      <c r="R1321" s="156">
        <f>IFERROR(__xludf.DUMMYFUNCTION("""COMPUTED_VALUE"""),33294.0)</f>
        <v>33294</v>
      </c>
      <c r="S1321" s="146">
        <f>IFERROR(__xludf.DUMMYFUNCTION("""COMPUTED_VALUE"""),9.17588032E8)</f>
        <v>917588032</v>
      </c>
      <c r="T1321" s="147">
        <f>IFERROR(__xludf.DUMMYFUNCTION("""COMPUTED_VALUE"""),1.579900348749E12)</f>
        <v>1579900348749</v>
      </c>
      <c r="U1321" t="str">
        <f>IFERROR(__xludf.DUMMYFUNCTION("""COMPUTED_VALUE"""),"AC4915774")</f>
        <v>AC4915774</v>
      </c>
      <c r="V1321" s="148">
        <f>IFERROR(__xludf.DUMMYFUNCTION("""COMPUTED_VALUE"""),45054.0)</f>
        <v>45054</v>
      </c>
      <c r="W1321" s="148">
        <f>IFERROR(__xludf.DUMMYFUNCTION("""COMPUTED_VALUE"""),48706.0)</f>
        <v>48706</v>
      </c>
      <c r="X1321" s="149">
        <f>IFERROR(__xludf.DUMMYFUNCTION("""COMPUTED_VALUE"""),48525.0)</f>
        <v>48525</v>
      </c>
      <c r="Y1321" t="str">
        <f>IFERROR(__xludf.DUMMYFUNCTION("""COMPUTED_VALUE"""),"ปลอดภัย")</f>
        <v>ปลอดภัย</v>
      </c>
      <c r="Z1321" t="str">
        <f>IFERROR(__xludf.DUMMYFUNCTION("""COMPUTED_VALUE"""),"Chiang Rai Province")</f>
        <v>Chiang Rai Province</v>
      </c>
      <c r="AA1321" t="str">
        <f>IFERROR(__xludf.DUMMYFUNCTION("""COMPUTED_VALUE"""),"Bangkok")</f>
        <v>Bangkok</v>
      </c>
      <c r="AB1321" s="145" t="str">
        <f>IFERROR(__xludf.DUMMYFUNCTION("""COMPUTED_VALUE"""),"0917130646")</f>
        <v>0917130646</v>
      </c>
      <c r="AC1321" t="str">
        <f>IFERROR(__xludf.DUMMYFUNCTION("""COMPUTED_VALUE"""),"นายนิธิ กุลสิริสวัสดิ์ Friend")</f>
        <v>นายนิธิ กุลสิริสวัสดิ์ Friend</v>
      </c>
      <c r="AD1321" t="str">
        <f>IFERROR(__xludf.DUMMYFUNCTION("""COMPUTED_VALUE"""),"thamonwanchee@airasia.com")</f>
        <v>thamonwanchee@airasia.com</v>
      </c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3" max="3" width="26.75"/>
    <col customWidth="1" min="4" max="4" width="33.25"/>
    <col customWidth="1" min="7" max="7" width="3.5"/>
    <col customWidth="1" min="8" max="8" width="18.63"/>
    <col customWidth="1" min="9" max="9" width="21.63"/>
  </cols>
  <sheetData>
    <row r="1">
      <c r="A1" s="30" t="s">
        <v>991</v>
      </c>
      <c r="G1" s="31"/>
      <c r="H1" s="32" t="s">
        <v>992</v>
      </c>
      <c r="I1" s="33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4" t="s">
        <v>1</v>
      </c>
      <c r="B2" s="35" t="s">
        <v>11</v>
      </c>
      <c r="C2" s="35" t="s">
        <v>12</v>
      </c>
      <c r="D2" s="36" t="s">
        <v>13</v>
      </c>
      <c r="E2" s="37" t="s">
        <v>14</v>
      </c>
      <c r="F2" s="38"/>
      <c r="G2" s="39"/>
      <c r="H2" s="40"/>
      <c r="I2" s="40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41"/>
      <c r="B3" s="38"/>
      <c r="C3" s="38"/>
      <c r="D3" s="38"/>
      <c r="E3" s="42" t="s">
        <v>15</v>
      </c>
      <c r="F3" s="43" t="s">
        <v>5</v>
      </c>
      <c r="G3" s="39"/>
      <c r="H3" s="44" t="s">
        <v>6</v>
      </c>
      <c r="I3" s="45" t="s">
        <v>7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24.75" customHeight="1">
      <c r="A4" s="46"/>
      <c r="B4" s="47"/>
      <c r="C4" s="48" t="str">
        <f>vlookup(B4,'Crew Data'!C:G,5,0)</f>
        <v>#N/A</v>
      </c>
      <c r="D4" s="49"/>
      <c r="E4" s="47"/>
      <c r="F4" s="50">
        <f>E4*400</f>
        <v>0</v>
      </c>
      <c r="G4" s="22">
        <f>COUNTIF(B:B,B4)</f>
        <v>0</v>
      </c>
      <c r="H4" s="5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D5" s="52"/>
    </row>
    <row r="6">
      <c r="D6" s="52"/>
    </row>
    <row r="7" ht="44.25" customHeight="1">
      <c r="A7" s="53" t="s">
        <v>16</v>
      </c>
    </row>
  </sheetData>
  <mergeCells count="7">
    <mergeCell ref="A1:F1"/>
    <mergeCell ref="A2:A3"/>
    <mergeCell ref="B2:B3"/>
    <mergeCell ref="C2:C3"/>
    <mergeCell ref="D2:D3"/>
    <mergeCell ref="E2:F2"/>
    <mergeCell ref="A7:E7"/>
  </mergeCells>
  <dataValidations>
    <dataValidation type="list" allowBlank="1" sqref="H4">
      <formula1>"CHECKED (OK),CHECKED  (NOT OK)"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3" max="3" width="26.75"/>
    <col customWidth="1" min="4" max="4" width="33.25"/>
    <col customWidth="1" min="7" max="7" width="3.5"/>
    <col customWidth="1" min="8" max="8" width="18.63"/>
    <col customWidth="1" min="9" max="9" width="21.63"/>
  </cols>
  <sheetData>
    <row r="1">
      <c r="A1" s="30" t="s">
        <v>993</v>
      </c>
      <c r="G1" s="31"/>
      <c r="H1" s="32" t="s">
        <v>994</v>
      </c>
      <c r="I1" s="33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4" t="s">
        <v>1</v>
      </c>
      <c r="B2" s="35" t="s">
        <v>11</v>
      </c>
      <c r="C2" s="35" t="s">
        <v>12</v>
      </c>
      <c r="D2" s="36" t="s">
        <v>13</v>
      </c>
      <c r="E2" s="37" t="s">
        <v>14</v>
      </c>
      <c r="F2" s="38"/>
      <c r="G2" s="39"/>
      <c r="H2" s="40"/>
      <c r="I2" s="40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41"/>
      <c r="B3" s="38"/>
      <c r="C3" s="38"/>
      <c r="D3" s="38"/>
      <c r="E3" s="42" t="s">
        <v>15</v>
      </c>
      <c r="F3" s="43" t="s">
        <v>5</v>
      </c>
      <c r="G3" s="39"/>
      <c r="H3" s="44" t="s">
        <v>6</v>
      </c>
      <c r="I3" s="45" t="s">
        <v>7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24.75" customHeight="1">
      <c r="A4" s="46"/>
      <c r="B4" s="47"/>
      <c r="C4" s="48" t="str">
        <f>vlookup(B4,'Crew Data'!C:G,5,0)</f>
        <v>#N/A</v>
      </c>
      <c r="D4" s="49"/>
      <c r="E4" s="47"/>
      <c r="F4" s="50">
        <f>E4*400</f>
        <v>0</v>
      </c>
      <c r="G4" s="22">
        <f>COUNTIF(B:B,B4)</f>
        <v>0</v>
      </c>
      <c r="H4" s="5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D5" s="52"/>
    </row>
    <row r="6">
      <c r="D6" s="52"/>
    </row>
    <row r="7" ht="44.25" customHeight="1">
      <c r="A7" s="53" t="s">
        <v>16</v>
      </c>
    </row>
  </sheetData>
  <mergeCells count="7">
    <mergeCell ref="A1:F1"/>
    <mergeCell ref="A2:A3"/>
    <mergeCell ref="B2:B3"/>
    <mergeCell ref="C2:C3"/>
    <mergeCell ref="D2:D3"/>
    <mergeCell ref="E2:F2"/>
    <mergeCell ref="A7:E7"/>
  </mergeCells>
  <dataValidations>
    <dataValidation type="list" allowBlank="1" sqref="H4">
      <formula1>"CHECKED (OK),CHECKED  (NOT OK)"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3" max="3" width="26.75"/>
    <col customWidth="1" min="4" max="4" width="33.25"/>
    <col customWidth="1" min="7" max="7" width="3.5"/>
    <col customWidth="1" min="8" max="8" width="18.63"/>
    <col customWidth="1" min="9" max="9" width="21.63"/>
  </cols>
  <sheetData>
    <row r="1">
      <c r="A1" s="30" t="s">
        <v>995</v>
      </c>
      <c r="G1" s="31"/>
      <c r="H1" s="32" t="s">
        <v>996</v>
      </c>
      <c r="I1" s="33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4" t="s">
        <v>1</v>
      </c>
      <c r="B2" s="35" t="s">
        <v>11</v>
      </c>
      <c r="C2" s="35" t="s">
        <v>12</v>
      </c>
      <c r="D2" s="36" t="s">
        <v>13</v>
      </c>
      <c r="E2" s="37" t="s">
        <v>14</v>
      </c>
      <c r="F2" s="38"/>
      <c r="G2" s="39"/>
      <c r="H2" s="40"/>
      <c r="I2" s="40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41"/>
      <c r="B3" s="38"/>
      <c r="C3" s="38"/>
      <c r="D3" s="38"/>
      <c r="E3" s="42" t="s">
        <v>15</v>
      </c>
      <c r="F3" s="43" t="s">
        <v>5</v>
      </c>
      <c r="G3" s="39"/>
      <c r="H3" s="44" t="s">
        <v>6</v>
      </c>
      <c r="I3" s="45" t="s">
        <v>7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24.75" customHeight="1">
      <c r="A4" s="46"/>
      <c r="B4" s="47"/>
      <c r="C4" s="48" t="str">
        <f>vlookup(B4,'Crew Data'!C:G,5,0)</f>
        <v>#N/A</v>
      </c>
      <c r="D4" s="49"/>
      <c r="E4" s="47"/>
      <c r="F4" s="50">
        <f>E4*400</f>
        <v>0</v>
      </c>
      <c r="G4" s="22">
        <f>COUNTIF(B:B,B4)</f>
        <v>0</v>
      </c>
      <c r="H4" s="5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D5" s="52"/>
    </row>
    <row r="6">
      <c r="D6" s="52"/>
    </row>
    <row r="7" ht="44.25" customHeight="1">
      <c r="A7" s="53" t="s">
        <v>16</v>
      </c>
    </row>
  </sheetData>
  <mergeCells count="7">
    <mergeCell ref="A1:F1"/>
    <mergeCell ref="A2:A3"/>
    <mergeCell ref="B2:B3"/>
    <mergeCell ref="C2:C3"/>
    <mergeCell ref="D2:D3"/>
    <mergeCell ref="E2:F2"/>
    <mergeCell ref="A7:E7"/>
  </mergeCells>
  <dataValidations>
    <dataValidation type="list" allowBlank="1" sqref="H4">
      <formula1>"CHECKED (OK),CHECKED  (NOT OK)"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3" max="3" width="26.75"/>
    <col customWidth="1" min="4" max="4" width="33.25"/>
    <col customWidth="1" min="7" max="7" width="3.5"/>
    <col customWidth="1" min="8" max="8" width="18.63"/>
    <col customWidth="1" min="9" max="9" width="21.63"/>
  </cols>
  <sheetData>
    <row r="1">
      <c r="A1" s="30" t="s">
        <v>997</v>
      </c>
      <c r="G1" s="31"/>
      <c r="H1" s="32" t="s">
        <v>998</v>
      </c>
      <c r="I1" s="33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4" t="s">
        <v>1</v>
      </c>
      <c r="B2" s="35" t="s">
        <v>11</v>
      </c>
      <c r="C2" s="35" t="s">
        <v>12</v>
      </c>
      <c r="D2" s="36" t="s">
        <v>13</v>
      </c>
      <c r="E2" s="37" t="s">
        <v>14</v>
      </c>
      <c r="F2" s="38"/>
      <c r="G2" s="39"/>
      <c r="H2" s="40"/>
      <c r="I2" s="40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41"/>
      <c r="B3" s="38"/>
      <c r="C3" s="38"/>
      <c r="D3" s="38"/>
      <c r="E3" s="42" t="s">
        <v>15</v>
      </c>
      <c r="F3" s="43" t="s">
        <v>5</v>
      </c>
      <c r="G3" s="39"/>
      <c r="H3" s="44" t="s">
        <v>6</v>
      </c>
      <c r="I3" s="45" t="s">
        <v>7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24.75" customHeight="1">
      <c r="A4" s="46"/>
      <c r="B4" s="47"/>
      <c r="C4" s="48" t="str">
        <f>vlookup(B4,'Crew Data'!C:G,5,0)</f>
        <v>#N/A</v>
      </c>
      <c r="D4" s="49"/>
      <c r="E4" s="47"/>
      <c r="F4" s="50">
        <f>E4*400</f>
        <v>0</v>
      </c>
      <c r="G4" s="22">
        <f>COUNTIF(B:B,B4)</f>
        <v>0</v>
      </c>
      <c r="H4" s="5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D5" s="52"/>
    </row>
    <row r="6">
      <c r="D6" s="52"/>
    </row>
    <row r="7" ht="44.25" customHeight="1">
      <c r="A7" s="53" t="s">
        <v>16</v>
      </c>
    </row>
  </sheetData>
  <mergeCells count="7">
    <mergeCell ref="A1:F1"/>
    <mergeCell ref="A2:A3"/>
    <mergeCell ref="B2:B3"/>
    <mergeCell ref="C2:C3"/>
    <mergeCell ref="D2:D3"/>
    <mergeCell ref="E2:F2"/>
    <mergeCell ref="A7:E7"/>
  </mergeCells>
  <dataValidations>
    <dataValidation type="list" allowBlank="1" sqref="H4">
      <formula1>"CHECKED (OK),CHECKED  (NOT OK)"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.63"/>
    <col customWidth="1" min="2" max="2" width="11.25"/>
    <col customWidth="1" min="3" max="3" width="35.25"/>
    <col customWidth="1" min="4" max="4" width="33.25"/>
    <col customWidth="1" min="7" max="7" width="4.88"/>
    <col customWidth="1" min="8" max="8" width="23.5"/>
    <col customWidth="1" min="9" max="9" width="21.63"/>
  </cols>
  <sheetData>
    <row r="1">
      <c r="A1" s="30" t="s">
        <v>999</v>
      </c>
      <c r="G1" s="31"/>
      <c r="H1" s="32" t="s">
        <v>1000</v>
      </c>
      <c r="I1" s="33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4" t="s">
        <v>1</v>
      </c>
      <c r="B2" s="35" t="s">
        <v>11</v>
      </c>
      <c r="C2" s="35" t="s">
        <v>12</v>
      </c>
      <c r="D2" s="36" t="s">
        <v>13</v>
      </c>
      <c r="E2" s="37" t="s">
        <v>14</v>
      </c>
      <c r="F2" s="38"/>
      <c r="G2" s="39"/>
      <c r="H2" s="40"/>
      <c r="I2" s="40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58"/>
      <c r="B3" s="59"/>
      <c r="C3" s="59"/>
      <c r="D3" s="60"/>
      <c r="E3" s="42" t="s">
        <v>15</v>
      </c>
      <c r="F3" s="43" t="s">
        <v>5</v>
      </c>
      <c r="G3" s="39"/>
      <c r="H3" s="44" t="s">
        <v>6</v>
      </c>
      <c r="I3" s="45" t="s">
        <v>7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24.75" customHeight="1">
      <c r="A4" s="54">
        <v>1.0</v>
      </c>
      <c r="B4" s="47">
        <v>1018531.0</v>
      </c>
      <c r="C4" s="48" t="str">
        <f>vlookup(B4,'Crew Data'!C:G,5,0)</f>
        <v>Chawit Donsawee</v>
      </c>
      <c r="D4" s="49" t="s">
        <v>1001</v>
      </c>
      <c r="E4" s="47">
        <v>4.0</v>
      </c>
      <c r="F4" s="50">
        <f t="shared" ref="F4:F102" si="1">E4*400</f>
        <v>1600</v>
      </c>
      <c r="G4" s="22">
        <f t="shared" ref="G4:G102" si="2">COUNTIF(B:B,B4)</f>
        <v>1</v>
      </c>
      <c r="H4" s="51" t="s">
        <v>20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ht="24.75" customHeight="1">
      <c r="A5" s="55">
        <v>2.0</v>
      </c>
      <c r="B5" s="55">
        <v>1011304.0</v>
      </c>
      <c r="C5" s="48" t="str">
        <f>vlookup(B5,'Crew Data'!C:G,5,0)</f>
        <v>#N/A</v>
      </c>
      <c r="D5" s="49" t="s">
        <v>1002</v>
      </c>
      <c r="E5" s="55">
        <v>2.0</v>
      </c>
      <c r="F5" s="50">
        <f t="shared" si="1"/>
        <v>800</v>
      </c>
      <c r="G5" s="22">
        <f t="shared" si="2"/>
        <v>1</v>
      </c>
      <c r="H5" s="51" t="s">
        <v>20</v>
      </c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ht="24.75" customHeight="1">
      <c r="A6" s="55">
        <v>3.0</v>
      </c>
      <c r="B6" s="55">
        <v>1015391.0</v>
      </c>
      <c r="C6" s="48" t="str">
        <f>vlookup(B6,'Crew Data'!C:G,5,0)</f>
        <v>Chintapa Sukharn</v>
      </c>
      <c r="D6" s="56" t="s">
        <v>1003</v>
      </c>
      <c r="E6" s="55">
        <v>2.0</v>
      </c>
      <c r="F6" s="50">
        <f t="shared" si="1"/>
        <v>800</v>
      </c>
      <c r="G6" s="22">
        <f t="shared" si="2"/>
        <v>1</v>
      </c>
      <c r="H6" s="51" t="s">
        <v>20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ht="24.75" customHeight="1">
      <c r="A7" s="55">
        <v>4.0</v>
      </c>
      <c r="B7" s="55">
        <v>1010934.0</v>
      </c>
      <c r="C7" s="48" t="str">
        <f>vlookup(B7,'Crew Data'!C:G,5,0)</f>
        <v>Werawat Sittipachaikul</v>
      </c>
      <c r="D7" s="56" t="s">
        <v>118</v>
      </c>
      <c r="E7" s="55">
        <v>2.0</v>
      </c>
      <c r="F7" s="50">
        <f t="shared" si="1"/>
        <v>800</v>
      </c>
      <c r="G7" s="22">
        <f t="shared" si="2"/>
        <v>1</v>
      </c>
      <c r="H7" s="51" t="s">
        <v>20</v>
      </c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ht="24.75" customHeight="1">
      <c r="A8" s="55">
        <v>5.0</v>
      </c>
      <c r="B8" s="55">
        <v>1005763.0</v>
      </c>
      <c r="C8" s="48" t="str">
        <f>vlookup(B8,'Crew Data'!C:G,5,0)</f>
        <v>Pranpriya Rujirakamolvit</v>
      </c>
      <c r="D8" s="56" t="s">
        <v>1004</v>
      </c>
      <c r="E8" s="55">
        <v>2.0</v>
      </c>
      <c r="F8" s="50">
        <f t="shared" si="1"/>
        <v>800</v>
      </c>
      <c r="G8" s="22">
        <f t="shared" si="2"/>
        <v>1</v>
      </c>
      <c r="H8" s="51" t="s">
        <v>20</v>
      </c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ht="24.75" customHeight="1">
      <c r="A9" s="54">
        <v>6.0</v>
      </c>
      <c r="B9" s="55">
        <v>1005748.0</v>
      </c>
      <c r="C9" s="48" t="str">
        <f>vlookup(B9,'Crew Data'!C:G,5,0)</f>
        <v>Gam Keultachavanich</v>
      </c>
      <c r="D9" s="56" t="s">
        <v>1004</v>
      </c>
      <c r="E9" s="55">
        <v>2.0</v>
      </c>
      <c r="F9" s="50">
        <f t="shared" si="1"/>
        <v>800</v>
      </c>
      <c r="G9" s="22">
        <f t="shared" si="2"/>
        <v>1</v>
      </c>
      <c r="H9" s="51" t="s">
        <v>20</v>
      </c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ht="24.75" customHeight="1">
      <c r="A10" s="55">
        <v>7.0</v>
      </c>
      <c r="B10" s="55">
        <v>1005769.0</v>
      </c>
      <c r="C10" s="48" t="str">
        <f>vlookup(B10,'Crew Data'!C:G,5,0)</f>
        <v>Thanicha Noodee</v>
      </c>
      <c r="D10" s="56" t="s">
        <v>1004</v>
      </c>
      <c r="E10" s="55">
        <v>2.0</v>
      </c>
      <c r="F10" s="50">
        <f t="shared" si="1"/>
        <v>800</v>
      </c>
      <c r="G10" s="22">
        <f t="shared" si="2"/>
        <v>1</v>
      </c>
      <c r="H10" s="51" t="s">
        <v>20</v>
      </c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ht="24.75" customHeight="1">
      <c r="A11" s="55">
        <v>8.0</v>
      </c>
      <c r="B11" s="55">
        <v>1007207.0</v>
      </c>
      <c r="C11" s="48" t="str">
        <f>vlookup(B11,'Crew Data'!C:G,5,0)</f>
        <v>Sasiwan Nakate</v>
      </c>
      <c r="D11" s="56" t="s">
        <v>1003</v>
      </c>
      <c r="E11" s="55">
        <v>2.0</v>
      </c>
      <c r="F11" s="50">
        <f t="shared" si="1"/>
        <v>800</v>
      </c>
      <c r="G11" s="22">
        <f t="shared" si="2"/>
        <v>1</v>
      </c>
      <c r="H11" s="51" t="s">
        <v>20</v>
      </c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ht="24.75" customHeight="1">
      <c r="A12" s="55">
        <v>9.0</v>
      </c>
      <c r="B12" s="55">
        <v>1015408.0</v>
      </c>
      <c r="C12" s="48" t="str">
        <f>vlookup(B12,'Crew Data'!C:G,5,0)</f>
        <v>Pornpimol Chorruengsak</v>
      </c>
      <c r="D12" s="56" t="s">
        <v>1005</v>
      </c>
      <c r="E12" s="55">
        <v>2.0</v>
      </c>
      <c r="F12" s="50">
        <f t="shared" si="1"/>
        <v>800</v>
      </c>
      <c r="G12" s="22">
        <f t="shared" si="2"/>
        <v>1</v>
      </c>
      <c r="H12" s="51" t="s">
        <v>20</v>
      </c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ht="24.75" customHeight="1">
      <c r="A13" s="55">
        <v>10.0</v>
      </c>
      <c r="B13" s="55">
        <v>1023595.0</v>
      </c>
      <c r="C13" s="48" t="str">
        <f>vlookup(B13,'Crew Data'!C:G,5,0)</f>
        <v>Kanokpan Tongnu</v>
      </c>
      <c r="D13" s="56" t="s">
        <v>1005</v>
      </c>
      <c r="E13" s="55">
        <v>2.0</v>
      </c>
      <c r="F13" s="50">
        <f t="shared" si="1"/>
        <v>800</v>
      </c>
      <c r="G13" s="22">
        <f t="shared" si="2"/>
        <v>1</v>
      </c>
      <c r="H13" s="51" t="s">
        <v>20</v>
      </c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ht="24.75" customHeight="1">
      <c r="A14" s="54">
        <v>11.0</v>
      </c>
      <c r="B14" s="55">
        <v>1003418.0</v>
      </c>
      <c r="C14" s="48" t="str">
        <f>vlookup(B14,'Crew Data'!C:G,5,0)</f>
        <v>Chiravitch Kittiphongsathaporn</v>
      </c>
      <c r="D14" s="56" t="s">
        <v>1006</v>
      </c>
      <c r="E14" s="55">
        <v>2.0</v>
      </c>
      <c r="F14" s="50">
        <f t="shared" si="1"/>
        <v>800</v>
      </c>
      <c r="G14" s="22">
        <f t="shared" si="2"/>
        <v>1</v>
      </c>
      <c r="H14" s="51" t="s">
        <v>20</v>
      </c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ht="24.75" customHeight="1">
      <c r="A15" s="55">
        <v>12.0</v>
      </c>
      <c r="B15" s="55">
        <v>1009770.0</v>
      </c>
      <c r="C15" s="48" t="str">
        <f>vlookup(B15,'Crew Data'!C:G,5,0)</f>
        <v>Wuttiphat Akenoot</v>
      </c>
      <c r="D15" s="56" t="s">
        <v>1004</v>
      </c>
      <c r="E15" s="55">
        <v>2.0</v>
      </c>
      <c r="F15" s="50">
        <f t="shared" si="1"/>
        <v>800</v>
      </c>
      <c r="G15" s="22">
        <f t="shared" si="2"/>
        <v>1</v>
      </c>
      <c r="H15" s="51" t="s">
        <v>20</v>
      </c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t="24.75" customHeight="1">
      <c r="A16" s="55">
        <v>13.0</v>
      </c>
      <c r="B16" s="55">
        <v>1008984.0</v>
      </c>
      <c r="C16" s="48" t="str">
        <f>vlookup(B16,'Crew Data'!C:G,5,0)</f>
        <v>Orapan Bangprapakorn</v>
      </c>
      <c r="D16" s="56" t="s">
        <v>1003</v>
      </c>
      <c r="E16" s="55">
        <v>2.0</v>
      </c>
      <c r="F16" s="50">
        <f t="shared" si="1"/>
        <v>800</v>
      </c>
      <c r="G16" s="22">
        <f t="shared" si="2"/>
        <v>1</v>
      </c>
      <c r="H16" s="51" t="s">
        <v>20</v>
      </c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t="24.75" customHeight="1">
      <c r="A17" s="55">
        <v>14.0</v>
      </c>
      <c r="B17" s="55">
        <v>1005278.0</v>
      </c>
      <c r="C17" s="48" t="str">
        <f>vlookup(B17,'Crew Data'!C:G,5,0)</f>
        <v>Benjama Keyata</v>
      </c>
      <c r="D17" s="56" t="s">
        <v>118</v>
      </c>
      <c r="E17" s="55">
        <v>2.0</v>
      </c>
      <c r="F17" s="50">
        <f t="shared" si="1"/>
        <v>800</v>
      </c>
      <c r="G17" s="22">
        <f t="shared" si="2"/>
        <v>1</v>
      </c>
      <c r="H17" s="51" t="s">
        <v>20</v>
      </c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24.75" customHeight="1">
      <c r="A18" s="55">
        <v>15.0</v>
      </c>
      <c r="B18" s="55">
        <v>1004318.0</v>
      </c>
      <c r="C18" s="48" t="str">
        <f>vlookup(B18,'Crew Data'!C:G,5,0)</f>
        <v>Nattapong Kao-Ngampanich</v>
      </c>
      <c r="D18" s="56" t="s">
        <v>1007</v>
      </c>
      <c r="E18" s="55">
        <v>2.0</v>
      </c>
      <c r="F18" s="50">
        <f t="shared" si="1"/>
        <v>800</v>
      </c>
      <c r="G18" s="22">
        <f t="shared" si="2"/>
        <v>1</v>
      </c>
      <c r="H18" s="51" t="s">
        <v>20</v>
      </c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t="24.75" customHeight="1">
      <c r="A19" s="54">
        <v>16.0</v>
      </c>
      <c r="B19" s="55">
        <v>1022223.0</v>
      </c>
      <c r="C19" s="48" t="str">
        <f>vlookup(B19,'Crew Data'!C:G,5,0)</f>
        <v>Nantapak Benjasiriporn</v>
      </c>
      <c r="D19" s="56" t="s">
        <v>1008</v>
      </c>
      <c r="E19" s="55">
        <v>2.0</v>
      </c>
      <c r="F19" s="50">
        <f t="shared" si="1"/>
        <v>800</v>
      </c>
      <c r="G19" s="22">
        <f t="shared" si="2"/>
        <v>1</v>
      </c>
      <c r="H19" s="51" t="s">
        <v>20</v>
      </c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ht="24.75" customHeight="1">
      <c r="A20" s="55">
        <v>17.0</v>
      </c>
      <c r="B20" s="55">
        <v>1019409.0</v>
      </c>
      <c r="C20" s="48" t="str">
        <f>vlookup(B20,'Crew Data'!C:G,5,0)</f>
        <v>Chitipat Thananitdullayaphak</v>
      </c>
      <c r="D20" s="56" t="s">
        <v>1009</v>
      </c>
      <c r="E20" s="55">
        <v>2.0</v>
      </c>
      <c r="F20" s="50">
        <f t="shared" si="1"/>
        <v>800</v>
      </c>
      <c r="G20" s="22">
        <f t="shared" si="2"/>
        <v>1</v>
      </c>
      <c r="H20" s="51" t="s">
        <v>20</v>
      </c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24.75" customHeight="1">
      <c r="A21" s="55">
        <v>18.0</v>
      </c>
      <c r="B21" s="55">
        <v>1006835.0</v>
      </c>
      <c r="C21" s="48" t="str">
        <f>vlookup(B21,'Crew Data'!C:G,5,0)</f>
        <v>Ketsaraporn Borvornmongkolsak</v>
      </c>
      <c r="D21" s="56" t="s">
        <v>1007</v>
      </c>
      <c r="E21" s="55">
        <v>2.0</v>
      </c>
      <c r="F21" s="50">
        <f t="shared" si="1"/>
        <v>800</v>
      </c>
      <c r="G21" s="22">
        <f t="shared" si="2"/>
        <v>1</v>
      </c>
      <c r="H21" s="51" t="s">
        <v>20</v>
      </c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24.75" customHeight="1">
      <c r="A22" s="55">
        <v>19.0</v>
      </c>
      <c r="B22" s="55">
        <v>1006989.0</v>
      </c>
      <c r="C22" s="48" t="str">
        <f>vlookup(B22,'Crew Data'!C:G,5,0)</f>
        <v>Pimlawee Unn-A-Nant</v>
      </c>
      <c r="D22" s="56" t="s">
        <v>1010</v>
      </c>
      <c r="E22" s="55">
        <v>4.0</v>
      </c>
      <c r="F22" s="50">
        <f t="shared" si="1"/>
        <v>1600</v>
      </c>
      <c r="G22" s="22">
        <f t="shared" si="2"/>
        <v>1</v>
      </c>
      <c r="H22" s="51" t="s">
        <v>20</v>
      </c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24.75" customHeight="1">
      <c r="A23" s="55">
        <v>20.0</v>
      </c>
      <c r="B23" s="55">
        <v>1011307.0</v>
      </c>
      <c r="C23" s="48" t="str">
        <f>vlookup(B23,'Crew Data'!C:G,5,0)</f>
        <v>Munnanicha Sarakong</v>
      </c>
      <c r="D23" s="56" t="s">
        <v>1011</v>
      </c>
      <c r="E23" s="55">
        <v>4.0</v>
      </c>
      <c r="F23" s="50">
        <f t="shared" si="1"/>
        <v>1600</v>
      </c>
      <c r="G23" s="22">
        <f t="shared" si="2"/>
        <v>1</v>
      </c>
      <c r="H23" s="51" t="s">
        <v>20</v>
      </c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24.75" customHeight="1">
      <c r="A24" s="54">
        <v>21.0</v>
      </c>
      <c r="B24" s="55">
        <v>1003392.0</v>
      </c>
      <c r="C24" s="48" t="str">
        <f>vlookup(B24,'Crew Data'!C:G,5,0)</f>
        <v>Punnaphas Tawornpanmanee</v>
      </c>
      <c r="D24" s="56" t="s">
        <v>1012</v>
      </c>
      <c r="E24" s="55">
        <v>2.0</v>
      </c>
      <c r="F24" s="50">
        <f t="shared" si="1"/>
        <v>800</v>
      </c>
      <c r="G24" s="22">
        <f t="shared" si="2"/>
        <v>1</v>
      </c>
      <c r="H24" s="51" t="s">
        <v>20</v>
      </c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24.75" customHeight="1">
      <c r="A25" s="55">
        <v>22.0</v>
      </c>
      <c r="B25" s="55">
        <v>1009306.0</v>
      </c>
      <c r="C25" s="48" t="str">
        <f>vlookup(B25,'Crew Data'!C:G,5,0)</f>
        <v>Noppawan Yoosamran</v>
      </c>
      <c r="D25" s="56" t="s">
        <v>1006</v>
      </c>
      <c r="E25" s="55">
        <v>2.0</v>
      </c>
      <c r="F25" s="50">
        <f t="shared" si="1"/>
        <v>800</v>
      </c>
      <c r="G25" s="22">
        <f t="shared" si="2"/>
        <v>1</v>
      </c>
      <c r="H25" s="51" t="s">
        <v>20</v>
      </c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24.75" customHeight="1">
      <c r="A26" s="55">
        <v>23.0</v>
      </c>
      <c r="B26" s="55">
        <v>1022708.0</v>
      </c>
      <c r="C26" s="48" t="str">
        <f>vlookup(B26,'Crew Data'!C:G,5,0)</f>
        <v>Sirilak Phanphipat</v>
      </c>
      <c r="D26" s="56" t="s">
        <v>1013</v>
      </c>
      <c r="E26" s="55">
        <v>2.0</v>
      </c>
      <c r="F26" s="50">
        <f t="shared" si="1"/>
        <v>800</v>
      </c>
      <c r="G26" s="22">
        <f t="shared" si="2"/>
        <v>1</v>
      </c>
      <c r="H26" s="51" t="s">
        <v>20</v>
      </c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24.75" customHeight="1">
      <c r="A27" s="55">
        <v>24.0</v>
      </c>
      <c r="B27" s="55">
        <v>1004034.0</v>
      </c>
      <c r="C27" s="48" t="str">
        <f>vlookup(B27,'Crew Data'!C:G,5,0)</f>
        <v>Monthon Siribunnakul</v>
      </c>
      <c r="D27" s="56" t="s">
        <v>1013</v>
      </c>
      <c r="E27" s="55">
        <v>2.0</v>
      </c>
      <c r="F27" s="50">
        <f t="shared" si="1"/>
        <v>800</v>
      </c>
      <c r="G27" s="22">
        <f t="shared" si="2"/>
        <v>1</v>
      </c>
      <c r="H27" s="51" t="s">
        <v>20</v>
      </c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24.75" customHeight="1">
      <c r="A28" s="55">
        <v>25.0</v>
      </c>
      <c r="B28" s="55">
        <v>1004294.0</v>
      </c>
      <c r="C28" s="48" t="str">
        <f>vlookup(B28,'Crew Data'!C:G,5,0)</f>
        <v>Kawinwat Pringplert</v>
      </c>
      <c r="D28" s="56" t="s">
        <v>1014</v>
      </c>
      <c r="E28" s="55">
        <v>2.0</v>
      </c>
      <c r="F28" s="50">
        <f t="shared" si="1"/>
        <v>800</v>
      </c>
      <c r="G28" s="22">
        <f t="shared" si="2"/>
        <v>1</v>
      </c>
      <c r="H28" s="51" t="s">
        <v>20</v>
      </c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24.75" customHeight="1">
      <c r="A29" s="54">
        <v>26.0</v>
      </c>
      <c r="B29" s="55">
        <v>1018533.0</v>
      </c>
      <c r="C29" s="48" t="str">
        <f>vlookup(B29,'Crew Data'!C:G,5,0)</f>
        <v>Kunjira Jirawarodom</v>
      </c>
      <c r="D29" s="56" t="s">
        <v>1015</v>
      </c>
      <c r="E29" s="55">
        <v>4.0</v>
      </c>
      <c r="F29" s="50">
        <f t="shared" si="1"/>
        <v>1600</v>
      </c>
      <c r="G29" s="22">
        <f t="shared" si="2"/>
        <v>1</v>
      </c>
      <c r="H29" s="51" t="s">
        <v>20</v>
      </c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24.75" customHeight="1">
      <c r="A30" s="55">
        <v>27.0</v>
      </c>
      <c r="B30" s="55">
        <v>1022228.0</v>
      </c>
      <c r="C30" s="48" t="str">
        <f>vlookup(B30,'Crew Data'!C:G,5,0)</f>
        <v>Nawaporn Phruksaraj</v>
      </c>
      <c r="D30" s="56" t="s">
        <v>1013</v>
      </c>
      <c r="E30" s="55">
        <v>2.0</v>
      </c>
      <c r="F30" s="50">
        <f t="shared" si="1"/>
        <v>800</v>
      </c>
      <c r="G30" s="22">
        <f t="shared" si="2"/>
        <v>1</v>
      </c>
      <c r="H30" s="51" t="s">
        <v>20</v>
      </c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24.75" customHeight="1">
      <c r="A31" s="55">
        <v>28.0</v>
      </c>
      <c r="B31" s="55">
        <v>1001233.0</v>
      </c>
      <c r="C31" s="48" t="str">
        <f>vlookup(B31,'Crew Data'!C:G,5,0)</f>
        <v>Sasithorn Wonglee</v>
      </c>
      <c r="D31" s="56" t="s">
        <v>1016</v>
      </c>
      <c r="E31" s="55">
        <v>2.0</v>
      </c>
      <c r="F31" s="50">
        <f t="shared" si="1"/>
        <v>800</v>
      </c>
      <c r="G31" s="22">
        <f t="shared" si="2"/>
        <v>1</v>
      </c>
      <c r="H31" s="51" t="s">
        <v>20</v>
      </c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24.75" customHeight="1">
      <c r="A32" s="55">
        <v>29.0</v>
      </c>
      <c r="B32" s="55">
        <v>1011069.0</v>
      </c>
      <c r="C32" s="48" t="str">
        <f>vlookup(B32,'Crew Data'!C:G,5,0)</f>
        <v>#N/A</v>
      </c>
      <c r="D32" s="56" t="s">
        <v>1017</v>
      </c>
      <c r="E32" s="55">
        <v>2.0</v>
      </c>
      <c r="F32" s="50">
        <f t="shared" si="1"/>
        <v>800</v>
      </c>
      <c r="G32" s="22">
        <f t="shared" si="2"/>
        <v>1</v>
      </c>
      <c r="H32" s="51" t="s">
        <v>20</v>
      </c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t="24.75" customHeight="1">
      <c r="A33" s="55">
        <v>30.0</v>
      </c>
      <c r="B33" s="55">
        <v>1004213.0</v>
      </c>
      <c r="C33" s="48" t="str">
        <f>vlookup(B33,'Crew Data'!C:G,5,0)</f>
        <v>Worapada Suetrongmunkong</v>
      </c>
      <c r="D33" s="56" t="s">
        <v>1016</v>
      </c>
      <c r="E33" s="55">
        <v>2.0</v>
      </c>
      <c r="F33" s="50">
        <f t="shared" si="1"/>
        <v>800</v>
      </c>
      <c r="G33" s="22">
        <f t="shared" si="2"/>
        <v>1</v>
      </c>
      <c r="H33" s="51" t="s">
        <v>20</v>
      </c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24.75" customHeight="1">
      <c r="A34" s="54">
        <v>31.0</v>
      </c>
      <c r="B34" s="55">
        <v>1000736.0</v>
      </c>
      <c r="C34" s="48" t="str">
        <f>vlookup(B34,'Crew Data'!C:G,5,0)</f>
        <v>Ekkachai Moolla</v>
      </c>
      <c r="D34" s="56" t="s">
        <v>1018</v>
      </c>
      <c r="E34" s="55">
        <v>2.0</v>
      </c>
      <c r="F34" s="50">
        <f t="shared" si="1"/>
        <v>800</v>
      </c>
      <c r="G34" s="22">
        <f t="shared" si="2"/>
        <v>1</v>
      </c>
      <c r="H34" s="51" t="s">
        <v>20</v>
      </c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ht="24.75" customHeight="1">
      <c r="A35" s="55">
        <v>32.0</v>
      </c>
      <c r="B35" s="55">
        <v>1022215.0</v>
      </c>
      <c r="C35" s="48" t="str">
        <f>vlookup(B35,'Crew Data'!C:G,5,0)</f>
        <v>Porntida Yuttimi</v>
      </c>
      <c r="D35" s="56" t="s">
        <v>1019</v>
      </c>
      <c r="E35" s="55">
        <v>2.0</v>
      </c>
      <c r="F35" s="50">
        <f t="shared" si="1"/>
        <v>800</v>
      </c>
      <c r="G35" s="22">
        <f t="shared" si="2"/>
        <v>1</v>
      </c>
      <c r="H35" s="51" t="s">
        <v>20</v>
      </c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ht="24.75" customHeight="1">
      <c r="A36" s="55">
        <v>33.0</v>
      </c>
      <c r="B36" s="55">
        <v>1004452.0</v>
      </c>
      <c r="C36" s="48" t="str">
        <f>vlookup(B36,'Crew Data'!C:G,5,0)</f>
        <v>Torsang Supachaiyakit</v>
      </c>
      <c r="D36" s="56" t="s">
        <v>1019</v>
      </c>
      <c r="E36" s="55">
        <v>2.0</v>
      </c>
      <c r="F36" s="50">
        <f t="shared" si="1"/>
        <v>800</v>
      </c>
      <c r="G36" s="22">
        <f t="shared" si="2"/>
        <v>1</v>
      </c>
      <c r="H36" s="51" t="s">
        <v>20</v>
      </c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ht="24.75" customHeight="1">
      <c r="A37" s="55">
        <v>34.0</v>
      </c>
      <c r="B37" s="55">
        <v>1004069.0</v>
      </c>
      <c r="C37" s="48" t="str">
        <f>vlookup(B37,'Crew Data'!C:G,5,0)</f>
        <v>Pimnicha Boriromyawong</v>
      </c>
      <c r="D37" s="56" t="s">
        <v>1017</v>
      </c>
      <c r="E37" s="55">
        <v>2.0</v>
      </c>
      <c r="F37" s="50">
        <f t="shared" si="1"/>
        <v>800</v>
      </c>
      <c r="G37" s="22">
        <f t="shared" si="2"/>
        <v>1</v>
      </c>
      <c r="H37" s="51" t="s">
        <v>20</v>
      </c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t="24.75" customHeight="1">
      <c r="A38" s="55">
        <v>35.0</v>
      </c>
      <c r="B38" s="55">
        <v>1018793.0</v>
      </c>
      <c r="C38" s="48" t="str">
        <f>vlookup(B38,'Crew Data'!C:G,5,0)</f>
        <v>Papassarin Lertbussarasit</v>
      </c>
      <c r="D38" s="56" t="s">
        <v>1017</v>
      </c>
      <c r="E38" s="55">
        <v>2.0</v>
      </c>
      <c r="F38" s="50">
        <f t="shared" si="1"/>
        <v>800</v>
      </c>
      <c r="G38" s="22">
        <f t="shared" si="2"/>
        <v>1</v>
      </c>
      <c r="H38" s="51" t="s">
        <v>20</v>
      </c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t="24.75" customHeight="1">
      <c r="A39" s="54">
        <v>36.0</v>
      </c>
      <c r="B39" s="55">
        <v>1019394.0</v>
      </c>
      <c r="C39" s="48" t="str">
        <f>vlookup(B39,'Crew Data'!C:G,5,0)</f>
        <v>#N/A</v>
      </c>
      <c r="D39" s="56" t="s">
        <v>1009</v>
      </c>
      <c r="E39" s="55">
        <v>2.0</v>
      </c>
      <c r="F39" s="50">
        <f t="shared" si="1"/>
        <v>800</v>
      </c>
      <c r="G39" s="22">
        <f t="shared" si="2"/>
        <v>1</v>
      </c>
      <c r="H39" s="51" t="s">
        <v>20</v>
      </c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ht="24.75" customHeight="1">
      <c r="A40" s="55">
        <v>37.0</v>
      </c>
      <c r="B40" s="55">
        <v>1012362.0</v>
      </c>
      <c r="C40" s="48" t="str">
        <f>vlookup(B40,'Crew Data'!C:G,5,0)</f>
        <v>Patcharagorn Chankhong</v>
      </c>
      <c r="D40" s="56" t="s">
        <v>162</v>
      </c>
      <c r="E40" s="55">
        <v>2.0</v>
      </c>
      <c r="F40" s="50">
        <f t="shared" si="1"/>
        <v>800</v>
      </c>
      <c r="G40" s="22">
        <f t="shared" si="2"/>
        <v>1</v>
      </c>
      <c r="H40" s="51" t="s">
        <v>20</v>
      </c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ht="24.75" customHeight="1">
      <c r="A41" s="55">
        <v>38.0</v>
      </c>
      <c r="B41" s="55">
        <v>1006740.0</v>
      </c>
      <c r="C41" s="48" t="str">
        <f>vlookup(B41,'Crew Data'!C:G,5,0)</f>
        <v>Juthamard Jiarakul</v>
      </c>
      <c r="D41" s="56" t="s">
        <v>1010</v>
      </c>
      <c r="E41" s="55">
        <v>4.0</v>
      </c>
      <c r="F41" s="50">
        <f t="shared" si="1"/>
        <v>1600</v>
      </c>
      <c r="G41" s="22">
        <f t="shared" si="2"/>
        <v>1</v>
      </c>
      <c r="H41" s="51" t="s">
        <v>20</v>
      </c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ht="24.75" customHeight="1">
      <c r="A42" s="55">
        <v>39.0</v>
      </c>
      <c r="B42" s="55">
        <v>1005301.0</v>
      </c>
      <c r="C42" s="48" t="str">
        <f>vlookup(B42,'Crew Data'!C:G,5,0)</f>
        <v>Pimpaporn Sittitanggoon</v>
      </c>
      <c r="D42" s="56" t="s">
        <v>1020</v>
      </c>
      <c r="E42" s="55">
        <v>2.0</v>
      </c>
      <c r="F42" s="50">
        <f t="shared" si="1"/>
        <v>800</v>
      </c>
      <c r="G42" s="22">
        <f t="shared" si="2"/>
        <v>1</v>
      </c>
      <c r="H42" s="51" t="s">
        <v>20</v>
      </c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ht="24.75" customHeight="1">
      <c r="A43" s="55">
        <v>40.0</v>
      </c>
      <c r="B43" s="55">
        <v>1011710.0</v>
      </c>
      <c r="C43" s="48" t="str">
        <f>vlookup(B43,'Crew Data'!C:G,5,0)</f>
        <v>Satchaporn Sriroy</v>
      </c>
      <c r="D43" s="56" t="s">
        <v>1017</v>
      </c>
      <c r="E43" s="55">
        <v>2.0</v>
      </c>
      <c r="F43" s="50">
        <f t="shared" si="1"/>
        <v>800</v>
      </c>
      <c r="G43" s="22">
        <f t="shared" si="2"/>
        <v>1</v>
      </c>
      <c r="H43" s="51" t="s">
        <v>20</v>
      </c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ht="24.75" customHeight="1">
      <c r="A44" s="54">
        <v>41.0</v>
      </c>
      <c r="B44" s="55">
        <v>1014064.0</v>
      </c>
      <c r="C44" s="48" t="str">
        <f>vlookup(B44,'Crew Data'!C:G,5,0)</f>
        <v>Jaraspak Plengkhum</v>
      </c>
      <c r="D44" s="56" t="s">
        <v>1021</v>
      </c>
      <c r="E44" s="55">
        <v>6.0</v>
      </c>
      <c r="F44" s="50">
        <f t="shared" si="1"/>
        <v>2400</v>
      </c>
      <c r="G44" s="22">
        <f t="shared" si="2"/>
        <v>1</v>
      </c>
      <c r="H44" s="51" t="s">
        <v>20</v>
      </c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ht="24.75" customHeight="1">
      <c r="A45" s="55">
        <v>42.0</v>
      </c>
      <c r="B45" s="55">
        <v>1018807.0</v>
      </c>
      <c r="C45" s="48" t="str">
        <f>vlookup(B45,'Crew Data'!C:G,5,0)</f>
        <v>Prapassorn Soonsorn</v>
      </c>
      <c r="D45" s="56" t="s">
        <v>1022</v>
      </c>
      <c r="E45" s="55">
        <v>2.0</v>
      </c>
      <c r="F45" s="50">
        <f t="shared" si="1"/>
        <v>800</v>
      </c>
      <c r="G45" s="22">
        <f t="shared" si="2"/>
        <v>1</v>
      </c>
      <c r="H45" s="51" t="s">
        <v>20</v>
      </c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ht="24.75" customHeight="1">
      <c r="A46" s="55">
        <v>43.0</v>
      </c>
      <c r="B46" s="55">
        <v>1006085.0</v>
      </c>
      <c r="C46" s="48" t="str">
        <f>vlookup(B46,'Crew Data'!C:G,5,0)</f>
        <v>Sunan Homcharoenpanith</v>
      </c>
      <c r="D46" s="56" t="s">
        <v>1022</v>
      </c>
      <c r="E46" s="55">
        <v>2.0</v>
      </c>
      <c r="F46" s="50">
        <f t="shared" si="1"/>
        <v>800</v>
      </c>
      <c r="G46" s="22">
        <f t="shared" si="2"/>
        <v>1</v>
      </c>
      <c r="H46" s="51" t="s">
        <v>20</v>
      </c>
      <c r="J46" s="6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ht="24.75" customHeight="1">
      <c r="A47" s="55">
        <v>44.0</v>
      </c>
      <c r="B47" s="55">
        <v>1022218.0</v>
      </c>
      <c r="C47" s="48" t="str">
        <f>vlookup(B47,'Crew Data'!C:G,5,0)</f>
        <v>Pimchai Supachaiyakij</v>
      </c>
      <c r="D47" s="56" t="s">
        <v>1019</v>
      </c>
      <c r="E47" s="55">
        <v>2.0</v>
      </c>
      <c r="F47" s="50">
        <f t="shared" si="1"/>
        <v>800</v>
      </c>
      <c r="G47" s="22">
        <f t="shared" si="2"/>
        <v>1</v>
      </c>
      <c r="H47" s="51" t="s">
        <v>20</v>
      </c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ht="24.75" customHeight="1">
      <c r="A48" s="55">
        <v>45.0</v>
      </c>
      <c r="B48" s="55">
        <v>1005757.0</v>
      </c>
      <c r="C48" s="48" t="str">
        <f>vlookup(B48,'Crew Data'!C:G,5,0)</f>
        <v>Mintra Thamadee</v>
      </c>
      <c r="D48" s="56" t="s">
        <v>1009</v>
      </c>
      <c r="E48" s="55">
        <v>2.0</v>
      </c>
      <c r="F48" s="50">
        <f t="shared" si="1"/>
        <v>800</v>
      </c>
      <c r="G48" s="22">
        <f t="shared" si="2"/>
        <v>1</v>
      </c>
      <c r="H48" s="51" t="s">
        <v>20</v>
      </c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ht="24.75" customHeight="1">
      <c r="A49" s="54">
        <v>46.0</v>
      </c>
      <c r="B49" s="55">
        <v>1018803.0</v>
      </c>
      <c r="C49" s="48" t="str">
        <f>vlookup(B49,'Crew Data'!C:G,5,0)</f>
        <v>Natthaphon Poosomchit</v>
      </c>
      <c r="D49" s="56" t="s">
        <v>1005</v>
      </c>
      <c r="E49" s="55">
        <v>2.0</v>
      </c>
      <c r="F49" s="50">
        <f t="shared" si="1"/>
        <v>800</v>
      </c>
      <c r="G49" s="22">
        <f t="shared" si="2"/>
        <v>1</v>
      </c>
      <c r="H49" s="51" t="s">
        <v>20</v>
      </c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ht="24.75" customHeight="1">
      <c r="A50" s="55">
        <v>47.0</v>
      </c>
      <c r="B50" s="55">
        <v>1007156.0</v>
      </c>
      <c r="C50" s="48" t="str">
        <f>vlookup(B50,'Crew Data'!C:G,5,0)</f>
        <v>Patthama Aryarug</v>
      </c>
      <c r="D50" s="56" t="s">
        <v>1020</v>
      </c>
      <c r="E50" s="55">
        <v>2.0</v>
      </c>
      <c r="F50" s="50">
        <f t="shared" si="1"/>
        <v>800</v>
      </c>
      <c r="G50" s="22">
        <f t="shared" si="2"/>
        <v>1</v>
      </c>
      <c r="H50" s="51" t="s">
        <v>20</v>
      </c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ht="24.75" customHeight="1">
      <c r="A51" s="55">
        <v>48.0</v>
      </c>
      <c r="B51" s="55">
        <v>1018791.0</v>
      </c>
      <c r="C51" s="48" t="str">
        <f>vlookup(B51,'Crew Data'!C:G,5,0)</f>
        <v>Kitdanai Tiantanawit</v>
      </c>
      <c r="D51" s="56" t="s">
        <v>1023</v>
      </c>
      <c r="E51" s="55">
        <v>4.0</v>
      </c>
      <c r="F51" s="50">
        <f t="shared" si="1"/>
        <v>1600</v>
      </c>
      <c r="G51" s="22">
        <f t="shared" si="2"/>
        <v>1</v>
      </c>
      <c r="H51" s="51" t="s">
        <v>20</v>
      </c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ht="24.75" customHeight="1">
      <c r="A52" s="55">
        <v>49.0</v>
      </c>
      <c r="B52" s="55">
        <v>1003393.0</v>
      </c>
      <c r="C52" s="48" t="str">
        <f>vlookup(B52,'Crew Data'!C:G,5,0)</f>
        <v>Rhodavalentine Tipayasoceniza</v>
      </c>
      <c r="D52" s="56" t="s">
        <v>1012</v>
      </c>
      <c r="E52" s="55">
        <v>2.0</v>
      </c>
      <c r="F52" s="50">
        <f t="shared" si="1"/>
        <v>800</v>
      </c>
      <c r="G52" s="22">
        <f t="shared" si="2"/>
        <v>1</v>
      </c>
      <c r="H52" s="51" t="s">
        <v>20</v>
      </c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ht="24.75" customHeight="1">
      <c r="A53" s="55">
        <v>50.0</v>
      </c>
      <c r="B53" s="55">
        <v>1003386.0</v>
      </c>
      <c r="C53" s="48" t="str">
        <f>vlookup(B53,'Crew Data'!C:G,5,0)</f>
        <v>#N/A</v>
      </c>
      <c r="D53" s="56" t="s">
        <v>162</v>
      </c>
      <c r="E53" s="55">
        <v>2.0</v>
      </c>
      <c r="F53" s="50">
        <f t="shared" si="1"/>
        <v>800</v>
      </c>
      <c r="G53" s="22">
        <f t="shared" si="2"/>
        <v>1</v>
      </c>
      <c r="H53" s="51" t="s">
        <v>20</v>
      </c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ht="24.75" customHeight="1">
      <c r="A54" s="55">
        <v>51.0</v>
      </c>
      <c r="B54" s="55">
        <v>1007340.0</v>
      </c>
      <c r="C54" s="48" t="str">
        <f>vlookup(B54,'Crew Data'!C:G,5,0)</f>
        <v>Patpapada Vadtanawat</v>
      </c>
      <c r="D54" s="56" t="s">
        <v>1012</v>
      </c>
      <c r="E54" s="55">
        <v>2.0</v>
      </c>
      <c r="F54" s="50">
        <f t="shared" si="1"/>
        <v>800</v>
      </c>
      <c r="G54" s="22">
        <f t="shared" si="2"/>
        <v>1</v>
      </c>
      <c r="H54" s="51" t="s">
        <v>20</v>
      </c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ht="24.75" customHeight="1">
      <c r="A55" s="55">
        <v>52.0</v>
      </c>
      <c r="B55" s="55">
        <v>1019401.0</v>
      </c>
      <c r="C55" s="48" t="str">
        <f>vlookup(B55,'Crew Data'!C:G,5,0)</f>
        <v>Kunlachat Cheythong</v>
      </c>
      <c r="D55" s="56" t="s">
        <v>87</v>
      </c>
      <c r="E55" s="55">
        <v>2.0</v>
      </c>
      <c r="F55" s="50">
        <f t="shared" si="1"/>
        <v>800</v>
      </c>
      <c r="G55" s="22">
        <f t="shared" si="2"/>
        <v>1</v>
      </c>
      <c r="H55" s="51" t="s">
        <v>20</v>
      </c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ht="24.75" customHeight="1">
      <c r="A56" s="55">
        <v>53.0</v>
      </c>
      <c r="B56" s="55">
        <v>1019204.0</v>
      </c>
      <c r="C56" s="48" t="str">
        <f>vlookup(B56,'Crew Data'!C:G,5,0)</f>
        <v>Pawika Mingmanee</v>
      </c>
      <c r="D56" s="56" t="s">
        <v>1024</v>
      </c>
      <c r="E56" s="55">
        <v>4.0</v>
      </c>
      <c r="F56" s="50">
        <f t="shared" si="1"/>
        <v>1600</v>
      </c>
      <c r="G56" s="22">
        <f t="shared" si="2"/>
        <v>1</v>
      </c>
      <c r="H56" s="51" t="s">
        <v>20</v>
      </c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ht="24.75" customHeight="1">
      <c r="A57" s="55">
        <v>54.0</v>
      </c>
      <c r="B57" s="55">
        <v>1009816.0</v>
      </c>
      <c r="C57" s="48" t="str">
        <f>vlookup(B57,'Crew Data'!C:G,5,0)</f>
        <v>Patteya Nukong</v>
      </c>
      <c r="D57" s="56" t="s">
        <v>1025</v>
      </c>
      <c r="E57" s="55">
        <v>2.0</v>
      </c>
      <c r="F57" s="50">
        <f t="shared" si="1"/>
        <v>800</v>
      </c>
      <c r="G57" s="22">
        <f t="shared" si="2"/>
        <v>1</v>
      </c>
      <c r="H57" s="51" t="s">
        <v>20</v>
      </c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ht="24.75" customHeight="1">
      <c r="A58" s="54">
        <v>55.0</v>
      </c>
      <c r="B58" s="55">
        <v>1006993.0</v>
      </c>
      <c r="C58" s="48" t="str">
        <f>vlookup(B58,'Crew Data'!C:G,5,0)</f>
        <v>Jutaporn Kanjanakhajit</v>
      </c>
      <c r="D58" s="56" t="s">
        <v>113</v>
      </c>
      <c r="E58" s="55">
        <v>2.0</v>
      </c>
      <c r="F58" s="50">
        <f t="shared" si="1"/>
        <v>800</v>
      </c>
      <c r="G58" s="22">
        <f t="shared" si="2"/>
        <v>1</v>
      </c>
      <c r="H58" s="51" t="s">
        <v>20</v>
      </c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ht="24.75" customHeight="1">
      <c r="A59" s="55">
        <v>56.0</v>
      </c>
      <c r="B59" s="55">
        <v>1007138.0</v>
      </c>
      <c r="C59" s="48" t="str">
        <f>vlookup(B59,'Crew Data'!C:G,5,0)</f>
        <v>Muanprae Fukiatisuthi</v>
      </c>
      <c r="D59" s="56" t="s">
        <v>1017</v>
      </c>
      <c r="E59" s="55">
        <v>2.0</v>
      </c>
      <c r="F59" s="50">
        <f t="shared" si="1"/>
        <v>800</v>
      </c>
      <c r="G59" s="22">
        <f t="shared" si="2"/>
        <v>1</v>
      </c>
      <c r="H59" s="51" t="s">
        <v>20</v>
      </c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ht="24.75" customHeight="1">
      <c r="A60" s="55">
        <v>57.0</v>
      </c>
      <c r="B60" s="55">
        <v>1011513.0</v>
      </c>
      <c r="C60" s="48" t="str">
        <f>vlookup(B60,'Crew Data'!C:G,5,0)</f>
        <v>Rawitnat Marayat</v>
      </c>
      <c r="D60" s="56" t="s">
        <v>116</v>
      </c>
      <c r="E60" s="55">
        <v>2.0</v>
      </c>
      <c r="F60" s="50">
        <f t="shared" si="1"/>
        <v>800</v>
      </c>
      <c r="G60" s="22">
        <f t="shared" si="2"/>
        <v>1</v>
      </c>
      <c r="H60" s="51" t="s">
        <v>20</v>
      </c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ht="24.75" customHeight="1">
      <c r="A61" s="55">
        <v>58.0</v>
      </c>
      <c r="B61" s="55">
        <v>1012359.0</v>
      </c>
      <c r="C61" s="48" t="str">
        <f>vlookup(B61,'Crew Data'!C:G,5,0)</f>
        <v>Kotchakon Kanchanamethakul</v>
      </c>
      <c r="D61" s="56" t="s">
        <v>1003</v>
      </c>
      <c r="E61" s="55">
        <v>2.0</v>
      </c>
      <c r="F61" s="50">
        <f t="shared" si="1"/>
        <v>800</v>
      </c>
      <c r="G61" s="22">
        <f t="shared" si="2"/>
        <v>1</v>
      </c>
      <c r="H61" s="51" t="s">
        <v>20</v>
      </c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ht="24.75" customHeight="1">
      <c r="A62" s="55">
        <v>59.0</v>
      </c>
      <c r="B62" s="55">
        <v>1014312.0</v>
      </c>
      <c r="C62" s="48" t="str">
        <f>vlookup(B62,'Crew Data'!C:G,5,0)</f>
        <v>Chadaporn Pliankham</v>
      </c>
      <c r="D62" s="56" t="s">
        <v>1026</v>
      </c>
      <c r="E62" s="55">
        <v>2.0</v>
      </c>
      <c r="F62" s="50">
        <f t="shared" si="1"/>
        <v>800</v>
      </c>
      <c r="G62" s="22">
        <f t="shared" si="2"/>
        <v>1</v>
      </c>
      <c r="H62" s="51" t="s">
        <v>20</v>
      </c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ht="24.75" customHeight="1">
      <c r="A63" s="55">
        <v>60.0</v>
      </c>
      <c r="B63" s="55">
        <v>1014346.0</v>
      </c>
      <c r="C63" s="48" t="str">
        <f>vlookup(B63,'Crew Data'!C:G,5,0)</f>
        <v>Narongchai Mongkolchartthai</v>
      </c>
      <c r="D63" s="56" t="s">
        <v>1017</v>
      </c>
      <c r="E63" s="55">
        <v>2.0</v>
      </c>
      <c r="F63" s="50">
        <f t="shared" si="1"/>
        <v>800</v>
      </c>
      <c r="G63" s="22">
        <f t="shared" si="2"/>
        <v>1</v>
      </c>
      <c r="H63" s="51" t="s">
        <v>20</v>
      </c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ht="24.75" customHeight="1">
      <c r="A64" s="55">
        <v>61.0</v>
      </c>
      <c r="B64" s="55">
        <v>1018806.0</v>
      </c>
      <c r="C64" s="48" t="str">
        <f>vlookup(B64,'Crew Data'!C:G,5,0)</f>
        <v>Penrat Srinawakul</v>
      </c>
      <c r="D64" s="56" t="s">
        <v>1022</v>
      </c>
      <c r="E64" s="55">
        <v>2.0</v>
      </c>
      <c r="F64" s="50">
        <f t="shared" si="1"/>
        <v>800</v>
      </c>
      <c r="G64" s="22">
        <f t="shared" si="2"/>
        <v>1</v>
      </c>
      <c r="H64" s="51" t="s">
        <v>20</v>
      </c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ht="24.75" customHeight="1">
      <c r="A65" s="55">
        <v>62.0</v>
      </c>
      <c r="B65" s="55">
        <v>1014316.0</v>
      </c>
      <c r="C65" s="48" t="str">
        <f>vlookup(B65,'Crew Data'!C:G,5,0)</f>
        <v>Eakapol Tuncharoen</v>
      </c>
      <c r="D65" s="56" t="s">
        <v>1017</v>
      </c>
      <c r="E65" s="55">
        <v>2.0</v>
      </c>
      <c r="F65" s="50">
        <f t="shared" si="1"/>
        <v>800</v>
      </c>
      <c r="G65" s="22">
        <f t="shared" si="2"/>
        <v>1</v>
      </c>
      <c r="H65" s="51" t="s">
        <v>20</v>
      </c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ht="24.75" customHeight="1">
      <c r="A66" s="55">
        <v>63.0</v>
      </c>
      <c r="B66" s="55">
        <v>1011514.0</v>
      </c>
      <c r="C66" s="48" t="str">
        <f>vlookup(B66,'Crew Data'!C:G,5,0)</f>
        <v>Phapada Chukavirote</v>
      </c>
      <c r="D66" s="56" t="s">
        <v>1008</v>
      </c>
      <c r="E66" s="55">
        <v>2.0</v>
      </c>
      <c r="F66" s="50">
        <f t="shared" si="1"/>
        <v>800</v>
      </c>
      <c r="G66" s="22">
        <f t="shared" si="2"/>
        <v>1</v>
      </c>
      <c r="H66" s="51" t="s">
        <v>20</v>
      </c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ht="24.75" customHeight="1">
      <c r="A67" s="54">
        <v>64.0</v>
      </c>
      <c r="B67" s="55">
        <v>1007181.0</v>
      </c>
      <c r="C67" s="48" t="str">
        <f>vlookup(B67,'Crew Data'!C:G,5,0)</f>
        <v>Warisara Sutta</v>
      </c>
      <c r="D67" s="56" t="s">
        <v>1026</v>
      </c>
      <c r="E67" s="55">
        <v>2.0</v>
      </c>
      <c r="F67" s="50">
        <f t="shared" si="1"/>
        <v>800</v>
      </c>
      <c r="G67" s="22">
        <f t="shared" si="2"/>
        <v>1</v>
      </c>
      <c r="H67" s="51" t="s">
        <v>20</v>
      </c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ht="24.75" customHeight="1">
      <c r="A68" s="55">
        <v>65.0</v>
      </c>
      <c r="B68" s="55">
        <v>1014329.0</v>
      </c>
      <c r="C68" s="48" t="str">
        <f>vlookup(B68,'Crew Data'!C:G,5,0)</f>
        <v>Kanicha Sae-toen</v>
      </c>
      <c r="D68" s="56" t="s">
        <v>1026</v>
      </c>
      <c r="E68" s="55">
        <v>2.0</v>
      </c>
      <c r="F68" s="50">
        <f t="shared" si="1"/>
        <v>800</v>
      </c>
      <c r="G68" s="22">
        <f t="shared" si="2"/>
        <v>1</v>
      </c>
      <c r="H68" s="51" t="s">
        <v>20</v>
      </c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ht="24.75" customHeight="1">
      <c r="A69" s="55">
        <v>66.0</v>
      </c>
      <c r="B69" s="55">
        <v>1014067.0</v>
      </c>
      <c r="C69" s="48" t="str">
        <f>vlookup(B69,'Crew Data'!C:G,5,0)</f>
        <v>Kedvarang Pikoonted</v>
      </c>
      <c r="D69" s="56" t="s">
        <v>1027</v>
      </c>
      <c r="E69" s="55">
        <v>2.0</v>
      </c>
      <c r="F69" s="50">
        <f t="shared" si="1"/>
        <v>800</v>
      </c>
      <c r="G69" s="22">
        <f t="shared" si="2"/>
        <v>1</v>
      </c>
      <c r="H69" s="51" t="s">
        <v>20</v>
      </c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ht="24.75" customHeight="1">
      <c r="A70" s="55">
        <v>67.0</v>
      </c>
      <c r="B70" s="55">
        <v>1001317.0</v>
      </c>
      <c r="C70" s="48" t="str">
        <f>vlookup(B70,'Crew Data'!C:G,5,0)</f>
        <v>Umaporn Charnond</v>
      </c>
      <c r="D70" s="56" t="s">
        <v>1027</v>
      </c>
      <c r="E70" s="55">
        <v>2.0</v>
      </c>
      <c r="F70" s="50">
        <f t="shared" si="1"/>
        <v>800</v>
      </c>
      <c r="G70" s="22">
        <f t="shared" si="2"/>
        <v>1</v>
      </c>
      <c r="H70" s="51" t="s">
        <v>20</v>
      </c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ht="24.75" customHeight="1">
      <c r="A71" s="55">
        <v>68.0</v>
      </c>
      <c r="B71" s="55">
        <v>1017657.0</v>
      </c>
      <c r="C71" s="48" t="str">
        <f>vlookup(B71,'Crew Data'!C:G,5,0)</f>
        <v>Yanakorn Charnfun</v>
      </c>
      <c r="D71" s="56" t="s">
        <v>1028</v>
      </c>
      <c r="E71" s="55">
        <v>4.0</v>
      </c>
      <c r="F71" s="50">
        <f t="shared" si="1"/>
        <v>1600</v>
      </c>
      <c r="G71" s="22">
        <f t="shared" si="2"/>
        <v>1</v>
      </c>
      <c r="H71" s="51" t="s">
        <v>20</v>
      </c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ht="24.75" customHeight="1">
      <c r="A72" s="55">
        <v>69.0</v>
      </c>
      <c r="B72" s="55">
        <v>1007009.0</v>
      </c>
      <c r="C72" s="48" t="str">
        <f>vlookup(B72,'Crew Data'!C:G,5,0)</f>
        <v>Busayarat Pongratanakul</v>
      </c>
      <c r="D72" s="56" t="s">
        <v>1027</v>
      </c>
      <c r="E72" s="55">
        <v>2.0</v>
      </c>
      <c r="F72" s="50">
        <f t="shared" si="1"/>
        <v>800</v>
      </c>
      <c r="G72" s="22">
        <f t="shared" si="2"/>
        <v>1</v>
      </c>
      <c r="H72" s="51" t="s">
        <v>20</v>
      </c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ht="24.75" customHeight="1">
      <c r="A73" s="55">
        <v>70.0</v>
      </c>
      <c r="B73" s="55">
        <v>1010939.0</v>
      </c>
      <c r="C73" s="48" t="str">
        <f>vlookup(B73,'Crew Data'!C:G,5,0)</f>
        <v>Yuwarat Meesap</v>
      </c>
      <c r="D73" s="56" t="s">
        <v>116</v>
      </c>
      <c r="E73" s="55">
        <v>2.0</v>
      </c>
      <c r="F73" s="50">
        <f t="shared" si="1"/>
        <v>800</v>
      </c>
      <c r="G73" s="22">
        <f t="shared" si="2"/>
        <v>1</v>
      </c>
      <c r="H73" s="51" t="s">
        <v>20</v>
      </c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ht="24.75" customHeight="1">
      <c r="A74" s="55">
        <v>71.0</v>
      </c>
      <c r="B74" s="55">
        <v>1007153.0</v>
      </c>
      <c r="C74" s="48" t="str">
        <f>vlookup(B74,'Crew Data'!C:G,5,0)</f>
        <v>Pannathat Chuchuaisuwan</v>
      </c>
      <c r="D74" s="56" t="s">
        <v>1028</v>
      </c>
      <c r="E74" s="55">
        <v>4.0</v>
      </c>
      <c r="F74" s="50">
        <f t="shared" si="1"/>
        <v>1600</v>
      </c>
      <c r="G74" s="22">
        <f t="shared" si="2"/>
        <v>1</v>
      </c>
      <c r="H74" s="51" t="s">
        <v>20</v>
      </c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ht="24.75" customHeight="1">
      <c r="A75" s="55">
        <v>72.0</v>
      </c>
      <c r="B75" s="55">
        <v>1003172.0</v>
      </c>
      <c r="C75" s="48" t="str">
        <f>vlookup(B75,'Crew Data'!C:G,5,0)</f>
        <v>Natthanit Kaewchoochuen</v>
      </c>
      <c r="D75" s="56" t="s">
        <v>1019</v>
      </c>
      <c r="E75" s="55">
        <v>2.0</v>
      </c>
      <c r="F75" s="50">
        <f t="shared" si="1"/>
        <v>800</v>
      </c>
      <c r="G75" s="22">
        <f t="shared" si="2"/>
        <v>1</v>
      </c>
      <c r="H75" s="51" t="s">
        <v>20</v>
      </c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ht="24.75" customHeight="1">
      <c r="A76" s="54">
        <v>73.0</v>
      </c>
      <c r="B76" s="55">
        <v>1009811.0</v>
      </c>
      <c r="C76" s="48" t="str">
        <f>vlookup(B76,'Crew Data'!C:G,5,0)</f>
        <v>Natchanan Pena Viegas</v>
      </c>
      <c r="D76" s="56" t="s">
        <v>1020</v>
      </c>
      <c r="E76" s="55">
        <v>2.0</v>
      </c>
      <c r="F76" s="50">
        <f t="shared" si="1"/>
        <v>800</v>
      </c>
      <c r="G76" s="22">
        <f t="shared" si="2"/>
        <v>1</v>
      </c>
      <c r="H76" s="51" t="s">
        <v>20</v>
      </c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ht="24.75" customHeight="1">
      <c r="A77" s="55">
        <v>74.0</v>
      </c>
      <c r="B77" s="55">
        <v>1022721.0</v>
      </c>
      <c r="C77" s="48" t="str">
        <f>vlookup(B77,'Crew Data'!C:G,5,0)</f>
        <v>Siwaporn Lertthaharn</v>
      </c>
      <c r="D77" s="56" t="s">
        <v>118</v>
      </c>
      <c r="E77" s="55">
        <v>2.0</v>
      </c>
      <c r="F77" s="50">
        <f t="shared" si="1"/>
        <v>800</v>
      </c>
      <c r="G77" s="22">
        <f t="shared" si="2"/>
        <v>1</v>
      </c>
      <c r="H77" s="51" t="s">
        <v>20</v>
      </c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ht="24.75" customHeight="1">
      <c r="A78" s="55">
        <v>75.0</v>
      </c>
      <c r="B78" s="55">
        <v>1003385.0</v>
      </c>
      <c r="C78" s="48" t="str">
        <f>vlookup(B78,'Crew Data'!C:G,5,0)</f>
        <v>Jaruma Jantarapap</v>
      </c>
      <c r="D78" s="56" t="s">
        <v>1029</v>
      </c>
      <c r="E78" s="55">
        <v>4.0</v>
      </c>
      <c r="F78" s="50">
        <f t="shared" si="1"/>
        <v>1600</v>
      </c>
      <c r="G78" s="22">
        <f t="shared" si="2"/>
        <v>1</v>
      </c>
      <c r="H78" s="51" t="s">
        <v>20</v>
      </c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ht="24.75" customHeight="1">
      <c r="A79" s="55">
        <v>76.0</v>
      </c>
      <c r="B79" s="55">
        <v>1018974.0</v>
      </c>
      <c r="C79" s="48" t="str">
        <f>vlookup(B79,'Crew Data'!C:G,5,0)</f>
        <v>Nakharin Preediyanon</v>
      </c>
      <c r="D79" s="56" t="s">
        <v>1030</v>
      </c>
      <c r="E79" s="55">
        <v>2.0</v>
      </c>
      <c r="F79" s="50">
        <f t="shared" si="1"/>
        <v>800</v>
      </c>
      <c r="G79" s="22">
        <f t="shared" si="2"/>
        <v>1</v>
      </c>
      <c r="H79" s="51" t="s">
        <v>20</v>
      </c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ht="24.75" customHeight="1">
      <c r="A80" s="55">
        <v>77.0</v>
      </c>
      <c r="B80" s="55">
        <v>1002370.0</v>
      </c>
      <c r="C80" s="48" t="str">
        <f>vlookup(B80,'Crew Data'!C:G,5,0)</f>
        <v>Napaphat Yuktanan</v>
      </c>
      <c r="D80" s="56" t="s">
        <v>1008</v>
      </c>
      <c r="E80" s="55">
        <v>2.0</v>
      </c>
      <c r="F80" s="50">
        <f t="shared" si="1"/>
        <v>800</v>
      </c>
      <c r="G80" s="22">
        <f t="shared" si="2"/>
        <v>1</v>
      </c>
      <c r="H80" s="51" t="s">
        <v>20</v>
      </c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ht="24.75" customHeight="1">
      <c r="A81" s="55">
        <v>78.0</v>
      </c>
      <c r="B81" s="55">
        <v>1007157.0</v>
      </c>
      <c r="C81" s="48" t="str">
        <f>vlookup(B81,'Crew Data'!C:G,5,0)</f>
        <v>Pichanun Seneetantikul</v>
      </c>
      <c r="D81" s="56" t="s">
        <v>1028</v>
      </c>
      <c r="E81" s="55">
        <v>4.0</v>
      </c>
      <c r="F81" s="50">
        <f t="shared" si="1"/>
        <v>1600</v>
      </c>
      <c r="G81" s="22">
        <f t="shared" si="2"/>
        <v>1</v>
      </c>
      <c r="H81" s="51" t="s">
        <v>20</v>
      </c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ht="24.75" customHeight="1">
      <c r="A82" s="55">
        <v>79.0</v>
      </c>
      <c r="B82" s="55">
        <v>1001286.0</v>
      </c>
      <c r="C82" s="48" t="str">
        <f>vlookup(B82,'Crew Data'!C:G,5,0)</f>
        <v>Sirinart Auypornbusyakom</v>
      </c>
      <c r="D82" s="56" t="s">
        <v>1016</v>
      </c>
      <c r="E82" s="55">
        <v>2.0</v>
      </c>
      <c r="F82" s="50">
        <f t="shared" si="1"/>
        <v>800</v>
      </c>
      <c r="G82" s="22">
        <f t="shared" si="2"/>
        <v>1</v>
      </c>
      <c r="H82" s="51" t="s">
        <v>20</v>
      </c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ht="24.75" customHeight="1">
      <c r="A83" s="55">
        <v>80.0</v>
      </c>
      <c r="B83" s="55">
        <v>1007341.0</v>
      </c>
      <c r="C83" s="48" t="str">
        <f>vlookup(B83,'Crew Data'!C:G,5,0)</f>
        <v>Phatrada Treesuwan</v>
      </c>
      <c r="D83" s="56" t="s">
        <v>1012</v>
      </c>
      <c r="E83" s="55">
        <v>2.0</v>
      </c>
      <c r="F83" s="50">
        <f t="shared" si="1"/>
        <v>800</v>
      </c>
      <c r="G83" s="22">
        <f t="shared" si="2"/>
        <v>1</v>
      </c>
      <c r="H83" s="51" t="s">
        <v>20</v>
      </c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ht="24.75" customHeight="1">
      <c r="A84" s="55">
        <v>81.0</v>
      </c>
      <c r="B84" s="55">
        <v>1007410.0</v>
      </c>
      <c r="C84" s="48" t="str">
        <f>vlookup(B84,'Crew Data'!C:G,5,0)</f>
        <v>Hathairat Turongtanakul</v>
      </c>
      <c r="D84" s="56" t="s">
        <v>1013</v>
      </c>
      <c r="E84" s="55">
        <v>2.0</v>
      </c>
      <c r="F84" s="50">
        <f t="shared" si="1"/>
        <v>800</v>
      </c>
      <c r="G84" s="22">
        <f t="shared" si="2"/>
        <v>1</v>
      </c>
      <c r="H84" s="51" t="s">
        <v>20</v>
      </c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ht="24.75" customHeight="1">
      <c r="A85" s="54">
        <v>82.0</v>
      </c>
      <c r="B85" s="55">
        <v>1007418.0</v>
      </c>
      <c r="C85" s="48" t="str">
        <f>vlookup(B85,'Crew Data'!C:G,5,0)</f>
        <v>Nattaphat Boonprasit</v>
      </c>
      <c r="D85" s="56" t="s">
        <v>1031</v>
      </c>
      <c r="E85" s="55">
        <v>2.0</v>
      </c>
      <c r="F85" s="50">
        <f t="shared" si="1"/>
        <v>800</v>
      </c>
      <c r="G85" s="22">
        <f t="shared" si="2"/>
        <v>1</v>
      </c>
      <c r="H85" s="51" t="s">
        <v>20</v>
      </c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ht="24.75" customHeight="1">
      <c r="A86" s="55">
        <v>83.0</v>
      </c>
      <c r="B86" s="55">
        <v>1011501.0</v>
      </c>
      <c r="C86" s="48" t="str">
        <f>vlookup(B86,'Crew Data'!C:G,5,0)</f>
        <v>Jinbulla Pranom</v>
      </c>
      <c r="D86" s="56" t="s">
        <v>1032</v>
      </c>
      <c r="E86" s="55">
        <v>2.0</v>
      </c>
      <c r="F86" s="50">
        <f t="shared" si="1"/>
        <v>800</v>
      </c>
      <c r="G86" s="22">
        <f t="shared" si="2"/>
        <v>1</v>
      </c>
      <c r="H86" s="51" t="s">
        <v>20</v>
      </c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ht="24.75" customHeight="1">
      <c r="A87" s="55">
        <v>84.0</v>
      </c>
      <c r="B87" s="55">
        <v>1010916.0</v>
      </c>
      <c r="C87" s="48" t="str">
        <f>vlookup(B87,'Crew Data'!C:G,5,0)</f>
        <v>Sivakorn Sangsukiam</v>
      </c>
      <c r="D87" s="56" t="s">
        <v>1032</v>
      </c>
      <c r="E87" s="55">
        <v>2.0</v>
      </c>
      <c r="F87" s="50">
        <f t="shared" si="1"/>
        <v>800</v>
      </c>
      <c r="G87" s="22">
        <f t="shared" si="2"/>
        <v>1</v>
      </c>
      <c r="H87" s="51" t="s">
        <v>20</v>
      </c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ht="24.75" customHeight="1">
      <c r="A88" s="55">
        <v>85.0</v>
      </c>
      <c r="B88" s="55">
        <v>1013025.0</v>
      </c>
      <c r="C88" s="48" t="str">
        <f>vlookup(B88,'Crew Data'!C:G,5,0)</f>
        <v>Pirawan Sarobol</v>
      </c>
      <c r="D88" s="56" t="s">
        <v>1031</v>
      </c>
      <c r="E88" s="55">
        <v>2.0</v>
      </c>
      <c r="F88" s="50">
        <f t="shared" si="1"/>
        <v>800</v>
      </c>
      <c r="G88" s="22">
        <f t="shared" si="2"/>
        <v>1</v>
      </c>
      <c r="H88" s="51" t="s">
        <v>20</v>
      </c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ht="24.75" customHeight="1">
      <c r="A89" s="55">
        <v>86.0</v>
      </c>
      <c r="B89" s="55">
        <v>1010932.0</v>
      </c>
      <c r="C89" s="48" t="str">
        <f>vlookup(B89,'Crew Data'!C:G,5,0)</f>
        <v>Wanunyapat Wongvichien</v>
      </c>
      <c r="D89" s="56" t="s">
        <v>146</v>
      </c>
      <c r="E89" s="55">
        <v>2.0</v>
      </c>
      <c r="F89" s="50">
        <f t="shared" si="1"/>
        <v>800</v>
      </c>
      <c r="G89" s="22">
        <f t="shared" si="2"/>
        <v>1</v>
      </c>
      <c r="H89" s="51" t="s">
        <v>20</v>
      </c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ht="24.75" customHeight="1">
      <c r="A90" s="55">
        <v>87.0</v>
      </c>
      <c r="B90" s="55">
        <v>1011314.0</v>
      </c>
      <c r="C90" s="48" t="str">
        <f>vlookup(B90,'Crew Data'!C:G,5,0)</f>
        <v>Pichayapich Nimphya</v>
      </c>
      <c r="D90" s="56" t="s">
        <v>146</v>
      </c>
      <c r="E90" s="55">
        <v>2.0</v>
      </c>
      <c r="F90" s="50">
        <f t="shared" si="1"/>
        <v>800</v>
      </c>
      <c r="G90" s="22">
        <f t="shared" si="2"/>
        <v>1</v>
      </c>
      <c r="H90" s="51" t="s">
        <v>20</v>
      </c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ht="24.75" customHeight="1">
      <c r="A91" s="55">
        <v>88.0</v>
      </c>
      <c r="B91" s="55">
        <v>1017651.0</v>
      </c>
      <c r="C91" s="48" t="str">
        <f>vlookup(B91,'Crew Data'!C:G,5,0)</f>
        <v>Usana Saepua</v>
      </c>
      <c r="D91" s="56" t="s">
        <v>1033</v>
      </c>
      <c r="E91" s="55">
        <v>2.0</v>
      </c>
      <c r="F91" s="50">
        <f t="shared" si="1"/>
        <v>800</v>
      </c>
      <c r="G91" s="22">
        <f t="shared" si="2"/>
        <v>1</v>
      </c>
      <c r="H91" s="51" t="s">
        <v>20</v>
      </c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ht="24.75" customHeight="1">
      <c r="A92" s="55">
        <v>89.0</v>
      </c>
      <c r="B92" s="55">
        <v>1019215.0</v>
      </c>
      <c r="C92" s="48" t="str">
        <f>vlookup(B92,'Crew Data'!C:G,5,0)</f>
        <v>Puttida Hirunyatrakul</v>
      </c>
      <c r="D92" s="56" t="s">
        <v>1034</v>
      </c>
      <c r="E92" s="55">
        <v>2.0</v>
      </c>
      <c r="F92" s="50">
        <f t="shared" si="1"/>
        <v>800</v>
      </c>
      <c r="G92" s="22">
        <f t="shared" si="2"/>
        <v>1</v>
      </c>
      <c r="H92" s="51" t="s">
        <v>20</v>
      </c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ht="24.75" customHeight="1">
      <c r="A93" s="55">
        <v>90.0</v>
      </c>
      <c r="B93" s="55">
        <v>1005326.0</v>
      </c>
      <c r="C93" s="48" t="str">
        <f>vlookup(B93,'Crew Data'!C:G,5,0)</f>
        <v>Pakornpoj Lertsmitivant</v>
      </c>
      <c r="D93" s="56" t="s">
        <v>146</v>
      </c>
      <c r="E93" s="55">
        <v>2.0</v>
      </c>
      <c r="F93" s="50">
        <f t="shared" si="1"/>
        <v>800</v>
      </c>
      <c r="G93" s="22">
        <f t="shared" si="2"/>
        <v>1</v>
      </c>
      <c r="H93" s="51" t="s">
        <v>20</v>
      </c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ht="24.75" customHeight="1">
      <c r="A94" s="54">
        <v>91.0</v>
      </c>
      <c r="B94" s="55">
        <v>1022701.0</v>
      </c>
      <c r="C94" s="48" t="str">
        <f>vlookup(B94,'Crew Data'!C:G,5,0)</f>
        <v>Janyarak Khundilokbovorn</v>
      </c>
      <c r="D94" s="56" t="s">
        <v>1018</v>
      </c>
      <c r="E94" s="55">
        <v>2.0</v>
      </c>
      <c r="F94" s="50">
        <f t="shared" si="1"/>
        <v>800</v>
      </c>
      <c r="G94" s="22">
        <f t="shared" si="2"/>
        <v>1</v>
      </c>
      <c r="H94" s="51" t="s">
        <v>20</v>
      </c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ht="24.75" customHeight="1">
      <c r="A95" s="55">
        <v>92.0</v>
      </c>
      <c r="B95" s="55">
        <v>1009156.0</v>
      </c>
      <c r="C95" s="48" t="str">
        <f>vlookup(B95,'Crew Data'!C:G,5,0)</f>
        <v>Peamkate Kullasit</v>
      </c>
      <c r="D95" s="56" t="s">
        <v>1018</v>
      </c>
      <c r="E95" s="55">
        <v>2.0</v>
      </c>
      <c r="F95" s="50">
        <f t="shared" si="1"/>
        <v>800</v>
      </c>
      <c r="G95" s="22">
        <f t="shared" si="2"/>
        <v>1</v>
      </c>
      <c r="H95" s="51" t="s">
        <v>20</v>
      </c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ht="24.75" customHeight="1">
      <c r="A96" s="55">
        <v>93.0</v>
      </c>
      <c r="B96" s="55">
        <v>1009768.0</v>
      </c>
      <c r="C96" s="48" t="str">
        <f>vlookup(B96,'Crew Data'!C:G,5,0)</f>
        <v>Thidech Eakmongkollert</v>
      </c>
      <c r="D96" s="56" t="s">
        <v>1006</v>
      </c>
      <c r="E96" s="55">
        <v>2.0</v>
      </c>
      <c r="F96" s="50">
        <f t="shared" si="1"/>
        <v>800</v>
      </c>
      <c r="G96" s="22">
        <f t="shared" si="2"/>
        <v>1</v>
      </c>
      <c r="H96" s="51" t="s">
        <v>20</v>
      </c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ht="24.75" customHeight="1">
      <c r="A97" s="55">
        <v>94.0</v>
      </c>
      <c r="B97" s="55">
        <v>1019410.0</v>
      </c>
      <c r="C97" s="48" t="str">
        <f>vlookup(B97,'Crew Data'!C:G,5,0)</f>
        <v>Thachaporn Lertwichitsilp</v>
      </c>
      <c r="D97" s="56" t="s">
        <v>1009</v>
      </c>
      <c r="E97" s="55">
        <v>2.0</v>
      </c>
      <c r="F97" s="50">
        <f t="shared" si="1"/>
        <v>800</v>
      </c>
      <c r="G97" s="22">
        <f t="shared" si="2"/>
        <v>1</v>
      </c>
      <c r="H97" s="51" t="s">
        <v>20</v>
      </c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ht="24.75" customHeight="1">
      <c r="A98" s="55">
        <v>95.0</v>
      </c>
      <c r="B98" s="55">
        <v>1007279.0</v>
      </c>
      <c r="C98" s="48" t="str">
        <f>vlookup(B98,'Crew Data'!C:G,5,0)</f>
        <v>Tulaya Arayapisutigoon</v>
      </c>
      <c r="D98" s="56" t="s">
        <v>1017</v>
      </c>
      <c r="E98" s="55">
        <v>2.0</v>
      </c>
      <c r="F98" s="50">
        <f t="shared" si="1"/>
        <v>800</v>
      </c>
      <c r="G98" s="22">
        <f t="shared" si="2"/>
        <v>1</v>
      </c>
      <c r="H98" s="51" t="s">
        <v>20</v>
      </c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ht="24.75" customHeight="1">
      <c r="A99" s="55">
        <v>96.0</v>
      </c>
      <c r="B99" s="55">
        <v>1007029.0</v>
      </c>
      <c r="C99" s="48" t="str">
        <f>vlookup(B99,'Crew Data'!C:G,5,0)</f>
        <v>Pitchaya Dalai</v>
      </c>
      <c r="D99" s="56" t="s">
        <v>1008</v>
      </c>
      <c r="E99" s="55">
        <v>2.0</v>
      </c>
      <c r="F99" s="50">
        <f t="shared" si="1"/>
        <v>800</v>
      </c>
      <c r="G99" s="22">
        <f t="shared" si="2"/>
        <v>1</v>
      </c>
      <c r="H99" s="51" t="s">
        <v>20</v>
      </c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ht="24.75" customHeight="1">
      <c r="A100" s="55">
        <v>97.0</v>
      </c>
      <c r="B100" s="55">
        <v>1001617.0</v>
      </c>
      <c r="C100" s="48" t="str">
        <f>vlookup(B100,'Crew Data'!C:G,5,0)</f>
        <v>Suthida Tanakarn</v>
      </c>
      <c r="D100" s="56" t="s">
        <v>1031</v>
      </c>
      <c r="E100" s="55">
        <v>2.0</v>
      </c>
      <c r="F100" s="50">
        <f t="shared" si="1"/>
        <v>800</v>
      </c>
      <c r="G100" s="22">
        <f t="shared" si="2"/>
        <v>1</v>
      </c>
      <c r="H100" s="51" t="s">
        <v>20</v>
      </c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ht="24.75" customHeight="1">
      <c r="A101" s="54">
        <v>98.0</v>
      </c>
      <c r="B101" s="55">
        <v>1007161.0</v>
      </c>
      <c r="C101" s="48" t="str">
        <f>vlookup(B101,'Crew Data'!C:G,5,0)</f>
        <v>Prangnaree Sahawatcharin</v>
      </c>
      <c r="D101" s="56" t="s">
        <v>1035</v>
      </c>
      <c r="E101" s="55">
        <v>2.0</v>
      </c>
      <c r="F101" s="50">
        <f t="shared" si="1"/>
        <v>800</v>
      </c>
      <c r="G101" s="22">
        <f t="shared" si="2"/>
        <v>1</v>
      </c>
      <c r="H101" s="51" t="s">
        <v>20</v>
      </c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ht="24.75" customHeight="1">
      <c r="A102" s="55">
        <v>99.0</v>
      </c>
      <c r="B102" s="55">
        <v>1006081.0</v>
      </c>
      <c r="C102" s="48" t="str">
        <f>vlookup(B102,'Crew Data'!C:G,5,0)</f>
        <v>Ploypachara Charoensup</v>
      </c>
      <c r="D102" s="56" t="s">
        <v>1031</v>
      </c>
      <c r="E102" s="55">
        <v>2.0</v>
      </c>
      <c r="F102" s="50">
        <f t="shared" si="1"/>
        <v>800</v>
      </c>
      <c r="G102" s="22">
        <f t="shared" si="2"/>
        <v>1</v>
      </c>
      <c r="H102" s="51" t="s">
        <v>20</v>
      </c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>
      <c r="D103" s="52"/>
    </row>
    <row r="104">
      <c r="D104" s="52"/>
    </row>
    <row r="105">
      <c r="D105" s="52"/>
    </row>
    <row r="106">
      <c r="D106" s="52"/>
    </row>
    <row r="107">
      <c r="D107" s="52"/>
    </row>
    <row r="108">
      <c r="D108" s="52"/>
    </row>
  </sheetData>
  <autoFilter ref="$A$3:$G$102"/>
  <mergeCells count="2">
    <mergeCell ref="A1:F1"/>
    <mergeCell ref="E2:F2"/>
  </mergeCells>
  <dataValidations>
    <dataValidation type="list" allowBlank="1" sqref="H4:H102">
      <formula1>"CHECKED (OK),CHECKED  (NOT OK)"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.63"/>
    <col customWidth="1" min="2" max="2" width="11.25"/>
    <col customWidth="1" min="3" max="3" width="35.25"/>
    <col customWidth="1" min="4" max="4" width="33.25"/>
    <col customWidth="1" min="7" max="7" width="4.88"/>
    <col customWidth="1" min="8" max="8" width="47.13"/>
    <col customWidth="1" min="9" max="9" width="21.63"/>
  </cols>
  <sheetData>
    <row r="1">
      <c r="A1" s="30" t="s">
        <v>1036</v>
      </c>
      <c r="G1" s="31"/>
      <c r="H1" s="32" t="s">
        <v>1037</v>
      </c>
      <c r="I1" s="33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4" t="s">
        <v>1</v>
      </c>
      <c r="B2" s="35" t="s">
        <v>11</v>
      </c>
      <c r="C2" s="35" t="s">
        <v>12</v>
      </c>
      <c r="D2" s="36" t="s">
        <v>13</v>
      </c>
      <c r="E2" s="37" t="s">
        <v>14</v>
      </c>
      <c r="F2" s="38"/>
      <c r="G2" s="39"/>
      <c r="H2" s="40"/>
      <c r="I2" s="40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58"/>
      <c r="B3" s="59"/>
      <c r="C3" s="59"/>
      <c r="D3" s="60"/>
      <c r="E3" s="42" t="s">
        <v>15</v>
      </c>
      <c r="F3" s="43" t="s">
        <v>5</v>
      </c>
      <c r="G3" s="39"/>
      <c r="H3" s="44" t="s">
        <v>6</v>
      </c>
      <c r="I3" s="45" t="s">
        <v>7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24.75" customHeight="1">
      <c r="A4" s="54">
        <v>1.0</v>
      </c>
      <c r="B4" s="47">
        <v>1018973.0</v>
      </c>
      <c r="C4" s="48" t="str">
        <f>vlookup(B4,'Crew Data'!C:G,5,0)</f>
        <v>#N/A</v>
      </c>
      <c r="D4" s="49" t="s">
        <v>1038</v>
      </c>
      <c r="E4" s="47">
        <v>2.0</v>
      </c>
      <c r="F4" s="50">
        <f t="shared" ref="F4:F99" si="1">E4*400</f>
        <v>800</v>
      </c>
      <c r="G4" s="22">
        <f t="shared" ref="G4:G99" si="2">COUNTIF(B:B,B4)</f>
        <v>1</v>
      </c>
      <c r="H4" s="51" t="s">
        <v>20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ht="24.75" customHeight="1">
      <c r="A5" s="55">
        <v>2.0</v>
      </c>
      <c r="B5" s="55">
        <v>1015081.0</v>
      </c>
      <c r="C5" s="48" t="str">
        <f>vlookup(B5,'Crew Data'!C:G,5,0)</f>
        <v>#N/A</v>
      </c>
      <c r="D5" s="49" t="s">
        <v>46</v>
      </c>
      <c r="E5" s="55">
        <v>2.0</v>
      </c>
      <c r="F5" s="50">
        <f t="shared" si="1"/>
        <v>800</v>
      </c>
      <c r="G5" s="22">
        <f t="shared" si="2"/>
        <v>1</v>
      </c>
      <c r="H5" s="51" t="s">
        <v>20</v>
      </c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ht="24.75" customHeight="1">
      <c r="A6" s="55">
        <v>3.0</v>
      </c>
      <c r="B6" s="55">
        <v>1002370.0</v>
      </c>
      <c r="C6" s="48" t="str">
        <f>vlookup(B6,'Crew Data'!C:G,5,0)</f>
        <v>Napaphat Yuktanan</v>
      </c>
      <c r="D6" s="56" t="s">
        <v>1039</v>
      </c>
      <c r="E6" s="55">
        <v>6.0</v>
      </c>
      <c r="F6" s="50">
        <f t="shared" si="1"/>
        <v>2400</v>
      </c>
      <c r="G6" s="22">
        <f t="shared" si="2"/>
        <v>1</v>
      </c>
      <c r="H6" s="51" t="s">
        <v>20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ht="24.75" customHeight="1">
      <c r="A7" s="55">
        <v>4.0</v>
      </c>
      <c r="B7" s="55">
        <v>1005307.0</v>
      </c>
      <c r="C7" s="48" t="str">
        <f>vlookup(B7,'Crew Data'!C:G,5,0)</f>
        <v>Thanattha Machai</v>
      </c>
      <c r="D7" s="56" t="s">
        <v>1040</v>
      </c>
      <c r="E7" s="55">
        <v>2.0</v>
      </c>
      <c r="F7" s="50">
        <f t="shared" si="1"/>
        <v>800</v>
      </c>
      <c r="G7" s="22">
        <f t="shared" si="2"/>
        <v>1</v>
      </c>
      <c r="H7" s="51" t="s">
        <v>20</v>
      </c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ht="24.75" customHeight="1">
      <c r="A8" s="55">
        <v>5.0</v>
      </c>
      <c r="B8" s="55">
        <v>1016229.0</v>
      </c>
      <c r="C8" s="48" t="str">
        <f>vlookup(B8,'Crew Data'!C:G,5,0)</f>
        <v>Sutharat Chimdid</v>
      </c>
      <c r="D8" s="56" t="s">
        <v>37</v>
      </c>
      <c r="E8" s="55">
        <v>2.0</v>
      </c>
      <c r="F8" s="50">
        <f t="shared" si="1"/>
        <v>800</v>
      </c>
      <c r="G8" s="22">
        <f t="shared" si="2"/>
        <v>1</v>
      </c>
      <c r="H8" s="51" t="s">
        <v>20</v>
      </c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ht="24.75" customHeight="1">
      <c r="A9" s="54">
        <v>6.0</v>
      </c>
      <c r="B9" s="55">
        <v>1017655.0</v>
      </c>
      <c r="C9" s="48" t="str">
        <f>vlookup(B9,'Crew Data'!C:G,5,0)</f>
        <v>Waris Suaprasert</v>
      </c>
      <c r="D9" s="56" t="s">
        <v>1041</v>
      </c>
      <c r="E9" s="55">
        <v>2.0</v>
      </c>
      <c r="F9" s="50">
        <f t="shared" si="1"/>
        <v>800</v>
      </c>
      <c r="G9" s="22">
        <f t="shared" si="2"/>
        <v>1</v>
      </c>
      <c r="H9" s="51" t="s">
        <v>20</v>
      </c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ht="24.75" customHeight="1">
      <c r="A10" s="55">
        <v>7.0</v>
      </c>
      <c r="B10" s="55">
        <v>1001615.0</v>
      </c>
      <c r="C10" s="48" t="str">
        <f>vlookup(B10,'Crew Data'!C:G,5,0)</f>
        <v>Sansanee Chittiboonruan</v>
      </c>
      <c r="D10" s="56" t="s">
        <v>1041</v>
      </c>
      <c r="E10" s="55">
        <v>2.0</v>
      </c>
      <c r="F10" s="50">
        <f t="shared" si="1"/>
        <v>800</v>
      </c>
      <c r="G10" s="22">
        <f t="shared" si="2"/>
        <v>1</v>
      </c>
      <c r="H10" s="51" t="s">
        <v>20</v>
      </c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ht="24.75" customHeight="1">
      <c r="A11" s="55">
        <v>8.0</v>
      </c>
      <c r="B11" s="55">
        <v>1019557.0</v>
      </c>
      <c r="C11" s="48" t="str">
        <f>vlookup(B11,'Crew Data'!C:G,5,0)</f>
        <v>Yossavarid Tien</v>
      </c>
      <c r="D11" s="56" t="s">
        <v>1041</v>
      </c>
      <c r="E11" s="55">
        <v>2.0</v>
      </c>
      <c r="F11" s="50">
        <f t="shared" si="1"/>
        <v>800</v>
      </c>
      <c r="G11" s="22">
        <f t="shared" si="2"/>
        <v>1</v>
      </c>
      <c r="H11" s="51" t="s">
        <v>20</v>
      </c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ht="24.75" customHeight="1">
      <c r="A12" s="55">
        <v>9.0</v>
      </c>
      <c r="B12" s="55">
        <v>1003137.0</v>
      </c>
      <c r="C12" s="48" t="str">
        <f>vlookup(B12,'Crew Data'!C:G,5,0)</f>
        <v>Patcharamai Udomphol</v>
      </c>
      <c r="D12" s="56" t="s">
        <v>1040</v>
      </c>
      <c r="E12" s="55">
        <v>2.0</v>
      </c>
      <c r="F12" s="50">
        <f t="shared" si="1"/>
        <v>800</v>
      </c>
      <c r="G12" s="22">
        <f t="shared" si="2"/>
        <v>1</v>
      </c>
      <c r="H12" s="51" t="s">
        <v>20</v>
      </c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ht="24.75" customHeight="1">
      <c r="A13" s="55">
        <v>10.0</v>
      </c>
      <c r="B13" s="55">
        <v>1012362.0</v>
      </c>
      <c r="C13" s="48" t="str">
        <f>vlookup(B13,'Crew Data'!C:G,5,0)</f>
        <v>Patcharagorn Chankhong</v>
      </c>
      <c r="D13" s="56" t="s">
        <v>1042</v>
      </c>
      <c r="E13" s="55">
        <v>2.0</v>
      </c>
      <c r="F13" s="50">
        <f t="shared" si="1"/>
        <v>800</v>
      </c>
      <c r="G13" s="22">
        <f t="shared" si="2"/>
        <v>1</v>
      </c>
      <c r="H13" s="51" t="s">
        <v>20</v>
      </c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ht="24.75" customHeight="1">
      <c r="A14" s="54">
        <v>11.0</v>
      </c>
      <c r="B14" s="55">
        <v>1012898.0</v>
      </c>
      <c r="C14" s="48" t="str">
        <f>vlookup(B14,'Crew Data'!C:G,5,0)</f>
        <v>Paranyu Sukthanakij</v>
      </c>
      <c r="D14" s="56" t="s">
        <v>1043</v>
      </c>
      <c r="E14" s="55">
        <v>8.0</v>
      </c>
      <c r="F14" s="50">
        <f t="shared" si="1"/>
        <v>3200</v>
      </c>
      <c r="G14" s="22">
        <f t="shared" si="2"/>
        <v>1</v>
      </c>
      <c r="H14" s="51" t="s">
        <v>20</v>
      </c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ht="24.75" customHeight="1">
      <c r="A15" s="55">
        <v>12.0</v>
      </c>
      <c r="B15" s="55">
        <v>1012986.0</v>
      </c>
      <c r="C15" s="48" t="str">
        <f>vlookup(B15,'Crew Data'!C:G,5,0)</f>
        <v>#N/A</v>
      </c>
      <c r="D15" s="56" t="s">
        <v>1040</v>
      </c>
      <c r="E15" s="55">
        <v>2.0</v>
      </c>
      <c r="F15" s="50">
        <f t="shared" si="1"/>
        <v>800</v>
      </c>
      <c r="G15" s="22">
        <f t="shared" si="2"/>
        <v>1</v>
      </c>
      <c r="H15" s="51" t="s">
        <v>20</v>
      </c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t="24.75" customHeight="1">
      <c r="A16" s="55">
        <v>13.0</v>
      </c>
      <c r="B16" s="55">
        <v>1010721.0</v>
      </c>
      <c r="C16" s="48" t="str">
        <f>vlookup(B16,'Crew Data'!C:G,5,0)</f>
        <v>Papitchaya Saytasuhat</v>
      </c>
      <c r="D16" s="56" t="s">
        <v>1044</v>
      </c>
      <c r="E16" s="55">
        <v>2.0</v>
      </c>
      <c r="F16" s="50">
        <f t="shared" si="1"/>
        <v>800</v>
      </c>
      <c r="G16" s="22">
        <f t="shared" si="2"/>
        <v>1</v>
      </c>
      <c r="H16" s="51" t="s">
        <v>20</v>
      </c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t="24.75" customHeight="1">
      <c r="A17" s="55">
        <v>14.0</v>
      </c>
      <c r="B17" s="55">
        <v>1006850.0</v>
      </c>
      <c r="C17" s="48" t="str">
        <f>vlookup(B17,'Crew Data'!C:G,5,0)</f>
        <v>Tanapat Srimuang</v>
      </c>
      <c r="D17" s="56" t="s">
        <v>1044</v>
      </c>
      <c r="E17" s="55">
        <v>2.0</v>
      </c>
      <c r="F17" s="50">
        <f t="shared" si="1"/>
        <v>800</v>
      </c>
      <c r="G17" s="22">
        <f t="shared" si="2"/>
        <v>1</v>
      </c>
      <c r="H17" s="51" t="s">
        <v>20</v>
      </c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24.75" customHeight="1">
      <c r="A18" s="55">
        <v>15.0</v>
      </c>
      <c r="B18" s="55">
        <v>1002146.0</v>
      </c>
      <c r="C18" s="48" t="str">
        <f>vlookup(B18,'Crew Data'!C:G,5,0)</f>
        <v>Romrawee Choeikeewong</v>
      </c>
      <c r="D18" s="56" t="s">
        <v>1041</v>
      </c>
      <c r="E18" s="55">
        <v>2.0</v>
      </c>
      <c r="F18" s="50">
        <f t="shared" si="1"/>
        <v>800</v>
      </c>
      <c r="G18" s="22">
        <f t="shared" si="2"/>
        <v>1</v>
      </c>
      <c r="H18" s="51" t="s">
        <v>20</v>
      </c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t="24.75" customHeight="1">
      <c r="A19" s="54">
        <v>16.0</v>
      </c>
      <c r="B19" s="55">
        <v>1010893.0</v>
      </c>
      <c r="C19" s="48" t="str">
        <f>vlookup(B19,'Crew Data'!C:G,5,0)</f>
        <v>#N/A</v>
      </c>
      <c r="D19" s="56" t="s">
        <v>1045</v>
      </c>
      <c r="E19" s="55">
        <v>2.0</v>
      </c>
      <c r="F19" s="50">
        <f t="shared" si="1"/>
        <v>800</v>
      </c>
      <c r="G19" s="22">
        <f t="shared" si="2"/>
        <v>1</v>
      </c>
      <c r="H19" s="51" t="s">
        <v>20</v>
      </c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ht="24.75" customHeight="1">
      <c r="A20" s="55">
        <v>17.0</v>
      </c>
      <c r="B20" s="55">
        <v>1011502.0</v>
      </c>
      <c r="C20" s="48" t="str">
        <f>vlookup(B20,'Crew Data'!C:G,5,0)</f>
        <v>Kritskorn Kathinthong</v>
      </c>
      <c r="D20" s="56" t="s">
        <v>1046</v>
      </c>
      <c r="E20" s="55">
        <v>4.0</v>
      </c>
      <c r="F20" s="50">
        <f t="shared" si="1"/>
        <v>1600</v>
      </c>
      <c r="G20" s="22">
        <f t="shared" si="2"/>
        <v>1</v>
      </c>
      <c r="H20" s="51" t="s">
        <v>20</v>
      </c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24.75" customHeight="1">
      <c r="A21" s="55">
        <v>18.0</v>
      </c>
      <c r="B21" s="55">
        <v>1000732.0</v>
      </c>
      <c r="C21" s="48" t="str">
        <f>vlookup(B21,'Crew Data'!C:G,5,0)</f>
        <v>Inthra Mathiang</v>
      </c>
      <c r="D21" s="56" t="s">
        <v>1047</v>
      </c>
      <c r="E21" s="55">
        <v>4.0</v>
      </c>
      <c r="F21" s="50">
        <f t="shared" si="1"/>
        <v>1600</v>
      </c>
      <c r="G21" s="22">
        <f t="shared" si="2"/>
        <v>1</v>
      </c>
      <c r="H21" s="51" t="s">
        <v>20</v>
      </c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24.75" customHeight="1">
      <c r="A22" s="55">
        <v>19.0</v>
      </c>
      <c r="B22" s="55">
        <v>1017644.0</v>
      </c>
      <c r="C22" s="48" t="str">
        <f>vlookup(B22,'Crew Data'!C:G,5,0)</f>
        <v>Natthaphon Kattachan</v>
      </c>
      <c r="D22" s="56" t="s">
        <v>1048</v>
      </c>
      <c r="E22" s="55">
        <v>2.0</v>
      </c>
      <c r="F22" s="50">
        <f t="shared" si="1"/>
        <v>800</v>
      </c>
      <c r="G22" s="22">
        <f t="shared" si="2"/>
        <v>1</v>
      </c>
      <c r="H22" s="51" t="s">
        <v>20</v>
      </c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24.75" customHeight="1">
      <c r="A23" s="55">
        <v>20.0</v>
      </c>
      <c r="B23" s="55">
        <v>1000539.0</v>
      </c>
      <c r="C23" s="48" t="str">
        <f>vlookup(B23,'Crew Data'!C:G,5,0)</f>
        <v>Nuttakarn Sirasarun</v>
      </c>
      <c r="D23" s="56" t="s">
        <v>1049</v>
      </c>
      <c r="E23" s="55">
        <v>2.0</v>
      </c>
      <c r="F23" s="50">
        <f t="shared" si="1"/>
        <v>800</v>
      </c>
      <c r="G23" s="22">
        <f t="shared" si="2"/>
        <v>1</v>
      </c>
      <c r="H23" s="51" t="s">
        <v>20</v>
      </c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24.75" customHeight="1">
      <c r="A24" s="54">
        <v>21.0</v>
      </c>
      <c r="B24" s="55">
        <v>1010926.0</v>
      </c>
      <c r="C24" s="48" t="str">
        <f>vlookup(B24,'Crew Data'!C:G,5,0)</f>
        <v>Thanchanoth Chiwnarupai</v>
      </c>
      <c r="D24" s="56" t="s">
        <v>1045</v>
      </c>
      <c r="E24" s="55">
        <v>2.0</v>
      </c>
      <c r="F24" s="50">
        <f t="shared" si="1"/>
        <v>800</v>
      </c>
      <c r="G24" s="22">
        <f t="shared" si="2"/>
        <v>1</v>
      </c>
      <c r="H24" s="51" t="s">
        <v>20</v>
      </c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24.75" customHeight="1">
      <c r="A25" s="55">
        <v>22.0</v>
      </c>
      <c r="B25" s="55">
        <v>1019199.0</v>
      </c>
      <c r="C25" s="48" t="str">
        <f>vlookup(B25,'Crew Data'!C:G,5,0)</f>
        <v>Nutpawee Thawanthalerngrit</v>
      </c>
      <c r="D25" s="56" t="s">
        <v>1049</v>
      </c>
      <c r="E25" s="55">
        <v>2.0</v>
      </c>
      <c r="F25" s="50">
        <f t="shared" si="1"/>
        <v>800</v>
      </c>
      <c r="G25" s="22">
        <f t="shared" si="2"/>
        <v>1</v>
      </c>
      <c r="H25" s="51" t="s">
        <v>20</v>
      </c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24.75" customHeight="1">
      <c r="A26" s="55">
        <v>23.0</v>
      </c>
      <c r="B26" s="55">
        <v>1007014.0</v>
      </c>
      <c r="C26" s="48" t="str">
        <f>vlookup(B26,'Crew Data'!C:G,5,0)</f>
        <v>Piyanut Nainet</v>
      </c>
      <c r="D26" s="56" t="s">
        <v>1050</v>
      </c>
      <c r="E26" s="55">
        <v>2.0</v>
      </c>
      <c r="F26" s="50">
        <f t="shared" si="1"/>
        <v>800</v>
      </c>
      <c r="G26" s="22">
        <f t="shared" si="2"/>
        <v>1</v>
      </c>
      <c r="H26" s="51" t="s">
        <v>20</v>
      </c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24.75" customHeight="1">
      <c r="A27" s="55">
        <v>24.0</v>
      </c>
      <c r="B27" s="55">
        <v>1011513.0</v>
      </c>
      <c r="C27" s="48" t="str">
        <f>vlookup(B27,'Crew Data'!C:G,5,0)</f>
        <v>Rawitnat Marayat</v>
      </c>
      <c r="D27" s="56" t="s">
        <v>1051</v>
      </c>
      <c r="E27" s="55">
        <v>2.0</v>
      </c>
      <c r="F27" s="50">
        <f t="shared" si="1"/>
        <v>800</v>
      </c>
      <c r="G27" s="22">
        <f t="shared" si="2"/>
        <v>1</v>
      </c>
      <c r="H27" s="51" t="s">
        <v>20</v>
      </c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24.75" customHeight="1">
      <c r="A28" s="55">
        <v>25.0</v>
      </c>
      <c r="B28" s="55">
        <v>1011510.0</v>
      </c>
      <c r="C28" s="48" t="str">
        <f>vlookup(B28,'Crew Data'!C:G,5,0)</f>
        <v>Nitinai Chalongtrakul</v>
      </c>
      <c r="D28" s="56" t="s">
        <v>1052</v>
      </c>
      <c r="E28" s="55">
        <v>2.0</v>
      </c>
      <c r="F28" s="50">
        <f t="shared" si="1"/>
        <v>800</v>
      </c>
      <c r="G28" s="22">
        <f t="shared" si="2"/>
        <v>1</v>
      </c>
      <c r="H28" s="51" t="s">
        <v>20</v>
      </c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24.75" customHeight="1">
      <c r="A29" s="54">
        <v>26.0</v>
      </c>
      <c r="B29" s="55">
        <v>1012989.0</v>
      </c>
      <c r="C29" s="48" t="str">
        <f>vlookup(B29,'Crew Data'!C:G,5,0)</f>
        <v>Kitibodee Harnkunthamart</v>
      </c>
      <c r="D29" s="56" t="s">
        <v>1052</v>
      </c>
      <c r="E29" s="55">
        <v>2.0</v>
      </c>
      <c r="F29" s="50">
        <f t="shared" si="1"/>
        <v>800</v>
      </c>
      <c r="G29" s="22">
        <f t="shared" si="2"/>
        <v>1</v>
      </c>
      <c r="H29" s="51" t="s">
        <v>20</v>
      </c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24.75" customHeight="1">
      <c r="A30" s="55">
        <v>27.0</v>
      </c>
      <c r="B30" s="55">
        <v>1015412.0</v>
      </c>
      <c r="C30" s="48" t="str">
        <f>vlookup(B30,'Crew Data'!C:G,5,0)</f>
        <v>Sitthiphath Ratanaborvornsethi</v>
      </c>
      <c r="D30" s="56" t="s">
        <v>1051</v>
      </c>
      <c r="E30" s="55">
        <v>2.0</v>
      </c>
      <c r="F30" s="50">
        <f t="shared" si="1"/>
        <v>800</v>
      </c>
      <c r="G30" s="22">
        <f t="shared" si="2"/>
        <v>1</v>
      </c>
      <c r="H30" s="51" t="s">
        <v>20</v>
      </c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24.75" customHeight="1">
      <c r="A31" s="55">
        <v>28.0</v>
      </c>
      <c r="B31" s="55">
        <v>1006846.0</v>
      </c>
      <c r="C31" s="48" t="str">
        <f>vlookup(B31,'Crew Data'!C:G,5,0)</f>
        <v>Sasikarn Khampan</v>
      </c>
      <c r="D31" s="56" t="s">
        <v>75</v>
      </c>
      <c r="E31" s="55">
        <v>2.0</v>
      </c>
      <c r="F31" s="50">
        <f t="shared" si="1"/>
        <v>800</v>
      </c>
      <c r="G31" s="22">
        <f t="shared" si="2"/>
        <v>1</v>
      </c>
      <c r="H31" s="51" t="s">
        <v>20</v>
      </c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24.75" customHeight="1">
      <c r="A32" s="55">
        <v>29.0</v>
      </c>
      <c r="B32" s="55">
        <v>1007009.0</v>
      </c>
      <c r="C32" s="48" t="str">
        <f>vlookup(B32,'Crew Data'!C:G,5,0)</f>
        <v>Busayarat Pongratanakul</v>
      </c>
      <c r="D32" s="56" t="s">
        <v>1053</v>
      </c>
      <c r="E32" s="55">
        <v>2.0</v>
      </c>
      <c r="F32" s="50">
        <f t="shared" si="1"/>
        <v>800</v>
      </c>
      <c r="G32" s="22">
        <f t="shared" si="2"/>
        <v>1</v>
      </c>
      <c r="H32" s="51" t="s">
        <v>20</v>
      </c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t="24.75" customHeight="1">
      <c r="A33" s="55">
        <v>30.0</v>
      </c>
      <c r="B33" s="55">
        <v>1011306.0</v>
      </c>
      <c r="C33" s="48" t="str">
        <f>vlookup(B33,'Crew Data'!C:G,5,0)</f>
        <v>Kanthanuch Boonlor</v>
      </c>
      <c r="D33" s="56" t="s">
        <v>1054</v>
      </c>
      <c r="E33" s="55">
        <v>2.0</v>
      </c>
      <c r="F33" s="50">
        <f t="shared" si="1"/>
        <v>800</v>
      </c>
      <c r="G33" s="22">
        <f t="shared" si="2"/>
        <v>1</v>
      </c>
      <c r="H33" s="51" t="s">
        <v>20</v>
      </c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24.75" customHeight="1">
      <c r="A34" s="54">
        <v>31.0</v>
      </c>
      <c r="B34" s="55">
        <v>1011515.0</v>
      </c>
      <c r="C34" s="48" t="str">
        <f>vlookup(B34,'Crew Data'!C:G,5,0)</f>
        <v>Sopark Phosiri</v>
      </c>
      <c r="D34" s="56" t="s">
        <v>1055</v>
      </c>
      <c r="E34" s="55">
        <v>2.0</v>
      </c>
      <c r="F34" s="50">
        <f t="shared" si="1"/>
        <v>800</v>
      </c>
      <c r="G34" s="22">
        <f t="shared" si="2"/>
        <v>1</v>
      </c>
      <c r="H34" s="51" t="s">
        <v>20</v>
      </c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ht="24.75" customHeight="1">
      <c r="A35" s="55">
        <v>32.0</v>
      </c>
      <c r="B35" s="55">
        <v>1002984.0</v>
      </c>
      <c r="C35" s="48" t="str">
        <f>vlookup(B35,'Crew Data'!C:G,5,0)</f>
        <v>Praepailin Luckanatin</v>
      </c>
      <c r="D35" s="56" t="s">
        <v>100</v>
      </c>
      <c r="E35" s="55">
        <v>2.0</v>
      </c>
      <c r="F35" s="50">
        <f t="shared" si="1"/>
        <v>800</v>
      </c>
      <c r="G35" s="22">
        <f t="shared" si="2"/>
        <v>1</v>
      </c>
      <c r="H35" s="51" t="s">
        <v>20</v>
      </c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ht="24.75" customHeight="1">
      <c r="A36" s="55">
        <v>33.0</v>
      </c>
      <c r="B36" s="55">
        <v>1013023.0</v>
      </c>
      <c r="C36" s="48" t="str">
        <f>vlookup(B36,'Crew Data'!C:G,5,0)</f>
        <v>Pinyapat Methawatthanasin</v>
      </c>
      <c r="D36" s="56" t="s">
        <v>1052</v>
      </c>
      <c r="E36" s="55">
        <v>2.0</v>
      </c>
      <c r="F36" s="50">
        <f t="shared" si="1"/>
        <v>800</v>
      </c>
      <c r="G36" s="22">
        <f t="shared" si="2"/>
        <v>1</v>
      </c>
      <c r="H36" s="51" t="s">
        <v>20</v>
      </c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ht="24.75" customHeight="1">
      <c r="A37" s="55">
        <v>34.0</v>
      </c>
      <c r="B37" s="55">
        <v>1004502.0</v>
      </c>
      <c r="C37" s="48" t="str">
        <f>vlookup(B37,'Crew Data'!C:G,5,0)</f>
        <v>Pichaya Kristisiri</v>
      </c>
      <c r="D37" s="56" t="s">
        <v>100</v>
      </c>
      <c r="E37" s="55">
        <v>2.0</v>
      </c>
      <c r="F37" s="50">
        <f t="shared" si="1"/>
        <v>800</v>
      </c>
      <c r="G37" s="22">
        <f t="shared" si="2"/>
        <v>1</v>
      </c>
      <c r="H37" s="51" t="s">
        <v>20</v>
      </c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t="24.75" customHeight="1">
      <c r="A38" s="55">
        <v>35.0</v>
      </c>
      <c r="B38" s="55">
        <v>1006742.0</v>
      </c>
      <c r="C38" s="48" t="str">
        <f>vlookup(B38,'Crew Data'!C:G,5,0)</f>
        <v>Korakoch Charoenying</v>
      </c>
      <c r="D38" s="56" t="s">
        <v>1045</v>
      </c>
      <c r="E38" s="55">
        <v>2.0</v>
      </c>
      <c r="F38" s="50">
        <f t="shared" si="1"/>
        <v>800</v>
      </c>
      <c r="G38" s="22">
        <f t="shared" si="2"/>
        <v>1</v>
      </c>
      <c r="H38" s="51" t="s">
        <v>20</v>
      </c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t="24.75" customHeight="1">
      <c r="A39" s="54">
        <v>36.0</v>
      </c>
      <c r="B39" s="55">
        <v>1003302.0</v>
      </c>
      <c r="C39" s="48" t="str">
        <f>vlookup(B39,'Crew Data'!C:G,5,0)</f>
        <v>Panwad Thongkham</v>
      </c>
      <c r="D39" s="56" t="s">
        <v>75</v>
      </c>
      <c r="E39" s="55">
        <v>2.0</v>
      </c>
      <c r="F39" s="50">
        <f t="shared" si="1"/>
        <v>800</v>
      </c>
      <c r="G39" s="22">
        <f t="shared" si="2"/>
        <v>1</v>
      </c>
      <c r="H39" s="51" t="s">
        <v>20</v>
      </c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ht="24.75" customHeight="1">
      <c r="A40" s="55">
        <v>37.0</v>
      </c>
      <c r="B40" s="55">
        <v>1011517.0</v>
      </c>
      <c r="C40" s="249" t="s">
        <v>1056</v>
      </c>
      <c r="D40" s="56" t="s">
        <v>1057</v>
      </c>
      <c r="E40" s="55">
        <v>6.0</v>
      </c>
      <c r="F40" s="50">
        <f t="shared" si="1"/>
        <v>2400</v>
      </c>
      <c r="G40" s="22">
        <f t="shared" si="2"/>
        <v>1</v>
      </c>
      <c r="H40" s="51" t="s">
        <v>20</v>
      </c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ht="24.75" customHeight="1">
      <c r="A41" s="55">
        <v>38.0</v>
      </c>
      <c r="B41" s="55">
        <v>1011071.0</v>
      </c>
      <c r="C41" s="48" t="str">
        <f>vlookup(B41,'Crew Data'!C:G,5,0)</f>
        <v>Puttinee Satjapanpong </v>
      </c>
      <c r="D41" s="56" t="s">
        <v>1058</v>
      </c>
      <c r="E41" s="55">
        <v>2.0</v>
      </c>
      <c r="F41" s="50">
        <f t="shared" si="1"/>
        <v>800</v>
      </c>
      <c r="G41" s="22">
        <f t="shared" si="2"/>
        <v>1</v>
      </c>
      <c r="H41" s="51" t="s">
        <v>20</v>
      </c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ht="24.75" customHeight="1">
      <c r="A42" s="55">
        <v>39.0</v>
      </c>
      <c r="B42" s="55">
        <v>1018807.0</v>
      </c>
      <c r="C42" s="48" t="str">
        <f>vlookup(B42,'Crew Data'!C:G,5,0)</f>
        <v>Prapassorn Soonsorn</v>
      </c>
      <c r="D42" s="56" t="s">
        <v>1050</v>
      </c>
      <c r="E42" s="55">
        <v>2.0</v>
      </c>
      <c r="F42" s="50">
        <f t="shared" si="1"/>
        <v>800</v>
      </c>
      <c r="G42" s="22">
        <f t="shared" si="2"/>
        <v>1</v>
      </c>
      <c r="H42" s="51" t="s">
        <v>20</v>
      </c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ht="24.75" customHeight="1">
      <c r="A43" s="55">
        <v>40.0</v>
      </c>
      <c r="B43" s="55">
        <v>1011501.0</v>
      </c>
      <c r="C43" s="48" t="str">
        <f>vlookup(B43,'Crew Data'!C:G,5,0)</f>
        <v>Jinbulla Pranom</v>
      </c>
      <c r="D43" s="56" t="s">
        <v>1055</v>
      </c>
      <c r="E43" s="55">
        <v>2.0</v>
      </c>
      <c r="F43" s="50">
        <f t="shared" si="1"/>
        <v>800</v>
      </c>
      <c r="G43" s="22">
        <f t="shared" si="2"/>
        <v>1</v>
      </c>
      <c r="H43" s="51" t="s">
        <v>20</v>
      </c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ht="24.75" customHeight="1">
      <c r="A44" s="54">
        <v>41.0</v>
      </c>
      <c r="B44" s="55">
        <v>1010916.0</v>
      </c>
      <c r="C44" s="48" t="str">
        <f>vlookup(B44,'Crew Data'!C:G,5,0)</f>
        <v>Sivakorn Sangsukiam</v>
      </c>
      <c r="D44" s="56" t="s">
        <v>1055</v>
      </c>
      <c r="E44" s="55">
        <v>2.0</v>
      </c>
      <c r="F44" s="50">
        <f t="shared" si="1"/>
        <v>800</v>
      </c>
      <c r="G44" s="22">
        <f t="shared" si="2"/>
        <v>1</v>
      </c>
      <c r="H44" s="51" t="s">
        <v>20</v>
      </c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ht="24.75" customHeight="1">
      <c r="A45" s="55">
        <v>42.0</v>
      </c>
      <c r="B45" s="55">
        <v>1018791.0</v>
      </c>
      <c r="C45" s="48" t="str">
        <f>vlookup(B45,'Crew Data'!C:G,5,0)</f>
        <v>Kitdanai Tiantanawit</v>
      </c>
      <c r="D45" s="56" t="s">
        <v>1053</v>
      </c>
      <c r="E45" s="55">
        <v>2.0</v>
      </c>
      <c r="F45" s="50">
        <f t="shared" si="1"/>
        <v>800</v>
      </c>
      <c r="G45" s="22">
        <f t="shared" si="2"/>
        <v>1</v>
      </c>
      <c r="H45" s="51" t="s">
        <v>20</v>
      </c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ht="24.75" customHeight="1">
      <c r="A46" s="55">
        <v>43.0</v>
      </c>
      <c r="B46" s="55">
        <v>1007418.0</v>
      </c>
      <c r="C46" s="48" t="str">
        <f>vlookup(B46,'Crew Data'!C:G,5,0)</f>
        <v>Nattaphat Boonprasit</v>
      </c>
      <c r="D46" s="56" t="s">
        <v>1059</v>
      </c>
      <c r="E46" s="55">
        <v>4.0</v>
      </c>
      <c r="F46" s="50">
        <f t="shared" si="1"/>
        <v>1600</v>
      </c>
      <c r="G46" s="22">
        <f t="shared" si="2"/>
        <v>1</v>
      </c>
      <c r="H46" s="51" t="s">
        <v>20</v>
      </c>
      <c r="J46" s="6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ht="24.75" customHeight="1">
      <c r="A47" s="55">
        <v>44.0</v>
      </c>
      <c r="B47" s="55">
        <v>1019204.0</v>
      </c>
      <c r="C47" s="48" t="str">
        <f>vlookup(B47,'Crew Data'!C:G,5,0)</f>
        <v>Pawika Mingmanee</v>
      </c>
      <c r="D47" s="56" t="s">
        <v>1049</v>
      </c>
      <c r="E47" s="55">
        <v>2.0</v>
      </c>
      <c r="F47" s="50">
        <f t="shared" si="1"/>
        <v>800</v>
      </c>
      <c r="G47" s="22">
        <f t="shared" si="2"/>
        <v>1</v>
      </c>
      <c r="H47" s="51" t="s">
        <v>20</v>
      </c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ht="24.75" customHeight="1">
      <c r="A48" s="55">
        <v>45.0</v>
      </c>
      <c r="B48" s="55">
        <v>1017647.0</v>
      </c>
      <c r="C48" s="48" t="str">
        <f>vlookup(B48,'Crew Data'!C:G,5,0)</f>
        <v>Papopvit Pungposop</v>
      </c>
      <c r="D48" s="56" t="s">
        <v>1060</v>
      </c>
      <c r="E48" s="55">
        <v>2.0</v>
      </c>
      <c r="F48" s="50">
        <f t="shared" si="1"/>
        <v>800</v>
      </c>
      <c r="G48" s="22">
        <f t="shared" si="2"/>
        <v>1</v>
      </c>
      <c r="H48" s="51" t="s">
        <v>20</v>
      </c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ht="24.75" customHeight="1">
      <c r="A49" s="54">
        <v>46.0</v>
      </c>
      <c r="B49" s="55">
        <v>1004292.0</v>
      </c>
      <c r="C49" s="48" t="str">
        <f>vlookup(B49,'Crew Data'!C:G,5,0)</f>
        <v>Darunee Anumat</v>
      </c>
      <c r="D49" s="56" t="s">
        <v>1061</v>
      </c>
      <c r="E49" s="55">
        <v>2.0</v>
      </c>
      <c r="F49" s="50">
        <f t="shared" si="1"/>
        <v>800</v>
      </c>
      <c r="G49" s="22">
        <f t="shared" si="2"/>
        <v>1</v>
      </c>
      <c r="H49" s="51" t="s">
        <v>20</v>
      </c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ht="24.75" customHeight="1">
      <c r="A50" s="55">
        <v>47.0</v>
      </c>
      <c r="B50" s="55">
        <v>1019295.0</v>
      </c>
      <c r="C50" s="48" t="str">
        <f>vlookup(B50,'Crew Data'!C:G,5,0)</f>
        <v>Methawee Yos-in</v>
      </c>
      <c r="D50" s="56" t="s">
        <v>165</v>
      </c>
      <c r="E50" s="55">
        <v>2.0</v>
      </c>
      <c r="F50" s="50">
        <f t="shared" si="1"/>
        <v>800</v>
      </c>
      <c r="G50" s="22">
        <f t="shared" si="2"/>
        <v>1</v>
      </c>
      <c r="H50" s="51" t="s">
        <v>20</v>
      </c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ht="24.75" customHeight="1">
      <c r="A51" s="55">
        <v>48.0</v>
      </c>
      <c r="B51" s="55">
        <v>1004298.0</v>
      </c>
      <c r="C51" s="48" t="str">
        <f>vlookup(B51,'Crew Data'!C:G,5,0)</f>
        <v>Teerapat Kasemphongsakorn</v>
      </c>
      <c r="D51" s="56" t="s">
        <v>1060</v>
      </c>
      <c r="E51" s="55">
        <v>2.0</v>
      </c>
      <c r="F51" s="50">
        <f t="shared" si="1"/>
        <v>800</v>
      </c>
      <c r="G51" s="22">
        <f t="shared" si="2"/>
        <v>1</v>
      </c>
      <c r="H51" s="51" t="s">
        <v>20</v>
      </c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ht="24.75" customHeight="1">
      <c r="A52" s="55">
        <v>49.0</v>
      </c>
      <c r="B52" s="55">
        <v>1022662.0</v>
      </c>
      <c r="C52" s="48" t="str">
        <f>vlookup(B52,'Crew Data'!C:G,5,0)</f>
        <v>Wachiraporn Songkram</v>
      </c>
      <c r="D52" s="56" t="s">
        <v>1062</v>
      </c>
      <c r="E52" s="55">
        <v>2.0</v>
      </c>
      <c r="F52" s="50">
        <f t="shared" si="1"/>
        <v>800</v>
      </c>
      <c r="G52" s="22">
        <f t="shared" si="2"/>
        <v>1</v>
      </c>
      <c r="H52" s="51" t="s">
        <v>20</v>
      </c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ht="24.75" customHeight="1">
      <c r="A53" s="55">
        <v>50.0</v>
      </c>
      <c r="B53" s="55">
        <v>1022666.0</v>
      </c>
      <c r="C53" s="48" t="str">
        <f>vlookup(B53,'Crew Data'!C:G,5,0)</f>
        <v>Suchanart Thongsongsom</v>
      </c>
      <c r="D53" s="56" t="s">
        <v>1063</v>
      </c>
      <c r="E53" s="55">
        <v>4.0</v>
      </c>
      <c r="F53" s="50">
        <f t="shared" si="1"/>
        <v>1600</v>
      </c>
      <c r="G53" s="22">
        <f t="shared" si="2"/>
        <v>1</v>
      </c>
      <c r="H53" s="51" t="s">
        <v>20</v>
      </c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ht="24.75" customHeight="1">
      <c r="A54" s="54">
        <v>51.0</v>
      </c>
      <c r="B54" s="55">
        <v>1003386.0</v>
      </c>
      <c r="C54" s="48" t="str">
        <f>vlookup(B54,'Crew Data'!C:G,5,0)</f>
        <v>#N/A</v>
      </c>
      <c r="D54" s="56" t="s">
        <v>1064</v>
      </c>
      <c r="E54" s="55">
        <v>2.0</v>
      </c>
      <c r="F54" s="50">
        <f t="shared" si="1"/>
        <v>800</v>
      </c>
      <c r="G54" s="22">
        <f t="shared" si="2"/>
        <v>1</v>
      </c>
      <c r="H54" s="51" t="s">
        <v>20</v>
      </c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ht="24.75" customHeight="1">
      <c r="A55" s="55">
        <v>52.0</v>
      </c>
      <c r="B55" s="55">
        <v>1007017.0</v>
      </c>
      <c r="C55" s="48" t="str">
        <f>vlookup(B55,'Crew Data'!C:G,5,0)</f>
        <v>#N/A</v>
      </c>
      <c r="D55" s="56" t="s">
        <v>1065</v>
      </c>
      <c r="E55" s="55">
        <v>4.0</v>
      </c>
      <c r="F55" s="50">
        <f t="shared" si="1"/>
        <v>1600</v>
      </c>
      <c r="G55" s="22">
        <f t="shared" si="2"/>
        <v>1</v>
      </c>
      <c r="H55" s="51" t="s">
        <v>20</v>
      </c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ht="24.75" customHeight="1">
      <c r="A56" s="55">
        <v>53.0</v>
      </c>
      <c r="B56" s="55">
        <v>1005741.0</v>
      </c>
      <c r="C56" s="48" t="str">
        <f>vlookup(B56,'Crew Data'!C:G,5,0)</f>
        <v>Chanyawat Ruchiratheekhakul</v>
      </c>
      <c r="D56" s="56" t="s">
        <v>1064</v>
      </c>
      <c r="E56" s="55">
        <v>2.0</v>
      </c>
      <c r="F56" s="50">
        <f t="shared" si="1"/>
        <v>800</v>
      </c>
      <c r="G56" s="22">
        <f t="shared" si="2"/>
        <v>1</v>
      </c>
      <c r="H56" s="51" t="s">
        <v>20</v>
      </c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ht="24.75" customHeight="1">
      <c r="A57" s="55">
        <v>54.0</v>
      </c>
      <c r="B57" s="55">
        <v>1012904.0</v>
      </c>
      <c r="C57" s="48" t="str">
        <f>vlookup(B57,'Crew Data'!C:G,5,0)</f>
        <v>Suteerapong Sawangwong</v>
      </c>
      <c r="D57" s="56" t="s">
        <v>1066</v>
      </c>
      <c r="E57" s="55">
        <v>2.0</v>
      </c>
      <c r="F57" s="50">
        <f t="shared" si="1"/>
        <v>800</v>
      </c>
      <c r="G57" s="22">
        <f t="shared" si="2"/>
        <v>1</v>
      </c>
      <c r="H57" s="51" t="s">
        <v>20</v>
      </c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ht="24.75" customHeight="1">
      <c r="A58" s="55">
        <v>55.0</v>
      </c>
      <c r="B58" s="55">
        <v>1022223.0</v>
      </c>
      <c r="C58" s="48" t="str">
        <f>vlookup(B58,'Crew Data'!C:G,5,0)</f>
        <v>Nantapak Benjasiriporn</v>
      </c>
      <c r="D58" s="56" t="s">
        <v>1067</v>
      </c>
      <c r="E58" s="55">
        <v>2.0</v>
      </c>
      <c r="F58" s="50">
        <f t="shared" si="1"/>
        <v>800</v>
      </c>
      <c r="G58" s="22">
        <f t="shared" si="2"/>
        <v>1</v>
      </c>
      <c r="H58" s="51" t="s">
        <v>20</v>
      </c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ht="24.75" customHeight="1">
      <c r="A59" s="54">
        <v>56.0</v>
      </c>
      <c r="B59" s="55">
        <v>1005953.0</v>
      </c>
      <c r="C59" s="48" t="str">
        <f>vlookup(B59,'Crew Data'!C:G,5,0)</f>
        <v>Pinchapitch Pinchachartanant</v>
      </c>
      <c r="D59" s="56" t="s">
        <v>1067</v>
      </c>
      <c r="E59" s="55">
        <v>2.0</v>
      </c>
      <c r="F59" s="50">
        <f t="shared" si="1"/>
        <v>800</v>
      </c>
      <c r="G59" s="22">
        <f t="shared" si="2"/>
        <v>1</v>
      </c>
      <c r="H59" s="51" t="s">
        <v>20</v>
      </c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ht="24.75" customHeight="1">
      <c r="A60" s="55">
        <v>57.0</v>
      </c>
      <c r="B60" s="55">
        <v>1007207.0</v>
      </c>
      <c r="C60" s="48" t="str">
        <f>vlookup(B60,'Crew Data'!C:G,5,0)</f>
        <v>Sasiwan Nakate</v>
      </c>
      <c r="D60" s="56" t="s">
        <v>1064</v>
      </c>
      <c r="E60" s="55">
        <v>2.0</v>
      </c>
      <c r="F60" s="50">
        <f t="shared" si="1"/>
        <v>800</v>
      </c>
      <c r="G60" s="22">
        <f t="shared" si="2"/>
        <v>1</v>
      </c>
      <c r="H60" s="51" t="s">
        <v>20</v>
      </c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ht="24.75" customHeight="1">
      <c r="A61" s="55">
        <v>58.0</v>
      </c>
      <c r="B61" s="55">
        <v>1017639.0</v>
      </c>
      <c r="C61" s="48" t="str">
        <f>vlookup(B61,'Crew Data'!C:G,5,0)</f>
        <v>Dhanupol Sagulsukhmongkol</v>
      </c>
      <c r="D61" s="56" t="s">
        <v>1064</v>
      </c>
      <c r="E61" s="55">
        <v>2.0</v>
      </c>
      <c r="F61" s="50">
        <f t="shared" si="1"/>
        <v>800</v>
      </c>
      <c r="G61" s="22">
        <f t="shared" si="2"/>
        <v>1</v>
      </c>
      <c r="H61" s="51" t="s">
        <v>20</v>
      </c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ht="24.75" customHeight="1">
      <c r="A62" s="55">
        <v>59.0</v>
      </c>
      <c r="B62" s="55">
        <v>1012370.0</v>
      </c>
      <c r="C62" s="48" t="str">
        <f>vlookup(B62,'Crew Data'!C:G,5,0)</f>
        <v>Thanapiphat Kasempitirat</v>
      </c>
      <c r="D62" s="56" t="s">
        <v>100</v>
      </c>
      <c r="E62" s="55">
        <v>2.0</v>
      </c>
      <c r="F62" s="50">
        <f t="shared" si="1"/>
        <v>800</v>
      </c>
      <c r="G62" s="22">
        <f t="shared" si="2"/>
        <v>1</v>
      </c>
      <c r="H62" s="51" t="s">
        <v>20</v>
      </c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ht="24.75" customHeight="1">
      <c r="A63" s="55">
        <v>60.0</v>
      </c>
      <c r="B63" s="55">
        <v>1006855.0</v>
      </c>
      <c r="C63" s="48" t="str">
        <f>vlookup(B63,'Crew Data'!C:G,5,0)</f>
        <v>Theeraphon Porisutkun</v>
      </c>
      <c r="D63" s="56" t="s">
        <v>1068</v>
      </c>
      <c r="E63" s="55">
        <v>2.0</v>
      </c>
      <c r="F63" s="50">
        <f t="shared" si="1"/>
        <v>800</v>
      </c>
      <c r="G63" s="22">
        <f t="shared" si="2"/>
        <v>1</v>
      </c>
      <c r="H63" s="51" t="s">
        <v>20</v>
      </c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ht="24.75" customHeight="1">
      <c r="A64" s="54">
        <v>61.0</v>
      </c>
      <c r="B64" s="55">
        <v>1007270.0</v>
      </c>
      <c r="C64" s="48" t="str">
        <f>vlookup(B64,'Crew Data'!C:G,5,0)</f>
        <v>Radarom Sunakorn</v>
      </c>
      <c r="D64" s="56" t="s">
        <v>1069</v>
      </c>
      <c r="E64" s="55">
        <v>2.0</v>
      </c>
      <c r="F64" s="50">
        <f t="shared" si="1"/>
        <v>800</v>
      </c>
      <c r="G64" s="22">
        <f t="shared" si="2"/>
        <v>1</v>
      </c>
      <c r="H64" s="51" t="s">
        <v>20</v>
      </c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ht="24.75" customHeight="1">
      <c r="A65" s="55">
        <v>62.0</v>
      </c>
      <c r="B65" s="55">
        <v>1005288.0</v>
      </c>
      <c r="C65" s="48" t="str">
        <f>vlookup(B65,'Crew Data'!C:G,5,0)</f>
        <v>Thidarat Potarin</v>
      </c>
      <c r="D65" s="56" t="s">
        <v>1069</v>
      </c>
      <c r="E65" s="55">
        <v>2.0</v>
      </c>
      <c r="F65" s="50">
        <f t="shared" si="1"/>
        <v>800</v>
      </c>
      <c r="G65" s="22">
        <f t="shared" si="2"/>
        <v>1</v>
      </c>
      <c r="H65" s="51" t="s">
        <v>20</v>
      </c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ht="24.75" customHeight="1">
      <c r="A66" s="55">
        <v>63.0</v>
      </c>
      <c r="B66" s="55">
        <v>1007339.0</v>
      </c>
      <c r="C66" s="48" t="str">
        <f>vlookup(B66,'Crew Data'!C:G,5,0)</f>
        <v>Chanicha Songkrit</v>
      </c>
      <c r="D66" s="56" t="s">
        <v>1061</v>
      </c>
      <c r="E66" s="55">
        <v>2.0</v>
      </c>
      <c r="F66" s="50">
        <f t="shared" si="1"/>
        <v>800</v>
      </c>
      <c r="G66" s="22">
        <f t="shared" si="2"/>
        <v>1</v>
      </c>
      <c r="H66" s="51" t="s">
        <v>20</v>
      </c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ht="24.75" customHeight="1">
      <c r="A67" s="55">
        <v>64.0</v>
      </c>
      <c r="B67" s="55">
        <v>1005304.0</v>
      </c>
      <c r="C67" s="48" t="str">
        <f>vlookup(B67,'Crew Data'!C:G,5,0)</f>
        <v>Pongpon Buasalee</v>
      </c>
      <c r="D67" s="56" t="s">
        <v>1066</v>
      </c>
      <c r="E67" s="55">
        <v>2.0</v>
      </c>
      <c r="F67" s="50">
        <f t="shared" si="1"/>
        <v>800</v>
      </c>
      <c r="G67" s="22">
        <f t="shared" si="2"/>
        <v>1</v>
      </c>
      <c r="H67" s="51" t="s">
        <v>20</v>
      </c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ht="24.75" customHeight="1">
      <c r="A68" s="55">
        <v>65.0</v>
      </c>
      <c r="B68" s="55">
        <v>1011075.0</v>
      </c>
      <c r="C68" s="48" t="str">
        <f>vlookup(B68,'Crew Data'!C:G,5,0)</f>
        <v>Sasisomapa Vatchareewong Na Ayudthaya</v>
      </c>
      <c r="D68" s="56" t="s">
        <v>109</v>
      </c>
      <c r="E68" s="55">
        <v>2.0</v>
      </c>
      <c r="F68" s="50">
        <f t="shared" si="1"/>
        <v>800</v>
      </c>
      <c r="G68" s="22">
        <f t="shared" si="2"/>
        <v>1</v>
      </c>
      <c r="H68" s="51" t="s">
        <v>20</v>
      </c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ht="24.75" customHeight="1">
      <c r="A69" s="55">
        <v>66.0</v>
      </c>
      <c r="B69" s="55">
        <v>1018803.0</v>
      </c>
      <c r="C69" s="48" t="str">
        <f>vlookup(B69,'Crew Data'!C:G,5,0)</f>
        <v>Natthaphon Poosomchit</v>
      </c>
      <c r="D69" s="56" t="s">
        <v>1070</v>
      </c>
      <c r="E69" s="55">
        <v>4.0</v>
      </c>
      <c r="F69" s="50">
        <f t="shared" si="1"/>
        <v>1600</v>
      </c>
      <c r="G69" s="22">
        <f t="shared" si="2"/>
        <v>1</v>
      </c>
      <c r="H69" s="51" t="s">
        <v>20</v>
      </c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ht="24.75" customHeight="1">
      <c r="A70" s="55">
        <v>67.0</v>
      </c>
      <c r="B70" s="55">
        <v>1019307.0</v>
      </c>
      <c r="C70" s="48" t="str">
        <f>vlookup(B70,'Crew Data'!C:G,5,0)</f>
        <v>Thanyathorn Krisanayanyong</v>
      </c>
      <c r="D70" s="56" t="s">
        <v>1071</v>
      </c>
      <c r="E70" s="55">
        <v>4.0</v>
      </c>
      <c r="F70" s="50">
        <f t="shared" si="1"/>
        <v>1600</v>
      </c>
      <c r="G70" s="22">
        <f t="shared" si="2"/>
        <v>1</v>
      </c>
      <c r="H70" s="51" t="s">
        <v>20</v>
      </c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ht="24.75" customHeight="1">
      <c r="A71" s="55">
        <v>68.0</v>
      </c>
      <c r="B71" s="55">
        <v>1022221.0</v>
      </c>
      <c r="C71" s="48" t="str">
        <f>vlookup(B71,'Crew Data'!C:G,5,0)</f>
        <v>Itsara Indrasuta</v>
      </c>
      <c r="D71" s="56" t="s">
        <v>1069</v>
      </c>
      <c r="E71" s="55">
        <v>2.0</v>
      </c>
      <c r="F71" s="50">
        <f t="shared" si="1"/>
        <v>800</v>
      </c>
      <c r="G71" s="22">
        <f t="shared" si="2"/>
        <v>1</v>
      </c>
      <c r="H71" s="51" t="s">
        <v>20</v>
      </c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ht="24.75" customHeight="1">
      <c r="A72" s="55">
        <v>69.0</v>
      </c>
      <c r="B72" s="55">
        <v>1008372.0</v>
      </c>
      <c r="C72" s="48" t="str">
        <f>vlookup(B72,'Crew Data'!C:G,5,0)</f>
        <v>Sirinya Maydan</v>
      </c>
      <c r="D72" s="56" t="s">
        <v>113</v>
      </c>
      <c r="E72" s="55">
        <v>2.0</v>
      </c>
      <c r="F72" s="50">
        <f t="shared" si="1"/>
        <v>800</v>
      </c>
      <c r="G72" s="22">
        <f t="shared" si="2"/>
        <v>1</v>
      </c>
      <c r="H72" s="51" t="s">
        <v>20</v>
      </c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ht="24.75" customHeight="1">
      <c r="A73" s="54">
        <v>70.0</v>
      </c>
      <c r="B73" s="55">
        <v>1011303.0</v>
      </c>
      <c r="C73" s="48" t="str">
        <f>vlookup(B73,'Crew Data'!C:G,5,0)</f>
        <v>Awassada Somprasertsri</v>
      </c>
      <c r="D73" s="56" t="s">
        <v>1072</v>
      </c>
      <c r="E73" s="55">
        <v>4.0</v>
      </c>
      <c r="F73" s="50">
        <f t="shared" si="1"/>
        <v>1600</v>
      </c>
      <c r="G73" s="22">
        <f t="shared" si="2"/>
        <v>1</v>
      </c>
      <c r="H73" s="51" t="s">
        <v>20</v>
      </c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ht="24.75" customHeight="1">
      <c r="A74" s="55">
        <v>71.0</v>
      </c>
      <c r="B74" s="55">
        <v>1000451.0</v>
      </c>
      <c r="C74" s="48" t="str">
        <f>vlookup(B74,'Crew Data'!C:G,5,0)</f>
        <v>Chutima Yuksen</v>
      </c>
      <c r="D74" s="56" t="s">
        <v>1062</v>
      </c>
      <c r="E74" s="55">
        <v>2.0</v>
      </c>
      <c r="F74" s="50">
        <f t="shared" si="1"/>
        <v>800</v>
      </c>
      <c r="G74" s="22">
        <f t="shared" si="2"/>
        <v>1</v>
      </c>
      <c r="H74" s="51" t="s">
        <v>20</v>
      </c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ht="24.75" customHeight="1">
      <c r="A75" s="55">
        <v>72.0</v>
      </c>
      <c r="B75" s="55">
        <v>1017651.0</v>
      </c>
      <c r="C75" s="48" t="str">
        <f>vlookup(B75,'Crew Data'!C:G,5,0)</f>
        <v>Usana Saepua</v>
      </c>
      <c r="D75" s="56" t="s">
        <v>1060</v>
      </c>
      <c r="E75" s="55">
        <v>2.0</v>
      </c>
      <c r="F75" s="50">
        <f t="shared" si="1"/>
        <v>800</v>
      </c>
      <c r="G75" s="22">
        <f t="shared" si="2"/>
        <v>1</v>
      </c>
      <c r="H75" s="51" t="s">
        <v>20</v>
      </c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ht="24.75" customHeight="1">
      <c r="A76" s="55">
        <v>73.0</v>
      </c>
      <c r="B76" s="55">
        <v>1009131.0</v>
      </c>
      <c r="C76" s="48" t="str">
        <f>vlookup(B76,'Crew Data'!C:G,5,0)</f>
        <v>Burin Wongdithai</v>
      </c>
      <c r="D76" s="56" t="s">
        <v>1047</v>
      </c>
      <c r="E76" s="55">
        <v>4.0</v>
      </c>
      <c r="F76" s="50">
        <f t="shared" si="1"/>
        <v>1600</v>
      </c>
      <c r="G76" s="22">
        <f t="shared" si="2"/>
        <v>1</v>
      </c>
      <c r="H76" s="51" t="s">
        <v>20</v>
      </c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ht="24.75" customHeight="1">
      <c r="A77" s="55">
        <v>74.0</v>
      </c>
      <c r="B77" s="55">
        <v>1006835.0</v>
      </c>
      <c r="C77" s="48" t="str">
        <f>vlookup(B77,'Crew Data'!C:G,5,0)</f>
        <v>Ketsaraporn Borvornmongkolsak</v>
      </c>
      <c r="D77" s="56" t="s">
        <v>1073</v>
      </c>
      <c r="E77" s="55">
        <v>4.0</v>
      </c>
      <c r="F77" s="50">
        <f t="shared" si="1"/>
        <v>1600</v>
      </c>
      <c r="G77" s="22">
        <f t="shared" si="2"/>
        <v>1</v>
      </c>
      <c r="H77" s="51" t="s">
        <v>20</v>
      </c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ht="24.75" customHeight="1">
      <c r="A78" s="55">
        <v>75.0</v>
      </c>
      <c r="B78" s="55">
        <v>1003392.0</v>
      </c>
      <c r="C78" s="48" t="str">
        <f>vlookup(B78,'Crew Data'!C:G,5,0)</f>
        <v>Punnaphas Tawornpanmanee</v>
      </c>
      <c r="D78" s="56" t="s">
        <v>1074</v>
      </c>
      <c r="E78" s="55">
        <v>4.0</v>
      </c>
      <c r="F78" s="50">
        <f t="shared" si="1"/>
        <v>1600</v>
      </c>
      <c r="G78" s="22">
        <f t="shared" si="2"/>
        <v>1</v>
      </c>
      <c r="H78" s="51" t="s">
        <v>20</v>
      </c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ht="24.75" customHeight="1">
      <c r="A79" s="55">
        <v>76.0</v>
      </c>
      <c r="B79" s="55">
        <v>1003385.0</v>
      </c>
      <c r="C79" s="48" t="str">
        <f>vlookup(B79,'Crew Data'!C:G,5,0)</f>
        <v>Jaruma Jantarapap</v>
      </c>
      <c r="D79" s="56" t="s">
        <v>1075</v>
      </c>
      <c r="E79" s="55">
        <v>4.0</v>
      </c>
      <c r="F79" s="50">
        <f t="shared" si="1"/>
        <v>1600</v>
      </c>
      <c r="G79" s="22">
        <f t="shared" si="2"/>
        <v>1</v>
      </c>
      <c r="H79" s="51" t="s">
        <v>20</v>
      </c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ht="24.75" customHeight="1">
      <c r="A80" s="55">
        <v>77.0</v>
      </c>
      <c r="B80" s="55">
        <v>1019294.0</v>
      </c>
      <c r="C80" s="48" t="str">
        <f>vlookup(B80,'Crew Data'!C:G,5,0)</f>
        <v>Kritsada Atsawaphonsakun</v>
      </c>
      <c r="D80" s="56" t="s">
        <v>1068</v>
      </c>
      <c r="E80" s="55">
        <v>2.0</v>
      </c>
      <c r="F80" s="50">
        <f t="shared" si="1"/>
        <v>800</v>
      </c>
      <c r="G80" s="22">
        <f t="shared" si="2"/>
        <v>1</v>
      </c>
      <c r="H80" s="51" t="s">
        <v>20</v>
      </c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ht="24.75" customHeight="1">
      <c r="A81" s="55">
        <v>78.0</v>
      </c>
      <c r="B81" s="55">
        <v>1011806.0</v>
      </c>
      <c r="C81" s="48" t="str">
        <f>vlookup(B81,'Crew Data'!C:G,5,0)</f>
        <v>Chonthicha Chanpanitkitchot</v>
      </c>
      <c r="D81" s="56" t="s">
        <v>1067</v>
      </c>
      <c r="E81" s="55">
        <v>2.0</v>
      </c>
      <c r="F81" s="50">
        <f t="shared" si="1"/>
        <v>800</v>
      </c>
      <c r="G81" s="22">
        <f t="shared" si="2"/>
        <v>1</v>
      </c>
      <c r="H81" s="51" t="s">
        <v>20</v>
      </c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ht="24.75" customHeight="1">
      <c r="A82" s="54">
        <v>79.0</v>
      </c>
      <c r="B82" s="55">
        <v>1022701.0</v>
      </c>
      <c r="C82" s="48" t="str">
        <f>vlookup(B82,'Crew Data'!C:G,5,0)</f>
        <v>Janyarak Khundilokbovorn</v>
      </c>
      <c r="D82" s="56" t="s">
        <v>1048</v>
      </c>
      <c r="E82" s="55">
        <v>2.0</v>
      </c>
      <c r="F82" s="50">
        <f t="shared" si="1"/>
        <v>800</v>
      </c>
      <c r="G82" s="22">
        <f t="shared" si="2"/>
        <v>1</v>
      </c>
      <c r="H82" s="51" t="s">
        <v>20</v>
      </c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ht="24.75" customHeight="1">
      <c r="A83" s="55">
        <v>80.0</v>
      </c>
      <c r="B83" s="55">
        <v>1009156.0</v>
      </c>
      <c r="C83" s="48" t="str">
        <f>vlookup(B83,'Crew Data'!C:G,5,0)</f>
        <v>Peamkate Kullasit</v>
      </c>
      <c r="D83" s="56" t="s">
        <v>1048</v>
      </c>
      <c r="E83" s="55">
        <v>2.0</v>
      </c>
      <c r="F83" s="50">
        <f t="shared" si="1"/>
        <v>800</v>
      </c>
      <c r="G83" s="22">
        <f t="shared" si="2"/>
        <v>1</v>
      </c>
      <c r="H83" s="51" t="s">
        <v>20</v>
      </c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ht="24.75" customHeight="1">
      <c r="A84" s="55">
        <v>81.0</v>
      </c>
      <c r="B84" s="55">
        <v>1001082.0</v>
      </c>
      <c r="C84" s="48" t="str">
        <f>vlookup(B84,'Crew Data'!C:G,5,0)</f>
        <v>Pobsaran Chantaratim</v>
      </c>
      <c r="D84" s="56" t="s">
        <v>1069</v>
      </c>
      <c r="E84" s="55">
        <v>2.0</v>
      </c>
      <c r="F84" s="50">
        <f t="shared" si="1"/>
        <v>800</v>
      </c>
      <c r="G84" s="22">
        <f t="shared" si="2"/>
        <v>1</v>
      </c>
      <c r="H84" s="51" t="s">
        <v>20</v>
      </c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ht="24.75" customHeight="1">
      <c r="A85" s="54">
        <v>82.0</v>
      </c>
      <c r="B85" s="55">
        <v>1000233.0</v>
      </c>
      <c r="C85" s="48" t="str">
        <f>vlookup(B85,'Crew Data'!C:G,5,0)</f>
        <v>Rawiga Kuawong</v>
      </c>
      <c r="D85" s="56" t="s">
        <v>1048</v>
      </c>
      <c r="E85" s="55">
        <v>2.0</v>
      </c>
      <c r="F85" s="50">
        <f t="shared" si="1"/>
        <v>800</v>
      </c>
      <c r="G85" s="22">
        <f t="shared" si="2"/>
        <v>1</v>
      </c>
      <c r="H85" s="51" t="s">
        <v>20</v>
      </c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ht="24.75" customHeight="1">
      <c r="A86" s="55">
        <v>83.0</v>
      </c>
      <c r="B86" s="55">
        <v>1007016.0</v>
      </c>
      <c r="C86" s="48" t="str">
        <f>vlookup(B86,'Crew Data'!C:G,5,0)</f>
        <v>Sathita Pongsomran</v>
      </c>
      <c r="D86" s="56" t="s">
        <v>1053</v>
      </c>
      <c r="E86" s="55">
        <v>2.0</v>
      </c>
      <c r="F86" s="50">
        <f t="shared" si="1"/>
        <v>800</v>
      </c>
      <c r="G86" s="22">
        <f t="shared" si="2"/>
        <v>1</v>
      </c>
      <c r="H86" s="51" t="s">
        <v>20</v>
      </c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ht="24.75" customHeight="1">
      <c r="A87" s="55">
        <v>84.0</v>
      </c>
      <c r="B87" s="55">
        <v>1011065.0</v>
      </c>
      <c r="C87" s="48" t="str">
        <f>vlookup(B87,'Crew Data'!C:G,5,0)</f>
        <v>Krittapak Chuchuaisuwan</v>
      </c>
      <c r="D87" s="56" t="s">
        <v>1058</v>
      </c>
      <c r="E87" s="55">
        <v>2.0</v>
      </c>
      <c r="F87" s="50">
        <f t="shared" si="1"/>
        <v>800</v>
      </c>
      <c r="G87" s="22">
        <f t="shared" si="2"/>
        <v>1</v>
      </c>
      <c r="H87" s="51" t="s">
        <v>20</v>
      </c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ht="24.75" customHeight="1">
      <c r="A88" s="55">
        <v>85.0</v>
      </c>
      <c r="B88" s="55">
        <v>1007258.0</v>
      </c>
      <c r="C88" s="48" t="str">
        <f>vlookup(B88,'Crew Data'!C:G,5,0)</f>
        <v>#N/A</v>
      </c>
      <c r="D88" s="56" t="s">
        <v>1076</v>
      </c>
      <c r="E88" s="55">
        <v>2.0</v>
      </c>
      <c r="F88" s="50">
        <f t="shared" si="1"/>
        <v>800</v>
      </c>
      <c r="G88" s="22">
        <f t="shared" si="2"/>
        <v>1</v>
      </c>
      <c r="H88" s="51" t="s">
        <v>20</v>
      </c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ht="24.75" customHeight="1">
      <c r="A89" s="55">
        <v>86.0</v>
      </c>
      <c r="B89" s="55">
        <v>1003172.0</v>
      </c>
      <c r="C89" s="48" t="str">
        <f>vlookup(B89,'Crew Data'!C:G,5,0)</f>
        <v>Natthanit Kaewchoochuen</v>
      </c>
      <c r="D89" s="56" t="s">
        <v>1077</v>
      </c>
      <c r="E89" s="55">
        <v>2.0</v>
      </c>
      <c r="F89" s="50">
        <f t="shared" si="1"/>
        <v>800</v>
      </c>
      <c r="G89" s="22">
        <f t="shared" si="2"/>
        <v>1</v>
      </c>
      <c r="H89" s="51" t="s">
        <v>20</v>
      </c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ht="24.75" customHeight="1">
      <c r="A90" s="55">
        <v>87.0</v>
      </c>
      <c r="B90" s="55">
        <v>1019398.0</v>
      </c>
      <c r="C90" s="48" t="str">
        <f>vlookup(B90,'Crew Data'!C:G,5,0)</f>
        <v>Kamonjun Phookphun</v>
      </c>
      <c r="D90" s="56" t="s">
        <v>1077</v>
      </c>
      <c r="E90" s="55">
        <v>2.0</v>
      </c>
      <c r="F90" s="50">
        <f t="shared" si="1"/>
        <v>800</v>
      </c>
      <c r="G90" s="22">
        <f t="shared" si="2"/>
        <v>1</v>
      </c>
      <c r="H90" s="51" t="s">
        <v>20</v>
      </c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ht="24.75" customHeight="1">
      <c r="A91" s="55">
        <v>88.0</v>
      </c>
      <c r="B91" s="55">
        <v>1001755.0</v>
      </c>
      <c r="C91" s="48" t="str">
        <f>vlookup(B91,'Crew Data'!C:G,5,0)</f>
        <v>Chananpat Sirivikornrat</v>
      </c>
      <c r="D91" s="56" t="s">
        <v>109</v>
      </c>
      <c r="E91" s="55">
        <v>2.0</v>
      </c>
      <c r="F91" s="50">
        <f t="shared" si="1"/>
        <v>800</v>
      </c>
      <c r="G91" s="22">
        <f t="shared" si="2"/>
        <v>1</v>
      </c>
      <c r="H91" s="51" t="s">
        <v>20</v>
      </c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ht="24.75" customHeight="1">
      <c r="A92" s="55">
        <v>89.0</v>
      </c>
      <c r="B92" s="55">
        <v>1007266.0</v>
      </c>
      <c r="C92" s="48" t="str">
        <f>vlookup(B92,'Crew Data'!C:G,5,0)</f>
        <v>Nattayanee Junnont</v>
      </c>
      <c r="D92" s="56" t="s">
        <v>1077</v>
      </c>
      <c r="E92" s="55">
        <v>2.0</v>
      </c>
      <c r="F92" s="50">
        <f t="shared" si="1"/>
        <v>800</v>
      </c>
      <c r="G92" s="22">
        <f t="shared" si="2"/>
        <v>1</v>
      </c>
      <c r="H92" s="51" t="s">
        <v>20</v>
      </c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ht="24.75" customHeight="1">
      <c r="A93" s="55">
        <v>90.0</v>
      </c>
      <c r="B93" s="55">
        <v>1006836.0</v>
      </c>
      <c r="C93" s="48" t="str">
        <f>vlookup(B93,'Crew Data'!C:G,5,0)</f>
        <v>Kotchaporn Komutanont</v>
      </c>
      <c r="D93" s="56" t="s">
        <v>1078</v>
      </c>
      <c r="E93" s="55">
        <v>2.0</v>
      </c>
      <c r="F93" s="50">
        <f t="shared" si="1"/>
        <v>800</v>
      </c>
      <c r="G93" s="22">
        <f t="shared" si="2"/>
        <v>1</v>
      </c>
      <c r="H93" s="51" t="s">
        <v>20</v>
      </c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ht="24.75" customHeight="1">
      <c r="A94" s="54">
        <v>91.0</v>
      </c>
      <c r="B94" s="55">
        <v>1007262.0</v>
      </c>
      <c r="C94" s="48" t="str">
        <f>vlookup(B94,'Crew Data'!C:G,5,0)</f>
        <v> Kaeokumchai</v>
      </c>
      <c r="D94" s="56" t="s">
        <v>1079</v>
      </c>
      <c r="E94" s="55">
        <v>4.0</v>
      </c>
      <c r="F94" s="50">
        <f t="shared" si="1"/>
        <v>1600</v>
      </c>
      <c r="G94" s="22">
        <f t="shared" si="2"/>
        <v>1</v>
      </c>
      <c r="H94" s="51" t="s">
        <v>20</v>
      </c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ht="24.75" customHeight="1">
      <c r="A95" s="55">
        <v>92.0</v>
      </c>
      <c r="B95" s="55">
        <v>1013034.0</v>
      </c>
      <c r="C95" s="48" t="str">
        <f>vlookup(B95,'Crew Data'!C:G,5,0)</f>
        <v>Sitthiphan Chansawang</v>
      </c>
      <c r="D95" s="56" t="s">
        <v>1052</v>
      </c>
      <c r="E95" s="55">
        <v>2.0</v>
      </c>
      <c r="F95" s="50">
        <f t="shared" si="1"/>
        <v>800</v>
      </c>
      <c r="G95" s="22">
        <f t="shared" si="2"/>
        <v>1</v>
      </c>
      <c r="H95" s="51" t="s">
        <v>20</v>
      </c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ht="24.75" customHeight="1">
      <c r="A96" s="55">
        <v>93.0</v>
      </c>
      <c r="B96" s="55">
        <v>1014064.0</v>
      </c>
      <c r="C96" s="48" t="str">
        <f>vlookup(B96,'Crew Data'!C:G,5,0)</f>
        <v>Jaraspak Plengkhum</v>
      </c>
      <c r="D96" s="56" t="s">
        <v>1080</v>
      </c>
      <c r="E96" s="55">
        <v>6.0</v>
      </c>
      <c r="F96" s="50">
        <f t="shared" si="1"/>
        <v>2400</v>
      </c>
      <c r="G96" s="22">
        <f t="shared" si="2"/>
        <v>1</v>
      </c>
      <c r="H96" s="51" t="s">
        <v>20</v>
      </c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ht="24.75" customHeight="1">
      <c r="A97" s="54">
        <v>94.0</v>
      </c>
      <c r="B97" s="55">
        <v>1002299.0</v>
      </c>
      <c r="C97" s="48" t="str">
        <f>vlookup(B97,'Crew Data'!C:G,5,0)</f>
        <v>Arisara Wongsatitsathein</v>
      </c>
      <c r="D97" s="56" t="s">
        <v>1078</v>
      </c>
      <c r="E97" s="55">
        <v>2.0</v>
      </c>
      <c r="F97" s="50">
        <f t="shared" si="1"/>
        <v>800</v>
      </c>
      <c r="G97" s="22">
        <f t="shared" si="2"/>
        <v>1</v>
      </c>
      <c r="H97" s="51" t="s">
        <v>20</v>
      </c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ht="24.75" customHeight="1">
      <c r="A98" s="55">
        <v>95.0</v>
      </c>
      <c r="B98" s="55">
        <v>1007181.0</v>
      </c>
      <c r="C98" s="48" t="str">
        <f>vlookup(B98,'Crew Data'!C:G,5,0)</f>
        <v>Warisara Sutta</v>
      </c>
      <c r="D98" s="56" t="s">
        <v>1078</v>
      </c>
      <c r="E98" s="55">
        <v>2.0</v>
      </c>
      <c r="F98" s="50">
        <f t="shared" si="1"/>
        <v>800</v>
      </c>
      <c r="G98" s="22">
        <f t="shared" si="2"/>
        <v>1</v>
      </c>
      <c r="H98" s="51" t="s">
        <v>20</v>
      </c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ht="24.75" customHeight="1">
      <c r="A99" s="55">
        <v>96.0</v>
      </c>
      <c r="B99" s="55">
        <v>1009768.0</v>
      </c>
      <c r="C99" s="48" t="str">
        <f>vlookup(B99,'Crew Data'!C:G,5,0)</f>
        <v>Thidech Eakmongkollert</v>
      </c>
      <c r="D99" s="56" t="s">
        <v>1081</v>
      </c>
      <c r="E99" s="55">
        <v>2.0</v>
      </c>
      <c r="F99" s="50">
        <f t="shared" si="1"/>
        <v>800</v>
      </c>
      <c r="G99" s="22">
        <f t="shared" si="2"/>
        <v>1</v>
      </c>
      <c r="H99" s="51" t="s">
        <v>20</v>
      </c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>
      <c r="D100" s="52"/>
    </row>
  </sheetData>
  <autoFilter ref="$A$3:$G$99"/>
  <mergeCells count="2">
    <mergeCell ref="A1:F1"/>
    <mergeCell ref="E2:F2"/>
  </mergeCells>
  <dataValidations>
    <dataValidation type="list" allowBlank="1" sqref="H4:H99">
      <formula1>"CHECKED (OK),CHECKED  (NOT OK)"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3" max="3" width="26.75"/>
    <col customWidth="1" min="4" max="4" width="33.25"/>
    <col customWidth="1" min="7" max="7" width="3.5"/>
    <col customWidth="1" min="8" max="8" width="18.63"/>
    <col customWidth="1" min="9" max="9" width="21.63"/>
  </cols>
  <sheetData>
    <row r="1">
      <c r="A1" s="30" t="s">
        <v>1082</v>
      </c>
      <c r="G1" s="31"/>
      <c r="H1" s="32" t="s">
        <v>1083</v>
      </c>
      <c r="I1" s="33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4" t="s">
        <v>1</v>
      </c>
      <c r="B2" s="35" t="s">
        <v>11</v>
      </c>
      <c r="C2" s="35" t="s">
        <v>12</v>
      </c>
      <c r="D2" s="36" t="s">
        <v>13</v>
      </c>
      <c r="E2" s="37" t="s">
        <v>14</v>
      </c>
      <c r="F2" s="38"/>
      <c r="G2" s="39"/>
      <c r="H2" s="40"/>
      <c r="I2" s="40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41"/>
      <c r="B3" s="38"/>
      <c r="C3" s="38"/>
      <c r="D3" s="38"/>
      <c r="E3" s="42" t="s">
        <v>15</v>
      </c>
      <c r="F3" s="43" t="s">
        <v>5</v>
      </c>
      <c r="G3" s="39"/>
      <c r="H3" s="44" t="s">
        <v>6</v>
      </c>
      <c r="I3" s="45" t="s">
        <v>7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24.75" customHeight="1">
      <c r="A4" s="46"/>
      <c r="B4" s="47"/>
      <c r="C4" s="48" t="str">
        <f>vlookup(B4,'Crew Data'!C:G,5,0)</f>
        <v>#N/A</v>
      </c>
      <c r="D4" s="49"/>
      <c r="E4" s="47"/>
      <c r="F4" s="50">
        <f>E4*400</f>
        <v>0</v>
      </c>
      <c r="G4" s="22">
        <f>COUNTIF(B:B,B4)</f>
        <v>0</v>
      </c>
      <c r="H4" s="5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D5" s="52"/>
    </row>
    <row r="6">
      <c r="D6" s="52"/>
    </row>
    <row r="7" ht="44.25" customHeight="1">
      <c r="A7" s="53" t="s">
        <v>16</v>
      </c>
    </row>
    <row r="8">
      <c r="D8" s="52"/>
    </row>
    <row r="9">
      <c r="D9" s="52"/>
    </row>
    <row r="10">
      <c r="D10" s="52"/>
    </row>
    <row r="11">
      <c r="D11" s="52"/>
    </row>
    <row r="12">
      <c r="D12" s="52"/>
    </row>
    <row r="13">
      <c r="D13" s="52"/>
    </row>
    <row r="14">
      <c r="D14" s="52"/>
    </row>
    <row r="15">
      <c r="D15" s="52"/>
    </row>
    <row r="16">
      <c r="D16" s="52"/>
    </row>
    <row r="17">
      <c r="D17" s="52"/>
    </row>
    <row r="18">
      <c r="D18" s="52"/>
    </row>
    <row r="19">
      <c r="D19" s="52"/>
    </row>
    <row r="20">
      <c r="D20" s="52"/>
    </row>
    <row r="21">
      <c r="D21" s="52"/>
    </row>
    <row r="22">
      <c r="D22" s="52"/>
    </row>
    <row r="23">
      <c r="D23" s="52"/>
    </row>
    <row r="24">
      <c r="D24" s="52"/>
    </row>
    <row r="25">
      <c r="D25" s="52"/>
    </row>
    <row r="26">
      <c r="D26" s="52"/>
    </row>
    <row r="27">
      <c r="D27" s="52"/>
    </row>
    <row r="28">
      <c r="D28" s="52"/>
    </row>
    <row r="29">
      <c r="D29" s="52"/>
    </row>
    <row r="30">
      <c r="D30" s="52"/>
    </row>
    <row r="31">
      <c r="D31" s="52"/>
    </row>
    <row r="32">
      <c r="D32" s="52"/>
    </row>
    <row r="33">
      <c r="D33" s="52"/>
    </row>
    <row r="34">
      <c r="D34" s="52"/>
    </row>
    <row r="35">
      <c r="D35" s="52"/>
    </row>
    <row r="36">
      <c r="D36" s="52"/>
    </row>
    <row r="37">
      <c r="D37" s="52"/>
    </row>
    <row r="38">
      <c r="D38" s="52"/>
    </row>
    <row r="39">
      <c r="D39" s="52"/>
    </row>
    <row r="40">
      <c r="D40" s="52"/>
    </row>
    <row r="41">
      <c r="D41" s="52"/>
    </row>
    <row r="42">
      <c r="D42" s="52"/>
    </row>
    <row r="43">
      <c r="D43" s="52"/>
    </row>
    <row r="44">
      <c r="D44" s="52"/>
    </row>
    <row r="45">
      <c r="D45" s="52"/>
    </row>
    <row r="46">
      <c r="D46" s="52"/>
    </row>
    <row r="47">
      <c r="D47" s="52"/>
    </row>
    <row r="48">
      <c r="D48" s="52"/>
    </row>
    <row r="49">
      <c r="D49" s="52"/>
    </row>
    <row r="50">
      <c r="D50" s="52"/>
    </row>
    <row r="51">
      <c r="D51" s="52"/>
    </row>
    <row r="52">
      <c r="D52" s="52"/>
    </row>
    <row r="53">
      <c r="D53" s="52"/>
    </row>
    <row r="54">
      <c r="D54" s="52"/>
    </row>
    <row r="55">
      <c r="D55" s="52"/>
    </row>
    <row r="56">
      <c r="D56" s="52"/>
    </row>
    <row r="57">
      <c r="D57" s="52"/>
    </row>
    <row r="58">
      <c r="D58" s="52"/>
    </row>
    <row r="59">
      <c r="D59" s="52"/>
    </row>
    <row r="60">
      <c r="D60" s="52"/>
    </row>
    <row r="61">
      <c r="D61" s="52"/>
    </row>
    <row r="62">
      <c r="D62" s="52"/>
    </row>
    <row r="63">
      <c r="D63" s="52"/>
    </row>
    <row r="64">
      <c r="D64" s="52"/>
    </row>
    <row r="65">
      <c r="D65" s="52"/>
    </row>
    <row r="66">
      <c r="D66" s="52"/>
    </row>
    <row r="67">
      <c r="D67" s="52"/>
    </row>
    <row r="68">
      <c r="D68" s="52"/>
    </row>
    <row r="69">
      <c r="D69" s="52"/>
    </row>
    <row r="70">
      <c r="D70" s="52"/>
    </row>
    <row r="71">
      <c r="D71" s="52"/>
    </row>
    <row r="72">
      <c r="D72" s="52"/>
    </row>
    <row r="73">
      <c r="D73" s="52"/>
    </row>
    <row r="74">
      <c r="D74" s="52"/>
    </row>
    <row r="75">
      <c r="D75" s="52"/>
    </row>
    <row r="76">
      <c r="D76" s="52"/>
    </row>
    <row r="77">
      <c r="D77" s="52"/>
    </row>
    <row r="78">
      <c r="D78" s="52"/>
    </row>
    <row r="79">
      <c r="D79" s="52"/>
    </row>
    <row r="80">
      <c r="D80" s="52"/>
    </row>
    <row r="81">
      <c r="D81" s="52"/>
    </row>
    <row r="82">
      <c r="D82" s="52"/>
    </row>
    <row r="83">
      <c r="D83" s="52"/>
    </row>
    <row r="84">
      <c r="D84" s="52"/>
    </row>
    <row r="85">
      <c r="D85" s="52"/>
    </row>
    <row r="86">
      <c r="D86" s="52"/>
    </row>
    <row r="87">
      <c r="D87" s="52"/>
    </row>
    <row r="88">
      <c r="D88" s="52"/>
    </row>
    <row r="89">
      <c r="D89" s="52"/>
    </row>
    <row r="90">
      <c r="D90" s="52"/>
    </row>
    <row r="91">
      <c r="D91" s="52"/>
    </row>
    <row r="92">
      <c r="D92" s="52"/>
    </row>
    <row r="93">
      <c r="D93" s="52"/>
    </row>
    <row r="94">
      <c r="D94" s="52"/>
    </row>
    <row r="95">
      <c r="D95" s="52"/>
    </row>
    <row r="96">
      <c r="D96" s="52"/>
    </row>
    <row r="97">
      <c r="D97" s="52"/>
    </row>
    <row r="98">
      <c r="D98" s="52"/>
    </row>
    <row r="99">
      <c r="D99" s="52"/>
    </row>
    <row r="100">
      <c r="D100" s="52"/>
    </row>
    <row r="101">
      <c r="D101" s="52"/>
    </row>
    <row r="102">
      <c r="D102" s="52"/>
    </row>
    <row r="103">
      <c r="D103" s="52"/>
    </row>
    <row r="104">
      <c r="D104" s="52"/>
    </row>
    <row r="105">
      <c r="D105" s="52"/>
    </row>
    <row r="106">
      <c r="D106" s="52"/>
    </row>
    <row r="107">
      <c r="D107" s="52"/>
    </row>
    <row r="108">
      <c r="D108" s="52"/>
    </row>
    <row r="109">
      <c r="D109" s="52"/>
    </row>
    <row r="110">
      <c r="D110" s="52"/>
    </row>
    <row r="111">
      <c r="D111" s="52"/>
    </row>
    <row r="112">
      <c r="D112" s="52"/>
    </row>
    <row r="113">
      <c r="D113" s="52"/>
    </row>
    <row r="114">
      <c r="D114" s="52"/>
    </row>
    <row r="115">
      <c r="D115" s="52"/>
    </row>
    <row r="116">
      <c r="D116" s="52"/>
    </row>
    <row r="117">
      <c r="D117" s="52"/>
    </row>
    <row r="118">
      <c r="D118" s="52"/>
    </row>
    <row r="119">
      <c r="D119" s="52"/>
    </row>
    <row r="120">
      <c r="D120" s="52"/>
    </row>
    <row r="121">
      <c r="D121" s="52"/>
    </row>
    <row r="122">
      <c r="D122" s="52"/>
    </row>
    <row r="123">
      <c r="D123" s="52"/>
    </row>
    <row r="124">
      <c r="D124" s="52"/>
    </row>
    <row r="125">
      <c r="D125" s="52"/>
    </row>
    <row r="126">
      <c r="D126" s="52"/>
    </row>
    <row r="127">
      <c r="D127" s="52"/>
    </row>
    <row r="128">
      <c r="D128" s="52"/>
    </row>
    <row r="129">
      <c r="D129" s="52"/>
    </row>
    <row r="130">
      <c r="D130" s="52"/>
    </row>
    <row r="131">
      <c r="D131" s="52"/>
    </row>
    <row r="132">
      <c r="D132" s="52"/>
    </row>
    <row r="133">
      <c r="D133" s="52"/>
    </row>
    <row r="134">
      <c r="D134" s="52"/>
    </row>
    <row r="135">
      <c r="D135" s="52"/>
    </row>
    <row r="136">
      <c r="D136" s="52"/>
    </row>
    <row r="137">
      <c r="D137" s="52"/>
    </row>
    <row r="138">
      <c r="D138" s="52"/>
    </row>
    <row r="139">
      <c r="D139" s="52"/>
    </row>
    <row r="140">
      <c r="D140" s="52"/>
    </row>
    <row r="141">
      <c r="D141" s="52"/>
    </row>
    <row r="142">
      <c r="D142" s="52"/>
    </row>
    <row r="143">
      <c r="D143" s="52"/>
    </row>
    <row r="144">
      <c r="D144" s="52"/>
    </row>
    <row r="145">
      <c r="D145" s="52"/>
    </row>
    <row r="146">
      <c r="D146" s="52"/>
    </row>
    <row r="147">
      <c r="D147" s="52"/>
    </row>
    <row r="148">
      <c r="D148" s="52"/>
    </row>
    <row r="149">
      <c r="D149" s="52"/>
    </row>
    <row r="150">
      <c r="D150" s="52"/>
    </row>
    <row r="151">
      <c r="D151" s="52"/>
    </row>
    <row r="152">
      <c r="D152" s="52"/>
    </row>
    <row r="153">
      <c r="D153" s="52"/>
    </row>
    <row r="154">
      <c r="D154" s="52"/>
    </row>
    <row r="155">
      <c r="D155" s="52"/>
    </row>
    <row r="156">
      <c r="D156" s="52"/>
    </row>
    <row r="157">
      <c r="D157" s="52"/>
    </row>
    <row r="158">
      <c r="D158" s="52"/>
    </row>
    <row r="159">
      <c r="D159" s="52"/>
    </row>
    <row r="160">
      <c r="D160" s="52"/>
    </row>
    <row r="161">
      <c r="D161" s="52"/>
    </row>
    <row r="162">
      <c r="D162" s="52"/>
    </row>
    <row r="163">
      <c r="D163" s="52"/>
    </row>
    <row r="164">
      <c r="D164" s="52"/>
    </row>
    <row r="165">
      <c r="D165" s="52"/>
    </row>
    <row r="166">
      <c r="D166" s="52"/>
    </row>
    <row r="167">
      <c r="D167" s="52"/>
    </row>
    <row r="168">
      <c r="D168" s="52"/>
    </row>
    <row r="169">
      <c r="D169" s="52"/>
    </row>
    <row r="170">
      <c r="D170" s="52"/>
    </row>
    <row r="171">
      <c r="D171" s="52"/>
    </row>
    <row r="172">
      <c r="D172" s="52"/>
    </row>
    <row r="173">
      <c r="D173" s="52"/>
    </row>
    <row r="174">
      <c r="D174" s="52"/>
    </row>
    <row r="175">
      <c r="D175" s="52"/>
    </row>
    <row r="176">
      <c r="D176" s="52"/>
    </row>
    <row r="177">
      <c r="D177" s="52"/>
    </row>
    <row r="178">
      <c r="D178" s="52"/>
    </row>
    <row r="179">
      <c r="D179" s="52"/>
    </row>
    <row r="180">
      <c r="D180" s="52"/>
    </row>
    <row r="181">
      <c r="D181" s="52"/>
    </row>
    <row r="182">
      <c r="D182" s="52"/>
    </row>
    <row r="183">
      <c r="D183" s="52"/>
    </row>
    <row r="184">
      <c r="D184" s="52"/>
    </row>
    <row r="185">
      <c r="D185" s="52"/>
    </row>
    <row r="186">
      <c r="D186" s="52"/>
    </row>
    <row r="187">
      <c r="D187" s="52"/>
    </row>
    <row r="188">
      <c r="D188" s="52"/>
    </row>
    <row r="189">
      <c r="D189" s="52"/>
    </row>
    <row r="190">
      <c r="D190" s="52"/>
    </row>
    <row r="191">
      <c r="D191" s="52"/>
    </row>
    <row r="192">
      <c r="D192" s="52"/>
    </row>
    <row r="193">
      <c r="D193" s="52"/>
    </row>
    <row r="194">
      <c r="D194" s="52"/>
    </row>
    <row r="195">
      <c r="D195" s="52"/>
    </row>
    <row r="196">
      <c r="D196" s="52"/>
    </row>
    <row r="197">
      <c r="D197" s="52"/>
    </row>
    <row r="198">
      <c r="D198" s="52"/>
    </row>
    <row r="199">
      <c r="D199" s="52"/>
    </row>
    <row r="200">
      <c r="D200" s="52"/>
    </row>
    <row r="201">
      <c r="D201" s="52"/>
    </row>
    <row r="202">
      <c r="D202" s="52"/>
    </row>
    <row r="203">
      <c r="D203" s="52"/>
    </row>
    <row r="204">
      <c r="D204" s="52"/>
    </row>
    <row r="205">
      <c r="D205" s="52"/>
    </row>
    <row r="206">
      <c r="D206" s="52"/>
    </row>
    <row r="207">
      <c r="D207" s="52"/>
    </row>
    <row r="208">
      <c r="D208" s="52"/>
    </row>
    <row r="209">
      <c r="D209" s="52"/>
    </row>
    <row r="210">
      <c r="D210" s="52"/>
    </row>
    <row r="211">
      <c r="D211" s="52"/>
    </row>
    <row r="212">
      <c r="D212" s="52"/>
    </row>
    <row r="213">
      <c r="D213" s="52"/>
    </row>
    <row r="214">
      <c r="D214" s="52"/>
    </row>
    <row r="215">
      <c r="D215" s="52"/>
    </row>
    <row r="216">
      <c r="D216" s="52"/>
    </row>
    <row r="217">
      <c r="D217" s="52"/>
    </row>
    <row r="218">
      <c r="D218" s="52"/>
    </row>
    <row r="219">
      <c r="D219" s="52"/>
    </row>
    <row r="220">
      <c r="D220" s="52"/>
    </row>
    <row r="221">
      <c r="D221" s="52"/>
    </row>
    <row r="222">
      <c r="D222" s="52"/>
    </row>
    <row r="223">
      <c r="D223" s="52"/>
    </row>
    <row r="224">
      <c r="D224" s="52"/>
    </row>
    <row r="225">
      <c r="D225" s="52"/>
    </row>
    <row r="226">
      <c r="D226" s="52"/>
    </row>
    <row r="227">
      <c r="D227" s="52"/>
    </row>
    <row r="228">
      <c r="D228" s="52"/>
    </row>
    <row r="229">
      <c r="D229" s="52"/>
    </row>
    <row r="230">
      <c r="D230" s="52"/>
    </row>
    <row r="231">
      <c r="D231" s="52"/>
    </row>
    <row r="232">
      <c r="D232" s="52"/>
    </row>
    <row r="233">
      <c r="D233" s="52"/>
    </row>
    <row r="234">
      <c r="D234" s="52"/>
    </row>
    <row r="235">
      <c r="D235" s="52"/>
    </row>
    <row r="236">
      <c r="D236" s="52"/>
    </row>
    <row r="237">
      <c r="D237" s="52"/>
    </row>
    <row r="238">
      <c r="D238" s="52"/>
    </row>
    <row r="239">
      <c r="D239" s="52"/>
    </row>
    <row r="240">
      <c r="D240" s="52"/>
    </row>
    <row r="241">
      <c r="D241" s="52"/>
    </row>
    <row r="242">
      <c r="D242" s="52"/>
    </row>
    <row r="243">
      <c r="D243" s="52"/>
    </row>
    <row r="244">
      <c r="D244" s="52"/>
    </row>
    <row r="245">
      <c r="D245" s="52"/>
    </row>
    <row r="246">
      <c r="D246" s="52"/>
    </row>
    <row r="247">
      <c r="D247" s="52"/>
    </row>
    <row r="248">
      <c r="D248" s="52"/>
    </row>
    <row r="249">
      <c r="D249" s="52"/>
    </row>
    <row r="250">
      <c r="D250" s="52"/>
    </row>
    <row r="251">
      <c r="D251" s="52"/>
    </row>
    <row r="252">
      <c r="D252" s="52"/>
    </row>
    <row r="253">
      <c r="D253" s="52"/>
    </row>
    <row r="254">
      <c r="D254" s="52"/>
    </row>
    <row r="255">
      <c r="D255" s="52"/>
    </row>
    <row r="256">
      <c r="D256" s="52"/>
    </row>
    <row r="257">
      <c r="D257" s="52"/>
    </row>
    <row r="258">
      <c r="D258" s="52"/>
    </row>
    <row r="259">
      <c r="D259" s="52"/>
    </row>
    <row r="260">
      <c r="D260" s="52"/>
    </row>
    <row r="261">
      <c r="D261" s="52"/>
    </row>
    <row r="262">
      <c r="D262" s="52"/>
    </row>
    <row r="263">
      <c r="D263" s="52"/>
    </row>
    <row r="264">
      <c r="D264" s="52"/>
    </row>
    <row r="265">
      <c r="D265" s="52"/>
    </row>
    <row r="266">
      <c r="D266" s="52"/>
    </row>
    <row r="267">
      <c r="D267" s="52"/>
    </row>
    <row r="268">
      <c r="D268" s="52"/>
    </row>
    <row r="269">
      <c r="D269" s="52"/>
    </row>
    <row r="270">
      <c r="D270" s="52"/>
    </row>
    <row r="271">
      <c r="D271" s="52"/>
    </row>
    <row r="272">
      <c r="D272" s="52"/>
    </row>
    <row r="273">
      <c r="D273" s="52"/>
    </row>
    <row r="274">
      <c r="D274" s="52"/>
    </row>
    <row r="275">
      <c r="D275" s="52"/>
    </row>
    <row r="276">
      <c r="D276" s="52"/>
    </row>
    <row r="277">
      <c r="D277" s="52"/>
    </row>
    <row r="278">
      <c r="D278" s="52"/>
    </row>
    <row r="279">
      <c r="D279" s="52"/>
    </row>
    <row r="280">
      <c r="D280" s="52"/>
    </row>
    <row r="281">
      <c r="D281" s="52"/>
    </row>
    <row r="282">
      <c r="D282" s="52"/>
    </row>
    <row r="283">
      <c r="D283" s="52"/>
    </row>
    <row r="284">
      <c r="D284" s="52"/>
    </row>
    <row r="285">
      <c r="D285" s="52"/>
    </row>
    <row r="286">
      <c r="D286" s="52"/>
    </row>
    <row r="287">
      <c r="D287" s="52"/>
    </row>
    <row r="288">
      <c r="D288" s="52"/>
    </row>
    <row r="289">
      <c r="D289" s="52"/>
    </row>
    <row r="290">
      <c r="D290" s="52"/>
    </row>
    <row r="291">
      <c r="D291" s="52"/>
    </row>
    <row r="292">
      <c r="D292" s="52"/>
    </row>
    <row r="293">
      <c r="D293" s="52"/>
    </row>
    <row r="294">
      <c r="D294" s="52"/>
    </row>
    <row r="295">
      <c r="D295" s="52"/>
    </row>
    <row r="296">
      <c r="D296" s="52"/>
    </row>
    <row r="297">
      <c r="D297" s="52"/>
    </row>
    <row r="298">
      <c r="D298" s="52"/>
    </row>
    <row r="299">
      <c r="D299" s="52"/>
    </row>
    <row r="300">
      <c r="D300" s="52"/>
    </row>
    <row r="301">
      <c r="D301" s="52"/>
    </row>
    <row r="302">
      <c r="D302" s="52"/>
    </row>
    <row r="303">
      <c r="D303" s="52"/>
    </row>
    <row r="304">
      <c r="D304" s="52"/>
    </row>
    <row r="305">
      <c r="D305" s="52"/>
    </row>
    <row r="306">
      <c r="D306" s="52"/>
    </row>
    <row r="307">
      <c r="D307" s="52"/>
    </row>
    <row r="308">
      <c r="D308" s="52"/>
    </row>
    <row r="309">
      <c r="D309" s="52"/>
    </row>
    <row r="310">
      <c r="D310" s="52"/>
    </row>
    <row r="311">
      <c r="D311" s="52"/>
    </row>
    <row r="312">
      <c r="D312" s="52"/>
    </row>
    <row r="313">
      <c r="D313" s="52"/>
    </row>
    <row r="314">
      <c r="D314" s="52"/>
    </row>
    <row r="315">
      <c r="D315" s="52"/>
    </row>
    <row r="316">
      <c r="D316" s="52"/>
    </row>
    <row r="317">
      <c r="D317" s="52"/>
    </row>
    <row r="318">
      <c r="D318" s="52"/>
    </row>
    <row r="319">
      <c r="D319" s="52"/>
    </row>
    <row r="320">
      <c r="D320" s="52"/>
    </row>
    <row r="321">
      <c r="D321" s="52"/>
    </row>
    <row r="322">
      <c r="D322" s="52"/>
    </row>
    <row r="323">
      <c r="D323" s="52"/>
    </row>
    <row r="324">
      <c r="D324" s="52"/>
    </row>
    <row r="325">
      <c r="D325" s="52"/>
    </row>
    <row r="326">
      <c r="D326" s="52"/>
    </row>
    <row r="327">
      <c r="D327" s="52"/>
    </row>
    <row r="328">
      <c r="D328" s="52"/>
    </row>
    <row r="329">
      <c r="D329" s="52"/>
    </row>
    <row r="330">
      <c r="D330" s="52"/>
    </row>
    <row r="331">
      <c r="D331" s="52"/>
    </row>
    <row r="332">
      <c r="D332" s="52"/>
    </row>
    <row r="333">
      <c r="D333" s="52"/>
    </row>
    <row r="334">
      <c r="D334" s="52"/>
    </row>
    <row r="335">
      <c r="D335" s="52"/>
    </row>
    <row r="336">
      <c r="D336" s="52"/>
    </row>
    <row r="337">
      <c r="D337" s="52"/>
    </row>
    <row r="338">
      <c r="D338" s="52"/>
    </row>
    <row r="339">
      <c r="D339" s="52"/>
    </row>
    <row r="340">
      <c r="D340" s="52"/>
    </row>
    <row r="341">
      <c r="D341" s="52"/>
    </row>
    <row r="342">
      <c r="D342" s="52"/>
    </row>
    <row r="343">
      <c r="D343" s="52"/>
    </row>
    <row r="344">
      <c r="D344" s="52"/>
    </row>
    <row r="345">
      <c r="D345" s="52"/>
    </row>
    <row r="346">
      <c r="D346" s="52"/>
    </row>
    <row r="347">
      <c r="D347" s="52"/>
    </row>
    <row r="348">
      <c r="D348" s="52"/>
    </row>
    <row r="349">
      <c r="D349" s="52"/>
    </row>
    <row r="350">
      <c r="D350" s="52"/>
    </row>
    <row r="351">
      <c r="D351" s="52"/>
    </row>
    <row r="352">
      <c r="D352" s="52"/>
    </row>
    <row r="353">
      <c r="D353" s="52"/>
    </row>
    <row r="354">
      <c r="D354" s="52"/>
    </row>
    <row r="355">
      <c r="D355" s="52"/>
    </row>
    <row r="356">
      <c r="D356" s="52"/>
    </row>
    <row r="357">
      <c r="D357" s="52"/>
    </row>
    <row r="358">
      <c r="D358" s="52"/>
    </row>
    <row r="359">
      <c r="D359" s="52"/>
    </row>
    <row r="360">
      <c r="D360" s="52"/>
    </row>
    <row r="361">
      <c r="D361" s="52"/>
    </row>
    <row r="362">
      <c r="D362" s="52"/>
    </row>
    <row r="363">
      <c r="D363" s="52"/>
    </row>
    <row r="364">
      <c r="D364" s="52"/>
    </row>
    <row r="365">
      <c r="D365" s="52"/>
    </row>
    <row r="366">
      <c r="D366" s="52"/>
    </row>
    <row r="367">
      <c r="D367" s="52"/>
    </row>
    <row r="368">
      <c r="D368" s="52"/>
    </row>
    <row r="369">
      <c r="D369" s="52"/>
    </row>
    <row r="370">
      <c r="D370" s="52"/>
    </row>
    <row r="371">
      <c r="D371" s="52"/>
    </row>
    <row r="372">
      <c r="D372" s="52"/>
    </row>
    <row r="373">
      <c r="D373" s="52"/>
    </row>
    <row r="374">
      <c r="D374" s="52"/>
    </row>
    <row r="375">
      <c r="D375" s="52"/>
    </row>
    <row r="376">
      <c r="D376" s="52"/>
    </row>
    <row r="377">
      <c r="D377" s="52"/>
    </row>
    <row r="378">
      <c r="D378" s="52"/>
    </row>
    <row r="379">
      <c r="D379" s="52"/>
    </row>
    <row r="380">
      <c r="D380" s="52"/>
    </row>
    <row r="381">
      <c r="D381" s="52"/>
    </row>
    <row r="382">
      <c r="D382" s="52"/>
    </row>
    <row r="383">
      <c r="D383" s="52"/>
    </row>
    <row r="384">
      <c r="D384" s="52"/>
    </row>
    <row r="385">
      <c r="D385" s="52"/>
    </row>
    <row r="386">
      <c r="D386" s="52"/>
    </row>
    <row r="387">
      <c r="D387" s="52"/>
    </row>
    <row r="388">
      <c r="D388" s="52"/>
    </row>
    <row r="389">
      <c r="D389" s="52"/>
    </row>
    <row r="390">
      <c r="D390" s="52"/>
    </row>
    <row r="391">
      <c r="D391" s="52"/>
    </row>
    <row r="392">
      <c r="D392" s="52"/>
    </row>
    <row r="393">
      <c r="D393" s="52"/>
    </row>
    <row r="394">
      <c r="D394" s="52"/>
    </row>
    <row r="395">
      <c r="D395" s="52"/>
    </row>
    <row r="396">
      <c r="D396" s="52"/>
    </row>
    <row r="397">
      <c r="D397" s="52"/>
    </row>
    <row r="398">
      <c r="D398" s="52"/>
    </row>
    <row r="399">
      <c r="D399" s="52"/>
    </row>
    <row r="400">
      <c r="D400" s="52"/>
    </row>
    <row r="401">
      <c r="D401" s="52"/>
    </row>
    <row r="402">
      <c r="D402" s="52"/>
    </row>
    <row r="403">
      <c r="D403" s="52"/>
    </row>
    <row r="404">
      <c r="D404" s="52"/>
    </row>
    <row r="405">
      <c r="D405" s="52"/>
    </row>
    <row r="406">
      <c r="D406" s="52"/>
    </row>
    <row r="407">
      <c r="D407" s="52"/>
    </row>
    <row r="408">
      <c r="D408" s="52"/>
    </row>
    <row r="409">
      <c r="D409" s="52"/>
    </row>
    <row r="410">
      <c r="D410" s="52"/>
    </row>
    <row r="411">
      <c r="D411" s="52"/>
    </row>
    <row r="412">
      <c r="D412" s="52"/>
    </row>
    <row r="413">
      <c r="D413" s="52"/>
    </row>
    <row r="414">
      <c r="D414" s="52"/>
    </row>
    <row r="415">
      <c r="D415" s="52"/>
    </row>
    <row r="416">
      <c r="D416" s="52"/>
    </row>
    <row r="417">
      <c r="D417" s="52"/>
    </row>
    <row r="418">
      <c r="D418" s="52"/>
    </row>
    <row r="419">
      <c r="D419" s="52"/>
    </row>
    <row r="420">
      <c r="D420" s="52"/>
    </row>
    <row r="421">
      <c r="D421" s="52"/>
    </row>
    <row r="422">
      <c r="D422" s="52"/>
    </row>
    <row r="423">
      <c r="D423" s="52"/>
    </row>
    <row r="424">
      <c r="D424" s="52"/>
    </row>
    <row r="425">
      <c r="D425" s="52"/>
    </row>
    <row r="426">
      <c r="D426" s="52"/>
    </row>
    <row r="427">
      <c r="D427" s="52"/>
    </row>
    <row r="428">
      <c r="D428" s="52"/>
    </row>
    <row r="429">
      <c r="D429" s="52"/>
    </row>
    <row r="430">
      <c r="D430" s="52"/>
    </row>
    <row r="431">
      <c r="D431" s="52"/>
    </row>
    <row r="432">
      <c r="D432" s="52"/>
    </row>
    <row r="433">
      <c r="D433" s="52"/>
    </row>
    <row r="434">
      <c r="D434" s="52"/>
    </row>
    <row r="435">
      <c r="D435" s="52"/>
    </row>
    <row r="436">
      <c r="D436" s="52"/>
    </row>
    <row r="437">
      <c r="D437" s="52"/>
    </row>
    <row r="438">
      <c r="D438" s="52"/>
    </row>
    <row r="439">
      <c r="D439" s="52"/>
    </row>
    <row r="440">
      <c r="D440" s="52"/>
    </row>
    <row r="441">
      <c r="D441" s="52"/>
    </row>
    <row r="442">
      <c r="D442" s="52"/>
    </row>
    <row r="443">
      <c r="D443" s="52"/>
    </row>
    <row r="444">
      <c r="D444" s="52"/>
    </row>
    <row r="445">
      <c r="D445" s="52"/>
    </row>
    <row r="446">
      <c r="D446" s="52"/>
    </row>
    <row r="447">
      <c r="D447" s="52"/>
    </row>
    <row r="448">
      <c r="D448" s="52"/>
    </row>
    <row r="449">
      <c r="D449" s="52"/>
    </row>
    <row r="450">
      <c r="D450" s="52"/>
    </row>
    <row r="451">
      <c r="D451" s="52"/>
    </row>
    <row r="452">
      <c r="D452" s="52"/>
    </row>
    <row r="453">
      <c r="D453" s="52"/>
    </row>
    <row r="454">
      <c r="D454" s="52"/>
    </row>
    <row r="455">
      <c r="D455" s="52"/>
    </row>
    <row r="456">
      <c r="D456" s="52"/>
    </row>
    <row r="457">
      <c r="D457" s="52"/>
    </row>
    <row r="458">
      <c r="D458" s="52"/>
    </row>
    <row r="459">
      <c r="D459" s="52"/>
    </row>
    <row r="460">
      <c r="D460" s="52"/>
    </row>
    <row r="461">
      <c r="D461" s="52"/>
    </row>
    <row r="462">
      <c r="D462" s="52"/>
    </row>
    <row r="463">
      <c r="D463" s="52"/>
    </row>
    <row r="464">
      <c r="D464" s="52"/>
    </row>
    <row r="465">
      <c r="D465" s="52"/>
    </row>
    <row r="466">
      <c r="D466" s="52"/>
    </row>
    <row r="467">
      <c r="D467" s="52"/>
    </row>
    <row r="468">
      <c r="D468" s="52"/>
    </row>
    <row r="469">
      <c r="D469" s="52"/>
    </row>
    <row r="470">
      <c r="D470" s="52"/>
    </row>
    <row r="471">
      <c r="D471" s="52"/>
    </row>
    <row r="472">
      <c r="D472" s="52"/>
    </row>
    <row r="473">
      <c r="D473" s="52"/>
    </row>
    <row r="474">
      <c r="D474" s="52"/>
    </row>
    <row r="475">
      <c r="D475" s="52"/>
    </row>
    <row r="476">
      <c r="D476" s="52"/>
    </row>
    <row r="477">
      <c r="D477" s="52"/>
    </row>
    <row r="478">
      <c r="D478" s="52"/>
    </row>
    <row r="479">
      <c r="D479" s="52"/>
    </row>
    <row r="480">
      <c r="D480" s="52"/>
    </row>
    <row r="481">
      <c r="D481" s="52"/>
    </row>
    <row r="482">
      <c r="D482" s="52"/>
    </row>
    <row r="483">
      <c r="D483" s="52"/>
    </row>
    <row r="484">
      <c r="D484" s="52"/>
    </row>
    <row r="485">
      <c r="D485" s="52"/>
    </row>
    <row r="486">
      <c r="D486" s="52"/>
    </row>
    <row r="487">
      <c r="D487" s="52"/>
    </row>
    <row r="488">
      <c r="D488" s="52"/>
    </row>
    <row r="489">
      <c r="D489" s="52"/>
    </row>
    <row r="490">
      <c r="D490" s="52"/>
    </row>
    <row r="491">
      <c r="D491" s="52"/>
    </row>
    <row r="492">
      <c r="D492" s="52"/>
    </row>
    <row r="493">
      <c r="D493" s="52"/>
    </row>
    <row r="494">
      <c r="D494" s="52"/>
    </row>
    <row r="495">
      <c r="D495" s="52"/>
    </row>
    <row r="496">
      <c r="D496" s="52"/>
    </row>
    <row r="497">
      <c r="D497" s="52"/>
    </row>
    <row r="498">
      <c r="D498" s="52"/>
    </row>
    <row r="499">
      <c r="D499" s="52"/>
    </row>
    <row r="500">
      <c r="D500" s="52"/>
    </row>
    <row r="501">
      <c r="D501" s="52"/>
    </row>
    <row r="502">
      <c r="D502" s="52"/>
    </row>
    <row r="503">
      <c r="D503" s="52"/>
    </row>
    <row r="504">
      <c r="D504" s="52"/>
    </row>
    <row r="505">
      <c r="D505" s="52"/>
    </row>
    <row r="506">
      <c r="D506" s="52"/>
    </row>
    <row r="507">
      <c r="D507" s="52"/>
    </row>
    <row r="508">
      <c r="D508" s="52"/>
    </row>
    <row r="509">
      <c r="D509" s="52"/>
    </row>
    <row r="510">
      <c r="D510" s="52"/>
    </row>
    <row r="511">
      <c r="D511" s="52"/>
    </row>
    <row r="512">
      <c r="D512" s="52"/>
    </row>
    <row r="513">
      <c r="D513" s="52"/>
    </row>
    <row r="514">
      <c r="D514" s="52"/>
    </row>
    <row r="515">
      <c r="D515" s="52"/>
    </row>
    <row r="516">
      <c r="D516" s="52"/>
    </row>
    <row r="517">
      <c r="D517" s="52"/>
    </row>
    <row r="518">
      <c r="D518" s="52"/>
    </row>
    <row r="519">
      <c r="D519" s="52"/>
    </row>
    <row r="520">
      <c r="D520" s="52"/>
    </row>
    <row r="521">
      <c r="D521" s="52"/>
    </row>
    <row r="522">
      <c r="D522" s="52"/>
    </row>
    <row r="523">
      <c r="D523" s="52"/>
    </row>
    <row r="524">
      <c r="D524" s="52"/>
    </row>
    <row r="525">
      <c r="D525" s="52"/>
    </row>
    <row r="526">
      <c r="D526" s="52"/>
    </row>
    <row r="527">
      <c r="D527" s="52"/>
    </row>
    <row r="528">
      <c r="D528" s="52"/>
    </row>
    <row r="529">
      <c r="D529" s="52"/>
    </row>
    <row r="530">
      <c r="D530" s="52"/>
    </row>
    <row r="531">
      <c r="D531" s="52"/>
    </row>
    <row r="532">
      <c r="D532" s="52"/>
    </row>
    <row r="533">
      <c r="D533" s="52"/>
    </row>
    <row r="534">
      <c r="D534" s="52"/>
    </row>
    <row r="535">
      <c r="D535" s="52"/>
    </row>
    <row r="536">
      <c r="D536" s="52"/>
    </row>
    <row r="537">
      <c r="D537" s="52"/>
    </row>
    <row r="538">
      <c r="D538" s="52"/>
    </row>
    <row r="539">
      <c r="D539" s="52"/>
    </row>
    <row r="540">
      <c r="D540" s="52"/>
    </row>
    <row r="541">
      <c r="D541" s="52"/>
    </row>
    <row r="542">
      <c r="D542" s="52"/>
    </row>
    <row r="543">
      <c r="D543" s="52"/>
    </row>
    <row r="544">
      <c r="D544" s="52"/>
    </row>
    <row r="545">
      <c r="D545" s="52"/>
    </row>
    <row r="546">
      <c r="D546" s="52"/>
    </row>
    <row r="547">
      <c r="D547" s="52"/>
    </row>
    <row r="548">
      <c r="D548" s="52"/>
    </row>
    <row r="549">
      <c r="D549" s="52"/>
    </row>
    <row r="550">
      <c r="D550" s="52"/>
    </row>
    <row r="551">
      <c r="D551" s="52"/>
    </row>
    <row r="552">
      <c r="D552" s="52"/>
    </row>
    <row r="553">
      <c r="D553" s="52"/>
    </row>
    <row r="554">
      <c r="D554" s="52"/>
    </row>
    <row r="555">
      <c r="D555" s="52"/>
    </row>
    <row r="556">
      <c r="D556" s="52"/>
    </row>
    <row r="557">
      <c r="D557" s="52"/>
    </row>
    <row r="558">
      <c r="D558" s="52"/>
    </row>
    <row r="559">
      <c r="D559" s="52"/>
    </row>
    <row r="560">
      <c r="D560" s="52"/>
    </row>
    <row r="561">
      <c r="D561" s="52"/>
    </row>
    <row r="562">
      <c r="D562" s="52"/>
    </row>
    <row r="563">
      <c r="D563" s="52"/>
    </row>
    <row r="564">
      <c r="D564" s="52"/>
    </row>
    <row r="565">
      <c r="D565" s="52"/>
    </row>
    <row r="566">
      <c r="D566" s="52"/>
    </row>
    <row r="567">
      <c r="D567" s="52"/>
    </row>
    <row r="568">
      <c r="D568" s="52"/>
    </row>
    <row r="569">
      <c r="D569" s="52"/>
    </row>
    <row r="570">
      <c r="D570" s="52"/>
    </row>
    <row r="571">
      <c r="D571" s="52"/>
    </row>
    <row r="572">
      <c r="D572" s="52"/>
    </row>
    <row r="573">
      <c r="D573" s="52"/>
    </row>
    <row r="574">
      <c r="D574" s="52"/>
    </row>
    <row r="575">
      <c r="D575" s="52"/>
    </row>
    <row r="576">
      <c r="D576" s="52"/>
    </row>
    <row r="577">
      <c r="D577" s="52"/>
    </row>
    <row r="578">
      <c r="D578" s="52"/>
    </row>
    <row r="579">
      <c r="D579" s="52"/>
    </row>
    <row r="580">
      <c r="D580" s="52"/>
    </row>
    <row r="581">
      <c r="D581" s="52"/>
    </row>
    <row r="582">
      <c r="D582" s="52"/>
    </row>
    <row r="583">
      <c r="D583" s="52"/>
    </row>
    <row r="584">
      <c r="D584" s="52"/>
    </row>
    <row r="585">
      <c r="D585" s="52"/>
    </row>
    <row r="586">
      <c r="D586" s="52"/>
    </row>
    <row r="587">
      <c r="D587" s="52"/>
    </row>
    <row r="588">
      <c r="D588" s="52"/>
    </row>
    <row r="589">
      <c r="D589" s="52"/>
    </row>
    <row r="590">
      <c r="D590" s="52"/>
    </row>
    <row r="591">
      <c r="D591" s="52"/>
    </row>
    <row r="592">
      <c r="D592" s="52"/>
    </row>
    <row r="593">
      <c r="D593" s="52"/>
    </row>
    <row r="594">
      <c r="D594" s="52"/>
    </row>
    <row r="595">
      <c r="D595" s="52"/>
    </row>
    <row r="596">
      <c r="D596" s="52"/>
    </row>
    <row r="597">
      <c r="D597" s="52"/>
    </row>
    <row r="598">
      <c r="D598" s="52"/>
    </row>
    <row r="599">
      <c r="D599" s="52"/>
    </row>
    <row r="600">
      <c r="D600" s="52"/>
    </row>
    <row r="601">
      <c r="D601" s="52"/>
    </row>
    <row r="602">
      <c r="D602" s="52"/>
    </row>
    <row r="603">
      <c r="D603" s="52"/>
    </row>
    <row r="604">
      <c r="D604" s="52"/>
    </row>
    <row r="605">
      <c r="D605" s="52"/>
    </row>
    <row r="606">
      <c r="D606" s="52"/>
    </row>
    <row r="607">
      <c r="D607" s="52"/>
    </row>
    <row r="608">
      <c r="D608" s="52"/>
    </row>
    <row r="609">
      <c r="D609" s="52"/>
    </row>
    <row r="610">
      <c r="D610" s="52"/>
    </row>
    <row r="611">
      <c r="D611" s="52"/>
    </row>
    <row r="612">
      <c r="D612" s="52"/>
    </row>
    <row r="613">
      <c r="D613" s="52"/>
    </row>
    <row r="614">
      <c r="D614" s="52"/>
    </row>
    <row r="615">
      <c r="D615" s="52"/>
    </row>
    <row r="616">
      <c r="D616" s="52"/>
    </row>
    <row r="617">
      <c r="D617" s="52"/>
    </row>
    <row r="618">
      <c r="D618" s="52"/>
    </row>
    <row r="619">
      <c r="D619" s="52"/>
    </row>
    <row r="620">
      <c r="D620" s="52"/>
    </row>
    <row r="621">
      <c r="D621" s="52"/>
    </row>
    <row r="622">
      <c r="D622" s="52"/>
    </row>
    <row r="623">
      <c r="D623" s="52"/>
    </row>
    <row r="624">
      <c r="D624" s="52"/>
    </row>
    <row r="625">
      <c r="D625" s="52"/>
    </row>
    <row r="626">
      <c r="D626" s="52"/>
    </row>
    <row r="627">
      <c r="D627" s="52"/>
    </row>
    <row r="628">
      <c r="D628" s="52"/>
    </row>
    <row r="629">
      <c r="D629" s="52"/>
    </row>
    <row r="630">
      <c r="D630" s="52"/>
    </row>
    <row r="631">
      <c r="D631" s="52"/>
    </row>
    <row r="632">
      <c r="D632" s="52"/>
    </row>
    <row r="633">
      <c r="D633" s="52"/>
    </row>
    <row r="634">
      <c r="D634" s="52"/>
    </row>
    <row r="635">
      <c r="D635" s="52"/>
    </row>
    <row r="636">
      <c r="D636" s="52"/>
    </row>
    <row r="637">
      <c r="D637" s="52"/>
    </row>
    <row r="638">
      <c r="D638" s="52"/>
    </row>
    <row r="639">
      <c r="D639" s="52"/>
    </row>
    <row r="640">
      <c r="D640" s="52"/>
    </row>
    <row r="641">
      <c r="D641" s="52"/>
    </row>
    <row r="642">
      <c r="D642" s="52"/>
    </row>
    <row r="643">
      <c r="D643" s="52"/>
    </row>
    <row r="644">
      <c r="D644" s="52"/>
    </row>
    <row r="645">
      <c r="D645" s="52"/>
    </row>
    <row r="646">
      <c r="D646" s="52"/>
    </row>
    <row r="647">
      <c r="D647" s="52"/>
    </row>
    <row r="648">
      <c r="D648" s="52"/>
    </row>
    <row r="649">
      <c r="D649" s="52"/>
    </row>
    <row r="650">
      <c r="D650" s="52"/>
    </row>
    <row r="651">
      <c r="D651" s="52"/>
    </row>
    <row r="652">
      <c r="D652" s="52"/>
    </row>
    <row r="653">
      <c r="D653" s="52"/>
    </row>
    <row r="654">
      <c r="D654" s="52"/>
    </row>
    <row r="655">
      <c r="D655" s="52"/>
    </row>
    <row r="656">
      <c r="D656" s="52"/>
    </row>
    <row r="657">
      <c r="D657" s="52"/>
    </row>
    <row r="658">
      <c r="D658" s="52"/>
    </row>
    <row r="659">
      <c r="D659" s="52"/>
    </row>
    <row r="660">
      <c r="D660" s="52"/>
    </row>
    <row r="661">
      <c r="D661" s="52"/>
    </row>
    <row r="662">
      <c r="D662" s="52"/>
    </row>
    <row r="663">
      <c r="D663" s="52"/>
    </row>
    <row r="664">
      <c r="D664" s="52"/>
    </row>
    <row r="665">
      <c r="D665" s="52"/>
    </row>
    <row r="666">
      <c r="D666" s="52"/>
    </row>
    <row r="667">
      <c r="D667" s="52"/>
    </row>
    <row r="668">
      <c r="D668" s="52"/>
    </row>
    <row r="669">
      <c r="D669" s="52"/>
    </row>
    <row r="670">
      <c r="D670" s="52"/>
    </row>
    <row r="671">
      <c r="D671" s="52"/>
    </row>
    <row r="672">
      <c r="D672" s="52"/>
    </row>
    <row r="673">
      <c r="D673" s="52"/>
    </row>
    <row r="674">
      <c r="D674" s="52"/>
    </row>
    <row r="675">
      <c r="D675" s="52"/>
    </row>
    <row r="676">
      <c r="D676" s="52"/>
    </row>
    <row r="677">
      <c r="D677" s="52"/>
    </row>
    <row r="678">
      <c r="D678" s="52"/>
    </row>
    <row r="679">
      <c r="D679" s="52"/>
    </row>
    <row r="680">
      <c r="D680" s="52"/>
    </row>
    <row r="681">
      <c r="D681" s="52"/>
    </row>
    <row r="682">
      <c r="D682" s="52"/>
    </row>
    <row r="683">
      <c r="D683" s="52"/>
    </row>
    <row r="684">
      <c r="D684" s="52"/>
    </row>
    <row r="685">
      <c r="D685" s="52"/>
    </row>
    <row r="686">
      <c r="D686" s="52"/>
    </row>
    <row r="687">
      <c r="D687" s="52"/>
    </row>
    <row r="688">
      <c r="D688" s="52"/>
    </row>
    <row r="689">
      <c r="D689" s="52"/>
    </row>
    <row r="690">
      <c r="D690" s="52"/>
    </row>
    <row r="691">
      <c r="D691" s="52"/>
    </row>
    <row r="692">
      <c r="D692" s="52"/>
    </row>
    <row r="693">
      <c r="D693" s="52"/>
    </row>
    <row r="694">
      <c r="D694" s="52"/>
    </row>
    <row r="695">
      <c r="D695" s="52"/>
    </row>
    <row r="696">
      <c r="D696" s="52"/>
    </row>
    <row r="697">
      <c r="D697" s="52"/>
    </row>
    <row r="698">
      <c r="D698" s="52"/>
    </row>
    <row r="699">
      <c r="D699" s="52"/>
    </row>
    <row r="700">
      <c r="D700" s="52"/>
    </row>
    <row r="701">
      <c r="D701" s="52"/>
    </row>
    <row r="702">
      <c r="D702" s="52"/>
    </row>
    <row r="703">
      <c r="D703" s="52"/>
    </row>
    <row r="704">
      <c r="D704" s="52"/>
    </row>
    <row r="705">
      <c r="D705" s="52"/>
    </row>
    <row r="706">
      <c r="D706" s="52"/>
    </row>
    <row r="707">
      <c r="D707" s="52"/>
    </row>
    <row r="708">
      <c r="D708" s="52"/>
    </row>
    <row r="709">
      <c r="D709" s="52"/>
    </row>
    <row r="710">
      <c r="D710" s="52"/>
    </row>
    <row r="711">
      <c r="D711" s="52"/>
    </row>
    <row r="712">
      <c r="D712" s="52"/>
    </row>
    <row r="713">
      <c r="D713" s="52"/>
    </row>
    <row r="714">
      <c r="D714" s="52"/>
    </row>
    <row r="715">
      <c r="D715" s="52"/>
    </row>
    <row r="716">
      <c r="D716" s="52"/>
    </row>
    <row r="717">
      <c r="D717" s="52"/>
    </row>
    <row r="718">
      <c r="D718" s="52"/>
    </row>
    <row r="719">
      <c r="D719" s="52"/>
    </row>
    <row r="720">
      <c r="D720" s="52"/>
    </row>
    <row r="721">
      <c r="D721" s="52"/>
    </row>
    <row r="722">
      <c r="D722" s="52"/>
    </row>
    <row r="723">
      <c r="D723" s="52"/>
    </row>
    <row r="724">
      <c r="D724" s="52"/>
    </row>
    <row r="725">
      <c r="D725" s="52"/>
    </row>
    <row r="726">
      <c r="D726" s="52"/>
    </row>
    <row r="727">
      <c r="D727" s="52"/>
    </row>
    <row r="728">
      <c r="D728" s="52"/>
    </row>
    <row r="729">
      <c r="D729" s="52"/>
    </row>
    <row r="730">
      <c r="D730" s="52"/>
    </row>
    <row r="731">
      <c r="D731" s="52"/>
    </row>
    <row r="732">
      <c r="D732" s="52"/>
    </row>
    <row r="733">
      <c r="D733" s="52"/>
    </row>
    <row r="734">
      <c r="D734" s="52"/>
    </row>
    <row r="735">
      <c r="D735" s="52"/>
    </row>
    <row r="736">
      <c r="D736" s="52"/>
    </row>
    <row r="737">
      <c r="D737" s="52"/>
    </row>
    <row r="738">
      <c r="D738" s="52"/>
    </row>
    <row r="739">
      <c r="D739" s="52"/>
    </row>
    <row r="740">
      <c r="D740" s="52"/>
    </row>
    <row r="741">
      <c r="D741" s="52"/>
    </row>
    <row r="742">
      <c r="D742" s="52"/>
    </row>
    <row r="743">
      <c r="D743" s="52"/>
    </row>
    <row r="744">
      <c r="D744" s="52"/>
    </row>
    <row r="745">
      <c r="D745" s="52"/>
    </row>
    <row r="746">
      <c r="D746" s="52"/>
    </row>
    <row r="747">
      <c r="D747" s="52"/>
    </row>
    <row r="748">
      <c r="D748" s="52"/>
    </row>
    <row r="749">
      <c r="D749" s="52"/>
    </row>
    <row r="750">
      <c r="D750" s="52"/>
    </row>
    <row r="751">
      <c r="D751" s="52"/>
    </row>
    <row r="752">
      <c r="D752" s="52"/>
    </row>
    <row r="753">
      <c r="D753" s="52"/>
    </row>
    <row r="754">
      <c r="D754" s="52"/>
    </row>
    <row r="755">
      <c r="D755" s="52"/>
    </row>
    <row r="756">
      <c r="D756" s="52"/>
    </row>
    <row r="757">
      <c r="D757" s="52"/>
    </row>
    <row r="758">
      <c r="D758" s="52"/>
    </row>
    <row r="759">
      <c r="D759" s="52"/>
    </row>
    <row r="760">
      <c r="D760" s="52"/>
    </row>
    <row r="761">
      <c r="D761" s="52"/>
    </row>
    <row r="762">
      <c r="D762" s="52"/>
    </row>
    <row r="763">
      <c r="D763" s="52"/>
    </row>
    <row r="764">
      <c r="D764" s="52"/>
    </row>
    <row r="765">
      <c r="D765" s="52"/>
    </row>
    <row r="766">
      <c r="D766" s="52"/>
    </row>
    <row r="767">
      <c r="D767" s="52"/>
    </row>
    <row r="768">
      <c r="D768" s="52"/>
    </row>
    <row r="769">
      <c r="D769" s="52"/>
    </row>
    <row r="770">
      <c r="D770" s="52"/>
    </row>
    <row r="771">
      <c r="D771" s="52"/>
    </row>
    <row r="772">
      <c r="D772" s="52"/>
    </row>
    <row r="773">
      <c r="D773" s="52"/>
    </row>
    <row r="774">
      <c r="D774" s="52"/>
    </row>
    <row r="775">
      <c r="D775" s="52"/>
    </row>
    <row r="776">
      <c r="D776" s="52"/>
    </row>
    <row r="777">
      <c r="D777" s="52"/>
    </row>
    <row r="778">
      <c r="D778" s="52"/>
    </row>
    <row r="779">
      <c r="D779" s="52"/>
    </row>
    <row r="780">
      <c r="D780" s="52"/>
    </row>
    <row r="781">
      <c r="D781" s="52"/>
    </row>
    <row r="782">
      <c r="D782" s="52"/>
    </row>
    <row r="783">
      <c r="D783" s="52"/>
    </row>
    <row r="784">
      <c r="D784" s="52"/>
    </row>
    <row r="785">
      <c r="D785" s="52"/>
    </row>
    <row r="786">
      <c r="D786" s="52"/>
    </row>
    <row r="787">
      <c r="D787" s="52"/>
    </row>
    <row r="788">
      <c r="D788" s="52"/>
    </row>
    <row r="789">
      <c r="D789" s="52"/>
    </row>
    <row r="790">
      <c r="D790" s="52"/>
    </row>
    <row r="791">
      <c r="D791" s="52"/>
    </row>
    <row r="792">
      <c r="D792" s="52"/>
    </row>
    <row r="793">
      <c r="D793" s="52"/>
    </row>
    <row r="794">
      <c r="D794" s="52"/>
    </row>
    <row r="795">
      <c r="D795" s="52"/>
    </row>
    <row r="796">
      <c r="D796" s="52"/>
    </row>
    <row r="797">
      <c r="D797" s="52"/>
    </row>
    <row r="798">
      <c r="D798" s="52"/>
    </row>
    <row r="799">
      <c r="D799" s="52"/>
    </row>
    <row r="800">
      <c r="D800" s="52"/>
    </row>
    <row r="801">
      <c r="D801" s="52"/>
    </row>
    <row r="802">
      <c r="D802" s="52"/>
    </row>
    <row r="803">
      <c r="D803" s="52"/>
    </row>
    <row r="804">
      <c r="D804" s="52"/>
    </row>
    <row r="805">
      <c r="D805" s="52"/>
    </row>
    <row r="806">
      <c r="D806" s="52"/>
    </row>
    <row r="807">
      <c r="D807" s="52"/>
    </row>
    <row r="808">
      <c r="D808" s="52"/>
    </row>
    <row r="809">
      <c r="D809" s="52"/>
    </row>
    <row r="810">
      <c r="D810" s="52"/>
    </row>
    <row r="811">
      <c r="D811" s="52"/>
    </row>
    <row r="812">
      <c r="D812" s="52"/>
    </row>
    <row r="813">
      <c r="D813" s="52"/>
    </row>
    <row r="814">
      <c r="D814" s="52"/>
    </row>
    <row r="815">
      <c r="D815" s="52"/>
    </row>
    <row r="816">
      <c r="D816" s="52"/>
    </row>
    <row r="817">
      <c r="D817" s="52"/>
    </row>
    <row r="818">
      <c r="D818" s="52"/>
    </row>
    <row r="819">
      <c r="D819" s="52"/>
    </row>
    <row r="820">
      <c r="D820" s="52"/>
    </row>
    <row r="821">
      <c r="D821" s="52"/>
    </row>
    <row r="822">
      <c r="D822" s="52"/>
    </row>
    <row r="823">
      <c r="D823" s="52"/>
    </row>
    <row r="824">
      <c r="D824" s="52"/>
    </row>
    <row r="825">
      <c r="D825" s="52"/>
    </row>
    <row r="826">
      <c r="D826" s="52"/>
    </row>
    <row r="827">
      <c r="D827" s="52"/>
    </row>
    <row r="828">
      <c r="D828" s="52"/>
    </row>
    <row r="829">
      <c r="D829" s="52"/>
    </row>
    <row r="830">
      <c r="D830" s="52"/>
    </row>
    <row r="831">
      <c r="D831" s="52"/>
    </row>
    <row r="832">
      <c r="D832" s="52"/>
    </row>
    <row r="833">
      <c r="D833" s="52"/>
    </row>
    <row r="834">
      <c r="D834" s="52"/>
    </row>
    <row r="835">
      <c r="D835" s="52"/>
    </row>
    <row r="836">
      <c r="D836" s="52"/>
    </row>
    <row r="837">
      <c r="D837" s="52"/>
    </row>
    <row r="838">
      <c r="D838" s="52"/>
    </row>
    <row r="839">
      <c r="D839" s="52"/>
    </row>
    <row r="840">
      <c r="D840" s="52"/>
    </row>
    <row r="841">
      <c r="D841" s="52"/>
    </row>
    <row r="842">
      <c r="D842" s="52"/>
    </row>
    <row r="843">
      <c r="D843" s="52"/>
    </row>
  </sheetData>
  <mergeCells count="7">
    <mergeCell ref="A1:F1"/>
    <mergeCell ref="A2:A3"/>
    <mergeCell ref="B2:B3"/>
    <mergeCell ref="C2:C3"/>
    <mergeCell ref="D2:D3"/>
    <mergeCell ref="E2:F2"/>
    <mergeCell ref="A7:E7"/>
  </mergeCells>
  <dataValidations>
    <dataValidation type="list" allowBlank="1" sqref="H4">
      <formula1>"CHECKED (OK),CHECKED  (NOT OK)"</formula1>
    </dataValidation>
  </dataValidation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3" max="3" width="26.75"/>
    <col customWidth="1" min="4" max="4" width="33.25"/>
    <col customWidth="1" min="7" max="7" width="3.5"/>
    <col customWidth="1" min="8" max="8" width="18.63"/>
    <col customWidth="1" min="9" max="9" width="21.63"/>
  </cols>
  <sheetData>
    <row r="1">
      <c r="A1" s="30" t="s">
        <v>1084</v>
      </c>
      <c r="G1" s="31"/>
      <c r="H1" s="32" t="s">
        <v>1085</v>
      </c>
      <c r="I1" s="33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4" t="s">
        <v>1</v>
      </c>
      <c r="B2" s="35" t="s">
        <v>11</v>
      </c>
      <c r="C2" s="35" t="s">
        <v>12</v>
      </c>
      <c r="D2" s="36" t="s">
        <v>13</v>
      </c>
      <c r="E2" s="37" t="s">
        <v>14</v>
      </c>
      <c r="F2" s="38"/>
      <c r="G2" s="39"/>
      <c r="H2" s="40"/>
      <c r="I2" s="40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41"/>
      <c r="B3" s="38"/>
      <c r="C3" s="38"/>
      <c r="D3" s="38"/>
      <c r="E3" s="42" t="s">
        <v>15</v>
      </c>
      <c r="F3" s="43" t="s">
        <v>5</v>
      </c>
      <c r="G3" s="39"/>
      <c r="H3" s="44" t="s">
        <v>6</v>
      </c>
      <c r="I3" s="45" t="s">
        <v>7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24.75" customHeight="1">
      <c r="A4" s="46"/>
      <c r="B4" s="47"/>
      <c r="C4" s="48" t="str">
        <f>vlookup(B4,'Crew Data'!C:G,5,0)</f>
        <v>#N/A</v>
      </c>
      <c r="D4" s="49"/>
      <c r="E4" s="47"/>
      <c r="F4" s="50">
        <f>E4*400</f>
        <v>0</v>
      </c>
      <c r="G4" s="22">
        <f>COUNTIF(B:B,B4)</f>
        <v>0</v>
      </c>
      <c r="H4" s="5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D5" s="52"/>
    </row>
    <row r="6">
      <c r="D6" s="52"/>
    </row>
    <row r="7" ht="44.25" customHeight="1">
      <c r="A7" s="53" t="s">
        <v>16</v>
      </c>
    </row>
    <row r="8">
      <c r="D8" s="52"/>
    </row>
    <row r="9">
      <c r="D9" s="52"/>
    </row>
    <row r="10">
      <c r="D10" s="52"/>
    </row>
    <row r="11">
      <c r="D11" s="52"/>
    </row>
    <row r="12">
      <c r="D12" s="52"/>
    </row>
    <row r="13">
      <c r="D13" s="52"/>
    </row>
    <row r="14">
      <c r="D14" s="52"/>
    </row>
    <row r="15">
      <c r="D15" s="52"/>
    </row>
    <row r="16">
      <c r="D16" s="52"/>
    </row>
    <row r="17">
      <c r="D17" s="52"/>
    </row>
    <row r="18">
      <c r="D18" s="52"/>
    </row>
    <row r="19">
      <c r="D19" s="52"/>
    </row>
    <row r="20">
      <c r="D20" s="52"/>
    </row>
    <row r="21">
      <c r="D21" s="52"/>
    </row>
    <row r="22">
      <c r="D22" s="52"/>
    </row>
    <row r="23">
      <c r="D23" s="52"/>
    </row>
    <row r="24">
      <c r="D24" s="52"/>
    </row>
    <row r="25">
      <c r="D25" s="52"/>
    </row>
    <row r="26">
      <c r="D26" s="52"/>
    </row>
    <row r="27">
      <c r="D27" s="52"/>
    </row>
    <row r="28">
      <c r="D28" s="52"/>
    </row>
    <row r="29">
      <c r="D29" s="52"/>
    </row>
    <row r="30">
      <c r="D30" s="52"/>
    </row>
    <row r="31">
      <c r="D31" s="52"/>
    </row>
    <row r="32">
      <c r="D32" s="52"/>
    </row>
    <row r="33">
      <c r="D33" s="52"/>
    </row>
    <row r="34">
      <c r="D34" s="52"/>
    </row>
    <row r="35">
      <c r="D35" s="52"/>
    </row>
    <row r="36">
      <c r="D36" s="52"/>
    </row>
    <row r="37">
      <c r="D37" s="52"/>
    </row>
    <row r="38">
      <c r="D38" s="52"/>
    </row>
    <row r="39">
      <c r="D39" s="52"/>
    </row>
    <row r="40">
      <c r="D40" s="52"/>
    </row>
    <row r="41">
      <c r="D41" s="52"/>
    </row>
    <row r="42">
      <c r="D42" s="52"/>
    </row>
    <row r="43">
      <c r="D43" s="52"/>
    </row>
    <row r="44">
      <c r="D44" s="52"/>
    </row>
    <row r="45">
      <c r="D45" s="52"/>
    </row>
    <row r="46">
      <c r="D46" s="52"/>
    </row>
    <row r="47">
      <c r="D47" s="52"/>
    </row>
    <row r="48">
      <c r="D48" s="52"/>
    </row>
    <row r="49">
      <c r="D49" s="52"/>
    </row>
    <row r="50">
      <c r="D50" s="52"/>
    </row>
    <row r="51">
      <c r="D51" s="52"/>
    </row>
    <row r="52">
      <c r="D52" s="52"/>
    </row>
    <row r="53">
      <c r="D53" s="52"/>
    </row>
    <row r="54">
      <c r="D54" s="52"/>
    </row>
    <row r="55">
      <c r="D55" s="52"/>
    </row>
    <row r="56">
      <c r="D56" s="52"/>
    </row>
    <row r="57">
      <c r="D57" s="52"/>
    </row>
    <row r="58">
      <c r="D58" s="52"/>
    </row>
    <row r="59">
      <c r="D59" s="52"/>
    </row>
    <row r="60">
      <c r="D60" s="52"/>
    </row>
    <row r="61">
      <c r="D61" s="52"/>
    </row>
    <row r="62">
      <c r="D62" s="52"/>
    </row>
    <row r="63">
      <c r="D63" s="52"/>
    </row>
    <row r="64">
      <c r="D64" s="52"/>
    </row>
    <row r="65">
      <c r="D65" s="52"/>
    </row>
    <row r="66">
      <c r="D66" s="52"/>
    </row>
    <row r="67">
      <c r="D67" s="52"/>
    </row>
    <row r="68">
      <c r="D68" s="52"/>
    </row>
    <row r="69">
      <c r="D69" s="52"/>
    </row>
    <row r="70">
      <c r="D70" s="52"/>
    </row>
    <row r="71">
      <c r="D71" s="52"/>
    </row>
    <row r="72">
      <c r="D72" s="52"/>
    </row>
    <row r="73">
      <c r="D73" s="52"/>
    </row>
    <row r="74">
      <c r="D74" s="52"/>
    </row>
    <row r="75">
      <c r="D75" s="52"/>
    </row>
    <row r="76">
      <c r="D76" s="52"/>
    </row>
    <row r="77">
      <c r="D77" s="52"/>
    </row>
    <row r="78">
      <c r="D78" s="52"/>
    </row>
    <row r="79">
      <c r="D79" s="52"/>
    </row>
    <row r="80">
      <c r="D80" s="52"/>
    </row>
    <row r="81">
      <c r="D81" s="52"/>
    </row>
    <row r="82">
      <c r="D82" s="52"/>
    </row>
    <row r="83">
      <c r="D83" s="52"/>
    </row>
    <row r="84">
      <c r="D84" s="52"/>
    </row>
    <row r="85">
      <c r="D85" s="52"/>
    </row>
    <row r="86">
      <c r="D86" s="52"/>
    </row>
    <row r="87">
      <c r="D87" s="52"/>
    </row>
    <row r="88">
      <c r="D88" s="52"/>
    </row>
    <row r="89">
      <c r="D89" s="52"/>
    </row>
    <row r="90">
      <c r="D90" s="52"/>
    </row>
    <row r="91">
      <c r="D91" s="52"/>
    </row>
    <row r="92">
      <c r="D92" s="52"/>
    </row>
    <row r="93">
      <c r="D93" s="52"/>
    </row>
    <row r="94">
      <c r="D94" s="52"/>
    </row>
    <row r="95">
      <c r="D95" s="52"/>
    </row>
    <row r="96">
      <c r="D96" s="52"/>
    </row>
    <row r="97">
      <c r="D97" s="52"/>
    </row>
    <row r="98">
      <c r="D98" s="52"/>
    </row>
    <row r="99">
      <c r="D99" s="52"/>
    </row>
    <row r="100">
      <c r="D100" s="52"/>
    </row>
    <row r="101">
      <c r="D101" s="52"/>
    </row>
    <row r="102">
      <c r="D102" s="52"/>
    </row>
    <row r="103">
      <c r="D103" s="52"/>
    </row>
    <row r="104">
      <c r="D104" s="52"/>
    </row>
    <row r="105">
      <c r="D105" s="52"/>
    </row>
    <row r="106">
      <c r="D106" s="52"/>
    </row>
    <row r="107">
      <c r="D107" s="52"/>
    </row>
    <row r="108">
      <c r="D108" s="52"/>
    </row>
    <row r="109">
      <c r="D109" s="52"/>
    </row>
    <row r="110">
      <c r="D110" s="52"/>
    </row>
    <row r="111">
      <c r="D111" s="52"/>
    </row>
    <row r="112">
      <c r="D112" s="52"/>
    </row>
    <row r="113">
      <c r="D113" s="52"/>
    </row>
    <row r="114">
      <c r="D114" s="52"/>
    </row>
    <row r="115">
      <c r="D115" s="52"/>
    </row>
    <row r="116">
      <c r="D116" s="52"/>
    </row>
    <row r="117">
      <c r="D117" s="52"/>
    </row>
    <row r="118">
      <c r="D118" s="52"/>
    </row>
    <row r="119">
      <c r="D119" s="52"/>
    </row>
    <row r="120">
      <c r="D120" s="52"/>
    </row>
    <row r="121">
      <c r="D121" s="52"/>
    </row>
    <row r="122">
      <c r="D122" s="52"/>
    </row>
    <row r="123">
      <c r="D123" s="52"/>
    </row>
    <row r="124">
      <c r="D124" s="52"/>
    </row>
    <row r="125">
      <c r="D125" s="52"/>
    </row>
    <row r="126">
      <c r="D126" s="52"/>
    </row>
    <row r="127">
      <c r="D127" s="52"/>
    </row>
    <row r="128">
      <c r="D128" s="52"/>
    </row>
    <row r="129">
      <c r="D129" s="52"/>
    </row>
    <row r="130">
      <c r="D130" s="52"/>
    </row>
    <row r="131">
      <c r="D131" s="52"/>
    </row>
    <row r="132">
      <c r="D132" s="52"/>
    </row>
    <row r="133">
      <c r="D133" s="52"/>
    </row>
    <row r="134">
      <c r="D134" s="52"/>
    </row>
    <row r="135">
      <c r="D135" s="52"/>
    </row>
    <row r="136">
      <c r="D136" s="52"/>
    </row>
    <row r="137">
      <c r="D137" s="52"/>
    </row>
    <row r="138">
      <c r="D138" s="52"/>
    </row>
    <row r="139">
      <c r="D139" s="52"/>
    </row>
    <row r="140">
      <c r="D140" s="52"/>
    </row>
    <row r="141">
      <c r="D141" s="52"/>
    </row>
    <row r="142">
      <c r="D142" s="52"/>
    </row>
    <row r="143">
      <c r="D143" s="52"/>
    </row>
    <row r="144">
      <c r="D144" s="52"/>
    </row>
    <row r="145">
      <c r="D145" s="52"/>
    </row>
    <row r="146">
      <c r="D146" s="52"/>
    </row>
    <row r="147">
      <c r="D147" s="52"/>
    </row>
    <row r="148">
      <c r="D148" s="52"/>
    </row>
    <row r="149">
      <c r="D149" s="52"/>
    </row>
    <row r="150">
      <c r="D150" s="52"/>
    </row>
    <row r="151">
      <c r="D151" s="52"/>
    </row>
    <row r="152">
      <c r="D152" s="52"/>
    </row>
    <row r="153">
      <c r="D153" s="52"/>
    </row>
    <row r="154">
      <c r="D154" s="52"/>
    </row>
    <row r="155">
      <c r="D155" s="52"/>
    </row>
    <row r="156">
      <c r="D156" s="52"/>
    </row>
    <row r="157">
      <c r="D157" s="52"/>
    </row>
    <row r="158">
      <c r="D158" s="52"/>
    </row>
    <row r="159">
      <c r="D159" s="52"/>
    </row>
    <row r="160">
      <c r="D160" s="52"/>
    </row>
    <row r="161">
      <c r="D161" s="52"/>
    </row>
    <row r="162">
      <c r="D162" s="52"/>
    </row>
    <row r="163">
      <c r="D163" s="52"/>
    </row>
    <row r="164">
      <c r="D164" s="52"/>
    </row>
    <row r="165">
      <c r="D165" s="52"/>
    </row>
    <row r="166">
      <c r="D166" s="52"/>
    </row>
    <row r="167">
      <c r="D167" s="52"/>
    </row>
    <row r="168">
      <c r="D168" s="52"/>
    </row>
    <row r="169">
      <c r="D169" s="52"/>
    </row>
    <row r="170">
      <c r="D170" s="52"/>
    </row>
    <row r="171">
      <c r="D171" s="52"/>
    </row>
    <row r="172">
      <c r="D172" s="52"/>
    </row>
    <row r="173">
      <c r="D173" s="52"/>
    </row>
    <row r="174">
      <c r="D174" s="52"/>
    </row>
    <row r="175">
      <c r="D175" s="52"/>
    </row>
    <row r="176">
      <c r="D176" s="52"/>
    </row>
    <row r="177">
      <c r="D177" s="52"/>
    </row>
    <row r="178">
      <c r="D178" s="52"/>
    </row>
    <row r="179">
      <c r="D179" s="52"/>
    </row>
    <row r="180">
      <c r="D180" s="52"/>
    </row>
    <row r="181">
      <c r="D181" s="52"/>
    </row>
    <row r="182">
      <c r="D182" s="52"/>
    </row>
    <row r="183">
      <c r="D183" s="52"/>
    </row>
    <row r="184">
      <c r="D184" s="52"/>
    </row>
    <row r="185">
      <c r="D185" s="52"/>
    </row>
    <row r="186">
      <c r="D186" s="52"/>
    </row>
    <row r="187">
      <c r="D187" s="52"/>
    </row>
    <row r="188">
      <c r="D188" s="52"/>
    </row>
    <row r="189">
      <c r="D189" s="52"/>
    </row>
    <row r="190">
      <c r="D190" s="52"/>
    </row>
    <row r="191">
      <c r="D191" s="52"/>
    </row>
    <row r="192">
      <c r="D192" s="52"/>
    </row>
    <row r="193">
      <c r="D193" s="52"/>
    </row>
    <row r="194">
      <c r="D194" s="52"/>
    </row>
    <row r="195">
      <c r="D195" s="52"/>
    </row>
    <row r="196">
      <c r="D196" s="52"/>
    </row>
    <row r="197">
      <c r="D197" s="52"/>
    </row>
    <row r="198">
      <c r="D198" s="52"/>
    </row>
    <row r="199">
      <c r="D199" s="52"/>
    </row>
    <row r="200">
      <c r="D200" s="52"/>
    </row>
    <row r="201">
      <c r="D201" s="52"/>
    </row>
    <row r="202">
      <c r="D202" s="52"/>
    </row>
    <row r="203">
      <c r="D203" s="52"/>
    </row>
    <row r="204">
      <c r="D204" s="52"/>
    </row>
    <row r="205">
      <c r="D205" s="52"/>
    </row>
    <row r="206">
      <c r="D206" s="52"/>
    </row>
    <row r="207">
      <c r="D207" s="52"/>
    </row>
    <row r="208">
      <c r="D208" s="52"/>
    </row>
    <row r="209">
      <c r="D209" s="52"/>
    </row>
    <row r="210">
      <c r="D210" s="52"/>
    </row>
    <row r="211">
      <c r="D211" s="52"/>
    </row>
    <row r="212">
      <c r="D212" s="52"/>
    </row>
    <row r="213">
      <c r="D213" s="52"/>
    </row>
    <row r="214">
      <c r="D214" s="52"/>
    </row>
    <row r="215">
      <c r="D215" s="52"/>
    </row>
    <row r="216">
      <c r="D216" s="52"/>
    </row>
    <row r="217">
      <c r="D217" s="52"/>
    </row>
    <row r="218">
      <c r="D218" s="52"/>
    </row>
    <row r="219">
      <c r="D219" s="52"/>
    </row>
    <row r="220">
      <c r="D220" s="52"/>
    </row>
    <row r="221">
      <c r="D221" s="52"/>
    </row>
    <row r="222">
      <c r="D222" s="52"/>
    </row>
    <row r="223">
      <c r="D223" s="52"/>
    </row>
    <row r="224">
      <c r="D224" s="52"/>
    </row>
    <row r="225">
      <c r="D225" s="52"/>
    </row>
    <row r="226">
      <c r="D226" s="52"/>
    </row>
    <row r="227">
      <c r="D227" s="52"/>
    </row>
    <row r="228">
      <c r="D228" s="52"/>
    </row>
    <row r="229">
      <c r="D229" s="52"/>
    </row>
    <row r="230">
      <c r="D230" s="52"/>
    </row>
    <row r="231">
      <c r="D231" s="52"/>
    </row>
    <row r="232">
      <c r="D232" s="52"/>
    </row>
    <row r="233">
      <c r="D233" s="52"/>
    </row>
    <row r="234">
      <c r="D234" s="52"/>
    </row>
    <row r="235">
      <c r="D235" s="52"/>
    </row>
    <row r="236">
      <c r="D236" s="52"/>
    </row>
    <row r="237">
      <c r="D237" s="52"/>
    </row>
    <row r="238">
      <c r="D238" s="52"/>
    </row>
    <row r="239">
      <c r="D239" s="52"/>
    </row>
    <row r="240">
      <c r="D240" s="52"/>
    </row>
    <row r="241">
      <c r="D241" s="52"/>
    </row>
    <row r="242">
      <c r="D242" s="52"/>
    </row>
    <row r="243">
      <c r="D243" s="52"/>
    </row>
    <row r="244">
      <c r="D244" s="52"/>
    </row>
    <row r="245">
      <c r="D245" s="52"/>
    </row>
    <row r="246">
      <c r="D246" s="52"/>
    </row>
    <row r="247">
      <c r="D247" s="52"/>
    </row>
    <row r="248">
      <c r="D248" s="52"/>
    </row>
    <row r="249">
      <c r="D249" s="52"/>
    </row>
    <row r="250">
      <c r="D250" s="52"/>
    </row>
    <row r="251">
      <c r="D251" s="52"/>
    </row>
    <row r="252">
      <c r="D252" s="52"/>
    </row>
    <row r="253">
      <c r="D253" s="52"/>
    </row>
    <row r="254">
      <c r="D254" s="52"/>
    </row>
    <row r="255">
      <c r="D255" s="52"/>
    </row>
    <row r="256">
      <c r="D256" s="52"/>
    </row>
    <row r="257">
      <c r="D257" s="52"/>
    </row>
    <row r="258">
      <c r="D258" s="52"/>
    </row>
    <row r="259">
      <c r="D259" s="52"/>
    </row>
    <row r="260">
      <c r="D260" s="52"/>
    </row>
    <row r="261">
      <c r="D261" s="52"/>
    </row>
    <row r="262">
      <c r="D262" s="52"/>
    </row>
    <row r="263">
      <c r="D263" s="52"/>
    </row>
    <row r="264">
      <c r="D264" s="52"/>
    </row>
    <row r="265">
      <c r="D265" s="52"/>
    </row>
    <row r="266">
      <c r="D266" s="52"/>
    </row>
    <row r="267">
      <c r="D267" s="52"/>
    </row>
    <row r="268">
      <c r="D268" s="52"/>
    </row>
    <row r="269">
      <c r="D269" s="52"/>
    </row>
    <row r="270">
      <c r="D270" s="52"/>
    </row>
    <row r="271">
      <c r="D271" s="52"/>
    </row>
    <row r="272">
      <c r="D272" s="52"/>
    </row>
    <row r="273">
      <c r="D273" s="52"/>
    </row>
    <row r="274">
      <c r="D274" s="52"/>
    </row>
    <row r="275">
      <c r="D275" s="52"/>
    </row>
    <row r="276">
      <c r="D276" s="52"/>
    </row>
    <row r="277">
      <c r="D277" s="52"/>
    </row>
    <row r="278">
      <c r="D278" s="52"/>
    </row>
    <row r="279">
      <c r="D279" s="52"/>
    </row>
    <row r="280">
      <c r="D280" s="52"/>
    </row>
    <row r="281">
      <c r="D281" s="52"/>
    </row>
    <row r="282">
      <c r="D282" s="52"/>
    </row>
    <row r="283">
      <c r="D283" s="52"/>
    </row>
    <row r="284">
      <c r="D284" s="52"/>
    </row>
    <row r="285">
      <c r="D285" s="52"/>
    </row>
    <row r="286">
      <c r="D286" s="52"/>
    </row>
    <row r="287">
      <c r="D287" s="52"/>
    </row>
    <row r="288">
      <c r="D288" s="52"/>
    </row>
    <row r="289">
      <c r="D289" s="52"/>
    </row>
    <row r="290">
      <c r="D290" s="52"/>
    </row>
    <row r="291">
      <c r="D291" s="52"/>
    </row>
    <row r="292">
      <c r="D292" s="52"/>
    </row>
    <row r="293">
      <c r="D293" s="52"/>
    </row>
    <row r="294">
      <c r="D294" s="52"/>
    </row>
    <row r="295">
      <c r="D295" s="52"/>
    </row>
    <row r="296">
      <c r="D296" s="52"/>
    </row>
    <row r="297">
      <c r="D297" s="52"/>
    </row>
    <row r="298">
      <c r="D298" s="52"/>
    </row>
    <row r="299">
      <c r="D299" s="52"/>
    </row>
    <row r="300">
      <c r="D300" s="52"/>
    </row>
    <row r="301">
      <c r="D301" s="52"/>
    </row>
    <row r="302">
      <c r="D302" s="52"/>
    </row>
    <row r="303">
      <c r="D303" s="52"/>
    </row>
    <row r="304">
      <c r="D304" s="52"/>
    </row>
    <row r="305">
      <c r="D305" s="52"/>
    </row>
    <row r="306">
      <c r="D306" s="52"/>
    </row>
    <row r="307">
      <c r="D307" s="52"/>
    </row>
    <row r="308">
      <c r="D308" s="52"/>
    </row>
    <row r="309">
      <c r="D309" s="52"/>
    </row>
    <row r="310">
      <c r="D310" s="52"/>
    </row>
    <row r="311">
      <c r="D311" s="52"/>
    </row>
    <row r="312">
      <c r="D312" s="52"/>
    </row>
    <row r="313">
      <c r="D313" s="52"/>
    </row>
    <row r="314">
      <c r="D314" s="52"/>
    </row>
    <row r="315">
      <c r="D315" s="52"/>
    </row>
    <row r="316">
      <c r="D316" s="52"/>
    </row>
    <row r="317">
      <c r="D317" s="52"/>
    </row>
    <row r="318">
      <c r="D318" s="52"/>
    </row>
    <row r="319">
      <c r="D319" s="52"/>
    </row>
    <row r="320">
      <c r="D320" s="52"/>
    </row>
    <row r="321">
      <c r="D321" s="52"/>
    </row>
    <row r="322">
      <c r="D322" s="52"/>
    </row>
    <row r="323">
      <c r="D323" s="52"/>
    </row>
    <row r="324">
      <c r="D324" s="52"/>
    </row>
    <row r="325">
      <c r="D325" s="52"/>
    </row>
    <row r="326">
      <c r="D326" s="52"/>
    </row>
    <row r="327">
      <c r="D327" s="52"/>
    </row>
    <row r="328">
      <c r="D328" s="52"/>
    </row>
    <row r="329">
      <c r="D329" s="52"/>
    </row>
    <row r="330">
      <c r="D330" s="52"/>
    </row>
    <row r="331">
      <c r="D331" s="52"/>
    </row>
    <row r="332">
      <c r="D332" s="52"/>
    </row>
    <row r="333">
      <c r="D333" s="52"/>
    </row>
    <row r="334">
      <c r="D334" s="52"/>
    </row>
    <row r="335">
      <c r="D335" s="52"/>
    </row>
    <row r="336">
      <c r="D336" s="52"/>
    </row>
    <row r="337">
      <c r="D337" s="52"/>
    </row>
    <row r="338">
      <c r="D338" s="52"/>
    </row>
    <row r="339">
      <c r="D339" s="52"/>
    </row>
    <row r="340">
      <c r="D340" s="52"/>
    </row>
    <row r="341">
      <c r="D341" s="52"/>
    </row>
    <row r="342">
      <c r="D342" s="52"/>
    </row>
    <row r="343">
      <c r="D343" s="52"/>
    </row>
    <row r="344">
      <c r="D344" s="52"/>
    </row>
    <row r="345">
      <c r="D345" s="52"/>
    </row>
    <row r="346">
      <c r="D346" s="52"/>
    </row>
    <row r="347">
      <c r="D347" s="52"/>
    </row>
    <row r="348">
      <c r="D348" s="52"/>
    </row>
    <row r="349">
      <c r="D349" s="52"/>
    </row>
    <row r="350">
      <c r="D350" s="52"/>
    </row>
    <row r="351">
      <c r="D351" s="52"/>
    </row>
    <row r="352">
      <c r="D352" s="52"/>
    </row>
    <row r="353">
      <c r="D353" s="52"/>
    </row>
    <row r="354">
      <c r="D354" s="52"/>
    </row>
    <row r="355">
      <c r="D355" s="52"/>
    </row>
    <row r="356">
      <c r="D356" s="52"/>
    </row>
    <row r="357">
      <c r="D357" s="52"/>
    </row>
    <row r="358">
      <c r="D358" s="52"/>
    </row>
    <row r="359">
      <c r="D359" s="52"/>
    </row>
    <row r="360">
      <c r="D360" s="52"/>
    </row>
    <row r="361">
      <c r="D361" s="52"/>
    </row>
    <row r="362">
      <c r="D362" s="52"/>
    </row>
    <row r="363">
      <c r="D363" s="52"/>
    </row>
    <row r="364">
      <c r="D364" s="52"/>
    </row>
    <row r="365">
      <c r="D365" s="52"/>
    </row>
    <row r="366">
      <c r="D366" s="52"/>
    </row>
    <row r="367">
      <c r="D367" s="52"/>
    </row>
    <row r="368">
      <c r="D368" s="52"/>
    </row>
    <row r="369">
      <c r="D369" s="52"/>
    </row>
    <row r="370">
      <c r="D370" s="52"/>
    </row>
    <row r="371">
      <c r="D371" s="52"/>
    </row>
    <row r="372">
      <c r="D372" s="52"/>
    </row>
    <row r="373">
      <c r="D373" s="52"/>
    </row>
    <row r="374">
      <c r="D374" s="52"/>
    </row>
    <row r="375">
      <c r="D375" s="52"/>
    </row>
    <row r="376">
      <c r="D376" s="52"/>
    </row>
    <row r="377">
      <c r="D377" s="52"/>
    </row>
    <row r="378">
      <c r="D378" s="52"/>
    </row>
    <row r="379">
      <c r="D379" s="52"/>
    </row>
    <row r="380">
      <c r="D380" s="52"/>
    </row>
    <row r="381">
      <c r="D381" s="52"/>
    </row>
    <row r="382">
      <c r="D382" s="52"/>
    </row>
    <row r="383">
      <c r="D383" s="52"/>
    </row>
    <row r="384">
      <c r="D384" s="52"/>
    </row>
    <row r="385">
      <c r="D385" s="52"/>
    </row>
    <row r="386">
      <c r="D386" s="52"/>
    </row>
    <row r="387">
      <c r="D387" s="52"/>
    </row>
    <row r="388">
      <c r="D388" s="52"/>
    </row>
    <row r="389">
      <c r="D389" s="52"/>
    </row>
    <row r="390">
      <c r="D390" s="52"/>
    </row>
    <row r="391">
      <c r="D391" s="52"/>
    </row>
    <row r="392">
      <c r="D392" s="52"/>
    </row>
    <row r="393">
      <c r="D393" s="52"/>
    </row>
    <row r="394">
      <c r="D394" s="52"/>
    </row>
    <row r="395">
      <c r="D395" s="52"/>
    </row>
    <row r="396">
      <c r="D396" s="52"/>
    </row>
    <row r="397">
      <c r="D397" s="52"/>
    </row>
    <row r="398">
      <c r="D398" s="52"/>
    </row>
    <row r="399">
      <c r="D399" s="52"/>
    </row>
    <row r="400">
      <c r="D400" s="52"/>
    </row>
    <row r="401">
      <c r="D401" s="52"/>
    </row>
    <row r="402">
      <c r="D402" s="52"/>
    </row>
    <row r="403">
      <c r="D403" s="52"/>
    </row>
    <row r="404">
      <c r="D404" s="52"/>
    </row>
    <row r="405">
      <c r="D405" s="52"/>
    </row>
    <row r="406">
      <c r="D406" s="52"/>
    </row>
    <row r="407">
      <c r="D407" s="52"/>
    </row>
    <row r="408">
      <c r="D408" s="52"/>
    </row>
    <row r="409">
      <c r="D409" s="52"/>
    </row>
    <row r="410">
      <c r="D410" s="52"/>
    </row>
    <row r="411">
      <c r="D411" s="52"/>
    </row>
    <row r="412">
      <c r="D412" s="52"/>
    </row>
    <row r="413">
      <c r="D413" s="52"/>
    </row>
    <row r="414">
      <c r="D414" s="52"/>
    </row>
    <row r="415">
      <c r="D415" s="52"/>
    </row>
    <row r="416">
      <c r="D416" s="52"/>
    </row>
    <row r="417">
      <c r="D417" s="52"/>
    </row>
    <row r="418">
      <c r="D418" s="52"/>
    </row>
    <row r="419">
      <c r="D419" s="52"/>
    </row>
    <row r="420">
      <c r="D420" s="52"/>
    </row>
    <row r="421">
      <c r="D421" s="52"/>
    </row>
    <row r="422">
      <c r="D422" s="52"/>
    </row>
    <row r="423">
      <c r="D423" s="52"/>
    </row>
    <row r="424">
      <c r="D424" s="52"/>
    </row>
    <row r="425">
      <c r="D425" s="52"/>
    </row>
    <row r="426">
      <c r="D426" s="52"/>
    </row>
    <row r="427">
      <c r="D427" s="52"/>
    </row>
    <row r="428">
      <c r="D428" s="52"/>
    </row>
    <row r="429">
      <c r="D429" s="52"/>
    </row>
    <row r="430">
      <c r="D430" s="52"/>
    </row>
    <row r="431">
      <c r="D431" s="52"/>
    </row>
    <row r="432">
      <c r="D432" s="52"/>
    </row>
    <row r="433">
      <c r="D433" s="52"/>
    </row>
    <row r="434">
      <c r="D434" s="52"/>
    </row>
    <row r="435">
      <c r="D435" s="52"/>
    </row>
    <row r="436">
      <c r="D436" s="52"/>
    </row>
    <row r="437">
      <c r="D437" s="52"/>
    </row>
    <row r="438">
      <c r="D438" s="52"/>
    </row>
    <row r="439">
      <c r="D439" s="52"/>
    </row>
    <row r="440">
      <c r="D440" s="52"/>
    </row>
    <row r="441">
      <c r="D441" s="52"/>
    </row>
    <row r="442">
      <c r="D442" s="52"/>
    </row>
    <row r="443">
      <c r="D443" s="52"/>
    </row>
    <row r="444">
      <c r="D444" s="52"/>
    </row>
    <row r="445">
      <c r="D445" s="52"/>
    </row>
    <row r="446">
      <c r="D446" s="52"/>
    </row>
    <row r="447">
      <c r="D447" s="52"/>
    </row>
    <row r="448">
      <c r="D448" s="52"/>
    </row>
    <row r="449">
      <c r="D449" s="52"/>
    </row>
    <row r="450">
      <c r="D450" s="52"/>
    </row>
    <row r="451">
      <c r="D451" s="52"/>
    </row>
    <row r="452">
      <c r="D452" s="52"/>
    </row>
    <row r="453">
      <c r="D453" s="52"/>
    </row>
    <row r="454">
      <c r="D454" s="52"/>
    </row>
    <row r="455">
      <c r="D455" s="52"/>
    </row>
    <row r="456">
      <c r="D456" s="52"/>
    </row>
    <row r="457">
      <c r="D457" s="52"/>
    </row>
    <row r="458">
      <c r="D458" s="52"/>
    </row>
    <row r="459">
      <c r="D459" s="52"/>
    </row>
    <row r="460">
      <c r="D460" s="52"/>
    </row>
    <row r="461">
      <c r="D461" s="52"/>
    </row>
    <row r="462">
      <c r="D462" s="52"/>
    </row>
    <row r="463">
      <c r="D463" s="52"/>
    </row>
    <row r="464">
      <c r="D464" s="52"/>
    </row>
    <row r="465">
      <c r="D465" s="52"/>
    </row>
    <row r="466">
      <c r="D466" s="52"/>
    </row>
    <row r="467">
      <c r="D467" s="52"/>
    </row>
    <row r="468">
      <c r="D468" s="52"/>
    </row>
    <row r="469">
      <c r="D469" s="52"/>
    </row>
    <row r="470">
      <c r="D470" s="52"/>
    </row>
    <row r="471">
      <c r="D471" s="52"/>
    </row>
    <row r="472">
      <c r="D472" s="52"/>
    </row>
    <row r="473">
      <c r="D473" s="52"/>
    </row>
    <row r="474">
      <c r="D474" s="52"/>
    </row>
    <row r="475">
      <c r="D475" s="52"/>
    </row>
    <row r="476">
      <c r="D476" s="52"/>
    </row>
    <row r="477">
      <c r="D477" s="52"/>
    </row>
    <row r="478">
      <c r="D478" s="52"/>
    </row>
    <row r="479">
      <c r="D479" s="52"/>
    </row>
    <row r="480">
      <c r="D480" s="52"/>
    </row>
    <row r="481">
      <c r="D481" s="52"/>
    </row>
    <row r="482">
      <c r="D482" s="52"/>
    </row>
    <row r="483">
      <c r="D483" s="52"/>
    </row>
    <row r="484">
      <c r="D484" s="52"/>
    </row>
    <row r="485">
      <c r="D485" s="52"/>
    </row>
    <row r="486">
      <c r="D486" s="52"/>
    </row>
    <row r="487">
      <c r="D487" s="52"/>
    </row>
    <row r="488">
      <c r="D488" s="52"/>
    </row>
    <row r="489">
      <c r="D489" s="52"/>
    </row>
    <row r="490">
      <c r="D490" s="52"/>
    </row>
    <row r="491">
      <c r="D491" s="52"/>
    </row>
    <row r="492">
      <c r="D492" s="52"/>
    </row>
    <row r="493">
      <c r="D493" s="52"/>
    </row>
    <row r="494">
      <c r="D494" s="52"/>
    </row>
    <row r="495">
      <c r="D495" s="52"/>
    </row>
    <row r="496">
      <c r="D496" s="52"/>
    </row>
    <row r="497">
      <c r="D497" s="52"/>
    </row>
    <row r="498">
      <c r="D498" s="52"/>
    </row>
    <row r="499">
      <c r="D499" s="52"/>
    </row>
    <row r="500">
      <c r="D500" s="52"/>
    </row>
    <row r="501">
      <c r="D501" s="52"/>
    </row>
    <row r="502">
      <c r="D502" s="52"/>
    </row>
    <row r="503">
      <c r="D503" s="52"/>
    </row>
    <row r="504">
      <c r="D504" s="52"/>
    </row>
    <row r="505">
      <c r="D505" s="52"/>
    </row>
    <row r="506">
      <c r="D506" s="52"/>
    </row>
    <row r="507">
      <c r="D507" s="52"/>
    </row>
    <row r="508">
      <c r="D508" s="52"/>
    </row>
    <row r="509">
      <c r="D509" s="52"/>
    </row>
    <row r="510">
      <c r="D510" s="52"/>
    </row>
    <row r="511">
      <c r="D511" s="52"/>
    </row>
    <row r="512">
      <c r="D512" s="52"/>
    </row>
    <row r="513">
      <c r="D513" s="52"/>
    </row>
    <row r="514">
      <c r="D514" s="52"/>
    </row>
    <row r="515">
      <c r="D515" s="52"/>
    </row>
    <row r="516">
      <c r="D516" s="52"/>
    </row>
    <row r="517">
      <c r="D517" s="52"/>
    </row>
    <row r="518">
      <c r="D518" s="52"/>
    </row>
    <row r="519">
      <c r="D519" s="52"/>
    </row>
    <row r="520">
      <c r="D520" s="52"/>
    </row>
    <row r="521">
      <c r="D521" s="52"/>
    </row>
    <row r="522">
      <c r="D522" s="52"/>
    </row>
    <row r="523">
      <c r="D523" s="52"/>
    </row>
    <row r="524">
      <c r="D524" s="52"/>
    </row>
    <row r="525">
      <c r="D525" s="52"/>
    </row>
    <row r="526">
      <c r="D526" s="52"/>
    </row>
    <row r="527">
      <c r="D527" s="52"/>
    </row>
    <row r="528">
      <c r="D528" s="52"/>
    </row>
    <row r="529">
      <c r="D529" s="52"/>
    </row>
    <row r="530">
      <c r="D530" s="52"/>
    </row>
    <row r="531">
      <c r="D531" s="52"/>
    </row>
    <row r="532">
      <c r="D532" s="52"/>
    </row>
    <row r="533">
      <c r="D533" s="52"/>
    </row>
    <row r="534">
      <c r="D534" s="52"/>
    </row>
    <row r="535">
      <c r="D535" s="52"/>
    </row>
    <row r="536">
      <c r="D536" s="52"/>
    </row>
    <row r="537">
      <c r="D537" s="52"/>
    </row>
    <row r="538">
      <c r="D538" s="52"/>
    </row>
    <row r="539">
      <c r="D539" s="52"/>
    </row>
    <row r="540">
      <c r="D540" s="52"/>
    </row>
    <row r="541">
      <c r="D541" s="52"/>
    </row>
    <row r="542">
      <c r="D542" s="52"/>
    </row>
    <row r="543">
      <c r="D543" s="52"/>
    </row>
    <row r="544">
      <c r="D544" s="52"/>
    </row>
    <row r="545">
      <c r="D545" s="52"/>
    </row>
    <row r="546">
      <c r="D546" s="52"/>
    </row>
    <row r="547">
      <c r="D547" s="52"/>
    </row>
    <row r="548">
      <c r="D548" s="52"/>
    </row>
    <row r="549">
      <c r="D549" s="52"/>
    </row>
    <row r="550">
      <c r="D550" s="52"/>
    </row>
    <row r="551">
      <c r="D551" s="52"/>
    </row>
    <row r="552">
      <c r="D552" s="52"/>
    </row>
    <row r="553">
      <c r="D553" s="52"/>
    </row>
    <row r="554">
      <c r="D554" s="52"/>
    </row>
    <row r="555">
      <c r="D555" s="52"/>
    </row>
    <row r="556">
      <c r="D556" s="52"/>
    </row>
    <row r="557">
      <c r="D557" s="52"/>
    </row>
    <row r="558">
      <c r="D558" s="52"/>
    </row>
    <row r="559">
      <c r="D559" s="52"/>
    </row>
    <row r="560">
      <c r="D560" s="52"/>
    </row>
    <row r="561">
      <c r="D561" s="52"/>
    </row>
    <row r="562">
      <c r="D562" s="52"/>
    </row>
    <row r="563">
      <c r="D563" s="52"/>
    </row>
    <row r="564">
      <c r="D564" s="52"/>
    </row>
    <row r="565">
      <c r="D565" s="52"/>
    </row>
    <row r="566">
      <c r="D566" s="52"/>
    </row>
    <row r="567">
      <c r="D567" s="52"/>
    </row>
    <row r="568">
      <c r="D568" s="52"/>
    </row>
    <row r="569">
      <c r="D569" s="52"/>
    </row>
    <row r="570">
      <c r="D570" s="52"/>
    </row>
    <row r="571">
      <c r="D571" s="52"/>
    </row>
    <row r="572">
      <c r="D572" s="52"/>
    </row>
    <row r="573">
      <c r="D573" s="52"/>
    </row>
    <row r="574">
      <c r="D574" s="52"/>
    </row>
    <row r="575">
      <c r="D575" s="52"/>
    </row>
    <row r="576">
      <c r="D576" s="52"/>
    </row>
    <row r="577">
      <c r="D577" s="52"/>
    </row>
    <row r="578">
      <c r="D578" s="52"/>
    </row>
    <row r="579">
      <c r="D579" s="52"/>
    </row>
    <row r="580">
      <c r="D580" s="52"/>
    </row>
    <row r="581">
      <c r="D581" s="52"/>
    </row>
    <row r="582">
      <c r="D582" s="52"/>
    </row>
    <row r="583">
      <c r="D583" s="52"/>
    </row>
    <row r="584">
      <c r="D584" s="52"/>
    </row>
    <row r="585">
      <c r="D585" s="52"/>
    </row>
    <row r="586">
      <c r="D586" s="52"/>
    </row>
    <row r="587">
      <c r="D587" s="52"/>
    </row>
    <row r="588">
      <c r="D588" s="52"/>
    </row>
    <row r="589">
      <c r="D589" s="52"/>
    </row>
    <row r="590">
      <c r="D590" s="52"/>
    </row>
    <row r="591">
      <c r="D591" s="52"/>
    </row>
    <row r="592">
      <c r="D592" s="52"/>
    </row>
    <row r="593">
      <c r="D593" s="52"/>
    </row>
    <row r="594">
      <c r="D594" s="52"/>
    </row>
    <row r="595">
      <c r="D595" s="52"/>
    </row>
    <row r="596">
      <c r="D596" s="52"/>
    </row>
    <row r="597">
      <c r="D597" s="52"/>
    </row>
    <row r="598">
      <c r="D598" s="52"/>
    </row>
    <row r="599">
      <c r="D599" s="52"/>
    </row>
    <row r="600">
      <c r="D600" s="52"/>
    </row>
    <row r="601">
      <c r="D601" s="52"/>
    </row>
    <row r="602">
      <c r="D602" s="52"/>
    </row>
    <row r="603">
      <c r="D603" s="52"/>
    </row>
    <row r="604">
      <c r="D604" s="52"/>
    </row>
    <row r="605">
      <c r="D605" s="52"/>
    </row>
    <row r="606">
      <c r="D606" s="52"/>
    </row>
    <row r="607">
      <c r="D607" s="52"/>
    </row>
    <row r="608">
      <c r="D608" s="52"/>
    </row>
    <row r="609">
      <c r="D609" s="52"/>
    </row>
    <row r="610">
      <c r="D610" s="52"/>
    </row>
    <row r="611">
      <c r="D611" s="52"/>
    </row>
    <row r="612">
      <c r="D612" s="52"/>
    </row>
    <row r="613">
      <c r="D613" s="52"/>
    </row>
    <row r="614">
      <c r="D614" s="52"/>
    </row>
    <row r="615">
      <c r="D615" s="52"/>
    </row>
    <row r="616">
      <c r="D616" s="52"/>
    </row>
    <row r="617">
      <c r="D617" s="52"/>
    </row>
    <row r="618">
      <c r="D618" s="52"/>
    </row>
    <row r="619">
      <c r="D619" s="52"/>
    </row>
    <row r="620">
      <c r="D620" s="52"/>
    </row>
    <row r="621">
      <c r="D621" s="52"/>
    </row>
    <row r="622">
      <c r="D622" s="52"/>
    </row>
    <row r="623">
      <c r="D623" s="52"/>
    </row>
    <row r="624">
      <c r="D624" s="52"/>
    </row>
    <row r="625">
      <c r="D625" s="52"/>
    </row>
    <row r="626">
      <c r="D626" s="52"/>
    </row>
    <row r="627">
      <c r="D627" s="52"/>
    </row>
    <row r="628">
      <c r="D628" s="52"/>
    </row>
    <row r="629">
      <c r="D629" s="52"/>
    </row>
    <row r="630">
      <c r="D630" s="52"/>
    </row>
    <row r="631">
      <c r="D631" s="52"/>
    </row>
    <row r="632">
      <c r="D632" s="52"/>
    </row>
    <row r="633">
      <c r="D633" s="52"/>
    </row>
    <row r="634">
      <c r="D634" s="52"/>
    </row>
    <row r="635">
      <c r="D635" s="52"/>
    </row>
    <row r="636">
      <c r="D636" s="52"/>
    </row>
    <row r="637">
      <c r="D637" s="52"/>
    </row>
    <row r="638">
      <c r="D638" s="52"/>
    </row>
    <row r="639">
      <c r="D639" s="52"/>
    </row>
    <row r="640">
      <c r="D640" s="52"/>
    </row>
    <row r="641">
      <c r="D641" s="52"/>
    </row>
    <row r="642">
      <c r="D642" s="52"/>
    </row>
    <row r="643">
      <c r="D643" s="52"/>
    </row>
    <row r="644">
      <c r="D644" s="52"/>
    </row>
    <row r="645">
      <c r="D645" s="52"/>
    </row>
    <row r="646">
      <c r="D646" s="52"/>
    </row>
    <row r="647">
      <c r="D647" s="52"/>
    </row>
    <row r="648">
      <c r="D648" s="52"/>
    </row>
    <row r="649">
      <c r="D649" s="52"/>
    </row>
    <row r="650">
      <c r="D650" s="52"/>
    </row>
    <row r="651">
      <c r="D651" s="52"/>
    </row>
    <row r="652">
      <c r="D652" s="52"/>
    </row>
    <row r="653">
      <c r="D653" s="52"/>
    </row>
    <row r="654">
      <c r="D654" s="52"/>
    </row>
    <row r="655">
      <c r="D655" s="52"/>
    </row>
    <row r="656">
      <c r="D656" s="52"/>
    </row>
    <row r="657">
      <c r="D657" s="52"/>
    </row>
    <row r="658">
      <c r="D658" s="52"/>
    </row>
    <row r="659">
      <c r="D659" s="52"/>
    </row>
    <row r="660">
      <c r="D660" s="52"/>
    </row>
    <row r="661">
      <c r="D661" s="52"/>
    </row>
    <row r="662">
      <c r="D662" s="52"/>
    </row>
    <row r="663">
      <c r="D663" s="52"/>
    </row>
    <row r="664">
      <c r="D664" s="52"/>
    </row>
    <row r="665">
      <c r="D665" s="52"/>
    </row>
    <row r="666">
      <c r="D666" s="52"/>
    </row>
    <row r="667">
      <c r="D667" s="52"/>
    </row>
    <row r="668">
      <c r="D668" s="52"/>
    </row>
    <row r="669">
      <c r="D669" s="52"/>
    </row>
    <row r="670">
      <c r="D670" s="52"/>
    </row>
    <row r="671">
      <c r="D671" s="52"/>
    </row>
    <row r="672">
      <c r="D672" s="52"/>
    </row>
    <row r="673">
      <c r="D673" s="52"/>
    </row>
    <row r="674">
      <c r="D674" s="52"/>
    </row>
    <row r="675">
      <c r="D675" s="52"/>
    </row>
    <row r="676">
      <c r="D676" s="52"/>
    </row>
    <row r="677">
      <c r="D677" s="52"/>
    </row>
    <row r="678">
      <c r="D678" s="52"/>
    </row>
    <row r="679">
      <c r="D679" s="52"/>
    </row>
    <row r="680">
      <c r="D680" s="52"/>
    </row>
    <row r="681">
      <c r="D681" s="52"/>
    </row>
    <row r="682">
      <c r="D682" s="52"/>
    </row>
    <row r="683">
      <c r="D683" s="52"/>
    </row>
    <row r="684">
      <c r="D684" s="52"/>
    </row>
    <row r="685">
      <c r="D685" s="52"/>
    </row>
    <row r="686">
      <c r="D686" s="52"/>
    </row>
    <row r="687">
      <c r="D687" s="52"/>
    </row>
    <row r="688">
      <c r="D688" s="52"/>
    </row>
    <row r="689">
      <c r="D689" s="52"/>
    </row>
    <row r="690">
      <c r="D690" s="52"/>
    </row>
    <row r="691">
      <c r="D691" s="52"/>
    </row>
    <row r="692">
      <c r="D692" s="52"/>
    </row>
    <row r="693">
      <c r="D693" s="52"/>
    </row>
    <row r="694">
      <c r="D694" s="52"/>
    </row>
    <row r="695">
      <c r="D695" s="52"/>
    </row>
    <row r="696">
      <c r="D696" s="52"/>
    </row>
    <row r="697">
      <c r="D697" s="52"/>
    </row>
    <row r="698">
      <c r="D698" s="52"/>
    </row>
    <row r="699">
      <c r="D699" s="52"/>
    </row>
    <row r="700">
      <c r="D700" s="52"/>
    </row>
    <row r="701">
      <c r="D701" s="52"/>
    </row>
    <row r="702">
      <c r="D702" s="52"/>
    </row>
    <row r="703">
      <c r="D703" s="52"/>
    </row>
    <row r="704">
      <c r="D704" s="52"/>
    </row>
    <row r="705">
      <c r="D705" s="52"/>
    </row>
    <row r="706">
      <c r="D706" s="52"/>
    </row>
    <row r="707">
      <c r="D707" s="52"/>
    </row>
    <row r="708">
      <c r="D708" s="52"/>
    </row>
    <row r="709">
      <c r="D709" s="52"/>
    </row>
    <row r="710">
      <c r="D710" s="52"/>
    </row>
    <row r="711">
      <c r="D711" s="52"/>
    </row>
    <row r="712">
      <c r="D712" s="52"/>
    </row>
    <row r="713">
      <c r="D713" s="52"/>
    </row>
    <row r="714">
      <c r="D714" s="52"/>
    </row>
    <row r="715">
      <c r="D715" s="52"/>
    </row>
    <row r="716">
      <c r="D716" s="52"/>
    </row>
    <row r="717">
      <c r="D717" s="52"/>
    </row>
    <row r="718">
      <c r="D718" s="52"/>
    </row>
    <row r="719">
      <c r="D719" s="52"/>
    </row>
    <row r="720">
      <c r="D720" s="52"/>
    </row>
    <row r="721">
      <c r="D721" s="52"/>
    </row>
    <row r="722">
      <c r="D722" s="52"/>
    </row>
    <row r="723">
      <c r="D723" s="52"/>
    </row>
    <row r="724">
      <c r="D724" s="52"/>
    </row>
    <row r="725">
      <c r="D725" s="52"/>
    </row>
    <row r="726">
      <c r="D726" s="52"/>
    </row>
    <row r="727">
      <c r="D727" s="52"/>
    </row>
    <row r="728">
      <c r="D728" s="52"/>
    </row>
    <row r="729">
      <c r="D729" s="52"/>
    </row>
    <row r="730">
      <c r="D730" s="52"/>
    </row>
    <row r="731">
      <c r="D731" s="52"/>
    </row>
    <row r="732">
      <c r="D732" s="52"/>
    </row>
    <row r="733">
      <c r="D733" s="52"/>
    </row>
    <row r="734">
      <c r="D734" s="52"/>
    </row>
    <row r="735">
      <c r="D735" s="52"/>
    </row>
    <row r="736">
      <c r="D736" s="52"/>
    </row>
    <row r="737">
      <c r="D737" s="52"/>
    </row>
    <row r="738">
      <c r="D738" s="52"/>
    </row>
    <row r="739">
      <c r="D739" s="52"/>
    </row>
    <row r="740">
      <c r="D740" s="52"/>
    </row>
    <row r="741">
      <c r="D741" s="52"/>
    </row>
    <row r="742">
      <c r="D742" s="52"/>
    </row>
    <row r="743">
      <c r="D743" s="52"/>
    </row>
    <row r="744">
      <c r="D744" s="52"/>
    </row>
    <row r="745">
      <c r="D745" s="52"/>
    </row>
    <row r="746">
      <c r="D746" s="52"/>
    </row>
    <row r="747">
      <c r="D747" s="52"/>
    </row>
    <row r="748">
      <c r="D748" s="52"/>
    </row>
    <row r="749">
      <c r="D749" s="52"/>
    </row>
    <row r="750">
      <c r="D750" s="52"/>
    </row>
    <row r="751">
      <c r="D751" s="52"/>
    </row>
    <row r="752">
      <c r="D752" s="52"/>
    </row>
    <row r="753">
      <c r="D753" s="52"/>
    </row>
    <row r="754">
      <c r="D754" s="52"/>
    </row>
    <row r="755">
      <c r="D755" s="52"/>
    </row>
    <row r="756">
      <c r="D756" s="52"/>
    </row>
    <row r="757">
      <c r="D757" s="52"/>
    </row>
    <row r="758">
      <c r="D758" s="52"/>
    </row>
    <row r="759">
      <c r="D759" s="52"/>
    </row>
    <row r="760">
      <c r="D760" s="52"/>
    </row>
    <row r="761">
      <c r="D761" s="52"/>
    </row>
    <row r="762">
      <c r="D762" s="52"/>
    </row>
    <row r="763">
      <c r="D763" s="52"/>
    </row>
    <row r="764">
      <c r="D764" s="52"/>
    </row>
    <row r="765">
      <c r="D765" s="52"/>
    </row>
    <row r="766">
      <c r="D766" s="52"/>
    </row>
    <row r="767">
      <c r="D767" s="52"/>
    </row>
    <row r="768">
      <c r="D768" s="52"/>
    </row>
    <row r="769">
      <c r="D769" s="52"/>
    </row>
    <row r="770">
      <c r="D770" s="52"/>
    </row>
    <row r="771">
      <c r="D771" s="52"/>
    </row>
    <row r="772">
      <c r="D772" s="52"/>
    </row>
    <row r="773">
      <c r="D773" s="52"/>
    </row>
    <row r="774">
      <c r="D774" s="52"/>
    </row>
    <row r="775">
      <c r="D775" s="52"/>
    </row>
    <row r="776">
      <c r="D776" s="52"/>
    </row>
    <row r="777">
      <c r="D777" s="52"/>
    </row>
    <row r="778">
      <c r="D778" s="52"/>
    </row>
    <row r="779">
      <c r="D779" s="52"/>
    </row>
    <row r="780">
      <c r="D780" s="52"/>
    </row>
    <row r="781">
      <c r="D781" s="52"/>
    </row>
    <row r="782">
      <c r="D782" s="52"/>
    </row>
    <row r="783">
      <c r="D783" s="52"/>
    </row>
    <row r="784">
      <c r="D784" s="52"/>
    </row>
    <row r="785">
      <c r="D785" s="52"/>
    </row>
    <row r="786">
      <c r="D786" s="52"/>
    </row>
    <row r="787">
      <c r="D787" s="52"/>
    </row>
    <row r="788">
      <c r="D788" s="52"/>
    </row>
    <row r="789">
      <c r="D789" s="52"/>
    </row>
    <row r="790">
      <c r="D790" s="52"/>
    </row>
    <row r="791">
      <c r="D791" s="52"/>
    </row>
    <row r="792">
      <c r="D792" s="52"/>
    </row>
    <row r="793">
      <c r="D793" s="52"/>
    </row>
    <row r="794">
      <c r="D794" s="52"/>
    </row>
    <row r="795">
      <c r="D795" s="52"/>
    </row>
    <row r="796">
      <c r="D796" s="52"/>
    </row>
    <row r="797">
      <c r="D797" s="52"/>
    </row>
    <row r="798">
      <c r="D798" s="52"/>
    </row>
    <row r="799">
      <c r="D799" s="52"/>
    </row>
    <row r="800">
      <c r="D800" s="52"/>
    </row>
    <row r="801">
      <c r="D801" s="52"/>
    </row>
    <row r="802">
      <c r="D802" s="52"/>
    </row>
    <row r="803">
      <c r="D803" s="52"/>
    </row>
    <row r="804">
      <c r="D804" s="52"/>
    </row>
    <row r="805">
      <c r="D805" s="52"/>
    </row>
    <row r="806">
      <c r="D806" s="52"/>
    </row>
    <row r="807">
      <c r="D807" s="52"/>
    </row>
    <row r="808">
      <c r="D808" s="52"/>
    </row>
    <row r="809">
      <c r="D809" s="52"/>
    </row>
    <row r="810">
      <c r="D810" s="52"/>
    </row>
    <row r="811">
      <c r="D811" s="52"/>
    </row>
    <row r="812">
      <c r="D812" s="52"/>
    </row>
    <row r="813">
      <c r="D813" s="52"/>
    </row>
    <row r="814">
      <c r="D814" s="52"/>
    </row>
    <row r="815">
      <c r="D815" s="52"/>
    </row>
    <row r="816">
      <c r="D816" s="52"/>
    </row>
    <row r="817">
      <c r="D817" s="52"/>
    </row>
    <row r="818">
      <c r="D818" s="52"/>
    </row>
    <row r="819">
      <c r="D819" s="52"/>
    </row>
    <row r="820">
      <c r="D820" s="52"/>
    </row>
    <row r="821">
      <c r="D821" s="52"/>
    </row>
    <row r="822">
      <c r="D822" s="52"/>
    </row>
    <row r="823">
      <c r="D823" s="52"/>
    </row>
    <row r="824">
      <c r="D824" s="52"/>
    </row>
    <row r="825">
      <c r="D825" s="52"/>
    </row>
    <row r="826">
      <c r="D826" s="52"/>
    </row>
    <row r="827">
      <c r="D827" s="52"/>
    </row>
    <row r="828">
      <c r="D828" s="52"/>
    </row>
    <row r="829">
      <c r="D829" s="52"/>
    </row>
    <row r="830">
      <c r="D830" s="52"/>
    </row>
    <row r="831">
      <c r="D831" s="52"/>
    </row>
    <row r="832">
      <c r="D832" s="52"/>
    </row>
    <row r="833">
      <c r="D833" s="52"/>
    </row>
    <row r="834">
      <c r="D834" s="52"/>
    </row>
    <row r="835">
      <c r="D835" s="52"/>
    </row>
    <row r="836">
      <c r="D836" s="52"/>
    </row>
    <row r="837">
      <c r="D837" s="52"/>
    </row>
    <row r="838">
      <c r="D838" s="52"/>
    </row>
    <row r="839">
      <c r="D839" s="52"/>
    </row>
    <row r="840">
      <c r="D840" s="52"/>
    </row>
    <row r="841">
      <c r="D841" s="52"/>
    </row>
    <row r="842">
      <c r="D842" s="52"/>
    </row>
    <row r="843">
      <c r="D843" s="52"/>
    </row>
  </sheetData>
  <mergeCells count="7">
    <mergeCell ref="A1:F1"/>
    <mergeCell ref="A2:A3"/>
    <mergeCell ref="B2:B3"/>
    <mergeCell ref="C2:C3"/>
    <mergeCell ref="D2:D3"/>
    <mergeCell ref="E2:F2"/>
    <mergeCell ref="A7:E7"/>
  </mergeCells>
  <dataValidations>
    <dataValidation type="list" allowBlank="1" sqref="H4">
      <formula1>"CHECKED (OK),CHECKED  (NOT OK)"</formula1>
    </dataValidation>
  </dataValidation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3" max="3" width="26.75"/>
    <col customWidth="1" min="4" max="4" width="33.25"/>
    <col customWidth="1" min="7" max="7" width="3.5"/>
    <col customWidth="1" min="8" max="8" width="18.63"/>
    <col customWidth="1" min="9" max="9" width="21.63"/>
  </cols>
  <sheetData>
    <row r="1">
      <c r="A1" s="30" t="s">
        <v>1086</v>
      </c>
      <c r="G1" s="31"/>
      <c r="H1" s="32" t="s">
        <v>1087</v>
      </c>
      <c r="I1" s="33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4" t="s">
        <v>1</v>
      </c>
      <c r="B2" s="35" t="s">
        <v>11</v>
      </c>
      <c r="C2" s="35" t="s">
        <v>12</v>
      </c>
      <c r="D2" s="36" t="s">
        <v>13</v>
      </c>
      <c r="E2" s="37" t="s">
        <v>14</v>
      </c>
      <c r="F2" s="38"/>
      <c r="G2" s="39"/>
      <c r="H2" s="40"/>
      <c r="I2" s="40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41"/>
      <c r="B3" s="38"/>
      <c r="C3" s="38"/>
      <c r="D3" s="38"/>
      <c r="E3" s="42" t="s">
        <v>15</v>
      </c>
      <c r="F3" s="43" t="s">
        <v>5</v>
      </c>
      <c r="G3" s="39"/>
      <c r="H3" s="44" t="s">
        <v>6</v>
      </c>
      <c r="I3" s="45" t="s">
        <v>7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24.75" customHeight="1">
      <c r="A4" s="46"/>
      <c r="B4" s="47"/>
      <c r="C4" s="48" t="str">
        <f>vlookup(B4,'Crew Data'!C:G,5,0)</f>
        <v>#N/A</v>
      </c>
      <c r="D4" s="49"/>
      <c r="E4" s="47"/>
      <c r="F4" s="50">
        <f>E4*400</f>
        <v>0</v>
      </c>
      <c r="G4" s="22">
        <f>COUNTIF(B:B,B4)</f>
        <v>0</v>
      </c>
      <c r="H4" s="5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D5" s="52"/>
    </row>
    <row r="6">
      <c r="D6" s="52"/>
    </row>
    <row r="7" ht="44.25" customHeight="1">
      <c r="A7" s="53" t="s">
        <v>16</v>
      </c>
    </row>
    <row r="8">
      <c r="D8" s="52"/>
    </row>
    <row r="9">
      <c r="D9" s="52"/>
    </row>
    <row r="10">
      <c r="D10" s="52"/>
    </row>
    <row r="11">
      <c r="D11" s="52"/>
    </row>
    <row r="12">
      <c r="D12" s="52"/>
    </row>
    <row r="13">
      <c r="D13" s="52"/>
    </row>
    <row r="14">
      <c r="D14" s="52"/>
    </row>
    <row r="15">
      <c r="D15" s="52"/>
    </row>
    <row r="16">
      <c r="D16" s="52"/>
    </row>
    <row r="17">
      <c r="D17" s="52"/>
    </row>
    <row r="18">
      <c r="D18" s="52"/>
    </row>
    <row r="19">
      <c r="D19" s="52"/>
    </row>
    <row r="20">
      <c r="D20" s="52"/>
    </row>
    <row r="21">
      <c r="D21" s="52"/>
    </row>
    <row r="22">
      <c r="D22" s="52"/>
    </row>
    <row r="23">
      <c r="D23" s="52"/>
    </row>
    <row r="24">
      <c r="D24" s="52"/>
    </row>
    <row r="25">
      <c r="D25" s="52"/>
    </row>
    <row r="26">
      <c r="D26" s="52"/>
    </row>
    <row r="27">
      <c r="D27" s="52"/>
    </row>
    <row r="28">
      <c r="D28" s="52"/>
    </row>
    <row r="29">
      <c r="D29" s="52"/>
    </row>
    <row r="30">
      <c r="D30" s="52"/>
    </row>
    <row r="31">
      <c r="D31" s="52"/>
    </row>
    <row r="32">
      <c r="D32" s="52"/>
    </row>
    <row r="33">
      <c r="D33" s="52"/>
    </row>
    <row r="34">
      <c r="D34" s="52"/>
    </row>
    <row r="35">
      <c r="D35" s="52"/>
    </row>
    <row r="36">
      <c r="D36" s="52"/>
    </row>
    <row r="37">
      <c r="D37" s="52"/>
    </row>
    <row r="38">
      <c r="D38" s="52"/>
    </row>
    <row r="39">
      <c r="D39" s="52"/>
    </row>
    <row r="40">
      <c r="D40" s="52"/>
    </row>
    <row r="41">
      <c r="D41" s="52"/>
    </row>
    <row r="42">
      <c r="D42" s="52"/>
    </row>
    <row r="43">
      <c r="D43" s="52"/>
    </row>
    <row r="44">
      <c r="D44" s="52"/>
    </row>
    <row r="45">
      <c r="D45" s="52"/>
    </row>
    <row r="46">
      <c r="D46" s="52"/>
    </row>
    <row r="47">
      <c r="D47" s="52"/>
    </row>
    <row r="48">
      <c r="D48" s="52"/>
    </row>
    <row r="49">
      <c r="D49" s="52"/>
    </row>
    <row r="50">
      <c r="D50" s="52"/>
    </row>
    <row r="51">
      <c r="D51" s="52"/>
    </row>
    <row r="52">
      <c r="D52" s="52"/>
    </row>
    <row r="53">
      <c r="D53" s="52"/>
    </row>
    <row r="54">
      <c r="D54" s="52"/>
    </row>
    <row r="55">
      <c r="D55" s="52"/>
    </row>
    <row r="56">
      <c r="D56" s="52"/>
    </row>
    <row r="57">
      <c r="D57" s="52"/>
    </row>
    <row r="58">
      <c r="D58" s="52"/>
    </row>
    <row r="59">
      <c r="D59" s="52"/>
    </row>
    <row r="60">
      <c r="D60" s="52"/>
    </row>
    <row r="61">
      <c r="D61" s="52"/>
    </row>
    <row r="62">
      <c r="D62" s="52"/>
    </row>
    <row r="63">
      <c r="D63" s="52"/>
    </row>
    <row r="64">
      <c r="D64" s="52"/>
    </row>
    <row r="65">
      <c r="D65" s="52"/>
    </row>
    <row r="66">
      <c r="D66" s="52"/>
    </row>
    <row r="67">
      <c r="D67" s="52"/>
    </row>
    <row r="68">
      <c r="D68" s="52"/>
    </row>
    <row r="69">
      <c r="D69" s="52"/>
    </row>
    <row r="70">
      <c r="D70" s="52"/>
    </row>
    <row r="71">
      <c r="D71" s="52"/>
    </row>
    <row r="72">
      <c r="D72" s="52"/>
    </row>
    <row r="73">
      <c r="D73" s="52"/>
    </row>
    <row r="74">
      <c r="D74" s="52"/>
    </row>
    <row r="75">
      <c r="D75" s="52"/>
    </row>
    <row r="76">
      <c r="D76" s="52"/>
    </row>
    <row r="77">
      <c r="D77" s="52"/>
    </row>
    <row r="78">
      <c r="D78" s="52"/>
    </row>
    <row r="79">
      <c r="D79" s="52"/>
    </row>
    <row r="80">
      <c r="D80" s="52"/>
    </row>
    <row r="81">
      <c r="D81" s="52"/>
    </row>
    <row r="82">
      <c r="D82" s="52"/>
    </row>
    <row r="83">
      <c r="D83" s="52"/>
    </row>
    <row r="84">
      <c r="D84" s="52"/>
    </row>
    <row r="85">
      <c r="D85" s="52"/>
    </row>
    <row r="86">
      <c r="D86" s="52"/>
    </row>
    <row r="87">
      <c r="D87" s="52"/>
    </row>
    <row r="88">
      <c r="D88" s="52"/>
    </row>
    <row r="89">
      <c r="D89" s="52"/>
    </row>
    <row r="90">
      <c r="D90" s="52"/>
    </row>
    <row r="91">
      <c r="D91" s="52"/>
    </row>
    <row r="92">
      <c r="D92" s="52"/>
    </row>
    <row r="93">
      <c r="D93" s="52"/>
    </row>
    <row r="94">
      <c r="D94" s="52"/>
    </row>
    <row r="95">
      <c r="D95" s="52"/>
    </row>
    <row r="96">
      <c r="D96" s="52"/>
    </row>
    <row r="97">
      <c r="D97" s="52"/>
    </row>
    <row r="98">
      <c r="D98" s="52"/>
    </row>
    <row r="99">
      <c r="D99" s="52"/>
    </row>
    <row r="100">
      <c r="D100" s="52"/>
    </row>
    <row r="101">
      <c r="D101" s="52"/>
    </row>
    <row r="102">
      <c r="D102" s="52"/>
    </row>
    <row r="103">
      <c r="D103" s="52"/>
    </row>
    <row r="104">
      <c r="D104" s="52"/>
    </row>
    <row r="105">
      <c r="D105" s="52"/>
    </row>
    <row r="106">
      <c r="D106" s="52"/>
    </row>
    <row r="107">
      <c r="D107" s="52"/>
    </row>
    <row r="108">
      <c r="D108" s="52"/>
    </row>
    <row r="109">
      <c r="D109" s="52"/>
    </row>
    <row r="110">
      <c r="D110" s="52"/>
    </row>
    <row r="111">
      <c r="D111" s="52"/>
    </row>
    <row r="112">
      <c r="D112" s="52"/>
    </row>
    <row r="113">
      <c r="D113" s="52"/>
    </row>
    <row r="114">
      <c r="D114" s="52"/>
    </row>
    <row r="115">
      <c r="D115" s="52"/>
    </row>
    <row r="116">
      <c r="D116" s="52"/>
    </row>
    <row r="117">
      <c r="D117" s="52"/>
    </row>
    <row r="118">
      <c r="D118" s="52"/>
    </row>
    <row r="119">
      <c r="D119" s="52"/>
    </row>
    <row r="120">
      <c r="D120" s="52"/>
    </row>
    <row r="121">
      <c r="D121" s="52"/>
    </row>
    <row r="122">
      <c r="D122" s="52"/>
    </row>
    <row r="123">
      <c r="D123" s="52"/>
    </row>
    <row r="124">
      <c r="D124" s="52"/>
    </row>
    <row r="125">
      <c r="D125" s="52"/>
    </row>
    <row r="126">
      <c r="D126" s="52"/>
    </row>
    <row r="127">
      <c r="D127" s="52"/>
    </row>
    <row r="128">
      <c r="D128" s="52"/>
    </row>
    <row r="129">
      <c r="D129" s="52"/>
    </row>
    <row r="130">
      <c r="D130" s="52"/>
    </row>
    <row r="131">
      <c r="D131" s="52"/>
    </row>
    <row r="132">
      <c r="D132" s="52"/>
    </row>
    <row r="133">
      <c r="D133" s="52"/>
    </row>
    <row r="134">
      <c r="D134" s="52"/>
    </row>
    <row r="135">
      <c r="D135" s="52"/>
    </row>
    <row r="136">
      <c r="D136" s="52"/>
    </row>
    <row r="137">
      <c r="D137" s="52"/>
    </row>
    <row r="138">
      <c r="D138" s="52"/>
    </row>
    <row r="139">
      <c r="D139" s="52"/>
    </row>
    <row r="140">
      <c r="D140" s="52"/>
    </row>
    <row r="141">
      <c r="D141" s="52"/>
    </row>
    <row r="142">
      <c r="D142" s="52"/>
    </row>
    <row r="143">
      <c r="D143" s="52"/>
    </row>
    <row r="144">
      <c r="D144" s="52"/>
    </row>
    <row r="145">
      <c r="D145" s="52"/>
    </row>
    <row r="146">
      <c r="D146" s="52"/>
    </row>
    <row r="147">
      <c r="D147" s="52"/>
    </row>
    <row r="148">
      <c r="D148" s="52"/>
    </row>
    <row r="149">
      <c r="D149" s="52"/>
    </row>
    <row r="150">
      <c r="D150" s="52"/>
    </row>
    <row r="151">
      <c r="D151" s="52"/>
    </row>
    <row r="152">
      <c r="D152" s="52"/>
    </row>
    <row r="153">
      <c r="D153" s="52"/>
    </row>
    <row r="154">
      <c r="D154" s="52"/>
    </row>
    <row r="155">
      <c r="D155" s="52"/>
    </row>
    <row r="156">
      <c r="D156" s="52"/>
    </row>
    <row r="157">
      <c r="D157" s="52"/>
    </row>
    <row r="158">
      <c r="D158" s="52"/>
    </row>
    <row r="159">
      <c r="D159" s="52"/>
    </row>
    <row r="160">
      <c r="D160" s="52"/>
    </row>
    <row r="161">
      <c r="D161" s="52"/>
    </row>
    <row r="162">
      <c r="D162" s="52"/>
    </row>
    <row r="163">
      <c r="D163" s="52"/>
    </row>
    <row r="164">
      <c r="D164" s="52"/>
    </row>
    <row r="165">
      <c r="D165" s="52"/>
    </row>
    <row r="166">
      <c r="D166" s="52"/>
    </row>
    <row r="167">
      <c r="D167" s="52"/>
    </row>
    <row r="168">
      <c r="D168" s="52"/>
    </row>
    <row r="169">
      <c r="D169" s="52"/>
    </row>
    <row r="170">
      <c r="D170" s="52"/>
    </row>
    <row r="171">
      <c r="D171" s="52"/>
    </row>
    <row r="172">
      <c r="D172" s="52"/>
    </row>
    <row r="173">
      <c r="D173" s="52"/>
    </row>
    <row r="174">
      <c r="D174" s="52"/>
    </row>
    <row r="175">
      <c r="D175" s="52"/>
    </row>
    <row r="176">
      <c r="D176" s="52"/>
    </row>
    <row r="177">
      <c r="D177" s="52"/>
    </row>
    <row r="178">
      <c r="D178" s="52"/>
    </row>
    <row r="179">
      <c r="D179" s="52"/>
    </row>
    <row r="180">
      <c r="D180" s="52"/>
    </row>
    <row r="181">
      <c r="D181" s="52"/>
    </row>
    <row r="182">
      <c r="D182" s="52"/>
    </row>
    <row r="183">
      <c r="D183" s="52"/>
    </row>
    <row r="184">
      <c r="D184" s="52"/>
    </row>
    <row r="185">
      <c r="D185" s="52"/>
    </row>
    <row r="186">
      <c r="D186" s="52"/>
    </row>
    <row r="187">
      <c r="D187" s="52"/>
    </row>
    <row r="188">
      <c r="D188" s="52"/>
    </row>
    <row r="189">
      <c r="D189" s="52"/>
    </row>
    <row r="190">
      <c r="D190" s="52"/>
    </row>
    <row r="191">
      <c r="D191" s="52"/>
    </row>
    <row r="192">
      <c r="D192" s="52"/>
    </row>
    <row r="193">
      <c r="D193" s="52"/>
    </row>
    <row r="194">
      <c r="D194" s="52"/>
    </row>
    <row r="195">
      <c r="D195" s="52"/>
    </row>
    <row r="196">
      <c r="D196" s="52"/>
    </row>
    <row r="197">
      <c r="D197" s="52"/>
    </row>
    <row r="198">
      <c r="D198" s="52"/>
    </row>
    <row r="199">
      <c r="D199" s="52"/>
    </row>
    <row r="200">
      <c r="D200" s="52"/>
    </row>
    <row r="201">
      <c r="D201" s="52"/>
    </row>
    <row r="202">
      <c r="D202" s="52"/>
    </row>
    <row r="203">
      <c r="D203" s="52"/>
    </row>
    <row r="204">
      <c r="D204" s="52"/>
    </row>
    <row r="205">
      <c r="D205" s="52"/>
    </row>
    <row r="206">
      <c r="D206" s="52"/>
    </row>
    <row r="207">
      <c r="D207" s="52"/>
    </row>
    <row r="208">
      <c r="D208" s="52"/>
    </row>
    <row r="209">
      <c r="D209" s="52"/>
    </row>
    <row r="210">
      <c r="D210" s="52"/>
    </row>
    <row r="211">
      <c r="D211" s="52"/>
    </row>
    <row r="212">
      <c r="D212" s="52"/>
    </row>
    <row r="213">
      <c r="D213" s="52"/>
    </row>
    <row r="214">
      <c r="D214" s="52"/>
    </row>
    <row r="215">
      <c r="D215" s="52"/>
    </row>
    <row r="216">
      <c r="D216" s="52"/>
    </row>
    <row r="217">
      <c r="D217" s="52"/>
    </row>
    <row r="218">
      <c r="D218" s="52"/>
    </row>
    <row r="219">
      <c r="D219" s="52"/>
    </row>
    <row r="220">
      <c r="D220" s="52"/>
    </row>
    <row r="221">
      <c r="D221" s="52"/>
    </row>
    <row r="222">
      <c r="D222" s="52"/>
    </row>
    <row r="223">
      <c r="D223" s="52"/>
    </row>
    <row r="224">
      <c r="D224" s="52"/>
    </row>
    <row r="225">
      <c r="D225" s="52"/>
    </row>
    <row r="226">
      <c r="D226" s="52"/>
    </row>
    <row r="227">
      <c r="D227" s="52"/>
    </row>
    <row r="228">
      <c r="D228" s="52"/>
    </row>
    <row r="229">
      <c r="D229" s="52"/>
    </row>
    <row r="230">
      <c r="D230" s="52"/>
    </row>
    <row r="231">
      <c r="D231" s="52"/>
    </row>
    <row r="232">
      <c r="D232" s="52"/>
    </row>
    <row r="233">
      <c r="D233" s="52"/>
    </row>
    <row r="234">
      <c r="D234" s="52"/>
    </row>
    <row r="235">
      <c r="D235" s="52"/>
    </row>
    <row r="236">
      <c r="D236" s="52"/>
    </row>
    <row r="237">
      <c r="D237" s="52"/>
    </row>
    <row r="238">
      <c r="D238" s="52"/>
    </row>
    <row r="239">
      <c r="D239" s="52"/>
    </row>
    <row r="240">
      <c r="D240" s="52"/>
    </row>
    <row r="241">
      <c r="D241" s="52"/>
    </row>
    <row r="242">
      <c r="D242" s="52"/>
    </row>
    <row r="243">
      <c r="D243" s="52"/>
    </row>
    <row r="244">
      <c r="D244" s="52"/>
    </row>
    <row r="245">
      <c r="D245" s="52"/>
    </row>
    <row r="246">
      <c r="D246" s="52"/>
    </row>
    <row r="247">
      <c r="D247" s="52"/>
    </row>
    <row r="248">
      <c r="D248" s="52"/>
    </row>
    <row r="249">
      <c r="D249" s="52"/>
    </row>
    <row r="250">
      <c r="D250" s="52"/>
    </row>
    <row r="251">
      <c r="D251" s="52"/>
    </row>
    <row r="252">
      <c r="D252" s="52"/>
    </row>
    <row r="253">
      <c r="D253" s="52"/>
    </row>
    <row r="254">
      <c r="D254" s="52"/>
    </row>
    <row r="255">
      <c r="D255" s="52"/>
    </row>
    <row r="256">
      <c r="D256" s="52"/>
    </row>
    <row r="257">
      <c r="D257" s="52"/>
    </row>
    <row r="258">
      <c r="D258" s="52"/>
    </row>
    <row r="259">
      <c r="D259" s="52"/>
    </row>
    <row r="260">
      <c r="D260" s="52"/>
    </row>
    <row r="261">
      <c r="D261" s="52"/>
    </row>
    <row r="262">
      <c r="D262" s="52"/>
    </row>
    <row r="263">
      <c r="D263" s="52"/>
    </row>
    <row r="264">
      <c r="D264" s="52"/>
    </row>
    <row r="265">
      <c r="D265" s="52"/>
    </row>
    <row r="266">
      <c r="D266" s="52"/>
    </row>
    <row r="267">
      <c r="D267" s="52"/>
    </row>
    <row r="268">
      <c r="D268" s="52"/>
    </row>
    <row r="269">
      <c r="D269" s="52"/>
    </row>
    <row r="270">
      <c r="D270" s="52"/>
    </row>
    <row r="271">
      <c r="D271" s="52"/>
    </row>
    <row r="272">
      <c r="D272" s="52"/>
    </row>
    <row r="273">
      <c r="D273" s="52"/>
    </row>
    <row r="274">
      <c r="D274" s="52"/>
    </row>
    <row r="275">
      <c r="D275" s="52"/>
    </row>
    <row r="276">
      <c r="D276" s="52"/>
    </row>
    <row r="277">
      <c r="D277" s="52"/>
    </row>
    <row r="278">
      <c r="D278" s="52"/>
    </row>
    <row r="279">
      <c r="D279" s="52"/>
    </row>
    <row r="280">
      <c r="D280" s="52"/>
    </row>
    <row r="281">
      <c r="D281" s="52"/>
    </row>
    <row r="282">
      <c r="D282" s="52"/>
    </row>
    <row r="283">
      <c r="D283" s="52"/>
    </row>
    <row r="284">
      <c r="D284" s="52"/>
    </row>
    <row r="285">
      <c r="D285" s="52"/>
    </row>
    <row r="286">
      <c r="D286" s="52"/>
    </row>
    <row r="287">
      <c r="D287" s="52"/>
    </row>
    <row r="288">
      <c r="D288" s="52"/>
    </row>
    <row r="289">
      <c r="D289" s="52"/>
    </row>
    <row r="290">
      <c r="D290" s="52"/>
    </row>
    <row r="291">
      <c r="D291" s="52"/>
    </row>
    <row r="292">
      <c r="D292" s="52"/>
    </row>
    <row r="293">
      <c r="D293" s="52"/>
    </row>
    <row r="294">
      <c r="D294" s="52"/>
    </row>
    <row r="295">
      <c r="D295" s="52"/>
    </row>
    <row r="296">
      <c r="D296" s="52"/>
    </row>
    <row r="297">
      <c r="D297" s="52"/>
    </row>
    <row r="298">
      <c r="D298" s="52"/>
    </row>
    <row r="299">
      <c r="D299" s="52"/>
    </row>
    <row r="300">
      <c r="D300" s="52"/>
    </row>
    <row r="301">
      <c r="D301" s="52"/>
    </row>
    <row r="302">
      <c r="D302" s="52"/>
    </row>
    <row r="303">
      <c r="D303" s="52"/>
    </row>
    <row r="304">
      <c r="D304" s="52"/>
    </row>
    <row r="305">
      <c r="D305" s="52"/>
    </row>
    <row r="306">
      <c r="D306" s="52"/>
    </row>
    <row r="307">
      <c r="D307" s="52"/>
    </row>
    <row r="308">
      <c r="D308" s="52"/>
    </row>
    <row r="309">
      <c r="D309" s="52"/>
    </row>
    <row r="310">
      <c r="D310" s="52"/>
    </row>
    <row r="311">
      <c r="D311" s="52"/>
    </row>
    <row r="312">
      <c r="D312" s="52"/>
    </row>
    <row r="313">
      <c r="D313" s="52"/>
    </row>
    <row r="314">
      <c r="D314" s="52"/>
    </row>
    <row r="315">
      <c r="D315" s="52"/>
    </row>
    <row r="316">
      <c r="D316" s="52"/>
    </row>
    <row r="317">
      <c r="D317" s="52"/>
    </row>
    <row r="318">
      <c r="D318" s="52"/>
    </row>
    <row r="319">
      <c r="D319" s="52"/>
    </row>
    <row r="320">
      <c r="D320" s="52"/>
    </row>
    <row r="321">
      <c r="D321" s="52"/>
    </row>
    <row r="322">
      <c r="D322" s="52"/>
    </row>
    <row r="323">
      <c r="D323" s="52"/>
    </row>
    <row r="324">
      <c r="D324" s="52"/>
    </row>
    <row r="325">
      <c r="D325" s="52"/>
    </row>
    <row r="326">
      <c r="D326" s="52"/>
    </row>
    <row r="327">
      <c r="D327" s="52"/>
    </row>
    <row r="328">
      <c r="D328" s="52"/>
    </row>
    <row r="329">
      <c r="D329" s="52"/>
    </row>
    <row r="330">
      <c r="D330" s="52"/>
    </row>
    <row r="331">
      <c r="D331" s="52"/>
    </row>
    <row r="332">
      <c r="D332" s="52"/>
    </row>
    <row r="333">
      <c r="D333" s="52"/>
    </row>
    <row r="334">
      <c r="D334" s="52"/>
    </row>
    <row r="335">
      <c r="D335" s="52"/>
    </row>
    <row r="336">
      <c r="D336" s="52"/>
    </row>
    <row r="337">
      <c r="D337" s="52"/>
    </row>
    <row r="338">
      <c r="D338" s="52"/>
    </row>
    <row r="339">
      <c r="D339" s="52"/>
    </row>
    <row r="340">
      <c r="D340" s="52"/>
    </row>
    <row r="341">
      <c r="D341" s="52"/>
    </row>
    <row r="342">
      <c r="D342" s="52"/>
    </row>
    <row r="343">
      <c r="D343" s="52"/>
    </row>
    <row r="344">
      <c r="D344" s="52"/>
    </row>
    <row r="345">
      <c r="D345" s="52"/>
    </row>
    <row r="346">
      <c r="D346" s="52"/>
    </row>
    <row r="347">
      <c r="D347" s="52"/>
    </row>
    <row r="348">
      <c r="D348" s="52"/>
    </row>
    <row r="349">
      <c r="D349" s="52"/>
    </row>
    <row r="350">
      <c r="D350" s="52"/>
    </row>
    <row r="351">
      <c r="D351" s="52"/>
    </row>
    <row r="352">
      <c r="D352" s="52"/>
    </row>
    <row r="353">
      <c r="D353" s="52"/>
    </row>
    <row r="354">
      <c r="D354" s="52"/>
    </row>
    <row r="355">
      <c r="D355" s="52"/>
    </row>
    <row r="356">
      <c r="D356" s="52"/>
    </row>
    <row r="357">
      <c r="D357" s="52"/>
    </row>
    <row r="358">
      <c r="D358" s="52"/>
    </row>
    <row r="359">
      <c r="D359" s="52"/>
    </row>
    <row r="360">
      <c r="D360" s="52"/>
    </row>
    <row r="361">
      <c r="D361" s="52"/>
    </row>
    <row r="362">
      <c r="D362" s="52"/>
    </row>
    <row r="363">
      <c r="D363" s="52"/>
    </row>
    <row r="364">
      <c r="D364" s="52"/>
    </row>
    <row r="365">
      <c r="D365" s="52"/>
    </row>
    <row r="366">
      <c r="D366" s="52"/>
    </row>
    <row r="367">
      <c r="D367" s="52"/>
    </row>
    <row r="368">
      <c r="D368" s="52"/>
    </row>
    <row r="369">
      <c r="D369" s="52"/>
    </row>
    <row r="370">
      <c r="D370" s="52"/>
    </row>
    <row r="371">
      <c r="D371" s="52"/>
    </row>
    <row r="372">
      <c r="D372" s="52"/>
    </row>
    <row r="373">
      <c r="D373" s="52"/>
    </row>
    <row r="374">
      <c r="D374" s="52"/>
    </row>
    <row r="375">
      <c r="D375" s="52"/>
    </row>
    <row r="376">
      <c r="D376" s="52"/>
    </row>
    <row r="377">
      <c r="D377" s="52"/>
    </row>
    <row r="378">
      <c r="D378" s="52"/>
    </row>
    <row r="379">
      <c r="D379" s="52"/>
    </row>
    <row r="380">
      <c r="D380" s="52"/>
    </row>
    <row r="381">
      <c r="D381" s="52"/>
    </row>
    <row r="382">
      <c r="D382" s="52"/>
    </row>
    <row r="383">
      <c r="D383" s="52"/>
    </row>
    <row r="384">
      <c r="D384" s="52"/>
    </row>
    <row r="385">
      <c r="D385" s="52"/>
    </row>
    <row r="386">
      <c r="D386" s="52"/>
    </row>
    <row r="387">
      <c r="D387" s="52"/>
    </row>
    <row r="388">
      <c r="D388" s="52"/>
    </row>
    <row r="389">
      <c r="D389" s="52"/>
    </row>
    <row r="390">
      <c r="D390" s="52"/>
    </row>
    <row r="391">
      <c r="D391" s="52"/>
    </row>
    <row r="392">
      <c r="D392" s="52"/>
    </row>
    <row r="393">
      <c r="D393" s="52"/>
    </row>
    <row r="394">
      <c r="D394" s="52"/>
    </row>
    <row r="395">
      <c r="D395" s="52"/>
    </row>
    <row r="396">
      <c r="D396" s="52"/>
    </row>
    <row r="397">
      <c r="D397" s="52"/>
    </row>
    <row r="398">
      <c r="D398" s="52"/>
    </row>
    <row r="399">
      <c r="D399" s="52"/>
    </row>
    <row r="400">
      <c r="D400" s="52"/>
    </row>
    <row r="401">
      <c r="D401" s="52"/>
    </row>
    <row r="402">
      <c r="D402" s="52"/>
    </row>
    <row r="403">
      <c r="D403" s="52"/>
    </row>
    <row r="404">
      <c r="D404" s="52"/>
    </row>
    <row r="405">
      <c r="D405" s="52"/>
    </row>
    <row r="406">
      <c r="D406" s="52"/>
    </row>
    <row r="407">
      <c r="D407" s="52"/>
    </row>
    <row r="408">
      <c r="D408" s="52"/>
    </row>
    <row r="409">
      <c r="D409" s="52"/>
    </row>
    <row r="410">
      <c r="D410" s="52"/>
    </row>
    <row r="411">
      <c r="D411" s="52"/>
    </row>
    <row r="412">
      <c r="D412" s="52"/>
    </row>
    <row r="413">
      <c r="D413" s="52"/>
    </row>
    <row r="414">
      <c r="D414" s="52"/>
    </row>
    <row r="415">
      <c r="D415" s="52"/>
    </row>
    <row r="416">
      <c r="D416" s="52"/>
    </row>
    <row r="417">
      <c r="D417" s="52"/>
    </row>
    <row r="418">
      <c r="D418" s="52"/>
    </row>
    <row r="419">
      <c r="D419" s="52"/>
    </row>
    <row r="420">
      <c r="D420" s="52"/>
    </row>
    <row r="421">
      <c r="D421" s="52"/>
    </row>
    <row r="422">
      <c r="D422" s="52"/>
    </row>
    <row r="423">
      <c r="D423" s="52"/>
    </row>
    <row r="424">
      <c r="D424" s="52"/>
    </row>
    <row r="425">
      <c r="D425" s="52"/>
    </row>
    <row r="426">
      <c r="D426" s="52"/>
    </row>
    <row r="427">
      <c r="D427" s="52"/>
    </row>
    <row r="428">
      <c r="D428" s="52"/>
    </row>
    <row r="429">
      <c r="D429" s="52"/>
    </row>
    <row r="430">
      <c r="D430" s="52"/>
    </row>
    <row r="431">
      <c r="D431" s="52"/>
    </row>
    <row r="432">
      <c r="D432" s="52"/>
    </row>
    <row r="433">
      <c r="D433" s="52"/>
    </row>
    <row r="434">
      <c r="D434" s="52"/>
    </row>
    <row r="435">
      <c r="D435" s="52"/>
    </row>
    <row r="436">
      <c r="D436" s="52"/>
    </row>
    <row r="437">
      <c r="D437" s="52"/>
    </row>
    <row r="438">
      <c r="D438" s="52"/>
    </row>
    <row r="439">
      <c r="D439" s="52"/>
    </row>
    <row r="440">
      <c r="D440" s="52"/>
    </row>
    <row r="441">
      <c r="D441" s="52"/>
    </row>
    <row r="442">
      <c r="D442" s="52"/>
    </row>
    <row r="443">
      <c r="D443" s="52"/>
    </row>
    <row r="444">
      <c r="D444" s="52"/>
    </row>
    <row r="445">
      <c r="D445" s="52"/>
    </row>
    <row r="446">
      <c r="D446" s="52"/>
    </row>
    <row r="447">
      <c r="D447" s="52"/>
    </row>
    <row r="448">
      <c r="D448" s="52"/>
    </row>
    <row r="449">
      <c r="D449" s="52"/>
    </row>
    <row r="450">
      <c r="D450" s="52"/>
    </row>
    <row r="451">
      <c r="D451" s="52"/>
    </row>
    <row r="452">
      <c r="D452" s="52"/>
    </row>
    <row r="453">
      <c r="D453" s="52"/>
    </row>
    <row r="454">
      <c r="D454" s="52"/>
    </row>
    <row r="455">
      <c r="D455" s="52"/>
    </row>
    <row r="456">
      <c r="D456" s="52"/>
    </row>
    <row r="457">
      <c r="D457" s="52"/>
    </row>
    <row r="458">
      <c r="D458" s="52"/>
    </row>
    <row r="459">
      <c r="D459" s="52"/>
    </row>
    <row r="460">
      <c r="D460" s="52"/>
    </row>
    <row r="461">
      <c r="D461" s="52"/>
    </row>
    <row r="462">
      <c r="D462" s="52"/>
    </row>
    <row r="463">
      <c r="D463" s="52"/>
    </row>
    <row r="464">
      <c r="D464" s="52"/>
    </row>
    <row r="465">
      <c r="D465" s="52"/>
    </row>
    <row r="466">
      <c r="D466" s="52"/>
    </row>
    <row r="467">
      <c r="D467" s="52"/>
    </row>
    <row r="468">
      <c r="D468" s="52"/>
    </row>
    <row r="469">
      <c r="D469" s="52"/>
    </row>
    <row r="470">
      <c r="D470" s="52"/>
    </row>
    <row r="471">
      <c r="D471" s="52"/>
    </row>
    <row r="472">
      <c r="D472" s="52"/>
    </row>
    <row r="473">
      <c r="D473" s="52"/>
    </row>
    <row r="474">
      <c r="D474" s="52"/>
    </row>
    <row r="475">
      <c r="D475" s="52"/>
    </row>
    <row r="476">
      <c r="D476" s="52"/>
    </row>
    <row r="477">
      <c r="D477" s="52"/>
    </row>
    <row r="478">
      <c r="D478" s="52"/>
    </row>
    <row r="479">
      <c r="D479" s="52"/>
    </row>
    <row r="480">
      <c r="D480" s="52"/>
    </row>
    <row r="481">
      <c r="D481" s="52"/>
    </row>
    <row r="482">
      <c r="D482" s="52"/>
    </row>
    <row r="483">
      <c r="D483" s="52"/>
    </row>
    <row r="484">
      <c r="D484" s="52"/>
    </row>
    <row r="485">
      <c r="D485" s="52"/>
    </row>
    <row r="486">
      <c r="D486" s="52"/>
    </row>
    <row r="487">
      <c r="D487" s="52"/>
    </row>
    <row r="488">
      <c r="D488" s="52"/>
    </row>
    <row r="489">
      <c r="D489" s="52"/>
    </row>
    <row r="490">
      <c r="D490" s="52"/>
    </row>
    <row r="491">
      <c r="D491" s="52"/>
    </row>
    <row r="492">
      <c r="D492" s="52"/>
    </row>
    <row r="493">
      <c r="D493" s="52"/>
    </row>
    <row r="494">
      <c r="D494" s="52"/>
    </row>
    <row r="495">
      <c r="D495" s="52"/>
    </row>
    <row r="496">
      <c r="D496" s="52"/>
    </row>
    <row r="497">
      <c r="D497" s="52"/>
    </row>
    <row r="498">
      <c r="D498" s="52"/>
    </row>
    <row r="499">
      <c r="D499" s="52"/>
    </row>
    <row r="500">
      <c r="D500" s="52"/>
    </row>
    <row r="501">
      <c r="D501" s="52"/>
    </row>
    <row r="502">
      <c r="D502" s="52"/>
    </row>
    <row r="503">
      <c r="D503" s="52"/>
    </row>
    <row r="504">
      <c r="D504" s="52"/>
    </row>
    <row r="505">
      <c r="D505" s="52"/>
    </row>
    <row r="506">
      <c r="D506" s="52"/>
    </row>
    <row r="507">
      <c r="D507" s="52"/>
    </row>
    <row r="508">
      <c r="D508" s="52"/>
    </row>
    <row r="509">
      <c r="D509" s="52"/>
    </row>
    <row r="510">
      <c r="D510" s="52"/>
    </row>
    <row r="511">
      <c r="D511" s="52"/>
    </row>
    <row r="512">
      <c r="D512" s="52"/>
    </row>
    <row r="513">
      <c r="D513" s="52"/>
    </row>
    <row r="514">
      <c r="D514" s="52"/>
    </row>
    <row r="515">
      <c r="D515" s="52"/>
    </row>
    <row r="516">
      <c r="D516" s="52"/>
    </row>
    <row r="517">
      <c r="D517" s="52"/>
    </row>
    <row r="518">
      <c r="D518" s="52"/>
    </row>
    <row r="519">
      <c r="D519" s="52"/>
    </row>
    <row r="520">
      <c r="D520" s="52"/>
    </row>
    <row r="521">
      <c r="D521" s="52"/>
    </row>
    <row r="522">
      <c r="D522" s="52"/>
    </row>
    <row r="523">
      <c r="D523" s="52"/>
    </row>
    <row r="524">
      <c r="D524" s="52"/>
    </row>
    <row r="525">
      <c r="D525" s="52"/>
    </row>
    <row r="526">
      <c r="D526" s="52"/>
    </row>
    <row r="527">
      <c r="D527" s="52"/>
    </row>
    <row r="528">
      <c r="D528" s="52"/>
    </row>
    <row r="529">
      <c r="D529" s="52"/>
    </row>
    <row r="530">
      <c r="D530" s="52"/>
    </row>
    <row r="531">
      <c r="D531" s="52"/>
    </row>
    <row r="532">
      <c r="D532" s="52"/>
    </row>
    <row r="533">
      <c r="D533" s="52"/>
    </row>
    <row r="534">
      <c r="D534" s="52"/>
    </row>
    <row r="535">
      <c r="D535" s="52"/>
    </row>
    <row r="536">
      <c r="D536" s="52"/>
    </row>
    <row r="537">
      <c r="D537" s="52"/>
    </row>
    <row r="538">
      <c r="D538" s="52"/>
    </row>
    <row r="539">
      <c r="D539" s="52"/>
    </row>
    <row r="540">
      <c r="D540" s="52"/>
    </row>
    <row r="541">
      <c r="D541" s="52"/>
    </row>
    <row r="542">
      <c r="D542" s="52"/>
    </row>
    <row r="543">
      <c r="D543" s="52"/>
    </row>
    <row r="544">
      <c r="D544" s="52"/>
    </row>
    <row r="545">
      <c r="D545" s="52"/>
    </row>
    <row r="546">
      <c r="D546" s="52"/>
    </row>
    <row r="547">
      <c r="D547" s="52"/>
    </row>
    <row r="548">
      <c r="D548" s="52"/>
    </row>
    <row r="549">
      <c r="D549" s="52"/>
    </row>
    <row r="550">
      <c r="D550" s="52"/>
    </row>
    <row r="551">
      <c r="D551" s="52"/>
    </row>
    <row r="552">
      <c r="D552" s="52"/>
    </row>
    <row r="553">
      <c r="D553" s="52"/>
    </row>
    <row r="554">
      <c r="D554" s="52"/>
    </row>
    <row r="555">
      <c r="D555" s="52"/>
    </row>
    <row r="556">
      <c r="D556" s="52"/>
    </row>
    <row r="557">
      <c r="D557" s="52"/>
    </row>
    <row r="558">
      <c r="D558" s="52"/>
    </row>
    <row r="559">
      <c r="D559" s="52"/>
    </row>
    <row r="560">
      <c r="D560" s="52"/>
    </row>
    <row r="561">
      <c r="D561" s="52"/>
    </row>
    <row r="562">
      <c r="D562" s="52"/>
    </row>
    <row r="563">
      <c r="D563" s="52"/>
    </row>
    <row r="564">
      <c r="D564" s="52"/>
    </row>
    <row r="565">
      <c r="D565" s="52"/>
    </row>
    <row r="566">
      <c r="D566" s="52"/>
    </row>
    <row r="567">
      <c r="D567" s="52"/>
    </row>
    <row r="568">
      <c r="D568" s="52"/>
    </row>
    <row r="569">
      <c r="D569" s="52"/>
    </row>
    <row r="570">
      <c r="D570" s="52"/>
    </row>
    <row r="571">
      <c r="D571" s="52"/>
    </row>
    <row r="572">
      <c r="D572" s="52"/>
    </row>
    <row r="573">
      <c r="D573" s="52"/>
    </row>
    <row r="574">
      <c r="D574" s="52"/>
    </row>
    <row r="575">
      <c r="D575" s="52"/>
    </row>
    <row r="576">
      <c r="D576" s="52"/>
    </row>
    <row r="577">
      <c r="D577" s="52"/>
    </row>
    <row r="578">
      <c r="D578" s="52"/>
    </row>
    <row r="579">
      <c r="D579" s="52"/>
    </row>
    <row r="580">
      <c r="D580" s="52"/>
    </row>
    <row r="581">
      <c r="D581" s="52"/>
    </row>
    <row r="582">
      <c r="D582" s="52"/>
    </row>
    <row r="583">
      <c r="D583" s="52"/>
    </row>
    <row r="584">
      <c r="D584" s="52"/>
    </row>
    <row r="585">
      <c r="D585" s="52"/>
    </row>
    <row r="586">
      <c r="D586" s="52"/>
    </row>
    <row r="587">
      <c r="D587" s="52"/>
    </row>
    <row r="588">
      <c r="D588" s="52"/>
    </row>
    <row r="589">
      <c r="D589" s="52"/>
    </row>
    <row r="590">
      <c r="D590" s="52"/>
    </row>
    <row r="591">
      <c r="D591" s="52"/>
    </row>
    <row r="592">
      <c r="D592" s="52"/>
    </row>
    <row r="593">
      <c r="D593" s="52"/>
    </row>
    <row r="594">
      <c r="D594" s="52"/>
    </row>
    <row r="595">
      <c r="D595" s="52"/>
    </row>
    <row r="596">
      <c r="D596" s="52"/>
    </row>
    <row r="597">
      <c r="D597" s="52"/>
    </row>
    <row r="598">
      <c r="D598" s="52"/>
    </row>
    <row r="599">
      <c r="D599" s="52"/>
    </row>
    <row r="600">
      <c r="D600" s="52"/>
    </row>
    <row r="601">
      <c r="D601" s="52"/>
    </row>
    <row r="602">
      <c r="D602" s="52"/>
    </row>
    <row r="603">
      <c r="D603" s="52"/>
    </row>
    <row r="604">
      <c r="D604" s="52"/>
    </row>
    <row r="605">
      <c r="D605" s="52"/>
    </row>
    <row r="606">
      <c r="D606" s="52"/>
    </row>
    <row r="607">
      <c r="D607" s="52"/>
    </row>
    <row r="608">
      <c r="D608" s="52"/>
    </row>
    <row r="609">
      <c r="D609" s="52"/>
    </row>
    <row r="610">
      <c r="D610" s="52"/>
    </row>
    <row r="611">
      <c r="D611" s="52"/>
    </row>
    <row r="612">
      <c r="D612" s="52"/>
    </row>
    <row r="613">
      <c r="D613" s="52"/>
    </row>
    <row r="614">
      <c r="D614" s="52"/>
    </row>
    <row r="615">
      <c r="D615" s="52"/>
    </row>
    <row r="616">
      <c r="D616" s="52"/>
    </row>
    <row r="617">
      <c r="D617" s="52"/>
    </row>
    <row r="618">
      <c r="D618" s="52"/>
    </row>
    <row r="619">
      <c r="D619" s="52"/>
    </row>
    <row r="620">
      <c r="D620" s="52"/>
    </row>
    <row r="621">
      <c r="D621" s="52"/>
    </row>
    <row r="622">
      <c r="D622" s="52"/>
    </row>
    <row r="623">
      <c r="D623" s="52"/>
    </row>
    <row r="624">
      <c r="D624" s="52"/>
    </row>
    <row r="625">
      <c r="D625" s="52"/>
    </row>
    <row r="626">
      <c r="D626" s="52"/>
    </row>
    <row r="627">
      <c r="D627" s="52"/>
    </row>
    <row r="628">
      <c r="D628" s="52"/>
    </row>
    <row r="629">
      <c r="D629" s="52"/>
    </row>
    <row r="630">
      <c r="D630" s="52"/>
    </row>
    <row r="631">
      <c r="D631" s="52"/>
    </row>
    <row r="632">
      <c r="D632" s="52"/>
    </row>
    <row r="633">
      <c r="D633" s="52"/>
    </row>
    <row r="634">
      <c r="D634" s="52"/>
    </row>
    <row r="635">
      <c r="D635" s="52"/>
    </row>
    <row r="636">
      <c r="D636" s="52"/>
    </row>
    <row r="637">
      <c r="D637" s="52"/>
    </row>
    <row r="638">
      <c r="D638" s="52"/>
    </row>
    <row r="639">
      <c r="D639" s="52"/>
    </row>
    <row r="640">
      <c r="D640" s="52"/>
    </row>
    <row r="641">
      <c r="D641" s="52"/>
    </row>
    <row r="642">
      <c r="D642" s="52"/>
    </row>
    <row r="643">
      <c r="D643" s="52"/>
    </row>
    <row r="644">
      <c r="D644" s="52"/>
    </row>
    <row r="645">
      <c r="D645" s="52"/>
    </row>
    <row r="646">
      <c r="D646" s="52"/>
    </row>
    <row r="647">
      <c r="D647" s="52"/>
    </row>
    <row r="648">
      <c r="D648" s="52"/>
    </row>
    <row r="649">
      <c r="D649" s="52"/>
    </row>
    <row r="650">
      <c r="D650" s="52"/>
    </row>
    <row r="651">
      <c r="D651" s="52"/>
    </row>
    <row r="652">
      <c r="D652" s="52"/>
    </row>
    <row r="653">
      <c r="D653" s="52"/>
    </row>
    <row r="654">
      <c r="D654" s="52"/>
    </row>
    <row r="655">
      <c r="D655" s="52"/>
    </row>
    <row r="656">
      <c r="D656" s="52"/>
    </row>
    <row r="657">
      <c r="D657" s="52"/>
    </row>
    <row r="658">
      <c r="D658" s="52"/>
    </row>
    <row r="659">
      <c r="D659" s="52"/>
    </row>
    <row r="660">
      <c r="D660" s="52"/>
    </row>
    <row r="661">
      <c r="D661" s="52"/>
    </row>
    <row r="662">
      <c r="D662" s="52"/>
    </row>
    <row r="663">
      <c r="D663" s="52"/>
    </row>
    <row r="664">
      <c r="D664" s="52"/>
    </row>
    <row r="665">
      <c r="D665" s="52"/>
    </row>
    <row r="666">
      <c r="D666" s="52"/>
    </row>
    <row r="667">
      <c r="D667" s="52"/>
    </row>
    <row r="668">
      <c r="D668" s="52"/>
    </row>
    <row r="669">
      <c r="D669" s="52"/>
    </row>
    <row r="670">
      <c r="D670" s="52"/>
    </row>
    <row r="671">
      <c r="D671" s="52"/>
    </row>
    <row r="672">
      <c r="D672" s="52"/>
    </row>
    <row r="673">
      <c r="D673" s="52"/>
    </row>
    <row r="674">
      <c r="D674" s="52"/>
    </row>
    <row r="675">
      <c r="D675" s="52"/>
    </row>
    <row r="676">
      <c r="D676" s="52"/>
    </row>
    <row r="677">
      <c r="D677" s="52"/>
    </row>
    <row r="678">
      <c r="D678" s="52"/>
    </row>
    <row r="679">
      <c r="D679" s="52"/>
    </row>
    <row r="680">
      <c r="D680" s="52"/>
    </row>
    <row r="681">
      <c r="D681" s="52"/>
    </row>
    <row r="682">
      <c r="D682" s="52"/>
    </row>
    <row r="683">
      <c r="D683" s="52"/>
    </row>
    <row r="684">
      <c r="D684" s="52"/>
    </row>
    <row r="685">
      <c r="D685" s="52"/>
    </row>
    <row r="686">
      <c r="D686" s="52"/>
    </row>
    <row r="687">
      <c r="D687" s="52"/>
    </row>
    <row r="688">
      <c r="D688" s="52"/>
    </row>
    <row r="689">
      <c r="D689" s="52"/>
    </row>
    <row r="690">
      <c r="D690" s="52"/>
    </row>
    <row r="691">
      <c r="D691" s="52"/>
    </row>
    <row r="692">
      <c r="D692" s="52"/>
    </row>
    <row r="693">
      <c r="D693" s="52"/>
    </row>
    <row r="694">
      <c r="D694" s="52"/>
    </row>
    <row r="695">
      <c r="D695" s="52"/>
    </row>
    <row r="696">
      <c r="D696" s="52"/>
    </row>
    <row r="697">
      <c r="D697" s="52"/>
    </row>
    <row r="698">
      <c r="D698" s="52"/>
    </row>
    <row r="699">
      <c r="D699" s="52"/>
    </row>
    <row r="700">
      <c r="D700" s="52"/>
    </row>
    <row r="701">
      <c r="D701" s="52"/>
    </row>
    <row r="702">
      <c r="D702" s="52"/>
    </row>
    <row r="703">
      <c r="D703" s="52"/>
    </row>
    <row r="704">
      <c r="D704" s="52"/>
    </row>
    <row r="705">
      <c r="D705" s="52"/>
    </row>
    <row r="706">
      <c r="D706" s="52"/>
    </row>
    <row r="707">
      <c r="D707" s="52"/>
    </row>
    <row r="708">
      <c r="D708" s="52"/>
    </row>
    <row r="709">
      <c r="D709" s="52"/>
    </row>
    <row r="710">
      <c r="D710" s="52"/>
    </row>
    <row r="711">
      <c r="D711" s="52"/>
    </row>
    <row r="712">
      <c r="D712" s="52"/>
    </row>
    <row r="713">
      <c r="D713" s="52"/>
    </row>
    <row r="714">
      <c r="D714" s="52"/>
    </row>
    <row r="715">
      <c r="D715" s="52"/>
    </row>
    <row r="716">
      <c r="D716" s="52"/>
    </row>
    <row r="717">
      <c r="D717" s="52"/>
    </row>
    <row r="718">
      <c r="D718" s="52"/>
    </row>
    <row r="719">
      <c r="D719" s="52"/>
    </row>
    <row r="720">
      <c r="D720" s="52"/>
    </row>
    <row r="721">
      <c r="D721" s="52"/>
    </row>
    <row r="722">
      <c r="D722" s="52"/>
    </row>
    <row r="723">
      <c r="D723" s="52"/>
    </row>
    <row r="724">
      <c r="D724" s="52"/>
    </row>
    <row r="725">
      <c r="D725" s="52"/>
    </row>
    <row r="726">
      <c r="D726" s="52"/>
    </row>
    <row r="727">
      <c r="D727" s="52"/>
    </row>
    <row r="728">
      <c r="D728" s="52"/>
    </row>
    <row r="729">
      <c r="D729" s="52"/>
    </row>
    <row r="730">
      <c r="D730" s="52"/>
    </row>
    <row r="731">
      <c r="D731" s="52"/>
    </row>
    <row r="732">
      <c r="D732" s="52"/>
    </row>
    <row r="733">
      <c r="D733" s="52"/>
    </row>
    <row r="734">
      <c r="D734" s="52"/>
    </row>
    <row r="735">
      <c r="D735" s="52"/>
    </row>
    <row r="736">
      <c r="D736" s="52"/>
    </row>
    <row r="737">
      <c r="D737" s="52"/>
    </row>
    <row r="738">
      <c r="D738" s="52"/>
    </row>
    <row r="739">
      <c r="D739" s="52"/>
    </row>
    <row r="740">
      <c r="D740" s="52"/>
    </row>
    <row r="741">
      <c r="D741" s="52"/>
    </row>
    <row r="742">
      <c r="D742" s="52"/>
    </row>
    <row r="743">
      <c r="D743" s="52"/>
    </row>
    <row r="744">
      <c r="D744" s="52"/>
    </row>
    <row r="745">
      <c r="D745" s="52"/>
    </row>
    <row r="746">
      <c r="D746" s="52"/>
    </row>
    <row r="747">
      <c r="D747" s="52"/>
    </row>
    <row r="748">
      <c r="D748" s="52"/>
    </row>
    <row r="749">
      <c r="D749" s="52"/>
    </row>
    <row r="750">
      <c r="D750" s="52"/>
    </row>
    <row r="751">
      <c r="D751" s="52"/>
    </row>
    <row r="752">
      <c r="D752" s="52"/>
    </row>
    <row r="753">
      <c r="D753" s="52"/>
    </row>
    <row r="754">
      <c r="D754" s="52"/>
    </row>
    <row r="755">
      <c r="D755" s="52"/>
    </row>
    <row r="756">
      <c r="D756" s="52"/>
    </row>
    <row r="757">
      <c r="D757" s="52"/>
    </row>
    <row r="758">
      <c r="D758" s="52"/>
    </row>
    <row r="759">
      <c r="D759" s="52"/>
    </row>
    <row r="760">
      <c r="D760" s="52"/>
    </row>
    <row r="761">
      <c r="D761" s="52"/>
    </row>
    <row r="762">
      <c r="D762" s="52"/>
    </row>
    <row r="763">
      <c r="D763" s="52"/>
    </row>
    <row r="764">
      <c r="D764" s="52"/>
    </row>
    <row r="765">
      <c r="D765" s="52"/>
    </row>
    <row r="766">
      <c r="D766" s="52"/>
    </row>
    <row r="767">
      <c r="D767" s="52"/>
    </row>
    <row r="768">
      <c r="D768" s="52"/>
    </row>
    <row r="769">
      <c r="D769" s="52"/>
    </row>
    <row r="770">
      <c r="D770" s="52"/>
    </row>
    <row r="771">
      <c r="D771" s="52"/>
    </row>
    <row r="772">
      <c r="D772" s="52"/>
    </row>
    <row r="773">
      <c r="D773" s="52"/>
    </row>
    <row r="774">
      <c r="D774" s="52"/>
    </row>
    <row r="775">
      <c r="D775" s="52"/>
    </row>
    <row r="776">
      <c r="D776" s="52"/>
    </row>
    <row r="777">
      <c r="D777" s="52"/>
    </row>
    <row r="778">
      <c r="D778" s="52"/>
    </row>
    <row r="779">
      <c r="D779" s="52"/>
    </row>
    <row r="780">
      <c r="D780" s="52"/>
    </row>
    <row r="781">
      <c r="D781" s="52"/>
    </row>
    <row r="782">
      <c r="D782" s="52"/>
    </row>
    <row r="783">
      <c r="D783" s="52"/>
    </row>
    <row r="784">
      <c r="D784" s="52"/>
    </row>
    <row r="785">
      <c r="D785" s="52"/>
    </row>
    <row r="786">
      <c r="D786" s="52"/>
    </row>
    <row r="787">
      <c r="D787" s="52"/>
    </row>
    <row r="788">
      <c r="D788" s="52"/>
    </row>
    <row r="789">
      <c r="D789" s="52"/>
    </row>
    <row r="790">
      <c r="D790" s="52"/>
    </row>
    <row r="791">
      <c r="D791" s="52"/>
    </row>
    <row r="792">
      <c r="D792" s="52"/>
    </row>
    <row r="793">
      <c r="D793" s="52"/>
    </row>
    <row r="794">
      <c r="D794" s="52"/>
    </row>
    <row r="795">
      <c r="D795" s="52"/>
    </row>
    <row r="796">
      <c r="D796" s="52"/>
    </row>
    <row r="797">
      <c r="D797" s="52"/>
    </row>
    <row r="798">
      <c r="D798" s="52"/>
    </row>
    <row r="799">
      <c r="D799" s="52"/>
    </row>
    <row r="800">
      <c r="D800" s="52"/>
    </row>
    <row r="801">
      <c r="D801" s="52"/>
    </row>
    <row r="802">
      <c r="D802" s="52"/>
    </row>
    <row r="803">
      <c r="D803" s="52"/>
    </row>
    <row r="804">
      <c r="D804" s="52"/>
    </row>
    <row r="805">
      <c r="D805" s="52"/>
    </row>
    <row r="806">
      <c r="D806" s="52"/>
    </row>
    <row r="807">
      <c r="D807" s="52"/>
    </row>
    <row r="808">
      <c r="D808" s="52"/>
    </row>
    <row r="809">
      <c r="D809" s="52"/>
    </row>
    <row r="810">
      <c r="D810" s="52"/>
    </row>
    <row r="811">
      <c r="D811" s="52"/>
    </row>
    <row r="812">
      <c r="D812" s="52"/>
    </row>
    <row r="813">
      <c r="D813" s="52"/>
    </row>
    <row r="814">
      <c r="D814" s="52"/>
    </row>
    <row r="815">
      <c r="D815" s="52"/>
    </row>
    <row r="816">
      <c r="D816" s="52"/>
    </row>
    <row r="817">
      <c r="D817" s="52"/>
    </row>
    <row r="818">
      <c r="D818" s="52"/>
    </row>
    <row r="819">
      <c r="D819" s="52"/>
    </row>
    <row r="820">
      <c r="D820" s="52"/>
    </row>
    <row r="821">
      <c r="D821" s="52"/>
    </row>
    <row r="822">
      <c r="D822" s="52"/>
    </row>
    <row r="823">
      <c r="D823" s="52"/>
    </row>
    <row r="824">
      <c r="D824" s="52"/>
    </row>
    <row r="825">
      <c r="D825" s="52"/>
    </row>
    <row r="826">
      <c r="D826" s="52"/>
    </row>
    <row r="827">
      <c r="D827" s="52"/>
    </row>
    <row r="828">
      <c r="D828" s="52"/>
    </row>
    <row r="829">
      <c r="D829" s="52"/>
    </row>
    <row r="830">
      <c r="D830" s="52"/>
    </row>
    <row r="831">
      <c r="D831" s="52"/>
    </row>
    <row r="832">
      <c r="D832" s="52"/>
    </row>
    <row r="833">
      <c r="D833" s="52"/>
    </row>
    <row r="834">
      <c r="D834" s="52"/>
    </row>
    <row r="835">
      <c r="D835" s="52"/>
    </row>
    <row r="836">
      <c r="D836" s="52"/>
    </row>
    <row r="837">
      <c r="D837" s="52"/>
    </row>
    <row r="838">
      <c r="D838" s="52"/>
    </row>
    <row r="839">
      <c r="D839" s="52"/>
    </row>
    <row r="840">
      <c r="D840" s="52"/>
    </row>
    <row r="841">
      <c r="D841" s="52"/>
    </row>
    <row r="842">
      <c r="D842" s="52"/>
    </row>
    <row r="843">
      <c r="D843" s="52"/>
    </row>
  </sheetData>
  <mergeCells count="7">
    <mergeCell ref="A1:F1"/>
    <mergeCell ref="A2:A3"/>
    <mergeCell ref="B2:B3"/>
    <mergeCell ref="C2:C3"/>
    <mergeCell ref="D2:D3"/>
    <mergeCell ref="E2:F2"/>
    <mergeCell ref="A7:E7"/>
  </mergeCells>
  <dataValidations>
    <dataValidation type="list" allowBlank="1" sqref="H4">
      <formula1>"CHECKED (OK),CHECKED  (NOT OK)"</formula1>
    </dataValidation>
  </dataValidations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3" max="3" width="26.75"/>
    <col customWidth="1" min="4" max="4" width="33.25"/>
    <col customWidth="1" min="7" max="7" width="3.5"/>
    <col customWidth="1" min="8" max="8" width="18.63"/>
    <col customWidth="1" min="9" max="9" width="21.63"/>
  </cols>
  <sheetData>
    <row r="1">
      <c r="A1" s="30" t="s">
        <v>1088</v>
      </c>
      <c r="G1" s="31"/>
      <c r="H1" s="32" t="s">
        <v>1089</v>
      </c>
      <c r="I1" s="33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4" t="s">
        <v>1</v>
      </c>
      <c r="B2" s="35" t="s">
        <v>11</v>
      </c>
      <c r="C2" s="35" t="s">
        <v>12</v>
      </c>
      <c r="D2" s="36" t="s">
        <v>13</v>
      </c>
      <c r="E2" s="37" t="s">
        <v>14</v>
      </c>
      <c r="F2" s="38"/>
      <c r="G2" s="39"/>
      <c r="H2" s="40"/>
      <c r="I2" s="40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41"/>
      <c r="B3" s="38"/>
      <c r="C3" s="38"/>
      <c r="D3" s="38"/>
      <c r="E3" s="42" t="s">
        <v>15</v>
      </c>
      <c r="F3" s="43" t="s">
        <v>5</v>
      </c>
      <c r="G3" s="39"/>
      <c r="H3" s="44" t="s">
        <v>6</v>
      </c>
      <c r="I3" s="45" t="s">
        <v>7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24.75" customHeight="1">
      <c r="A4" s="46"/>
      <c r="B4" s="47"/>
      <c r="C4" s="48" t="str">
        <f>vlookup(B4,'Crew Data'!C:G,5,0)</f>
        <v>#N/A</v>
      </c>
      <c r="D4" s="49"/>
      <c r="E4" s="47"/>
      <c r="F4" s="50">
        <f>E4*400</f>
        <v>0</v>
      </c>
      <c r="G4" s="22">
        <f>COUNTIF(B:B,B4)</f>
        <v>0</v>
      </c>
      <c r="H4" s="5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D5" s="52"/>
    </row>
    <row r="6">
      <c r="D6" s="52"/>
    </row>
    <row r="7" ht="44.25" customHeight="1">
      <c r="A7" s="53" t="s">
        <v>16</v>
      </c>
    </row>
    <row r="8">
      <c r="D8" s="52"/>
    </row>
    <row r="9">
      <c r="D9" s="52"/>
    </row>
    <row r="10">
      <c r="D10" s="52"/>
    </row>
    <row r="11">
      <c r="D11" s="52"/>
    </row>
    <row r="12">
      <c r="D12" s="52"/>
    </row>
    <row r="13">
      <c r="D13" s="52"/>
    </row>
    <row r="14">
      <c r="D14" s="52"/>
    </row>
    <row r="15">
      <c r="D15" s="52"/>
    </row>
    <row r="16">
      <c r="D16" s="52"/>
    </row>
    <row r="17">
      <c r="D17" s="52"/>
    </row>
    <row r="18">
      <c r="D18" s="52"/>
    </row>
    <row r="19">
      <c r="D19" s="52"/>
    </row>
    <row r="20">
      <c r="D20" s="52"/>
    </row>
    <row r="21">
      <c r="D21" s="52"/>
    </row>
    <row r="22">
      <c r="D22" s="52"/>
    </row>
    <row r="23">
      <c r="D23" s="52"/>
    </row>
    <row r="24">
      <c r="D24" s="52"/>
    </row>
    <row r="25">
      <c r="D25" s="52"/>
    </row>
    <row r="26">
      <c r="D26" s="52"/>
    </row>
    <row r="27">
      <c r="D27" s="52"/>
    </row>
    <row r="28">
      <c r="D28" s="52"/>
    </row>
    <row r="29">
      <c r="D29" s="52"/>
    </row>
    <row r="30">
      <c r="D30" s="52"/>
    </row>
    <row r="31">
      <c r="D31" s="52"/>
    </row>
    <row r="32">
      <c r="D32" s="52"/>
    </row>
    <row r="33">
      <c r="D33" s="52"/>
    </row>
    <row r="34">
      <c r="D34" s="52"/>
    </row>
    <row r="35">
      <c r="D35" s="52"/>
    </row>
    <row r="36">
      <c r="D36" s="52"/>
    </row>
    <row r="37">
      <c r="D37" s="52"/>
    </row>
    <row r="38">
      <c r="D38" s="52"/>
    </row>
    <row r="39">
      <c r="D39" s="52"/>
    </row>
    <row r="40">
      <c r="D40" s="52"/>
    </row>
    <row r="41">
      <c r="D41" s="52"/>
    </row>
    <row r="42">
      <c r="D42" s="52"/>
    </row>
    <row r="43">
      <c r="D43" s="52"/>
    </row>
    <row r="44">
      <c r="D44" s="52"/>
    </row>
    <row r="45">
      <c r="D45" s="52"/>
    </row>
    <row r="46">
      <c r="D46" s="52"/>
    </row>
    <row r="47">
      <c r="D47" s="52"/>
    </row>
    <row r="48">
      <c r="D48" s="52"/>
    </row>
    <row r="49">
      <c r="D49" s="52"/>
    </row>
    <row r="50">
      <c r="D50" s="52"/>
    </row>
    <row r="51">
      <c r="D51" s="52"/>
    </row>
    <row r="52">
      <c r="D52" s="52"/>
    </row>
    <row r="53">
      <c r="D53" s="52"/>
    </row>
    <row r="54">
      <c r="D54" s="52"/>
    </row>
    <row r="55">
      <c r="D55" s="52"/>
    </row>
    <row r="56">
      <c r="D56" s="52"/>
    </row>
    <row r="57">
      <c r="D57" s="52"/>
    </row>
    <row r="58">
      <c r="D58" s="52"/>
    </row>
    <row r="59">
      <c r="D59" s="52"/>
    </row>
    <row r="60">
      <c r="D60" s="52"/>
    </row>
    <row r="61">
      <c r="D61" s="52"/>
    </row>
    <row r="62">
      <c r="D62" s="52"/>
    </row>
    <row r="63">
      <c r="D63" s="52"/>
    </row>
    <row r="64">
      <c r="D64" s="52"/>
    </row>
    <row r="65">
      <c r="D65" s="52"/>
    </row>
    <row r="66">
      <c r="D66" s="52"/>
    </row>
    <row r="67">
      <c r="D67" s="52"/>
    </row>
    <row r="68">
      <c r="D68" s="52"/>
    </row>
    <row r="69">
      <c r="D69" s="52"/>
    </row>
    <row r="70">
      <c r="D70" s="52"/>
    </row>
    <row r="71">
      <c r="D71" s="52"/>
    </row>
    <row r="72">
      <c r="D72" s="52"/>
    </row>
    <row r="73">
      <c r="D73" s="52"/>
    </row>
    <row r="74">
      <c r="D74" s="52"/>
    </row>
    <row r="75">
      <c r="D75" s="52"/>
    </row>
    <row r="76">
      <c r="D76" s="52"/>
    </row>
    <row r="77">
      <c r="D77" s="52"/>
    </row>
    <row r="78">
      <c r="D78" s="52"/>
    </row>
    <row r="79">
      <c r="D79" s="52"/>
    </row>
    <row r="80">
      <c r="D80" s="52"/>
    </row>
    <row r="81">
      <c r="D81" s="52"/>
    </row>
    <row r="82">
      <c r="D82" s="52"/>
    </row>
    <row r="83">
      <c r="D83" s="52"/>
    </row>
    <row r="84">
      <c r="D84" s="52"/>
    </row>
    <row r="85">
      <c r="D85" s="52"/>
    </row>
    <row r="86">
      <c r="D86" s="52"/>
    </row>
    <row r="87">
      <c r="D87" s="52"/>
    </row>
    <row r="88">
      <c r="D88" s="52"/>
    </row>
    <row r="89">
      <c r="D89" s="52"/>
    </row>
    <row r="90">
      <c r="D90" s="52"/>
    </row>
    <row r="91">
      <c r="D91" s="52"/>
    </row>
    <row r="92">
      <c r="D92" s="52"/>
    </row>
    <row r="93">
      <c r="D93" s="52"/>
    </row>
    <row r="94">
      <c r="D94" s="52"/>
    </row>
    <row r="95">
      <c r="D95" s="52"/>
    </row>
    <row r="96">
      <c r="D96" s="52"/>
    </row>
    <row r="97">
      <c r="D97" s="52"/>
    </row>
    <row r="98">
      <c r="D98" s="52"/>
    </row>
    <row r="99">
      <c r="D99" s="52"/>
    </row>
    <row r="100">
      <c r="D100" s="52"/>
    </row>
    <row r="101">
      <c r="D101" s="52"/>
    </row>
    <row r="102">
      <c r="D102" s="52"/>
    </row>
    <row r="103">
      <c r="D103" s="52"/>
    </row>
    <row r="104">
      <c r="D104" s="52"/>
    </row>
    <row r="105">
      <c r="D105" s="52"/>
    </row>
    <row r="106">
      <c r="D106" s="52"/>
    </row>
    <row r="107">
      <c r="D107" s="52"/>
    </row>
    <row r="108">
      <c r="D108" s="52"/>
    </row>
    <row r="109">
      <c r="D109" s="52"/>
    </row>
    <row r="110">
      <c r="D110" s="52"/>
    </row>
    <row r="111">
      <c r="D111" s="52"/>
    </row>
    <row r="112">
      <c r="D112" s="52"/>
    </row>
    <row r="113">
      <c r="D113" s="52"/>
    </row>
    <row r="114">
      <c r="D114" s="52"/>
    </row>
    <row r="115">
      <c r="D115" s="52"/>
    </row>
    <row r="116">
      <c r="D116" s="52"/>
    </row>
    <row r="117">
      <c r="D117" s="52"/>
    </row>
    <row r="118">
      <c r="D118" s="52"/>
    </row>
    <row r="119">
      <c r="D119" s="52"/>
    </row>
    <row r="120">
      <c r="D120" s="52"/>
    </row>
    <row r="121">
      <c r="D121" s="52"/>
    </row>
    <row r="122">
      <c r="D122" s="52"/>
    </row>
    <row r="123">
      <c r="D123" s="52"/>
    </row>
    <row r="124">
      <c r="D124" s="52"/>
    </row>
    <row r="125">
      <c r="D125" s="52"/>
    </row>
    <row r="126">
      <c r="D126" s="52"/>
    </row>
    <row r="127">
      <c r="D127" s="52"/>
    </row>
    <row r="128">
      <c r="D128" s="52"/>
    </row>
    <row r="129">
      <c r="D129" s="52"/>
    </row>
    <row r="130">
      <c r="D130" s="52"/>
    </row>
    <row r="131">
      <c r="D131" s="52"/>
    </row>
    <row r="132">
      <c r="D132" s="52"/>
    </row>
    <row r="133">
      <c r="D133" s="52"/>
    </row>
    <row r="134">
      <c r="D134" s="52"/>
    </row>
    <row r="135">
      <c r="D135" s="52"/>
    </row>
    <row r="136">
      <c r="D136" s="52"/>
    </row>
    <row r="137">
      <c r="D137" s="52"/>
    </row>
    <row r="138">
      <c r="D138" s="52"/>
    </row>
    <row r="139">
      <c r="D139" s="52"/>
    </row>
    <row r="140">
      <c r="D140" s="52"/>
    </row>
    <row r="141">
      <c r="D141" s="52"/>
    </row>
    <row r="142">
      <c r="D142" s="52"/>
    </row>
    <row r="143">
      <c r="D143" s="52"/>
    </row>
    <row r="144">
      <c r="D144" s="52"/>
    </row>
    <row r="145">
      <c r="D145" s="52"/>
    </row>
    <row r="146">
      <c r="D146" s="52"/>
    </row>
    <row r="147">
      <c r="D147" s="52"/>
    </row>
    <row r="148">
      <c r="D148" s="52"/>
    </row>
    <row r="149">
      <c r="D149" s="52"/>
    </row>
    <row r="150">
      <c r="D150" s="52"/>
    </row>
    <row r="151">
      <c r="D151" s="52"/>
    </row>
    <row r="152">
      <c r="D152" s="52"/>
    </row>
    <row r="153">
      <c r="D153" s="52"/>
    </row>
    <row r="154">
      <c r="D154" s="52"/>
    </row>
    <row r="155">
      <c r="D155" s="52"/>
    </row>
    <row r="156">
      <c r="D156" s="52"/>
    </row>
    <row r="157">
      <c r="D157" s="52"/>
    </row>
    <row r="158">
      <c r="D158" s="52"/>
    </row>
    <row r="159">
      <c r="D159" s="52"/>
    </row>
    <row r="160">
      <c r="D160" s="52"/>
    </row>
    <row r="161">
      <c r="D161" s="52"/>
    </row>
    <row r="162">
      <c r="D162" s="52"/>
    </row>
    <row r="163">
      <c r="D163" s="52"/>
    </row>
    <row r="164">
      <c r="D164" s="52"/>
    </row>
    <row r="165">
      <c r="D165" s="52"/>
    </row>
    <row r="166">
      <c r="D166" s="52"/>
    </row>
    <row r="167">
      <c r="D167" s="52"/>
    </row>
    <row r="168">
      <c r="D168" s="52"/>
    </row>
    <row r="169">
      <c r="D169" s="52"/>
    </row>
    <row r="170">
      <c r="D170" s="52"/>
    </row>
    <row r="171">
      <c r="D171" s="52"/>
    </row>
    <row r="172">
      <c r="D172" s="52"/>
    </row>
    <row r="173">
      <c r="D173" s="52"/>
    </row>
    <row r="174">
      <c r="D174" s="52"/>
    </row>
    <row r="175">
      <c r="D175" s="52"/>
    </row>
    <row r="176">
      <c r="D176" s="52"/>
    </row>
    <row r="177">
      <c r="D177" s="52"/>
    </row>
    <row r="178">
      <c r="D178" s="52"/>
    </row>
    <row r="179">
      <c r="D179" s="52"/>
    </row>
    <row r="180">
      <c r="D180" s="52"/>
    </row>
    <row r="181">
      <c r="D181" s="52"/>
    </row>
    <row r="182">
      <c r="D182" s="52"/>
    </row>
    <row r="183">
      <c r="D183" s="52"/>
    </row>
    <row r="184">
      <c r="D184" s="52"/>
    </row>
    <row r="185">
      <c r="D185" s="52"/>
    </row>
    <row r="186">
      <c r="D186" s="52"/>
    </row>
    <row r="187">
      <c r="D187" s="52"/>
    </row>
    <row r="188">
      <c r="D188" s="52"/>
    </row>
    <row r="189">
      <c r="D189" s="52"/>
    </row>
    <row r="190">
      <c r="D190" s="52"/>
    </row>
    <row r="191">
      <c r="D191" s="52"/>
    </row>
    <row r="192">
      <c r="D192" s="52"/>
    </row>
    <row r="193">
      <c r="D193" s="52"/>
    </row>
    <row r="194">
      <c r="D194" s="52"/>
    </row>
    <row r="195">
      <c r="D195" s="52"/>
    </row>
    <row r="196">
      <c r="D196" s="52"/>
    </row>
    <row r="197">
      <c r="D197" s="52"/>
    </row>
    <row r="198">
      <c r="D198" s="52"/>
    </row>
    <row r="199">
      <c r="D199" s="52"/>
    </row>
    <row r="200">
      <c r="D200" s="52"/>
    </row>
    <row r="201">
      <c r="D201" s="52"/>
    </row>
    <row r="202">
      <c r="D202" s="52"/>
    </row>
    <row r="203">
      <c r="D203" s="52"/>
    </row>
    <row r="204">
      <c r="D204" s="52"/>
    </row>
    <row r="205">
      <c r="D205" s="52"/>
    </row>
    <row r="206">
      <c r="D206" s="52"/>
    </row>
    <row r="207">
      <c r="D207" s="52"/>
    </row>
    <row r="208">
      <c r="D208" s="52"/>
    </row>
    <row r="209">
      <c r="D209" s="52"/>
    </row>
    <row r="210">
      <c r="D210" s="52"/>
    </row>
    <row r="211">
      <c r="D211" s="52"/>
    </row>
    <row r="212">
      <c r="D212" s="52"/>
    </row>
    <row r="213">
      <c r="D213" s="52"/>
    </row>
    <row r="214">
      <c r="D214" s="52"/>
    </row>
    <row r="215">
      <c r="D215" s="52"/>
    </row>
    <row r="216">
      <c r="D216" s="52"/>
    </row>
    <row r="217">
      <c r="D217" s="52"/>
    </row>
    <row r="218">
      <c r="D218" s="52"/>
    </row>
    <row r="219">
      <c r="D219" s="52"/>
    </row>
    <row r="220">
      <c r="D220" s="52"/>
    </row>
    <row r="221">
      <c r="D221" s="52"/>
    </row>
    <row r="222">
      <c r="D222" s="52"/>
    </row>
    <row r="223">
      <c r="D223" s="52"/>
    </row>
    <row r="224">
      <c r="D224" s="52"/>
    </row>
    <row r="225">
      <c r="D225" s="52"/>
    </row>
    <row r="226">
      <c r="D226" s="52"/>
    </row>
    <row r="227">
      <c r="D227" s="52"/>
    </row>
    <row r="228">
      <c r="D228" s="52"/>
    </row>
    <row r="229">
      <c r="D229" s="52"/>
    </row>
    <row r="230">
      <c r="D230" s="52"/>
    </row>
    <row r="231">
      <c r="D231" s="52"/>
    </row>
    <row r="232">
      <c r="D232" s="52"/>
    </row>
    <row r="233">
      <c r="D233" s="52"/>
    </row>
    <row r="234">
      <c r="D234" s="52"/>
    </row>
    <row r="235">
      <c r="D235" s="52"/>
    </row>
    <row r="236">
      <c r="D236" s="52"/>
    </row>
    <row r="237">
      <c r="D237" s="52"/>
    </row>
    <row r="238">
      <c r="D238" s="52"/>
    </row>
    <row r="239">
      <c r="D239" s="52"/>
    </row>
    <row r="240">
      <c r="D240" s="52"/>
    </row>
    <row r="241">
      <c r="D241" s="52"/>
    </row>
    <row r="242">
      <c r="D242" s="52"/>
    </row>
    <row r="243">
      <c r="D243" s="52"/>
    </row>
    <row r="244">
      <c r="D244" s="52"/>
    </row>
    <row r="245">
      <c r="D245" s="52"/>
    </row>
    <row r="246">
      <c r="D246" s="52"/>
    </row>
    <row r="247">
      <c r="D247" s="52"/>
    </row>
    <row r="248">
      <c r="D248" s="52"/>
    </row>
    <row r="249">
      <c r="D249" s="52"/>
    </row>
    <row r="250">
      <c r="D250" s="52"/>
    </row>
    <row r="251">
      <c r="D251" s="52"/>
    </row>
    <row r="252">
      <c r="D252" s="52"/>
    </row>
    <row r="253">
      <c r="D253" s="52"/>
    </row>
    <row r="254">
      <c r="D254" s="52"/>
    </row>
    <row r="255">
      <c r="D255" s="52"/>
    </row>
    <row r="256">
      <c r="D256" s="52"/>
    </row>
    <row r="257">
      <c r="D257" s="52"/>
    </row>
    <row r="258">
      <c r="D258" s="52"/>
    </row>
    <row r="259">
      <c r="D259" s="52"/>
    </row>
    <row r="260">
      <c r="D260" s="52"/>
    </row>
    <row r="261">
      <c r="D261" s="52"/>
    </row>
    <row r="262">
      <c r="D262" s="52"/>
    </row>
    <row r="263">
      <c r="D263" s="52"/>
    </row>
    <row r="264">
      <c r="D264" s="52"/>
    </row>
    <row r="265">
      <c r="D265" s="52"/>
    </row>
    <row r="266">
      <c r="D266" s="52"/>
    </row>
    <row r="267">
      <c r="D267" s="52"/>
    </row>
    <row r="268">
      <c r="D268" s="52"/>
    </row>
    <row r="269">
      <c r="D269" s="52"/>
    </row>
    <row r="270">
      <c r="D270" s="52"/>
    </row>
    <row r="271">
      <c r="D271" s="52"/>
    </row>
    <row r="272">
      <c r="D272" s="52"/>
    </row>
    <row r="273">
      <c r="D273" s="52"/>
    </row>
    <row r="274">
      <c r="D274" s="52"/>
    </row>
    <row r="275">
      <c r="D275" s="52"/>
    </row>
    <row r="276">
      <c r="D276" s="52"/>
    </row>
    <row r="277">
      <c r="D277" s="52"/>
    </row>
    <row r="278">
      <c r="D278" s="52"/>
    </row>
    <row r="279">
      <c r="D279" s="52"/>
    </row>
    <row r="280">
      <c r="D280" s="52"/>
    </row>
    <row r="281">
      <c r="D281" s="52"/>
    </row>
    <row r="282">
      <c r="D282" s="52"/>
    </row>
    <row r="283">
      <c r="D283" s="52"/>
    </row>
    <row r="284">
      <c r="D284" s="52"/>
    </row>
    <row r="285">
      <c r="D285" s="52"/>
    </row>
    <row r="286">
      <c r="D286" s="52"/>
    </row>
    <row r="287">
      <c r="D287" s="52"/>
    </row>
    <row r="288">
      <c r="D288" s="52"/>
    </row>
    <row r="289">
      <c r="D289" s="52"/>
    </row>
    <row r="290">
      <c r="D290" s="52"/>
    </row>
    <row r="291">
      <c r="D291" s="52"/>
    </row>
    <row r="292">
      <c r="D292" s="52"/>
    </row>
    <row r="293">
      <c r="D293" s="52"/>
    </row>
    <row r="294">
      <c r="D294" s="52"/>
    </row>
    <row r="295">
      <c r="D295" s="52"/>
    </row>
    <row r="296">
      <c r="D296" s="52"/>
    </row>
    <row r="297">
      <c r="D297" s="52"/>
    </row>
    <row r="298">
      <c r="D298" s="52"/>
    </row>
    <row r="299">
      <c r="D299" s="52"/>
    </row>
    <row r="300">
      <c r="D300" s="52"/>
    </row>
    <row r="301">
      <c r="D301" s="52"/>
    </row>
    <row r="302">
      <c r="D302" s="52"/>
    </row>
    <row r="303">
      <c r="D303" s="52"/>
    </row>
    <row r="304">
      <c r="D304" s="52"/>
    </row>
    <row r="305">
      <c r="D305" s="52"/>
    </row>
    <row r="306">
      <c r="D306" s="52"/>
    </row>
    <row r="307">
      <c r="D307" s="52"/>
    </row>
    <row r="308">
      <c r="D308" s="52"/>
    </row>
    <row r="309">
      <c r="D309" s="52"/>
    </row>
    <row r="310">
      <c r="D310" s="52"/>
    </row>
    <row r="311">
      <c r="D311" s="52"/>
    </row>
    <row r="312">
      <c r="D312" s="52"/>
    </row>
    <row r="313">
      <c r="D313" s="52"/>
    </row>
    <row r="314">
      <c r="D314" s="52"/>
    </row>
    <row r="315">
      <c r="D315" s="52"/>
    </row>
    <row r="316">
      <c r="D316" s="52"/>
    </row>
    <row r="317">
      <c r="D317" s="52"/>
    </row>
    <row r="318">
      <c r="D318" s="52"/>
    </row>
    <row r="319">
      <c r="D319" s="52"/>
    </row>
    <row r="320">
      <c r="D320" s="52"/>
    </row>
    <row r="321">
      <c r="D321" s="52"/>
    </row>
    <row r="322">
      <c r="D322" s="52"/>
    </row>
    <row r="323">
      <c r="D323" s="52"/>
    </row>
    <row r="324">
      <c r="D324" s="52"/>
    </row>
    <row r="325">
      <c r="D325" s="52"/>
    </row>
    <row r="326">
      <c r="D326" s="52"/>
    </row>
    <row r="327">
      <c r="D327" s="52"/>
    </row>
    <row r="328">
      <c r="D328" s="52"/>
    </row>
    <row r="329">
      <c r="D329" s="52"/>
    </row>
    <row r="330">
      <c r="D330" s="52"/>
    </row>
    <row r="331">
      <c r="D331" s="52"/>
    </row>
    <row r="332">
      <c r="D332" s="52"/>
    </row>
    <row r="333">
      <c r="D333" s="52"/>
    </row>
    <row r="334">
      <c r="D334" s="52"/>
    </row>
    <row r="335">
      <c r="D335" s="52"/>
    </row>
    <row r="336">
      <c r="D336" s="52"/>
    </row>
    <row r="337">
      <c r="D337" s="52"/>
    </row>
    <row r="338">
      <c r="D338" s="52"/>
    </row>
    <row r="339">
      <c r="D339" s="52"/>
    </row>
    <row r="340">
      <c r="D340" s="52"/>
    </row>
    <row r="341">
      <c r="D341" s="52"/>
    </row>
    <row r="342">
      <c r="D342" s="52"/>
    </row>
    <row r="343">
      <c r="D343" s="52"/>
    </row>
    <row r="344">
      <c r="D344" s="52"/>
    </row>
    <row r="345">
      <c r="D345" s="52"/>
    </row>
    <row r="346">
      <c r="D346" s="52"/>
    </row>
    <row r="347">
      <c r="D347" s="52"/>
    </row>
    <row r="348">
      <c r="D348" s="52"/>
    </row>
    <row r="349">
      <c r="D349" s="52"/>
    </row>
    <row r="350">
      <c r="D350" s="52"/>
    </row>
    <row r="351">
      <c r="D351" s="52"/>
    </row>
    <row r="352">
      <c r="D352" s="52"/>
    </row>
    <row r="353">
      <c r="D353" s="52"/>
    </row>
    <row r="354">
      <c r="D354" s="52"/>
    </row>
    <row r="355">
      <c r="D355" s="52"/>
    </row>
    <row r="356">
      <c r="D356" s="52"/>
    </row>
    <row r="357">
      <c r="D357" s="52"/>
    </row>
    <row r="358">
      <c r="D358" s="52"/>
    </row>
    <row r="359">
      <c r="D359" s="52"/>
    </row>
    <row r="360">
      <c r="D360" s="52"/>
    </row>
    <row r="361">
      <c r="D361" s="52"/>
    </row>
    <row r="362">
      <c r="D362" s="52"/>
    </row>
    <row r="363">
      <c r="D363" s="52"/>
    </row>
    <row r="364">
      <c r="D364" s="52"/>
    </row>
    <row r="365">
      <c r="D365" s="52"/>
    </row>
    <row r="366">
      <c r="D366" s="52"/>
    </row>
    <row r="367">
      <c r="D367" s="52"/>
    </row>
    <row r="368">
      <c r="D368" s="52"/>
    </row>
    <row r="369">
      <c r="D369" s="52"/>
    </row>
    <row r="370">
      <c r="D370" s="52"/>
    </row>
    <row r="371">
      <c r="D371" s="52"/>
    </row>
    <row r="372">
      <c r="D372" s="52"/>
    </row>
    <row r="373">
      <c r="D373" s="52"/>
    </row>
    <row r="374">
      <c r="D374" s="52"/>
    </row>
    <row r="375">
      <c r="D375" s="52"/>
    </row>
    <row r="376">
      <c r="D376" s="52"/>
    </row>
    <row r="377">
      <c r="D377" s="52"/>
    </row>
    <row r="378">
      <c r="D378" s="52"/>
    </row>
    <row r="379">
      <c r="D379" s="52"/>
    </row>
    <row r="380">
      <c r="D380" s="52"/>
    </row>
    <row r="381">
      <c r="D381" s="52"/>
    </row>
    <row r="382">
      <c r="D382" s="52"/>
    </row>
    <row r="383">
      <c r="D383" s="52"/>
    </row>
    <row r="384">
      <c r="D384" s="52"/>
    </row>
    <row r="385">
      <c r="D385" s="52"/>
    </row>
    <row r="386">
      <c r="D386" s="52"/>
    </row>
    <row r="387">
      <c r="D387" s="52"/>
    </row>
    <row r="388">
      <c r="D388" s="52"/>
    </row>
    <row r="389">
      <c r="D389" s="52"/>
    </row>
    <row r="390">
      <c r="D390" s="52"/>
    </row>
    <row r="391">
      <c r="D391" s="52"/>
    </row>
    <row r="392">
      <c r="D392" s="52"/>
    </row>
    <row r="393">
      <c r="D393" s="52"/>
    </row>
    <row r="394">
      <c r="D394" s="52"/>
    </row>
    <row r="395">
      <c r="D395" s="52"/>
    </row>
    <row r="396">
      <c r="D396" s="52"/>
    </row>
    <row r="397">
      <c r="D397" s="52"/>
    </row>
    <row r="398">
      <c r="D398" s="52"/>
    </row>
    <row r="399">
      <c r="D399" s="52"/>
    </row>
    <row r="400">
      <c r="D400" s="52"/>
    </row>
    <row r="401">
      <c r="D401" s="52"/>
    </row>
    <row r="402">
      <c r="D402" s="52"/>
    </row>
    <row r="403">
      <c r="D403" s="52"/>
    </row>
    <row r="404">
      <c r="D404" s="52"/>
    </row>
    <row r="405">
      <c r="D405" s="52"/>
    </row>
    <row r="406">
      <c r="D406" s="52"/>
    </row>
    <row r="407">
      <c r="D407" s="52"/>
    </row>
    <row r="408">
      <c r="D408" s="52"/>
    </row>
    <row r="409">
      <c r="D409" s="52"/>
    </row>
    <row r="410">
      <c r="D410" s="52"/>
    </row>
    <row r="411">
      <c r="D411" s="52"/>
    </row>
    <row r="412">
      <c r="D412" s="52"/>
    </row>
    <row r="413">
      <c r="D413" s="52"/>
    </row>
    <row r="414">
      <c r="D414" s="52"/>
    </row>
    <row r="415">
      <c r="D415" s="52"/>
    </row>
    <row r="416">
      <c r="D416" s="52"/>
    </row>
    <row r="417">
      <c r="D417" s="52"/>
    </row>
    <row r="418">
      <c r="D418" s="52"/>
    </row>
    <row r="419">
      <c r="D419" s="52"/>
    </row>
    <row r="420">
      <c r="D420" s="52"/>
    </row>
    <row r="421">
      <c r="D421" s="52"/>
    </row>
    <row r="422">
      <c r="D422" s="52"/>
    </row>
    <row r="423">
      <c r="D423" s="52"/>
    </row>
    <row r="424">
      <c r="D424" s="52"/>
    </row>
    <row r="425">
      <c r="D425" s="52"/>
    </row>
    <row r="426">
      <c r="D426" s="52"/>
    </row>
    <row r="427">
      <c r="D427" s="52"/>
    </row>
    <row r="428">
      <c r="D428" s="52"/>
    </row>
    <row r="429">
      <c r="D429" s="52"/>
    </row>
    <row r="430">
      <c r="D430" s="52"/>
    </row>
    <row r="431">
      <c r="D431" s="52"/>
    </row>
    <row r="432">
      <c r="D432" s="52"/>
    </row>
    <row r="433">
      <c r="D433" s="52"/>
    </row>
    <row r="434">
      <c r="D434" s="52"/>
    </row>
    <row r="435">
      <c r="D435" s="52"/>
    </row>
    <row r="436">
      <c r="D436" s="52"/>
    </row>
    <row r="437">
      <c r="D437" s="52"/>
    </row>
    <row r="438">
      <c r="D438" s="52"/>
    </row>
    <row r="439">
      <c r="D439" s="52"/>
    </row>
    <row r="440">
      <c r="D440" s="52"/>
    </row>
    <row r="441">
      <c r="D441" s="52"/>
    </row>
    <row r="442">
      <c r="D442" s="52"/>
    </row>
    <row r="443">
      <c r="D443" s="52"/>
    </row>
    <row r="444">
      <c r="D444" s="52"/>
    </row>
    <row r="445">
      <c r="D445" s="52"/>
    </row>
    <row r="446">
      <c r="D446" s="52"/>
    </row>
    <row r="447">
      <c r="D447" s="52"/>
    </row>
    <row r="448">
      <c r="D448" s="52"/>
    </row>
    <row r="449">
      <c r="D449" s="52"/>
    </row>
    <row r="450">
      <c r="D450" s="52"/>
    </row>
    <row r="451">
      <c r="D451" s="52"/>
    </row>
    <row r="452">
      <c r="D452" s="52"/>
    </row>
    <row r="453">
      <c r="D453" s="52"/>
    </row>
    <row r="454">
      <c r="D454" s="52"/>
    </row>
    <row r="455">
      <c r="D455" s="52"/>
    </row>
    <row r="456">
      <c r="D456" s="52"/>
    </row>
    <row r="457">
      <c r="D457" s="52"/>
    </row>
    <row r="458">
      <c r="D458" s="52"/>
    </row>
    <row r="459">
      <c r="D459" s="52"/>
    </row>
    <row r="460">
      <c r="D460" s="52"/>
    </row>
    <row r="461">
      <c r="D461" s="52"/>
    </row>
    <row r="462">
      <c r="D462" s="52"/>
    </row>
    <row r="463">
      <c r="D463" s="52"/>
    </row>
    <row r="464">
      <c r="D464" s="52"/>
    </row>
    <row r="465">
      <c r="D465" s="52"/>
    </row>
    <row r="466">
      <c r="D466" s="52"/>
    </row>
    <row r="467">
      <c r="D467" s="52"/>
    </row>
    <row r="468">
      <c r="D468" s="52"/>
    </row>
    <row r="469">
      <c r="D469" s="52"/>
    </row>
    <row r="470">
      <c r="D470" s="52"/>
    </row>
    <row r="471">
      <c r="D471" s="52"/>
    </row>
    <row r="472">
      <c r="D472" s="52"/>
    </row>
    <row r="473">
      <c r="D473" s="52"/>
    </row>
    <row r="474">
      <c r="D474" s="52"/>
    </row>
    <row r="475">
      <c r="D475" s="52"/>
    </row>
    <row r="476">
      <c r="D476" s="52"/>
    </row>
    <row r="477">
      <c r="D477" s="52"/>
    </row>
    <row r="478">
      <c r="D478" s="52"/>
    </row>
    <row r="479">
      <c r="D479" s="52"/>
    </row>
    <row r="480">
      <c r="D480" s="52"/>
    </row>
    <row r="481">
      <c r="D481" s="52"/>
    </row>
    <row r="482">
      <c r="D482" s="52"/>
    </row>
    <row r="483">
      <c r="D483" s="52"/>
    </row>
    <row r="484">
      <c r="D484" s="52"/>
    </row>
    <row r="485">
      <c r="D485" s="52"/>
    </row>
    <row r="486">
      <c r="D486" s="52"/>
    </row>
    <row r="487">
      <c r="D487" s="52"/>
    </row>
    <row r="488">
      <c r="D488" s="52"/>
    </row>
    <row r="489">
      <c r="D489" s="52"/>
    </row>
    <row r="490">
      <c r="D490" s="52"/>
    </row>
    <row r="491">
      <c r="D491" s="52"/>
    </row>
    <row r="492">
      <c r="D492" s="52"/>
    </row>
    <row r="493">
      <c r="D493" s="52"/>
    </row>
    <row r="494">
      <c r="D494" s="52"/>
    </row>
    <row r="495">
      <c r="D495" s="52"/>
    </row>
    <row r="496">
      <c r="D496" s="52"/>
    </row>
    <row r="497">
      <c r="D497" s="52"/>
    </row>
    <row r="498">
      <c r="D498" s="52"/>
    </row>
    <row r="499">
      <c r="D499" s="52"/>
    </row>
    <row r="500">
      <c r="D500" s="52"/>
    </row>
    <row r="501">
      <c r="D501" s="52"/>
    </row>
    <row r="502">
      <c r="D502" s="52"/>
    </row>
    <row r="503">
      <c r="D503" s="52"/>
    </row>
    <row r="504">
      <c r="D504" s="52"/>
    </row>
    <row r="505">
      <c r="D505" s="52"/>
    </row>
    <row r="506">
      <c r="D506" s="52"/>
    </row>
    <row r="507">
      <c r="D507" s="52"/>
    </row>
    <row r="508">
      <c r="D508" s="52"/>
    </row>
    <row r="509">
      <c r="D509" s="52"/>
    </row>
    <row r="510">
      <c r="D510" s="52"/>
    </row>
    <row r="511">
      <c r="D511" s="52"/>
    </row>
    <row r="512">
      <c r="D512" s="52"/>
    </row>
    <row r="513">
      <c r="D513" s="52"/>
    </row>
    <row r="514">
      <c r="D514" s="52"/>
    </row>
    <row r="515">
      <c r="D515" s="52"/>
    </row>
    <row r="516">
      <c r="D516" s="52"/>
    </row>
    <row r="517">
      <c r="D517" s="52"/>
    </row>
    <row r="518">
      <c r="D518" s="52"/>
    </row>
    <row r="519">
      <c r="D519" s="52"/>
    </row>
    <row r="520">
      <c r="D520" s="52"/>
    </row>
    <row r="521">
      <c r="D521" s="52"/>
    </row>
    <row r="522">
      <c r="D522" s="52"/>
    </row>
    <row r="523">
      <c r="D523" s="52"/>
    </row>
    <row r="524">
      <c r="D524" s="52"/>
    </row>
    <row r="525">
      <c r="D525" s="52"/>
    </row>
    <row r="526">
      <c r="D526" s="52"/>
    </row>
    <row r="527">
      <c r="D527" s="52"/>
    </row>
    <row r="528">
      <c r="D528" s="52"/>
    </row>
    <row r="529">
      <c r="D529" s="52"/>
    </row>
    <row r="530">
      <c r="D530" s="52"/>
    </row>
    <row r="531">
      <c r="D531" s="52"/>
    </row>
    <row r="532">
      <c r="D532" s="52"/>
    </row>
    <row r="533">
      <c r="D533" s="52"/>
    </row>
    <row r="534">
      <c r="D534" s="52"/>
    </row>
    <row r="535">
      <c r="D535" s="52"/>
    </row>
    <row r="536">
      <c r="D536" s="52"/>
    </row>
    <row r="537">
      <c r="D537" s="52"/>
    </row>
    <row r="538">
      <c r="D538" s="52"/>
    </row>
    <row r="539">
      <c r="D539" s="52"/>
    </row>
    <row r="540">
      <c r="D540" s="52"/>
    </row>
    <row r="541">
      <c r="D541" s="52"/>
    </row>
    <row r="542">
      <c r="D542" s="52"/>
    </row>
    <row r="543">
      <c r="D543" s="52"/>
    </row>
    <row r="544">
      <c r="D544" s="52"/>
    </row>
    <row r="545">
      <c r="D545" s="52"/>
    </row>
    <row r="546">
      <c r="D546" s="52"/>
    </row>
    <row r="547">
      <c r="D547" s="52"/>
    </row>
    <row r="548">
      <c r="D548" s="52"/>
    </row>
    <row r="549">
      <c r="D549" s="52"/>
    </row>
    <row r="550">
      <c r="D550" s="52"/>
    </row>
    <row r="551">
      <c r="D551" s="52"/>
    </row>
    <row r="552">
      <c r="D552" s="52"/>
    </row>
    <row r="553">
      <c r="D553" s="52"/>
    </row>
    <row r="554">
      <c r="D554" s="52"/>
    </row>
    <row r="555">
      <c r="D555" s="52"/>
    </row>
    <row r="556">
      <c r="D556" s="52"/>
    </row>
    <row r="557">
      <c r="D557" s="52"/>
    </row>
    <row r="558">
      <c r="D558" s="52"/>
    </row>
    <row r="559">
      <c r="D559" s="52"/>
    </row>
    <row r="560">
      <c r="D560" s="52"/>
    </row>
    <row r="561">
      <c r="D561" s="52"/>
    </row>
    <row r="562">
      <c r="D562" s="52"/>
    </row>
    <row r="563">
      <c r="D563" s="52"/>
    </row>
    <row r="564">
      <c r="D564" s="52"/>
    </row>
    <row r="565">
      <c r="D565" s="52"/>
    </row>
    <row r="566">
      <c r="D566" s="52"/>
    </row>
    <row r="567">
      <c r="D567" s="52"/>
    </row>
    <row r="568">
      <c r="D568" s="52"/>
    </row>
    <row r="569">
      <c r="D569" s="52"/>
    </row>
    <row r="570">
      <c r="D570" s="52"/>
    </row>
    <row r="571">
      <c r="D571" s="52"/>
    </row>
    <row r="572">
      <c r="D572" s="52"/>
    </row>
    <row r="573">
      <c r="D573" s="52"/>
    </row>
    <row r="574">
      <c r="D574" s="52"/>
    </row>
    <row r="575">
      <c r="D575" s="52"/>
    </row>
    <row r="576">
      <c r="D576" s="52"/>
    </row>
    <row r="577">
      <c r="D577" s="52"/>
    </row>
    <row r="578">
      <c r="D578" s="52"/>
    </row>
    <row r="579">
      <c r="D579" s="52"/>
    </row>
    <row r="580">
      <c r="D580" s="52"/>
    </row>
    <row r="581">
      <c r="D581" s="52"/>
    </row>
    <row r="582">
      <c r="D582" s="52"/>
    </row>
    <row r="583">
      <c r="D583" s="52"/>
    </row>
    <row r="584">
      <c r="D584" s="52"/>
    </row>
    <row r="585">
      <c r="D585" s="52"/>
    </row>
    <row r="586">
      <c r="D586" s="52"/>
    </row>
    <row r="587">
      <c r="D587" s="52"/>
    </row>
    <row r="588">
      <c r="D588" s="52"/>
    </row>
    <row r="589">
      <c r="D589" s="52"/>
    </row>
    <row r="590">
      <c r="D590" s="52"/>
    </row>
    <row r="591">
      <c r="D591" s="52"/>
    </row>
    <row r="592">
      <c r="D592" s="52"/>
    </row>
    <row r="593">
      <c r="D593" s="52"/>
    </row>
    <row r="594">
      <c r="D594" s="52"/>
    </row>
    <row r="595">
      <c r="D595" s="52"/>
    </row>
    <row r="596">
      <c r="D596" s="52"/>
    </row>
    <row r="597">
      <c r="D597" s="52"/>
    </row>
    <row r="598">
      <c r="D598" s="52"/>
    </row>
    <row r="599">
      <c r="D599" s="52"/>
    </row>
    <row r="600">
      <c r="D600" s="52"/>
    </row>
    <row r="601">
      <c r="D601" s="52"/>
    </row>
    <row r="602">
      <c r="D602" s="52"/>
    </row>
    <row r="603">
      <c r="D603" s="52"/>
    </row>
    <row r="604">
      <c r="D604" s="52"/>
    </row>
    <row r="605">
      <c r="D605" s="52"/>
    </row>
    <row r="606">
      <c r="D606" s="52"/>
    </row>
    <row r="607">
      <c r="D607" s="52"/>
    </row>
    <row r="608">
      <c r="D608" s="52"/>
    </row>
    <row r="609">
      <c r="D609" s="52"/>
    </row>
    <row r="610">
      <c r="D610" s="52"/>
    </row>
    <row r="611">
      <c r="D611" s="52"/>
    </row>
    <row r="612">
      <c r="D612" s="52"/>
    </row>
    <row r="613">
      <c r="D613" s="52"/>
    </row>
    <row r="614">
      <c r="D614" s="52"/>
    </row>
    <row r="615">
      <c r="D615" s="52"/>
    </row>
    <row r="616">
      <c r="D616" s="52"/>
    </row>
    <row r="617">
      <c r="D617" s="52"/>
    </row>
    <row r="618">
      <c r="D618" s="52"/>
    </row>
    <row r="619">
      <c r="D619" s="52"/>
    </row>
    <row r="620">
      <c r="D620" s="52"/>
    </row>
    <row r="621">
      <c r="D621" s="52"/>
    </row>
    <row r="622">
      <c r="D622" s="52"/>
    </row>
    <row r="623">
      <c r="D623" s="52"/>
    </row>
    <row r="624">
      <c r="D624" s="52"/>
    </row>
    <row r="625">
      <c r="D625" s="52"/>
    </row>
    <row r="626">
      <c r="D626" s="52"/>
    </row>
    <row r="627">
      <c r="D627" s="52"/>
    </row>
    <row r="628">
      <c r="D628" s="52"/>
    </row>
    <row r="629">
      <c r="D629" s="52"/>
    </row>
    <row r="630">
      <c r="D630" s="52"/>
    </row>
    <row r="631">
      <c r="D631" s="52"/>
    </row>
    <row r="632">
      <c r="D632" s="52"/>
    </row>
    <row r="633">
      <c r="D633" s="52"/>
    </row>
    <row r="634">
      <c r="D634" s="52"/>
    </row>
    <row r="635">
      <c r="D635" s="52"/>
    </row>
    <row r="636">
      <c r="D636" s="52"/>
    </row>
    <row r="637">
      <c r="D637" s="52"/>
    </row>
    <row r="638">
      <c r="D638" s="52"/>
    </row>
    <row r="639">
      <c r="D639" s="52"/>
    </row>
    <row r="640">
      <c r="D640" s="52"/>
    </row>
    <row r="641">
      <c r="D641" s="52"/>
    </row>
    <row r="642">
      <c r="D642" s="52"/>
    </row>
    <row r="643">
      <c r="D643" s="52"/>
    </row>
    <row r="644">
      <c r="D644" s="52"/>
    </row>
    <row r="645">
      <c r="D645" s="52"/>
    </row>
    <row r="646">
      <c r="D646" s="52"/>
    </row>
    <row r="647">
      <c r="D647" s="52"/>
    </row>
    <row r="648">
      <c r="D648" s="52"/>
    </row>
    <row r="649">
      <c r="D649" s="52"/>
    </row>
    <row r="650">
      <c r="D650" s="52"/>
    </row>
    <row r="651">
      <c r="D651" s="52"/>
    </row>
    <row r="652">
      <c r="D652" s="52"/>
    </row>
    <row r="653">
      <c r="D653" s="52"/>
    </row>
    <row r="654">
      <c r="D654" s="52"/>
    </row>
    <row r="655">
      <c r="D655" s="52"/>
    </row>
    <row r="656">
      <c r="D656" s="52"/>
    </row>
    <row r="657">
      <c r="D657" s="52"/>
    </row>
    <row r="658">
      <c r="D658" s="52"/>
    </row>
    <row r="659">
      <c r="D659" s="52"/>
    </row>
    <row r="660">
      <c r="D660" s="52"/>
    </row>
    <row r="661">
      <c r="D661" s="52"/>
    </row>
    <row r="662">
      <c r="D662" s="52"/>
    </row>
    <row r="663">
      <c r="D663" s="52"/>
    </row>
    <row r="664">
      <c r="D664" s="52"/>
    </row>
    <row r="665">
      <c r="D665" s="52"/>
    </row>
    <row r="666">
      <c r="D666" s="52"/>
    </row>
    <row r="667">
      <c r="D667" s="52"/>
    </row>
    <row r="668">
      <c r="D668" s="52"/>
    </row>
    <row r="669">
      <c r="D669" s="52"/>
    </row>
    <row r="670">
      <c r="D670" s="52"/>
    </row>
    <row r="671">
      <c r="D671" s="52"/>
    </row>
    <row r="672">
      <c r="D672" s="52"/>
    </row>
    <row r="673">
      <c r="D673" s="52"/>
    </row>
    <row r="674">
      <c r="D674" s="52"/>
    </row>
    <row r="675">
      <c r="D675" s="52"/>
    </row>
    <row r="676">
      <c r="D676" s="52"/>
    </row>
    <row r="677">
      <c r="D677" s="52"/>
    </row>
    <row r="678">
      <c r="D678" s="52"/>
    </row>
    <row r="679">
      <c r="D679" s="52"/>
    </row>
    <row r="680">
      <c r="D680" s="52"/>
    </row>
    <row r="681">
      <c r="D681" s="52"/>
    </row>
    <row r="682">
      <c r="D682" s="52"/>
    </row>
    <row r="683">
      <c r="D683" s="52"/>
    </row>
    <row r="684">
      <c r="D684" s="52"/>
    </row>
    <row r="685">
      <c r="D685" s="52"/>
    </row>
    <row r="686">
      <c r="D686" s="52"/>
    </row>
    <row r="687">
      <c r="D687" s="52"/>
    </row>
    <row r="688">
      <c r="D688" s="52"/>
    </row>
    <row r="689">
      <c r="D689" s="52"/>
    </row>
    <row r="690">
      <c r="D690" s="52"/>
    </row>
    <row r="691">
      <c r="D691" s="52"/>
    </row>
    <row r="692">
      <c r="D692" s="52"/>
    </row>
    <row r="693">
      <c r="D693" s="52"/>
    </row>
    <row r="694">
      <c r="D694" s="52"/>
    </row>
    <row r="695">
      <c r="D695" s="52"/>
    </row>
    <row r="696">
      <c r="D696" s="52"/>
    </row>
    <row r="697">
      <c r="D697" s="52"/>
    </row>
    <row r="698">
      <c r="D698" s="52"/>
    </row>
    <row r="699">
      <c r="D699" s="52"/>
    </row>
    <row r="700">
      <c r="D700" s="52"/>
    </row>
    <row r="701">
      <c r="D701" s="52"/>
    </row>
    <row r="702">
      <c r="D702" s="52"/>
    </row>
    <row r="703">
      <c r="D703" s="52"/>
    </row>
    <row r="704">
      <c r="D704" s="52"/>
    </row>
    <row r="705">
      <c r="D705" s="52"/>
    </row>
    <row r="706">
      <c r="D706" s="52"/>
    </row>
    <row r="707">
      <c r="D707" s="52"/>
    </row>
    <row r="708">
      <c r="D708" s="52"/>
    </row>
    <row r="709">
      <c r="D709" s="52"/>
    </row>
    <row r="710">
      <c r="D710" s="52"/>
    </row>
    <row r="711">
      <c r="D711" s="52"/>
    </row>
    <row r="712">
      <c r="D712" s="52"/>
    </row>
    <row r="713">
      <c r="D713" s="52"/>
    </row>
    <row r="714">
      <c r="D714" s="52"/>
    </row>
    <row r="715">
      <c r="D715" s="52"/>
    </row>
    <row r="716">
      <c r="D716" s="52"/>
    </row>
    <row r="717">
      <c r="D717" s="52"/>
    </row>
    <row r="718">
      <c r="D718" s="52"/>
    </row>
    <row r="719">
      <c r="D719" s="52"/>
    </row>
    <row r="720">
      <c r="D720" s="52"/>
    </row>
    <row r="721">
      <c r="D721" s="52"/>
    </row>
    <row r="722">
      <c r="D722" s="52"/>
    </row>
    <row r="723">
      <c r="D723" s="52"/>
    </row>
    <row r="724">
      <c r="D724" s="52"/>
    </row>
    <row r="725">
      <c r="D725" s="52"/>
    </row>
    <row r="726">
      <c r="D726" s="52"/>
    </row>
    <row r="727">
      <c r="D727" s="52"/>
    </row>
    <row r="728">
      <c r="D728" s="52"/>
    </row>
    <row r="729">
      <c r="D729" s="52"/>
    </row>
    <row r="730">
      <c r="D730" s="52"/>
    </row>
    <row r="731">
      <c r="D731" s="52"/>
    </row>
    <row r="732">
      <c r="D732" s="52"/>
    </row>
    <row r="733">
      <c r="D733" s="52"/>
    </row>
    <row r="734">
      <c r="D734" s="52"/>
    </row>
    <row r="735">
      <c r="D735" s="52"/>
    </row>
    <row r="736">
      <c r="D736" s="52"/>
    </row>
    <row r="737">
      <c r="D737" s="52"/>
    </row>
    <row r="738">
      <c r="D738" s="52"/>
    </row>
    <row r="739">
      <c r="D739" s="52"/>
    </row>
    <row r="740">
      <c r="D740" s="52"/>
    </row>
    <row r="741">
      <c r="D741" s="52"/>
    </row>
    <row r="742">
      <c r="D742" s="52"/>
    </row>
    <row r="743">
      <c r="D743" s="52"/>
    </row>
    <row r="744">
      <c r="D744" s="52"/>
    </row>
    <row r="745">
      <c r="D745" s="52"/>
    </row>
    <row r="746">
      <c r="D746" s="52"/>
    </row>
    <row r="747">
      <c r="D747" s="52"/>
    </row>
    <row r="748">
      <c r="D748" s="52"/>
    </row>
    <row r="749">
      <c r="D749" s="52"/>
    </row>
    <row r="750">
      <c r="D750" s="52"/>
    </row>
    <row r="751">
      <c r="D751" s="52"/>
    </row>
    <row r="752">
      <c r="D752" s="52"/>
    </row>
    <row r="753">
      <c r="D753" s="52"/>
    </row>
    <row r="754">
      <c r="D754" s="52"/>
    </row>
    <row r="755">
      <c r="D755" s="52"/>
    </row>
    <row r="756">
      <c r="D756" s="52"/>
    </row>
    <row r="757">
      <c r="D757" s="52"/>
    </row>
    <row r="758">
      <c r="D758" s="52"/>
    </row>
    <row r="759">
      <c r="D759" s="52"/>
    </row>
    <row r="760">
      <c r="D760" s="52"/>
    </row>
    <row r="761">
      <c r="D761" s="52"/>
    </row>
    <row r="762">
      <c r="D762" s="52"/>
    </row>
    <row r="763">
      <c r="D763" s="52"/>
    </row>
    <row r="764">
      <c r="D764" s="52"/>
    </row>
    <row r="765">
      <c r="D765" s="52"/>
    </row>
    <row r="766">
      <c r="D766" s="52"/>
    </row>
    <row r="767">
      <c r="D767" s="52"/>
    </row>
    <row r="768">
      <c r="D768" s="52"/>
    </row>
    <row r="769">
      <c r="D769" s="52"/>
    </row>
    <row r="770">
      <c r="D770" s="52"/>
    </row>
    <row r="771">
      <c r="D771" s="52"/>
    </row>
    <row r="772">
      <c r="D772" s="52"/>
    </row>
    <row r="773">
      <c r="D773" s="52"/>
    </row>
    <row r="774">
      <c r="D774" s="52"/>
    </row>
    <row r="775">
      <c r="D775" s="52"/>
    </row>
    <row r="776">
      <c r="D776" s="52"/>
    </row>
    <row r="777">
      <c r="D777" s="52"/>
    </row>
    <row r="778">
      <c r="D778" s="52"/>
    </row>
    <row r="779">
      <c r="D779" s="52"/>
    </row>
    <row r="780">
      <c r="D780" s="52"/>
    </row>
    <row r="781">
      <c r="D781" s="52"/>
    </row>
    <row r="782">
      <c r="D782" s="52"/>
    </row>
    <row r="783">
      <c r="D783" s="52"/>
    </row>
    <row r="784">
      <c r="D784" s="52"/>
    </row>
    <row r="785">
      <c r="D785" s="52"/>
    </row>
    <row r="786">
      <c r="D786" s="52"/>
    </row>
    <row r="787">
      <c r="D787" s="52"/>
    </row>
    <row r="788">
      <c r="D788" s="52"/>
    </row>
    <row r="789">
      <c r="D789" s="52"/>
    </row>
    <row r="790">
      <c r="D790" s="52"/>
    </row>
    <row r="791">
      <c r="D791" s="52"/>
    </row>
    <row r="792">
      <c r="D792" s="52"/>
    </row>
    <row r="793">
      <c r="D793" s="52"/>
    </row>
    <row r="794">
      <c r="D794" s="52"/>
    </row>
    <row r="795">
      <c r="D795" s="52"/>
    </row>
    <row r="796">
      <c r="D796" s="52"/>
    </row>
    <row r="797">
      <c r="D797" s="52"/>
    </row>
    <row r="798">
      <c r="D798" s="52"/>
    </row>
    <row r="799">
      <c r="D799" s="52"/>
    </row>
    <row r="800">
      <c r="D800" s="52"/>
    </row>
    <row r="801">
      <c r="D801" s="52"/>
    </row>
    <row r="802">
      <c r="D802" s="52"/>
    </row>
    <row r="803">
      <c r="D803" s="52"/>
    </row>
    <row r="804">
      <c r="D804" s="52"/>
    </row>
    <row r="805">
      <c r="D805" s="52"/>
    </row>
    <row r="806">
      <c r="D806" s="52"/>
    </row>
    <row r="807">
      <c r="D807" s="52"/>
    </row>
    <row r="808">
      <c r="D808" s="52"/>
    </row>
    <row r="809">
      <c r="D809" s="52"/>
    </row>
    <row r="810">
      <c r="D810" s="52"/>
    </row>
    <row r="811">
      <c r="D811" s="52"/>
    </row>
    <row r="812">
      <c r="D812" s="52"/>
    </row>
    <row r="813">
      <c r="D813" s="52"/>
    </row>
    <row r="814">
      <c r="D814" s="52"/>
    </row>
    <row r="815">
      <c r="D815" s="52"/>
    </row>
    <row r="816">
      <c r="D816" s="52"/>
    </row>
    <row r="817">
      <c r="D817" s="52"/>
    </row>
    <row r="818">
      <c r="D818" s="52"/>
    </row>
    <row r="819">
      <c r="D819" s="52"/>
    </row>
    <row r="820">
      <c r="D820" s="52"/>
    </row>
    <row r="821">
      <c r="D821" s="52"/>
    </row>
    <row r="822">
      <c r="D822" s="52"/>
    </row>
    <row r="823">
      <c r="D823" s="52"/>
    </row>
    <row r="824">
      <c r="D824" s="52"/>
    </row>
    <row r="825">
      <c r="D825" s="52"/>
    </row>
    <row r="826">
      <c r="D826" s="52"/>
    </row>
    <row r="827">
      <c r="D827" s="52"/>
    </row>
    <row r="828">
      <c r="D828" s="52"/>
    </row>
    <row r="829">
      <c r="D829" s="52"/>
    </row>
    <row r="830">
      <c r="D830" s="52"/>
    </row>
    <row r="831">
      <c r="D831" s="52"/>
    </row>
    <row r="832">
      <c r="D832" s="52"/>
    </row>
    <row r="833">
      <c r="D833" s="52"/>
    </row>
    <row r="834">
      <c r="D834" s="52"/>
    </row>
    <row r="835">
      <c r="D835" s="52"/>
    </row>
    <row r="836">
      <c r="D836" s="52"/>
    </row>
    <row r="837">
      <c r="D837" s="52"/>
    </row>
    <row r="838">
      <c r="D838" s="52"/>
    </row>
    <row r="839">
      <c r="D839" s="52"/>
    </row>
    <row r="840">
      <c r="D840" s="52"/>
    </row>
    <row r="841">
      <c r="D841" s="52"/>
    </row>
    <row r="842">
      <c r="D842" s="52"/>
    </row>
    <row r="843">
      <c r="D843" s="52"/>
    </row>
  </sheetData>
  <mergeCells count="7">
    <mergeCell ref="A1:F1"/>
    <mergeCell ref="A2:A3"/>
    <mergeCell ref="B2:B3"/>
    <mergeCell ref="C2:C3"/>
    <mergeCell ref="D2:D3"/>
    <mergeCell ref="E2:F2"/>
    <mergeCell ref="A7:E7"/>
  </mergeCells>
  <dataValidations>
    <dataValidation type="list" allowBlank="1" sqref="H4">
      <formula1>"CHECKED (OK),CHECKED  (NOT OK)"</formula1>
    </dataValidation>
  </dataValidations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3" max="3" width="26.75"/>
    <col customWidth="1" min="4" max="4" width="33.25"/>
    <col customWidth="1" min="7" max="7" width="3.5"/>
    <col customWidth="1" min="8" max="8" width="18.63"/>
    <col customWidth="1" min="9" max="9" width="21.63"/>
  </cols>
  <sheetData>
    <row r="1">
      <c r="A1" s="30" t="s">
        <v>1090</v>
      </c>
      <c r="G1" s="31"/>
      <c r="H1" s="32" t="s">
        <v>1091</v>
      </c>
      <c r="I1" s="33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4" t="s">
        <v>1</v>
      </c>
      <c r="B2" s="35" t="s">
        <v>11</v>
      </c>
      <c r="C2" s="35" t="s">
        <v>12</v>
      </c>
      <c r="D2" s="36" t="s">
        <v>13</v>
      </c>
      <c r="E2" s="37" t="s">
        <v>14</v>
      </c>
      <c r="F2" s="38"/>
      <c r="G2" s="39"/>
      <c r="H2" s="40"/>
      <c r="I2" s="40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41"/>
      <c r="B3" s="38"/>
      <c r="C3" s="38"/>
      <c r="D3" s="38"/>
      <c r="E3" s="42" t="s">
        <v>15</v>
      </c>
      <c r="F3" s="43" t="s">
        <v>5</v>
      </c>
      <c r="G3" s="39"/>
      <c r="H3" s="44" t="s">
        <v>6</v>
      </c>
      <c r="I3" s="45" t="s">
        <v>7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24.75" customHeight="1">
      <c r="A4" s="46"/>
      <c r="B4" s="47"/>
      <c r="C4" s="48" t="str">
        <f>vlookup(B4,'Crew Data'!C:G,5,0)</f>
        <v>#N/A</v>
      </c>
      <c r="D4" s="49"/>
      <c r="E4" s="47"/>
      <c r="F4" s="50">
        <f>E4*400</f>
        <v>0</v>
      </c>
      <c r="G4" s="22">
        <f>COUNTIF(B:B,B4)</f>
        <v>0</v>
      </c>
      <c r="H4" s="5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D5" s="52"/>
    </row>
    <row r="6">
      <c r="D6" s="52"/>
    </row>
    <row r="7" ht="44.25" customHeight="1">
      <c r="A7" s="53" t="s">
        <v>16</v>
      </c>
    </row>
    <row r="8">
      <c r="D8" s="52"/>
    </row>
    <row r="9">
      <c r="D9" s="52"/>
    </row>
    <row r="10">
      <c r="D10" s="52"/>
    </row>
    <row r="11">
      <c r="D11" s="52"/>
    </row>
    <row r="12">
      <c r="D12" s="52"/>
    </row>
    <row r="13">
      <c r="D13" s="52"/>
    </row>
    <row r="14">
      <c r="D14" s="52"/>
    </row>
    <row r="15">
      <c r="D15" s="52"/>
    </row>
    <row r="16">
      <c r="D16" s="52"/>
    </row>
    <row r="17">
      <c r="D17" s="52"/>
    </row>
    <row r="18">
      <c r="D18" s="52"/>
    </row>
    <row r="19">
      <c r="D19" s="52"/>
    </row>
    <row r="20">
      <c r="D20" s="52"/>
    </row>
    <row r="21">
      <c r="D21" s="52"/>
    </row>
    <row r="22">
      <c r="D22" s="52"/>
    </row>
    <row r="23">
      <c r="D23" s="52"/>
    </row>
    <row r="24">
      <c r="D24" s="52"/>
    </row>
    <row r="25">
      <c r="D25" s="52"/>
    </row>
    <row r="26">
      <c r="D26" s="52"/>
    </row>
    <row r="27">
      <c r="D27" s="52"/>
    </row>
    <row r="28">
      <c r="D28" s="52"/>
    </row>
    <row r="29">
      <c r="D29" s="52"/>
    </row>
    <row r="30">
      <c r="D30" s="52"/>
    </row>
    <row r="31">
      <c r="D31" s="52"/>
    </row>
    <row r="32">
      <c r="D32" s="52"/>
    </row>
    <row r="33">
      <c r="D33" s="52"/>
    </row>
    <row r="34">
      <c r="D34" s="52"/>
    </row>
    <row r="35">
      <c r="D35" s="52"/>
    </row>
    <row r="36">
      <c r="D36" s="52"/>
    </row>
    <row r="37">
      <c r="D37" s="52"/>
    </row>
    <row r="38">
      <c r="D38" s="52"/>
    </row>
    <row r="39">
      <c r="D39" s="52"/>
    </row>
    <row r="40">
      <c r="D40" s="52"/>
    </row>
    <row r="41">
      <c r="D41" s="52"/>
    </row>
    <row r="42">
      <c r="D42" s="52"/>
    </row>
    <row r="43">
      <c r="D43" s="52"/>
    </row>
    <row r="44">
      <c r="D44" s="52"/>
    </row>
    <row r="45">
      <c r="D45" s="52"/>
    </row>
    <row r="46">
      <c r="D46" s="52"/>
    </row>
    <row r="47">
      <c r="D47" s="52"/>
    </row>
    <row r="48">
      <c r="D48" s="52"/>
    </row>
    <row r="49">
      <c r="D49" s="52"/>
    </row>
    <row r="50">
      <c r="D50" s="52"/>
    </row>
    <row r="51">
      <c r="D51" s="52"/>
    </row>
    <row r="52">
      <c r="D52" s="52"/>
    </row>
    <row r="53">
      <c r="D53" s="52"/>
    </row>
    <row r="54">
      <c r="D54" s="52"/>
    </row>
    <row r="55">
      <c r="D55" s="52"/>
    </row>
    <row r="56">
      <c r="D56" s="52"/>
    </row>
    <row r="57">
      <c r="D57" s="52"/>
    </row>
    <row r="58">
      <c r="D58" s="52"/>
    </row>
    <row r="59">
      <c r="D59" s="52"/>
    </row>
    <row r="60">
      <c r="D60" s="52"/>
    </row>
    <row r="61">
      <c r="D61" s="52"/>
    </row>
    <row r="62">
      <c r="D62" s="52"/>
    </row>
    <row r="63">
      <c r="D63" s="52"/>
    </row>
    <row r="64">
      <c r="D64" s="52"/>
    </row>
    <row r="65">
      <c r="D65" s="52"/>
    </row>
    <row r="66">
      <c r="D66" s="52"/>
    </row>
    <row r="67">
      <c r="D67" s="52"/>
    </row>
    <row r="68">
      <c r="D68" s="52"/>
    </row>
    <row r="69">
      <c r="D69" s="52"/>
    </row>
    <row r="70">
      <c r="D70" s="52"/>
    </row>
    <row r="71">
      <c r="D71" s="52"/>
    </row>
    <row r="72">
      <c r="D72" s="52"/>
    </row>
    <row r="73">
      <c r="D73" s="52"/>
    </row>
    <row r="74">
      <c r="D74" s="52"/>
    </row>
    <row r="75">
      <c r="D75" s="52"/>
    </row>
    <row r="76">
      <c r="D76" s="52"/>
    </row>
    <row r="77">
      <c r="D77" s="52"/>
    </row>
    <row r="78">
      <c r="D78" s="52"/>
    </row>
    <row r="79">
      <c r="D79" s="52"/>
    </row>
    <row r="80">
      <c r="D80" s="52"/>
    </row>
    <row r="81">
      <c r="D81" s="52"/>
    </row>
    <row r="82">
      <c r="D82" s="52"/>
    </row>
    <row r="83">
      <c r="D83" s="52"/>
    </row>
    <row r="84">
      <c r="D84" s="52"/>
    </row>
    <row r="85">
      <c r="D85" s="52"/>
    </row>
    <row r="86">
      <c r="D86" s="52"/>
    </row>
    <row r="87">
      <c r="D87" s="52"/>
    </row>
    <row r="88">
      <c r="D88" s="52"/>
    </row>
    <row r="89">
      <c r="D89" s="52"/>
    </row>
    <row r="90">
      <c r="D90" s="52"/>
    </row>
    <row r="91">
      <c r="D91" s="52"/>
    </row>
    <row r="92">
      <c r="D92" s="52"/>
    </row>
    <row r="93">
      <c r="D93" s="52"/>
    </row>
    <row r="94">
      <c r="D94" s="52"/>
    </row>
    <row r="95">
      <c r="D95" s="52"/>
    </row>
    <row r="96">
      <c r="D96" s="52"/>
    </row>
    <row r="97">
      <c r="D97" s="52"/>
    </row>
    <row r="98">
      <c r="D98" s="52"/>
    </row>
    <row r="99">
      <c r="D99" s="52"/>
    </row>
    <row r="100">
      <c r="D100" s="52"/>
    </row>
    <row r="101">
      <c r="D101" s="52"/>
    </row>
    <row r="102">
      <c r="D102" s="52"/>
    </row>
    <row r="103">
      <c r="D103" s="52"/>
    </row>
    <row r="104">
      <c r="D104" s="52"/>
    </row>
    <row r="105">
      <c r="D105" s="52"/>
    </row>
    <row r="106">
      <c r="D106" s="52"/>
    </row>
    <row r="107">
      <c r="D107" s="52"/>
    </row>
    <row r="108">
      <c r="D108" s="52"/>
    </row>
    <row r="109">
      <c r="D109" s="52"/>
    </row>
    <row r="110">
      <c r="D110" s="52"/>
    </row>
    <row r="111">
      <c r="D111" s="52"/>
    </row>
    <row r="112">
      <c r="D112" s="52"/>
    </row>
    <row r="113">
      <c r="D113" s="52"/>
    </row>
    <row r="114">
      <c r="D114" s="52"/>
    </row>
    <row r="115">
      <c r="D115" s="52"/>
    </row>
    <row r="116">
      <c r="D116" s="52"/>
    </row>
    <row r="117">
      <c r="D117" s="52"/>
    </row>
    <row r="118">
      <c r="D118" s="52"/>
    </row>
    <row r="119">
      <c r="D119" s="52"/>
    </row>
    <row r="120">
      <c r="D120" s="52"/>
    </row>
    <row r="121">
      <c r="D121" s="52"/>
    </row>
    <row r="122">
      <c r="D122" s="52"/>
    </row>
    <row r="123">
      <c r="D123" s="52"/>
    </row>
    <row r="124">
      <c r="D124" s="52"/>
    </row>
    <row r="125">
      <c r="D125" s="52"/>
    </row>
    <row r="126">
      <c r="D126" s="52"/>
    </row>
    <row r="127">
      <c r="D127" s="52"/>
    </row>
    <row r="128">
      <c r="D128" s="52"/>
    </row>
    <row r="129">
      <c r="D129" s="52"/>
    </row>
    <row r="130">
      <c r="D130" s="52"/>
    </row>
    <row r="131">
      <c r="D131" s="52"/>
    </row>
    <row r="132">
      <c r="D132" s="52"/>
    </row>
    <row r="133">
      <c r="D133" s="52"/>
    </row>
    <row r="134">
      <c r="D134" s="52"/>
    </row>
    <row r="135">
      <c r="D135" s="52"/>
    </row>
    <row r="136">
      <c r="D136" s="52"/>
    </row>
    <row r="137">
      <c r="D137" s="52"/>
    </row>
    <row r="138">
      <c r="D138" s="52"/>
    </row>
    <row r="139">
      <c r="D139" s="52"/>
    </row>
    <row r="140">
      <c r="D140" s="52"/>
    </row>
    <row r="141">
      <c r="D141" s="52"/>
    </row>
    <row r="142">
      <c r="D142" s="52"/>
    </row>
    <row r="143">
      <c r="D143" s="52"/>
    </row>
    <row r="144">
      <c r="D144" s="52"/>
    </row>
    <row r="145">
      <c r="D145" s="52"/>
    </row>
    <row r="146">
      <c r="D146" s="52"/>
    </row>
    <row r="147">
      <c r="D147" s="52"/>
    </row>
    <row r="148">
      <c r="D148" s="52"/>
    </row>
    <row r="149">
      <c r="D149" s="52"/>
    </row>
    <row r="150">
      <c r="D150" s="52"/>
    </row>
    <row r="151">
      <c r="D151" s="52"/>
    </row>
    <row r="152">
      <c r="D152" s="52"/>
    </row>
    <row r="153">
      <c r="D153" s="52"/>
    </row>
    <row r="154">
      <c r="D154" s="52"/>
    </row>
    <row r="155">
      <c r="D155" s="52"/>
    </row>
    <row r="156">
      <c r="D156" s="52"/>
    </row>
    <row r="157">
      <c r="D157" s="52"/>
    </row>
    <row r="158">
      <c r="D158" s="52"/>
    </row>
    <row r="159">
      <c r="D159" s="52"/>
    </row>
    <row r="160">
      <c r="D160" s="52"/>
    </row>
    <row r="161">
      <c r="D161" s="52"/>
    </row>
    <row r="162">
      <c r="D162" s="52"/>
    </row>
    <row r="163">
      <c r="D163" s="52"/>
    </row>
    <row r="164">
      <c r="D164" s="52"/>
    </row>
    <row r="165">
      <c r="D165" s="52"/>
    </row>
    <row r="166">
      <c r="D166" s="52"/>
    </row>
    <row r="167">
      <c r="D167" s="52"/>
    </row>
    <row r="168">
      <c r="D168" s="52"/>
    </row>
    <row r="169">
      <c r="D169" s="52"/>
    </row>
    <row r="170">
      <c r="D170" s="52"/>
    </row>
    <row r="171">
      <c r="D171" s="52"/>
    </row>
    <row r="172">
      <c r="D172" s="52"/>
    </row>
    <row r="173">
      <c r="D173" s="52"/>
    </row>
    <row r="174">
      <c r="D174" s="52"/>
    </row>
    <row r="175">
      <c r="D175" s="52"/>
    </row>
    <row r="176">
      <c r="D176" s="52"/>
    </row>
    <row r="177">
      <c r="D177" s="52"/>
    </row>
    <row r="178">
      <c r="D178" s="52"/>
    </row>
    <row r="179">
      <c r="D179" s="52"/>
    </row>
    <row r="180">
      <c r="D180" s="52"/>
    </row>
    <row r="181">
      <c r="D181" s="52"/>
    </row>
    <row r="182">
      <c r="D182" s="52"/>
    </row>
    <row r="183">
      <c r="D183" s="52"/>
    </row>
    <row r="184">
      <c r="D184" s="52"/>
    </row>
    <row r="185">
      <c r="D185" s="52"/>
    </row>
    <row r="186">
      <c r="D186" s="52"/>
    </row>
    <row r="187">
      <c r="D187" s="52"/>
    </row>
    <row r="188">
      <c r="D188" s="52"/>
    </row>
    <row r="189">
      <c r="D189" s="52"/>
    </row>
    <row r="190">
      <c r="D190" s="52"/>
    </row>
    <row r="191">
      <c r="D191" s="52"/>
    </row>
    <row r="192">
      <c r="D192" s="52"/>
    </row>
    <row r="193">
      <c r="D193" s="52"/>
    </row>
    <row r="194">
      <c r="D194" s="52"/>
    </row>
    <row r="195">
      <c r="D195" s="52"/>
    </row>
    <row r="196">
      <c r="D196" s="52"/>
    </row>
    <row r="197">
      <c r="D197" s="52"/>
    </row>
    <row r="198">
      <c r="D198" s="52"/>
    </row>
    <row r="199">
      <c r="D199" s="52"/>
    </row>
    <row r="200">
      <c r="D200" s="52"/>
    </row>
    <row r="201">
      <c r="D201" s="52"/>
    </row>
    <row r="202">
      <c r="D202" s="52"/>
    </row>
    <row r="203">
      <c r="D203" s="52"/>
    </row>
    <row r="204">
      <c r="D204" s="52"/>
    </row>
    <row r="205">
      <c r="D205" s="52"/>
    </row>
    <row r="206">
      <c r="D206" s="52"/>
    </row>
    <row r="207">
      <c r="D207" s="52"/>
    </row>
    <row r="208">
      <c r="D208" s="52"/>
    </row>
    <row r="209">
      <c r="D209" s="52"/>
    </row>
    <row r="210">
      <c r="D210" s="52"/>
    </row>
    <row r="211">
      <c r="D211" s="52"/>
    </row>
    <row r="212">
      <c r="D212" s="52"/>
    </row>
    <row r="213">
      <c r="D213" s="52"/>
    </row>
    <row r="214">
      <c r="D214" s="52"/>
    </row>
    <row r="215">
      <c r="D215" s="52"/>
    </row>
    <row r="216">
      <c r="D216" s="52"/>
    </row>
    <row r="217">
      <c r="D217" s="52"/>
    </row>
    <row r="218">
      <c r="D218" s="52"/>
    </row>
    <row r="219">
      <c r="D219" s="52"/>
    </row>
    <row r="220">
      <c r="D220" s="52"/>
    </row>
    <row r="221">
      <c r="D221" s="52"/>
    </row>
    <row r="222">
      <c r="D222" s="52"/>
    </row>
    <row r="223">
      <c r="D223" s="52"/>
    </row>
    <row r="224">
      <c r="D224" s="52"/>
    </row>
    <row r="225">
      <c r="D225" s="52"/>
    </row>
    <row r="226">
      <c r="D226" s="52"/>
    </row>
    <row r="227">
      <c r="D227" s="52"/>
    </row>
    <row r="228">
      <c r="D228" s="52"/>
    </row>
    <row r="229">
      <c r="D229" s="52"/>
    </row>
    <row r="230">
      <c r="D230" s="52"/>
    </row>
    <row r="231">
      <c r="D231" s="52"/>
    </row>
    <row r="232">
      <c r="D232" s="52"/>
    </row>
    <row r="233">
      <c r="D233" s="52"/>
    </row>
    <row r="234">
      <c r="D234" s="52"/>
    </row>
    <row r="235">
      <c r="D235" s="52"/>
    </row>
    <row r="236">
      <c r="D236" s="52"/>
    </row>
    <row r="237">
      <c r="D237" s="52"/>
    </row>
    <row r="238">
      <c r="D238" s="52"/>
    </row>
    <row r="239">
      <c r="D239" s="52"/>
    </row>
    <row r="240">
      <c r="D240" s="52"/>
    </row>
    <row r="241">
      <c r="D241" s="52"/>
    </row>
    <row r="242">
      <c r="D242" s="52"/>
    </row>
    <row r="243">
      <c r="D243" s="52"/>
    </row>
    <row r="244">
      <c r="D244" s="52"/>
    </row>
    <row r="245">
      <c r="D245" s="52"/>
    </row>
    <row r="246">
      <c r="D246" s="52"/>
    </row>
    <row r="247">
      <c r="D247" s="52"/>
    </row>
    <row r="248">
      <c r="D248" s="52"/>
    </row>
    <row r="249">
      <c r="D249" s="52"/>
    </row>
    <row r="250">
      <c r="D250" s="52"/>
    </row>
    <row r="251">
      <c r="D251" s="52"/>
    </row>
    <row r="252">
      <c r="D252" s="52"/>
    </row>
    <row r="253">
      <c r="D253" s="52"/>
    </row>
    <row r="254">
      <c r="D254" s="52"/>
    </row>
    <row r="255">
      <c r="D255" s="52"/>
    </row>
    <row r="256">
      <c r="D256" s="52"/>
    </row>
    <row r="257">
      <c r="D257" s="52"/>
    </row>
    <row r="258">
      <c r="D258" s="52"/>
    </row>
    <row r="259">
      <c r="D259" s="52"/>
    </row>
    <row r="260">
      <c r="D260" s="52"/>
    </row>
    <row r="261">
      <c r="D261" s="52"/>
    </row>
    <row r="262">
      <c r="D262" s="52"/>
    </row>
    <row r="263">
      <c r="D263" s="52"/>
    </row>
    <row r="264">
      <c r="D264" s="52"/>
    </row>
    <row r="265">
      <c r="D265" s="52"/>
    </row>
    <row r="266">
      <c r="D266" s="52"/>
    </row>
    <row r="267">
      <c r="D267" s="52"/>
    </row>
    <row r="268">
      <c r="D268" s="52"/>
    </row>
    <row r="269">
      <c r="D269" s="52"/>
    </row>
    <row r="270">
      <c r="D270" s="52"/>
    </row>
    <row r="271">
      <c r="D271" s="52"/>
    </row>
    <row r="272">
      <c r="D272" s="52"/>
    </row>
    <row r="273">
      <c r="D273" s="52"/>
    </row>
    <row r="274">
      <c r="D274" s="52"/>
    </row>
    <row r="275">
      <c r="D275" s="52"/>
    </row>
    <row r="276">
      <c r="D276" s="52"/>
    </row>
    <row r="277">
      <c r="D277" s="52"/>
    </row>
    <row r="278">
      <c r="D278" s="52"/>
    </row>
    <row r="279">
      <c r="D279" s="52"/>
    </row>
    <row r="280">
      <c r="D280" s="52"/>
    </row>
    <row r="281">
      <c r="D281" s="52"/>
    </row>
    <row r="282">
      <c r="D282" s="52"/>
    </row>
    <row r="283">
      <c r="D283" s="52"/>
    </row>
    <row r="284">
      <c r="D284" s="52"/>
    </row>
    <row r="285">
      <c r="D285" s="52"/>
    </row>
    <row r="286">
      <c r="D286" s="52"/>
    </row>
    <row r="287">
      <c r="D287" s="52"/>
    </row>
    <row r="288">
      <c r="D288" s="52"/>
    </row>
    <row r="289">
      <c r="D289" s="52"/>
    </row>
    <row r="290">
      <c r="D290" s="52"/>
    </row>
    <row r="291">
      <c r="D291" s="52"/>
    </row>
    <row r="292">
      <c r="D292" s="52"/>
    </row>
    <row r="293">
      <c r="D293" s="52"/>
    </row>
    <row r="294">
      <c r="D294" s="52"/>
    </row>
    <row r="295">
      <c r="D295" s="52"/>
    </row>
    <row r="296">
      <c r="D296" s="52"/>
    </row>
    <row r="297">
      <c r="D297" s="52"/>
    </row>
    <row r="298">
      <c r="D298" s="52"/>
    </row>
    <row r="299">
      <c r="D299" s="52"/>
    </row>
    <row r="300">
      <c r="D300" s="52"/>
    </row>
    <row r="301">
      <c r="D301" s="52"/>
    </row>
    <row r="302">
      <c r="D302" s="52"/>
    </row>
    <row r="303">
      <c r="D303" s="52"/>
    </row>
    <row r="304">
      <c r="D304" s="52"/>
    </row>
    <row r="305">
      <c r="D305" s="52"/>
    </row>
    <row r="306">
      <c r="D306" s="52"/>
    </row>
    <row r="307">
      <c r="D307" s="52"/>
    </row>
    <row r="308">
      <c r="D308" s="52"/>
    </row>
    <row r="309">
      <c r="D309" s="52"/>
    </row>
    <row r="310">
      <c r="D310" s="52"/>
    </row>
    <row r="311">
      <c r="D311" s="52"/>
    </row>
    <row r="312">
      <c r="D312" s="52"/>
    </row>
    <row r="313">
      <c r="D313" s="52"/>
    </row>
    <row r="314">
      <c r="D314" s="52"/>
    </row>
    <row r="315">
      <c r="D315" s="52"/>
    </row>
    <row r="316">
      <c r="D316" s="52"/>
    </row>
    <row r="317">
      <c r="D317" s="52"/>
    </row>
    <row r="318">
      <c r="D318" s="52"/>
    </row>
    <row r="319">
      <c r="D319" s="52"/>
    </row>
    <row r="320">
      <c r="D320" s="52"/>
    </row>
    <row r="321">
      <c r="D321" s="52"/>
    </row>
    <row r="322">
      <c r="D322" s="52"/>
    </row>
    <row r="323">
      <c r="D323" s="52"/>
    </row>
    <row r="324">
      <c r="D324" s="52"/>
    </row>
    <row r="325">
      <c r="D325" s="52"/>
    </row>
    <row r="326">
      <c r="D326" s="52"/>
    </row>
    <row r="327">
      <c r="D327" s="52"/>
    </row>
    <row r="328">
      <c r="D328" s="52"/>
    </row>
    <row r="329">
      <c r="D329" s="52"/>
    </row>
    <row r="330">
      <c r="D330" s="52"/>
    </row>
    <row r="331">
      <c r="D331" s="52"/>
    </row>
    <row r="332">
      <c r="D332" s="52"/>
    </row>
    <row r="333">
      <c r="D333" s="52"/>
    </row>
    <row r="334">
      <c r="D334" s="52"/>
    </row>
    <row r="335">
      <c r="D335" s="52"/>
    </row>
    <row r="336">
      <c r="D336" s="52"/>
    </row>
    <row r="337">
      <c r="D337" s="52"/>
    </row>
    <row r="338">
      <c r="D338" s="52"/>
    </row>
    <row r="339">
      <c r="D339" s="52"/>
    </row>
    <row r="340">
      <c r="D340" s="52"/>
    </row>
    <row r="341">
      <c r="D341" s="52"/>
    </row>
    <row r="342">
      <c r="D342" s="52"/>
    </row>
    <row r="343">
      <c r="D343" s="52"/>
    </row>
    <row r="344">
      <c r="D344" s="52"/>
    </row>
    <row r="345">
      <c r="D345" s="52"/>
    </row>
    <row r="346">
      <c r="D346" s="52"/>
    </row>
    <row r="347">
      <c r="D347" s="52"/>
    </row>
    <row r="348">
      <c r="D348" s="52"/>
    </row>
    <row r="349">
      <c r="D349" s="52"/>
    </row>
    <row r="350">
      <c r="D350" s="52"/>
    </row>
    <row r="351">
      <c r="D351" s="52"/>
    </row>
    <row r="352">
      <c r="D352" s="52"/>
    </row>
    <row r="353">
      <c r="D353" s="52"/>
    </row>
    <row r="354">
      <c r="D354" s="52"/>
    </row>
    <row r="355">
      <c r="D355" s="52"/>
    </row>
    <row r="356">
      <c r="D356" s="52"/>
    </row>
    <row r="357">
      <c r="D357" s="52"/>
    </row>
    <row r="358">
      <c r="D358" s="52"/>
    </row>
    <row r="359">
      <c r="D359" s="52"/>
    </row>
    <row r="360">
      <c r="D360" s="52"/>
    </row>
    <row r="361">
      <c r="D361" s="52"/>
    </row>
    <row r="362">
      <c r="D362" s="52"/>
    </row>
    <row r="363">
      <c r="D363" s="52"/>
    </row>
    <row r="364">
      <c r="D364" s="52"/>
    </row>
    <row r="365">
      <c r="D365" s="52"/>
    </row>
    <row r="366">
      <c r="D366" s="52"/>
    </row>
    <row r="367">
      <c r="D367" s="52"/>
    </row>
    <row r="368">
      <c r="D368" s="52"/>
    </row>
    <row r="369">
      <c r="D369" s="52"/>
    </row>
    <row r="370">
      <c r="D370" s="52"/>
    </row>
    <row r="371">
      <c r="D371" s="52"/>
    </row>
    <row r="372">
      <c r="D372" s="52"/>
    </row>
    <row r="373">
      <c r="D373" s="52"/>
    </row>
    <row r="374">
      <c r="D374" s="52"/>
    </row>
    <row r="375">
      <c r="D375" s="52"/>
    </row>
    <row r="376">
      <c r="D376" s="52"/>
    </row>
    <row r="377">
      <c r="D377" s="52"/>
    </row>
    <row r="378">
      <c r="D378" s="52"/>
    </row>
    <row r="379">
      <c r="D379" s="52"/>
    </row>
    <row r="380">
      <c r="D380" s="52"/>
    </row>
    <row r="381">
      <c r="D381" s="52"/>
    </row>
    <row r="382">
      <c r="D382" s="52"/>
    </row>
    <row r="383">
      <c r="D383" s="52"/>
    </row>
    <row r="384">
      <c r="D384" s="52"/>
    </row>
    <row r="385">
      <c r="D385" s="52"/>
    </row>
    <row r="386">
      <c r="D386" s="52"/>
    </row>
    <row r="387">
      <c r="D387" s="52"/>
    </row>
    <row r="388">
      <c r="D388" s="52"/>
    </row>
    <row r="389">
      <c r="D389" s="52"/>
    </row>
    <row r="390">
      <c r="D390" s="52"/>
    </row>
    <row r="391">
      <c r="D391" s="52"/>
    </row>
    <row r="392">
      <c r="D392" s="52"/>
    </row>
    <row r="393">
      <c r="D393" s="52"/>
    </row>
    <row r="394">
      <c r="D394" s="52"/>
    </row>
    <row r="395">
      <c r="D395" s="52"/>
    </row>
    <row r="396">
      <c r="D396" s="52"/>
    </row>
    <row r="397">
      <c r="D397" s="52"/>
    </row>
    <row r="398">
      <c r="D398" s="52"/>
    </row>
    <row r="399">
      <c r="D399" s="52"/>
    </row>
    <row r="400">
      <c r="D400" s="52"/>
    </row>
    <row r="401">
      <c r="D401" s="52"/>
    </row>
    <row r="402">
      <c r="D402" s="52"/>
    </row>
    <row r="403">
      <c r="D403" s="52"/>
    </row>
    <row r="404">
      <c r="D404" s="52"/>
    </row>
    <row r="405">
      <c r="D405" s="52"/>
    </row>
    <row r="406">
      <c r="D406" s="52"/>
    </row>
    <row r="407">
      <c r="D407" s="52"/>
    </row>
    <row r="408">
      <c r="D408" s="52"/>
    </row>
    <row r="409">
      <c r="D409" s="52"/>
    </row>
    <row r="410">
      <c r="D410" s="52"/>
    </row>
    <row r="411">
      <c r="D411" s="52"/>
    </row>
    <row r="412">
      <c r="D412" s="52"/>
    </row>
    <row r="413">
      <c r="D413" s="52"/>
    </row>
    <row r="414">
      <c r="D414" s="52"/>
    </row>
    <row r="415">
      <c r="D415" s="52"/>
    </row>
    <row r="416">
      <c r="D416" s="52"/>
    </row>
    <row r="417">
      <c r="D417" s="52"/>
    </row>
    <row r="418">
      <c r="D418" s="52"/>
    </row>
    <row r="419">
      <c r="D419" s="52"/>
    </row>
    <row r="420">
      <c r="D420" s="52"/>
    </row>
    <row r="421">
      <c r="D421" s="52"/>
    </row>
    <row r="422">
      <c r="D422" s="52"/>
    </row>
    <row r="423">
      <c r="D423" s="52"/>
    </row>
    <row r="424">
      <c r="D424" s="52"/>
    </row>
    <row r="425">
      <c r="D425" s="52"/>
    </row>
    <row r="426">
      <c r="D426" s="52"/>
    </row>
    <row r="427">
      <c r="D427" s="52"/>
    </row>
    <row r="428">
      <c r="D428" s="52"/>
    </row>
    <row r="429">
      <c r="D429" s="52"/>
    </row>
    <row r="430">
      <c r="D430" s="52"/>
    </row>
    <row r="431">
      <c r="D431" s="52"/>
    </row>
    <row r="432">
      <c r="D432" s="52"/>
    </row>
    <row r="433">
      <c r="D433" s="52"/>
    </row>
    <row r="434">
      <c r="D434" s="52"/>
    </row>
    <row r="435">
      <c r="D435" s="52"/>
    </row>
    <row r="436">
      <c r="D436" s="52"/>
    </row>
    <row r="437">
      <c r="D437" s="52"/>
    </row>
    <row r="438">
      <c r="D438" s="52"/>
    </row>
    <row r="439">
      <c r="D439" s="52"/>
    </row>
    <row r="440">
      <c r="D440" s="52"/>
    </row>
    <row r="441">
      <c r="D441" s="52"/>
    </row>
    <row r="442">
      <c r="D442" s="52"/>
    </row>
    <row r="443">
      <c r="D443" s="52"/>
    </row>
    <row r="444">
      <c r="D444" s="52"/>
    </row>
    <row r="445">
      <c r="D445" s="52"/>
    </row>
    <row r="446">
      <c r="D446" s="52"/>
    </row>
    <row r="447">
      <c r="D447" s="52"/>
    </row>
    <row r="448">
      <c r="D448" s="52"/>
    </row>
    <row r="449">
      <c r="D449" s="52"/>
    </row>
    <row r="450">
      <c r="D450" s="52"/>
    </row>
    <row r="451">
      <c r="D451" s="52"/>
    </row>
    <row r="452">
      <c r="D452" s="52"/>
    </row>
    <row r="453">
      <c r="D453" s="52"/>
    </row>
    <row r="454">
      <c r="D454" s="52"/>
    </row>
    <row r="455">
      <c r="D455" s="52"/>
    </row>
    <row r="456">
      <c r="D456" s="52"/>
    </row>
    <row r="457">
      <c r="D457" s="52"/>
    </row>
    <row r="458">
      <c r="D458" s="52"/>
    </row>
    <row r="459">
      <c r="D459" s="52"/>
    </row>
    <row r="460">
      <c r="D460" s="52"/>
    </row>
    <row r="461">
      <c r="D461" s="52"/>
    </row>
    <row r="462">
      <c r="D462" s="52"/>
    </row>
    <row r="463">
      <c r="D463" s="52"/>
    </row>
    <row r="464">
      <c r="D464" s="52"/>
    </row>
    <row r="465">
      <c r="D465" s="52"/>
    </row>
    <row r="466">
      <c r="D466" s="52"/>
    </row>
    <row r="467">
      <c r="D467" s="52"/>
    </row>
    <row r="468">
      <c r="D468" s="52"/>
    </row>
    <row r="469">
      <c r="D469" s="52"/>
    </row>
    <row r="470">
      <c r="D470" s="52"/>
    </row>
    <row r="471">
      <c r="D471" s="52"/>
    </row>
    <row r="472">
      <c r="D472" s="52"/>
    </row>
    <row r="473">
      <c r="D473" s="52"/>
    </row>
    <row r="474">
      <c r="D474" s="52"/>
    </row>
    <row r="475">
      <c r="D475" s="52"/>
    </row>
    <row r="476">
      <c r="D476" s="52"/>
    </row>
    <row r="477">
      <c r="D477" s="52"/>
    </row>
    <row r="478">
      <c r="D478" s="52"/>
    </row>
    <row r="479">
      <c r="D479" s="52"/>
    </row>
    <row r="480">
      <c r="D480" s="52"/>
    </row>
    <row r="481">
      <c r="D481" s="52"/>
    </row>
    <row r="482">
      <c r="D482" s="52"/>
    </row>
    <row r="483">
      <c r="D483" s="52"/>
    </row>
    <row r="484">
      <c r="D484" s="52"/>
    </row>
    <row r="485">
      <c r="D485" s="52"/>
    </row>
    <row r="486">
      <c r="D486" s="52"/>
    </row>
    <row r="487">
      <c r="D487" s="52"/>
    </row>
    <row r="488">
      <c r="D488" s="52"/>
    </row>
    <row r="489">
      <c r="D489" s="52"/>
    </row>
    <row r="490">
      <c r="D490" s="52"/>
    </row>
    <row r="491">
      <c r="D491" s="52"/>
    </row>
    <row r="492">
      <c r="D492" s="52"/>
    </row>
    <row r="493">
      <c r="D493" s="52"/>
    </row>
    <row r="494">
      <c r="D494" s="52"/>
    </row>
    <row r="495">
      <c r="D495" s="52"/>
    </row>
    <row r="496">
      <c r="D496" s="52"/>
    </row>
    <row r="497">
      <c r="D497" s="52"/>
    </row>
    <row r="498">
      <c r="D498" s="52"/>
    </row>
    <row r="499">
      <c r="D499" s="52"/>
    </row>
    <row r="500">
      <c r="D500" s="52"/>
    </row>
    <row r="501">
      <c r="D501" s="52"/>
    </row>
    <row r="502">
      <c r="D502" s="52"/>
    </row>
    <row r="503">
      <c r="D503" s="52"/>
    </row>
    <row r="504">
      <c r="D504" s="52"/>
    </row>
    <row r="505">
      <c r="D505" s="52"/>
    </row>
    <row r="506">
      <c r="D506" s="52"/>
    </row>
    <row r="507">
      <c r="D507" s="52"/>
    </row>
    <row r="508">
      <c r="D508" s="52"/>
    </row>
    <row r="509">
      <c r="D509" s="52"/>
    </row>
    <row r="510">
      <c r="D510" s="52"/>
    </row>
    <row r="511">
      <c r="D511" s="52"/>
    </row>
    <row r="512">
      <c r="D512" s="52"/>
    </row>
    <row r="513">
      <c r="D513" s="52"/>
    </row>
    <row r="514">
      <c r="D514" s="52"/>
    </row>
    <row r="515">
      <c r="D515" s="52"/>
    </row>
    <row r="516">
      <c r="D516" s="52"/>
    </row>
    <row r="517">
      <c r="D517" s="52"/>
    </row>
    <row r="518">
      <c r="D518" s="52"/>
    </row>
    <row r="519">
      <c r="D519" s="52"/>
    </row>
    <row r="520">
      <c r="D520" s="52"/>
    </row>
    <row r="521">
      <c r="D521" s="52"/>
    </row>
    <row r="522">
      <c r="D522" s="52"/>
    </row>
    <row r="523">
      <c r="D523" s="52"/>
    </row>
    <row r="524">
      <c r="D524" s="52"/>
    </row>
    <row r="525">
      <c r="D525" s="52"/>
    </row>
    <row r="526">
      <c r="D526" s="52"/>
    </row>
    <row r="527">
      <c r="D527" s="52"/>
    </row>
    <row r="528">
      <c r="D528" s="52"/>
    </row>
    <row r="529">
      <c r="D529" s="52"/>
    </row>
    <row r="530">
      <c r="D530" s="52"/>
    </row>
    <row r="531">
      <c r="D531" s="52"/>
    </row>
    <row r="532">
      <c r="D532" s="52"/>
    </row>
    <row r="533">
      <c r="D533" s="52"/>
    </row>
    <row r="534">
      <c r="D534" s="52"/>
    </row>
    <row r="535">
      <c r="D535" s="52"/>
    </row>
    <row r="536">
      <c r="D536" s="52"/>
    </row>
    <row r="537">
      <c r="D537" s="52"/>
    </row>
    <row r="538">
      <c r="D538" s="52"/>
    </row>
    <row r="539">
      <c r="D539" s="52"/>
    </row>
    <row r="540">
      <c r="D540" s="52"/>
    </row>
    <row r="541">
      <c r="D541" s="52"/>
    </row>
    <row r="542">
      <c r="D542" s="52"/>
    </row>
    <row r="543">
      <c r="D543" s="52"/>
    </row>
    <row r="544">
      <c r="D544" s="52"/>
    </row>
    <row r="545">
      <c r="D545" s="52"/>
    </row>
    <row r="546">
      <c r="D546" s="52"/>
    </row>
    <row r="547">
      <c r="D547" s="52"/>
    </row>
    <row r="548">
      <c r="D548" s="52"/>
    </row>
    <row r="549">
      <c r="D549" s="52"/>
    </row>
    <row r="550">
      <c r="D550" s="52"/>
    </row>
    <row r="551">
      <c r="D551" s="52"/>
    </row>
    <row r="552">
      <c r="D552" s="52"/>
    </row>
    <row r="553">
      <c r="D553" s="52"/>
    </row>
    <row r="554">
      <c r="D554" s="52"/>
    </row>
    <row r="555">
      <c r="D555" s="52"/>
    </row>
    <row r="556">
      <c r="D556" s="52"/>
    </row>
    <row r="557">
      <c r="D557" s="52"/>
    </row>
    <row r="558">
      <c r="D558" s="52"/>
    </row>
    <row r="559">
      <c r="D559" s="52"/>
    </row>
    <row r="560">
      <c r="D560" s="52"/>
    </row>
    <row r="561">
      <c r="D561" s="52"/>
    </row>
    <row r="562">
      <c r="D562" s="52"/>
    </row>
    <row r="563">
      <c r="D563" s="52"/>
    </row>
    <row r="564">
      <c r="D564" s="52"/>
    </row>
    <row r="565">
      <c r="D565" s="52"/>
    </row>
    <row r="566">
      <c r="D566" s="52"/>
    </row>
    <row r="567">
      <c r="D567" s="52"/>
    </row>
    <row r="568">
      <c r="D568" s="52"/>
    </row>
    <row r="569">
      <c r="D569" s="52"/>
    </row>
    <row r="570">
      <c r="D570" s="52"/>
    </row>
    <row r="571">
      <c r="D571" s="52"/>
    </row>
    <row r="572">
      <c r="D572" s="52"/>
    </row>
    <row r="573">
      <c r="D573" s="52"/>
    </row>
    <row r="574">
      <c r="D574" s="52"/>
    </row>
    <row r="575">
      <c r="D575" s="52"/>
    </row>
    <row r="576">
      <c r="D576" s="52"/>
    </row>
    <row r="577">
      <c r="D577" s="52"/>
    </row>
    <row r="578">
      <c r="D578" s="52"/>
    </row>
    <row r="579">
      <c r="D579" s="52"/>
    </row>
    <row r="580">
      <c r="D580" s="52"/>
    </row>
    <row r="581">
      <c r="D581" s="52"/>
    </row>
    <row r="582">
      <c r="D582" s="52"/>
    </row>
    <row r="583">
      <c r="D583" s="52"/>
    </row>
    <row r="584">
      <c r="D584" s="52"/>
    </row>
    <row r="585">
      <c r="D585" s="52"/>
    </row>
    <row r="586">
      <c r="D586" s="52"/>
    </row>
    <row r="587">
      <c r="D587" s="52"/>
    </row>
    <row r="588">
      <c r="D588" s="52"/>
    </row>
    <row r="589">
      <c r="D589" s="52"/>
    </row>
    <row r="590">
      <c r="D590" s="52"/>
    </row>
    <row r="591">
      <c r="D591" s="52"/>
    </row>
    <row r="592">
      <c r="D592" s="52"/>
    </row>
    <row r="593">
      <c r="D593" s="52"/>
    </row>
    <row r="594">
      <c r="D594" s="52"/>
    </row>
    <row r="595">
      <c r="D595" s="52"/>
    </row>
    <row r="596">
      <c r="D596" s="52"/>
    </row>
    <row r="597">
      <c r="D597" s="52"/>
    </row>
    <row r="598">
      <c r="D598" s="52"/>
    </row>
    <row r="599">
      <c r="D599" s="52"/>
    </row>
    <row r="600">
      <c r="D600" s="52"/>
    </row>
    <row r="601">
      <c r="D601" s="52"/>
    </row>
    <row r="602">
      <c r="D602" s="52"/>
    </row>
    <row r="603">
      <c r="D603" s="52"/>
    </row>
    <row r="604">
      <c r="D604" s="52"/>
    </row>
    <row r="605">
      <c r="D605" s="52"/>
    </row>
    <row r="606">
      <c r="D606" s="52"/>
    </row>
    <row r="607">
      <c r="D607" s="52"/>
    </row>
    <row r="608">
      <c r="D608" s="52"/>
    </row>
    <row r="609">
      <c r="D609" s="52"/>
    </row>
    <row r="610">
      <c r="D610" s="52"/>
    </row>
    <row r="611">
      <c r="D611" s="52"/>
    </row>
    <row r="612">
      <c r="D612" s="52"/>
    </row>
    <row r="613">
      <c r="D613" s="52"/>
    </row>
    <row r="614">
      <c r="D614" s="52"/>
    </row>
    <row r="615">
      <c r="D615" s="52"/>
    </row>
    <row r="616">
      <c r="D616" s="52"/>
    </row>
    <row r="617">
      <c r="D617" s="52"/>
    </row>
    <row r="618">
      <c r="D618" s="52"/>
    </row>
    <row r="619">
      <c r="D619" s="52"/>
    </row>
    <row r="620">
      <c r="D620" s="52"/>
    </row>
    <row r="621">
      <c r="D621" s="52"/>
    </row>
    <row r="622">
      <c r="D622" s="52"/>
    </row>
    <row r="623">
      <c r="D623" s="52"/>
    </row>
    <row r="624">
      <c r="D624" s="52"/>
    </row>
    <row r="625">
      <c r="D625" s="52"/>
    </row>
    <row r="626">
      <c r="D626" s="52"/>
    </row>
    <row r="627">
      <c r="D627" s="52"/>
    </row>
    <row r="628">
      <c r="D628" s="52"/>
    </row>
    <row r="629">
      <c r="D629" s="52"/>
    </row>
    <row r="630">
      <c r="D630" s="52"/>
    </row>
    <row r="631">
      <c r="D631" s="52"/>
    </row>
    <row r="632">
      <c r="D632" s="52"/>
    </row>
    <row r="633">
      <c r="D633" s="52"/>
    </row>
    <row r="634">
      <c r="D634" s="52"/>
    </row>
    <row r="635">
      <c r="D635" s="52"/>
    </row>
    <row r="636">
      <c r="D636" s="52"/>
    </row>
    <row r="637">
      <c r="D637" s="52"/>
    </row>
    <row r="638">
      <c r="D638" s="52"/>
    </row>
    <row r="639">
      <c r="D639" s="52"/>
    </row>
    <row r="640">
      <c r="D640" s="52"/>
    </row>
    <row r="641">
      <c r="D641" s="52"/>
    </row>
    <row r="642">
      <c r="D642" s="52"/>
    </row>
    <row r="643">
      <c r="D643" s="52"/>
    </row>
    <row r="644">
      <c r="D644" s="52"/>
    </row>
    <row r="645">
      <c r="D645" s="52"/>
    </row>
    <row r="646">
      <c r="D646" s="52"/>
    </row>
    <row r="647">
      <c r="D647" s="52"/>
    </row>
    <row r="648">
      <c r="D648" s="52"/>
    </row>
    <row r="649">
      <c r="D649" s="52"/>
    </row>
    <row r="650">
      <c r="D650" s="52"/>
    </row>
    <row r="651">
      <c r="D651" s="52"/>
    </row>
    <row r="652">
      <c r="D652" s="52"/>
    </row>
    <row r="653">
      <c r="D653" s="52"/>
    </row>
    <row r="654">
      <c r="D654" s="52"/>
    </row>
    <row r="655">
      <c r="D655" s="52"/>
    </row>
    <row r="656">
      <c r="D656" s="52"/>
    </row>
    <row r="657">
      <c r="D657" s="52"/>
    </row>
    <row r="658">
      <c r="D658" s="52"/>
    </row>
    <row r="659">
      <c r="D659" s="52"/>
    </row>
    <row r="660">
      <c r="D660" s="52"/>
    </row>
    <row r="661">
      <c r="D661" s="52"/>
    </row>
    <row r="662">
      <c r="D662" s="52"/>
    </row>
    <row r="663">
      <c r="D663" s="52"/>
    </row>
    <row r="664">
      <c r="D664" s="52"/>
    </row>
    <row r="665">
      <c r="D665" s="52"/>
    </row>
    <row r="666">
      <c r="D666" s="52"/>
    </row>
    <row r="667">
      <c r="D667" s="52"/>
    </row>
    <row r="668">
      <c r="D668" s="52"/>
    </row>
    <row r="669">
      <c r="D669" s="52"/>
    </row>
    <row r="670">
      <c r="D670" s="52"/>
    </row>
    <row r="671">
      <c r="D671" s="52"/>
    </row>
    <row r="672">
      <c r="D672" s="52"/>
    </row>
    <row r="673">
      <c r="D673" s="52"/>
    </row>
    <row r="674">
      <c r="D674" s="52"/>
    </row>
    <row r="675">
      <c r="D675" s="52"/>
    </row>
    <row r="676">
      <c r="D676" s="52"/>
    </row>
    <row r="677">
      <c r="D677" s="52"/>
    </row>
    <row r="678">
      <c r="D678" s="52"/>
    </row>
    <row r="679">
      <c r="D679" s="52"/>
    </row>
    <row r="680">
      <c r="D680" s="52"/>
    </row>
    <row r="681">
      <c r="D681" s="52"/>
    </row>
    <row r="682">
      <c r="D682" s="52"/>
    </row>
    <row r="683">
      <c r="D683" s="52"/>
    </row>
    <row r="684">
      <c r="D684" s="52"/>
    </row>
    <row r="685">
      <c r="D685" s="52"/>
    </row>
    <row r="686">
      <c r="D686" s="52"/>
    </row>
    <row r="687">
      <c r="D687" s="52"/>
    </row>
    <row r="688">
      <c r="D688" s="52"/>
    </row>
    <row r="689">
      <c r="D689" s="52"/>
    </row>
    <row r="690">
      <c r="D690" s="52"/>
    </row>
    <row r="691">
      <c r="D691" s="52"/>
    </row>
    <row r="692">
      <c r="D692" s="52"/>
    </row>
    <row r="693">
      <c r="D693" s="52"/>
    </row>
    <row r="694">
      <c r="D694" s="52"/>
    </row>
    <row r="695">
      <c r="D695" s="52"/>
    </row>
    <row r="696">
      <c r="D696" s="52"/>
    </row>
    <row r="697">
      <c r="D697" s="52"/>
    </row>
    <row r="698">
      <c r="D698" s="52"/>
    </row>
    <row r="699">
      <c r="D699" s="52"/>
    </row>
    <row r="700">
      <c r="D700" s="52"/>
    </row>
    <row r="701">
      <c r="D701" s="52"/>
    </row>
    <row r="702">
      <c r="D702" s="52"/>
    </row>
    <row r="703">
      <c r="D703" s="52"/>
    </row>
    <row r="704">
      <c r="D704" s="52"/>
    </row>
    <row r="705">
      <c r="D705" s="52"/>
    </row>
    <row r="706">
      <c r="D706" s="52"/>
    </row>
    <row r="707">
      <c r="D707" s="52"/>
    </row>
    <row r="708">
      <c r="D708" s="52"/>
    </row>
    <row r="709">
      <c r="D709" s="52"/>
    </row>
    <row r="710">
      <c r="D710" s="52"/>
    </row>
    <row r="711">
      <c r="D711" s="52"/>
    </row>
    <row r="712">
      <c r="D712" s="52"/>
    </row>
    <row r="713">
      <c r="D713" s="52"/>
    </row>
    <row r="714">
      <c r="D714" s="52"/>
    </row>
    <row r="715">
      <c r="D715" s="52"/>
    </row>
    <row r="716">
      <c r="D716" s="52"/>
    </row>
    <row r="717">
      <c r="D717" s="52"/>
    </row>
    <row r="718">
      <c r="D718" s="52"/>
    </row>
    <row r="719">
      <c r="D719" s="52"/>
    </row>
    <row r="720">
      <c r="D720" s="52"/>
    </row>
    <row r="721">
      <c r="D721" s="52"/>
    </row>
    <row r="722">
      <c r="D722" s="52"/>
    </row>
    <row r="723">
      <c r="D723" s="52"/>
    </row>
    <row r="724">
      <c r="D724" s="52"/>
    </row>
    <row r="725">
      <c r="D725" s="52"/>
    </row>
    <row r="726">
      <c r="D726" s="52"/>
    </row>
    <row r="727">
      <c r="D727" s="52"/>
    </row>
    <row r="728">
      <c r="D728" s="52"/>
    </row>
    <row r="729">
      <c r="D729" s="52"/>
    </row>
    <row r="730">
      <c r="D730" s="52"/>
    </row>
    <row r="731">
      <c r="D731" s="52"/>
    </row>
    <row r="732">
      <c r="D732" s="52"/>
    </row>
    <row r="733">
      <c r="D733" s="52"/>
    </row>
    <row r="734">
      <c r="D734" s="52"/>
    </row>
    <row r="735">
      <c r="D735" s="52"/>
    </row>
    <row r="736">
      <c r="D736" s="52"/>
    </row>
    <row r="737">
      <c r="D737" s="52"/>
    </row>
    <row r="738">
      <c r="D738" s="52"/>
    </row>
    <row r="739">
      <c r="D739" s="52"/>
    </row>
    <row r="740">
      <c r="D740" s="52"/>
    </row>
    <row r="741">
      <c r="D741" s="52"/>
    </row>
    <row r="742">
      <c r="D742" s="52"/>
    </row>
    <row r="743">
      <c r="D743" s="52"/>
    </row>
    <row r="744">
      <c r="D744" s="52"/>
    </row>
    <row r="745">
      <c r="D745" s="52"/>
    </row>
    <row r="746">
      <c r="D746" s="52"/>
    </row>
    <row r="747">
      <c r="D747" s="52"/>
    </row>
    <row r="748">
      <c r="D748" s="52"/>
    </row>
    <row r="749">
      <c r="D749" s="52"/>
    </row>
    <row r="750">
      <c r="D750" s="52"/>
    </row>
    <row r="751">
      <c r="D751" s="52"/>
    </row>
    <row r="752">
      <c r="D752" s="52"/>
    </row>
    <row r="753">
      <c r="D753" s="52"/>
    </row>
    <row r="754">
      <c r="D754" s="52"/>
    </row>
    <row r="755">
      <c r="D755" s="52"/>
    </row>
    <row r="756">
      <c r="D756" s="52"/>
    </row>
    <row r="757">
      <c r="D757" s="52"/>
    </row>
    <row r="758">
      <c r="D758" s="52"/>
    </row>
    <row r="759">
      <c r="D759" s="52"/>
    </row>
    <row r="760">
      <c r="D760" s="52"/>
    </row>
    <row r="761">
      <c r="D761" s="52"/>
    </row>
    <row r="762">
      <c r="D762" s="52"/>
    </row>
    <row r="763">
      <c r="D763" s="52"/>
    </row>
    <row r="764">
      <c r="D764" s="52"/>
    </row>
    <row r="765">
      <c r="D765" s="52"/>
    </row>
    <row r="766">
      <c r="D766" s="52"/>
    </row>
    <row r="767">
      <c r="D767" s="52"/>
    </row>
    <row r="768">
      <c r="D768" s="52"/>
    </row>
    <row r="769">
      <c r="D769" s="52"/>
    </row>
    <row r="770">
      <c r="D770" s="52"/>
    </row>
    <row r="771">
      <c r="D771" s="52"/>
    </row>
    <row r="772">
      <c r="D772" s="52"/>
    </row>
    <row r="773">
      <c r="D773" s="52"/>
    </row>
    <row r="774">
      <c r="D774" s="52"/>
    </row>
    <row r="775">
      <c r="D775" s="52"/>
    </row>
    <row r="776">
      <c r="D776" s="52"/>
    </row>
    <row r="777">
      <c r="D777" s="52"/>
    </row>
    <row r="778">
      <c r="D778" s="52"/>
    </row>
    <row r="779">
      <c r="D779" s="52"/>
    </row>
    <row r="780">
      <c r="D780" s="52"/>
    </row>
    <row r="781">
      <c r="D781" s="52"/>
    </row>
    <row r="782">
      <c r="D782" s="52"/>
    </row>
    <row r="783">
      <c r="D783" s="52"/>
    </row>
    <row r="784">
      <c r="D784" s="52"/>
    </row>
    <row r="785">
      <c r="D785" s="52"/>
    </row>
    <row r="786">
      <c r="D786" s="52"/>
    </row>
    <row r="787">
      <c r="D787" s="52"/>
    </row>
    <row r="788">
      <c r="D788" s="52"/>
    </row>
    <row r="789">
      <c r="D789" s="52"/>
    </row>
    <row r="790">
      <c r="D790" s="52"/>
    </row>
    <row r="791">
      <c r="D791" s="52"/>
    </row>
    <row r="792">
      <c r="D792" s="52"/>
    </row>
    <row r="793">
      <c r="D793" s="52"/>
    </row>
    <row r="794">
      <c r="D794" s="52"/>
    </row>
    <row r="795">
      <c r="D795" s="52"/>
    </row>
    <row r="796">
      <c r="D796" s="52"/>
    </row>
    <row r="797">
      <c r="D797" s="52"/>
    </row>
    <row r="798">
      <c r="D798" s="52"/>
    </row>
    <row r="799">
      <c r="D799" s="52"/>
    </row>
    <row r="800">
      <c r="D800" s="52"/>
    </row>
    <row r="801">
      <c r="D801" s="52"/>
    </row>
    <row r="802">
      <c r="D802" s="52"/>
    </row>
    <row r="803">
      <c r="D803" s="52"/>
    </row>
    <row r="804">
      <c r="D804" s="52"/>
    </row>
    <row r="805">
      <c r="D805" s="52"/>
    </row>
    <row r="806">
      <c r="D806" s="52"/>
    </row>
    <row r="807">
      <c r="D807" s="52"/>
    </row>
    <row r="808">
      <c r="D808" s="52"/>
    </row>
    <row r="809">
      <c r="D809" s="52"/>
    </row>
    <row r="810">
      <c r="D810" s="52"/>
    </row>
    <row r="811">
      <c r="D811" s="52"/>
    </row>
    <row r="812">
      <c r="D812" s="52"/>
    </row>
    <row r="813">
      <c r="D813" s="52"/>
    </row>
    <row r="814">
      <c r="D814" s="52"/>
    </row>
    <row r="815">
      <c r="D815" s="52"/>
    </row>
    <row r="816">
      <c r="D816" s="52"/>
    </row>
    <row r="817">
      <c r="D817" s="52"/>
    </row>
    <row r="818">
      <c r="D818" s="52"/>
    </row>
    <row r="819">
      <c r="D819" s="52"/>
    </row>
    <row r="820">
      <c r="D820" s="52"/>
    </row>
    <row r="821">
      <c r="D821" s="52"/>
    </row>
    <row r="822">
      <c r="D822" s="52"/>
    </row>
    <row r="823">
      <c r="D823" s="52"/>
    </row>
    <row r="824">
      <c r="D824" s="52"/>
    </row>
    <row r="825">
      <c r="D825" s="52"/>
    </row>
    <row r="826">
      <c r="D826" s="52"/>
    </row>
    <row r="827">
      <c r="D827" s="52"/>
    </row>
    <row r="828">
      <c r="D828" s="52"/>
    </row>
    <row r="829">
      <c r="D829" s="52"/>
    </row>
    <row r="830">
      <c r="D830" s="52"/>
    </row>
    <row r="831">
      <c r="D831" s="52"/>
    </row>
    <row r="832">
      <c r="D832" s="52"/>
    </row>
    <row r="833">
      <c r="D833" s="52"/>
    </row>
    <row r="834">
      <c r="D834" s="52"/>
    </row>
    <row r="835">
      <c r="D835" s="52"/>
    </row>
    <row r="836">
      <c r="D836" s="52"/>
    </row>
    <row r="837">
      <c r="D837" s="52"/>
    </row>
    <row r="838">
      <c r="D838" s="52"/>
    </row>
    <row r="839">
      <c r="D839" s="52"/>
    </row>
    <row r="840">
      <c r="D840" s="52"/>
    </row>
    <row r="841">
      <c r="D841" s="52"/>
    </row>
    <row r="842">
      <c r="D842" s="52"/>
    </row>
    <row r="843">
      <c r="D843" s="52"/>
    </row>
  </sheetData>
  <mergeCells count="7">
    <mergeCell ref="A1:F1"/>
    <mergeCell ref="A2:A3"/>
    <mergeCell ref="B2:B3"/>
    <mergeCell ref="C2:C3"/>
    <mergeCell ref="D2:D3"/>
    <mergeCell ref="E2:F2"/>
    <mergeCell ref="A7:E7"/>
  </mergeCells>
  <dataValidations>
    <dataValidation type="list" allowBlank="1" sqref="H4">
      <formula1>"CHECKED (OK),CHECKED  (NOT OK)"</formula1>
    </dataValidation>
  </dataValidations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3" max="3" width="26.75"/>
    <col customWidth="1" min="4" max="4" width="33.25"/>
    <col customWidth="1" min="7" max="7" width="3.5"/>
    <col customWidth="1" min="8" max="8" width="18.63"/>
    <col customWidth="1" min="9" max="9" width="21.63"/>
  </cols>
  <sheetData>
    <row r="1">
      <c r="A1" s="30" t="s">
        <v>1092</v>
      </c>
      <c r="G1" s="31"/>
      <c r="H1" s="32" t="s">
        <v>1093</v>
      </c>
      <c r="I1" s="33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4" t="s">
        <v>1</v>
      </c>
      <c r="B2" s="35" t="s">
        <v>11</v>
      </c>
      <c r="C2" s="35" t="s">
        <v>12</v>
      </c>
      <c r="D2" s="36" t="s">
        <v>13</v>
      </c>
      <c r="E2" s="37" t="s">
        <v>14</v>
      </c>
      <c r="F2" s="38"/>
      <c r="G2" s="39"/>
      <c r="H2" s="40"/>
      <c r="I2" s="40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41"/>
      <c r="B3" s="38"/>
      <c r="C3" s="38"/>
      <c r="D3" s="38"/>
      <c r="E3" s="42" t="s">
        <v>15</v>
      </c>
      <c r="F3" s="43" t="s">
        <v>5</v>
      </c>
      <c r="G3" s="39"/>
      <c r="H3" s="44" t="s">
        <v>6</v>
      </c>
      <c r="I3" s="45" t="s">
        <v>7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24.75" customHeight="1">
      <c r="A4" s="46"/>
      <c r="B4" s="47"/>
      <c r="C4" s="48" t="str">
        <f>vlookup(B4,'Crew Data'!C:G,5,0)</f>
        <v>#N/A</v>
      </c>
      <c r="D4" s="49"/>
      <c r="E4" s="47"/>
      <c r="F4" s="50">
        <f>E4*400</f>
        <v>0</v>
      </c>
      <c r="G4" s="22">
        <f>COUNTIF(B:B,B4)</f>
        <v>0</v>
      </c>
      <c r="H4" s="5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D5" s="52"/>
    </row>
    <row r="6">
      <c r="D6" s="52"/>
    </row>
    <row r="7" ht="44.25" customHeight="1">
      <c r="A7" s="53" t="s">
        <v>16</v>
      </c>
    </row>
    <row r="8">
      <c r="D8" s="52"/>
    </row>
    <row r="9">
      <c r="D9" s="52"/>
    </row>
    <row r="10">
      <c r="D10" s="52"/>
    </row>
    <row r="11">
      <c r="D11" s="52"/>
    </row>
    <row r="12">
      <c r="D12" s="52"/>
    </row>
    <row r="13">
      <c r="D13" s="52"/>
    </row>
    <row r="14">
      <c r="D14" s="52"/>
    </row>
    <row r="15">
      <c r="D15" s="52"/>
    </row>
    <row r="16">
      <c r="D16" s="52"/>
    </row>
    <row r="17">
      <c r="D17" s="52"/>
    </row>
    <row r="18">
      <c r="D18" s="52"/>
    </row>
    <row r="19">
      <c r="D19" s="52"/>
    </row>
    <row r="20">
      <c r="D20" s="52"/>
    </row>
    <row r="21">
      <c r="D21" s="52"/>
    </row>
    <row r="22">
      <c r="D22" s="52"/>
    </row>
    <row r="23">
      <c r="D23" s="52"/>
    </row>
    <row r="24">
      <c r="D24" s="52"/>
    </row>
    <row r="25">
      <c r="D25" s="52"/>
    </row>
    <row r="26">
      <c r="D26" s="52"/>
    </row>
    <row r="27">
      <c r="D27" s="52"/>
    </row>
    <row r="28">
      <c r="D28" s="52"/>
    </row>
    <row r="29">
      <c r="D29" s="52"/>
    </row>
    <row r="30">
      <c r="D30" s="52"/>
    </row>
    <row r="31">
      <c r="D31" s="52"/>
    </row>
    <row r="32">
      <c r="D32" s="52"/>
    </row>
    <row r="33">
      <c r="D33" s="52"/>
    </row>
    <row r="34">
      <c r="D34" s="52"/>
    </row>
    <row r="35">
      <c r="D35" s="52"/>
    </row>
    <row r="36">
      <c r="D36" s="52"/>
    </row>
    <row r="37">
      <c r="D37" s="52"/>
    </row>
    <row r="38">
      <c r="D38" s="52"/>
    </row>
    <row r="39">
      <c r="D39" s="52"/>
    </row>
    <row r="40">
      <c r="D40" s="52"/>
    </row>
    <row r="41">
      <c r="D41" s="52"/>
    </row>
    <row r="42">
      <c r="D42" s="52"/>
    </row>
    <row r="43">
      <c r="D43" s="52"/>
    </row>
    <row r="44">
      <c r="D44" s="52"/>
    </row>
    <row r="45">
      <c r="D45" s="52"/>
    </row>
    <row r="46">
      <c r="D46" s="52"/>
    </row>
    <row r="47">
      <c r="D47" s="52"/>
    </row>
    <row r="48">
      <c r="D48" s="52"/>
    </row>
    <row r="49">
      <c r="D49" s="52"/>
    </row>
    <row r="50">
      <c r="D50" s="52"/>
    </row>
    <row r="51">
      <c r="D51" s="52"/>
    </row>
    <row r="52">
      <c r="D52" s="52"/>
    </row>
    <row r="53">
      <c r="D53" s="52"/>
    </row>
    <row r="54">
      <c r="D54" s="52"/>
    </row>
    <row r="55">
      <c r="D55" s="52"/>
    </row>
    <row r="56">
      <c r="D56" s="52"/>
    </row>
    <row r="57">
      <c r="D57" s="52"/>
    </row>
    <row r="58">
      <c r="D58" s="52"/>
    </row>
    <row r="59">
      <c r="D59" s="52"/>
    </row>
    <row r="60">
      <c r="D60" s="52"/>
    </row>
    <row r="61">
      <c r="D61" s="52"/>
    </row>
    <row r="62">
      <c r="D62" s="52"/>
    </row>
    <row r="63">
      <c r="D63" s="52"/>
    </row>
    <row r="64">
      <c r="D64" s="52"/>
    </row>
    <row r="65">
      <c r="D65" s="52"/>
    </row>
    <row r="66">
      <c r="D66" s="52"/>
    </row>
    <row r="67">
      <c r="D67" s="52"/>
    </row>
    <row r="68">
      <c r="D68" s="52"/>
    </row>
    <row r="69">
      <c r="D69" s="52"/>
    </row>
    <row r="70">
      <c r="D70" s="52"/>
    </row>
    <row r="71">
      <c r="D71" s="52"/>
    </row>
    <row r="72">
      <c r="D72" s="52"/>
    </row>
    <row r="73">
      <c r="D73" s="52"/>
    </row>
    <row r="74">
      <c r="D74" s="52"/>
    </row>
    <row r="75">
      <c r="D75" s="52"/>
    </row>
    <row r="76">
      <c r="D76" s="52"/>
    </row>
    <row r="77">
      <c r="D77" s="52"/>
    </row>
    <row r="78">
      <c r="D78" s="52"/>
    </row>
    <row r="79">
      <c r="D79" s="52"/>
    </row>
    <row r="80">
      <c r="D80" s="52"/>
    </row>
    <row r="81">
      <c r="D81" s="52"/>
    </row>
    <row r="82">
      <c r="D82" s="52"/>
    </row>
    <row r="83">
      <c r="D83" s="52"/>
    </row>
    <row r="84">
      <c r="D84" s="52"/>
    </row>
    <row r="85">
      <c r="D85" s="52"/>
    </row>
    <row r="86">
      <c r="D86" s="52"/>
    </row>
    <row r="87">
      <c r="D87" s="52"/>
    </row>
    <row r="88">
      <c r="D88" s="52"/>
    </row>
    <row r="89">
      <c r="D89" s="52"/>
    </row>
    <row r="90">
      <c r="D90" s="52"/>
    </row>
    <row r="91">
      <c r="D91" s="52"/>
    </row>
    <row r="92">
      <c r="D92" s="52"/>
    </row>
    <row r="93">
      <c r="D93" s="52"/>
    </row>
    <row r="94">
      <c r="D94" s="52"/>
    </row>
    <row r="95">
      <c r="D95" s="52"/>
    </row>
    <row r="96">
      <c r="D96" s="52"/>
    </row>
    <row r="97">
      <c r="D97" s="52"/>
    </row>
    <row r="98">
      <c r="D98" s="52"/>
    </row>
    <row r="99">
      <c r="D99" s="52"/>
    </row>
    <row r="100">
      <c r="D100" s="52"/>
    </row>
    <row r="101">
      <c r="D101" s="52"/>
    </row>
    <row r="102">
      <c r="D102" s="52"/>
    </row>
    <row r="103">
      <c r="D103" s="52"/>
    </row>
    <row r="104">
      <c r="D104" s="52"/>
    </row>
    <row r="105">
      <c r="D105" s="52"/>
    </row>
    <row r="106">
      <c r="D106" s="52"/>
    </row>
    <row r="107">
      <c r="D107" s="52"/>
    </row>
    <row r="108">
      <c r="D108" s="52"/>
    </row>
    <row r="109">
      <c r="D109" s="52"/>
    </row>
    <row r="110">
      <c r="D110" s="52"/>
    </row>
    <row r="111">
      <c r="D111" s="52"/>
    </row>
    <row r="112">
      <c r="D112" s="52"/>
    </row>
    <row r="113">
      <c r="D113" s="52"/>
    </row>
    <row r="114">
      <c r="D114" s="52"/>
    </row>
    <row r="115">
      <c r="D115" s="52"/>
    </row>
    <row r="116">
      <c r="D116" s="52"/>
    </row>
    <row r="117">
      <c r="D117" s="52"/>
    </row>
    <row r="118">
      <c r="D118" s="52"/>
    </row>
    <row r="119">
      <c r="D119" s="52"/>
    </row>
    <row r="120">
      <c r="D120" s="52"/>
    </row>
    <row r="121">
      <c r="D121" s="52"/>
    </row>
    <row r="122">
      <c r="D122" s="52"/>
    </row>
    <row r="123">
      <c r="D123" s="52"/>
    </row>
    <row r="124">
      <c r="D124" s="52"/>
    </row>
    <row r="125">
      <c r="D125" s="52"/>
    </row>
    <row r="126">
      <c r="D126" s="52"/>
    </row>
    <row r="127">
      <c r="D127" s="52"/>
    </row>
    <row r="128">
      <c r="D128" s="52"/>
    </row>
    <row r="129">
      <c r="D129" s="52"/>
    </row>
    <row r="130">
      <c r="D130" s="52"/>
    </row>
    <row r="131">
      <c r="D131" s="52"/>
    </row>
    <row r="132">
      <c r="D132" s="52"/>
    </row>
    <row r="133">
      <c r="D133" s="52"/>
    </row>
    <row r="134">
      <c r="D134" s="52"/>
    </row>
    <row r="135">
      <c r="D135" s="52"/>
    </row>
    <row r="136">
      <c r="D136" s="52"/>
    </row>
    <row r="137">
      <c r="D137" s="52"/>
    </row>
    <row r="138">
      <c r="D138" s="52"/>
    </row>
    <row r="139">
      <c r="D139" s="52"/>
    </row>
    <row r="140">
      <c r="D140" s="52"/>
    </row>
    <row r="141">
      <c r="D141" s="52"/>
    </row>
    <row r="142">
      <c r="D142" s="52"/>
    </row>
    <row r="143">
      <c r="D143" s="52"/>
    </row>
    <row r="144">
      <c r="D144" s="52"/>
    </row>
    <row r="145">
      <c r="D145" s="52"/>
    </row>
    <row r="146">
      <c r="D146" s="52"/>
    </row>
    <row r="147">
      <c r="D147" s="52"/>
    </row>
    <row r="148">
      <c r="D148" s="52"/>
    </row>
    <row r="149">
      <c r="D149" s="52"/>
    </row>
    <row r="150">
      <c r="D150" s="52"/>
    </row>
    <row r="151">
      <c r="D151" s="52"/>
    </row>
    <row r="152">
      <c r="D152" s="52"/>
    </row>
    <row r="153">
      <c r="D153" s="52"/>
    </row>
    <row r="154">
      <c r="D154" s="52"/>
    </row>
    <row r="155">
      <c r="D155" s="52"/>
    </row>
    <row r="156">
      <c r="D156" s="52"/>
    </row>
    <row r="157">
      <c r="D157" s="52"/>
    </row>
    <row r="158">
      <c r="D158" s="52"/>
    </row>
    <row r="159">
      <c r="D159" s="52"/>
    </row>
    <row r="160">
      <c r="D160" s="52"/>
    </row>
    <row r="161">
      <c r="D161" s="52"/>
    </row>
    <row r="162">
      <c r="D162" s="52"/>
    </row>
    <row r="163">
      <c r="D163" s="52"/>
    </row>
    <row r="164">
      <c r="D164" s="52"/>
    </row>
    <row r="165">
      <c r="D165" s="52"/>
    </row>
    <row r="166">
      <c r="D166" s="52"/>
    </row>
    <row r="167">
      <c r="D167" s="52"/>
    </row>
    <row r="168">
      <c r="D168" s="52"/>
    </row>
    <row r="169">
      <c r="D169" s="52"/>
    </row>
    <row r="170">
      <c r="D170" s="52"/>
    </row>
    <row r="171">
      <c r="D171" s="52"/>
    </row>
    <row r="172">
      <c r="D172" s="52"/>
    </row>
    <row r="173">
      <c r="D173" s="52"/>
    </row>
    <row r="174">
      <c r="D174" s="52"/>
    </row>
    <row r="175">
      <c r="D175" s="52"/>
    </row>
    <row r="176">
      <c r="D176" s="52"/>
    </row>
    <row r="177">
      <c r="D177" s="52"/>
    </row>
    <row r="178">
      <c r="D178" s="52"/>
    </row>
    <row r="179">
      <c r="D179" s="52"/>
    </row>
    <row r="180">
      <c r="D180" s="52"/>
    </row>
    <row r="181">
      <c r="D181" s="52"/>
    </row>
    <row r="182">
      <c r="D182" s="52"/>
    </row>
    <row r="183">
      <c r="D183" s="52"/>
    </row>
    <row r="184">
      <c r="D184" s="52"/>
    </row>
    <row r="185">
      <c r="D185" s="52"/>
    </row>
    <row r="186">
      <c r="D186" s="52"/>
    </row>
    <row r="187">
      <c r="D187" s="52"/>
    </row>
    <row r="188">
      <c r="D188" s="52"/>
    </row>
    <row r="189">
      <c r="D189" s="52"/>
    </row>
    <row r="190">
      <c r="D190" s="52"/>
    </row>
    <row r="191">
      <c r="D191" s="52"/>
    </row>
    <row r="192">
      <c r="D192" s="52"/>
    </row>
    <row r="193">
      <c r="D193" s="52"/>
    </row>
    <row r="194">
      <c r="D194" s="52"/>
    </row>
    <row r="195">
      <c r="D195" s="52"/>
    </row>
    <row r="196">
      <c r="D196" s="52"/>
    </row>
    <row r="197">
      <c r="D197" s="52"/>
    </row>
    <row r="198">
      <c r="D198" s="52"/>
    </row>
    <row r="199">
      <c r="D199" s="52"/>
    </row>
    <row r="200">
      <c r="D200" s="52"/>
    </row>
    <row r="201">
      <c r="D201" s="52"/>
    </row>
    <row r="202">
      <c r="D202" s="52"/>
    </row>
    <row r="203">
      <c r="D203" s="52"/>
    </row>
    <row r="204">
      <c r="D204" s="52"/>
    </row>
    <row r="205">
      <c r="D205" s="52"/>
    </row>
    <row r="206">
      <c r="D206" s="52"/>
    </row>
    <row r="207">
      <c r="D207" s="52"/>
    </row>
    <row r="208">
      <c r="D208" s="52"/>
    </row>
    <row r="209">
      <c r="D209" s="52"/>
    </row>
    <row r="210">
      <c r="D210" s="52"/>
    </row>
    <row r="211">
      <c r="D211" s="52"/>
    </row>
    <row r="212">
      <c r="D212" s="52"/>
    </row>
    <row r="213">
      <c r="D213" s="52"/>
    </row>
    <row r="214">
      <c r="D214" s="52"/>
    </row>
    <row r="215">
      <c r="D215" s="52"/>
    </row>
    <row r="216">
      <c r="D216" s="52"/>
    </row>
    <row r="217">
      <c r="D217" s="52"/>
    </row>
    <row r="218">
      <c r="D218" s="52"/>
    </row>
    <row r="219">
      <c r="D219" s="52"/>
    </row>
    <row r="220">
      <c r="D220" s="52"/>
    </row>
    <row r="221">
      <c r="D221" s="52"/>
    </row>
    <row r="222">
      <c r="D222" s="52"/>
    </row>
    <row r="223">
      <c r="D223" s="52"/>
    </row>
    <row r="224">
      <c r="D224" s="52"/>
    </row>
    <row r="225">
      <c r="D225" s="52"/>
    </row>
    <row r="226">
      <c r="D226" s="52"/>
    </row>
    <row r="227">
      <c r="D227" s="52"/>
    </row>
    <row r="228">
      <c r="D228" s="52"/>
    </row>
    <row r="229">
      <c r="D229" s="52"/>
    </row>
    <row r="230">
      <c r="D230" s="52"/>
    </row>
    <row r="231">
      <c r="D231" s="52"/>
    </row>
    <row r="232">
      <c r="D232" s="52"/>
    </row>
    <row r="233">
      <c r="D233" s="52"/>
    </row>
    <row r="234">
      <c r="D234" s="52"/>
    </row>
    <row r="235">
      <c r="D235" s="52"/>
    </row>
    <row r="236">
      <c r="D236" s="52"/>
    </row>
    <row r="237">
      <c r="D237" s="52"/>
    </row>
    <row r="238">
      <c r="D238" s="52"/>
    </row>
    <row r="239">
      <c r="D239" s="52"/>
    </row>
    <row r="240">
      <c r="D240" s="52"/>
    </row>
    <row r="241">
      <c r="D241" s="52"/>
    </row>
    <row r="242">
      <c r="D242" s="52"/>
    </row>
    <row r="243">
      <c r="D243" s="52"/>
    </row>
    <row r="244">
      <c r="D244" s="52"/>
    </row>
    <row r="245">
      <c r="D245" s="52"/>
    </row>
    <row r="246">
      <c r="D246" s="52"/>
    </row>
    <row r="247">
      <c r="D247" s="52"/>
    </row>
    <row r="248">
      <c r="D248" s="52"/>
    </row>
    <row r="249">
      <c r="D249" s="52"/>
    </row>
    <row r="250">
      <c r="D250" s="52"/>
    </row>
    <row r="251">
      <c r="D251" s="52"/>
    </row>
    <row r="252">
      <c r="D252" s="52"/>
    </row>
    <row r="253">
      <c r="D253" s="52"/>
    </row>
    <row r="254">
      <c r="D254" s="52"/>
    </row>
    <row r="255">
      <c r="D255" s="52"/>
    </row>
    <row r="256">
      <c r="D256" s="52"/>
    </row>
    <row r="257">
      <c r="D257" s="52"/>
    </row>
    <row r="258">
      <c r="D258" s="52"/>
    </row>
    <row r="259">
      <c r="D259" s="52"/>
    </row>
    <row r="260">
      <c r="D260" s="52"/>
    </row>
    <row r="261">
      <c r="D261" s="52"/>
    </row>
    <row r="262">
      <c r="D262" s="52"/>
    </row>
    <row r="263">
      <c r="D263" s="52"/>
    </row>
    <row r="264">
      <c r="D264" s="52"/>
    </row>
    <row r="265">
      <c r="D265" s="52"/>
    </row>
    <row r="266">
      <c r="D266" s="52"/>
    </row>
    <row r="267">
      <c r="D267" s="52"/>
    </row>
    <row r="268">
      <c r="D268" s="52"/>
    </row>
    <row r="269">
      <c r="D269" s="52"/>
    </row>
    <row r="270">
      <c r="D270" s="52"/>
    </row>
    <row r="271">
      <c r="D271" s="52"/>
    </row>
    <row r="272">
      <c r="D272" s="52"/>
    </row>
    <row r="273">
      <c r="D273" s="52"/>
    </row>
    <row r="274">
      <c r="D274" s="52"/>
    </row>
    <row r="275">
      <c r="D275" s="52"/>
    </row>
    <row r="276">
      <c r="D276" s="52"/>
    </row>
    <row r="277">
      <c r="D277" s="52"/>
    </row>
    <row r="278">
      <c r="D278" s="52"/>
    </row>
    <row r="279">
      <c r="D279" s="52"/>
    </row>
    <row r="280">
      <c r="D280" s="52"/>
    </row>
    <row r="281">
      <c r="D281" s="52"/>
    </row>
    <row r="282">
      <c r="D282" s="52"/>
    </row>
    <row r="283">
      <c r="D283" s="52"/>
    </row>
    <row r="284">
      <c r="D284" s="52"/>
    </row>
    <row r="285">
      <c r="D285" s="52"/>
    </row>
    <row r="286">
      <c r="D286" s="52"/>
    </row>
    <row r="287">
      <c r="D287" s="52"/>
    </row>
    <row r="288">
      <c r="D288" s="52"/>
    </row>
    <row r="289">
      <c r="D289" s="52"/>
    </row>
    <row r="290">
      <c r="D290" s="52"/>
    </row>
    <row r="291">
      <c r="D291" s="52"/>
    </row>
    <row r="292">
      <c r="D292" s="52"/>
    </row>
    <row r="293">
      <c r="D293" s="52"/>
    </row>
    <row r="294">
      <c r="D294" s="52"/>
    </row>
    <row r="295">
      <c r="D295" s="52"/>
    </row>
    <row r="296">
      <c r="D296" s="52"/>
    </row>
    <row r="297">
      <c r="D297" s="52"/>
    </row>
    <row r="298">
      <c r="D298" s="52"/>
    </row>
    <row r="299">
      <c r="D299" s="52"/>
    </row>
    <row r="300">
      <c r="D300" s="52"/>
    </row>
    <row r="301">
      <c r="D301" s="52"/>
    </row>
    <row r="302">
      <c r="D302" s="52"/>
    </row>
    <row r="303">
      <c r="D303" s="52"/>
    </row>
    <row r="304">
      <c r="D304" s="52"/>
    </row>
    <row r="305">
      <c r="D305" s="52"/>
    </row>
    <row r="306">
      <c r="D306" s="52"/>
    </row>
    <row r="307">
      <c r="D307" s="52"/>
    </row>
    <row r="308">
      <c r="D308" s="52"/>
    </row>
    <row r="309">
      <c r="D309" s="52"/>
    </row>
    <row r="310">
      <c r="D310" s="52"/>
    </row>
    <row r="311">
      <c r="D311" s="52"/>
    </row>
    <row r="312">
      <c r="D312" s="52"/>
    </row>
    <row r="313">
      <c r="D313" s="52"/>
    </row>
    <row r="314">
      <c r="D314" s="52"/>
    </row>
    <row r="315">
      <c r="D315" s="52"/>
    </row>
    <row r="316">
      <c r="D316" s="52"/>
    </row>
    <row r="317">
      <c r="D317" s="52"/>
    </row>
    <row r="318">
      <c r="D318" s="52"/>
    </row>
    <row r="319">
      <c r="D319" s="52"/>
    </row>
    <row r="320">
      <c r="D320" s="52"/>
    </row>
    <row r="321">
      <c r="D321" s="52"/>
    </row>
    <row r="322">
      <c r="D322" s="52"/>
    </row>
    <row r="323">
      <c r="D323" s="52"/>
    </row>
    <row r="324">
      <c r="D324" s="52"/>
    </row>
    <row r="325">
      <c r="D325" s="52"/>
    </row>
    <row r="326">
      <c r="D326" s="52"/>
    </row>
    <row r="327">
      <c r="D327" s="52"/>
    </row>
    <row r="328">
      <c r="D328" s="52"/>
    </row>
    <row r="329">
      <c r="D329" s="52"/>
    </row>
    <row r="330">
      <c r="D330" s="52"/>
    </row>
    <row r="331">
      <c r="D331" s="52"/>
    </row>
    <row r="332">
      <c r="D332" s="52"/>
    </row>
    <row r="333">
      <c r="D333" s="52"/>
    </row>
    <row r="334">
      <c r="D334" s="52"/>
    </row>
    <row r="335">
      <c r="D335" s="52"/>
    </row>
    <row r="336">
      <c r="D336" s="52"/>
    </row>
    <row r="337">
      <c r="D337" s="52"/>
    </row>
    <row r="338">
      <c r="D338" s="52"/>
    </row>
    <row r="339">
      <c r="D339" s="52"/>
    </row>
    <row r="340">
      <c r="D340" s="52"/>
    </row>
    <row r="341">
      <c r="D341" s="52"/>
    </row>
    <row r="342">
      <c r="D342" s="52"/>
    </row>
    <row r="343">
      <c r="D343" s="52"/>
    </row>
    <row r="344">
      <c r="D344" s="52"/>
    </row>
    <row r="345">
      <c r="D345" s="52"/>
    </row>
    <row r="346">
      <c r="D346" s="52"/>
    </row>
    <row r="347">
      <c r="D347" s="52"/>
    </row>
    <row r="348">
      <c r="D348" s="52"/>
    </row>
    <row r="349">
      <c r="D349" s="52"/>
    </row>
    <row r="350">
      <c r="D350" s="52"/>
    </row>
    <row r="351">
      <c r="D351" s="52"/>
    </row>
    <row r="352">
      <c r="D352" s="52"/>
    </row>
    <row r="353">
      <c r="D353" s="52"/>
    </row>
    <row r="354">
      <c r="D354" s="52"/>
    </row>
    <row r="355">
      <c r="D355" s="52"/>
    </row>
    <row r="356">
      <c r="D356" s="52"/>
    </row>
    <row r="357">
      <c r="D357" s="52"/>
    </row>
    <row r="358">
      <c r="D358" s="52"/>
    </row>
    <row r="359">
      <c r="D359" s="52"/>
    </row>
    <row r="360">
      <c r="D360" s="52"/>
    </row>
    <row r="361">
      <c r="D361" s="52"/>
    </row>
    <row r="362">
      <c r="D362" s="52"/>
    </row>
    <row r="363">
      <c r="D363" s="52"/>
    </row>
    <row r="364">
      <c r="D364" s="52"/>
    </row>
    <row r="365">
      <c r="D365" s="52"/>
    </row>
    <row r="366">
      <c r="D366" s="52"/>
    </row>
    <row r="367">
      <c r="D367" s="52"/>
    </row>
    <row r="368">
      <c r="D368" s="52"/>
    </row>
    <row r="369">
      <c r="D369" s="52"/>
    </row>
    <row r="370">
      <c r="D370" s="52"/>
    </row>
    <row r="371">
      <c r="D371" s="52"/>
    </row>
    <row r="372">
      <c r="D372" s="52"/>
    </row>
    <row r="373">
      <c r="D373" s="52"/>
    </row>
    <row r="374">
      <c r="D374" s="52"/>
    </row>
    <row r="375">
      <c r="D375" s="52"/>
    </row>
    <row r="376">
      <c r="D376" s="52"/>
    </row>
    <row r="377">
      <c r="D377" s="52"/>
    </row>
    <row r="378">
      <c r="D378" s="52"/>
    </row>
    <row r="379">
      <c r="D379" s="52"/>
    </row>
    <row r="380">
      <c r="D380" s="52"/>
    </row>
    <row r="381">
      <c r="D381" s="52"/>
    </row>
    <row r="382">
      <c r="D382" s="52"/>
    </row>
    <row r="383">
      <c r="D383" s="52"/>
    </row>
    <row r="384">
      <c r="D384" s="52"/>
    </row>
    <row r="385">
      <c r="D385" s="52"/>
    </row>
    <row r="386">
      <c r="D386" s="52"/>
    </row>
    <row r="387">
      <c r="D387" s="52"/>
    </row>
    <row r="388">
      <c r="D388" s="52"/>
    </row>
    <row r="389">
      <c r="D389" s="52"/>
    </row>
    <row r="390">
      <c r="D390" s="52"/>
    </row>
    <row r="391">
      <c r="D391" s="52"/>
    </row>
    <row r="392">
      <c r="D392" s="52"/>
    </row>
    <row r="393">
      <c r="D393" s="52"/>
    </row>
    <row r="394">
      <c r="D394" s="52"/>
    </row>
    <row r="395">
      <c r="D395" s="52"/>
    </row>
    <row r="396">
      <c r="D396" s="52"/>
    </row>
    <row r="397">
      <c r="D397" s="52"/>
    </row>
    <row r="398">
      <c r="D398" s="52"/>
    </row>
    <row r="399">
      <c r="D399" s="52"/>
    </row>
    <row r="400">
      <c r="D400" s="52"/>
    </row>
    <row r="401">
      <c r="D401" s="52"/>
    </row>
    <row r="402">
      <c r="D402" s="52"/>
    </row>
    <row r="403">
      <c r="D403" s="52"/>
    </row>
    <row r="404">
      <c r="D404" s="52"/>
    </row>
    <row r="405">
      <c r="D405" s="52"/>
    </row>
    <row r="406">
      <c r="D406" s="52"/>
    </row>
    <row r="407">
      <c r="D407" s="52"/>
    </row>
    <row r="408">
      <c r="D408" s="52"/>
    </row>
    <row r="409">
      <c r="D409" s="52"/>
    </row>
    <row r="410">
      <c r="D410" s="52"/>
    </row>
    <row r="411">
      <c r="D411" s="52"/>
    </row>
    <row r="412">
      <c r="D412" s="52"/>
    </row>
    <row r="413">
      <c r="D413" s="52"/>
    </row>
    <row r="414">
      <c r="D414" s="52"/>
    </row>
    <row r="415">
      <c r="D415" s="52"/>
    </row>
    <row r="416">
      <c r="D416" s="52"/>
    </row>
    <row r="417">
      <c r="D417" s="52"/>
    </row>
    <row r="418">
      <c r="D418" s="52"/>
    </row>
    <row r="419">
      <c r="D419" s="52"/>
    </row>
    <row r="420">
      <c r="D420" s="52"/>
    </row>
    <row r="421">
      <c r="D421" s="52"/>
    </row>
    <row r="422">
      <c r="D422" s="52"/>
    </row>
    <row r="423">
      <c r="D423" s="52"/>
    </row>
    <row r="424">
      <c r="D424" s="52"/>
    </row>
    <row r="425">
      <c r="D425" s="52"/>
    </row>
    <row r="426">
      <c r="D426" s="52"/>
    </row>
    <row r="427">
      <c r="D427" s="52"/>
    </row>
    <row r="428">
      <c r="D428" s="52"/>
    </row>
    <row r="429">
      <c r="D429" s="52"/>
    </row>
    <row r="430">
      <c r="D430" s="52"/>
    </row>
    <row r="431">
      <c r="D431" s="52"/>
    </row>
    <row r="432">
      <c r="D432" s="52"/>
    </row>
    <row r="433">
      <c r="D433" s="52"/>
    </row>
    <row r="434">
      <c r="D434" s="52"/>
    </row>
    <row r="435">
      <c r="D435" s="52"/>
    </row>
    <row r="436">
      <c r="D436" s="52"/>
    </row>
    <row r="437">
      <c r="D437" s="52"/>
    </row>
    <row r="438">
      <c r="D438" s="52"/>
    </row>
    <row r="439">
      <c r="D439" s="52"/>
    </row>
    <row r="440">
      <c r="D440" s="52"/>
    </row>
    <row r="441">
      <c r="D441" s="52"/>
    </row>
    <row r="442">
      <c r="D442" s="52"/>
    </row>
    <row r="443">
      <c r="D443" s="52"/>
    </row>
    <row r="444">
      <c r="D444" s="52"/>
    </row>
    <row r="445">
      <c r="D445" s="52"/>
    </row>
    <row r="446">
      <c r="D446" s="52"/>
    </row>
    <row r="447">
      <c r="D447" s="52"/>
    </row>
    <row r="448">
      <c r="D448" s="52"/>
    </row>
    <row r="449">
      <c r="D449" s="52"/>
    </row>
    <row r="450">
      <c r="D450" s="52"/>
    </row>
    <row r="451">
      <c r="D451" s="52"/>
    </row>
    <row r="452">
      <c r="D452" s="52"/>
    </row>
    <row r="453">
      <c r="D453" s="52"/>
    </row>
    <row r="454">
      <c r="D454" s="52"/>
    </row>
    <row r="455">
      <c r="D455" s="52"/>
    </row>
    <row r="456">
      <c r="D456" s="52"/>
    </row>
    <row r="457">
      <c r="D457" s="52"/>
    </row>
    <row r="458">
      <c r="D458" s="52"/>
    </row>
    <row r="459">
      <c r="D459" s="52"/>
    </row>
    <row r="460">
      <c r="D460" s="52"/>
    </row>
    <row r="461">
      <c r="D461" s="52"/>
    </row>
    <row r="462">
      <c r="D462" s="52"/>
    </row>
    <row r="463">
      <c r="D463" s="52"/>
    </row>
    <row r="464">
      <c r="D464" s="52"/>
    </row>
    <row r="465">
      <c r="D465" s="52"/>
    </row>
    <row r="466">
      <c r="D466" s="52"/>
    </row>
    <row r="467">
      <c r="D467" s="52"/>
    </row>
    <row r="468">
      <c r="D468" s="52"/>
    </row>
    <row r="469">
      <c r="D469" s="52"/>
    </row>
    <row r="470">
      <c r="D470" s="52"/>
    </row>
    <row r="471">
      <c r="D471" s="52"/>
    </row>
    <row r="472">
      <c r="D472" s="52"/>
    </row>
    <row r="473">
      <c r="D473" s="52"/>
    </row>
    <row r="474">
      <c r="D474" s="52"/>
    </row>
    <row r="475">
      <c r="D475" s="52"/>
    </row>
    <row r="476">
      <c r="D476" s="52"/>
    </row>
    <row r="477">
      <c r="D477" s="52"/>
    </row>
    <row r="478">
      <c r="D478" s="52"/>
    </row>
    <row r="479">
      <c r="D479" s="52"/>
    </row>
    <row r="480">
      <c r="D480" s="52"/>
    </row>
    <row r="481">
      <c r="D481" s="52"/>
    </row>
    <row r="482">
      <c r="D482" s="52"/>
    </row>
    <row r="483">
      <c r="D483" s="52"/>
    </row>
    <row r="484">
      <c r="D484" s="52"/>
    </row>
    <row r="485">
      <c r="D485" s="52"/>
    </row>
    <row r="486">
      <c r="D486" s="52"/>
    </row>
    <row r="487">
      <c r="D487" s="52"/>
    </row>
    <row r="488">
      <c r="D488" s="52"/>
    </row>
    <row r="489">
      <c r="D489" s="52"/>
    </row>
    <row r="490">
      <c r="D490" s="52"/>
    </row>
    <row r="491">
      <c r="D491" s="52"/>
    </row>
    <row r="492">
      <c r="D492" s="52"/>
    </row>
    <row r="493">
      <c r="D493" s="52"/>
    </row>
    <row r="494">
      <c r="D494" s="52"/>
    </row>
    <row r="495">
      <c r="D495" s="52"/>
    </row>
    <row r="496">
      <c r="D496" s="52"/>
    </row>
    <row r="497">
      <c r="D497" s="52"/>
    </row>
    <row r="498">
      <c r="D498" s="52"/>
    </row>
    <row r="499">
      <c r="D499" s="52"/>
    </row>
    <row r="500">
      <c r="D500" s="52"/>
    </row>
    <row r="501">
      <c r="D501" s="52"/>
    </row>
    <row r="502">
      <c r="D502" s="52"/>
    </row>
    <row r="503">
      <c r="D503" s="52"/>
    </row>
    <row r="504">
      <c r="D504" s="52"/>
    </row>
    <row r="505">
      <c r="D505" s="52"/>
    </row>
    <row r="506">
      <c r="D506" s="52"/>
    </row>
    <row r="507">
      <c r="D507" s="52"/>
    </row>
    <row r="508">
      <c r="D508" s="52"/>
    </row>
    <row r="509">
      <c r="D509" s="52"/>
    </row>
    <row r="510">
      <c r="D510" s="52"/>
    </row>
    <row r="511">
      <c r="D511" s="52"/>
    </row>
    <row r="512">
      <c r="D512" s="52"/>
    </row>
    <row r="513">
      <c r="D513" s="52"/>
    </row>
    <row r="514">
      <c r="D514" s="52"/>
    </row>
    <row r="515">
      <c r="D515" s="52"/>
    </row>
    <row r="516">
      <c r="D516" s="52"/>
    </row>
    <row r="517">
      <c r="D517" s="52"/>
    </row>
    <row r="518">
      <c r="D518" s="52"/>
    </row>
    <row r="519">
      <c r="D519" s="52"/>
    </row>
    <row r="520">
      <c r="D520" s="52"/>
    </row>
    <row r="521">
      <c r="D521" s="52"/>
    </row>
    <row r="522">
      <c r="D522" s="52"/>
    </row>
    <row r="523">
      <c r="D523" s="52"/>
    </row>
    <row r="524">
      <c r="D524" s="52"/>
    </row>
    <row r="525">
      <c r="D525" s="52"/>
    </row>
    <row r="526">
      <c r="D526" s="52"/>
    </row>
    <row r="527">
      <c r="D527" s="52"/>
    </row>
    <row r="528">
      <c r="D528" s="52"/>
    </row>
    <row r="529">
      <c r="D529" s="52"/>
    </row>
    <row r="530">
      <c r="D530" s="52"/>
    </row>
    <row r="531">
      <c r="D531" s="52"/>
    </row>
    <row r="532">
      <c r="D532" s="52"/>
    </row>
    <row r="533">
      <c r="D533" s="52"/>
    </row>
    <row r="534">
      <c r="D534" s="52"/>
    </row>
    <row r="535">
      <c r="D535" s="52"/>
    </row>
    <row r="536">
      <c r="D536" s="52"/>
    </row>
    <row r="537">
      <c r="D537" s="52"/>
    </row>
    <row r="538">
      <c r="D538" s="52"/>
    </row>
    <row r="539">
      <c r="D539" s="52"/>
    </row>
    <row r="540">
      <c r="D540" s="52"/>
    </row>
    <row r="541">
      <c r="D541" s="52"/>
    </row>
    <row r="542">
      <c r="D542" s="52"/>
    </row>
    <row r="543">
      <c r="D543" s="52"/>
    </row>
    <row r="544">
      <c r="D544" s="52"/>
    </row>
    <row r="545">
      <c r="D545" s="52"/>
    </row>
    <row r="546">
      <c r="D546" s="52"/>
    </row>
    <row r="547">
      <c r="D547" s="52"/>
    </row>
    <row r="548">
      <c r="D548" s="52"/>
    </row>
    <row r="549">
      <c r="D549" s="52"/>
    </row>
    <row r="550">
      <c r="D550" s="52"/>
    </row>
    <row r="551">
      <c r="D551" s="52"/>
    </row>
    <row r="552">
      <c r="D552" s="52"/>
    </row>
    <row r="553">
      <c r="D553" s="52"/>
    </row>
    <row r="554">
      <c r="D554" s="52"/>
    </row>
    <row r="555">
      <c r="D555" s="52"/>
    </row>
    <row r="556">
      <c r="D556" s="52"/>
    </row>
    <row r="557">
      <c r="D557" s="52"/>
    </row>
    <row r="558">
      <c r="D558" s="52"/>
    </row>
    <row r="559">
      <c r="D559" s="52"/>
    </row>
    <row r="560">
      <c r="D560" s="52"/>
    </row>
    <row r="561">
      <c r="D561" s="52"/>
    </row>
    <row r="562">
      <c r="D562" s="52"/>
    </row>
    <row r="563">
      <c r="D563" s="52"/>
    </row>
    <row r="564">
      <c r="D564" s="52"/>
    </row>
    <row r="565">
      <c r="D565" s="52"/>
    </row>
    <row r="566">
      <c r="D566" s="52"/>
    </row>
    <row r="567">
      <c r="D567" s="52"/>
    </row>
    <row r="568">
      <c r="D568" s="52"/>
    </row>
    <row r="569">
      <c r="D569" s="52"/>
    </row>
    <row r="570">
      <c r="D570" s="52"/>
    </row>
    <row r="571">
      <c r="D571" s="52"/>
    </row>
    <row r="572">
      <c r="D572" s="52"/>
    </row>
    <row r="573">
      <c r="D573" s="52"/>
    </row>
    <row r="574">
      <c r="D574" s="52"/>
    </row>
    <row r="575">
      <c r="D575" s="52"/>
    </row>
    <row r="576">
      <c r="D576" s="52"/>
    </row>
    <row r="577">
      <c r="D577" s="52"/>
    </row>
    <row r="578">
      <c r="D578" s="52"/>
    </row>
    <row r="579">
      <c r="D579" s="52"/>
    </row>
    <row r="580">
      <c r="D580" s="52"/>
    </row>
    <row r="581">
      <c r="D581" s="52"/>
    </row>
    <row r="582">
      <c r="D582" s="52"/>
    </row>
    <row r="583">
      <c r="D583" s="52"/>
    </row>
    <row r="584">
      <c r="D584" s="52"/>
    </row>
    <row r="585">
      <c r="D585" s="52"/>
    </row>
    <row r="586">
      <c r="D586" s="52"/>
    </row>
    <row r="587">
      <c r="D587" s="52"/>
    </row>
    <row r="588">
      <c r="D588" s="52"/>
    </row>
    <row r="589">
      <c r="D589" s="52"/>
    </row>
    <row r="590">
      <c r="D590" s="52"/>
    </row>
    <row r="591">
      <c r="D591" s="52"/>
    </row>
    <row r="592">
      <c r="D592" s="52"/>
    </row>
    <row r="593">
      <c r="D593" s="52"/>
    </row>
    <row r="594">
      <c r="D594" s="52"/>
    </row>
    <row r="595">
      <c r="D595" s="52"/>
    </row>
    <row r="596">
      <c r="D596" s="52"/>
    </row>
    <row r="597">
      <c r="D597" s="52"/>
    </row>
    <row r="598">
      <c r="D598" s="52"/>
    </row>
    <row r="599">
      <c r="D599" s="52"/>
    </row>
    <row r="600">
      <c r="D600" s="52"/>
    </row>
    <row r="601">
      <c r="D601" s="52"/>
    </row>
    <row r="602">
      <c r="D602" s="52"/>
    </row>
    <row r="603">
      <c r="D603" s="52"/>
    </row>
    <row r="604">
      <c r="D604" s="52"/>
    </row>
    <row r="605">
      <c r="D605" s="52"/>
    </row>
    <row r="606">
      <c r="D606" s="52"/>
    </row>
    <row r="607">
      <c r="D607" s="52"/>
    </row>
    <row r="608">
      <c r="D608" s="52"/>
    </row>
    <row r="609">
      <c r="D609" s="52"/>
    </row>
    <row r="610">
      <c r="D610" s="52"/>
    </row>
    <row r="611">
      <c r="D611" s="52"/>
    </row>
    <row r="612">
      <c r="D612" s="52"/>
    </row>
    <row r="613">
      <c r="D613" s="52"/>
    </row>
    <row r="614">
      <c r="D614" s="52"/>
    </row>
    <row r="615">
      <c r="D615" s="52"/>
    </row>
    <row r="616">
      <c r="D616" s="52"/>
    </row>
    <row r="617">
      <c r="D617" s="52"/>
    </row>
    <row r="618">
      <c r="D618" s="52"/>
    </row>
    <row r="619">
      <c r="D619" s="52"/>
    </row>
    <row r="620">
      <c r="D620" s="52"/>
    </row>
    <row r="621">
      <c r="D621" s="52"/>
    </row>
    <row r="622">
      <c r="D622" s="52"/>
    </row>
    <row r="623">
      <c r="D623" s="52"/>
    </row>
    <row r="624">
      <c r="D624" s="52"/>
    </row>
    <row r="625">
      <c r="D625" s="52"/>
    </row>
    <row r="626">
      <c r="D626" s="52"/>
    </row>
    <row r="627">
      <c r="D627" s="52"/>
    </row>
    <row r="628">
      <c r="D628" s="52"/>
    </row>
    <row r="629">
      <c r="D629" s="52"/>
    </row>
    <row r="630">
      <c r="D630" s="52"/>
    </row>
    <row r="631">
      <c r="D631" s="52"/>
    </row>
    <row r="632">
      <c r="D632" s="52"/>
    </row>
    <row r="633">
      <c r="D633" s="52"/>
    </row>
    <row r="634">
      <c r="D634" s="52"/>
    </row>
    <row r="635">
      <c r="D635" s="52"/>
    </row>
    <row r="636">
      <c r="D636" s="52"/>
    </row>
    <row r="637">
      <c r="D637" s="52"/>
    </row>
    <row r="638">
      <c r="D638" s="52"/>
    </row>
    <row r="639">
      <c r="D639" s="52"/>
    </row>
    <row r="640">
      <c r="D640" s="52"/>
    </row>
    <row r="641">
      <c r="D641" s="52"/>
    </row>
    <row r="642">
      <c r="D642" s="52"/>
    </row>
    <row r="643">
      <c r="D643" s="52"/>
    </row>
    <row r="644">
      <c r="D644" s="52"/>
    </row>
    <row r="645">
      <c r="D645" s="52"/>
    </row>
    <row r="646">
      <c r="D646" s="52"/>
    </row>
    <row r="647">
      <c r="D647" s="52"/>
    </row>
    <row r="648">
      <c r="D648" s="52"/>
    </row>
    <row r="649">
      <c r="D649" s="52"/>
    </row>
    <row r="650">
      <c r="D650" s="52"/>
    </row>
    <row r="651">
      <c r="D651" s="52"/>
    </row>
    <row r="652">
      <c r="D652" s="52"/>
    </row>
    <row r="653">
      <c r="D653" s="52"/>
    </row>
    <row r="654">
      <c r="D654" s="52"/>
    </row>
    <row r="655">
      <c r="D655" s="52"/>
    </row>
    <row r="656">
      <c r="D656" s="52"/>
    </row>
    <row r="657">
      <c r="D657" s="52"/>
    </row>
    <row r="658">
      <c r="D658" s="52"/>
    </row>
    <row r="659">
      <c r="D659" s="52"/>
    </row>
    <row r="660">
      <c r="D660" s="52"/>
    </row>
    <row r="661">
      <c r="D661" s="52"/>
    </row>
    <row r="662">
      <c r="D662" s="52"/>
    </row>
    <row r="663">
      <c r="D663" s="52"/>
    </row>
    <row r="664">
      <c r="D664" s="52"/>
    </row>
    <row r="665">
      <c r="D665" s="52"/>
    </row>
    <row r="666">
      <c r="D666" s="52"/>
    </row>
    <row r="667">
      <c r="D667" s="52"/>
    </row>
    <row r="668">
      <c r="D668" s="52"/>
    </row>
    <row r="669">
      <c r="D669" s="52"/>
    </row>
    <row r="670">
      <c r="D670" s="52"/>
    </row>
    <row r="671">
      <c r="D671" s="52"/>
    </row>
    <row r="672">
      <c r="D672" s="52"/>
    </row>
    <row r="673">
      <c r="D673" s="52"/>
    </row>
    <row r="674">
      <c r="D674" s="52"/>
    </row>
    <row r="675">
      <c r="D675" s="52"/>
    </row>
    <row r="676">
      <c r="D676" s="52"/>
    </row>
    <row r="677">
      <c r="D677" s="52"/>
    </row>
    <row r="678">
      <c r="D678" s="52"/>
    </row>
    <row r="679">
      <c r="D679" s="52"/>
    </row>
    <row r="680">
      <c r="D680" s="52"/>
    </row>
    <row r="681">
      <c r="D681" s="52"/>
    </row>
    <row r="682">
      <c r="D682" s="52"/>
    </row>
    <row r="683">
      <c r="D683" s="52"/>
    </row>
    <row r="684">
      <c r="D684" s="52"/>
    </row>
    <row r="685">
      <c r="D685" s="52"/>
    </row>
    <row r="686">
      <c r="D686" s="52"/>
    </row>
    <row r="687">
      <c r="D687" s="52"/>
    </row>
    <row r="688">
      <c r="D688" s="52"/>
    </row>
    <row r="689">
      <c r="D689" s="52"/>
    </row>
    <row r="690">
      <c r="D690" s="52"/>
    </row>
    <row r="691">
      <c r="D691" s="52"/>
    </row>
    <row r="692">
      <c r="D692" s="52"/>
    </row>
    <row r="693">
      <c r="D693" s="52"/>
    </row>
    <row r="694">
      <c r="D694" s="52"/>
    </row>
    <row r="695">
      <c r="D695" s="52"/>
    </row>
    <row r="696">
      <c r="D696" s="52"/>
    </row>
    <row r="697">
      <c r="D697" s="52"/>
    </row>
    <row r="698">
      <c r="D698" s="52"/>
    </row>
    <row r="699">
      <c r="D699" s="52"/>
    </row>
    <row r="700">
      <c r="D700" s="52"/>
    </row>
    <row r="701">
      <c r="D701" s="52"/>
    </row>
    <row r="702">
      <c r="D702" s="52"/>
    </row>
    <row r="703">
      <c r="D703" s="52"/>
    </row>
    <row r="704">
      <c r="D704" s="52"/>
    </row>
    <row r="705">
      <c r="D705" s="52"/>
    </row>
    <row r="706">
      <c r="D706" s="52"/>
    </row>
    <row r="707">
      <c r="D707" s="52"/>
    </row>
    <row r="708">
      <c r="D708" s="52"/>
    </row>
    <row r="709">
      <c r="D709" s="52"/>
    </row>
    <row r="710">
      <c r="D710" s="52"/>
    </row>
    <row r="711">
      <c r="D711" s="52"/>
    </row>
    <row r="712">
      <c r="D712" s="52"/>
    </row>
    <row r="713">
      <c r="D713" s="52"/>
    </row>
    <row r="714">
      <c r="D714" s="52"/>
    </row>
    <row r="715">
      <c r="D715" s="52"/>
    </row>
    <row r="716">
      <c r="D716" s="52"/>
    </row>
    <row r="717">
      <c r="D717" s="52"/>
    </row>
    <row r="718">
      <c r="D718" s="52"/>
    </row>
    <row r="719">
      <c r="D719" s="52"/>
    </row>
    <row r="720">
      <c r="D720" s="52"/>
    </row>
    <row r="721">
      <c r="D721" s="52"/>
    </row>
    <row r="722">
      <c r="D722" s="52"/>
    </row>
    <row r="723">
      <c r="D723" s="52"/>
    </row>
    <row r="724">
      <c r="D724" s="52"/>
    </row>
    <row r="725">
      <c r="D725" s="52"/>
    </row>
    <row r="726">
      <c r="D726" s="52"/>
    </row>
    <row r="727">
      <c r="D727" s="52"/>
    </row>
    <row r="728">
      <c r="D728" s="52"/>
    </row>
    <row r="729">
      <c r="D729" s="52"/>
    </row>
    <row r="730">
      <c r="D730" s="52"/>
    </row>
    <row r="731">
      <c r="D731" s="52"/>
    </row>
    <row r="732">
      <c r="D732" s="52"/>
    </row>
    <row r="733">
      <c r="D733" s="52"/>
    </row>
    <row r="734">
      <c r="D734" s="52"/>
    </row>
    <row r="735">
      <c r="D735" s="52"/>
    </row>
    <row r="736">
      <c r="D736" s="52"/>
    </row>
    <row r="737">
      <c r="D737" s="52"/>
    </row>
    <row r="738">
      <c r="D738" s="52"/>
    </row>
    <row r="739">
      <c r="D739" s="52"/>
    </row>
    <row r="740">
      <c r="D740" s="52"/>
    </row>
    <row r="741">
      <c r="D741" s="52"/>
    </row>
    <row r="742">
      <c r="D742" s="52"/>
    </row>
    <row r="743">
      <c r="D743" s="52"/>
    </row>
    <row r="744">
      <c r="D744" s="52"/>
    </row>
    <row r="745">
      <c r="D745" s="52"/>
    </row>
    <row r="746">
      <c r="D746" s="52"/>
    </row>
    <row r="747">
      <c r="D747" s="52"/>
    </row>
    <row r="748">
      <c r="D748" s="52"/>
    </row>
    <row r="749">
      <c r="D749" s="52"/>
    </row>
    <row r="750">
      <c r="D750" s="52"/>
    </row>
    <row r="751">
      <c r="D751" s="52"/>
    </row>
    <row r="752">
      <c r="D752" s="52"/>
    </row>
    <row r="753">
      <c r="D753" s="52"/>
    </row>
    <row r="754">
      <c r="D754" s="52"/>
    </row>
    <row r="755">
      <c r="D755" s="52"/>
    </row>
    <row r="756">
      <c r="D756" s="52"/>
    </row>
    <row r="757">
      <c r="D757" s="52"/>
    </row>
    <row r="758">
      <c r="D758" s="52"/>
    </row>
    <row r="759">
      <c r="D759" s="52"/>
    </row>
    <row r="760">
      <c r="D760" s="52"/>
    </row>
    <row r="761">
      <c r="D761" s="52"/>
    </row>
    <row r="762">
      <c r="D762" s="52"/>
    </row>
    <row r="763">
      <c r="D763" s="52"/>
    </row>
    <row r="764">
      <c r="D764" s="52"/>
    </row>
    <row r="765">
      <c r="D765" s="52"/>
    </row>
    <row r="766">
      <c r="D766" s="52"/>
    </row>
    <row r="767">
      <c r="D767" s="52"/>
    </row>
    <row r="768">
      <c r="D768" s="52"/>
    </row>
    <row r="769">
      <c r="D769" s="52"/>
    </row>
    <row r="770">
      <c r="D770" s="52"/>
    </row>
    <row r="771">
      <c r="D771" s="52"/>
    </row>
    <row r="772">
      <c r="D772" s="52"/>
    </row>
    <row r="773">
      <c r="D773" s="52"/>
    </row>
    <row r="774">
      <c r="D774" s="52"/>
    </row>
    <row r="775">
      <c r="D775" s="52"/>
    </row>
    <row r="776">
      <c r="D776" s="52"/>
    </row>
    <row r="777">
      <c r="D777" s="52"/>
    </row>
    <row r="778">
      <c r="D778" s="52"/>
    </row>
    <row r="779">
      <c r="D779" s="52"/>
    </row>
    <row r="780">
      <c r="D780" s="52"/>
    </row>
    <row r="781">
      <c r="D781" s="52"/>
    </row>
    <row r="782">
      <c r="D782" s="52"/>
    </row>
    <row r="783">
      <c r="D783" s="52"/>
    </row>
    <row r="784">
      <c r="D784" s="52"/>
    </row>
    <row r="785">
      <c r="D785" s="52"/>
    </row>
    <row r="786">
      <c r="D786" s="52"/>
    </row>
    <row r="787">
      <c r="D787" s="52"/>
    </row>
    <row r="788">
      <c r="D788" s="52"/>
    </row>
    <row r="789">
      <c r="D789" s="52"/>
    </row>
    <row r="790">
      <c r="D790" s="52"/>
    </row>
    <row r="791">
      <c r="D791" s="52"/>
    </row>
    <row r="792">
      <c r="D792" s="52"/>
    </row>
    <row r="793">
      <c r="D793" s="52"/>
    </row>
    <row r="794">
      <c r="D794" s="52"/>
    </row>
    <row r="795">
      <c r="D795" s="52"/>
    </row>
    <row r="796">
      <c r="D796" s="52"/>
    </row>
    <row r="797">
      <c r="D797" s="52"/>
    </row>
    <row r="798">
      <c r="D798" s="52"/>
    </row>
    <row r="799">
      <c r="D799" s="52"/>
    </row>
    <row r="800">
      <c r="D800" s="52"/>
    </row>
    <row r="801">
      <c r="D801" s="52"/>
    </row>
    <row r="802">
      <c r="D802" s="52"/>
    </row>
    <row r="803">
      <c r="D803" s="52"/>
    </row>
    <row r="804">
      <c r="D804" s="52"/>
    </row>
    <row r="805">
      <c r="D805" s="52"/>
    </row>
    <row r="806">
      <c r="D806" s="52"/>
    </row>
    <row r="807">
      <c r="D807" s="52"/>
    </row>
    <row r="808">
      <c r="D808" s="52"/>
    </row>
    <row r="809">
      <c r="D809" s="52"/>
    </row>
    <row r="810">
      <c r="D810" s="52"/>
    </row>
    <row r="811">
      <c r="D811" s="52"/>
    </row>
    <row r="812">
      <c r="D812" s="52"/>
    </row>
    <row r="813">
      <c r="D813" s="52"/>
    </row>
    <row r="814">
      <c r="D814" s="52"/>
    </row>
    <row r="815">
      <c r="D815" s="52"/>
    </row>
    <row r="816">
      <c r="D816" s="52"/>
    </row>
    <row r="817">
      <c r="D817" s="52"/>
    </row>
    <row r="818">
      <c r="D818" s="52"/>
    </row>
    <row r="819">
      <c r="D819" s="52"/>
    </row>
    <row r="820">
      <c r="D820" s="52"/>
    </row>
    <row r="821">
      <c r="D821" s="52"/>
    </row>
    <row r="822">
      <c r="D822" s="52"/>
    </row>
    <row r="823">
      <c r="D823" s="52"/>
    </row>
    <row r="824">
      <c r="D824" s="52"/>
    </row>
    <row r="825">
      <c r="D825" s="52"/>
    </row>
    <row r="826">
      <c r="D826" s="52"/>
    </row>
    <row r="827">
      <c r="D827" s="52"/>
    </row>
    <row r="828">
      <c r="D828" s="52"/>
    </row>
    <row r="829">
      <c r="D829" s="52"/>
    </row>
    <row r="830">
      <c r="D830" s="52"/>
    </row>
    <row r="831">
      <c r="D831" s="52"/>
    </row>
    <row r="832">
      <c r="D832" s="52"/>
    </row>
    <row r="833">
      <c r="D833" s="52"/>
    </row>
    <row r="834">
      <c r="D834" s="52"/>
    </row>
    <row r="835">
      <c r="D835" s="52"/>
    </row>
    <row r="836">
      <c r="D836" s="52"/>
    </row>
    <row r="837">
      <c r="D837" s="52"/>
    </row>
    <row r="838">
      <c r="D838" s="52"/>
    </row>
    <row r="839">
      <c r="D839" s="52"/>
    </row>
    <row r="840">
      <c r="D840" s="52"/>
    </row>
    <row r="841">
      <c r="D841" s="52"/>
    </row>
    <row r="842">
      <c r="D842" s="52"/>
    </row>
    <row r="843">
      <c r="D843" s="52"/>
    </row>
  </sheetData>
  <mergeCells count="7">
    <mergeCell ref="A1:F1"/>
    <mergeCell ref="A2:A3"/>
    <mergeCell ref="B2:B3"/>
    <mergeCell ref="C2:C3"/>
    <mergeCell ref="D2:D3"/>
    <mergeCell ref="E2:F2"/>
    <mergeCell ref="A7:E7"/>
  </mergeCells>
  <dataValidations>
    <dataValidation type="list" allowBlank="1" sqref="H4">
      <formula1>"CHECKED (OK),CHECKED  (NOT OK)"</formula1>
    </dataValidation>
  </dataValidations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3" max="3" width="26.75"/>
    <col customWidth="1" min="4" max="4" width="33.25"/>
    <col customWidth="1" min="7" max="7" width="3.5"/>
    <col customWidth="1" min="8" max="8" width="18.63"/>
    <col customWidth="1" min="9" max="9" width="21.63"/>
  </cols>
  <sheetData>
    <row r="1">
      <c r="A1" s="30" t="s">
        <v>1094</v>
      </c>
      <c r="G1" s="31"/>
      <c r="H1" s="32" t="s">
        <v>1095</v>
      </c>
      <c r="I1" s="33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4" t="s">
        <v>1</v>
      </c>
      <c r="B2" s="35" t="s">
        <v>11</v>
      </c>
      <c r="C2" s="35" t="s">
        <v>12</v>
      </c>
      <c r="D2" s="36" t="s">
        <v>13</v>
      </c>
      <c r="E2" s="37" t="s">
        <v>14</v>
      </c>
      <c r="F2" s="38"/>
      <c r="G2" s="39"/>
      <c r="H2" s="40"/>
      <c r="I2" s="40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41"/>
      <c r="B3" s="38"/>
      <c r="C3" s="38"/>
      <c r="D3" s="38"/>
      <c r="E3" s="42" t="s">
        <v>15</v>
      </c>
      <c r="F3" s="43" t="s">
        <v>5</v>
      </c>
      <c r="G3" s="39"/>
      <c r="H3" s="44" t="s">
        <v>6</v>
      </c>
      <c r="I3" s="45" t="s">
        <v>7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24.75" customHeight="1">
      <c r="A4" s="46"/>
      <c r="B4" s="47"/>
      <c r="C4" s="48" t="str">
        <f>vlookup(B4,'Crew Data'!C:G,5,0)</f>
        <v>#N/A</v>
      </c>
      <c r="D4" s="49"/>
      <c r="E4" s="47"/>
      <c r="F4" s="50">
        <f>E4*400</f>
        <v>0</v>
      </c>
      <c r="G4" s="22">
        <f>COUNTIF(B:B,B4)</f>
        <v>0</v>
      </c>
      <c r="H4" s="5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D5" s="52"/>
    </row>
    <row r="6">
      <c r="D6" s="52"/>
    </row>
    <row r="7" ht="44.25" customHeight="1">
      <c r="A7" s="53" t="s">
        <v>16</v>
      </c>
    </row>
    <row r="8">
      <c r="D8" s="52"/>
    </row>
    <row r="9">
      <c r="D9" s="52"/>
    </row>
    <row r="10">
      <c r="D10" s="52"/>
    </row>
    <row r="11">
      <c r="D11" s="52"/>
    </row>
    <row r="12">
      <c r="D12" s="52"/>
    </row>
    <row r="13">
      <c r="D13" s="52"/>
    </row>
    <row r="14">
      <c r="D14" s="52"/>
    </row>
    <row r="15">
      <c r="D15" s="52"/>
    </row>
    <row r="16">
      <c r="D16" s="52"/>
    </row>
    <row r="17">
      <c r="D17" s="52"/>
    </row>
    <row r="18">
      <c r="D18" s="52"/>
    </row>
    <row r="19">
      <c r="D19" s="52"/>
    </row>
    <row r="20">
      <c r="D20" s="52"/>
    </row>
    <row r="21">
      <c r="D21" s="52"/>
    </row>
    <row r="22">
      <c r="D22" s="52"/>
    </row>
    <row r="23">
      <c r="D23" s="52"/>
    </row>
    <row r="24">
      <c r="D24" s="52"/>
    </row>
    <row r="25">
      <c r="D25" s="52"/>
    </row>
    <row r="26">
      <c r="D26" s="52"/>
    </row>
    <row r="27">
      <c r="D27" s="52"/>
    </row>
    <row r="28">
      <c r="D28" s="52"/>
    </row>
    <row r="29">
      <c r="D29" s="52"/>
    </row>
    <row r="30">
      <c r="D30" s="52"/>
    </row>
    <row r="31">
      <c r="D31" s="52"/>
    </row>
    <row r="32">
      <c r="D32" s="52"/>
    </row>
    <row r="33">
      <c r="D33" s="52"/>
    </row>
    <row r="34">
      <c r="D34" s="52"/>
    </row>
    <row r="35">
      <c r="D35" s="52"/>
    </row>
    <row r="36">
      <c r="D36" s="52"/>
    </row>
    <row r="37">
      <c r="D37" s="52"/>
    </row>
    <row r="38">
      <c r="D38" s="52"/>
    </row>
    <row r="39">
      <c r="D39" s="52"/>
    </row>
    <row r="40">
      <c r="D40" s="52"/>
    </row>
    <row r="41">
      <c r="D41" s="52"/>
    </row>
    <row r="42">
      <c r="D42" s="52"/>
    </row>
    <row r="43">
      <c r="D43" s="52"/>
    </row>
    <row r="44">
      <c r="D44" s="52"/>
    </row>
    <row r="45">
      <c r="D45" s="52"/>
    </row>
    <row r="46">
      <c r="D46" s="52"/>
    </row>
    <row r="47">
      <c r="D47" s="52"/>
    </row>
    <row r="48">
      <c r="D48" s="52"/>
    </row>
    <row r="49">
      <c r="D49" s="52"/>
    </row>
    <row r="50">
      <c r="D50" s="52"/>
    </row>
    <row r="51">
      <c r="D51" s="52"/>
    </row>
    <row r="52">
      <c r="D52" s="52"/>
    </row>
    <row r="53">
      <c r="D53" s="52"/>
    </row>
    <row r="54">
      <c r="D54" s="52"/>
    </row>
    <row r="55">
      <c r="D55" s="52"/>
    </row>
    <row r="56">
      <c r="D56" s="52"/>
    </row>
    <row r="57">
      <c r="D57" s="52"/>
    </row>
    <row r="58">
      <c r="D58" s="52"/>
    </row>
    <row r="59">
      <c r="D59" s="52"/>
    </row>
    <row r="60">
      <c r="D60" s="52"/>
    </row>
    <row r="61">
      <c r="D61" s="52"/>
    </row>
    <row r="62">
      <c r="D62" s="52"/>
    </row>
    <row r="63">
      <c r="D63" s="52"/>
    </row>
    <row r="64">
      <c r="D64" s="52"/>
    </row>
    <row r="65">
      <c r="D65" s="52"/>
    </row>
    <row r="66">
      <c r="D66" s="52"/>
    </row>
    <row r="67">
      <c r="D67" s="52"/>
    </row>
    <row r="68">
      <c r="D68" s="52"/>
    </row>
    <row r="69">
      <c r="D69" s="52"/>
    </row>
    <row r="70">
      <c r="D70" s="52"/>
    </row>
    <row r="71">
      <c r="D71" s="52"/>
    </row>
    <row r="72">
      <c r="D72" s="52"/>
    </row>
    <row r="73">
      <c r="D73" s="52"/>
    </row>
    <row r="74">
      <c r="D74" s="52"/>
    </row>
    <row r="75">
      <c r="D75" s="52"/>
    </row>
    <row r="76">
      <c r="D76" s="52"/>
    </row>
    <row r="77">
      <c r="D77" s="52"/>
    </row>
    <row r="78">
      <c r="D78" s="52"/>
    </row>
    <row r="79">
      <c r="D79" s="52"/>
    </row>
    <row r="80">
      <c r="D80" s="52"/>
    </row>
    <row r="81">
      <c r="D81" s="52"/>
    </row>
    <row r="82">
      <c r="D82" s="52"/>
    </row>
    <row r="83">
      <c r="D83" s="52"/>
    </row>
    <row r="84">
      <c r="D84" s="52"/>
    </row>
    <row r="85">
      <c r="D85" s="52"/>
    </row>
    <row r="86">
      <c r="D86" s="52"/>
    </row>
    <row r="87">
      <c r="D87" s="52"/>
    </row>
    <row r="88">
      <c r="D88" s="52"/>
    </row>
    <row r="89">
      <c r="D89" s="52"/>
    </row>
    <row r="90">
      <c r="D90" s="52"/>
    </row>
    <row r="91">
      <c r="D91" s="52"/>
    </row>
    <row r="92">
      <c r="D92" s="52"/>
    </row>
    <row r="93">
      <c r="D93" s="52"/>
    </row>
    <row r="94">
      <c r="D94" s="52"/>
    </row>
    <row r="95">
      <c r="D95" s="52"/>
    </row>
    <row r="96">
      <c r="D96" s="52"/>
    </row>
    <row r="97">
      <c r="D97" s="52"/>
    </row>
    <row r="98">
      <c r="D98" s="52"/>
    </row>
    <row r="99">
      <c r="D99" s="52"/>
    </row>
    <row r="100">
      <c r="D100" s="52"/>
    </row>
    <row r="101">
      <c r="D101" s="52"/>
    </row>
    <row r="102">
      <c r="D102" s="52"/>
    </row>
    <row r="103">
      <c r="D103" s="52"/>
    </row>
    <row r="104">
      <c r="D104" s="52"/>
    </row>
    <row r="105">
      <c r="D105" s="52"/>
    </row>
    <row r="106">
      <c r="D106" s="52"/>
    </row>
    <row r="107">
      <c r="D107" s="52"/>
    </row>
    <row r="108">
      <c r="D108" s="52"/>
    </row>
    <row r="109">
      <c r="D109" s="52"/>
    </row>
    <row r="110">
      <c r="D110" s="52"/>
    </row>
    <row r="111">
      <c r="D111" s="52"/>
    </row>
    <row r="112">
      <c r="D112" s="52"/>
    </row>
    <row r="113">
      <c r="D113" s="52"/>
    </row>
    <row r="114">
      <c r="D114" s="52"/>
    </row>
    <row r="115">
      <c r="D115" s="52"/>
    </row>
    <row r="116">
      <c r="D116" s="52"/>
    </row>
    <row r="117">
      <c r="D117" s="52"/>
    </row>
    <row r="118">
      <c r="D118" s="52"/>
    </row>
    <row r="119">
      <c r="D119" s="52"/>
    </row>
    <row r="120">
      <c r="D120" s="52"/>
    </row>
    <row r="121">
      <c r="D121" s="52"/>
    </row>
    <row r="122">
      <c r="D122" s="52"/>
    </row>
    <row r="123">
      <c r="D123" s="52"/>
    </row>
    <row r="124">
      <c r="D124" s="52"/>
    </row>
    <row r="125">
      <c r="D125" s="52"/>
    </row>
    <row r="126">
      <c r="D126" s="52"/>
    </row>
    <row r="127">
      <c r="D127" s="52"/>
    </row>
    <row r="128">
      <c r="D128" s="52"/>
    </row>
    <row r="129">
      <c r="D129" s="52"/>
    </row>
    <row r="130">
      <c r="D130" s="52"/>
    </row>
    <row r="131">
      <c r="D131" s="52"/>
    </row>
    <row r="132">
      <c r="D132" s="52"/>
    </row>
    <row r="133">
      <c r="D133" s="52"/>
    </row>
    <row r="134">
      <c r="D134" s="52"/>
    </row>
    <row r="135">
      <c r="D135" s="52"/>
    </row>
    <row r="136">
      <c r="D136" s="52"/>
    </row>
    <row r="137">
      <c r="D137" s="52"/>
    </row>
    <row r="138">
      <c r="D138" s="52"/>
    </row>
    <row r="139">
      <c r="D139" s="52"/>
    </row>
    <row r="140">
      <c r="D140" s="52"/>
    </row>
    <row r="141">
      <c r="D141" s="52"/>
    </row>
    <row r="142">
      <c r="D142" s="52"/>
    </row>
    <row r="143">
      <c r="D143" s="52"/>
    </row>
    <row r="144">
      <c r="D144" s="52"/>
    </row>
    <row r="145">
      <c r="D145" s="52"/>
    </row>
    <row r="146">
      <c r="D146" s="52"/>
    </row>
    <row r="147">
      <c r="D147" s="52"/>
    </row>
    <row r="148">
      <c r="D148" s="52"/>
    </row>
    <row r="149">
      <c r="D149" s="52"/>
    </row>
    <row r="150">
      <c r="D150" s="52"/>
    </row>
    <row r="151">
      <c r="D151" s="52"/>
    </row>
    <row r="152">
      <c r="D152" s="52"/>
    </row>
    <row r="153">
      <c r="D153" s="52"/>
    </row>
    <row r="154">
      <c r="D154" s="52"/>
    </row>
    <row r="155">
      <c r="D155" s="52"/>
    </row>
    <row r="156">
      <c r="D156" s="52"/>
    </row>
    <row r="157">
      <c r="D157" s="52"/>
    </row>
    <row r="158">
      <c r="D158" s="52"/>
    </row>
    <row r="159">
      <c r="D159" s="52"/>
    </row>
    <row r="160">
      <c r="D160" s="52"/>
    </row>
    <row r="161">
      <c r="D161" s="52"/>
    </row>
    <row r="162">
      <c r="D162" s="52"/>
    </row>
    <row r="163">
      <c r="D163" s="52"/>
    </row>
    <row r="164">
      <c r="D164" s="52"/>
    </row>
    <row r="165">
      <c r="D165" s="52"/>
    </row>
    <row r="166">
      <c r="D166" s="52"/>
    </row>
    <row r="167">
      <c r="D167" s="52"/>
    </row>
    <row r="168">
      <c r="D168" s="52"/>
    </row>
    <row r="169">
      <c r="D169" s="52"/>
    </row>
    <row r="170">
      <c r="D170" s="52"/>
    </row>
    <row r="171">
      <c r="D171" s="52"/>
    </row>
    <row r="172">
      <c r="D172" s="52"/>
    </row>
    <row r="173">
      <c r="D173" s="52"/>
    </row>
    <row r="174">
      <c r="D174" s="52"/>
    </row>
    <row r="175">
      <c r="D175" s="52"/>
    </row>
    <row r="176">
      <c r="D176" s="52"/>
    </row>
    <row r="177">
      <c r="D177" s="52"/>
    </row>
    <row r="178">
      <c r="D178" s="52"/>
    </row>
    <row r="179">
      <c r="D179" s="52"/>
    </row>
    <row r="180">
      <c r="D180" s="52"/>
    </row>
    <row r="181">
      <c r="D181" s="52"/>
    </row>
    <row r="182">
      <c r="D182" s="52"/>
    </row>
    <row r="183">
      <c r="D183" s="52"/>
    </row>
    <row r="184">
      <c r="D184" s="52"/>
    </row>
    <row r="185">
      <c r="D185" s="52"/>
    </row>
    <row r="186">
      <c r="D186" s="52"/>
    </row>
    <row r="187">
      <c r="D187" s="52"/>
    </row>
    <row r="188">
      <c r="D188" s="52"/>
    </row>
    <row r="189">
      <c r="D189" s="52"/>
    </row>
    <row r="190">
      <c r="D190" s="52"/>
    </row>
    <row r="191">
      <c r="D191" s="52"/>
    </row>
    <row r="192">
      <c r="D192" s="52"/>
    </row>
    <row r="193">
      <c r="D193" s="52"/>
    </row>
    <row r="194">
      <c r="D194" s="52"/>
    </row>
    <row r="195">
      <c r="D195" s="52"/>
    </row>
    <row r="196">
      <c r="D196" s="52"/>
    </row>
    <row r="197">
      <c r="D197" s="52"/>
    </row>
    <row r="198">
      <c r="D198" s="52"/>
    </row>
    <row r="199">
      <c r="D199" s="52"/>
    </row>
    <row r="200">
      <c r="D200" s="52"/>
    </row>
    <row r="201">
      <c r="D201" s="52"/>
    </row>
    <row r="202">
      <c r="D202" s="52"/>
    </row>
    <row r="203">
      <c r="D203" s="52"/>
    </row>
    <row r="204">
      <c r="D204" s="52"/>
    </row>
    <row r="205">
      <c r="D205" s="52"/>
    </row>
    <row r="206">
      <c r="D206" s="52"/>
    </row>
    <row r="207">
      <c r="D207" s="52"/>
    </row>
    <row r="208">
      <c r="D208" s="52"/>
    </row>
    <row r="209">
      <c r="D209" s="52"/>
    </row>
    <row r="210">
      <c r="D210" s="52"/>
    </row>
    <row r="211">
      <c r="D211" s="52"/>
    </row>
    <row r="212">
      <c r="D212" s="52"/>
    </row>
    <row r="213">
      <c r="D213" s="52"/>
    </row>
    <row r="214">
      <c r="D214" s="52"/>
    </row>
    <row r="215">
      <c r="D215" s="52"/>
    </row>
    <row r="216">
      <c r="D216" s="52"/>
    </row>
    <row r="217">
      <c r="D217" s="52"/>
    </row>
    <row r="218">
      <c r="D218" s="52"/>
    </row>
    <row r="219">
      <c r="D219" s="52"/>
    </row>
    <row r="220">
      <c r="D220" s="52"/>
    </row>
    <row r="221">
      <c r="D221" s="52"/>
    </row>
    <row r="222">
      <c r="D222" s="52"/>
    </row>
    <row r="223">
      <c r="D223" s="52"/>
    </row>
    <row r="224">
      <c r="D224" s="52"/>
    </row>
    <row r="225">
      <c r="D225" s="52"/>
    </row>
    <row r="226">
      <c r="D226" s="52"/>
    </row>
    <row r="227">
      <c r="D227" s="52"/>
    </row>
    <row r="228">
      <c r="D228" s="52"/>
    </row>
    <row r="229">
      <c r="D229" s="52"/>
    </row>
    <row r="230">
      <c r="D230" s="52"/>
    </row>
    <row r="231">
      <c r="D231" s="52"/>
    </row>
    <row r="232">
      <c r="D232" s="52"/>
    </row>
    <row r="233">
      <c r="D233" s="52"/>
    </row>
    <row r="234">
      <c r="D234" s="52"/>
    </row>
    <row r="235">
      <c r="D235" s="52"/>
    </row>
    <row r="236">
      <c r="D236" s="52"/>
    </row>
    <row r="237">
      <c r="D237" s="52"/>
    </row>
    <row r="238">
      <c r="D238" s="52"/>
    </row>
    <row r="239">
      <c r="D239" s="52"/>
    </row>
    <row r="240">
      <c r="D240" s="52"/>
    </row>
    <row r="241">
      <c r="D241" s="52"/>
    </row>
    <row r="242">
      <c r="D242" s="52"/>
    </row>
    <row r="243">
      <c r="D243" s="52"/>
    </row>
    <row r="244">
      <c r="D244" s="52"/>
    </row>
    <row r="245">
      <c r="D245" s="52"/>
    </row>
    <row r="246">
      <c r="D246" s="52"/>
    </row>
    <row r="247">
      <c r="D247" s="52"/>
    </row>
    <row r="248">
      <c r="D248" s="52"/>
    </row>
    <row r="249">
      <c r="D249" s="52"/>
    </row>
    <row r="250">
      <c r="D250" s="52"/>
    </row>
    <row r="251">
      <c r="D251" s="52"/>
    </row>
    <row r="252">
      <c r="D252" s="52"/>
    </row>
    <row r="253">
      <c r="D253" s="52"/>
    </row>
    <row r="254">
      <c r="D254" s="52"/>
    </row>
    <row r="255">
      <c r="D255" s="52"/>
    </row>
    <row r="256">
      <c r="D256" s="52"/>
    </row>
    <row r="257">
      <c r="D257" s="52"/>
    </row>
    <row r="258">
      <c r="D258" s="52"/>
    </row>
    <row r="259">
      <c r="D259" s="52"/>
    </row>
    <row r="260">
      <c r="D260" s="52"/>
    </row>
    <row r="261">
      <c r="D261" s="52"/>
    </row>
    <row r="262">
      <c r="D262" s="52"/>
    </row>
    <row r="263">
      <c r="D263" s="52"/>
    </row>
    <row r="264">
      <c r="D264" s="52"/>
    </row>
    <row r="265">
      <c r="D265" s="52"/>
    </row>
    <row r="266">
      <c r="D266" s="52"/>
    </row>
    <row r="267">
      <c r="D267" s="52"/>
    </row>
    <row r="268">
      <c r="D268" s="52"/>
    </row>
    <row r="269">
      <c r="D269" s="52"/>
    </row>
    <row r="270">
      <c r="D270" s="52"/>
    </row>
    <row r="271">
      <c r="D271" s="52"/>
    </row>
    <row r="272">
      <c r="D272" s="52"/>
    </row>
    <row r="273">
      <c r="D273" s="52"/>
    </row>
    <row r="274">
      <c r="D274" s="52"/>
    </row>
    <row r="275">
      <c r="D275" s="52"/>
    </row>
    <row r="276">
      <c r="D276" s="52"/>
    </row>
    <row r="277">
      <c r="D277" s="52"/>
    </row>
    <row r="278">
      <c r="D278" s="52"/>
    </row>
    <row r="279">
      <c r="D279" s="52"/>
    </row>
    <row r="280">
      <c r="D280" s="52"/>
    </row>
    <row r="281">
      <c r="D281" s="52"/>
    </row>
    <row r="282">
      <c r="D282" s="52"/>
    </row>
    <row r="283">
      <c r="D283" s="52"/>
    </row>
    <row r="284">
      <c r="D284" s="52"/>
    </row>
    <row r="285">
      <c r="D285" s="52"/>
    </row>
    <row r="286">
      <c r="D286" s="52"/>
    </row>
    <row r="287">
      <c r="D287" s="52"/>
    </row>
    <row r="288">
      <c r="D288" s="52"/>
    </row>
    <row r="289">
      <c r="D289" s="52"/>
    </row>
    <row r="290">
      <c r="D290" s="52"/>
    </row>
    <row r="291">
      <c r="D291" s="52"/>
    </row>
    <row r="292">
      <c r="D292" s="52"/>
    </row>
    <row r="293">
      <c r="D293" s="52"/>
    </row>
    <row r="294">
      <c r="D294" s="52"/>
    </row>
    <row r="295">
      <c r="D295" s="52"/>
    </row>
    <row r="296">
      <c r="D296" s="52"/>
    </row>
    <row r="297">
      <c r="D297" s="52"/>
    </row>
    <row r="298">
      <c r="D298" s="52"/>
    </row>
    <row r="299">
      <c r="D299" s="52"/>
    </row>
    <row r="300">
      <c r="D300" s="52"/>
    </row>
    <row r="301">
      <c r="D301" s="52"/>
    </row>
    <row r="302">
      <c r="D302" s="52"/>
    </row>
    <row r="303">
      <c r="D303" s="52"/>
    </row>
    <row r="304">
      <c r="D304" s="52"/>
    </row>
    <row r="305">
      <c r="D305" s="52"/>
    </row>
    <row r="306">
      <c r="D306" s="52"/>
    </row>
    <row r="307">
      <c r="D307" s="52"/>
    </row>
    <row r="308">
      <c r="D308" s="52"/>
    </row>
    <row r="309">
      <c r="D309" s="52"/>
    </row>
    <row r="310">
      <c r="D310" s="52"/>
    </row>
    <row r="311">
      <c r="D311" s="52"/>
    </row>
    <row r="312">
      <c r="D312" s="52"/>
    </row>
    <row r="313">
      <c r="D313" s="52"/>
    </row>
    <row r="314">
      <c r="D314" s="52"/>
    </row>
    <row r="315">
      <c r="D315" s="52"/>
    </row>
    <row r="316">
      <c r="D316" s="52"/>
    </row>
    <row r="317">
      <c r="D317" s="52"/>
    </row>
    <row r="318">
      <c r="D318" s="52"/>
    </row>
    <row r="319">
      <c r="D319" s="52"/>
    </row>
    <row r="320">
      <c r="D320" s="52"/>
    </row>
    <row r="321">
      <c r="D321" s="52"/>
    </row>
    <row r="322">
      <c r="D322" s="52"/>
    </row>
    <row r="323">
      <c r="D323" s="52"/>
    </row>
    <row r="324">
      <c r="D324" s="52"/>
    </row>
    <row r="325">
      <c r="D325" s="52"/>
    </row>
    <row r="326">
      <c r="D326" s="52"/>
    </row>
    <row r="327">
      <c r="D327" s="52"/>
    </row>
    <row r="328">
      <c r="D328" s="52"/>
    </row>
    <row r="329">
      <c r="D329" s="52"/>
    </row>
    <row r="330">
      <c r="D330" s="52"/>
    </row>
    <row r="331">
      <c r="D331" s="52"/>
    </row>
    <row r="332">
      <c r="D332" s="52"/>
    </row>
    <row r="333">
      <c r="D333" s="52"/>
    </row>
    <row r="334">
      <c r="D334" s="52"/>
    </row>
    <row r="335">
      <c r="D335" s="52"/>
    </row>
    <row r="336">
      <c r="D336" s="52"/>
    </row>
    <row r="337">
      <c r="D337" s="52"/>
    </row>
    <row r="338">
      <c r="D338" s="52"/>
    </row>
    <row r="339">
      <c r="D339" s="52"/>
    </row>
    <row r="340">
      <c r="D340" s="52"/>
    </row>
    <row r="341">
      <c r="D341" s="52"/>
    </row>
    <row r="342">
      <c r="D342" s="52"/>
    </row>
    <row r="343">
      <c r="D343" s="52"/>
    </row>
    <row r="344">
      <c r="D344" s="52"/>
    </row>
    <row r="345">
      <c r="D345" s="52"/>
    </row>
    <row r="346">
      <c r="D346" s="52"/>
    </row>
    <row r="347">
      <c r="D347" s="52"/>
    </row>
    <row r="348">
      <c r="D348" s="52"/>
    </row>
    <row r="349">
      <c r="D349" s="52"/>
    </row>
    <row r="350">
      <c r="D350" s="52"/>
    </row>
    <row r="351">
      <c r="D351" s="52"/>
    </row>
    <row r="352">
      <c r="D352" s="52"/>
    </row>
    <row r="353">
      <c r="D353" s="52"/>
    </row>
    <row r="354">
      <c r="D354" s="52"/>
    </row>
    <row r="355">
      <c r="D355" s="52"/>
    </row>
    <row r="356">
      <c r="D356" s="52"/>
    </row>
    <row r="357">
      <c r="D357" s="52"/>
    </row>
    <row r="358">
      <c r="D358" s="52"/>
    </row>
    <row r="359">
      <c r="D359" s="52"/>
    </row>
    <row r="360">
      <c r="D360" s="52"/>
    </row>
    <row r="361">
      <c r="D361" s="52"/>
    </row>
    <row r="362">
      <c r="D362" s="52"/>
    </row>
    <row r="363">
      <c r="D363" s="52"/>
    </row>
    <row r="364">
      <c r="D364" s="52"/>
    </row>
    <row r="365">
      <c r="D365" s="52"/>
    </row>
    <row r="366">
      <c r="D366" s="52"/>
    </row>
    <row r="367">
      <c r="D367" s="52"/>
    </row>
    <row r="368">
      <c r="D368" s="52"/>
    </row>
    <row r="369">
      <c r="D369" s="52"/>
    </row>
    <row r="370">
      <c r="D370" s="52"/>
    </row>
    <row r="371">
      <c r="D371" s="52"/>
    </row>
    <row r="372">
      <c r="D372" s="52"/>
    </row>
    <row r="373">
      <c r="D373" s="52"/>
    </row>
    <row r="374">
      <c r="D374" s="52"/>
    </row>
    <row r="375">
      <c r="D375" s="52"/>
    </row>
    <row r="376">
      <c r="D376" s="52"/>
    </row>
    <row r="377">
      <c r="D377" s="52"/>
    </row>
    <row r="378">
      <c r="D378" s="52"/>
    </row>
    <row r="379">
      <c r="D379" s="52"/>
    </row>
    <row r="380">
      <c r="D380" s="52"/>
    </row>
    <row r="381">
      <c r="D381" s="52"/>
    </row>
    <row r="382">
      <c r="D382" s="52"/>
    </row>
    <row r="383">
      <c r="D383" s="52"/>
    </row>
    <row r="384">
      <c r="D384" s="52"/>
    </row>
    <row r="385">
      <c r="D385" s="52"/>
    </row>
    <row r="386">
      <c r="D386" s="52"/>
    </row>
    <row r="387">
      <c r="D387" s="52"/>
    </row>
    <row r="388">
      <c r="D388" s="52"/>
    </row>
    <row r="389">
      <c r="D389" s="52"/>
    </row>
    <row r="390">
      <c r="D390" s="52"/>
    </row>
    <row r="391">
      <c r="D391" s="52"/>
    </row>
    <row r="392">
      <c r="D392" s="52"/>
    </row>
    <row r="393">
      <c r="D393" s="52"/>
    </row>
    <row r="394">
      <c r="D394" s="52"/>
    </row>
    <row r="395">
      <c r="D395" s="52"/>
    </row>
    <row r="396">
      <c r="D396" s="52"/>
    </row>
    <row r="397">
      <c r="D397" s="52"/>
    </row>
    <row r="398">
      <c r="D398" s="52"/>
    </row>
    <row r="399">
      <c r="D399" s="52"/>
    </row>
    <row r="400">
      <c r="D400" s="52"/>
    </row>
    <row r="401">
      <c r="D401" s="52"/>
    </row>
    <row r="402">
      <c r="D402" s="52"/>
    </row>
    <row r="403">
      <c r="D403" s="52"/>
    </row>
    <row r="404">
      <c r="D404" s="52"/>
    </row>
    <row r="405">
      <c r="D405" s="52"/>
    </row>
    <row r="406">
      <c r="D406" s="52"/>
    </row>
    <row r="407">
      <c r="D407" s="52"/>
    </row>
    <row r="408">
      <c r="D408" s="52"/>
    </row>
    <row r="409">
      <c r="D409" s="52"/>
    </row>
    <row r="410">
      <c r="D410" s="52"/>
    </row>
    <row r="411">
      <c r="D411" s="52"/>
    </row>
    <row r="412">
      <c r="D412" s="52"/>
    </row>
    <row r="413">
      <c r="D413" s="52"/>
    </row>
    <row r="414">
      <c r="D414" s="52"/>
    </row>
    <row r="415">
      <c r="D415" s="52"/>
    </row>
    <row r="416">
      <c r="D416" s="52"/>
    </row>
    <row r="417">
      <c r="D417" s="52"/>
    </row>
    <row r="418">
      <c r="D418" s="52"/>
    </row>
    <row r="419">
      <c r="D419" s="52"/>
    </row>
    <row r="420">
      <c r="D420" s="52"/>
    </row>
    <row r="421">
      <c r="D421" s="52"/>
    </row>
    <row r="422">
      <c r="D422" s="52"/>
    </row>
    <row r="423">
      <c r="D423" s="52"/>
    </row>
    <row r="424">
      <c r="D424" s="52"/>
    </row>
    <row r="425">
      <c r="D425" s="52"/>
    </row>
    <row r="426">
      <c r="D426" s="52"/>
    </row>
    <row r="427">
      <c r="D427" s="52"/>
    </row>
    <row r="428">
      <c r="D428" s="52"/>
    </row>
    <row r="429">
      <c r="D429" s="52"/>
    </row>
    <row r="430">
      <c r="D430" s="52"/>
    </row>
    <row r="431">
      <c r="D431" s="52"/>
    </row>
    <row r="432">
      <c r="D432" s="52"/>
    </row>
    <row r="433">
      <c r="D433" s="52"/>
    </row>
    <row r="434">
      <c r="D434" s="52"/>
    </row>
    <row r="435">
      <c r="D435" s="52"/>
    </row>
    <row r="436">
      <c r="D436" s="52"/>
    </row>
    <row r="437">
      <c r="D437" s="52"/>
    </row>
    <row r="438">
      <c r="D438" s="52"/>
    </row>
    <row r="439">
      <c r="D439" s="52"/>
    </row>
    <row r="440">
      <c r="D440" s="52"/>
    </row>
    <row r="441">
      <c r="D441" s="52"/>
    </row>
    <row r="442">
      <c r="D442" s="52"/>
    </row>
    <row r="443">
      <c r="D443" s="52"/>
    </row>
    <row r="444">
      <c r="D444" s="52"/>
    </row>
    <row r="445">
      <c r="D445" s="52"/>
    </row>
    <row r="446">
      <c r="D446" s="52"/>
    </row>
    <row r="447">
      <c r="D447" s="52"/>
    </row>
    <row r="448">
      <c r="D448" s="52"/>
    </row>
    <row r="449">
      <c r="D449" s="52"/>
    </row>
    <row r="450">
      <c r="D450" s="52"/>
    </row>
    <row r="451">
      <c r="D451" s="52"/>
    </row>
    <row r="452">
      <c r="D452" s="52"/>
    </row>
    <row r="453">
      <c r="D453" s="52"/>
    </row>
    <row r="454">
      <c r="D454" s="52"/>
    </row>
    <row r="455">
      <c r="D455" s="52"/>
    </row>
    <row r="456">
      <c r="D456" s="52"/>
    </row>
    <row r="457">
      <c r="D457" s="52"/>
    </row>
    <row r="458">
      <c r="D458" s="52"/>
    </row>
    <row r="459">
      <c r="D459" s="52"/>
    </row>
    <row r="460">
      <c r="D460" s="52"/>
    </row>
    <row r="461">
      <c r="D461" s="52"/>
    </row>
    <row r="462">
      <c r="D462" s="52"/>
    </row>
    <row r="463">
      <c r="D463" s="52"/>
    </row>
    <row r="464">
      <c r="D464" s="52"/>
    </row>
    <row r="465">
      <c r="D465" s="52"/>
    </row>
    <row r="466">
      <c r="D466" s="52"/>
    </row>
    <row r="467">
      <c r="D467" s="52"/>
    </row>
    <row r="468">
      <c r="D468" s="52"/>
    </row>
    <row r="469">
      <c r="D469" s="52"/>
    </row>
    <row r="470">
      <c r="D470" s="52"/>
    </row>
    <row r="471">
      <c r="D471" s="52"/>
    </row>
    <row r="472">
      <c r="D472" s="52"/>
    </row>
    <row r="473">
      <c r="D473" s="52"/>
    </row>
    <row r="474">
      <c r="D474" s="52"/>
    </row>
    <row r="475">
      <c r="D475" s="52"/>
    </row>
    <row r="476">
      <c r="D476" s="52"/>
    </row>
    <row r="477">
      <c r="D477" s="52"/>
    </row>
    <row r="478">
      <c r="D478" s="52"/>
    </row>
    <row r="479">
      <c r="D479" s="52"/>
    </row>
    <row r="480">
      <c r="D480" s="52"/>
    </row>
    <row r="481">
      <c r="D481" s="52"/>
    </row>
    <row r="482">
      <c r="D482" s="52"/>
    </row>
    <row r="483">
      <c r="D483" s="52"/>
    </row>
    <row r="484">
      <c r="D484" s="52"/>
    </row>
    <row r="485">
      <c r="D485" s="52"/>
    </row>
    <row r="486">
      <c r="D486" s="52"/>
    </row>
    <row r="487">
      <c r="D487" s="52"/>
    </row>
    <row r="488">
      <c r="D488" s="52"/>
    </row>
    <row r="489">
      <c r="D489" s="52"/>
    </row>
    <row r="490">
      <c r="D490" s="52"/>
    </row>
    <row r="491">
      <c r="D491" s="52"/>
    </row>
    <row r="492">
      <c r="D492" s="52"/>
    </row>
    <row r="493">
      <c r="D493" s="52"/>
    </row>
    <row r="494">
      <c r="D494" s="52"/>
    </row>
    <row r="495">
      <c r="D495" s="52"/>
    </row>
    <row r="496">
      <c r="D496" s="52"/>
    </row>
    <row r="497">
      <c r="D497" s="52"/>
    </row>
    <row r="498">
      <c r="D498" s="52"/>
    </row>
    <row r="499">
      <c r="D499" s="52"/>
    </row>
    <row r="500">
      <c r="D500" s="52"/>
    </row>
    <row r="501">
      <c r="D501" s="52"/>
    </row>
    <row r="502">
      <c r="D502" s="52"/>
    </row>
    <row r="503">
      <c r="D503" s="52"/>
    </row>
    <row r="504">
      <c r="D504" s="52"/>
    </row>
    <row r="505">
      <c r="D505" s="52"/>
    </row>
    <row r="506">
      <c r="D506" s="52"/>
    </row>
    <row r="507">
      <c r="D507" s="52"/>
    </row>
    <row r="508">
      <c r="D508" s="52"/>
    </row>
    <row r="509">
      <c r="D509" s="52"/>
    </row>
    <row r="510">
      <c r="D510" s="52"/>
    </row>
    <row r="511">
      <c r="D511" s="52"/>
    </row>
    <row r="512">
      <c r="D512" s="52"/>
    </row>
    <row r="513">
      <c r="D513" s="52"/>
    </row>
    <row r="514">
      <c r="D514" s="52"/>
    </row>
    <row r="515">
      <c r="D515" s="52"/>
    </row>
    <row r="516">
      <c r="D516" s="52"/>
    </row>
    <row r="517">
      <c r="D517" s="52"/>
    </row>
    <row r="518">
      <c r="D518" s="52"/>
    </row>
    <row r="519">
      <c r="D519" s="52"/>
    </row>
    <row r="520">
      <c r="D520" s="52"/>
    </row>
    <row r="521">
      <c r="D521" s="52"/>
    </row>
    <row r="522">
      <c r="D522" s="52"/>
    </row>
    <row r="523">
      <c r="D523" s="52"/>
    </row>
    <row r="524">
      <c r="D524" s="52"/>
    </row>
    <row r="525">
      <c r="D525" s="52"/>
    </row>
    <row r="526">
      <c r="D526" s="52"/>
    </row>
    <row r="527">
      <c r="D527" s="52"/>
    </row>
    <row r="528">
      <c r="D528" s="52"/>
    </row>
    <row r="529">
      <c r="D529" s="52"/>
    </row>
    <row r="530">
      <c r="D530" s="52"/>
    </row>
    <row r="531">
      <c r="D531" s="52"/>
    </row>
    <row r="532">
      <c r="D532" s="52"/>
    </row>
    <row r="533">
      <c r="D533" s="52"/>
    </row>
    <row r="534">
      <c r="D534" s="52"/>
    </row>
    <row r="535">
      <c r="D535" s="52"/>
    </row>
    <row r="536">
      <c r="D536" s="52"/>
    </row>
    <row r="537">
      <c r="D537" s="52"/>
    </row>
    <row r="538">
      <c r="D538" s="52"/>
    </row>
    <row r="539">
      <c r="D539" s="52"/>
    </row>
    <row r="540">
      <c r="D540" s="52"/>
    </row>
    <row r="541">
      <c r="D541" s="52"/>
    </row>
    <row r="542">
      <c r="D542" s="52"/>
    </row>
    <row r="543">
      <c r="D543" s="52"/>
    </row>
    <row r="544">
      <c r="D544" s="52"/>
    </row>
    <row r="545">
      <c r="D545" s="52"/>
    </row>
    <row r="546">
      <c r="D546" s="52"/>
    </row>
    <row r="547">
      <c r="D547" s="52"/>
    </row>
    <row r="548">
      <c r="D548" s="52"/>
    </row>
    <row r="549">
      <c r="D549" s="52"/>
    </row>
    <row r="550">
      <c r="D550" s="52"/>
    </row>
    <row r="551">
      <c r="D551" s="52"/>
    </row>
    <row r="552">
      <c r="D552" s="52"/>
    </row>
    <row r="553">
      <c r="D553" s="52"/>
    </row>
    <row r="554">
      <c r="D554" s="52"/>
    </row>
    <row r="555">
      <c r="D555" s="52"/>
    </row>
    <row r="556">
      <c r="D556" s="52"/>
    </row>
    <row r="557">
      <c r="D557" s="52"/>
    </row>
    <row r="558">
      <c r="D558" s="52"/>
    </row>
    <row r="559">
      <c r="D559" s="52"/>
    </row>
    <row r="560">
      <c r="D560" s="52"/>
    </row>
    <row r="561">
      <c r="D561" s="52"/>
    </row>
    <row r="562">
      <c r="D562" s="52"/>
    </row>
    <row r="563">
      <c r="D563" s="52"/>
    </row>
    <row r="564">
      <c r="D564" s="52"/>
    </row>
    <row r="565">
      <c r="D565" s="52"/>
    </row>
    <row r="566">
      <c r="D566" s="52"/>
    </row>
    <row r="567">
      <c r="D567" s="52"/>
    </row>
    <row r="568">
      <c r="D568" s="52"/>
    </row>
    <row r="569">
      <c r="D569" s="52"/>
    </row>
    <row r="570">
      <c r="D570" s="52"/>
    </row>
    <row r="571">
      <c r="D571" s="52"/>
    </row>
    <row r="572">
      <c r="D572" s="52"/>
    </row>
    <row r="573">
      <c r="D573" s="52"/>
    </row>
    <row r="574">
      <c r="D574" s="52"/>
    </row>
    <row r="575">
      <c r="D575" s="52"/>
    </row>
    <row r="576">
      <c r="D576" s="52"/>
    </row>
    <row r="577">
      <c r="D577" s="52"/>
    </row>
    <row r="578">
      <c r="D578" s="52"/>
    </row>
    <row r="579">
      <c r="D579" s="52"/>
    </row>
    <row r="580">
      <c r="D580" s="52"/>
    </row>
    <row r="581">
      <c r="D581" s="52"/>
    </row>
    <row r="582">
      <c r="D582" s="52"/>
    </row>
    <row r="583">
      <c r="D583" s="52"/>
    </row>
    <row r="584">
      <c r="D584" s="52"/>
    </row>
    <row r="585">
      <c r="D585" s="52"/>
    </row>
    <row r="586">
      <c r="D586" s="52"/>
    </row>
    <row r="587">
      <c r="D587" s="52"/>
    </row>
    <row r="588">
      <c r="D588" s="52"/>
    </row>
    <row r="589">
      <c r="D589" s="52"/>
    </row>
    <row r="590">
      <c r="D590" s="52"/>
    </row>
    <row r="591">
      <c r="D591" s="52"/>
    </row>
    <row r="592">
      <c r="D592" s="52"/>
    </row>
    <row r="593">
      <c r="D593" s="52"/>
    </row>
    <row r="594">
      <c r="D594" s="52"/>
    </row>
    <row r="595">
      <c r="D595" s="52"/>
    </row>
    <row r="596">
      <c r="D596" s="52"/>
    </row>
    <row r="597">
      <c r="D597" s="52"/>
    </row>
    <row r="598">
      <c r="D598" s="52"/>
    </row>
    <row r="599">
      <c r="D599" s="52"/>
    </row>
    <row r="600">
      <c r="D600" s="52"/>
    </row>
    <row r="601">
      <c r="D601" s="52"/>
    </row>
    <row r="602">
      <c r="D602" s="52"/>
    </row>
    <row r="603">
      <c r="D603" s="52"/>
    </row>
    <row r="604">
      <c r="D604" s="52"/>
    </row>
    <row r="605">
      <c r="D605" s="52"/>
    </row>
    <row r="606">
      <c r="D606" s="52"/>
    </row>
    <row r="607">
      <c r="D607" s="52"/>
    </row>
    <row r="608">
      <c r="D608" s="52"/>
    </row>
    <row r="609">
      <c r="D609" s="52"/>
    </row>
    <row r="610">
      <c r="D610" s="52"/>
    </row>
    <row r="611">
      <c r="D611" s="52"/>
    </row>
    <row r="612">
      <c r="D612" s="52"/>
    </row>
    <row r="613">
      <c r="D613" s="52"/>
    </row>
    <row r="614">
      <c r="D614" s="52"/>
    </row>
    <row r="615">
      <c r="D615" s="52"/>
    </row>
    <row r="616">
      <c r="D616" s="52"/>
    </row>
    <row r="617">
      <c r="D617" s="52"/>
    </row>
    <row r="618">
      <c r="D618" s="52"/>
    </row>
    <row r="619">
      <c r="D619" s="52"/>
    </row>
    <row r="620">
      <c r="D620" s="52"/>
    </row>
    <row r="621">
      <c r="D621" s="52"/>
    </row>
    <row r="622">
      <c r="D622" s="52"/>
    </row>
    <row r="623">
      <c r="D623" s="52"/>
    </row>
    <row r="624">
      <c r="D624" s="52"/>
    </row>
    <row r="625">
      <c r="D625" s="52"/>
    </row>
    <row r="626">
      <c r="D626" s="52"/>
    </row>
    <row r="627">
      <c r="D627" s="52"/>
    </row>
    <row r="628">
      <c r="D628" s="52"/>
    </row>
    <row r="629">
      <c r="D629" s="52"/>
    </row>
    <row r="630">
      <c r="D630" s="52"/>
    </row>
    <row r="631">
      <c r="D631" s="52"/>
    </row>
    <row r="632">
      <c r="D632" s="52"/>
    </row>
    <row r="633">
      <c r="D633" s="52"/>
    </row>
    <row r="634">
      <c r="D634" s="52"/>
    </row>
    <row r="635">
      <c r="D635" s="52"/>
    </row>
    <row r="636">
      <c r="D636" s="52"/>
    </row>
    <row r="637">
      <c r="D637" s="52"/>
    </row>
    <row r="638">
      <c r="D638" s="52"/>
    </row>
    <row r="639">
      <c r="D639" s="52"/>
    </row>
    <row r="640">
      <c r="D640" s="52"/>
    </row>
    <row r="641">
      <c r="D641" s="52"/>
    </row>
    <row r="642">
      <c r="D642" s="52"/>
    </row>
    <row r="643">
      <c r="D643" s="52"/>
    </row>
    <row r="644">
      <c r="D644" s="52"/>
    </row>
    <row r="645">
      <c r="D645" s="52"/>
    </row>
    <row r="646">
      <c r="D646" s="52"/>
    </row>
    <row r="647">
      <c r="D647" s="52"/>
    </row>
    <row r="648">
      <c r="D648" s="52"/>
    </row>
    <row r="649">
      <c r="D649" s="52"/>
    </row>
    <row r="650">
      <c r="D650" s="52"/>
    </row>
    <row r="651">
      <c r="D651" s="52"/>
    </row>
    <row r="652">
      <c r="D652" s="52"/>
    </row>
    <row r="653">
      <c r="D653" s="52"/>
    </row>
    <row r="654">
      <c r="D654" s="52"/>
    </row>
    <row r="655">
      <c r="D655" s="52"/>
    </row>
    <row r="656">
      <c r="D656" s="52"/>
    </row>
    <row r="657">
      <c r="D657" s="52"/>
    </row>
    <row r="658">
      <c r="D658" s="52"/>
    </row>
    <row r="659">
      <c r="D659" s="52"/>
    </row>
    <row r="660">
      <c r="D660" s="52"/>
    </row>
    <row r="661">
      <c r="D661" s="52"/>
    </row>
    <row r="662">
      <c r="D662" s="52"/>
    </row>
    <row r="663">
      <c r="D663" s="52"/>
    </row>
    <row r="664">
      <c r="D664" s="52"/>
    </row>
    <row r="665">
      <c r="D665" s="52"/>
    </row>
    <row r="666">
      <c r="D666" s="52"/>
    </row>
    <row r="667">
      <c r="D667" s="52"/>
    </row>
    <row r="668">
      <c r="D668" s="52"/>
    </row>
    <row r="669">
      <c r="D669" s="52"/>
    </row>
    <row r="670">
      <c r="D670" s="52"/>
    </row>
    <row r="671">
      <c r="D671" s="52"/>
    </row>
    <row r="672">
      <c r="D672" s="52"/>
    </row>
    <row r="673">
      <c r="D673" s="52"/>
    </row>
    <row r="674">
      <c r="D674" s="52"/>
    </row>
    <row r="675">
      <c r="D675" s="52"/>
    </row>
    <row r="676">
      <c r="D676" s="52"/>
    </row>
    <row r="677">
      <c r="D677" s="52"/>
    </row>
    <row r="678">
      <c r="D678" s="52"/>
    </row>
    <row r="679">
      <c r="D679" s="52"/>
    </row>
    <row r="680">
      <c r="D680" s="52"/>
    </row>
    <row r="681">
      <c r="D681" s="52"/>
    </row>
    <row r="682">
      <c r="D682" s="52"/>
    </row>
    <row r="683">
      <c r="D683" s="52"/>
    </row>
    <row r="684">
      <c r="D684" s="52"/>
    </row>
    <row r="685">
      <c r="D685" s="52"/>
    </row>
    <row r="686">
      <c r="D686" s="52"/>
    </row>
    <row r="687">
      <c r="D687" s="52"/>
    </row>
    <row r="688">
      <c r="D688" s="52"/>
    </row>
    <row r="689">
      <c r="D689" s="52"/>
    </row>
    <row r="690">
      <c r="D690" s="52"/>
    </row>
    <row r="691">
      <c r="D691" s="52"/>
    </row>
    <row r="692">
      <c r="D692" s="52"/>
    </row>
    <row r="693">
      <c r="D693" s="52"/>
    </row>
    <row r="694">
      <c r="D694" s="52"/>
    </row>
    <row r="695">
      <c r="D695" s="52"/>
    </row>
    <row r="696">
      <c r="D696" s="52"/>
    </row>
    <row r="697">
      <c r="D697" s="52"/>
    </row>
    <row r="698">
      <c r="D698" s="52"/>
    </row>
    <row r="699">
      <c r="D699" s="52"/>
    </row>
    <row r="700">
      <c r="D700" s="52"/>
    </row>
    <row r="701">
      <c r="D701" s="52"/>
    </row>
    <row r="702">
      <c r="D702" s="52"/>
    </row>
    <row r="703">
      <c r="D703" s="52"/>
    </row>
    <row r="704">
      <c r="D704" s="52"/>
    </row>
    <row r="705">
      <c r="D705" s="52"/>
    </row>
    <row r="706">
      <c r="D706" s="52"/>
    </row>
    <row r="707">
      <c r="D707" s="52"/>
    </row>
    <row r="708">
      <c r="D708" s="52"/>
    </row>
    <row r="709">
      <c r="D709" s="52"/>
    </row>
    <row r="710">
      <c r="D710" s="52"/>
    </row>
    <row r="711">
      <c r="D711" s="52"/>
    </row>
    <row r="712">
      <c r="D712" s="52"/>
    </row>
    <row r="713">
      <c r="D713" s="52"/>
    </row>
    <row r="714">
      <c r="D714" s="52"/>
    </row>
    <row r="715">
      <c r="D715" s="52"/>
    </row>
    <row r="716">
      <c r="D716" s="52"/>
    </row>
    <row r="717">
      <c r="D717" s="52"/>
    </row>
    <row r="718">
      <c r="D718" s="52"/>
    </row>
    <row r="719">
      <c r="D719" s="52"/>
    </row>
    <row r="720">
      <c r="D720" s="52"/>
    </row>
    <row r="721">
      <c r="D721" s="52"/>
    </row>
    <row r="722">
      <c r="D722" s="52"/>
    </row>
    <row r="723">
      <c r="D723" s="52"/>
    </row>
    <row r="724">
      <c r="D724" s="52"/>
    </row>
    <row r="725">
      <c r="D725" s="52"/>
    </row>
    <row r="726">
      <c r="D726" s="52"/>
    </row>
    <row r="727">
      <c r="D727" s="52"/>
    </row>
    <row r="728">
      <c r="D728" s="52"/>
    </row>
    <row r="729">
      <c r="D729" s="52"/>
    </row>
    <row r="730">
      <c r="D730" s="52"/>
    </row>
    <row r="731">
      <c r="D731" s="52"/>
    </row>
    <row r="732">
      <c r="D732" s="52"/>
    </row>
    <row r="733">
      <c r="D733" s="52"/>
    </row>
    <row r="734">
      <c r="D734" s="52"/>
    </row>
    <row r="735">
      <c r="D735" s="52"/>
    </row>
    <row r="736">
      <c r="D736" s="52"/>
    </row>
    <row r="737">
      <c r="D737" s="52"/>
    </row>
    <row r="738">
      <c r="D738" s="52"/>
    </row>
    <row r="739">
      <c r="D739" s="52"/>
    </row>
    <row r="740">
      <c r="D740" s="52"/>
    </row>
    <row r="741">
      <c r="D741" s="52"/>
    </row>
    <row r="742">
      <c r="D742" s="52"/>
    </row>
    <row r="743">
      <c r="D743" s="52"/>
    </row>
    <row r="744">
      <c r="D744" s="52"/>
    </row>
    <row r="745">
      <c r="D745" s="52"/>
    </row>
    <row r="746">
      <c r="D746" s="52"/>
    </row>
    <row r="747">
      <c r="D747" s="52"/>
    </row>
    <row r="748">
      <c r="D748" s="52"/>
    </row>
    <row r="749">
      <c r="D749" s="52"/>
    </row>
    <row r="750">
      <c r="D750" s="52"/>
    </row>
    <row r="751">
      <c r="D751" s="52"/>
    </row>
    <row r="752">
      <c r="D752" s="52"/>
    </row>
    <row r="753">
      <c r="D753" s="52"/>
    </row>
    <row r="754">
      <c r="D754" s="52"/>
    </row>
    <row r="755">
      <c r="D755" s="52"/>
    </row>
    <row r="756">
      <c r="D756" s="52"/>
    </row>
    <row r="757">
      <c r="D757" s="52"/>
    </row>
    <row r="758">
      <c r="D758" s="52"/>
    </row>
    <row r="759">
      <c r="D759" s="52"/>
    </row>
    <row r="760">
      <c r="D760" s="52"/>
    </row>
    <row r="761">
      <c r="D761" s="52"/>
    </row>
    <row r="762">
      <c r="D762" s="52"/>
    </row>
    <row r="763">
      <c r="D763" s="52"/>
    </row>
    <row r="764">
      <c r="D764" s="52"/>
    </row>
    <row r="765">
      <c r="D765" s="52"/>
    </row>
    <row r="766">
      <c r="D766" s="52"/>
    </row>
    <row r="767">
      <c r="D767" s="52"/>
    </row>
    <row r="768">
      <c r="D768" s="52"/>
    </row>
    <row r="769">
      <c r="D769" s="52"/>
    </row>
    <row r="770">
      <c r="D770" s="52"/>
    </row>
    <row r="771">
      <c r="D771" s="52"/>
    </row>
    <row r="772">
      <c r="D772" s="52"/>
    </row>
    <row r="773">
      <c r="D773" s="52"/>
    </row>
    <row r="774">
      <c r="D774" s="52"/>
    </row>
    <row r="775">
      <c r="D775" s="52"/>
    </row>
    <row r="776">
      <c r="D776" s="52"/>
    </row>
    <row r="777">
      <c r="D777" s="52"/>
    </row>
    <row r="778">
      <c r="D778" s="52"/>
    </row>
    <row r="779">
      <c r="D779" s="52"/>
    </row>
    <row r="780">
      <c r="D780" s="52"/>
    </row>
    <row r="781">
      <c r="D781" s="52"/>
    </row>
    <row r="782">
      <c r="D782" s="52"/>
    </row>
    <row r="783">
      <c r="D783" s="52"/>
    </row>
    <row r="784">
      <c r="D784" s="52"/>
    </row>
    <row r="785">
      <c r="D785" s="52"/>
    </row>
    <row r="786">
      <c r="D786" s="52"/>
    </row>
    <row r="787">
      <c r="D787" s="52"/>
    </row>
    <row r="788">
      <c r="D788" s="52"/>
    </row>
    <row r="789">
      <c r="D789" s="52"/>
    </row>
    <row r="790">
      <c r="D790" s="52"/>
    </row>
    <row r="791">
      <c r="D791" s="52"/>
    </row>
    <row r="792">
      <c r="D792" s="52"/>
    </row>
    <row r="793">
      <c r="D793" s="52"/>
    </row>
    <row r="794">
      <c r="D794" s="52"/>
    </row>
    <row r="795">
      <c r="D795" s="52"/>
    </row>
    <row r="796">
      <c r="D796" s="52"/>
    </row>
    <row r="797">
      <c r="D797" s="52"/>
    </row>
    <row r="798">
      <c r="D798" s="52"/>
    </row>
    <row r="799">
      <c r="D799" s="52"/>
    </row>
    <row r="800">
      <c r="D800" s="52"/>
    </row>
    <row r="801">
      <c r="D801" s="52"/>
    </row>
    <row r="802">
      <c r="D802" s="52"/>
    </row>
    <row r="803">
      <c r="D803" s="52"/>
    </row>
    <row r="804">
      <c r="D804" s="52"/>
    </row>
    <row r="805">
      <c r="D805" s="52"/>
    </row>
    <row r="806">
      <c r="D806" s="52"/>
    </row>
    <row r="807">
      <c r="D807" s="52"/>
    </row>
    <row r="808">
      <c r="D808" s="52"/>
    </row>
    <row r="809">
      <c r="D809" s="52"/>
    </row>
    <row r="810">
      <c r="D810" s="52"/>
    </row>
    <row r="811">
      <c r="D811" s="52"/>
    </row>
    <row r="812">
      <c r="D812" s="52"/>
    </row>
    <row r="813">
      <c r="D813" s="52"/>
    </row>
    <row r="814">
      <c r="D814" s="52"/>
    </row>
    <row r="815">
      <c r="D815" s="52"/>
    </row>
    <row r="816">
      <c r="D816" s="52"/>
    </row>
    <row r="817">
      <c r="D817" s="52"/>
    </row>
    <row r="818">
      <c r="D818" s="52"/>
    </row>
    <row r="819">
      <c r="D819" s="52"/>
    </row>
    <row r="820">
      <c r="D820" s="52"/>
    </row>
    <row r="821">
      <c r="D821" s="52"/>
    </row>
    <row r="822">
      <c r="D822" s="52"/>
    </row>
    <row r="823">
      <c r="D823" s="52"/>
    </row>
    <row r="824">
      <c r="D824" s="52"/>
    </row>
    <row r="825">
      <c r="D825" s="52"/>
    </row>
    <row r="826">
      <c r="D826" s="52"/>
    </row>
    <row r="827">
      <c r="D827" s="52"/>
    </row>
    <row r="828">
      <c r="D828" s="52"/>
    </row>
    <row r="829">
      <c r="D829" s="52"/>
    </row>
    <row r="830">
      <c r="D830" s="52"/>
    </row>
    <row r="831">
      <c r="D831" s="52"/>
    </row>
    <row r="832">
      <c r="D832" s="52"/>
    </row>
    <row r="833">
      <c r="D833" s="52"/>
    </row>
    <row r="834">
      <c r="D834" s="52"/>
    </row>
    <row r="835">
      <c r="D835" s="52"/>
    </row>
    <row r="836">
      <c r="D836" s="52"/>
    </row>
    <row r="837">
      <c r="D837" s="52"/>
    </row>
    <row r="838">
      <c r="D838" s="52"/>
    </row>
    <row r="839">
      <c r="D839" s="52"/>
    </row>
    <row r="840">
      <c r="D840" s="52"/>
    </row>
    <row r="841">
      <c r="D841" s="52"/>
    </row>
    <row r="842">
      <c r="D842" s="52"/>
    </row>
    <row r="843">
      <c r="D843" s="52"/>
    </row>
  </sheetData>
  <mergeCells count="7">
    <mergeCell ref="A1:F1"/>
    <mergeCell ref="A2:A3"/>
    <mergeCell ref="B2:B3"/>
    <mergeCell ref="C2:C3"/>
    <mergeCell ref="D2:D3"/>
    <mergeCell ref="E2:F2"/>
    <mergeCell ref="A7:E7"/>
  </mergeCells>
  <dataValidations>
    <dataValidation type="list" allowBlank="1" sqref="H4">
      <formula1>"CHECKED (OK),CHECKED  (NOT OK)"</formula1>
    </dataValidation>
  </dataValidations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3" max="3" width="26.75"/>
    <col customWidth="1" min="4" max="4" width="33.25"/>
    <col customWidth="1" min="7" max="7" width="3.5"/>
    <col customWidth="1" min="8" max="8" width="18.63"/>
    <col customWidth="1" min="9" max="9" width="21.63"/>
  </cols>
  <sheetData>
    <row r="1">
      <c r="A1" s="30" t="s">
        <v>1096</v>
      </c>
      <c r="G1" s="31"/>
      <c r="H1" s="32" t="s">
        <v>1097</v>
      </c>
      <c r="I1" s="33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4" t="s">
        <v>1</v>
      </c>
      <c r="B2" s="35" t="s">
        <v>11</v>
      </c>
      <c r="C2" s="35" t="s">
        <v>12</v>
      </c>
      <c r="D2" s="36" t="s">
        <v>13</v>
      </c>
      <c r="E2" s="37" t="s">
        <v>14</v>
      </c>
      <c r="F2" s="38"/>
      <c r="G2" s="39"/>
      <c r="H2" s="40"/>
      <c r="I2" s="40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41"/>
      <c r="B3" s="38"/>
      <c r="C3" s="38"/>
      <c r="D3" s="38"/>
      <c r="E3" s="42" t="s">
        <v>15</v>
      </c>
      <c r="F3" s="43" t="s">
        <v>5</v>
      </c>
      <c r="G3" s="39"/>
      <c r="H3" s="44" t="s">
        <v>6</v>
      </c>
      <c r="I3" s="45" t="s">
        <v>7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24.75" customHeight="1">
      <c r="A4" s="46"/>
      <c r="B4" s="47"/>
      <c r="C4" s="48" t="str">
        <f>vlookup(B4,'Crew Data'!C:G,5,0)</f>
        <v>#N/A</v>
      </c>
      <c r="D4" s="49"/>
      <c r="E4" s="47"/>
      <c r="F4" s="50">
        <f>E4*400</f>
        <v>0</v>
      </c>
      <c r="G4" s="22">
        <f>COUNTIF(B:B,B4)</f>
        <v>0</v>
      </c>
      <c r="H4" s="5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D5" s="52"/>
    </row>
    <row r="6">
      <c r="D6" s="52"/>
    </row>
    <row r="7" ht="44.25" customHeight="1">
      <c r="A7" s="53" t="s">
        <v>16</v>
      </c>
    </row>
    <row r="8">
      <c r="D8" s="52"/>
    </row>
    <row r="9">
      <c r="D9" s="52"/>
    </row>
    <row r="10">
      <c r="D10" s="52"/>
    </row>
    <row r="11">
      <c r="D11" s="52"/>
    </row>
    <row r="12">
      <c r="D12" s="52"/>
    </row>
    <row r="13">
      <c r="D13" s="52"/>
    </row>
    <row r="14">
      <c r="D14" s="52"/>
    </row>
    <row r="15">
      <c r="D15" s="52"/>
    </row>
    <row r="16">
      <c r="D16" s="52"/>
    </row>
    <row r="17">
      <c r="D17" s="52"/>
    </row>
    <row r="18">
      <c r="D18" s="52"/>
    </row>
    <row r="19">
      <c r="D19" s="52"/>
    </row>
    <row r="20">
      <c r="D20" s="52"/>
    </row>
    <row r="21">
      <c r="D21" s="52"/>
    </row>
    <row r="22">
      <c r="D22" s="52"/>
    </row>
    <row r="23">
      <c r="D23" s="52"/>
    </row>
    <row r="24">
      <c r="D24" s="52"/>
    </row>
    <row r="25">
      <c r="D25" s="52"/>
    </row>
    <row r="26">
      <c r="D26" s="52"/>
    </row>
    <row r="27">
      <c r="D27" s="52"/>
    </row>
    <row r="28">
      <c r="D28" s="52"/>
    </row>
    <row r="29">
      <c r="D29" s="52"/>
    </row>
    <row r="30">
      <c r="D30" s="52"/>
    </row>
    <row r="31">
      <c r="D31" s="52"/>
    </row>
    <row r="32">
      <c r="D32" s="52"/>
    </row>
    <row r="33">
      <c r="D33" s="52"/>
    </row>
    <row r="34">
      <c r="D34" s="52"/>
    </row>
    <row r="35">
      <c r="D35" s="52"/>
    </row>
    <row r="36">
      <c r="D36" s="52"/>
    </row>
    <row r="37">
      <c r="D37" s="52"/>
    </row>
    <row r="38">
      <c r="D38" s="52"/>
    </row>
    <row r="39">
      <c r="D39" s="52"/>
    </row>
    <row r="40">
      <c r="D40" s="52"/>
    </row>
    <row r="41">
      <c r="D41" s="52"/>
    </row>
    <row r="42">
      <c r="D42" s="52"/>
    </row>
    <row r="43">
      <c r="D43" s="52"/>
    </row>
    <row r="44">
      <c r="D44" s="52"/>
    </row>
    <row r="45">
      <c r="D45" s="52"/>
    </row>
    <row r="46">
      <c r="D46" s="52"/>
    </row>
    <row r="47">
      <c r="D47" s="52"/>
    </row>
    <row r="48">
      <c r="D48" s="52"/>
    </row>
    <row r="49">
      <c r="D49" s="52"/>
    </row>
    <row r="50">
      <c r="D50" s="52"/>
    </row>
    <row r="51">
      <c r="D51" s="52"/>
    </row>
    <row r="52">
      <c r="D52" s="52"/>
    </row>
    <row r="53">
      <c r="D53" s="52"/>
    </row>
    <row r="54">
      <c r="D54" s="52"/>
    </row>
    <row r="55">
      <c r="D55" s="52"/>
    </row>
    <row r="56">
      <c r="D56" s="52"/>
    </row>
    <row r="57">
      <c r="D57" s="52"/>
    </row>
    <row r="58">
      <c r="D58" s="52"/>
    </row>
    <row r="59">
      <c r="D59" s="52"/>
    </row>
    <row r="60">
      <c r="D60" s="52"/>
    </row>
    <row r="61">
      <c r="D61" s="52"/>
    </row>
    <row r="62">
      <c r="D62" s="52"/>
    </row>
    <row r="63">
      <c r="D63" s="52"/>
    </row>
    <row r="64">
      <c r="D64" s="52"/>
    </row>
    <row r="65">
      <c r="D65" s="52"/>
    </row>
    <row r="66">
      <c r="D66" s="52"/>
    </row>
    <row r="67">
      <c r="D67" s="52"/>
    </row>
    <row r="68">
      <c r="D68" s="52"/>
    </row>
    <row r="69">
      <c r="D69" s="52"/>
    </row>
    <row r="70">
      <c r="D70" s="52"/>
    </row>
    <row r="71">
      <c r="D71" s="52"/>
    </row>
    <row r="72">
      <c r="D72" s="52"/>
    </row>
    <row r="73">
      <c r="D73" s="52"/>
    </row>
    <row r="74">
      <c r="D74" s="52"/>
    </row>
    <row r="75">
      <c r="D75" s="52"/>
    </row>
    <row r="76">
      <c r="D76" s="52"/>
    </row>
    <row r="77">
      <c r="D77" s="52"/>
    </row>
    <row r="78">
      <c r="D78" s="52"/>
    </row>
    <row r="79">
      <c r="D79" s="52"/>
    </row>
    <row r="80">
      <c r="D80" s="52"/>
    </row>
    <row r="81">
      <c r="D81" s="52"/>
    </row>
    <row r="82">
      <c r="D82" s="52"/>
    </row>
    <row r="83">
      <c r="D83" s="52"/>
    </row>
    <row r="84">
      <c r="D84" s="52"/>
    </row>
    <row r="85">
      <c r="D85" s="52"/>
    </row>
    <row r="86">
      <c r="D86" s="52"/>
    </row>
    <row r="87">
      <c r="D87" s="52"/>
    </row>
    <row r="88">
      <c r="D88" s="52"/>
    </row>
    <row r="89">
      <c r="D89" s="52"/>
    </row>
    <row r="90">
      <c r="D90" s="52"/>
    </row>
    <row r="91">
      <c r="D91" s="52"/>
    </row>
    <row r="92">
      <c r="D92" s="52"/>
    </row>
    <row r="93">
      <c r="D93" s="52"/>
    </row>
    <row r="94">
      <c r="D94" s="52"/>
    </row>
    <row r="95">
      <c r="D95" s="52"/>
    </row>
    <row r="96">
      <c r="D96" s="52"/>
    </row>
    <row r="97">
      <c r="D97" s="52"/>
    </row>
    <row r="98">
      <c r="D98" s="52"/>
    </row>
    <row r="99">
      <c r="D99" s="52"/>
    </row>
    <row r="100">
      <c r="D100" s="52"/>
    </row>
    <row r="101">
      <c r="D101" s="52"/>
    </row>
    <row r="102">
      <c r="D102" s="52"/>
    </row>
    <row r="103">
      <c r="D103" s="52"/>
    </row>
    <row r="104">
      <c r="D104" s="52"/>
    </row>
    <row r="105">
      <c r="D105" s="52"/>
    </row>
    <row r="106">
      <c r="D106" s="52"/>
    </row>
    <row r="107">
      <c r="D107" s="52"/>
    </row>
    <row r="108">
      <c r="D108" s="52"/>
    </row>
    <row r="109">
      <c r="D109" s="52"/>
    </row>
    <row r="110">
      <c r="D110" s="52"/>
    </row>
    <row r="111">
      <c r="D111" s="52"/>
    </row>
    <row r="112">
      <c r="D112" s="52"/>
    </row>
    <row r="113">
      <c r="D113" s="52"/>
    </row>
    <row r="114">
      <c r="D114" s="52"/>
    </row>
    <row r="115">
      <c r="D115" s="52"/>
    </row>
    <row r="116">
      <c r="D116" s="52"/>
    </row>
    <row r="117">
      <c r="D117" s="52"/>
    </row>
    <row r="118">
      <c r="D118" s="52"/>
    </row>
    <row r="119">
      <c r="D119" s="52"/>
    </row>
    <row r="120">
      <c r="D120" s="52"/>
    </row>
    <row r="121">
      <c r="D121" s="52"/>
    </row>
    <row r="122">
      <c r="D122" s="52"/>
    </row>
    <row r="123">
      <c r="D123" s="52"/>
    </row>
    <row r="124">
      <c r="D124" s="52"/>
    </row>
    <row r="125">
      <c r="D125" s="52"/>
    </row>
    <row r="126">
      <c r="D126" s="52"/>
    </row>
    <row r="127">
      <c r="D127" s="52"/>
    </row>
    <row r="128">
      <c r="D128" s="52"/>
    </row>
    <row r="129">
      <c r="D129" s="52"/>
    </row>
    <row r="130">
      <c r="D130" s="52"/>
    </row>
    <row r="131">
      <c r="D131" s="52"/>
    </row>
    <row r="132">
      <c r="D132" s="52"/>
    </row>
    <row r="133">
      <c r="D133" s="52"/>
    </row>
    <row r="134">
      <c r="D134" s="52"/>
    </row>
    <row r="135">
      <c r="D135" s="52"/>
    </row>
    <row r="136">
      <c r="D136" s="52"/>
    </row>
    <row r="137">
      <c r="D137" s="52"/>
    </row>
    <row r="138">
      <c r="D138" s="52"/>
    </row>
    <row r="139">
      <c r="D139" s="52"/>
    </row>
    <row r="140">
      <c r="D140" s="52"/>
    </row>
    <row r="141">
      <c r="D141" s="52"/>
    </row>
    <row r="142">
      <c r="D142" s="52"/>
    </row>
    <row r="143">
      <c r="D143" s="52"/>
    </row>
    <row r="144">
      <c r="D144" s="52"/>
    </row>
    <row r="145">
      <c r="D145" s="52"/>
    </row>
    <row r="146">
      <c r="D146" s="52"/>
    </row>
    <row r="147">
      <c r="D147" s="52"/>
    </row>
    <row r="148">
      <c r="D148" s="52"/>
    </row>
    <row r="149">
      <c r="D149" s="52"/>
    </row>
    <row r="150">
      <c r="D150" s="52"/>
    </row>
    <row r="151">
      <c r="D151" s="52"/>
    </row>
    <row r="152">
      <c r="D152" s="52"/>
    </row>
    <row r="153">
      <c r="D153" s="52"/>
    </row>
    <row r="154">
      <c r="D154" s="52"/>
    </row>
    <row r="155">
      <c r="D155" s="52"/>
    </row>
    <row r="156">
      <c r="D156" s="52"/>
    </row>
    <row r="157">
      <c r="D157" s="52"/>
    </row>
    <row r="158">
      <c r="D158" s="52"/>
    </row>
    <row r="159">
      <c r="D159" s="52"/>
    </row>
    <row r="160">
      <c r="D160" s="52"/>
    </row>
    <row r="161">
      <c r="D161" s="52"/>
    </row>
    <row r="162">
      <c r="D162" s="52"/>
    </row>
    <row r="163">
      <c r="D163" s="52"/>
    </row>
    <row r="164">
      <c r="D164" s="52"/>
    </row>
    <row r="165">
      <c r="D165" s="52"/>
    </row>
    <row r="166">
      <c r="D166" s="52"/>
    </row>
    <row r="167">
      <c r="D167" s="52"/>
    </row>
    <row r="168">
      <c r="D168" s="52"/>
    </row>
    <row r="169">
      <c r="D169" s="52"/>
    </row>
    <row r="170">
      <c r="D170" s="52"/>
    </row>
    <row r="171">
      <c r="D171" s="52"/>
    </row>
    <row r="172">
      <c r="D172" s="52"/>
    </row>
    <row r="173">
      <c r="D173" s="52"/>
    </row>
    <row r="174">
      <c r="D174" s="52"/>
    </row>
    <row r="175">
      <c r="D175" s="52"/>
    </row>
    <row r="176">
      <c r="D176" s="52"/>
    </row>
    <row r="177">
      <c r="D177" s="52"/>
    </row>
    <row r="178">
      <c r="D178" s="52"/>
    </row>
    <row r="179">
      <c r="D179" s="52"/>
    </row>
    <row r="180">
      <c r="D180" s="52"/>
    </row>
    <row r="181">
      <c r="D181" s="52"/>
    </row>
    <row r="182">
      <c r="D182" s="52"/>
    </row>
    <row r="183">
      <c r="D183" s="52"/>
    </row>
    <row r="184">
      <c r="D184" s="52"/>
    </row>
    <row r="185">
      <c r="D185" s="52"/>
    </row>
    <row r="186">
      <c r="D186" s="52"/>
    </row>
    <row r="187">
      <c r="D187" s="52"/>
    </row>
    <row r="188">
      <c r="D188" s="52"/>
    </row>
    <row r="189">
      <c r="D189" s="52"/>
    </row>
    <row r="190">
      <c r="D190" s="52"/>
    </row>
    <row r="191">
      <c r="D191" s="52"/>
    </row>
    <row r="192">
      <c r="D192" s="52"/>
    </row>
    <row r="193">
      <c r="D193" s="52"/>
    </row>
    <row r="194">
      <c r="D194" s="52"/>
    </row>
    <row r="195">
      <c r="D195" s="52"/>
    </row>
    <row r="196">
      <c r="D196" s="52"/>
    </row>
    <row r="197">
      <c r="D197" s="52"/>
    </row>
    <row r="198">
      <c r="D198" s="52"/>
    </row>
    <row r="199">
      <c r="D199" s="52"/>
    </row>
    <row r="200">
      <c r="D200" s="52"/>
    </row>
    <row r="201">
      <c r="D201" s="52"/>
    </row>
    <row r="202">
      <c r="D202" s="52"/>
    </row>
    <row r="203">
      <c r="D203" s="52"/>
    </row>
    <row r="204">
      <c r="D204" s="52"/>
    </row>
    <row r="205">
      <c r="D205" s="52"/>
    </row>
    <row r="206">
      <c r="D206" s="52"/>
    </row>
    <row r="207">
      <c r="D207" s="52"/>
    </row>
    <row r="208">
      <c r="D208" s="52"/>
    </row>
    <row r="209">
      <c r="D209" s="52"/>
    </row>
    <row r="210">
      <c r="D210" s="52"/>
    </row>
    <row r="211">
      <c r="D211" s="52"/>
    </row>
    <row r="212">
      <c r="D212" s="52"/>
    </row>
    <row r="213">
      <c r="D213" s="52"/>
    </row>
    <row r="214">
      <c r="D214" s="52"/>
    </row>
    <row r="215">
      <c r="D215" s="52"/>
    </row>
    <row r="216">
      <c r="D216" s="52"/>
    </row>
    <row r="217">
      <c r="D217" s="52"/>
    </row>
    <row r="218">
      <c r="D218" s="52"/>
    </row>
    <row r="219">
      <c r="D219" s="52"/>
    </row>
    <row r="220">
      <c r="D220" s="52"/>
    </row>
    <row r="221">
      <c r="D221" s="52"/>
    </row>
    <row r="222">
      <c r="D222" s="52"/>
    </row>
    <row r="223">
      <c r="D223" s="52"/>
    </row>
    <row r="224">
      <c r="D224" s="52"/>
    </row>
    <row r="225">
      <c r="D225" s="52"/>
    </row>
    <row r="226">
      <c r="D226" s="52"/>
    </row>
    <row r="227">
      <c r="D227" s="52"/>
    </row>
    <row r="228">
      <c r="D228" s="52"/>
    </row>
    <row r="229">
      <c r="D229" s="52"/>
    </row>
    <row r="230">
      <c r="D230" s="52"/>
    </row>
    <row r="231">
      <c r="D231" s="52"/>
    </row>
    <row r="232">
      <c r="D232" s="52"/>
    </row>
    <row r="233">
      <c r="D233" s="52"/>
    </row>
    <row r="234">
      <c r="D234" s="52"/>
    </row>
    <row r="235">
      <c r="D235" s="52"/>
    </row>
    <row r="236">
      <c r="D236" s="52"/>
    </row>
    <row r="237">
      <c r="D237" s="52"/>
    </row>
    <row r="238">
      <c r="D238" s="52"/>
    </row>
    <row r="239">
      <c r="D239" s="52"/>
    </row>
    <row r="240">
      <c r="D240" s="52"/>
    </row>
    <row r="241">
      <c r="D241" s="52"/>
    </row>
    <row r="242">
      <c r="D242" s="52"/>
    </row>
    <row r="243">
      <c r="D243" s="52"/>
    </row>
    <row r="244">
      <c r="D244" s="52"/>
    </row>
    <row r="245">
      <c r="D245" s="52"/>
    </row>
    <row r="246">
      <c r="D246" s="52"/>
    </row>
    <row r="247">
      <c r="D247" s="52"/>
    </row>
    <row r="248">
      <c r="D248" s="52"/>
    </row>
    <row r="249">
      <c r="D249" s="52"/>
    </row>
    <row r="250">
      <c r="D250" s="52"/>
    </row>
    <row r="251">
      <c r="D251" s="52"/>
    </row>
    <row r="252">
      <c r="D252" s="52"/>
    </row>
    <row r="253">
      <c r="D253" s="52"/>
    </row>
    <row r="254">
      <c r="D254" s="52"/>
    </row>
    <row r="255">
      <c r="D255" s="52"/>
    </row>
    <row r="256">
      <c r="D256" s="52"/>
    </row>
    <row r="257">
      <c r="D257" s="52"/>
    </row>
    <row r="258">
      <c r="D258" s="52"/>
    </row>
    <row r="259">
      <c r="D259" s="52"/>
    </row>
    <row r="260">
      <c r="D260" s="52"/>
    </row>
    <row r="261">
      <c r="D261" s="52"/>
    </row>
    <row r="262">
      <c r="D262" s="52"/>
    </row>
    <row r="263">
      <c r="D263" s="52"/>
    </row>
    <row r="264">
      <c r="D264" s="52"/>
    </row>
    <row r="265">
      <c r="D265" s="52"/>
    </row>
    <row r="266">
      <c r="D266" s="52"/>
    </row>
    <row r="267">
      <c r="D267" s="52"/>
    </row>
    <row r="268">
      <c r="D268" s="52"/>
    </row>
    <row r="269">
      <c r="D269" s="52"/>
    </row>
    <row r="270">
      <c r="D270" s="52"/>
    </row>
    <row r="271">
      <c r="D271" s="52"/>
    </row>
    <row r="272">
      <c r="D272" s="52"/>
    </row>
    <row r="273">
      <c r="D273" s="52"/>
    </row>
    <row r="274">
      <c r="D274" s="52"/>
    </row>
    <row r="275">
      <c r="D275" s="52"/>
    </row>
    <row r="276">
      <c r="D276" s="52"/>
    </row>
    <row r="277">
      <c r="D277" s="52"/>
    </row>
    <row r="278">
      <c r="D278" s="52"/>
    </row>
    <row r="279">
      <c r="D279" s="52"/>
    </row>
    <row r="280">
      <c r="D280" s="52"/>
    </row>
    <row r="281">
      <c r="D281" s="52"/>
    </row>
    <row r="282">
      <c r="D282" s="52"/>
    </row>
    <row r="283">
      <c r="D283" s="52"/>
    </row>
    <row r="284">
      <c r="D284" s="52"/>
    </row>
    <row r="285">
      <c r="D285" s="52"/>
    </row>
    <row r="286">
      <c r="D286" s="52"/>
    </row>
    <row r="287">
      <c r="D287" s="52"/>
    </row>
    <row r="288">
      <c r="D288" s="52"/>
    </row>
    <row r="289">
      <c r="D289" s="52"/>
    </row>
    <row r="290">
      <c r="D290" s="52"/>
    </row>
    <row r="291">
      <c r="D291" s="52"/>
    </row>
    <row r="292">
      <c r="D292" s="52"/>
    </row>
    <row r="293">
      <c r="D293" s="52"/>
    </row>
    <row r="294">
      <c r="D294" s="52"/>
    </row>
    <row r="295">
      <c r="D295" s="52"/>
    </row>
    <row r="296">
      <c r="D296" s="52"/>
    </row>
    <row r="297">
      <c r="D297" s="52"/>
    </row>
    <row r="298">
      <c r="D298" s="52"/>
    </row>
    <row r="299">
      <c r="D299" s="52"/>
    </row>
    <row r="300">
      <c r="D300" s="52"/>
    </row>
    <row r="301">
      <c r="D301" s="52"/>
    </row>
    <row r="302">
      <c r="D302" s="52"/>
    </row>
    <row r="303">
      <c r="D303" s="52"/>
    </row>
    <row r="304">
      <c r="D304" s="52"/>
    </row>
    <row r="305">
      <c r="D305" s="52"/>
    </row>
    <row r="306">
      <c r="D306" s="52"/>
    </row>
    <row r="307">
      <c r="D307" s="52"/>
    </row>
    <row r="308">
      <c r="D308" s="52"/>
    </row>
    <row r="309">
      <c r="D309" s="52"/>
    </row>
    <row r="310">
      <c r="D310" s="52"/>
    </row>
    <row r="311">
      <c r="D311" s="52"/>
    </row>
    <row r="312">
      <c r="D312" s="52"/>
    </row>
    <row r="313">
      <c r="D313" s="52"/>
    </row>
    <row r="314">
      <c r="D314" s="52"/>
    </row>
    <row r="315">
      <c r="D315" s="52"/>
    </row>
    <row r="316">
      <c r="D316" s="52"/>
    </row>
    <row r="317">
      <c r="D317" s="52"/>
    </row>
    <row r="318">
      <c r="D318" s="52"/>
    </row>
    <row r="319">
      <c r="D319" s="52"/>
    </row>
    <row r="320">
      <c r="D320" s="52"/>
    </row>
    <row r="321">
      <c r="D321" s="52"/>
    </row>
    <row r="322">
      <c r="D322" s="52"/>
    </row>
    <row r="323">
      <c r="D323" s="52"/>
    </row>
    <row r="324">
      <c r="D324" s="52"/>
    </row>
    <row r="325">
      <c r="D325" s="52"/>
    </row>
    <row r="326">
      <c r="D326" s="52"/>
    </row>
    <row r="327">
      <c r="D327" s="52"/>
    </row>
    <row r="328">
      <c r="D328" s="52"/>
    </row>
    <row r="329">
      <c r="D329" s="52"/>
    </row>
    <row r="330">
      <c r="D330" s="52"/>
    </row>
    <row r="331">
      <c r="D331" s="52"/>
    </row>
    <row r="332">
      <c r="D332" s="52"/>
    </row>
    <row r="333">
      <c r="D333" s="52"/>
    </row>
    <row r="334">
      <c r="D334" s="52"/>
    </row>
    <row r="335">
      <c r="D335" s="52"/>
    </row>
    <row r="336">
      <c r="D336" s="52"/>
    </row>
    <row r="337">
      <c r="D337" s="52"/>
    </row>
    <row r="338">
      <c r="D338" s="52"/>
    </row>
    <row r="339">
      <c r="D339" s="52"/>
    </row>
    <row r="340">
      <c r="D340" s="52"/>
    </row>
    <row r="341">
      <c r="D341" s="52"/>
    </row>
    <row r="342">
      <c r="D342" s="52"/>
    </row>
    <row r="343">
      <c r="D343" s="52"/>
    </row>
    <row r="344">
      <c r="D344" s="52"/>
    </row>
    <row r="345">
      <c r="D345" s="52"/>
    </row>
    <row r="346">
      <c r="D346" s="52"/>
    </row>
    <row r="347">
      <c r="D347" s="52"/>
    </row>
    <row r="348">
      <c r="D348" s="52"/>
    </row>
    <row r="349">
      <c r="D349" s="52"/>
    </row>
    <row r="350">
      <c r="D350" s="52"/>
    </row>
    <row r="351">
      <c r="D351" s="52"/>
    </row>
    <row r="352">
      <c r="D352" s="52"/>
    </row>
    <row r="353">
      <c r="D353" s="52"/>
    </row>
    <row r="354">
      <c r="D354" s="52"/>
    </row>
    <row r="355">
      <c r="D355" s="52"/>
    </row>
    <row r="356">
      <c r="D356" s="52"/>
    </row>
    <row r="357">
      <c r="D357" s="52"/>
    </row>
    <row r="358">
      <c r="D358" s="52"/>
    </row>
    <row r="359">
      <c r="D359" s="52"/>
    </row>
    <row r="360">
      <c r="D360" s="52"/>
    </row>
    <row r="361">
      <c r="D361" s="52"/>
    </row>
    <row r="362">
      <c r="D362" s="52"/>
    </row>
    <row r="363">
      <c r="D363" s="52"/>
    </row>
    <row r="364">
      <c r="D364" s="52"/>
    </row>
    <row r="365">
      <c r="D365" s="52"/>
    </row>
    <row r="366">
      <c r="D366" s="52"/>
    </row>
    <row r="367">
      <c r="D367" s="52"/>
    </row>
    <row r="368">
      <c r="D368" s="52"/>
    </row>
    <row r="369">
      <c r="D369" s="52"/>
    </row>
    <row r="370">
      <c r="D370" s="52"/>
    </row>
    <row r="371">
      <c r="D371" s="52"/>
    </row>
    <row r="372">
      <c r="D372" s="52"/>
    </row>
    <row r="373">
      <c r="D373" s="52"/>
    </row>
    <row r="374">
      <c r="D374" s="52"/>
    </row>
    <row r="375">
      <c r="D375" s="52"/>
    </row>
    <row r="376">
      <c r="D376" s="52"/>
    </row>
    <row r="377">
      <c r="D377" s="52"/>
    </row>
    <row r="378">
      <c r="D378" s="52"/>
    </row>
    <row r="379">
      <c r="D379" s="52"/>
    </row>
    <row r="380">
      <c r="D380" s="52"/>
    </row>
    <row r="381">
      <c r="D381" s="52"/>
    </row>
    <row r="382">
      <c r="D382" s="52"/>
    </row>
    <row r="383">
      <c r="D383" s="52"/>
    </row>
    <row r="384">
      <c r="D384" s="52"/>
    </row>
    <row r="385">
      <c r="D385" s="52"/>
    </row>
    <row r="386">
      <c r="D386" s="52"/>
    </row>
    <row r="387">
      <c r="D387" s="52"/>
    </row>
    <row r="388">
      <c r="D388" s="52"/>
    </row>
    <row r="389">
      <c r="D389" s="52"/>
    </row>
    <row r="390">
      <c r="D390" s="52"/>
    </row>
    <row r="391">
      <c r="D391" s="52"/>
    </row>
    <row r="392">
      <c r="D392" s="52"/>
    </row>
    <row r="393">
      <c r="D393" s="52"/>
    </row>
    <row r="394">
      <c r="D394" s="52"/>
    </row>
    <row r="395">
      <c r="D395" s="52"/>
    </row>
    <row r="396">
      <c r="D396" s="52"/>
    </row>
    <row r="397">
      <c r="D397" s="52"/>
    </row>
    <row r="398">
      <c r="D398" s="52"/>
    </row>
    <row r="399">
      <c r="D399" s="52"/>
    </row>
    <row r="400">
      <c r="D400" s="52"/>
    </row>
    <row r="401">
      <c r="D401" s="52"/>
    </row>
    <row r="402">
      <c r="D402" s="52"/>
    </row>
    <row r="403">
      <c r="D403" s="52"/>
    </row>
    <row r="404">
      <c r="D404" s="52"/>
    </row>
    <row r="405">
      <c r="D405" s="52"/>
    </row>
    <row r="406">
      <c r="D406" s="52"/>
    </row>
    <row r="407">
      <c r="D407" s="52"/>
    </row>
    <row r="408">
      <c r="D408" s="52"/>
    </row>
    <row r="409">
      <c r="D409" s="52"/>
    </row>
    <row r="410">
      <c r="D410" s="52"/>
    </row>
    <row r="411">
      <c r="D411" s="52"/>
    </row>
    <row r="412">
      <c r="D412" s="52"/>
    </row>
    <row r="413">
      <c r="D413" s="52"/>
    </row>
    <row r="414">
      <c r="D414" s="52"/>
    </row>
    <row r="415">
      <c r="D415" s="52"/>
    </row>
    <row r="416">
      <c r="D416" s="52"/>
    </row>
    <row r="417">
      <c r="D417" s="52"/>
    </row>
    <row r="418">
      <c r="D418" s="52"/>
    </row>
    <row r="419">
      <c r="D419" s="52"/>
    </row>
    <row r="420">
      <c r="D420" s="52"/>
    </row>
    <row r="421">
      <c r="D421" s="52"/>
    </row>
    <row r="422">
      <c r="D422" s="52"/>
    </row>
    <row r="423">
      <c r="D423" s="52"/>
    </row>
    <row r="424">
      <c r="D424" s="52"/>
    </row>
    <row r="425">
      <c r="D425" s="52"/>
    </row>
    <row r="426">
      <c r="D426" s="52"/>
    </row>
    <row r="427">
      <c r="D427" s="52"/>
    </row>
    <row r="428">
      <c r="D428" s="52"/>
    </row>
    <row r="429">
      <c r="D429" s="52"/>
    </row>
    <row r="430">
      <c r="D430" s="52"/>
    </row>
    <row r="431">
      <c r="D431" s="52"/>
    </row>
    <row r="432">
      <c r="D432" s="52"/>
    </row>
    <row r="433">
      <c r="D433" s="52"/>
    </row>
    <row r="434">
      <c r="D434" s="52"/>
    </row>
    <row r="435">
      <c r="D435" s="52"/>
    </row>
    <row r="436">
      <c r="D436" s="52"/>
    </row>
    <row r="437">
      <c r="D437" s="52"/>
    </row>
    <row r="438">
      <c r="D438" s="52"/>
    </row>
    <row r="439">
      <c r="D439" s="52"/>
    </row>
    <row r="440">
      <c r="D440" s="52"/>
    </row>
    <row r="441">
      <c r="D441" s="52"/>
    </row>
    <row r="442">
      <c r="D442" s="52"/>
    </row>
    <row r="443">
      <c r="D443" s="52"/>
    </row>
    <row r="444">
      <c r="D444" s="52"/>
    </row>
    <row r="445">
      <c r="D445" s="52"/>
    </row>
    <row r="446">
      <c r="D446" s="52"/>
    </row>
    <row r="447">
      <c r="D447" s="52"/>
    </row>
    <row r="448">
      <c r="D448" s="52"/>
    </row>
    <row r="449">
      <c r="D449" s="52"/>
    </row>
    <row r="450">
      <c r="D450" s="52"/>
    </row>
    <row r="451">
      <c r="D451" s="52"/>
    </row>
    <row r="452">
      <c r="D452" s="52"/>
    </row>
    <row r="453">
      <c r="D453" s="52"/>
    </row>
    <row r="454">
      <c r="D454" s="52"/>
    </row>
    <row r="455">
      <c r="D455" s="52"/>
    </row>
    <row r="456">
      <c r="D456" s="52"/>
    </row>
    <row r="457">
      <c r="D457" s="52"/>
    </row>
    <row r="458">
      <c r="D458" s="52"/>
    </row>
    <row r="459">
      <c r="D459" s="52"/>
    </row>
    <row r="460">
      <c r="D460" s="52"/>
    </row>
    <row r="461">
      <c r="D461" s="52"/>
    </row>
    <row r="462">
      <c r="D462" s="52"/>
    </row>
    <row r="463">
      <c r="D463" s="52"/>
    </row>
    <row r="464">
      <c r="D464" s="52"/>
    </row>
    <row r="465">
      <c r="D465" s="52"/>
    </row>
    <row r="466">
      <c r="D466" s="52"/>
    </row>
    <row r="467">
      <c r="D467" s="52"/>
    </row>
    <row r="468">
      <c r="D468" s="52"/>
    </row>
    <row r="469">
      <c r="D469" s="52"/>
    </row>
    <row r="470">
      <c r="D470" s="52"/>
    </row>
    <row r="471">
      <c r="D471" s="52"/>
    </row>
    <row r="472">
      <c r="D472" s="52"/>
    </row>
    <row r="473">
      <c r="D473" s="52"/>
    </row>
    <row r="474">
      <c r="D474" s="52"/>
    </row>
    <row r="475">
      <c r="D475" s="52"/>
    </row>
    <row r="476">
      <c r="D476" s="52"/>
    </row>
    <row r="477">
      <c r="D477" s="52"/>
    </row>
    <row r="478">
      <c r="D478" s="52"/>
    </row>
    <row r="479">
      <c r="D479" s="52"/>
    </row>
    <row r="480">
      <c r="D480" s="52"/>
    </row>
    <row r="481">
      <c r="D481" s="52"/>
    </row>
    <row r="482">
      <c r="D482" s="52"/>
    </row>
    <row r="483">
      <c r="D483" s="52"/>
    </row>
    <row r="484">
      <c r="D484" s="52"/>
    </row>
    <row r="485">
      <c r="D485" s="52"/>
    </row>
    <row r="486">
      <c r="D486" s="52"/>
    </row>
    <row r="487">
      <c r="D487" s="52"/>
    </row>
    <row r="488">
      <c r="D488" s="52"/>
    </row>
    <row r="489">
      <c r="D489" s="52"/>
    </row>
    <row r="490">
      <c r="D490" s="52"/>
    </row>
    <row r="491">
      <c r="D491" s="52"/>
    </row>
    <row r="492">
      <c r="D492" s="52"/>
    </row>
    <row r="493">
      <c r="D493" s="52"/>
    </row>
    <row r="494">
      <c r="D494" s="52"/>
    </row>
    <row r="495">
      <c r="D495" s="52"/>
    </row>
    <row r="496">
      <c r="D496" s="52"/>
    </row>
    <row r="497">
      <c r="D497" s="52"/>
    </row>
    <row r="498">
      <c r="D498" s="52"/>
    </row>
    <row r="499">
      <c r="D499" s="52"/>
    </row>
    <row r="500">
      <c r="D500" s="52"/>
    </row>
    <row r="501">
      <c r="D501" s="52"/>
    </row>
    <row r="502">
      <c r="D502" s="52"/>
    </row>
    <row r="503">
      <c r="D503" s="52"/>
    </row>
    <row r="504">
      <c r="D504" s="52"/>
    </row>
    <row r="505">
      <c r="D505" s="52"/>
    </row>
    <row r="506">
      <c r="D506" s="52"/>
    </row>
    <row r="507">
      <c r="D507" s="52"/>
    </row>
    <row r="508">
      <c r="D508" s="52"/>
    </row>
    <row r="509">
      <c r="D509" s="52"/>
    </row>
    <row r="510">
      <c r="D510" s="52"/>
    </row>
    <row r="511">
      <c r="D511" s="52"/>
    </row>
    <row r="512">
      <c r="D512" s="52"/>
    </row>
    <row r="513">
      <c r="D513" s="52"/>
    </row>
    <row r="514">
      <c r="D514" s="52"/>
    </row>
    <row r="515">
      <c r="D515" s="52"/>
    </row>
    <row r="516">
      <c r="D516" s="52"/>
    </row>
    <row r="517">
      <c r="D517" s="52"/>
    </row>
    <row r="518">
      <c r="D518" s="52"/>
    </row>
    <row r="519">
      <c r="D519" s="52"/>
    </row>
    <row r="520">
      <c r="D520" s="52"/>
    </row>
    <row r="521">
      <c r="D521" s="52"/>
    </row>
    <row r="522">
      <c r="D522" s="52"/>
    </row>
    <row r="523">
      <c r="D523" s="52"/>
    </row>
    <row r="524">
      <c r="D524" s="52"/>
    </row>
    <row r="525">
      <c r="D525" s="52"/>
    </row>
    <row r="526">
      <c r="D526" s="52"/>
    </row>
    <row r="527">
      <c r="D527" s="52"/>
    </row>
    <row r="528">
      <c r="D528" s="52"/>
    </row>
    <row r="529">
      <c r="D529" s="52"/>
    </row>
    <row r="530">
      <c r="D530" s="52"/>
    </row>
    <row r="531">
      <c r="D531" s="52"/>
    </row>
    <row r="532">
      <c r="D532" s="52"/>
    </row>
    <row r="533">
      <c r="D533" s="52"/>
    </row>
    <row r="534">
      <c r="D534" s="52"/>
    </row>
    <row r="535">
      <c r="D535" s="52"/>
    </row>
    <row r="536">
      <c r="D536" s="52"/>
    </row>
    <row r="537">
      <c r="D537" s="52"/>
    </row>
    <row r="538">
      <c r="D538" s="52"/>
    </row>
    <row r="539">
      <c r="D539" s="52"/>
    </row>
    <row r="540">
      <c r="D540" s="52"/>
    </row>
    <row r="541">
      <c r="D541" s="52"/>
    </row>
    <row r="542">
      <c r="D542" s="52"/>
    </row>
    <row r="543">
      <c r="D543" s="52"/>
    </row>
    <row r="544">
      <c r="D544" s="52"/>
    </row>
    <row r="545">
      <c r="D545" s="52"/>
    </row>
    <row r="546">
      <c r="D546" s="52"/>
    </row>
    <row r="547">
      <c r="D547" s="52"/>
    </row>
    <row r="548">
      <c r="D548" s="52"/>
    </row>
    <row r="549">
      <c r="D549" s="52"/>
    </row>
    <row r="550">
      <c r="D550" s="52"/>
    </row>
    <row r="551">
      <c r="D551" s="52"/>
    </row>
    <row r="552">
      <c r="D552" s="52"/>
    </row>
    <row r="553">
      <c r="D553" s="52"/>
    </row>
    <row r="554">
      <c r="D554" s="52"/>
    </row>
    <row r="555">
      <c r="D555" s="52"/>
    </row>
    <row r="556">
      <c r="D556" s="52"/>
    </row>
    <row r="557">
      <c r="D557" s="52"/>
    </row>
    <row r="558">
      <c r="D558" s="52"/>
    </row>
    <row r="559">
      <c r="D559" s="52"/>
    </row>
    <row r="560">
      <c r="D560" s="52"/>
    </row>
    <row r="561">
      <c r="D561" s="52"/>
    </row>
    <row r="562">
      <c r="D562" s="52"/>
    </row>
    <row r="563">
      <c r="D563" s="52"/>
    </row>
    <row r="564">
      <c r="D564" s="52"/>
    </row>
    <row r="565">
      <c r="D565" s="52"/>
    </row>
    <row r="566">
      <c r="D566" s="52"/>
    </row>
    <row r="567">
      <c r="D567" s="52"/>
    </row>
    <row r="568">
      <c r="D568" s="52"/>
    </row>
    <row r="569">
      <c r="D569" s="52"/>
    </row>
    <row r="570">
      <c r="D570" s="52"/>
    </row>
    <row r="571">
      <c r="D571" s="52"/>
    </row>
    <row r="572">
      <c r="D572" s="52"/>
    </row>
    <row r="573">
      <c r="D573" s="52"/>
    </row>
    <row r="574">
      <c r="D574" s="52"/>
    </row>
    <row r="575">
      <c r="D575" s="52"/>
    </row>
    <row r="576">
      <c r="D576" s="52"/>
    </row>
    <row r="577">
      <c r="D577" s="52"/>
    </row>
    <row r="578">
      <c r="D578" s="52"/>
    </row>
    <row r="579">
      <c r="D579" s="52"/>
    </row>
    <row r="580">
      <c r="D580" s="52"/>
    </row>
    <row r="581">
      <c r="D581" s="52"/>
    </row>
    <row r="582">
      <c r="D582" s="52"/>
    </row>
    <row r="583">
      <c r="D583" s="52"/>
    </row>
    <row r="584">
      <c r="D584" s="52"/>
    </row>
    <row r="585">
      <c r="D585" s="52"/>
    </row>
    <row r="586">
      <c r="D586" s="52"/>
    </row>
    <row r="587">
      <c r="D587" s="52"/>
    </row>
    <row r="588">
      <c r="D588" s="52"/>
    </row>
    <row r="589">
      <c r="D589" s="52"/>
    </row>
    <row r="590">
      <c r="D590" s="52"/>
    </row>
    <row r="591">
      <c r="D591" s="52"/>
    </row>
    <row r="592">
      <c r="D592" s="52"/>
    </row>
    <row r="593">
      <c r="D593" s="52"/>
    </row>
    <row r="594">
      <c r="D594" s="52"/>
    </row>
    <row r="595">
      <c r="D595" s="52"/>
    </row>
    <row r="596">
      <c r="D596" s="52"/>
    </row>
    <row r="597">
      <c r="D597" s="52"/>
    </row>
    <row r="598">
      <c r="D598" s="52"/>
    </row>
    <row r="599">
      <c r="D599" s="52"/>
    </row>
    <row r="600">
      <c r="D600" s="52"/>
    </row>
    <row r="601">
      <c r="D601" s="52"/>
    </row>
    <row r="602">
      <c r="D602" s="52"/>
    </row>
    <row r="603">
      <c r="D603" s="52"/>
    </row>
    <row r="604">
      <c r="D604" s="52"/>
    </row>
    <row r="605">
      <c r="D605" s="52"/>
    </row>
    <row r="606">
      <c r="D606" s="52"/>
    </row>
    <row r="607">
      <c r="D607" s="52"/>
    </row>
    <row r="608">
      <c r="D608" s="52"/>
    </row>
    <row r="609">
      <c r="D609" s="52"/>
    </row>
    <row r="610">
      <c r="D610" s="52"/>
    </row>
    <row r="611">
      <c r="D611" s="52"/>
    </row>
    <row r="612">
      <c r="D612" s="52"/>
    </row>
    <row r="613">
      <c r="D613" s="52"/>
    </row>
    <row r="614">
      <c r="D614" s="52"/>
    </row>
    <row r="615">
      <c r="D615" s="52"/>
    </row>
    <row r="616">
      <c r="D616" s="52"/>
    </row>
    <row r="617">
      <c r="D617" s="52"/>
    </row>
    <row r="618">
      <c r="D618" s="52"/>
    </row>
    <row r="619">
      <c r="D619" s="52"/>
    </row>
    <row r="620">
      <c r="D620" s="52"/>
    </row>
    <row r="621">
      <c r="D621" s="52"/>
    </row>
    <row r="622">
      <c r="D622" s="52"/>
    </row>
    <row r="623">
      <c r="D623" s="52"/>
    </row>
    <row r="624">
      <c r="D624" s="52"/>
    </row>
    <row r="625">
      <c r="D625" s="52"/>
    </row>
    <row r="626">
      <c r="D626" s="52"/>
    </row>
    <row r="627">
      <c r="D627" s="52"/>
    </row>
    <row r="628">
      <c r="D628" s="52"/>
    </row>
    <row r="629">
      <c r="D629" s="52"/>
    </row>
    <row r="630">
      <c r="D630" s="52"/>
    </row>
    <row r="631">
      <c r="D631" s="52"/>
    </row>
    <row r="632">
      <c r="D632" s="52"/>
    </row>
    <row r="633">
      <c r="D633" s="52"/>
    </row>
    <row r="634">
      <c r="D634" s="52"/>
    </row>
    <row r="635">
      <c r="D635" s="52"/>
    </row>
    <row r="636">
      <c r="D636" s="52"/>
    </row>
    <row r="637">
      <c r="D637" s="52"/>
    </row>
    <row r="638">
      <c r="D638" s="52"/>
    </row>
    <row r="639">
      <c r="D639" s="52"/>
    </row>
    <row r="640">
      <c r="D640" s="52"/>
    </row>
    <row r="641">
      <c r="D641" s="52"/>
    </row>
    <row r="642">
      <c r="D642" s="52"/>
    </row>
    <row r="643">
      <c r="D643" s="52"/>
    </row>
    <row r="644">
      <c r="D644" s="52"/>
    </row>
    <row r="645">
      <c r="D645" s="52"/>
    </row>
    <row r="646">
      <c r="D646" s="52"/>
    </row>
    <row r="647">
      <c r="D647" s="52"/>
    </row>
    <row r="648">
      <c r="D648" s="52"/>
    </row>
    <row r="649">
      <c r="D649" s="52"/>
    </row>
    <row r="650">
      <c r="D650" s="52"/>
    </row>
    <row r="651">
      <c r="D651" s="52"/>
    </row>
    <row r="652">
      <c r="D652" s="52"/>
    </row>
    <row r="653">
      <c r="D653" s="52"/>
    </row>
    <row r="654">
      <c r="D654" s="52"/>
    </row>
    <row r="655">
      <c r="D655" s="52"/>
    </row>
    <row r="656">
      <c r="D656" s="52"/>
    </row>
    <row r="657">
      <c r="D657" s="52"/>
    </row>
    <row r="658">
      <c r="D658" s="52"/>
    </row>
    <row r="659">
      <c r="D659" s="52"/>
    </row>
    <row r="660">
      <c r="D660" s="52"/>
    </row>
    <row r="661">
      <c r="D661" s="52"/>
    </row>
    <row r="662">
      <c r="D662" s="52"/>
    </row>
    <row r="663">
      <c r="D663" s="52"/>
    </row>
    <row r="664">
      <c r="D664" s="52"/>
    </row>
    <row r="665">
      <c r="D665" s="52"/>
    </row>
    <row r="666">
      <c r="D666" s="52"/>
    </row>
    <row r="667">
      <c r="D667" s="52"/>
    </row>
    <row r="668">
      <c r="D668" s="52"/>
    </row>
    <row r="669">
      <c r="D669" s="52"/>
    </row>
    <row r="670">
      <c r="D670" s="52"/>
    </row>
    <row r="671">
      <c r="D671" s="52"/>
    </row>
    <row r="672">
      <c r="D672" s="52"/>
    </row>
    <row r="673">
      <c r="D673" s="52"/>
    </row>
    <row r="674">
      <c r="D674" s="52"/>
    </row>
    <row r="675">
      <c r="D675" s="52"/>
    </row>
    <row r="676">
      <c r="D676" s="52"/>
    </row>
    <row r="677">
      <c r="D677" s="52"/>
    </row>
    <row r="678">
      <c r="D678" s="52"/>
    </row>
    <row r="679">
      <c r="D679" s="52"/>
    </row>
    <row r="680">
      <c r="D680" s="52"/>
    </row>
    <row r="681">
      <c r="D681" s="52"/>
    </row>
    <row r="682">
      <c r="D682" s="52"/>
    </row>
    <row r="683">
      <c r="D683" s="52"/>
    </row>
    <row r="684">
      <c r="D684" s="52"/>
    </row>
    <row r="685">
      <c r="D685" s="52"/>
    </row>
    <row r="686">
      <c r="D686" s="52"/>
    </row>
    <row r="687">
      <c r="D687" s="52"/>
    </row>
    <row r="688">
      <c r="D688" s="52"/>
    </row>
    <row r="689">
      <c r="D689" s="52"/>
    </row>
    <row r="690">
      <c r="D690" s="52"/>
    </row>
    <row r="691">
      <c r="D691" s="52"/>
    </row>
    <row r="692">
      <c r="D692" s="52"/>
    </row>
    <row r="693">
      <c r="D693" s="52"/>
    </row>
    <row r="694">
      <c r="D694" s="52"/>
    </row>
    <row r="695">
      <c r="D695" s="52"/>
    </row>
    <row r="696">
      <c r="D696" s="52"/>
    </row>
    <row r="697">
      <c r="D697" s="52"/>
    </row>
    <row r="698">
      <c r="D698" s="52"/>
    </row>
    <row r="699">
      <c r="D699" s="52"/>
    </row>
    <row r="700">
      <c r="D700" s="52"/>
    </row>
    <row r="701">
      <c r="D701" s="52"/>
    </row>
    <row r="702">
      <c r="D702" s="52"/>
    </row>
    <row r="703">
      <c r="D703" s="52"/>
    </row>
    <row r="704">
      <c r="D704" s="52"/>
    </row>
    <row r="705">
      <c r="D705" s="52"/>
    </row>
    <row r="706">
      <c r="D706" s="52"/>
    </row>
    <row r="707">
      <c r="D707" s="52"/>
    </row>
    <row r="708">
      <c r="D708" s="52"/>
    </row>
    <row r="709">
      <c r="D709" s="52"/>
    </row>
    <row r="710">
      <c r="D710" s="52"/>
    </row>
    <row r="711">
      <c r="D711" s="52"/>
    </row>
    <row r="712">
      <c r="D712" s="52"/>
    </row>
    <row r="713">
      <c r="D713" s="52"/>
    </row>
    <row r="714">
      <c r="D714" s="52"/>
    </row>
    <row r="715">
      <c r="D715" s="52"/>
    </row>
    <row r="716">
      <c r="D716" s="52"/>
    </row>
    <row r="717">
      <c r="D717" s="52"/>
    </row>
    <row r="718">
      <c r="D718" s="52"/>
    </row>
    <row r="719">
      <c r="D719" s="52"/>
    </row>
    <row r="720">
      <c r="D720" s="52"/>
    </row>
    <row r="721">
      <c r="D721" s="52"/>
    </row>
    <row r="722">
      <c r="D722" s="52"/>
    </row>
    <row r="723">
      <c r="D723" s="52"/>
    </row>
    <row r="724">
      <c r="D724" s="52"/>
    </row>
    <row r="725">
      <c r="D725" s="52"/>
    </row>
    <row r="726">
      <c r="D726" s="52"/>
    </row>
    <row r="727">
      <c r="D727" s="52"/>
    </row>
    <row r="728">
      <c r="D728" s="52"/>
    </row>
    <row r="729">
      <c r="D729" s="52"/>
    </row>
    <row r="730">
      <c r="D730" s="52"/>
    </row>
    <row r="731">
      <c r="D731" s="52"/>
    </row>
    <row r="732">
      <c r="D732" s="52"/>
    </row>
    <row r="733">
      <c r="D733" s="52"/>
    </row>
    <row r="734">
      <c r="D734" s="52"/>
    </row>
    <row r="735">
      <c r="D735" s="52"/>
    </row>
    <row r="736">
      <c r="D736" s="52"/>
    </row>
    <row r="737">
      <c r="D737" s="52"/>
    </row>
    <row r="738">
      <c r="D738" s="52"/>
    </row>
    <row r="739">
      <c r="D739" s="52"/>
    </row>
    <row r="740">
      <c r="D740" s="52"/>
    </row>
    <row r="741">
      <c r="D741" s="52"/>
    </row>
    <row r="742">
      <c r="D742" s="52"/>
    </row>
    <row r="743">
      <c r="D743" s="52"/>
    </row>
    <row r="744">
      <c r="D744" s="52"/>
    </row>
    <row r="745">
      <c r="D745" s="52"/>
    </row>
    <row r="746">
      <c r="D746" s="52"/>
    </row>
    <row r="747">
      <c r="D747" s="52"/>
    </row>
    <row r="748">
      <c r="D748" s="52"/>
    </row>
    <row r="749">
      <c r="D749" s="52"/>
    </row>
    <row r="750">
      <c r="D750" s="52"/>
    </row>
    <row r="751">
      <c r="D751" s="52"/>
    </row>
    <row r="752">
      <c r="D752" s="52"/>
    </row>
    <row r="753">
      <c r="D753" s="52"/>
    </row>
    <row r="754">
      <c r="D754" s="52"/>
    </row>
    <row r="755">
      <c r="D755" s="52"/>
    </row>
    <row r="756">
      <c r="D756" s="52"/>
    </row>
    <row r="757">
      <c r="D757" s="52"/>
    </row>
    <row r="758">
      <c r="D758" s="52"/>
    </row>
    <row r="759">
      <c r="D759" s="52"/>
    </row>
    <row r="760">
      <c r="D760" s="52"/>
    </row>
    <row r="761">
      <c r="D761" s="52"/>
    </row>
    <row r="762">
      <c r="D762" s="52"/>
    </row>
    <row r="763">
      <c r="D763" s="52"/>
    </row>
    <row r="764">
      <c r="D764" s="52"/>
    </row>
    <row r="765">
      <c r="D765" s="52"/>
    </row>
    <row r="766">
      <c r="D766" s="52"/>
    </row>
    <row r="767">
      <c r="D767" s="52"/>
    </row>
    <row r="768">
      <c r="D768" s="52"/>
    </row>
    <row r="769">
      <c r="D769" s="52"/>
    </row>
    <row r="770">
      <c r="D770" s="52"/>
    </row>
    <row r="771">
      <c r="D771" s="52"/>
    </row>
    <row r="772">
      <c r="D772" s="52"/>
    </row>
    <row r="773">
      <c r="D773" s="52"/>
    </row>
    <row r="774">
      <c r="D774" s="52"/>
    </row>
    <row r="775">
      <c r="D775" s="52"/>
    </row>
    <row r="776">
      <c r="D776" s="52"/>
    </row>
    <row r="777">
      <c r="D777" s="52"/>
    </row>
    <row r="778">
      <c r="D778" s="52"/>
    </row>
    <row r="779">
      <c r="D779" s="52"/>
    </row>
    <row r="780">
      <c r="D780" s="52"/>
    </row>
    <row r="781">
      <c r="D781" s="52"/>
    </row>
    <row r="782">
      <c r="D782" s="52"/>
    </row>
    <row r="783">
      <c r="D783" s="52"/>
    </row>
    <row r="784">
      <c r="D784" s="52"/>
    </row>
    <row r="785">
      <c r="D785" s="52"/>
    </row>
    <row r="786">
      <c r="D786" s="52"/>
    </row>
    <row r="787">
      <c r="D787" s="52"/>
    </row>
    <row r="788">
      <c r="D788" s="52"/>
    </row>
    <row r="789">
      <c r="D789" s="52"/>
    </row>
    <row r="790">
      <c r="D790" s="52"/>
    </row>
    <row r="791">
      <c r="D791" s="52"/>
    </row>
    <row r="792">
      <c r="D792" s="52"/>
    </row>
    <row r="793">
      <c r="D793" s="52"/>
    </row>
    <row r="794">
      <c r="D794" s="52"/>
    </row>
    <row r="795">
      <c r="D795" s="52"/>
    </row>
    <row r="796">
      <c r="D796" s="52"/>
    </row>
    <row r="797">
      <c r="D797" s="52"/>
    </row>
    <row r="798">
      <c r="D798" s="52"/>
    </row>
    <row r="799">
      <c r="D799" s="52"/>
    </row>
    <row r="800">
      <c r="D800" s="52"/>
    </row>
    <row r="801">
      <c r="D801" s="52"/>
    </row>
    <row r="802">
      <c r="D802" s="52"/>
    </row>
    <row r="803">
      <c r="D803" s="52"/>
    </row>
    <row r="804">
      <c r="D804" s="52"/>
    </row>
    <row r="805">
      <c r="D805" s="52"/>
    </row>
    <row r="806">
      <c r="D806" s="52"/>
    </row>
    <row r="807">
      <c r="D807" s="52"/>
    </row>
    <row r="808">
      <c r="D808" s="52"/>
    </row>
    <row r="809">
      <c r="D809" s="52"/>
    </row>
    <row r="810">
      <c r="D810" s="52"/>
    </row>
    <row r="811">
      <c r="D811" s="52"/>
    </row>
    <row r="812">
      <c r="D812" s="52"/>
    </row>
    <row r="813">
      <c r="D813" s="52"/>
    </row>
    <row r="814">
      <c r="D814" s="52"/>
    </row>
    <row r="815">
      <c r="D815" s="52"/>
    </row>
    <row r="816">
      <c r="D816" s="52"/>
    </row>
    <row r="817">
      <c r="D817" s="52"/>
    </row>
    <row r="818">
      <c r="D818" s="52"/>
    </row>
    <row r="819">
      <c r="D819" s="52"/>
    </row>
    <row r="820">
      <c r="D820" s="52"/>
    </row>
    <row r="821">
      <c r="D821" s="52"/>
    </row>
    <row r="822">
      <c r="D822" s="52"/>
    </row>
    <row r="823">
      <c r="D823" s="52"/>
    </row>
    <row r="824">
      <c r="D824" s="52"/>
    </row>
    <row r="825">
      <c r="D825" s="52"/>
    </row>
    <row r="826">
      <c r="D826" s="52"/>
    </row>
    <row r="827">
      <c r="D827" s="52"/>
    </row>
    <row r="828">
      <c r="D828" s="52"/>
    </row>
    <row r="829">
      <c r="D829" s="52"/>
    </row>
    <row r="830">
      <c r="D830" s="52"/>
    </row>
    <row r="831">
      <c r="D831" s="52"/>
    </row>
    <row r="832">
      <c r="D832" s="52"/>
    </row>
    <row r="833">
      <c r="D833" s="52"/>
    </row>
    <row r="834">
      <c r="D834" s="52"/>
    </row>
    <row r="835">
      <c r="D835" s="52"/>
    </row>
    <row r="836">
      <c r="D836" s="52"/>
    </row>
    <row r="837">
      <c r="D837" s="52"/>
    </row>
    <row r="838">
      <c r="D838" s="52"/>
    </row>
    <row r="839">
      <c r="D839" s="52"/>
    </row>
    <row r="840">
      <c r="D840" s="52"/>
    </row>
    <row r="841">
      <c r="D841" s="52"/>
    </row>
    <row r="842">
      <c r="D842" s="52"/>
    </row>
    <row r="843">
      <c r="D843" s="52"/>
    </row>
  </sheetData>
  <mergeCells count="7">
    <mergeCell ref="A1:F1"/>
    <mergeCell ref="A2:A3"/>
    <mergeCell ref="B2:B3"/>
    <mergeCell ref="C2:C3"/>
    <mergeCell ref="D2:D3"/>
    <mergeCell ref="E2:F2"/>
    <mergeCell ref="A7:E7"/>
  </mergeCells>
  <dataValidations>
    <dataValidation type="list" allowBlank="1" sqref="H4">
      <formula1>"CHECKED (OK),CHECKED  (NOT OK)"</formula1>
    </dataValidation>
  </dataValidations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3" max="3" width="26.75"/>
    <col customWidth="1" min="4" max="4" width="33.25"/>
    <col customWidth="1" min="7" max="7" width="3.5"/>
    <col customWidth="1" min="8" max="8" width="18.63"/>
    <col customWidth="1" min="9" max="9" width="21.63"/>
  </cols>
  <sheetData>
    <row r="1">
      <c r="A1" s="30" t="s">
        <v>1098</v>
      </c>
      <c r="G1" s="31"/>
      <c r="H1" s="32" t="s">
        <v>1099</v>
      </c>
      <c r="I1" s="33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4" t="s">
        <v>1</v>
      </c>
      <c r="B2" s="35" t="s">
        <v>11</v>
      </c>
      <c r="C2" s="35" t="s">
        <v>12</v>
      </c>
      <c r="D2" s="36" t="s">
        <v>13</v>
      </c>
      <c r="E2" s="37" t="s">
        <v>14</v>
      </c>
      <c r="F2" s="38"/>
      <c r="G2" s="39"/>
      <c r="H2" s="40"/>
      <c r="I2" s="40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41"/>
      <c r="B3" s="38"/>
      <c r="C3" s="38"/>
      <c r="D3" s="38"/>
      <c r="E3" s="42" t="s">
        <v>15</v>
      </c>
      <c r="F3" s="43" t="s">
        <v>5</v>
      </c>
      <c r="G3" s="39"/>
      <c r="H3" s="44" t="s">
        <v>6</v>
      </c>
      <c r="I3" s="45" t="s">
        <v>7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24.75" customHeight="1">
      <c r="A4" s="46"/>
      <c r="B4" s="47"/>
      <c r="C4" s="48" t="str">
        <f>vlookup(B4,'Crew Data'!C:G,5,0)</f>
        <v>#N/A</v>
      </c>
      <c r="D4" s="49"/>
      <c r="E4" s="47"/>
      <c r="F4" s="50">
        <f>E4*400</f>
        <v>0</v>
      </c>
      <c r="G4" s="22">
        <f>COUNTIF(B:B,B4)</f>
        <v>0</v>
      </c>
      <c r="H4" s="5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D5" s="52"/>
    </row>
    <row r="6">
      <c r="D6" s="52"/>
    </row>
    <row r="7" ht="44.25" customHeight="1">
      <c r="A7" s="53" t="s">
        <v>16</v>
      </c>
    </row>
    <row r="8">
      <c r="D8" s="52"/>
    </row>
    <row r="9">
      <c r="D9" s="52"/>
    </row>
    <row r="10">
      <c r="D10" s="52"/>
    </row>
    <row r="11">
      <c r="D11" s="52"/>
    </row>
    <row r="12">
      <c r="D12" s="52"/>
    </row>
    <row r="13">
      <c r="D13" s="52"/>
    </row>
    <row r="14">
      <c r="D14" s="52"/>
    </row>
    <row r="15">
      <c r="D15" s="52"/>
    </row>
    <row r="16">
      <c r="D16" s="52"/>
    </row>
    <row r="17">
      <c r="D17" s="52"/>
    </row>
    <row r="18">
      <c r="D18" s="52"/>
    </row>
    <row r="19">
      <c r="D19" s="52"/>
    </row>
    <row r="20">
      <c r="D20" s="52"/>
    </row>
    <row r="21">
      <c r="D21" s="52"/>
    </row>
    <row r="22">
      <c r="D22" s="52"/>
    </row>
    <row r="23">
      <c r="D23" s="52"/>
    </row>
    <row r="24">
      <c r="D24" s="52"/>
    </row>
    <row r="25">
      <c r="D25" s="52"/>
    </row>
    <row r="26">
      <c r="D26" s="52"/>
    </row>
    <row r="27">
      <c r="D27" s="52"/>
    </row>
    <row r="28">
      <c r="D28" s="52"/>
    </row>
    <row r="29">
      <c r="D29" s="52"/>
    </row>
    <row r="30">
      <c r="D30" s="52"/>
    </row>
    <row r="31">
      <c r="D31" s="52"/>
    </row>
    <row r="32">
      <c r="D32" s="52"/>
    </row>
    <row r="33">
      <c r="D33" s="52"/>
    </row>
    <row r="34">
      <c r="D34" s="52"/>
    </row>
    <row r="35">
      <c r="D35" s="52"/>
    </row>
    <row r="36">
      <c r="D36" s="52"/>
    </row>
    <row r="37">
      <c r="D37" s="52"/>
    </row>
    <row r="38">
      <c r="D38" s="52"/>
    </row>
    <row r="39">
      <c r="D39" s="52"/>
    </row>
    <row r="40">
      <c r="D40" s="52"/>
    </row>
    <row r="41">
      <c r="D41" s="52"/>
    </row>
    <row r="42">
      <c r="D42" s="52"/>
    </row>
    <row r="43">
      <c r="D43" s="52"/>
    </row>
    <row r="44">
      <c r="D44" s="52"/>
    </row>
    <row r="45">
      <c r="D45" s="52"/>
    </row>
    <row r="46">
      <c r="D46" s="52"/>
    </row>
    <row r="47">
      <c r="D47" s="52"/>
    </row>
    <row r="48">
      <c r="D48" s="52"/>
    </row>
    <row r="49">
      <c r="D49" s="52"/>
    </row>
    <row r="50">
      <c r="D50" s="52"/>
    </row>
    <row r="51">
      <c r="D51" s="52"/>
    </row>
    <row r="52">
      <c r="D52" s="52"/>
    </row>
    <row r="53">
      <c r="D53" s="52"/>
    </row>
    <row r="54">
      <c r="D54" s="52"/>
    </row>
    <row r="55">
      <c r="D55" s="52"/>
    </row>
    <row r="56">
      <c r="D56" s="52"/>
    </row>
    <row r="57">
      <c r="D57" s="52"/>
    </row>
    <row r="58">
      <c r="D58" s="52"/>
    </row>
    <row r="59">
      <c r="D59" s="52"/>
    </row>
    <row r="60">
      <c r="D60" s="52"/>
    </row>
    <row r="61">
      <c r="D61" s="52"/>
    </row>
    <row r="62">
      <c r="D62" s="52"/>
    </row>
    <row r="63">
      <c r="D63" s="52"/>
    </row>
    <row r="64">
      <c r="D64" s="52"/>
    </row>
    <row r="65">
      <c r="D65" s="52"/>
    </row>
    <row r="66">
      <c r="D66" s="52"/>
    </row>
    <row r="67">
      <c r="D67" s="52"/>
    </row>
    <row r="68">
      <c r="D68" s="52"/>
    </row>
    <row r="69">
      <c r="D69" s="52"/>
    </row>
    <row r="70">
      <c r="D70" s="52"/>
    </row>
    <row r="71">
      <c r="D71" s="52"/>
    </row>
    <row r="72">
      <c r="D72" s="52"/>
    </row>
    <row r="73">
      <c r="D73" s="52"/>
    </row>
    <row r="74">
      <c r="D74" s="52"/>
    </row>
    <row r="75">
      <c r="D75" s="52"/>
    </row>
    <row r="76">
      <c r="D76" s="52"/>
    </row>
    <row r="77">
      <c r="D77" s="52"/>
    </row>
    <row r="78">
      <c r="D78" s="52"/>
    </row>
    <row r="79">
      <c r="D79" s="52"/>
    </row>
    <row r="80">
      <c r="D80" s="52"/>
    </row>
    <row r="81">
      <c r="D81" s="52"/>
    </row>
    <row r="82">
      <c r="D82" s="52"/>
    </row>
    <row r="83">
      <c r="D83" s="52"/>
    </row>
    <row r="84">
      <c r="D84" s="52"/>
    </row>
    <row r="85">
      <c r="D85" s="52"/>
    </row>
    <row r="86">
      <c r="D86" s="52"/>
    </row>
    <row r="87">
      <c r="D87" s="52"/>
    </row>
    <row r="88">
      <c r="D88" s="52"/>
    </row>
    <row r="89">
      <c r="D89" s="52"/>
    </row>
    <row r="90">
      <c r="D90" s="52"/>
    </row>
    <row r="91">
      <c r="D91" s="52"/>
    </row>
    <row r="92">
      <c r="D92" s="52"/>
    </row>
    <row r="93">
      <c r="D93" s="52"/>
    </row>
    <row r="94">
      <c r="D94" s="52"/>
    </row>
    <row r="95">
      <c r="D95" s="52"/>
    </row>
    <row r="96">
      <c r="D96" s="52"/>
    </row>
    <row r="97">
      <c r="D97" s="52"/>
    </row>
    <row r="98">
      <c r="D98" s="52"/>
    </row>
    <row r="99">
      <c r="D99" s="52"/>
    </row>
    <row r="100">
      <c r="D100" s="52"/>
    </row>
    <row r="101">
      <c r="D101" s="52"/>
    </row>
    <row r="102">
      <c r="D102" s="52"/>
    </row>
    <row r="103">
      <c r="D103" s="52"/>
    </row>
    <row r="104">
      <c r="D104" s="52"/>
    </row>
    <row r="105">
      <c r="D105" s="52"/>
    </row>
    <row r="106">
      <c r="D106" s="52"/>
    </row>
    <row r="107">
      <c r="D107" s="52"/>
    </row>
    <row r="108">
      <c r="D108" s="52"/>
    </row>
    <row r="109">
      <c r="D109" s="52"/>
    </row>
    <row r="110">
      <c r="D110" s="52"/>
    </row>
    <row r="111">
      <c r="D111" s="52"/>
    </row>
    <row r="112">
      <c r="D112" s="52"/>
    </row>
    <row r="113">
      <c r="D113" s="52"/>
    </row>
    <row r="114">
      <c r="D114" s="52"/>
    </row>
    <row r="115">
      <c r="D115" s="52"/>
    </row>
    <row r="116">
      <c r="D116" s="52"/>
    </row>
    <row r="117">
      <c r="D117" s="52"/>
    </row>
    <row r="118">
      <c r="D118" s="52"/>
    </row>
    <row r="119">
      <c r="D119" s="52"/>
    </row>
    <row r="120">
      <c r="D120" s="52"/>
    </row>
    <row r="121">
      <c r="D121" s="52"/>
    </row>
    <row r="122">
      <c r="D122" s="52"/>
    </row>
    <row r="123">
      <c r="D123" s="52"/>
    </row>
    <row r="124">
      <c r="D124" s="52"/>
    </row>
    <row r="125">
      <c r="D125" s="52"/>
    </row>
    <row r="126">
      <c r="D126" s="52"/>
    </row>
    <row r="127">
      <c r="D127" s="52"/>
    </row>
    <row r="128">
      <c r="D128" s="52"/>
    </row>
    <row r="129">
      <c r="D129" s="52"/>
    </row>
    <row r="130">
      <c r="D130" s="52"/>
    </row>
    <row r="131">
      <c r="D131" s="52"/>
    </row>
    <row r="132">
      <c r="D132" s="52"/>
    </row>
    <row r="133">
      <c r="D133" s="52"/>
    </row>
    <row r="134">
      <c r="D134" s="52"/>
    </row>
    <row r="135">
      <c r="D135" s="52"/>
    </row>
    <row r="136">
      <c r="D136" s="52"/>
    </row>
    <row r="137">
      <c r="D137" s="52"/>
    </row>
    <row r="138">
      <c r="D138" s="52"/>
    </row>
    <row r="139">
      <c r="D139" s="52"/>
    </row>
    <row r="140">
      <c r="D140" s="52"/>
    </row>
    <row r="141">
      <c r="D141" s="52"/>
    </row>
    <row r="142">
      <c r="D142" s="52"/>
    </row>
    <row r="143">
      <c r="D143" s="52"/>
    </row>
    <row r="144">
      <c r="D144" s="52"/>
    </row>
    <row r="145">
      <c r="D145" s="52"/>
    </row>
    <row r="146">
      <c r="D146" s="52"/>
    </row>
    <row r="147">
      <c r="D147" s="52"/>
    </row>
    <row r="148">
      <c r="D148" s="52"/>
    </row>
    <row r="149">
      <c r="D149" s="52"/>
    </row>
    <row r="150">
      <c r="D150" s="52"/>
    </row>
    <row r="151">
      <c r="D151" s="52"/>
    </row>
    <row r="152">
      <c r="D152" s="52"/>
    </row>
    <row r="153">
      <c r="D153" s="52"/>
    </row>
    <row r="154">
      <c r="D154" s="52"/>
    </row>
    <row r="155">
      <c r="D155" s="52"/>
    </row>
    <row r="156">
      <c r="D156" s="52"/>
    </row>
    <row r="157">
      <c r="D157" s="52"/>
    </row>
    <row r="158">
      <c r="D158" s="52"/>
    </row>
    <row r="159">
      <c r="D159" s="52"/>
    </row>
    <row r="160">
      <c r="D160" s="52"/>
    </row>
    <row r="161">
      <c r="D161" s="52"/>
    </row>
    <row r="162">
      <c r="D162" s="52"/>
    </row>
    <row r="163">
      <c r="D163" s="52"/>
    </row>
    <row r="164">
      <c r="D164" s="52"/>
    </row>
    <row r="165">
      <c r="D165" s="52"/>
    </row>
    <row r="166">
      <c r="D166" s="52"/>
    </row>
    <row r="167">
      <c r="D167" s="52"/>
    </row>
    <row r="168">
      <c r="D168" s="52"/>
    </row>
    <row r="169">
      <c r="D169" s="52"/>
    </row>
    <row r="170">
      <c r="D170" s="52"/>
    </row>
    <row r="171">
      <c r="D171" s="52"/>
    </row>
    <row r="172">
      <c r="D172" s="52"/>
    </row>
    <row r="173">
      <c r="D173" s="52"/>
    </row>
    <row r="174">
      <c r="D174" s="52"/>
    </row>
    <row r="175">
      <c r="D175" s="52"/>
    </row>
    <row r="176">
      <c r="D176" s="52"/>
    </row>
    <row r="177">
      <c r="D177" s="52"/>
    </row>
    <row r="178">
      <c r="D178" s="52"/>
    </row>
    <row r="179">
      <c r="D179" s="52"/>
    </row>
    <row r="180">
      <c r="D180" s="52"/>
    </row>
    <row r="181">
      <c r="D181" s="52"/>
    </row>
    <row r="182">
      <c r="D182" s="52"/>
    </row>
    <row r="183">
      <c r="D183" s="52"/>
    </row>
    <row r="184">
      <c r="D184" s="52"/>
    </row>
    <row r="185">
      <c r="D185" s="52"/>
    </row>
    <row r="186">
      <c r="D186" s="52"/>
    </row>
    <row r="187">
      <c r="D187" s="52"/>
    </row>
    <row r="188">
      <c r="D188" s="52"/>
    </row>
    <row r="189">
      <c r="D189" s="52"/>
    </row>
    <row r="190">
      <c r="D190" s="52"/>
    </row>
    <row r="191">
      <c r="D191" s="52"/>
    </row>
    <row r="192">
      <c r="D192" s="52"/>
    </row>
    <row r="193">
      <c r="D193" s="52"/>
    </row>
    <row r="194">
      <c r="D194" s="52"/>
    </row>
    <row r="195">
      <c r="D195" s="52"/>
    </row>
    <row r="196">
      <c r="D196" s="52"/>
    </row>
    <row r="197">
      <c r="D197" s="52"/>
    </row>
    <row r="198">
      <c r="D198" s="52"/>
    </row>
    <row r="199">
      <c r="D199" s="52"/>
    </row>
    <row r="200">
      <c r="D200" s="52"/>
    </row>
    <row r="201">
      <c r="D201" s="52"/>
    </row>
    <row r="202">
      <c r="D202" s="52"/>
    </row>
    <row r="203">
      <c r="D203" s="52"/>
    </row>
    <row r="204">
      <c r="D204" s="52"/>
    </row>
    <row r="205">
      <c r="D205" s="52"/>
    </row>
    <row r="206">
      <c r="D206" s="52"/>
    </row>
    <row r="207">
      <c r="D207" s="52"/>
    </row>
    <row r="208">
      <c r="D208" s="52"/>
    </row>
    <row r="209">
      <c r="D209" s="52"/>
    </row>
    <row r="210">
      <c r="D210" s="52"/>
    </row>
    <row r="211">
      <c r="D211" s="52"/>
    </row>
    <row r="212">
      <c r="D212" s="52"/>
    </row>
    <row r="213">
      <c r="D213" s="52"/>
    </row>
    <row r="214">
      <c r="D214" s="52"/>
    </row>
    <row r="215">
      <c r="D215" s="52"/>
    </row>
    <row r="216">
      <c r="D216" s="52"/>
    </row>
    <row r="217">
      <c r="D217" s="52"/>
    </row>
    <row r="218">
      <c r="D218" s="52"/>
    </row>
    <row r="219">
      <c r="D219" s="52"/>
    </row>
    <row r="220">
      <c r="D220" s="52"/>
    </row>
    <row r="221">
      <c r="D221" s="52"/>
    </row>
    <row r="222">
      <c r="D222" s="52"/>
    </row>
    <row r="223">
      <c r="D223" s="52"/>
    </row>
    <row r="224">
      <c r="D224" s="52"/>
    </row>
    <row r="225">
      <c r="D225" s="52"/>
    </row>
    <row r="226">
      <c r="D226" s="52"/>
    </row>
    <row r="227">
      <c r="D227" s="52"/>
    </row>
    <row r="228">
      <c r="D228" s="52"/>
    </row>
    <row r="229">
      <c r="D229" s="52"/>
    </row>
    <row r="230">
      <c r="D230" s="52"/>
    </row>
    <row r="231">
      <c r="D231" s="52"/>
    </row>
    <row r="232">
      <c r="D232" s="52"/>
    </row>
    <row r="233">
      <c r="D233" s="52"/>
    </row>
    <row r="234">
      <c r="D234" s="52"/>
    </row>
    <row r="235">
      <c r="D235" s="52"/>
    </row>
    <row r="236">
      <c r="D236" s="52"/>
    </row>
    <row r="237">
      <c r="D237" s="52"/>
    </row>
    <row r="238">
      <c r="D238" s="52"/>
    </row>
    <row r="239">
      <c r="D239" s="52"/>
    </row>
    <row r="240">
      <c r="D240" s="52"/>
    </row>
    <row r="241">
      <c r="D241" s="52"/>
    </row>
    <row r="242">
      <c r="D242" s="52"/>
    </row>
    <row r="243">
      <c r="D243" s="52"/>
    </row>
    <row r="244">
      <c r="D244" s="52"/>
    </row>
    <row r="245">
      <c r="D245" s="52"/>
    </row>
    <row r="246">
      <c r="D246" s="52"/>
    </row>
    <row r="247">
      <c r="D247" s="52"/>
    </row>
    <row r="248">
      <c r="D248" s="52"/>
    </row>
    <row r="249">
      <c r="D249" s="52"/>
    </row>
    <row r="250">
      <c r="D250" s="52"/>
    </row>
    <row r="251">
      <c r="D251" s="52"/>
    </row>
    <row r="252">
      <c r="D252" s="52"/>
    </row>
    <row r="253">
      <c r="D253" s="52"/>
    </row>
    <row r="254">
      <c r="D254" s="52"/>
    </row>
    <row r="255">
      <c r="D255" s="52"/>
    </row>
    <row r="256">
      <c r="D256" s="52"/>
    </row>
    <row r="257">
      <c r="D257" s="52"/>
    </row>
    <row r="258">
      <c r="D258" s="52"/>
    </row>
    <row r="259">
      <c r="D259" s="52"/>
    </row>
    <row r="260">
      <c r="D260" s="52"/>
    </row>
    <row r="261">
      <c r="D261" s="52"/>
    </row>
    <row r="262">
      <c r="D262" s="52"/>
    </row>
    <row r="263">
      <c r="D263" s="52"/>
    </row>
    <row r="264">
      <c r="D264" s="52"/>
    </row>
    <row r="265">
      <c r="D265" s="52"/>
    </row>
    <row r="266">
      <c r="D266" s="52"/>
    </row>
    <row r="267">
      <c r="D267" s="52"/>
    </row>
    <row r="268">
      <c r="D268" s="52"/>
    </row>
    <row r="269">
      <c r="D269" s="52"/>
    </row>
    <row r="270">
      <c r="D270" s="52"/>
    </row>
    <row r="271">
      <c r="D271" s="52"/>
    </row>
    <row r="272">
      <c r="D272" s="52"/>
    </row>
    <row r="273">
      <c r="D273" s="52"/>
    </row>
    <row r="274">
      <c r="D274" s="52"/>
    </row>
    <row r="275">
      <c r="D275" s="52"/>
    </row>
    <row r="276">
      <c r="D276" s="52"/>
    </row>
    <row r="277">
      <c r="D277" s="52"/>
    </row>
    <row r="278">
      <c r="D278" s="52"/>
    </row>
    <row r="279">
      <c r="D279" s="52"/>
    </row>
    <row r="280">
      <c r="D280" s="52"/>
    </row>
    <row r="281">
      <c r="D281" s="52"/>
    </row>
    <row r="282">
      <c r="D282" s="52"/>
    </row>
    <row r="283">
      <c r="D283" s="52"/>
    </row>
    <row r="284">
      <c r="D284" s="52"/>
    </row>
    <row r="285">
      <c r="D285" s="52"/>
    </row>
    <row r="286">
      <c r="D286" s="52"/>
    </row>
    <row r="287">
      <c r="D287" s="52"/>
    </row>
    <row r="288">
      <c r="D288" s="52"/>
    </row>
    <row r="289">
      <c r="D289" s="52"/>
    </row>
    <row r="290">
      <c r="D290" s="52"/>
    </row>
    <row r="291">
      <c r="D291" s="52"/>
    </row>
    <row r="292">
      <c r="D292" s="52"/>
    </row>
    <row r="293">
      <c r="D293" s="52"/>
    </row>
    <row r="294">
      <c r="D294" s="52"/>
    </row>
    <row r="295">
      <c r="D295" s="52"/>
    </row>
    <row r="296">
      <c r="D296" s="52"/>
    </row>
    <row r="297">
      <c r="D297" s="52"/>
    </row>
    <row r="298">
      <c r="D298" s="52"/>
    </row>
    <row r="299">
      <c r="D299" s="52"/>
    </row>
    <row r="300">
      <c r="D300" s="52"/>
    </row>
    <row r="301">
      <c r="D301" s="52"/>
    </row>
    <row r="302">
      <c r="D302" s="52"/>
    </row>
    <row r="303">
      <c r="D303" s="52"/>
    </row>
    <row r="304">
      <c r="D304" s="52"/>
    </row>
    <row r="305">
      <c r="D305" s="52"/>
    </row>
    <row r="306">
      <c r="D306" s="52"/>
    </row>
    <row r="307">
      <c r="D307" s="52"/>
    </row>
    <row r="308">
      <c r="D308" s="52"/>
    </row>
    <row r="309">
      <c r="D309" s="52"/>
    </row>
    <row r="310">
      <c r="D310" s="52"/>
    </row>
    <row r="311">
      <c r="D311" s="52"/>
    </row>
    <row r="312">
      <c r="D312" s="52"/>
    </row>
    <row r="313">
      <c r="D313" s="52"/>
    </row>
    <row r="314">
      <c r="D314" s="52"/>
    </row>
    <row r="315">
      <c r="D315" s="52"/>
    </row>
    <row r="316">
      <c r="D316" s="52"/>
    </row>
    <row r="317">
      <c r="D317" s="52"/>
    </row>
    <row r="318">
      <c r="D318" s="52"/>
    </row>
    <row r="319">
      <c r="D319" s="52"/>
    </row>
    <row r="320">
      <c r="D320" s="52"/>
    </row>
    <row r="321">
      <c r="D321" s="52"/>
    </row>
    <row r="322">
      <c r="D322" s="52"/>
    </row>
    <row r="323">
      <c r="D323" s="52"/>
    </row>
    <row r="324">
      <c r="D324" s="52"/>
    </row>
    <row r="325">
      <c r="D325" s="52"/>
    </row>
    <row r="326">
      <c r="D326" s="52"/>
    </row>
    <row r="327">
      <c r="D327" s="52"/>
    </row>
    <row r="328">
      <c r="D328" s="52"/>
    </row>
    <row r="329">
      <c r="D329" s="52"/>
    </row>
    <row r="330">
      <c r="D330" s="52"/>
    </row>
    <row r="331">
      <c r="D331" s="52"/>
    </row>
    <row r="332">
      <c r="D332" s="52"/>
    </row>
    <row r="333">
      <c r="D333" s="52"/>
    </row>
    <row r="334">
      <c r="D334" s="52"/>
    </row>
    <row r="335">
      <c r="D335" s="52"/>
    </row>
    <row r="336">
      <c r="D336" s="52"/>
    </row>
    <row r="337">
      <c r="D337" s="52"/>
    </row>
    <row r="338">
      <c r="D338" s="52"/>
    </row>
    <row r="339">
      <c r="D339" s="52"/>
    </row>
    <row r="340">
      <c r="D340" s="52"/>
    </row>
    <row r="341">
      <c r="D341" s="52"/>
    </row>
    <row r="342">
      <c r="D342" s="52"/>
    </row>
    <row r="343">
      <c r="D343" s="52"/>
    </row>
    <row r="344">
      <c r="D344" s="52"/>
    </row>
    <row r="345">
      <c r="D345" s="52"/>
    </row>
    <row r="346">
      <c r="D346" s="52"/>
    </row>
    <row r="347">
      <c r="D347" s="52"/>
    </row>
    <row r="348">
      <c r="D348" s="52"/>
    </row>
    <row r="349">
      <c r="D349" s="52"/>
    </row>
    <row r="350">
      <c r="D350" s="52"/>
    </row>
    <row r="351">
      <c r="D351" s="52"/>
    </row>
    <row r="352">
      <c r="D352" s="52"/>
    </row>
    <row r="353">
      <c r="D353" s="52"/>
    </row>
    <row r="354">
      <c r="D354" s="52"/>
    </row>
    <row r="355">
      <c r="D355" s="52"/>
    </row>
    <row r="356">
      <c r="D356" s="52"/>
    </row>
    <row r="357">
      <c r="D357" s="52"/>
    </row>
    <row r="358">
      <c r="D358" s="52"/>
    </row>
    <row r="359">
      <c r="D359" s="52"/>
    </row>
    <row r="360">
      <c r="D360" s="52"/>
    </row>
    <row r="361">
      <c r="D361" s="52"/>
    </row>
    <row r="362">
      <c r="D362" s="52"/>
    </row>
    <row r="363">
      <c r="D363" s="52"/>
    </row>
    <row r="364">
      <c r="D364" s="52"/>
    </row>
    <row r="365">
      <c r="D365" s="52"/>
    </row>
    <row r="366">
      <c r="D366" s="52"/>
    </row>
    <row r="367">
      <c r="D367" s="52"/>
    </row>
    <row r="368">
      <c r="D368" s="52"/>
    </row>
    <row r="369">
      <c r="D369" s="52"/>
    </row>
    <row r="370">
      <c r="D370" s="52"/>
    </row>
    <row r="371">
      <c r="D371" s="52"/>
    </row>
    <row r="372">
      <c r="D372" s="52"/>
    </row>
    <row r="373">
      <c r="D373" s="52"/>
    </row>
    <row r="374">
      <c r="D374" s="52"/>
    </row>
    <row r="375">
      <c r="D375" s="52"/>
    </row>
    <row r="376">
      <c r="D376" s="52"/>
    </row>
    <row r="377">
      <c r="D377" s="52"/>
    </row>
    <row r="378">
      <c r="D378" s="52"/>
    </row>
    <row r="379">
      <c r="D379" s="52"/>
    </row>
    <row r="380">
      <c r="D380" s="52"/>
    </row>
    <row r="381">
      <c r="D381" s="52"/>
    </row>
    <row r="382">
      <c r="D382" s="52"/>
    </row>
    <row r="383">
      <c r="D383" s="52"/>
    </row>
    <row r="384">
      <c r="D384" s="52"/>
    </row>
    <row r="385">
      <c r="D385" s="52"/>
    </row>
    <row r="386">
      <c r="D386" s="52"/>
    </row>
    <row r="387">
      <c r="D387" s="52"/>
    </row>
    <row r="388">
      <c r="D388" s="52"/>
    </row>
    <row r="389">
      <c r="D389" s="52"/>
    </row>
    <row r="390">
      <c r="D390" s="52"/>
    </row>
    <row r="391">
      <c r="D391" s="52"/>
    </row>
    <row r="392">
      <c r="D392" s="52"/>
    </row>
    <row r="393">
      <c r="D393" s="52"/>
    </row>
    <row r="394">
      <c r="D394" s="52"/>
    </row>
    <row r="395">
      <c r="D395" s="52"/>
    </row>
    <row r="396">
      <c r="D396" s="52"/>
    </row>
    <row r="397">
      <c r="D397" s="52"/>
    </row>
    <row r="398">
      <c r="D398" s="52"/>
    </row>
    <row r="399">
      <c r="D399" s="52"/>
    </row>
    <row r="400">
      <c r="D400" s="52"/>
    </row>
    <row r="401">
      <c r="D401" s="52"/>
    </row>
    <row r="402">
      <c r="D402" s="52"/>
    </row>
    <row r="403">
      <c r="D403" s="52"/>
    </row>
    <row r="404">
      <c r="D404" s="52"/>
    </row>
    <row r="405">
      <c r="D405" s="52"/>
    </row>
    <row r="406">
      <c r="D406" s="52"/>
    </row>
    <row r="407">
      <c r="D407" s="52"/>
    </row>
    <row r="408">
      <c r="D408" s="52"/>
    </row>
    <row r="409">
      <c r="D409" s="52"/>
    </row>
    <row r="410">
      <c r="D410" s="52"/>
    </row>
    <row r="411">
      <c r="D411" s="52"/>
    </row>
    <row r="412">
      <c r="D412" s="52"/>
    </row>
    <row r="413">
      <c r="D413" s="52"/>
    </row>
    <row r="414">
      <c r="D414" s="52"/>
    </row>
    <row r="415">
      <c r="D415" s="52"/>
    </row>
    <row r="416">
      <c r="D416" s="52"/>
    </row>
    <row r="417">
      <c r="D417" s="52"/>
    </row>
    <row r="418">
      <c r="D418" s="52"/>
    </row>
    <row r="419">
      <c r="D419" s="52"/>
    </row>
    <row r="420">
      <c r="D420" s="52"/>
    </row>
    <row r="421">
      <c r="D421" s="52"/>
    </row>
    <row r="422">
      <c r="D422" s="52"/>
    </row>
    <row r="423">
      <c r="D423" s="52"/>
    </row>
    <row r="424">
      <c r="D424" s="52"/>
    </row>
    <row r="425">
      <c r="D425" s="52"/>
    </row>
    <row r="426">
      <c r="D426" s="52"/>
    </row>
    <row r="427">
      <c r="D427" s="52"/>
    </row>
    <row r="428">
      <c r="D428" s="52"/>
    </row>
    <row r="429">
      <c r="D429" s="52"/>
    </row>
    <row r="430">
      <c r="D430" s="52"/>
    </row>
    <row r="431">
      <c r="D431" s="52"/>
    </row>
    <row r="432">
      <c r="D432" s="52"/>
    </row>
    <row r="433">
      <c r="D433" s="52"/>
    </row>
    <row r="434">
      <c r="D434" s="52"/>
    </row>
    <row r="435">
      <c r="D435" s="52"/>
    </row>
    <row r="436">
      <c r="D436" s="52"/>
    </row>
    <row r="437">
      <c r="D437" s="52"/>
    </row>
    <row r="438">
      <c r="D438" s="52"/>
    </row>
    <row r="439">
      <c r="D439" s="52"/>
    </row>
    <row r="440">
      <c r="D440" s="52"/>
    </row>
    <row r="441">
      <c r="D441" s="52"/>
    </row>
    <row r="442">
      <c r="D442" s="52"/>
    </row>
    <row r="443">
      <c r="D443" s="52"/>
    </row>
    <row r="444">
      <c r="D444" s="52"/>
    </row>
    <row r="445">
      <c r="D445" s="52"/>
    </row>
    <row r="446">
      <c r="D446" s="52"/>
    </row>
    <row r="447">
      <c r="D447" s="52"/>
    </row>
    <row r="448">
      <c r="D448" s="52"/>
    </row>
    <row r="449">
      <c r="D449" s="52"/>
    </row>
    <row r="450">
      <c r="D450" s="52"/>
    </row>
    <row r="451">
      <c r="D451" s="52"/>
    </row>
    <row r="452">
      <c r="D452" s="52"/>
    </row>
    <row r="453">
      <c r="D453" s="52"/>
    </row>
    <row r="454">
      <c r="D454" s="52"/>
    </row>
    <row r="455">
      <c r="D455" s="52"/>
    </row>
    <row r="456">
      <c r="D456" s="52"/>
    </row>
    <row r="457">
      <c r="D457" s="52"/>
    </row>
    <row r="458">
      <c r="D458" s="52"/>
    </row>
    <row r="459">
      <c r="D459" s="52"/>
    </row>
    <row r="460">
      <c r="D460" s="52"/>
    </row>
    <row r="461">
      <c r="D461" s="52"/>
    </row>
    <row r="462">
      <c r="D462" s="52"/>
    </row>
    <row r="463">
      <c r="D463" s="52"/>
    </row>
    <row r="464">
      <c r="D464" s="52"/>
    </row>
    <row r="465">
      <c r="D465" s="52"/>
    </row>
    <row r="466">
      <c r="D466" s="52"/>
    </row>
    <row r="467">
      <c r="D467" s="52"/>
    </row>
    <row r="468">
      <c r="D468" s="52"/>
    </row>
    <row r="469">
      <c r="D469" s="52"/>
    </row>
    <row r="470">
      <c r="D470" s="52"/>
    </row>
    <row r="471">
      <c r="D471" s="52"/>
    </row>
    <row r="472">
      <c r="D472" s="52"/>
    </row>
    <row r="473">
      <c r="D473" s="52"/>
    </row>
    <row r="474">
      <c r="D474" s="52"/>
    </row>
    <row r="475">
      <c r="D475" s="52"/>
    </row>
    <row r="476">
      <c r="D476" s="52"/>
    </row>
    <row r="477">
      <c r="D477" s="52"/>
    </row>
    <row r="478">
      <c r="D478" s="52"/>
    </row>
    <row r="479">
      <c r="D479" s="52"/>
    </row>
    <row r="480">
      <c r="D480" s="52"/>
    </row>
    <row r="481">
      <c r="D481" s="52"/>
    </row>
    <row r="482">
      <c r="D482" s="52"/>
    </row>
    <row r="483">
      <c r="D483" s="52"/>
    </row>
    <row r="484">
      <c r="D484" s="52"/>
    </row>
    <row r="485">
      <c r="D485" s="52"/>
    </row>
    <row r="486">
      <c r="D486" s="52"/>
    </row>
    <row r="487">
      <c r="D487" s="52"/>
    </row>
    <row r="488">
      <c r="D488" s="52"/>
    </row>
    <row r="489">
      <c r="D489" s="52"/>
    </row>
    <row r="490">
      <c r="D490" s="52"/>
    </row>
    <row r="491">
      <c r="D491" s="52"/>
    </row>
    <row r="492">
      <c r="D492" s="52"/>
    </row>
    <row r="493">
      <c r="D493" s="52"/>
    </row>
    <row r="494">
      <c r="D494" s="52"/>
    </row>
    <row r="495">
      <c r="D495" s="52"/>
    </row>
    <row r="496">
      <c r="D496" s="52"/>
    </row>
    <row r="497">
      <c r="D497" s="52"/>
    </row>
    <row r="498">
      <c r="D498" s="52"/>
    </row>
    <row r="499">
      <c r="D499" s="52"/>
    </row>
    <row r="500">
      <c r="D500" s="52"/>
    </row>
    <row r="501">
      <c r="D501" s="52"/>
    </row>
    <row r="502">
      <c r="D502" s="52"/>
    </row>
    <row r="503">
      <c r="D503" s="52"/>
    </row>
    <row r="504">
      <c r="D504" s="52"/>
    </row>
    <row r="505">
      <c r="D505" s="52"/>
    </row>
    <row r="506">
      <c r="D506" s="52"/>
    </row>
    <row r="507">
      <c r="D507" s="52"/>
    </row>
    <row r="508">
      <c r="D508" s="52"/>
    </row>
    <row r="509">
      <c r="D509" s="52"/>
    </row>
    <row r="510">
      <c r="D510" s="52"/>
    </row>
    <row r="511">
      <c r="D511" s="52"/>
    </row>
    <row r="512">
      <c r="D512" s="52"/>
    </row>
    <row r="513">
      <c r="D513" s="52"/>
    </row>
    <row r="514">
      <c r="D514" s="52"/>
    </row>
    <row r="515">
      <c r="D515" s="52"/>
    </row>
    <row r="516">
      <c r="D516" s="52"/>
    </row>
    <row r="517">
      <c r="D517" s="52"/>
    </row>
    <row r="518">
      <c r="D518" s="52"/>
    </row>
    <row r="519">
      <c r="D519" s="52"/>
    </row>
    <row r="520">
      <c r="D520" s="52"/>
    </row>
    <row r="521">
      <c r="D521" s="52"/>
    </row>
    <row r="522">
      <c r="D522" s="52"/>
    </row>
    <row r="523">
      <c r="D523" s="52"/>
    </row>
    <row r="524">
      <c r="D524" s="52"/>
    </row>
    <row r="525">
      <c r="D525" s="52"/>
    </row>
    <row r="526">
      <c r="D526" s="52"/>
    </row>
    <row r="527">
      <c r="D527" s="52"/>
    </row>
    <row r="528">
      <c r="D528" s="52"/>
    </row>
    <row r="529">
      <c r="D529" s="52"/>
    </row>
    <row r="530">
      <c r="D530" s="52"/>
    </row>
    <row r="531">
      <c r="D531" s="52"/>
    </row>
    <row r="532">
      <c r="D532" s="52"/>
    </row>
    <row r="533">
      <c r="D533" s="52"/>
    </row>
    <row r="534">
      <c r="D534" s="52"/>
    </row>
    <row r="535">
      <c r="D535" s="52"/>
    </row>
    <row r="536">
      <c r="D536" s="52"/>
    </row>
    <row r="537">
      <c r="D537" s="52"/>
    </row>
    <row r="538">
      <c r="D538" s="52"/>
    </row>
    <row r="539">
      <c r="D539" s="52"/>
    </row>
    <row r="540">
      <c r="D540" s="52"/>
    </row>
    <row r="541">
      <c r="D541" s="52"/>
    </row>
    <row r="542">
      <c r="D542" s="52"/>
    </row>
    <row r="543">
      <c r="D543" s="52"/>
    </row>
    <row r="544">
      <c r="D544" s="52"/>
    </row>
    <row r="545">
      <c r="D545" s="52"/>
    </row>
    <row r="546">
      <c r="D546" s="52"/>
    </row>
    <row r="547">
      <c r="D547" s="52"/>
    </row>
    <row r="548">
      <c r="D548" s="52"/>
    </row>
    <row r="549">
      <c r="D549" s="52"/>
    </row>
    <row r="550">
      <c r="D550" s="52"/>
    </row>
    <row r="551">
      <c r="D551" s="52"/>
    </row>
    <row r="552">
      <c r="D552" s="52"/>
    </row>
    <row r="553">
      <c r="D553" s="52"/>
    </row>
    <row r="554">
      <c r="D554" s="52"/>
    </row>
    <row r="555">
      <c r="D555" s="52"/>
    </row>
    <row r="556">
      <c r="D556" s="52"/>
    </row>
    <row r="557">
      <c r="D557" s="52"/>
    </row>
    <row r="558">
      <c r="D558" s="52"/>
    </row>
    <row r="559">
      <c r="D559" s="52"/>
    </row>
    <row r="560">
      <c r="D560" s="52"/>
    </row>
    <row r="561">
      <c r="D561" s="52"/>
    </row>
    <row r="562">
      <c r="D562" s="52"/>
    </row>
    <row r="563">
      <c r="D563" s="52"/>
    </row>
    <row r="564">
      <c r="D564" s="52"/>
    </row>
    <row r="565">
      <c r="D565" s="52"/>
    </row>
    <row r="566">
      <c r="D566" s="52"/>
    </row>
    <row r="567">
      <c r="D567" s="52"/>
    </row>
    <row r="568">
      <c r="D568" s="52"/>
    </row>
    <row r="569">
      <c r="D569" s="52"/>
    </row>
    <row r="570">
      <c r="D570" s="52"/>
    </row>
    <row r="571">
      <c r="D571" s="52"/>
    </row>
    <row r="572">
      <c r="D572" s="52"/>
    </row>
    <row r="573">
      <c r="D573" s="52"/>
    </row>
    <row r="574">
      <c r="D574" s="52"/>
    </row>
    <row r="575">
      <c r="D575" s="52"/>
    </row>
    <row r="576">
      <c r="D576" s="52"/>
    </row>
    <row r="577">
      <c r="D577" s="52"/>
    </row>
    <row r="578">
      <c r="D578" s="52"/>
    </row>
    <row r="579">
      <c r="D579" s="52"/>
    </row>
    <row r="580">
      <c r="D580" s="52"/>
    </row>
    <row r="581">
      <c r="D581" s="52"/>
    </row>
    <row r="582">
      <c r="D582" s="52"/>
    </row>
    <row r="583">
      <c r="D583" s="52"/>
    </row>
    <row r="584">
      <c r="D584" s="52"/>
    </row>
    <row r="585">
      <c r="D585" s="52"/>
    </row>
    <row r="586">
      <c r="D586" s="52"/>
    </row>
    <row r="587">
      <c r="D587" s="52"/>
    </row>
    <row r="588">
      <c r="D588" s="52"/>
    </row>
    <row r="589">
      <c r="D589" s="52"/>
    </row>
    <row r="590">
      <c r="D590" s="52"/>
    </row>
    <row r="591">
      <c r="D591" s="52"/>
    </row>
    <row r="592">
      <c r="D592" s="52"/>
    </row>
    <row r="593">
      <c r="D593" s="52"/>
    </row>
    <row r="594">
      <c r="D594" s="52"/>
    </row>
    <row r="595">
      <c r="D595" s="52"/>
    </row>
    <row r="596">
      <c r="D596" s="52"/>
    </row>
    <row r="597">
      <c r="D597" s="52"/>
    </row>
    <row r="598">
      <c r="D598" s="52"/>
    </row>
    <row r="599">
      <c r="D599" s="52"/>
    </row>
    <row r="600">
      <c r="D600" s="52"/>
    </row>
    <row r="601">
      <c r="D601" s="52"/>
    </row>
    <row r="602">
      <c r="D602" s="52"/>
    </row>
    <row r="603">
      <c r="D603" s="52"/>
    </row>
    <row r="604">
      <c r="D604" s="52"/>
    </row>
    <row r="605">
      <c r="D605" s="52"/>
    </row>
    <row r="606">
      <c r="D606" s="52"/>
    </row>
    <row r="607">
      <c r="D607" s="52"/>
    </row>
    <row r="608">
      <c r="D608" s="52"/>
    </row>
    <row r="609">
      <c r="D609" s="52"/>
    </row>
    <row r="610">
      <c r="D610" s="52"/>
    </row>
    <row r="611">
      <c r="D611" s="52"/>
    </row>
    <row r="612">
      <c r="D612" s="52"/>
    </row>
    <row r="613">
      <c r="D613" s="52"/>
    </row>
    <row r="614">
      <c r="D614" s="52"/>
    </row>
    <row r="615">
      <c r="D615" s="52"/>
    </row>
    <row r="616">
      <c r="D616" s="52"/>
    </row>
    <row r="617">
      <c r="D617" s="52"/>
    </row>
    <row r="618">
      <c r="D618" s="52"/>
    </row>
    <row r="619">
      <c r="D619" s="52"/>
    </row>
    <row r="620">
      <c r="D620" s="52"/>
    </row>
    <row r="621">
      <c r="D621" s="52"/>
    </row>
    <row r="622">
      <c r="D622" s="52"/>
    </row>
    <row r="623">
      <c r="D623" s="52"/>
    </row>
    <row r="624">
      <c r="D624" s="52"/>
    </row>
    <row r="625">
      <c r="D625" s="52"/>
    </row>
    <row r="626">
      <c r="D626" s="52"/>
    </row>
    <row r="627">
      <c r="D627" s="52"/>
    </row>
    <row r="628">
      <c r="D628" s="52"/>
    </row>
    <row r="629">
      <c r="D629" s="52"/>
    </row>
    <row r="630">
      <c r="D630" s="52"/>
    </row>
    <row r="631">
      <c r="D631" s="52"/>
    </row>
    <row r="632">
      <c r="D632" s="52"/>
    </row>
    <row r="633">
      <c r="D633" s="52"/>
    </row>
    <row r="634">
      <c r="D634" s="52"/>
    </row>
    <row r="635">
      <c r="D635" s="52"/>
    </row>
    <row r="636">
      <c r="D636" s="52"/>
    </row>
    <row r="637">
      <c r="D637" s="52"/>
    </row>
    <row r="638">
      <c r="D638" s="52"/>
    </row>
    <row r="639">
      <c r="D639" s="52"/>
    </row>
    <row r="640">
      <c r="D640" s="52"/>
    </row>
    <row r="641">
      <c r="D641" s="52"/>
    </row>
    <row r="642">
      <c r="D642" s="52"/>
    </row>
    <row r="643">
      <c r="D643" s="52"/>
    </row>
    <row r="644">
      <c r="D644" s="52"/>
    </row>
    <row r="645">
      <c r="D645" s="52"/>
    </row>
    <row r="646">
      <c r="D646" s="52"/>
    </row>
    <row r="647">
      <c r="D647" s="52"/>
    </row>
    <row r="648">
      <c r="D648" s="52"/>
    </row>
    <row r="649">
      <c r="D649" s="52"/>
    </row>
    <row r="650">
      <c r="D650" s="52"/>
    </row>
    <row r="651">
      <c r="D651" s="52"/>
    </row>
    <row r="652">
      <c r="D652" s="52"/>
    </row>
    <row r="653">
      <c r="D653" s="52"/>
    </row>
    <row r="654">
      <c r="D654" s="52"/>
    </row>
    <row r="655">
      <c r="D655" s="52"/>
    </row>
    <row r="656">
      <c r="D656" s="52"/>
    </row>
    <row r="657">
      <c r="D657" s="52"/>
    </row>
    <row r="658">
      <c r="D658" s="52"/>
    </row>
    <row r="659">
      <c r="D659" s="52"/>
    </row>
    <row r="660">
      <c r="D660" s="52"/>
    </row>
    <row r="661">
      <c r="D661" s="52"/>
    </row>
    <row r="662">
      <c r="D662" s="52"/>
    </row>
    <row r="663">
      <c r="D663" s="52"/>
    </row>
    <row r="664">
      <c r="D664" s="52"/>
    </row>
    <row r="665">
      <c r="D665" s="52"/>
    </row>
    <row r="666">
      <c r="D666" s="52"/>
    </row>
    <row r="667">
      <c r="D667" s="52"/>
    </row>
    <row r="668">
      <c r="D668" s="52"/>
    </row>
    <row r="669">
      <c r="D669" s="52"/>
    </row>
    <row r="670">
      <c r="D670" s="52"/>
    </row>
    <row r="671">
      <c r="D671" s="52"/>
    </row>
    <row r="672">
      <c r="D672" s="52"/>
    </row>
    <row r="673">
      <c r="D673" s="52"/>
    </row>
    <row r="674">
      <c r="D674" s="52"/>
    </row>
    <row r="675">
      <c r="D675" s="52"/>
    </row>
    <row r="676">
      <c r="D676" s="52"/>
    </row>
    <row r="677">
      <c r="D677" s="52"/>
    </row>
    <row r="678">
      <c r="D678" s="52"/>
    </row>
    <row r="679">
      <c r="D679" s="52"/>
    </row>
    <row r="680">
      <c r="D680" s="52"/>
    </row>
    <row r="681">
      <c r="D681" s="52"/>
    </row>
    <row r="682">
      <c r="D682" s="52"/>
    </row>
    <row r="683">
      <c r="D683" s="52"/>
    </row>
    <row r="684">
      <c r="D684" s="52"/>
    </row>
    <row r="685">
      <c r="D685" s="52"/>
    </row>
    <row r="686">
      <c r="D686" s="52"/>
    </row>
    <row r="687">
      <c r="D687" s="52"/>
    </row>
    <row r="688">
      <c r="D688" s="52"/>
    </row>
    <row r="689">
      <c r="D689" s="52"/>
    </row>
    <row r="690">
      <c r="D690" s="52"/>
    </row>
    <row r="691">
      <c r="D691" s="52"/>
    </row>
    <row r="692">
      <c r="D692" s="52"/>
    </row>
    <row r="693">
      <c r="D693" s="52"/>
    </row>
    <row r="694">
      <c r="D694" s="52"/>
    </row>
    <row r="695">
      <c r="D695" s="52"/>
    </row>
    <row r="696">
      <c r="D696" s="52"/>
    </row>
    <row r="697">
      <c r="D697" s="52"/>
    </row>
    <row r="698">
      <c r="D698" s="52"/>
    </row>
    <row r="699">
      <c r="D699" s="52"/>
    </row>
    <row r="700">
      <c r="D700" s="52"/>
    </row>
    <row r="701">
      <c r="D701" s="52"/>
    </row>
    <row r="702">
      <c r="D702" s="52"/>
    </row>
    <row r="703">
      <c r="D703" s="52"/>
    </row>
    <row r="704">
      <c r="D704" s="52"/>
    </row>
    <row r="705">
      <c r="D705" s="52"/>
    </row>
    <row r="706">
      <c r="D706" s="52"/>
    </row>
    <row r="707">
      <c r="D707" s="52"/>
    </row>
    <row r="708">
      <c r="D708" s="52"/>
    </row>
    <row r="709">
      <c r="D709" s="52"/>
    </row>
    <row r="710">
      <c r="D710" s="52"/>
    </row>
    <row r="711">
      <c r="D711" s="52"/>
    </row>
    <row r="712">
      <c r="D712" s="52"/>
    </row>
    <row r="713">
      <c r="D713" s="52"/>
    </row>
    <row r="714">
      <c r="D714" s="52"/>
    </row>
    <row r="715">
      <c r="D715" s="52"/>
    </row>
    <row r="716">
      <c r="D716" s="52"/>
    </row>
    <row r="717">
      <c r="D717" s="52"/>
    </row>
    <row r="718">
      <c r="D718" s="52"/>
    </row>
    <row r="719">
      <c r="D719" s="52"/>
    </row>
    <row r="720">
      <c r="D720" s="52"/>
    </row>
    <row r="721">
      <c r="D721" s="52"/>
    </row>
    <row r="722">
      <c r="D722" s="52"/>
    </row>
    <row r="723">
      <c r="D723" s="52"/>
    </row>
    <row r="724">
      <c r="D724" s="52"/>
    </row>
    <row r="725">
      <c r="D725" s="52"/>
    </row>
    <row r="726">
      <c r="D726" s="52"/>
    </row>
    <row r="727">
      <c r="D727" s="52"/>
    </row>
    <row r="728">
      <c r="D728" s="52"/>
    </row>
    <row r="729">
      <c r="D729" s="52"/>
    </row>
    <row r="730">
      <c r="D730" s="52"/>
    </row>
    <row r="731">
      <c r="D731" s="52"/>
    </row>
    <row r="732">
      <c r="D732" s="52"/>
    </row>
    <row r="733">
      <c r="D733" s="52"/>
    </row>
    <row r="734">
      <c r="D734" s="52"/>
    </row>
    <row r="735">
      <c r="D735" s="52"/>
    </row>
    <row r="736">
      <c r="D736" s="52"/>
    </row>
    <row r="737">
      <c r="D737" s="52"/>
    </row>
    <row r="738">
      <c r="D738" s="52"/>
    </row>
    <row r="739">
      <c r="D739" s="52"/>
    </row>
    <row r="740">
      <c r="D740" s="52"/>
    </row>
    <row r="741">
      <c r="D741" s="52"/>
    </row>
    <row r="742">
      <c r="D742" s="52"/>
    </row>
    <row r="743">
      <c r="D743" s="52"/>
    </row>
    <row r="744">
      <c r="D744" s="52"/>
    </row>
    <row r="745">
      <c r="D745" s="52"/>
    </row>
    <row r="746">
      <c r="D746" s="52"/>
    </row>
    <row r="747">
      <c r="D747" s="52"/>
    </row>
    <row r="748">
      <c r="D748" s="52"/>
    </row>
    <row r="749">
      <c r="D749" s="52"/>
    </row>
    <row r="750">
      <c r="D750" s="52"/>
    </row>
    <row r="751">
      <c r="D751" s="52"/>
    </row>
    <row r="752">
      <c r="D752" s="52"/>
    </row>
    <row r="753">
      <c r="D753" s="52"/>
    </row>
    <row r="754">
      <c r="D754" s="52"/>
    </row>
    <row r="755">
      <c r="D755" s="52"/>
    </row>
    <row r="756">
      <c r="D756" s="52"/>
    </row>
    <row r="757">
      <c r="D757" s="52"/>
    </row>
    <row r="758">
      <c r="D758" s="52"/>
    </row>
    <row r="759">
      <c r="D759" s="52"/>
    </row>
    <row r="760">
      <c r="D760" s="52"/>
    </row>
    <row r="761">
      <c r="D761" s="52"/>
    </row>
    <row r="762">
      <c r="D762" s="52"/>
    </row>
    <row r="763">
      <c r="D763" s="52"/>
    </row>
    <row r="764">
      <c r="D764" s="52"/>
    </row>
    <row r="765">
      <c r="D765" s="52"/>
    </row>
    <row r="766">
      <c r="D766" s="52"/>
    </row>
    <row r="767">
      <c r="D767" s="52"/>
    </row>
    <row r="768">
      <c r="D768" s="52"/>
    </row>
    <row r="769">
      <c r="D769" s="52"/>
    </row>
    <row r="770">
      <c r="D770" s="52"/>
    </row>
    <row r="771">
      <c r="D771" s="52"/>
    </row>
    <row r="772">
      <c r="D772" s="52"/>
    </row>
    <row r="773">
      <c r="D773" s="52"/>
    </row>
    <row r="774">
      <c r="D774" s="52"/>
    </row>
    <row r="775">
      <c r="D775" s="52"/>
    </row>
    <row r="776">
      <c r="D776" s="52"/>
    </row>
    <row r="777">
      <c r="D777" s="52"/>
    </row>
    <row r="778">
      <c r="D778" s="52"/>
    </row>
    <row r="779">
      <c r="D779" s="52"/>
    </row>
    <row r="780">
      <c r="D780" s="52"/>
    </row>
    <row r="781">
      <c r="D781" s="52"/>
    </row>
    <row r="782">
      <c r="D782" s="52"/>
    </row>
    <row r="783">
      <c r="D783" s="52"/>
    </row>
    <row r="784">
      <c r="D784" s="52"/>
    </row>
    <row r="785">
      <c r="D785" s="52"/>
    </row>
    <row r="786">
      <c r="D786" s="52"/>
    </row>
    <row r="787">
      <c r="D787" s="52"/>
    </row>
    <row r="788">
      <c r="D788" s="52"/>
    </row>
    <row r="789">
      <c r="D789" s="52"/>
    </row>
    <row r="790">
      <c r="D790" s="52"/>
    </row>
    <row r="791">
      <c r="D791" s="52"/>
    </row>
    <row r="792">
      <c r="D792" s="52"/>
    </row>
    <row r="793">
      <c r="D793" s="52"/>
    </row>
    <row r="794">
      <c r="D794" s="52"/>
    </row>
    <row r="795">
      <c r="D795" s="52"/>
    </row>
    <row r="796">
      <c r="D796" s="52"/>
    </row>
    <row r="797">
      <c r="D797" s="52"/>
    </row>
    <row r="798">
      <c r="D798" s="52"/>
    </row>
    <row r="799">
      <c r="D799" s="52"/>
    </row>
    <row r="800">
      <c r="D800" s="52"/>
    </row>
    <row r="801">
      <c r="D801" s="52"/>
    </row>
    <row r="802">
      <c r="D802" s="52"/>
    </row>
    <row r="803">
      <c r="D803" s="52"/>
    </row>
    <row r="804">
      <c r="D804" s="52"/>
    </row>
    <row r="805">
      <c r="D805" s="52"/>
    </row>
    <row r="806">
      <c r="D806" s="52"/>
    </row>
    <row r="807">
      <c r="D807" s="52"/>
    </row>
    <row r="808">
      <c r="D808" s="52"/>
    </row>
    <row r="809">
      <c r="D809" s="52"/>
    </row>
    <row r="810">
      <c r="D810" s="52"/>
    </row>
    <row r="811">
      <c r="D811" s="52"/>
    </row>
    <row r="812">
      <c r="D812" s="52"/>
    </row>
    <row r="813">
      <c r="D813" s="52"/>
    </row>
    <row r="814">
      <c r="D814" s="52"/>
    </row>
    <row r="815">
      <c r="D815" s="52"/>
    </row>
    <row r="816">
      <c r="D816" s="52"/>
    </row>
    <row r="817">
      <c r="D817" s="52"/>
    </row>
    <row r="818">
      <c r="D818" s="52"/>
    </row>
    <row r="819">
      <c r="D819" s="52"/>
    </row>
    <row r="820">
      <c r="D820" s="52"/>
    </row>
    <row r="821">
      <c r="D821" s="52"/>
    </row>
    <row r="822">
      <c r="D822" s="52"/>
    </row>
    <row r="823">
      <c r="D823" s="52"/>
    </row>
    <row r="824">
      <c r="D824" s="52"/>
    </row>
    <row r="825">
      <c r="D825" s="52"/>
    </row>
    <row r="826">
      <c r="D826" s="52"/>
    </row>
    <row r="827">
      <c r="D827" s="52"/>
    </row>
    <row r="828">
      <c r="D828" s="52"/>
    </row>
    <row r="829">
      <c r="D829" s="52"/>
    </row>
    <row r="830">
      <c r="D830" s="52"/>
    </row>
    <row r="831">
      <c r="D831" s="52"/>
    </row>
    <row r="832">
      <c r="D832" s="52"/>
    </row>
    <row r="833">
      <c r="D833" s="52"/>
    </row>
    <row r="834">
      <c r="D834" s="52"/>
    </row>
    <row r="835">
      <c r="D835" s="52"/>
    </row>
    <row r="836">
      <c r="D836" s="52"/>
    </row>
    <row r="837">
      <c r="D837" s="52"/>
    </row>
    <row r="838">
      <c r="D838" s="52"/>
    </row>
    <row r="839">
      <c r="D839" s="52"/>
    </row>
    <row r="840">
      <c r="D840" s="52"/>
    </row>
    <row r="841">
      <c r="D841" s="52"/>
    </row>
    <row r="842">
      <c r="D842" s="52"/>
    </row>
    <row r="843">
      <c r="D843" s="52"/>
    </row>
  </sheetData>
  <mergeCells count="7">
    <mergeCell ref="A1:F1"/>
    <mergeCell ref="A2:A3"/>
    <mergeCell ref="B2:B3"/>
    <mergeCell ref="C2:C3"/>
    <mergeCell ref="D2:D3"/>
    <mergeCell ref="E2:F2"/>
    <mergeCell ref="A7:E7"/>
  </mergeCells>
  <dataValidations>
    <dataValidation type="list" allowBlank="1" sqref="H4">
      <formula1>"CHECKED (OK),CHECKED  (NOT OK)"</formula1>
    </dataValidation>
  </dataValidations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3" max="3" width="26.75"/>
    <col customWidth="1" min="4" max="4" width="33.25"/>
    <col customWidth="1" min="7" max="7" width="3.5"/>
    <col customWidth="1" min="8" max="8" width="18.63"/>
    <col customWidth="1" min="9" max="9" width="21.63"/>
  </cols>
  <sheetData>
    <row r="1">
      <c r="A1" s="30" t="s">
        <v>1100</v>
      </c>
      <c r="G1" s="31"/>
      <c r="H1" s="32" t="s">
        <v>1101</v>
      </c>
      <c r="I1" s="33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4" t="s">
        <v>1</v>
      </c>
      <c r="B2" s="35" t="s">
        <v>11</v>
      </c>
      <c r="C2" s="35" t="s">
        <v>12</v>
      </c>
      <c r="D2" s="36" t="s">
        <v>13</v>
      </c>
      <c r="E2" s="37" t="s">
        <v>14</v>
      </c>
      <c r="F2" s="38"/>
      <c r="G2" s="39"/>
      <c r="H2" s="40"/>
      <c r="I2" s="40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41"/>
      <c r="B3" s="38"/>
      <c r="C3" s="38"/>
      <c r="D3" s="38"/>
      <c r="E3" s="42" t="s">
        <v>15</v>
      </c>
      <c r="F3" s="43" t="s">
        <v>5</v>
      </c>
      <c r="G3" s="39"/>
      <c r="H3" s="44" t="s">
        <v>6</v>
      </c>
      <c r="I3" s="45" t="s">
        <v>7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24.75" customHeight="1">
      <c r="A4" s="46"/>
      <c r="B4" s="47"/>
      <c r="C4" s="48" t="str">
        <f>vlookup(B4,'Crew Data'!C:G,5,0)</f>
        <v>#N/A</v>
      </c>
      <c r="D4" s="49"/>
      <c r="E4" s="47"/>
      <c r="F4" s="50">
        <f>E4*400</f>
        <v>0</v>
      </c>
      <c r="G4" s="22">
        <f>COUNTIF(B:B,B4)</f>
        <v>0</v>
      </c>
      <c r="H4" s="5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D5" s="52"/>
    </row>
    <row r="6">
      <c r="D6" s="52"/>
    </row>
    <row r="7" ht="44.25" customHeight="1">
      <c r="A7" s="53" t="s">
        <v>16</v>
      </c>
    </row>
    <row r="8">
      <c r="D8" s="52"/>
    </row>
    <row r="9">
      <c r="D9" s="52"/>
    </row>
    <row r="10">
      <c r="D10" s="52"/>
    </row>
    <row r="11">
      <c r="D11" s="52"/>
    </row>
    <row r="12">
      <c r="D12" s="52"/>
    </row>
    <row r="13">
      <c r="D13" s="52"/>
    </row>
    <row r="14">
      <c r="D14" s="52"/>
    </row>
    <row r="15">
      <c r="D15" s="52"/>
    </row>
    <row r="16">
      <c r="D16" s="52"/>
    </row>
    <row r="17">
      <c r="D17" s="52"/>
    </row>
    <row r="18">
      <c r="D18" s="52"/>
    </row>
    <row r="19">
      <c r="D19" s="52"/>
    </row>
    <row r="20">
      <c r="D20" s="52"/>
    </row>
    <row r="21">
      <c r="D21" s="52"/>
    </row>
    <row r="22">
      <c r="D22" s="52"/>
    </row>
    <row r="23">
      <c r="D23" s="52"/>
    </row>
    <row r="24">
      <c r="D24" s="52"/>
    </row>
    <row r="25">
      <c r="D25" s="52"/>
    </row>
    <row r="26">
      <c r="D26" s="52"/>
    </row>
    <row r="27">
      <c r="D27" s="52"/>
    </row>
    <row r="28">
      <c r="D28" s="52"/>
    </row>
    <row r="29">
      <c r="D29" s="52"/>
    </row>
    <row r="30">
      <c r="D30" s="52"/>
    </row>
    <row r="31">
      <c r="D31" s="52"/>
    </row>
    <row r="32">
      <c r="D32" s="52"/>
    </row>
    <row r="33">
      <c r="D33" s="52"/>
    </row>
    <row r="34">
      <c r="D34" s="52"/>
    </row>
    <row r="35">
      <c r="D35" s="52"/>
    </row>
    <row r="36">
      <c r="D36" s="52"/>
    </row>
    <row r="37">
      <c r="D37" s="52"/>
    </row>
    <row r="38">
      <c r="D38" s="52"/>
    </row>
    <row r="39">
      <c r="D39" s="52"/>
    </row>
    <row r="40">
      <c r="D40" s="52"/>
    </row>
    <row r="41">
      <c r="D41" s="52"/>
    </row>
    <row r="42">
      <c r="D42" s="52"/>
    </row>
    <row r="43">
      <c r="D43" s="52"/>
    </row>
    <row r="44">
      <c r="D44" s="52"/>
    </row>
    <row r="45">
      <c r="D45" s="52"/>
    </row>
    <row r="46">
      <c r="D46" s="52"/>
    </row>
    <row r="47">
      <c r="D47" s="52"/>
    </row>
    <row r="48">
      <c r="D48" s="52"/>
    </row>
    <row r="49">
      <c r="D49" s="52"/>
    </row>
    <row r="50">
      <c r="D50" s="52"/>
    </row>
    <row r="51">
      <c r="D51" s="52"/>
    </row>
    <row r="52">
      <c r="D52" s="52"/>
    </row>
    <row r="53">
      <c r="D53" s="52"/>
    </row>
    <row r="54">
      <c r="D54" s="52"/>
    </row>
    <row r="55">
      <c r="D55" s="52"/>
    </row>
    <row r="56">
      <c r="D56" s="52"/>
    </row>
    <row r="57">
      <c r="D57" s="52"/>
    </row>
    <row r="58">
      <c r="D58" s="52"/>
    </row>
    <row r="59">
      <c r="D59" s="52"/>
    </row>
    <row r="60">
      <c r="D60" s="52"/>
    </row>
    <row r="61">
      <c r="D61" s="52"/>
    </row>
    <row r="62">
      <c r="D62" s="52"/>
    </row>
    <row r="63">
      <c r="D63" s="52"/>
    </row>
    <row r="64">
      <c r="D64" s="52"/>
    </row>
    <row r="65">
      <c r="D65" s="52"/>
    </row>
    <row r="66">
      <c r="D66" s="52"/>
    </row>
    <row r="67">
      <c r="D67" s="52"/>
    </row>
    <row r="68">
      <c r="D68" s="52"/>
    </row>
    <row r="69">
      <c r="D69" s="52"/>
    </row>
    <row r="70">
      <c r="D70" s="52"/>
    </row>
    <row r="71">
      <c r="D71" s="52"/>
    </row>
    <row r="72">
      <c r="D72" s="52"/>
    </row>
    <row r="73">
      <c r="D73" s="52"/>
    </row>
    <row r="74">
      <c r="D74" s="52"/>
    </row>
    <row r="75">
      <c r="D75" s="52"/>
    </row>
    <row r="76">
      <c r="D76" s="52"/>
    </row>
    <row r="77">
      <c r="D77" s="52"/>
    </row>
    <row r="78">
      <c r="D78" s="52"/>
    </row>
    <row r="79">
      <c r="D79" s="52"/>
    </row>
    <row r="80">
      <c r="D80" s="52"/>
    </row>
    <row r="81">
      <c r="D81" s="52"/>
    </row>
    <row r="82">
      <c r="D82" s="52"/>
    </row>
    <row r="83">
      <c r="D83" s="52"/>
    </row>
    <row r="84">
      <c r="D84" s="52"/>
    </row>
    <row r="85">
      <c r="D85" s="52"/>
    </row>
    <row r="86">
      <c r="D86" s="52"/>
    </row>
    <row r="87">
      <c r="D87" s="52"/>
    </row>
    <row r="88">
      <c r="D88" s="52"/>
    </row>
    <row r="89">
      <c r="D89" s="52"/>
    </row>
    <row r="90">
      <c r="D90" s="52"/>
    </row>
    <row r="91">
      <c r="D91" s="52"/>
    </row>
    <row r="92">
      <c r="D92" s="52"/>
    </row>
    <row r="93">
      <c r="D93" s="52"/>
    </row>
    <row r="94">
      <c r="D94" s="52"/>
    </row>
    <row r="95">
      <c r="D95" s="52"/>
    </row>
    <row r="96">
      <c r="D96" s="52"/>
    </row>
    <row r="97">
      <c r="D97" s="52"/>
    </row>
    <row r="98">
      <c r="D98" s="52"/>
    </row>
    <row r="99">
      <c r="D99" s="52"/>
    </row>
    <row r="100">
      <c r="D100" s="52"/>
    </row>
    <row r="101">
      <c r="D101" s="52"/>
    </row>
    <row r="102">
      <c r="D102" s="52"/>
    </row>
    <row r="103">
      <c r="D103" s="52"/>
    </row>
    <row r="104">
      <c r="D104" s="52"/>
    </row>
    <row r="105">
      <c r="D105" s="52"/>
    </row>
    <row r="106">
      <c r="D106" s="52"/>
    </row>
    <row r="107">
      <c r="D107" s="52"/>
    </row>
    <row r="108">
      <c r="D108" s="52"/>
    </row>
    <row r="109">
      <c r="D109" s="52"/>
    </row>
    <row r="110">
      <c r="D110" s="52"/>
    </row>
    <row r="111">
      <c r="D111" s="52"/>
    </row>
    <row r="112">
      <c r="D112" s="52"/>
    </row>
    <row r="113">
      <c r="D113" s="52"/>
    </row>
    <row r="114">
      <c r="D114" s="52"/>
    </row>
    <row r="115">
      <c r="D115" s="52"/>
    </row>
    <row r="116">
      <c r="D116" s="52"/>
    </row>
    <row r="117">
      <c r="D117" s="52"/>
    </row>
    <row r="118">
      <c r="D118" s="52"/>
    </row>
    <row r="119">
      <c r="D119" s="52"/>
    </row>
    <row r="120">
      <c r="D120" s="52"/>
    </row>
    <row r="121">
      <c r="D121" s="52"/>
    </row>
    <row r="122">
      <c r="D122" s="52"/>
    </row>
    <row r="123">
      <c r="D123" s="52"/>
    </row>
    <row r="124">
      <c r="D124" s="52"/>
    </row>
    <row r="125">
      <c r="D125" s="52"/>
    </row>
    <row r="126">
      <c r="D126" s="52"/>
    </row>
    <row r="127">
      <c r="D127" s="52"/>
    </row>
    <row r="128">
      <c r="D128" s="52"/>
    </row>
    <row r="129">
      <c r="D129" s="52"/>
    </row>
    <row r="130">
      <c r="D130" s="52"/>
    </row>
    <row r="131">
      <c r="D131" s="52"/>
    </row>
    <row r="132">
      <c r="D132" s="52"/>
    </row>
    <row r="133">
      <c r="D133" s="52"/>
    </row>
    <row r="134">
      <c r="D134" s="52"/>
    </row>
    <row r="135">
      <c r="D135" s="52"/>
    </row>
    <row r="136">
      <c r="D136" s="52"/>
    </row>
    <row r="137">
      <c r="D137" s="52"/>
    </row>
    <row r="138">
      <c r="D138" s="52"/>
    </row>
    <row r="139">
      <c r="D139" s="52"/>
    </row>
    <row r="140">
      <c r="D140" s="52"/>
    </row>
    <row r="141">
      <c r="D141" s="52"/>
    </row>
    <row r="142">
      <c r="D142" s="52"/>
    </row>
    <row r="143">
      <c r="D143" s="52"/>
    </row>
    <row r="144">
      <c r="D144" s="52"/>
    </row>
    <row r="145">
      <c r="D145" s="52"/>
    </row>
    <row r="146">
      <c r="D146" s="52"/>
    </row>
    <row r="147">
      <c r="D147" s="52"/>
    </row>
    <row r="148">
      <c r="D148" s="52"/>
    </row>
    <row r="149">
      <c r="D149" s="52"/>
    </row>
    <row r="150">
      <c r="D150" s="52"/>
    </row>
    <row r="151">
      <c r="D151" s="52"/>
    </row>
    <row r="152">
      <c r="D152" s="52"/>
    </row>
    <row r="153">
      <c r="D153" s="52"/>
    </row>
    <row r="154">
      <c r="D154" s="52"/>
    </row>
    <row r="155">
      <c r="D155" s="52"/>
    </row>
    <row r="156">
      <c r="D156" s="52"/>
    </row>
    <row r="157">
      <c r="D157" s="52"/>
    </row>
    <row r="158">
      <c r="D158" s="52"/>
    </row>
    <row r="159">
      <c r="D159" s="52"/>
    </row>
    <row r="160">
      <c r="D160" s="52"/>
    </row>
    <row r="161">
      <c r="D161" s="52"/>
    </row>
    <row r="162">
      <c r="D162" s="52"/>
    </row>
    <row r="163">
      <c r="D163" s="52"/>
    </row>
    <row r="164">
      <c r="D164" s="52"/>
    </row>
    <row r="165">
      <c r="D165" s="52"/>
    </row>
    <row r="166">
      <c r="D166" s="52"/>
    </row>
    <row r="167">
      <c r="D167" s="52"/>
    </row>
    <row r="168">
      <c r="D168" s="52"/>
    </row>
    <row r="169">
      <c r="D169" s="52"/>
    </row>
    <row r="170">
      <c r="D170" s="52"/>
    </row>
    <row r="171">
      <c r="D171" s="52"/>
    </row>
    <row r="172">
      <c r="D172" s="52"/>
    </row>
    <row r="173">
      <c r="D173" s="52"/>
    </row>
    <row r="174">
      <c r="D174" s="52"/>
    </row>
    <row r="175">
      <c r="D175" s="52"/>
    </row>
    <row r="176">
      <c r="D176" s="52"/>
    </row>
    <row r="177">
      <c r="D177" s="52"/>
    </row>
    <row r="178">
      <c r="D178" s="52"/>
    </row>
    <row r="179">
      <c r="D179" s="52"/>
    </row>
    <row r="180">
      <c r="D180" s="52"/>
    </row>
    <row r="181">
      <c r="D181" s="52"/>
    </row>
    <row r="182">
      <c r="D182" s="52"/>
    </row>
    <row r="183">
      <c r="D183" s="52"/>
    </row>
    <row r="184">
      <c r="D184" s="52"/>
    </row>
    <row r="185">
      <c r="D185" s="52"/>
    </row>
    <row r="186">
      <c r="D186" s="52"/>
    </row>
    <row r="187">
      <c r="D187" s="52"/>
    </row>
    <row r="188">
      <c r="D188" s="52"/>
    </row>
    <row r="189">
      <c r="D189" s="52"/>
    </row>
    <row r="190">
      <c r="D190" s="52"/>
    </row>
    <row r="191">
      <c r="D191" s="52"/>
    </row>
    <row r="192">
      <c r="D192" s="52"/>
    </row>
    <row r="193">
      <c r="D193" s="52"/>
    </row>
    <row r="194">
      <c r="D194" s="52"/>
    </row>
    <row r="195">
      <c r="D195" s="52"/>
    </row>
    <row r="196">
      <c r="D196" s="52"/>
    </row>
    <row r="197">
      <c r="D197" s="52"/>
    </row>
    <row r="198">
      <c r="D198" s="52"/>
    </row>
    <row r="199">
      <c r="D199" s="52"/>
    </row>
    <row r="200">
      <c r="D200" s="52"/>
    </row>
    <row r="201">
      <c r="D201" s="52"/>
    </row>
    <row r="202">
      <c r="D202" s="52"/>
    </row>
    <row r="203">
      <c r="D203" s="52"/>
    </row>
    <row r="204">
      <c r="D204" s="52"/>
    </row>
    <row r="205">
      <c r="D205" s="52"/>
    </row>
    <row r="206">
      <c r="D206" s="52"/>
    </row>
    <row r="207">
      <c r="D207" s="52"/>
    </row>
    <row r="208">
      <c r="D208" s="52"/>
    </row>
    <row r="209">
      <c r="D209" s="52"/>
    </row>
    <row r="210">
      <c r="D210" s="52"/>
    </row>
    <row r="211">
      <c r="D211" s="52"/>
    </row>
    <row r="212">
      <c r="D212" s="52"/>
    </row>
    <row r="213">
      <c r="D213" s="52"/>
    </row>
    <row r="214">
      <c r="D214" s="52"/>
    </row>
    <row r="215">
      <c r="D215" s="52"/>
    </row>
    <row r="216">
      <c r="D216" s="52"/>
    </row>
    <row r="217">
      <c r="D217" s="52"/>
    </row>
    <row r="218">
      <c r="D218" s="52"/>
    </row>
    <row r="219">
      <c r="D219" s="52"/>
    </row>
    <row r="220">
      <c r="D220" s="52"/>
    </row>
    <row r="221">
      <c r="D221" s="52"/>
    </row>
    <row r="222">
      <c r="D222" s="52"/>
    </row>
    <row r="223">
      <c r="D223" s="52"/>
    </row>
    <row r="224">
      <c r="D224" s="52"/>
    </row>
    <row r="225">
      <c r="D225" s="52"/>
    </row>
    <row r="226">
      <c r="D226" s="52"/>
    </row>
    <row r="227">
      <c r="D227" s="52"/>
    </row>
    <row r="228">
      <c r="D228" s="52"/>
    </row>
    <row r="229">
      <c r="D229" s="52"/>
    </row>
    <row r="230">
      <c r="D230" s="52"/>
    </row>
    <row r="231">
      <c r="D231" s="52"/>
    </row>
    <row r="232">
      <c r="D232" s="52"/>
    </row>
    <row r="233">
      <c r="D233" s="52"/>
    </row>
    <row r="234">
      <c r="D234" s="52"/>
    </row>
    <row r="235">
      <c r="D235" s="52"/>
    </row>
    <row r="236">
      <c r="D236" s="52"/>
    </row>
    <row r="237">
      <c r="D237" s="52"/>
    </row>
    <row r="238">
      <c r="D238" s="52"/>
    </row>
    <row r="239">
      <c r="D239" s="52"/>
    </row>
    <row r="240">
      <c r="D240" s="52"/>
    </row>
    <row r="241">
      <c r="D241" s="52"/>
    </row>
    <row r="242">
      <c r="D242" s="52"/>
    </row>
    <row r="243">
      <c r="D243" s="52"/>
    </row>
    <row r="244">
      <c r="D244" s="52"/>
    </row>
    <row r="245">
      <c r="D245" s="52"/>
    </row>
    <row r="246">
      <c r="D246" s="52"/>
    </row>
    <row r="247">
      <c r="D247" s="52"/>
    </row>
    <row r="248">
      <c r="D248" s="52"/>
    </row>
    <row r="249">
      <c r="D249" s="52"/>
    </row>
    <row r="250">
      <c r="D250" s="52"/>
    </row>
    <row r="251">
      <c r="D251" s="52"/>
    </row>
    <row r="252">
      <c r="D252" s="52"/>
    </row>
    <row r="253">
      <c r="D253" s="52"/>
    </row>
    <row r="254">
      <c r="D254" s="52"/>
    </row>
    <row r="255">
      <c r="D255" s="52"/>
    </row>
    <row r="256">
      <c r="D256" s="52"/>
    </row>
    <row r="257">
      <c r="D257" s="52"/>
    </row>
    <row r="258">
      <c r="D258" s="52"/>
    </row>
    <row r="259">
      <c r="D259" s="52"/>
    </row>
    <row r="260">
      <c r="D260" s="52"/>
    </row>
    <row r="261">
      <c r="D261" s="52"/>
    </row>
    <row r="262">
      <c r="D262" s="52"/>
    </row>
    <row r="263">
      <c r="D263" s="52"/>
    </row>
    <row r="264">
      <c r="D264" s="52"/>
    </row>
    <row r="265">
      <c r="D265" s="52"/>
    </row>
    <row r="266">
      <c r="D266" s="52"/>
    </row>
    <row r="267">
      <c r="D267" s="52"/>
    </row>
    <row r="268">
      <c r="D268" s="52"/>
    </row>
    <row r="269">
      <c r="D269" s="52"/>
    </row>
    <row r="270">
      <c r="D270" s="52"/>
    </row>
    <row r="271">
      <c r="D271" s="52"/>
    </row>
    <row r="272">
      <c r="D272" s="52"/>
    </row>
    <row r="273">
      <c r="D273" s="52"/>
    </row>
    <row r="274">
      <c r="D274" s="52"/>
    </row>
    <row r="275">
      <c r="D275" s="52"/>
    </row>
    <row r="276">
      <c r="D276" s="52"/>
    </row>
    <row r="277">
      <c r="D277" s="52"/>
    </row>
    <row r="278">
      <c r="D278" s="52"/>
    </row>
    <row r="279">
      <c r="D279" s="52"/>
    </row>
    <row r="280">
      <c r="D280" s="52"/>
    </row>
    <row r="281">
      <c r="D281" s="52"/>
    </row>
    <row r="282">
      <c r="D282" s="52"/>
    </row>
    <row r="283">
      <c r="D283" s="52"/>
    </row>
    <row r="284">
      <c r="D284" s="52"/>
    </row>
    <row r="285">
      <c r="D285" s="52"/>
    </row>
    <row r="286">
      <c r="D286" s="52"/>
    </row>
    <row r="287">
      <c r="D287" s="52"/>
    </row>
    <row r="288">
      <c r="D288" s="52"/>
    </row>
    <row r="289">
      <c r="D289" s="52"/>
    </row>
    <row r="290">
      <c r="D290" s="52"/>
    </row>
    <row r="291">
      <c r="D291" s="52"/>
    </row>
    <row r="292">
      <c r="D292" s="52"/>
    </row>
    <row r="293">
      <c r="D293" s="52"/>
    </row>
    <row r="294">
      <c r="D294" s="52"/>
    </row>
    <row r="295">
      <c r="D295" s="52"/>
    </row>
    <row r="296">
      <c r="D296" s="52"/>
    </row>
    <row r="297">
      <c r="D297" s="52"/>
    </row>
    <row r="298">
      <c r="D298" s="52"/>
    </row>
    <row r="299">
      <c r="D299" s="52"/>
    </row>
    <row r="300">
      <c r="D300" s="52"/>
    </row>
    <row r="301">
      <c r="D301" s="52"/>
    </row>
    <row r="302">
      <c r="D302" s="52"/>
    </row>
    <row r="303">
      <c r="D303" s="52"/>
    </row>
    <row r="304">
      <c r="D304" s="52"/>
    </row>
    <row r="305">
      <c r="D305" s="52"/>
    </row>
    <row r="306">
      <c r="D306" s="52"/>
    </row>
    <row r="307">
      <c r="D307" s="52"/>
    </row>
    <row r="308">
      <c r="D308" s="52"/>
    </row>
    <row r="309">
      <c r="D309" s="52"/>
    </row>
    <row r="310">
      <c r="D310" s="52"/>
    </row>
    <row r="311">
      <c r="D311" s="52"/>
    </row>
    <row r="312">
      <c r="D312" s="52"/>
    </row>
    <row r="313">
      <c r="D313" s="52"/>
    </row>
    <row r="314">
      <c r="D314" s="52"/>
    </row>
    <row r="315">
      <c r="D315" s="52"/>
    </row>
    <row r="316">
      <c r="D316" s="52"/>
    </row>
    <row r="317">
      <c r="D317" s="52"/>
    </row>
    <row r="318">
      <c r="D318" s="52"/>
    </row>
    <row r="319">
      <c r="D319" s="52"/>
    </row>
    <row r="320">
      <c r="D320" s="52"/>
    </row>
    <row r="321">
      <c r="D321" s="52"/>
    </row>
    <row r="322">
      <c r="D322" s="52"/>
    </row>
    <row r="323">
      <c r="D323" s="52"/>
    </row>
    <row r="324">
      <c r="D324" s="52"/>
    </row>
    <row r="325">
      <c r="D325" s="52"/>
    </row>
    <row r="326">
      <c r="D326" s="52"/>
    </row>
    <row r="327">
      <c r="D327" s="52"/>
    </row>
    <row r="328">
      <c r="D328" s="52"/>
    </row>
    <row r="329">
      <c r="D329" s="52"/>
    </row>
    <row r="330">
      <c r="D330" s="52"/>
    </row>
    <row r="331">
      <c r="D331" s="52"/>
    </row>
    <row r="332">
      <c r="D332" s="52"/>
    </row>
    <row r="333">
      <c r="D333" s="52"/>
    </row>
    <row r="334">
      <c r="D334" s="52"/>
    </row>
    <row r="335">
      <c r="D335" s="52"/>
    </row>
    <row r="336">
      <c r="D336" s="52"/>
    </row>
    <row r="337">
      <c r="D337" s="52"/>
    </row>
    <row r="338">
      <c r="D338" s="52"/>
    </row>
    <row r="339">
      <c r="D339" s="52"/>
    </row>
    <row r="340">
      <c r="D340" s="52"/>
    </row>
    <row r="341">
      <c r="D341" s="52"/>
    </row>
    <row r="342">
      <c r="D342" s="52"/>
    </row>
    <row r="343">
      <c r="D343" s="52"/>
    </row>
    <row r="344">
      <c r="D344" s="52"/>
    </row>
    <row r="345">
      <c r="D345" s="52"/>
    </row>
    <row r="346">
      <c r="D346" s="52"/>
    </row>
    <row r="347">
      <c r="D347" s="52"/>
    </row>
    <row r="348">
      <c r="D348" s="52"/>
    </row>
    <row r="349">
      <c r="D349" s="52"/>
    </row>
    <row r="350">
      <c r="D350" s="52"/>
    </row>
    <row r="351">
      <c r="D351" s="52"/>
    </row>
    <row r="352">
      <c r="D352" s="52"/>
    </row>
    <row r="353">
      <c r="D353" s="52"/>
    </row>
    <row r="354">
      <c r="D354" s="52"/>
    </row>
    <row r="355">
      <c r="D355" s="52"/>
    </row>
    <row r="356">
      <c r="D356" s="52"/>
    </row>
    <row r="357">
      <c r="D357" s="52"/>
    </row>
    <row r="358">
      <c r="D358" s="52"/>
    </row>
    <row r="359">
      <c r="D359" s="52"/>
    </row>
    <row r="360">
      <c r="D360" s="52"/>
    </row>
    <row r="361">
      <c r="D361" s="52"/>
    </row>
    <row r="362">
      <c r="D362" s="52"/>
    </row>
    <row r="363">
      <c r="D363" s="52"/>
    </row>
    <row r="364">
      <c r="D364" s="52"/>
    </row>
    <row r="365">
      <c r="D365" s="52"/>
    </row>
    <row r="366">
      <c r="D366" s="52"/>
    </row>
    <row r="367">
      <c r="D367" s="52"/>
    </row>
    <row r="368">
      <c r="D368" s="52"/>
    </row>
    <row r="369">
      <c r="D369" s="52"/>
    </row>
    <row r="370">
      <c r="D370" s="52"/>
    </row>
    <row r="371">
      <c r="D371" s="52"/>
    </row>
    <row r="372">
      <c r="D372" s="52"/>
    </row>
    <row r="373">
      <c r="D373" s="52"/>
    </row>
    <row r="374">
      <c r="D374" s="52"/>
    </row>
    <row r="375">
      <c r="D375" s="52"/>
    </row>
    <row r="376">
      <c r="D376" s="52"/>
    </row>
    <row r="377">
      <c r="D377" s="52"/>
    </row>
    <row r="378">
      <c r="D378" s="52"/>
    </row>
    <row r="379">
      <c r="D379" s="52"/>
    </row>
    <row r="380">
      <c r="D380" s="52"/>
    </row>
    <row r="381">
      <c r="D381" s="52"/>
    </row>
    <row r="382">
      <c r="D382" s="52"/>
    </row>
    <row r="383">
      <c r="D383" s="52"/>
    </row>
    <row r="384">
      <c r="D384" s="52"/>
    </row>
    <row r="385">
      <c r="D385" s="52"/>
    </row>
    <row r="386">
      <c r="D386" s="52"/>
    </row>
    <row r="387">
      <c r="D387" s="52"/>
    </row>
    <row r="388">
      <c r="D388" s="52"/>
    </row>
    <row r="389">
      <c r="D389" s="52"/>
    </row>
    <row r="390">
      <c r="D390" s="52"/>
    </row>
    <row r="391">
      <c r="D391" s="52"/>
    </row>
    <row r="392">
      <c r="D392" s="52"/>
    </row>
    <row r="393">
      <c r="D393" s="52"/>
    </row>
    <row r="394">
      <c r="D394" s="52"/>
    </row>
    <row r="395">
      <c r="D395" s="52"/>
    </row>
    <row r="396">
      <c r="D396" s="52"/>
    </row>
    <row r="397">
      <c r="D397" s="52"/>
    </row>
    <row r="398">
      <c r="D398" s="52"/>
    </row>
    <row r="399">
      <c r="D399" s="52"/>
    </row>
    <row r="400">
      <c r="D400" s="52"/>
    </row>
    <row r="401">
      <c r="D401" s="52"/>
    </row>
    <row r="402">
      <c r="D402" s="52"/>
    </row>
    <row r="403">
      <c r="D403" s="52"/>
    </row>
    <row r="404">
      <c r="D404" s="52"/>
    </row>
    <row r="405">
      <c r="D405" s="52"/>
    </row>
    <row r="406">
      <c r="D406" s="52"/>
    </row>
    <row r="407">
      <c r="D407" s="52"/>
    </row>
    <row r="408">
      <c r="D408" s="52"/>
    </row>
    <row r="409">
      <c r="D409" s="52"/>
    </row>
    <row r="410">
      <c r="D410" s="52"/>
    </row>
    <row r="411">
      <c r="D411" s="52"/>
    </row>
    <row r="412">
      <c r="D412" s="52"/>
    </row>
    <row r="413">
      <c r="D413" s="52"/>
    </row>
    <row r="414">
      <c r="D414" s="52"/>
    </row>
    <row r="415">
      <c r="D415" s="52"/>
    </row>
    <row r="416">
      <c r="D416" s="52"/>
    </row>
    <row r="417">
      <c r="D417" s="52"/>
    </row>
    <row r="418">
      <c r="D418" s="52"/>
    </row>
    <row r="419">
      <c r="D419" s="52"/>
    </row>
    <row r="420">
      <c r="D420" s="52"/>
    </row>
    <row r="421">
      <c r="D421" s="52"/>
    </row>
    <row r="422">
      <c r="D422" s="52"/>
    </row>
    <row r="423">
      <c r="D423" s="52"/>
    </row>
    <row r="424">
      <c r="D424" s="52"/>
    </row>
    <row r="425">
      <c r="D425" s="52"/>
    </row>
    <row r="426">
      <c r="D426" s="52"/>
    </row>
    <row r="427">
      <c r="D427" s="52"/>
    </row>
    <row r="428">
      <c r="D428" s="52"/>
    </row>
    <row r="429">
      <c r="D429" s="52"/>
    </row>
    <row r="430">
      <c r="D430" s="52"/>
    </row>
    <row r="431">
      <c r="D431" s="52"/>
    </row>
    <row r="432">
      <c r="D432" s="52"/>
    </row>
    <row r="433">
      <c r="D433" s="52"/>
    </row>
    <row r="434">
      <c r="D434" s="52"/>
    </row>
    <row r="435">
      <c r="D435" s="52"/>
    </row>
    <row r="436">
      <c r="D436" s="52"/>
    </row>
    <row r="437">
      <c r="D437" s="52"/>
    </row>
    <row r="438">
      <c r="D438" s="52"/>
    </row>
    <row r="439">
      <c r="D439" s="52"/>
    </row>
    <row r="440">
      <c r="D440" s="52"/>
    </row>
    <row r="441">
      <c r="D441" s="52"/>
    </row>
    <row r="442">
      <c r="D442" s="52"/>
    </row>
    <row r="443">
      <c r="D443" s="52"/>
    </row>
    <row r="444">
      <c r="D444" s="52"/>
    </row>
    <row r="445">
      <c r="D445" s="52"/>
    </row>
    <row r="446">
      <c r="D446" s="52"/>
    </row>
    <row r="447">
      <c r="D447" s="52"/>
    </row>
    <row r="448">
      <c r="D448" s="52"/>
    </row>
    <row r="449">
      <c r="D449" s="52"/>
    </row>
    <row r="450">
      <c r="D450" s="52"/>
    </row>
    <row r="451">
      <c r="D451" s="52"/>
    </row>
    <row r="452">
      <c r="D452" s="52"/>
    </row>
    <row r="453">
      <c r="D453" s="52"/>
    </row>
    <row r="454">
      <c r="D454" s="52"/>
    </row>
    <row r="455">
      <c r="D455" s="52"/>
    </row>
    <row r="456">
      <c r="D456" s="52"/>
    </row>
    <row r="457">
      <c r="D457" s="52"/>
    </row>
    <row r="458">
      <c r="D458" s="52"/>
    </row>
    <row r="459">
      <c r="D459" s="52"/>
    </row>
    <row r="460">
      <c r="D460" s="52"/>
    </row>
    <row r="461">
      <c r="D461" s="52"/>
    </row>
    <row r="462">
      <c r="D462" s="52"/>
    </row>
    <row r="463">
      <c r="D463" s="52"/>
    </row>
    <row r="464">
      <c r="D464" s="52"/>
    </row>
    <row r="465">
      <c r="D465" s="52"/>
    </row>
    <row r="466">
      <c r="D466" s="52"/>
    </row>
    <row r="467">
      <c r="D467" s="52"/>
    </row>
    <row r="468">
      <c r="D468" s="52"/>
    </row>
    <row r="469">
      <c r="D469" s="52"/>
    </row>
    <row r="470">
      <c r="D470" s="52"/>
    </row>
    <row r="471">
      <c r="D471" s="52"/>
    </row>
    <row r="472">
      <c r="D472" s="52"/>
    </row>
    <row r="473">
      <c r="D473" s="52"/>
    </row>
    <row r="474">
      <c r="D474" s="52"/>
    </row>
    <row r="475">
      <c r="D475" s="52"/>
    </row>
    <row r="476">
      <c r="D476" s="52"/>
    </row>
    <row r="477">
      <c r="D477" s="52"/>
    </row>
    <row r="478">
      <c r="D478" s="52"/>
    </row>
    <row r="479">
      <c r="D479" s="52"/>
    </row>
    <row r="480">
      <c r="D480" s="52"/>
    </row>
    <row r="481">
      <c r="D481" s="52"/>
    </row>
    <row r="482">
      <c r="D482" s="52"/>
    </row>
    <row r="483">
      <c r="D483" s="52"/>
    </row>
    <row r="484">
      <c r="D484" s="52"/>
    </row>
    <row r="485">
      <c r="D485" s="52"/>
    </row>
    <row r="486">
      <c r="D486" s="52"/>
    </row>
    <row r="487">
      <c r="D487" s="52"/>
    </row>
    <row r="488">
      <c r="D488" s="52"/>
    </row>
    <row r="489">
      <c r="D489" s="52"/>
    </row>
    <row r="490">
      <c r="D490" s="52"/>
    </row>
    <row r="491">
      <c r="D491" s="52"/>
    </row>
    <row r="492">
      <c r="D492" s="52"/>
    </row>
    <row r="493">
      <c r="D493" s="52"/>
    </row>
    <row r="494">
      <c r="D494" s="52"/>
    </row>
    <row r="495">
      <c r="D495" s="52"/>
    </row>
    <row r="496">
      <c r="D496" s="52"/>
    </row>
    <row r="497">
      <c r="D497" s="52"/>
    </row>
    <row r="498">
      <c r="D498" s="52"/>
    </row>
    <row r="499">
      <c r="D499" s="52"/>
    </row>
    <row r="500">
      <c r="D500" s="52"/>
    </row>
    <row r="501">
      <c r="D501" s="52"/>
    </row>
    <row r="502">
      <c r="D502" s="52"/>
    </row>
    <row r="503">
      <c r="D503" s="52"/>
    </row>
    <row r="504">
      <c r="D504" s="52"/>
    </row>
    <row r="505">
      <c r="D505" s="52"/>
    </row>
    <row r="506">
      <c r="D506" s="52"/>
    </row>
    <row r="507">
      <c r="D507" s="52"/>
    </row>
    <row r="508">
      <c r="D508" s="52"/>
    </row>
    <row r="509">
      <c r="D509" s="52"/>
    </row>
    <row r="510">
      <c r="D510" s="52"/>
    </row>
    <row r="511">
      <c r="D511" s="52"/>
    </row>
    <row r="512">
      <c r="D512" s="52"/>
    </row>
    <row r="513">
      <c r="D513" s="52"/>
    </row>
    <row r="514">
      <c r="D514" s="52"/>
    </row>
    <row r="515">
      <c r="D515" s="52"/>
    </row>
    <row r="516">
      <c r="D516" s="52"/>
    </row>
    <row r="517">
      <c r="D517" s="52"/>
    </row>
    <row r="518">
      <c r="D518" s="52"/>
    </row>
    <row r="519">
      <c r="D519" s="52"/>
    </row>
    <row r="520">
      <c r="D520" s="52"/>
    </row>
    <row r="521">
      <c r="D521" s="52"/>
    </row>
    <row r="522">
      <c r="D522" s="52"/>
    </row>
    <row r="523">
      <c r="D523" s="52"/>
    </row>
    <row r="524">
      <c r="D524" s="52"/>
    </row>
    <row r="525">
      <c r="D525" s="52"/>
    </row>
    <row r="526">
      <c r="D526" s="52"/>
    </row>
    <row r="527">
      <c r="D527" s="52"/>
    </row>
    <row r="528">
      <c r="D528" s="52"/>
    </row>
    <row r="529">
      <c r="D529" s="52"/>
    </row>
    <row r="530">
      <c r="D530" s="52"/>
    </row>
    <row r="531">
      <c r="D531" s="52"/>
    </row>
    <row r="532">
      <c r="D532" s="52"/>
    </row>
    <row r="533">
      <c r="D533" s="52"/>
    </row>
    <row r="534">
      <c r="D534" s="52"/>
    </row>
    <row r="535">
      <c r="D535" s="52"/>
    </row>
    <row r="536">
      <c r="D536" s="52"/>
    </row>
    <row r="537">
      <c r="D537" s="52"/>
    </row>
    <row r="538">
      <c r="D538" s="52"/>
    </row>
    <row r="539">
      <c r="D539" s="52"/>
    </row>
    <row r="540">
      <c r="D540" s="52"/>
    </row>
    <row r="541">
      <c r="D541" s="52"/>
    </row>
    <row r="542">
      <c r="D542" s="52"/>
    </row>
    <row r="543">
      <c r="D543" s="52"/>
    </row>
    <row r="544">
      <c r="D544" s="52"/>
    </row>
    <row r="545">
      <c r="D545" s="52"/>
    </row>
    <row r="546">
      <c r="D546" s="52"/>
    </row>
    <row r="547">
      <c r="D547" s="52"/>
    </row>
    <row r="548">
      <c r="D548" s="52"/>
    </row>
    <row r="549">
      <c r="D549" s="52"/>
    </row>
    <row r="550">
      <c r="D550" s="52"/>
    </row>
    <row r="551">
      <c r="D551" s="52"/>
    </row>
    <row r="552">
      <c r="D552" s="52"/>
    </row>
    <row r="553">
      <c r="D553" s="52"/>
    </row>
    <row r="554">
      <c r="D554" s="52"/>
    </row>
    <row r="555">
      <c r="D555" s="52"/>
    </row>
    <row r="556">
      <c r="D556" s="52"/>
    </row>
    <row r="557">
      <c r="D557" s="52"/>
    </row>
    <row r="558">
      <c r="D558" s="52"/>
    </row>
    <row r="559">
      <c r="D559" s="52"/>
    </row>
    <row r="560">
      <c r="D560" s="52"/>
    </row>
    <row r="561">
      <c r="D561" s="52"/>
    </row>
    <row r="562">
      <c r="D562" s="52"/>
    </row>
    <row r="563">
      <c r="D563" s="52"/>
    </row>
    <row r="564">
      <c r="D564" s="52"/>
    </row>
    <row r="565">
      <c r="D565" s="52"/>
    </row>
    <row r="566">
      <c r="D566" s="52"/>
    </row>
    <row r="567">
      <c r="D567" s="52"/>
    </row>
    <row r="568">
      <c r="D568" s="52"/>
    </row>
    <row r="569">
      <c r="D569" s="52"/>
    </row>
    <row r="570">
      <c r="D570" s="52"/>
    </row>
    <row r="571">
      <c r="D571" s="52"/>
    </row>
    <row r="572">
      <c r="D572" s="52"/>
    </row>
    <row r="573">
      <c r="D573" s="52"/>
    </row>
    <row r="574">
      <c r="D574" s="52"/>
    </row>
    <row r="575">
      <c r="D575" s="52"/>
    </row>
    <row r="576">
      <c r="D576" s="52"/>
    </row>
    <row r="577">
      <c r="D577" s="52"/>
    </row>
    <row r="578">
      <c r="D578" s="52"/>
    </row>
    <row r="579">
      <c r="D579" s="52"/>
    </row>
    <row r="580">
      <c r="D580" s="52"/>
    </row>
    <row r="581">
      <c r="D581" s="52"/>
    </row>
    <row r="582">
      <c r="D582" s="52"/>
    </row>
    <row r="583">
      <c r="D583" s="52"/>
    </row>
    <row r="584">
      <c r="D584" s="52"/>
    </row>
    <row r="585">
      <c r="D585" s="52"/>
    </row>
    <row r="586">
      <c r="D586" s="52"/>
    </row>
    <row r="587">
      <c r="D587" s="52"/>
    </row>
    <row r="588">
      <c r="D588" s="52"/>
    </row>
    <row r="589">
      <c r="D589" s="52"/>
    </row>
    <row r="590">
      <c r="D590" s="52"/>
    </row>
    <row r="591">
      <c r="D591" s="52"/>
    </row>
    <row r="592">
      <c r="D592" s="52"/>
    </row>
    <row r="593">
      <c r="D593" s="52"/>
    </row>
    <row r="594">
      <c r="D594" s="52"/>
    </row>
    <row r="595">
      <c r="D595" s="52"/>
    </row>
    <row r="596">
      <c r="D596" s="52"/>
    </row>
    <row r="597">
      <c r="D597" s="52"/>
    </row>
    <row r="598">
      <c r="D598" s="52"/>
    </row>
    <row r="599">
      <c r="D599" s="52"/>
    </row>
    <row r="600">
      <c r="D600" s="52"/>
    </row>
    <row r="601">
      <c r="D601" s="52"/>
    </row>
    <row r="602">
      <c r="D602" s="52"/>
    </row>
    <row r="603">
      <c r="D603" s="52"/>
    </row>
    <row r="604">
      <c r="D604" s="52"/>
    </row>
    <row r="605">
      <c r="D605" s="52"/>
    </row>
    <row r="606">
      <c r="D606" s="52"/>
    </row>
    <row r="607">
      <c r="D607" s="52"/>
    </row>
    <row r="608">
      <c r="D608" s="52"/>
    </row>
    <row r="609">
      <c r="D609" s="52"/>
    </row>
    <row r="610">
      <c r="D610" s="52"/>
    </row>
    <row r="611">
      <c r="D611" s="52"/>
    </row>
    <row r="612">
      <c r="D612" s="52"/>
    </row>
    <row r="613">
      <c r="D613" s="52"/>
    </row>
    <row r="614">
      <c r="D614" s="52"/>
    </row>
    <row r="615">
      <c r="D615" s="52"/>
    </row>
    <row r="616">
      <c r="D616" s="52"/>
    </row>
    <row r="617">
      <c r="D617" s="52"/>
    </row>
    <row r="618">
      <c r="D618" s="52"/>
    </row>
    <row r="619">
      <c r="D619" s="52"/>
    </row>
    <row r="620">
      <c r="D620" s="52"/>
    </row>
    <row r="621">
      <c r="D621" s="52"/>
    </row>
    <row r="622">
      <c r="D622" s="52"/>
    </row>
    <row r="623">
      <c r="D623" s="52"/>
    </row>
    <row r="624">
      <c r="D624" s="52"/>
    </row>
    <row r="625">
      <c r="D625" s="52"/>
    </row>
    <row r="626">
      <c r="D626" s="52"/>
    </row>
    <row r="627">
      <c r="D627" s="52"/>
    </row>
    <row r="628">
      <c r="D628" s="52"/>
    </row>
    <row r="629">
      <c r="D629" s="52"/>
    </row>
    <row r="630">
      <c r="D630" s="52"/>
    </row>
    <row r="631">
      <c r="D631" s="52"/>
    </row>
    <row r="632">
      <c r="D632" s="52"/>
    </row>
    <row r="633">
      <c r="D633" s="52"/>
    </row>
    <row r="634">
      <c r="D634" s="52"/>
    </row>
    <row r="635">
      <c r="D635" s="52"/>
    </row>
    <row r="636">
      <c r="D636" s="52"/>
    </row>
    <row r="637">
      <c r="D637" s="52"/>
    </row>
    <row r="638">
      <c r="D638" s="52"/>
    </row>
    <row r="639">
      <c r="D639" s="52"/>
    </row>
    <row r="640">
      <c r="D640" s="52"/>
    </row>
    <row r="641">
      <c r="D641" s="52"/>
    </row>
    <row r="642">
      <c r="D642" s="52"/>
    </row>
    <row r="643">
      <c r="D643" s="52"/>
    </row>
    <row r="644">
      <c r="D644" s="52"/>
    </row>
    <row r="645">
      <c r="D645" s="52"/>
    </row>
    <row r="646">
      <c r="D646" s="52"/>
    </row>
    <row r="647">
      <c r="D647" s="52"/>
    </row>
    <row r="648">
      <c r="D648" s="52"/>
    </row>
    <row r="649">
      <c r="D649" s="52"/>
    </row>
    <row r="650">
      <c r="D650" s="52"/>
    </row>
    <row r="651">
      <c r="D651" s="52"/>
    </row>
    <row r="652">
      <c r="D652" s="52"/>
    </row>
    <row r="653">
      <c r="D653" s="52"/>
    </row>
    <row r="654">
      <c r="D654" s="52"/>
    </row>
    <row r="655">
      <c r="D655" s="52"/>
    </row>
    <row r="656">
      <c r="D656" s="52"/>
    </row>
    <row r="657">
      <c r="D657" s="52"/>
    </row>
    <row r="658">
      <c r="D658" s="52"/>
    </row>
    <row r="659">
      <c r="D659" s="52"/>
    </row>
    <row r="660">
      <c r="D660" s="52"/>
    </row>
    <row r="661">
      <c r="D661" s="52"/>
    </row>
    <row r="662">
      <c r="D662" s="52"/>
    </row>
    <row r="663">
      <c r="D663" s="52"/>
    </row>
    <row r="664">
      <c r="D664" s="52"/>
    </row>
    <row r="665">
      <c r="D665" s="52"/>
    </row>
    <row r="666">
      <c r="D666" s="52"/>
    </row>
    <row r="667">
      <c r="D667" s="52"/>
    </row>
    <row r="668">
      <c r="D668" s="52"/>
    </row>
    <row r="669">
      <c r="D669" s="52"/>
    </row>
    <row r="670">
      <c r="D670" s="52"/>
    </row>
    <row r="671">
      <c r="D671" s="52"/>
    </row>
    <row r="672">
      <c r="D672" s="52"/>
    </row>
    <row r="673">
      <c r="D673" s="52"/>
    </row>
    <row r="674">
      <c r="D674" s="52"/>
    </row>
    <row r="675">
      <c r="D675" s="52"/>
    </row>
    <row r="676">
      <c r="D676" s="52"/>
    </row>
    <row r="677">
      <c r="D677" s="52"/>
    </row>
    <row r="678">
      <c r="D678" s="52"/>
    </row>
    <row r="679">
      <c r="D679" s="52"/>
    </row>
    <row r="680">
      <c r="D680" s="52"/>
    </row>
    <row r="681">
      <c r="D681" s="52"/>
    </row>
    <row r="682">
      <c r="D682" s="52"/>
    </row>
    <row r="683">
      <c r="D683" s="52"/>
    </row>
    <row r="684">
      <c r="D684" s="52"/>
    </row>
    <row r="685">
      <c r="D685" s="52"/>
    </row>
    <row r="686">
      <c r="D686" s="52"/>
    </row>
    <row r="687">
      <c r="D687" s="52"/>
    </row>
    <row r="688">
      <c r="D688" s="52"/>
    </row>
    <row r="689">
      <c r="D689" s="52"/>
    </row>
    <row r="690">
      <c r="D690" s="52"/>
    </row>
    <row r="691">
      <c r="D691" s="52"/>
    </row>
    <row r="692">
      <c r="D692" s="52"/>
    </row>
    <row r="693">
      <c r="D693" s="52"/>
    </row>
    <row r="694">
      <c r="D694" s="52"/>
    </row>
    <row r="695">
      <c r="D695" s="52"/>
    </row>
    <row r="696">
      <c r="D696" s="52"/>
    </row>
    <row r="697">
      <c r="D697" s="52"/>
    </row>
    <row r="698">
      <c r="D698" s="52"/>
    </row>
    <row r="699">
      <c r="D699" s="52"/>
    </row>
    <row r="700">
      <c r="D700" s="52"/>
    </row>
    <row r="701">
      <c r="D701" s="52"/>
    </row>
    <row r="702">
      <c r="D702" s="52"/>
    </row>
    <row r="703">
      <c r="D703" s="52"/>
    </row>
    <row r="704">
      <c r="D704" s="52"/>
    </row>
    <row r="705">
      <c r="D705" s="52"/>
    </row>
    <row r="706">
      <c r="D706" s="52"/>
    </row>
    <row r="707">
      <c r="D707" s="52"/>
    </row>
    <row r="708">
      <c r="D708" s="52"/>
    </row>
    <row r="709">
      <c r="D709" s="52"/>
    </row>
    <row r="710">
      <c r="D710" s="52"/>
    </row>
    <row r="711">
      <c r="D711" s="52"/>
    </row>
    <row r="712">
      <c r="D712" s="52"/>
    </row>
    <row r="713">
      <c r="D713" s="52"/>
    </row>
    <row r="714">
      <c r="D714" s="52"/>
    </row>
    <row r="715">
      <c r="D715" s="52"/>
    </row>
    <row r="716">
      <c r="D716" s="52"/>
    </row>
    <row r="717">
      <c r="D717" s="52"/>
    </row>
    <row r="718">
      <c r="D718" s="52"/>
    </row>
    <row r="719">
      <c r="D719" s="52"/>
    </row>
    <row r="720">
      <c r="D720" s="52"/>
    </row>
    <row r="721">
      <c r="D721" s="52"/>
    </row>
    <row r="722">
      <c r="D722" s="52"/>
    </row>
    <row r="723">
      <c r="D723" s="52"/>
    </row>
    <row r="724">
      <c r="D724" s="52"/>
    </row>
    <row r="725">
      <c r="D725" s="52"/>
    </row>
    <row r="726">
      <c r="D726" s="52"/>
    </row>
    <row r="727">
      <c r="D727" s="52"/>
    </row>
    <row r="728">
      <c r="D728" s="52"/>
    </row>
    <row r="729">
      <c r="D729" s="52"/>
    </row>
    <row r="730">
      <c r="D730" s="52"/>
    </row>
    <row r="731">
      <c r="D731" s="52"/>
    </row>
    <row r="732">
      <c r="D732" s="52"/>
    </row>
    <row r="733">
      <c r="D733" s="52"/>
    </row>
    <row r="734">
      <c r="D734" s="52"/>
    </row>
    <row r="735">
      <c r="D735" s="52"/>
    </row>
    <row r="736">
      <c r="D736" s="52"/>
    </row>
    <row r="737">
      <c r="D737" s="52"/>
    </row>
    <row r="738">
      <c r="D738" s="52"/>
    </row>
    <row r="739">
      <c r="D739" s="52"/>
    </row>
    <row r="740">
      <c r="D740" s="52"/>
    </row>
    <row r="741">
      <c r="D741" s="52"/>
    </row>
    <row r="742">
      <c r="D742" s="52"/>
    </row>
    <row r="743">
      <c r="D743" s="52"/>
    </row>
    <row r="744">
      <c r="D744" s="52"/>
    </row>
    <row r="745">
      <c r="D745" s="52"/>
    </row>
    <row r="746">
      <c r="D746" s="52"/>
    </row>
    <row r="747">
      <c r="D747" s="52"/>
    </row>
    <row r="748">
      <c r="D748" s="52"/>
    </row>
    <row r="749">
      <c r="D749" s="52"/>
    </row>
    <row r="750">
      <c r="D750" s="52"/>
    </row>
    <row r="751">
      <c r="D751" s="52"/>
    </row>
    <row r="752">
      <c r="D752" s="52"/>
    </row>
    <row r="753">
      <c r="D753" s="52"/>
    </row>
    <row r="754">
      <c r="D754" s="52"/>
    </row>
    <row r="755">
      <c r="D755" s="52"/>
    </row>
    <row r="756">
      <c r="D756" s="52"/>
    </row>
    <row r="757">
      <c r="D757" s="52"/>
    </row>
    <row r="758">
      <c r="D758" s="52"/>
    </row>
    <row r="759">
      <c r="D759" s="52"/>
    </row>
    <row r="760">
      <c r="D760" s="52"/>
    </row>
    <row r="761">
      <c r="D761" s="52"/>
    </row>
    <row r="762">
      <c r="D762" s="52"/>
    </row>
    <row r="763">
      <c r="D763" s="52"/>
    </row>
    <row r="764">
      <c r="D764" s="52"/>
    </row>
    <row r="765">
      <c r="D765" s="52"/>
    </row>
    <row r="766">
      <c r="D766" s="52"/>
    </row>
    <row r="767">
      <c r="D767" s="52"/>
    </row>
    <row r="768">
      <c r="D768" s="52"/>
    </row>
    <row r="769">
      <c r="D769" s="52"/>
    </row>
    <row r="770">
      <c r="D770" s="52"/>
    </row>
    <row r="771">
      <c r="D771" s="52"/>
    </row>
    <row r="772">
      <c r="D772" s="52"/>
    </row>
    <row r="773">
      <c r="D773" s="52"/>
    </row>
    <row r="774">
      <c r="D774" s="52"/>
    </row>
    <row r="775">
      <c r="D775" s="52"/>
    </row>
    <row r="776">
      <c r="D776" s="52"/>
    </row>
    <row r="777">
      <c r="D777" s="52"/>
    </row>
    <row r="778">
      <c r="D778" s="52"/>
    </row>
    <row r="779">
      <c r="D779" s="52"/>
    </row>
    <row r="780">
      <c r="D780" s="52"/>
    </row>
    <row r="781">
      <c r="D781" s="52"/>
    </row>
    <row r="782">
      <c r="D782" s="52"/>
    </row>
    <row r="783">
      <c r="D783" s="52"/>
    </row>
    <row r="784">
      <c r="D784" s="52"/>
    </row>
    <row r="785">
      <c r="D785" s="52"/>
    </row>
    <row r="786">
      <c r="D786" s="52"/>
    </row>
    <row r="787">
      <c r="D787" s="52"/>
    </row>
    <row r="788">
      <c r="D788" s="52"/>
    </row>
    <row r="789">
      <c r="D789" s="52"/>
    </row>
    <row r="790">
      <c r="D790" s="52"/>
    </row>
    <row r="791">
      <c r="D791" s="52"/>
    </row>
    <row r="792">
      <c r="D792" s="52"/>
    </row>
    <row r="793">
      <c r="D793" s="52"/>
    </row>
    <row r="794">
      <c r="D794" s="52"/>
    </row>
    <row r="795">
      <c r="D795" s="52"/>
    </row>
    <row r="796">
      <c r="D796" s="52"/>
    </row>
    <row r="797">
      <c r="D797" s="52"/>
    </row>
    <row r="798">
      <c r="D798" s="52"/>
    </row>
    <row r="799">
      <c r="D799" s="52"/>
    </row>
    <row r="800">
      <c r="D800" s="52"/>
    </row>
    <row r="801">
      <c r="D801" s="52"/>
    </row>
    <row r="802">
      <c r="D802" s="52"/>
    </row>
    <row r="803">
      <c r="D803" s="52"/>
    </row>
    <row r="804">
      <c r="D804" s="52"/>
    </row>
    <row r="805">
      <c r="D805" s="52"/>
    </row>
    <row r="806">
      <c r="D806" s="52"/>
    </row>
    <row r="807">
      <c r="D807" s="52"/>
    </row>
    <row r="808">
      <c r="D808" s="52"/>
    </row>
    <row r="809">
      <c r="D809" s="52"/>
    </row>
    <row r="810">
      <c r="D810" s="52"/>
    </row>
    <row r="811">
      <c r="D811" s="52"/>
    </row>
    <row r="812">
      <c r="D812" s="52"/>
    </row>
    <row r="813">
      <c r="D813" s="52"/>
    </row>
    <row r="814">
      <c r="D814" s="52"/>
    </row>
    <row r="815">
      <c r="D815" s="52"/>
    </row>
    <row r="816">
      <c r="D816" s="52"/>
    </row>
    <row r="817">
      <c r="D817" s="52"/>
    </row>
    <row r="818">
      <c r="D818" s="52"/>
    </row>
    <row r="819">
      <c r="D819" s="52"/>
    </row>
    <row r="820">
      <c r="D820" s="52"/>
    </row>
    <row r="821">
      <c r="D821" s="52"/>
    </row>
    <row r="822">
      <c r="D822" s="52"/>
    </row>
    <row r="823">
      <c r="D823" s="52"/>
    </row>
    <row r="824">
      <c r="D824" s="52"/>
    </row>
    <row r="825">
      <c r="D825" s="52"/>
    </row>
    <row r="826">
      <c r="D826" s="52"/>
    </row>
    <row r="827">
      <c r="D827" s="52"/>
    </row>
    <row r="828">
      <c r="D828" s="52"/>
    </row>
    <row r="829">
      <c r="D829" s="52"/>
    </row>
    <row r="830">
      <c r="D830" s="52"/>
    </row>
    <row r="831">
      <c r="D831" s="52"/>
    </row>
    <row r="832">
      <c r="D832" s="52"/>
    </row>
    <row r="833">
      <c r="D833" s="52"/>
    </row>
    <row r="834">
      <c r="D834" s="52"/>
    </row>
    <row r="835">
      <c r="D835" s="52"/>
    </row>
    <row r="836">
      <c r="D836" s="52"/>
    </row>
    <row r="837">
      <c r="D837" s="52"/>
    </row>
    <row r="838">
      <c r="D838" s="52"/>
    </row>
    <row r="839">
      <c r="D839" s="52"/>
    </row>
    <row r="840">
      <c r="D840" s="52"/>
    </row>
    <row r="841">
      <c r="D841" s="52"/>
    </row>
    <row r="842">
      <c r="D842" s="52"/>
    </row>
    <row r="843">
      <c r="D843" s="52"/>
    </row>
  </sheetData>
  <mergeCells count="7">
    <mergeCell ref="A1:F1"/>
    <mergeCell ref="A2:A3"/>
    <mergeCell ref="B2:B3"/>
    <mergeCell ref="C2:C3"/>
    <mergeCell ref="D2:D3"/>
    <mergeCell ref="E2:F2"/>
    <mergeCell ref="A7:E7"/>
  </mergeCells>
  <dataValidations>
    <dataValidation type="list" allowBlank="1" sqref="H4">
      <formula1>"CHECKED (OK),CHECKED  (NOT OK)"</formula1>
    </dataValidation>
  </dataValidations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3" max="3" width="26.75"/>
    <col customWidth="1" min="4" max="4" width="33.25"/>
    <col customWidth="1" min="7" max="7" width="3.5"/>
    <col customWidth="1" min="8" max="8" width="18.63"/>
    <col customWidth="1" min="9" max="9" width="21.63"/>
  </cols>
  <sheetData>
    <row r="1">
      <c r="A1" s="30" t="s">
        <v>1102</v>
      </c>
      <c r="G1" s="31"/>
      <c r="H1" s="32" t="s">
        <v>1103</v>
      </c>
      <c r="I1" s="33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4" t="s">
        <v>1</v>
      </c>
      <c r="B2" s="35" t="s">
        <v>11</v>
      </c>
      <c r="C2" s="35" t="s">
        <v>12</v>
      </c>
      <c r="D2" s="36" t="s">
        <v>13</v>
      </c>
      <c r="E2" s="37" t="s">
        <v>14</v>
      </c>
      <c r="F2" s="38"/>
      <c r="G2" s="39"/>
      <c r="H2" s="40"/>
      <c r="I2" s="40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41"/>
      <c r="B3" s="38"/>
      <c r="C3" s="38"/>
      <c r="D3" s="38"/>
      <c r="E3" s="42" t="s">
        <v>15</v>
      </c>
      <c r="F3" s="43" t="s">
        <v>5</v>
      </c>
      <c r="G3" s="39"/>
      <c r="H3" s="44" t="s">
        <v>6</v>
      </c>
      <c r="I3" s="45" t="s">
        <v>7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24.75" customHeight="1">
      <c r="A4" s="46"/>
      <c r="B4" s="47"/>
      <c r="C4" s="48" t="str">
        <f>vlookup(B4,'Crew Data'!C:G,5,0)</f>
        <v>#N/A</v>
      </c>
      <c r="D4" s="49"/>
      <c r="E4" s="47"/>
      <c r="F4" s="50">
        <f>E4*400</f>
        <v>0</v>
      </c>
      <c r="G4" s="22">
        <f>COUNTIF(B:B,B4)</f>
        <v>0</v>
      </c>
      <c r="H4" s="5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D5" s="52"/>
    </row>
    <row r="6">
      <c r="D6" s="52"/>
    </row>
    <row r="7" ht="44.25" customHeight="1">
      <c r="A7" s="53" t="s">
        <v>16</v>
      </c>
    </row>
    <row r="8">
      <c r="D8" s="52"/>
    </row>
    <row r="9">
      <c r="D9" s="52"/>
    </row>
    <row r="10">
      <c r="D10" s="52"/>
    </row>
    <row r="11">
      <c r="D11" s="52"/>
    </row>
    <row r="12">
      <c r="D12" s="52"/>
    </row>
    <row r="13">
      <c r="D13" s="52"/>
    </row>
    <row r="14">
      <c r="D14" s="52"/>
    </row>
    <row r="15">
      <c r="D15" s="52"/>
    </row>
    <row r="16">
      <c r="D16" s="52"/>
    </row>
    <row r="17">
      <c r="D17" s="52"/>
    </row>
    <row r="18">
      <c r="D18" s="52"/>
    </row>
    <row r="19">
      <c r="D19" s="52"/>
    </row>
    <row r="20">
      <c r="D20" s="52"/>
    </row>
    <row r="21">
      <c r="D21" s="52"/>
    </row>
    <row r="22">
      <c r="D22" s="52"/>
    </row>
    <row r="23">
      <c r="D23" s="52"/>
    </row>
    <row r="24">
      <c r="D24" s="52"/>
    </row>
    <row r="25">
      <c r="D25" s="52"/>
    </row>
    <row r="26">
      <c r="D26" s="52"/>
    </row>
    <row r="27">
      <c r="D27" s="52"/>
    </row>
    <row r="28">
      <c r="D28" s="52"/>
    </row>
    <row r="29">
      <c r="D29" s="52"/>
    </row>
    <row r="30">
      <c r="D30" s="52"/>
    </row>
    <row r="31">
      <c r="D31" s="52"/>
    </row>
    <row r="32">
      <c r="D32" s="52"/>
    </row>
    <row r="33">
      <c r="D33" s="52"/>
    </row>
    <row r="34">
      <c r="D34" s="52"/>
    </row>
    <row r="35">
      <c r="D35" s="52"/>
    </row>
    <row r="36">
      <c r="D36" s="52"/>
    </row>
    <row r="37">
      <c r="D37" s="52"/>
    </row>
    <row r="38">
      <c r="D38" s="52"/>
    </row>
    <row r="39">
      <c r="D39" s="52"/>
    </row>
    <row r="40">
      <c r="D40" s="52"/>
    </row>
    <row r="41">
      <c r="D41" s="52"/>
    </row>
    <row r="42">
      <c r="D42" s="52"/>
    </row>
    <row r="43">
      <c r="D43" s="52"/>
    </row>
    <row r="44">
      <c r="D44" s="52"/>
    </row>
    <row r="45">
      <c r="D45" s="52"/>
    </row>
    <row r="46">
      <c r="D46" s="52"/>
    </row>
    <row r="47">
      <c r="D47" s="52"/>
    </row>
    <row r="48">
      <c r="D48" s="52"/>
    </row>
    <row r="49">
      <c r="D49" s="52"/>
    </row>
    <row r="50">
      <c r="D50" s="52"/>
    </row>
    <row r="51">
      <c r="D51" s="52"/>
    </row>
    <row r="52">
      <c r="D52" s="52"/>
    </row>
    <row r="53">
      <c r="D53" s="52"/>
    </row>
    <row r="54">
      <c r="D54" s="52"/>
    </row>
    <row r="55">
      <c r="D55" s="52"/>
    </row>
    <row r="56">
      <c r="D56" s="52"/>
    </row>
    <row r="57">
      <c r="D57" s="52"/>
    </row>
    <row r="58">
      <c r="D58" s="52"/>
    </row>
    <row r="59">
      <c r="D59" s="52"/>
    </row>
    <row r="60">
      <c r="D60" s="52"/>
    </row>
    <row r="61">
      <c r="D61" s="52"/>
    </row>
    <row r="62">
      <c r="D62" s="52"/>
    </row>
    <row r="63">
      <c r="D63" s="52"/>
    </row>
    <row r="64">
      <c r="D64" s="52"/>
    </row>
    <row r="65">
      <c r="D65" s="52"/>
    </row>
    <row r="66">
      <c r="D66" s="52"/>
    </row>
    <row r="67">
      <c r="D67" s="52"/>
    </row>
    <row r="68">
      <c r="D68" s="52"/>
    </row>
    <row r="69">
      <c r="D69" s="52"/>
    </row>
    <row r="70">
      <c r="D70" s="52"/>
    </row>
    <row r="71">
      <c r="D71" s="52"/>
    </row>
    <row r="72">
      <c r="D72" s="52"/>
    </row>
    <row r="73">
      <c r="D73" s="52"/>
    </row>
    <row r="74">
      <c r="D74" s="52"/>
    </row>
    <row r="75">
      <c r="D75" s="52"/>
    </row>
    <row r="76">
      <c r="D76" s="52"/>
    </row>
    <row r="77">
      <c r="D77" s="52"/>
    </row>
    <row r="78">
      <c r="D78" s="52"/>
    </row>
    <row r="79">
      <c r="D79" s="52"/>
    </row>
    <row r="80">
      <c r="D80" s="52"/>
    </row>
    <row r="81">
      <c r="D81" s="52"/>
    </row>
    <row r="82">
      <c r="D82" s="52"/>
    </row>
    <row r="83">
      <c r="D83" s="52"/>
    </row>
    <row r="84">
      <c r="D84" s="52"/>
    </row>
    <row r="85">
      <c r="D85" s="52"/>
    </row>
    <row r="86">
      <c r="D86" s="52"/>
    </row>
    <row r="87">
      <c r="D87" s="52"/>
    </row>
    <row r="88">
      <c r="D88" s="52"/>
    </row>
    <row r="89">
      <c r="D89" s="52"/>
    </row>
    <row r="90">
      <c r="D90" s="52"/>
    </row>
    <row r="91">
      <c r="D91" s="52"/>
    </row>
    <row r="92">
      <c r="D92" s="52"/>
    </row>
    <row r="93">
      <c r="D93" s="52"/>
    </row>
    <row r="94">
      <c r="D94" s="52"/>
    </row>
    <row r="95">
      <c r="D95" s="52"/>
    </row>
    <row r="96">
      <c r="D96" s="52"/>
    </row>
    <row r="97">
      <c r="D97" s="52"/>
    </row>
    <row r="98">
      <c r="D98" s="52"/>
    </row>
    <row r="99">
      <c r="D99" s="52"/>
    </row>
    <row r="100">
      <c r="D100" s="52"/>
    </row>
    <row r="101">
      <c r="D101" s="52"/>
    </row>
    <row r="102">
      <c r="D102" s="52"/>
    </row>
    <row r="103">
      <c r="D103" s="52"/>
    </row>
    <row r="104">
      <c r="D104" s="52"/>
    </row>
    <row r="105">
      <c r="D105" s="52"/>
    </row>
    <row r="106">
      <c r="D106" s="52"/>
    </row>
    <row r="107">
      <c r="D107" s="52"/>
    </row>
    <row r="108">
      <c r="D108" s="52"/>
    </row>
    <row r="109">
      <c r="D109" s="52"/>
    </row>
    <row r="110">
      <c r="D110" s="52"/>
    </row>
    <row r="111">
      <c r="D111" s="52"/>
    </row>
    <row r="112">
      <c r="D112" s="52"/>
    </row>
    <row r="113">
      <c r="D113" s="52"/>
    </row>
    <row r="114">
      <c r="D114" s="52"/>
    </row>
    <row r="115">
      <c r="D115" s="52"/>
    </row>
    <row r="116">
      <c r="D116" s="52"/>
    </row>
    <row r="117">
      <c r="D117" s="52"/>
    </row>
    <row r="118">
      <c r="D118" s="52"/>
    </row>
    <row r="119">
      <c r="D119" s="52"/>
    </row>
    <row r="120">
      <c r="D120" s="52"/>
    </row>
    <row r="121">
      <c r="D121" s="52"/>
    </row>
    <row r="122">
      <c r="D122" s="52"/>
    </row>
    <row r="123">
      <c r="D123" s="52"/>
    </row>
    <row r="124">
      <c r="D124" s="52"/>
    </row>
    <row r="125">
      <c r="D125" s="52"/>
    </row>
    <row r="126">
      <c r="D126" s="52"/>
    </row>
    <row r="127">
      <c r="D127" s="52"/>
    </row>
    <row r="128">
      <c r="D128" s="52"/>
    </row>
    <row r="129">
      <c r="D129" s="52"/>
    </row>
    <row r="130">
      <c r="D130" s="52"/>
    </row>
    <row r="131">
      <c r="D131" s="52"/>
    </row>
    <row r="132">
      <c r="D132" s="52"/>
    </row>
    <row r="133">
      <c r="D133" s="52"/>
    </row>
    <row r="134">
      <c r="D134" s="52"/>
    </row>
    <row r="135">
      <c r="D135" s="52"/>
    </row>
    <row r="136">
      <c r="D136" s="52"/>
    </row>
    <row r="137">
      <c r="D137" s="52"/>
    </row>
    <row r="138">
      <c r="D138" s="52"/>
    </row>
    <row r="139">
      <c r="D139" s="52"/>
    </row>
    <row r="140">
      <c r="D140" s="52"/>
    </row>
    <row r="141">
      <c r="D141" s="52"/>
    </row>
    <row r="142">
      <c r="D142" s="52"/>
    </row>
    <row r="143">
      <c r="D143" s="52"/>
    </row>
    <row r="144">
      <c r="D144" s="52"/>
    </row>
    <row r="145">
      <c r="D145" s="52"/>
    </row>
    <row r="146">
      <c r="D146" s="52"/>
    </row>
    <row r="147">
      <c r="D147" s="52"/>
    </row>
    <row r="148">
      <c r="D148" s="52"/>
    </row>
    <row r="149">
      <c r="D149" s="52"/>
    </row>
    <row r="150">
      <c r="D150" s="52"/>
    </row>
    <row r="151">
      <c r="D151" s="52"/>
    </row>
    <row r="152">
      <c r="D152" s="52"/>
    </row>
    <row r="153">
      <c r="D153" s="52"/>
    </row>
    <row r="154">
      <c r="D154" s="52"/>
    </row>
    <row r="155">
      <c r="D155" s="52"/>
    </row>
    <row r="156">
      <c r="D156" s="52"/>
    </row>
    <row r="157">
      <c r="D157" s="52"/>
    </row>
    <row r="158">
      <c r="D158" s="52"/>
    </row>
    <row r="159">
      <c r="D159" s="52"/>
    </row>
    <row r="160">
      <c r="D160" s="52"/>
    </row>
    <row r="161">
      <c r="D161" s="52"/>
    </row>
    <row r="162">
      <c r="D162" s="52"/>
    </row>
    <row r="163">
      <c r="D163" s="52"/>
    </row>
    <row r="164">
      <c r="D164" s="52"/>
    </row>
    <row r="165">
      <c r="D165" s="52"/>
    </row>
    <row r="166">
      <c r="D166" s="52"/>
    </row>
    <row r="167">
      <c r="D167" s="52"/>
    </row>
    <row r="168">
      <c r="D168" s="52"/>
    </row>
    <row r="169">
      <c r="D169" s="52"/>
    </row>
    <row r="170">
      <c r="D170" s="52"/>
    </row>
    <row r="171">
      <c r="D171" s="52"/>
    </row>
    <row r="172">
      <c r="D172" s="52"/>
    </row>
    <row r="173">
      <c r="D173" s="52"/>
    </row>
    <row r="174">
      <c r="D174" s="52"/>
    </row>
    <row r="175">
      <c r="D175" s="52"/>
    </row>
    <row r="176">
      <c r="D176" s="52"/>
    </row>
    <row r="177">
      <c r="D177" s="52"/>
    </row>
    <row r="178">
      <c r="D178" s="52"/>
    </row>
    <row r="179">
      <c r="D179" s="52"/>
    </row>
    <row r="180">
      <c r="D180" s="52"/>
    </row>
    <row r="181">
      <c r="D181" s="52"/>
    </row>
    <row r="182">
      <c r="D182" s="52"/>
    </row>
    <row r="183">
      <c r="D183" s="52"/>
    </row>
    <row r="184">
      <c r="D184" s="52"/>
    </row>
    <row r="185">
      <c r="D185" s="52"/>
    </row>
    <row r="186">
      <c r="D186" s="52"/>
    </row>
    <row r="187">
      <c r="D187" s="52"/>
    </row>
    <row r="188">
      <c r="D188" s="52"/>
    </row>
    <row r="189">
      <c r="D189" s="52"/>
    </row>
    <row r="190">
      <c r="D190" s="52"/>
    </row>
    <row r="191">
      <c r="D191" s="52"/>
    </row>
    <row r="192">
      <c r="D192" s="52"/>
    </row>
    <row r="193">
      <c r="D193" s="52"/>
    </row>
    <row r="194">
      <c r="D194" s="52"/>
    </row>
    <row r="195">
      <c r="D195" s="52"/>
    </row>
    <row r="196">
      <c r="D196" s="52"/>
    </row>
    <row r="197">
      <c r="D197" s="52"/>
    </row>
    <row r="198">
      <c r="D198" s="52"/>
    </row>
    <row r="199">
      <c r="D199" s="52"/>
    </row>
    <row r="200">
      <c r="D200" s="52"/>
    </row>
    <row r="201">
      <c r="D201" s="52"/>
    </row>
    <row r="202">
      <c r="D202" s="52"/>
    </row>
    <row r="203">
      <c r="D203" s="52"/>
    </row>
    <row r="204">
      <c r="D204" s="52"/>
    </row>
    <row r="205">
      <c r="D205" s="52"/>
    </row>
    <row r="206">
      <c r="D206" s="52"/>
    </row>
    <row r="207">
      <c r="D207" s="52"/>
    </row>
    <row r="208">
      <c r="D208" s="52"/>
    </row>
    <row r="209">
      <c r="D209" s="52"/>
    </row>
    <row r="210">
      <c r="D210" s="52"/>
    </row>
    <row r="211">
      <c r="D211" s="52"/>
    </row>
    <row r="212">
      <c r="D212" s="52"/>
    </row>
    <row r="213">
      <c r="D213" s="52"/>
    </row>
    <row r="214">
      <c r="D214" s="52"/>
    </row>
    <row r="215">
      <c r="D215" s="52"/>
    </row>
    <row r="216">
      <c r="D216" s="52"/>
    </row>
    <row r="217">
      <c r="D217" s="52"/>
    </row>
    <row r="218">
      <c r="D218" s="52"/>
    </row>
    <row r="219">
      <c r="D219" s="52"/>
    </row>
    <row r="220">
      <c r="D220" s="52"/>
    </row>
    <row r="221">
      <c r="D221" s="52"/>
    </row>
    <row r="222">
      <c r="D222" s="52"/>
    </row>
    <row r="223">
      <c r="D223" s="52"/>
    </row>
    <row r="224">
      <c r="D224" s="52"/>
    </row>
    <row r="225">
      <c r="D225" s="52"/>
    </row>
    <row r="226">
      <c r="D226" s="52"/>
    </row>
    <row r="227">
      <c r="D227" s="52"/>
    </row>
    <row r="228">
      <c r="D228" s="52"/>
    </row>
    <row r="229">
      <c r="D229" s="52"/>
    </row>
    <row r="230">
      <c r="D230" s="52"/>
    </row>
    <row r="231">
      <c r="D231" s="52"/>
    </row>
    <row r="232">
      <c r="D232" s="52"/>
    </row>
    <row r="233">
      <c r="D233" s="52"/>
    </row>
    <row r="234">
      <c r="D234" s="52"/>
    </row>
    <row r="235">
      <c r="D235" s="52"/>
    </row>
    <row r="236">
      <c r="D236" s="52"/>
    </row>
    <row r="237">
      <c r="D237" s="52"/>
    </row>
    <row r="238">
      <c r="D238" s="52"/>
    </row>
    <row r="239">
      <c r="D239" s="52"/>
    </row>
    <row r="240">
      <c r="D240" s="52"/>
    </row>
    <row r="241">
      <c r="D241" s="52"/>
    </row>
    <row r="242">
      <c r="D242" s="52"/>
    </row>
    <row r="243">
      <c r="D243" s="52"/>
    </row>
    <row r="244">
      <c r="D244" s="52"/>
    </row>
    <row r="245">
      <c r="D245" s="52"/>
    </row>
    <row r="246">
      <c r="D246" s="52"/>
    </row>
    <row r="247">
      <c r="D247" s="52"/>
    </row>
    <row r="248">
      <c r="D248" s="52"/>
    </row>
    <row r="249">
      <c r="D249" s="52"/>
    </row>
    <row r="250">
      <c r="D250" s="52"/>
    </row>
    <row r="251">
      <c r="D251" s="52"/>
    </row>
    <row r="252">
      <c r="D252" s="52"/>
    </row>
    <row r="253">
      <c r="D253" s="52"/>
    </row>
    <row r="254">
      <c r="D254" s="52"/>
    </row>
    <row r="255">
      <c r="D255" s="52"/>
    </row>
    <row r="256">
      <c r="D256" s="52"/>
    </row>
    <row r="257">
      <c r="D257" s="52"/>
    </row>
    <row r="258">
      <c r="D258" s="52"/>
    </row>
    <row r="259">
      <c r="D259" s="52"/>
    </row>
    <row r="260">
      <c r="D260" s="52"/>
    </row>
    <row r="261">
      <c r="D261" s="52"/>
    </row>
    <row r="262">
      <c r="D262" s="52"/>
    </row>
    <row r="263">
      <c r="D263" s="52"/>
    </row>
    <row r="264">
      <c r="D264" s="52"/>
    </row>
    <row r="265">
      <c r="D265" s="52"/>
    </row>
    <row r="266">
      <c r="D266" s="52"/>
    </row>
    <row r="267">
      <c r="D267" s="52"/>
    </row>
    <row r="268">
      <c r="D268" s="52"/>
    </row>
    <row r="269">
      <c r="D269" s="52"/>
    </row>
    <row r="270">
      <c r="D270" s="52"/>
    </row>
    <row r="271">
      <c r="D271" s="52"/>
    </row>
    <row r="272">
      <c r="D272" s="52"/>
    </row>
    <row r="273">
      <c r="D273" s="52"/>
    </row>
    <row r="274">
      <c r="D274" s="52"/>
    </row>
    <row r="275">
      <c r="D275" s="52"/>
    </row>
    <row r="276">
      <c r="D276" s="52"/>
    </row>
    <row r="277">
      <c r="D277" s="52"/>
    </row>
    <row r="278">
      <c r="D278" s="52"/>
    </row>
    <row r="279">
      <c r="D279" s="52"/>
    </row>
    <row r="280">
      <c r="D280" s="52"/>
    </row>
    <row r="281">
      <c r="D281" s="52"/>
    </row>
    <row r="282">
      <c r="D282" s="52"/>
    </row>
    <row r="283">
      <c r="D283" s="52"/>
    </row>
    <row r="284">
      <c r="D284" s="52"/>
    </row>
    <row r="285">
      <c r="D285" s="52"/>
    </row>
    <row r="286">
      <c r="D286" s="52"/>
    </row>
    <row r="287">
      <c r="D287" s="52"/>
    </row>
    <row r="288">
      <c r="D288" s="52"/>
    </row>
    <row r="289">
      <c r="D289" s="52"/>
    </row>
    <row r="290">
      <c r="D290" s="52"/>
    </row>
    <row r="291">
      <c r="D291" s="52"/>
    </row>
    <row r="292">
      <c r="D292" s="52"/>
    </row>
    <row r="293">
      <c r="D293" s="52"/>
    </row>
    <row r="294">
      <c r="D294" s="52"/>
    </row>
    <row r="295">
      <c r="D295" s="52"/>
    </row>
    <row r="296">
      <c r="D296" s="52"/>
    </row>
    <row r="297">
      <c r="D297" s="52"/>
    </row>
    <row r="298">
      <c r="D298" s="52"/>
    </row>
    <row r="299">
      <c r="D299" s="52"/>
    </row>
    <row r="300">
      <c r="D300" s="52"/>
    </row>
    <row r="301">
      <c r="D301" s="52"/>
    </row>
    <row r="302">
      <c r="D302" s="52"/>
    </row>
    <row r="303">
      <c r="D303" s="52"/>
    </row>
    <row r="304">
      <c r="D304" s="52"/>
    </row>
    <row r="305">
      <c r="D305" s="52"/>
    </row>
    <row r="306">
      <c r="D306" s="52"/>
    </row>
    <row r="307">
      <c r="D307" s="52"/>
    </row>
    <row r="308">
      <c r="D308" s="52"/>
    </row>
    <row r="309">
      <c r="D309" s="52"/>
    </row>
    <row r="310">
      <c r="D310" s="52"/>
    </row>
    <row r="311">
      <c r="D311" s="52"/>
    </row>
    <row r="312">
      <c r="D312" s="52"/>
    </row>
    <row r="313">
      <c r="D313" s="52"/>
    </row>
    <row r="314">
      <c r="D314" s="52"/>
    </row>
    <row r="315">
      <c r="D315" s="52"/>
    </row>
    <row r="316">
      <c r="D316" s="52"/>
    </row>
    <row r="317">
      <c r="D317" s="52"/>
    </row>
    <row r="318">
      <c r="D318" s="52"/>
    </row>
    <row r="319">
      <c r="D319" s="52"/>
    </row>
    <row r="320">
      <c r="D320" s="52"/>
    </row>
    <row r="321">
      <c r="D321" s="52"/>
    </row>
    <row r="322">
      <c r="D322" s="52"/>
    </row>
    <row r="323">
      <c r="D323" s="52"/>
    </row>
    <row r="324">
      <c r="D324" s="52"/>
    </row>
    <row r="325">
      <c r="D325" s="52"/>
    </row>
    <row r="326">
      <c r="D326" s="52"/>
    </row>
    <row r="327">
      <c r="D327" s="52"/>
    </row>
    <row r="328">
      <c r="D328" s="52"/>
    </row>
    <row r="329">
      <c r="D329" s="52"/>
    </row>
    <row r="330">
      <c r="D330" s="52"/>
    </row>
    <row r="331">
      <c r="D331" s="52"/>
    </row>
    <row r="332">
      <c r="D332" s="52"/>
    </row>
    <row r="333">
      <c r="D333" s="52"/>
    </row>
    <row r="334">
      <c r="D334" s="52"/>
    </row>
    <row r="335">
      <c r="D335" s="52"/>
    </row>
    <row r="336">
      <c r="D336" s="52"/>
    </row>
    <row r="337">
      <c r="D337" s="52"/>
    </row>
    <row r="338">
      <c r="D338" s="52"/>
    </row>
    <row r="339">
      <c r="D339" s="52"/>
    </row>
    <row r="340">
      <c r="D340" s="52"/>
    </row>
    <row r="341">
      <c r="D341" s="52"/>
    </row>
    <row r="342">
      <c r="D342" s="52"/>
    </row>
    <row r="343">
      <c r="D343" s="52"/>
    </row>
    <row r="344">
      <c r="D344" s="52"/>
    </row>
    <row r="345">
      <c r="D345" s="52"/>
    </row>
    <row r="346">
      <c r="D346" s="52"/>
    </row>
    <row r="347">
      <c r="D347" s="52"/>
    </row>
    <row r="348">
      <c r="D348" s="52"/>
    </row>
    <row r="349">
      <c r="D349" s="52"/>
    </row>
    <row r="350">
      <c r="D350" s="52"/>
    </row>
    <row r="351">
      <c r="D351" s="52"/>
    </row>
    <row r="352">
      <c r="D352" s="52"/>
    </row>
    <row r="353">
      <c r="D353" s="52"/>
    </row>
    <row r="354">
      <c r="D354" s="52"/>
    </row>
    <row r="355">
      <c r="D355" s="52"/>
    </row>
    <row r="356">
      <c r="D356" s="52"/>
    </row>
    <row r="357">
      <c r="D357" s="52"/>
    </row>
    <row r="358">
      <c r="D358" s="52"/>
    </row>
    <row r="359">
      <c r="D359" s="52"/>
    </row>
    <row r="360">
      <c r="D360" s="52"/>
    </row>
    <row r="361">
      <c r="D361" s="52"/>
    </row>
    <row r="362">
      <c r="D362" s="52"/>
    </row>
    <row r="363">
      <c r="D363" s="52"/>
    </row>
    <row r="364">
      <c r="D364" s="52"/>
    </row>
    <row r="365">
      <c r="D365" s="52"/>
    </row>
    <row r="366">
      <c r="D366" s="52"/>
    </row>
    <row r="367">
      <c r="D367" s="52"/>
    </row>
    <row r="368">
      <c r="D368" s="52"/>
    </row>
    <row r="369">
      <c r="D369" s="52"/>
    </row>
    <row r="370">
      <c r="D370" s="52"/>
    </row>
    <row r="371">
      <c r="D371" s="52"/>
    </row>
    <row r="372">
      <c r="D372" s="52"/>
    </row>
    <row r="373">
      <c r="D373" s="52"/>
    </row>
    <row r="374">
      <c r="D374" s="52"/>
    </row>
    <row r="375">
      <c r="D375" s="52"/>
    </row>
    <row r="376">
      <c r="D376" s="52"/>
    </row>
    <row r="377">
      <c r="D377" s="52"/>
    </row>
    <row r="378">
      <c r="D378" s="52"/>
    </row>
    <row r="379">
      <c r="D379" s="52"/>
    </row>
    <row r="380">
      <c r="D380" s="52"/>
    </row>
    <row r="381">
      <c r="D381" s="52"/>
    </row>
    <row r="382">
      <c r="D382" s="52"/>
    </row>
    <row r="383">
      <c r="D383" s="52"/>
    </row>
    <row r="384">
      <c r="D384" s="52"/>
    </row>
    <row r="385">
      <c r="D385" s="52"/>
    </row>
    <row r="386">
      <c r="D386" s="52"/>
    </row>
    <row r="387">
      <c r="D387" s="52"/>
    </row>
    <row r="388">
      <c r="D388" s="52"/>
    </row>
    <row r="389">
      <c r="D389" s="52"/>
    </row>
    <row r="390">
      <c r="D390" s="52"/>
    </row>
    <row r="391">
      <c r="D391" s="52"/>
    </row>
    <row r="392">
      <c r="D392" s="52"/>
    </row>
    <row r="393">
      <c r="D393" s="52"/>
    </row>
    <row r="394">
      <c r="D394" s="52"/>
    </row>
    <row r="395">
      <c r="D395" s="52"/>
    </row>
    <row r="396">
      <c r="D396" s="52"/>
    </row>
    <row r="397">
      <c r="D397" s="52"/>
    </row>
    <row r="398">
      <c r="D398" s="52"/>
    </row>
    <row r="399">
      <c r="D399" s="52"/>
    </row>
    <row r="400">
      <c r="D400" s="52"/>
    </row>
    <row r="401">
      <c r="D401" s="52"/>
    </row>
    <row r="402">
      <c r="D402" s="52"/>
    </row>
    <row r="403">
      <c r="D403" s="52"/>
    </row>
    <row r="404">
      <c r="D404" s="52"/>
    </row>
    <row r="405">
      <c r="D405" s="52"/>
    </row>
    <row r="406">
      <c r="D406" s="52"/>
    </row>
    <row r="407">
      <c r="D407" s="52"/>
    </row>
    <row r="408">
      <c r="D408" s="52"/>
    </row>
    <row r="409">
      <c r="D409" s="52"/>
    </row>
    <row r="410">
      <c r="D410" s="52"/>
    </row>
    <row r="411">
      <c r="D411" s="52"/>
    </row>
    <row r="412">
      <c r="D412" s="52"/>
    </row>
    <row r="413">
      <c r="D413" s="52"/>
    </row>
    <row r="414">
      <c r="D414" s="52"/>
    </row>
    <row r="415">
      <c r="D415" s="52"/>
    </row>
    <row r="416">
      <c r="D416" s="52"/>
    </row>
    <row r="417">
      <c r="D417" s="52"/>
    </row>
    <row r="418">
      <c r="D418" s="52"/>
    </row>
    <row r="419">
      <c r="D419" s="52"/>
    </row>
    <row r="420">
      <c r="D420" s="52"/>
    </row>
    <row r="421">
      <c r="D421" s="52"/>
    </row>
    <row r="422">
      <c r="D422" s="52"/>
    </row>
    <row r="423">
      <c r="D423" s="52"/>
    </row>
    <row r="424">
      <c r="D424" s="52"/>
    </row>
    <row r="425">
      <c r="D425" s="52"/>
    </row>
    <row r="426">
      <c r="D426" s="52"/>
    </row>
    <row r="427">
      <c r="D427" s="52"/>
    </row>
    <row r="428">
      <c r="D428" s="52"/>
    </row>
    <row r="429">
      <c r="D429" s="52"/>
    </row>
    <row r="430">
      <c r="D430" s="52"/>
    </row>
    <row r="431">
      <c r="D431" s="52"/>
    </row>
    <row r="432">
      <c r="D432" s="52"/>
    </row>
    <row r="433">
      <c r="D433" s="52"/>
    </row>
    <row r="434">
      <c r="D434" s="52"/>
    </row>
    <row r="435">
      <c r="D435" s="52"/>
    </row>
    <row r="436">
      <c r="D436" s="52"/>
    </row>
    <row r="437">
      <c r="D437" s="52"/>
    </row>
    <row r="438">
      <c r="D438" s="52"/>
    </row>
    <row r="439">
      <c r="D439" s="52"/>
    </row>
    <row r="440">
      <c r="D440" s="52"/>
    </row>
    <row r="441">
      <c r="D441" s="52"/>
    </row>
    <row r="442">
      <c r="D442" s="52"/>
    </row>
    <row r="443">
      <c r="D443" s="52"/>
    </row>
    <row r="444">
      <c r="D444" s="52"/>
    </row>
    <row r="445">
      <c r="D445" s="52"/>
    </row>
    <row r="446">
      <c r="D446" s="52"/>
    </row>
    <row r="447">
      <c r="D447" s="52"/>
    </row>
    <row r="448">
      <c r="D448" s="52"/>
    </row>
    <row r="449">
      <c r="D449" s="52"/>
    </row>
    <row r="450">
      <c r="D450" s="52"/>
    </row>
    <row r="451">
      <c r="D451" s="52"/>
    </row>
    <row r="452">
      <c r="D452" s="52"/>
    </row>
    <row r="453">
      <c r="D453" s="52"/>
    </row>
    <row r="454">
      <c r="D454" s="52"/>
    </row>
    <row r="455">
      <c r="D455" s="52"/>
    </row>
    <row r="456">
      <c r="D456" s="52"/>
    </row>
    <row r="457">
      <c r="D457" s="52"/>
    </row>
    <row r="458">
      <c r="D458" s="52"/>
    </row>
    <row r="459">
      <c r="D459" s="52"/>
    </row>
    <row r="460">
      <c r="D460" s="52"/>
    </row>
    <row r="461">
      <c r="D461" s="52"/>
    </row>
    <row r="462">
      <c r="D462" s="52"/>
    </row>
    <row r="463">
      <c r="D463" s="52"/>
    </row>
    <row r="464">
      <c r="D464" s="52"/>
    </row>
    <row r="465">
      <c r="D465" s="52"/>
    </row>
    <row r="466">
      <c r="D466" s="52"/>
    </row>
    <row r="467">
      <c r="D467" s="52"/>
    </row>
    <row r="468">
      <c r="D468" s="52"/>
    </row>
    <row r="469">
      <c r="D469" s="52"/>
    </row>
    <row r="470">
      <c r="D470" s="52"/>
    </row>
    <row r="471">
      <c r="D471" s="52"/>
    </row>
    <row r="472">
      <c r="D472" s="52"/>
    </row>
    <row r="473">
      <c r="D473" s="52"/>
    </row>
    <row r="474">
      <c r="D474" s="52"/>
    </row>
    <row r="475">
      <c r="D475" s="52"/>
    </row>
    <row r="476">
      <c r="D476" s="52"/>
    </row>
    <row r="477">
      <c r="D477" s="52"/>
    </row>
    <row r="478">
      <c r="D478" s="52"/>
    </row>
    <row r="479">
      <c r="D479" s="52"/>
    </row>
    <row r="480">
      <c r="D480" s="52"/>
    </row>
    <row r="481">
      <c r="D481" s="52"/>
    </row>
    <row r="482">
      <c r="D482" s="52"/>
    </row>
    <row r="483">
      <c r="D483" s="52"/>
    </row>
    <row r="484">
      <c r="D484" s="52"/>
    </row>
    <row r="485">
      <c r="D485" s="52"/>
    </row>
    <row r="486">
      <c r="D486" s="52"/>
    </row>
    <row r="487">
      <c r="D487" s="52"/>
    </row>
    <row r="488">
      <c r="D488" s="52"/>
    </row>
    <row r="489">
      <c r="D489" s="52"/>
    </row>
    <row r="490">
      <c r="D490" s="52"/>
    </row>
    <row r="491">
      <c r="D491" s="52"/>
    </row>
    <row r="492">
      <c r="D492" s="52"/>
    </row>
    <row r="493">
      <c r="D493" s="52"/>
    </row>
    <row r="494">
      <c r="D494" s="52"/>
    </row>
    <row r="495">
      <c r="D495" s="52"/>
    </row>
    <row r="496">
      <c r="D496" s="52"/>
    </row>
    <row r="497">
      <c r="D497" s="52"/>
    </row>
    <row r="498">
      <c r="D498" s="52"/>
    </row>
    <row r="499">
      <c r="D499" s="52"/>
    </row>
    <row r="500">
      <c r="D500" s="52"/>
    </row>
    <row r="501">
      <c r="D501" s="52"/>
    </row>
    <row r="502">
      <c r="D502" s="52"/>
    </row>
    <row r="503">
      <c r="D503" s="52"/>
    </row>
    <row r="504">
      <c r="D504" s="52"/>
    </row>
    <row r="505">
      <c r="D505" s="52"/>
    </row>
    <row r="506">
      <c r="D506" s="52"/>
    </row>
    <row r="507">
      <c r="D507" s="52"/>
    </row>
    <row r="508">
      <c r="D508" s="52"/>
    </row>
    <row r="509">
      <c r="D509" s="52"/>
    </row>
    <row r="510">
      <c r="D510" s="52"/>
    </row>
    <row r="511">
      <c r="D511" s="52"/>
    </row>
    <row r="512">
      <c r="D512" s="52"/>
    </row>
    <row r="513">
      <c r="D513" s="52"/>
    </row>
    <row r="514">
      <c r="D514" s="52"/>
    </row>
    <row r="515">
      <c r="D515" s="52"/>
    </row>
    <row r="516">
      <c r="D516" s="52"/>
    </row>
    <row r="517">
      <c r="D517" s="52"/>
    </row>
    <row r="518">
      <c r="D518" s="52"/>
    </row>
    <row r="519">
      <c r="D519" s="52"/>
    </row>
    <row r="520">
      <c r="D520" s="52"/>
    </row>
    <row r="521">
      <c r="D521" s="52"/>
    </row>
    <row r="522">
      <c r="D522" s="52"/>
    </row>
    <row r="523">
      <c r="D523" s="52"/>
    </row>
    <row r="524">
      <c r="D524" s="52"/>
    </row>
    <row r="525">
      <c r="D525" s="52"/>
    </row>
    <row r="526">
      <c r="D526" s="52"/>
    </row>
    <row r="527">
      <c r="D527" s="52"/>
    </row>
    <row r="528">
      <c r="D528" s="52"/>
    </row>
    <row r="529">
      <c r="D529" s="52"/>
    </row>
    <row r="530">
      <c r="D530" s="52"/>
    </row>
    <row r="531">
      <c r="D531" s="52"/>
    </row>
    <row r="532">
      <c r="D532" s="52"/>
    </row>
    <row r="533">
      <c r="D533" s="52"/>
    </row>
    <row r="534">
      <c r="D534" s="52"/>
    </row>
    <row r="535">
      <c r="D535" s="52"/>
    </row>
    <row r="536">
      <c r="D536" s="52"/>
    </row>
    <row r="537">
      <c r="D537" s="52"/>
    </row>
    <row r="538">
      <c r="D538" s="52"/>
    </row>
    <row r="539">
      <c r="D539" s="52"/>
    </row>
    <row r="540">
      <c r="D540" s="52"/>
    </row>
    <row r="541">
      <c r="D541" s="52"/>
    </row>
    <row r="542">
      <c r="D542" s="52"/>
    </row>
    <row r="543">
      <c r="D543" s="52"/>
    </row>
    <row r="544">
      <c r="D544" s="52"/>
    </row>
    <row r="545">
      <c r="D545" s="52"/>
    </row>
    <row r="546">
      <c r="D546" s="52"/>
    </row>
    <row r="547">
      <c r="D547" s="52"/>
    </row>
    <row r="548">
      <c r="D548" s="52"/>
    </row>
    <row r="549">
      <c r="D549" s="52"/>
    </row>
    <row r="550">
      <c r="D550" s="52"/>
    </row>
    <row r="551">
      <c r="D551" s="52"/>
    </row>
    <row r="552">
      <c r="D552" s="52"/>
    </row>
    <row r="553">
      <c r="D553" s="52"/>
    </row>
    <row r="554">
      <c r="D554" s="52"/>
    </row>
    <row r="555">
      <c r="D555" s="52"/>
    </row>
    <row r="556">
      <c r="D556" s="52"/>
    </row>
    <row r="557">
      <c r="D557" s="52"/>
    </row>
    <row r="558">
      <c r="D558" s="52"/>
    </row>
    <row r="559">
      <c r="D559" s="52"/>
    </row>
    <row r="560">
      <c r="D560" s="52"/>
    </row>
    <row r="561">
      <c r="D561" s="52"/>
    </row>
    <row r="562">
      <c r="D562" s="52"/>
    </row>
    <row r="563">
      <c r="D563" s="52"/>
    </row>
    <row r="564">
      <c r="D564" s="52"/>
    </row>
    <row r="565">
      <c r="D565" s="52"/>
    </row>
    <row r="566">
      <c r="D566" s="52"/>
    </row>
    <row r="567">
      <c r="D567" s="52"/>
    </row>
    <row r="568">
      <c r="D568" s="52"/>
    </row>
    <row r="569">
      <c r="D569" s="52"/>
    </row>
    <row r="570">
      <c r="D570" s="52"/>
    </row>
    <row r="571">
      <c r="D571" s="52"/>
    </row>
    <row r="572">
      <c r="D572" s="52"/>
    </row>
    <row r="573">
      <c r="D573" s="52"/>
    </row>
    <row r="574">
      <c r="D574" s="52"/>
    </row>
    <row r="575">
      <c r="D575" s="52"/>
    </row>
    <row r="576">
      <c r="D576" s="52"/>
    </row>
    <row r="577">
      <c r="D577" s="52"/>
    </row>
    <row r="578">
      <c r="D578" s="52"/>
    </row>
    <row r="579">
      <c r="D579" s="52"/>
    </row>
    <row r="580">
      <c r="D580" s="52"/>
    </row>
    <row r="581">
      <c r="D581" s="52"/>
    </row>
    <row r="582">
      <c r="D582" s="52"/>
    </row>
    <row r="583">
      <c r="D583" s="52"/>
    </row>
    <row r="584">
      <c r="D584" s="52"/>
    </row>
    <row r="585">
      <c r="D585" s="52"/>
    </row>
    <row r="586">
      <c r="D586" s="52"/>
    </row>
    <row r="587">
      <c r="D587" s="52"/>
    </row>
    <row r="588">
      <c r="D588" s="52"/>
    </row>
    <row r="589">
      <c r="D589" s="52"/>
    </row>
    <row r="590">
      <c r="D590" s="52"/>
    </row>
    <row r="591">
      <c r="D591" s="52"/>
    </row>
    <row r="592">
      <c r="D592" s="52"/>
    </row>
    <row r="593">
      <c r="D593" s="52"/>
    </row>
    <row r="594">
      <c r="D594" s="52"/>
    </row>
    <row r="595">
      <c r="D595" s="52"/>
    </row>
    <row r="596">
      <c r="D596" s="52"/>
    </row>
    <row r="597">
      <c r="D597" s="52"/>
    </row>
    <row r="598">
      <c r="D598" s="52"/>
    </row>
    <row r="599">
      <c r="D599" s="52"/>
    </row>
    <row r="600">
      <c r="D600" s="52"/>
    </row>
    <row r="601">
      <c r="D601" s="52"/>
    </row>
    <row r="602">
      <c r="D602" s="52"/>
    </row>
    <row r="603">
      <c r="D603" s="52"/>
    </row>
    <row r="604">
      <c r="D604" s="52"/>
    </row>
    <row r="605">
      <c r="D605" s="52"/>
    </row>
    <row r="606">
      <c r="D606" s="52"/>
    </row>
    <row r="607">
      <c r="D607" s="52"/>
    </row>
    <row r="608">
      <c r="D608" s="52"/>
    </row>
    <row r="609">
      <c r="D609" s="52"/>
    </row>
    <row r="610">
      <c r="D610" s="52"/>
    </row>
    <row r="611">
      <c r="D611" s="52"/>
    </row>
    <row r="612">
      <c r="D612" s="52"/>
    </row>
    <row r="613">
      <c r="D613" s="52"/>
    </row>
    <row r="614">
      <c r="D614" s="52"/>
    </row>
    <row r="615">
      <c r="D615" s="52"/>
    </row>
    <row r="616">
      <c r="D616" s="52"/>
    </row>
    <row r="617">
      <c r="D617" s="52"/>
    </row>
    <row r="618">
      <c r="D618" s="52"/>
    </row>
    <row r="619">
      <c r="D619" s="52"/>
    </row>
    <row r="620">
      <c r="D620" s="52"/>
    </row>
    <row r="621">
      <c r="D621" s="52"/>
    </row>
    <row r="622">
      <c r="D622" s="52"/>
    </row>
    <row r="623">
      <c r="D623" s="52"/>
    </row>
    <row r="624">
      <c r="D624" s="52"/>
    </row>
    <row r="625">
      <c r="D625" s="52"/>
    </row>
    <row r="626">
      <c r="D626" s="52"/>
    </row>
    <row r="627">
      <c r="D627" s="52"/>
    </row>
    <row r="628">
      <c r="D628" s="52"/>
    </row>
    <row r="629">
      <c r="D629" s="52"/>
    </row>
    <row r="630">
      <c r="D630" s="52"/>
    </row>
    <row r="631">
      <c r="D631" s="52"/>
    </row>
    <row r="632">
      <c r="D632" s="52"/>
    </row>
    <row r="633">
      <c r="D633" s="52"/>
    </row>
    <row r="634">
      <c r="D634" s="52"/>
    </row>
    <row r="635">
      <c r="D635" s="52"/>
    </row>
    <row r="636">
      <c r="D636" s="52"/>
    </row>
    <row r="637">
      <c r="D637" s="52"/>
    </row>
    <row r="638">
      <c r="D638" s="52"/>
    </row>
    <row r="639">
      <c r="D639" s="52"/>
    </row>
    <row r="640">
      <c r="D640" s="52"/>
    </row>
    <row r="641">
      <c r="D641" s="52"/>
    </row>
    <row r="642">
      <c r="D642" s="52"/>
    </row>
    <row r="643">
      <c r="D643" s="52"/>
    </row>
    <row r="644">
      <c r="D644" s="52"/>
    </row>
    <row r="645">
      <c r="D645" s="52"/>
    </row>
    <row r="646">
      <c r="D646" s="52"/>
    </row>
    <row r="647">
      <c r="D647" s="52"/>
    </row>
    <row r="648">
      <c r="D648" s="52"/>
    </row>
    <row r="649">
      <c r="D649" s="52"/>
    </row>
    <row r="650">
      <c r="D650" s="52"/>
    </row>
    <row r="651">
      <c r="D651" s="52"/>
    </row>
    <row r="652">
      <c r="D652" s="52"/>
    </row>
    <row r="653">
      <c r="D653" s="52"/>
    </row>
    <row r="654">
      <c r="D654" s="52"/>
    </row>
    <row r="655">
      <c r="D655" s="52"/>
    </row>
    <row r="656">
      <c r="D656" s="52"/>
    </row>
    <row r="657">
      <c r="D657" s="52"/>
    </row>
    <row r="658">
      <c r="D658" s="52"/>
    </row>
    <row r="659">
      <c r="D659" s="52"/>
    </row>
    <row r="660">
      <c r="D660" s="52"/>
    </row>
    <row r="661">
      <c r="D661" s="52"/>
    </row>
    <row r="662">
      <c r="D662" s="52"/>
    </row>
    <row r="663">
      <c r="D663" s="52"/>
    </row>
    <row r="664">
      <c r="D664" s="52"/>
    </row>
    <row r="665">
      <c r="D665" s="52"/>
    </row>
    <row r="666">
      <c r="D666" s="52"/>
    </row>
    <row r="667">
      <c r="D667" s="52"/>
    </row>
    <row r="668">
      <c r="D668" s="52"/>
    </row>
    <row r="669">
      <c r="D669" s="52"/>
    </row>
    <row r="670">
      <c r="D670" s="52"/>
    </row>
    <row r="671">
      <c r="D671" s="52"/>
    </row>
    <row r="672">
      <c r="D672" s="52"/>
    </row>
    <row r="673">
      <c r="D673" s="52"/>
    </row>
    <row r="674">
      <c r="D674" s="52"/>
    </row>
    <row r="675">
      <c r="D675" s="52"/>
    </row>
    <row r="676">
      <c r="D676" s="52"/>
    </row>
    <row r="677">
      <c r="D677" s="52"/>
    </row>
    <row r="678">
      <c r="D678" s="52"/>
    </row>
    <row r="679">
      <c r="D679" s="52"/>
    </row>
    <row r="680">
      <c r="D680" s="52"/>
    </row>
    <row r="681">
      <c r="D681" s="52"/>
    </row>
    <row r="682">
      <c r="D682" s="52"/>
    </row>
    <row r="683">
      <c r="D683" s="52"/>
    </row>
    <row r="684">
      <c r="D684" s="52"/>
    </row>
    <row r="685">
      <c r="D685" s="52"/>
    </row>
    <row r="686">
      <c r="D686" s="52"/>
    </row>
    <row r="687">
      <c r="D687" s="52"/>
    </row>
    <row r="688">
      <c r="D688" s="52"/>
    </row>
    <row r="689">
      <c r="D689" s="52"/>
    </row>
    <row r="690">
      <c r="D690" s="52"/>
    </row>
    <row r="691">
      <c r="D691" s="52"/>
    </row>
    <row r="692">
      <c r="D692" s="52"/>
    </row>
    <row r="693">
      <c r="D693" s="52"/>
    </row>
    <row r="694">
      <c r="D694" s="52"/>
    </row>
    <row r="695">
      <c r="D695" s="52"/>
    </row>
    <row r="696">
      <c r="D696" s="52"/>
    </row>
    <row r="697">
      <c r="D697" s="52"/>
    </row>
    <row r="698">
      <c r="D698" s="52"/>
    </row>
    <row r="699">
      <c r="D699" s="52"/>
    </row>
    <row r="700">
      <c r="D700" s="52"/>
    </row>
    <row r="701">
      <c r="D701" s="52"/>
    </row>
    <row r="702">
      <c r="D702" s="52"/>
    </row>
    <row r="703">
      <c r="D703" s="52"/>
    </row>
    <row r="704">
      <c r="D704" s="52"/>
    </row>
    <row r="705">
      <c r="D705" s="52"/>
    </row>
    <row r="706">
      <c r="D706" s="52"/>
    </row>
    <row r="707">
      <c r="D707" s="52"/>
    </row>
    <row r="708">
      <c r="D708" s="52"/>
    </row>
    <row r="709">
      <c r="D709" s="52"/>
    </row>
    <row r="710">
      <c r="D710" s="52"/>
    </row>
    <row r="711">
      <c r="D711" s="52"/>
    </row>
    <row r="712">
      <c r="D712" s="52"/>
    </row>
    <row r="713">
      <c r="D713" s="52"/>
    </row>
    <row r="714">
      <c r="D714" s="52"/>
    </row>
    <row r="715">
      <c r="D715" s="52"/>
    </row>
    <row r="716">
      <c r="D716" s="52"/>
    </row>
    <row r="717">
      <c r="D717" s="52"/>
    </row>
    <row r="718">
      <c r="D718" s="52"/>
    </row>
    <row r="719">
      <c r="D719" s="52"/>
    </row>
    <row r="720">
      <c r="D720" s="52"/>
    </row>
    <row r="721">
      <c r="D721" s="52"/>
    </row>
    <row r="722">
      <c r="D722" s="52"/>
    </row>
    <row r="723">
      <c r="D723" s="52"/>
    </row>
    <row r="724">
      <c r="D724" s="52"/>
    </row>
    <row r="725">
      <c r="D725" s="52"/>
    </row>
    <row r="726">
      <c r="D726" s="52"/>
    </row>
    <row r="727">
      <c r="D727" s="52"/>
    </row>
    <row r="728">
      <c r="D728" s="52"/>
    </row>
    <row r="729">
      <c r="D729" s="52"/>
    </row>
    <row r="730">
      <c r="D730" s="52"/>
    </row>
    <row r="731">
      <c r="D731" s="52"/>
    </row>
    <row r="732">
      <c r="D732" s="52"/>
    </row>
    <row r="733">
      <c r="D733" s="52"/>
    </row>
    <row r="734">
      <c r="D734" s="52"/>
    </row>
    <row r="735">
      <c r="D735" s="52"/>
    </row>
    <row r="736">
      <c r="D736" s="52"/>
    </row>
    <row r="737">
      <c r="D737" s="52"/>
    </row>
    <row r="738">
      <c r="D738" s="52"/>
    </row>
    <row r="739">
      <c r="D739" s="52"/>
    </row>
    <row r="740">
      <c r="D740" s="52"/>
    </row>
    <row r="741">
      <c r="D741" s="52"/>
    </row>
    <row r="742">
      <c r="D742" s="52"/>
    </row>
    <row r="743">
      <c r="D743" s="52"/>
    </row>
    <row r="744">
      <c r="D744" s="52"/>
    </row>
    <row r="745">
      <c r="D745" s="52"/>
    </row>
    <row r="746">
      <c r="D746" s="52"/>
    </row>
    <row r="747">
      <c r="D747" s="52"/>
    </row>
    <row r="748">
      <c r="D748" s="52"/>
    </row>
    <row r="749">
      <c r="D749" s="52"/>
    </row>
    <row r="750">
      <c r="D750" s="52"/>
    </row>
    <row r="751">
      <c r="D751" s="52"/>
    </row>
    <row r="752">
      <c r="D752" s="52"/>
    </row>
    <row r="753">
      <c r="D753" s="52"/>
    </row>
    <row r="754">
      <c r="D754" s="52"/>
    </row>
    <row r="755">
      <c r="D755" s="52"/>
    </row>
    <row r="756">
      <c r="D756" s="52"/>
    </row>
    <row r="757">
      <c r="D757" s="52"/>
    </row>
    <row r="758">
      <c r="D758" s="52"/>
    </row>
    <row r="759">
      <c r="D759" s="52"/>
    </row>
    <row r="760">
      <c r="D760" s="52"/>
    </row>
    <row r="761">
      <c r="D761" s="52"/>
    </row>
    <row r="762">
      <c r="D762" s="52"/>
    </row>
    <row r="763">
      <c r="D763" s="52"/>
    </row>
    <row r="764">
      <c r="D764" s="52"/>
    </row>
    <row r="765">
      <c r="D765" s="52"/>
    </row>
    <row r="766">
      <c r="D766" s="52"/>
    </row>
    <row r="767">
      <c r="D767" s="52"/>
    </row>
    <row r="768">
      <c r="D768" s="52"/>
    </row>
    <row r="769">
      <c r="D769" s="52"/>
    </row>
    <row r="770">
      <c r="D770" s="52"/>
    </row>
    <row r="771">
      <c r="D771" s="52"/>
    </row>
    <row r="772">
      <c r="D772" s="52"/>
    </row>
    <row r="773">
      <c r="D773" s="52"/>
    </row>
    <row r="774">
      <c r="D774" s="52"/>
    </row>
    <row r="775">
      <c r="D775" s="52"/>
    </row>
    <row r="776">
      <c r="D776" s="52"/>
    </row>
    <row r="777">
      <c r="D777" s="52"/>
    </row>
    <row r="778">
      <c r="D778" s="52"/>
    </row>
    <row r="779">
      <c r="D779" s="52"/>
    </row>
    <row r="780">
      <c r="D780" s="52"/>
    </row>
    <row r="781">
      <c r="D781" s="52"/>
    </row>
    <row r="782">
      <c r="D782" s="52"/>
    </row>
    <row r="783">
      <c r="D783" s="52"/>
    </row>
    <row r="784">
      <c r="D784" s="52"/>
    </row>
    <row r="785">
      <c r="D785" s="52"/>
    </row>
    <row r="786">
      <c r="D786" s="52"/>
    </row>
    <row r="787">
      <c r="D787" s="52"/>
    </row>
    <row r="788">
      <c r="D788" s="52"/>
    </row>
    <row r="789">
      <c r="D789" s="52"/>
    </row>
    <row r="790">
      <c r="D790" s="52"/>
    </row>
    <row r="791">
      <c r="D791" s="52"/>
    </row>
    <row r="792">
      <c r="D792" s="52"/>
    </row>
    <row r="793">
      <c r="D793" s="52"/>
    </row>
    <row r="794">
      <c r="D794" s="52"/>
    </row>
    <row r="795">
      <c r="D795" s="52"/>
    </row>
    <row r="796">
      <c r="D796" s="52"/>
    </row>
    <row r="797">
      <c r="D797" s="52"/>
    </row>
    <row r="798">
      <c r="D798" s="52"/>
    </row>
    <row r="799">
      <c r="D799" s="52"/>
    </row>
    <row r="800">
      <c r="D800" s="52"/>
    </row>
    <row r="801">
      <c r="D801" s="52"/>
    </row>
    <row r="802">
      <c r="D802" s="52"/>
    </row>
    <row r="803">
      <c r="D803" s="52"/>
    </row>
    <row r="804">
      <c r="D804" s="52"/>
    </row>
    <row r="805">
      <c r="D805" s="52"/>
    </row>
    <row r="806">
      <c r="D806" s="52"/>
    </row>
    <row r="807">
      <c r="D807" s="52"/>
    </row>
    <row r="808">
      <c r="D808" s="52"/>
    </row>
    <row r="809">
      <c r="D809" s="52"/>
    </row>
    <row r="810">
      <c r="D810" s="52"/>
    </row>
    <row r="811">
      <c r="D811" s="52"/>
    </row>
    <row r="812">
      <c r="D812" s="52"/>
    </row>
    <row r="813">
      <c r="D813" s="52"/>
    </row>
    <row r="814">
      <c r="D814" s="52"/>
    </row>
    <row r="815">
      <c r="D815" s="52"/>
    </row>
    <row r="816">
      <c r="D816" s="52"/>
    </row>
    <row r="817">
      <c r="D817" s="52"/>
    </row>
    <row r="818">
      <c r="D818" s="52"/>
    </row>
    <row r="819">
      <c r="D819" s="52"/>
    </row>
    <row r="820">
      <c r="D820" s="52"/>
    </row>
    <row r="821">
      <c r="D821" s="52"/>
    </row>
    <row r="822">
      <c r="D822" s="52"/>
    </row>
    <row r="823">
      <c r="D823" s="52"/>
    </row>
    <row r="824">
      <c r="D824" s="52"/>
    </row>
    <row r="825">
      <c r="D825" s="52"/>
    </row>
    <row r="826">
      <c r="D826" s="52"/>
    </row>
    <row r="827">
      <c r="D827" s="52"/>
    </row>
    <row r="828">
      <c r="D828" s="52"/>
    </row>
    <row r="829">
      <c r="D829" s="52"/>
    </row>
    <row r="830">
      <c r="D830" s="52"/>
    </row>
    <row r="831">
      <c r="D831" s="52"/>
    </row>
    <row r="832">
      <c r="D832" s="52"/>
    </row>
    <row r="833">
      <c r="D833" s="52"/>
    </row>
    <row r="834">
      <c r="D834" s="52"/>
    </row>
    <row r="835">
      <c r="D835" s="52"/>
    </row>
    <row r="836">
      <c r="D836" s="52"/>
    </row>
    <row r="837">
      <c r="D837" s="52"/>
    </row>
    <row r="838">
      <c r="D838" s="52"/>
    </row>
    <row r="839">
      <c r="D839" s="52"/>
    </row>
    <row r="840">
      <c r="D840" s="52"/>
    </row>
    <row r="841">
      <c r="D841" s="52"/>
    </row>
    <row r="842">
      <c r="D842" s="52"/>
    </row>
    <row r="843">
      <c r="D843" s="52"/>
    </row>
  </sheetData>
  <mergeCells count="7">
    <mergeCell ref="A1:F1"/>
    <mergeCell ref="A2:A3"/>
    <mergeCell ref="B2:B3"/>
    <mergeCell ref="C2:C3"/>
    <mergeCell ref="D2:D3"/>
    <mergeCell ref="E2:F2"/>
    <mergeCell ref="A7:E7"/>
  </mergeCells>
  <dataValidations>
    <dataValidation type="list" allowBlank="1" sqref="H4">
      <formula1>"CHECKED (OK),CHECKED  (NOT OK)"</formula1>
    </dataValidation>
  </dataValidations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3" max="3" width="26.75"/>
    <col customWidth="1" min="4" max="4" width="33.25"/>
    <col customWidth="1" min="7" max="7" width="3.5"/>
    <col customWidth="1" min="8" max="8" width="18.63"/>
    <col customWidth="1" min="9" max="9" width="21.63"/>
  </cols>
  <sheetData>
    <row r="1">
      <c r="A1" s="30" t="s">
        <v>1104</v>
      </c>
      <c r="G1" s="31"/>
      <c r="H1" s="32" t="s">
        <v>1105</v>
      </c>
      <c r="I1" s="33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4" t="s">
        <v>1</v>
      </c>
      <c r="B2" s="35" t="s">
        <v>11</v>
      </c>
      <c r="C2" s="35" t="s">
        <v>12</v>
      </c>
      <c r="D2" s="36" t="s">
        <v>13</v>
      </c>
      <c r="E2" s="37" t="s">
        <v>14</v>
      </c>
      <c r="F2" s="38"/>
      <c r="G2" s="39"/>
      <c r="H2" s="40"/>
      <c r="I2" s="40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41"/>
      <c r="B3" s="38"/>
      <c r="C3" s="38"/>
      <c r="D3" s="38"/>
      <c r="E3" s="42" t="s">
        <v>15</v>
      </c>
      <c r="F3" s="43" t="s">
        <v>5</v>
      </c>
      <c r="G3" s="39"/>
      <c r="H3" s="44" t="s">
        <v>6</v>
      </c>
      <c r="I3" s="45" t="s">
        <v>7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24.75" customHeight="1">
      <c r="A4" s="46"/>
      <c r="B4" s="47"/>
      <c r="C4" s="48" t="str">
        <f>vlookup(B4,'Crew Data'!C:G,5,0)</f>
        <v>#N/A</v>
      </c>
      <c r="D4" s="49"/>
      <c r="E4" s="47"/>
      <c r="F4" s="50">
        <f>E4*400</f>
        <v>0</v>
      </c>
      <c r="G4" s="22">
        <f>COUNTIF(B:B,B4)</f>
        <v>0</v>
      </c>
      <c r="H4" s="5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D5" s="52"/>
    </row>
    <row r="6">
      <c r="D6" s="52"/>
    </row>
    <row r="7" ht="44.25" customHeight="1">
      <c r="A7" s="53" t="s">
        <v>16</v>
      </c>
    </row>
    <row r="8">
      <c r="D8" s="52"/>
    </row>
    <row r="9">
      <c r="D9" s="52"/>
    </row>
    <row r="10">
      <c r="D10" s="52"/>
    </row>
    <row r="11">
      <c r="D11" s="52"/>
    </row>
    <row r="12">
      <c r="D12" s="52"/>
    </row>
    <row r="13">
      <c r="D13" s="52"/>
    </row>
    <row r="14">
      <c r="D14" s="52"/>
    </row>
    <row r="15">
      <c r="D15" s="52"/>
    </row>
    <row r="16">
      <c r="D16" s="52"/>
    </row>
    <row r="17">
      <c r="D17" s="52"/>
    </row>
    <row r="18">
      <c r="D18" s="52"/>
    </row>
    <row r="19">
      <c r="D19" s="52"/>
    </row>
    <row r="20">
      <c r="D20" s="52"/>
    </row>
    <row r="21">
      <c r="D21" s="52"/>
    </row>
    <row r="22">
      <c r="D22" s="52"/>
    </row>
    <row r="23">
      <c r="D23" s="52"/>
    </row>
    <row r="24">
      <c r="D24" s="52"/>
    </row>
    <row r="25">
      <c r="D25" s="52"/>
    </row>
    <row r="26">
      <c r="D26" s="52"/>
    </row>
    <row r="27">
      <c r="D27" s="52"/>
    </row>
    <row r="28">
      <c r="D28" s="52"/>
    </row>
    <row r="29">
      <c r="D29" s="52"/>
    </row>
    <row r="30">
      <c r="D30" s="52"/>
    </row>
    <row r="31">
      <c r="D31" s="52"/>
    </row>
    <row r="32">
      <c r="D32" s="52"/>
    </row>
    <row r="33">
      <c r="D33" s="52"/>
    </row>
    <row r="34">
      <c r="D34" s="52"/>
    </row>
    <row r="35">
      <c r="D35" s="52"/>
    </row>
    <row r="36">
      <c r="D36" s="52"/>
    </row>
    <row r="37">
      <c r="D37" s="52"/>
    </row>
    <row r="38">
      <c r="D38" s="52"/>
    </row>
    <row r="39">
      <c r="D39" s="52"/>
    </row>
    <row r="40">
      <c r="D40" s="52"/>
    </row>
    <row r="41">
      <c r="D41" s="52"/>
    </row>
    <row r="42">
      <c r="D42" s="52"/>
    </row>
    <row r="43">
      <c r="D43" s="52"/>
    </row>
    <row r="44">
      <c r="D44" s="52"/>
    </row>
    <row r="45">
      <c r="D45" s="52"/>
    </row>
    <row r="46">
      <c r="D46" s="52"/>
    </row>
    <row r="47">
      <c r="D47" s="52"/>
    </row>
    <row r="48">
      <c r="D48" s="52"/>
    </row>
    <row r="49">
      <c r="D49" s="52"/>
    </row>
    <row r="50">
      <c r="D50" s="52"/>
    </row>
    <row r="51">
      <c r="D51" s="52"/>
    </row>
    <row r="52">
      <c r="D52" s="52"/>
    </row>
    <row r="53">
      <c r="D53" s="52"/>
    </row>
    <row r="54">
      <c r="D54" s="52"/>
    </row>
    <row r="55">
      <c r="D55" s="52"/>
    </row>
    <row r="56">
      <c r="D56" s="52"/>
    </row>
    <row r="57">
      <c r="D57" s="52"/>
    </row>
    <row r="58">
      <c r="D58" s="52"/>
    </row>
    <row r="59">
      <c r="D59" s="52"/>
    </row>
    <row r="60">
      <c r="D60" s="52"/>
    </row>
    <row r="61">
      <c r="D61" s="52"/>
    </row>
    <row r="62">
      <c r="D62" s="52"/>
    </row>
    <row r="63">
      <c r="D63" s="52"/>
    </row>
    <row r="64">
      <c r="D64" s="52"/>
    </row>
    <row r="65">
      <c r="D65" s="52"/>
    </row>
    <row r="66">
      <c r="D66" s="52"/>
    </row>
    <row r="67">
      <c r="D67" s="52"/>
    </row>
    <row r="68">
      <c r="D68" s="52"/>
    </row>
    <row r="69">
      <c r="D69" s="52"/>
    </row>
    <row r="70">
      <c r="D70" s="52"/>
    </row>
    <row r="71">
      <c r="D71" s="52"/>
    </row>
    <row r="72">
      <c r="D72" s="52"/>
    </row>
    <row r="73">
      <c r="D73" s="52"/>
    </row>
    <row r="74">
      <c r="D74" s="52"/>
    </row>
    <row r="75">
      <c r="D75" s="52"/>
    </row>
    <row r="76">
      <c r="D76" s="52"/>
    </row>
    <row r="77">
      <c r="D77" s="52"/>
    </row>
    <row r="78">
      <c r="D78" s="52"/>
    </row>
    <row r="79">
      <c r="D79" s="52"/>
    </row>
    <row r="80">
      <c r="D80" s="52"/>
    </row>
    <row r="81">
      <c r="D81" s="52"/>
    </row>
    <row r="82">
      <c r="D82" s="52"/>
    </row>
    <row r="83">
      <c r="D83" s="52"/>
    </row>
    <row r="84">
      <c r="D84" s="52"/>
    </row>
    <row r="85">
      <c r="D85" s="52"/>
    </row>
    <row r="86">
      <c r="D86" s="52"/>
    </row>
    <row r="87">
      <c r="D87" s="52"/>
    </row>
    <row r="88">
      <c r="D88" s="52"/>
    </row>
    <row r="89">
      <c r="D89" s="52"/>
    </row>
    <row r="90">
      <c r="D90" s="52"/>
    </row>
    <row r="91">
      <c r="D91" s="52"/>
    </row>
    <row r="92">
      <c r="D92" s="52"/>
    </row>
    <row r="93">
      <c r="D93" s="52"/>
    </row>
    <row r="94">
      <c r="D94" s="52"/>
    </row>
    <row r="95">
      <c r="D95" s="52"/>
    </row>
    <row r="96">
      <c r="D96" s="52"/>
    </row>
    <row r="97">
      <c r="D97" s="52"/>
    </row>
    <row r="98">
      <c r="D98" s="52"/>
    </row>
    <row r="99">
      <c r="D99" s="52"/>
    </row>
    <row r="100">
      <c r="D100" s="52"/>
    </row>
    <row r="101">
      <c r="D101" s="52"/>
    </row>
    <row r="102">
      <c r="D102" s="52"/>
    </row>
    <row r="103">
      <c r="D103" s="52"/>
    </row>
    <row r="104">
      <c r="D104" s="52"/>
    </row>
    <row r="105">
      <c r="D105" s="52"/>
    </row>
    <row r="106">
      <c r="D106" s="52"/>
    </row>
    <row r="107">
      <c r="D107" s="52"/>
    </row>
    <row r="108">
      <c r="D108" s="52"/>
    </row>
    <row r="109">
      <c r="D109" s="52"/>
    </row>
    <row r="110">
      <c r="D110" s="52"/>
    </row>
    <row r="111">
      <c r="D111" s="52"/>
    </row>
    <row r="112">
      <c r="D112" s="52"/>
    </row>
    <row r="113">
      <c r="D113" s="52"/>
    </row>
    <row r="114">
      <c r="D114" s="52"/>
    </row>
    <row r="115">
      <c r="D115" s="52"/>
    </row>
    <row r="116">
      <c r="D116" s="52"/>
    </row>
    <row r="117">
      <c r="D117" s="52"/>
    </row>
    <row r="118">
      <c r="D118" s="52"/>
    </row>
    <row r="119">
      <c r="D119" s="52"/>
    </row>
    <row r="120">
      <c r="D120" s="52"/>
    </row>
    <row r="121">
      <c r="D121" s="52"/>
    </row>
    <row r="122">
      <c r="D122" s="52"/>
    </row>
    <row r="123">
      <c r="D123" s="52"/>
    </row>
    <row r="124">
      <c r="D124" s="52"/>
    </row>
    <row r="125">
      <c r="D125" s="52"/>
    </row>
    <row r="126">
      <c r="D126" s="52"/>
    </row>
    <row r="127">
      <c r="D127" s="52"/>
    </row>
    <row r="128">
      <c r="D128" s="52"/>
    </row>
    <row r="129">
      <c r="D129" s="52"/>
    </row>
    <row r="130">
      <c r="D130" s="52"/>
    </row>
    <row r="131">
      <c r="D131" s="52"/>
    </row>
    <row r="132">
      <c r="D132" s="52"/>
    </row>
    <row r="133">
      <c r="D133" s="52"/>
    </row>
    <row r="134">
      <c r="D134" s="52"/>
    </row>
    <row r="135">
      <c r="D135" s="52"/>
    </row>
    <row r="136">
      <c r="D136" s="52"/>
    </row>
    <row r="137">
      <c r="D137" s="52"/>
    </row>
    <row r="138">
      <c r="D138" s="52"/>
    </row>
    <row r="139">
      <c r="D139" s="52"/>
    </row>
    <row r="140">
      <c r="D140" s="52"/>
    </row>
    <row r="141">
      <c r="D141" s="52"/>
    </row>
    <row r="142">
      <c r="D142" s="52"/>
    </row>
    <row r="143">
      <c r="D143" s="52"/>
    </row>
    <row r="144">
      <c r="D144" s="52"/>
    </row>
    <row r="145">
      <c r="D145" s="52"/>
    </row>
    <row r="146">
      <c r="D146" s="52"/>
    </row>
    <row r="147">
      <c r="D147" s="52"/>
    </row>
    <row r="148">
      <c r="D148" s="52"/>
    </row>
    <row r="149">
      <c r="D149" s="52"/>
    </row>
    <row r="150">
      <c r="D150" s="52"/>
    </row>
    <row r="151">
      <c r="D151" s="52"/>
    </row>
    <row r="152">
      <c r="D152" s="52"/>
    </row>
    <row r="153">
      <c r="D153" s="52"/>
    </row>
    <row r="154">
      <c r="D154" s="52"/>
    </row>
    <row r="155">
      <c r="D155" s="52"/>
    </row>
    <row r="156">
      <c r="D156" s="52"/>
    </row>
    <row r="157">
      <c r="D157" s="52"/>
    </row>
    <row r="158">
      <c r="D158" s="52"/>
    </row>
    <row r="159">
      <c r="D159" s="52"/>
    </row>
    <row r="160">
      <c r="D160" s="52"/>
    </row>
    <row r="161">
      <c r="D161" s="52"/>
    </row>
    <row r="162">
      <c r="D162" s="52"/>
    </row>
    <row r="163">
      <c r="D163" s="52"/>
    </row>
    <row r="164">
      <c r="D164" s="52"/>
    </row>
    <row r="165">
      <c r="D165" s="52"/>
    </row>
    <row r="166">
      <c r="D166" s="52"/>
    </row>
    <row r="167">
      <c r="D167" s="52"/>
    </row>
    <row r="168">
      <c r="D168" s="52"/>
    </row>
    <row r="169">
      <c r="D169" s="52"/>
    </row>
    <row r="170">
      <c r="D170" s="52"/>
    </row>
    <row r="171">
      <c r="D171" s="52"/>
    </row>
    <row r="172">
      <c r="D172" s="52"/>
    </row>
    <row r="173">
      <c r="D173" s="52"/>
    </row>
    <row r="174">
      <c r="D174" s="52"/>
    </row>
    <row r="175">
      <c r="D175" s="52"/>
    </row>
    <row r="176">
      <c r="D176" s="52"/>
    </row>
    <row r="177">
      <c r="D177" s="52"/>
    </row>
    <row r="178">
      <c r="D178" s="52"/>
    </row>
    <row r="179">
      <c r="D179" s="52"/>
    </row>
    <row r="180">
      <c r="D180" s="52"/>
    </row>
    <row r="181">
      <c r="D181" s="52"/>
    </row>
    <row r="182">
      <c r="D182" s="52"/>
    </row>
    <row r="183">
      <c r="D183" s="52"/>
    </row>
    <row r="184">
      <c r="D184" s="52"/>
    </row>
    <row r="185">
      <c r="D185" s="52"/>
    </row>
    <row r="186">
      <c r="D186" s="52"/>
    </row>
    <row r="187">
      <c r="D187" s="52"/>
    </row>
    <row r="188">
      <c r="D188" s="52"/>
    </row>
    <row r="189">
      <c r="D189" s="52"/>
    </row>
    <row r="190">
      <c r="D190" s="52"/>
    </row>
    <row r="191">
      <c r="D191" s="52"/>
    </row>
    <row r="192">
      <c r="D192" s="52"/>
    </row>
    <row r="193">
      <c r="D193" s="52"/>
    </row>
    <row r="194">
      <c r="D194" s="52"/>
    </row>
    <row r="195">
      <c r="D195" s="52"/>
    </row>
    <row r="196">
      <c r="D196" s="52"/>
    </row>
    <row r="197">
      <c r="D197" s="52"/>
    </row>
    <row r="198">
      <c r="D198" s="52"/>
    </row>
    <row r="199">
      <c r="D199" s="52"/>
    </row>
    <row r="200">
      <c r="D200" s="52"/>
    </row>
    <row r="201">
      <c r="D201" s="52"/>
    </row>
    <row r="202">
      <c r="D202" s="52"/>
    </row>
    <row r="203">
      <c r="D203" s="52"/>
    </row>
    <row r="204">
      <c r="D204" s="52"/>
    </row>
    <row r="205">
      <c r="D205" s="52"/>
    </row>
    <row r="206">
      <c r="D206" s="52"/>
    </row>
    <row r="207">
      <c r="D207" s="52"/>
    </row>
    <row r="208">
      <c r="D208" s="52"/>
    </row>
    <row r="209">
      <c r="D209" s="52"/>
    </row>
    <row r="210">
      <c r="D210" s="52"/>
    </row>
    <row r="211">
      <c r="D211" s="52"/>
    </row>
    <row r="212">
      <c r="D212" s="52"/>
    </row>
    <row r="213">
      <c r="D213" s="52"/>
    </row>
    <row r="214">
      <c r="D214" s="52"/>
    </row>
    <row r="215">
      <c r="D215" s="52"/>
    </row>
    <row r="216">
      <c r="D216" s="52"/>
    </row>
    <row r="217">
      <c r="D217" s="52"/>
    </row>
    <row r="218">
      <c r="D218" s="52"/>
    </row>
    <row r="219">
      <c r="D219" s="52"/>
    </row>
    <row r="220">
      <c r="D220" s="52"/>
    </row>
    <row r="221">
      <c r="D221" s="52"/>
    </row>
    <row r="222">
      <c r="D222" s="52"/>
    </row>
    <row r="223">
      <c r="D223" s="52"/>
    </row>
    <row r="224">
      <c r="D224" s="52"/>
    </row>
    <row r="225">
      <c r="D225" s="52"/>
    </row>
    <row r="226">
      <c r="D226" s="52"/>
    </row>
    <row r="227">
      <c r="D227" s="52"/>
    </row>
    <row r="228">
      <c r="D228" s="52"/>
    </row>
    <row r="229">
      <c r="D229" s="52"/>
    </row>
    <row r="230">
      <c r="D230" s="52"/>
    </row>
    <row r="231">
      <c r="D231" s="52"/>
    </row>
    <row r="232">
      <c r="D232" s="52"/>
    </row>
    <row r="233">
      <c r="D233" s="52"/>
    </row>
    <row r="234">
      <c r="D234" s="52"/>
    </row>
    <row r="235">
      <c r="D235" s="52"/>
    </row>
    <row r="236">
      <c r="D236" s="52"/>
    </row>
    <row r="237">
      <c r="D237" s="52"/>
    </row>
    <row r="238">
      <c r="D238" s="52"/>
    </row>
    <row r="239">
      <c r="D239" s="52"/>
    </row>
    <row r="240">
      <c r="D240" s="52"/>
    </row>
    <row r="241">
      <c r="D241" s="52"/>
    </row>
    <row r="242">
      <c r="D242" s="52"/>
    </row>
    <row r="243">
      <c r="D243" s="52"/>
    </row>
    <row r="244">
      <c r="D244" s="52"/>
    </row>
    <row r="245">
      <c r="D245" s="52"/>
    </row>
    <row r="246">
      <c r="D246" s="52"/>
    </row>
    <row r="247">
      <c r="D247" s="52"/>
    </row>
    <row r="248">
      <c r="D248" s="52"/>
    </row>
    <row r="249">
      <c r="D249" s="52"/>
    </row>
    <row r="250">
      <c r="D250" s="52"/>
    </row>
    <row r="251">
      <c r="D251" s="52"/>
    </row>
    <row r="252">
      <c r="D252" s="52"/>
    </row>
    <row r="253">
      <c r="D253" s="52"/>
    </row>
    <row r="254">
      <c r="D254" s="52"/>
    </row>
    <row r="255">
      <c r="D255" s="52"/>
    </row>
    <row r="256">
      <c r="D256" s="52"/>
    </row>
    <row r="257">
      <c r="D257" s="52"/>
    </row>
    <row r="258">
      <c r="D258" s="52"/>
    </row>
    <row r="259">
      <c r="D259" s="52"/>
    </row>
    <row r="260">
      <c r="D260" s="52"/>
    </row>
    <row r="261">
      <c r="D261" s="52"/>
    </row>
    <row r="262">
      <c r="D262" s="52"/>
    </row>
    <row r="263">
      <c r="D263" s="52"/>
    </row>
    <row r="264">
      <c r="D264" s="52"/>
    </row>
    <row r="265">
      <c r="D265" s="52"/>
    </row>
    <row r="266">
      <c r="D266" s="52"/>
    </row>
    <row r="267">
      <c r="D267" s="52"/>
    </row>
    <row r="268">
      <c r="D268" s="52"/>
    </row>
    <row r="269">
      <c r="D269" s="52"/>
    </row>
    <row r="270">
      <c r="D270" s="52"/>
    </row>
    <row r="271">
      <c r="D271" s="52"/>
    </row>
    <row r="272">
      <c r="D272" s="52"/>
    </row>
    <row r="273">
      <c r="D273" s="52"/>
    </row>
    <row r="274">
      <c r="D274" s="52"/>
    </row>
    <row r="275">
      <c r="D275" s="52"/>
    </row>
    <row r="276">
      <c r="D276" s="52"/>
    </row>
    <row r="277">
      <c r="D277" s="52"/>
    </row>
    <row r="278">
      <c r="D278" s="52"/>
    </row>
    <row r="279">
      <c r="D279" s="52"/>
    </row>
    <row r="280">
      <c r="D280" s="52"/>
    </row>
    <row r="281">
      <c r="D281" s="52"/>
    </row>
    <row r="282">
      <c r="D282" s="52"/>
    </row>
    <row r="283">
      <c r="D283" s="52"/>
    </row>
    <row r="284">
      <c r="D284" s="52"/>
    </row>
    <row r="285">
      <c r="D285" s="52"/>
    </row>
    <row r="286">
      <c r="D286" s="52"/>
    </row>
    <row r="287">
      <c r="D287" s="52"/>
    </row>
    <row r="288">
      <c r="D288" s="52"/>
    </row>
    <row r="289">
      <c r="D289" s="52"/>
    </row>
    <row r="290">
      <c r="D290" s="52"/>
    </row>
    <row r="291">
      <c r="D291" s="52"/>
    </row>
    <row r="292">
      <c r="D292" s="52"/>
    </row>
    <row r="293">
      <c r="D293" s="52"/>
    </row>
    <row r="294">
      <c r="D294" s="52"/>
    </row>
    <row r="295">
      <c r="D295" s="52"/>
    </row>
    <row r="296">
      <c r="D296" s="52"/>
    </row>
    <row r="297">
      <c r="D297" s="52"/>
    </row>
    <row r="298">
      <c r="D298" s="52"/>
    </row>
    <row r="299">
      <c r="D299" s="52"/>
    </row>
    <row r="300">
      <c r="D300" s="52"/>
    </row>
    <row r="301">
      <c r="D301" s="52"/>
    </row>
    <row r="302">
      <c r="D302" s="52"/>
    </row>
    <row r="303">
      <c r="D303" s="52"/>
    </row>
    <row r="304">
      <c r="D304" s="52"/>
    </row>
    <row r="305">
      <c r="D305" s="52"/>
    </row>
    <row r="306">
      <c r="D306" s="52"/>
    </row>
    <row r="307">
      <c r="D307" s="52"/>
    </row>
    <row r="308">
      <c r="D308" s="52"/>
    </row>
    <row r="309">
      <c r="D309" s="52"/>
    </row>
    <row r="310">
      <c r="D310" s="52"/>
    </row>
    <row r="311">
      <c r="D311" s="52"/>
    </row>
    <row r="312">
      <c r="D312" s="52"/>
    </row>
    <row r="313">
      <c r="D313" s="52"/>
    </row>
    <row r="314">
      <c r="D314" s="52"/>
    </row>
    <row r="315">
      <c r="D315" s="52"/>
    </row>
    <row r="316">
      <c r="D316" s="52"/>
    </row>
    <row r="317">
      <c r="D317" s="52"/>
    </row>
    <row r="318">
      <c r="D318" s="52"/>
    </row>
    <row r="319">
      <c r="D319" s="52"/>
    </row>
    <row r="320">
      <c r="D320" s="52"/>
    </row>
    <row r="321">
      <c r="D321" s="52"/>
    </row>
    <row r="322">
      <c r="D322" s="52"/>
    </row>
    <row r="323">
      <c r="D323" s="52"/>
    </row>
    <row r="324">
      <c r="D324" s="52"/>
    </row>
    <row r="325">
      <c r="D325" s="52"/>
    </row>
    <row r="326">
      <c r="D326" s="52"/>
    </row>
    <row r="327">
      <c r="D327" s="52"/>
    </row>
    <row r="328">
      <c r="D328" s="52"/>
    </row>
    <row r="329">
      <c r="D329" s="52"/>
    </row>
    <row r="330">
      <c r="D330" s="52"/>
    </row>
    <row r="331">
      <c r="D331" s="52"/>
    </row>
    <row r="332">
      <c r="D332" s="52"/>
    </row>
    <row r="333">
      <c r="D333" s="52"/>
    </row>
    <row r="334">
      <c r="D334" s="52"/>
    </row>
    <row r="335">
      <c r="D335" s="52"/>
    </row>
    <row r="336">
      <c r="D336" s="52"/>
    </row>
    <row r="337">
      <c r="D337" s="52"/>
    </row>
    <row r="338">
      <c r="D338" s="52"/>
    </row>
    <row r="339">
      <c r="D339" s="52"/>
    </row>
    <row r="340">
      <c r="D340" s="52"/>
    </row>
    <row r="341">
      <c r="D341" s="52"/>
    </row>
    <row r="342">
      <c r="D342" s="52"/>
    </row>
    <row r="343">
      <c r="D343" s="52"/>
    </row>
    <row r="344">
      <c r="D344" s="52"/>
    </row>
    <row r="345">
      <c r="D345" s="52"/>
    </row>
    <row r="346">
      <c r="D346" s="52"/>
    </row>
    <row r="347">
      <c r="D347" s="52"/>
    </row>
    <row r="348">
      <c r="D348" s="52"/>
    </row>
    <row r="349">
      <c r="D349" s="52"/>
    </row>
    <row r="350">
      <c r="D350" s="52"/>
    </row>
    <row r="351">
      <c r="D351" s="52"/>
    </row>
    <row r="352">
      <c r="D352" s="52"/>
    </row>
    <row r="353">
      <c r="D353" s="52"/>
    </row>
    <row r="354">
      <c r="D354" s="52"/>
    </row>
    <row r="355">
      <c r="D355" s="52"/>
    </row>
    <row r="356">
      <c r="D356" s="52"/>
    </row>
    <row r="357">
      <c r="D357" s="52"/>
    </row>
    <row r="358">
      <c r="D358" s="52"/>
    </row>
    <row r="359">
      <c r="D359" s="52"/>
    </row>
    <row r="360">
      <c r="D360" s="52"/>
    </row>
    <row r="361">
      <c r="D361" s="52"/>
    </row>
    <row r="362">
      <c r="D362" s="52"/>
    </row>
    <row r="363">
      <c r="D363" s="52"/>
    </row>
    <row r="364">
      <c r="D364" s="52"/>
    </row>
    <row r="365">
      <c r="D365" s="52"/>
    </row>
    <row r="366">
      <c r="D366" s="52"/>
    </row>
    <row r="367">
      <c r="D367" s="52"/>
    </row>
    <row r="368">
      <c r="D368" s="52"/>
    </row>
    <row r="369">
      <c r="D369" s="52"/>
    </row>
    <row r="370">
      <c r="D370" s="52"/>
    </row>
    <row r="371">
      <c r="D371" s="52"/>
    </row>
    <row r="372">
      <c r="D372" s="52"/>
    </row>
    <row r="373">
      <c r="D373" s="52"/>
    </row>
    <row r="374">
      <c r="D374" s="52"/>
    </row>
    <row r="375">
      <c r="D375" s="52"/>
    </row>
    <row r="376">
      <c r="D376" s="52"/>
    </row>
    <row r="377">
      <c r="D377" s="52"/>
    </row>
    <row r="378">
      <c r="D378" s="52"/>
    </row>
    <row r="379">
      <c r="D379" s="52"/>
    </row>
    <row r="380">
      <c r="D380" s="52"/>
    </row>
    <row r="381">
      <c r="D381" s="52"/>
    </row>
    <row r="382">
      <c r="D382" s="52"/>
    </row>
    <row r="383">
      <c r="D383" s="52"/>
    </row>
    <row r="384">
      <c r="D384" s="52"/>
    </row>
    <row r="385">
      <c r="D385" s="52"/>
    </row>
    <row r="386">
      <c r="D386" s="52"/>
    </row>
    <row r="387">
      <c r="D387" s="52"/>
    </row>
    <row r="388">
      <c r="D388" s="52"/>
    </row>
    <row r="389">
      <c r="D389" s="52"/>
    </row>
    <row r="390">
      <c r="D390" s="52"/>
    </row>
    <row r="391">
      <c r="D391" s="52"/>
    </row>
    <row r="392">
      <c r="D392" s="52"/>
    </row>
    <row r="393">
      <c r="D393" s="52"/>
    </row>
    <row r="394">
      <c r="D394" s="52"/>
    </row>
    <row r="395">
      <c r="D395" s="52"/>
    </row>
    <row r="396">
      <c r="D396" s="52"/>
    </row>
    <row r="397">
      <c r="D397" s="52"/>
    </row>
    <row r="398">
      <c r="D398" s="52"/>
    </row>
    <row r="399">
      <c r="D399" s="52"/>
    </row>
    <row r="400">
      <c r="D400" s="52"/>
    </row>
    <row r="401">
      <c r="D401" s="52"/>
    </row>
    <row r="402">
      <c r="D402" s="52"/>
    </row>
    <row r="403">
      <c r="D403" s="52"/>
    </row>
    <row r="404">
      <c r="D404" s="52"/>
    </row>
    <row r="405">
      <c r="D405" s="52"/>
    </row>
    <row r="406">
      <c r="D406" s="52"/>
    </row>
    <row r="407">
      <c r="D407" s="52"/>
    </row>
    <row r="408">
      <c r="D408" s="52"/>
    </row>
    <row r="409">
      <c r="D409" s="52"/>
    </row>
    <row r="410">
      <c r="D410" s="52"/>
    </row>
    <row r="411">
      <c r="D411" s="52"/>
    </row>
    <row r="412">
      <c r="D412" s="52"/>
    </row>
    <row r="413">
      <c r="D413" s="52"/>
    </row>
    <row r="414">
      <c r="D414" s="52"/>
    </row>
    <row r="415">
      <c r="D415" s="52"/>
    </row>
    <row r="416">
      <c r="D416" s="52"/>
    </row>
    <row r="417">
      <c r="D417" s="52"/>
    </row>
    <row r="418">
      <c r="D418" s="52"/>
    </row>
    <row r="419">
      <c r="D419" s="52"/>
    </row>
    <row r="420">
      <c r="D420" s="52"/>
    </row>
    <row r="421">
      <c r="D421" s="52"/>
    </row>
    <row r="422">
      <c r="D422" s="52"/>
    </row>
    <row r="423">
      <c r="D423" s="52"/>
    </row>
    <row r="424">
      <c r="D424" s="52"/>
    </row>
    <row r="425">
      <c r="D425" s="52"/>
    </row>
    <row r="426">
      <c r="D426" s="52"/>
    </row>
    <row r="427">
      <c r="D427" s="52"/>
    </row>
    <row r="428">
      <c r="D428" s="52"/>
    </row>
    <row r="429">
      <c r="D429" s="52"/>
    </row>
    <row r="430">
      <c r="D430" s="52"/>
    </row>
    <row r="431">
      <c r="D431" s="52"/>
    </row>
    <row r="432">
      <c r="D432" s="52"/>
    </row>
    <row r="433">
      <c r="D433" s="52"/>
    </row>
    <row r="434">
      <c r="D434" s="52"/>
    </row>
    <row r="435">
      <c r="D435" s="52"/>
    </row>
    <row r="436">
      <c r="D436" s="52"/>
    </row>
    <row r="437">
      <c r="D437" s="52"/>
    </row>
    <row r="438">
      <c r="D438" s="52"/>
    </row>
    <row r="439">
      <c r="D439" s="52"/>
    </row>
    <row r="440">
      <c r="D440" s="52"/>
    </row>
    <row r="441">
      <c r="D441" s="52"/>
    </row>
    <row r="442">
      <c r="D442" s="52"/>
    </row>
    <row r="443">
      <c r="D443" s="52"/>
    </row>
    <row r="444">
      <c r="D444" s="52"/>
    </row>
    <row r="445">
      <c r="D445" s="52"/>
    </row>
    <row r="446">
      <c r="D446" s="52"/>
    </row>
    <row r="447">
      <c r="D447" s="52"/>
    </row>
    <row r="448">
      <c r="D448" s="52"/>
    </row>
    <row r="449">
      <c r="D449" s="52"/>
    </row>
    <row r="450">
      <c r="D450" s="52"/>
    </row>
    <row r="451">
      <c r="D451" s="52"/>
    </row>
    <row r="452">
      <c r="D452" s="52"/>
    </row>
    <row r="453">
      <c r="D453" s="52"/>
    </row>
    <row r="454">
      <c r="D454" s="52"/>
    </row>
    <row r="455">
      <c r="D455" s="52"/>
    </row>
    <row r="456">
      <c r="D456" s="52"/>
    </row>
    <row r="457">
      <c r="D457" s="52"/>
    </row>
    <row r="458">
      <c r="D458" s="52"/>
    </row>
    <row r="459">
      <c r="D459" s="52"/>
    </row>
    <row r="460">
      <c r="D460" s="52"/>
    </row>
    <row r="461">
      <c r="D461" s="52"/>
    </row>
    <row r="462">
      <c r="D462" s="52"/>
    </row>
    <row r="463">
      <c r="D463" s="52"/>
    </row>
    <row r="464">
      <c r="D464" s="52"/>
    </row>
    <row r="465">
      <c r="D465" s="52"/>
    </row>
    <row r="466">
      <c r="D466" s="52"/>
    </row>
    <row r="467">
      <c r="D467" s="52"/>
    </row>
    <row r="468">
      <c r="D468" s="52"/>
    </row>
    <row r="469">
      <c r="D469" s="52"/>
    </row>
    <row r="470">
      <c r="D470" s="52"/>
    </row>
    <row r="471">
      <c r="D471" s="52"/>
    </row>
    <row r="472">
      <c r="D472" s="52"/>
    </row>
    <row r="473">
      <c r="D473" s="52"/>
    </row>
    <row r="474">
      <c r="D474" s="52"/>
    </row>
    <row r="475">
      <c r="D475" s="52"/>
    </row>
    <row r="476">
      <c r="D476" s="52"/>
    </row>
    <row r="477">
      <c r="D477" s="52"/>
    </row>
    <row r="478">
      <c r="D478" s="52"/>
    </row>
    <row r="479">
      <c r="D479" s="52"/>
    </row>
    <row r="480">
      <c r="D480" s="52"/>
    </row>
    <row r="481">
      <c r="D481" s="52"/>
    </row>
    <row r="482">
      <c r="D482" s="52"/>
    </row>
    <row r="483">
      <c r="D483" s="52"/>
    </row>
    <row r="484">
      <c r="D484" s="52"/>
    </row>
    <row r="485">
      <c r="D485" s="52"/>
    </row>
    <row r="486">
      <c r="D486" s="52"/>
    </row>
    <row r="487">
      <c r="D487" s="52"/>
    </row>
    <row r="488">
      <c r="D488" s="52"/>
    </row>
    <row r="489">
      <c r="D489" s="52"/>
    </row>
    <row r="490">
      <c r="D490" s="52"/>
    </row>
    <row r="491">
      <c r="D491" s="52"/>
    </row>
    <row r="492">
      <c r="D492" s="52"/>
    </row>
    <row r="493">
      <c r="D493" s="52"/>
    </row>
    <row r="494">
      <c r="D494" s="52"/>
    </row>
    <row r="495">
      <c r="D495" s="52"/>
    </row>
    <row r="496">
      <c r="D496" s="52"/>
    </row>
    <row r="497">
      <c r="D497" s="52"/>
    </row>
    <row r="498">
      <c r="D498" s="52"/>
    </row>
    <row r="499">
      <c r="D499" s="52"/>
    </row>
    <row r="500">
      <c r="D500" s="52"/>
    </row>
    <row r="501">
      <c r="D501" s="52"/>
    </row>
    <row r="502">
      <c r="D502" s="52"/>
    </row>
    <row r="503">
      <c r="D503" s="52"/>
    </row>
    <row r="504">
      <c r="D504" s="52"/>
    </row>
    <row r="505">
      <c r="D505" s="52"/>
    </row>
    <row r="506">
      <c r="D506" s="52"/>
    </row>
    <row r="507">
      <c r="D507" s="52"/>
    </row>
    <row r="508">
      <c r="D508" s="52"/>
    </row>
    <row r="509">
      <c r="D509" s="52"/>
    </row>
    <row r="510">
      <c r="D510" s="52"/>
    </row>
    <row r="511">
      <c r="D511" s="52"/>
    </row>
    <row r="512">
      <c r="D512" s="52"/>
    </row>
    <row r="513">
      <c r="D513" s="52"/>
    </row>
    <row r="514">
      <c r="D514" s="52"/>
    </row>
    <row r="515">
      <c r="D515" s="52"/>
    </row>
    <row r="516">
      <c r="D516" s="52"/>
    </row>
    <row r="517">
      <c r="D517" s="52"/>
    </row>
    <row r="518">
      <c r="D518" s="52"/>
    </row>
    <row r="519">
      <c r="D519" s="52"/>
    </row>
    <row r="520">
      <c r="D520" s="52"/>
    </row>
    <row r="521">
      <c r="D521" s="52"/>
    </row>
    <row r="522">
      <c r="D522" s="52"/>
    </row>
    <row r="523">
      <c r="D523" s="52"/>
    </row>
    <row r="524">
      <c r="D524" s="52"/>
    </row>
    <row r="525">
      <c r="D525" s="52"/>
    </row>
    <row r="526">
      <c r="D526" s="52"/>
    </row>
    <row r="527">
      <c r="D527" s="52"/>
    </row>
    <row r="528">
      <c r="D528" s="52"/>
    </row>
    <row r="529">
      <c r="D529" s="52"/>
    </row>
    <row r="530">
      <c r="D530" s="52"/>
    </row>
    <row r="531">
      <c r="D531" s="52"/>
    </row>
    <row r="532">
      <c r="D532" s="52"/>
    </row>
    <row r="533">
      <c r="D533" s="52"/>
    </row>
    <row r="534">
      <c r="D534" s="52"/>
    </row>
    <row r="535">
      <c r="D535" s="52"/>
    </row>
    <row r="536">
      <c r="D536" s="52"/>
    </row>
    <row r="537">
      <c r="D537" s="52"/>
    </row>
    <row r="538">
      <c r="D538" s="52"/>
    </row>
    <row r="539">
      <c r="D539" s="52"/>
    </row>
    <row r="540">
      <c r="D540" s="52"/>
    </row>
    <row r="541">
      <c r="D541" s="52"/>
    </row>
    <row r="542">
      <c r="D542" s="52"/>
    </row>
    <row r="543">
      <c r="D543" s="52"/>
    </row>
    <row r="544">
      <c r="D544" s="52"/>
    </row>
    <row r="545">
      <c r="D545" s="52"/>
    </row>
    <row r="546">
      <c r="D546" s="52"/>
    </row>
    <row r="547">
      <c r="D547" s="52"/>
    </row>
    <row r="548">
      <c r="D548" s="52"/>
    </row>
    <row r="549">
      <c r="D549" s="52"/>
    </row>
    <row r="550">
      <c r="D550" s="52"/>
    </row>
    <row r="551">
      <c r="D551" s="52"/>
    </row>
    <row r="552">
      <c r="D552" s="52"/>
    </row>
    <row r="553">
      <c r="D553" s="52"/>
    </row>
    <row r="554">
      <c r="D554" s="52"/>
    </row>
    <row r="555">
      <c r="D555" s="52"/>
    </row>
    <row r="556">
      <c r="D556" s="52"/>
    </row>
    <row r="557">
      <c r="D557" s="52"/>
    </row>
    <row r="558">
      <c r="D558" s="52"/>
    </row>
    <row r="559">
      <c r="D559" s="52"/>
    </row>
    <row r="560">
      <c r="D560" s="52"/>
    </row>
    <row r="561">
      <c r="D561" s="52"/>
    </row>
    <row r="562">
      <c r="D562" s="52"/>
    </row>
    <row r="563">
      <c r="D563" s="52"/>
    </row>
    <row r="564">
      <c r="D564" s="52"/>
    </row>
    <row r="565">
      <c r="D565" s="52"/>
    </row>
    <row r="566">
      <c r="D566" s="52"/>
    </row>
    <row r="567">
      <c r="D567" s="52"/>
    </row>
    <row r="568">
      <c r="D568" s="52"/>
    </row>
    <row r="569">
      <c r="D569" s="52"/>
    </row>
    <row r="570">
      <c r="D570" s="52"/>
    </row>
    <row r="571">
      <c r="D571" s="52"/>
    </row>
    <row r="572">
      <c r="D572" s="52"/>
    </row>
    <row r="573">
      <c r="D573" s="52"/>
    </row>
    <row r="574">
      <c r="D574" s="52"/>
    </row>
    <row r="575">
      <c r="D575" s="52"/>
    </row>
    <row r="576">
      <c r="D576" s="52"/>
    </row>
    <row r="577">
      <c r="D577" s="52"/>
    </row>
    <row r="578">
      <c r="D578" s="52"/>
    </row>
    <row r="579">
      <c r="D579" s="52"/>
    </row>
    <row r="580">
      <c r="D580" s="52"/>
    </row>
    <row r="581">
      <c r="D581" s="52"/>
    </row>
    <row r="582">
      <c r="D582" s="52"/>
    </row>
    <row r="583">
      <c r="D583" s="52"/>
    </row>
    <row r="584">
      <c r="D584" s="52"/>
    </row>
    <row r="585">
      <c r="D585" s="52"/>
    </row>
    <row r="586">
      <c r="D586" s="52"/>
    </row>
    <row r="587">
      <c r="D587" s="52"/>
    </row>
    <row r="588">
      <c r="D588" s="52"/>
    </row>
    <row r="589">
      <c r="D589" s="52"/>
    </row>
    <row r="590">
      <c r="D590" s="52"/>
    </row>
    <row r="591">
      <c r="D591" s="52"/>
    </row>
    <row r="592">
      <c r="D592" s="52"/>
    </row>
    <row r="593">
      <c r="D593" s="52"/>
    </row>
    <row r="594">
      <c r="D594" s="52"/>
    </row>
    <row r="595">
      <c r="D595" s="52"/>
    </row>
    <row r="596">
      <c r="D596" s="52"/>
    </row>
    <row r="597">
      <c r="D597" s="52"/>
    </row>
    <row r="598">
      <c r="D598" s="52"/>
    </row>
    <row r="599">
      <c r="D599" s="52"/>
    </row>
    <row r="600">
      <c r="D600" s="52"/>
    </row>
    <row r="601">
      <c r="D601" s="52"/>
    </row>
    <row r="602">
      <c r="D602" s="52"/>
    </row>
    <row r="603">
      <c r="D603" s="52"/>
    </row>
    <row r="604">
      <c r="D604" s="52"/>
    </row>
    <row r="605">
      <c r="D605" s="52"/>
    </row>
    <row r="606">
      <c r="D606" s="52"/>
    </row>
    <row r="607">
      <c r="D607" s="52"/>
    </row>
    <row r="608">
      <c r="D608" s="52"/>
    </row>
    <row r="609">
      <c r="D609" s="52"/>
    </row>
    <row r="610">
      <c r="D610" s="52"/>
    </row>
    <row r="611">
      <c r="D611" s="52"/>
    </row>
    <row r="612">
      <c r="D612" s="52"/>
    </row>
    <row r="613">
      <c r="D613" s="52"/>
    </row>
    <row r="614">
      <c r="D614" s="52"/>
    </row>
    <row r="615">
      <c r="D615" s="52"/>
    </row>
    <row r="616">
      <c r="D616" s="52"/>
    </row>
    <row r="617">
      <c r="D617" s="52"/>
    </row>
    <row r="618">
      <c r="D618" s="52"/>
    </row>
    <row r="619">
      <c r="D619" s="52"/>
    </row>
    <row r="620">
      <c r="D620" s="52"/>
    </row>
    <row r="621">
      <c r="D621" s="52"/>
    </row>
    <row r="622">
      <c r="D622" s="52"/>
    </row>
    <row r="623">
      <c r="D623" s="52"/>
    </row>
    <row r="624">
      <c r="D624" s="52"/>
    </row>
    <row r="625">
      <c r="D625" s="52"/>
    </row>
    <row r="626">
      <c r="D626" s="52"/>
    </row>
    <row r="627">
      <c r="D627" s="52"/>
    </row>
    <row r="628">
      <c r="D628" s="52"/>
    </row>
    <row r="629">
      <c r="D629" s="52"/>
    </row>
    <row r="630">
      <c r="D630" s="52"/>
    </row>
    <row r="631">
      <c r="D631" s="52"/>
    </row>
    <row r="632">
      <c r="D632" s="52"/>
    </row>
    <row r="633">
      <c r="D633" s="52"/>
    </row>
    <row r="634">
      <c r="D634" s="52"/>
    </row>
    <row r="635">
      <c r="D635" s="52"/>
    </row>
    <row r="636">
      <c r="D636" s="52"/>
    </row>
    <row r="637">
      <c r="D637" s="52"/>
    </row>
    <row r="638">
      <c r="D638" s="52"/>
    </row>
    <row r="639">
      <c r="D639" s="52"/>
    </row>
    <row r="640">
      <c r="D640" s="52"/>
    </row>
    <row r="641">
      <c r="D641" s="52"/>
    </row>
    <row r="642">
      <c r="D642" s="52"/>
    </row>
    <row r="643">
      <c r="D643" s="52"/>
    </row>
    <row r="644">
      <c r="D644" s="52"/>
    </row>
    <row r="645">
      <c r="D645" s="52"/>
    </row>
    <row r="646">
      <c r="D646" s="52"/>
    </row>
    <row r="647">
      <c r="D647" s="52"/>
    </row>
    <row r="648">
      <c r="D648" s="52"/>
    </row>
    <row r="649">
      <c r="D649" s="52"/>
    </row>
    <row r="650">
      <c r="D650" s="52"/>
    </row>
    <row r="651">
      <c r="D651" s="52"/>
    </row>
    <row r="652">
      <c r="D652" s="52"/>
    </row>
    <row r="653">
      <c r="D653" s="52"/>
    </row>
    <row r="654">
      <c r="D654" s="52"/>
    </row>
    <row r="655">
      <c r="D655" s="52"/>
    </row>
    <row r="656">
      <c r="D656" s="52"/>
    </row>
    <row r="657">
      <c r="D657" s="52"/>
    </row>
    <row r="658">
      <c r="D658" s="52"/>
    </row>
    <row r="659">
      <c r="D659" s="52"/>
    </row>
    <row r="660">
      <c r="D660" s="52"/>
    </row>
    <row r="661">
      <c r="D661" s="52"/>
    </row>
    <row r="662">
      <c r="D662" s="52"/>
    </row>
    <row r="663">
      <c r="D663" s="52"/>
    </row>
    <row r="664">
      <c r="D664" s="52"/>
    </row>
    <row r="665">
      <c r="D665" s="52"/>
    </row>
    <row r="666">
      <c r="D666" s="52"/>
    </row>
    <row r="667">
      <c r="D667" s="52"/>
    </row>
    <row r="668">
      <c r="D668" s="52"/>
    </row>
    <row r="669">
      <c r="D669" s="52"/>
    </row>
    <row r="670">
      <c r="D670" s="52"/>
    </row>
    <row r="671">
      <c r="D671" s="52"/>
    </row>
    <row r="672">
      <c r="D672" s="52"/>
    </row>
    <row r="673">
      <c r="D673" s="52"/>
    </row>
    <row r="674">
      <c r="D674" s="52"/>
    </row>
    <row r="675">
      <c r="D675" s="52"/>
    </row>
    <row r="676">
      <c r="D676" s="52"/>
    </row>
    <row r="677">
      <c r="D677" s="52"/>
    </row>
    <row r="678">
      <c r="D678" s="52"/>
    </row>
    <row r="679">
      <c r="D679" s="52"/>
    </row>
    <row r="680">
      <c r="D680" s="52"/>
    </row>
    <row r="681">
      <c r="D681" s="52"/>
    </row>
    <row r="682">
      <c r="D682" s="52"/>
    </row>
    <row r="683">
      <c r="D683" s="52"/>
    </row>
    <row r="684">
      <c r="D684" s="52"/>
    </row>
    <row r="685">
      <c r="D685" s="52"/>
    </row>
    <row r="686">
      <c r="D686" s="52"/>
    </row>
    <row r="687">
      <c r="D687" s="52"/>
    </row>
    <row r="688">
      <c r="D688" s="52"/>
    </row>
    <row r="689">
      <c r="D689" s="52"/>
    </row>
    <row r="690">
      <c r="D690" s="52"/>
    </row>
    <row r="691">
      <c r="D691" s="52"/>
    </row>
    <row r="692">
      <c r="D692" s="52"/>
    </row>
    <row r="693">
      <c r="D693" s="52"/>
    </row>
    <row r="694">
      <c r="D694" s="52"/>
    </row>
    <row r="695">
      <c r="D695" s="52"/>
    </row>
    <row r="696">
      <c r="D696" s="52"/>
    </row>
    <row r="697">
      <c r="D697" s="52"/>
    </row>
    <row r="698">
      <c r="D698" s="52"/>
    </row>
    <row r="699">
      <c r="D699" s="52"/>
    </row>
    <row r="700">
      <c r="D700" s="52"/>
    </row>
    <row r="701">
      <c r="D701" s="52"/>
    </row>
    <row r="702">
      <c r="D702" s="52"/>
    </row>
    <row r="703">
      <c r="D703" s="52"/>
    </row>
    <row r="704">
      <c r="D704" s="52"/>
    </row>
    <row r="705">
      <c r="D705" s="52"/>
    </row>
    <row r="706">
      <c r="D706" s="52"/>
    </row>
    <row r="707">
      <c r="D707" s="52"/>
    </row>
    <row r="708">
      <c r="D708" s="52"/>
    </row>
    <row r="709">
      <c r="D709" s="52"/>
    </row>
    <row r="710">
      <c r="D710" s="52"/>
    </row>
    <row r="711">
      <c r="D711" s="52"/>
    </row>
    <row r="712">
      <c r="D712" s="52"/>
    </row>
    <row r="713">
      <c r="D713" s="52"/>
    </row>
    <row r="714">
      <c r="D714" s="52"/>
    </row>
    <row r="715">
      <c r="D715" s="52"/>
    </row>
    <row r="716">
      <c r="D716" s="52"/>
    </row>
    <row r="717">
      <c r="D717" s="52"/>
    </row>
    <row r="718">
      <c r="D718" s="52"/>
    </row>
    <row r="719">
      <c r="D719" s="52"/>
    </row>
    <row r="720">
      <c r="D720" s="52"/>
    </row>
    <row r="721">
      <c r="D721" s="52"/>
    </row>
    <row r="722">
      <c r="D722" s="52"/>
    </row>
    <row r="723">
      <c r="D723" s="52"/>
    </row>
    <row r="724">
      <c r="D724" s="52"/>
    </row>
    <row r="725">
      <c r="D725" s="52"/>
    </row>
    <row r="726">
      <c r="D726" s="52"/>
    </row>
    <row r="727">
      <c r="D727" s="52"/>
    </row>
    <row r="728">
      <c r="D728" s="52"/>
    </row>
    <row r="729">
      <c r="D729" s="52"/>
    </row>
    <row r="730">
      <c r="D730" s="52"/>
    </row>
    <row r="731">
      <c r="D731" s="52"/>
    </row>
    <row r="732">
      <c r="D732" s="52"/>
    </row>
    <row r="733">
      <c r="D733" s="52"/>
    </row>
    <row r="734">
      <c r="D734" s="52"/>
    </row>
    <row r="735">
      <c r="D735" s="52"/>
    </row>
    <row r="736">
      <c r="D736" s="52"/>
    </row>
    <row r="737">
      <c r="D737" s="52"/>
    </row>
    <row r="738">
      <c r="D738" s="52"/>
    </row>
    <row r="739">
      <c r="D739" s="52"/>
    </row>
    <row r="740">
      <c r="D740" s="52"/>
    </row>
    <row r="741">
      <c r="D741" s="52"/>
    </row>
    <row r="742">
      <c r="D742" s="52"/>
    </row>
    <row r="743">
      <c r="D743" s="52"/>
    </row>
    <row r="744">
      <c r="D744" s="52"/>
    </row>
    <row r="745">
      <c r="D745" s="52"/>
    </row>
    <row r="746">
      <c r="D746" s="52"/>
    </row>
    <row r="747">
      <c r="D747" s="52"/>
    </row>
    <row r="748">
      <c r="D748" s="52"/>
    </row>
    <row r="749">
      <c r="D749" s="52"/>
    </row>
    <row r="750">
      <c r="D750" s="52"/>
    </row>
    <row r="751">
      <c r="D751" s="52"/>
    </row>
    <row r="752">
      <c r="D752" s="52"/>
    </row>
    <row r="753">
      <c r="D753" s="52"/>
    </row>
    <row r="754">
      <c r="D754" s="52"/>
    </row>
    <row r="755">
      <c r="D755" s="52"/>
    </row>
    <row r="756">
      <c r="D756" s="52"/>
    </row>
    <row r="757">
      <c r="D757" s="52"/>
    </row>
    <row r="758">
      <c r="D758" s="52"/>
    </row>
    <row r="759">
      <c r="D759" s="52"/>
    </row>
    <row r="760">
      <c r="D760" s="52"/>
    </row>
    <row r="761">
      <c r="D761" s="52"/>
    </row>
    <row r="762">
      <c r="D762" s="52"/>
    </row>
    <row r="763">
      <c r="D763" s="52"/>
    </row>
    <row r="764">
      <c r="D764" s="52"/>
    </row>
    <row r="765">
      <c r="D765" s="52"/>
    </row>
    <row r="766">
      <c r="D766" s="52"/>
    </row>
    <row r="767">
      <c r="D767" s="52"/>
    </row>
    <row r="768">
      <c r="D768" s="52"/>
    </row>
    <row r="769">
      <c r="D769" s="52"/>
    </row>
    <row r="770">
      <c r="D770" s="52"/>
    </row>
    <row r="771">
      <c r="D771" s="52"/>
    </row>
    <row r="772">
      <c r="D772" s="52"/>
    </row>
    <row r="773">
      <c r="D773" s="52"/>
    </row>
    <row r="774">
      <c r="D774" s="52"/>
    </row>
    <row r="775">
      <c r="D775" s="52"/>
    </row>
    <row r="776">
      <c r="D776" s="52"/>
    </row>
    <row r="777">
      <c r="D777" s="52"/>
    </row>
    <row r="778">
      <c r="D778" s="52"/>
    </row>
    <row r="779">
      <c r="D779" s="52"/>
    </row>
    <row r="780">
      <c r="D780" s="52"/>
    </row>
    <row r="781">
      <c r="D781" s="52"/>
    </row>
    <row r="782">
      <c r="D782" s="52"/>
    </row>
    <row r="783">
      <c r="D783" s="52"/>
    </row>
    <row r="784">
      <c r="D784" s="52"/>
    </row>
    <row r="785">
      <c r="D785" s="52"/>
    </row>
    <row r="786">
      <c r="D786" s="52"/>
    </row>
    <row r="787">
      <c r="D787" s="52"/>
    </row>
    <row r="788">
      <c r="D788" s="52"/>
    </row>
    <row r="789">
      <c r="D789" s="52"/>
    </row>
    <row r="790">
      <c r="D790" s="52"/>
    </row>
    <row r="791">
      <c r="D791" s="52"/>
    </row>
    <row r="792">
      <c r="D792" s="52"/>
    </row>
    <row r="793">
      <c r="D793" s="52"/>
    </row>
    <row r="794">
      <c r="D794" s="52"/>
    </row>
    <row r="795">
      <c r="D795" s="52"/>
    </row>
    <row r="796">
      <c r="D796" s="52"/>
    </row>
    <row r="797">
      <c r="D797" s="52"/>
    </row>
    <row r="798">
      <c r="D798" s="52"/>
    </row>
    <row r="799">
      <c r="D799" s="52"/>
    </row>
    <row r="800">
      <c r="D800" s="52"/>
    </row>
    <row r="801">
      <c r="D801" s="52"/>
    </row>
    <row r="802">
      <c r="D802" s="52"/>
    </row>
    <row r="803">
      <c r="D803" s="52"/>
    </row>
    <row r="804">
      <c r="D804" s="52"/>
    </row>
    <row r="805">
      <c r="D805" s="52"/>
    </row>
    <row r="806">
      <c r="D806" s="52"/>
    </row>
    <row r="807">
      <c r="D807" s="52"/>
    </row>
    <row r="808">
      <c r="D808" s="52"/>
    </row>
    <row r="809">
      <c r="D809" s="52"/>
    </row>
    <row r="810">
      <c r="D810" s="52"/>
    </row>
    <row r="811">
      <c r="D811" s="52"/>
    </row>
    <row r="812">
      <c r="D812" s="52"/>
    </row>
    <row r="813">
      <c r="D813" s="52"/>
    </row>
    <row r="814">
      <c r="D814" s="52"/>
    </row>
    <row r="815">
      <c r="D815" s="52"/>
    </row>
    <row r="816">
      <c r="D816" s="52"/>
    </row>
    <row r="817">
      <c r="D817" s="52"/>
    </row>
    <row r="818">
      <c r="D818" s="52"/>
    </row>
    <row r="819">
      <c r="D819" s="52"/>
    </row>
    <row r="820">
      <c r="D820" s="52"/>
    </row>
    <row r="821">
      <c r="D821" s="52"/>
    </row>
    <row r="822">
      <c r="D822" s="52"/>
    </row>
    <row r="823">
      <c r="D823" s="52"/>
    </row>
    <row r="824">
      <c r="D824" s="52"/>
    </row>
    <row r="825">
      <c r="D825" s="52"/>
    </row>
    <row r="826">
      <c r="D826" s="52"/>
    </row>
    <row r="827">
      <c r="D827" s="52"/>
    </row>
    <row r="828">
      <c r="D828" s="52"/>
    </row>
    <row r="829">
      <c r="D829" s="52"/>
    </row>
    <row r="830">
      <c r="D830" s="52"/>
    </row>
    <row r="831">
      <c r="D831" s="52"/>
    </row>
    <row r="832">
      <c r="D832" s="52"/>
    </row>
    <row r="833">
      <c r="D833" s="52"/>
    </row>
    <row r="834">
      <c r="D834" s="52"/>
    </row>
    <row r="835">
      <c r="D835" s="52"/>
    </row>
    <row r="836">
      <c r="D836" s="52"/>
    </row>
    <row r="837">
      <c r="D837" s="52"/>
    </row>
    <row r="838">
      <c r="D838" s="52"/>
    </row>
    <row r="839">
      <c r="D839" s="52"/>
    </row>
    <row r="840">
      <c r="D840" s="52"/>
    </row>
    <row r="841">
      <c r="D841" s="52"/>
    </row>
    <row r="842">
      <c r="D842" s="52"/>
    </row>
    <row r="843">
      <c r="D843" s="52"/>
    </row>
  </sheetData>
  <mergeCells count="7">
    <mergeCell ref="A1:F1"/>
    <mergeCell ref="A2:A3"/>
    <mergeCell ref="B2:B3"/>
    <mergeCell ref="C2:C3"/>
    <mergeCell ref="D2:D3"/>
    <mergeCell ref="E2:F2"/>
    <mergeCell ref="A7:E7"/>
  </mergeCells>
  <dataValidations>
    <dataValidation type="list" allowBlank="1" sqref="H4">
      <formula1>"CHECKED (OK),CHECKED  (NOT OK)"</formula1>
    </dataValidation>
  </dataValidations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3" max="3" width="26.75"/>
    <col customWidth="1" min="4" max="4" width="33.25"/>
    <col customWidth="1" min="7" max="7" width="3.5"/>
    <col customWidth="1" min="8" max="8" width="18.63"/>
    <col customWidth="1" min="9" max="9" width="21.63"/>
  </cols>
  <sheetData>
    <row r="1">
      <c r="A1" s="30" t="s">
        <v>1106</v>
      </c>
      <c r="G1" s="31"/>
      <c r="H1" s="32" t="s">
        <v>1107</v>
      </c>
      <c r="I1" s="33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4" t="s">
        <v>1</v>
      </c>
      <c r="B2" s="35" t="s">
        <v>11</v>
      </c>
      <c r="C2" s="35" t="s">
        <v>12</v>
      </c>
      <c r="D2" s="36" t="s">
        <v>13</v>
      </c>
      <c r="E2" s="37" t="s">
        <v>14</v>
      </c>
      <c r="F2" s="38"/>
      <c r="G2" s="39"/>
      <c r="H2" s="40"/>
      <c r="I2" s="40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41"/>
      <c r="B3" s="38"/>
      <c r="C3" s="38"/>
      <c r="D3" s="38"/>
      <c r="E3" s="42" t="s">
        <v>15</v>
      </c>
      <c r="F3" s="43" t="s">
        <v>5</v>
      </c>
      <c r="G3" s="39"/>
      <c r="H3" s="44" t="s">
        <v>6</v>
      </c>
      <c r="I3" s="45" t="s">
        <v>7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24.75" customHeight="1">
      <c r="A4" s="46"/>
      <c r="B4" s="47"/>
      <c r="C4" s="48" t="str">
        <f>vlookup(B4,'Crew Data'!C:G,5,0)</f>
        <v>#N/A</v>
      </c>
      <c r="D4" s="49"/>
      <c r="E4" s="47"/>
      <c r="F4" s="50">
        <f>E4*400</f>
        <v>0</v>
      </c>
      <c r="G4" s="22">
        <f>COUNTIF(B:B,B4)</f>
        <v>0</v>
      </c>
      <c r="H4" s="5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D5" s="52"/>
    </row>
    <row r="6">
      <c r="D6" s="52"/>
    </row>
    <row r="7" ht="44.25" customHeight="1">
      <c r="A7" s="53" t="s">
        <v>16</v>
      </c>
    </row>
    <row r="8">
      <c r="D8" s="52"/>
    </row>
    <row r="9">
      <c r="D9" s="52"/>
    </row>
    <row r="10">
      <c r="D10" s="52"/>
    </row>
    <row r="11">
      <c r="D11" s="52"/>
    </row>
    <row r="12">
      <c r="D12" s="52"/>
    </row>
    <row r="13">
      <c r="D13" s="52"/>
    </row>
    <row r="14">
      <c r="D14" s="52"/>
    </row>
    <row r="15">
      <c r="D15" s="52"/>
    </row>
    <row r="16">
      <c r="D16" s="52"/>
    </row>
    <row r="17">
      <c r="D17" s="52"/>
    </row>
    <row r="18">
      <c r="D18" s="52"/>
    </row>
    <row r="19">
      <c r="D19" s="52"/>
    </row>
    <row r="20">
      <c r="D20" s="52"/>
    </row>
    <row r="21">
      <c r="D21" s="52"/>
    </row>
    <row r="22">
      <c r="D22" s="52"/>
    </row>
    <row r="23">
      <c r="D23" s="52"/>
    </row>
    <row r="24">
      <c r="D24" s="52"/>
    </row>
    <row r="25">
      <c r="D25" s="52"/>
    </row>
    <row r="26">
      <c r="D26" s="52"/>
    </row>
    <row r="27">
      <c r="D27" s="52"/>
    </row>
    <row r="28">
      <c r="D28" s="52"/>
    </row>
    <row r="29">
      <c r="D29" s="52"/>
    </row>
    <row r="30">
      <c r="D30" s="52"/>
    </row>
    <row r="31">
      <c r="D31" s="52"/>
    </row>
    <row r="32">
      <c r="D32" s="52"/>
    </row>
    <row r="33">
      <c r="D33" s="52"/>
    </row>
    <row r="34">
      <c r="D34" s="52"/>
    </row>
    <row r="35">
      <c r="D35" s="52"/>
    </row>
    <row r="36">
      <c r="D36" s="52"/>
    </row>
    <row r="37">
      <c r="D37" s="52"/>
    </row>
    <row r="38">
      <c r="D38" s="52"/>
    </row>
    <row r="39">
      <c r="D39" s="52"/>
    </row>
    <row r="40">
      <c r="D40" s="52"/>
    </row>
    <row r="41">
      <c r="D41" s="52"/>
    </row>
    <row r="42">
      <c r="D42" s="52"/>
    </row>
    <row r="43">
      <c r="D43" s="52"/>
    </row>
    <row r="44">
      <c r="D44" s="52"/>
    </row>
    <row r="45">
      <c r="D45" s="52"/>
    </row>
    <row r="46">
      <c r="D46" s="52"/>
    </row>
    <row r="47">
      <c r="D47" s="52"/>
    </row>
    <row r="48">
      <c r="D48" s="52"/>
    </row>
    <row r="49">
      <c r="D49" s="52"/>
    </row>
    <row r="50">
      <c r="D50" s="52"/>
    </row>
    <row r="51">
      <c r="D51" s="52"/>
    </row>
    <row r="52">
      <c r="D52" s="52"/>
    </row>
    <row r="53">
      <c r="D53" s="52"/>
    </row>
    <row r="54">
      <c r="D54" s="52"/>
    </row>
    <row r="55">
      <c r="D55" s="52"/>
    </row>
    <row r="56">
      <c r="D56" s="52"/>
    </row>
    <row r="57">
      <c r="D57" s="52"/>
    </row>
    <row r="58">
      <c r="D58" s="52"/>
    </row>
    <row r="59">
      <c r="D59" s="52"/>
    </row>
    <row r="60">
      <c r="D60" s="52"/>
    </row>
    <row r="61">
      <c r="D61" s="52"/>
    </row>
    <row r="62">
      <c r="D62" s="52"/>
    </row>
    <row r="63">
      <c r="D63" s="52"/>
    </row>
    <row r="64">
      <c r="D64" s="52"/>
    </row>
    <row r="65">
      <c r="D65" s="52"/>
    </row>
    <row r="66">
      <c r="D66" s="52"/>
    </row>
    <row r="67">
      <c r="D67" s="52"/>
    </row>
    <row r="68">
      <c r="D68" s="52"/>
    </row>
    <row r="69">
      <c r="D69" s="52"/>
    </row>
    <row r="70">
      <c r="D70" s="52"/>
    </row>
    <row r="71">
      <c r="D71" s="52"/>
    </row>
    <row r="72">
      <c r="D72" s="52"/>
    </row>
    <row r="73">
      <c r="D73" s="52"/>
    </row>
    <row r="74">
      <c r="D74" s="52"/>
    </row>
    <row r="75">
      <c r="D75" s="52"/>
    </row>
    <row r="76">
      <c r="D76" s="52"/>
    </row>
    <row r="77">
      <c r="D77" s="52"/>
    </row>
    <row r="78">
      <c r="D78" s="52"/>
    </row>
    <row r="79">
      <c r="D79" s="52"/>
    </row>
    <row r="80">
      <c r="D80" s="52"/>
    </row>
    <row r="81">
      <c r="D81" s="52"/>
    </row>
    <row r="82">
      <c r="D82" s="52"/>
    </row>
    <row r="83">
      <c r="D83" s="52"/>
    </row>
    <row r="84">
      <c r="D84" s="52"/>
    </row>
    <row r="85">
      <c r="D85" s="52"/>
    </row>
    <row r="86">
      <c r="D86" s="52"/>
    </row>
    <row r="87">
      <c r="D87" s="52"/>
    </row>
    <row r="88">
      <c r="D88" s="52"/>
    </row>
    <row r="89">
      <c r="D89" s="52"/>
    </row>
    <row r="90">
      <c r="D90" s="52"/>
    </row>
    <row r="91">
      <c r="D91" s="52"/>
    </row>
    <row r="92">
      <c r="D92" s="52"/>
    </row>
    <row r="93">
      <c r="D93" s="52"/>
    </row>
    <row r="94">
      <c r="D94" s="52"/>
    </row>
    <row r="95">
      <c r="D95" s="52"/>
    </row>
    <row r="96">
      <c r="D96" s="52"/>
    </row>
    <row r="97">
      <c r="D97" s="52"/>
    </row>
    <row r="98">
      <c r="D98" s="52"/>
    </row>
    <row r="99">
      <c r="D99" s="52"/>
    </row>
    <row r="100">
      <c r="D100" s="52"/>
    </row>
    <row r="101">
      <c r="D101" s="52"/>
    </row>
    <row r="102">
      <c r="D102" s="52"/>
    </row>
    <row r="103">
      <c r="D103" s="52"/>
    </row>
    <row r="104">
      <c r="D104" s="52"/>
    </row>
    <row r="105">
      <c r="D105" s="52"/>
    </row>
    <row r="106">
      <c r="D106" s="52"/>
    </row>
    <row r="107">
      <c r="D107" s="52"/>
    </row>
    <row r="108">
      <c r="D108" s="52"/>
    </row>
    <row r="109">
      <c r="D109" s="52"/>
    </row>
    <row r="110">
      <c r="D110" s="52"/>
    </row>
    <row r="111">
      <c r="D111" s="52"/>
    </row>
    <row r="112">
      <c r="D112" s="52"/>
    </row>
    <row r="113">
      <c r="D113" s="52"/>
    </row>
    <row r="114">
      <c r="D114" s="52"/>
    </row>
    <row r="115">
      <c r="D115" s="52"/>
    </row>
    <row r="116">
      <c r="D116" s="52"/>
    </row>
    <row r="117">
      <c r="D117" s="52"/>
    </row>
    <row r="118">
      <c r="D118" s="52"/>
    </row>
    <row r="119">
      <c r="D119" s="52"/>
    </row>
    <row r="120">
      <c r="D120" s="52"/>
    </row>
    <row r="121">
      <c r="D121" s="52"/>
    </row>
    <row r="122">
      <c r="D122" s="52"/>
    </row>
    <row r="123">
      <c r="D123" s="52"/>
    </row>
    <row r="124">
      <c r="D124" s="52"/>
    </row>
    <row r="125">
      <c r="D125" s="52"/>
    </row>
    <row r="126">
      <c r="D126" s="52"/>
    </row>
    <row r="127">
      <c r="D127" s="52"/>
    </row>
    <row r="128">
      <c r="D128" s="52"/>
    </row>
    <row r="129">
      <c r="D129" s="52"/>
    </row>
    <row r="130">
      <c r="D130" s="52"/>
    </row>
    <row r="131">
      <c r="D131" s="52"/>
    </row>
    <row r="132">
      <c r="D132" s="52"/>
    </row>
    <row r="133">
      <c r="D133" s="52"/>
    </row>
    <row r="134">
      <c r="D134" s="52"/>
    </row>
    <row r="135">
      <c r="D135" s="52"/>
    </row>
    <row r="136">
      <c r="D136" s="52"/>
    </row>
    <row r="137">
      <c r="D137" s="52"/>
    </row>
    <row r="138">
      <c r="D138" s="52"/>
    </row>
    <row r="139">
      <c r="D139" s="52"/>
    </row>
    <row r="140">
      <c r="D140" s="52"/>
    </row>
    <row r="141">
      <c r="D141" s="52"/>
    </row>
    <row r="142">
      <c r="D142" s="52"/>
    </row>
    <row r="143">
      <c r="D143" s="52"/>
    </row>
    <row r="144">
      <c r="D144" s="52"/>
    </row>
    <row r="145">
      <c r="D145" s="52"/>
    </row>
    <row r="146">
      <c r="D146" s="52"/>
    </row>
    <row r="147">
      <c r="D147" s="52"/>
    </row>
    <row r="148">
      <c r="D148" s="52"/>
    </row>
    <row r="149">
      <c r="D149" s="52"/>
    </row>
    <row r="150">
      <c r="D150" s="52"/>
    </row>
    <row r="151">
      <c r="D151" s="52"/>
    </row>
    <row r="152">
      <c r="D152" s="52"/>
    </row>
    <row r="153">
      <c r="D153" s="52"/>
    </row>
    <row r="154">
      <c r="D154" s="52"/>
    </row>
    <row r="155">
      <c r="D155" s="52"/>
    </row>
    <row r="156">
      <c r="D156" s="52"/>
    </row>
    <row r="157">
      <c r="D157" s="52"/>
    </row>
    <row r="158">
      <c r="D158" s="52"/>
    </row>
    <row r="159">
      <c r="D159" s="52"/>
    </row>
    <row r="160">
      <c r="D160" s="52"/>
    </row>
    <row r="161">
      <c r="D161" s="52"/>
    </row>
    <row r="162">
      <c r="D162" s="52"/>
    </row>
    <row r="163">
      <c r="D163" s="52"/>
    </row>
    <row r="164">
      <c r="D164" s="52"/>
    </row>
    <row r="165">
      <c r="D165" s="52"/>
    </row>
    <row r="166">
      <c r="D166" s="52"/>
    </row>
    <row r="167">
      <c r="D167" s="52"/>
    </row>
    <row r="168">
      <c r="D168" s="52"/>
    </row>
    <row r="169">
      <c r="D169" s="52"/>
    </row>
    <row r="170">
      <c r="D170" s="52"/>
    </row>
    <row r="171">
      <c r="D171" s="52"/>
    </row>
    <row r="172">
      <c r="D172" s="52"/>
    </row>
    <row r="173">
      <c r="D173" s="52"/>
    </row>
    <row r="174">
      <c r="D174" s="52"/>
    </row>
    <row r="175">
      <c r="D175" s="52"/>
    </row>
    <row r="176">
      <c r="D176" s="52"/>
    </row>
    <row r="177">
      <c r="D177" s="52"/>
    </row>
    <row r="178">
      <c r="D178" s="52"/>
    </row>
    <row r="179">
      <c r="D179" s="52"/>
    </row>
    <row r="180">
      <c r="D180" s="52"/>
    </row>
    <row r="181">
      <c r="D181" s="52"/>
    </row>
    <row r="182">
      <c r="D182" s="52"/>
    </row>
    <row r="183">
      <c r="D183" s="52"/>
    </row>
    <row r="184">
      <c r="D184" s="52"/>
    </row>
    <row r="185">
      <c r="D185" s="52"/>
    </row>
    <row r="186">
      <c r="D186" s="52"/>
    </row>
    <row r="187">
      <c r="D187" s="52"/>
    </row>
    <row r="188">
      <c r="D188" s="52"/>
    </row>
    <row r="189">
      <c r="D189" s="52"/>
    </row>
    <row r="190">
      <c r="D190" s="52"/>
    </row>
    <row r="191">
      <c r="D191" s="52"/>
    </row>
    <row r="192">
      <c r="D192" s="52"/>
    </row>
    <row r="193">
      <c r="D193" s="52"/>
    </row>
    <row r="194">
      <c r="D194" s="52"/>
    </row>
    <row r="195">
      <c r="D195" s="52"/>
    </row>
    <row r="196">
      <c r="D196" s="52"/>
    </row>
    <row r="197">
      <c r="D197" s="52"/>
    </row>
    <row r="198">
      <c r="D198" s="52"/>
    </row>
    <row r="199">
      <c r="D199" s="52"/>
    </row>
    <row r="200">
      <c r="D200" s="52"/>
    </row>
    <row r="201">
      <c r="D201" s="52"/>
    </row>
    <row r="202">
      <c r="D202" s="52"/>
    </row>
    <row r="203">
      <c r="D203" s="52"/>
    </row>
    <row r="204">
      <c r="D204" s="52"/>
    </row>
    <row r="205">
      <c r="D205" s="52"/>
    </row>
    <row r="206">
      <c r="D206" s="52"/>
    </row>
    <row r="207">
      <c r="D207" s="52"/>
    </row>
    <row r="208">
      <c r="D208" s="52"/>
    </row>
    <row r="209">
      <c r="D209" s="52"/>
    </row>
    <row r="210">
      <c r="D210" s="52"/>
    </row>
    <row r="211">
      <c r="D211" s="52"/>
    </row>
    <row r="212">
      <c r="D212" s="52"/>
    </row>
    <row r="213">
      <c r="D213" s="52"/>
    </row>
    <row r="214">
      <c r="D214" s="52"/>
    </row>
    <row r="215">
      <c r="D215" s="52"/>
    </row>
    <row r="216">
      <c r="D216" s="52"/>
    </row>
    <row r="217">
      <c r="D217" s="52"/>
    </row>
    <row r="218">
      <c r="D218" s="52"/>
    </row>
    <row r="219">
      <c r="D219" s="52"/>
    </row>
    <row r="220">
      <c r="D220" s="52"/>
    </row>
    <row r="221">
      <c r="D221" s="52"/>
    </row>
    <row r="222">
      <c r="D222" s="52"/>
    </row>
    <row r="223">
      <c r="D223" s="52"/>
    </row>
    <row r="224">
      <c r="D224" s="52"/>
    </row>
    <row r="225">
      <c r="D225" s="52"/>
    </row>
    <row r="226">
      <c r="D226" s="52"/>
    </row>
    <row r="227">
      <c r="D227" s="52"/>
    </row>
    <row r="228">
      <c r="D228" s="52"/>
    </row>
    <row r="229">
      <c r="D229" s="52"/>
    </row>
    <row r="230">
      <c r="D230" s="52"/>
    </row>
    <row r="231">
      <c r="D231" s="52"/>
    </row>
    <row r="232">
      <c r="D232" s="52"/>
    </row>
    <row r="233">
      <c r="D233" s="52"/>
    </row>
    <row r="234">
      <c r="D234" s="52"/>
    </row>
    <row r="235">
      <c r="D235" s="52"/>
    </row>
    <row r="236">
      <c r="D236" s="52"/>
    </row>
    <row r="237">
      <c r="D237" s="52"/>
    </row>
    <row r="238">
      <c r="D238" s="52"/>
    </row>
    <row r="239">
      <c r="D239" s="52"/>
    </row>
    <row r="240">
      <c r="D240" s="52"/>
    </row>
    <row r="241">
      <c r="D241" s="52"/>
    </row>
    <row r="242">
      <c r="D242" s="52"/>
    </row>
    <row r="243">
      <c r="D243" s="52"/>
    </row>
    <row r="244">
      <c r="D244" s="52"/>
    </row>
    <row r="245">
      <c r="D245" s="52"/>
    </row>
    <row r="246">
      <c r="D246" s="52"/>
    </row>
    <row r="247">
      <c r="D247" s="52"/>
    </row>
    <row r="248">
      <c r="D248" s="52"/>
    </row>
    <row r="249">
      <c r="D249" s="52"/>
    </row>
    <row r="250">
      <c r="D250" s="52"/>
    </row>
    <row r="251">
      <c r="D251" s="52"/>
    </row>
    <row r="252">
      <c r="D252" s="52"/>
    </row>
    <row r="253">
      <c r="D253" s="52"/>
    </row>
    <row r="254">
      <c r="D254" s="52"/>
    </row>
    <row r="255">
      <c r="D255" s="52"/>
    </row>
    <row r="256">
      <c r="D256" s="52"/>
    </row>
    <row r="257">
      <c r="D257" s="52"/>
    </row>
    <row r="258">
      <c r="D258" s="52"/>
    </row>
    <row r="259">
      <c r="D259" s="52"/>
    </row>
    <row r="260">
      <c r="D260" s="52"/>
    </row>
    <row r="261">
      <c r="D261" s="52"/>
    </row>
    <row r="262">
      <c r="D262" s="52"/>
    </row>
    <row r="263">
      <c r="D263" s="52"/>
    </row>
    <row r="264">
      <c r="D264" s="52"/>
    </row>
    <row r="265">
      <c r="D265" s="52"/>
    </row>
    <row r="266">
      <c r="D266" s="52"/>
    </row>
    <row r="267">
      <c r="D267" s="52"/>
    </row>
    <row r="268">
      <c r="D268" s="52"/>
    </row>
    <row r="269">
      <c r="D269" s="52"/>
    </row>
    <row r="270">
      <c r="D270" s="52"/>
    </row>
    <row r="271">
      <c r="D271" s="52"/>
    </row>
    <row r="272">
      <c r="D272" s="52"/>
    </row>
    <row r="273">
      <c r="D273" s="52"/>
    </row>
    <row r="274">
      <c r="D274" s="52"/>
    </row>
    <row r="275">
      <c r="D275" s="52"/>
    </row>
    <row r="276">
      <c r="D276" s="52"/>
    </row>
    <row r="277">
      <c r="D277" s="52"/>
    </row>
    <row r="278">
      <c r="D278" s="52"/>
    </row>
    <row r="279">
      <c r="D279" s="52"/>
    </row>
    <row r="280">
      <c r="D280" s="52"/>
    </row>
    <row r="281">
      <c r="D281" s="52"/>
    </row>
    <row r="282">
      <c r="D282" s="52"/>
    </row>
    <row r="283">
      <c r="D283" s="52"/>
    </row>
    <row r="284">
      <c r="D284" s="52"/>
    </row>
    <row r="285">
      <c r="D285" s="52"/>
    </row>
    <row r="286">
      <c r="D286" s="52"/>
    </row>
    <row r="287">
      <c r="D287" s="52"/>
    </row>
    <row r="288">
      <c r="D288" s="52"/>
    </row>
    <row r="289">
      <c r="D289" s="52"/>
    </row>
    <row r="290">
      <c r="D290" s="52"/>
    </row>
    <row r="291">
      <c r="D291" s="52"/>
    </row>
    <row r="292">
      <c r="D292" s="52"/>
    </row>
    <row r="293">
      <c r="D293" s="52"/>
    </row>
    <row r="294">
      <c r="D294" s="52"/>
    </row>
    <row r="295">
      <c r="D295" s="52"/>
    </row>
    <row r="296">
      <c r="D296" s="52"/>
    </row>
    <row r="297">
      <c r="D297" s="52"/>
    </row>
    <row r="298">
      <c r="D298" s="52"/>
    </row>
    <row r="299">
      <c r="D299" s="52"/>
    </row>
    <row r="300">
      <c r="D300" s="52"/>
    </row>
    <row r="301">
      <c r="D301" s="52"/>
    </row>
    <row r="302">
      <c r="D302" s="52"/>
    </row>
    <row r="303">
      <c r="D303" s="52"/>
    </row>
    <row r="304">
      <c r="D304" s="52"/>
    </row>
    <row r="305">
      <c r="D305" s="52"/>
    </row>
    <row r="306">
      <c r="D306" s="52"/>
    </row>
    <row r="307">
      <c r="D307" s="52"/>
    </row>
    <row r="308">
      <c r="D308" s="52"/>
    </row>
    <row r="309">
      <c r="D309" s="52"/>
    </row>
    <row r="310">
      <c r="D310" s="52"/>
    </row>
    <row r="311">
      <c r="D311" s="52"/>
    </row>
    <row r="312">
      <c r="D312" s="52"/>
    </row>
    <row r="313">
      <c r="D313" s="52"/>
    </row>
    <row r="314">
      <c r="D314" s="52"/>
    </row>
    <row r="315">
      <c r="D315" s="52"/>
    </row>
    <row r="316">
      <c r="D316" s="52"/>
    </row>
    <row r="317">
      <c r="D317" s="52"/>
    </row>
    <row r="318">
      <c r="D318" s="52"/>
    </row>
    <row r="319">
      <c r="D319" s="52"/>
    </row>
    <row r="320">
      <c r="D320" s="52"/>
    </row>
    <row r="321">
      <c r="D321" s="52"/>
    </row>
    <row r="322">
      <c r="D322" s="52"/>
    </row>
    <row r="323">
      <c r="D323" s="52"/>
    </row>
    <row r="324">
      <c r="D324" s="52"/>
    </row>
    <row r="325">
      <c r="D325" s="52"/>
    </row>
    <row r="326">
      <c r="D326" s="52"/>
    </row>
    <row r="327">
      <c r="D327" s="52"/>
    </row>
    <row r="328">
      <c r="D328" s="52"/>
    </row>
    <row r="329">
      <c r="D329" s="52"/>
    </row>
    <row r="330">
      <c r="D330" s="52"/>
    </row>
    <row r="331">
      <c r="D331" s="52"/>
    </row>
    <row r="332">
      <c r="D332" s="52"/>
    </row>
    <row r="333">
      <c r="D333" s="52"/>
    </row>
    <row r="334">
      <c r="D334" s="52"/>
    </row>
    <row r="335">
      <c r="D335" s="52"/>
    </row>
    <row r="336">
      <c r="D336" s="52"/>
    </row>
    <row r="337">
      <c r="D337" s="52"/>
    </row>
    <row r="338">
      <c r="D338" s="52"/>
    </row>
    <row r="339">
      <c r="D339" s="52"/>
    </row>
    <row r="340">
      <c r="D340" s="52"/>
    </row>
    <row r="341">
      <c r="D341" s="52"/>
    </row>
    <row r="342">
      <c r="D342" s="52"/>
    </row>
    <row r="343">
      <c r="D343" s="52"/>
    </row>
    <row r="344">
      <c r="D344" s="52"/>
    </row>
    <row r="345">
      <c r="D345" s="52"/>
    </row>
    <row r="346">
      <c r="D346" s="52"/>
    </row>
    <row r="347">
      <c r="D347" s="52"/>
    </row>
    <row r="348">
      <c r="D348" s="52"/>
    </row>
    <row r="349">
      <c r="D349" s="52"/>
    </row>
    <row r="350">
      <c r="D350" s="52"/>
    </row>
    <row r="351">
      <c r="D351" s="52"/>
    </row>
    <row r="352">
      <c r="D352" s="52"/>
    </row>
    <row r="353">
      <c r="D353" s="52"/>
    </row>
    <row r="354">
      <c r="D354" s="52"/>
    </row>
    <row r="355">
      <c r="D355" s="52"/>
    </row>
    <row r="356">
      <c r="D356" s="52"/>
    </row>
    <row r="357">
      <c r="D357" s="52"/>
    </row>
    <row r="358">
      <c r="D358" s="52"/>
    </row>
    <row r="359">
      <c r="D359" s="52"/>
    </row>
    <row r="360">
      <c r="D360" s="52"/>
    </row>
    <row r="361">
      <c r="D361" s="52"/>
    </row>
    <row r="362">
      <c r="D362" s="52"/>
    </row>
    <row r="363">
      <c r="D363" s="52"/>
    </row>
    <row r="364">
      <c r="D364" s="52"/>
    </row>
    <row r="365">
      <c r="D365" s="52"/>
    </row>
    <row r="366">
      <c r="D366" s="52"/>
    </row>
    <row r="367">
      <c r="D367" s="52"/>
    </row>
    <row r="368">
      <c r="D368" s="52"/>
    </row>
    <row r="369">
      <c r="D369" s="52"/>
    </row>
    <row r="370">
      <c r="D370" s="52"/>
    </row>
    <row r="371">
      <c r="D371" s="52"/>
    </row>
    <row r="372">
      <c r="D372" s="52"/>
    </row>
    <row r="373">
      <c r="D373" s="52"/>
    </row>
    <row r="374">
      <c r="D374" s="52"/>
    </row>
    <row r="375">
      <c r="D375" s="52"/>
    </row>
    <row r="376">
      <c r="D376" s="52"/>
    </row>
    <row r="377">
      <c r="D377" s="52"/>
    </row>
    <row r="378">
      <c r="D378" s="52"/>
    </row>
    <row r="379">
      <c r="D379" s="52"/>
    </row>
    <row r="380">
      <c r="D380" s="52"/>
    </row>
    <row r="381">
      <c r="D381" s="52"/>
    </row>
    <row r="382">
      <c r="D382" s="52"/>
    </row>
    <row r="383">
      <c r="D383" s="52"/>
    </row>
    <row r="384">
      <c r="D384" s="52"/>
    </row>
    <row r="385">
      <c r="D385" s="52"/>
    </row>
    <row r="386">
      <c r="D386" s="52"/>
    </row>
    <row r="387">
      <c r="D387" s="52"/>
    </row>
    <row r="388">
      <c r="D388" s="52"/>
    </row>
    <row r="389">
      <c r="D389" s="52"/>
    </row>
    <row r="390">
      <c r="D390" s="52"/>
    </row>
    <row r="391">
      <c r="D391" s="52"/>
    </row>
    <row r="392">
      <c r="D392" s="52"/>
    </row>
    <row r="393">
      <c r="D393" s="52"/>
    </row>
    <row r="394">
      <c r="D394" s="52"/>
    </row>
    <row r="395">
      <c r="D395" s="52"/>
    </row>
    <row r="396">
      <c r="D396" s="52"/>
    </row>
    <row r="397">
      <c r="D397" s="52"/>
    </row>
    <row r="398">
      <c r="D398" s="52"/>
    </row>
    <row r="399">
      <c r="D399" s="52"/>
    </row>
    <row r="400">
      <c r="D400" s="52"/>
    </row>
    <row r="401">
      <c r="D401" s="52"/>
    </row>
    <row r="402">
      <c r="D402" s="52"/>
    </row>
    <row r="403">
      <c r="D403" s="52"/>
    </row>
    <row r="404">
      <c r="D404" s="52"/>
    </row>
    <row r="405">
      <c r="D405" s="52"/>
    </row>
    <row r="406">
      <c r="D406" s="52"/>
    </row>
    <row r="407">
      <c r="D407" s="52"/>
    </row>
    <row r="408">
      <c r="D408" s="52"/>
    </row>
    <row r="409">
      <c r="D409" s="52"/>
    </row>
    <row r="410">
      <c r="D410" s="52"/>
    </row>
    <row r="411">
      <c r="D411" s="52"/>
    </row>
    <row r="412">
      <c r="D412" s="52"/>
    </row>
    <row r="413">
      <c r="D413" s="52"/>
    </row>
    <row r="414">
      <c r="D414" s="52"/>
    </row>
    <row r="415">
      <c r="D415" s="52"/>
    </row>
    <row r="416">
      <c r="D416" s="52"/>
    </row>
    <row r="417">
      <c r="D417" s="52"/>
    </row>
    <row r="418">
      <c r="D418" s="52"/>
    </row>
    <row r="419">
      <c r="D419" s="52"/>
    </row>
    <row r="420">
      <c r="D420" s="52"/>
    </row>
    <row r="421">
      <c r="D421" s="52"/>
    </row>
    <row r="422">
      <c r="D422" s="52"/>
    </row>
    <row r="423">
      <c r="D423" s="52"/>
    </row>
    <row r="424">
      <c r="D424" s="52"/>
    </row>
    <row r="425">
      <c r="D425" s="52"/>
    </row>
    <row r="426">
      <c r="D426" s="52"/>
    </row>
    <row r="427">
      <c r="D427" s="52"/>
    </row>
    <row r="428">
      <c r="D428" s="52"/>
    </row>
    <row r="429">
      <c r="D429" s="52"/>
    </row>
    <row r="430">
      <c r="D430" s="52"/>
    </row>
    <row r="431">
      <c r="D431" s="52"/>
    </row>
    <row r="432">
      <c r="D432" s="52"/>
    </row>
    <row r="433">
      <c r="D433" s="52"/>
    </row>
    <row r="434">
      <c r="D434" s="52"/>
    </row>
    <row r="435">
      <c r="D435" s="52"/>
    </row>
    <row r="436">
      <c r="D436" s="52"/>
    </row>
    <row r="437">
      <c r="D437" s="52"/>
    </row>
    <row r="438">
      <c r="D438" s="52"/>
    </row>
    <row r="439">
      <c r="D439" s="52"/>
    </row>
    <row r="440">
      <c r="D440" s="52"/>
    </row>
    <row r="441">
      <c r="D441" s="52"/>
    </row>
    <row r="442">
      <c r="D442" s="52"/>
    </row>
    <row r="443">
      <c r="D443" s="52"/>
    </row>
    <row r="444">
      <c r="D444" s="52"/>
    </row>
    <row r="445">
      <c r="D445" s="52"/>
    </row>
    <row r="446">
      <c r="D446" s="52"/>
    </row>
    <row r="447">
      <c r="D447" s="52"/>
    </row>
    <row r="448">
      <c r="D448" s="52"/>
    </row>
    <row r="449">
      <c r="D449" s="52"/>
    </row>
    <row r="450">
      <c r="D450" s="52"/>
    </row>
    <row r="451">
      <c r="D451" s="52"/>
    </row>
    <row r="452">
      <c r="D452" s="52"/>
    </row>
    <row r="453">
      <c r="D453" s="52"/>
    </row>
    <row r="454">
      <c r="D454" s="52"/>
    </row>
    <row r="455">
      <c r="D455" s="52"/>
    </row>
    <row r="456">
      <c r="D456" s="52"/>
    </row>
    <row r="457">
      <c r="D457" s="52"/>
    </row>
    <row r="458">
      <c r="D458" s="52"/>
    </row>
    <row r="459">
      <c r="D459" s="52"/>
    </row>
    <row r="460">
      <c r="D460" s="52"/>
    </row>
    <row r="461">
      <c r="D461" s="52"/>
    </row>
    <row r="462">
      <c r="D462" s="52"/>
    </row>
    <row r="463">
      <c r="D463" s="52"/>
    </row>
    <row r="464">
      <c r="D464" s="52"/>
    </row>
    <row r="465">
      <c r="D465" s="52"/>
    </row>
    <row r="466">
      <c r="D466" s="52"/>
    </row>
    <row r="467">
      <c r="D467" s="52"/>
    </row>
    <row r="468">
      <c r="D468" s="52"/>
    </row>
    <row r="469">
      <c r="D469" s="52"/>
    </row>
    <row r="470">
      <c r="D470" s="52"/>
    </row>
    <row r="471">
      <c r="D471" s="52"/>
    </row>
    <row r="472">
      <c r="D472" s="52"/>
    </row>
    <row r="473">
      <c r="D473" s="52"/>
    </row>
    <row r="474">
      <c r="D474" s="52"/>
    </row>
    <row r="475">
      <c r="D475" s="52"/>
    </row>
    <row r="476">
      <c r="D476" s="52"/>
    </row>
    <row r="477">
      <c r="D477" s="52"/>
    </row>
    <row r="478">
      <c r="D478" s="52"/>
    </row>
    <row r="479">
      <c r="D479" s="52"/>
    </row>
    <row r="480">
      <c r="D480" s="52"/>
    </row>
    <row r="481">
      <c r="D481" s="52"/>
    </row>
    <row r="482">
      <c r="D482" s="52"/>
    </row>
    <row r="483">
      <c r="D483" s="52"/>
    </row>
    <row r="484">
      <c r="D484" s="52"/>
    </row>
    <row r="485">
      <c r="D485" s="52"/>
    </row>
    <row r="486">
      <c r="D486" s="52"/>
    </row>
    <row r="487">
      <c r="D487" s="52"/>
    </row>
    <row r="488">
      <c r="D488" s="52"/>
    </row>
    <row r="489">
      <c r="D489" s="52"/>
    </row>
    <row r="490">
      <c r="D490" s="52"/>
    </row>
    <row r="491">
      <c r="D491" s="52"/>
    </row>
    <row r="492">
      <c r="D492" s="52"/>
    </row>
    <row r="493">
      <c r="D493" s="52"/>
    </row>
    <row r="494">
      <c r="D494" s="52"/>
    </row>
    <row r="495">
      <c r="D495" s="52"/>
    </row>
    <row r="496">
      <c r="D496" s="52"/>
    </row>
    <row r="497">
      <c r="D497" s="52"/>
    </row>
    <row r="498">
      <c r="D498" s="52"/>
    </row>
    <row r="499">
      <c r="D499" s="52"/>
    </row>
    <row r="500">
      <c r="D500" s="52"/>
    </row>
    <row r="501">
      <c r="D501" s="52"/>
    </row>
    <row r="502">
      <c r="D502" s="52"/>
    </row>
    <row r="503">
      <c r="D503" s="52"/>
    </row>
    <row r="504">
      <c r="D504" s="52"/>
    </row>
    <row r="505">
      <c r="D505" s="52"/>
    </row>
    <row r="506">
      <c r="D506" s="52"/>
    </row>
    <row r="507">
      <c r="D507" s="52"/>
    </row>
    <row r="508">
      <c r="D508" s="52"/>
    </row>
    <row r="509">
      <c r="D509" s="52"/>
    </row>
    <row r="510">
      <c r="D510" s="52"/>
    </row>
    <row r="511">
      <c r="D511" s="52"/>
    </row>
    <row r="512">
      <c r="D512" s="52"/>
    </row>
    <row r="513">
      <c r="D513" s="52"/>
    </row>
    <row r="514">
      <c r="D514" s="52"/>
    </row>
    <row r="515">
      <c r="D515" s="52"/>
    </row>
    <row r="516">
      <c r="D516" s="52"/>
    </row>
    <row r="517">
      <c r="D517" s="52"/>
    </row>
    <row r="518">
      <c r="D518" s="52"/>
    </row>
    <row r="519">
      <c r="D519" s="52"/>
    </row>
    <row r="520">
      <c r="D520" s="52"/>
    </row>
    <row r="521">
      <c r="D521" s="52"/>
    </row>
    <row r="522">
      <c r="D522" s="52"/>
    </row>
    <row r="523">
      <c r="D523" s="52"/>
    </row>
    <row r="524">
      <c r="D524" s="52"/>
    </row>
    <row r="525">
      <c r="D525" s="52"/>
    </row>
    <row r="526">
      <c r="D526" s="52"/>
    </row>
    <row r="527">
      <c r="D527" s="52"/>
    </row>
    <row r="528">
      <c r="D528" s="52"/>
    </row>
    <row r="529">
      <c r="D529" s="52"/>
    </row>
    <row r="530">
      <c r="D530" s="52"/>
    </row>
    <row r="531">
      <c r="D531" s="52"/>
    </row>
    <row r="532">
      <c r="D532" s="52"/>
    </row>
    <row r="533">
      <c r="D533" s="52"/>
    </row>
    <row r="534">
      <c r="D534" s="52"/>
    </row>
    <row r="535">
      <c r="D535" s="52"/>
    </row>
    <row r="536">
      <c r="D536" s="52"/>
    </row>
    <row r="537">
      <c r="D537" s="52"/>
    </row>
    <row r="538">
      <c r="D538" s="52"/>
    </row>
    <row r="539">
      <c r="D539" s="52"/>
    </row>
    <row r="540">
      <c r="D540" s="52"/>
    </row>
    <row r="541">
      <c r="D541" s="52"/>
    </row>
    <row r="542">
      <c r="D542" s="52"/>
    </row>
    <row r="543">
      <c r="D543" s="52"/>
    </row>
    <row r="544">
      <c r="D544" s="52"/>
    </row>
    <row r="545">
      <c r="D545" s="52"/>
    </row>
    <row r="546">
      <c r="D546" s="52"/>
    </row>
    <row r="547">
      <c r="D547" s="52"/>
    </row>
    <row r="548">
      <c r="D548" s="52"/>
    </row>
    <row r="549">
      <c r="D549" s="52"/>
    </row>
    <row r="550">
      <c r="D550" s="52"/>
    </row>
    <row r="551">
      <c r="D551" s="52"/>
    </row>
    <row r="552">
      <c r="D552" s="52"/>
    </row>
    <row r="553">
      <c r="D553" s="52"/>
    </row>
    <row r="554">
      <c r="D554" s="52"/>
    </row>
    <row r="555">
      <c r="D555" s="52"/>
    </row>
    <row r="556">
      <c r="D556" s="52"/>
    </row>
    <row r="557">
      <c r="D557" s="52"/>
    </row>
    <row r="558">
      <c r="D558" s="52"/>
    </row>
    <row r="559">
      <c r="D559" s="52"/>
    </row>
    <row r="560">
      <c r="D560" s="52"/>
    </row>
    <row r="561">
      <c r="D561" s="52"/>
    </row>
    <row r="562">
      <c r="D562" s="52"/>
    </row>
    <row r="563">
      <c r="D563" s="52"/>
    </row>
    <row r="564">
      <c r="D564" s="52"/>
    </row>
    <row r="565">
      <c r="D565" s="52"/>
    </row>
    <row r="566">
      <c r="D566" s="52"/>
    </row>
    <row r="567">
      <c r="D567" s="52"/>
    </row>
    <row r="568">
      <c r="D568" s="52"/>
    </row>
    <row r="569">
      <c r="D569" s="52"/>
    </row>
    <row r="570">
      <c r="D570" s="52"/>
    </row>
    <row r="571">
      <c r="D571" s="52"/>
    </row>
    <row r="572">
      <c r="D572" s="52"/>
    </row>
    <row r="573">
      <c r="D573" s="52"/>
    </row>
    <row r="574">
      <c r="D574" s="52"/>
    </row>
    <row r="575">
      <c r="D575" s="52"/>
    </row>
    <row r="576">
      <c r="D576" s="52"/>
    </row>
    <row r="577">
      <c r="D577" s="52"/>
    </row>
    <row r="578">
      <c r="D578" s="52"/>
    </row>
    <row r="579">
      <c r="D579" s="52"/>
    </row>
    <row r="580">
      <c r="D580" s="52"/>
    </row>
    <row r="581">
      <c r="D581" s="52"/>
    </row>
    <row r="582">
      <c r="D582" s="52"/>
    </row>
    <row r="583">
      <c r="D583" s="52"/>
    </row>
    <row r="584">
      <c r="D584" s="52"/>
    </row>
    <row r="585">
      <c r="D585" s="52"/>
    </row>
    <row r="586">
      <c r="D586" s="52"/>
    </row>
    <row r="587">
      <c r="D587" s="52"/>
    </row>
    <row r="588">
      <c r="D588" s="52"/>
    </row>
    <row r="589">
      <c r="D589" s="52"/>
    </row>
    <row r="590">
      <c r="D590" s="52"/>
    </row>
    <row r="591">
      <c r="D591" s="52"/>
    </row>
    <row r="592">
      <c r="D592" s="52"/>
    </row>
    <row r="593">
      <c r="D593" s="52"/>
    </row>
    <row r="594">
      <c r="D594" s="52"/>
    </row>
    <row r="595">
      <c r="D595" s="52"/>
    </row>
    <row r="596">
      <c r="D596" s="52"/>
    </row>
    <row r="597">
      <c r="D597" s="52"/>
    </row>
    <row r="598">
      <c r="D598" s="52"/>
    </row>
    <row r="599">
      <c r="D599" s="52"/>
    </row>
    <row r="600">
      <c r="D600" s="52"/>
    </row>
    <row r="601">
      <c r="D601" s="52"/>
    </row>
    <row r="602">
      <c r="D602" s="52"/>
    </row>
    <row r="603">
      <c r="D603" s="52"/>
    </row>
    <row r="604">
      <c r="D604" s="52"/>
    </row>
    <row r="605">
      <c r="D605" s="52"/>
    </row>
    <row r="606">
      <c r="D606" s="52"/>
    </row>
    <row r="607">
      <c r="D607" s="52"/>
    </row>
    <row r="608">
      <c r="D608" s="52"/>
    </row>
    <row r="609">
      <c r="D609" s="52"/>
    </row>
    <row r="610">
      <c r="D610" s="52"/>
    </row>
    <row r="611">
      <c r="D611" s="52"/>
    </row>
    <row r="612">
      <c r="D612" s="52"/>
    </row>
    <row r="613">
      <c r="D613" s="52"/>
    </row>
    <row r="614">
      <c r="D614" s="52"/>
    </row>
    <row r="615">
      <c r="D615" s="52"/>
    </row>
    <row r="616">
      <c r="D616" s="52"/>
    </row>
    <row r="617">
      <c r="D617" s="52"/>
    </row>
    <row r="618">
      <c r="D618" s="52"/>
    </row>
    <row r="619">
      <c r="D619" s="52"/>
    </row>
    <row r="620">
      <c r="D620" s="52"/>
    </row>
    <row r="621">
      <c r="D621" s="52"/>
    </row>
    <row r="622">
      <c r="D622" s="52"/>
    </row>
    <row r="623">
      <c r="D623" s="52"/>
    </row>
    <row r="624">
      <c r="D624" s="52"/>
    </row>
    <row r="625">
      <c r="D625" s="52"/>
    </row>
    <row r="626">
      <c r="D626" s="52"/>
    </row>
    <row r="627">
      <c r="D627" s="52"/>
    </row>
    <row r="628">
      <c r="D628" s="52"/>
    </row>
    <row r="629">
      <c r="D629" s="52"/>
    </row>
    <row r="630">
      <c r="D630" s="52"/>
    </row>
    <row r="631">
      <c r="D631" s="52"/>
    </row>
    <row r="632">
      <c r="D632" s="52"/>
    </row>
    <row r="633">
      <c r="D633" s="52"/>
    </row>
    <row r="634">
      <c r="D634" s="52"/>
    </row>
    <row r="635">
      <c r="D635" s="52"/>
    </row>
    <row r="636">
      <c r="D636" s="52"/>
    </row>
    <row r="637">
      <c r="D637" s="52"/>
    </row>
    <row r="638">
      <c r="D638" s="52"/>
    </row>
    <row r="639">
      <c r="D639" s="52"/>
    </row>
    <row r="640">
      <c r="D640" s="52"/>
    </row>
    <row r="641">
      <c r="D641" s="52"/>
    </row>
    <row r="642">
      <c r="D642" s="52"/>
    </row>
    <row r="643">
      <c r="D643" s="52"/>
    </row>
    <row r="644">
      <c r="D644" s="52"/>
    </row>
    <row r="645">
      <c r="D645" s="52"/>
    </row>
    <row r="646">
      <c r="D646" s="52"/>
    </row>
    <row r="647">
      <c r="D647" s="52"/>
    </row>
    <row r="648">
      <c r="D648" s="52"/>
    </row>
    <row r="649">
      <c r="D649" s="52"/>
    </row>
    <row r="650">
      <c r="D650" s="52"/>
    </row>
    <row r="651">
      <c r="D651" s="52"/>
    </row>
    <row r="652">
      <c r="D652" s="52"/>
    </row>
    <row r="653">
      <c r="D653" s="52"/>
    </row>
    <row r="654">
      <c r="D654" s="52"/>
    </row>
    <row r="655">
      <c r="D655" s="52"/>
    </row>
    <row r="656">
      <c r="D656" s="52"/>
    </row>
    <row r="657">
      <c r="D657" s="52"/>
    </row>
    <row r="658">
      <c r="D658" s="52"/>
    </row>
    <row r="659">
      <c r="D659" s="52"/>
    </row>
    <row r="660">
      <c r="D660" s="52"/>
    </row>
    <row r="661">
      <c r="D661" s="52"/>
    </row>
    <row r="662">
      <c r="D662" s="52"/>
    </row>
    <row r="663">
      <c r="D663" s="52"/>
    </row>
    <row r="664">
      <c r="D664" s="52"/>
    </row>
    <row r="665">
      <c r="D665" s="52"/>
    </row>
    <row r="666">
      <c r="D666" s="52"/>
    </row>
    <row r="667">
      <c r="D667" s="52"/>
    </row>
    <row r="668">
      <c r="D668" s="52"/>
    </row>
    <row r="669">
      <c r="D669" s="52"/>
    </row>
    <row r="670">
      <c r="D670" s="52"/>
    </row>
    <row r="671">
      <c r="D671" s="52"/>
    </row>
    <row r="672">
      <c r="D672" s="52"/>
    </row>
    <row r="673">
      <c r="D673" s="52"/>
    </row>
    <row r="674">
      <c r="D674" s="52"/>
    </row>
    <row r="675">
      <c r="D675" s="52"/>
    </row>
    <row r="676">
      <c r="D676" s="52"/>
    </row>
    <row r="677">
      <c r="D677" s="52"/>
    </row>
    <row r="678">
      <c r="D678" s="52"/>
    </row>
    <row r="679">
      <c r="D679" s="52"/>
    </row>
    <row r="680">
      <c r="D680" s="52"/>
    </row>
    <row r="681">
      <c r="D681" s="52"/>
    </row>
    <row r="682">
      <c r="D682" s="52"/>
    </row>
    <row r="683">
      <c r="D683" s="52"/>
    </row>
    <row r="684">
      <c r="D684" s="52"/>
    </row>
    <row r="685">
      <c r="D685" s="52"/>
    </row>
    <row r="686">
      <c r="D686" s="52"/>
    </row>
    <row r="687">
      <c r="D687" s="52"/>
    </row>
    <row r="688">
      <c r="D688" s="52"/>
    </row>
    <row r="689">
      <c r="D689" s="52"/>
    </row>
    <row r="690">
      <c r="D690" s="52"/>
    </row>
    <row r="691">
      <c r="D691" s="52"/>
    </row>
    <row r="692">
      <c r="D692" s="52"/>
    </row>
    <row r="693">
      <c r="D693" s="52"/>
    </row>
    <row r="694">
      <c r="D694" s="52"/>
    </row>
    <row r="695">
      <c r="D695" s="52"/>
    </row>
    <row r="696">
      <c r="D696" s="52"/>
    </row>
    <row r="697">
      <c r="D697" s="52"/>
    </row>
    <row r="698">
      <c r="D698" s="52"/>
    </row>
    <row r="699">
      <c r="D699" s="52"/>
    </row>
    <row r="700">
      <c r="D700" s="52"/>
    </row>
    <row r="701">
      <c r="D701" s="52"/>
    </row>
    <row r="702">
      <c r="D702" s="52"/>
    </row>
    <row r="703">
      <c r="D703" s="52"/>
    </row>
    <row r="704">
      <c r="D704" s="52"/>
    </row>
    <row r="705">
      <c r="D705" s="52"/>
    </row>
    <row r="706">
      <c r="D706" s="52"/>
    </row>
    <row r="707">
      <c r="D707" s="52"/>
    </row>
    <row r="708">
      <c r="D708" s="52"/>
    </row>
    <row r="709">
      <c r="D709" s="52"/>
    </row>
    <row r="710">
      <c r="D710" s="52"/>
    </row>
    <row r="711">
      <c r="D711" s="52"/>
    </row>
    <row r="712">
      <c r="D712" s="52"/>
    </row>
    <row r="713">
      <c r="D713" s="52"/>
    </row>
    <row r="714">
      <c r="D714" s="52"/>
    </row>
    <row r="715">
      <c r="D715" s="52"/>
    </row>
    <row r="716">
      <c r="D716" s="52"/>
    </row>
    <row r="717">
      <c r="D717" s="52"/>
    </row>
    <row r="718">
      <c r="D718" s="52"/>
    </row>
    <row r="719">
      <c r="D719" s="52"/>
    </row>
    <row r="720">
      <c r="D720" s="52"/>
    </row>
    <row r="721">
      <c r="D721" s="52"/>
    </row>
    <row r="722">
      <c r="D722" s="52"/>
    </row>
    <row r="723">
      <c r="D723" s="52"/>
    </row>
    <row r="724">
      <c r="D724" s="52"/>
    </row>
    <row r="725">
      <c r="D725" s="52"/>
    </row>
    <row r="726">
      <c r="D726" s="52"/>
    </row>
    <row r="727">
      <c r="D727" s="52"/>
    </row>
    <row r="728">
      <c r="D728" s="52"/>
    </row>
    <row r="729">
      <c r="D729" s="52"/>
    </row>
    <row r="730">
      <c r="D730" s="52"/>
    </row>
    <row r="731">
      <c r="D731" s="52"/>
    </row>
    <row r="732">
      <c r="D732" s="52"/>
    </row>
    <row r="733">
      <c r="D733" s="52"/>
    </row>
    <row r="734">
      <c r="D734" s="52"/>
    </row>
    <row r="735">
      <c r="D735" s="52"/>
    </row>
    <row r="736">
      <c r="D736" s="52"/>
    </row>
    <row r="737">
      <c r="D737" s="52"/>
    </row>
    <row r="738">
      <c r="D738" s="52"/>
    </row>
    <row r="739">
      <c r="D739" s="52"/>
    </row>
    <row r="740">
      <c r="D740" s="52"/>
    </row>
    <row r="741">
      <c r="D741" s="52"/>
    </row>
    <row r="742">
      <c r="D742" s="52"/>
    </row>
    <row r="743">
      <c r="D743" s="52"/>
    </row>
    <row r="744">
      <c r="D744" s="52"/>
    </row>
    <row r="745">
      <c r="D745" s="52"/>
    </row>
    <row r="746">
      <c r="D746" s="52"/>
    </row>
    <row r="747">
      <c r="D747" s="52"/>
    </row>
    <row r="748">
      <c r="D748" s="52"/>
    </row>
    <row r="749">
      <c r="D749" s="52"/>
    </row>
    <row r="750">
      <c r="D750" s="52"/>
    </row>
    <row r="751">
      <c r="D751" s="52"/>
    </row>
    <row r="752">
      <c r="D752" s="52"/>
    </row>
    <row r="753">
      <c r="D753" s="52"/>
    </row>
    <row r="754">
      <c r="D754" s="52"/>
    </row>
    <row r="755">
      <c r="D755" s="52"/>
    </row>
    <row r="756">
      <c r="D756" s="52"/>
    </row>
    <row r="757">
      <c r="D757" s="52"/>
    </row>
    <row r="758">
      <c r="D758" s="52"/>
    </row>
    <row r="759">
      <c r="D759" s="52"/>
    </row>
    <row r="760">
      <c r="D760" s="52"/>
    </row>
    <row r="761">
      <c r="D761" s="52"/>
    </row>
    <row r="762">
      <c r="D762" s="52"/>
    </row>
    <row r="763">
      <c r="D763" s="52"/>
    </row>
    <row r="764">
      <c r="D764" s="52"/>
    </row>
    <row r="765">
      <c r="D765" s="52"/>
    </row>
    <row r="766">
      <c r="D766" s="52"/>
    </row>
    <row r="767">
      <c r="D767" s="52"/>
    </row>
    <row r="768">
      <c r="D768" s="52"/>
    </row>
    <row r="769">
      <c r="D769" s="52"/>
    </row>
    <row r="770">
      <c r="D770" s="52"/>
    </row>
    <row r="771">
      <c r="D771" s="52"/>
    </row>
    <row r="772">
      <c r="D772" s="52"/>
    </row>
    <row r="773">
      <c r="D773" s="52"/>
    </row>
    <row r="774">
      <c r="D774" s="52"/>
    </row>
    <row r="775">
      <c r="D775" s="52"/>
    </row>
    <row r="776">
      <c r="D776" s="52"/>
    </row>
    <row r="777">
      <c r="D777" s="52"/>
    </row>
    <row r="778">
      <c r="D778" s="52"/>
    </row>
    <row r="779">
      <c r="D779" s="52"/>
    </row>
    <row r="780">
      <c r="D780" s="52"/>
    </row>
    <row r="781">
      <c r="D781" s="52"/>
    </row>
    <row r="782">
      <c r="D782" s="52"/>
    </row>
    <row r="783">
      <c r="D783" s="52"/>
    </row>
    <row r="784">
      <c r="D784" s="52"/>
    </row>
    <row r="785">
      <c r="D785" s="52"/>
    </row>
    <row r="786">
      <c r="D786" s="52"/>
    </row>
    <row r="787">
      <c r="D787" s="52"/>
    </row>
    <row r="788">
      <c r="D788" s="52"/>
    </row>
    <row r="789">
      <c r="D789" s="52"/>
    </row>
    <row r="790">
      <c r="D790" s="52"/>
    </row>
    <row r="791">
      <c r="D791" s="52"/>
    </row>
    <row r="792">
      <c r="D792" s="52"/>
    </row>
    <row r="793">
      <c r="D793" s="52"/>
    </row>
    <row r="794">
      <c r="D794" s="52"/>
    </row>
    <row r="795">
      <c r="D795" s="52"/>
    </row>
    <row r="796">
      <c r="D796" s="52"/>
    </row>
    <row r="797">
      <c r="D797" s="52"/>
    </row>
    <row r="798">
      <c r="D798" s="52"/>
    </row>
    <row r="799">
      <c r="D799" s="52"/>
    </row>
    <row r="800">
      <c r="D800" s="52"/>
    </row>
    <row r="801">
      <c r="D801" s="52"/>
    </row>
    <row r="802">
      <c r="D802" s="52"/>
    </row>
    <row r="803">
      <c r="D803" s="52"/>
    </row>
    <row r="804">
      <c r="D804" s="52"/>
    </row>
    <row r="805">
      <c r="D805" s="52"/>
    </row>
    <row r="806">
      <c r="D806" s="52"/>
    </row>
    <row r="807">
      <c r="D807" s="52"/>
    </row>
    <row r="808">
      <c r="D808" s="52"/>
    </row>
    <row r="809">
      <c r="D809" s="52"/>
    </row>
    <row r="810">
      <c r="D810" s="52"/>
    </row>
    <row r="811">
      <c r="D811" s="52"/>
    </row>
    <row r="812">
      <c r="D812" s="52"/>
    </row>
    <row r="813">
      <c r="D813" s="52"/>
    </row>
    <row r="814">
      <c r="D814" s="52"/>
    </row>
    <row r="815">
      <c r="D815" s="52"/>
    </row>
    <row r="816">
      <c r="D816" s="52"/>
    </row>
    <row r="817">
      <c r="D817" s="52"/>
    </row>
    <row r="818">
      <c r="D818" s="52"/>
    </row>
    <row r="819">
      <c r="D819" s="52"/>
    </row>
    <row r="820">
      <c r="D820" s="52"/>
    </row>
    <row r="821">
      <c r="D821" s="52"/>
    </row>
    <row r="822">
      <c r="D822" s="52"/>
    </row>
    <row r="823">
      <c r="D823" s="52"/>
    </row>
    <row r="824">
      <c r="D824" s="52"/>
    </row>
    <row r="825">
      <c r="D825" s="52"/>
    </row>
    <row r="826">
      <c r="D826" s="52"/>
    </row>
    <row r="827">
      <c r="D827" s="52"/>
    </row>
    <row r="828">
      <c r="D828" s="52"/>
    </row>
    <row r="829">
      <c r="D829" s="52"/>
    </row>
    <row r="830">
      <c r="D830" s="52"/>
    </row>
    <row r="831">
      <c r="D831" s="52"/>
    </row>
    <row r="832">
      <c r="D832" s="52"/>
    </row>
    <row r="833">
      <c r="D833" s="52"/>
    </row>
    <row r="834">
      <c r="D834" s="52"/>
    </row>
    <row r="835">
      <c r="D835" s="52"/>
    </row>
    <row r="836">
      <c r="D836" s="52"/>
    </row>
    <row r="837">
      <c r="D837" s="52"/>
    </row>
    <row r="838">
      <c r="D838" s="52"/>
    </row>
    <row r="839">
      <c r="D839" s="52"/>
    </row>
    <row r="840">
      <c r="D840" s="52"/>
    </row>
    <row r="841">
      <c r="D841" s="52"/>
    </row>
    <row r="842">
      <c r="D842" s="52"/>
    </row>
    <row r="843">
      <c r="D843" s="52"/>
    </row>
  </sheetData>
  <mergeCells count="7">
    <mergeCell ref="A1:F1"/>
    <mergeCell ref="A2:A3"/>
    <mergeCell ref="B2:B3"/>
    <mergeCell ref="C2:C3"/>
    <mergeCell ref="D2:D3"/>
    <mergeCell ref="E2:F2"/>
    <mergeCell ref="A7:E7"/>
  </mergeCells>
  <dataValidations>
    <dataValidation type="list" allowBlank="1" sqref="H4">
      <formula1>"CHECKED (OK),CHECKED  (NOT OK)"</formula1>
    </dataValidation>
  </dataValidations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3" max="3" width="26.75"/>
    <col customWidth="1" min="4" max="4" width="33.25"/>
    <col customWidth="1" min="7" max="7" width="3.5"/>
    <col customWidth="1" min="8" max="8" width="18.63"/>
    <col customWidth="1" min="9" max="9" width="21.63"/>
  </cols>
  <sheetData>
    <row r="1">
      <c r="A1" s="30" t="s">
        <v>1108</v>
      </c>
      <c r="G1" s="31"/>
      <c r="H1" s="32" t="s">
        <v>1109</v>
      </c>
      <c r="I1" s="33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4" t="s">
        <v>1</v>
      </c>
      <c r="B2" s="35" t="s">
        <v>11</v>
      </c>
      <c r="C2" s="35" t="s">
        <v>12</v>
      </c>
      <c r="D2" s="36" t="s">
        <v>13</v>
      </c>
      <c r="E2" s="37" t="s">
        <v>14</v>
      </c>
      <c r="F2" s="38"/>
      <c r="G2" s="39"/>
      <c r="H2" s="40"/>
      <c r="I2" s="40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41"/>
      <c r="B3" s="38"/>
      <c r="C3" s="38"/>
      <c r="D3" s="38"/>
      <c r="E3" s="42" t="s">
        <v>15</v>
      </c>
      <c r="F3" s="43" t="s">
        <v>5</v>
      </c>
      <c r="G3" s="39"/>
      <c r="H3" s="44" t="s">
        <v>6</v>
      </c>
      <c r="I3" s="45" t="s">
        <v>7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24.75" customHeight="1">
      <c r="A4" s="46"/>
      <c r="B4" s="47"/>
      <c r="C4" s="48" t="str">
        <f>vlookup(B4,'Crew Data'!C:G,5,0)</f>
        <v>#N/A</v>
      </c>
      <c r="D4" s="49"/>
      <c r="E4" s="47"/>
      <c r="F4" s="50">
        <f>E4*400</f>
        <v>0</v>
      </c>
      <c r="G4" s="22">
        <f>COUNTIF(B:B,B4)</f>
        <v>0</v>
      </c>
      <c r="H4" s="5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D5" s="52"/>
    </row>
    <row r="6">
      <c r="D6" s="52"/>
    </row>
    <row r="7" ht="44.25" customHeight="1">
      <c r="A7" s="53" t="s">
        <v>16</v>
      </c>
    </row>
    <row r="8">
      <c r="D8" s="52"/>
    </row>
    <row r="9">
      <c r="D9" s="52"/>
    </row>
    <row r="10">
      <c r="D10" s="52"/>
    </row>
    <row r="11">
      <c r="D11" s="52"/>
    </row>
    <row r="12">
      <c r="D12" s="52"/>
    </row>
    <row r="13">
      <c r="D13" s="52"/>
    </row>
    <row r="14">
      <c r="D14" s="52"/>
    </row>
    <row r="15">
      <c r="D15" s="52"/>
    </row>
    <row r="16">
      <c r="D16" s="52"/>
    </row>
    <row r="17">
      <c r="D17" s="52"/>
    </row>
    <row r="18">
      <c r="D18" s="52"/>
    </row>
    <row r="19">
      <c r="D19" s="52"/>
    </row>
    <row r="20">
      <c r="D20" s="52"/>
    </row>
    <row r="21">
      <c r="D21" s="52"/>
    </row>
    <row r="22">
      <c r="D22" s="52"/>
    </row>
    <row r="23">
      <c r="D23" s="52"/>
    </row>
    <row r="24">
      <c r="D24" s="52"/>
    </row>
    <row r="25">
      <c r="D25" s="52"/>
    </row>
    <row r="26">
      <c r="D26" s="52"/>
    </row>
    <row r="27">
      <c r="D27" s="52"/>
    </row>
    <row r="28">
      <c r="D28" s="52"/>
    </row>
    <row r="29">
      <c r="D29" s="52"/>
    </row>
    <row r="30">
      <c r="D30" s="52"/>
    </row>
    <row r="31">
      <c r="D31" s="52"/>
    </row>
    <row r="32">
      <c r="D32" s="52"/>
    </row>
    <row r="33">
      <c r="D33" s="52"/>
    </row>
    <row r="34">
      <c r="D34" s="52"/>
    </row>
    <row r="35">
      <c r="D35" s="52"/>
    </row>
    <row r="36">
      <c r="D36" s="52"/>
    </row>
    <row r="37">
      <c r="D37" s="52"/>
    </row>
    <row r="38">
      <c r="D38" s="52"/>
    </row>
    <row r="39">
      <c r="D39" s="52"/>
    </row>
    <row r="40">
      <c r="D40" s="52"/>
    </row>
    <row r="41">
      <c r="D41" s="52"/>
    </row>
    <row r="42">
      <c r="D42" s="52"/>
    </row>
    <row r="43">
      <c r="D43" s="52"/>
    </row>
    <row r="44">
      <c r="D44" s="52"/>
    </row>
    <row r="45">
      <c r="D45" s="52"/>
    </row>
    <row r="46">
      <c r="D46" s="52"/>
    </row>
    <row r="47">
      <c r="D47" s="52"/>
    </row>
    <row r="48">
      <c r="D48" s="52"/>
    </row>
    <row r="49">
      <c r="D49" s="52"/>
    </row>
    <row r="50">
      <c r="D50" s="52"/>
    </row>
    <row r="51">
      <c r="D51" s="52"/>
    </row>
    <row r="52">
      <c r="D52" s="52"/>
    </row>
    <row r="53">
      <c r="D53" s="52"/>
    </row>
    <row r="54">
      <c r="D54" s="52"/>
    </row>
    <row r="55">
      <c r="D55" s="52"/>
    </row>
    <row r="56">
      <c r="D56" s="52"/>
    </row>
    <row r="57">
      <c r="D57" s="52"/>
    </row>
    <row r="58">
      <c r="D58" s="52"/>
    </row>
    <row r="59">
      <c r="D59" s="52"/>
    </row>
    <row r="60">
      <c r="D60" s="52"/>
    </row>
    <row r="61">
      <c r="D61" s="52"/>
    </row>
    <row r="62">
      <c r="D62" s="52"/>
    </row>
    <row r="63">
      <c r="D63" s="52"/>
    </row>
    <row r="64">
      <c r="D64" s="52"/>
    </row>
    <row r="65">
      <c r="D65" s="52"/>
    </row>
    <row r="66">
      <c r="D66" s="52"/>
    </row>
    <row r="67">
      <c r="D67" s="52"/>
    </row>
    <row r="68">
      <c r="D68" s="52"/>
    </row>
    <row r="69">
      <c r="D69" s="52"/>
    </row>
    <row r="70">
      <c r="D70" s="52"/>
    </row>
    <row r="71">
      <c r="D71" s="52"/>
    </row>
    <row r="72">
      <c r="D72" s="52"/>
    </row>
    <row r="73">
      <c r="D73" s="52"/>
    </row>
    <row r="74">
      <c r="D74" s="52"/>
    </row>
    <row r="75">
      <c r="D75" s="52"/>
    </row>
    <row r="76">
      <c r="D76" s="52"/>
    </row>
    <row r="77">
      <c r="D77" s="52"/>
    </row>
    <row r="78">
      <c r="D78" s="52"/>
    </row>
    <row r="79">
      <c r="D79" s="52"/>
    </row>
    <row r="80">
      <c r="D80" s="52"/>
    </row>
    <row r="81">
      <c r="D81" s="52"/>
    </row>
    <row r="82">
      <c r="D82" s="52"/>
    </row>
    <row r="83">
      <c r="D83" s="52"/>
    </row>
    <row r="84">
      <c r="D84" s="52"/>
    </row>
    <row r="85">
      <c r="D85" s="52"/>
    </row>
    <row r="86">
      <c r="D86" s="52"/>
    </row>
    <row r="87">
      <c r="D87" s="52"/>
    </row>
    <row r="88">
      <c r="D88" s="52"/>
    </row>
    <row r="89">
      <c r="D89" s="52"/>
    </row>
    <row r="90">
      <c r="D90" s="52"/>
    </row>
    <row r="91">
      <c r="D91" s="52"/>
    </row>
    <row r="92">
      <c r="D92" s="52"/>
    </row>
    <row r="93">
      <c r="D93" s="52"/>
    </row>
    <row r="94">
      <c r="D94" s="52"/>
    </row>
    <row r="95">
      <c r="D95" s="52"/>
    </row>
    <row r="96">
      <c r="D96" s="52"/>
    </row>
    <row r="97">
      <c r="D97" s="52"/>
    </row>
    <row r="98">
      <c r="D98" s="52"/>
    </row>
    <row r="99">
      <c r="D99" s="52"/>
    </row>
    <row r="100">
      <c r="D100" s="52"/>
    </row>
    <row r="101">
      <c r="D101" s="52"/>
    </row>
    <row r="102">
      <c r="D102" s="52"/>
    </row>
    <row r="103">
      <c r="D103" s="52"/>
    </row>
    <row r="104">
      <c r="D104" s="52"/>
    </row>
    <row r="105">
      <c r="D105" s="52"/>
    </row>
    <row r="106">
      <c r="D106" s="52"/>
    </row>
    <row r="107">
      <c r="D107" s="52"/>
    </row>
    <row r="108">
      <c r="D108" s="52"/>
    </row>
    <row r="109">
      <c r="D109" s="52"/>
    </row>
    <row r="110">
      <c r="D110" s="52"/>
    </row>
    <row r="111">
      <c r="D111" s="52"/>
    </row>
    <row r="112">
      <c r="D112" s="52"/>
    </row>
    <row r="113">
      <c r="D113" s="52"/>
    </row>
    <row r="114">
      <c r="D114" s="52"/>
    </row>
    <row r="115">
      <c r="D115" s="52"/>
    </row>
    <row r="116">
      <c r="D116" s="52"/>
    </row>
    <row r="117">
      <c r="D117" s="52"/>
    </row>
    <row r="118">
      <c r="D118" s="52"/>
    </row>
    <row r="119">
      <c r="D119" s="52"/>
    </row>
    <row r="120">
      <c r="D120" s="52"/>
    </row>
    <row r="121">
      <c r="D121" s="52"/>
    </row>
    <row r="122">
      <c r="D122" s="52"/>
    </row>
    <row r="123">
      <c r="D123" s="52"/>
    </row>
    <row r="124">
      <c r="D124" s="52"/>
    </row>
    <row r="125">
      <c r="D125" s="52"/>
    </row>
    <row r="126">
      <c r="D126" s="52"/>
    </row>
    <row r="127">
      <c r="D127" s="52"/>
    </row>
    <row r="128">
      <c r="D128" s="52"/>
    </row>
    <row r="129">
      <c r="D129" s="52"/>
    </row>
    <row r="130">
      <c r="D130" s="52"/>
    </row>
    <row r="131">
      <c r="D131" s="52"/>
    </row>
    <row r="132">
      <c r="D132" s="52"/>
    </row>
    <row r="133">
      <c r="D133" s="52"/>
    </row>
    <row r="134">
      <c r="D134" s="52"/>
    </row>
    <row r="135">
      <c r="D135" s="52"/>
    </row>
    <row r="136">
      <c r="D136" s="52"/>
    </row>
    <row r="137">
      <c r="D137" s="52"/>
    </row>
    <row r="138">
      <c r="D138" s="52"/>
    </row>
    <row r="139">
      <c r="D139" s="52"/>
    </row>
    <row r="140">
      <c r="D140" s="52"/>
    </row>
    <row r="141">
      <c r="D141" s="52"/>
    </row>
    <row r="142">
      <c r="D142" s="52"/>
    </row>
    <row r="143">
      <c r="D143" s="52"/>
    </row>
    <row r="144">
      <c r="D144" s="52"/>
    </row>
    <row r="145">
      <c r="D145" s="52"/>
    </row>
    <row r="146">
      <c r="D146" s="52"/>
    </row>
    <row r="147">
      <c r="D147" s="52"/>
    </row>
    <row r="148">
      <c r="D148" s="52"/>
    </row>
    <row r="149">
      <c r="D149" s="52"/>
    </row>
    <row r="150">
      <c r="D150" s="52"/>
    </row>
    <row r="151">
      <c r="D151" s="52"/>
    </row>
    <row r="152">
      <c r="D152" s="52"/>
    </row>
    <row r="153">
      <c r="D153" s="52"/>
    </row>
    <row r="154">
      <c r="D154" s="52"/>
    </row>
    <row r="155">
      <c r="D155" s="52"/>
    </row>
    <row r="156">
      <c r="D156" s="52"/>
    </row>
    <row r="157">
      <c r="D157" s="52"/>
    </row>
    <row r="158">
      <c r="D158" s="52"/>
    </row>
    <row r="159">
      <c r="D159" s="52"/>
    </row>
    <row r="160">
      <c r="D160" s="52"/>
    </row>
    <row r="161">
      <c r="D161" s="52"/>
    </row>
    <row r="162">
      <c r="D162" s="52"/>
    </row>
    <row r="163">
      <c r="D163" s="52"/>
    </row>
    <row r="164">
      <c r="D164" s="52"/>
    </row>
    <row r="165">
      <c r="D165" s="52"/>
    </row>
    <row r="166">
      <c r="D166" s="52"/>
    </row>
    <row r="167">
      <c r="D167" s="52"/>
    </row>
    <row r="168">
      <c r="D168" s="52"/>
    </row>
    <row r="169">
      <c r="D169" s="52"/>
    </row>
    <row r="170">
      <c r="D170" s="52"/>
    </row>
    <row r="171">
      <c r="D171" s="52"/>
    </row>
    <row r="172">
      <c r="D172" s="52"/>
    </row>
    <row r="173">
      <c r="D173" s="52"/>
    </row>
    <row r="174">
      <c r="D174" s="52"/>
    </row>
    <row r="175">
      <c r="D175" s="52"/>
    </row>
    <row r="176">
      <c r="D176" s="52"/>
    </row>
    <row r="177">
      <c r="D177" s="52"/>
    </row>
    <row r="178">
      <c r="D178" s="52"/>
    </row>
    <row r="179">
      <c r="D179" s="52"/>
    </row>
    <row r="180">
      <c r="D180" s="52"/>
    </row>
    <row r="181">
      <c r="D181" s="52"/>
    </row>
    <row r="182">
      <c r="D182" s="52"/>
    </row>
    <row r="183">
      <c r="D183" s="52"/>
    </row>
    <row r="184">
      <c r="D184" s="52"/>
    </row>
    <row r="185">
      <c r="D185" s="52"/>
    </row>
    <row r="186">
      <c r="D186" s="52"/>
    </row>
    <row r="187">
      <c r="D187" s="52"/>
    </row>
    <row r="188">
      <c r="D188" s="52"/>
    </row>
    <row r="189">
      <c r="D189" s="52"/>
    </row>
    <row r="190">
      <c r="D190" s="52"/>
    </row>
    <row r="191">
      <c r="D191" s="52"/>
    </row>
    <row r="192">
      <c r="D192" s="52"/>
    </row>
    <row r="193">
      <c r="D193" s="52"/>
    </row>
    <row r="194">
      <c r="D194" s="52"/>
    </row>
    <row r="195">
      <c r="D195" s="52"/>
    </row>
    <row r="196">
      <c r="D196" s="52"/>
    </row>
    <row r="197">
      <c r="D197" s="52"/>
    </row>
    <row r="198">
      <c r="D198" s="52"/>
    </row>
    <row r="199">
      <c r="D199" s="52"/>
    </row>
    <row r="200">
      <c r="D200" s="52"/>
    </row>
    <row r="201">
      <c r="D201" s="52"/>
    </row>
    <row r="202">
      <c r="D202" s="52"/>
    </row>
    <row r="203">
      <c r="D203" s="52"/>
    </row>
    <row r="204">
      <c r="D204" s="52"/>
    </row>
    <row r="205">
      <c r="D205" s="52"/>
    </row>
    <row r="206">
      <c r="D206" s="52"/>
    </row>
    <row r="207">
      <c r="D207" s="52"/>
    </row>
    <row r="208">
      <c r="D208" s="52"/>
    </row>
    <row r="209">
      <c r="D209" s="52"/>
    </row>
    <row r="210">
      <c r="D210" s="52"/>
    </row>
    <row r="211">
      <c r="D211" s="52"/>
    </row>
    <row r="212">
      <c r="D212" s="52"/>
    </row>
    <row r="213">
      <c r="D213" s="52"/>
    </row>
    <row r="214">
      <c r="D214" s="52"/>
    </row>
    <row r="215">
      <c r="D215" s="52"/>
    </row>
    <row r="216">
      <c r="D216" s="52"/>
    </row>
    <row r="217">
      <c r="D217" s="52"/>
    </row>
    <row r="218">
      <c r="D218" s="52"/>
    </row>
    <row r="219">
      <c r="D219" s="52"/>
    </row>
    <row r="220">
      <c r="D220" s="52"/>
    </row>
    <row r="221">
      <c r="D221" s="52"/>
    </row>
    <row r="222">
      <c r="D222" s="52"/>
    </row>
    <row r="223">
      <c r="D223" s="52"/>
    </row>
    <row r="224">
      <c r="D224" s="52"/>
    </row>
    <row r="225">
      <c r="D225" s="52"/>
    </row>
    <row r="226">
      <c r="D226" s="52"/>
    </row>
    <row r="227">
      <c r="D227" s="52"/>
    </row>
    <row r="228">
      <c r="D228" s="52"/>
    </row>
    <row r="229">
      <c r="D229" s="52"/>
    </row>
    <row r="230">
      <c r="D230" s="52"/>
    </row>
    <row r="231">
      <c r="D231" s="52"/>
    </row>
    <row r="232">
      <c r="D232" s="52"/>
    </row>
    <row r="233">
      <c r="D233" s="52"/>
    </row>
    <row r="234">
      <c r="D234" s="52"/>
    </row>
    <row r="235">
      <c r="D235" s="52"/>
    </row>
    <row r="236">
      <c r="D236" s="52"/>
    </row>
    <row r="237">
      <c r="D237" s="52"/>
    </row>
    <row r="238">
      <c r="D238" s="52"/>
    </row>
    <row r="239">
      <c r="D239" s="52"/>
    </row>
    <row r="240">
      <c r="D240" s="52"/>
    </row>
    <row r="241">
      <c r="D241" s="52"/>
    </row>
    <row r="242">
      <c r="D242" s="52"/>
    </row>
    <row r="243">
      <c r="D243" s="52"/>
    </row>
    <row r="244">
      <c r="D244" s="52"/>
    </row>
    <row r="245">
      <c r="D245" s="52"/>
    </row>
    <row r="246">
      <c r="D246" s="52"/>
    </row>
    <row r="247">
      <c r="D247" s="52"/>
    </row>
    <row r="248">
      <c r="D248" s="52"/>
    </row>
    <row r="249">
      <c r="D249" s="52"/>
    </row>
    <row r="250">
      <c r="D250" s="52"/>
    </row>
    <row r="251">
      <c r="D251" s="52"/>
    </row>
    <row r="252">
      <c r="D252" s="52"/>
    </row>
    <row r="253">
      <c r="D253" s="52"/>
    </row>
    <row r="254">
      <c r="D254" s="52"/>
    </row>
    <row r="255">
      <c r="D255" s="52"/>
    </row>
    <row r="256">
      <c r="D256" s="52"/>
    </row>
    <row r="257">
      <c r="D257" s="52"/>
    </row>
    <row r="258">
      <c r="D258" s="52"/>
    </row>
    <row r="259">
      <c r="D259" s="52"/>
    </row>
    <row r="260">
      <c r="D260" s="52"/>
    </row>
    <row r="261">
      <c r="D261" s="52"/>
    </row>
    <row r="262">
      <c r="D262" s="52"/>
    </row>
    <row r="263">
      <c r="D263" s="52"/>
    </row>
    <row r="264">
      <c r="D264" s="52"/>
    </row>
    <row r="265">
      <c r="D265" s="52"/>
    </row>
    <row r="266">
      <c r="D266" s="52"/>
    </row>
    <row r="267">
      <c r="D267" s="52"/>
    </row>
    <row r="268">
      <c r="D268" s="52"/>
    </row>
    <row r="269">
      <c r="D269" s="52"/>
    </row>
    <row r="270">
      <c r="D270" s="52"/>
    </row>
    <row r="271">
      <c r="D271" s="52"/>
    </row>
    <row r="272">
      <c r="D272" s="52"/>
    </row>
    <row r="273">
      <c r="D273" s="52"/>
    </row>
    <row r="274">
      <c r="D274" s="52"/>
    </row>
    <row r="275">
      <c r="D275" s="52"/>
    </row>
    <row r="276">
      <c r="D276" s="52"/>
    </row>
    <row r="277">
      <c r="D277" s="52"/>
    </row>
    <row r="278">
      <c r="D278" s="52"/>
    </row>
    <row r="279">
      <c r="D279" s="52"/>
    </row>
    <row r="280">
      <c r="D280" s="52"/>
    </row>
    <row r="281">
      <c r="D281" s="52"/>
    </row>
    <row r="282">
      <c r="D282" s="52"/>
    </row>
    <row r="283">
      <c r="D283" s="52"/>
    </row>
    <row r="284">
      <c r="D284" s="52"/>
    </row>
    <row r="285">
      <c r="D285" s="52"/>
    </row>
    <row r="286">
      <c r="D286" s="52"/>
    </row>
    <row r="287">
      <c r="D287" s="52"/>
    </row>
    <row r="288">
      <c r="D288" s="52"/>
    </row>
    <row r="289">
      <c r="D289" s="52"/>
    </row>
    <row r="290">
      <c r="D290" s="52"/>
    </row>
    <row r="291">
      <c r="D291" s="52"/>
    </row>
    <row r="292">
      <c r="D292" s="52"/>
    </row>
    <row r="293">
      <c r="D293" s="52"/>
    </row>
    <row r="294">
      <c r="D294" s="52"/>
    </row>
    <row r="295">
      <c r="D295" s="52"/>
    </row>
    <row r="296">
      <c r="D296" s="52"/>
    </row>
    <row r="297">
      <c r="D297" s="52"/>
    </row>
    <row r="298">
      <c r="D298" s="52"/>
    </row>
    <row r="299">
      <c r="D299" s="52"/>
    </row>
    <row r="300">
      <c r="D300" s="52"/>
    </row>
    <row r="301">
      <c r="D301" s="52"/>
    </row>
    <row r="302">
      <c r="D302" s="52"/>
    </row>
    <row r="303">
      <c r="D303" s="52"/>
    </row>
    <row r="304">
      <c r="D304" s="52"/>
    </row>
    <row r="305">
      <c r="D305" s="52"/>
    </row>
    <row r="306">
      <c r="D306" s="52"/>
    </row>
    <row r="307">
      <c r="D307" s="52"/>
    </row>
    <row r="308">
      <c r="D308" s="52"/>
    </row>
    <row r="309">
      <c r="D309" s="52"/>
    </row>
    <row r="310">
      <c r="D310" s="52"/>
    </row>
    <row r="311">
      <c r="D311" s="52"/>
    </row>
    <row r="312">
      <c r="D312" s="52"/>
    </row>
    <row r="313">
      <c r="D313" s="52"/>
    </row>
    <row r="314">
      <c r="D314" s="52"/>
    </row>
    <row r="315">
      <c r="D315" s="52"/>
    </row>
    <row r="316">
      <c r="D316" s="52"/>
    </row>
    <row r="317">
      <c r="D317" s="52"/>
    </row>
    <row r="318">
      <c r="D318" s="52"/>
    </row>
    <row r="319">
      <c r="D319" s="52"/>
    </row>
    <row r="320">
      <c r="D320" s="52"/>
    </row>
    <row r="321">
      <c r="D321" s="52"/>
    </row>
    <row r="322">
      <c r="D322" s="52"/>
    </row>
    <row r="323">
      <c r="D323" s="52"/>
    </row>
    <row r="324">
      <c r="D324" s="52"/>
    </row>
    <row r="325">
      <c r="D325" s="52"/>
    </row>
    <row r="326">
      <c r="D326" s="52"/>
    </row>
    <row r="327">
      <c r="D327" s="52"/>
    </row>
    <row r="328">
      <c r="D328" s="52"/>
    </row>
    <row r="329">
      <c r="D329" s="52"/>
    </row>
    <row r="330">
      <c r="D330" s="52"/>
    </row>
    <row r="331">
      <c r="D331" s="52"/>
    </row>
    <row r="332">
      <c r="D332" s="52"/>
    </row>
    <row r="333">
      <c r="D333" s="52"/>
    </row>
    <row r="334">
      <c r="D334" s="52"/>
    </row>
    <row r="335">
      <c r="D335" s="52"/>
    </row>
    <row r="336">
      <c r="D336" s="52"/>
    </row>
    <row r="337">
      <c r="D337" s="52"/>
    </row>
    <row r="338">
      <c r="D338" s="52"/>
    </row>
    <row r="339">
      <c r="D339" s="52"/>
    </row>
    <row r="340">
      <c r="D340" s="52"/>
    </row>
    <row r="341">
      <c r="D341" s="52"/>
    </row>
    <row r="342">
      <c r="D342" s="52"/>
    </row>
    <row r="343">
      <c r="D343" s="52"/>
    </row>
    <row r="344">
      <c r="D344" s="52"/>
    </row>
    <row r="345">
      <c r="D345" s="52"/>
    </row>
    <row r="346">
      <c r="D346" s="52"/>
    </row>
    <row r="347">
      <c r="D347" s="52"/>
    </row>
    <row r="348">
      <c r="D348" s="52"/>
    </row>
    <row r="349">
      <c r="D349" s="52"/>
    </row>
    <row r="350">
      <c r="D350" s="52"/>
    </row>
    <row r="351">
      <c r="D351" s="52"/>
    </row>
    <row r="352">
      <c r="D352" s="52"/>
    </row>
    <row r="353">
      <c r="D353" s="52"/>
    </row>
    <row r="354">
      <c r="D354" s="52"/>
    </row>
    <row r="355">
      <c r="D355" s="52"/>
    </row>
    <row r="356">
      <c r="D356" s="52"/>
    </row>
    <row r="357">
      <c r="D357" s="52"/>
    </row>
    <row r="358">
      <c r="D358" s="52"/>
    </row>
    <row r="359">
      <c r="D359" s="52"/>
    </row>
    <row r="360">
      <c r="D360" s="52"/>
    </row>
    <row r="361">
      <c r="D361" s="52"/>
    </row>
    <row r="362">
      <c r="D362" s="52"/>
    </row>
    <row r="363">
      <c r="D363" s="52"/>
    </row>
    <row r="364">
      <c r="D364" s="52"/>
    </row>
    <row r="365">
      <c r="D365" s="52"/>
    </row>
    <row r="366">
      <c r="D366" s="52"/>
    </row>
    <row r="367">
      <c r="D367" s="52"/>
    </row>
    <row r="368">
      <c r="D368" s="52"/>
    </row>
    <row r="369">
      <c r="D369" s="52"/>
    </row>
    <row r="370">
      <c r="D370" s="52"/>
    </row>
    <row r="371">
      <c r="D371" s="52"/>
    </row>
    <row r="372">
      <c r="D372" s="52"/>
    </row>
    <row r="373">
      <c r="D373" s="52"/>
    </row>
    <row r="374">
      <c r="D374" s="52"/>
    </row>
    <row r="375">
      <c r="D375" s="52"/>
    </row>
    <row r="376">
      <c r="D376" s="52"/>
    </row>
    <row r="377">
      <c r="D377" s="52"/>
    </row>
    <row r="378">
      <c r="D378" s="52"/>
    </row>
    <row r="379">
      <c r="D379" s="52"/>
    </row>
    <row r="380">
      <c r="D380" s="52"/>
    </row>
    <row r="381">
      <c r="D381" s="52"/>
    </row>
    <row r="382">
      <c r="D382" s="52"/>
    </row>
    <row r="383">
      <c r="D383" s="52"/>
    </row>
    <row r="384">
      <c r="D384" s="52"/>
    </row>
    <row r="385">
      <c r="D385" s="52"/>
    </row>
    <row r="386">
      <c r="D386" s="52"/>
    </row>
    <row r="387">
      <c r="D387" s="52"/>
    </row>
    <row r="388">
      <c r="D388" s="52"/>
    </row>
    <row r="389">
      <c r="D389" s="52"/>
    </row>
    <row r="390">
      <c r="D390" s="52"/>
    </row>
    <row r="391">
      <c r="D391" s="52"/>
    </row>
    <row r="392">
      <c r="D392" s="52"/>
    </row>
    <row r="393">
      <c r="D393" s="52"/>
    </row>
    <row r="394">
      <c r="D394" s="52"/>
    </row>
    <row r="395">
      <c r="D395" s="52"/>
    </row>
    <row r="396">
      <c r="D396" s="52"/>
    </row>
    <row r="397">
      <c r="D397" s="52"/>
    </row>
    <row r="398">
      <c r="D398" s="52"/>
    </row>
    <row r="399">
      <c r="D399" s="52"/>
    </row>
    <row r="400">
      <c r="D400" s="52"/>
    </row>
    <row r="401">
      <c r="D401" s="52"/>
    </row>
    <row r="402">
      <c r="D402" s="52"/>
    </row>
    <row r="403">
      <c r="D403" s="52"/>
    </row>
    <row r="404">
      <c r="D404" s="52"/>
    </row>
    <row r="405">
      <c r="D405" s="52"/>
    </row>
    <row r="406">
      <c r="D406" s="52"/>
    </row>
    <row r="407">
      <c r="D407" s="52"/>
    </row>
    <row r="408">
      <c r="D408" s="52"/>
    </row>
    <row r="409">
      <c r="D409" s="52"/>
    </row>
    <row r="410">
      <c r="D410" s="52"/>
    </row>
    <row r="411">
      <c r="D411" s="52"/>
    </row>
    <row r="412">
      <c r="D412" s="52"/>
    </row>
    <row r="413">
      <c r="D413" s="52"/>
    </row>
    <row r="414">
      <c r="D414" s="52"/>
    </row>
    <row r="415">
      <c r="D415" s="52"/>
    </row>
    <row r="416">
      <c r="D416" s="52"/>
    </row>
    <row r="417">
      <c r="D417" s="52"/>
    </row>
    <row r="418">
      <c r="D418" s="52"/>
    </row>
    <row r="419">
      <c r="D419" s="52"/>
    </row>
    <row r="420">
      <c r="D420" s="52"/>
    </row>
    <row r="421">
      <c r="D421" s="52"/>
    </row>
    <row r="422">
      <c r="D422" s="52"/>
    </row>
    <row r="423">
      <c r="D423" s="52"/>
    </row>
    <row r="424">
      <c r="D424" s="52"/>
    </row>
    <row r="425">
      <c r="D425" s="52"/>
    </row>
    <row r="426">
      <c r="D426" s="52"/>
    </row>
    <row r="427">
      <c r="D427" s="52"/>
    </row>
    <row r="428">
      <c r="D428" s="52"/>
    </row>
    <row r="429">
      <c r="D429" s="52"/>
    </row>
    <row r="430">
      <c r="D430" s="52"/>
    </row>
    <row r="431">
      <c r="D431" s="52"/>
    </row>
    <row r="432">
      <c r="D432" s="52"/>
    </row>
    <row r="433">
      <c r="D433" s="52"/>
    </row>
    <row r="434">
      <c r="D434" s="52"/>
    </row>
    <row r="435">
      <c r="D435" s="52"/>
    </row>
    <row r="436">
      <c r="D436" s="52"/>
    </row>
    <row r="437">
      <c r="D437" s="52"/>
    </row>
    <row r="438">
      <c r="D438" s="52"/>
    </row>
    <row r="439">
      <c r="D439" s="52"/>
    </row>
    <row r="440">
      <c r="D440" s="52"/>
    </row>
    <row r="441">
      <c r="D441" s="52"/>
    </row>
    <row r="442">
      <c r="D442" s="52"/>
    </row>
    <row r="443">
      <c r="D443" s="52"/>
    </row>
    <row r="444">
      <c r="D444" s="52"/>
    </row>
    <row r="445">
      <c r="D445" s="52"/>
    </row>
    <row r="446">
      <c r="D446" s="52"/>
    </row>
    <row r="447">
      <c r="D447" s="52"/>
    </row>
    <row r="448">
      <c r="D448" s="52"/>
    </row>
    <row r="449">
      <c r="D449" s="52"/>
    </row>
    <row r="450">
      <c r="D450" s="52"/>
    </row>
    <row r="451">
      <c r="D451" s="52"/>
    </row>
    <row r="452">
      <c r="D452" s="52"/>
    </row>
    <row r="453">
      <c r="D453" s="52"/>
    </row>
    <row r="454">
      <c r="D454" s="52"/>
    </row>
    <row r="455">
      <c r="D455" s="52"/>
    </row>
    <row r="456">
      <c r="D456" s="52"/>
    </row>
    <row r="457">
      <c r="D457" s="52"/>
    </row>
    <row r="458">
      <c r="D458" s="52"/>
    </row>
    <row r="459">
      <c r="D459" s="52"/>
    </row>
    <row r="460">
      <c r="D460" s="52"/>
    </row>
    <row r="461">
      <c r="D461" s="52"/>
    </row>
    <row r="462">
      <c r="D462" s="52"/>
    </row>
    <row r="463">
      <c r="D463" s="52"/>
    </row>
    <row r="464">
      <c r="D464" s="52"/>
    </row>
    <row r="465">
      <c r="D465" s="52"/>
    </row>
    <row r="466">
      <c r="D466" s="52"/>
    </row>
    <row r="467">
      <c r="D467" s="52"/>
    </row>
    <row r="468">
      <c r="D468" s="52"/>
    </row>
    <row r="469">
      <c r="D469" s="52"/>
    </row>
    <row r="470">
      <c r="D470" s="52"/>
    </row>
    <row r="471">
      <c r="D471" s="52"/>
    </row>
    <row r="472">
      <c r="D472" s="52"/>
    </row>
    <row r="473">
      <c r="D473" s="52"/>
    </row>
    <row r="474">
      <c r="D474" s="52"/>
    </row>
    <row r="475">
      <c r="D475" s="52"/>
    </row>
    <row r="476">
      <c r="D476" s="52"/>
    </row>
    <row r="477">
      <c r="D477" s="52"/>
    </row>
    <row r="478">
      <c r="D478" s="52"/>
    </row>
    <row r="479">
      <c r="D479" s="52"/>
    </row>
    <row r="480">
      <c r="D480" s="52"/>
    </row>
    <row r="481">
      <c r="D481" s="52"/>
    </row>
    <row r="482">
      <c r="D482" s="52"/>
    </row>
    <row r="483">
      <c r="D483" s="52"/>
    </row>
    <row r="484">
      <c r="D484" s="52"/>
    </row>
    <row r="485">
      <c r="D485" s="52"/>
    </row>
    <row r="486">
      <c r="D486" s="52"/>
    </row>
    <row r="487">
      <c r="D487" s="52"/>
    </row>
    <row r="488">
      <c r="D488" s="52"/>
    </row>
    <row r="489">
      <c r="D489" s="52"/>
    </row>
    <row r="490">
      <c r="D490" s="52"/>
    </row>
    <row r="491">
      <c r="D491" s="52"/>
    </row>
    <row r="492">
      <c r="D492" s="52"/>
    </row>
    <row r="493">
      <c r="D493" s="52"/>
    </row>
    <row r="494">
      <c r="D494" s="52"/>
    </row>
    <row r="495">
      <c r="D495" s="52"/>
    </row>
    <row r="496">
      <c r="D496" s="52"/>
    </row>
    <row r="497">
      <c r="D497" s="52"/>
    </row>
    <row r="498">
      <c r="D498" s="52"/>
    </row>
    <row r="499">
      <c r="D499" s="52"/>
    </row>
    <row r="500">
      <c r="D500" s="52"/>
    </row>
    <row r="501">
      <c r="D501" s="52"/>
    </row>
    <row r="502">
      <c r="D502" s="52"/>
    </row>
    <row r="503">
      <c r="D503" s="52"/>
    </row>
    <row r="504">
      <c r="D504" s="52"/>
    </row>
    <row r="505">
      <c r="D505" s="52"/>
    </row>
    <row r="506">
      <c r="D506" s="52"/>
    </row>
    <row r="507">
      <c r="D507" s="52"/>
    </row>
    <row r="508">
      <c r="D508" s="52"/>
    </row>
    <row r="509">
      <c r="D509" s="52"/>
    </row>
    <row r="510">
      <c r="D510" s="52"/>
    </row>
    <row r="511">
      <c r="D511" s="52"/>
    </row>
    <row r="512">
      <c r="D512" s="52"/>
    </row>
    <row r="513">
      <c r="D513" s="52"/>
    </row>
    <row r="514">
      <c r="D514" s="52"/>
    </row>
    <row r="515">
      <c r="D515" s="52"/>
    </row>
    <row r="516">
      <c r="D516" s="52"/>
    </row>
    <row r="517">
      <c r="D517" s="52"/>
    </row>
    <row r="518">
      <c r="D518" s="52"/>
    </row>
    <row r="519">
      <c r="D519" s="52"/>
    </row>
    <row r="520">
      <c r="D520" s="52"/>
    </row>
    <row r="521">
      <c r="D521" s="52"/>
    </row>
    <row r="522">
      <c r="D522" s="52"/>
    </row>
    <row r="523">
      <c r="D523" s="52"/>
    </row>
    <row r="524">
      <c r="D524" s="52"/>
    </row>
    <row r="525">
      <c r="D525" s="52"/>
    </row>
    <row r="526">
      <c r="D526" s="52"/>
    </row>
    <row r="527">
      <c r="D527" s="52"/>
    </row>
    <row r="528">
      <c r="D528" s="52"/>
    </row>
    <row r="529">
      <c r="D529" s="52"/>
    </row>
    <row r="530">
      <c r="D530" s="52"/>
    </row>
    <row r="531">
      <c r="D531" s="52"/>
    </row>
    <row r="532">
      <c r="D532" s="52"/>
    </row>
    <row r="533">
      <c r="D533" s="52"/>
    </row>
    <row r="534">
      <c r="D534" s="52"/>
    </row>
    <row r="535">
      <c r="D535" s="52"/>
    </row>
    <row r="536">
      <c r="D536" s="52"/>
    </row>
    <row r="537">
      <c r="D537" s="52"/>
    </row>
    <row r="538">
      <c r="D538" s="52"/>
    </row>
    <row r="539">
      <c r="D539" s="52"/>
    </row>
    <row r="540">
      <c r="D540" s="52"/>
    </row>
    <row r="541">
      <c r="D541" s="52"/>
    </row>
    <row r="542">
      <c r="D542" s="52"/>
    </row>
    <row r="543">
      <c r="D543" s="52"/>
    </row>
    <row r="544">
      <c r="D544" s="52"/>
    </row>
    <row r="545">
      <c r="D545" s="52"/>
    </row>
    <row r="546">
      <c r="D546" s="52"/>
    </row>
    <row r="547">
      <c r="D547" s="52"/>
    </row>
    <row r="548">
      <c r="D548" s="52"/>
    </row>
    <row r="549">
      <c r="D549" s="52"/>
    </row>
    <row r="550">
      <c r="D550" s="52"/>
    </row>
    <row r="551">
      <c r="D551" s="52"/>
    </row>
    <row r="552">
      <c r="D552" s="52"/>
    </row>
    <row r="553">
      <c r="D553" s="52"/>
    </row>
    <row r="554">
      <c r="D554" s="52"/>
    </row>
    <row r="555">
      <c r="D555" s="52"/>
    </row>
    <row r="556">
      <c r="D556" s="52"/>
    </row>
    <row r="557">
      <c r="D557" s="52"/>
    </row>
    <row r="558">
      <c r="D558" s="52"/>
    </row>
    <row r="559">
      <c r="D559" s="52"/>
    </row>
    <row r="560">
      <c r="D560" s="52"/>
    </row>
    <row r="561">
      <c r="D561" s="52"/>
    </row>
    <row r="562">
      <c r="D562" s="52"/>
    </row>
    <row r="563">
      <c r="D563" s="52"/>
    </row>
    <row r="564">
      <c r="D564" s="52"/>
    </row>
    <row r="565">
      <c r="D565" s="52"/>
    </row>
    <row r="566">
      <c r="D566" s="52"/>
    </row>
    <row r="567">
      <c r="D567" s="52"/>
    </row>
    <row r="568">
      <c r="D568" s="52"/>
    </row>
    <row r="569">
      <c r="D569" s="52"/>
    </row>
    <row r="570">
      <c r="D570" s="52"/>
    </row>
    <row r="571">
      <c r="D571" s="52"/>
    </row>
    <row r="572">
      <c r="D572" s="52"/>
    </row>
    <row r="573">
      <c r="D573" s="52"/>
    </row>
    <row r="574">
      <c r="D574" s="52"/>
    </row>
    <row r="575">
      <c r="D575" s="52"/>
    </row>
    <row r="576">
      <c r="D576" s="52"/>
    </row>
    <row r="577">
      <c r="D577" s="52"/>
    </row>
    <row r="578">
      <c r="D578" s="52"/>
    </row>
    <row r="579">
      <c r="D579" s="52"/>
    </row>
    <row r="580">
      <c r="D580" s="52"/>
    </row>
    <row r="581">
      <c r="D581" s="52"/>
    </row>
    <row r="582">
      <c r="D582" s="52"/>
    </row>
    <row r="583">
      <c r="D583" s="52"/>
    </row>
    <row r="584">
      <c r="D584" s="52"/>
    </row>
    <row r="585">
      <c r="D585" s="52"/>
    </row>
    <row r="586">
      <c r="D586" s="52"/>
    </row>
    <row r="587">
      <c r="D587" s="52"/>
    </row>
    <row r="588">
      <c r="D588" s="52"/>
    </row>
    <row r="589">
      <c r="D589" s="52"/>
    </row>
    <row r="590">
      <c r="D590" s="52"/>
    </row>
    <row r="591">
      <c r="D591" s="52"/>
    </row>
    <row r="592">
      <c r="D592" s="52"/>
    </row>
    <row r="593">
      <c r="D593" s="52"/>
    </row>
    <row r="594">
      <c r="D594" s="52"/>
    </row>
    <row r="595">
      <c r="D595" s="52"/>
    </row>
    <row r="596">
      <c r="D596" s="52"/>
    </row>
    <row r="597">
      <c r="D597" s="52"/>
    </row>
    <row r="598">
      <c r="D598" s="52"/>
    </row>
    <row r="599">
      <c r="D599" s="52"/>
    </row>
    <row r="600">
      <c r="D600" s="52"/>
    </row>
    <row r="601">
      <c r="D601" s="52"/>
    </row>
    <row r="602">
      <c r="D602" s="52"/>
    </row>
    <row r="603">
      <c r="D603" s="52"/>
    </row>
    <row r="604">
      <c r="D604" s="52"/>
    </row>
    <row r="605">
      <c r="D605" s="52"/>
    </row>
    <row r="606">
      <c r="D606" s="52"/>
    </row>
    <row r="607">
      <c r="D607" s="52"/>
    </row>
    <row r="608">
      <c r="D608" s="52"/>
    </row>
    <row r="609">
      <c r="D609" s="52"/>
    </row>
    <row r="610">
      <c r="D610" s="52"/>
    </row>
    <row r="611">
      <c r="D611" s="52"/>
    </row>
    <row r="612">
      <c r="D612" s="52"/>
    </row>
    <row r="613">
      <c r="D613" s="52"/>
    </row>
    <row r="614">
      <c r="D614" s="52"/>
    </row>
    <row r="615">
      <c r="D615" s="52"/>
    </row>
    <row r="616">
      <c r="D616" s="52"/>
    </row>
    <row r="617">
      <c r="D617" s="52"/>
    </row>
    <row r="618">
      <c r="D618" s="52"/>
    </row>
    <row r="619">
      <c r="D619" s="52"/>
    </row>
    <row r="620">
      <c r="D620" s="52"/>
    </row>
    <row r="621">
      <c r="D621" s="52"/>
    </row>
    <row r="622">
      <c r="D622" s="52"/>
    </row>
    <row r="623">
      <c r="D623" s="52"/>
    </row>
    <row r="624">
      <c r="D624" s="52"/>
    </row>
    <row r="625">
      <c r="D625" s="52"/>
    </row>
    <row r="626">
      <c r="D626" s="52"/>
    </row>
    <row r="627">
      <c r="D627" s="52"/>
    </row>
    <row r="628">
      <c r="D628" s="52"/>
    </row>
    <row r="629">
      <c r="D629" s="52"/>
    </row>
    <row r="630">
      <c r="D630" s="52"/>
    </row>
    <row r="631">
      <c r="D631" s="52"/>
    </row>
    <row r="632">
      <c r="D632" s="52"/>
    </row>
    <row r="633">
      <c r="D633" s="52"/>
    </row>
    <row r="634">
      <c r="D634" s="52"/>
    </row>
    <row r="635">
      <c r="D635" s="52"/>
    </row>
    <row r="636">
      <c r="D636" s="52"/>
    </row>
    <row r="637">
      <c r="D637" s="52"/>
    </row>
    <row r="638">
      <c r="D638" s="52"/>
    </row>
    <row r="639">
      <c r="D639" s="52"/>
    </row>
    <row r="640">
      <c r="D640" s="52"/>
    </row>
    <row r="641">
      <c r="D641" s="52"/>
    </row>
    <row r="642">
      <c r="D642" s="52"/>
    </row>
    <row r="643">
      <c r="D643" s="52"/>
    </row>
    <row r="644">
      <c r="D644" s="52"/>
    </row>
    <row r="645">
      <c r="D645" s="52"/>
    </row>
    <row r="646">
      <c r="D646" s="52"/>
    </row>
    <row r="647">
      <c r="D647" s="52"/>
    </row>
    <row r="648">
      <c r="D648" s="52"/>
    </row>
    <row r="649">
      <c r="D649" s="52"/>
    </row>
    <row r="650">
      <c r="D650" s="52"/>
    </row>
    <row r="651">
      <c r="D651" s="52"/>
    </row>
    <row r="652">
      <c r="D652" s="52"/>
    </row>
    <row r="653">
      <c r="D653" s="52"/>
    </row>
    <row r="654">
      <c r="D654" s="52"/>
    </row>
    <row r="655">
      <c r="D655" s="52"/>
    </row>
    <row r="656">
      <c r="D656" s="52"/>
    </row>
    <row r="657">
      <c r="D657" s="52"/>
    </row>
    <row r="658">
      <c r="D658" s="52"/>
    </row>
    <row r="659">
      <c r="D659" s="52"/>
    </row>
    <row r="660">
      <c r="D660" s="52"/>
    </row>
    <row r="661">
      <c r="D661" s="52"/>
    </row>
    <row r="662">
      <c r="D662" s="52"/>
    </row>
    <row r="663">
      <c r="D663" s="52"/>
    </row>
    <row r="664">
      <c r="D664" s="52"/>
    </row>
    <row r="665">
      <c r="D665" s="52"/>
    </row>
    <row r="666">
      <c r="D666" s="52"/>
    </row>
    <row r="667">
      <c r="D667" s="52"/>
    </row>
    <row r="668">
      <c r="D668" s="52"/>
    </row>
    <row r="669">
      <c r="D669" s="52"/>
    </row>
    <row r="670">
      <c r="D670" s="52"/>
    </row>
    <row r="671">
      <c r="D671" s="52"/>
    </row>
    <row r="672">
      <c r="D672" s="52"/>
    </row>
    <row r="673">
      <c r="D673" s="52"/>
    </row>
    <row r="674">
      <c r="D674" s="52"/>
    </row>
    <row r="675">
      <c r="D675" s="52"/>
    </row>
    <row r="676">
      <c r="D676" s="52"/>
    </row>
    <row r="677">
      <c r="D677" s="52"/>
    </row>
    <row r="678">
      <c r="D678" s="52"/>
    </row>
    <row r="679">
      <c r="D679" s="52"/>
    </row>
    <row r="680">
      <c r="D680" s="52"/>
    </row>
    <row r="681">
      <c r="D681" s="52"/>
    </row>
    <row r="682">
      <c r="D682" s="52"/>
    </row>
    <row r="683">
      <c r="D683" s="52"/>
    </row>
    <row r="684">
      <c r="D684" s="52"/>
    </row>
    <row r="685">
      <c r="D685" s="52"/>
    </row>
    <row r="686">
      <c r="D686" s="52"/>
    </row>
    <row r="687">
      <c r="D687" s="52"/>
    </row>
    <row r="688">
      <c r="D688" s="52"/>
    </row>
    <row r="689">
      <c r="D689" s="52"/>
    </row>
    <row r="690">
      <c r="D690" s="52"/>
    </row>
    <row r="691">
      <c r="D691" s="52"/>
    </row>
    <row r="692">
      <c r="D692" s="52"/>
    </row>
    <row r="693">
      <c r="D693" s="52"/>
    </row>
    <row r="694">
      <c r="D694" s="52"/>
    </row>
    <row r="695">
      <c r="D695" s="52"/>
    </row>
    <row r="696">
      <c r="D696" s="52"/>
    </row>
    <row r="697">
      <c r="D697" s="52"/>
    </row>
    <row r="698">
      <c r="D698" s="52"/>
    </row>
    <row r="699">
      <c r="D699" s="52"/>
    </row>
    <row r="700">
      <c r="D700" s="52"/>
    </row>
    <row r="701">
      <c r="D701" s="52"/>
    </row>
    <row r="702">
      <c r="D702" s="52"/>
    </row>
    <row r="703">
      <c r="D703" s="52"/>
    </row>
    <row r="704">
      <c r="D704" s="52"/>
    </row>
    <row r="705">
      <c r="D705" s="52"/>
    </row>
    <row r="706">
      <c r="D706" s="52"/>
    </row>
    <row r="707">
      <c r="D707" s="52"/>
    </row>
    <row r="708">
      <c r="D708" s="52"/>
    </row>
    <row r="709">
      <c r="D709" s="52"/>
    </row>
    <row r="710">
      <c r="D710" s="52"/>
    </row>
    <row r="711">
      <c r="D711" s="52"/>
    </row>
    <row r="712">
      <c r="D712" s="52"/>
    </row>
    <row r="713">
      <c r="D713" s="52"/>
    </row>
    <row r="714">
      <c r="D714" s="52"/>
    </row>
    <row r="715">
      <c r="D715" s="52"/>
    </row>
    <row r="716">
      <c r="D716" s="52"/>
    </row>
    <row r="717">
      <c r="D717" s="52"/>
    </row>
    <row r="718">
      <c r="D718" s="52"/>
    </row>
    <row r="719">
      <c r="D719" s="52"/>
    </row>
    <row r="720">
      <c r="D720" s="52"/>
    </row>
    <row r="721">
      <c r="D721" s="52"/>
    </row>
    <row r="722">
      <c r="D722" s="52"/>
    </row>
    <row r="723">
      <c r="D723" s="52"/>
    </row>
    <row r="724">
      <c r="D724" s="52"/>
    </row>
    <row r="725">
      <c r="D725" s="52"/>
    </row>
    <row r="726">
      <c r="D726" s="52"/>
    </row>
    <row r="727">
      <c r="D727" s="52"/>
    </row>
    <row r="728">
      <c r="D728" s="52"/>
    </row>
    <row r="729">
      <c r="D729" s="52"/>
    </row>
    <row r="730">
      <c r="D730" s="52"/>
    </row>
    <row r="731">
      <c r="D731" s="52"/>
    </row>
    <row r="732">
      <c r="D732" s="52"/>
    </row>
    <row r="733">
      <c r="D733" s="52"/>
    </row>
    <row r="734">
      <c r="D734" s="52"/>
    </row>
    <row r="735">
      <c r="D735" s="52"/>
    </row>
    <row r="736">
      <c r="D736" s="52"/>
    </row>
    <row r="737">
      <c r="D737" s="52"/>
    </row>
    <row r="738">
      <c r="D738" s="52"/>
    </row>
    <row r="739">
      <c r="D739" s="52"/>
    </row>
    <row r="740">
      <c r="D740" s="52"/>
    </row>
    <row r="741">
      <c r="D741" s="52"/>
    </row>
    <row r="742">
      <c r="D742" s="52"/>
    </row>
    <row r="743">
      <c r="D743" s="52"/>
    </row>
    <row r="744">
      <c r="D744" s="52"/>
    </row>
    <row r="745">
      <c r="D745" s="52"/>
    </row>
    <row r="746">
      <c r="D746" s="52"/>
    </row>
    <row r="747">
      <c r="D747" s="52"/>
    </row>
    <row r="748">
      <c r="D748" s="52"/>
    </row>
    <row r="749">
      <c r="D749" s="52"/>
    </row>
    <row r="750">
      <c r="D750" s="52"/>
    </row>
    <row r="751">
      <c r="D751" s="52"/>
    </row>
    <row r="752">
      <c r="D752" s="52"/>
    </row>
    <row r="753">
      <c r="D753" s="52"/>
    </row>
    <row r="754">
      <c r="D754" s="52"/>
    </row>
    <row r="755">
      <c r="D755" s="52"/>
    </row>
    <row r="756">
      <c r="D756" s="52"/>
    </row>
    <row r="757">
      <c r="D757" s="52"/>
    </row>
    <row r="758">
      <c r="D758" s="52"/>
    </row>
    <row r="759">
      <c r="D759" s="52"/>
    </row>
    <row r="760">
      <c r="D760" s="52"/>
    </row>
    <row r="761">
      <c r="D761" s="52"/>
    </row>
    <row r="762">
      <c r="D762" s="52"/>
    </row>
    <row r="763">
      <c r="D763" s="52"/>
    </row>
    <row r="764">
      <c r="D764" s="52"/>
    </row>
    <row r="765">
      <c r="D765" s="52"/>
    </row>
    <row r="766">
      <c r="D766" s="52"/>
    </row>
    <row r="767">
      <c r="D767" s="52"/>
    </row>
    <row r="768">
      <c r="D768" s="52"/>
    </row>
    <row r="769">
      <c r="D769" s="52"/>
    </row>
    <row r="770">
      <c r="D770" s="52"/>
    </row>
    <row r="771">
      <c r="D771" s="52"/>
    </row>
    <row r="772">
      <c r="D772" s="52"/>
    </row>
    <row r="773">
      <c r="D773" s="52"/>
    </row>
    <row r="774">
      <c r="D774" s="52"/>
    </row>
    <row r="775">
      <c r="D775" s="52"/>
    </row>
    <row r="776">
      <c r="D776" s="52"/>
    </row>
    <row r="777">
      <c r="D777" s="52"/>
    </row>
    <row r="778">
      <c r="D778" s="52"/>
    </row>
    <row r="779">
      <c r="D779" s="52"/>
    </row>
    <row r="780">
      <c r="D780" s="52"/>
    </row>
    <row r="781">
      <c r="D781" s="52"/>
    </row>
    <row r="782">
      <c r="D782" s="52"/>
    </row>
    <row r="783">
      <c r="D783" s="52"/>
    </row>
    <row r="784">
      <c r="D784" s="52"/>
    </row>
    <row r="785">
      <c r="D785" s="52"/>
    </row>
    <row r="786">
      <c r="D786" s="52"/>
    </row>
    <row r="787">
      <c r="D787" s="52"/>
    </row>
    <row r="788">
      <c r="D788" s="52"/>
    </row>
    <row r="789">
      <c r="D789" s="52"/>
    </row>
    <row r="790">
      <c r="D790" s="52"/>
    </row>
    <row r="791">
      <c r="D791" s="52"/>
    </row>
    <row r="792">
      <c r="D792" s="52"/>
    </row>
    <row r="793">
      <c r="D793" s="52"/>
    </row>
    <row r="794">
      <c r="D794" s="52"/>
    </row>
    <row r="795">
      <c r="D795" s="52"/>
    </row>
    <row r="796">
      <c r="D796" s="52"/>
    </row>
    <row r="797">
      <c r="D797" s="52"/>
    </row>
    <row r="798">
      <c r="D798" s="52"/>
    </row>
    <row r="799">
      <c r="D799" s="52"/>
    </row>
    <row r="800">
      <c r="D800" s="52"/>
    </row>
    <row r="801">
      <c r="D801" s="52"/>
    </row>
    <row r="802">
      <c r="D802" s="52"/>
    </row>
    <row r="803">
      <c r="D803" s="52"/>
    </row>
    <row r="804">
      <c r="D804" s="52"/>
    </row>
    <row r="805">
      <c r="D805" s="52"/>
    </row>
    <row r="806">
      <c r="D806" s="52"/>
    </row>
    <row r="807">
      <c r="D807" s="52"/>
    </row>
    <row r="808">
      <c r="D808" s="52"/>
    </row>
    <row r="809">
      <c r="D809" s="52"/>
    </row>
    <row r="810">
      <c r="D810" s="52"/>
    </row>
    <row r="811">
      <c r="D811" s="52"/>
    </row>
    <row r="812">
      <c r="D812" s="52"/>
    </row>
    <row r="813">
      <c r="D813" s="52"/>
    </row>
    <row r="814">
      <c r="D814" s="52"/>
    </row>
    <row r="815">
      <c r="D815" s="52"/>
    </row>
    <row r="816">
      <c r="D816" s="52"/>
    </row>
    <row r="817">
      <c r="D817" s="52"/>
    </row>
    <row r="818">
      <c r="D818" s="52"/>
    </row>
    <row r="819">
      <c r="D819" s="52"/>
    </row>
    <row r="820">
      <c r="D820" s="52"/>
    </row>
    <row r="821">
      <c r="D821" s="52"/>
    </row>
    <row r="822">
      <c r="D822" s="52"/>
    </row>
    <row r="823">
      <c r="D823" s="52"/>
    </row>
    <row r="824">
      <c r="D824" s="52"/>
    </row>
    <row r="825">
      <c r="D825" s="52"/>
    </row>
    <row r="826">
      <c r="D826" s="52"/>
    </row>
    <row r="827">
      <c r="D827" s="52"/>
    </row>
    <row r="828">
      <c r="D828" s="52"/>
    </row>
    <row r="829">
      <c r="D829" s="52"/>
    </row>
    <row r="830">
      <c r="D830" s="52"/>
    </row>
    <row r="831">
      <c r="D831" s="52"/>
    </row>
    <row r="832">
      <c r="D832" s="52"/>
    </row>
    <row r="833">
      <c r="D833" s="52"/>
    </row>
    <row r="834">
      <c r="D834" s="52"/>
    </row>
    <row r="835">
      <c r="D835" s="52"/>
    </row>
    <row r="836">
      <c r="D836" s="52"/>
    </row>
    <row r="837">
      <c r="D837" s="52"/>
    </row>
    <row r="838">
      <c r="D838" s="52"/>
    </row>
    <row r="839">
      <c r="D839" s="52"/>
    </row>
    <row r="840">
      <c r="D840" s="52"/>
    </row>
    <row r="841">
      <c r="D841" s="52"/>
    </row>
    <row r="842">
      <c r="D842" s="52"/>
    </row>
    <row r="843">
      <c r="D843" s="52"/>
    </row>
  </sheetData>
  <mergeCells count="7">
    <mergeCell ref="A1:F1"/>
    <mergeCell ref="A2:A3"/>
    <mergeCell ref="B2:B3"/>
    <mergeCell ref="C2:C3"/>
    <mergeCell ref="D2:D3"/>
    <mergeCell ref="E2:F2"/>
    <mergeCell ref="A7:E7"/>
  </mergeCells>
  <dataValidations>
    <dataValidation type="list" allowBlank="1" sqref="H4">
      <formula1>"CHECKED (OK),CHECKED  (NOT OK)"</formula1>
    </dataValidation>
  </dataValidations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3" max="3" width="26.75"/>
    <col customWidth="1" min="4" max="4" width="33.25"/>
    <col customWidth="1" min="7" max="7" width="3.5"/>
    <col customWidth="1" min="8" max="8" width="18.63"/>
    <col customWidth="1" min="9" max="9" width="21.63"/>
  </cols>
  <sheetData>
    <row r="1">
      <c r="A1" s="30" t="s">
        <v>1110</v>
      </c>
      <c r="G1" s="31"/>
      <c r="H1" s="32" t="s">
        <v>1111</v>
      </c>
      <c r="I1" s="33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4" t="s">
        <v>1</v>
      </c>
      <c r="B2" s="35" t="s">
        <v>11</v>
      </c>
      <c r="C2" s="35" t="s">
        <v>12</v>
      </c>
      <c r="D2" s="36" t="s">
        <v>13</v>
      </c>
      <c r="E2" s="37" t="s">
        <v>14</v>
      </c>
      <c r="F2" s="38"/>
      <c r="G2" s="39"/>
      <c r="H2" s="40"/>
      <c r="I2" s="40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41"/>
      <c r="B3" s="38"/>
      <c r="C3" s="38"/>
      <c r="D3" s="38"/>
      <c r="E3" s="42" t="s">
        <v>15</v>
      </c>
      <c r="F3" s="43" t="s">
        <v>5</v>
      </c>
      <c r="G3" s="39"/>
      <c r="H3" s="44" t="s">
        <v>6</v>
      </c>
      <c r="I3" s="45" t="s">
        <v>7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24.75" customHeight="1">
      <c r="A4" s="46"/>
      <c r="B4" s="47"/>
      <c r="C4" s="48" t="str">
        <f>vlookup(B4,'Crew Data'!C:G,5,0)</f>
        <v>#N/A</v>
      </c>
      <c r="D4" s="49"/>
      <c r="E4" s="47"/>
      <c r="F4" s="50">
        <f>E4*400</f>
        <v>0</v>
      </c>
      <c r="G4" s="22">
        <f>COUNTIF(B:B,B4)</f>
        <v>0</v>
      </c>
      <c r="H4" s="5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D5" s="52"/>
    </row>
    <row r="6">
      <c r="D6" s="52"/>
    </row>
    <row r="7" ht="44.25" customHeight="1">
      <c r="A7" s="53" t="s">
        <v>16</v>
      </c>
    </row>
    <row r="8">
      <c r="D8" s="52"/>
    </row>
    <row r="9">
      <c r="D9" s="52"/>
    </row>
    <row r="10">
      <c r="D10" s="52"/>
    </row>
    <row r="11">
      <c r="D11" s="52"/>
    </row>
    <row r="12">
      <c r="D12" s="52"/>
    </row>
    <row r="13">
      <c r="D13" s="52"/>
    </row>
    <row r="14">
      <c r="D14" s="52"/>
    </row>
    <row r="15">
      <c r="D15" s="52"/>
    </row>
    <row r="16">
      <c r="D16" s="52"/>
    </row>
    <row r="17">
      <c r="D17" s="52"/>
    </row>
    <row r="18">
      <c r="D18" s="52"/>
    </row>
    <row r="19">
      <c r="D19" s="52"/>
    </row>
    <row r="20">
      <c r="D20" s="52"/>
    </row>
    <row r="21">
      <c r="D21" s="52"/>
    </row>
    <row r="22">
      <c r="D22" s="52"/>
    </row>
    <row r="23">
      <c r="D23" s="52"/>
    </row>
    <row r="24">
      <c r="D24" s="52"/>
    </row>
    <row r="25">
      <c r="D25" s="52"/>
    </row>
    <row r="26">
      <c r="D26" s="52"/>
    </row>
    <row r="27">
      <c r="D27" s="52"/>
    </row>
    <row r="28">
      <c r="D28" s="52"/>
    </row>
    <row r="29">
      <c r="D29" s="52"/>
    </row>
    <row r="30">
      <c r="D30" s="52"/>
    </row>
    <row r="31">
      <c r="D31" s="52"/>
    </row>
    <row r="32">
      <c r="D32" s="52"/>
    </row>
    <row r="33">
      <c r="D33" s="52"/>
    </row>
    <row r="34">
      <c r="D34" s="52"/>
    </row>
    <row r="35">
      <c r="D35" s="52"/>
    </row>
    <row r="36">
      <c r="D36" s="52"/>
    </row>
    <row r="37">
      <c r="D37" s="52"/>
    </row>
    <row r="38">
      <c r="D38" s="52"/>
    </row>
    <row r="39">
      <c r="D39" s="52"/>
    </row>
    <row r="40">
      <c r="D40" s="52"/>
    </row>
    <row r="41">
      <c r="D41" s="52"/>
    </row>
    <row r="42">
      <c r="D42" s="52"/>
    </row>
    <row r="43">
      <c r="D43" s="52"/>
    </row>
    <row r="44">
      <c r="D44" s="52"/>
    </row>
    <row r="45">
      <c r="D45" s="52"/>
    </row>
    <row r="46">
      <c r="D46" s="52"/>
    </row>
    <row r="47">
      <c r="D47" s="52"/>
    </row>
    <row r="48">
      <c r="D48" s="52"/>
    </row>
    <row r="49">
      <c r="D49" s="52"/>
    </row>
    <row r="50">
      <c r="D50" s="52"/>
    </row>
    <row r="51">
      <c r="D51" s="52"/>
    </row>
    <row r="52">
      <c r="D52" s="52"/>
    </row>
    <row r="53">
      <c r="D53" s="52"/>
    </row>
    <row r="54">
      <c r="D54" s="52"/>
    </row>
    <row r="55">
      <c r="D55" s="52"/>
    </row>
    <row r="56">
      <c r="D56" s="52"/>
    </row>
    <row r="57">
      <c r="D57" s="52"/>
    </row>
    <row r="58">
      <c r="D58" s="52"/>
    </row>
    <row r="59">
      <c r="D59" s="52"/>
    </row>
    <row r="60">
      <c r="D60" s="52"/>
    </row>
    <row r="61">
      <c r="D61" s="52"/>
    </row>
    <row r="62">
      <c r="D62" s="52"/>
    </row>
    <row r="63">
      <c r="D63" s="52"/>
    </row>
    <row r="64">
      <c r="D64" s="52"/>
    </row>
    <row r="65">
      <c r="D65" s="52"/>
    </row>
    <row r="66">
      <c r="D66" s="52"/>
    </row>
    <row r="67">
      <c r="D67" s="52"/>
    </row>
    <row r="68">
      <c r="D68" s="52"/>
    </row>
    <row r="69">
      <c r="D69" s="52"/>
    </row>
    <row r="70">
      <c r="D70" s="52"/>
    </row>
    <row r="71">
      <c r="D71" s="52"/>
    </row>
    <row r="72">
      <c r="D72" s="52"/>
    </row>
    <row r="73">
      <c r="D73" s="52"/>
    </row>
    <row r="74">
      <c r="D74" s="52"/>
    </row>
    <row r="75">
      <c r="D75" s="52"/>
    </row>
    <row r="76">
      <c r="D76" s="52"/>
    </row>
    <row r="77">
      <c r="D77" s="52"/>
    </row>
    <row r="78">
      <c r="D78" s="52"/>
    </row>
    <row r="79">
      <c r="D79" s="52"/>
    </row>
    <row r="80">
      <c r="D80" s="52"/>
    </row>
    <row r="81">
      <c r="D81" s="52"/>
    </row>
    <row r="82">
      <c r="D82" s="52"/>
    </row>
    <row r="83">
      <c r="D83" s="52"/>
    </row>
    <row r="84">
      <c r="D84" s="52"/>
    </row>
    <row r="85">
      <c r="D85" s="52"/>
    </row>
    <row r="86">
      <c r="D86" s="52"/>
    </row>
    <row r="87">
      <c r="D87" s="52"/>
    </row>
    <row r="88">
      <c r="D88" s="52"/>
    </row>
    <row r="89">
      <c r="D89" s="52"/>
    </row>
    <row r="90">
      <c r="D90" s="52"/>
    </row>
    <row r="91">
      <c r="D91" s="52"/>
    </row>
    <row r="92">
      <c r="D92" s="52"/>
    </row>
    <row r="93">
      <c r="D93" s="52"/>
    </row>
    <row r="94">
      <c r="D94" s="52"/>
    </row>
    <row r="95">
      <c r="D95" s="52"/>
    </row>
    <row r="96">
      <c r="D96" s="52"/>
    </row>
    <row r="97">
      <c r="D97" s="52"/>
    </row>
    <row r="98">
      <c r="D98" s="52"/>
    </row>
    <row r="99">
      <c r="D99" s="52"/>
    </row>
    <row r="100">
      <c r="D100" s="52"/>
    </row>
    <row r="101">
      <c r="D101" s="52"/>
    </row>
    <row r="102">
      <c r="D102" s="52"/>
    </row>
    <row r="103">
      <c r="D103" s="52"/>
    </row>
    <row r="104">
      <c r="D104" s="52"/>
    </row>
    <row r="105">
      <c r="D105" s="52"/>
    </row>
    <row r="106">
      <c r="D106" s="52"/>
    </row>
    <row r="107">
      <c r="D107" s="52"/>
    </row>
    <row r="108">
      <c r="D108" s="52"/>
    </row>
    <row r="109">
      <c r="D109" s="52"/>
    </row>
    <row r="110">
      <c r="D110" s="52"/>
    </row>
    <row r="111">
      <c r="D111" s="52"/>
    </row>
    <row r="112">
      <c r="D112" s="52"/>
    </row>
    <row r="113">
      <c r="D113" s="52"/>
    </row>
    <row r="114">
      <c r="D114" s="52"/>
    </row>
    <row r="115">
      <c r="D115" s="52"/>
    </row>
    <row r="116">
      <c r="D116" s="52"/>
    </row>
    <row r="117">
      <c r="D117" s="52"/>
    </row>
    <row r="118">
      <c r="D118" s="52"/>
    </row>
    <row r="119">
      <c r="D119" s="52"/>
    </row>
    <row r="120">
      <c r="D120" s="52"/>
    </row>
    <row r="121">
      <c r="D121" s="52"/>
    </row>
    <row r="122">
      <c r="D122" s="52"/>
    </row>
    <row r="123">
      <c r="D123" s="52"/>
    </row>
    <row r="124">
      <c r="D124" s="52"/>
    </row>
    <row r="125">
      <c r="D125" s="52"/>
    </row>
    <row r="126">
      <c r="D126" s="52"/>
    </row>
    <row r="127">
      <c r="D127" s="52"/>
    </row>
    <row r="128">
      <c r="D128" s="52"/>
    </row>
    <row r="129">
      <c r="D129" s="52"/>
    </row>
    <row r="130">
      <c r="D130" s="52"/>
    </row>
    <row r="131">
      <c r="D131" s="52"/>
    </row>
    <row r="132">
      <c r="D132" s="52"/>
    </row>
    <row r="133">
      <c r="D133" s="52"/>
    </row>
    <row r="134">
      <c r="D134" s="52"/>
    </row>
    <row r="135">
      <c r="D135" s="52"/>
    </row>
    <row r="136">
      <c r="D136" s="52"/>
    </row>
    <row r="137">
      <c r="D137" s="52"/>
    </row>
    <row r="138">
      <c r="D138" s="52"/>
    </row>
    <row r="139">
      <c r="D139" s="52"/>
    </row>
    <row r="140">
      <c r="D140" s="52"/>
    </row>
    <row r="141">
      <c r="D141" s="52"/>
    </row>
    <row r="142">
      <c r="D142" s="52"/>
    </row>
    <row r="143">
      <c r="D143" s="52"/>
    </row>
    <row r="144">
      <c r="D144" s="52"/>
    </row>
    <row r="145">
      <c r="D145" s="52"/>
    </row>
    <row r="146">
      <c r="D146" s="52"/>
    </row>
    <row r="147">
      <c r="D147" s="52"/>
    </row>
    <row r="148">
      <c r="D148" s="52"/>
    </row>
    <row r="149">
      <c r="D149" s="52"/>
    </row>
    <row r="150">
      <c r="D150" s="52"/>
    </row>
    <row r="151">
      <c r="D151" s="52"/>
    </row>
    <row r="152">
      <c r="D152" s="52"/>
    </row>
    <row r="153">
      <c r="D153" s="52"/>
    </row>
    <row r="154">
      <c r="D154" s="52"/>
    </row>
    <row r="155">
      <c r="D155" s="52"/>
    </row>
    <row r="156">
      <c r="D156" s="52"/>
    </row>
    <row r="157">
      <c r="D157" s="52"/>
    </row>
    <row r="158">
      <c r="D158" s="52"/>
    </row>
    <row r="159">
      <c r="D159" s="52"/>
    </row>
    <row r="160">
      <c r="D160" s="52"/>
    </row>
    <row r="161">
      <c r="D161" s="52"/>
    </row>
    <row r="162">
      <c r="D162" s="52"/>
    </row>
    <row r="163">
      <c r="D163" s="52"/>
    </row>
    <row r="164">
      <c r="D164" s="52"/>
    </row>
    <row r="165">
      <c r="D165" s="52"/>
    </row>
    <row r="166">
      <c r="D166" s="52"/>
    </row>
    <row r="167">
      <c r="D167" s="52"/>
    </row>
    <row r="168">
      <c r="D168" s="52"/>
    </row>
    <row r="169">
      <c r="D169" s="52"/>
    </row>
    <row r="170">
      <c r="D170" s="52"/>
    </row>
    <row r="171">
      <c r="D171" s="52"/>
    </row>
    <row r="172">
      <c r="D172" s="52"/>
    </row>
    <row r="173">
      <c r="D173" s="52"/>
    </row>
    <row r="174">
      <c r="D174" s="52"/>
    </row>
    <row r="175">
      <c r="D175" s="52"/>
    </row>
    <row r="176">
      <c r="D176" s="52"/>
    </row>
    <row r="177">
      <c r="D177" s="52"/>
    </row>
    <row r="178">
      <c r="D178" s="52"/>
    </row>
    <row r="179">
      <c r="D179" s="52"/>
    </row>
    <row r="180">
      <c r="D180" s="52"/>
    </row>
    <row r="181">
      <c r="D181" s="52"/>
    </row>
    <row r="182">
      <c r="D182" s="52"/>
    </row>
    <row r="183">
      <c r="D183" s="52"/>
    </row>
    <row r="184">
      <c r="D184" s="52"/>
    </row>
    <row r="185">
      <c r="D185" s="52"/>
    </row>
    <row r="186">
      <c r="D186" s="52"/>
    </row>
    <row r="187">
      <c r="D187" s="52"/>
    </row>
    <row r="188">
      <c r="D188" s="52"/>
    </row>
    <row r="189">
      <c r="D189" s="52"/>
    </row>
    <row r="190">
      <c r="D190" s="52"/>
    </row>
    <row r="191">
      <c r="D191" s="52"/>
    </row>
    <row r="192">
      <c r="D192" s="52"/>
    </row>
    <row r="193">
      <c r="D193" s="52"/>
    </row>
    <row r="194">
      <c r="D194" s="52"/>
    </row>
    <row r="195">
      <c r="D195" s="52"/>
    </row>
    <row r="196">
      <c r="D196" s="52"/>
    </row>
    <row r="197">
      <c r="D197" s="52"/>
    </row>
    <row r="198">
      <c r="D198" s="52"/>
    </row>
    <row r="199">
      <c r="D199" s="52"/>
    </row>
    <row r="200">
      <c r="D200" s="52"/>
    </row>
    <row r="201">
      <c r="D201" s="52"/>
    </row>
    <row r="202">
      <c r="D202" s="52"/>
    </row>
    <row r="203">
      <c r="D203" s="52"/>
    </row>
    <row r="204">
      <c r="D204" s="52"/>
    </row>
    <row r="205">
      <c r="D205" s="52"/>
    </row>
    <row r="206">
      <c r="D206" s="52"/>
    </row>
    <row r="207">
      <c r="D207" s="52"/>
    </row>
    <row r="208">
      <c r="D208" s="52"/>
    </row>
    <row r="209">
      <c r="D209" s="52"/>
    </row>
    <row r="210">
      <c r="D210" s="52"/>
    </row>
    <row r="211">
      <c r="D211" s="52"/>
    </row>
    <row r="212">
      <c r="D212" s="52"/>
    </row>
    <row r="213">
      <c r="D213" s="52"/>
    </row>
    <row r="214">
      <c r="D214" s="52"/>
    </row>
    <row r="215">
      <c r="D215" s="52"/>
    </row>
    <row r="216">
      <c r="D216" s="52"/>
    </row>
    <row r="217">
      <c r="D217" s="52"/>
    </row>
    <row r="218">
      <c r="D218" s="52"/>
    </row>
    <row r="219">
      <c r="D219" s="52"/>
    </row>
    <row r="220">
      <c r="D220" s="52"/>
    </row>
    <row r="221">
      <c r="D221" s="52"/>
    </row>
    <row r="222">
      <c r="D222" s="52"/>
    </row>
    <row r="223">
      <c r="D223" s="52"/>
    </row>
    <row r="224">
      <c r="D224" s="52"/>
    </row>
    <row r="225">
      <c r="D225" s="52"/>
    </row>
    <row r="226">
      <c r="D226" s="52"/>
    </row>
    <row r="227">
      <c r="D227" s="52"/>
    </row>
    <row r="228">
      <c r="D228" s="52"/>
    </row>
    <row r="229">
      <c r="D229" s="52"/>
    </row>
    <row r="230">
      <c r="D230" s="52"/>
    </row>
    <row r="231">
      <c r="D231" s="52"/>
    </row>
    <row r="232">
      <c r="D232" s="52"/>
    </row>
    <row r="233">
      <c r="D233" s="52"/>
    </row>
    <row r="234">
      <c r="D234" s="52"/>
    </row>
    <row r="235">
      <c r="D235" s="52"/>
    </row>
    <row r="236">
      <c r="D236" s="52"/>
    </row>
    <row r="237">
      <c r="D237" s="52"/>
    </row>
    <row r="238">
      <c r="D238" s="52"/>
    </row>
    <row r="239">
      <c r="D239" s="52"/>
    </row>
    <row r="240">
      <c r="D240" s="52"/>
    </row>
    <row r="241">
      <c r="D241" s="52"/>
    </row>
    <row r="242">
      <c r="D242" s="52"/>
    </row>
    <row r="243">
      <c r="D243" s="52"/>
    </row>
    <row r="244">
      <c r="D244" s="52"/>
    </row>
    <row r="245">
      <c r="D245" s="52"/>
    </row>
    <row r="246">
      <c r="D246" s="52"/>
    </row>
    <row r="247">
      <c r="D247" s="52"/>
    </row>
    <row r="248">
      <c r="D248" s="52"/>
    </row>
    <row r="249">
      <c r="D249" s="52"/>
    </row>
    <row r="250">
      <c r="D250" s="52"/>
    </row>
    <row r="251">
      <c r="D251" s="52"/>
    </row>
    <row r="252">
      <c r="D252" s="52"/>
    </row>
    <row r="253">
      <c r="D253" s="52"/>
    </row>
    <row r="254">
      <c r="D254" s="52"/>
    </row>
    <row r="255">
      <c r="D255" s="52"/>
    </row>
    <row r="256">
      <c r="D256" s="52"/>
    </row>
    <row r="257">
      <c r="D257" s="52"/>
    </row>
    <row r="258">
      <c r="D258" s="52"/>
    </row>
    <row r="259">
      <c r="D259" s="52"/>
    </row>
    <row r="260">
      <c r="D260" s="52"/>
    </row>
    <row r="261">
      <c r="D261" s="52"/>
    </row>
    <row r="262">
      <c r="D262" s="52"/>
    </row>
    <row r="263">
      <c r="D263" s="52"/>
    </row>
    <row r="264">
      <c r="D264" s="52"/>
    </row>
    <row r="265">
      <c r="D265" s="52"/>
    </row>
    <row r="266">
      <c r="D266" s="52"/>
    </row>
    <row r="267">
      <c r="D267" s="52"/>
    </row>
    <row r="268">
      <c r="D268" s="52"/>
    </row>
    <row r="269">
      <c r="D269" s="52"/>
    </row>
    <row r="270">
      <c r="D270" s="52"/>
    </row>
    <row r="271">
      <c r="D271" s="52"/>
    </row>
    <row r="272">
      <c r="D272" s="52"/>
    </row>
    <row r="273">
      <c r="D273" s="52"/>
    </row>
    <row r="274">
      <c r="D274" s="52"/>
    </row>
    <row r="275">
      <c r="D275" s="52"/>
    </row>
    <row r="276">
      <c r="D276" s="52"/>
    </row>
    <row r="277">
      <c r="D277" s="52"/>
    </row>
    <row r="278">
      <c r="D278" s="52"/>
    </row>
    <row r="279">
      <c r="D279" s="52"/>
    </row>
    <row r="280">
      <c r="D280" s="52"/>
    </row>
    <row r="281">
      <c r="D281" s="52"/>
    </row>
    <row r="282">
      <c r="D282" s="52"/>
    </row>
    <row r="283">
      <c r="D283" s="52"/>
    </row>
    <row r="284">
      <c r="D284" s="52"/>
    </row>
    <row r="285">
      <c r="D285" s="52"/>
    </row>
    <row r="286">
      <c r="D286" s="52"/>
    </row>
    <row r="287">
      <c r="D287" s="52"/>
    </row>
    <row r="288">
      <c r="D288" s="52"/>
    </row>
    <row r="289">
      <c r="D289" s="52"/>
    </row>
    <row r="290">
      <c r="D290" s="52"/>
    </row>
    <row r="291">
      <c r="D291" s="52"/>
    </row>
    <row r="292">
      <c r="D292" s="52"/>
    </row>
    <row r="293">
      <c r="D293" s="52"/>
    </row>
    <row r="294">
      <c r="D294" s="52"/>
    </row>
    <row r="295">
      <c r="D295" s="52"/>
    </row>
    <row r="296">
      <c r="D296" s="52"/>
    </row>
    <row r="297">
      <c r="D297" s="52"/>
    </row>
    <row r="298">
      <c r="D298" s="52"/>
    </row>
    <row r="299">
      <c r="D299" s="52"/>
    </row>
    <row r="300">
      <c r="D300" s="52"/>
    </row>
    <row r="301">
      <c r="D301" s="52"/>
    </row>
    <row r="302">
      <c r="D302" s="52"/>
    </row>
    <row r="303">
      <c r="D303" s="52"/>
    </row>
    <row r="304">
      <c r="D304" s="52"/>
    </row>
    <row r="305">
      <c r="D305" s="52"/>
    </row>
    <row r="306">
      <c r="D306" s="52"/>
    </row>
    <row r="307">
      <c r="D307" s="52"/>
    </row>
    <row r="308">
      <c r="D308" s="52"/>
    </row>
    <row r="309">
      <c r="D309" s="52"/>
    </row>
    <row r="310">
      <c r="D310" s="52"/>
    </row>
    <row r="311">
      <c r="D311" s="52"/>
    </row>
    <row r="312">
      <c r="D312" s="52"/>
    </row>
    <row r="313">
      <c r="D313" s="52"/>
    </row>
    <row r="314">
      <c r="D314" s="52"/>
    </row>
    <row r="315">
      <c r="D315" s="52"/>
    </row>
    <row r="316">
      <c r="D316" s="52"/>
    </row>
    <row r="317">
      <c r="D317" s="52"/>
    </row>
    <row r="318">
      <c r="D318" s="52"/>
    </row>
    <row r="319">
      <c r="D319" s="52"/>
    </row>
    <row r="320">
      <c r="D320" s="52"/>
    </row>
    <row r="321">
      <c r="D321" s="52"/>
    </row>
    <row r="322">
      <c r="D322" s="52"/>
    </row>
    <row r="323">
      <c r="D323" s="52"/>
    </row>
    <row r="324">
      <c r="D324" s="52"/>
    </row>
    <row r="325">
      <c r="D325" s="52"/>
    </row>
    <row r="326">
      <c r="D326" s="52"/>
    </row>
    <row r="327">
      <c r="D327" s="52"/>
    </row>
    <row r="328">
      <c r="D328" s="52"/>
    </row>
    <row r="329">
      <c r="D329" s="52"/>
    </row>
    <row r="330">
      <c r="D330" s="52"/>
    </row>
    <row r="331">
      <c r="D331" s="52"/>
    </row>
    <row r="332">
      <c r="D332" s="52"/>
    </row>
    <row r="333">
      <c r="D333" s="52"/>
    </row>
    <row r="334">
      <c r="D334" s="52"/>
    </row>
    <row r="335">
      <c r="D335" s="52"/>
    </row>
    <row r="336">
      <c r="D336" s="52"/>
    </row>
    <row r="337">
      <c r="D337" s="52"/>
    </row>
    <row r="338">
      <c r="D338" s="52"/>
    </row>
    <row r="339">
      <c r="D339" s="52"/>
    </row>
    <row r="340">
      <c r="D340" s="52"/>
    </row>
    <row r="341">
      <c r="D341" s="52"/>
    </row>
    <row r="342">
      <c r="D342" s="52"/>
    </row>
    <row r="343">
      <c r="D343" s="52"/>
    </row>
    <row r="344">
      <c r="D344" s="52"/>
    </row>
    <row r="345">
      <c r="D345" s="52"/>
    </row>
    <row r="346">
      <c r="D346" s="52"/>
    </row>
    <row r="347">
      <c r="D347" s="52"/>
    </row>
    <row r="348">
      <c r="D348" s="52"/>
    </row>
    <row r="349">
      <c r="D349" s="52"/>
    </row>
    <row r="350">
      <c r="D350" s="52"/>
    </row>
    <row r="351">
      <c r="D351" s="52"/>
    </row>
    <row r="352">
      <c r="D352" s="52"/>
    </row>
    <row r="353">
      <c r="D353" s="52"/>
    </row>
    <row r="354">
      <c r="D354" s="52"/>
    </row>
    <row r="355">
      <c r="D355" s="52"/>
    </row>
    <row r="356">
      <c r="D356" s="52"/>
    </row>
    <row r="357">
      <c r="D357" s="52"/>
    </row>
    <row r="358">
      <c r="D358" s="52"/>
    </row>
    <row r="359">
      <c r="D359" s="52"/>
    </row>
    <row r="360">
      <c r="D360" s="52"/>
    </row>
    <row r="361">
      <c r="D361" s="52"/>
    </row>
    <row r="362">
      <c r="D362" s="52"/>
    </row>
    <row r="363">
      <c r="D363" s="52"/>
    </row>
    <row r="364">
      <c r="D364" s="52"/>
    </row>
    <row r="365">
      <c r="D365" s="52"/>
    </row>
    <row r="366">
      <c r="D366" s="52"/>
    </row>
    <row r="367">
      <c r="D367" s="52"/>
    </row>
    <row r="368">
      <c r="D368" s="52"/>
    </row>
    <row r="369">
      <c r="D369" s="52"/>
    </row>
    <row r="370">
      <c r="D370" s="52"/>
    </row>
    <row r="371">
      <c r="D371" s="52"/>
    </row>
    <row r="372">
      <c r="D372" s="52"/>
    </row>
    <row r="373">
      <c r="D373" s="52"/>
    </row>
    <row r="374">
      <c r="D374" s="52"/>
    </row>
    <row r="375">
      <c r="D375" s="52"/>
    </row>
    <row r="376">
      <c r="D376" s="52"/>
    </row>
    <row r="377">
      <c r="D377" s="52"/>
    </row>
    <row r="378">
      <c r="D378" s="52"/>
    </row>
    <row r="379">
      <c r="D379" s="52"/>
    </row>
    <row r="380">
      <c r="D380" s="52"/>
    </row>
    <row r="381">
      <c r="D381" s="52"/>
    </row>
    <row r="382">
      <c r="D382" s="52"/>
    </row>
    <row r="383">
      <c r="D383" s="52"/>
    </row>
    <row r="384">
      <c r="D384" s="52"/>
    </row>
    <row r="385">
      <c r="D385" s="52"/>
    </row>
    <row r="386">
      <c r="D386" s="52"/>
    </row>
    <row r="387">
      <c r="D387" s="52"/>
    </row>
    <row r="388">
      <c r="D388" s="52"/>
    </row>
    <row r="389">
      <c r="D389" s="52"/>
    </row>
    <row r="390">
      <c r="D390" s="52"/>
    </row>
    <row r="391">
      <c r="D391" s="52"/>
    </row>
    <row r="392">
      <c r="D392" s="52"/>
    </row>
    <row r="393">
      <c r="D393" s="52"/>
    </row>
    <row r="394">
      <c r="D394" s="52"/>
    </row>
    <row r="395">
      <c r="D395" s="52"/>
    </row>
    <row r="396">
      <c r="D396" s="52"/>
    </row>
    <row r="397">
      <c r="D397" s="52"/>
    </row>
    <row r="398">
      <c r="D398" s="52"/>
    </row>
    <row r="399">
      <c r="D399" s="52"/>
    </row>
    <row r="400">
      <c r="D400" s="52"/>
    </row>
    <row r="401">
      <c r="D401" s="52"/>
    </row>
    <row r="402">
      <c r="D402" s="52"/>
    </row>
    <row r="403">
      <c r="D403" s="52"/>
    </row>
    <row r="404">
      <c r="D404" s="52"/>
    </row>
    <row r="405">
      <c r="D405" s="52"/>
    </row>
    <row r="406">
      <c r="D406" s="52"/>
    </row>
    <row r="407">
      <c r="D407" s="52"/>
    </row>
    <row r="408">
      <c r="D408" s="52"/>
    </row>
    <row r="409">
      <c r="D409" s="52"/>
    </row>
    <row r="410">
      <c r="D410" s="52"/>
    </row>
    <row r="411">
      <c r="D411" s="52"/>
    </row>
    <row r="412">
      <c r="D412" s="52"/>
    </row>
    <row r="413">
      <c r="D413" s="52"/>
    </row>
    <row r="414">
      <c r="D414" s="52"/>
    </row>
    <row r="415">
      <c r="D415" s="52"/>
    </row>
    <row r="416">
      <c r="D416" s="52"/>
    </row>
    <row r="417">
      <c r="D417" s="52"/>
    </row>
    <row r="418">
      <c r="D418" s="52"/>
    </row>
    <row r="419">
      <c r="D419" s="52"/>
    </row>
    <row r="420">
      <c r="D420" s="52"/>
    </row>
    <row r="421">
      <c r="D421" s="52"/>
    </row>
    <row r="422">
      <c r="D422" s="52"/>
    </row>
    <row r="423">
      <c r="D423" s="52"/>
    </row>
    <row r="424">
      <c r="D424" s="52"/>
    </row>
    <row r="425">
      <c r="D425" s="52"/>
    </row>
    <row r="426">
      <c r="D426" s="52"/>
    </row>
    <row r="427">
      <c r="D427" s="52"/>
    </row>
    <row r="428">
      <c r="D428" s="52"/>
    </row>
    <row r="429">
      <c r="D429" s="52"/>
    </row>
    <row r="430">
      <c r="D430" s="52"/>
    </row>
    <row r="431">
      <c r="D431" s="52"/>
    </row>
    <row r="432">
      <c r="D432" s="52"/>
    </row>
    <row r="433">
      <c r="D433" s="52"/>
    </row>
    <row r="434">
      <c r="D434" s="52"/>
    </row>
    <row r="435">
      <c r="D435" s="52"/>
    </row>
    <row r="436">
      <c r="D436" s="52"/>
    </row>
    <row r="437">
      <c r="D437" s="52"/>
    </row>
    <row r="438">
      <c r="D438" s="52"/>
    </row>
    <row r="439">
      <c r="D439" s="52"/>
    </row>
    <row r="440">
      <c r="D440" s="52"/>
    </row>
    <row r="441">
      <c r="D441" s="52"/>
    </row>
    <row r="442">
      <c r="D442" s="52"/>
    </row>
    <row r="443">
      <c r="D443" s="52"/>
    </row>
    <row r="444">
      <c r="D444" s="52"/>
    </row>
    <row r="445">
      <c r="D445" s="52"/>
    </row>
    <row r="446">
      <c r="D446" s="52"/>
    </row>
    <row r="447">
      <c r="D447" s="52"/>
    </row>
    <row r="448">
      <c r="D448" s="52"/>
    </row>
    <row r="449">
      <c r="D449" s="52"/>
    </row>
    <row r="450">
      <c r="D450" s="52"/>
    </row>
    <row r="451">
      <c r="D451" s="52"/>
    </row>
    <row r="452">
      <c r="D452" s="52"/>
    </row>
    <row r="453">
      <c r="D453" s="52"/>
    </row>
    <row r="454">
      <c r="D454" s="52"/>
    </row>
    <row r="455">
      <c r="D455" s="52"/>
    </row>
    <row r="456">
      <c r="D456" s="52"/>
    </row>
    <row r="457">
      <c r="D457" s="52"/>
    </row>
    <row r="458">
      <c r="D458" s="52"/>
    </row>
    <row r="459">
      <c r="D459" s="52"/>
    </row>
    <row r="460">
      <c r="D460" s="52"/>
    </row>
    <row r="461">
      <c r="D461" s="52"/>
    </row>
    <row r="462">
      <c r="D462" s="52"/>
    </row>
    <row r="463">
      <c r="D463" s="52"/>
    </row>
    <row r="464">
      <c r="D464" s="52"/>
    </row>
    <row r="465">
      <c r="D465" s="52"/>
    </row>
    <row r="466">
      <c r="D466" s="52"/>
    </row>
    <row r="467">
      <c r="D467" s="52"/>
    </row>
    <row r="468">
      <c r="D468" s="52"/>
    </row>
    <row r="469">
      <c r="D469" s="52"/>
    </row>
    <row r="470">
      <c r="D470" s="52"/>
    </row>
    <row r="471">
      <c r="D471" s="52"/>
    </row>
    <row r="472">
      <c r="D472" s="52"/>
    </row>
    <row r="473">
      <c r="D473" s="52"/>
    </row>
    <row r="474">
      <c r="D474" s="52"/>
    </row>
    <row r="475">
      <c r="D475" s="52"/>
    </row>
    <row r="476">
      <c r="D476" s="52"/>
    </row>
    <row r="477">
      <c r="D477" s="52"/>
    </row>
    <row r="478">
      <c r="D478" s="52"/>
    </row>
    <row r="479">
      <c r="D479" s="52"/>
    </row>
    <row r="480">
      <c r="D480" s="52"/>
    </row>
    <row r="481">
      <c r="D481" s="52"/>
    </row>
    <row r="482">
      <c r="D482" s="52"/>
    </row>
    <row r="483">
      <c r="D483" s="52"/>
    </row>
    <row r="484">
      <c r="D484" s="52"/>
    </row>
    <row r="485">
      <c r="D485" s="52"/>
    </row>
    <row r="486">
      <c r="D486" s="52"/>
    </row>
    <row r="487">
      <c r="D487" s="52"/>
    </row>
    <row r="488">
      <c r="D488" s="52"/>
    </row>
    <row r="489">
      <c r="D489" s="52"/>
    </row>
    <row r="490">
      <c r="D490" s="52"/>
    </row>
    <row r="491">
      <c r="D491" s="52"/>
    </row>
    <row r="492">
      <c r="D492" s="52"/>
    </row>
    <row r="493">
      <c r="D493" s="52"/>
    </row>
    <row r="494">
      <c r="D494" s="52"/>
    </row>
    <row r="495">
      <c r="D495" s="52"/>
    </row>
    <row r="496">
      <c r="D496" s="52"/>
    </row>
    <row r="497">
      <c r="D497" s="52"/>
    </row>
    <row r="498">
      <c r="D498" s="52"/>
    </row>
    <row r="499">
      <c r="D499" s="52"/>
    </row>
    <row r="500">
      <c r="D500" s="52"/>
    </row>
    <row r="501">
      <c r="D501" s="52"/>
    </row>
    <row r="502">
      <c r="D502" s="52"/>
    </row>
    <row r="503">
      <c r="D503" s="52"/>
    </row>
    <row r="504">
      <c r="D504" s="52"/>
    </row>
    <row r="505">
      <c r="D505" s="52"/>
    </row>
    <row r="506">
      <c r="D506" s="52"/>
    </row>
    <row r="507">
      <c r="D507" s="52"/>
    </row>
    <row r="508">
      <c r="D508" s="52"/>
    </row>
    <row r="509">
      <c r="D509" s="52"/>
    </row>
    <row r="510">
      <c r="D510" s="52"/>
    </row>
    <row r="511">
      <c r="D511" s="52"/>
    </row>
    <row r="512">
      <c r="D512" s="52"/>
    </row>
    <row r="513">
      <c r="D513" s="52"/>
    </row>
    <row r="514">
      <c r="D514" s="52"/>
    </row>
    <row r="515">
      <c r="D515" s="52"/>
    </row>
    <row r="516">
      <c r="D516" s="52"/>
    </row>
    <row r="517">
      <c r="D517" s="52"/>
    </row>
    <row r="518">
      <c r="D518" s="52"/>
    </row>
    <row r="519">
      <c r="D519" s="52"/>
    </row>
    <row r="520">
      <c r="D520" s="52"/>
    </row>
    <row r="521">
      <c r="D521" s="52"/>
    </row>
    <row r="522">
      <c r="D522" s="52"/>
    </row>
    <row r="523">
      <c r="D523" s="52"/>
    </row>
    <row r="524">
      <c r="D524" s="52"/>
    </row>
    <row r="525">
      <c r="D525" s="52"/>
    </row>
    <row r="526">
      <c r="D526" s="52"/>
    </row>
    <row r="527">
      <c r="D527" s="52"/>
    </row>
    <row r="528">
      <c r="D528" s="52"/>
    </row>
    <row r="529">
      <c r="D529" s="52"/>
    </row>
    <row r="530">
      <c r="D530" s="52"/>
    </row>
    <row r="531">
      <c r="D531" s="52"/>
    </row>
    <row r="532">
      <c r="D532" s="52"/>
    </row>
    <row r="533">
      <c r="D533" s="52"/>
    </row>
    <row r="534">
      <c r="D534" s="52"/>
    </row>
    <row r="535">
      <c r="D535" s="52"/>
    </row>
    <row r="536">
      <c r="D536" s="52"/>
    </row>
    <row r="537">
      <c r="D537" s="52"/>
    </row>
    <row r="538">
      <c r="D538" s="52"/>
    </row>
    <row r="539">
      <c r="D539" s="52"/>
    </row>
    <row r="540">
      <c r="D540" s="52"/>
    </row>
    <row r="541">
      <c r="D541" s="52"/>
    </row>
    <row r="542">
      <c r="D542" s="52"/>
    </row>
    <row r="543">
      <c r="D543" s="52"/>
    </row>
    <row r="544">
      <c r="D544" s="52"/>
    </row>
    <row r="545">
      <c r="D545" s="52"/>
    </row>
    <row r="546">
      <c r="D546" s="52"/>
    </row>
    <row r="547">
      <c r="D547" s="52"/>
    </row>
    <row r="548">
      <c r="D548" s="52"/>
    </row>
    <row r="549">
      <c r="D549" s="52"/>
    </row>
    <row r="550">
      <c r="D550" s="52"/>
    </row>
    <row r="551">
      <c r="D551" s="52"/>
    </row>
    <row r="552">
      <c r="D552" s="52"/>
    </row>
    <row r="553">
      <c r="D553" s="52"/>
    </row>
    <row r="554">
      <c r="D554" s="52"/>
    </row>
    <row r="555">
      <c r="D555" s="52"/>
    </row>
    <row r="556">
      <c r="D556" s="52"/>
    </row>
    <row r="557">
      <c r="D557" s="52"/>
    </row>
    <row r="558">
      <c r="D558" s="52"/>
    </row>
    <row r="559">
      <c r="D559" s="52"/>
    </row>
    <row r="560">
      <c r="D560" s="52"/>
    </row>
    <row r="561">
      <c r="D561" s="52"/>
    </row>
    <row r="562">
      <c r="D562" s="52"/>
    </row>
    <row r="563">
      <c r="D563" s="52"/>
    </row>
    <row r="564">
      <c r="D564" s="52"/>
    </row>
    <row r="565">
      <c r="D565" s="52"/>
    </row>
    <row r="566">
      <c r="D566" s="52"/>
    </row>
    <row r="567">
      <c r="D567" s="52"/>
    </row>
    <row r="568">
      <c r="D568" s="52"/>
    </row>
    <row r="569">
      <c r="D569" s="52"/>
    </row>
    <row r="570">
      <c r="D570" s="52"/>
    </row>
    <row r="571">
      <c r="D571" s="52"/>
    </row>
    <row r="572">
      <c r="D572" s="52"/>
    </row>
    <row r="573">
      <c r="D573" s="52"/>
    </row>
    <row r="574">
      <c r="D574" s="52"/>
    </row>
    <row r="575">
      <c r="D575" s="52"/>
    </row>
    <row r="576">
      <c r="D576" s="52"/>
    </row>
    <row r="577">
      <c r="D577" s="52"/>
    </row>
    <row r="578">
      <c r="D578" s="52"/>
    </row>
    <row r="579">
      <c r="D579" s="52"/>
    </row>
    <row r="580">
      <c r="D580" s="52"/>
    </row>
    <row r="581">
      <c r="D581" s="52"/>
    </row>
    <row r="582">
      <c r="D582" s="52"/>
    </row>
    <row r="583">
      <c r="D583" s="52"/>
    </row>
    <row r="584">
      <c r="D584" s="52"/>
    </row>
    <row r="585">
      <c r="D585" s="52"/>
    </row>
    <row r="586">
      <c r="D586" s="52"/>
    </row>
    <row r="587">
      <c r="D587" s="52"/>
    </row>
    <row r="588">
      <c r="D588" s="52"/>
    </row>
    <row r="589">
      <c r="D589" s="52"/>
    </row>
    <row r="590">
      <c r="D590" s="52"/>
    </row>
    <row r="591">
      <c r="D591" s="52"/>
    </row>
    <row r="592">
      <c r="D592" s="52"/>
    </row>
    <row r="593">
      <c r="D593" s="52"/>
    </row>
    <row r="594">
      <c r="D594" s="52"/>
    </row>
    <row r="595">
      <c r="D595" s="52"/>
    </row>
    <row r="596">
      <c r="D596" s="52"/>
    </row>
    <row r="597">
      <c r="D597" s="52"/>
    </row>
    <row r="598">
      <c r="D598" s="52"/>
    </row>
    <row r="599">
      <c r="D599" s="52"/>
    </row>
    <row r="600">
      <c r="D600" s="52"/>
    </row>
    <row r="601">
      <c r="D601" s="52"/>
    </row>
    <row r="602">
      <c r="D602" s="52"/>
    </row>
    <row r="603">
      <c r="D603" s="52"/>
    </row>
    <row r="604">
      <c r="D604" s="52"/>
    </row>
    <row r="605">
      <c r="D605" s="52"/>
    </row>
    <row r="606">
      <c r="D606" s="52"/>
    </row>
    <row r="607">
      <c r="D607" s="52"/>
    </row>
    <row r="608">
      <c r="D608" s="52"/>
    </row>
    <row r="609">
      <c r="D609" s="52"/>
    </row>
    <row r="610">
      <c r="D610" s="52"/>
    </row>
    <row r="611">
      <c r="D611" s="52"/>
    </row>
    <row r="612">
      <c r="D612" s="52"/>
    </row>
    <row r="613">
      <c r="D613" s="52"/>
    </row>
    <row r="614">
      <c r="D614" s="52"/>
    </row>
    <row r="615">
      <c r="D615" s="52"/>
    </row>
    <row r="616">
      <c r="D616" s="52"/>
    </row>
    <row r="617">
      <c r="D617" s="52"/>
    </row>
    <row r="618">
      <c r="D618" s="52"/>
    </row>
    <row r="619">
      <c r="D619" s="52"/>
    </row>
    <row r="620">
      <c r="D620" s="52"/>
    </row>
    <row r="621">
      <c r="D621" s="52"/>
    </row>
    <row r="622">
      <c r="D622" s="52"/>
    </row>
    <row r="623">
      <c r="D623" s="52"/>
    </row>
    <row r="624">
      <c r="D624" s="52"/>
    </row>
    <row r="625">
      <c r="D625" s="52"/>
    </row>
    <row r="626">
      <c r="D626" s="52"/>
    </row>
    <row r="627">
      <c r="D627" s="52"/>
    </row>
    <row r="628">
      <c r="D628" s="52"/>
    </row>
    <row r="629">
      <c r="D629" s="52"/>
    </row>
    <row r="630">
      <c r="D630" s="52"/>
    </row>
    <row r="631">
      <c r="D631" s="52"/>
    </row>
    <row r="632">
      <c r="D632" s="52"/>
    </row>
    <row r="633">
      <c r="D633" s="52"/>
    </row>
    <row r="634">
      <c r="D634" s="52"/>
    </row>
    <row r="635">
      <c r="D635" s="52"/>
    </row>
    <row r="636">
      <c r="D636" s="52"/>
    </row>
    <row r="637">
      <c r="D637" s="52"/>
    </row>
    <row r="638">
      <c r="D638" s="52"/>
    </row>
    <row r="639">
      <c r="D639" s="52"/>
    </row>
    <row r="640">
      <c r="D640" s="52"/>
    </row>
    <row r="641">
      <c r="D641" s="52"/>
    </row>
    <row r="642">
      <c r="D642" s="52"/>
    </row>
    <row r="643">
      <c r="D643" s="52"/>
    </row>
    <row r="644">
      <c r="D644" s="52"/>
    </row>
    <row r="645">
      <c r="D645" s="52"/>
    </row>
    <row r="646">
      <c r="D646" s="52"/>
    </row>
    <row r="647">
      <c r="D647" s="52"/>
    </row>
    <row r="648">
      <c r="D648" s="52"/>
    </row>
    <row r="649">
      <c r="D649" s="52"/>
    </row>
    <row r="650">
      <c r="D650" s="52"/>
    </row>
    <row r="651">
      <c r="D651" s="52"/>
    </row>
    <row r="652">
      <c r="D652" s="52"/>
    </row>
    <row r="653">
      <c r="D653" s="52"/>
    </row>
    <row r="654">
      <c r="D654" s="52"/>
    </row>
    <row r="655">
      <c r="D655" s="52"/>
    </row>
    <row r="656">
      <c r="D656" s="52"/>
    </row>
    <row r="657">
      <c r="D657" s="52"/>
    </row>
    <row r="658">
      <c r="D658" s="52"/>
    </row>
    <row r="659">
      <c r="D659" s="52"/>
    </row>
    <row r="660">
      <c r="D660" s="52"/>
    </row>
    <row r="661">
      <c r="D661" s="52"/>
    </row>
    <row r="662">
      <c r="D662" s="52"/>
    </row>
    <row r="663">
      <c r="D663" s="52"/>
    </row>
    <row r="664">
      <c r="D664" s="52"/>
    </row>
    <row r="665">
      <c r="D665" s="52"/>
    </row>
    <row r="666">
      <c r="D666" s="52"/>
    </row>
    <row r="667">
      <c r="D667" s="52"/>
    </row>
    <row r="668">
      <c r="D668" s="52"/>
    </row>
    <row r="669">
      <c r="D669" s="52"/>
    </row>
    <row r="670">
      <c r="D670" s="52"/>
    </row>
    <row r="671">
      <c r="D671" s="52"/>
    </row>
    <row r="672">
      <c r="D672" s="52"/>
    </row>
    <row r="673">
      <c r="D673" s="52"/>
    </row>
    <row r="674">
      <c r="D674" s="52"/>
    </row>
    <row r="675">
      <c r="D675" s="52"/>
    </row>
    <row r="676">
      <c r="D676" s="52"/>
    </row>
    <row r="677">
      <c r="D677" s="52"/>
    </row>
    <row r="678">
      <c r="D678" s="52"/>
    </row>
    <row r="679">
      <c r="D679" s="52"/>
    </row>
    <row r="680">
      <c r="D680" s="52"/>
    </row>
    <row r="681">
      <c r="D681" s="52"/>
    </row>
    <row r="682">
      <c r="D682" s="52"/>
    </row>
    <row r="683">
      <c r="D683" s="52"/>
    </row>
    <row r="684">
      <c r="D684" s="52"/>
    </row>
    <row r="685">
      <c r="D685" s="52"/>
    </row>
    <row r="686">
      <c r="D686" s="52"/>
    </row>
    <row r="687">
      <c r="D687" s="52"/>
    </row>
    <row r="688">
      <c r="D688" s="52"/>
    </row>
    <row r="689">
      <c r="D689" s="52"/>
    </row>
    <row r="690">
      <c r="D690" s="52"/>
    </row>
    <row r="691">
      <c r="D691" s="52"/>
    </row>
    <row r="692">
      <c r="D692" s="52"/>
    </row>
    <row r="693">
      <c r="D693" s="52"/>
    </row>
    <row r="694">
      <c r="D694" s="52"/>
    </row>
    <row r="695">
      <c r="D695" s="52"/>
    </row>
    <row r="696">
      <c r="D696" s="52"/>
    </row>
    <row r="697">
      <c r="D697" s="52"/>
    </row>
    <row r="698">
      <c r="D698" s="52"/>
    </row>
    <row r="699">
      <c r="D699" s="52"/>
    </row>
    <row r="700">
      <c r="D700" s="52"/>
    </row>
    <row r="701">
      <c r="D701" s="52"/>
    </row>
    <row r="702">
      <c r="D702" s="52"/>
    </row>
    <row r="703">
      <c r="D703" s="52"/>
    </row>
    <row r="704">
      <c r="D704" s="52"/>
    </row>
    <row r="705">
      <c r="D705" s="52"/>
    </row>
    <row r="706">
      <c r="D706" s="52"/>
    </row>
    <row r="707">
      <c r="D707" s="52"/>
    </row>
    <row r="708">
      <c r="D708" s="52"/>
    </row>
    <row r="709">
      <c r="D709" s="52"/>
    </row>
    <row r="710">
      <c r="D710" s="52"/>
    </row>
    <row r="711">
      <c r="D711" s="52"/>
    </row>
    <row r="712">
      <c r="D712" s="52"/>
    </row>
    <row r="713">
      <c r="D713" s="52"/>
    </row>
    <row r="714">
      <c r="D714" s="52"/>
    </row>
    <row r="715">
      <c r="D715" s="52"/>
    </row>
    <row r="716">
      <c r="D716" s="52"/>
    </row>
    <row r="717">
      <c r="D717" s="52"/>
    </row>
    <row r="718">
      <c r="D718" s="52"/>
    </row>
    <row r="719">
      <c r="D719" s="52"/>
    </row>
    <row r="720">
      <c r="D720" s="52"/>
    </row>
    <row r="721">
      <c r="D721" s="52"/>
    </row>
    <row r="722">
      <c r="D722" s="52"/>
    </row>
    <row r="723">
      <c r="D723" s="52"/>
    </row>
    <row r="724">
      <c r="D724" s="52"/>
    </row>
    <row r="725">
      <c r="D725" s="52"/>
    </row>
    <row r="726">
      <c r="D726" s="52"/>
    </row>
    <row r="727">
      <c r="D727" s="52"/>
    </row>
    <row r="728">
      <c r="D728" s="52"/>
    </row>
    <row r="729">
      <c r="D729" s="52"/>
    </row>
    <row r="730">
      <c r="D730" s="52"/>
    </row>
    <row r="731">
      <c r="D731" s="52"/>
    </row>
    <row r="732">
      <c r="D732" s="52"/>
    </row>
    <row r="733">
      <c r="D733" s="52"/>
    </row>
    <row r="734">
      <c r="D734" s="52"/>
    </row>
    <row r="735">
      <c r="D735" s="52"/>
    </row>
    <row r="736">
      <c r="D736" s="52"/>
    </row>
    <row r="737">
      <c r="D737" s="52"/>
    </row>
    <row r="738">
      <c r="D738" s="52"/>
    </row>
    <row r="739">
      <c r="D739" s="52"/>
    </row>
    <row r="740">
      <c r="D740" s="52"/>
    </row>
    <row r="741">
      <c r="D741" s="52"/>
    </row>
    <row r="742">
      <c r="D742" s="52"/>
    </row>
    <row r="743">
      <c r="D743" s="52"/>
    </row>
    <row r="744">
      <c r="D744" s="52"/>
    </row>
    <row r="745">
      <c r="D745" s="52"/>
    </row>
    <row r="746">
      <c r="D746" s="52"/>
    </row>
    <row r="747">
      <c r="D747" s="52"/>
    </row>
    <row r="748">
      <c r="D748" s="52"/>
    </row>
    <row r="749">
      <c r="D749" s="52"/>
    </row>
    <row r="750">
      <c r="D750" s="52"/>
    </row>
    <row r="751">
      <c r="D751" s="52"/>
    </row>
    <row r="752">
      <c r="D752" s="52"/>
    </row>
    <row r="753">
      <c r="D753" s="52"/>
    </row>
    <row r="754">
      <c r="D754" s="52"/>
    </row>
    <row r="755">
      <c r="D755" s="52"/>
    </row>
    <row r="756">
      <c r="D756" s="52"/>
    </row>
    <row r="757">
      <c r="D757" s="52"/>
    </row>
    <row r="758">
      <c r="D758" s="52"/>
    </row>
    <row r="759">
      <c r="D759" s="52"/>
    </row>
    <row r="760">
      <c r="D760" s="52"/>
    </row>
    <row r="761">
      <c r="D761" s="52"/>
    </row>
    <row r="762">
      <c r="D762" s="52"/>
    </row>
    <row r="763">
      <c r="D763" s="52"/>
    </row>
    <row r="764">
      <c r="D764" s="52"/>
    </row>
    <row r="765">
      <c r="D765" s="52"/>
    </row>
    <row r="766">
      <c r="D766" s="52"/>
    </row>
    <row r="767">
      <c r="D767" s="52"/>
    </row>
    <row r="768">
      <c r="D768" s="52"/>
    </row>
    <row r="769">
      <c r="D769" s="52"/>
    </row>
    <row r="770">
      <c r="D770" s="52"/>
    </row>
    <row r="771">
      <c r="D771" s="52"/>
    </row>
    <row r="772">
      <c r="D772" s="52"/>
    </row>
    <row r="773">
      <c r="D773" s="52"/>
    </row>
    <row r="774">
      <c r="D774" s="52"/>
    </row>
    <row r="775">
      <c r="D775" s="52"/>
    </row>
    <row r="776">
      <c r="D776" s="52"/>
    </row>
    <row r="777">
      <c r="D777" s="52"/>
    </row>
    <row r="778">
      <c r="D778" s="52"/>
    </row>
    <row r="779">
      <c r="D779" s="52"/>
    </row>
    <row r="780">
      <c r="D780" s="52"/>
    </row>
    <row r="781">
      <c r="D781" s="52"/>
    </row>
    <row r="782">
      <c r="D782" s="52"/>
    </row>
    <row r="783">
      <c r="D783" s="52"/>
    </row>
    <row r="784">
      <c r="D784" s="52"/>
    </row>
    <row r="785">
      <c r="D785" s="52"/>
    </row>
    <row r="786">
      <c r="D786" s="52"/>
    </row>
    <row r="787">
      <c r="D787" s="52"/>
    </row>
    <row r="788">
      <c r="D788" s="52"/>
    </row>
    <row r="789">
      <c r="D789" s="52"/>
    </row>
    <row r="790">
      <c r="D790" s="52"/>
    </row>
    <row r="791">
      <c r="D791" s="52"/>
    </row>
    <row r="792">
      <c r="D792" s="52"/>
    </row>
    <row r="793">
      <c r="D793" s="52"/>
    </row>
    <row r="794">
      <c r="D794" s="52"/>
    </row>
    <row r="795">
      <c r="D795" s="52"/>
    </row>
    <row r="796">
      <c r="D796" s="52"/>
    </row>
    <row r="797">
      <c r="D797" s="52"/>
    </row>
    <row r="798">
      <c r="D798" s="52"/>
    </row>
    <row r="799">
      <c r="D799" s="52"/>
    </row>
    <row r="800">
      <c r="D800" s="52"/>
    </row>
    <row r="801">
      <c r="D801" s="52"/>
    </row>
    <row r="802">
      <c r="D802" s="52"/>
    </row>
    <row r="803">
      <c r="D803" s="52"/>
    </row>
    <row r="804">
      <c r="D804" s="52"/>
    </row>
    <row r="805">
      <c r="D805" s="52"/>
    </row>
    <row r="806">
      <c r="D806" s="52"/>
    </row>
    <row r="807">
      <c r="D807" s="52"/>
    </row>
    <row r="808">
      <c r="D808" s="52"/>
    </row>
    <row r="809">
      <c r="D809" s="52"/>
    </row>
    <row r="810">
      <c r="D810" s="52"/>
    </row>
    <row r="811">
      <c r="D811" s="52"/>
    </row>
    <row r="812">
      <c r="D812" s="52"/>
    </row>
    <row r="813">
      <c r="D813" s="52"/>
    </row>
    <row r="814">
      <c r="D814" s="52"/>
    </row>
    <row r="815">
      <c r="D815" s="52"/>
    </row>
    <row r="816">
      <c r="D816" s="52"/>
    </row>
    <row r="817">
      <c r="D817" s="52"/>
    </row>
    <row r="818">
      <c r="D818" s="52"/>
    </row>
    <row r="819">
      <c r="D819" s="52"/>
    </row>
    <row r="820">
      <c r="D820" s="52"/>
    </row>
    <row r="821">
      <c r="D821" s="52"/>
    </row>
    <row r="822">
      <c r="D822" s="52"/>
    </row>
    <row r="823">
      <c r="D823" s="52"/>
    </row>
    <row r="824">
      <c r="D824" s="52"/>
    </row>
    <row r="825">
      <c r="D825" s="52"/>
    </row>
    <row r="826">
      <c r="D826" s="52"/>
    </row>
    <row r="827">
      <c r="D827" s="52"/>
    </row>
    <row r="828">
      <c r="D828" s="52"/>
    </row>
    <row r="829">
      <c r="D829" s="52"/>
    </row>
    <row r="830">
      <c r="D830" s="52"/>
    </row>
    <row r="831">
      <c r="D831" s="52"/>
    </row>
    <row r="832">
      <c r="D832" s="52"/>
    </row>
    <row r="833">
      <c r="D833" s="52"/>
    </row>
    <row r="834">
      <c r="D834" s="52"/>
    </row>
    <row r="835">
      <c r="D835" s="52"/>
    </row>
    <row r="836">
      <c r="D836" s="52"/>
    </row>
    <row r="837">
      <c r="D837" s="52"/>
    </row>
    <row r="838">
      <c r="D838" s="52"/>
    </row>
    <row r="839">
      <c r="D839" s="52"/>
    </row>
    <row r="840">
      <c r="D840" s="52"/>
    </row>
    <row r="841">
      <c r="D841" s="52"/>
    </row>
    <row r="842">
      <c r="D842" s="52"/>
    </row>
    <row r="843">
      <c r="D843" s="52"/>
    </row>
  </sheetData>
  <mergeCells count="7">
    <mergeCell ref="A1:F1"/>
    <mergeCell ref="A2:A3"/>
    <mergeCell ref="B2:B3"/>
    <mergeCell ref="C2:C3"/>
    <mergeCell ref="D2:D3"/>
    <mergeCell ref="E2:F2"/>
    <mergeCell ref="A7:E7"/>
  </mergeCells>
  <dataValidations>
    <dataValidation type="list" allowBlank="1" sqref="H4">
      <formula1>"CHECKED (OK),CHECKED  (NOT OK)"</formula1>
    </dataValidation>
  </dataValidations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3" max="3" width="26.75"/>
    <col customWidth="1" min="4" max="4" width="33.25"/>
    <col customWidth="1" min="7" max="7" width="3.5"/>
    <col customWidth="1" min="8" max="8" width="18.63"/>
    <col customWidth="1" min="9" max="9" width="21.63"/>
  </cols>
  <sheetData>
    <row r="1">
      <c r="A1" s="30" t="s">
        <v>1112</v>
      </c>
      <c r="G1" s="31"/>
      <c r="H1" s="32" t="s">
        <v>1113</v>
      </c>
      <c r="I1" s="33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4" t="s">
        <v>1</v>
      </c>
      <c r="B2" s="35" t="s">
        <v>11</v>
      </c>
      <c r="C2" s="35" t="s">
        <v>12</v>
      </c>
      <c r="D2" s="36" t="s">
        <v>13</v>
      </c>
      <c r="E2" s="37" t="s">
        <v>14</v>
      </c>
      <c r="F2" s="38"/>
      <c r="G2" s="39"/>
      <c r="H2" s="40"/>
      <c r="I2" s="40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41"/>
      <c r="B3" s="38"/>
      <c r="C3" s="38"/>
      <c r="D3" s="38"/>
      <c r="E3" s="42" t="s">
        <v>15</v>
      </c>
      <c r="F3" s="43" t="s">
        <v>5</v>
      </c>
      <c r="G3" s="39"/>
      <c r="H3" s="44" t="s">
        <v>6</v>
      </c>
      <c r="I3" s="45" t="s">
        <v>7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24.75" customHeight="1">
      <c r="A4" s="46"/>
      <c r="B4" s="47"/>
      <c r="C4" s="48" t="str">
        <f>vlookup(B4,'Crew Data'!C:G,5,0)</f>
        <v>#N/A</v>
      </c>
      <c r="D4" s="49"/>
      <c r="E4" s="47"/>
      <c r="F4" s="50">
        <f>E4*400</f>
        <v>0</v>
      </c>
      <c r="G4" s="22">
        <f>COUNTIF(B:B,B4)</f>
        <v>0</v>
      </c>
      <c r="H4" s="5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D5" s="52"/>
    </row>
    <row r="6">
      <c r="D6" s="52"/>
    </row>
    <row r="7" ht="44.25" customHeight="1">
      <c r="A7" s="53" t="s">
        <v>16</v>
      </c>
    </row>
    <row r="8">
      <c r="D8" s="52"/>
    </row>
    <row r="9">
      <c r="D9" s="52"/>
    </row>
    <row r="10">
      <c r="D10" s="52"/>
    </row>
    <row r="11">
      <c r="D11" s="52"/>
    </row>
    <row r="12">
      <c r="D12" s="52"/>
    </row>
    <row r="13">
      <c r="D13" s="52"/>
    </row>
    <row r="14">
      <c r="D14" s="52"/>
    </row>
    <row r="15">
      <c r="D15" s="52"/>
    </row>
    <row r="16">
      <c r="D16" s="52"/>
    </row>
    <row r="17">
      <c r="D17" s="52"/>
    </row>
    <row r="18">
      <c r="D18" s="52"/>
    </row>
    <row r="19">
      <c r="D19" s="52"/>
    </row>
    <row r="20">
      <c r="D20" s="52"/>
    </row>
    <row r="21">
      <c r="D21" s="52"/>
    </row>
    <row r="22">
      <c r="D22" s="52"/>
    </row>
    <row r="23">
      <c r="D23" s="52"/>
    </row>
    <row r="24">
      <c r="D24" s="52"/>
    </row>
    <row r="25">
      <c r="D25" s="52"/>
    </row>
    <row r="26">
      <c r="D26" s="52"/>
    </row>
    <row r="27">
      <c r="D27" s="52"/>
    </row>
    <row r="28">
      <c r="D28" s="52"/>
    </row>
    <row r="29">
      <c r="D29" s="52"/>
    </row>
    <row r="30">
      <c r="D30" s="52"/>
    </row>
    <row r="31">
      <c r="D31" s="52"/>
    </row>
    <row r="32">
      <c r="D32" s="52"/>
    </row>
    <row r="33">
      <c r="D33" s="52"/>
    </row>
    <row r="34">
      <c r="D34" s="52"/>
    </row>
    <row r="35">
      <c r="D35" s="52"/>
    </row>
    <row r="36">
      <c r="D36" s="52"/>
    </row>
    <row r="37">
      <c r="D37" s="52"/>
    </row>
    <row r="38">
      <c r="D38" s="52"/>
    </row>
    <row r="39">
      <c r="D39" s="52"/>
    </row>
    <row r="40">
      <c r="D40" s="52"/>
    </row>
    <row r="41">
      <c r="D41" s="52"/>
    </row>
    <row r="42">
      <c r="D42" s="52"/>
    </row>
    <row r="43">
      <c r="D43" s="52"/>
    </row>
    <row r="44">
      <c r="D44" s="52"/>
    </row>
    <row r="45">
      <c r="D45" s="52"/>
    </row>
    <row r="46">
      <c r="D46" s="52"/>
    </row>
    <row r="47">
      <c r="D47" s="52"/>
    </row>
    <row r="48">
      <c r="D48" s="52"/>
    </row>
    <row r="49">
      <c r="D49" s="52"/>
    </row>
    <row r="50">
      <c r="D50" s="52"/>
    </row>
    <row r="51">
      <c r="D51" s="52"/>
    </row>
    <row r="52">
      <c r="D52" s="52"/>
    </row>
    <row r="53">
      <c r="D53" s="52"/>
    </row>
    <row r="54">
      <c r="D54" s="52"/>
    </row>
    <row r="55">
      <c r="D55" s="52"/>
    </row>
    <row r="56">
      <c r="D56" s="52"/>
    </row>
    <row r="57">
      <c r="D57" s="52"/>
    </row>
    <row r="58">
      <c r="D58" s="52"/>
    </row>
    <row r="59">
      <c r="D59" s="52"/>
    </row>
    <row r="60">
      <c r="D60" s="52"/>
    </row>
    <row r="61">
      <c r="D61" s="52"/>
    </row>
    <row r="62">
      <c r="D62" s="52"/>
    </row>
    <row r="63">
      <c r="D63" s="52"/>
    </row>
    <row r="64">
      <c r="D64" s="52"/>
    </row>
    <row r="65">
      <c r="D65" s="52"/>
    </row>
    <row r="66">
      <c r="D66" s="52"/>
    </row>
    <row r="67">
      <c r="D67" s="52"/>
    </row>
    <row r="68">
      <c r="D68" s="52"/>
    </row>
    <row r="69">
      <c r="D69" s="52"/>
    </row>
    <row r="70">
      <c r="D70" s="52"/>
    </row>
    <row r="71">
      <c r="D71" s="52"/>
    </row>
    <row r="72">
      <c r="D72" s="52"/>
    </row>
    <row r="73">
      <c r="D73" s="52"/>
    </row>
    <row r="74">
      <c r="D74" s="52"/>
    </row>
    <row r="75">
      <c r="D75" s="52"/>
    </row>
    <row r="76">
      <c r="D76" s="52"/>
    </row>
    <row r="77">
      <c r="D77" s="52"/>
    </row>
    <row r="78">
      <c r="D78" s="52"/>
    </row>
    <row r="79">
      <c r="D79" s="52"/>
    </row>
    <row r="80">
      <c r="D80" s="52"/>
    </row>
    <row r="81">
      <c r="D81" s="52"/>
    </row>
    <row r="82">
      <c r="D82" s="52"/>
    </row>
    <row r="83">
      <c r="D83" s="52"/>
    </row>
    <row r="84">
      <c r="D84" s="52"/>
    </row>
    <row r="85">
      <c r="D85" s="52"/>
    </row>
    <row r="86">
      <c r="D86" s="52"/>
    </row>
    <row r="87">
      <c r="D87" s="52"/>
    </row>
    <row r="88">
      <c r="D88" s="52"/>
    </row>
    <row r="89">
      <c r="D89" s="52"/>
    </row>
    <row r="90">
      <c r="D90" s="52"/>
    </row>
    <row r="91">
      <c r="D91" s="52"/>
    </row>
    <row r="92">
      <c r="D92" s="52"/>
    </row>
    <row r="93">
      <c r="D93" s="52"/>
    </row>
    <row r="94">
      <c r="D94" s="52"/>
    </row>
    <row r="95">
      <c r="D95" s="52"/>
    </row>
    <row r="96">
      <c r="D96" s="52"/>
    </row>
    <row r="97">
      <c r="D97" s="52"/>
    </row>
    <row r="98">
      <c r="D98" s="52"/>
    </row>
    <row r="99">
      <c r="D99" s="52"/>
    </row>
    <row r="100">
      <c r="D100" s="52"/>
    </row>
    <row r="101">
      <c r="D101" s="52"/>
    </row>
    <row r="102">
      <c r="D102" s="52"/>
    </row>
    <row r="103">
      <c r="D103" s="52"/>
    </row>
    <row r="104">
      <c r="D104" s="52"/>
    </row>
    <row r="105">
      <c r="D105" s="52"/>
    </row>
    <row r="106">
      <c r="D106" s="52"/>
    </row>
    <row r="107">
      <c r="D107" s="52"/>
    </row>
    <row r="108">
      <c r="D108" s="52"/>
    </row>
    <row r="109">
      <c r="D109" s="52"/>
    </row>
    <row r="110">
      <c r="D110" s="52"/>
    </row>
    <row r="111">
      <c r="D111" s="52"/>
    </row>
    <row r="112">
      <c r="D112" s="52"/>
    </row>
    <row r="113">
      <c r="D113" s="52"/>
    </row>
    <row r="114">
      <c r="D114" s="52"/>
    </row>
    <row r="115">
      <c r="D115" s="52"/>
    </row>
    <row r="116">
      <c r="D116" s="52"/>
    </row>
    <row r="117">
      <c r="D117" s="52"/>
    </row>
    <row r="118">
      <c r="D118" s="52"/>
    </row>
    <row r="119">
      <c r="D119" s="52"/>
    </row>
    <row r="120">
      <c r="D120" s="52"/>
    </row>
    <row r="121">
      <c r="D121" s="52"/>
    </row>
    <row r="122">
      <c r="D122" s="52"/>
    </row>
    <row r="123">
      <c r="D123" s="52"/>
    </row>
    <row r="124">
      <c r="D124" s="52"/>
    </row>
    <row r="125">
      <c r="D125" s="52"/>
    </row>
    <row r="126">
      <c r="D126" s="52"/>
    </row>
    <row r="127">
      <c r="D127" s="52"/>
    </row>
    <row r="128">
      <c r="D128" s="52"/>
    </row>
    <row r="129">
      <c r="D129" s="52"/>
    </row>
    <row r="130">
      <c r="D130" s="52"/>
    </row>
    <row r="131">
      <c r="D131" s="52"/>
    </row>
    <row r="132">
      <c r="D132" s="52"/>
    </row>
    <row r="133">
      <c r="D133" s="52"/>
    </row>
    <row r="134">
      <c r="D134" s="52"/>
    </row>
    <row r="135">
      <c r="D135" s="52"/>
    </row>
    <row r="136">
      <c r="D136" s="52"/>
    </row>
    <row r="137">
      <c r="D137" s="52"/>
    </row>
    <row r="138">
      <c r="D138" s="52"/>
    </row>
    <row r="139">
      <c r="D139" s="52"/>
    </row>
    <row r="140">
      <c r="D140" s="52"/>
    </row>
    <row r="141">
      <c r="D141" s="52"/>
    </row>
    <row r="142">
      <c r="D142" s="52"/>
    </row>
    <row r="143">
      <c r="D143" s="52"/>
    </row>
    <row r="144">
      <c r="D144" s="52"/>
    </row>
    <row r="145">
      <c r="D145" s="52"/>
    </row>
    <row r="146">
      <c r="D146" s="52"/>
    </row>
    <row r="147">
      <c r="D147" s="52"/>
    </row>
    <row r="148">
      <c r="D148" s="52"/>
    </row>
    <row r="149">
      <c r="D149" s="52"/>
    </row>
    <row r="150">
      <c r="D150" s="52"/>
    </row>
    <row r="151">
      <c r="D151" s="52"/>
    </row>
    <row r="152">
      <c r="D152" s="52"/>
    </row>
    <row r="153">
      <c r="D153" s="52"/>
    </row>
    <row r="154">
      <c r="D154" s="52"/>
    </row>
    <row r="155">
      <c r="D155" s="52"/>
    </row>
    <row r="156">
      <c r="D156" s="52"/>
    </row>
    <row r="157">
      <c r="D157" s="52"/>
    </row>
    <row r="158">
      <c r="D158" s="52"/>
    </row>
    <row r="159">
      <c r="D159" s="52"/>
    </row>
    <row r="160">
      <c r="D160" s="52"/>
    </row>
    <row r="161">
      <c r="D161" s="52"/>
    </row>
    <row r="162">
      <c r="D162" s="52"/>
    </row>
    <row r="163">
      <c r="D163" s="52"/>
    </row>
    <row r="164">
      <c r="D164" s="52"/>
    </row>
    <row r="165">
      <c r="D165" s="52"/>
    </row>
    <row r="166">
      <c r="D166" s="52"/>
    </row>
    <row r="167">
      <c r="D167" s="52"/>
    </row>
    <row r="168">
      <c r="D168" s="52"/>
    </row>
    <row r="169">
      <c r="D169" s="52"/>
    </row>
    <row r="170">
      <c r="D170" s="52"/>
    </row>
    <row r="171">
      <c r="D171" s="52"/>
    </row>
    <row r="172">
      <c r="D172" s="52"/>
    </row>
    <row r="173">
      <c r="D173" s="52"/>
    </row>
    <row r="174">
      <c r="D174" s="52"/>
    </row>
    <row r="175">
      <c r="D175" s="52"/>
    </row>
    <row r="176">
      <c r="D176" s="52"/>
    </row>
    <row r="177">
      <c r="D177" s="52"/>
    </row>
    <row r="178">
      <c r="D178" s="52"/>
    </row>
    <row r="179">
      <c r="D179" s="52"/>
    </row>
    <row r="180">
      <c r="D180" s="52"/>
    </row>
    <row r="181">
      <c r="D181" s="52"/>
    </row>
    <row r="182">
      <c r="D182" s="52"/>
    </row>
    <row r="183">
      <c r="D183" s="52"/>
    </row>
    <row r="184">
      <c r="D184" s="52"/>
    </row>
    <row r="185">
      <c r="D185" s="52"/>
    </row>
    <row r="186">
      <c r="D186" s="52"/>
    </row>
    <row r="187">
      <c r="D187" s="52"/>
    </row>
    <row r="188">
      <c r="D188" s="52"/>
    </row>
    <row r="189">
      <c r="D189" s="52"/>
    </row>
    <row r="190">
      <c r="D190" s="52"/>
    </row>
    <row r="191">
      <c r="D191" s="52"/>
    </row>
    <row r="192">
      <c r="D192" s="52"/>
    </row>
    <row r="193">
      <c r="D193" s="52"/>
    </row>
    <row r="194">
      <c r="D194" s="52"/>
    </row>
    <row r="195">
      <c r="D195" s="52"/>
    </row>
    <row r="196">
      <c r="D196" s="52"/>
    </row>
    <row r="197">
      <c r="D197" s="52"/>
    </row>
    <row r="198">
      <c r="D198" s="52"/>
    </row>
    <row r="199">
      <c r="D199" s="52"/>
    </row>
    <row r="200">
      <c r="D200" s="52"/>
    </row>
    <row r="201">
      <c r="D201" s="52"/>
    </row>
    <row r="202">
      <c r="D202" s="52"/>
    </row>
    <row r="203">
      <c r="D203" s="52"/>
    </row>
    <row r="204">
      <c r="D204" s="52"/>
    </row>
    <row r="205">
      <c r="D205" s="52"/>
    </row>
    <row r="206">
      <c r="D206" s="52"/>
    </row>
    <row r="207">
      <c r="D207" s="52"/>
    </row>
    <row r="208">
      <c r="D208" s="52"/>
    </row>
    <row r="209">
      <c r="D209" s="52"/>
    </row>
    <row r="210">
      <c r="D210" s="52"/>
    </row>
    <row r="211">
      <c r="D211" s="52"/>
    </row>
    <row r="212">
      <c r="D212" s="52"/>
    </row>
    <row r="213">
      <c r="D213" s="52"/>
    </row>
    <row r="214">
      <c r="D214" s="52"/>
    </row>
    <row r="215">
      <c r="D215" s="52"/>
    </row>
    <row r="216">
      <c r="D216" s="52"/>
    </row>
    <row r="217">
      <c r="D217" s="52"/>
    </row>
    <row r="218">
      <c r="D218" s="52"/>
    </row>
    <row r="219">
      <c r="D219" s="52"/>
    </row>
    <row r="220">
      <c r="D220" s="52"/>
    </row>
    <row r="221">
      <c r="D221" s="52"/>
    </row>
    <row r="222">
      <c r="D222" s="52"/>
    </row>
    <row r="223">
      <c r="D223" s="52"/>
    </row>
    <row r="224">
      <c r="D224" s="52"/>
    </row>
    <row r="225">
      <c r="D225" s="52"/>
    </row>
    <row r="226">
      <c r="D226" s="52"/>
    </row>
    <row r="227">
      <c r="D227" s="52"/>
    </row>
    <row r="228">
      <c r="D228" s="52"/>
    </row>
    <row r="229">
      <c r="D229" s="52"/>
    </row>
    <row r="230">
      <c r="D230" s="52"/>
    </row>
    <row r="231">
      <c r="D231" s="52"/>
    </row>
    <row r="232">
      <c r="D232" s="52"/>
    </row>
    <row r="233">
      <c r="D233" s="52"/>
    </row>
    <row r="234">
      <c r="D234" s="52"/>
    </row>
    <row r="235">
      <c r="D235" s="52"/>
    </row>
    <row r="236">
      <c r="D236" s="52"/>
    </row>
    <row r="237">
      <c r="D237" s="52"/>
    </row>
    <row r="238">
      <c r="D238" s="52"/>
    </row>
    <row r="239">
      <c r="D239" s="52"/>
    </row>
    <row r="240">
      <c r="D240" s="52"/>
    </row>
    <row r="241">
      <c r="D241" s="52"/>
    </row>
    <row r="242">
      <c r="D242" s="52"/>
    </row>
    <row r="243">
      <c r="D243" s="52"/>
    </row>
    <row r="244">
      <c r="D244" s="52"/>
    </row>
    <row r="245">
      <c r="D245" s="52"/>
    </row>
    <row r="246">
      <c r="D246" s="52"/>
    </row>
    <row r="247">
      <c r="D247" s="52"/>
    </row>
    <row r="248">
      <c r="D248" s="52"/>
    </row>
    <row r="249">
      <c r="D249" s="52"/>
    </row>
    <row r="250">
      <c r="D250" s="52"/>
    </row>
    <row r="251">
      <c r="D251" s="52"/>
    </row>
    <row r="252">
      <c r="D252" s="52"/>
    </row>
    <row r="253">
      <c r="D253" s="52"/>
    </row>
    <row r="254">
      <c r="D254" s="52"/>
    </row>
    <row r="255">
      <c r="D255" s="52"/>
    </row>
    <row r="256">
      <c r="D256" s="52"/>
    </row>
    <row r="257">
      <c r="D257" s="52"/>
    </row>
    <row r="258">
      <c r="D258" s="52"/>
    </row>
    <row r="259">
      <c r="D259" s="52"/>
    </row>
    <row r="260">
      <c r="D260" s="52"/>
    </row>
    <row r="261">
      <c r="D261" s="52"/>
    </row>
    <row r="262">
      <c r="D262" s="52"/>
    </row>
    <row r="263">
      <c r="D263" s="52"/>
    </row>
    <row r="264">
      <c r="D264" s="52"/>
    </row>
    <row r="265">
      <c r="D265" s="52"/>
    </row>
    <row r="266">
      <c r="D266" s="52"/>
    </row>
    <row r="267">
      <c r="D267" s="52"/>
    </row>
    <row r="268">
      <c r="D268" s="52"/>
    </row>
    <row r="269">
      <c r="D269" s="52"/>
    </row>
    <row r="270">
      <c r="D270" s="52"/>
    </row>
    <row r="271">
      <c r="D271" s="52"/>
    </row>
    <row r="272">
      <c r="D272" s="52"/>
    </row>
    <row r="273">
      <c r="D273" s="52"/>
    </row>
    <row r="274">
      <c r="D274" s="52"/>
    </row>
    <row r="275">
      <c r="D275" s="52"/>
    </row>
    <row r="276">
      <c r="D276" s="52"/>
    </row>
    <row r="277">
      <c r="D277" s="52"/>
    </row>
    <row r="278">
      <c r="D278" s="52"/>
    </row>
    <row r="279">
      <c r="D279" s="52"/>
    </row>
    <row r="280">
      <c r="D280" s="52"/>
    </row>
    <row r="281">
      <c r="D281" s="52"/>
    </row>
    <row r="282">
      <c r="D282" s="52"/>
    </row>
    <row r="283">
      <c r="D283" s="52"/>
    </row>
    <row r="284">
      <c r="D284" s="52"/>
    </row>
    <row r="285">
      <c r="D285" s="52"/>
    </row>
    <row r="286">
      <c r="D286" s="52"/>
    </row>
    <row r="287">
      <c r="D287" s="52"/>
    </row>
    <row r="288">
      <c r="D288" s="52"/>
    </row>
    <row r="289">
      <c r="D289" s="52"/>
    </row>
    <row r="290">
      <c r="D290" s="52"/>
    </row>
    <row r="291">
      <c r="D291" s="52"/>
    </row>
    <row r="292">
      <c r="D292" s="52"/>
    </row>
    <row r="293">
      <c r="D293" s="52"/>
    </row>
    <row r="294">
      <c r="D294" s="52"/>
    </row>
    <row r="295">
      <c r="D295" s="52"/>
    </row>
    <row r="296">
      <c r="D296" s="52"/>
    </row>
    <row r="297">
      <c r="D297" s="52"/>
    </row>
    <row r="298">
      <c r="D298" s="52"/>
    </row>
    <row r="299">
      <c r="D299" s="52"/>
    </row>
    <row r="300">
      <c r="D300" s="52"/>
    </row>
    <row r="301">
      <c r="D301" s="52"/>
    </row>
    <row r="302">
      <c r="D302" s="52"/>
    </row>
    <row r="303">
      <c r="D303" s="52"/>
    </row>
    <row r="304">
      <c r="D304" s="52"/>
    </row>
    <row r="305">
      <c r="D305" s="52"/>
    </row>
    <row r="306">
      <c r="D306" s="52"/>
    </row>
    <row r="307">
      <c r="D307" s="52"/>
    </row>
    <row r="308">
      <c r="D308" s="52"/>
    </row>
    <row r="309">
      <c r="D309" s="52"/>
    </row>
    <row r="310">
      <c r="D310" s="52"/>
    </row>
    <row r="311">
      <c r="D311" s="52"/>
    </row>
    <row r="312">
      <c r="D312" s="52"/>
    </row>
    <row r="313">
      <c r="D313" s="52"/>
    </row>
    <row r="314">
      <c r="D314" s="52"/>
    </row>
    <row r="315">
      <c r="D315" s="52"/>
    </row>
    <row r="316">
      <c r="D316" s="52"/>
    </row>
    <row r="317">
      <c r="D317" s="52"/>
    </row>
    <row r="318">
      <c r="D318" s="52"/>
    </row>
    <row r="319">
      <c r="D319" s="52"/>
    </row>
    <row r="320">
      <c r="D320" s="52"/>
    </row>
    <row r="321">
      <c r="D321" s="52"/>
    </row>
    <row r="322">
      <c r="D322" s="52"/>
    </row>
    <row r="323">
      <c r="D323" s="52"/>
    </row>
    <row r="324">
      <c r="D324" s="52"/>
    </row>
    <row r="325">
      <c r="D325" s="52"/>
    </row>
    <row r="326">
      <c r="D326" s="52"/>
    </row>
    <row r="327">
      <c r="D327" s="52"/>
    </row>
    <row r="328">
      <c r="D328" s="52"/>
    </row>
    <row r="329">
      <c r="D329" s="52"/>
    </row>
    <row r="330">
      <c r="D330" s="52"/>
    </row>
    <row r="331">
      <c r="D331" s="52"/>
    </row>
    <row r="332">
      <c r="D332" s="52"/>
    </row>
    <row r="333">
      <c r="D333" s="52"/>
    </row>
    <row r="334">
      <c r="D334" s="52"/>
    </row>
    <row r="335">
      <c r="D335" s="52"/>
    </row>
    <row r="336">
      <c r="D336" s="52"/>
    </row>
    <row r="337">
      <c r="D337" s="52"/>
    </row>
    <row r="338">
      <c r="D338" s="52"/>
    </row>
    <row r="339">
      <c r="D339" s="52"/>
    </row>
    <row r="340">
      <c r="D340" s="52"/>
    </row>
    <row r="341">
      <c r="D341" s="52"/>
    </row>
    <row r="342">
      <c r="D342" s="52"/>
    </row>
    <row r="343">
      <c r="D343" s="52"/>
    </row>
    <row r="344">
      <c r="D344" s="52"/>
    </row>
    <row r="345">
      <c r="D345" s="52"/>
    </row>
    <row r="346">
      <c r="D346" s="52"/>
    </row>
    <row r="347">
      <c r="D347" s="52"/>
    </row>
    <row r="348">
      <c r="D348" s="52"/>
    </row>
    <row r="349">
      <c r="D349" s="52"/>
    </row>
    <row r="350">
      <c r="D350" s="52"/>
    </row>
    <row r="351">
      <c r="D351" s="52"/>
    </row>
    <row r="352">
      <c r="D352" s="52"/>
    </row>
    <row r="353">
      <c r="D353" s="52"/>
    </row>
    <row r="354">
      <c r="D354" s="52"/>
    </row>
    <row r="355">
      <c r="D355" s="52"/>
    </row>
    <row r="356">
      <c r="D356" s="52"/>
    </row>
    <row r="357">
      <c r="D357" s="52"/>
    </row>
    <row r="358">
      <c r="D358" s="52"/>
    </row>
    <row r="359">
      <c r="D359" s="52"/>
    </row>
    <row r="360">
      <c r="D360" s="52"/>
    </row>
    <row r="361">
      <c r="D361" s="52"/>
    </row>
    <row r="362">
      <c r="D362" s="52"/>
    </row>
    <row r="363">
      <c r="D363" s="52"/>
    </row>
    <row r="364">
      <c r="D364" s="52"/>
    </row>
    <row r="365">
      <c r="D365" s="52"/>
    </row>
    <row r="366">
      <c r="D366" s="52"/>
    </row>
    <row r="367">
      <c r="D367" s="52"/>
    </row>
    <row r="368">
      <c r="D368" s="52"/>
    </row>
    <row r="369">
      <c r="D369" s="52"/>
    </row>
    <row r="370">
      <c r="D370" s="52"/>
    </row>
    <row r="371">
      <c r="D371" s="52"/>
    </row>
    <row r="372">
      <c r="D372" s="52"/>
    </row>
    <row r="373">
      <c r="D373" s="52"/>
    </row>
    <row r="374">
      <c r="D374" s="52"/>
    </row>
    <row r="375">
      <c r="D375" s="52"/>
    </row>
    <row r="376">
      <c r="D376" s="52"/>
    </row>
    <row r="377">
      <c r="D377" s="52"/>
    </row>
    <row r="378">
      <c r="D378" s="52"/>
    </row>
    <row r="379">
      <c r="D379" s="52"/>
    </row>
    <row r="380">
      <c r="D380" s="52"/>
    </row>
    <row r="381">
      <c r="D381" s="52"/>
    </row>
    <row r="382">
      <c r="D382" s="52"/>
    </row>
    <row r="383">
      <c r="D383" s="52"/>
    </row>
    <row r="384">
      <c r="D384" s="52"/>
    </row>
    <row r="385">
      <c r="D385" s="52"/>
    </row>
    <row r="386">
      <c r="D386" s="52"/>
    </row>
    <row r="387">
      <c r="D387" s="52"/>
    </row>
    <row r="388">
      <c r="D388" s="52"/>
    </row>
    <row r="389">
      <c r="D389" s="52"/>
    </row>
    <row r="390">
      <c r="D390" s="52"/>
    </row>
    <row r="391">
      <c r="D391" s="52"/>
    </row>
    <row r="392">
      <c r="D392" s="52"/>
    </row>
    <row r="393">
      <c r="D393" s="52"/>
    </row>
    <row r="394">
      <c r="D394" s="52"/>
    </row>
    <row r="395">
      <c r="D395" s="52"/>
    </row>
    <row r="396">
      <c r="D396" s="52"/>
    </row>
    <row r="397">
      <c r="D397" s="52"/>
    </row>
    <row r="398">
      <c r="D398" s="52"/>
    </row>
    <row r="399">
      <c r="D399" s="52"/>
    </row>
    <row r="400">
      <c r="D400" s="52"/>
    </row>
    <row r="401">
      <c r="D401" s="52"/>
    </row>
    <row r="402">
      <c r="D402" s="52"/>
    </row>
    <row r="403">
      <c r="D403" s="52"/>
    </row>
    <row r="404">
      <c r="D404" s="52"/>
    </row>
    <row r="405">
      <c r="D405" s="52"/>
    </row>
    <row r="406">
      <c r="D406" s="52"/>
    </row>
    <row r="407">
      <c r="D407" s="52"/>
    </row>
    <row r="408">
      <c r="D408" s="52"/>
    </row>
    <row r="409">
      <c r="D409" s="52"/>
    </row>
    <row r="410">
      <c r="D410" s="52"/>
    </row>
    <row r="411">
      <c r="D411" s="52"/>
    </row>
    <row r="412">
      <c r="D412" s="52"/>
    </row>
    <row r="413">
      <c r="D413" s="52"/>
    </row>
    <row r="414">
      <c r="D414" s="52"/>
    </row>
    <row r="415">
      <c r="D415" s="52"/>
    </row>
    <row r="416">
      <c r="D416" s="52"/>
    </row>
    <row r="417">
      <c r="D417" s="52"/>
    </row>
    <row r="418">
      <c r="D418" s="52"/>
    </row>
    <row r="419">
      <c r="D419" s="52"/>
    </row>
    <row r="420">
      <c r="D420" s="52"/>
    </row>
    <row r="421">
      <c r="D421" s="52"/>
    </row>
    <row r="422">
      <c r="D422" s="52"/>
    </row>
    <row r="423">
      <c r="D423" s="52"/>
    </row>
    <row r="424">
      <c r="D424" s="52"/>
    </row>
    <row r="425">
      <c r="D425" s="52"/>
    </row>
    <row r="426">
      <c r="D426" s="52"/>
    </row>
    <row r="427">
      <c r="D427" s="52"/>
    </row>
    <row r="428">
      <c r="D428" s="52"/>
    </row>
    <row r="429">
      <c r="D429" s="52"/>
    </row>
    <row r="430">
      <c r="D430" s="52"/>
    </row>
    <row r="431">
      <c r="D431" s="52"/>
    </row>
    <row r="432">
      <c r="D432" s="52"/>
    </row>
    <row r="433">
      <c r="D433" s="52"/>
    </row>
    <row r="434">
      <c r="D434" s="52"/>
    </row>
    <row r="435">
      <c r="D435" s="52"/>
    </row>
    <row r="436">
      <c r="D436" s="52"/>
    </row>
    <row r="437">
      <c r="D437" s="52"/>
    </row>
    <row r="438">
      <c r="D438" s="52"/>
    </row>
    <row r="439">
      <c r="D439" s="52"/>
    </row>
    <row r="440">
      <c r="D440" s="52"/>
    </row>
    <row r="441">
      <c r="D441" s="52"/>
    </row>
    <row r="442">
      <c r="D442" s="52"/>
    </row>
    <row r="443">
      <c r="D443" s="52"/>
    </row>
    <row r="444">
      <c r="D444" s="52"/>
    </row>
    <row r="445">
      <c r="D445" s="52"/>
    </row>
    <row r="446">
      <c r="D446" s="52"/>
    </row>
    <row r="447">
      <c r="D447" s="52"/>
    </row>
    <row r="448">
      <c r="D448" s="52"/>
    </row>
    <row r="449">
      <c r="D449" s="52"/>
    </row>
    <row r="450">
      <c r="D450" s="52"/>
    </row>
    <row r="451">
      <c r="D451" s="52"/>
    </row>
    <row r="452">
      <c r="D452" s="52"/>
    </row>
    <row r="453">
      <c r="D453" s="52"/>
    </row>
    <row r="454">
      <c r="D454" s="52"/>
    </row>
    <row r="455">
      <c r="D455" s="52"/>
    </row>
    <row r="456">
      <c r="D456" s="52"/>
    </row>
    <row r="457">
      <c r="D457" s="52"/>
    </row>
    <row r="458">
      <c r="D458" s="52"/>
    </row>
    <row r="459">
      <c r="D459" s="52"/>
    </row>
    <row r="460">
      <c r="D460" s="52"/>
    </row>
    <row r="461">
      <c r="D461" s="52"/>
    </row>
    <row r="462">
      <c r="D462" s="52"/>
    </row>
    <row r="463">
      <c r="D463" s="52"/>
    </row>
    <row r="464">
      <c r="D464" s="52"/>
    </row>
    <row r="465">
      <c r="D465" s="52"/>
    </row>
    <row r="466">
      <c r="D466" s="52"/>
    </row>
    <row r="467">
      <c r="D467" s="52"/>
    </row>
    <row r="468">
      <c r="D468" s="52"/>
    </row>
    <row r="469">
      <c r="D469" s="52"/>
    </row>
    <row r="470">
      <c r="D470" s="52"/>
    </row>
    <row r="471">
      <c r="D471" s="52"/>
    </row>
    <row r="472">
      <c r="D472" s="52"/>
    </row>
    <row r="473">
      <c r="D473" s="52"/>
    </row>
    <row r="474">
      <c r="D474" s="52"/>
    </row>
    <row r="475">
      <c r="D475" s="52"/>
    </row>
    <row r="476">
      <c r="D476" s="52"/>
    </row>
    <row r="477">
      <c r="D477" s="52"/>
    </row>
    <row r="478">
      <c r="D478" s="52"/>
    </row>
    <row r="479">
      <c r="D479" s="52"/>
    </row>
    <row r="480">
      <c r="D480" s="52"/>
    </row>
    <row r="481">
      <c r="D481" s="52"/>
    </row>
    <row r="482">
      <c r="D482" s="52"/>
    </row>
    <row r="483">
      <c r="D483" s="52"/>
    </row>
    <row r="484">
      <c r="D484" s="52"/>
    </row>
    <row r="485">
      <c r="D485" s="52"/>
    </row>
    <row r="486">
      <c r="D486" s="52"/>
    </row>
    <row r="487">
      <c r="D487" s="52"/>
    </row>
    <row r="488">
      <c r="D488" s="52"/>
    </row>
    <row r="489">
      <c r="D489" s="52"/>
    </row>
    <row r="490">
      <c r="D490" s="52"/>
    </row>
    <row r="491">
      <c r="D491" s="52"/>
    </row>
    <row r="492">
      <c r="D492" s="52"/>
    </row>
    <row r="493">
      <c r="D493" s="52"/>
    </row>
    <row r="494">
      <c r="D494" s="52"/>
    </row>
    <row r="495">
      <c r="D495" s="52"/>
    </row>
    <row r="496">
      <c r="D496" s="52"/>
    </row>
    <row r="497">
      <c r="D497" s="52"/>
    </row>
    <row r="498">
      <c r="D498" s="52"/>
    </row>
    <row r="499">
      <c r="D499" s="52"/>
    </row>
    <row r="500">
      <c r="D500" s="52"/>
    </row>
    <row r="501">
      <c r="D501" s="52"/>
    </row>
    <row r="502">
      <c r="D502" s="52"/>
    </row>
    <row r="503">
      <c r="D503" s="52"/>
    </row>
    <row r="504">
      <c r="D504" s="52"/>
    </row>
    <row r="505">
      <c r="D505" s="52"/>
    </row>
    <row r="506">
      <c r="D506" s="52"/>
    </row>
    <row r="507">
      <c r="D507" s="52"/>
    </row>
    <row r="508">
      <c r="D508" s="52"/>
    </row>
    <row r="509">
      <c r="D509" s="52"/>
    </row>
    <row r="510">
      <c r="D510" s="52"/>
    </row>
    <row r="511">
      <c r="D511" s="52"/>
    </row>
    <row r="512">
      <c r="D512" s="52"/>
    </row>
    <row r="513">
      <c r="D513" s="52"/>
    </row>
    <row r="514">
      <c r="D514" s="52"/>
    </row>
    <row r="515">
      <c r="D515" s="52"/>
    </row>
    <row r="516">
      <c r="D516" s="52"/>
    </row>
    <row r="517">
      <c r="D517" s="52"/>
    </row>
    <row r="518">
      <c r="D518" s="52"/>
    </row>
    <row r="519">
      <c r="D519" s="52"/>
    </row>
    <row r="520">
      <c r="D520" s="52"/>
    </row>
    <row r="521">
      <c r="D521" s="52"/>
    </row>
    <row r="522">
      <c r="D522" s="52"/>
    </row>
    <row r="523">
      <c r="D523" s="52"/>
    </row>
    <row r="524">
      <c r="D524" s="52"/>
    </row>
    <row r="525">
      <c r="D525" s="52"/>
    </row>
    <row r="526">
      <c r="D526" s="52"/>
    </row>
    <row r="527">
      <c r="D527" s="52"/>
    </row>
    <row r="528">
      <c r="D528" s="52"/>
    </row>
    <row r="529">
      <c r="D529" s="52"/>
    </row>
    <row r="530">
      <c r="D530" s="52"/>
    </row>
    <row r="531">
      <c r="D531" s="52"/>
    </row>
    <row r="532">
      <c r="D532" s="52"/>
    </row>
    <row r="533">
      <c r="D533" s="52"/>
    </row>
    <row r="534">
      <c r="D534" s="52"/>
    </row>
    <row r="535">
      <c r="D535" s="52"/>
    </row>
    <row r="536">
      <c r="D536" s="52"/>
    </row>
    <row r="537">
      <c r="D537" s="52"/>
    </row>
    <row r="538">
      <c r="D538" s="52"/>
    </row>
    <row r="539">
      <c r="D539" s="52"/>
    </row>
    <row r="540">
      <c r="D540" s="52"/>
    </row>
    <row r="541">
      <c r="D541" s="52"/>
    </row>
    <row r="542">
      <c r="D542" s="52"/>
    </row>
    <row r="543">
      <c r="D543" s="52"/>
    </row>
    <row r="544">
      <c r="D544" s="52"/>
    </row>
    <row r="545">
      <c r="D545" s="52"/>
    </row>
    <row r="546">
      <c r="D546" s="52"/>
    </row>
    <row r="547">
      <c r="D547" s="52"/>
    </row>
    <row r="548">
      <c r="D548" s="52"/>
    </row>
    <row r="549">
      <c r="D549" s="52"/>
    </row>
    <row r="550">
      <c r="D550" s="52"/>
    </row>
    <row r="551">
      <c r="D551" s="52"/>
    </row>
    <row r="552">
      <c r="D552" s="52"/>
    </row>
    <row r="553">
      <c r="D553" s="52"/>
    </row>
    <row r="554">
      <c r="D554" s="52"/>
    </row>
    <row r="555">
      <c r="D555" s="52"/>
    </row>
    <row r="556">
      <c r="D556" s="52"/>
    </row>
    <row r="557">
      <c r="D557" s="52"/>
    </row>
    <row r="558">
      <c r="D558" s="52"/>
    </row>
    <row r="559">
      <c r="D559" s="52"/>
    </row>
    <row r="560">
      <c r="D560" s="52"/>
    </row>
    <row r="561">
      <c r="D561" s="52"/>
    </row>
    <row r="562">
      <c r="D562" s="52"/>
    </row>
    <row r="563">
      <c r="D563" s="52"/>
    </row>
    <row r="564">
      <c r="D564" s="52"/>
    </row>
    <row r="565">
      <c r="D565" s="52"/>
    </row>
    <row r="566">
      <c r="D566" s="52"/>
    </row>
    <row r="567">
      <c r="D567" s="52"/>
    </row>
    <row r="568">
      <c r="D568" s="52"/>
    </row>
    <row r="569">
      <c r="D569" s="52"/>
    </row>
    <row r="570">
      <c r="D570" s="52"/>
    </row>
    <row r="571">
      <c r="D571" s="52"/>
    </row>
    <row r="572">
      <c r="D572" s="52"/>
    </row>
    <row r="573">
      <c r="D573" s="52"/>
    </row>
    <row r="574">
      <c r="D574" s="52"/>
    </row>
    <row r="575">
      <c r="D575" s="52"/>
    </row>
    <row r="576">
      <c r="D576" s="52"/>
    </row>
    <row r="577">
      <c r="D577" s="52"/>
    </row>
    <row r="578">
      <c r="D578" s="52"/>
    </row>
    <row r="579">
      <c r="D579" s="52"/>
    </row>
    <row r="580">
      <c r="D580" s="52"/>
    </row>
    <row r="581">
      <c r="D581" s="52"/>
    </row>
    <row r="582">
      <c r="D582" s="52"/>
    </row>
    <row r="583">
      <c r="D583" s="52"/>
    </row>
    <row r="584">
      <c r="D584" s="52"/>
    </row>
    <row r="585">
      <c r="D585" s="52"/>
    </row>
    <row r="586">
      <c r="D586" s="52"/>
    </row>
    <row r="587">
      <c r="D587" s="52"/>
    </row>
    <row r="588">
      <c r="D588" s="52"/>
    </row>
    <row r="589">
      <c r="D589" s="52"/>
    </row>
    <row r="590">
      <c r="D590" s="52"/>
    </row>
    <row r="591">
      <c r="D591" s="52"/>
    </row>
    <row r="592">
      <c r="D592" s="52"/>
    </row>
    <row r="593">
      <c r="D593" s="52"/>
    </row>
    <row r="594">
      <c r="D594" s="52"/>
    </row>
    <row r="595">
      <c r="D595" s="52"/>
    </row>
    <row r="596">
      <c r="D596" s="52"/>
    </row>
    <row r="597">
      <c r="D597" s="52"/>
    </row>
    <row r="598">
      <c r="D598" s="52"/>
    </row>
    <row r="599">
      <c r="D599" s="52"/>
    </row>
    <row r="600">
      <c r="D600" s="52"/>
    </row>
    <row r="601">
      <c r="D601" s="52"/>
    </row>
    <row r="602">
      <c r="D602" s="52"/>
    </row>
    <row r="603">
      <c r="D603" s="52"/>
    </row>
    <row r="604">
      <c r="D604" s="52"/>
    </row>
    <row r="605">
      <c r="D605" s="52"/>
    </row>
    <row r="606">
      <c r="D606" s="52"/>
    </row>
    <row r="607">
      <c r="D607" s="52"/>
    </row>
    <row r="608">
      <c r="D608" s="52"/>
    </row>
    <row r="609">
      <c r="D609" s="52"/>
    </row>
    <row r="610">
      <c r="D610" s="52"/>
    </row>
    <row r="611">
      <c r="D611" s="52"/>
    </row>
    <row r="612">
      <c r="D612" s="52"/>
    </row>
    <row r="613">
      <c r="D613" s="52"/>
    </row>
    <row r="614">
      <c r="D614" s="52"/>
    </row>
    <row r="615">
      <c r="D615" s="52"/>
    </row>
    <row r="616">
      <c r="D616" s="52"/>
    </row>
    <row r="617">
      <c r="D617" s="52"/>
    </row>
    <row r="618">
      <c r="D618" s="52"/>
    </row>
    <row r="619">
      <c r="D619" s="52"/>
    </row>
    <row r="620">
      <c r="D620" s="52"/>
    </row>
    <row r="621">
      <c r="D621" s="52"/>
    </row>
    <row r="622">
      <c r="D622" s="52"/>
    </row>
    <row r="623">
      <c r="D623" s="52"/>
    </row>
    <row r="624">
      <c r="D624" s="52"/>
    </row>
    <row r="625">
      <c r="D625" s="52"/>
    </row>
    <row r="626">
      <c r="D626" s="52"/>
    </row>
    <row r="627">
      <c r="D627" s="52"/>
    </row>
    <row r="628">
      <c r="D628" s="52"/>
    </row>
    <row r="629">
      <c r="D629" s="52"/>
    </row>
    <row r="630">
      <c r="D630" s="52"/>
    </row>
    <row r="631">
      <c r="D631" s="52"/>
    </row>
    <row r="632">
      <c r="D632" s="52"/>
    </row>
    <row r="633">
      <c r="D633" s="52"/>
    </row>
    <row r="634">
      <c r="D634" s="52"/>
    </row>
    <row r="635">
      <c r="D635" s="52"/>
    </row>
    <row r="636">
      <c r="D636" s="52"/>
    </row>
    <row r="637">
      <c r="D637" s="52"/>
    </row>
    <row r="638">
      <c r="D638" s="52"/>
    </row>
    <row r="639">
      <c r="D639" s="52"/>
    </row>
    <row r="640">
      <c r="D640" s="52"/>
    </row>
    <row r="641">
      <c r="D641" s="52"/>
    </row>
    <row r="642">
      <c r="D642" s="52"/>
    </row>
    <row r="643">
      <c r="D643" s="52"/>
    </row>
    <row r="644">
      <c r="D644" s="52"/>
    </row>
    <row r="645">
      <c r="D645" s="52"/>
    </row>
    <row r="646">
      <c r="D646" s="52"/>
    </row>
    <row r="647">
      <c r="D647" s="52"/>
    </row>
    <row r="648">
      <c r="D648" s="52"/>
    </row>
    <row r="649">
      <c r="D649" s="52"/>
    </row>
    <row r="650">
      <c r="D650" s="52"/>
    </row>
    <row r="651">
      <c r="D651" s="52"/>
    </row>
    <row r="652">
      <c r="D652" s="52"/>
    </row>
    <row r="653">
      <c r="D653" s="52"/>
    </row>
    <row r="654">
      <c r="D654" s="52"/>
    </row>
    <row r="655">
      <c r="D655" s="52"/>
    </row>
    <row r="656">
      <c r="D656" s="52"/>
    </row>
    <row r="657">
      <c r="D657" s="52"/>
    </row>
    <row r="658">
      <c r="D658" s="52"/>
    </row>
    <row r="659">
      <c r="D659" s="52"/>
    </row>
    <row r="660">
      <c r="D660" s="52"/>
    </row>
    <row r="661">
      <c r="D661" s="52"/>
    </row>
    <row r="662">
      <c r="D662" s="52"/>
    </row>
    <row r="663">
      <c r="D663" s="52"/>
    </row>
    <row r="664">
      <c r="D664" s="52"/>
    </row>
    <row r="665">
      <c r="D665" s="52"/>
    </row>
    <row r="666">
      <c r="D666" s="52"/>
    </row>
    <row r="667">
      <c r="D667" s="52"/>
    </row>
    <row r="668">
      <c r="D668" s="52"/>
    </row>
    <row r="669">
      <c r="D669" s="52"/>
    </row>
    <row r="670">
      <c r="D670" s="52"/>
    </row>
    <row r="671">
      <c r="D671" s="52"/>
    </row>
    <row r="672">
      <c r="D672" s="52"/>
    </row>
    <row r="673">
      <c r="D673" s="52"/>
    </row>
    <row r="674">
      <c r="D674" s="52"/>
    </row>
    <row r="675">
      <c r="D675" s="52"/>
    </row>
    <row r="676">
      <c r="D676" s="52"/>
    </row>
    <row r="677">
      <c r="D677" s="52"/>
    </row>
    <row r="678">
      <c r="D678" s="52"/>
    </row>
    <row r="679">
      <c r="D679" s="52"/>
    </row>
    <row r="680">
      <c r="D680" s="52"/>
    </row>
    <row r="681">
      <c r="D681" s="52"/>
    </row>
    <row r="682">
      <c r="D682" s="52"/>
    </row>
    <row r="683">
      <c r="D683" s="52"/>
    </row>
    <row r="684">
      <c r="D684" s="52"/>
    </row>
    <row r="685">
      <c r="D685" s="52"/>
    </row>
    <row r="686">
      <c r="D686" s="52"/>
    </row>
    <row r="687">
      <c r="D687" s="52"/>
    </row>
    <row r="688">
      <c r="D688" s="52"/>
    </row>
    <row r="689">
      <c r="D689" s="52"/>
    </row>
    <row r="690">
      <c r="D690" s="52"/>
    </row>
    <row r="691">
      <c r="D691" s="52"/>
    </row>
    <row r="692">
      <c r="D692" s="52"/>
    </row>
    <row r="693">
      <c r="D693" s="52"/>
    </row>
    <row r="694">
      <c r="D694" s="52"/>
    </row>
    <row r="695">
      <c r="D695" s="52"/>
    </row>
    <row r="696">
      <c r="D696" s="52"/>
    </row>
    <row r="697">
      <c r="D697" s="52"/>
    </row>
    <row r="698">
      <c r="D698" s="52"/>
    </row>
    <row r="699">
      <c r="D699" s="52"/>
    </row>
    <row r="700">
      <c r="D700" s="52"/>
    </row>
    <row r="701">
      <c r="D701" s="52"/>
    </row>
    <row r="702">
      <c r="D702" s="52"/>
    </row>
    <row r="703">
      <c r="D703" s="52"/>
    </row>
    <row r="704">
      <c r="D704" s="52"/>
    </row>
    <row r="705">
      <c r="D705" s="52"/>
    </row>
    <row r="706">
      <c r="D706" s="52"/>
    </row>
    <row r="707">
      <c r="D707" s="52"/>
    </row>
    <row r="708">
      <c r="D708" s="52"/>
    </row>
    <row r="709">
      <c r="D709" s="52"/>
    </row>
    <row r="710">
      <c r="D710" s="52"/>
    </row>
    <row r="711">
      <c r="D711" s="52"/>
    </row>
    <row r="712">
      <c r="D712" s="52"/>
    </row>
    <row r="713">
      <c r="D713" s="52"/>
    </row>
    <row r="714">
      <c r="D714" s="52"/>
    </row>
    <row r="715">
      <c r="D715" s="52"/>
    </row>
    <row r="716">
      <c r="D716" s="52"/>
    </row>
    <row r="717">
      <c r="D717" s="52"/>
    </row>
    <row r="718">
      <c r="D718" s="52"/>
    </row>
    <row r="719">
      <c r="D719" s="52"/>
    </row>
    <row r="720">
      <c r="D720" s="52"/>
    </row>
    <row r="721">
      <c r="D721" s="52"/>
    </row>
    <row r="722">
      <c r="D722" s="52"/>
    </row>
    <row r="723">
      <c r="D723" s="52"/>
    </row>
    <row r="724">
      <c r="D724" s="52"/>
    </row>
    <row r="725">
      <c r="D725" s="52"/>
    </row>
    <row r="726">
      <c r="D726" s="52"/>
    </row>
    <row r="727">
      <c r="D727" s="52"/>
    </row>
    <row r="728">
      <c r="D728" s="52"/>
    </row>
    <row r="729">
      <c r="D729" s="52"/>
    </row>
    <row r="730">
      <c r="D730" s="52"/>
    </row>
    <row r="731">
      <c r="D731" s="52"/>
    </row>
    <row r="732">
      <c r="D732" s="52"/>
    </row>
    <row r="733">
      <c r="D733" s="52"/>
    </row>
    <row r="734">
      <c r="D734" s="52"/>
    </row>
    <row r="735">
      <c r="D735" s="52"/>
    </row>
    <row r="736">
      <c r="D736" s="52"/>
    </row>
    <row r="737">
      <c r="D737" s="52"/>
    </row>
    <row r="738">
      <c r="D738" s="52"/>
    </row>
    <row r="739">
      <c r="D739" s="52"/>
    </row>
    <row r="740">
      <c r="D740" s="52"/>
    </row>
    <row r="741">
      <c r="D741" s="52"/>
    </row>
    <row r="742">
      <c r="D742" s="52"/>
    </row>
    <row r="743">
      <c r="D743" s="52"/>
    </row>
    <row r="744">
      <c r="D744" s="52"/>
    </row>
    <row r="745">
      <c r="D745" s="52"/>
    </row>
    <row r="746">
      <c r="D746" s="52"/>
    </row>
    <row r="747">
      <c r="D747" s="52"/>
    </row>
    <row r="748">
      <c r="D748" s="52"/>
    </row>
    <row r="749">
      <c r="D749" s="52"/>
    </row>
    <row r="750">
      <c r="D750" s="52"/>
    </row>
    <row r="751">
      <c r="D751" s="52"/>
    </row>
    <row r="752">
      <c r="D752" s="52"/>
    </row>
    <row r="753">
      <c r="D753" s="52"/>
    </row>
    <row r="754">
      <c r="D754" s="52"/>
    </row>
    <row r="755">
      <c r="D755" s="52"/>
    </row>
    <row r="756">
      <c r="D756" s="52"/>
    </row>
    <row r="757">
      <c r="D757" s="52"/>
    </row>
    <row r="758">
      <c r="D758" s="52"/>
    </row>
    <row r="759">
      <c r="D759" s="52"/>
    </row>
    <row r="760">
      <c r="D760" s="52"/>
    </row>
    <row r="761">
      <c r="D761" s="52"/>
    </row>
    <row r="762">
      <c r="D762" s="52"/>
    </row>
    <row r="763">
      <c r="D763" s="52"/>
    </row>
    <row r="764">
      <c r="D764" s="52"/>
    </row>
    <row r="765">
      <c r="D765" s="52"/>
    </row>
    <row r="766">
      <c r="D766" s="52"/>
    </row>
    <row r="767">
      <c r="D767" s="52"/>
    </row>
    <row r="768">
      <c r="D768" s="52"/>
    </row>
    <row r="769">
      <c r="D769" s="52"/>
    </row>
    <row r="770">
      <c r="D770" s="52"/>
    </row>
    <row r="771">
      <c r="D771" s="52"/>
    </row>
    <row r="772">
      <c r="D772" s="52"/>
    </row>
    <row r="773">
      <c r="D773" s="52"/>
    </row>
    <row r="774">
      <c r="D774" s="52"/>
    </row>
    <row r="775">
      <c r="D775" s="52"/>
    </row>
    <row r="776">
      <c r="D776" s="52"/>
    </row>
    <row r="777">
      <c r="D777" s="52"/>
    </row>
    <row r="778">
      <c r="D778" s="52"/>
    </row>
    <row r="779">
      <c r="D779" s="52"/>
    </row>
    <row r="780">
      <c r="D780" s="52"/>
    </row>
    <row r="781">
      <c r="D781" s="52"/>
    </row>
    <row r="782">
      <c r="D782" s="52"/>
    </row>
    <row r="783">
      <c r="D783" s="52"/>
    </row>
    <row r="784">
      <c r="D784" s="52"/>
    </row>
    <row r="785">
      <c r="D785" s="52"/>
    </row>
    <row r="786">
      <c r="D786" s="52"/>
    </row>
    <row r="787">
      <c r="D787" s="52"/>
    </row>
    <row r="788">
      <c r="D788" s="52"/>
    </row>
    <row r="789">
      <c r="D789" s="52"/>
    </row>
    <row r="790">
      <c r="D790" s="52"/>
    </row>
    <row r="791">
      <c r="D791" s="52"/>
    </row>
    <row r="792">
      <c r="D792" s="52"/>
    </row>
    <row r="793">
      <c r="D793" s="52"/>
    </row>
    <row r="794">
      <c r="D794" s="52"/>
    </row>
    <row r="795">
      <c r="D795" s="52"/>
    </row>
    <row r="796">
      <c r="D796" s="52"/>
    </row>
    <row r="797">
      <c r="D797" s="52"/>
    </row>
    <row r="798">
      <c r="D798" s="52"/>
    </row>
    <row r="799">
      <c r="D799" s="52"/>
    </row>
    <row r="800">
      <c r="D800" s="52"/>
    </row>
    <row r="801">
      <c r="D801" s="52"/>
    </row>
    <row r="802">
      <c r="D802" s="52"/>
    </row>
    <row r="803">
      <c r="D803" s="52"/>
    </row>
    <row r="804">
      <c r="D804" s="52"/>
    </row>
    <row r="805">
      <c r="D805" s="52"/>
    </row>
    <row r="806">
      <c r="D806" s="52"/>
    </row>
    <row r="807">
      <c r="D807" s="52"/>
    </row>
    <row r="808">
      <c r="D808" s="52"/>
    </row>
    <row r="809">
      <c r="D809" s="52"/>
    </row>
    <row r="810">
      <c r="D810" s="52"/>
    </row>
    <row r="811">
      <c r="D811" s="52"/>
    </row>
    <row r="812">
      <c r="D812" s="52"/>
    </row>
    <row r="813">
      <c r="D813" s="52"/>
    </row>
    <row r="814">
      <c r="D814" s="52"/>
    </row>
    <row r="815">
      <c r="D815" s="52"/>
    </row>
    <row r="816">
      <c r="D816" s="52"/>
    </row>
    <row r="817">
      <c r="D817" s="52"/>
    </row>
    <row r="818">
      <c r="D818" s="52"/>
    </row>
    <row r="819">
      <c r="D819" s="52"/>
    </row>
    <row r="820">
      <c r="D820" s="52"/>
    </row>
    <row r="821">
      <c r="D821" s="52"/>
    </row>
    <row r="822">
      <c r="D822" s="52"/>
    </row>
    <row r="823">
      <c r="D823" s="52"/>
    </row>
    <row r="824">
      <c r="D824" s="52"/>
    </row>
    <row r="825">
      <c r="D825" s="52"/>
    </row>
    <row r="826">
      <c r="D826" s="52"/>
    </row>
    <row r="827">
      <c r="D827" s="52"/>
    </row>
    <row r="828">
      <c r="D828" s="52"/>
    </row>
    <row r="829">
      <c r="D829" s="52"/>
    </row>
    <row r="830">
      <c r="D830" s="52"/>
    </row>
    <row r="831">
      <c r="D831" s="52"/>
    </row>
    <row r="832">
      <c r="D832" s="52"/>
    </row>
    <row r="833">
      <c r="D833" s="52"/>
    </row>
    <row r="834">
      <c r="D834" s="52"/>
    </row>
    <row r="835">
      <c r="D835" s="52"/>
    </row>
    <row r="836">
      <c r="D836" s="52"/>
    </row>
    <row r="837">
      <c r="D837" s="52"/>
    </row>
    <row r="838">
      <c r="D838" s="52"/>
    </row>
    <row r="839">
      <c r="D839" s="52"/>
    </row>
    <row r="840">
      <c r="D840" s="52"/>
    </row>
    <row r="841">
      <c r="D841" s="52"/>
    </row>
    <row r="842">
      <c r="D842" s="52"/>
    </row>
    <row r="843">
      <c r="D843" s="52"/>
    </row>
  </sheetData>
  <mergeCells count="7">
    <mergeCell ref="A1:F1"/>
    <mergeCell ref="A2:A3"/>
    <mergeCell ref="B2:B3"/>
    <mergeCell ref="C2:C3"/>
    <mergeCell ref="D2:D3"/>
    <mergeCell ref="E2:F2"/>
    <mergeCell ref="A7:E7"/>
  </mergeCells>
  <dataValidations>
    <dataValidation type="list" allowBlank="1" sqref="H4">
      <formula1>"CHECKED (OK),CHECKED  (NOT OK)"</formula1>
    </dataValidation>
  </dataValidations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3" max="3" width="26.75"/>
    <col customWidth="1" min="4" max="4" width="33.25"/>
    <col customWidth="1" min="7" max="7" width="3.5"/>
    <col customWidth="1" min="8" max="8" width="18.63"/>
    <col customWidth="1" min="9" max="9" width="21.63"/>
  </cols>
  <sheetData>
    <row r="1">
      <c r="A1" s="30" t="s">
        <v>1114</v>
      </c>
      <c r="G1" s="31"/>
      <c r="H1" s="32" t="s">
        <v>1115</v>
      </c>
      <c r="I1" s="33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4" t="s">
        <v>1</v>
      </c>
      <c r="B2" s="35" t="s">
        <v>11</v>
      </c>
      <c r="C2" s="35" t="s">
        <v>12</v>
      </c>
      <c r="D2" s="36" t="s">
        <v>13</v>
      </c>
      <c r="E2" s="37" t="s">
        <v>14</v>
      </c>
      <c r="F2" s="38"/>
      <c r="G2" s="39"/>
      <c r="H2" s="40"/>
      <c r="I2" s="40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41"/>
      <c r="B3" s="38"/>
      <c r="C3" s="38"/>
      <c r="D3" s="38"/>
      <c r="E3" s="42" t="s">
        <v>15</v>
      </c>
      <c r="F3" s="43" t="s">
        <v>5</v>
      </c>
      <c r="G3" s="39"/>
      <c r="H3" s="44" t="s">
        <v>6</v>
      </c>
      <c r="I3" s="45" t="s">
        <v>7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24.75" customHeight="1">
      <c r="A4" s="46"/>
      <c r="B4" s="47"/>
      <c r="C4" s="48" t="str">
        <f>vlookup(B4,'Crew Data'!C:G,5,0)</f>
        <v>#N/A</v>
      </c>
      <c r="D4" s="49"/>
      <c r="E4" s="47"/>
      <c r="F4" s="50">
        <f>E4*400</f>
        <v>0</v>
      </c>
      <c r="G4" s="22">
        <f>COUNTIF(B:B,B4)</f>
        <v>0</v>
      </c>
      <c r="H4" s="5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D5" s="52"/>
    </row>
    <row r="6">
      <c r="D6" s="52"/>
    </row>
    <row r="7" ht="44.25" customHeight="1">
      <c r="A7" s="53" t="s">
        <v>16</v>
      </c>
    </row>
    <row r="8">
      <c r="D8" s="52"/>
    </row>
    <row r="9">
      <c r="D9" s="52"/>
    </row>
    <row r="10">
      <c r="D10" s="52"/>
    </row>
    <row r="11">
      <c r="D11" s="52"/>
    </row>
    <row r="12">
      <c r="D12" s="52"/>
    </row>
    <row r="13">
      <c r="D13" s="52"/>
    </row>
    <row r="14">
      <c r="D14" s="52"/>
    </row>
    <row r="15">
      <c r="D15" s="52"/>
    </row>
    <row r="16">
      <c r="D16" s="52"/>
    </row>
    <row r="17">
      <c r="D17" s="52"/>
    </row>
    <row r="18">
      <c r="D18" s="52"/>
    </row>
    <row r="19">
      <c r="D19" s="52"/>
    </row>
    <row r="20">
      <c r="D20" s="52"/>
    </row>
    <row r="21">
      <c r="D21" s="52"/>
    </row>
    <row r="22">
      <c r="D22" s="52"/>
    </row>
    <row r="23">
      <c r="D23" s="52"/>
    </row>
    <row r="24">
      <c r="D24" s="52"/>
    </row>
    <row r="25">
      <c r="D25" s="52"/>
    </row>
    <row r="26">
      <c r="D26" s="52"/>
    </row>
    <row r="27">
      <c r="D27" s="52"/>
    </row>
    <row r="28">
      <c r="D28" s="52"/>
    </row>
    <row r="29">
      <c r="D29" s="52"/>
    </row>
    <row r="30">
      <c r="D30" s="52"/>
    </row>
    <row r="31">
      <c r="D31" s="52"/>
    </row>
    <row r="32">
      <c r="D32" s="52"/>
    </row>
    <row r="33">
      <c r="D33" s="52"/>
    </row>
    <row r="34">
      <c r="D34" s="52"/>
    </row>
    <row r="35">
      <c r="D35" s="52"/>
    </row>
    <row r="36">
      <c r="D36" s="52"/>
    </row>
    <row r="37">
      <c r="D37" s="52"/>
    </row>
    <row r="38">
      <c r="D38" s="52"/>
    </row>
    <row r="39">
      <c r="D39" s="52"/>
    </row>
    <row r="40">
      <c r="D40" s="52"/>
    </row>
    <row r="41">
      <c r="D41" s="52"/>
    </row>
    <row r="42">
      <c r="D42" s="52"/>
    </row>
    <row r="43">
      <c r="D43" s="52"/>
    </row>
    <row r="44">
      <c r="D44" s="52"/>
    </row>
    <row r="45">
      <c r="D45" s="52"/>
    </row>
    <row r="46">
      <c r="D46" s="52"/>
    </row>
    <row r="47">
      <c r="D47" s="52"/>
    </row>
    <row r="48">
      <c r="D48" s="52"/>
    </row>
    <row r="49">
      <c r="D49" s="52"/>
    </row>
    <row r="50">
      <c r="D50" s="52"/>
    </row>
    <row r="51">
      <c r="D51" s="52"/>
    </row>
    <row r="52">
      <c r="D52" s="52"/>
    </row>
    <row r="53">
      <c r="D53" s="52"/>
    </row>
    <row r="54">
      <c r="D54" s="52"/>
    </row>
    <row r="55">
      <c r="D55" s="52"/>
    </row>
    <row r="56">
      <c r="D56" s="52"/>
    </row>
    <row r="57">
      <c r="D57" s="52"/>
    </row>
    <row r="58">
      <c r="D58" s="52"/>
    </row>
    <row r="59">
      <c r="D59" s="52"/>
    </row>
    <row r="60">
      <c r="D60" s="52"/>
    </row>
    <row r="61">
      <c r="D61" s="52"/>
    </row>
    <row r="62">
      <c r="D62" s="52"/>
    </row>
    <row r="63">
      <c r="D63" s="52"/>
    </row>
    <row r="64">
      <c r="D64" s="52"/>
    </row>
    <row r="65">
      <c r="D65" s="52"/>
    </row>
    <row r="66">
      <c r="D66" s="52"/>
    </row>
    <row r="67">
      <c r="D67" s="52"/>
    </row>
    <row r="68">
      <c r="D68" s="52"/>
    </row>
    <row r="69">
      <c r="D69" s="52"/>
    </row>
    <row r="70">
      <c r="D70" s="52"/>
    </row>
    <row r="71">
      <c r="D71" s="52"/>
    </row>
    <row r="72">
      <c r="D72" s="52"/>
    </row>
    <row r="73">
      <c r="D73" s="52"/>
    </row>
    <row r="74">
      <c r="D74" s="52"/>
    </row>
    <row r="75">
      <c r="D75" s="52"/>
    </row>
    <row r="76">
      <c r="D76" s="52"/>
    </row>
    <row r="77">
      <c r="D77" s="52"/>
    </row>
    <row r="78">
      <c r="D78" s="52"/>
    </row>
    <row r="79">
      <c r="D79" s="52"/>
    </row>
    <row r="80">
      <c r="D80" s="52"/>
    </row>
    <row r="81">
      <c r="D81" s="52"/>
    </row>
    <row r="82">
      <c r="D82" s="52"/>
    </row>
    <row r="83">
      <c r="D83" s="52"/>
    </row>
    <row r="84">
      <c r="D84" s="52"/>
    </row>
    <row r="85">
      <c r="D85" s="52"/>
    </row>
    <row r="86">
      <c r="D86" s="52"/>
    </row>
    <row r="87">
      <c r="D87" s="52"/>
    </row>
    <row r="88">
      <c r="D88" s="52"/>
    </row>
    <row r="89">
      <c r="D89" s="52"/>
    </row>
    <row r="90">
      <c r="D90" s="52"/>
    </row>
    <row r="91">
      <c r="D91" s="52"/>
    </row>
    <row r="92">
      <c r="D92" s="52"/>
    </row>
    <row r="93">
      <c r="D93" s="52"/>
    </row>
    <row r="94">
      <c r="D94" s="52"/>
    </row>
    <row r="95">
      <c r="D95" s="52"/>
    </row>
    <row r="96">
      <c r="D96" s="52"/>
    </row>
    <row r="97">
      <c r="D97" s="52"/>
    </row>
    <row r="98">
      <c r="D98" s="52"/>
    </row>
    <row r="99">
      <c r="D99" s="52"/>
    </row>
    <row r="100">
      <c r="D100" s="52"/>
    </row>
    <row r="101">
      <c r="D101" s="52"/>
    </row>
    <row r="102">
      <c r="D102" s="52"/>
    </row>
    <row r="103">
      <c r="D103" s="52"/>
    </row>
    <row r="104">
      <c r="D104" s="52"/>
    </row>
    <row r="105">
      <c r="D105" s="52"/>
    </row>
    <row r="106">
      <c r="D106" s="52"/>
    </row>
    <row r="107">
      <c r="D107" s="52"/>
    </row>
    <row r="108">
      <c r="D108" s="52"/>
    </row>
    <row r="109">
      <c r="D109" s="52"/>
    </row>
    <row r="110">
      <c r="D110" s="52"/>
    </row>
    <row r="111">
      <c r="D111" s="52"/>
    </row>
    <row r="112">
      <c r="D112" s="52"/>
    </row>
    <row r="113">
      <c r="D113" s="52"/>
    </row>
    <row r="114">
      <c r="D114" s="52"/>
    </row>
    <row r="115">
      <c r="D115" s="52"/>
    </row>
    <row r="116">
      <c r="D116" s="52"/>
    </row>
    <row r="117">
      <c r="D117" s="52"/>
    </row>
    <row r="118">
      <c r="D118" s="52"/>
    </row>
    <row r="119">
      <c r="D119" s="52"/>
    </row>
    <row r="120">
      <c r="D120" s="52"/>
    </row>
    <row r="121">
      <c r="D121" s="52"/>
    </row>
    <row r="122">
      <c r="D122" s="52"/>
    </row>
    <row r="123">
      <c r="D123" s="52"/>
    </row>
    <row r="124">
      <c r="D124" s="52"/>
    </row>
    <row r="125">
      <c r="D125" s="52"/>
    </row>
    <row r="126">
      <c r="D126" s="52"/>
    </row>
    <row r="127">
      <c r="D127" s="52"/>
    </row>
    <row r="128">
      <c r="D128" s="52"/>
    </row>
    <row r="129">
      <c r="D129" s="52"/>
    </row>
    <row r="130">
      <c r="D130" s="52"/>
    </row>
    <row r="131">
      <c r="D131" s="52"/>
    </row>
    <row r="132">
      <c r="D132" s="52"/>
    </row>
    <row r="133">
      <c r="D133" s="52"/>
    </row>
    <row r="134">
      <c r="D134" s="52"/>
    </row>
    <row r="135">
      <c r="D135" s="52"/>
    </row>
    <row r="136">
      <c r="D136" s="52"/>
    </row>
    <row r="137">
      <c r="D137" s="52"/>
    </row>
    <row r="138">
      <c r="D138" s="52"/>
    </row>
    <row r="139">
      <c r="D139" s="52"/>
    </row>
    <row r="140">
      <c r="D140" s="52"/>
    </row>
    <row r="141">
      <c r="D141" s="52"/>
    </row>
    <row r="142">
      <c r="D142" s="52"/>
    </row>
    <row r="143">
      <c r="D143" s="52"/>
    </row>
    <row r="144">
      <c r="D144" s="52"/>
    </row>
    <row r="145">
      <c r="D145" s="52"/>
    </row>
    <row r="146">
      <c r="D146" s="52"/>
    </row>
    <row r="147">
      <c r="D147" s="52"/>
    </row>
    <row r="148">
      <c r="D148" s="52"/>
    </row>
    <row r="149">
      <c r="D149" s="52"/>
    </row>
    <row r="150">
      <c r="D150" s="52"/>
    </row>
    <row r="151">
      <c r="D151" s="52"/>
    </row>
    <row r="152">
      <c r="D152" s="52"/>
    </row>
    <row r="153">
      <c r="D153" s="52"/>
    </row>
    <row r="154">
      <c r="D154" s="52"/>
    </row>
    <row r="155">
      <c r="D155" s="52"/>
    </row>
    <row r="156">
      <c r="D156" s="52"/>
    </row>
    <row r="157">
      <c r="D157" s="52"/>
    </row>
    <row r="158">
      <c r="D158" s="52"/>
    </row>
    <row r="159">
      <c r="D159" s="52"/>
    </row>
    <row r="160">
      <c r="D160" s="52"/>
    </row>
    <row r="161">
      <c r="D161" s="52"/>
    </row>
    <row r="162">
      <c r="D162" s="52"/>
    </row>
    <row r="163">
      <c r="D163" s="52"/>
    </row>
    <row r="164">
      <c r="D164" s="52"/>
    </row>
    <row r="165">
      <c r="D165" s="52"/>
    </row>
    <row r="166">
      <c r="D166" s="52"/>
    </row>
    <row r="167">
      <c r="D167" s="52"/>
    </row>
    <row r="168">
      <c r="D168" s="52"/>
    </row>
    <row r="169">
      <c r="D169" s="52"/>
    </row>
    <row r="170">
      <c r="D170" s="52"/>
    </row>
    <row r="171">
      <c r="D171" s="52"/>
    </row>
    <row r="172">
      <c r="D172" s="52"/>
    </row>
    <row r="173">
      <c r="D173" s="52"/>
    </row>
    <row r="174">
      <c r="D174" s="52"/>
    </row>
    <row r="175">
      <c r="D175" s="52"/>
    </row>
    <row r="176">
      <c r="D176" s="52"/>
    </row>
    <row r="177">
      <c r="D177" s="52"/>
    </row>
    <row r="178">
      <c r="D178" s="52"/>
    </row>
    <row r="179">
      <c r="D179" s="52"/>
    </row>
    <row r="180">
      <c r="D180" s="52"/>
    </row>
    <row r="181">
      <c r="D181" s="52"/>
    </row>
    <row r="182">
      <c r="D182" s="52"/>
    </row>
    <row r="183">
      <c r="D183" s="52"/>
    </row>
    <row r="184">
      <c r="D184" s="52"/>
    </row>
    <row r="185">
      <c r="D185" s="52"/>
    </row>
    <row r="186">
      <c r="D186" s="52"/>
    </row>
    <row r="187">
      <c r="D187" s="52"/>
    </row>
    <row r="188">
      <c r="D188" s="52"/>
    </row>
    <row r="189">
      <c r="D189" s="52"/>
    </row>
    <row r="190">
      <c r="D190" s="52"/>
    </row>
    <row r="191">
      <c r="D191" s="52"/>
    </row>
    <row r="192">
      <c r="D192" s="52"/>
    </row>
    <row r="193">
      <c r="D193" s="52"/>
    </row>
    <row r="194">
      <c r="D194" s="52"/>
    </row>
    <row r="195">
      <c r="D195" s="52"/>
    </row>
    <row r="196">
      <c r="D196" s="52"/>
    </row>
    <row r="197">
      <c r="D197" s="52"/>
    </row>
    <row r="198">
      <c r="D198" s="52"/>
    </row>
    <row r="199">
      <c r="D199" s="52"/>
    </row>
    <row r="200">
      <c r="D200" s="52"/>
    </row>
    <row r="201">
      <c r="D201" s="52"/>
    </row>
    <row r="202">
      <c r="D202" s="52"/>
    </row>
    <row r="203">
      <c r="D203" s="52"/>
    </row>
    <row r="204">
      <c r="D204" s="52"/>
    </row>
    <row r="205">
      <c r="D205" s="52"/>
    </row>
    <row r="206">
      <c r="D206" s="52"/>
    </row>
    <row r="207">
      <c r="D207" s="52"/>
    </row>
    <row r="208">
      <c r="D208" s="52"/>
    </row>
    <row r="209">
      <c r="D209" s="52"/>
    </row>
    <row r="210">
      <c r="D210" s="52"/>
    </row>
    <row r="211">
      <c r="D211" s="52"/>
    </row>
    <row r="212">
      <c r="D212" s="52"/>
    </row>
    <row r="213">
      <c r="D213" s="52"/>
    </row>
    <row r="214">
      <c r="D214" s="52"/>
    </row>
    <row r="215">
      <c r="D215" s="52"/>
    </row>
    <row r="216">
      <c r="D216" s="52"/>
    </row>
    <row r="217">
      <c r="D217" s="52"/>
    </row>
    <row r="218">
      <c r="D218" s="52"/>
    </row>
    <row r="219">
      <c r="D219" s="52"/>
    </row>
    <row r="220">
      <c r="D220" s="52"/>
    </row>
    <row r="221">
      <c r="D221" s="52"/>
    </row>
    <row r="222">
      <c r="D222" s="52"/>
    </row>
    <row r="223">
      <c r="D223" s="52"/>
    </row>
    <row r="224">
      <c r="D224" s="52"/>
    </row>
    <row r="225">
      <c r="D225" s="52"/>
    </row>
    <row r="226">
      <c r="D226" s="52"/>
    </row>
    <row r="227">
      <c r="D227" s="52"/>
    </row>
    <row r="228">
      <c r="D228" s="52"/>
    </row>
    <row r="229">
      <c r="D229" s="52"/>
    </row>
    <row r="230">
      <c r="D230" s="52"/>
    </row>
    <row r="231">
      <c r="D231" s="52"/>
    </row>
    <row r="232">
      <c r="D232" s="52"/>
    </row>
    <row r="233">
      <c r="D233" s="52"/>
    </row>
    <row r="234">
      <c r="D234" s="52"/>
    </row>
    <row r="235">
      <c r="D235" s="52"/>
    </row>
    <row r="236">
      <c r="D236" s="52"/>
    </row>
    <row r="237">
      <c r="D237" s="52"/>
    </row>
    <row r="238">
      <c r="D238" s="52"/>
    </row>
    <row r="239">
      <c r="D239" s="52"/>
    </row>
    <row r="240">
      <c r="D240" s="52"/>
    </row>
    <row r="241">
      <c r="D241" s="52"/>
    </row>
    <row r="242">
      <c r="D242" s="52"/>
    </row>
    <row r="243">
      <c r="D243" s="52"/>
    </row>
    <row r="244">
      <c r="D244" s="52"/>
    </row>
    <row r="245">
      <c r="D245" s="52"/>
    </row>
    <row r="246">
      <c r="D246" s="52"/>
    </row>
    <row r="247">
      <c r="D247" s="52"/>
    </row>
    <row r="248">
      <c r="D248" s="52"/>
    </row>
    <row r="249">
      <c r="D249" s="52"/>
    </row>
    <row r="250">
      <c r="D250" s="52"/>
    </row>
    <row r="251">
      <c r="D251" s="52"/>
    </row>
    <row r="252">
      <c r="D252" s="52"/>
    </row>
    <row r="253">
      <c r="D253" s="52"/>
    </row>
    <row r="254">
      <c r="D254" s="52"/>
    </row>
    <row r="255">
      <c r="D255" s="52"/>
    </row>
    <row r="256">
      <c r="D256" s="52"/>
    </row>
    <row r="257">
      <c r="D257" s="52"/>
    </row>
    <row r="258">
      <c r="D258" s="52"/>
    </row>
    <row r="259">
      <c r="D259" s="52"/>
    </row>
    <row r="260">
      <c r="D260" s="52"/>
    </row>
    <row r="261">
      <c r="D261" s="52"/>
    </row>
    <row r="262">
      <c r="D262" s="52"/>
    </row>
    <row r="263">
      <c r="D263" s="52"/>
    </row>
    <row r="264">
      <c r="D264" s="52"/>
    </row>
    <row r="265">
      <c r="D265" s="52"/>
    </row>
    <row r="266">
      <c r="D266" s="52"/>
    </row>
    <row r="267">
      <c r="D267" s="52"/>
    </row>
    <row r="268">
      <c r="D268" s="52"/>
    </row>
    <row r="269">
      <c r="D269" s="52"/>
    </row>
    <row r="270">
      <c r="D270" s="52"/>
    </row>
    <row r="271">
      <c r="D271" s="52"/>
    </row>
    <row r="272">
      <c r="D272" s="52"/>
    </row>
    <row r="273">
      <c r="D273" s="52"/>
    </row>
    <row r="274">
      <c r="D274" s="52"/>
    </row>
    <row r="275">
      <c r="D275" s="52"/>
    </row>
    <row r="276">
      <c r="D276" s="52"/>
    </row>
    <row r="277">
      <c r="D277" s="52"/>
    </row>
    <row r="278">
      <c r="D278" s="52"/>
    </row>
    <row r="279">
      <c r="D279" s="52"/>
    </row>
    <row r="280">
      <c r="D280" s="52"/>
    </row>
    <row r="281">
      <c r="D281" s="52"/>
    </row>
    <row r="282">
      <c r="D282" s="52"/>
    </row>
    <row r="283">
      <c r="D283" s="52"/>
    </row>
    <row r="284">
      <c r="D284" s="52"/>
    </row>
    <row r="285">
      <c r="D285" s="52"/>
    </row>
    <row r="286">
      <c r="D286" s="52"/>
    </row>
    <row r="287">
      <c r="D287" s="52"/>
    </row>
    <row r="288">
      <c r="D288" s="52"/>
    </row>
    <row r="289">
      <c r="D289" s="52"/>
    </row>
    <row r="290">
      <c r="D290" s="52"/>
    </row>
    <row r="291">
      <c r="D291" s="52"/>
    </row>
    <row r="292">
      <c r="D292" s="52"/>
    </row>
    <row r="293">
      <c r="D293" s="52"/>
    </row>
    <row r="294">
      <c r="D294" s="52"/>
    </row>
    <row r="295">
      <c r="D295" s="52"/>
    </row>
    <row r="296">
      <c r="D296" s="52"/>
    </row>
    <row r="297">
      <c r="D297" s="52"/>
    </row>
    <row r="298">
      <c r="D298" s="52"/>
    </row>
    <row r="299">
      <c r="D299" s="52"/>
    </row>
    <row r="300">
      <c r="D300" s="52"/>
    </row>
    <row r="301">
      <c r="D301" s="52"/>
    </row>
    <row r="302">
      <c r="D302" s="52"/>
    </row>
    <row r="303">
      <c r="D303" s="52"/>
    </row>
    <row r="304">
      <c r="D304" s="52"/>
    </row>
    <row r="305">
      <c r="D305" s="52"/>
    </row>
    <row r="306">
      <c r="D306" s="52"/>
    </row>
    <row r="307">
      <c r="D307" s="52"/>
    </row>
    <row r="308">
      <c r="D308" s="52"/>
    </row>
    <row r="309">
      <c r="D309" s="52"/>
    </row>
    <row r="310">
      <c r="D310" s="52"/>
    </row>
    <row r="311">
      <c r="D311" s="52"/>
    </row>
    <row r="312">
      <c r="D312" s="52"/>
    </row>
    <row r="313">
      <c r="D313" s="52"/>
    </row>
    <row r="314">
      <c r="D314" s="52"/>
    </row>
    <row r="315">
      <c r="D315" s="52"/>
    </row>
    <row r="316">
      <c r="D316" s="52"/>
    </row>
    <row r="317">
      <c r="D317" s="52"/>
    </row>
    <row r="318">
      <c r="D318" s="52"/>
    </row>
    <row r="319">
      <c r="D319" s="52"/>
    </row>
    <row r="320">
      <c r="D320" s="52"/>
    </row>
    <row r="321">
      <c r="D321" s="52"/>
    </row>
    <row r="322">
      <c r="D322" s="52"/>
    </row>
    <row r="323">
      <c r="D323" s="52"/>
    </row>
    <row r="324">
      <c r="D324" s="52"/>
    </row>
    <row r="325">
      <c r="D325" s="52"/>
    </row>
    <row r="326">
      <c r="D326" s="52"/>
    </row>
    <row r="327">
      <c r="D327" s="52"/>
    </row>
    <row r="328">
      <c r="D328" s="52"/>
    </row>
    <row r="329">
      <c r="D329" s="52"/>
    </row>
    <row r="330">
      <c r="D330" s="52"/>
    </row>
    <row r="331">
      <c r="D331" s="52"/>
    </row>
    <row r="332">
      <c r="D332" s="52"/>
    </row>
    <row r="333">
      <c r="D333" s="52"/>
    </row>
    <row r="334">
      <c r="D334" s="52"/>
    </row>
    <row r="335">
      <c r="D335" s="52"/>
    </row>
    <row r="336">
      <c r="D336" s="52"/>
    </row>
    <row r="337">
      <c r="D337" s="52"/>
    </row>
    <row r="338">
      <c r="D338" s="52"/>
    </row>
    <row r="339">
      <c r="D339" s="52"/>
    </row>
    <row r="340">
      <c r="D340" s="52"/>
    </row>
    <row r="341">
      <c r="D341" s="52"/>
    </row>
    <row r="342">
      <c r="D342" s="52"/>
    </row>
    <row r="343">
      <c r="D343" s="52"/>
    </row>
    <row r="344">
      <c r="D344" s="52"/>
    </row>
    <row r="345">
      <c r="D345" s="52"/>
    </row>
    <row r="346">
      <c r="D346" s="52"/>
    </row>
    <row r="347">
      <c r="D347" s="52"/>
    </row>
    <row r="348">
      <c r="D348" s="52"/>
    </row>
    <row r="349">
      <c r="D349" s="52"/>
    </row>
    <row r="350">
      <c r="D350" s="52"/>
    </row>
    <row r="351">
      <c r="D351" s="52"/>
    </row>
    <row r="352">
      <c r="D352" s="52"/>
    </row>
    <row r="353">
      <c r="D353" s="52"/>
    </row>
    <row r="354">
      <c r="D354" s="52"/>
    </row>
    <row r="355">
      <c r="D355" s="52"/>
    </row>
    <row r="356">
      <c r="D356" s="52"/>
    </row>
    <row r="357">
      <c r="D357" s="52"/>
    </row>
    <row r="358">
      <c r="D358" s="52"/>
    </row>
    <row r="359">
      <c r="D359" s="52"/>
    </row>
    <row r="360">
      <c r="D360" s="52"/>
    </row>
    <row r="361">
      <c r="D361" s="52"/>
    </row>
    <row r="362">
      <c r="D362" s="52"/>
    </row>
    <row r="363">
      <c r="D363" s="52"/>
    </row>
    <row r="364">
      <c r="D364" s="52"/>
    </row>
    <row r="365">
      <c r="D365" s="52"/>
    </row>
    <row r="366">
      <c r="D366" s="52"/>
    </row>
    <row r="367">
      <c r="D367" s="52"/>
    </row>
    <row r="368">
      <c r="D368" s="52"/>
    </row>
    <row r="369">
      <c r="D369" s="52"/>
    </row>
    <row r="370">
      <c r="D370" s="52"/>
    </row>
    <row r="371">
      <c r="D371" s="52"/>
    </row>
    <row r="372">
      <c r="D372" s="52"/>
    </row>
    <row r="373">
      <c r="D373" s="52"/>
    </row>
    <row r="374">
      <c r="D374" s="52"/>
    </row>
    <row r="375">
      <c r="D375" s="52"/>
    </row>
    <row r="376">
      <c r="D376" s="52"/>
    </row>
    <row r="377">
      <c r="D377" s="52"/>
    </row>
    <row r="378">
      <c r="D378" s="52"/>
    </row>
    <row r="379">
      <c r="D379" s="52"/>
    </row>
    <row r="380">
      <c r="D380" s="52"/>
    </row>
    <row r="381">
      <c r="D381" s="52"/>
    </row>
    <row r="382">
      <c r="D382" s="52"/>
    </row>
    <row r="383">
      <c r="D383" s="52"/>
    </row>
    <row r="384">
      <c r="D384" s="52"/>
    </row>
    <row r="385">
      <c r="D385" s="52"/>
    </row>
    <row r="386">
      <c r="D386" s="52"/>
    </row>
    <row r="387">
      <c r="D387" s="52"/>
    </row>
    <row r="388">
      <c r="D388" s="52"/>
    </row>
    <row r="389">
      <c r="D389" s="52"/>
    </row>
    <row r="390">
      <c r="D390" s="52"/>
    </row>
    <row r="391">
      <c r="D391" s="52"/>
    </row>
    <row r="392">
      <c r="D392" s="52"/>
    </row>
    <row r="393">
      <c r="D393" s="52"/>
    </row>
    <row r="394">
      <c r="D394" s="52"/>
    </row>
    <row r="395">
      <c r="D395" s="52"/>
    </row>
    <row r="396">
      <c r="D396" s="52"/>
    </row>
    <row r="397">
      <c r="D397" s="52"/>
    </row>
    <row r="398">
      <c r="D398" s="52"/>
    </row>
    <row r="399">
      <c r="D399" s="52"/>
    </row>
    <row r="400">
      <c r="D400" s="52"/>
    </row>
    <row r="401">
      <c r="D401" s="52"/>
    </row>
    <row r="402">
      <c r="D402" s="52"/>
    </row>
    <row r="403">
      <c r="D403" s="52"/>
    </row>
    <row r="404">
      <c r="D404" s="52"/>
    </row>
    <row r="405">
      <c r="D405" s="52"/>
    </row>
    <row r="406">
      <c r="D406" s="52"/>
    </row>
    <row r="407">
      <c r="D407" s="52"/>
    </row>
    <row r="408">
      <c r="D408" s="52"/>
    </row>
    <row r="409">
      <c r="D409" s="52"/>
    </row>
    <row r="410">
      <c r="D410" s="52"/>
    </row>
    <row r="411">
      <c r="D411" s="52"/>
    </row>
    <row r="412">
      <c r="D412" s="52"/>
    </row>
    <row r="413">
      <c r="D413" s="52"/>
    </row>
    <row r="414">
      <c r="D414" s="52"/>
    </row>
    <row r="415">
      <c r="D415" s="52"/>
    </row>
    <row r="416">
      <c r="D416" s="52"/>
    </row>
    <row r="417">
      <c r="D417" s="52"/>
    </row>
    <row r="418">
      <c r="D418" s="52"/>
    </row>
    <row r="419">
      <c r="D419" s="52"/>
    </row>
    <row r="420">
      <c r="D420" s="52"/>
    </row>
    <row r="421">
      <c r="D421" s="52"/>
    </row>
    <row r="422">
      <c r="D422" s="52"/>
    </row>
    <row r="423">
      <c r="D423" s="52"/>
    </row>
    <row r="424">
      <c r="D424" s="52"/>
    </row>
    <row r="425">
      <c r="D425" s="52"/>
    </row>
    <row r="426">
      <c r="D426" s="52"/>
    </row>
    <row r="427">
      <c r="D427" s="52"/>
    </row>
    <row r="428">
      <c r="D428" s="52"/>
    </row>
    <row r="429">
      <c r="D429" s="52"/>
    </row>
    <row r="430">
      <c r="D430" s="52"/>
    </row>
    <row r="431">
      <c r="D431" s="52"/>
    </row>
    <row r="432">
      <c r="D432" s="52"/>
    </row>
    <row r="433">
      <c r="D433" s="52"/>
    </row>
    <row r="434">
      <c r="D434" s="52"/>
    </row>
    <row r="435">
      <c r="D435" s="52"/>
    </row>
    <row r="436">
      <c r="D436" s="52"/>
    </row>
    <row r="437">
      <c r="D437" s="52"/>
    </row>
    <row r="438">
      <c r="D438" s="52"/>
    </row>
    <row r="439">
      <c r="D439" s="52"/>
    </row>
    <row r="440">
      <c r="D440" s="52"/>
    </row>
    <row r="441">
      <c r="D441" s="52"/>
    </row>
    <row r="442">
      <c r="D442" s="52"/>
    </row>
    <row r="443">
      <c r="D443" s="52"/>
    </row>
    <row r="444">
      <c r="D444" s="52"/>
    </row>
    <row r="445">
      <c r="D445" s="52"/>
    </row>
    <row r="446">
      <c r="D446" s="52"/>
    </row>
    <row r="447">
      <c r="D447" s="52"/>
    </row>
    <row r="448">
      <c r="D448" s="52"/>
    </row>
    <row r="449">
      <c r="D449" s="52"/>
    </row>
    <row r="450">
      <c r="D450" s="52"/>
    </row>
    <row r="451">
      <c r="D451" s="52"/>
    </row>
    <row r="452">
      <c r="D452" s="52"/>
    </row>
    <row r="453">
      <c r="D453" s="52"/>
    </row>
    <row r="454">
      <c r="D454" s="52"/>
    </row>
    <row r="455">
      <c r="D455" s="52"/>
    </row>
    <row r="456">
      <c r="D456" s="52"/>
    </row>
    <row r="457">
      <c r="D457" s="52"/>
    </row>
    <row r="458">
      <c r="D458" s="52"/>
    </row>
    <row r="459">
      <c r="D459" s="52"/>
    </row>
    <row r="460">
      <c r="D460" s="52"/>
    </row>
    <row r="461">
      <c r="D461" s="52"/>
    </row>
    <row r="462">
      <c r="D462" s="52"/>
    </row>
    <row r="463">
      <c r="D463" s="52"/>
    </row>
    <row r="464">
      <c r="D464" s="52"/>
    </row>
    <row r="465">
      <c r="D465" s="52"/>
    </row>
    <row r="466">
      <c r="D466" s="52"/>
    </row>
    <row r="467">
      <c r="D467" s="52"/>
    </row>
    <row r="468">
      <c r="D468" s="52"/>
    </row>
    <row r="469">
      <c r="D469" s="52"/>
    </row>
    <row r="470">
      <c r="D470" s="52"/>
    </row>
    <row r="471">
      <c r="D471" s="52"/>
    </row>
    <row r="472">
      <c r="D472" s="52"/>
    </row>
    <row r="473">
      <c r="D473" s="52"/>
    </row>
    <row r="474">
      <c r="D474" s="52"/>
    </row>
    <row r="475">
      <c r="D475" s="52"/>
    </row>
    <row r="476">
      <c r="D476" s="52"/>
    </row>
    <row r="477">
      <c r="D477" s="52"/>
    </row>
    <row r="478">
      <c r="D478" s="52"/>
    </row>
    <row r="479">
      <c r="D479" s="52"/>
    </row>
    <row r="480">
      <c r="D480" s="52"/>
    </row>
    <row r="481">
      <c r="D481" s="52"/>
    </row>
    <row r="482">
      <c r="D482" s="52"/>
    </row>
    <row r="483">
      <c r="D483" s="52"/>
    </row>
    <row r="484">
      <c r="D484" s="52"/>
    </row>
    <row r="485">
      <c r="D485" s="52"/>
    </row>
    <row r="486">
      <c r="D486" s="52"/>
    </row>
    <row r="487">
      <c r="D487" s="52"/>
    </row>
    <row r="488">
      <c r="D488" s="52"/>
    </row>
    <row r="489">
      <c r="D489" s="52"/>
    </row>
    <row r="490">
      <c r="D490" s="52"/>
    </row>
    <row r="491">
      <c r="D491" s="52"/>
    </row>
    <row r="492">
      <c r="D492" s="52"/>
    </row>
    <row r="493">
      <c r="D493" s="52"/>
    </row>
    <row r="494">
      <c r="D494" s="52"/>
    </row>
    <row r="495">
      <c r="D495" s="52"/>
    </row>
    <row r="496">
      <c r="D496" s="52"/>
    </row>
    <row r="497">
      <c r="D497" s="52"/>
    </row>
    <row r="498">
      <c r="D498" s="52"/>
    </row>
    <row r="499">
      <c r="D499" s="52"/>
    </row>
    <row r="500">
      <c r="D500" s="52"/>
    </row>
    <row r="501">
      <c r="D501" s="52"/>
    </row>
    <row r="502">
      <c r="D502" s="52"/>
    </row>
    <row r="503">
      <c r="D503" s="52"/>
    </row>
    <row r="504">
      <c r="D504" s="52"/>
    </row>
    <row r="505">
      <c r="D505" s="52"/>
    </row>
    <row r="506">
      <c r="D506" s="52"/>
    </row>
    <row r="507">
      <c r="D507" s="52"/>
    </row>
    <row r="508">
      <c r="D508" s="52"/>
    </row>
    <row r="509">
      <c r="D509" s="52"/>
    </row>
    <row r="510">
      <c r="D510" s="52"/>
    </row>
    <row r="511">
      <c r="D511" s="52"/>
    </row>
    <row r="512">
      <c r="D512" s="52"/>
    </row>
    <row r="513">
      <c r="D513" s="52"/>
    </row>
    <row r="514">
      <c r="D514" s="52"/>
    </row>
    <row r="515">
      <c r="D515" s="52"/>
    </row>
    <row r="516">
      <c r="D516" s="52"/>
    </row>
    <row r="517">
      <c r="D517" s="52"/>
    </row>
    <row r="518">
      <c r="D518" s="52"/>
    </row>
    <row r="519">
      <c r="D519" s="52"/>
    </row>
    <row r="520">
      <c r="D520" s="52"/>
    </row>
    <row r="521">
      <c r="D521" s="52"/>
    </row>
    <row r="522">
      <c r="D522" s="52"/>
    </row>
    <row r="523">
      <c r="D523" s="52"/>
    </row>
    <row r="524">
      <c r="D524" s="52"/>
    </row>
    <row r="525">
      <c r="D525" s="52"/>
    </row>
    <row r="526">
      <c r="D526" s="52"/>
    </row>
    <row r="527">
      <c r="D527" s="52"/>
    </row>
    <row r="528">
      <c r="D528" s="52"/>
    </row>
    <row r="529">
      <c r="D529" s="52"/>
    </row>
    <row r="530">
      <c r="D530" s="52"/>
    </row>
    <row r="531">
      <c r="D531" s="52"/>
    </row>
    <row r="532">
      <c r="D532" s="52"/>
    </row>
    <row r="533">
      <c r="D533" s="52"/>
    </row>
    <row r="534">
      <c r="D534" s="52"/>
    </row>
    <row r="535">
      <c r="D535" s="52"/>
    </row>
    <row r="536">
      <c r="D536" s="52"/>
    </row>
    <row r="537">
      <c r="D537" s="52"/>
    </row>
    <row r="538">
      <c r="D538" s="52"/>
    </row>
    <row r="539">
      <c r="D539" s="52"/>
    </row>
    <row r="540">
      <c r="D540" s="52"/>
    </row>
    <row r="541">
      <c r="D541" s="52"/>
    </row>
    <row r="542">
      <c r="D542" s="52"/>
    </row>
    <row r="543">
      <c r="D543" s="52"/>
    </row>
    <row r="544">
      <c r="D544" s="52"/>
    </row>
    <row r="545">
      <c r="D545" s="52"/>
    </row>
    <row r="546">
      <c r="D546" s="52"/>
    </row>
    <row r="547">
      <c r="D547" s="52"/>
    </row>
    <row r="548">
      <c r="D548" s="52"/>
    </row>
    <row r="549">
      <c r="D549" s="52"/>
    </row>
    <row r="550">
      <c r="D550" s="52"/>
    </row>
    <row r="551">
      <c r="D551" s="52"/>
    </row>
    <row r="552">
      <c r="D552" s="52"/>
    </row>
    <row r="553">
      <c r="D553" s="52"/>
    </row>
    <row r="554">
      <c r="D554" s="52"/>
    </row>
    <row r="555">
      <c r="D555" s="52"/>
    </row>
    <row r="556">
      <c r="D556" s="52"/>
    </row>
    <row r="557">
      <c r="D557" s="52"/>
    </row>
    <row r="558">
      <c r="D558" s="52"/>
    </row>
    <row r="559">
      <c r="D559" s="52"/>
    </row>
    <row r="560">
      <c r="D560" s="52"/>
    </row>
    <row r="561">
      <c r="D561" s="52"/>
    </row>
    <row r="562">
      <c r="D562" s="52"/>
    </row>
    <row r="563">
      <c r="D563" s="52"/>
    </row>
    <row r="564">
      <c r="D564" s="52"/>
    </row>
    <row r="565">
      <c r="D565" s="52"/>
    </row>
    <row r="566">
      <c r="D566" s="52"/>
    </row>
    <row r="567">
      <c r="D567" s="52"/>
    </row>
    <row r="568">
      <c r="D568" s="52"/>
    </row>
    <row r="569">
      <c r="D569" s="52"/>
    </row>
    <row r="570">
      <c r="D570" s="52"/>
    </row>
    <row r="571">
      <c r="D571" s="52"/>
    </row>
    <row r="572">
      <c r="D572" s="52"/>
    </row>
    <row r="573">
      <c r="D573" s="52"/>
    </row>
    <row r="574">
      <c r="D574" s="52"/>
    </row>
    <row r="575">
      <c r="D575" s="52"/>
    </row>
    <row r="576">
      <c r="D576" s="52"/>
    </row>
    <row r="577">
      <c r="D577" s="52"/>
    </row>
    <row r="578">
      <c r="D578" s="52"/>
    </row>
    <row r="579">
      <c r="D579" s="52"/>
    </row>
    <row r="580">
      <c r="D580" s="52"/>
    </row>
    <row r="581">
      <c r="D581" s="52"/>
    </row>
    <row r="582">
      <c r="D582" s="52"/>
    </row>
    <row r="583">
      <c r="D583" s="52"/>
    </row>
    <row r="584">
      <c r="D584" s="52"/>
    </row>
    <row r="585">
      <c r="D585" s="52"/>
    </row>
    <row r="586">
      <c r="D586" s="52"/>
    </row>
    <row r="587">
      <c r="D587" s="52"/>
    </row>
    <row r="588">
      <c r="D588" s="52"/>
    </row>
    <row r="589">
      <c r="D589" s="52"/>
    </row>
    <row r="590">
      <c r="D590" s="52"/>
    </row>
    <row r="591">
      <c r="D591" s="52"/>
    </row>
    <row r="592">
      <c r="D592" s="52"/>
    </row>
    <row r="593">
      <c r="D593" s="52"/>
    </row>
    <row r="594">
      <c r="D594" s="52"/>
    </row>
    <row r="595">
      <c r="D595" s="52"/>
    </row>
    <row r="596">
      <c r="D596" s="52"/>
    </row>
    <row r="597">
      <c r="D597" s="52"/>
    </row>
    <row r="598">
      <c r="D598" s="52"/>
    </row>
    <row r="599">
      <c r="D599" s="52"/>
    </row>
    <row r="600">
      <c r="D600" s="52"/>
    </row>
    <row r="601">
      <c r="D601" s="52"/>
    </row>
    <row r="602">
      <c r="D602" s="52"/>
    </row>
    <row r="603">
      <c r="D603" s="52"/>
    </row>
    <row r="604">
      <c r="D604" s="52"/>
    </row>
    <row r="605">
      <c r="D605" s="52"/>
    </row>
    <row r="606">
      <c r="D606" s="52"/>
    </row>
    <row r="607">
      <c r="D607" s="52"/>
    </row>
    <row r="608">
      <c r="D608" s="52"/>
    </row>
    <row r="609">
      <c r="D609" s="52"/>
    </row>
    <row r="610">
      <c r="D610" s="52"/>
    </row>
    <row r="611">
      <c r="D611" s="52"/>
    </row>
    <row r="612">
      <c r="D612" s="52"/>
    </row>
    <row r="613">
      <c r="D613" s="52"/>
    </row>
    <row r="614">
      <c r="D614" s="52"/>
    </row>
    <row r="615">
      <c r="D615" s="52"/>
    </row>
    <row r="616">
      <c r="D616" s="52"/>
    </row>
    <row r="617">
      <c r="D617" s="52"/>
    </row>
    <row r="618">
      <c r="D618" s="52"/>
    </row>
    <row r="619">
      <c r="D619" s="52"/>
    </row>
    <row r="620">
      <c r="D620" s="52"/>
    </row>
    <row r="621">
      <c r="D621" s="52"/>
    </row>
    <row r="622">
      <c r="D622" s="52"/>
    </row>
    <row r="623">
      <c r="D623" s="52"/>
    </row>
    <row r="624">
      <c r="D624" s="52"/>
    </row>
    <row r="625">
      <c r="D625" s="52"/>
    </row>
    <row r="626">
      <c r="D626" s="52"/>
    </row>
    <row r="627">
      <c r="D627" s="52"/>
    </row>
    <row r="628">
      <c r="D628" s="52"/>
    </row>
    <row r="629">
      <c r="D629" s="52"/>
    </row>
    <row r="630">
      <c r="D630" s="52"/>
    </row>
    <row r="631">
      <c r="D631" s="52"/>
    </row>
    <row r="632">
      <c r="D632" s="52"/>
    </row>
    <row r="633">
      <c r="D633" s="52"/>
    </row>
    <row r="634">
      <c r="D634" s="52"/>
    </row>
    <row r="635">
      <c r="D635" s="52"/>
    </row>
    <row r="636">
      <c r="D636" s="52"/>
    </row>
    <row r="637">
      <c r="D637" s="52"/>
    </row>
    <row r="638">
      <c r="D638" s="52"/>
    </row>
    <row r="639">
      <c r="D639" s="52"/>
    </row>
    <row r="640">
      <c r="D640" s="52"/>
    </row>
    <row r="641">
      <c r="D641" s="52"/>
    </row>
    <row r="642">
      <c r="D642" s="52"/>
    </row>
    <row r="643">
      <c r="D643" s="52"/>
    </row>
    <row r="644">
      <c r="D644" s="52"/>
    </row>
    <row r="645">
      <c r="D645" s="52"/>
    </row>
    <row r="646">
      <c r="D646" s="52"/>
    </row>
    <row r="647">
      <c r="D647" s="52"/>
    </row>
    <row r="648">
      <c r="D648" s="52"/>
    </row>
    <row r="649">
      <c r="D649" s="52"/>
    </row>
    <row r="650">
      <c r="D650" s="52"/>
    </row>
    <row r="651">
      <c r="D651" s="52"/>
    </row>
    <row r="652">
      <c r="D652" s="52"/>
    </row>
    <row r="653">
      <c r="D653" s="52"/>
    </row>
    <row r="654">
      <c r="D654" s="52"/>
    </row>
    <row r="655">
      <c r="D655" s="52"/>
    </row>
    <row r="656">
      <c r="D656" s="52"/>
    </row>
    <row r="657">
      <c r="D657" s="52"/>
    </row>
    <row r="658">
      <c r="D658" s="52"/>
    </row>
    <row r="659">
      <c r="D659" s="52"/>
    </row>
    <row r="660">
      <c r="D660" s="52"/>
    </row>
    <row r="661">
      <c r="D661" s="52"/>
    </row>
    <row r="662">
      <c r="D662" s="52"/>
    </row>
    <row r="663">
      <c r="D663" s="52"/>
    </row>
    <row r="664">
      <c r="D664" s="52"/>
    </row>
    <row r="665">
      <c r="D665" s="52"/>
    </row>
    <row r="666">
      <c r="D666" s="52"/>
    </row>
    <row r="667">
      <c r="D667" s="52"/>
    </row>
    <row r="668">
      <c r="D668" s="52"/>
    </row>
    <row r="669">
      <c r="D669" s="52"/>
    </row>
    <row r="670">
      <c r="D670" s="52"/>
    </row>
    <row r="671">
      <c r="D671" s="52"/>
    </row>
    <row r="672">
      <c r="D672" s="52"/>
    </row>
    <row r="673">
      <c r="D673" s="52"/>
    </row>
    <row r="674">
      <c r="D674" s="52"/>
    </row>
    <row r="675">
      <c r="D675" s="52"/>
    </row>
    <row r="676">
      <c r="D676" s="52"/>
    </row>
    <row r="677">
      <c r="D677" s="52"/>
    </row>
    <row r="678">
      <c r="D678" s="52"/>
    </row>
    <row r="679">
      <c r="D679" s="52"/>
    </row>
    <row r="680">
      <c r="D680" s="52"/>
    </row>
    <row r="681">
      <c r="D681" s="52"/>
    </row>
    <row r="682">
      <c r="D682" s="52"/>
    </row>
    <row r="683">
      <c r="D683" s="52"/>
    </row>
    <row r="684">
      <c r="D684" s="52"/>
    </row>
    <row r="685">
      <c r="D685" s="52"/>
    </row>
    <row r="686">
      <c r="D686" s="52"/>
    </row>
    <row r="687">
      <c r="D687" s="52"/>
    </row>
    <row r="688">
      <c r="D688" s="52"/>
    </row>
    <row r="689">
      <c r="D689" s="52"/>
    </row>
    <row r="690">
      <c r="D690" s="52"/>
    </row>
    <row r="691">
      <c r="D691" s="52"/>
    </row>
    <row r="692">
      <c r="D692" s="52"/>
    </row>
    <row r="693">
      <c r="D693" s="52"/>
    </row>
    <row r="694">
      <c r="D694" s="52"/>
    </row>
    <row r="695">
      <c r="D695" s="52"/>
    </row>
    <row r="696">
      <c r="D696" s="52"/>
    </row>
    <row r="697">
      <c r="D697" s="52"/>
    </row>
    <row r="698">
      <c r="D698" s="52"/>
    </row>
    <row r="699">
      <c r="D699" s="52"/>
    </row>
    <row r="700">
      <c r="D700" s="52"/>
    </row>
    <row r="701">
      <c r="D701" s="52"/>
    </row>
    <row r="702">
      <c r="D702" s="52"/>
    </row>
    <row r="703">
      <c r="D703" s="52"/>
    </row>
    <row r="704">
      <c r="D704" s="52"/>
    </row>
    <row r="705">
      <c r="D705" s="52"/>
    </row>
    <row r="706">
      <c r="D706" s="52"/>
    </row>
    <row r="707">
      <c r="D707" s="52"/>
    </row>
    <row r="708">
      <c r="D708" s="52"/>
    </row>
    <row r="709">
      <c r="D709" s="52"/>
    </row>
    <row r="710">
      <c r="D710" s="52"/>
    </row>
    <row r="711">
      <c r="D711" s="52"/>
    </row>
    <row r="712">
      <c r="D712" s="52"/>
    </row>
    <row r="713">
      <c r="D713" s="52"/>
    </row>
    <row r="714">
      <c r="D714" s="52"/>
    </row>
    <row r="715">
      <c r="D715" s="52"/>
    </row>
    <row r="716">
      <c r="D716" s="52"/>
    </row>
    <row r="717">
      <c r="D717" s="52"/>
    </row>
    <row r="718">
      <c r="D718" s="52"/>
    </row>
    <row r="719">
      <c r="D719" s="52"/>
    </row>
    <row r="720">
      <c r="D720" s="52"/>
    </row>
    <row r="721">
      <c r="D721" s="52"/>
    </row>
    <row r="722">
      <c r="D722" s="52"/>
    </row>
    <row r="723">
      <c r="D723" s="52"/>
    </row>
    <row r="724">
      <c r="D724" s="52"/>
    </row>
    <row r="725">
      <c r="D725" s="52"/>
    </row>
    <row r="726">
      <c r="D726" s="52"/>
    </row>
    <row r="727">
      <c r="D727" s="52"/>
    </row>
    <row r="728">
      <c r="D728" s="52"/>
    </row>
    <row r="729">
      <c r="D729" s="52"/>
    </row>
    <row r="730">
      <c r="D730" s="52"/>
    </row>
    <row r="731">
      <c r="D731" s="52"/>
    </row>
    <row r="732">
      <c r="D732" s="52"/>
    </row>
    <row r="733">
      <c r="D733" s="52"/>
    </row>
    <row r="734">
      <c r="D734" s="52"/>
    </row>
    <row r="735">
      <c r="D735" s="52"/>
    </row>
    <row r="736">
      <c r="D736" s="52"/>
    </row>
    <row r="737">
      <c r="D737" s="52"/>
    </row>
    <row r="738">
      <c r="D738" s="52"/>
    </row>
    <row r="739">
      <c r="D739" s="52"/>
    </row>
    <row r="740">
      <c r="D740" s="52"/>
    </row>
    <row r="741">
      <c r="D741" s="52"/>
    </row>
    <row r="742">
      <c r="D742" s="52"/>
    </row>
    <row r="743">
      <c r="D743" s="52"/>
    </row>
    <row r="744">
      <c r="D744" s="52"/>
    </row>
    <row r="745">
      <c r="D745" s="52"/>
    </row>
    <row r="746">
      <c r="D746" s="52"/>
    </row>
    <row r="747">
      <c r="D747" s="52"/>
    </row>
    <row r="748">
      <c r="D748" s="52"/>
    </row>
    <row r="749">
      <c r="D749" s="52"/>
    </row>
    <row r="750">
      <c r="D750" s="52"/>
    </row>
    <row r="751">
      <c r="D751" s="52"/>
    </row>
    <row r="752">
      <c r="D752" s="52"/>
    </row>
    <row r="753">
      <c r="D753" s="52"/>
    </row>
    <row r="754">
      <c r="D754" s="52"/>
    </row>
    <row r="755">
      <c r="D755" s="52"/>
    </row>
    <row r="756">
      <c r="D756" s="52"/>
    </row>
    <row r="757">
      <c r="D757" s="52"/>
    </row>
    <row r="758">
      <c r="D758" s="52"/>
    </row>
    <row r="759">
      <c r="D759" s="52"/>
    </row>
    <row r="760">
      <c r="D760" s="52"/>
    </row>
    <row r="761">
      <c r="D761" s="52"/>
    </row>
    <row r="762">
      <c r="D762" s="52"/>
    </row>
    <row r="763">
      <c r="D763" s="52"/>
    </row>
    <row r="764">
      <c r="D764" s="52"/>
    </row>
    <row r="765">
      <c r="D765" s="52"/>
    </row>
    <row r="766">
      <c r="D766" s="52"/>
    </row>
    <row r="767">
      <c r="D767" s="52"/>
    </row>
    <row r="768">
      <c r="D768" s="52"/>
    </row>
    <row r="769">
      <c r="D769" s="52"/>
    </row>
    <row r="770">
      <c r="D770" s="52"/>
    </row>
    <row r="771">
      <c r="D771" s="52"/>
    </row>
    <row r="772">
      <c r="D772" s="52"/>
    </row>
    <row r="773">
      <c r="D773" s="52"/>
    </row>
    <row r="774">
      <c r="D774" s="52"/>
    </row>
    <row r="775">
      <c r="D775" s="52"/>
    </row>
    <row r="776">
      <c r="D776" s="52"/>
    </row>
    <row r="777">
      <c r="D777" s="52"/>
    </row>
    <row r="778">
      <c r="D778" s="52"/>
    </row>
    <row r="779">
      <c r="D779" s="52"/>
    </row>
    <row r="780">
      <c r="D780" s="52"/>
    </row>
    <row r="781">
      <c r="D781" s="52"/>
    </row>
    <row r="782">
      <c r="D782" s="52"/>
    </row>
    <row r="783">
      <c r="D783" s="52"/>
    </row>
    <row r="784">
      <c r="D784" s="52"/>
    </row>
    <row r="785">
      <c r="D785" s="52"/>
    </row>
    <row r="786">
      <c r="D786" s="52"/>
    </row>
    <row r="787">
      <c r="D787" s="52"/>
    </row>
    <row r="788">
      <c r="D788" s="52"/>
    </row>
    <row r="789">
      <c r="D789" s="52"/>
    </row>
    <row r="790">
      <c r="D790" s="52"/>
    </row>
    <row r="791">
      <c r="D791" s="52"/>
    </row>
    <row r="792">
      <c r="D792" s="52"/>
    </row>
    <row r="793">
      <c r="D793" s="52"/>
    </row>
    <row r="794">
      <c r="D794" s="52"/>
    </row>
    <row r="795">
      <c r="D795" s="52"/>
    </row>
    <row r="796">
      <c r="D796" s="52"/>
    </row>
    <row r="797">
      <c r="D797" s="52"/>
    </row>
    <row r="798">
      <c r="D798" s="52"/>
    </row>
    <row r="799">
      <c r="D799" s="52"/>
    </row>
    <row r="800">
      <c r="D800" s="52"/>
    </row>
    <row r="801">
      <c r="D801" s="52"/>
    </row>
    <row r="802">
      <c r="D802" s="52"/>
    </row>
    <row r="803">
      <c r="D803" s="52"/>
    </row>
    <row r="804">
      <c r="D804" s="52"/>
    </row>
    <row r="805">
      <c r="D805" s="52"/>
    </row>
    <row r="806">
      <c r="D806" s="52"/>
    </row>
    <row r="807">
      <c r="D807" s="52"/>
    </row>
    <row r="808">
      <c r="D808" s="52"/>
    </row>
    <row r="809">
      <c r="D809" s="52"/>
    </row>
    <row r="810">
      <c r="D810" s="52"/>
    </row>
    <row r="811">
      <c r="D811" s="52"/>
    </row>
    <row r="812">
      <c r="D812" s="52"/>
    </row>
    <row r="813">
      <c r="D813" s="52"/>
    </row>
    <row r="814">
      <c r="D814" s="52"/>
    </row>
    <row r="815">
      <c r="D815" s="52"/>
    </row>
    <row r="816">
      <c r="D816" s="52"/>
    </row>
    <row r="817">
      <c r="D817" s="52"/>
    </row>
    <row r="818">
      <c r="D818" s="52"/>
    </row>
    <row r="819">
      <c r="D819" s="52"/>
    </row>
    <row r="820">
      <c r="D820" s="52"/>
    </row>
    <row r="821">
      <c r="D821" s="52"/>
    </row>
    <row r="822">
      <c r="D822" s="52"/>
    </row>
    <row r="823">
      <c r="D823" s="52"/>
    </row>
    <row r="824">
      <c r="D824" s="52"/>
    </row>
    <row r="825">
      <c r="D825" s="52"/>
    </row>
    <row r="826">
      <c r="D826" s="52"/>
    </row>
    <row r="827">
      <c r="D827" s="52"/>
    </row>
    <row r="828">
      <c r="D828" s="52"/>
    </row>
    <row r="829">
      <c r="D829" s="52"/>
    </row>
    <row r="830">
      <c r="D830" s="52"/>
    </row>
    <row r="831">
      <c r="D831" s="52"/>
    </row>
    <row r="832">
      <c r="D832" s="52"/>
    </row>
    <row r="833">
      <c r="D833" s="52"/>
    </row>
    <row r="834">
      <c r="D834" s="52"/>
    </row>
    <row r="835">
      <c r="D835" s="52"/>
    </row>
    <row r="836">
      <c r="D836" s="52"/>
    </row>
    <row r="837">
      <c r="D837" s="52"/>
    </row>
    <row r="838">
      <c r="D838" s="52"/>
    </row>
    <row r="839">
      <c r="D839" s="52"/>
    </row>
    <row r="840">
      <c r="D840" s="52"/>
    </row>
    <row r="841">
      <c r="D841" s="52"/>
    </row>
    <row r="842">
      <c r="D842" s="52"/>
    </row>
    <row r="843">
      <c r="D843" s="52"/>
    </row>
  </sheetData>
  <mergeCells count="7">
    <mergeCell ref="A1:F1"/>
    <mergeCell ref="A2:A3"/>
    <mergeCell ref="B2:B3"/>
    <mergeCell ref="C2:C3"/>
    <mergeCell ref="D2:D3"/>
    <mergeCell ref="E2:F2"/>
    <mergeCell ref="A7:E7"/>
  </mergeCells>
  <dataValidations>
    <dataValidation type="list" allowBlank="1" sqref="H4">
      <formula1>"CHECKED (OK),CHECKED  (NOT OK)"</formula1>
    </dataValidation>
  </dataValidations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3" max="3" width="26.75"/>
    <col customWidth="1" min="4" max="4" width="33.25"/>
    <col customWidth="1" min="7" max="7" width="3.5"/>
    <col customWidth="1" min="8" max="8" width="18.63"/>
    <col customWidth="1" min="9" max="9" width="21.63"/>
  </cols>
  <sheetData>
    <row r="1">
      <c r="A1" s="30" t="s">
        <v>1116</v>
      </c>
      <c r="G1" s="31"/>
      <c r="H1" s="32" t="s">
        <v>1117</v>
      </c>
      <c r="I1" s="33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4" t="s">
        <v>1</v>
      </c>
      <c r="B2" s="35" t="s">
        <v>11</v>
      </c>
      <c r="C2" s="35" t="s">
        <v>12</v>
      </c>
      <c r="D2" s="36" t="s">
        <v>13</v>
      </c>
      <c r="E2" s="37" t="s">
        <v>14</v>
      </c>
      <c r="F2" s="38"/>
      <c r="G2" s="39"/>
      <c r="H2" s="40"/>
      <c r="I2" s="40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41"/>
      <c r="B3" s="38"/>
      <c r="C3" s="38"/>
      <c r="D3" s="38"/>
      <c r="E3" s="42" t="s">
        <v>15</v>
      </c>
      <c r="F3" s="43" t="s">
        <v>5</v>
      </c>
      <c r="G3" s="39"/>
      <c r="H3" s="44" t="s">
        <v>6</v>
      </c>
      <c r="I3" s="45" t="s">
        <v>7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24.75" customHeight="1">
      <c r="A4" s="46"/>
      <c r="B4" s="47"/>
      <c r="C4" s="48" t="str">
        <f>vlookup(B4,'Crew Data'!C:G,5,0)</f>
        <v>#N/A</v>
      </c>
      <c r="D4" s="49"/>
      <c r="E4" s="47"/>
      <c r="F4" s="50">
        <f>E4*400</f>
        <v>0</v>
      </c>
      <c r="G4" s="22">
        <f>COUNTIF(B:B,B4)</f>
        <v>0</v>
      </c>
      <c r="H4" s="5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D5" s="52"/>
    </row>
    <row r="6">
      <c r="D6" s="52"/>
    </row>
    <row r="7" ht="44.25" customHeight="1">
      <c r="A7" s="53" t="s">
        <v>16</v>
      </c>
    </row>
    <row r="8">
      <c r="D8" s="52"/>
    </row>
    <row r="9">
      <c r="D9" s="52"/>
    </row>
    <row r="10">
      <c r="D10" s="52"/>
    </row>
    <row r="11">
      <c r="D11" s="52"/>
    </row>
    <row r="12">
      <c r="D12" s="52"/>
    </row>
    <row r="13">
      <c r="D13" s="52"/>
    </row>
    <row r="14">
      <c r="D14" s="52"/>
    </row>
    <row r="15">
      <c r="D15" s="52"/>
    </row>
    <row r="16">
      <c r="D16" s="52"/>
    </row>
    <row r="17">
      <c r="D17" s="52"/>
    </row>
    <row r="18">
      <c r="D18" s="52"/>
    </row>
    <row r="19">
      <c r="D19" s="52"/>
    </row>
    <row r="20">
      <c r="D20" s="52"/>
    </row>
    <row r="21">
      <c r="D21" s="52"/>
    </row>
    <row r="22">
      <c r="D22" s="52"/>
    </row>
    <row r="23">
      <c r="D23" s="52"/>
    </row>
    <row r="24">
      <c r="D24" s="52"/>
    </row>
    <row r="25">
      <c r="D25" s="52"/>
    </row>
    <row r="26">
      <c r="D26" s="52"/>
    </row>
    <row r="27">
      <c r="D27" s="52"/>
    </row>
    <row r="28">
      <c r="D28" s="52"/>
    </row>
    <row r="29">
      <c r="D29" s="52"/>
    </row>
    <row r="30">
      <c r="D30" s="52"/>
    </row>
    <row r="31">
      <c r="D31" s="52"/>
    </row>
    <row r="32">
      <c r="D32" s="52"/>
    </row>
    <row r="33">
      <c r="D33" s="52"/>
    </row>
    <row r="34">
      <c r="D34" s="52"/>
    </row>
    <row r="35">
      <c r="D35" s="52"/>
    </row>
    <row r="36">
      <c r="D36" s="52"/>
    </row>
    <row r="37">
      <c r="D37" s="52"/>
    </row>
    <row r="38">
      <c r="D38" s="52"/>
    </row>
    <row r="39">
      <c r="D39" s="52"/>
    </row>
    <row r="40">
      <c r="D40" s="52"/>
    </row>
    <row r="41">
      <c r="D41" s="52"/>
    </row>
    <row r="42">
      <c r="D42" s="52"/>
    </row>
    <row r="43">
      <c r="D43" s="52"/>
    </row>
    <row r="44">
      <c r="D44" s="52"/>
    </row>
    <row r="45">
      <c r="D45" s="52"/>
    </row>
    <row r="46">
      <c r="D46" s="52"/>
    </row>
    <row r="47">
      <c r="D47" s="52"/>
    </row>
    <row r="48">
      <c r="D48" s="52"/>
    </row>
    <row r="49">
      <c r="D49" s="52"/>
    </row>
    <row r="50">
      <c r="D50" s="52"/>
    </row>
    <row r="51">
      <c r="D51" s="52"/>
    </row>
    <row r="52">
      <c r="D52" s="52"/>
    </row>
    <row r="53">
      <c r="D53" s="52"/>
    </row>
    <row r="54">
      <c r="D54" s="52"/>
    </row>
    <row r="55">
      <c r="D55" s="52"/>
    </row>
    <row r="56">
      <c r="D56" s="52"/>
    </row>
    <row r="57">
      <c r="D57" s="52"/>
    </row>
    <row r="58">
      <c r="D58" s="52"/>
    </row>
    <row r="59">
      <c r="D59" s="52"/>
    </row>
    <row r="60">
      <c r="D60" s="52"/>
    </row>
    <row r="61">
      <c r="D61" s="52"/>
    </row>
    <row r="62">
      <c r="D62" s="52"/>
    </row>
    <row r="63">
      <c r="D63" s="52"/>
    </row>
    <row r="64">
      <c r="D64" s="52"/>
    </row>
    <row r="65">
      <c r="D65" s="52"/>
    </row>
    <row r="66">
      <c r="D66" s="52"/>
    </row>
    <row r="67">
      <c r="D67" s="52"/>
    </row>
    <row r="68">
      <c r="D68" s="52"/>
    </row>
    <row r="69">
      <c r="D69" s="52"/>
    </row>
    <row r="70">
      <c r="D70" s="52"/>
    </row>
    <row r="71">
      <c r="D71" s="52"/>
    </row>
    <row r="72">
      <c r="D72" s="52"/>
    </row>
    <row r="73">
      <c r="D73" s="52"/>
    </row>
    <row r="74">
      <c r="D74" s="52"/>
    </row>
    <row r="75">
      <c r="D75" s="52"/>
    </row>
    <row r="76">
      <c r="D76" s="52"/>
    </row>
    <row r="77">
      <c r="D77" s="52"/>
    </row>
    <row r="78">
      <c r="D78" s="52"/>
    </row>
    <row r="79">
      <c r="D79" s="52"/>
    </row>
    <row r="80">
      <c r="D80" s="52"/>
    </row>
    <row r="81">
      <c r="D81" s="52"/>
    </row>
    <row r="82">
      <c r="D82" s="52"/>
    </row>
    <row r="83">
      <c r="D83" s="52"/>
    </row>
    <row r="84">
      <c r="D84" s="52"/>
    </row>
    <row r="85">
      <c r="D85" s="52"/>
    </row>
    <row r="86">
      <c r="D86" s="52"/>
    </row>
    <row r="87">
      <c r="D87" s="52"/>
    </row>
    <row r="88">
      <c r="D88" s="52"/>
    </row>
    <row r="89">
      <c r="D89" s="52"/>
    </row>
    <row r="90">
      <c r="D90" s="52"/>
    </row>
    <row r="91">
      <c r="D91" s="52"/>
    </row>
    <row r="92">
      <c r="D92" s="52"/>
    </row>
    <row r="93">
      <c r="D93" s="52"/>
    </row>
    <row r="94">
      <c r="D94" s="52"/>
    </row>
    <row r="95">
      <c r="D95" s="52"/>
    </row>
    <row r="96">
      <c r="D96" s="52"/>
    </row>
    <row r="97">
      <c r="D97" s="52"/>
    </row>
    <row r="98">
      <c r="D98" s="52"/>
    </row>
    <row r="99">
      <c r="D99" s="52"/>
    </row>
    <row r="100">
      <c r="D100" s="52"/>
    </row>
    <row r="101">
      <c r="D101" s="52"/>
    </row>
    <row r="102">
      <c r="D102" s="52"/>
    </row>
    <row r="103">
      <c r="D103" s="52"/>
    </row>
    <row r="104">
      <c r="D104" s="52"/>
    </row>
    <row r="105">
      <c r="D105" s="52"/>
    </row>
    <row r="106">
      <c r="D106" s="52"/>
    </row>
    <row r="107">
      <c r="D107" s="52"/>
    </row>
    <row r="108">
      <c r="D108" s="52"/>
    </row>
    <row r="109">
      <c r="D109" s="52"/>
    </row>
    <row r="110">
      <c r="D110" s="52"/>
    </row>
    <row r="111">
      <c r="D111" s="52"/>
    </row>
    <row r="112">
      <c r="D112" s="52"/>
    </row>
    <row r="113">
      <c r="D113" s="52"/>
    </row>
    <row r="114">
      <c r="D114" s="52"/>
    </row>
    <row r="115">
      <c r="D115" s="52"/>
    </row>
    <row r="116">
      <c r="D116" s="52"/>
    </row>
    <row r="117">
      <c r="D117" s="52"/>
    </row>
    <row r="118">
      <c r="D118" s="52"/>
    </row>
    <row r="119">
      <c r="D119" s="52"/>
    </row>
    <row r="120">
      <c r="D120" s="52"/>
    </row>
    <row r="121">
      <c r="D121" s="52"/>
    </row>
    <row r="122">
      <c r="D122" s="52"/>
    </row>
    <row r="123">
      <c r="D123" s="52"/>
    </row>
    <row r="124">
      <c r="D124" s="52"/>
    </row>
    <row r="125">
      <c r="D125" s="52"/>
    </row>
    <row r="126">
      <c r="D126" s="52"/>
    </row>
    <row r="127">
      <c r="D127" s="52"/>
    </row>
    <row r="128">
      <c r="D128" s="52"/>
    </row>
    <row r="129">
      <c r="D129" s="52"/>
    </row>
    <row r="130">
      <c r="D130" s="52"/>
    </row>
    <row r="131">
      <c r="D131" s="52"/>
    </row>
    <row r="132">
      <c r="D132" s="52"/>
    </row>
    <row r="133">
      <c r="D133" s="52"/>
    </row>
    <row r="134">
      <c r="D134" s="52"/>
    </row>
    <row r="135">
      <c r="D135" s="52"/>
    </row>
    <row r="136">
      <c r="D136" s="52"/>
    </row>
    <row r="137">
      <c r="D137" s="52"/>
    </row>
    <row r="138">
      <c r="D138" s="52"/>
    </row>
    <row r="139">
      <c r="D139" s="52"/>
    </row>
    <row r="140">
      <c r="D140" s="52"/>
    </row>
    <row r="141">
      <c r="D141" s="52"/>
    </row>
    <row r="142">
      <c r="D142" s="52"/>
    </row>
    <row r="143">
      <c r="D143" s="52"/>
    </row>
    <row r="144">
      <c r="D144" s="52"/>
    </row>
    <row r="145">
      <c r="D145" s="52"/>
    </row>
    <row r="146">
      <c r="D146" s="52"/>
    </row>
    <row r="147">
      <c r="D147" s="52"/>
    </row>
    <row r="148">
      <c r="D148" s="52"/>
    </row>
    <row r="149">
      <c r="D149" s="52"/>
    </row>
    <row r="150">
      <c r="D150" s="52"/>
    </row>
    <row r="151">
      <c r="D151" s="52"/>
    </row>
    <row r="152">
      <c r="D152" s="52"/>
    </row>
    <row r="153">
      <c r="D153" s="52"/>
    </row>
    <row r="154">
      <c r="D154" s="52"/>
    </row>
    <row r="155">
      <c r="D155" s="52"/>
    </row>
    <row r="156">
      <c r="D156" s="52"/>
    </row>
    <row r="157">
      <c r="D157" s="52"/>
    </row>
    <row r="158">
      <c r="D158" s="52"/>
    </row>
    <row r="159">
      <c r="D159" s="52"/>
    </row>
    <row r="160">
      <c r="D160" s="52"/>
    </row>
    <row r="161">
      <c r="D161" s="52"/>
    </row>
    <row r="162">
      <c r="D162" s="52"/>
    </row>
    <row r="163">
      <c r="D163" s="52"/>
    </row>
    <row r="164">
      <c r="D164" s="52"/>
    </row>
    <row r="165">
      <c r="D165" s="52"/>
    </row>
    <row r="166">
      <c r="D166" s="52"/>
    </row>
    <row r="167">
      <c r="D167" s="52"/>
    </row>
    <row r="168">
      <c r="D168" s="52"/>
    </row>
    <row r="169">
      <c r="D169" s="52"/>
    </row>
    <row r="170">
      <c r="D170" s="52"/>
    </row>
    <row r="171">
      <c r="D171" s="52"/>
    </row>
    <row r="172">
      <c r="D172" s="52"/>
    </row>
    <row r="173">
      <c r="D173" s="52"/>
    </row>
    <row r="174">
      <c r="D174" s="52"/>
    </row>
    <row r="175">
      <c r="D175" s="52"/>
    </row>
    <row r="176">
      <c r="D176" s="52"/>
    </row>
    <row r="177">
      <c r="D177" s="52"/>
    </row>
    <row r="178">
      <c r="D178" s="52"/>
    </row>
    <row r="179">
      <c r="D179" s="52"/>
    </row>
    <row r="180">
      <c r="D180" s="52"/>
    </row>
    <row r="181">
      <c r="D181" s="52"/>
    </row>
    <row r="182">
      <c r="D182" s="52"/>
    </row>
    <row r="183">
      <c r="D183" s="52"/>
    </row>
    <row r="184">
      <c r="D184" s="52"/>
    </row>
    <row r="185">
      <c r="D185" s="52"/>
    </row>
    <row r="186">
      <c r="D186" s="52"/>
    </row>
    <row r="187">
      <c r="D187" s="52"/>
    </row>
    <row r="188">
      <c r="D188" s="52"/>
    </row>
    <row r="189">
      <c r="D189" s="52"/>
    </row>
    <row r="190">
      <c r="D190" s="52"/>
    </row>
    <row r="191">
      <c r="D191" s="52"/>
    </row>
    <row r="192">
      <c r="D192" s="52"/>
    </row>
    <row r="193">
      <c r="D193" s="52"/>
    </row>
    <row r="194">
      <c r="D194" s="52"/>
    </row>
    <row r="195">
      <c r="D195" s="52"/>
    </row>
    <row r="196">
      <c r="D196" s="52"/>
    </row>
    <row r="197">
      <c r="D197" s="52"/>
    </row>
    <row r="198">
      <c r="D198" s="52"/>
    </row>
    <row r="199">
      <c r="D199" s="52"/>
    </row>
    <row r="200">
      <c r="D200" s="52"/>
    </row>
    <row r="201">
      <c r="D201" s="52"/>
    </row>
    <row r="202">
      <c r="D202" s="52"/>
    </row>
    <row r="203">
      <c r="D203" s="52"/>
    </row>
    <row r="204">
      <c r="D204" s="52"/>
    </row>
    <row r="205">
      <c r="D205" s="52"/>
    </row>
    <row r="206">
      <c r="D206" s="52"/>
    </row>
    <row r="207">
      <c r="D207" s="52"/>
    </row>
    <row r="208">
      <c r="D208" s="52"/>
    </row>
    <row r="209">
      <c r="D209" s="52"/>
    </row>
    <row r="210">
      <c r="D210" s="52"/>
    </row>
    <row r="211">
      <c r="D211" s="52"/>
    </row>
    <row r="212">
      <c r="D212" s="52"/>
    </row>
    <row r="213">
      <c r="D213" s="52"/>
    </row>
    <row r="214">
      <c r="D214" s="52"/>
    </row>
    <row r="215">
      <c r="D215" s="52"/>
    </row>
    <row r="216">
      <c r="D216" s="52"/>
    </row>
    <row r="217">
      <c r="D217" s="52"/>
    </row>
    <row r="218">
      <c r="D218" s="52"/>
    </row>
    <row r="219">
      <c r="D219" s="52"/>
    </row>
    <row r="220">
      <c r="D220" s="52"/>
    </row>
    <row r="221">
      <c r="D221" s="52"/>
    </row>
    <row r="222">
      <c r="D222" s="52"/>
    </row>
    <row r="223">
      <c r="D223" s="52"/>
    </row>
    <row r="224">
      <c r="D224" s="52"/>
    </row>
    <row r="225">
      <c r="D225" s="52"/>
    </row>
    <row r="226">
      <c r="D226" s="52"/>
    </row>
    <row r="227">
      <c r="D227" s="52"/>
    </row>
    <row r="228">
      <c r="D228" s="52"/>
    </row>
    <row r="229">
      <c r="D229" s="52"/>
    </row>
    <row r="230">
      <c r="D230" s="52"/>
    </row>
    <row r="231">
      <c r="D231" s="52"/>
    </row>
    <row r="232">
      <c r="D232" s="52"/>
    </row>
    <row r="233">
      <c r="D233" s="52"/>
    </row>
    <row r="234">
      <c r="D234" s="52"/>
    </row>
    <row r="235">
      <c r="D235" s="52"/>
    </row>
    <row r="236">
      <c r="D236" s="52"/>
    </row>
    <row r="237">
      <c r="D237" s="52"/>
    </row>
    <row r="238">
      <c r="D238" s="52"/>
    </row>
    <row r="239">
      <c r="D239" s="52"/>
    </row>
    <row r="240">
      <c r="D240" s="52"/>
    </row>
    <row r="241">
      <c r="D241" s="52"/>
    </row>
    <row r="242">
      <c r="D242" s="52"/>
    </row>
    <row r="243">
      <c r="D243" s="52"/>
    </row>
    <row r="244">
      <c r="D244" s="52"/>
    </row>
    <row r="245">
      <c r="D245" s="52"/>
    </row>
    <row r="246">
      <c r="D246" s="52"/>
    </row>
    <row r="247">
      <c r="D247" s="52"/>
    </row>
    <row r="248">
      <c r="D248" s="52"/>
    </row>
    <row r="249">
      <c r="D249" s="52"/>
    </row>
    <row r="250">
      <c r="D250" s="52"/>
    </row>
    <row r="251">
      <c r="D251" s="52"/>
    </row>
    <row r="252">
      <c r="D252" s="52"/>
    </row>
    <row r="253">
      <c r="D253" s="52"/>
    </row>
    <row r="254">
      <c r="D254" s="52"/>
    </row>
    <row r="255">
      <c r="D255" s="52"/>
    </row>
    <row r="256">
      <c r="D256" s="52"/>
    </row>
    <row r="257">
      <c r="D257" s="52"/>
    </row>
    <row r="258">
      <c r="D258" s="52"/>
    </row>
    <row r="259">
      <c r="D259" s="52"/>
    </row>
    <row r="260">
      <c r="D260" s="52"/>
    </row>
    <row r="261">
      <c r="D261" s="52"/>
    </row>
    <row r="262">
      <c r="D262" s="52"/>
    </row>
    <row r="263">
      <c r="D263" s="52"/>
    </row>
    <row r="264">
      <c r="D264" s="52"/>
    </row>
    <row r="265">
      <c r="D265" s="52"/>
    </row>
    <row r="266">
      <c r="D266" s="52"/>
    </row>
    <row r="267">
      <c r="D267" s="52"/>
    </row>
    <row r="268">
      <c r="D268" s="52"/>
    </row>
    <row r="269">
      <c r="D269" s="52"/>
    </row>
    <row r="270">
      <c r="D270" s="52"/>
    </row>
    <row r="271">
      <c r="D271" s="52"/>
    </row>
    <row r="272">
      <c r="D272" s="52"/>
    </row>
    <row r="273">
      <c r="D273" s="52"/>
    </row>
    <row r="274">
      <c r="D274" s="52"/>
    </row>
    <row r="275">
      <c r="D275" s="52"/>
    </row>
    <row r="276">
      <c r="D276" s="52"/>
    </row>
    <row r="277">
      <c r="D277" s="52"/>
    </row>
    <row r="278">
      <c r="D278" s="52"/>
    </row>
    <row r="279">
      <c r="D279" s="52"/>
    </row>
    <row r="280">
      <c r="D280" s="52"/>
    </row>
    <row r="281">
      <c r="D281" s="52"/>
    </row>
    <row r="282">
      <c r="D282" s="52"/>
    </row>
    <row r="283">
      <c r="D283" s="52"/>
    </row>
    <row r="284">
      <c r="D284" s="52"/>
    </row>
    <row r="285">
      <c r="D285" s="52"/>
    </row>
    <row r="286">
      <c r="D286" s="52"/>
    </row>
    <row r="287">
      <c r="D287" s="52"/>
    </row>
    <row r="288">
      <c r="D288" s="52"/>
    </row>
    <row r="289">
      <c r="D289" s="52"/>
    </row>
    <row r="290">
      <c r="D290" s="52"/>
    </row>
    <row r="291">
      <c r="D291" s="52"/>
    </row>
    <row r="292">
      <c r="D292" s="52"/>
    </row>
    <row r="293">
      <c r="D293" s="52"/>
    </row>
    <row r="294">
      <c r="D294" s="52"/>
    </row>
    <row r="295">
      <c r="D295" s="52"/>
    </row>
    <row r="296">
      <c r="D296" s="52"/>
    </row>
    <row r="297">
      <c r="D297" s="52"/>
    </row>
    <row r="298">
      <c r="D298" s="52"/>
    </row>
    <row r="299">
      <c r="D299" s="52"/>
    </row>
    <row r="300">
      <c r="D300" s="52"/>
    </row>
    <row r="301">
      <c r="D301" s="52"/>
    </row>
    <row r="302">
      <c r="D302" s="52"/>
    </row>
    <row r="303">
      <c r="D303" s="52"/>
    </row>
    <row r="304">
      <c r="D304" s="52"/>
    </row>
    <row r="305">
      <c r="D305" s="52"/>
    </row>
    <row r="306">
      <c r="D306" s="52"/>
    </row>
    <row r="307">
      <c r="D307" s="52"/>
    </row>
    <row r="308">
      <c r="D308" s="52"/>
    </row>
    <row r="309">
      <c r="D309" s="52"/>
    </row>
    <row r="310">
      <c r="D310" s="52"/>
    </row>
    <row r="311">
      <c r="D311" s="52"/>
    </row>
    <row r="312">
      <c r="D312" s="52"/>
    </row>
    <row r="313">
      <c r="D313" s="52"/>
    </row>
    <row r="314">
      <c r="D314" s="52"/>
    </row>
    <row r="315">
      <c r="D315" s="52"/>
    </row>
    <row r="316">
      <c r="D316" s="52"/>
    </row>
    <row r="317">
      <c r="D317" s="52"/>
    </row>
    <row r="318">
      <c r="D318" s="52"/>
    </row>
    <row r="319">
      <c r="D319" s="52"/>
    </row>
    <row r="320">
      <c r="D320" s="52"/>
    </row>
    <row r="321">
      <c r="D321" s="52"/>
    </row>
    <row r="322">
      <c r="D322" s="52"/>
    </row>
    <row r="323">
      <c r="D323" s="52"/>
    </row>
    <row r="324">
      <c r="D324" s="52"/>
    </row>
    <row r="325">
      <c r="D325" s="52"/>
    </row>
    <row r="326">
      <c r="D326" s="52"/>
    </row>
    <row r="327">
      <c r="D327" s="52"/>
    </row>
    <row r="328">
      <c r="D328" s="52"/>
    </row>
    <row r="329">
      <c r="D329" s="52"/>
    </row>
    <row r="330">
      <c r="D330" s="52"/>
    </row>
    <row r="331">
      <c r="D331" s="52"/>
    </row>
    <row r="332">
      <c r="D332" s="52"/>
    </row>
    <row r="333">
      <c r="D333" s="52"/>
    </row>
    <row r="334">
      <c r="D334" s="52"/>
    </row>
    <row r="335">
      <c r="D335" s="52"/>
    </row>
    <row r="336">
      <c r="D336" s="52"/>
    </row>
    <row r="337">
      <c r="D337" s="52"/>
    </row>
    <row r="338">
      <c r="D338" s="52"/>
    </row>
    <row r="339">
      <c r="D339" s="52"/>
    </row>
    <row r="340">
      <c r="D340" s="52"/>
    </row>
    <row r="341">
      <c r="D341" s="52"/>
    </row>
    <row r="342">
      <c r="D342" s="52"/>
    </row>
    <row r="343">
      <c r="D343" s="52"/>
    </row>
    <row r="344">
      <c r="D344" s="52"/>
    </row>
    <row r="345">
      <c r="D345" s="52"/>
    </row>
    <row r="346">
      <c r="D346" s="52"/>
    </row>
    <row r="347">
      <c r="D347" s="52"/>
    </row>
    <row r="348">
      <c r="D348" s="52"/>
    </row>
    <row r="349">
      <c r="D349" s="52"/>
    </row>
    <row r="350">
      <c r="D350" s="52"/>
    </row>
    <row r="351">
      <c r="D351" s="52"/>
    </row>
    <row r="352">
      <c r="D352" s="52"/>
    </row>
    <row r="353">
      <c r="D353" s="52"/>
    </row>
    <row r="354">
      <c r="D354" s="52"/>
    </row>
    <row r="355">
      <c r="D355" s="52"/>
    </row>
    <row r="356">
      <c r="D356" s="52"/>
    </row>
    <row r="357">
      <c r="D357" s="52"/>
    </row>
    <row r="358">
      <c r="D358" s="52"/>
    </row>
    <row r="359">
      <c r="D359" s="52"/>
    </row>
    <row r="360">
      <c r="D360" s="52"/>
    </row>
    <row r="361">
      <c r="D361" s="52"/>
    </row>
    <row r="362">
      <c r="D362" s="52"/>
    </row>
    <row r="363">
      <c r="D363" s="52"/>
    </row>
    <row r="364">
      <c r="D364" s="52"/>
    </row>
    <row r="365">
      <c r="D365" s="52"/>
    </row>
    <row r="366">
      <c r="D366" s="52"/>
    </row>
    <row r="367">
      <c r="D367" s="52"/>
    </row>
    <row r="368">
      <c r="D368" s="52"/>
    </row>
    <row r="369">
      <c r="D369" s="52"/>
    </row>
    <row r="370">
      <c r="D370" s="52"/>
    </row>
    <row r="371">
      <c r="D371" s="52"/>
    </row>
    <row r="372">
      <c r="D372" s="52"/>
    </row>
    <row r="373">
      <c r="D373" s="52"/>
    </row>
    <row r="374">
      <c r="D374" s="52"/>
    </row>
    <row r="375">
      <c r="D375" s="52"/>
    </row>
    <row r="376">
      <c r="D376" s="52"/>
    </row>
    <row r="377">
      <c r="D377" s="52"/>
    </row>
    <row r="378">
      <c r="D378" s="52"/>
    </row>
    <row r="379">
      <c r="D379" s="52"/>
    </row>
    <row r="380">
      <c r="D380" s="52"/>
    </row>
    <row r="381">
      <c r="D381" s="52"/>
    </row>
    <row r="382">
      <c r="D382" s="52"/>
    </row>
    <row r="383">
      <c r="D383" s="52"/>
    </row>
    <row r="384">
      <c r="D384" s="52"/>
    </row>
    <row r="385">
      <c r="D385" s="52"/>
    </row>
    <row r="386">
      <c r="D386" s="52"/>
    </row>
    <row r="387">
      <c r="D387" s="52"/>
    </row>
    <row r="388">
      <c r="D388" s="52"/>
    </row>
    <row r="389">
      <c r="D389" s="52"/>
    </row>
    <row r="390">
      <c r="D390" s="52"/>
    </row>
    <row r="391">
      <c r="D391" s="52"/>
    </row>
    <row r="392">
      <c r="D392" s="52"/>
    </row>
    <row r="393">
      <c r="D393" s="52"/>
    </row>
    <row r="394">
      <c r="D394" s="52"/>
    </row>
    <row r="395">
      <c r="D395" s="52"/>
    </row>
    <row r="396">
      <c r="D396" s="52"/>
    </row>
    <row r="397">
      <c r="D397" s="52"/>
    </row>
    <row r="398">
      <c r="D398" s="52"/>
    </row>
    <row r="399">
      <c r="D399" s="52"/>
    </row>
    <row r="400">
      <c r="D400" s="52"/>
    </row>
    <row r="401">
      <c r="D401" s="52"/>
    </row>
    <row r="402">
      <c r="D402" s="52"/>
    </row>
    <row r="403">
      <c r="D403" s="52"/>
    </row>
    <row r="404">
      <c r="D404" s="52"/>
    </row>
    <row r="405">
      <c r="D405" s="52"/>
    </row>
    <row r="406">
      <c r="D406" s="52"/>
    </row>
    <row r="407">
      <c r="D407" s="52"/>
    </row>
    <row r="408">
      <c r="D408" s="52"/>
    </row>
    <row r="409">
      <c r="D409" s="52"/>
    </row>
    <row r="410">
      <c r="D410" s="52"/>
    </row>
    <row r="411">
      <c r="D411" s="52"/>
    </row>
    <row r="412">
      <c r="D412" s="52"/>
    </row>
    <row r="413">
      <c r="D413" s="52"/>
    </row>
    <row r="414">
      <c r="D414" s="52"/>
    </row>
    <row r="415">
      <c r="D415" s="52"/>
    </row>
    <row r="416">
      <c r="D416" s="52"/>
    </row>
    <row r="417">
      <c r="D417" s="52"/>
    </row>
    <row r="418">
      <c r="D418" s="52"/>
    </row>
    <row r="419">
      <c r="D419" s="52"/>
    </row>
    <row r="420">
      <c r="D420" s="52"/>
    </row>
    <row r="421">
      <c r="D421" s="52"/>
    </row>
    <row r="422">
      <c r="D422" s="52"/>
    </row>
    <row r="423">
      <c r="D423" s="52"/>
    </row>
    <row r="424">
      <c r="D424" s="52"/>
    </row>
    <row r="425">
      <c r="D425" s="52"/>
    </row>
    <row r="426">
      <c r="D426" s="52"/>
    </row>
    <row r="427">
      <c r="D427" s="52"/>
    </row>
    <row r="428">
      <c r="D428" s="52"/>
    </row>
    <row r="429">
      <c r="D429" s="52"/>
    </row>
    <row r="430">
      <c r="D430" s="52"/>
    </row>
    <row r="431">
      <c r="D431" s="52"/>
    </row>
    <row r="432">
      <c r="D432" s="52"/>
    </row>
    <row r="433">
      <c r="D433" s="52"/>
    </row>
    <row r="434">
      <c r="D434" s="52"/>
    </row>
    <row r="435">
      <c r="D435" s="52"/>
    </row>
    <row r="436">
      <c r="D436" s="52"/>
    </row>
    <row r="437">
      <c r="D437" s="52"/>
    </row>
    <row r="438">
      <c r="D438" s="52"/>
    </row>
    <row r="439">
      <c r="D439" s="52"/>
    </row>
    <row r="440">
      <c r="D440" s="52"/>
    </row>
    <row r="441">
      <c r="D441" s="52"/>
    </row>
    <row r="442">
      <c r="D442" s="52"/>
    </row>
    <row r="443">
      <c r="D443" s="52"/>
    </row>
    <row r="444">
      <c r="D444" s="52"/>
    </row>
    <row r="445">
      <c r="D445" s="52"/>
    </row>
    <row r="446">
      <c r="D446" s="52"/>
    </row>
    <row r="447">
      <c r="D447" s="52"/>
    </row>
    <row r="448">
      <c r="D448" s="52"/>
    </row>
    <row r="449">
      <c r="D449" s="52"/>
    </row>
    <row r="450">
      <c r="D450" s="52"/>
    </row>
    <row r="451">
      <c r="D451" s="52"/>
    </row>
    <row r="452">
      <c r="D452" s="52"/>
    </row>
    <row r="453">
      <c r="D453" s="52"/>
    </row>
    <row r="454">
      <c r="D454" s="52"/>
    </row>
    <row r="455">
      <c r="D455" s="52"/>
    </row>
    <row r="456">
      <c r="D456" s="52"/>
    </row>
    <row r="457">
      <c r="D457" s="52"/>
    </row>
    <row r="458">
      <c r="D458" s="52"/>
    </row>
    <row r="459">
      <c r="D459" s="52"/>
    </row>
    <row r="460">
      <c r="D460" s="52"/>
    </row>
    <row r="461">
      <c r="D461" s="52"/>
    </row>
    <row r="462">
      <c r="D462" s="52"/>
    </row>
    <row r="463">
      <c r="D463" s="52"/>
    </row>
    <row r="464">
      <c r="D464" s="52"/>
    </row>
    <row r="465">
      <c r="D465" s="52"/>
    </row>
    <row r="466">
      <c r="D466" s="52"/>
    </row>
    <row r="467">
      <c r="D467" s="52"/>
    </row>
    <row r="468">
      <c r="D468" s="52"/>
    </row>
    <row r="469">
      <c r="D469" s="52"/>
    </row>
    <row r="470">
      <c r="D470" s="52"/>
    </row>
    <row r="471">
      <c r="D471" s="52"/>
    </row>
    <row r="472">
      <c r="D472" s="52"/>
    </row>
    <row r="473">
      <c r="D473" s="52"/>
    </row>
    <row r="474">
      <c r="D474" s="52"/>
    </row>
    <row r="475">
      <c r="D475" s="52"/>
    </row>
    <row r="476">
      <c r="D476" s="52"/>
    </row>
    <row r="477">
      <c r="D477" s="52"/>
    </row>
    <row r="478">
      <c r="D478" s="52"/>
    </row>
    <row r="479">
      <c r="D479" s="52"/>
    </row>
    <row r="480">
      <c r="D480" s="52"/>
    </row>
    <row r="481">
      <c r="D481" s="52"/>
    </row>
    <row r="482">
      <c r="D482" s="52"/>
    </row>
    <row r="483">
      <c r="D483" s="52"/>
    </row>
    <row r="484">
      <c r="D484" s="52"/>
    </row>
    <row r="485">
      <c r="D485" s="52"/>
    </row>
    <row r="486">
      <c r="D486" s="52"/>
    </row>
    <row r="487">
      <c r="D487" s="52"/>
    </row>
    <row r="488">
      <c r="D488" s="52"/>
    </row>
    <row r="489">
      <c r="D489" s="52"/>
    </row>
    <row r="490">
      <c r="D490" s="52"/>
    </row>
    <row r="491">
      <c r="D491" s="52"/>
    </row>
    <row r="492">
      <c r="D492" s="52"/>
    </row>
    <row r="493">
      <c r="D493" s="52"/>
    </row>
    <row r="494">
      <c r="D494" s="52"/>
    </row>
    <row r="495">
      <c r="D495" s="52"/>
    </row>
    <row r="496">
      <c r="D496" s="52"/>
    </row>
    <row r="497">
      <c r="D497" s="52"/>
    </row>
    <row r="498">
      <c r="D498" s="52"/>
    </row>
    <row r="499">
      <c r="D499" s="52"/>
    </row>
    <row r="500">
      <c r="D500" s="52"/>
    </row>
    <row r="501">
      <c r="D501" s="52"/>
    </row>
    <row r="502">
      <c r="D502" s="52"/>
    </row>
    <row r="503">
      <c r="D503" s="52"/>
    </row>
    <row r="504">
      <c r="D504" s="52"/>
    </row>
    <row r="505">
      <c r="D505" s="52"/>
    </row>
    <row r="506">
      <c r="D506" s="52"/>
    </row>
    <row r="507">
      <c r="D507" s="52"/>
    </row>
    <row r="508">
      <c r="D508" s="52"/>
    </row>
    <row r="509">
      <c r="D509" s="52"/>
    </row>
    <row r="510">
      <c r="D510" s="52"/>
    </row>
    <row r="511">
      <c r="D511" s="52"/>
    </row>
    <row r="512">
      <c r="D512" s="52"/>
    </row>
    <row r="513">
      <c r="D513" s="52"/>
    </row>
    <row r="514">
      <c r="D514" s="52"/>
    </row>
    <row r="515">
      <c r="D515" s="52"/>
    </row>
    <row r="516">
      <c r="D516" s="52"/>
    </row>
    <row r="517">
      <c r="D517" s="52"/>
    </row>
    <row r="518">
      <c r="D518" s="52"/>
    </row>
    <row r="519">
      <c r="D519" s="52"/>
    </row>
    <row r="520">
      <c r="D520" s="52"/>
    </row>
    <row r="521">
      <c r="D521" s="52"/>
    </row>
    <row r="522">
      <c r="D522" s="52"/>
    </row>
    <row r="523">
      <c r="D523" s="52"/>
    </row>
    <row r="524">
      <c r="D524" s="52"/>
    </row>
    <row r="525">
      <c r="D525" s="52"/>
    </row>
    <row r="526">
      <c r="D526" s="52"/>
    </row>
    <row r="527">
      <c r="D527" s="52"/>
    </row>
    <row r="528">
      <c r="D528" s="52"/>
    </row>
    <row r="529">
      <c r="D529" s="52"/>
    </row>
    <row r="530">
      <c r="D530" s="52"/>
    </row>
    <row r="531">
      <c r="D531" s="52"/>
    </row>
    <row r="532">
      <c r="D532" s="52"/>
    </row>
    <row r="533">
      <c r="D533" s="52"/>
    </row>
    <row r="534">
      <c r="D534" s="52"/>
    </row>
    <row r="535">
      <c r="D535" s="52"/>
    </row>
    <row r="536">
      <c r="D536" s="52"/>
    </row>
    <row r="537">
      <c r="D537" s="52"/>
    </row>
    <row r="538">
      <c r="D538" s="52"/>
    </row>
    <row r="539">
      <c r="D539" s="52"/>
    </row>
    <row r="540">
      <c r="D540" s="52"/>
    </row>
    <row r="541">
      <c r="D541" s="52"/>
    </row>
    <row r="542">
      <c r="D542" s="52"/>
    </row>
    <row r="543">
      <c r="D543" s="52"/>
    </row>
    <row r="544">
      <c r="D544" s="52"/>
    </row>
    <row r="545">
      <c r="D545" s="52"/>
    </row>
    <row r="546">
      <c r="D546" s="52"/>
    </row>
    <row r="547">
      <c r="D547" s="52"/>
    </row>
    <row r="548">
      <c r="D548" s="52"/>
    </row>
    <row r="549">
      <c r="D549" s="52"/>
    </row>
    <row r="550">
      <c r="D550" s="52"/>
    </row>
    <row r="551">
      <c r="D551" s="52"/>
    </row>
    <row r="552">
      <c r="D552" s="52"/>
    </row>
    <row r="553">
      <c r="D553" s="52"/>
    </row>
    <row r="554">
      <c r="D554" s="52"/>
    </row>
    <row r="555">
      <c r="D555" s="52"/>
    </row>
    <row r="556">
      <c r="D556" s="52"/>
    </row>
    <row r="557">
      <c r="D557" s="52"/>
    </row>
    <row r="558">
      <c r="D558" s="52"/>
    </row>
    <row r="559">
      <c r="D559" s="52"/>
    </row>
    <row r="560">
      <c r="D560" s="52"/>
    </row>
    <row r="561">
      <c r="D561" s="52"/>
    </row>
    <row r="562">
      <c r="D562" s="52"/>
    </row>
    <row r="563">
      <c r="D563" s="52"/>
    </row>
    <row r="564">
      <c r="D564" s="52"/>
    </row>
    <row r="565">
      <c r="D565" s="52"/>
    </row>
    <row r="566">
      <c r="D566" s="52"/>
    </row>
    <row r="567">
      <c r="D567" s="52"/>
    </row>
    <row r="568">
      <c r="D568" s="52"/>
    </row>
    <row r="569">
      <c r="D569" s="52"/>
    </row>
    <row r="570">
      <c r="D570" s="52"/>
    </row>
    <row r="571">
      <c r="D571" s="52"/>
    </row>
    <row r="572">
      <c r="D572" s="52"/>
    </row>
    <row r="573">
      <c r="D573" s="52"/>
    </row>
    <row r="574">
      <c r="D574" s="52"/>
    </row>
    <row r="575">
      <c r="D575" s="52"/>
    </row>
    <row r="576">
      <c r="D576" s="52"/>
    </row>
    <row r="577">
      <c r="D577" s="52"/>
    </row>
    <row r="578">
      <c r="D578" s="52"/>
    </row>
    <row r="579">
      <c r="D579" s="52"/>
    </row>
    <row r="580">
      <c r="D580" s="52"/>
    </row>
    <row r="581">
      <c r="D581" s="52"/>
    </row>
    <row r="582">
      <c r="D582" s="52"/>
    </row>
    <row r="583">
      <c r="D583" s="52"/>
    </row>
    <row r="584">
      <c r="D584" s="52"/>
    </row>
    <row r="585">
      <c r="D585" s="52"/>
    </row>
    <row r="586">
      <c r="D586" s="52"/>
    </row>
    <row r="587">
      <c r="D587" s="52"/>
    </row>
    <row r="588">
      <c r="D588" s="52"/>
    </row>
    <row r="589">
      <c r="D589" s="52"/>
    </row>
    <row r="590">
      <c r="D590" s="52"/>
    </row>
    <row r="591">
      <c r="D591" s="52"/>
    </row>
    <row r="592">
      <c r="D592" s="52"/>
    </row>
    <row r="593">
      <c r="D593" s="52"/>
    </row>
    <row r="594">
      <c r="D594" s="52"/>
    </row>
    <row r="595">
      <c r="D595" s="52"/>
    </row>
    <row r="596">
      <c r="D596" s="52"/>
    </row>
    <row r="597">
      <c r="D597" s="52"/>
    </row>
    <row r="598">
      <c r="D598" s="52"/>
    </row>
    <row r="599">
      <c r="D599" s="52"/>
    </row>
    <row r="600">
      <c r="D600" s="52"/>
    </row>
    <row r="601">
      <c r="D601" s="52"/>
    </row>
    <row r="602">
      <c r="D602" s="52"/>
    </row>
    <row r="603">
      <c r="D603" s="52"/>
    </row>
    <row r="604">
      <c r="D604" s="52"/>
    </row>
    <row r="605">
      <c r="D605" s="52"/>
    </row>
    <row r="606">
      <c r="D606" s="52"/>
    </row>
    <row r="607">
      <c r="D607" s="52"/>
    </row>
    <row r="608">
      <c r="D608" s="52"/>
    </row>
    <row r="609">
      <c r="D609" s="52"/>
    </row>
    <row r="610">
      <c r="D610" s="52"/>
    </row>
    <row r="611">
      <c r="D611" s="52"/>
    </row>
    <row r="612">
      <c r="D612" s="52"/>
    </row>
    <row r="613">
      <c r="D613" s="52"/>
    </row>
    <row r="614">
      <c r="D614" s="52"/>
    </row>
    <row r="615">
      <c r="D615" s="52"/>
    </row>
    <row r="616">
      <c r="D616" s="52"/>
    </row>
    <row r="617">
      <c r="D617" s="52"/>
    </row>
    <row r="618">
      <c r="D618" s="52"/>
    </row>
    <row r="619">
      <c r="D619" s="52"/>
    </row>
    <row r="620">
      <c r="D620" s="52"/>
    </row>
    <row r="621">
      <c r="D621" s="52"/>
    </row>
    <row r="622">
      <c r="D622" s="52"/>
    </row>
    <row r="623">
      <c r="D623" s="52"/>
    </row>
    <row r="624">
      <c r="D624" s="52"/>
    </row>
    <row r="625">
      <c r="D625" s="52"/>
    </row>
    <row r="626">
      <c r="D626" s="52"/>
    </row>
    <row r="627">
      <c r="D627" s="52"/>
    </row>
    <row r="628">
      <c r="D628" s="52"/>
    </row>
    <row r="629">
      <c r="D629" s="52"/>
    </row>
    <row r="630">
      <c r="D630" s="52"/>
    </row>
    <row r="631">
      <c r="D631" s="52"/>
    </row>
    <row r="632">
      <c r="D632" s="52"/>
    </row>
    <row r="633">
      <c r="D633" s="52"/>
    </row>
    <row r="634">
      <c r="D634" s="52"/>
    </row>
    <row r="635">
      <c r="D635" s="52"/>
    </row>
    <row r="636">
      <c r="D636" s="52"/>
    </row>
    <row r="637">
      <c r="D637" s="52"/>
    </row>
    <row r="638">
      <c r="D638" s="52"/>
    </row>
    <row r="639">
      <c r="D639" s="52"/>
    </row>
    <row r="640">
      <c r="D640" s="52"/>
    </row>
    <row r="641">
      <c r="D641" s="52"/>
    </row>
    <row r="642">
      <c r="D642" s="52"/>
    </row>
    <row r="643">
      <c r="D643" s="52"/>
    </row>
    <row r="644">
      <c r="D644" s="52"/>
    </row>
    <row r="645">
      <c r="D645" s="52"/>
    </row>
    <row r="646">
      <c r="D646" s="52"/>
    </row>
    <row r="647">
      <c r="D647" s="52"/>
    </row>
    <row r="648">
      <c r="D648" s="52"/>
    </row>
    <row r="649">
      <c r="D649" s="52"/>
    </row>
    <row r="650">
      <c r="D650" s="52"/>
    </row>
    <row r="651">
      <c r="D651" s="52"/>
    </row>
    <row r="652">
      <c r="D652" s="52"/>
    </row>
    <row r="653">
      <c r="D653" s="52"/>
    </row>
    <row r="654">
      <c r="D654" s="52"/>
    </row>
    <row r="655">
      <c r="D655" s="52"/>
    </row>
    <row r="656">
      <c r="D656" s="52"/>
    </row>
    <row r="657">
      <c r="D657" s="52"/>
    </row>
    <row r="658">
      <c r="D658" s="52"/>
    </row>
    <row r="659">
      <c r="D659" s="52"/>
    </row>
    <row r="660">
      <c r="D660" s="52"/>
    </row>
    <row r="661">
      <c r="D661" s="52"/>
    </row>
    <row r="662">
      <c r="D662" s="52"/>
    </row>
    <row r="663">
      <c r="D663" s="52"/>
    </row>
    <row r="664">
      <c r="D664" s="52"/>
    </row>
    <row r="665">
      <c r="D665" s="52"/>
    </row>
    <row r="666">
      <c r="D666" s="52"/>
    </row>
    <row r="667">
      <c r="D667" s="52"/>
    </row>
    <row r="668">
      <c r="D668" s="52"/>
    </row>
    <row r="669">
      <c r="D669" s="52"/>
    </row>
    <row r="670">
      <c r="D670" s="52"/>
    </row>
    <row r="671">
      <c r="D671" s="52"/>
    </row>
    <row r="672">
      <c r="D672" s="52"/>
    </row>
    <row r="673">
      <c r="D673" s="52"/>
    </row>
    <row r="674">
      <c r="D674" s="52"/>
    </row>
    <row r="675">
      <c r="D675" s="52"/>
    </row>
    <row r="676">
      <c r="D676" s="52"/>
    </row>
    <row r="677">
      <c r="D677" s="52"/>
    </row>
    <row r="678">
      <c r="D678" s="52"/>
    </row>
    <row r="679">
      <c r="D679" s="52"/>
    </row>
    <row r="680">
      <c r="D680" s="52"/>
    </row>
    <row r="681">
      <c r="D681" s="52"/>
    </row>
    <row r="682">
      <c r="D682" s="52"/>
    </row>
    <row r="683">
      <c r="D683" s="52"/>
    </row>
    <row r="684">
      <c r="D684" s="52"/>
    </row>
    <row r="685">
      <c r="D685" s="52"/>
    </row>
    <row r="686">
      <c r="D686" s="52"/>
    </row>
    <row r="687">
      <c r="D687" s="52"/>
    </row>
    <row r="688">
      <c r="D688" s="52"/>
    </row>
    <row r="689">
      <c r="D689" s="52"/>
    </row>
    <row r="690">
      <c r="D690" s="52"/>
    </row>
    <row r="691">
      <c r="D691" s="52"/>
    </row>
    <row r="692">
      <c r="D692" s="52"/>
    </row>
    <row r="693">
      <c r="D693" s="52"/>
    </row>
    <row r="694">
      <c r="D694" s="52"/>
    </row>
    <row r="695">
      <c r="D695" s="52"/>
    </row>
    <row r="696">
      <c r="D696" s="52"/>
    </row>
    <row r="697">
      <c r="D697" s="52"/>
    </row>
    <row r="698">
      <c r="D698" s="52"/>
    </row>
    <row r="699">
      <c r="D699" s="52"/>
    </row>
    <row r="700">
      <c r="D700" s="52"/>
    </row>
    <row r="701">
      <c r="D701" s="52"/>
    </row>
    <row r="702">
      <c r="D702" s="52"/>
    </row>
    <row r="703">
      <c r="D703" s="52"/>
    </row>
    <row r="704">
      <c r="D704" s="52"/>
    </row>
    <row r="705">
      <c r="D705" s="52"/>
    </row>
    <row r="706">
      <c r="D706" s="52"/>
    </row>
    <row r="707">
      <c r="D707" s="52"/>
    </row>
    <row r="708">
      <c r="D708" s="52"/>
    </row>
    <row r="709">
      <c r="D709" s="52"/>
    </row>
    <row r="710">
      <c r="D710" s="52"/>
    </row>
    <row r="711">
      <c r="D711" s="52"/>
    </row>
    <row r="712">
      <c r="D712" s="52"/>
    </row>
    <row r="713">
      <c r="D713" s="52"/>
    </row>
    <row r="714">
      <c r="D714" s="52"/>
    </row>
    <row r="715">
      <c r="D715" s="52"/>
    </row>
    <row r="716">
      <c r="D716" s="52"/>
    </row>
    <row r="717">
      <c r="D717" s="52"/>
    </row>
    <row r="718">
      <c r="D718" s="52"/>
    </row>
    <row r="719">
      <c r="D719" s="52"/>
    </row>
    <row r="720">
      <c r="D720" s="52"/>
    </row>
    <row r="721">
      <c r="D721" s="52"/>
    </row>
    <row r="722">
      <c r="D722" s="52"/>
    </row>
    <row r="723">
      <c r="D723" s="52"/>
    </row>
    <row r="724">
      <c r="D724" s="52"/>
    </row>
    <row r="725">
      <c r="D725" s="52"/>
    </row>
    <row r="726">
      <c r="D726" s="52"/>
    </row>
    <row r="727">
      <c r="D727" s="52"/>
    </row>
    <row r="728">
      <c r="D728" s="52"/>
    </row>
    <row r="729">
      <c r="D729" s="52"/>
    </row>
    <row r="730">
      <c r="D730" s="52"/>
    </row>
    <row r="731">
      <c r="D731" s="52"/>
    </row>
    <row r="732">
      <c r="D732" s="52"/>
    </row>
    <row r="733">
      <c r="D733" s="52"/>
    </row>
    <row r="734">
      <c r="D734" s="52"/>
    </row>
    <row r="735">
      <c r="D735" s="52"/>
    </row>
    <row r="736">
      <c r="D736" s="52"/>
    </row>
    <row r="737">
      <c r="D737" s="52"/>
    </row>
    <row r="738">
      <c r="D738" s="52"/>
    </row>
    <row r="739">
      <c r="D739" s="52"/>
    </row>
    <row r="740">
      <c r="D740" s="52"/>
    </row>
    <row r="741">
      <c r="D741" s="52"/>
    </row>
    <row r="742">
      <c r="D742" s="52"/>
    </row>
    <row r="743">
      <c r="D743" s="52"/>
    </row>
    <row r="744">
      <c r="D744" s="52"/>
    </row>
    <row r="745">
      <c r="D745" s="52"/>
    </row>
    <row r="746">
      <c r="D746" s="52"/>
    </row>
    <row r="747">
      <c r="D747" s="52"/>
    </row>
    <row r="748">
      <c r="D748" s="52"/>
    </row>
    <row r="749">
      <c r="D749" s="52"/>
    </row>
    <row r="750">
      <c r="D750" s="52"/>
    </row>
    <row r="751">
      <c r="D751" s="52"/>
    </row>
    <row r="752">
      <c r="D752" s="52"/>
    </row>
    <row r="753">
      <c r="D753" s="52"/>
    </row>
    <row r="754">
      <c r="D754" s="52"/>
    </row>
    <row r="755">
      <c r="D755" s="52"/>
    </row>
    <row r="756">
      <c r="D756" s="52"/>
    </row>
    <row r="757">
      <c r="D757" s="52"/>
    </row>
    <row r="758">
      <c r="D758" s="52"/>
    </row>
    <row r="759">
      <c r="D759" s="52"/>
    </row>
    <row r="760">
      <c r="D760" s="52"/>
    </row>
    <row r="761">
      <c r="D761" s="52"/>
    </row>
    <row r="762">
      <c r="D762" s="52"/>
    </row>
    <row r="763">
      <c r="D763" s="52"/>
    </row>
    <row r="764">
      <c r="D764" s="52"/>
    </row>
    <row r="765">
      <c r="D765" s="52"/>
    </row>
    <row r="766">
      <c r="D766" s="52"/>
    </row>
    <row r="767">
      <c r="D767" s="52"/>
    </row>
    <row r="768">
      <c r="D768" s="52"/>
    </row>
    <row r="769">
      <c r="D769" s="52"/>
    </row>
    <row r="770">
      <c r="D770" s="52"/>
    </row>
    <row r="771">
      <c r="D771" s="52"/>
    </row>
    <row r="772">
      <c r="D772" s="52"/>
    </row>
    <row r="773">
      <c r="D773" s="52"/>
    </row>
    <row r="774">
      <c r="D774" s="52"/>
    </row>
    <row r="775">
      <c r="D775" s="52"/>
    </row>
    <row r="776">
      <c r="D776" s="52"/>
    </row>
    <row r="777">
      <c r="D777" s="52"/>
    </row>
    <row r="778">
      <c r="D778" s="52"/>
    </row>
    <row r="779">
      <c r="D779" s="52"/>
    </row>
    <row r="780">
      <c r="D780" s="52"/>
    </row>
    <row r="781">
      <c r="D781" s="52"/>
    </row>
    <row r="782">
      <c r="D782" s="52"/>
    </row>
    <row r="783">
      <c r="D783" s="52"/>
    </row>
    <row r="784">
      <c r="D784" s="52"/>
    </row>
    <row r="785">
      <c r="D785" s="52"/>
    </row>
    <row r="786">
      <c r="D786" s="52"/>
    </row>
    <row r="787">
      <c r="D787" s="52"/>
    </row>
    <row r="788">
      <c r="D788" s="52"/>
    </row>
    <row r="789">
      <c r="D789" s="52"/>
    </row>
    <row r="790">
      <c r="D790" s="52"/>
    </row>
    <row r="791">
      <c r="D791" s="52"/>
    </row>
    <row r="792">
      <c r="D792" s="52"/>
    </row>
    <row r="793">
      <c r="D793" s="52"/>
    </row>
    <row r="794">
      <c r="D794" s="52"/>
    </row>
    <row r="795">
      <c r="D795" s="52"/>
    </row>
    <row r="796">
      <c r="D796" s="52"/>
    </row>
    <row r="797">
      <c r="D797" s="52"/>
    </row>
    <row r="798">
      <c r="D798" s="52"/>
    </row>
    <row r="799">
      <c r="D799" s="52"/>
    </row>
    <row r="800">
      <c r="D800" s="52"/>
    </row>
    <row r="801">
      <c r="D801" s="52"/>
    </row>
    <row r="802">
      <c r="D802" s="52"/>
    </row>
    <row r="803">
      <c r="D803" s="52"/>
    </row>
    <row r="804">
      <c r="D804" s="52"/>
    </row>
    <row r="805">
      <c r="D805" s="52"/>
    </row>
    <row r="806">
      <c r="D806" s="52"/>
    </row>
    <row r="807">
      <c r="D807" s="52"/>
    </row>
    <row r="808">
      <c r="D808" s="52"/>
    </row>
    <row r="809">
      <c r="D809" s="52"/>
    </row>
    <row r="810">
      <c r="D810" s="52"/>
    </row>
    <row r="811">
      <c r="D811" s="52"/>
    </row>
    <row r="812">
      <c r="D812" s="52"/>
    </row>
    <row r="813">
      <c r="D813" s="52"/>
    </row>
    <row r="814">
      <c r="D814" s="52"/>
    </row>
    <row r="815">
      <c r="D815" s="52"/>
    </row>
    <row r="816">
      <c r="D816" s="52"/>
    </row>
    <row r="817">
      <c r="D817" s="52"/>
    </row>
    <row r="818">
      <c r="D818" s="52"/>
    </row>
    <row r="819">
      <c r="D819" s="52"/>
    </row>
    <row r="820">
      <c r="D820" s="52"/>
    </row>
    <row r="821">
      <c r="D821" s="52"/>
    </row>
    <row r="822">
      <c r="D822" s="52"/>
    </row>
    <row r="823">
      <c r="D823" s="52"/>
    </row>
    <row r="824">
      <c r="D824" s="52"/>
    </row>
    <row r="825">
      <c r="D825" s="52"/>
    </row>
    <row r="826">
      <c r="D826" s="52"/>
    </row>
    <row r="827">
      <c r="D827" s="52"/>
    </row>
    <row r="828">
      <c r="D828" s="52"/>
    </row>
    <row r="829">
      <c r="D829" s="52"/>
    </row>
    <row r="830">
      <c r="D830" s="52"/>
    </row>
    <row r="831">
      <c r="D831" s="52"/>
    </row>
    <row r="832">
      <c r="D832" s="52"/>
    </row>
    <row r="833">
      <c r="D833" s="52"/>
    </row>
    <row r="834">
      <c r="D834" s="52"/>
    </row>
    <row r="835">
      <c r="D835" s="52"/>
    </row>
    <row r="836">
      <c r="D836" s="52"/>
    </row>
    <row r="837">
      <c r="D837" s="52"/>
    </row>
    <row r="838">
      <c r="D838" s="52"/>
    </row>
    <row r="839">
      <c r="D839" s="52"/>
    </row>
    <row r="840">
      <c r="D840" s="52"/>
    </row>
    <row r="841">
      <c r="D841" s="52"/>
    </row>
    <row r="842">
      <c r="D842" s="52"/>
    </row>
    <row r="843">
      <c r="D843" s="52"/>
    </row>
  </sheetData>
  <mergeCells count="7">
    <mergeCell ref="A1:F1"/>
    <mergeCell ref="A2:A3"/>
    <mergeCell ref="B2:B3"/>
    <mergeCell ref="C2:C3"/>
    <mergeCell ref="D2:D3"/>
    <mergeCell ref="E2:F2"/>
    <mergeCell ref="A7:E7"/>
  </mergeCells>
  <dataValidations>
    <dataValidation type="list" allowBlank="1" sqref="H4">
      <formula1>"CHECKED (OK),CHECKED  (NOT OK)"</formula1>
    </dataValidation>
  </dataValidations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3" max="3" width="26.75"/>
    <col customWidth="1" min="4" max="4" width="33.25"/>
    <col customWidth="1" min="7" max="7" width="3.5"/>
    <col customWidth="1" min="8" max="8" width="18.63"/>
    <col customWidth="1" min="9" max="9" width="21.63"/>
  </cols>
  <sheetData>
    <row r="1">
      <c r="A1" s="30" t="s">
        <v>1118</v>
      </c>
      <c r="G1" s="31"/>
      <c r="H1" s="32" t="s">
        <v>1119</v>
      </c>
      <c r="I1" s="33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4" t="s">
        <v>1</v>
      </c>
      <c r="B2" s="35" t="s">
        <v>11</v>
      </c>
      <c r="C2" s="35" t="s">
        <v>12</v>
      </c>
      <c r="D2" s="36" t="s">
        <v>13</v>
      </c>
      <c r="E2" s="37" t="s">
        <v>14</v>
      </c>
      <c r="F2" s="38"/>
      <c r="G2" s="39"/>
      <c r="H2" s="40"/>
      <c r="I2" s="40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41"/>
      <c r="B3" s="38"/>
      <c r="C3" s="38"/>
      <c r="D3" s="38"/>
      <c r="E3" s="42" t="s">
        <v>15</v>
      </c>
      <c r="F3" s="43" t="s">
        <v>5</v>
      </c>
      <c r="G3" s="39"/>
      <c r="H3" s="44" t="s">
        <v>6</v>
      </c>
      <c r="I3" s="45" t="s">
        <v>7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24.75" customHeight="1">
      <c r="A4" s="46"/>
      <c r="B4" s="47"/>
      <c r="C4" s="48" t="str">
        <f>vlookup(B4,'Crew Data'!C:G,5,0)</f>
        <v>#N/A</v>
      </c>
      <c r="D4" s="49"/>
      <c r="E4" s="47"/>
      <c r="F4" s="50">
        <f>E4*400</f>
        <v>0</v>
      </c>
      <c r="G4" s="22">
        <f>COUNTIF(B:B,B4)</f>
        <v>0</v>
      </c>
      <c r="H4" s="5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D5" s="52"/>
    </row>
    <row r="6">
      <c r="D6" s="52"/>
    </row>
    <row r="7" ht="44.25" customHeight="1">
      <c r="A7" s="53" t="s">
        <v>16</v>
      </c>
    </row>
    <row r="8">
      <c r="D8" s="52"/>
    </row>
    <row r="9">
      <c r="D9" s="52"/>
    </row>
    <row r="10">
      <c r="D10" s="52"/>
    </row>
    <row r="11">
      <c r="D11" s="52"/>
    </row>
    <row r="12">
      <c r="D12" s="52"/>
    </row>
    <row r="13">
      <c r="D13" s="52"/>
    </row>
    <row r="14">
      <c r="D14" s="52"/>
    </row>
    <row r="15">
      <c r="D15" s="52"/>
    </row>
    <row r="16">
      <c r="D16" s="52"/>
    </row>
    <row r="17">
      <c r="D17" s="52"/>
    </row>
    <row r="18">
      <c r="D18" s="52"/>
    </row>
    <row r="19">
      <c r="D19" s="52"/>
    </row>
    <row r="20">
      <c r="D20" s="52"/>
    </row>
    <row r="21">
      <c r="D21" s="52"/>
    </row>
    <row r="22">
      <c r="D22" s="52"/>
    </row>
    <row r="23">
      <c r="D23" s="52"/>
    </row>
    <row r="24">
      <c r="D24" s="52"/>
    </row>
    <row r="25">
      <c r="D25" s="52"/>
    </row>
    <row r="26">
      <c r="D26" s="52"/>
    </row>
    <row r="27">
      <c r="D27" s="52"/>
    </row>
    <row r="28">
      <c r="D28" s="52"/>
    </row>
    <row r="29">
      <c r="D29" s="52"/>
    </row>
    <row r="30">
      <c r="D30" s="52"/>
    </row>
    <row r="31">
      <c r="D31" s="52"/>
    </row>
    <row r="32">
      <c r="D32" s="52"/>
    </row>
    <row r="33">
      <c r="D33" s="52"/>
    </row>
    <row r="34">
      <c r="D34" s="52"/>
    </row>
    <row r="35">
      <c r="D35" s="52"/>
    </row>
    <row r="36">
      <c r="D36" s="52"/>
    </row>
    <row r="37">
      <c r="D37" s="52"/>
    </row>
    <row r="38">
      <c r="D38" s="52"/>
    </row>
    <row r="39">
      <c r="D39" s="52"/>
    </row>
    <row r="40">
      <c r="D40" s="52"/>
    </row>
    <row r="41">
      <c r="D41" s="52"/>
    </row>
    <row r="42">
      <c r="D42" s="52"/>
    </row>
    <row r="43">
      <c r="D43" s="52"/>
    </row>
    <row r="44">
      <c r="D44" s="52"/>
    </row>
    <row r="45">
      <c r="D45" s="52"/>
    </row>
    <row r="46">
      <c r="D46" s="52"/>
    </row>
    <row r="47">
      <c r="D47" s="52"/>
    </row>
    <row r="48">
      <c r="D48" s="52"/>
    </row>
    <row r="49">
      <c r="D49" s="52"/>
    </row>
    <row r="50">
      <c r="D50" s="52"/>
    </row>
    <row r="51">
      <c r="D51" s="52"/>
    </row>
    <row r="52">
      <c r="D52" s="52"/>
    </row>
    <row r="53">
      <c r="D53" s="52"/>
    </row>
    <row r="54">
      <c r="D54" s="52"/>
    </row>
    <row r="55">
      <c r="D55" s="52"/>
    </row>
    <row r="56">
      <c r="D56" s="52"/>
    </row>
    <row r="57">
      <c r="D57" s="52"/>
    </row>
    <row r="58">
      <c r="D58" s="52"/>
    </row>
    <row r="59">
      <c r="D59" s="52"/>
    </row>
    <row r="60">
      <c r="D60" s="52"/>
    </row>
    <row r="61">
      <c r="D61" s="52"/>
    </row>
    <row r="62">
      <c r="D62" s="52"/>
    </row>
    <row r="63">
      <c r="D63" s="52"/>
    </row>
    <row r="64">
      <c r="D64" s="52"/>
    </row>
    <row r="65">
      <c r="D65" s="52"/>
    </row>
    <row r="66">
      <c r="D66" s="52"/>
    </row>
    <row r="67">
      <c r="D67" s="52"/>
    </row>
    <row r="68">
      <c r="D68" s="52"/>
    </row>
    <row r="69">
      <c r="D69" s="52"/>
    </row>
    <row r="70">
      <c r="D70" s="52"/>
    </row>
    <row r="71">
      <c r="D71" s="52"/>
    </row>
    <row r="72">
      <c r="D72" s="52"/>
    </row>
    <row r="73">
      <c r="D73" s="52"/>
    </row>
    <row r="74">
      <c r="D74" s="52"/>
    </row>
    <row r="75">
      <c r="D75" s="52"/>
    </row>
    <row r="76">
      <c r="D76" s="52"/>
    </row>
    <row r="77">
      <c r="D77" s="52"/>
    </row>
    <row r="78">
      <c r="D78" s="52"/>
    </row>
    <row r="79">
      <c r="D79" s="52"/>
    </row>
    <row r="80">
      <c r="D80" s="52"/>
    </row>
    <row r="81">
      <c r="D81" s="52"/>
    </row>
    <row r="82">
      <c r="D82" s="52"/>
    </row>
    <row r="83">
      <c r="D83" s="52"/>
    </row>
    <row r="84">
      <c r="D84" s="52"/>
    </row>
    <row r="85">
      <c r="D85" s="52"/>
    </row>
    <row r="86">
      <c r="D86" s="52"/>
    </row>
    <row r="87">
      <c r="D87" s="52"/>
    </row>
    <row r="88">
      <c r="D88" s="52"/>
    </row>
    <row r="89">
      <c r="D89" s="52"/>
    </row>
    <row r="90">
      <c r="D90" s="52"/>
    </row>
    <row r="91">
      <c r="D91" s="52"/>
    </row>
    <row r="92">
      <c r="D92" s="52"/>
    </row>
    <row r="93">
      <c r="D93" s="52"/>
    </row>
    <row r="94">
      <c r="D94" s="52"/>
    </row>
    <row r="95">
      <c r="D95" s="52"/>
    </row>
    <row r="96">
      <c r="D96" s="52"/>
    </row>
    <row r="97">
      <c r="D97" s="52"/>
    </row>
    <row r="98">
      <c r="D98" s="52"/>
    </row>
    <row r="99">
      <c r="D99" s="52"/>
    </row>
    <row r="100">
      <c r="D100" s="52"/>
    </row>
    <row r="101">
      <c r="D101" s="52"/>
    </row>
    <row r="102">
      <c r="D102" s="52"/>
    </row>
    <row r="103">
      <c r="D103" s="52"/>
    </row>
    <row r="104">
      <c r="D104" s="52"/>
    </row>
    <row r="105">
      <c r="D105" s="52"/>
    </row>
    <row r="106">
      <c r="D106" s="52"/>
    </row>
    <row r="107">
      <c r="D107" s="52"/>
    </row>
    <row r="108">
      <c r="D108" s="52"/>
    </row>
    <row r="109">
      <c r="D109" s="52"/>
    </row>
    <row r="110">
      <c r="D110" s="52"/>
    </row>
    <row r="111">
      <c r="D111" s="52"/>
    </row>
    <row r="112">
      <c r="D112" s="52"/>
    </row>
    <row r="113">
      <c r="D113" s="52"/>
    </row>
    <row r="114">
      <c r="D114" s="52"/>
    </row>
    <row r="115">
      <c r="D115" s="52"/>
    </row>
    <row r="116">
      <c r="D116" s="52"/>
    </row>
    <row r="117">
      <c r="D117" s="52"/>
    </row>
    <row r="118">
      <c r="D118" s="52"/>
    </row>
    <row r="119">
      <c r="D119" s="52"/>
    </row>
    <row r="120">
      <c r="D120" s="52"/>
    </row>
    <row r="121">
      <c r="D121" s="52"/>
    </row>
    <row r="122">
      <c r="D122" s="52"/>
    </row>
    <row r="123">
      <c r="D123" s="52"/>
    </row>
    <row r="124">
      <c r="D124" s="52"/>
    </row>
    <row r="125">
      <c r="D125" s="52"/>
    </row>
    <row r="126">
      <c r="D126" s="52"/>
    </row>
    <row r="127">
      <c r="D127" s="52"/>
    </row>
    <row r="128">
      <c r="D128" s="52"/>
    </row>
    <row r="129">
      <c r="D129" s="52"/>
    </row>
    <row r="130">
      <c r="D130" s="52"/>
    </row>
    <row r="131">
      <c r="D131" s="52"/>
    </row>
    <row r="132">
      <c r="D132" s="52"/>
    </row>
    <row r="133">
      <c r="D133" s="52"/>
    </row>
    <row r="134">
      <c r="D134" s="52"/>
    </row>
    <row r="135">
      <c r="D135" s="52"/>
    </row>
    <row r="136">
      <c r="D136" s="52"/>
    </row>
    <row r="137">
      <c r="D137" s="52"/>
    </row>
    <row r="138">
      <c r="D138" s="52"/>
    </row>
    <row r="139">
      <c r="D139" s="52"/>
    </row>
    <row r="140">
      <c r="D140" s="52"/>
    </row>
    <row r="141">
      <c r="D141" s="52"/>
    </row>
    <row r="142">
      <c r="D142" s="52"/>
    </row>
    <row r="143">
      <c r="D143" s="52"/>
    </row>
    <row r="144">
      <c r="D144" s="52"/>
    </row>
    <row r="145">
      <c r="D145" s="52"/>
    </row>
    <row r="146">
      <c r="D146" s="52"/>
    </row>
    <row r="147">
      <c r="D147" s="52"/>
    </row>
    <row r="148">
      <c r="D148" s="52"/>
    </row>
    <row r="149">
      <c r="D149" s="52"/>
    </row>
    <row r="150">
      <c r="D150" s="52"/>
    </row>
    <row r="151">
      <c r="D151" s="52"/>
    </row>
    <row r="152">
      <c r="D152" s="52"/>
    </row>
    <row r="153">
      <c r="D153" s="52"/>
    </row>
    <row r="154">
      <c r="D154" s="52"/>
    </row>
    <row r="155">
      <c r="D155" s="52"/>
    </row>
    <row r="156">
      <c r="D156" s="52"/>
    </row>
    <row r="157">
      <c r="D157" s="52"/>
    </row>
    <row r="158">
      <c r="D158" s="52"/>
    </row>
    <row r="159">
      <c r="D159" s="52"/>
    </row>
    <row r="160">
      <c r="D160" s="52"/>
    </row>
    <row r="161">
      <c r="D161" s="52"/>
    </row>
    <row r="162">
      <c r="D162" s="52"/>
    </row>
    <row r="163">
      <c r="D163" s="52"/>
    </row>
    <row r="164">
      <c r="D164" s="52"/>
    </row>
    <row r="165">
      <c r="D165" s="52"/>
    </row>
    <row r="166">
      <c r="D166" s="52"/>
    </row>
    <row r="167">
      <c r="D167" s="52"/>
    </row>
    <row r="168">
      <c r="D168" s="52"/>
    </row>
    <row r="169">
      <c r="D169" s="52"/>
    </row>
    <row r="170">
      <c r="D170" s="52"/>
    </row>
    <row r="171">
      <c r="D171" s="52"/>
    </row>
    <row r="172">
      <c r="D172" s="52"/>
    </row>
    <row r="173">
      <c r="D173" s="52"/>
    </row>
    <row r="174">
      <c r="D174" s="52"/>
    </row>
    <row r="175">
      <c r="D175" s="52"/>
    </row>
    <row r="176">
      <c r="D176" s="52"/>
    </row>
    <row r="177">
      <c r="D177" s="52"/>
    </row>
    <row r="178">
      <c r="D178" s="52"/>
    </row>
    <row r="179">
      <c r="D179" s="52"/>
    </row>
    <row r="180">
      <c r="D180" s="52"/>
    </row>
    <row r="181">
      <c r="D181" s="52"/>
    </row>
    <row r="182">
      <c r="D182" s="52"/>
    </row>
    <row r="183">
      <c r="D183" s="52"/>
    </row>
    <row r="184">
      <c r="D184" s="52"/>
    </row>
    <row r="185">
      <c r="D185" s="52"/>
    </row>
    <row r="186">
      <c r="D186" s="52"/>
    </row>
    <row r="187">
      <c r="D187" s="52"/>
    </row>
    <row r="188">
      <c r="D188" s="52"/>
    </row>
    <row r="189">
      <c r="D189" s="52"/>
    </row>
    <row r="190">
      <c r="D190" s="52"/>
    </row>
    <row r="191">
      <c r="D191" s="52"/>
    </row>
    <row r="192">
      <c r="D192" s="52"/>
    </row>
    <row r="193">
      <c r="D193" s="52"/>
    </row>
    <row r="194">
      <c r="D194" s="52"/>
    </row>
    <row r="195">
      <c r="D195" s="52"/>
    </row>
    <row r="196">
      <c r="D196" s="52"/>
    </row>
    <row r="197">
      <c r="D197" s="52"/>
    </row>
    <row r="198">
      <c r="D198" s="52"/>
    </row>
    <row r="199">
      <c r="D199" s="52"/>
    </row>
    <row r="200">
      <c r="D200" s="52"/>
    </row>
    <row r="201">
      <c r="D201" s="52"/>
    </row>
    <row r="202">
      <c r="D202" s="52"/>
    </row>
    <row r="203">
      <c r="D203" s="52"/>
    </row>
    <row r="204">
      <c r="D204" s="52"/>
    </row>
    <row r="205">
      <c r="D205" s="52"/>
    </row>
    <row r="206">
      <c r="D206" s="52"/>
    </row>
    <row r="207">
      <c r="D207" s="52"/>
    </row>
    <row r="208">
      <c r="D208" s="52"/>
    </row>
    <row r="209">
      <c r="D209" s="52"/>
    </row>
    <row r="210">
      <c r="D210" s="52"/>
    </row>
    <row r="211">
      <c r="D211" s="52"/>
    </row>
    <row r="212">
      <c r="D212" s="52"/>
    </row>
    <row r="213">
      <c r="D213" s="52"/>
    </row>
    <row r="214">
      <c r="D214" s="52"/>
    </row>
    <row r="215">
      <c r="D215" s="52"/>
    </row>
    <row r="216">
      <c r="D216" s="52"/>
    </row>
    <row r="217">
      <c r="D217" s="52"/>
    </row>
    <row r="218">
      <c r="D218" s="52"/>
    </row>
    <row r="219">
      <c r="D219" s="52"/>
    </row>
    <row r="220">
      <c r="D220" s="52"/>
    </row>
    <row r="221">
      <c r="D221" s="52"/>
    </row>
    <row r="222">
      <c r="D222" s="52"/>
    </row>
    <row r="223">
      <c r="D223" s="52"/>
    </row>
    <row r="224">
      <c r="D224" s="52"/>
    </row>
    <row r="225">
      <c r="D225" s="52"/>
    </row>
    <row r="226">
      <c r="D226" s="52"/>
    </row>
    <row r="227">
      <c r="D227" s="52"/>
    </row>
    <row r="228">
      <c r="D228" s="52"/>
    </row>
    <row r="229">
      <c r="D229" s="52"/>
    </row>
    <row r="230">
      <c r="D230" s="52"/>
    </row>
    <row r="231">
      <c r="D231" s="52"/>
    </row>
    <row r="232">
      <c r="D232" s="52"/>
    </row>
    <row r="233">
      <c r="D233" s="52"/>
    </row>
    <row r="234">
      <c r="D234" s="52"/>
    </row>
    <row r="235">
      <c r="D235" s="52"/>
    </row>
    <row r="236">
      <c r="D236" s="52"/>
    </row>
    <row r="237">
      <c r="D237" s="52"/>
    </row>
    <row r="238">
      <c r="D238" s="52"/>
    </row>
    <row r="239">
      <c r="D239" s="52"/>
    </row>
    <row r="240">
      <c r="D240" s="52"/>
    </row>
    <row r="241">
      <c r="D241" s="52"/>
    </row>
    <row r="242">
      <c r="D242" s="52"/>
    </row>
    <row r="243">
      <c r="D243" s="52"/>
    </row>
    <row r="244">
      <c r="D244" s="52"/>
    </row>
    <row r="245">
      <c r="D245" s="52"/>
    </row>
    <row r="246">
      <c r="D246" s="52"/>
    </row>
    <row r="247">
      <c r="D247" s="52"/>
    </row>
    <row r="248">
      <c r="D248" s="52"/>
    </row>
    <row r="249">
      <c r="D249" s="52"/>
    </row>
    <row r="250">
      <c r="D250" s="52"/>
    </row>
    <row r="251">
      <c r="D251" s="52"/>
    </row>
    <row r="252">
      <c r="D252" s="52"/>
    </row>
    <row r="253">
      <c r="D253" s="52"/>
    </row>
    <row r="254">
      <c r="D254" s="52"/>
    </row>
    <row r="255">
      <c r="D255" s="52"/>
    </row>
    <row r="256">
      <c r="D256" s="52"/>
    </row>
    <row r="257">
      <c r="D257" s="52"/>
    </row>
    <row r="258">
      <c r="D258" s="52"/>
    </row>
    <row r="259">
      <c r="D259" s="52"/>
    </row>
    <row r="260">
      <c r="D260" s="52"/>
    </row>
    <row r="261">
      <c r="D261" s="52"/>
    </row>
    <row r="262">
      <c r="D262" s="52"/>
    </row>
    <row r="263">
      <c r="D263" s="52"/>
    </row>
    <row r="264">
      <c r="D264" s="52"/>
    </row>
    <row r="265">
      <c r="D265" s="52"/>
    </row>
    <row r="266">
      <c r="D266" s="52"/>
    </row>
    <row r="267">
      <c r="D267" s="52"/>
    </row>
    <row r="268">
      <c r="D268" s="52"/>
    </row>
    <row r="269">
      <c r="D269" s="52"/>
    </row>
    <row r="270">
      <c r="D270" s="52"/>
    </row>
    <row r="271">
      <c r="D271" s="52"/>
    </row>
    <row r="272">
      <c r="D272" s="52"/>
    </row>
    <row r="273">
      <c r="D273" s="52"/>
    </row>
    <row r="274">
      <c r="D274" s="52"/>
    </row>
    <row r="275">
      <c r="D275" s="52"/>
    </row>
    <row r="276">
      <c r="D276" s="52"/>
    </row>
    <row r="277">
      <c r="D277" s="52"/>
    </row>
    <row r="278">
      <c r="D278" s="52"/>
    </row>
    <row r="279">
      <c r="D279" s="52"/>
    </row>
    <row r="280">
      <c r="D280" s="52"/>
    </row>
    <row r="281">
      <c r="D281" s="52"/>
    </row>
    <row r="282">
      <c r="D282" s="52"/>
    </row>
    <row r="283">
      <c r="D283" s="52"/>
    </row>
    <row r="284">
      <c r="D284" s="52"/>
    </row>
    <row r="285">
      <c r="D285" s="52"/>
    </row>
    <row r="286">
      <c r="D286" s="52"/>
    </row>
    <row r="287">
      <c r="D287" s="52"/>
    </row>
    <row r="288">
      <c r="D288" s="52"/>
    </row>
    <row r="289">
      <c r="D289" s="52"/>
    </row>
    <row r="290">
      <c r="D290" s="52"/>
    </row>
    <row r="291">
      <c r="D291" s="52"/>
    </row>
    <row r="292">
      <c r="D292" s="52"/>
    </row>
    <row r="293">
      <c r="D293" s="52"/>
    </row>
    <row r="294">
      <c r="D294" s="52"/>
    </row>
    <row r="295">
      <c r="D295" s="52"/>
    </row>
    <row r="296">
      <c r="D296" s="52"/>
    </row>
    <row r="297">
      <c r="D297" s="52"/>
    </row>
    <row r="298">
      <c r="D298" s="52"/>
    </row>
    <row r="299">
      <c r="D299" s="52"/>
    </row>
    <row r="300">
      <c r="D300" s="52"/>
    </row>
    <row r="301">
      <c r="D301" s="52"/>
    </row>
    <row r="302">
      <c r="D302" s="52"/>
    </row>
    <row r="303">
      <c r="D303" s="52"/>
    </row>
    <row r="304">
      <c r="D304" s="52"/>
    </row>
    <row r="305">
      <c r="D305" s="52"/>
    </row>
    <row r="306">
      <c r="D306" s="52"/>
    </row>
    <row r="307">
      <c r="D307" s="52"/>
    </row>
    <row r="308">
      <c r="D308" s="52"/>
    </row>
    <row r="309">
      <c r="D309" s="52"/>
    </row>
    <row r="310">
      <c r="D310" s="52"/>
    </row>
    <row r="311">
      <c r="D311" s="52"/>
    </row>
    <row r="312">
      <c r="D312" s="52"/>
    </row>
    <row r="313">
      <c r="D313" s="52"/>
    </row>
    <row r="314">
      <c r="D314" s="52"/>
    </row>
    <row r="315">
      <c r="D315" s="52"/>
    </row>
    <row r="316">
      <c r="D316" s="52"/>
    </row>
    <row r="317">
      <c r="D317" s="52"/>
    </row>
    <row r="318">
      <c r="D318" s="52"/>
    </row>
    <row r="319">
      <c r="D319" s="52"/>
    </row>
    <row r="320">
      <c r="D320" s="52"/>
    </row>
    <row r="321">
      <c r="D321" s="52"/>
    </row>
    <row r="322">
      <c r="D322" s="52"/>
    </row>
    <row r="323">
      <c r="D323" s="52"/>
    </row>
    <row r="324">
      <c r="D324" s="52"/>
    </row>
    <row r="325">
      <c r="D325" s="52"/>
    </row>
    <row r="326">
      <c r="D326" s="52"/>
    </row>
    <row r="327">
      <c r="D327" s="52"/>
    </row>
    <row r="328">
      <c r="D328" s="52"/>
    </row>
    <row r="329">
      <c r="D329" s="52"/>
    </row>
    <row r="330">
      <c r="D330" s="52"/>
    </row>
    <row r="331">
      <c r="D331" s="52"/>
    </row>
    <row r="332">
      <c r="D332" s="52"/>
    </row>
    <row r="333">
      <c r="D333" s="52"/>
    </row>
    <row r="334">
      <c r="D334" s="52"/>
    </row>
    <row r="335">
      <c r="D335" s="52"/>
    </row>
    <row r="336">
      <c r="D336" s="52"/>
    </row>
    <row r="337">
      <c r="D337" s="52"/>
    </row>
    <row r="338">
      <c r="D338" s="52"/>
    </row>
    <row r="339">
      <c r="D339" s="52"/>
    </row>
    <row r="340">
      <c r="D340" s="52"/>
    </row>
    <row r="341">
      <c r="D341" s="52"/>
    </row>
    <row r="342">
      <c r="D342" s="52"/>
    </row>
    <row r="343">
      <c r="D343" s="52"/>
    </row>
    <row r="344">
      <c r="D344" s="52"/>
    </row>
    <row r="345">
      <c r="D345" s="52"/>
    </row>
    <row r="346">
      <c r="D346" s="52"/>
    </row>
    <row r="347">
      <c r="D347" s="52"/>
    </row>
    <row r="348">
      <c r="D348" s="52"/>
    </row>
    <row r="349">
      <c r="D349" s="52"/>
    </row>
    <row r="350">
      <c r="D350" s="52"/>
    </row>
    <row r="351">
      <c r="D351" s="52"/>
    </row>
    <row r="352">
      <c r="D352" s="52"/>
    </row>
    <row r="353">
      <c r="D353" s="52"/>
    </row>
    <row r="354">
      <c r="D354" s="52"/>
    </row>
    <row r="355">
      <c r="D355" s="52"/>
    </row>
    <row r="356">
      <c r="D356" s="52"/>
    </row>
    <row r="357">
      <c r="D357" s="52"/>
    </row>
    <row r="358">
      <c r="D358" s="52"/>
    </row>
    <row r="359">
      <c r="D359" s="52"/>
    </row>
    <row r="360">
      <c r="D360" s="52"/>
    </row>
    <row r="361">
      <c r="D361" s="52"/>
    </row>
    <row r="362">
      <c r="D362" s="52"/>
    </row>
    <row r="363">
      <c r="D363" s="52"/>
    </row>
    <row r="364">
      <c r="D364" s="52"/>
    </row>
    <row r="365">
      <c r="D365" s="52"/>
    </row>
    <row r="366">
      <c r="D366" s="52"/>
    </row>
    <row r="367">
      <c r="D367" s="52"/>
    </row>
    <row r="368">
      <c r="D368" s="52"/>
    </row>
    <row r="369">
      <c r="D369" s="52"/>
    </row>
    <row r="370">
      <c r="D370" s="52"/>
    </row>
    <row r="371">
      <c r="D371" s="52"/>
    </row>
    <row r="372">
      <c r="D372" s="52"/>
    </row>
    <row r="373">
      <c r="D373" s="52"/>
    </row>
    <row r="374">
      <c r="D374" s="52"/>
    </row>
    <row r="375">
      <c r="D375" s="52"/>
    </row>
    <row r="376">
      <c r="D376" s="52"/>
    </row>
    <row r="377">
      <c r="D377" s="52"/>
    </row>
    <row r="378">
      <c r="D378" s="52"/>
    </row>
    <row r="379">
      <c r="D379" s="52"/>
    </row>
    <row r="380">
      <c r="D380" s="52"/>
    </row>
    <row r="381">
      <c r="D381" s="52"/>
    </row>
    <row r="382">
      <c r="D382" s="52"/>
    </row>
    <row r="383">
      <c r="D383" s="52"/>
    </row>
    <row r="384">
      <c r="D384" s="52"/>
    </row>
    <row r="385">
      <c r="D385" s="52"/>
    </row>
    <row r="386">
      <c r="D386" s="52"/>
    </row>
    <row r="387">
      <c r="D387" s="52"/>
    </row>
    <row r="388">
      <c r="D388" s="52"/>
    </row>
    <row r="389">
      <c r="D389" s="52"/>
    </row>
    <row r="390">
      <c r="D390" s="52"/>
    </row>
    <row r="391">
      <c r="D391" s="52"/>
    </row>
    <row r="392">
      <c r="D392" s="52"/>
    </row>
    <row r="393">
      <c r="D393" s="52"/>
    </row>
    <row r="394">
      <c r="D394" s="52"/>
    </row>
    <row r="395">
      <c r="D395" s="52"/>
    </row>
    <row r="396">
      <c r="D396" s="52"/>
    </row>
    <row r="397">
      <c r="D397" s="52"/>
    </row>
    <row r="398">
      <c r="D398" s="52"/>
    </row>
    <row r="399">
      <c r="D399" s="52"/>
    </row>
    <row r="400">
      <c r="D400" s="52"/>
    </row>
    <row r="401">
      <c r="D401" s="52"/>
    </row>
    <row r="402">
      <c r="D402" s="52"/>
    </row>
    <row r="403">
      <c r="D403" s="52"/>
    </row>
    <row r="404">
      <c r="D404" s="52"/>
    </row>
    <row r="405">
      <c r="D405" s="52"/>
    </row>
    <row r="406">
      <c r="D406" s="52"/>
    </row>
    <row r="407">
      <c r="D407" s="52"/>
    </row>
    <row r="408">
      <c r="D408" s="52"/>
    </row>
    <row r="409">
      <c r="D409" s="52"/>
    </row>
    <row r="410">
      <c r="D410" s="52"/>
    </row>
    <row r="411">
      <c r="D411" s="52"/>
    </row>
    <row r="412">
      <c r="D412" s="52"/>
    </row>
    <row r="413">
      <c r="D413" s="52"/>
    </row>
    <row r="414">
      <c r="D414" s="52"/>
    </row>
    <row r="415">
      <c r="D415" s="52"/>
    </row>
    <row r="416">
      <c r="D416" s="52"/>
    </row>
    <row r="417">
      <c r="D417" s="52"/>
    </row>
    <row r="418">
      <c r="D418" s="52"/>
    </row>
    <row r="419">
      <c r="D419" s="52"/>
    </row>
    <row r="420">
      <c r="D420" s="52"/>
    </row>
    <row r="421">
      <c r="D421" s="52"/>
    </row>
    <row r="422">
      <c r="D422" s="52"/>
    </row>
    <row r="423">
      <c r="D423" s="52"/>
    </row>
    <row r="424">
      <c r="D424" s="52"/>
    </row>
    <row r="425">
      <c r="D425" s="52"/>
    </row>
    <row r="426">
      <c r="D426" s="52"/>
    </row>
    <row r="427">
      <c r="D427" s="52"/>
    </row>
    <row r="428">
      <c r="D428" s="52"/>
    </row>
    <row r="429">
      <c r="D429" s="52"/>
    </row>
    <row r="430">
      <c r="D430" s="52"/>
    </row>
    <row r="431">
      <c r="D431" s="52"/>
    </row>
    <row r="432">
      <c r="D432" s="52"/>
    </row>
    <row r="433">
      <c r="D433" s="52"/>
    </row>
    <row r="434">
      <c r="D434" s="52"/>
    </row>
    <row r="435">
      <c r="D435" s="52"/>
    </row>
    <row r="436">
      <c r="D436" s="52"/>
    </row>
    <row r="437">
      <c r="D437" s="52"/>
    </row>
    <row r="438">
      <c r="D438" s="52"/>
    </row>
    <row r="439">
      <c r="D439" s="52"/>
    </row>
    <row r="440">
      <c r="D440" s="52"/>
    </row>
    <row r="441">
      <c r="D441" s="52"/>
    </row>
    <row r="442">
      <c r="D442" s="52"/>
    </row>
    <row r="443">
      <c r="D443" s="52"/>
    </row>
    <row r="444">
      <c r="D444" s="52"/>
    </row>
    <row r="445">
      <c r="D445" s="52"/>
    </row>
    <row r="446">
      <c r="D446" s="52"/>
    </row>
    <row r="447">
      <c r="D447" s="52"/>
    </row>
    <row r="448">
      <c r="D448" s="52"/>
    </row>
    <row r="449">
      <c r="D449" s="52"/>
    </row>
    <row r="450">
      <c r="D450" s="52"/>
    </row>
    <row r="451">
      <c r="D451" s="52"/>
    </row>
    <row r="452">
      <c r="D452" s="52"/>
    </row>
    <row r="453">
      <c r="D453" s="52"/>
    </row>
    <row r="454">
      <c r="D454" s="52"/>
    </row>
    <row r="455">
      <c r="D455" s="52"/>
    </row>
    <row r="456">
      <c r="D456" s="52"/>
    </row>
    <row r="457">
      <c r="D457" s="52"/>
    </row>
    <row r="458">
      <c r="D458" s="52"/>
    </row>
    <row r="459">
      <c r="D459" s="52"/>
    </row>
    <row r="460">
      <c r="D460" s="52"/>
    </row>
    <row r="461">
      <c r="D461" s="52"/>
    </row>
    <row r="462">
      <c r="D462" s="52"/>
    </row>
    <row r="463">
      <c r="D463" s="52"/>
    </row>
    <row r="464">
      <c r="D464" s="52"/>
    </row>
    <row r="465">
      <c r="D465" s="52"/>
    </row>
    <row r="466">
      <c r="D466" s="52"/>
    </row>
    <row r="467">
      <c r="D467" s="52"/>
    </row>
    <row r="468">
      <c r="D468" s="52"/>
    </row>
    <row r="469">
      <c r="D469" s="52"/>
    </row>
    <row r="470">
      <c r="D470" s="52"/>
    </row>
    <row r="471">
      <c r="D471" s="52"/>
    </row>
    <row r="472">
      <c r="D472" s="52"/>
    </row>
    <row r="473">
      <c r="D473" s="52"/>
    </row>
    <row r="474">
      <c r="D474" s="52"/>
    </row>
    <row r="475">
      <c r="D475" s="52"/>
    </row>
    <row r="476">
      <c r="D476" s="52"/>
    </row>
    <row r="477">
      <c r="D477" s="52"/>
    </row>
    <row r="478">
      <c r="D478" s="52"/>
    </row>
    <row r="479">
      <c r="D479" s="52"/>
    </row>
    <row r="480">
      <c r="D480" s="52"/>
    </row>
    <row r="481">
      <c r="D481" s="52"/>
    </row>
    <row r="482">
      <c r="D482" s="52"/>
    </row>
    <row r="483">
      <c r="D483" s="52"/>
    </row>
    <row r="484">
      <c r="D484" s="52"/>
    </row>
    <row r="485">
      <c r="D485" s="52"/>
    </row>
    <row r="486">
      <c r="D486" s="52"/>
    </row>
    <row r="487">
      <c r="D487" s="52"/>
    </row>
    <row r="488">
      <c r="D488" s="52"/>
    </row>
    <row r="489">
      <c r="D489" s="52"/>
    </row>
    <row r="490">
      <c r="D490" s="52"/>
    </row>
    <row r="491">
      <c r="D491" s="52"/>
    </row>
    <row r="492">
      <c r="D492" s="52"/>
    </row>
    <row r="493">
      <c r="D493" s="52"/>
    </row>
    <row r="494">
      <c r="D494" s="52"/>
    </row>
    <row r="495">
      <c r="D495" s="52"/>
    </row>
    <row r="496">
      <c r="D496" s="52"/>
    </row>
    <row r="497">
      <c r="D497" s="52"/>
    </row>
    <row r="498">
      <c r="D498" s="52"/>
    </row>
    <row r="499">
      <c r="D499" s="52"/>
    </row>
    <row r="500">
      <c r="D500" s="52"/>
    </row>
    <row r="501">
      <c r="D501" s="52"/>
    </row>
    <row r="502">
      <c r="D502" s="52"/>
    </row>
    <row r="503">
      <c r="D503" s="52"/>
    </row>
    <row r="504">
      <c r="D504" s="52"/>
    </row>
    <row r="505">
      <c r="D505" s="52"/>
    </row>
    <row r="506">
      <c r="D506" s="52"/>
    </row>
    <row r="507">
      <c r="D507" s="52"/>
    </row>
    <row r="508">
      <c r="D508" s="52"/>
    </row>
    <row r="509">
      <c r="D509" s="52"/>
    </row>
    <row r="510">
      <c r="D510" s="52"/>
    </row>
    <row r="511">
      <c r="D511" s="52"/>
    </row>
    <row r="512">
      <c r="D512" s="52"/>
    </row>
    <row r="513">
      <c r="D513" s="52"/>
    </row>
    <row r="514">
      <c r="D514" s="52"/>
    </row>
    <row r="515">
      <c r="D515" s="52"/>
    </row>
    <row r="516">
      <c r="D516" s="52"/>
    </row>
    <row r="517">
      <c r="D517" s="52"/>
    </row>
    <row r="518">
      <c r="D518" s="52"/>
    </row>
    <row r="519">
      <c r="D519" s="52"/>
    </row>
    <row r="520">
      <c r="D520" s="52"/>
    </row>
    <row r="521">
      <c r="D521" s="52"/>
    </row>
    <row r="522">
      <c r="D522" s="52"/>
    </row>
    <row r="523">
      <c r="D523" s="52"/>
    </row>
    <row r="524">
      <c r="D524" s="52"/>
    </row>
    <row r="525">
      <c r="D525" s="52"/>
    </row>
    <row r="526">
      <c r="D526" s="52"/>
    </row>
    <row r="527">
      <c r="D527" s="52"/>
    </row>
    <row r="528">
      <c r="D528" s="52"/>
    </row>
    <row r="529">
      <c r="D529" s="52"/>
    </row>
    <row r="530">
      <c r="D530" s="52"/>
    </row>
    <row r="531">
      <c r="D531" s="52"/>
    </row>
    <row r="532">
      <c r="D532" s="52"/>
    </row>
    <row r="533">
      <c r="D533" s="52"/>
    </row>
    <row r="534">
      <c r="D534" s="52"/>
    </row>
    <row r="535">
      <c r="D535" s="52"/>
    </row>
    <row r="536">
      <c r="D536" s="52"/>
    </row>
    <row r="537">
      <c r="D537" s="52"/>
    </row>
    <row r="538">
      <c r="D538" s="52"/>
    </row>
    <row r="539">
      <c r="D539" s="52"/>
    </row>
    <row r="540">
      <c r="D540" s="52"/>
    </row>
    <row r="541">
      <c r="D541" s="52"/>
    </row>
    <row r="542">
      <c r="D542" s="52"/>
    </row>
    <row r="543">
      <c r="D543" s="52"/>
    </row>
    <row r="544">
      <c r="D544" s="52"/>
    </row>
    <row r="545">
      <c r="D545" s="52"/>
    </row>
    <row r="546">
      <c r="D546" s="52"/>
    </row>
    <row r="547">
      <c r="D547" s="52"/>
    </row>
    <row r="548">
      <c r="D548" s="52"/>
    </row>
    <row r="549">
      <c r="D549" s="52"/>
    </row>
    <row r="550">
      <c r="D550" s="52"/>
    </row>
    <row r="551">
      <c r="D551" s="52"/>
    </row>
    <row r="552">
      <c r="D552" s="52"/>
    </row>
    <row r="553">
      <c r="D553" s="52"/>
    </row>
    <row r="554">
      <c r="D554" s="52"/>
    </row>
    <row r="555">
      <c r="D555" s="52"/>
    </row>
    <row r="556">
      <c r="D556" s="52"/>
    </row>
    <row r="557">
      <c r="D557" s="52"/>
    </row>
    <row r="558">
      <c r="D558" s="52"/>
    </row>
    <row r="559">
      <c r="D559" s="52"/>
    </row>
    <row r="560">
      <c r="D560" s="52"/>
    </row>
    <row r="561">
      <c r="D561" s="52"/>
    </row>
    <row r="562">
      <c r="D562" s="52"/>
    </row>
    <row r="563">
      <c r="D563" s="52"/>
    </row>
    <row r="564">
      <c r="D564" s="52"/>
    </row>
    <row r="565">
      <c r="D565" s="52"/>
    </row>
    <row r="566">
      <c r="D566" s="52"/>
    </row>
    <row r="567">
      <c r="D567" s="52"/>
    </row>
    <row r="568">
      <c r="D568" s="52"/>
    </row>
    <row r="569">
      <c r="D569" s="52"/>
    </row>
    <row r="570">
      <c r="D570" s="52"/>
    </row>
    <row r="571">
      <c r="D571" s="52"/>
    </row>
    <row r="572">
      <c r="D572" s="52"/>
    </row>
    <row r="573">
      <c r="D573" s="52"/>
    </row>
    <row r="574">
      <c r="D574" s="52"/>
    </row>
    <row r="575">
      <c r="D575" s="52"/>
    </row>
    <row r="576">
      <c r="D576" s="52"/>
    </row>
    <row r="577">
      <c r="D577" s="52"/>
    </row>
    <row r="578">
      <c r="D578" s="52"/>
    </row>
    <row r="579">
      <c r="D579" s="52"/>
    </row>
    <row r="580">
      <c r="D580" s="52"/>
    </row>
    <row r="581">
      <c r="D581" s="52"/>
    </row>
    <row r="582">
      <c r="D582" s="52"/>
    </row>
    <row r="583">
      <c r="D583" s="52"/>
    </row>
    <row r="584">
      <c r="D584" s="52"/>
    </row>
    <row r="585">
      <c r="D585" s="52"/>
    </row>
    <row r="586">
      <c r="D586" s="52"/>
    </row>
    <row r="587">
      <c r="D587" s="52"/>
    </row>
    <row r="588">
      <c r="D588" s="52"/>
    </row>
    <row r="589">
      <c r="D589" s="52"/>
    </row>
    <row r="590">
      <c r="D590" s="52"/>
    </row>
    <row r="591">
      <c r="D591" s="52"/>
    </row>
    <row r="592">
      <c r="D592" s="52"/>
    </row>
    <row r="593">
      <c r="D593" s="52"/>
    </row>
    <row r="594">
      <c r="D594" s="52"/>
    </row>
    <row r="595">
      <c r="D595" s="52"/>
    </row>
    <row r="596">
      <c r="D596" s="52"/>
    </row>
    <row r="597">
      <c r="D597" s="52"/>
    </row>
    <row r="598">
      <c r="D598" s="52"/>
    </row>
    <row r="599">
      <c r="D599" s="52"/>
    </row>
    <row r="600">
      <c r="D600" s="52"/>
    </row>
    <row r="601">
      <c r="D601" s="52"/>
    </row>
    <row r="602">
      <c r="D602" s="52"/>
    </row>
    <row r="603">
      <c r="D603" s="52"/>
    </row>
    <row r="604">
      <c r="D604" s="52"/>
    </row>
    <row r="605">
      <c r="D605" s="52"/>
    </row>
    <row r="606">
      <c r="D606" s="52"/>
    </row>
    <row r="607">
      <c r="D607" s="52"/>
    </row>
    <row r="608">
      <c r="D608" s="52"/>
    </row>
    <row r="609">
      <c r="D609" s="52"/>
    </row>
    <row r="610">
      <c r="D610" s="52"/>
    </row>
    <row r="611">
      <c r="D611" s="52"/>
    </row>
    <row r="612">
      <c r="D612" s="52"/>
    </row>
    <row r="613">
      <c r="D613" s="52"/>
    </row>
    <row r="614">
      <c r="D614" s="52"/>
    </row>
    <row r="615">
      <c r="D615" s="52"/>
    </row>
    <row r="616">
      <c r="D616" s="52"/>
    </row>
    <row r="617">
      <c r="D617" s="52"/>
    </row>
    <row r="618">
      <c r="D618" s="52"/>
    </row>
    <row r="619">
      <c r="D619" s="52"/>
    </row>
    <row r="620">
      <c r="D620" s="52"/>
    </row>
    <row r="621">
      <c r="D621" s="52"/>
    </row>
    <row r="622">
      <c r="D622" s="52"/>
    </row>
    <row r="623">
      <c r="D623" s="52"/>
    </row>
    <row r="624">
      <c r="D624" s="52"/>
    </row>
    <row r="625">
      <c r="D625" s="52"/>
    </row>
    <row r="626">
      <c r="D626" s="52"/>
    </row>
    <row r="627">
      <c r="D627" s="52"/>
    </row>
    <row r="628">
      <c r="D628" s="52"/>
    </row>
    <row r="629">
      <c r="D629" s="52"/>
    </row>
    <row r="630">
      <c r="D630" s="52"/>
    </row>
    <row r="631">
      <c r="D631" s="52"/>
    </row>
    <row r="632">
      <c r="D632" s="52"/>
    </row>
    <row r="633">
      <c r="D633" s="52"/>
    </row>
    <row r="634">
      <c r="D634" s="52"/>
    </row>
    <row r="635">
      <c r="D635" s="52"/>
    </row>
    <row r="636">
      <c r="D636" s="52"/>
    </row>
    <row r="637">
      <c r="D637" s="52"/>
    </row>
    <row r="638">
      <c r="D638" s="52"/>
    </row>
    <row r="639">
      <c r="D639" s="52"/>
    </row>
    <row r="640">
      <c r="D640" s="52"/>
    </row>
    <row r="641">
      <c r="D641" s="52"/>
    </row>
    <row r="642">
      <c r="D642" s="52"/>
    </row>
    <row r="643">
      <c r="D643" s="52"/>
    </row>
    <row r="644">
      <c r="D644" s="52"/>
    </row>
    <row r="645">
      <c r="D645" s="52"/>
    </row>
    <row r="646">
      <c r="D646" s="52"/>
    </row>
    <row r="647">
      <c r="D647" s="52"/>
    </row>
    <row r="648">
      <c r="D648" s="52"/>
    </row>
    <row r="649">
      <c r="D649" s="52"/>
    </row>
    <row r="650">
      <c r="D650" s="52"/>
    </row>
    <row r="651">
      <c r="D651" s="52"/>
    </row>
    <row r="652">
      <c r="D652" s="52"/>
    </row>
    <row r="653">
      <c r="D653" s="52"/>
    </row>
    <row r="654">
      <c r="D654" s="52"/>
    </row>
    <row r="655">
      <c r="D655" s="52"/>
    </row>
    <row r="656">
      <c r="D656" s="52"/>
    </row>
    <row r="657">
      <c r="D657" s="52"/>
    </row>
    <row r="658">
      <c r="D658" s="52"/>
    </row>
    <row r="659">
      <c r="D659" s="52"/>
    </row>
    <row r="660">
      <c r="D660" s="52"/>
    </row>
    <row r="661">
      <c r="D661" s="52"/>
    </row>
    <row r="662">
      <c r="D662" s="52"/>
    </row>
    <row r="663">
      <c r="D663" s="52"/>
    </row>
    <row r="664">
      <c r="D664" s="52"/>
    </row>
    <row r="665">
      <c r="D665" s="52"/>
    </row>
    <row r="666">
      <c r="D666" s="52"/>
    </row>
    <row r="667">
      <c r="D667" s="52"/>
    </row>
    <row r="668">
      <c r="D668" s="52"/>
    </row>
    <row r="669">
      <c r="D669" s="52"/>
    </row>
    <row r="670">
      <c r="D670" s="52"/>
    </row>
    <row r="671">
      <c r="D671" s="52"/>
    </row>
    <row r="672">
      <c r="D672" s="52"/>
    </row>
    <row r="673">
      <c r="D673" s="52"/>
    </row>
    <row r="674">
      <c r="D674" s="52"/>
    </row>
    <row r="675">
      <c r="D675" s="52"/>
    </row>
    <row r="676">
      <c r="D676" s="52"/>
    </row>
    <row r="677">
      <c r="D677" s="52"/>
    </row>
    <row r="678">
      <c r="D678" s="52"/>
    </row>
    <row r="679">
      <c r="D679" s="52"/>
    </row>
    <row r="680">
      <c r="D680" s="52"/>
    </row>
    <row r="681">
      <c r="D681" s="52"/>
    </row>
    <row r="682">
      <c r="D682" s="52"/>
    </row>
    <row r="683">
      <c r="D683" s="52"/>
    </row>
    <row r="684">
      <c r="D684" s="52"/>
    </row>
    <row r="685">
      <c r="D685" s="52"/>
    </row>
    <row r="686">
      <c r="D686" s="52"/>
    </row>
    <row r="687">
      <c r="D687" s="52"/>
    </row>
    <row r="688">
      <c r="D688" s="52"/>
    </row>
    <row r="689">
      <c r="D689" s="52"/>
    </row>
    <row r="690">
      <c r="D690" s="52"/>
    </row>
    <row r="691">
      <c r="D691" s="52"/>
    </row>
    <row r="692">
      <c r="D692" s="52"/>
    </row>
    <row r="693">
      <c r="D693" s="52"/>
    </row>
    <row r="694">
      <c r="D694" s="52"/>
    </row>
    <row r="695">
      <c r="D695" s="52"/>
    </row>
    <row r="696">
      <c r="D696" s="52"/>
    </row>
    <row r="697">
      <c r="D697" s="52"/>
    </row>
    <row r="698">
      <c r="D698" s="52"/>
    </row>
    <row r="699">
      <c r="D699" s="52"/>
    </row>
    <row r="700">
      <c r="D700" s="52"/>
    </row>
    <row r="701">
      <c r="D701" s="52"/>
    </row>
    <row r="702">
      <c r="D702" s="52"/>
    </row>
    <row r="703">
      <c r="D703" s="52"/>
    </row>
    <row r="704">
      <c r="D704" s="52"/>
    </row>
    <row r="705">
      <c r="D705" s="52"/>
    </row>
    <row r="706">
      <c r="D706" s="52"/>
    </row>
    <row r="707">
      <c r="D707" s="52"/>
    </row>
    <row r="708">
      <c r="D708" s="52"/>
    </row>
    <row r="709">
      <c r="D709" s="52"/>
    </row>
    <row r="710">
      <c r="D710" s="52"/>
    </row>
    <row r="711">
      <c r="D711" s="52"/>
    </row>
    <row r="712">
      <c r="D712" s="52"/>
    </row>
    <row r="713">
      <c r="D713" s="52"/>
    </row>
    <row r="714">
      <c r="D714" s="52"/>
    </row>
    <row r="715">
      <c r="D715" s="52"/>
    </row>
    <row r="716">
      <c r="D716" s="52"/>
    </row>
    <row r="717">
      <c r="D717" s="52"/>
    </row>
    <row r="718">
      <c r="D718" s="52"/>
    </row>
    <row r="719">
      <c r="D719" s="52"/>
    </row>
    <row r="720">
      <c r="D720" s="52"/>
    </row>
    <row r="721">
      <c r="D721" s="52"/>
    </row>
    <row r="722">
      <c r="D722" s="52"/>
    </row>
    <row r="723">
      <c r="D723" s="52"/>
    </row>
    <row r="724">
      <c r="D724" s="52"/>
    </row>
    <row r="725">
      <c r="D725" s="52"/>
    </row>
    <row r="726">
      <c r="D726" s="52"/>
    </row>
    <row r="727">
      <c r="D727" s="52"/>
    </row>
    <row r="728">
      <c r="D728" s="52"/>
    </row>
    <row r="729">
      <c r="D729" s="52"/>
    </row>
    <row r="730">
      <c r="D730" s="52"/>
    </row>
    <row r="731">
      <c r="D731" s="52"/>
    </row>
    <row r="732">
      <c r="D732" s="52"/>
    </row>
    <row r="733">
      <c r="D733" s="52"/>
    </row>
    <row r="734">
      <c r="D734" s="52"/>
    </row>
    <row r="735">
      <c r="D735" s="52"/>
    </row>
    <row r="736">
      <c r="D736" s="52"/>
    </row>
    <row r="737">
      <c r="D737" s="52"/>
    </row>
    <row r="738">
      <c r="D738" s="52"/>
    </row>
    <row r="739">
      <c r="D739" s="52"/>
    </row>
    <row r="740">
      <c r="D740" s="52"/>
    </row>
    <row r="741">
      <c r="D741" s="52"/>
    </row>
    <row r="742">
      <c r="D742" s="52"/>
    </row>
    <row r="743">
      <c r="D743" s="52"/>
    </row>
    <row r="744">
      <c r="D744" s="52"/>
    </row>
    <row r="745">
      <c r="D745" s="52"/>
    </row>
    <row r="746">
      <c r="D746" s="52"/>
    </row>
    <row r="747">
      <c r="D747" s="52"/>
    </row>
    <row r="748">
      <c r="D748" s="52"/>
    </row>
    <row r="749">
      <c r="D749" s="52"/>
    </row>
    <row r="750">
      <c r="D750" s="52"/>
    </row>
    <row r="751">
      <c r="D751" s="52"/>
    </row>
    <row r="752">
      <c r="D752" s="52"/>
    </row>
    <row r="753">
      <c r="D753" s="52"/>
    </row>
    <row r="754">
      <c r="D754" s="52"/>
    </row>
    <row r="755">
      <c r="D755" s="52"/>
    </row>
    <row r="756">
      <c r="D756" s="52"/>
    </row>
    <row r="757">
      <c r="D757" s="52"/>
    </row>
    <row r="758">
      <c r="D758" s="52"/>
    </row>
    <row r="759">
      <c r="D759" s="52"/>
    </row>
    <row r="760">
      <c r="D760" s="52"/>
    </row>
    <row r="761">
      <c r="D761" s="52"/>
    </row>
    <row r="762">
      <c r="D762" s="52"/>
    </row>
    <row r="763">
      <c r="D763" s="52"/>
    </row>
    <row r="764">
      <c r="D764" s="52"/>
    </row>
    <row r="765">
      <c r="D765" s="52"/>
    </row>
    <row r="766">
      <c r="D766" s="52"/>
    </row>
    <row r="767">
      <c r="D767" s="52"/>
    </row>
    <row r="768">
      <c r="D768" s="52"/>
    </row>
    <row r="769">
      <c r="D769" s="52"/>
    </row>
    <row r="770">
      <c r="D770" s="52"/>
    </row>
    <row r="771">
      <c r="D771" s="52"/>
    </row>
    <row r="772">
      <c r="D772" s="52"/>
    </row>
    <row r="773">
      <c r="D773" s="52"/>
    </row>
    <row r="774">
      <c r="D774" s="52"/>
    </row>
    <row r="775">
      <c r="D775" s="52"/>
    </row>
    <row r="776">
      <c r="D776" s="52"/>
    </row>
    <row r="777">
      <c r="D777" s="52"/>
    </row>
    <row r="778">
      <c r="D778" s="52"/>
    </row>
    <row r="779">
      <c r="D779" s="52"/>
    </row>
    <row r="780">
      <c r="D780" s="52"/>
    </row>
    <row r="781">
      <c r="D781" s="52"/>
    </row>
    <row r="782">
      <c r="D782" s="52"/>
    </row>
    <row r="783">
      <c r="D783" s="52"/>
    </row>
    <row r="784">
      <c r="D784" s="52"/>
    </row>
    <row r="785">
      <c r="D785" s="52"/>
    </row>
    <row r="786">
      <c r="D786" s="52"/>
    </row>
    <row r="787">
      <c r="D787" s="52"/>
    </row>
    <row r="788">
      <c r="D788" s="52"/>
    </row>
    <row r="789">
      <c r="D789" s="52"/>
    </row>
    <row r="790">
      <c r="D790" s="52"/>
    </row>
    <row r="791">
      <c r="D791" s="52"/>
    </row>
    <row r="792">
      <c r="D792" s="52"/>
    </row>
    <row r="793">
      <c r="D793" s="52"/>
    </row>
    <row r="794">
      <c r="D794" s="52"/>
    </row>
    <row r="795">
      <c r="D795" s="52"/>
    </row>
    <row r="796">
      <c r="D796" s="52"/>
    </row>
    <row r="797">
      <c r="D797" s="52"/>
    </row>
    <row r="798">
      <c r="D798" s="52"/>
    </row>
    <row r="799">
      <c r="D799" s="52"/>
    </row>
    <row r="800">
      <c r="D800" s="52"/>
    </row>
    <row r="801">
      <c r="D801" s="52"/>
    </row>
    <row r="802">
      <c r="D802" s="52"/>
    </row>
    <row r="803">
      <c r="D803" s="52"/>
    </row>
    <row r="804">
      <c r="D804" s="52"/>
    </row>
    <row r="805">
      <c r="D805" s="52"/>
    </row>
    <row r="806">
      <c r="D806" s="52"/>
    </row>
    <row r="807">
      <c r="D807" s="52"/>
    </row>
    <row r="808">
      <c r="D808" s="52"/>
    </row>
    <row r="809">
      <c r="D809" s="52"/>
    </row>
    <row r="810">
      <c r="D810" s="52"/>
    </row>
    <row r="811">
      <c r="D811" s="52"/>
    </row>
    <row r="812">
      <c r="D812" s="52"/>
    </row>
    <row r="813">
      <c r="D813" s="52"/>
    </row>
    <row r="814">
      <c r="D814" s="52"/>
    </row>
    <row r="815">
      <c r="D815" s="52"/>
    </row>
    <row r="816">
      <c r="D816" s="52"/>
    </row>
    <row r="817">
      <c r="D817" s="52"/>
    </row>
    <row r="818">
      <c r="D818" s="52"/>
    </row>
    <row r="819">
      <c r="D819" s="52"/>
    </row>
    <row r="820">
      <c r="D820" s="52"/>
    </row>
    <row r="821">
      <c r="D821" s="52"/>
    </row>
    <row r="822">
      <c r="D822" s="52"/>
    </row>
    <row r="823">
      <c r="D823" s="52"/>
    </row>
    <row r="824">
      <c r="D824" s="52"/>
    </row>
    <row r="825">
      <c r="D825" s="52"/>
    </row>
    <row r="826">
      <c r="D826" s="52"/>
    </row>
    <row r="827">
      <c r="D827" s="52"/>
    </row>
    <row r="828">
      <c r="D828" s="52"/>
    </row>
    <row r="829">
      <c r="D829" s="52"/>
    </row>
    <row r="830">
      <c r="D830" s="52"/>
    </row>
    <row r="831">
      <c r="D831" s="52"/>
    </row>
    <row r="832">
      <c r="D832" s="52"/>
    </row>
    <row r="833">
      <c r="D833" s="52"/>
    </row>
    <row r="834">
      <c r="D834" s="52"/>
    </row>
    <row r="835">
      <c r="D835" s="52"/>
    </row>
    <row r="836">
      <c r="D836" s="52"/>
    </row>
    <row r="837">
      <c r="D837" s="52"/>
    </row>
    <row r="838">
      <c r="D838" s="52"/>
    </row>
    <row r="839">
      <c r="D839" s="52"/>
    </row>
    <row r="840">
      <c r="D840" s="52"/>
    </row>
    <row r="841">
      <c r="D841" s="52"/>
    </row>
    <row r="842">
      <c r="D842" s="52"/>
    </row>
    <row r="843">
      <c r="D843" s="52"/>
    </row>
  </sheetData>
  <mergeCells count="7">
    <mergeCell ref="A1:F1"/>
    <mergeCell ref="A2:A3"/>
    <mergeCell ref="B2:B3"/>
    <mergeCell ref="C2:C3"/>
    <mergeCell ref="D2:D3"/>
    <mergeCell ref="E2:F2"/>
    <mergeCell ref="A7:E7"/>
  </mergeCells>
  <dataValidations>
    <dataValidation type="list" allowBlank="1" sqref="H4">
      <formula1>"CHECKED (OK),CHECKED  (NOT OK)"</formula1>
    </dataValidation>
  </dataValidations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3" max="3" width="26.75"/>
    <col customWidth="1" min="4" max="4" width="33.25"/>
    <col customWidth="1" min="7" max="7" width="3.5"/>
    <col customWidth="1" min="8" max="8" width="18.63"/>
    <col customWidth="1" min="9" max="9" width="21.63"/>
  </cols>
  <sheetData>
    <row r="1">
      <c r="A1" s="30" t="s">
        <v>1120</v>
      </c>
      <c r="G1" s="31"/>
      <c r="H1" s="32" t="s">
        <v>1121</v>
      </c>
      <c r="I1" s="33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4" t="s">
        <v>1</v>
      </c>
      <c r="B2" s="35" t="s">
        <v>11</v>
      </c>
      <c r="C2" s="35" t="s">
        <v>12</v>
      </c>
      <c r="D2" s="36" t="s">
        <v>13</v>
      </c>
      <c r="E2" s="37" t="s">
        <v>14</v>
      </c>
      <c r="F2" s="38"/>
      <c r="G2" s="39"/>
      <c r="H2" s="40"/>
      <c r="I2" s="40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41"/>
      <c r="B3" s="38"/>
      <c r="C3" s="38"/>
      <c r="D3" s="38"/>
      <c r="E3" s="42" t="s">
        <v>15</v>
      </c>
      <c r="F3" s="43" t="s">
        <v>5</v>
      </c>
      <c r="G3" s="39"/>
      <c r="H3" s="44" t="s">
        <v>6</v>
      </c>
      <c r="I3" s="45" t="s">
        <v>7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24.75" customHeight="1">
      <c r="A4" s="46"/>
      <c r="B4" s="47"/>
      <c r="C4" s="48" t="str">
        <f>vlookup(B4,'Crew Data'!C:G,5,0)</f>
        <v>#N/A</v>
      </c>
      <c r="D4" s="49"/>
      <c r="E4" s="47"/>
      <c r="F4" s="50">
        <f>E4*400</f>
        <v>0</v>
      </c>
      <c r="G4" s="22">
        <f>COUNTIF(B:B,B4)</f>
        <v>0</v>
      </c>
      <c r="H4" s="5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D5" s="52"/>
    </row>
    <row r="6">
      <c r="D6" s="52"/>
    </row>
    <row r="7" ht="44.25" customHeight="1">
      <c r="A7" s="53" t="s">
        <v>16</v>
      </c>
    </row>
    <row r="8">
      <c r="D8" s="52"/>
    </row>
    <row r="9">
      <c r="D9" s="52"/>
    </row>
    <row r="10">
      <c r="D10" s="52"/>
    </row>
    <row r="11">
      <c r="D11" s="52"/>
    </row>
    <row r="12">
      <c r="D12" s="52"/>
    </row>
    <row r="13">
      <c r="D13" s="52"/>
    </row>
    <row r="14">
      <c r="D14" s="52"/>
    </row>
    <row r="15">
      <c r="D15" s="52"/>
    </row>
    <row r="16">
      <c r="D16" s="52"/>
    </row>
    <row r="17">
      <c r="D17" s="52"/>
    </row>
    <row r="18">
      <c r="D18" s="52"/>
    </row>
    <row r="19">
      <c r="D19" s="52"/>
    </row>
    <row r="20">
      <c r="D20" s="52"/>
    </row>
    <row r="21">
      <c r="D21" s="52"/>
    </row>
    <row r="22">
      <c r="D22" s="52"/>
    </row>
    <row r="23">
      <c r="D23" s="52"/>
    </row>
    <row r="24">
      <c r="D24" s="52"/>
    </row>
    <row r="25">
      <c r="D25" s="52"/>
    </row>
    <row r="26">
      <c r="D26" s="52"/>
    </row>
    <row r="27">
      <c r="D27" s="52"/>
    </row>
    <row r="28">
      <c r="D28" s="52"/>
    </row>
    <row r="29">
      <c r="D29" s="52"/>
    </row>
    <row r="30">
      <c r="D30" s="52"/>
    </row>
    <row r="31">
      <c r="D31" s="52"/>
    </row>
    <row r="32">
      <c r="D32" s="52"/>
    </row>
    <row r="33">
      <c r="D33" s="52"/>
    </row>
    <row r="34">
      <c r="D34" s="52"/>
    </row>
    <row r="35">
      <c r="D35" s="52"/>
    </row>
    <row r="36">
      <c r="D36" s="52"/>
    </row>
    <row r="37">
      <c r="D37" s="52"/>
    </row>
    <row r="38">
      <c r="D38" s="52"/>
    </row>
    <row r="39">
      <c r="D39" s="52"/>
    </row>
    <row r="40">
      <c r="D40" s="52"/>
    </row>
    <row r="41">
      <c r="D41" s="52"/>
    </row>
    <row r="42">
      <c r="D42" s="52"/>
    </row>
    <row r="43">
      <c r="D43" s="52"/>
    </row>
    <row r="44">
      <c r="D44" s="52"/>
    </row>
    <row r="45">
      <c r="D45" s="52"/>
    </row>
    <row r="46">
      <c r="D46" s="52"/>
    </row>
    <row r="47">
      <c r="D47" s="52"/>
    </row>
    <row r="48">
      <c r="D48" s="52"/>
    </row>
    <row r="49">
      <c r="D49" s="52"/>
    </row>
    <row r="50">
      <c r="D50" s="52"/>
    </row>
    <row r="51">
      <c r="D51" s="52"/>
    </row>
    <row r="52">
      <c r="D52" s="52"/>
    </row>
    <row r="53">
      <c r="D53" s="52"/>
    </row>
    <row r="54">
      <c r="D54" s="52"/>
    </row>
    <row r="55">
      <c r="D55" s="52"/>
    </row>
    <row r="56">
      <c r="D56" s="52"/>
    </row>
    <row r="57">
      <c r="D57" s="52"/>
    </row>
    <row r="58">
      <c r="D58" s="52"/>
    </row>
    <row r="59">
      <c r="D59" s="52"/>
    </row>
    <row r="60">
      <c r="D60" s="52"/>
    </row>
    <row r="61">
      <c r="D61" s="52"/>
    </row>
    <row r="62">
      <c r="D62" s="52"/>
    </row>
    <row r="63">
      <c r="D63" s="52"/>
    </row>
    <row r="64">
      <c r="D64" s="52"/>
    </row>
    <row r="65">
      <c r="D65" s="52"/>
    </row>
    <row r="66">
      <c r="D66" s="52"/>
    </row>
    <row r="67">
      <c r="D67" s="52"/>
    </row>
    <row r="68">
      <c r="D68" s="52"/>
    </row>
    <row r="69">
      <c r="D69" s="52"/>
    </row>
    <row r="70">
      <c r="D70" s="52"/>
    </row>
    <row r="71">
      <c r="D71" s="52"/>
    </row>
    <row r="72">
      <c r="D72" s="52"/>
    </row>
    <row r="73">
      <c r="D73" s="52"/>
    </row>
    <row r="74">
      <c r="D74" s="52"/>
    </row>
    <row r="75">
      <c r="D75" s="52"/>
    </row>
    <row r="76">
      <c r="D76" s="52"/>
    </row>
    <row r="77">
      <c r="D77" s="52"/>
    </row>
    <row r="78">
      <c r="D78" s="52"/>
    </row>
    <row r="79">
      <c r="D79" s="52"/>
    </row>
    <row r="80">
      <c r="D80" s="52"/>
    </row>
    <row r="81">
      <c r="D81" s="52"/>
    </row>
    <row r="82">
      <c r="D82" s="52"/>
    </row>
    <row r="83">
      <c r="D83" s="52"/>
    </row>
    <row r="84">
      <c r="D84" s="52"/>
    </row>
    <row r="85">
      <c r="D85" s="52"/>
    </row>
    <row r="86">
      <c r="D86" s="52"/>
    </row>
    <row r="87">
      <c r="D87" s="52"/>
    </row>
    <row r="88">
      <c r="D88" s="52"/>
    </row>
    <row r="89">
      <c r="D89" s="52"/>
    </row>
    <row r="90">
      <c r="D90" s="52"/>
    </row>
    <row r="91">
      <c r="D91" s="52"/>
    </row>
    <row r="92">
      <c r="D92" s="52"/>
    </row>
    <row r="93">
      <c r="D93" s="52"/>
    </row>
    <row r="94">
      <c r="D94" s="52"/>
    </row>
    <row r="95">
      <c r="D95" s="52"/>
    </row>
    <row r="96">
      <c r="D96" s="52"/>
    </row>
    <row r="97">
      <c r="D97" s="52"/>
    </row>
    <row r="98">
      <c r="D98" s="52"/>
    </row>
    <row r="99">
      <c r="D99" s="52"/>
    </row>
    <row r="100">
      <c r="D100" s="52"/>
    </row>
    <row r="101">
      <c r="D101" s="52"/>
    </row>
    <row r="102">
      <c r="D102" s="52"/>
    </row>
    <row r="103">
      <c r="D103" s="52"/>
    </row>
    <row r="104">
      <c r="D104" s="52"/>
    </row>
    <row r="105">
      <c r="D105" s="52"/>
    </row>
    <row r="106">
      <c r="D106" s="52"/>
    </row>
    <row r="107">
      <c r="D107" s="52"/>
    </row>
    <row r="108">
      <c r="D108" s="52"/>
    </row>
    <row r="109">
      <c r="D109" s="52"/>
    </row>
    <row r="110">
      <c r="D110" s="52"/>
    </row>
    <row r="111">
      <c r="D111" s="52"/>
    </row>
    <row r="112">
      <c r="D112" s="52"/>
    </row>
    <row r="113">
      <c r="D113" s="52"/>
    </row>
    <row r="114">
      <c r="D114" s="52"/>
    </row>
    <row r="115">
      <c r="D115" s="52"/>
    </row>
    <row r="116">
      <c r="D116" s="52"/>
    </row>
    <row r="117">
      <c r="D117" s="52"/>
    </row>
    <row r="118">
      <c r="D118" s="52"/>
    </row>
    <row r="119">
      <c r="D119" s="52"/>
    </row>
    <row r="120">
      <c r="D120" s="52"/>
    </row>
    <row r="121">
      <c r="D121" s="52"/>
    </row>
    <row r="122">
      <c r="D122" s="52"/>
    </row>
    <row r="123">
      <c r="D123" s="52"/>
    </row>
    <row r="124">
      <c r="D124" s="52"/>
    </row>
    <row r="125">
      <c r="D125" s="52"/>
    </row>
    <row r="126">
      <c r="D126" s="52"/>
    </row>
    <row r="127">
      <c r="D127" s="52"/>
    </row>
    <row r="128">
      <c r="D128" s="52"/>
    </row>
    <row r="129">
      <c r="D129" s="52"/>
    </row>
    <row r="130">
      <c r="D130" s="52"/>
    </row>
    <row r="131">
      <c r="D131" s="52"/>
    </row>
    <row r="132">
      <c r="D132" s="52"/>
    </row>
    <row r="133">
      <c r="D133" s="52"/>
    </row>
    <row r="134">
      <c r="D134" s="52"/>
    </row>
    <row r="135">
      <c r="D135" s="52"/>
    </row>
    <row r="136">
      <c r="D136" s="52"/>
    </row>
    <row r="137">
      <c r="D137" s="52"/>
    </row>
    <row r="138">
      <c r="D138" s="52"/>
    </row>
    <row r="139">
      <c r="D139" s="52"/>
    </row>
    <row r="140">
      <c r="D140" s="52"/>
    </row>
    <row r="141">
      <c r="D141" s="52"/>
    </row>
    <row r="142">
      <c r="D142" s="52"/>
    </row>
    <row r="143">
      <c r="D143" s="52"/>
    </row>
    <row r="144">
      <c r="D144" s="52"/>
    </row>
    <row r="145">
      <c r="D145" s="52"/>
    </row>
    <row r="146">
      <c r="D146" s="52"/>
    </row>
    <row r="147">
      <c r="D147" s="52"/>
    </row>
    <row r="148">
      <c r="D148" s="52"/>
    </row>
    <row r="149">
      <c r="D149" s="52"/>
    </row>
    <row r="150">
      <c r="D150" s="52"/>
    </row>
    <row r="151">
      <c r="D151" s="52"/>
    </row>
    <row r="152">
      <c r="D152" s="52"/>
    </row>
    <row r="153">
      <c r="D153" s="52"/>
    </row>
    <row r="154">
      <c r="D154" s="52"/>
    </row>
    <row r="155">
      <c r="D155" s="52"/>
    </row>
    <row r="156">
      <c r="D156" s="52"/>
    </row>
    <row r="157">
      <c r="D157" s="52"/>
    </row>
    <row r="158">
      <c r="D158" s="52"/>
    </row>
    <row r="159">
      <c r="D159" s="52"/>
    </row>
    <row r="160">
      <c r="D160" s="52"/>
    </row>
    <row r="161">
      <c r="D161" s="52"/>
    </row>
    <row r="162">
      <c r="D162" s="52"/>
    </row>
    <row r="163">
      <c r="D163" s="52"/>
    </row>
    <row r="164">
      <c r="D164" s="52"/>
    </row>
    <row r="165">
      <c r="D165" s="52"/>
    </row>
    <row r="166">
      <c r="D166" s="52"/>
    </row>
    <row r="167">
      <c r="D167" s="52"/>
    </row>
    <row r="168">
      <c r="D168" s="52"/>
    </row>
    <row r="169">
      <c r="D169" s="52"/>
    </row>
    <row r="170">
      <c r="D170" s="52"/>
    </row>
    <row r="171">
      <c r="D171" s="52"/>
    </row>
    <row r="172">
      <c r="D172" s="52"/>
    </row>
    <row r="173">
      <c r="D173" s="52"/>
    </row>
    <row r="174">
      <c r="D174" s="52"/>
    </row>
    <row r="175">
      <c r="D175" s="52"/>
    </row>
    <row r="176">
      <c r="D176" s="52"/>
    </row>
    <row r="177">
      <c r="D177" s="52"/>
    </row>
    <row r="178">
      <c r="D178" s="52"/>
    </row>
    <row r="179">
      <c r="D179" s="52"/>
    </row>
    <row r="180">
      <c r="D180" s="52"/>
    </row>
    <row r="181">
      <c r="D181" s="52"/>
    </row>
    <row r="182">
      <c r="D182" s="52"/>
    </row>
    <row r="183">
      <c r="D183" s="52"/>
    </row>
    <row r="184">
      <c r="D184" s="52"/>
    </row>
    <row r="185">
      <c r="D185" s="52"/>
    </row>
    <row r="186">
      <c r="D186" s="52"/>
    </row>
    <row r="187">
      <c r="D187" s="52"/>
    </row>
    <row r="188">
      <c r="D188" s="52"/>
    </row>
    <row r="189">
      <c r="D189" s="52"/>
    </row>
    <row r="190">
      <c r="D190" s="52"/>
    </row>
    <row r="191">
      <c r="D191" s="52"/>
    </row>
    <row r="192">
      <c r="D192" s="52"/>
    </row>
    <row r="193">
      <c r="D193" s="52"/>
    </row>
    <row r="194">
      <c r="D194" s="52"/>
    </row>
    <row r="195">
      <c r="D195" s="52"/>
    </row>
    <row r="196">
      <c r="D196" s="52"/>
    </row>
    <row r="197">
      <c r="D197" s="52"/>
    </row>
    <row r="198">
      <c r="D198" s="52"/>
    </row>
    <row r="199">
      <c r="D199" s="52"/>
    </row>
    <row r="200">
      <c r="D200" s="52"/>
    </row>
    <row r="201">
      <c r="D201" s="52"/>
    </row>
    <row r="202">
      <c r="D202" s="52"/>
    </row>
    <row r="203">
      <c r="D203" s="52"/>
    </row>
    <row r="204">
      <c r="D204" s="52"/>
    </row>
    <row r="205">
      <c r="D205" s="52"/>
    </row>
    <row r="206">
      <c r="D206" s="52"/>
    </row>
    <row r="207">
      <c r="D207" s="52"/>
    </row>
    <row r="208">
      <c r="D208" s="52"/>
    </row>
    <row r="209">
      <c r="D209" s="52"/>
    </row>
    <row r="210">
      <c r="D210" s="52"/>
    </row>
    <row r="211">
      <c r="D211" s="52"/>
    </row>
    <row r="212">
      <c r="D212" s="52"/>
    </row>
    <row r="213">
      <c r="D213" s="52"/>
    </row>
    <row r="214">
      <c r="D214" s="52"/>
    </row>
    <row r="215">
      <c r="D215" s="52"/>
    </row>
    <row r="216">
      <c r="D216" s="52"/>
    </row>
    <row r="217">
      <c r="D217" s="52"/>
    </row>
    <row r="218">
      <c r="D218" s="52"/>
    </row>
    <row r="219">
      <c r="D219" s="52"/>
    </row>
    <row r="220">
      <c r="D220" s="52"/>
    </row>
    <row r="221">
      <c r="D221" s="52"/>
    </row>
    <row r="222">
      <c r="D222" s="52"/>
    </row>
    <row r="223">
      <c r="D223" s="52"/>
    </row>
    <row r="224">
      <c r="D224" s="52"/>
    </row>
    <row r="225">
      <c r="D225" s="52"/>
    </row>
    <row r="226">
      <c r="D226" s="52"/>
    </row>
    <row r="227">
      <c r="D227" s="52"/>
    </row>
    <row r="228">
      <c r="D228" s="52"/>
    </row>
    <row r="229">
      <c r="D229" s="52"/>
    </row>
    <row r="230">
      <c r="D230" s="52"/>
    </row>
    <row r="231">
      <c r="D231" s="52"/>
    </row>
    <row r="232">
      <c r="D232" s="52"/>
    </row>
    <row r="233">
      <c r="D233" s="52"/>
    </row>
    <row r="234">
      <c r="D234" s="52"/>
    </row>
    <row r="235">
      <c r="D235" s="52"/>
    </row>
    <row r="236">
      <c r="D236" s="52"/>
    </row>
    <row r="237">
      <c r="D237" s="52"/>
    </row>
    <row r="238">
      <c r="D238" s="52"/>
    </row>
    <row r="239">
      <c r="D239" s="52"/>
    </row>
    <row r="240">
      <c r="D240" s="52"/>
    </row>
    <row r="241">
      <c r="D241" s="52"/>
    </row>
    <row r="242">
      <c r="D242" s="52"/>
    </row>
    <row r="243">
      <c r="D243" s="52"/>
    </row>
    <row r="244">
      <c r="D244" s="52"/>
    </row>
    <row r="245">
      <c r="D245" s="52"/>
    </row>
    <row r="246">
      <c r="D246" s="52"/>
    </row>
    <row r="247">
      <c r="D247" s="52"/>
    </row>
    <row r="248">
      <c r="D248" s="52"/>
    </row>
    <row r="249">
      <c r="D249" s="52"/>
    </row>
    <row r="250">
      <c r="D250" s="52"/>
    </row>
    <row r="251">
      <c r="D251" s="52"/>
    </row>
    <row r="252">
      <c r="D252" s="52"/>
    </row>
    <row r="253">
      <c r="D253" s="52"/>
    </row>
    <row r="254">
      <c r="D254" s="52"/>
    </row>
    <row r="255">
      <c r="D255" s="52"/>
    </row>
    <row r="256">
      <c r="D256" s="52"/>
    </row>
    <row r="257">
      <c r="D257" s="52"/>
    </row>
    <row r="258">
      <c r="D258" s="52"/>
    </row>
    <row r="259">
      <c r="D259" s="52"/>
    </row>
    <row r="260">
      <c r="D260" s="52"/>
    </row>
    <row r="261">
      <c r="D261" s="52"/>
    </row>
    <row r="262">
      <c r="D262" s="52"/>
    </row>
    <row r="263">
      <c r="D263" s="52"/>
    </row>
    <row r="264">
      <c r="D264" s="52"/>
    </row>
    <row r="265">
      <c r="D265" s="52"/>
    </row>
    <row r="266">
      <c r="D266" s="52"/>
    </row>
    <row r="267">
      <c r="D267" s="52"/>
    </row>
    <row r="268">
      <c r="D268" s="52"/>
    </row>
    <row r="269">
      <c r="D269" s="52"/>
    </row>
    <row r="270">
      <c r="D270" s="52"/>
    </row>
    <row r="271">
      <c r="D271" s="52"/>
    </row>
    <row r="272">
      <c r="D272" s="52"/>
    </row>
    <row r="273">
      <c r="D273" s="52"/>
    </row>
    <row r="274">
      <c r="D274" s="52"/>
    </row>
    <row r="275">
      <c r="D275" s="52"/>
    </row>
    <row r="276">
      <c r="D276" s="52"/>
    </row>
    <row r="277">
      <c r="D277" s="52"/>
    </row>
    <row r="278">
      <c r="D278" s="52"/>
    </row>
    <row r="279">
      <c r="D279" s="52"/>
    </row>
    <row r="280">
      <c r="D280" s="52"/>
    </row>
    <row r="281">
      <c r="D281" s="52"/>
    </row>
    <row r="282">
      <c r="D282" s="52"/>
    </row>
    <row r="283">
      <c r="D283" s="52"/>
    </row>
    <row r="284">
      <c r="D284" s="52"/>
    </row>
    <row r="285">
      <c r="D285" s="52"/>
    </row>
    <row r="286">
      <c r="D286" s="52"/>
    </row>
    <row r="287">
      <c r="D287" s="52"/>
    </row>
    <row r="288">
      <c r="D288" s="52"/>
    </row>
    <row r="289">
      <c r="D289" s="52"/>
    </row>
    <row r="290">
      <c r="D290" s="52"/>
    </row>
    <row r="291">
      <c r="D291" s="52"/>
    </row>
    <row r="292">
      <c r="D292" s="52"/>
    </row>
    <row r="293">
      <c r="D293" s="52"/>
    </row>
    <row r="294">
      <c r="D294" s="52"/>
    </row>
    <row r="295">
      <c r="D295" s="52"/>
    </row>
    <row r="296">
      <c r="D296" s="52"/>
    </row>
    <row r="297">
      <c r="D297" s="52"/>
    </row>
    <row r="298">
      <c r="D298" s="52"/>
    </row>
    <row r="299">
      <c r="D299" s="52"/>
    </row>
    <row r="300">
      <c r="D300" s="52"/>
    </row>
    <row r="301">
      <c r="D301" s="52"/>
    </row>
    <row r="302">
      <c r="D302" s="52"/>
    </row>
    <row r="303">
      <c r="D303" s="52"/>
    </row>
    <row r="304">
      <c r="D304" s="52"/>
    </row>
    <row r="305">
      <c r="D305" s="52"/>
    </row>
    <row r="306">
      <c r="D306" s="52"/>
    </row>
    <row r="307">
      <c r="D307" s="52"/>
    </row>
    <row r="308">
      <c r="D308" s="52"/>
    </row>
    <row r="309">
      <c r="D309" s="52"/>
    </row>
    <row r="310">
      <c r="D310" s="52"/>
    </row>
    <row r="311">
      <c r="D311" s="52"/>
    </row>
    <row r="312">
      <c r="D312" s="52"/>
    </row>
    <row r="313">
      <c r="D313" s="52"/>
    </row>
    <row r="314">
      <c r="D314" s="52"/>
    </row>
    <row r="315">
      <c r="D315" s="52"/>
    </row>
    <row r="316">
      <c r="D316" s="52"/>
    </row>
    <row r="317">
      <c r="D317" s="52"/>
    </row>
    <row r="318">
      <c r="D318" s="52"/>
    </row>
    <row r="319">
      <c r="D319" s="52"/>
    </row>
    <row r="320">
      <c r="D320" s="52"/>
    </row>
    <row r="321">
      <c r="D321" s="52"/>
    </row>
    <row r="322">
      <c r="D322" s="52"/>
    </row>
    <row r="323">
      <c r="D323" s="52"/>
    </row>
    <row r="324">
      <c r="D324" s="52"/>
    </row>
    <row r="325">
      <c r="D325" s="52"/>
    </row>
    <row r="326">
      <c r="D326" s="52"/>
    </row>
    <row r="327">
      <c r="D327" s="52"/>
    </row>
    <row r="328">
      <c r="D328" s="52"/>
    </row>
    <row r="329">
      <c r="D329" s="52"/>
    </row>
    <row r="330">
      <c r="D330" s="52"/>
    </row>
    <row r="331">
      <c r="D331" s="52"/>
    </row>
    <row r="332">
      <c r="D332" s="52"/>
    </row>
    <row r="333">
      <c r="D333" s="52"/>
    </row>
    <row r="334">
      <c r="D334" s="52"/>
    </row>
    <row r="335">
      <c r="D335" s="52"/>
    </row>
    <row r="336">
      <c r="D336" s="52"/>
    </row>
    <row r="337">
      <c r="D337" s="52"/>
    </row>
    <row r="338">
      <c r="D338" s="52"/>
    </row>
    <row r="339">
      <c r="D339" s="52"/>
    </row>
    <row r="340">
      <c r="D340" s="52"/>
    </row>
    <row r="341">
      <c r="D341" s="52"/>
    </row>
    <row r="342">
      <c r="D342" s="52"/>
    </row>
    <row r="343">
      <c r="D343" s="52"/>
    </row>
    <row r="344">
      <c r="D344" s="52"/>
    </row>
    <row r="345">
      <c r="D345" s="52"/>
    </row>
    <row r="346">
      <c r="D346" s="52"/>
    </row>
    <row r="347">
      <c r="D347" s="52"/>
    </row>
    <row r="348">
      <c r="D348" s="52"/>
    </row>
    <row r="349">
      <c r="D349" s="52"/>
    </row>
    <row r="350">
      <c r="D350" s="52"/>
    </row>
    <row r="351">
      <c r="D351" s="52"/>
    </row>
    <row r="352">
      <c r="D352" s="52"/>
    </row>
    <row r="353">
      <c r="D353" s="52"/>
    </row>
    <row r="354">
      <c r="D354" s="52"/>
    </row>
    <row r="355">
      <c r="D355" s="52"/>
    </row>
    <row r="356">
      <c r="D356" s="52"/>
    </row>
    <row r="357">
      <c r="D357" s="52"/>
    </row>
    <row r="358">
      <c r="D358" s="52"/>
    </row>
    <row r="359">
      <c r="D359" s="52"/>
    </row>
    <row r="360">
      <c r="D360" s="52"/>
    </row>
    <row r="361">
      <c r="D361" s="52"/>
    </row>
    <row r="362">
      <c r="D362" s="52"/>
    </row>
    <row r="363">
      <c r="D363" s="52"/>
    </row>
    <row r="364">
      <c r="D364" s="52"/>
    </row>
    <row r="365">
      <c r="D365" s="52"/>
    </row>
    <row r="366">
      <c r="D366" s="52"/>
    </row>
    <row r="367">
      <c r="D367" s="52"/>
    </row>
    <row r="368">
      <c r="D368" s="52"/>
    </row>
    <row r="369">
      <c r="D369" s="52"/>
    </row>
    <row r="370">
      <c r="D370" s="52"/>
    </row>
    <row r="371">
      <c r="D371" s="52"/>
    </row>
    <row r="372">
      <c r="D372" s="52"/>
    </row>
    <row r="373">
      <c r="D373" s="52"/>
    </row>
    <row r="374">
      <c r="D374" s="52"/>
    </row>
    <row r="375">
      <c r="D375" s="52"/>
    </row>
    <row r="376">
      <c r="D376" s="52"/>
    </row>
    <row r="377">
      <c r="D377" s="52"/>
    </row>
    <row r="378">
      <c r="D378" s="52"/>
    </row>
    <row r="379">
      <c r="D379" s="52"/>
    </row>
    <row r="380">
      <c r="D380" s="52"/>
    </row>
    <row r="381">
      <c r="D381" s="52"/>
    </row>
    <row r="382">
      <c r="D382" s="52"/>
    </row>
    <row r="383">
      <c r="D383" s="52"/>
    </row>
    <row r="384">
      <c r="D384" s="52"/>
    </row>
    <row r="385">
      <c r="D385" s="52"/>
    </row>
    <row r="386">
      <c r="D386" s="52"/>
    </row>
    <row r="387">
      <c r="D387" s="52"/>
    </row>
    <row r="388">
      <c r="D388" s="52"/>
    </row>
    <row r="389">
      <c r="D389" s="52"/>
    </row>
    <row r="390">
      <c r="D390" s="52"/>
    </row>
    <row r="391">
      <c r="D391" s="52"/>
    </row>
    <row r="392">
      <c r="D392" s="52"/>
    </row>
    <row r="393">
      <c r="D393" s="52"/>
    </row>
    <row r="394">
      <c r="D394" s="52"/>
    </row>
    <row r="395">
      <c r="D395" s="52"/>
    </row>
    <row r="396">
      <c r="D396" s="52"/>
    </row>
    <row r="397">
      <c r="D397" s="52"/>
    </row>
    <row r="398">
      <c r="D398" s="52"/>
    </row>
    <row r="399">
      <c r="D399" s="52"/>
    </row>
    <row r="400">
      <c r="D400" s="52"/>
    </row>
    <row r="401">
      <c r="D401" s="52"/>
    </row>
    <row r="402">
      <c r="D402" s="52"/>
    </row>
    <row r="403">
      <c r="D403" s="52"/>
    </row>
    <row r="404">
      <c r="D404" s="52"/>
    </row>
    <row r="405">
      <c r="D405" s="52"/>
    </row>
    <row r="406">
      <c r="D406" s="52"/>
    </row>
    <row r="407">
      <c r="D407" s="52"/>
    </row>
    <row r="408">
      <c r="D408" s="52"/>
    </row>
    <row r="409">
      <c r="D409" s="52"/>
    </row>
    <row r="410">
      <c r="D410" s="52"/>
    </row>
    <row r="411">
      <c r="D411" s="52"/>
    </row>
    <row r="412">
      <c r="D412" s="52"/>
    </row>
    <row r="413">
      <c r="D413" s="52"/>
    </row>
    <row r="414">
      <c r="D414" s="52"/>
    </row>
    <row r="415">
      <c r="D415" s="52"/>
    </row>
    <row r="416">
      <c r="D416" s="52"/>
    </row>
    <row r="417">
      <c r="D417" s="52"/>
    </row>
    <row r="418">
      <c r="D418" s="52"/>
    </row>
    <row r="419">
      <c r="D419" s="52"/>
    </row>
    <row r="420">
      <c r="D420" s="52"/>
    </row>
    <row r="421">
      <c r="D421" s="52"/>
    </row>
    <row r="422">
      <c r="D422" s="52"/>
    </row>
    <row r="423">
      <c r="D423" s="52"/>
    </row>
    <row r="424">
      <c r="D424" s="52"/>
    </row>
    <row r="425">
      <c r="D425" s="52"/>
    </row>
    <row r="426">
      <c r="D426" s="52"/>
    </row>
    <row r="427">
      <c r="D427" s="52"/>
    </row>
    <row r="428">
      <c r="D428" s="52"/>
    </row>
    <row r="429">
      <c r="D429" s="52"/>
    </row>
    <row r="430">
      <c r="D430" s="52"/>
    </row>
    <row r="431">
      <c r="D431" s="52"/>
    </row>
    <row r="432">
      <c r="D432" s="52"/>
    </row>
    <row r="433">
      <c r="D433" s="52"/>
    </row>
    <row r="434">
      <c r="D434" s="52"/>
    </row>
    <row r="435">
      <c r="D435" s="52"/>
    </row>
    <row r="436">
      <c r="D436" s="52"/>
    </row>
    <row r="437">
      <c r="D437" s="52"/>
    </row>
    <row r="438">
      <c r="D438" s="52"/>
    </row>
    <row r="439">
      <c r="D439" s="52"/>
    </row>
    <row r="440">
      <c r="D440" s="52"/>
    </row>
    <row r="441">
      <c r="D441" s="52"/>
    </row>
    <row r="442">
      <c r="D442" s="52"/>
    </row>
    <row r="443">
      <c r="D443" s="52"/>
    </row>
    <row r="444">
      <c r="D444" s="52"/>
    </row>
    <row r="445">
      <c r="D445" s="52"/>
    </row>
    <row r="446">
      <c r="D446" s="52"/>
    </row>
    <row r="447">
      <c r="D447" s="52"/>
    </row>
    <row r="448">
      <c r="D448" s="52"/>
    </row>
    <row r="449">
      <c r="D449" s="52"/>
    </row>
    <row r="450">
      <c r="D450" s="52"/>
    </row>
    <row r="451">
      <c r="D451" s="52"/>
    </row>
    <row r="452">
      <c r="D452" s="52"/>
    </row>
    <row r="453">
      <c r="D453" s="52"/>
    </row>
    <row r="454">
      <c r="D454" s="52"/>
    </row>
    <row r="455">
      <c r="D455" s="52"/>
    </row>
    <row r="456">
      <c r="D456" s="52"/>
    </row>
    <row r="457">
      <c r="D457" s="52"/>
    </row>
    <row r="458">
      <c r="D458" s="52"/>
    </row>
    <row r="459">
      <c r="D459" s="52"/>
    </row>
    <row r="460">
      <c r="D460" s="52"/>
    </row>
    <row r="461">
      <c r="D461" s="52"/>
    </row>
    <row r="462">
      <c r="D462" s="52"/>
    </row>
    <row r="463">
      <c r="D463" s="52"/>
    </row>
    <row r="464">
      <c r="D464" s="52"/>
    </row>
    <row r="465">
      <c r="D465" s="52"/>
    </row>
    <row r="466">
      <c r="D466" s="52"/>
    </row>
    <row r="467">
      <c r="D467" s="52"/>
    </row>
    <row r="468">
      <c r="D468" s="52"/>
    </row>
    <row r="469">
      <c r="D469" s="52"/>
    </row>
    <row r="470">
      <c r="D470" s="52"/>
    </row>
    <row r="471">
      <c r="D471" s="52"/>
    </row>
    <row r="472">
      <c r="D472" s="52"/>
    </row>
    <row r="473">
      <c r="D473" s="52"/>
    </row>
    <row r="474">
      <c r="D474" s="52"/>
    </row>
    <row r="475">
      <c r="D475" s="52"/>
    </row>
    <row r="476">
      <c r="D476" s="52"/>
    </row>
    <row r="477">
      <c r="D477" s="52"/>
    </row>
    <row r="478">
      <c r="D478" s="52"/>
    </row>
    <row r="479">
      <c r="D479" s="52"/>
    </row>
    <row r="480">
      <c r="D480" s="52"/>
    </row>
    <row r="481">
      <c r="D481" s="52"/>
    </row>
    <row r="482">
      <c r="D482" s="52"/>
    </row>
    <row r="483">
      <c r="D483" s="52"/>
    </row>
    <row r="484">
      <c r="D484" s="52"/>
    </row>
    <row r="485">
      <c r="D485" s="52"/>
    </row>
    <row r="486">
      <c r="D486" s="52"/>
    </row>
    <row r="487">
      <c r="D487" s="52"/>
    </row>
    <row r="488">
      <c r="D488" s="52"/>
    </row>
    <row r="489">
      <c r="D489" s="52"/>
    </row>
    <row r="490">
      <c r="D490" s="52"/>
    </row>
    <row r="491">
      <c r="D491" s="52"/>
    </row>
    <row r="492">
      <c r="D492" s="52"/>
    </row>
    <row r="493">
      <c r="D493" s="52"/>
    </row>
    <row r="494">
      <c r="D494" s="52"/>
    </row>
    <row r="495">
      <c r="D495" s="52"/>
    </row>
    <row r="496">
      <c r="D496" s="52"/>
    </row>
    <row r="497">
      <c r="D497" s="52"/>
    </row>
    <row r="498">
      <c r="D498" s="52"/>
    </row>
    <row r="499">
      <c r="D499" s="52"/>
    </row>
    <row r="500">
      <c r="D500" s="52"/>
    </row>
    <row r="501">
      <c r="D501" s="52"/>
    </row>
    <row r="502">
      <c r="D502" s="52"/>
    </row>
    <row r="503">
      <c r="D503" s="52"/>
    </row>
    <row r="504">
      <c r="D504" s="52"/>
    </row>
    <row r="505">
      <c r="D505" s="52"/>
    </row>
    <row r="506">
      <c r="D506" s="52"/>
    </row>
    <row r="507">
      <c r="D507" s="52"/>
    </row>
    <row r="508">
      <c r="D508" s="52"/>
    </row>
    <row r="509">
      <c r="D509" s="52"/>
    </row>
    <row r="510">
      <c r="D510" s="52"/>
    </row>
    <row r="511">
      <c r="D511" s="52"/>
    </row>
    <row r="512">
      <c r="D512" s="52"/>
    </row>
    <row r="513">
      <c r="D513" s="52"/>
    </row>
    <row r="514">
      <c r="D514" s="52"/>
    </row>
    <row r="515">
      <c r="D515" s="52"/>
    </row>
    <row r="516">
      <c r="D516" s="52"/>
    </row>
    <row r="517">
      <c r="D517" s="52"/>
    </row>
    <row r="518">
      <c r="D518" s="52"/>
    </row>
    <row r="519">
      <c r="D519" s="52"/>
    </row>
    <row r="520">
      <c r="D520" s="52"/>
    </row>
    <row r="521">
      <c r="D521" s="52"/>
    </row>
    <row r="522">
      <c r="D522" s="52"/>
    </row>
    <row r="523">
      <c r="D523" s="52"/>
    </row>
    <row r="524">
      <c r="D524" s="52"/>
    </row>
    <row r="525">
      <c r="D525" s="52"/>
    </row>
    <row r="526">
      <c r="D526" s="52"/>
    </row>
    <row r="527">
      <c r="D527" s="52"/>
    </row>
    <row r="528">
      <c r="D528" s="52"/>
    </row>
    <row r="529">
      <c r="D529" s="52"/>
    </row>
    <row r="530">
      <c r="D530" s="52"/>
    </row>
    <row r="531">
      <c r="D531" s="52"/>
    </row>
    <row r="532">
      <c r="D532" s="52"/>
    </row>
    <row r="533">
      <c r="D533" s="52"/>
    </row>
    <row r="534">
      <c r="D534" s="52"/>
    </row>
    <row r="535">
      <c r="D535" s="52"/>
    </row>
    <row r="536">
      <c r="D536" s="52"/>
    </row>
    <row r="537">
      <c r="D537" s="52"/>
    </row>
    <row r="538">
      <c r="D538" s="52"/>
    </row>
    <row r="539">
      <c r="D539" s="52"/>
    </row>
    <row r="540">
      <c r="D540" s="52"/>
    </row>
    <row r="541">
      <c r="D541" s="52"/>
    </row>
    <row r="542">
      <c r="D542" s="52"/>
    </row>
    <row r="543">
      <c r="D543" s="52"/>
    </row>
    <row r="544">
      <c r="D544" s="52"/>
    </row>
    <row r="545">
      <c r="D545" s="52"/>
    </row>
    <row r="546">
      <c r="D546" s="52"/>
    </row>
    <row r="547">
      <c r="D547" s="52"/>
    </row>
    <row r="548">
      <c r="D548" s="52"/>
    </row>
    <row r="549">
      <c r="D549" s="52"/>
    </row>
    <row r="550">
      <c r="D550" s="52"/>
    </row>
    <row r="551">
      <c r="D551" s="52"/>
    </row>
    <row r="552">
      <c r="D552" s="52"/>
    </row>
    <row r="553">
      <c r="D553" s="52"/>
    </row>
    <row r="554">
      <c r="D554" s="52"/>
    </row>
    <row r="555">
      <c r="D555" s="52"/>
    </row>
    <row r="556">
      <c r="D556" s="52"/>
    </row>
    <row r="557">
      <c r="D557" s="52"/>
    </row>
    <row r="558">
      <c r="D558" s="52"/>
    </row>
    <row r="559">
      <c r="D559" s="52"/>
    </row>
    <row r="560">
      <c r="D560" s="52"/>
    </row>
    <row r="561">
      <c r="D561" s="52"/>
    </row>
    <row r="562">
      <c r="D562" s="52"/>
    </row>
    <row r="563">
      <c r="D563" s="52"/>
    </row>
    <row r="564">
      <c r="D564" s="52"/>
    </row>
    <row r="565">
      <c r="D565" s="52"/>
    </row>
    <row r="566">
      <c r="D566" s="52"/>
    </row>
    <row r="567">
      <c r="D567" s="52"/>
    </row>
    <row r="568">
      <c r="D568" s="52"/>
    </row>
    <row r="569">
      <c r="D569" s="52"/>
    </row>
    <row r="570">
      <c r="D570" s="52"/>
    </row>
    <row r="571">
      <c r="D571" s="52"/>
    </row>
    <row r="572">
      <c r="D572" s="52"/>
    </row>
    <row r="573">
      <c r="D573" s="52"/>
    </row>
    <row r="574">
      <c r="D574" s="52"/>
    </row>
    <row r="575">
      <c r="D575" s="52"/>
    </row>
    <row r="576">
      <c r="D576" s="52"/>
    </row>
    <row r="577">
      <c r="D577" s="52"/>
    </row>
    <row r="578">
      <c r="D578" s="52"/>
    </row>
    <row r="579">
      <c r="D579" s="52"/>
    </row>
    <row r="580">
      <c r="D580" s="52"/>
    </row>
    <row r="581">
      <c r="D581" s="52"/>
    </row>
    <row r="582">
      <c r="D582" s="52"/>
    </row>
    <row r="583">
      <c r="D583" s="52"/>
    </row>
    <row r="584">
      <c r="D584" s="52"/>
    </row>
    <row r="585">
      <c r="D585" s="52"/>
    </row>
    <row r="586">
      <c r="D586" s="52"/>
    </row>
    <row r="587">
      <c r="D587" s="52"/>
    </row>
    <row r="588">
      <c r="D588" s="52"/>
    </row>
    <row r="589">
      <c r="D589" s="52"/>
    </row>
    <row r="590">
      <c r="D590" s="52"/>
    </row>
    <row r="591">
      <c r="D591" s="52"/>
    </row>
    <row r="592">
      <c r="D592" s="52"/>
    </row>
    <row r="593">
      <c r="D593" s="52"/>
    </row>
    <row r="594">
      <c r="D594" s="52"/>
    </row>
    <row r="595">
      <c r="D595" s="52"/>
    </row>
    <row r="596">
      <c r="D596" s="52"/>
    </row>
    <row r="597">
      <c r="D597" s="52"/>
    </row>
    <row r="598">
      <c r="D598" s="52"/>
    </row>
    <row r="599">
      <c r="D599" s="52"/>
    </row>
    <row r="600">
      <c r="D600" s="52"/>
    </row>
    <row r="601">
      <c r="D601" s="52"/>
    </row>
    <row r="602">
      <c r="D602" s="52"/>
    </row>
    <row r="603">
      <c r="D603" s="52"/>
    </row>
    <row r="604">
      <c r="D604" s="52"/>
    </row>
    <row r="605">
      <c r="D605" s="52"/>
    </row>
    <row r="606">
      <c r="D606" s="52"/>
    </row>
    <row r="607">
      <c r="D607" s="52"/>
    </row>
    <row r="608">
      <c r="D608" s="52"/>
    </row>
    <row r="609">
      <c r="D609" s="52"/>
    </row>
    <row r="610">
      <c r="D610" s="52"/>
    </row>
    <row r="611">
      <c r="D611" s="52"/>
    </row>
    <row r="612">
      <c r="D612" s="52"/>
    </row>
    <row r="613">
      <c r="D613" s="52"/>
    </row>
    <row r="614">
      <c r="D614" s="52"/>
    </row>
    <row r="615">
      <c r="D615" s="52"/>
    </row>
    <row r="616">
      <c r="D616" s="52"/>
    </row>
    <row r="617">
      <c r="D617" s="52"/>
    </row>
    <row r="618">
      <c r="D618" s="52"/>
    </row>
    <row r="619">
      <c r="D619" s="52"/>
    </row>
    <row r="620">
      <c r="D620" s="52"/>
    </row>
    <row r="621">
      <c r="D621" s="52"/>
    </row>
    <row r="622">
      <c r="D622" s="52"/>
    </row>
    <row r="623">
      <c r="D623" s="52"/>
    </row>
    <row r="624">
      <c r="D624" s="52"/>
    </row>
    <row r="625">
      <c r="D625" s="52"/>
    </row>
    <row r="626">
      <c r="D626" s="52"/>
    </row>
    <row r="627">
      <c r="D627" s="52"/>
    </row>
    <row r="628">
      <c r="D628" s="52"/>
    </row>
    <row r="629">
      <c r="D629" s="52"/>
    </row>
    <row r="630">
      <c r="D630" s="52"/>
    </row>
    <row r="631">
      <c r="D631" s="52"/>
    </row>
    <row r="632">
      <c r="D632" s="52"/>
    </row>
    <row r="633">
      <c r="D633" s="52"/>
    </row>
    <row r="634">
      <c r="D634" s="52"/>
    </row>
    <row r="635">
      <c r="D635" s="52"/>
    </row>
    <row r="636">
      <c r="D636" s="52"/>
    </row>
    <row r="637">
      <c r="D637" s="52"/>
    </row>
    <row r="638">
      <c r="D638" s="52"/>
    </row>
    <row r="639">
      <c r="D639" s="52"/>
    </row>
    <row r="640">
      <c r="D640" s="52"/>
    </row>
    <row r="641">
      <c r="D641" s="52"/>
    </row>
    <row r="642">
      <c r="D642" s="52"/>
    </row>
    <row r="643">
      <c r="D643" s="52"/>
    </row>
    <row r="644">
      <c r="D644" s="52"/>
    </row>
    <row r="645">
      <c r="D645" s="52"/>
    </row>
    <row r="646">
      <c r="D646" s="52"/>
    </row>
    <row r="647">
      <c r="D647" s="52"/>
    </row>
    <row r="648">
      <c r="D648" s="52"/>
    </row>
    <row r="649">
      <c r="D649" s="52"/>
    </row>
    <row r="650">
      <c r="D650" s="52"/>
    </row>
    <row r="651">
      <c r="D651" s="52"/>
    </row>
    <row r="652">
      <c r="D652" s="52"/>
    </row>
    <row r="653">
      <c r="D653" s="52"/>
    </row>
    <row r="654">
      <c r="D654" s="52"/>
    </row>
    <row r="655">
      <c r="D655" s="52"/>
    </row>
    <row r="656">
      <c r="D656" s="52"/>
    </row>
    <row r="657">
      <c r="D657" s="52"/>
    </row>
    <row r="658">
      <c r="D658" s="52"/>
    </row>
    <row r="659">
      <c r="D659" s="52"/>
    </row>
    <row r="660">
      <c r="D660" s="52"/>
    </row>
    <row r="661">
      <c r="D661" s="52"/>
    </row>
    <row r="662">
      <c r="D662" s="52"/>
    </row>
    <row r="663">
      <c r="D663" s="52"/>
    </row>
    <row r="664">
      <c r="D664" s="52"/>
    </row>
    <row r="665">
      <c r="D665" s="52"/>
    </row>
    <row r="666">
      <c r="D666" s="52"/>
    </row>
    <row r="667">
      <c r="D667" s="52"/>
    </row>
    <row r="668">
      <c r="D668" s="52"/>
    </row>
    <row r="669">
      <c r="D669" s="52"/>
    </row>
    <row r="670">
      <c r="D670" s="52"/>
    </row>
    <row r="671">
      <c r="D671" s="52"/>
    </row>
    <row r="672">
      <c r="D672" s="52"/>
    </row>
    <row r="673">
      <c r="D673" s="52"/>
    </row>
    <row r="674">
      <c r="D674" s="52"/>
    </row>
    <row r="675">
      <c r="D675" s="52"/>
    </row>
    <row r="676">
      <c r="D676" s="52"/>
    </row>
    <row r="677">
      <c r="D677" s="52"/>
    </row>
    <row r="678">
      <c r="D678" s="52"/>
    </row>
    <row r="679">
      <c r="D679" s="52"/>
    </row>
    <row r="680">
      <c r="D680" s="52"/>
    </row>
    <row r="681">
      <c r="D681" s="52"/>
    </row>
    <row r="682">
      <c r="D682" s="52"/>
    </row>
    <row r="683">
      <c r="D683" s="52"/>
    </row>
    <row r="684">
      <c r="D684" s="52"/>
    </row>
    <row r="685">
      <c r="D685" s="52"/>
    </row>
    <row r="686">
      <c r="D686" s="52"/>
    </row>
    <row r="687">
      <c r="D687" s="52"/>
    </row>
    <row r="688">
      <c r="D688" s="52"/>
    </row>
    <row r="689">
      <c r="D689" s="52"/>
    </row>
    <row r="690">
      <c r="D690" s="52"/>
    </row>
    <row r="691">
      <c r="D691" s="52"/>
    </row>
    <row r="692">
      <c r="D692" s="52"/>
    </row>
    <row r="693">
      <c r="D693" s="52"/>
    </row>
    <row r="694">
      <c r="D694" s="52"/>
    </row>
    <row r="695">
      <c r="D695" s="52"/>
    </row>
    <row r="696">
      <c r="D696" s="52"/>
    </row>
    <row r="697">
      <c r="D697" s="52"/>
    </row>
    <row r="698">
      <c r="D698" s="52"/>
    </row>
    <row r="699">
      <c r="D699" s="52"/>
    </row>
    <row r="700">
      <c r="D700" s="52"/>
    </row>
    <row r="701">
      <c r="D701" s="52"/>
    </row>
    <row r="702">
      <c r="D702" s="52"/>
    </row>
    <row r="703">
      <c r="D703" s="52"/>
    </row>
    <row r="704">
      <c r="D704" s="52"/>
    </row>
    <row r="705">
      <c r="D705" s="52"/>
    </row>
    <row r="706">
      <c r="D706" s="52"/>
    </row>
    <row r="707">
      <c r="D707" s="52"/>
    </row>
    <row r="708">
      <c r="D708" s="52"/>
    </row>
    <row r="709">
      <c r="D709" s="52"/>
    </row>
    <row r="710">
      <c r="D710" s="52"/>
    </row>
    <row r="711">
      <c r="D711" s="52"/>
    </row>
    <row r="712">
      <c r="D712" s="52"/>
    </row>
    <row r="713">
      <c r="D713" s="52"/>
    </row>
    <row r="714">
      <c r="D714" s="52"/>
    </row>
    <row r="715">
      <c r="D715" s="52"/>
    </row>
    <row r="716">
      <c r="D716" s="52"/>
    </row>
    <row r="717">
      <c r="D717" s="52"/>
    </row>
    <row r="718">
      <c r="D718" s="52"/>
    </row>
    <row r="719">
      <c r="D719" s="52"/>
    </row>
    <row r="720">
      <c r="D720" s="52"/>
    </row>
    <row r="721">
      <c r="D721" s="52"/>
    </row>
    <row r="722">
      <c r="D722" s="52"/>
    </row>
    <row r="723">
      <c r="D723" s="52"/>
    </row>
    <row r="724">
      <c r="D724" s="52"/>
    </row>
    <row r="725">
      <c r="D725" s="52"/>
    </row>
    <row r="726">
      <c r="D726" s="52"/>
    </row>
    <row r="727">
      <c r="D727" s="52"/>
    </row>
    <row r="728">
      <c r="D728" s="52"/>
    </row>
    <row r="729">
      <c r="D729" s="52"/>
    </row>
    <row r="730">
      <c r="D730" s="52"/>
    </row>
    <row r="731">
      <c r="D731" s="52"/>
    </row>
    <row r="732">
      <c r="D732" s="52"/>
    </row>
    <row r="733">
      <c r="D733" s="52"/>
    </row>
    <row r="734">
      <c r="D734" s="52"/>
    </row>
    <row r="735">
      <c r="D735" s="52"/>
    </row>
    <row r="736">
      <c r="D736" s="52"/>
    </row>
    <row r="737">
      <c r="D737" s="52"/>
    </row>
    <row r="738">
      <c r="D738" s="52"/>
    </row>
    <row r="739">
      <c r="D739" s="52"/>
    </row>
    <row r="740">
      <c r="D740" s="52"/>
    </row>
    <row r="741">
      <c r="D741" s="52"/>
    </row>
    <row r="742">
      <c r="D742" s="52"/>
    </row>
    <row r="743">
      <c r="D743" s="52"/>
    </row>
    <row r="744">
      <c r="D744" s="52"/>
    </row>
    <row r="745">
      <c r="D745" s="52"/>
    </row>
    <row r="746">
      <c r="D746" s="52"/>
    </row>
    <row r="747">
      <c r="D747" s="52"/>
    </row>
    <row r="748">
      <c r="D748" s="52"/>
    </row>
    <row r="749">
      <c r="D749" s="52"/>
    </row>
    <row r="750">
      <c r="D750" s="52"/>
    </row>
    <row r="751">
      <c r="D751" s="52"/>
    </row>
    <row r="752">
      <c r="D752" s="52"/>
    </row>
    <row r="753">
      <c r="D753" s="52"/>
    </row>
    <row r="754">
      <c r="D754" s="52"/>
    </row>
    <row r="755">
      <c r="D755" s="52"/>
    </row>
    <row r="756">
      <c r="D756" s="52"/>
    </row>
    <row r="757">
      <c r="D757" s="52"/>
    </row>
    <row r="758">
      <c r="D758" s="52"/>
    </row>
    <row r="759">
      <c r="D759" s="52"/>
    </row>
    <row r="760">
      <c r="D760" s="52"/>
    </row>
    <row r="761">
      <c r="D761" s="52"/>
    </row>
    <row r="762">
      <c r="D762" s="52"/>
    </row>
    <row r="763">
      <c r="D763" s="52"/>
    </row>
    <row r="764">
      <c r="D764" s="52"/>
    </row>
    <row r="765">
      <c r="D765" s="52"/>
    </row>
    <row r="766">
      <c r="D766" s="52"/>
    </row>
    <row r="767">
      <c r="D767" s="52"/>
    </row>
    <row r="768">
      <c r="D768" s="52"/>
    </row>
    <row r="769">
      <c r="D769" s="52"/>
    </row>
    <row r="770">
      <c r="D770" s="52"/>
    </row>
    <row r="771">
      <c r="D771" s="52"/>
    </row>
    <row r="772">
      <c r="D772" s="52"/>
    </row>
    <row r="773">
      <c r="D773" s="52"/>
    </row>
    <row r="774">
      <c r="D774" s="52"/>
    </row>
    <row r="775">
      <c r="D775" s="52"/>
    </row>
    <row r="776">
      <c r="D776" s="52"/>
    </row>
    <row r="777">
      <c r="D777" s="52"/>
    </row>
    <row r="778">
      <c r="D778" s="52"/>
    </row>
    <row r="779">
      <c r="D779" s="52"/>
    </row>
    <row r="780">
      <c r="D780" s="52"/>
    </row>
    <row r="781">
      <c r="D781" s="52"/>
    </row>
    <row r="782">
      <c r="D782" s="52"/>
    </row>
    <row r="783">
      <c r="D783" s="52"/>
    </row>
    <row r="784">
      <c r="D784" s="52"/>
    </row>
    <row r="785">
      <c r="D785" s="52"/>
    </row>
    <row r="786">
      <c r="D786" s="52"/>
    </row>
    <row r="787">
      <c r="D787" s="52"/>
    </row>
    <row r="788">
      <c r="D788" s="52"/>
    </row>
    <row r="789">
      <c r="D789" s="52"/>
    </row>
    <row r="790">
      <c r="D790" s="52"/>
    </row>
    <row r="791">
      <c r="D791" s="52"/>
    </row>
    <row r="792">
      <c r="D792" s="52"/>
    </row>
    <row r="793">
      <c r="D793" s="52"/>
    </row>
    <row r="794">
      <c r="D794" s="52"/>
    </row>
    <row r="795">
      <c r="D795" s="52"/>
    </row>
    <row r="796">
      <c r="D796" s="52"/>
    </row>
    <row r="797">
      <c r="D797" s="52"/>
    </row>
    <row r="798">
      <c r="D798" s="52"/>
    </row>
    <row r="799">
      <c r="D799" s="52"/>
    </row>
    <row r="800">
      <c r="D800" s="52"/>
    </row>
    <row r="801">
      <c r="D801" s="52"/>
    </row>
    <row r="802">
      <c r="D802" s="52"/>
    </row>
    <row r="803">
      <c r="D803" s="52"/>
    </row>
    <row r="804">
      <c r="D804" s="52"/>
    </row>
    <row r="805">
      <c r="D805" s="52"/>
    </row>
    <row r="806">
      <c r="D806" s="52"/>
    </row>
    <row r="807">
      <c r="D807" s="52"/>
    </row>
    <row r="808">
      <c r="D808" s="52"/>
    </row>
    <row r="809">
      <c r="D809" s="52"/>
    </row>
    <row r="810">
      <c r="D810" s="52"/>
    </row>
    <row r="811">
      <c r="D811" s="52"/>
    </row>
    <row r="812">
      <c r="D812" s="52"/>
    </row>
    <row r="813">
      <c r="D813" s="52"/>
    </row>
    <row r="814">
      <c r="D814" s="52"/>
    </row>
    <row r="815">
      <c r="D815" s="52"/>
    </row>
    <row r="816">
      <c r="D816" s="52"/>
    </row>
    <row r="817">
      <c r="D817" s="52"/>
    </row>
    <row r="818">
      <c r="D818" s="52"/>
    </row>
    <row r="819">
      <c r="D819" s="52"/>
    </row>
    <row r="820">
      <c r="D820" s="52"/>
    </row>
    <row r="821">
      <c r="D821" s="52"/>
    </row>
    <row r="822">
      <c r="D822" s="52"/>
    </row>
    <row r="823">
      <c r="D823" s="52"/>
    </row>
    <row r="824">
      <c r="D824" s="52"/>
    </row>
    <row r="825">
      <c r="D825" s="52"/>
    </row>
    <row r="826">
      <c r="D826" s="52"/>
    </row>
    <row r="827">
      <c r="D827" s="52"/>
    </row>
    <row r="828">
      <c r="D828" s="52"/>
    </row>
    <row r="829">
      <c r="D829" s="52"/>
    </row>
    <row r="830">
      <c r="D830" s="52"/>
    </row>
    <row r="831">
      <c r="D831" s="52"/>
    </row>
    <row r="832">
      <c r="D832" s="52"/>
    </row>
    <row r="833">
      <c r="D833" s="52"/>
    </row>
    <row r="834">
      <c r="D834" s="52"/>
    </row>
    <row r="835">
      <c r="D835" s="52"/>
    </row>
    <row r="836">
      <c r="D836" s="52"/>
    </row>
    <row r="837">
      <c r="D837" s="52"/>
    </row>
    <row r="838">
      <c r="D838" s="52"/>
    </row>
    <row r="839">
      <c r="D839" s="52"/>
    </row>
    <row r="840">
      <c r="D840" s="52"/>
    </row>
    <row r="841">
      <c r="D841" s="52"/>
    </row>
    <row r="842">
      <c r="D842" s="52"/>
    </row>
    <row r="843">
      <c r="D843" s="52"/>
    </row>
  </sheetData>
  <mergeCells count="7">
    <mergeCell ref="A1:F1"/>
    <mergeCell ref="A2:A3"/>
    <mergeCell ref="B2:B3"/>
    <mergeCell ref="C2:C3"/>
    <mergeCell ref="D2:D3"/>
    <mergeCell ref="E2:F2"/>
    <mergeCell ref="A7:E7"/>
  </mergeCells>
  <dataValidations>
    <dataValidation type="list" allowBlank="1" sqref="H4">
      <formula1>"CHECKED (OK),CHECKED  (NOT OK)"</formula1>
    </dataValidation>
  </dataValidations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3" max="3" width="26.75"/>
    <col customWidth="1" min="4" max="4" width="33.25"/>
    <col customWidth="1" min="7" max="7" width="3.5"/>
    <col customWidth="1" min="8" max="8" width="18.63"/>
    <col customWidth="1" min="9" max="9" width="21.63"/>
  </cols>
  <sheetData>
    <row r="1">
      <c r="A1" s="30" t="s">
        <v>1122</v>
      </c>
      <c r="G1" s="31"/>
      <c r="H1" s="32" t="s">
        <v>1123</v>
      </c>
      <c r="I1" s="33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4" t="s">
        <v>1</v>
      </c>
      <c r="B2" s="35" t="s">
        <v>11</v>
      </c>
      <c r="C2" s="35" t="s">
        <v>12</v>
      </c>
      <c r="D2" s="36" t="s">
        <v>13</v>
      </c>
      <c r="E2" s="37" t="s">
        <v>14</v>
      </c>
      <c r="F2" s="38"/>
      <c r="G2" s="39"/>
      <c r="H2" s="40"/>
      <c r="I2" s="40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41"/>
      <c r="B3" s="38"/>
      <c r="C3" s="38"/>
      <c r="D3" s="38"/>
      <c r="E3" s="42" t="s">
        <v>15</v>
      </c>
      <c r="F3" s="43" t="s">
        <v>5</v>
      </c>
      <c r="G3" s="39"/>
      <c r="H3" s="44" t="s">
        <v>6</v>
      </c>
      <c r="I3" s="45" t="s">
        <v>7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24.75" customHeight="1">
      <c r="A4" s="46"/>
      <c r="B4" s="47"/>
      <c r="C4" s="48" t="str">
        <f>vlookup(B4,'Crew Data'!C:G,5,0)</f>
        <v>#N/A</v>
      </c>
      <c r="D4" s="49"/>
      <c r="E4" s="47"/>
      <c r="F4" s="50">
        <f>E4*400</f>
        <v>0</v>
      </c>
      <c r="G4" s="22">
        <f>COUNTIF(B:B,B4)</f>
        <v>0</v>
      </c>
      <c r="H4" s="5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D5" s="52"/>
    </row>
    <row r="6">
      <c r="D6" s="52"/>
    </row>
    <row r="7" ht="44.25" customHeight="1">
      <c r="A7" s="53" t="s">
        <v>16</v>
      </c>
    </row>
    <row r="8">
      <c r="D8" s="52"/>
    </row>
    <row r="9">
      <c r="D9" s="52"/>
    </row>
    <row r="10">
      <c r="D10" s="52"/>
    </row>
    <row r="11">
      <c r="D11" s="52"/>
    </row>
    <row r="12">
      <c r="D12" s="52"/>
    </row>
    <row r="13">
      <c r="D13" s="52"/>
    </row>
    <row r="14">
      <c r="D14" s="52"/>
    </row>
    <row r="15">
      <c r="D15" s="52"/>
    </row>
    <row r="16">
      <c r="D16" s="52"/>
    </row>
    <row r="17">
      <c r="D17" s="52"/>
    </row>
    <row r="18">
      <c r="D18" s="52"/>
    </row>
    <row r="19">
      <c r="D19" s="52"/>
    </row>
    <row r="20">
      <c r="D20" s="52"/>
    </row>
    <row r="21">
      <c r="D21" s="52"/>
    </row>
    <row r="22">
      <c r="D22" s="52"/>
    </row>
    <row r="23">
      <c r="D23" s="52"/>
    </row>
    <row r="24">
      <c r="D24" s="52"/>
    </row>
    <row r="25">
      <c r="D25" s="52"/>
    </row>
    <row r="26">
      <c r="D26" s="52"/>
    </row>
    <row r="27">
      <c r="D27" s="52"/>
    </row>
    <row r="28">
      <c r="D28" s="52"/>
    </row>
    <row r="29">
      <c r="D29" s="52"/>
    </row>
    <row r="30">
      <c r="D30" s="52"/>
    </row>
    <row r="31">
      <c r="D31" s="52"/>
    </row>
    <row r="32">
      <c r="D32" s="52"/>
    </row>
    <row r="33">
      <c r="D33" s="52"/>
    </row>
    <row r="34">
      <c r="D34" s="52"/>
    </row>
    <row r="35">
      <c r="D35" s="52"/>
    </row>
    <row r="36">
      <c r="D36" s="52"/>
    </row>
    <row r="37">
      <c r="D37" s="52"/>
    </row>
    <row r="38">
      <c r="D38" s="52"/>
    </row>
    <row r="39">
      <c r="D39" s="52"/>
    </row>
    <row r="40">
      <c r="D40" s="52"/>
    </row>
    <row r="41">
      <c r="D41" s="52"/>
    </row>
    <row r="42">
      <c r="D42" s="52"/>
    </row>
    <row r="43">
      <c r="D43" s="52"/>
    </row>
    <row r="44">
      <c r="D44" s="52"/>
    </row>
    <row r="45">
      <c r="D45" s="52"/>
    </row>
    <row r="46">
      <c r="D46" s="52"/>
    </row>
    <row r="47">
      <c r="D47" s="52"/>
    </row>
    <row r="48">
      <c r="D48" s="52"/>
    </row>
    <row r="49">
      <c r="D49" s="52"/>
    </row>
    <row r="50">
      <c r="D50" s="52"/>
    </row>
    <row r="51">
      <c r="D51" s="52"/>
    </row>
    <row r="52">
      <c r="D52" s="52"/>
    </row>
    <row r="53">
      <c r="D53" s="52"/>
    </row>
    <row r="54">
      <c r="D54" s="52"/>
    </row>
    <row r="55">
      <c r="D55" s="52"/>
    </row>
    <row r="56">
      <c r="D56" s="52"/>
    </row>
    <row r="57">
      <c r="D57" s="52"/>
    </row>
    <row r="58">
      <c r="D58" s="52"/>
    </row>
    <row r="59">
      <c r="D59" s="52"/>
    </row>
    <row r="60">
      <c r="D60" s="52"/>
    </row>
    <row r="61">
      <c r="D61" s="52"/>
    </row>
    <row r="62">
      <c r="D62" s="52"/>
    </row>
    <row r="63">
      <c r="D63" s="52"/>
    </row>
    <row r="64">
      <c r="D64" s="52"/>
    </row>
    <row r="65">
      <c r="D65" s="52"/>
    </row>
    <row r="66">
      <c r="D66" s="52"/>
    </row>
    <row r="67">
      <c r="D67" s="52"/>
    </row>
    <row r="68">
      <c r="D68" s="52"/>
    </row>
    <row r="69">
      <c r="D69" s="52"/>
    </row>
    <row r="70">
      <c r="D70" s="52"/>
    </row>
    <row r="71">
      <c r="D71" s="52"/>
    </row>
    <row r="72">
      <c r="D72" s="52"/>
    </row>
    <row r="73">
      <c r="D73" s="52"/>
    </row>
    <row r="74">
      <c r="D74" s="52"/>
    </row>
    <row r="75">
      <c r="D75" s="52"/>
    </row>
    <row r="76">
      <c r="D76" s="52"/>
    </row>
    <row r="77">
      <c r="D77" s="52"/>
    </row>
    <row r="78">
      <c r="D78" s="52"/>
    </row>
    <row r="79">
      <c r="D79" s="52"/>
    </row>
    <row r="80">
      <c r="D80" s="52"/>
    </row>
    <row r="81">
      <c r="D81" s="52"/>
    </row>
    <row r="82">
      <c r="D82" s="52"/>
    </row>
    <row r="83">
      <c r="D83" s="52"/>
    </row>
    <row r="84">
      <c r="D84" s="52"/>
    </row>
    <row r="85">
      <c r="D85" s="52"/>
    </row>
    <row r="86">
      <c r="D86" s="52"/>
    </row>
    <row r="87">
      <c r="D87" s="52"/>
    </row>
    <row r="88">
      <c r="D88" s="52"/>
    </row>
    <row r="89">
      <c r="D89" s="52"/>
    </row>
    <row r="90">
      <c r="D90" s="52"/>
    </row>
    <row r="91">
      <c r="D91" s="52"/>
    </row>
    <row r="92">
      <c r="D92" s="52"/>
    </row>
    <row r="93">
      <c r="D93" s="52"/>
    </row>
    <row r="94">
      <c r="D94" s="52"/>
    </row>
    <row r="95">
      <c r="D95" s="52"/>
    </row>
    <row r="96">
      <c r="D96" s="52"/>
    </row>
    <row r="97">
      <c r="D97" s="52"/>
    </row>
    <row r="98">
      <c r="D98" s="52"/>
    </row>
    <row r="99">
      <c r="D99" s="52"/>
    </row>
    <row r="100">
      <c r="D100" s="52"/>
    </row>
    <row r="101">
      <c r="D101" s="52"/>
    </row>
    <row r="102">
      <c r="D102" s="52"/>
    </row>
    <row r="103">
      <c r="D103" s="52"/>
    </row>
    <row r="104">
      <c r="D104" s="52"/>
    </row>
    <row r="105">
      <c r="D105" s="52"/>
    </row>
    <row r="106">
      <c r="D106" s="52"/>
    </row>
    <row r="107">
      <c r="D107" s="52"/>
    </row>
    <row r="108">
      <c r="D108" s="52"/>
    </row>
    <row r="109">
      <c r="D109" s="52"/>
    </row>
    <row r="110">
      <c r="D110" s="52"/>
    </row>
    <row r="111">
      <c r="D111" s="52"/>
    </row>
    <row r="112">
      <c r="D112" s="52"/>
    </row>
    <row r="113">
      <c r="D113" s="52"/>
    </row>
    <row r="114">
      <c r="D114" s="52"/>
    </row>
    <row r="115">
      <c r="D115" s="52"/>
    </row>
    <row r="116">
      <c r="D116" s="52"/>
    </row>
    <row r="117">
      <c r="D117" s="52"/>
    </row>
    <row r="118">
      <c r="D118" s="52"/>
    </row>
    <row r="119">
      <c r="D119" s="52"/>
    </row>
    <row r="120">
      <c r="D120" s="52"/>
    </row>
    <row r="121">
      <c r="D121" s="52"/>
    </row>
    <row r="122">
      <c r="D122" s="52"/>
    </row>
    <row r="123">
      <c r="D123" s="52"/>
    </row>
    <row r="124">
      <c r="D124" s="52"/>
    </row>
    <row r="125">
      <c r="D125" s="52"/>
    </row>
    <row r="126">
      <c r="D126" s="52"/>
    </row>
    <row r="127">
      <c r="D127" s="52"/>
    </row>
    <row r="128">
      <c r="D128" s="52"/>
    </row>
    <row r="129">
      <c r="D129" s="52"/>
    </row>
    <row r="130">
      <c r="D130" s="52"/>
    </row>
    <row r="131">
      <c r="D131" s="52"/>
    </row>
    <row r="132">
      <c r="D132" s="52"/>
    </row>
    <row r="133">
      <c r="D133" s="52"/>
    </row>
    <row r="134">
      <c r="D134" s="52"/>
    </row>
    <row r="135">
      <c r="D135" s="52"/>
    </row>
    <row r="136">
      <c r="D136" s="52"/>
    </row>
    <row r="137">
      <c r="D137" s="52"/>
    </row>
    <row r="138">
      <c r="D138" s="52"/>
    </row>
    <row r="139">
      <c r="D139" s="52"/>
    </row>
    <row r="140">
      <c r="D140" s="52"/>
    </row>
    <row r="141">
      <c r="D141" s="52"/>
    </row>
    <row r="142">
      <c r="D142" s="52"/>
    </row>
    <row r="143">
      <c r="D143" s="52"/>
    </row>
    <row r="144">
      <c r="D144" s="52"/>
    </row>
    <row r="145">
      <c r="D145" s="52"/>
    </row>
    <row r="146">
      <c r="D146" s="52"/>
    </row>
    <row r="147">
      <c r="D147" s="52"/>
    </row>
    <row r="148">
      <c r="D148" s="52"/>
    </row>
    <row r="149">
      <c r="D149" s="52"/>
    </row>
    <row r="150">
      <c r="D150" s="52"/>
    </row>
    <row r="151">
      <c r="D151" s="52"/>
    </row>
    <row r="152">
      <c r="D152" s="52"/>
    </row>
    <row r="153">
      <c r="D153" s="52"/>
    </row>
    <row r="154">
      <c r="D154" s="52"/>
    </row>
    <row r="155">
      <c r="D155" s="52"/>
    </row>
    <row r="156">
      <c r="D156" s="52"/>
    </row>
    <row r="157">
      <c r="D157" s="52"/>
    </row>
    <row r="158">
      <c r="D158" s="52"/>
    </row>
    <row r="159">
      <c r="D159" s="52"/>
    </row>
    <row r="160">
      <c r="D160" s="52"/>
    </row>
    <row r="161">
      <c r="D161" s="52"/>
    </row>
    <row r="162">
      <c r="D162" s="52"/>
    </row>
    <row r="163">
      <c r="D163" s="52"/>
    </row>
    <row r="164">
      <c r="D164" s="52"/>
    </row>
    <row r="165">
      <c r="D165" s="52"/>
    </row>
    <row r="166">
      <c r="D166" s="52"/>
    </row>
    <row r="167">
      <c r="D167" s="52"/>
    </row>
    <row r="168">
      <c r="D168" s="52"/>
    </row>
    <row r="169">
      <c r="D169" s="52"/>
    </row>
    <row r="170">
      <c r="D170" s="52"/>
    </row>
    <row r="171">
      <c r="D171" s="52"/>
    </row>
    <row r="172">
      <c r="D172" s="52"/>
    </row>
    <row r="173">
      <c r="D173" s="52"/>
    </row>
    <row r="174">
      <c r="D174" s="52"/>
    </row>
    <row r="175">
      <c r="D175" s="52"/>
    </row>
    <row r="176">
      <c r="D176" s="52"/>
    </row>
    <row r="177">
      <c r="D177" s="52"/>
    </row>
    <row r="178">
      <c r="D178" s="52"/>
    </row>
    <row r="179">
      <c r="D179" s="52"/>
    </row>
    <row r="180">
      <c r="D180" s="52"/>
    </row>
    <row r="181">
      <c r="D181" s="52"/>
    </row>
    <row r="182">
      <c r="D182" s="52"/>
    </row>
    <row r="183">
      <c r="D183" s="52"/>
    </row>
    <row r="184">
      <c r="D184" s="52"/>
    </row>
    <row r="185">
      <c r="D185" s="52"/>
    </row>
    <row r="186">
      <c r="D186" s="52"/>
    </row>
    <row r="187">
      <c r="D187" s="52"/>
    </row>
    <row r="188">
      <c r="D188" s="52"/>
    </row>
    <row r="189">
      <c r="D189" s="52"/>
    </row>
    <row r="190">
      <c r="D190" s="52"/>
    </row>
    <row r="191">
      <c r="D191" s="52"/>
    </row>
    <row r="192">
      <c r="D192" s="52"/>
    </row>
    <row r="193">
      <c r="D193" s="52"/>
    </row>
    <row r="194">
      <c r="D194" s="52"/>
    </row>
    <row r="195">
      <c r="D195" s="52"/>
    </row>
    <row r="196">
      <c r="D196" s="52"/>
    </row>
    <row r="197">
      <c r="D197" s="52"/>
    </row>
    <row r="198">
      <c r="D198" s="52"/>
    </row>
    <row r="199">
      <c r="D199" s="52"/>
    </row>
    <row r="200">
      <c r="D200" s="52"/>
    </row>
    <row r="201">
      <c r="D201" s="52"/>
    </row>
    <row r="202">
      <c r="D202" s="52"/>
    </row>
    <row r="203">
      <c r="D203" s="52"/>
    </row>
    <row r="204">
      <c r="D204" s="52"/>
    </row>
    <row r="205">
      <c r="D205" s="52"/>
    </row>
    <row r="206">
      <c r="D206" s="52"/>
    </row>
    <row r="207">
      <c r="D207" s="52"/>
    </row>
    <row r="208">
      <c r="D208" s="52"/>
    </row>
    <row r="209">
      <c r="D209" s="52"/>
    </row>
    <row r="210">
      <c r="D210" s="52"/>
    </row>
    <row r="211">
      <c r="D211" s="52"/>
    </row>
    <row r="212">
      <c r="D212" s="52"/>
    </row>
    <row r="213">
      <c r="D213" s="52"/>
    </row>
    <row r="214">
      <c r="D214" s="52"/>
    </row>
    <row r="215">
      <c r="D215" s="52"/>
    </row>
    <row r="216">
      <c r="D216" s="52"/>
    </row>
    <row r="217">
      <c r="D217" s="52"/>
    </row>
    <row r="218">
      <c r="D218" s="52"/>
    </row>
    <row r="219">
      <c r="D219" s="52"/>
    </row>
    <row r="220">
      <c r="D220" s="52"/>
    </row>
    <row r="221">
      <c r="D221" s="52"/>
    </row>
    <row r="222">
      <c r="D222" s="52"/>
    </row>
    <row r="223">
      <c r="D223" s="52"/>
    </row>
    <row r="224">
      <c r="D224" s="52"/>
    </row>
    <row r="225">
      <c r="D225" s="52"/>
    </row>
    <row r="226">
      <c r="D226" s="52"/>
    </row>
    <row r="227">
      <c r="D227" s="52"/>
    </row>
    <row r="228">
      <c r="D228" s="52"/>
    </row>
    <row r="229">
      <c r="D229" s="52"/>
    </row>
    <row r="230">
      <c r="D230" s="52"/>
    </row>
    <row r="231">
      <c r="D231" s="52"/>
    </row>
    <row r="232">
      <c r="D232" s="52"/>
    </row>
    <row r="233">
      <c r="D233" s="52"/>
    </row>
    <row r="234">
      <c r="D234" s="52"/>
    </row>
    <row r="235">
      <c r="D235" s="52"/>
    </row>
    <row r="236">
      <c r="D236" s="52"/>
    </row>
    <row r="237">
      <c r="D237" s="52"/>
    </row>
    <row r="238">
      <c r="D238" s="52"/>
    </row>
    <row r="239">
      <c r="D239" s="52"/>
    </row>
    <row r="240">
      <c r="D240" s="52"/>
    </row>
    <row r="241">
      <c r="D241" s="52"/>
    </row>
    <row r="242">
      <c r="D242" s="52"/>
    </row>
    <row r="243">
      <c r="D243" s="52"/>
    </row>
    <row r="244">
      <c r="D244" s="52"/>
    </row>
    <row r="245">
      <c r="D245" s="52"/>
    </row>
    <row r="246">
      <c r="D246" s="52"/>
    </row>
    <row r="247">
      <c r="D247" s="52"/>
    </row>
    <row r="248">
      <c r="D248" s="52"/>
    </row>
    <row r="249">
      <c r="D249" s="52"/>
    </row>
    <row r="250">
      <c r="D250" s="52"/>
    </row>
    <row r="251">
      <c r="D251" s="52"/>
    </row>
    <row r="252">
      <c r="D252" s="52"/>
    </row>
    <row r="253">
      <c r="D253" s="52"/>
    </row>
    <row r="254">
      <c r="D254" s="52"/>
    </row>
    <row r="255">
      <c r="D255" s="52"/>
    </row>
    <row r="256">
      <c r="D256" s="52"/>
    </row>
    <row r="257">
      <c r="D257" s="52"/>
    </row>
    <row r="258">
      <c r="D258" s="52"/>
    </row>
    <row r="259">
      <c r="D259" s="52"/>
    </row>
    <row r="260">
      <c r="D260" s="52"/>
    </row>
    <row r="261">
      <c r="D261" s="52"/>
    </row>
    <row r="262">
      <c r="D262" s="52"/>
    </row>
    <row r="263">
      <c r="D263" s="52"/>
    </row>
    <row r="264">
      <c r="D264" s="52"/>
    </row>
    <row r="265">
      <c r="D265" s="52"/>
    </row>
    <row r="266">
      <c r="D266" s="52"/>
    </row>
    <row r="267">
      <c r="D267" s="52"/>
    </row>
    <row r="268">
      <c r="D268" s="52"/>
    </row>
    <row r="269">
      <c r="D269" s="52"/>
    </row>
    <row r="270">
      <c r="D270" s="52"/>
    </row>
    <row r="271">
      <c r="D271" s="52"/>
    </row>
    <row r="272">
      <c r="D272" s="52"/>
    </row>
    <row r="273">
      <c r="D273" s="52"/>
    </row>
    <row r="274">
      <c r="D274" s="52"/>
    </row>
    <row r="275">
      <c r="D275" s="52"/>
    </row>
    <row r="276">
      <c r="D276" s="52"/>
    </row>
    <row r="277">
      <c r="D277" s="52"/>
    </row>
    <row r="278">
      <c r="D278" s="52"/>
    </row>
    <row r="279">
      <c r="D279" s="52"/>
    </row>
    <row r="280">
      <c r="D280" s="52"/>
    </row>
    <row r="281">
      <c r="D281" s="52"/>
    </row>
    <row r="282">
      <c r="D282" s="52"/>
    </row>
    <row r="283">
      <c r="D283" s="52"/>
    </row>
    <row r="284">
      <c r="D284" s="52"/>
    </row>
    <row r="285">
      <c r="D285" s="52"/>
    </row>
    <row r="286">
      <c r="D286" s="52"/>
    </row>
    <row r="287">
      <c r="D287" s="52"/>
    </row>
    <row r="288">
      <c r="D288" s="52"/>
    </row>
    <row r="289">
      <c r="D289" s="52"/>
    </row>
    <row r="290">
      <c r="D290" s="52"/>
    </row>
    <row r="291">
      <c r="D291" s="52"/>
    </row>
    <row r="292">
      <c r="D292" s="52"/>
    </row>
    <row r="293">
      <c r="D293" s="52"/>
    </row>
    <row r="294">
      <c r="D294" s="52"/>
    </row>
    <row r="295">
      <c r="D295" s="52"/>
    </row>
    <row r="296">
      <c r="D296" s="52"/>
    </row>
    <row r="297">
      <c r="D297" s="52"/>
    </row>
    <row r="298">
      <c r="D298" s="52"/>
    </row>
    <row r="299">
      <c r="D299" s="52"/>
    </row>
    <row r="300">
      <c r="D300" s="52"/>
    </row>
    <row r="301">
      <c r="D301" s="52"/>
    </row>
    <row r="302">
      <c r="D302" s="52"/>
    </row>
    <row r="303">
      <c r="D303" s="52"/>
    </row>
    <row r="304">
      <c r="D304" s="52"/>
    </row>
    <row r="305">
      <c r="D305" s="52"/>
    </row>
    <row r="306">
      <c r="D306" s="52"/>
    </row>
    <row r="307">
      <c r="D307" s="52"/>
    </row>
    <row r="308">
      <c r="D308" s="52"/>
    </row>
    <row r="309">
      <c r="D309" s="52"/>
    </row>
    <row r="310">
      <c r="D310" s="52"/>
    </row>
    <row r="311">
      <c r="D311" s="52"/>
    </row>
    <row r="312">
      <c r="D312" s="52"/>
    </row>
    <row r="313">
      <c r="D313" s="52"/>
    </row>
    <row r="314">
      <c r="D314" s="52"/>
    </row>
    <row r="315">
      <c r="D315" s="52"/>
    </row>
    <row r="316">
      <c r="D316" s="52"/>
    </row>
    <row r="317">
      <c r="D317" s="52"/>
    </row>
    <row r="318">
      <c r="D318" s="52"/>
    </row>
    <row r="319">
      <c r="D319" s="52"/>
    </row>
    <row r="320">
      <c r="D320" s="52"/>
    </row>
    <row r="321">
      <c r="D321" s="52"/>
    </row>
    <row r="322">
      <c r="D322" s="52"/>
    </row>
    <row r="323">
      <c r="D323" s="52"/>
    </row>
    <row r="324">
      <c r="D324" s="52"/>
    </row>
    <row r="325">
      <c r="D325" s="52"/>
    </row>
    <row r="326">
      <c r="D326" s="52"/>
    </row>
    <row r="327">
      <c r="D327" s="52"/>
    </row>
    <row r="328">
      <c r="D328" s="52"/>
    </row>
    <row r="329">
      <c r="D329" s="52"/>
    </row>
    <row r="330">
      <c r="D330" s="52"/>
    </row>
    <row r="331">
      <c r="D331" s="52"/>
    </row>
    <row r="332">
      <c r="D332" s="52"/>
    </row>
    <row r="333">
      <c r="D333" s="52"/>
    </row>
    <row r="334">
      <c r="D334" s="52"/>
    </row>
    <row r="335">
      <c r="D335" s="52"/>
    </row>
    <row r="336">
      <c r="D336" s="52"/>
    </row>
    <row r="337">
      <c r="D337" s="52"/>
    </row>
    <row r="338">
      <c r="D338" s="52"/>
    </row>
    <row r="339">
      <c r="D339" s="52"/>
    </row>
    <row r="340">
      <c r="D340" s="52"/>
    </row>
    <row r="341">
      <c r="D341" s="52"/>
    </row>
    <row r="342">
      <c r="D342" s="52"/>
    </row>
    <row r="343">
      <c r="D343" s="52"/>
    </row>
    <row r="344">
      <c r="D344" s="52"/>
    </row>
    <row r="345">
      <c r="D345" s="52"/>
    </row>
    <row r="346">
      <c r="D346" s="52"/>
    </row>
    <row r="347">
      <c r="D347" s="52"/>
    </row>
    <row r="348">
      <c r="D348" s="52"/>
    </row>
    <row r="349">
      <c r="D349" s="52"/>
    </row>
    <row r="350">
      <c r="D350" s="52"/>
    </row>
    <row r="351">
      <c r="D351" s="52"/>
    </row>
    <row r="352">
      <c r="D352" s="52"/>
    </row>
    <row r="353">
      <c r="D353" s="52"/>
    </row>
    <row r="354">
      <c r="D354" s="52"/>
    </row>
    <row r="355">
      <c r="D355" s="52"/>
    </row>
    <row r="356">
      <c r="D356" s="52"/>
    </row>
    <row r="357">
      <c r="D357" s="52"/>
    </row>
    <row r="358">
      <c r="D358" s="52"/>
    </row>
    <row r="359">
      <c r="D359" s="52"/>
    </row>
    <row r="360">
      <c r="D360" s="52"/>
    </row>
    <row r="361">
      <c r="D361" s="52"/>
    </row>
    <row r="362">
      <c r="D362" s="52"/>
    </row>
    <row r="363">
      <c r="D363" s="52"/>
    </row>
    <row r="364">
      <c r="D364" s="52"/>
    </row>
    <row r="365">
      <c r="D365" s="52"/>
    </row>
    <row r="366">
      <c r="D366" s="52"/>
    </row>
    <row r="367">
      <c r="D367" s="52"/>
    </row>
    <row r="368">
      <c r="D368" s="52"/>
    </row>
    <row r="369">
      <c r="D369" s="52"/>
    </row>
    <row r="370">
      <c r="D370" s="52"/>
    </row>
    <row r="371">
      <c r="D371" s="52"/>
    </row>
    <row r="372">
      <c r="D372" s="52"/>
    </row>
    <row r="373">
      <c r="D373" s="52"/>
    </row>
    <row r="374">
      <c r="D374" s="52"/>
    </row>
    <row r="375">
      <c r="D375" s="52"/>
    </row>
    <row r="376">
      <c r="D376" s="52"/>
    </row>
    <row r="377">
      <c r="D377" s="52"/>
    </row>
    <row r="378">
      <c r="D378" s="52"/>
    </row>
    <row r="379">
      <c r="D379" s="52"/>
    </row>
    <row r="380">
      <c r="D380" s="52"/>
    </row>
    <row r="381">
      <c r="D381" s="52"/>
    </row>
    <row r="382">
      <c r="D382" s="52"/>
    </row>
    <row r="383">
      <c r="D383" s="52"/>
    </row>
    <row r="384">
      <c r="D384" s="52"/>
    </row>
    <row r="385">
      <c r="D385" s="52"/>
    </row>
    <row r="386">
      <c r="D386" s="52"/>
    </row>
    <row r="387">
      <c r="D387" s="52"/>
    </row>
    <row r="388">
      <c r="D388" s="52"/>
    </row>
    <row r="389">
      <c r="D389" s="52"/>
    </row>
    <row r="390">
      <c r="D390" s="52"/>
    </row>
    <row r="391">
      <c r="D391" s="52"/>
    </row>
    <row r="392">
      <c r="D392" s="52"/>
    </row>
    <row r="393">
      <c r="D393" s="52"/>
    </row>
    <row r="394">
      <c r="D394" s="52"/>
    </row>
    <row r="395">
      <c r="D395" s="52"/>
    </row>
    <row r="396">
      <c r="D396" s="52"/>
    </row>
    <row r="397">
      <c r="D397" s="52"/>
    </row>
    <row r="398">
      <c r="D398" s="52"/>
    </row>
    <row r="399">
      <c r="D399" s="52"/>
    </row>
    <row r="400">
      <c r="D400" s="52"/>
    </row>
    <row r="401">
      <c r="D401" s="52"/>
    </row>
    <row r="402">
      <c r="D402" s="52"/>
    </row>
    <row r="403">
      <c r="D403" s="52"/>
    </row>
    <row r="404">
      <c r="D404" s="52"/>
    </row>
    <row r="405">
      <c r="D405" s="52"/>
    </row>
    <row r="406">
      <c r="D406" s="52"/>
    </row>
    <row r="407">
      <c r="D407" s="52"/>
    </row>
    <row r="408">
      <c r="D408" s="52"/>
    </row>
    <row r="409">
      <c r="D409" s="52"/>
    </row>
    <row r="410">
      <c r="D410" s="52"/>
    </row>
    <row r="411">
      <c r="D411" s="52"/>
    </row>
    <row r="412">
      <c r="D412" s="52"/>
    </row>
    <row r="413">
      <c r="D413" s="52"/>
    </row>
    <row r="414">
      <c r="D414" s="52"/>
    </row>
    <row r="415">
      <c r="D415" s="52"/>
    </row>
    <row r="416">
      <c r="D416" s="52"/>
    </row>
    <row r="417">
      <c r="D417" s="52"/>
    </row>
    <row r="418">
      <c r="D418" s="52"/>
    </row>
    <row r="419">
      <c r="D419" s="52"/>
    </row>
    <row r="420">
      <c r="D420" s="52"/>
    </row>
    <row r="421">
      <c r="D421" s="52"/>
    </row>
    <row r="422">
      <c r="D422" s="52"/>
    </row>
    <row r="423">
      <c r="D423" s="52"/>
    </row>
    <row r="424">
      <c r="D424" s="52"/>
    </row>
    <row r="425">
      <c r="D425" s="52"/>
    </row>
    <row r="426">
      <c r="D426" s="52"/>
    </row>
    <row r="427">
      <c r="D427" s="52"/>
    </row>
    <row r="428">
      <c r="D428" s="52"/>
    </row>
    <row r="429">
      <c r="D429" s="52"/>
    </row>
    <row r="430">
      <c r="D430" s="52"/>
    </row>
    <row r="431">
      <c r="D431" s="52"/>
    </row>
    <row r="432">
      <c r="D432" s="52"/>
    </row>
    <row r="433">
      <c r="D433" s="52"/>
    </row>
    <row r="434">
      <c r="D434" s="52"/>
    </row>
    <row r="435">
      <c r="D435" s="52"/>
    </row>
    <row r="436">
      <c r="D436" s="52"/>
    </row>
    <row r="437">
      <c r="D437" s="52"/>
    </row>
    <row r="438">
      <c r="D438" s="52"/>
    </row>
    <row r="439">
      <c r="D439" s="52"/>
    </row>
    <row r="440">
      <c r="D440" s="52"/>
    </row>
    <row r="441">
      <c r="D441" s="52"/>
    </row>
    <row r="442">
      <c r="D442" s="52"/>
    </row>
    <row r="443">
      <c r="D443" s="52"/>
    </row>
    <row r="444">
      <c r="D444" s="52"/>
    </row>
    <row r="445">
      <c r="D445" s="52"/>
    </row>
    <row r="446">
      <c r="D446" s="52"/>
    </row>
    <row r="447">
      <c r="D447" s="52"/>
    </row>
    <row r="448">
      <c r="D448" s="52"/>
    </row>
    <row r="449">
      <c r="D449" s="52"/>
    </row>
    <row r="450">
      <c r="D450" s="52"/>
    </row>
    <row r="451">
      <c r="D451" s="52"/>
    </row>
    <row r="452">
      <c r="D452" s="52"/>
    </row>
    <row r="453">
      <c r="D453" s="52"/>
    </row>
    <row r="454">
      <c r="D454" s="52"/>
    </row>
    <row r="455">
      <c r="D455" s="52"/>
    </row>
    <row r="456">
      <c r="D456" s="52"/>
    </row>
    <row r="457">
      <c r="D457" s="52"/>
    </row>
    <row r="458">
      <c r="D458" s="52"/>
    </row>
    <row r="459">
      <c r="D459" s="52"/>
    </row>
    <row r="460">
      <c r="D460" s="52"/>
    </row>
    <row r="461">
      <c r="D461" s="52"/>
    </row>
    <row r="462">
      <c r="D462" s="52"/>
    </row>
    <row r="463">
      <c r="D463" s="52"/>
    </row>
    <row r="464">
      <c r="D464" s="52"/>
    </row>
    <row r="465">
      <c r="D465" s="52"/>
    </row>
    <row r="466">
      <c r="D466" s="52"/>
    </row>
    <row r="467">
      <c r="D467" s="52"/>
    </row>
    <row r="468">
      <c r="D468" s="52"/>
    </row>
    <row r="469">
      <c r="D469" s="52"/>
    </row>
    <row r="470">
      <c r="D470" s="52"/>
    </row>
    <row r="471">
      <c r="D471" s="52"/>
    </row>
    <row r="472">
      <c r="D472" s="52"/>
    </row>
    <row r="473">
      <c r="D473" s="52"/>
    </row>
    <row r="474">
      <c r="D474" s="52"/>
    </row>
    <row r="475">
      <c r="D475" s="52"/>
    </row>
    <row r="476">
      <c r="D476" s="52"/>
    </row>
    <row r="477">
      <c r="D477" s="52"/>
    </row>
    <row r="478">
      <c r="D478" s="52"/>
    </row>
    <row r="479">
      <c r="D479" s="52"/>
    </row>
    <row r="480">
      <c r="D480" s="52"/>
    </row>
    <row r="481">
      <c r="D481" s="52"/>
    </row>
    <row r="482">
      <c r="D482" s="52"/>
    </row>
    <row r="483">
      <c r="D483" s="52"/>
    </row>
    <row r="484">
      <c r="D484" s="52"/>
    </row>
    <row r="485">
      <c r="D485" s="52"/>
    </row>
    <row r="486">
      <c r="D486" s="52"/>
    </row>
    <row r="487">
      <c r="D487" s="52"/>
    </row>
    <row r="488">
      <c r="D488" s="52"/>
    </row>
    <row r="489">
      <c r="D489" s="52"/>
    </row>
    <row r="490">
      <c r="D490" s="52"/>
    </row>
    <row r="491">
      <c r="D491" s="52"/>
    </row>
    <row r="492">
      <c r="D492" s="52"/>
    </row>
    <row r="493">
      <c r="D493" s="52"/>
    </row>
    <row r="494">
      <c r="D494" s="52"/>
    </row>
    <row r="495">
      <c r="D495" s="52"/>
    </row>
    <row r="496">
      <c r="D496" s="52"/>
    </row>
    <row r="497">
      <c r="D497" s="52"/>
    </row>
    <row r="498">
      <c r="D498" s="52"/>
    </row>
    <row r="499">
      <c r="D499" s="52"/>
    </row>
    <row r="500">
      <c r="D500" s="52"/>
    </row>
    <row r="501">
      <c r="D501" s="52"/>
    </row>
    <row r="502">
      <c r="D502" s="52"/>
    </row>
    <row r="503">
      <c r="D503" s="52"/>
    </row>
    <row r="504">
      <c r="D504" s="52"/>
    </row>
    <row r="505">
      <c r="D505" s="52"/>
    </row>
    <row r="506">
      <c r="D506" s="52"/>
    </row>
    <row r="507">
      <c r="D507" s="52"/>
    </row>
    <row r="508">
      <c r="D508" s="52"/>
    </row>
    <row r="509">
      <c r="D509" s="52"/>
    </row>
    <row r="510">
      <c r="D510" s="52"/>
    </row>
    <row r="511">
      <c r="D511" s="52"/>
    </row>
    <row r="512">
      <c r="D512" s="52"/>
    </row>
    <row r="513">
      <c r="D513" s="52"/>
    </row>
    <row r="514">
      <c r="D514" s="52"/>
    </row>
    <row r="515">
      <c r="D515" s="52"/>
    </row>
    <row r="516">
      <c r="D516" s="52"/>
    </row>
    <row r="517">
      <c r="D517" s="52"/>
    </row>
    <row r="518">
      <c r="D518" s="52"/>
    </row>
    <row r="519">
      <c r="D519" s="52"/>
    </row>
    <row r="520">
      <c r="D520" s="52"/>
    </row>
    <row r="521">
      <c r="D521" s="52"/>
    </row>
    <row r="522">
      <c r="D522" s="52"/>
    </row>
    <row r="523">
      <c r="D523" s="52"/>
    </row>
    <row r="524">
      <c r="D524" s="52"/>
    </row>
    <row r="525">
      <c r="D525" s="52"/>
    </row>
    <row r="526">
      <c r="D526" s="52"/>
    </row>
    <row r="527">
      <c r="D527" s="52"/>
    </row>
    <row r="528">
      <c r="D528" s="52"/>
    </row>
    <row r="529">
      <c r="D529" s="52"/>
    </row>
    <row r="530">
      <c r="D530" s="52"/>
    </row>
    <row r="531">
      <c r="D531" s="52"/>
    </row>
    <row r="532">
      <c r="D532" s="52"/>
    </row>
    <row r="533">
      <c r="D533" s="52"/>
    </row>
    <row r="534">
      <c r="D534" s="52"/>
    </row>
    <row r="535">
      <c r="D535" s="52"/>
    </row>
    <row r="536">
      <c r="D536" s="52"/>
    </row>
    <row r="537">
      <c r="D537" s="52"/>
    </row>
    <row r="538">
      <c r="D538" s="52"/>
    </row>
    <row r="539">
      <c r="D539" s="52"/>
    </row>
    <row r="540">
      <c r="D540" s="52"/>
    </row>
    <row r="541">
      <c r="D541" s="52"/>
    </row>
    <row r="542">
      <c r="D542" s="52"/>
    </row>
    <row r="543">
      <c r="D543" s="52"/>
    </row>
    <row r="544">
      <c r="D544" s="52"/>
    </row>
    <row r="545">
      <c r="D545" s="52"/>
    </row>
    <row r="546">
      <c r="D546" s="52"/>
    </row>
    <row r="547">
      <c r="D547" s="52"/>
    </row>
    <row r="548">
      <c r="D548" s="52"/>
    </row>
    <row r="549">
      <c r="D549" s="52"/>
    </row>
    <row r="550">
      <c r="D550" s="52"/>
    </row>
    <row r="551">
      <c r="D551" s="52"/>
    </row>
    <row r="552">
      <c r="D552" s="52"/>
    </row>
    <row r="553">
      <c r="D553" s="52"/>
    </row>
    <row r="554">
      <c r="D554" s="52"/>
    </row>
    <row r="555">
      <c r="D555" s="52"/>
    </row>
    <row r="556">
      <c r="D556" s="52"/>
    </row>
    <row r="557">
      <c r="D557" s="52"/>
    </row>
    <row r="558">
      <c r="D558" s="52"/>
    </row>
    <row r="559">
      <c r="D559" s="52"/>
    </row>
    <row r="560">
      <c r="D560" s="52"/>
    </row>
    <row r="561">
      <c r="D561" s="52"/>
    </row>
    <row r="562">
      <c r="D562" s="52"/>
    </row>
    <row r="563">
      <c r="D563" s="52"/>
    </row>
    <row r="564">
      <c r="D564" s="52"/>
    </row>
    <row r="565">
      <c r="D565" s="52"/>
    </row>
    <row r="566">
      <c r="D566" s="52"/>
    </row>
    <row r="567">
      <c r="D567" s="52"/>
    </row>
    <row r="568">
      <c r="D568" s="52"/>
    </row>
    <row r="569">
      <c r="D569" s="52"/>
    </row>
    <row r="570">
      <c r="D570" s="52"/>
    </row>
    <row r="571">
      <c r="D571" s="52"/>
    </row>
    <row r="572">
      <c r="D572" s="52"/>
    </row>
    <row r="573">
      <c r="D573" s="52"/>
    </row>
    <row r="574">
      <c r="D574" s="52"/>
    </row>
    <row r="575">
      <c r="D575" s="52"/>
    </row>
    <row r="576">
      <c r="D576" s="52"/>
    </row>
    <row r="577">
      <c r="D577" s="52"/>
    </row>
    <row r="578">
      <c r="D578" s="52"/>
    </row>
    <row r="579">
      <c r="D579" s="52"/>
    </row>
    <row r="580">
      <c r="D580" s="52"/>
    </row>
    <row r="581">
      <c r="D581" s="52"/>
    </row>
    <row r="582">
      <c r="D582" s="52"/>
    </row>
    <row r="583">
      <c r="D583" s="52"/>
    </row>
    <row r="584">
      <c r="D584" s="52"/>
    </row>
    <row r="585">
      <c r="D585" s="52"/>
    </row>
    <row r="586">
      <c r="D586" s="52"/>
    </row>
    <row r="587">
      <c r="D587" s="52"/>
    </row>
    <row r="588">
      <c r="D588" s="52"/>
    </row>
    <row r="589">
      <c r="D589" s="52"/>
    </row>
    <row r="590">
      <c r="D590" s="52"/>
    </row>
    <row r="591">
      <c r="D591" s="52"/>
    </row>
    <row r="592">
      <c r="D592" s="52"/>
    </row>
    <row r="593">
      <c r="D593" s="52"/>
    </row>
    <row r="594">
      <c r="D594" s="52"/>
    </row>
    <row r="595">
      <c r="D595" s="52"/>
    </row>
    <row r="596">
      <c r="D596" s="52"/>
    </row>
    <row r="597">
      <c r="D597" s="52"/>
    </row>
    <row r="598">
      <c r="D598" s="52"/>
    </row>
    <row r="599">
      <c r="D599" s="52"/>
    </row>
    <row r="600">
      <c r="D600" s="52"/>
    </row>
    <row r="601">
      <c r="D601" s="52"/>
    </row>
    <row r="602">
      <c r="D602" s="52"/>
    </row>
    <row r="603">
      <c r="D603" s="52"/>
    </row>
    <row r="604">
      <c r="D604" s="52"/>
    </row>
    <row r="605">
      <c r="D605" s="52"/>
    </row>
    <row r="606">
      <c r="D606" s="52"/>
    </row>
    <row r="607">
      <c r="D607" s="52"/>
    </row>
    <row r="608">
      <c r="D608" s="52"/>
    </row>
    <row r="609">
      <c r="D609" s="52"/>
    </row>
    <row r="610">
      <c r="D610" s="52"/>
    </row>
    <row r="611">
      <c r="D611" s="52"/>
    </row>
    <row r="612">
      <c r="D612" s="52"/>
    </row>
    <row r="613">
      <c r="D613" s="52"/>
    </row>
    <row r="614">
      <c r="D614" s="52"/>
    </row>
    <row r="615">
      <c r="D615" s="52"/>
    </row>
    <row r="616">
      <c r="D616" s="52"/>
    </row>
    <row r="617">
      <c r="D617" s="52"/>
    </row>
    <row r="618">
      <c r="D618" s="52"/>
    </row>
    <row r="619">
      <c r="D619" s="52"/>
    </row>
    <row r="620">
      <c r="D620" s="52"/>
    </row>
    <row r="621">
      <c r="D621" s="52"/>
    </row>
    <row r="622">
      <c r="D622" s="52"/>
    </row>
    <row r="623">
      <c r="D623" s="52"/>
    </row>
    <row r="624">
      <c r="D624" s="52"/>
    </row>
    <row r="625">
      <c r="D625" s="52"/>
    </row>
    <row r="626">
      <c r="D626" s="52"/>
    </row>
    <row r="627">
      <c r="D627" s="52"/>
    </row>
    <row r="628">
      <c r="D628" s="52"/>
    </row>
    <row r="629">
      <c r="D629" s="52"/>
    </row>
    <row r="630">
      <c r="D630" s="52"/>
    </row>
    <row r="631">
      <c r="D631" s="52"/>
    </row>
    <row r="632">
      <c r="D632" s="52"/>
    </row>
    <row r="633">
      <c r="D633" s="52"/>
    </row>
    <row r="634">
      <c r="D634" s="52"/>
    </row>
    <row r="635">
      <c r="D635" s="52"/>
    </row>
    <row r="636">
      <c r="D636" s="52"/>
    </row>
    <row r="637">
      <c r="D637" s="52"/>
    </row>
    <row r="638">
      <c r="D638" s="52"/>
    </row>
    <row r="639">
      <c r="D639" s="52"/>
    </row>
    <row r="640">
      <c r="D640" s="52"/>
    </row>
    <row r="641">
      <c r="D641" s="52"/>
    </row>
    <row r="642">
      <c r="D642" s="52"/>
    </row>
    <row r="643">
      <c r="D643" s="52"/>
    </row>
    <row r="644">
      <c r="D644" s="52"/>
    </row>
    <row r="645">
      <c r="D645" s="52"/>
    </row>
    <row r="646">
      <c r="D646" s="52"/>
    </row>
    <row r="647">
      <c r="D647" s="52"/>
    </row>
    <row r="648">
      <c r="D648" s="52"/>
    </row>
    <row r="649">
      <c r="D649" s="52"/>
    </row>
    <row r="650">
      <c r="D650" s="52"/>
    </row>
    <row r="651">
      <c r="D651" s="52"/>
    </row>
    <row r="652">
      <c r="D652" s="52"/>
    </row>
    <row r="653">
      <c r="D653" s="52"/>
    </row>
    <row r="654">
      <c r="D654" s="52"/>
    </row>
    <row r="655">
      <c r="D655" s="52"/>
    </row>
    <row r="656">
      <c r="D656" s="52"/>
    </row>
    <row r="657">
      <c r="D657" s="52"/>
    </row>
    <row r="658">
      <c r="D658" s="52"/>
    </row>
    <row r="659">
      <c r="D659" s="52"/>
    </row>
    <row r="660">
      <c r="D660" s="52"/>
    </row>
    <row r="661">
      <c r="D661" s="52"/>
    </row>
    <row r="662">
      <c r="D662" s="52"/>
    </row>
    <row r="663">
      <c r="D663" s="52"/>
    </row>
    <row r="664">
      <c r="D664" s="52"/>
    </row>
    <row r="665">
      <c r="D665" s="52"/>
    </row>
    <row r="666">
      <c r="D666" s="52"/>
    </row>
    <row r="667">
      <c r="D667" s="52"/>
    </row>
    <row r="668">
      <c r="D668" s="52"/>
    </row>
    <row r="669">
      <c r="D669" s="52"/>
    </row>
    <row r="670">
      <c r="D670" s="52"/>
    </row>
    <row r="671">
      <c r="D671" s="52"/>
    </row>
    <row r="672">
      <c r="D672" s="52"/>
    </row>
    <row r="673">
      <c r="D673" s="52"/>
    </row>
    <row r="674">
      <c r="D674" s="52"/>
    </row>
    <row r="675">
      <c r="D675" s="52"/>
    </row>
    <row r="676">
      <c r="D676" s="52"/>
    </row>
    <row r="677">
      <c r="D677" s="52"/>
    </row>
    <row r="678">
      <c r="D678" s="52"/>
    </row>
    <row r="679">
      <c r="D679" s="52"/>
    </row>
    <row r="680">
      <c r="D680" s="52"/>
    </row>
    <row r="681">
      <c r="D681" s="52"/>
    </row>
    <row r="682">
      <c r="D682" s="52"/>
    </row>
    <row r="683">
      <c r="D683" s="52"/>
    </row>
    <row r="684">
      <c r="D684" s="52"/>
    </row>
    <row r="685">
      <c r="D685" s="52"/>
    </row>
    <row r="686">
      <c r="D686" s="52"/>
    </row>
    <row r="687">
      <c r="D687" s="52"/>
    </row>
    <row r="688">
      <c r="D688" s="52"/>
    </row>
    <row r="689">
      <c r="D689" s="52"/>
    </row>
    <row r="690">
      <c r="D690" s="52"/>
    </row>
    <row r="691">
      <c r="D691" s="52"/>
    </row>
    <row r="692">
      <c r="D692" s="52"/>
    </row>
    <row r="693">
      <c r="D693" s="52"/>
    </row>
    <row r="694">
      <c r="D694" s="52"/>
    </row>
    <row r="695">
      <c r="D695" s="52"/>
    </row>
    <row r="696">
      <c r="D696" s="52"/>
    </row>
    <row r="697">
      <c r="D697" s="52"/>
    </row>
    <row r="698">
      <c r="D698" s="52"/>
    </row>
    <row r="699">
      <c r="D699" s="52"/>
    </row>
    <row r="700">
      <c r="D700" s="52"/>
    </row>
    <row r="701">
      <c r="D701" s="52"/>
    </row>
    <row r="702">
      <c r="D702" s="52"/>
    </row>
    <row r="703">
      <c r="D703" s="52"/>
    </row>
    <row r="704">
      <c r="D704" s="52"/>
    </row>
    <row r="705">
      <c r="D705" s="52"/>
    </row>
    <row r="706">
      <c r="D706" s="52"/>
    </row>
    <row r="707">
      <c r="D707" s="52"/>
    </row>
    <row r="708">
      <c r="D708" s="52"/>
    </row>
    <row r="709">
      <c r="D709" s="52"/>
    </row>
    <row r="710">
      <c r="D710" s="52"/>
    </row>
    <row r="711">
      <c r="D711" s="52"/>
    </row>
    <row r="712">
      <c r="D712" s="52"/>
    </row>
    <row r="713">
      <c r="D713" s="52"/>
    </row>
    <row r="714">
      <c r="D714" s="52"/>
    </row>
    <row r="715">
      <c r="D715" s="52"/>
    </row>
    <row r="716">
      <c r="D716" s="52"/>
    </row>
    <row r="717">
      <c r="D717" s="52"/>
    </row>
    <row r="718">
      <c r="D718" s="52"/>
    </row>
    <row r="719">
      <c r="D719" s="52"/>
    </row>
    <row r="720">
      <c r="D720" s="52"/>
    </row>
    <row r="721">
      <c r="D721" s="52"/>
    </row>
    <row r="722">
      <c r="D722" s="52"/>
    </row>
    <row r="723">
      <c r="D723" s="52"/>
    </row>
    <row r="724">
      <c r="D724" s="52"/>
    </row>
    <row r="725">
      <c r="D725" s="52"/>
    </row>
    <row r="726">
      <c r="D726" s="52"/>
    </row>
    <row r="727">
      <c r="D727" s="52"/>
    </row>
    <row r="728">
      <c r="D728" s="52"/>
    </row>
    <row r="729">
      <c r="D729" s="52"/>
    </row>
    <row r="730">
      <c r="D730" s="52"/>
    </row>
    <row r="731">
      <c r="D731" s="52"/>
    </row>
    <row r="732">
      <c r="D732" s="52"/>
    </row>
    <row r="733">
      <c r="D733" s="52"/>
    </row>
    <row r="734">
      <c r="D734" s="52"/>
    </row>
    <row r="735">
      <c r="D735" s="52"/>
    </row>
    <row r="736">
      <c r="D736" s="52"/>
    </row>
    <row r="737">
      <c r="D737" s="52"/>
    </row>
    <row r="738">
      <c r="D738" s="52"/>
    </row>
    <row r="739">
      <c r="D739" s="52"/>
    </row>
    <row r="740">
      <c r="D740" s="52"/>
    </row>
    <row r="741">
      <c r="D741" s="52"/>
    </row>
    <row r="742">
      <c r="D742" s="52"/>
    </row>
    <row r="743">
      <c r="D743" s="52"/>
    </row>
    <row r="744">
      <c r="D744" s="52"/>
    </row>
    <row r="745">
      <c r="D745" s="52"/>
    </row>
    <row r="746">
      <c r="D746" s="52"/>
    </row>
    <row r="747">
      <c r="D747" s="52"/>
    </row>
    <row r="748">
      <c r="D748" s="52"/>
    </row>
    <row r="749">
      <c r="D749" s="52"/>
    </row>
    <row r="750">
      <c r="D750" s="52"/>
    </row>
    <row r="751">
      <c r="D751" s="52"/>
    </row>
    <row r="752">
      <c r="D752" s="52"/>
    </row>
    <row r="753">
      <c r="D753" s="52"/>
    </row>
    <row r="754">
      <c r="D754" s="52"/>
    </row>
    <row r="755">
      <c r="D755" s="52"/>
    </row>
    <row r="756">
      <c r="D756" s="52"/>
    </row>
    <row r="757">
      <c r="D757" s="52"/>
    </row>
    <row r="758">
      <c r="D758" s="52"/>
    </row>
    <row r="759">
      <c r="D759" s="52"/>
    </row>
    <row r="760">
      <c r="D760" s="52"/>
    </row>
    <row r="761">
      <c r="D761" s="52"/>
    </row>
    <row r="762">
      <c r="D762" s="52"/>
    </row>
    <row r="763">
      <c r="D763" s="52"/>
    </row>
    <row r="764">
      <c r="D764" s="52"/>
    </row>
    <row r="765">
      <c r="D765" s="52"/>
    </row>
    <row r="766">
      <c r="D766" s="52"/>
    </row>
    <row r="767">
      <c r="D767" s="52"/>
    </row>
    <row r="768">
      <c r="D768" s="52"/>
    </row>
    <row r="769">
      <c r="D769" s="52"/>
    </row>
    <row r="770">
      <c r="D770" s="52"/>
    </row>
    <row r="771">
      <c r="D771" s="52"/>
    </row>
    <row r="772">
      <c r="D772" s="52"/>
    </row>
    <row r="773">
      <c r="D773" s="52"/>
    </row>
    <row r="774">
      <c r="D774" s="52"/>
    </row>
    <row r="775">
      <c r="D775" s="52"/>
    </row>
    <row r="776">
      <c r="D776" s="52"/>
    </row>
    <row r="777">
      <c r="D777" s="52"/>
    </row>
    <row r="778">
      <c r="D778" s="52"/>
    </row>
    <row r="779">
      <c r="D779" s="52"/>
    </row>
    <row r="780">
      <c r="D780" s="52"/>
    </row>
    <row r="781">
      <c r="D781" s="52"/>
    </row>
    <row r="782">
      <c r="D782" s="52"/>
    </row>
    <row r="783">
      <c r="D783" s="52"/>
    </row>
    <row r="784">
      <c r="D784" s="52"/>
    </row>
    <row r="785">
      <c r="D785" s="52"/>
    </row>
    <row r="786">
      <c r="D786" s="52"/>
    </row>
    <row r="787">
      <c r="D787" s="52"/>
    </row>
    <row r="788">
      <c r="D788" s="52"/>
    </row>
    <row r="789">
      <c r="D789" s="52"/>
    </row>
    <row r="790">
      <c r="D790" s="52"/>
    </row>
    <row r="791">
      <c r="D791" s="52"/>
    </row>
    <row r="792">
      <c r="D792" s="52"/>
    </row>
    <row r="793">
      <c r="D793" s="52"/>
    </row>
    <row r="794">
      <c r="D794" s="52"/>
    </row>
    <row r="795">
      <c r="D795" s="52"/>
    </row>
    <row r="796">
      <c r="D796" s="52"/>
    </row>
    <row r="797">
      <c r="D797" s="52"/>
    </row>
    <row r="798">
      <c r="D798" s="52"/>
    </row>
    <row r="799">
      <c r="D799" s="52"/>
    </row>
    <row r="800">
      <c r="D800" s="52"/>
    </row>
    <row r="801">
      <c r="D801" s="52"/>
    </row>
    <row r="802">
      <c r="D802" s="52"/>
    </row>
    <row r="803">
      <c r="D803" s="52"/>
    </row>
    <row r="804">
      <c r="D804" s="52"/>
    </row>
    <row r="805">
      <c r="D805" s="52"/>
    </row>
    <row r="806">
      <c r="D806" s="52"/>
    </row>
    <row r="807">
      <c r="D807" s="52"/>
    </row>
    <row r="808">
      <c r="D808" s="52"/>
    </row>
    <row r="809">
      <c r="D809" s="52"/>
    </row>
    <row r="810">
      <c r="D810" s="52"/>
    </row>
    <row r="811">
      <c r="D811" s="52"/>
    </row>
    <row r="812">
      <c r="D812" s="52"/>
    </row>
    <row r="813">
      <c r="D813" s="52"/>
    </row>
    <row r="814">
      <c r="D814" s="52"/>
    </row>
    <row r="815">
      <c r="D815" s="52"/>
    </row>
    <row r="816">
      <c r="D816" s="52"/>
    </row>
    <row r="817">
      <c r="D817" s="52"/>
    </row>
    <row r="818">
      <c r="D818" s="52"/>
    </row>
    <row r="819">
      <c r="D819" s="52"/>
    </row>
    <row r="820">
      <c r="D820" s="52"/>
    </row>
    <row r="821">
      <c r="D821" s="52"/>
    </row>
    <row r="822">
      <c r="D822" s="52"/>
    </row>
    <row r="823">
      <c r="D823" s="52"/>
    </row>
    <row r="824">
      <c r="D824" s="52"/>
    </row>
    <row r="825">
      <c r="D825" s="52"/>
    </row>
    <row r="826">
      <c r="D826" s="52"/>
    </row>
    <row r="827">
      <c r="D827" s="52"/>
    </row>
    <row r="828">
      <c r="D828" s="52"/>
    </row>
    <row r="829">
      <c r="D829" s="52"/>
    </row>
    <row r="830">
      <c r="D830" s="52"/>
    </row>
    <row r="831">
      <c r="D831" s="52"/>
    </row>
    <row r="832">
      <c r="D832" s="52"/>
    </row>
    <row r="833">
      <c r="D833" s="52"/>
    </row>
    <row r="834">
      <c r="D834" s="52"/>
    </row>
    <row r="835">
      <c r="D835" s="52"/>
    </row>
    <row r="836">
      <c r="D836" s="52"/>
    </row>
    <row r="837">
      <c r="D837" s="52"/>
    </row>
    <row r="838">
      <c r="D838" s="52"/>
    </row>
    <row r="839">
      <c r="D839" s="52"/>
    </row>
    <row r="840">
      <c r="D840" s="52"/>
    </row>
    <row r="841">
      <c r="D841" s="52"/>
    </row>
    <row r="842">
      <c r="D842" s="52"/>
    </row>
    <row r="843">
      <c r="D843" s="52"/>
    </row>
  </sheetData>
  <mergeCells count="7">
    <mergeCell ref="A1:F1"/>
    <mergeCell ref="A2:A3"/>
    <mergeCell ref="B2:B3"/>
    <mergeCell ref="C2:C3"/>
    <mergeCell ref="D2:D3"/>
    <mergeCell ref="E2:F2"/>
    <mergeCell ref="A7:E7"/>
  </mergeCells>
  <dataValidations>
    <dataValidation type="list" allowBlank="1" sqref="H4">
      <formula1>"CHECKED (OK),CHECKED  (NOT OK)"</formula1>
    </dataValidation>
  </dataValidations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3" max="3" width="26.75"/>
    <col customWidth="1" min="4" max="4" width="33.25"/>
    <col customWidth="1" min="7" max="7" width="3.5"/>
    <col customWidth="1" min="8" max="8" width="18.63"/>
    <col customWidth="1" min="9" max="9" width="21.63"/>
  </cols>
  <sheetData>
    <row r="1">
      <c r="A1" s="30" t="s">
        <v>1124</v>
      </c>
      <c r="G1" s="31"/>
      <c r="H1" s="32" t="s">
        <v>1125</v>
      </c>
      <c r="I1" s="33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4" t="s">
        <v>1</v>
      </c>
      <c r="B2" s="35" t="s">
        <v>11</v>
      </c>
      <c r="C2" s="35" t="s">
        <v>12</v>
      </c>
      <c r="D2" s="36" t="s">
        <v>13</v>
      </c>
      <c r="E2" s="37" t="s">
        <v>14</v>
      </c>
      <c r="F2" s="38"/>
      <c r="G2" s="39"/>
      <c r="H2" s="40"/>
      <c r="I2" s="40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41"/>
      <c r="B3" s="38"/>
      <c r="C3" s="38"/>
      <c r="D3" s="38"/>
      <c r="E3" s="42" t="s">
        <v>15</v>
      </c>
      <c r="F3" s="43" t="s">
        <v>5</v>
      </c>
      <c r="G3" s="39"/>
      <c r="H3" s="44" t="s">
        <v>6</v>
      </c>
      <c r="I3" s="45" t="s">
        <v>7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24.75" customHeight="1">
      <c r="A4" s="46"/>
      <c r="B4" s="47"/>
      <c r="C4" s="48" t="str">
        <f>vlookup(B4,'Crew Data'!C:G,5,0)</f>
        <v>#N/A</v>
      </c>
      <c r="D4" s="49"/>
      <c r="E4" s="47"/>
      <c r="F4" s="50">
        <f>E4*400</f>
        <v>0</v>
      </c>
      <c r="G4" s="22">
        <f>COUNTIF(B:B,B4)</f>
        <v>0</v>
      </c>
      <c r="H4" s="5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D5" s="52"/>
    </row>
    <row r="6">
      <c r="D6" s="52"/>
    </row>
    <row r="7" ht="44.25" customHeight="1">
      <c r="A7" s="53" t="s">
        <v>16</v>
      </c>
    </row>
    <row r="8">
      <c r="D8" s="52"/>
    </row>
    <row r="9">
      <c r="D9" s="52"/>
    </row>
    <row r="10">
      <c r="D10" s="52"/>
    </row>
    <row r="11">
      <c r="D11" s="52"/>
    </row>
    <row r="12">
      <c r="D12" s="52"/>
    </row>
    <row r="13">
      <c r="D13" s="52"/>
    </row>
    <row r="14">
      <c r="D14" s="52"/>
    </row>
    <row r="15">
      <c r="D15" s="52"/>
    </row>
    <row r="16">
      <c r="D16" s="52"/>
    </row>
    <row r="17">
      <c r="D17" s="52"/>
    </row>
    <row r="18">
      <c r="D18" s="52"/>
    </row>
    <row r="19">
      <c r="D19" s="52"/>
    </row>
    <row r="20">
      <c r="D20" s="52"/>
    </row>
    <row r="21">
      <c r="D21" s="52"/>
    </row>
    <row r="22">
      <c r="D22" s="52"/>
    </row>
    <row r="23">
      <c r="D23" s="52"/>
    </row>
    <row r="24">
      <c r="D24" s="52"/>
    </row>
    <row r="25">
      <c r="D25" s="52"/>
    </row>
    <row r="26">
      <c r="D26" s="52"/>
    </row>
    <row r="27">
      <c r="D27" s="52"/>
    </row>
    <row r="28">
      <c r="D28" s="52"/>
    </row>
    <row r="29">
      <c r="D29" s="52"/>
    </row>
    <row r="30">
      <c r="D30" s="52"/>
    </row>
    <row r="31">
      <c r="D31" s="52"/>
    </row>
    <row r="32">
      <c r="D32" s="52"/>
    </row>
    <row r="33">
      <c r="D33" s="52"/>
    </row>
    <row r="34">
      <c r="D34" s="52"/>
    </row>
    <row r="35">
      <c r="D35" s="52"/>
    </row>
    <row r="36">
      <c r="D36" s="52"/>
    </row>
    <row r="37">
      <c r="D37" s="52"/>
    </row>
    <row r="38">
      <c r="D38" s="52"/>
    </row>
    <row r="39">
      <c r="D39" s="52"/>
    </row>
    <row r="40">
      <c r="D40" s="52"/>
    </row>
    <row r="41">
      <c r="D41" s="52"/>
    </row>
    <row r="42">
      <c r="D42" s="52"/>
    </row>
    <row r="43">
      <c r="D43" s="52"/>
    </row>
    <row r="44">
      <c r="D44" s="52"/>
    </row>
    <row r="45">
      <c r="D45" s="52"/>
    </row>
    <row r="46">
      <c r="D46" s="52"/>
    </row>
    <row r="47">
      <c r="D47" s="52"/>
    </row>
    <row r="48">
      <c r="D48" s="52"/>
    </row>
    <row r="49">
      <c r="D49" s="52"/>
    </row>
    <row r="50">
      <c r="D50" s="52"/>
    </row>
    <row r="51">
      <c r="D51" s="52"/>
    </row>
    <row r="52">
      <c r="D52" s="52"/>
    </row>
    <row r="53">
      <c r="D53" s="52"/>
    </row>
    <row r="54">
      <c r="D54" s="52"/>
    </row>
    <row r="55">
      <c r="D55" s="52"/>
    </row>
    <row r="56">
      <c r="D56" s="52"/>
    </row>
    <row r="57">
      <c r="D57" s="52"/>
    </row>
    <row r="58">
      <c r="D58" s="52"/>
    </row>
    <row r="59">
      <c r="D59" s="52"/>
    </row>
    <row r="60">
      <c r="D60" s="52"/>
    </row>
    <row r="61">
      <c r="D61" s="52"/>
    </row>
    <row r="62">
      <c r="D62" s="52"/>
    </row>
    <row r="63">
      <c r="D63" s="52"/>
    </row>
    <row r="64">
      <c r="D64" s="52"/>
    </row>
    <row r="65">
      <c r="D65" s="52"/>
    </row>
    <row r="66">
      <c r="D66" s="52"/>
    </row>
    <row r="67">
      <c r="D67" s="52"/>
    </row>
    <row r="68">
      <c r="D68" s="52"/>
    </row>
    <row r="69">
      <c r="D69" s="52"/>
    </row>
    <row r="70">
      <c r="D70" s="52"/>
    </row>
    <row r="71">
      <c r="D71" s="52"/>
    </row>
    <row r="72">
      <c r="D72" s="52"/>
    </row>
    <row r="73">
      <c r="D73" s="52"/>
    </row>
    <row r="74">
      <c r="D74" s="52"/>
    </row>
    <row r="75">
      <c r="D75" s="52"/>
    </row>
    <row r="76">
      <c r="D76" s="52"/>
    </row>
    <row r="77">
      <c r="D77" s="52"/>
    </row>
    <row r="78">
      <c r="D78" s="52"/>
    </row>
    <row r="79">
      <c r="D79" s="52"/>
    </row>
    <row r="80">
      <c r="D80" s="52"/>
    </row>
    <row r="81">
      <c r="D81" s="52"/>
    </row>
    <row r="82">
      <c r="D82" s="52"/>
    </row>
    <row r="83">
      <c r="D83" s="52"/>
    </row>
    <row r="84">
      <c r="D84" s="52"/>
    </row>
    <row r="85">
      <c r="D85" s="52"/>
    </row>
    <row r="86">
      <c r="D86" s="52"/>
    </row>
    <row r="87">
      <c r="D87" s="52"/>
    </row>
    <row r="88">
      <c r="D88" s="52"/>
    </row>
    <row r="89">
      <c r="D89" s="52"/>
    </row>
    <row r="90">
      <c r="D90" s="52"/>
    </row>
    <row r="91">
      <c r="D91" s="52"/>
    </row>
    <row r="92">
      <c r="D92" s="52"/>
    </row>
    <row r="93">
      <c r="D93" s="52"/>
    </row>
    <row r="94">
      <c r="D94" s="52"/>
    </row>
    <row r="95">
      <c r="D95" s="52"/>
    </row>
    <row r="96">
      <c r="D96" s="52"/>
    </row>
    <row r="97">
      <c r="D97" s="52"/>
    </row>
    <row r="98">
      <c r="D98" s="52"/>
    </row>
    <row r="99">
      <c r="D99" s="52"/>
    </row>
    <row r="100">
      <c r="D100" s="52"/>
    </row>
    <row r="101">
      <c r="D101" s="52"/>
    </row>
    <row r="102">
      <c r="D102" s="52"/>
    </row>
    <row r="103">
      <c r="D103" s="52"/>
    </row>
    <row r="104">
      <c r="D104" s="52"/>
    </row>
    <row r="105">
      <c r="D105" s="52"/>
    </row>
    <row r="106">
      <c r="D106" s="52"/>
    </row>
    <row r="107">
      <c r="D107" s="52"/>
    </row>
    <row r="108">
      <c r="D108" s="52"/>
    </row>
    <row r="109">
      <c r="D109" s="52"/>
    </row>
    <row r="110">
      <c r="D110" s="52"/>
    </row>
    <row r="111">
      <c r="D111" s="52"/>
    </row>
    <row r="112">
      <c r="D112" s="52"/>
    </row>
    <row r="113">
      <c r="D113" s="52"/>
    </row>
    <row r="114">
      <c r="D114" s="52"/>
    </row>
    <row r="115">
      <c r="D115" s="52"/>
    </row>
    <row r="116">
      <c r="D116" s="52"/>
    </row>
    <row r="117">
      <c r="D117" s="52"/>
    </row>
    <row r="118">
      <c r="D118" s="52"/>
    </row>
    <row r="119">
      <c r="D119" s="52"/>
    </row>
    <row r="120">
      <c r="D120" s="52"/>
    </row>
    <row r="121">
      <c r="D121" s="52"/>
    </row>
    <row r="122">
      <c r="D122" s="52"/>
    </row>
    <row r="123">
      <c r="D123" s="52"/>
    </row>
    <row r="124">
      <c r="D124" s="52"/>
    </row>
    <row r="125">
      <c r="D125" s="52"/>
    </row>
    <row r="126">
      <c r="D126" s="52"/>
    </row>
    <row r="127">
      <c r="D127" s="52"/>
    </row>
    <row r="128">
      <c r="D128" s="52"/>
    </row>
    <row r="129">
      <c r="D129" s="52"/>
    </row>
    <row r="130">
      <c r="D130" s="52"/>
    </row>
    <row r="131">
      <c r="D131" s="52"/>
    </row>
    <row r="132">
      <c r="D132" s="52"/>
    </row>
    <row r="133">
      <c r="D133" s="52"/>
    </row>
    <row r="134">
      <c r="D134" s="52"/>
    </row>
    <row r="135">
      <c r="D135" s="52"/>
    </row>
    <row r="136">
      <c r="D136" s="52"/>
    </row>
    <row r="137">
      <c r="D137" s="52"/>
    </row>
    <row r="138">
      <c r="D138" s="52"/>
    </row>
    <row r="139">
      <c r="D139" s="52"/>
    </row>
    <row r="140">
      <c r="D140" s="52"/>
    </row>
    <row r="141">
      <c r="D141" s="52"/>
    </row>
    <row r="142">
      <c r="D142" s="52"/>
    </row>
    <row r="143">
      <c r="D143" s="52"/>
    </row>
    <row r="144">
      <c r="D144" s="52"/>
    </row>
    <row r="145">
      <c r="D145" s="52"/>
    </row>
    <row r="146">
      <c r="D146" s="52"/>
    </row>
    <row r="147">
      <c r="D147" s="52"/>
    </row>
    <row r="148">
      <c r="D148" s="52"/>
    </row>
    <row r="149">
      <c r="D149" s="52"/>
    </row>
    <row r="150">
      <c r="D150" s="52"/>
    </row>
    <row r="151">
      <c r="D151" s="52"/>
    </row>
    <row r="152">
      <c r="D152" s="52"/>
    </row>
    <row r="153">
      <c r="D153" s="52"/>
    </row>
    <row r="154">
      <c r="D154" s="52"/>
    </row>
    <row r="155">
      <c r="D155" s="52"/>
    </row>
    <row r="156">
      <c r="D156" s="52"/>
    </row>
    <row r="157">
      <c r="D157" s="52"/>
    </row>
    <row r="158">
      <c r="D158" s="52"/>
    </row>
    <row r="159">
      <c r="D159" s="52"/>
    </row>
    <row r="160">
      <c r="D160" s="52"/>
    </row>
    <row r="161">
      <c r="D161" s="52"/>
    </row>
    <row r="162">
      <c r="D162" s="52"/>
    </row>
    <row r="163">
      <c r="D163" s="52"/>
    </row>
    <row r="164">
      <c r="D164" s="52"/>
    </row>
    <row r="165">
      <c r="D165" s="52"/>
    </row>
    <row r="166">
      <c r="D166" s="52"/>
    </row>
    <row r="167">
      <c r="D167" s="52"/>
    </row>
    <row r="168">
      <c r="D168" s="52"/>
    </row>
    <row r="169">
      <c r="D169" s="52"/>
    </row>
    <row r="170">
      <c r="D170" s="52"/>
    </row>
    <row r="171">
      <c r="D171" s="52"/>
    </row>
    <row r="172">
      <c r="D172" s="52"/>
    </row>
    <row r="173">
      <c r="D173" s="52"/>
    </row>
    <row r="174">
      <c r="D174" s="52"/>
    </row>
    <row r="175">
      <c r="D175" s="52"/>
    </row>
    <row r="176">
      <c r="D176" s="52"/>
    </row>
    <row r="177">
      <c r="D177" s="52"/>
    </row>
    <row r="178">
      <c r="D178" s="52"/>
    </row>
    <row r="179">
      <c r="D179" s="52"/>
    </row>
    <row r="180">
      <c r="D180" s="52"/>
    </row>
    <row r="181">
      <c r="D181" s="52"/>
    </row>
    <row r="182">
      <c r="D182" s="52"/>
    </row>
    <row r="183">
      <c r="D183" s="52"/>
    </row>
    <row r="184">
      <c r="D184" s="52"/>
    </row>
    <row r="185">
      <c r="D185" s="52"/>
    </row>
    <row r="186">
      <c r="D186" s="52"/>
    </row>
    <row r="187">
      <c r="D187" s="52"/>
    </row>
    <row r="188">
      <c r="D188" s="52"/>
    </row>
    <row r="189">
      <c r="D189" s="52"/>
    </row>
    <row r="190">
      <c r="D190" s="52"/>
    </row>
    <row r="191">
      <c r="D191" s="52"/>
    </row>
    <row r="192">
      <c r="D192" s="52"/>
    </row>
    <row r="193">
      <c r="D193" s="52"/>
    </row>
    <row r="194">
      <c r="D194" s="52"/>
    </row>
    <row r="195">
      <c r="D195" s="52"/>
    </row>
    <row r="196">
      <c r="D196" s="52"/>
    </row>
    <row r="197">
      <c r="D197" s="52"/>
    </row>
    <row r="198">
      <c r="D198" s="52"/>
    </row>
    <row r="199">
      <c r="D199" s="52"/>
    </row>
    <row r="200">
      <c r="D200" s="52"/>
    </row>
    <row r="201">
      <c r="D201" s="52"/>
    </row>
    <row r="202">
      <c r="D202" s="52"/>
    </row>
    <row r="203">
      <c r="D203" s="52"/>
    </row>
    <row r="204">
      <c r="D204" s="52"/>
    </row>
    <row r="205">
      <c r="D205" s="52"/>
    </row>
    <row r="206">
      <c r="D206" s="52"/>
    </row>
    <row r="207">
      <c r="D207" s="52"/>
    </row>
    <row r="208">
      <c r="D208" s="52"/>
    </row>
    <row r="209">
      <c r="D209" s="52"/>
    </row>
    <row r="210">
      <c r="D210" s="52"/>
    </row>
    <row r="211">
      <c r="D211" s="52"/>
    </row>
    <row r="212">
      <c r="D212" s="52"/>
    </row>
    <row r="213">
      <c r="D213" s="52"/>
    </row>
    <row r="214">
      <c r="D214" s="52"/>
    </row>
    <row r="215">
      <c r="D215" s="52"/>
    </row>
    <row r="216">
      <c r="D216" s="52"/>
    </row>
    <row r="217">
      <c r="D217" s="52"/>
    </row>
    <row r="218">
      <c r="D218" s="52"/>
    </row>
    <row r="219">
      <c r="D219" s="52"/>
    </row>
    <row r="220">
      <c r="D220" s="52"/>
    </row>
    <row r="221">
      <c r="D221" s="52"/>
    </row>
    <row r="222">
      <c r="D222" s="52"/>
    </row>
    <row r="223">
      <c r="D223" s="52"/>
    </row>
    <row r="224">
      <c r="D224" s="52"/>
    </row>
    <row r="225">
      <c r="D225" s="52"/>
    </row>
    <row r="226">
      <c r="D226" s="52"/>
    </row>
    <row r="227">
      <c r="D227" s="52"/>
    </row>
    <row r="228">
      <c r="D228" s="52"/>
    </row>
    <row r="229">
      <c r="D229" s="52"/>
    </row>
    <row r="230">
      <c r="D230" s="52"/>
    </row>
    <row r="231">
      <c r="D231" s="52"/>
    </row>
    <row r="232">
      <c r="D232" s="52"/>
    </row>
    <row r="233">
      <c r="D233" s="52"/>
    </row>
    <row r="234">
      <c r="D234" s="52"/>
    </row>
    <row r="235">
      <c r="D235" s="52"/>
    </row>
    <row r="236">
      <c r="D236" s="52"/>
    </row>
    <row r="237">
      <c r="D237" s="52"/>
    </row>
    <row r="238">
      <c r="D238" s="52"/>
    </row>
    <row r="239">
      <c r="D239" s="52"/>
    </row>
    <row r="240">
      <c r="D240" s="52"/>
    </row>
    <row r="241">
      <c r="D241" s="52"/>
    </row>
    <row r="242">
      <c r="D242" s="52"/>
    </row>
    <row r="243">
      <c r="D243" s="52"/>
    </row>
    <row r="244">
      <c r="D244" s="52"/>
    </row>
    <row r="245">
      <c r="D245" s="52"/>
    </row>
    <row r="246">
      <c r="D246" s="52"/>
    </row>
    <row r="247">
      <c r="D247" s="52"/>
    </row>
    <row r="248">
      <c r="D248" s="52"/>
    </row>
    <row r="249">
      <c r="D249" s="52"/>
    </row>
    <row r="250">
      <c r="D250" s="52"/>
    </row>
    <row r="251">
      <c r="D251" s="52"/>
    </row>
    <row r="252">
      <c r="D252" s="52"/>
    </row>
    <row r="253">
      <c r="D253" s="52"/>
    </row>
    <row r="254">
      <c r="D254" s="52"/>
    </row>
    <row r="255">
      <c r="D255" s="52"/>
    </row>
    <row r="256">
      <c r="D256" s="52"/>
    </row>
    <row r="257">
      <c r="D257" s="52"/>
    </row>
    <row r="258">
      <c r="D258" s="52"/>
    </row>
    <row r="259">
      <c r="D259" s="52"/>
    </row>
    <row r="260">
      <c r="D260" s="52"/>
    </row>
    <row r="261">
      <c r="D261" s="52"/>
    </row>
    <row r="262">
      <c r="D262" s="52"/>
    </row>
    <row r="263">
      <c r="D263" s="52"/>
    </row>
    <row r="264">
      <c r="D264" s="52"/>
    </row>
    <row r="265">
      <c r="D265" s="52"/>
    </row>
    <row r="266">
      <c r="D266" s="52"/>
    </row>
    <row r="267">
      <c r="D267" s="52"/>
    </row>
    <row r="268">
      <c r="D268" s="52"/>
    </row>
    <row r="269">
      <c r="D269" s="52"/>
    </row>
    <row r="270">
      <c r="D270" s="52"/>
    </row>
    <row r="271">
      <c r="D271" s="52"/>
    </row>
    <row r="272">
      <c r="D272" s="52"/>
    </row>
    <row r="273">
      <c r="D273" s="52"/>
    </row>
    <row r="274">
      <c r="D274" s="52"/>
    </row>
    <row r="275">
      <c r="D275" s="52"/>
    </row>
    <row r="276">
      <c r="D276" s="52"/>
    </row>
    <row r="277">
      <c r="D277" s="52"/>
    </row>
    <row r="278">
      <c r="D278" s="52"/>
    </row>
    <row r="279">
      <c r="D279" s="52"/>
    </row>
    <row r="280">
      <c r="D280" s="52"/>
    </row>
    <row r="281">
      <c r="D281" s="52"/>
    </row>
    <row r="282">
      <c r="D282" s="52"/>
    </row>
    <row r="283">
      <c r="D283" s="52"/>
    </row>
    <row r="284">
      <c r="D284" s="52"/>
    </row>
    <row r="285">
      <c r="D285" s="52"/>
    </row>
    <row r="286">
      <c r="D286" s="52"/>
    </row>
    <row r="287">
      <c r="D287" s="52"/>
    </row>
    <row r="288">
      <c r="D288" s="52"/>
    </row>
    <row r="289">
      <c r="D289" s="52"/>
    </row>
    <row r="290">
      <c r="D290" s="52"/>
    </row>
    <row r="291">
      <c r="D291" s="52"/>
    </row>
    <row r="292">
      <c r="D292" s="52"/>
    </row>
    <row r="293">
      <c r="D293" s="52"/>
    </row>
    <row r="294">
      <c r="D294" s="52"/>
    </row>
    <row r="295">
      <c r="D295" s="52"/>
    </row>
    <row r="296">
      <c r="D296" s="52"/>
    </row>
    <row r="297">
      <c r="D297" s="52"/>
    </row>
    <row r="298">
      <c r="D298" s="52"/>
    </row>
    <row r="299">
      <c r="D299" s="52"/>
    </row>
    <row r="300">
      <c r="D300" s="52"/>
    </row>
    <row r="301">
      <c r="D301" s="52"/>
    </row>
    <row r="302">
      <c r="D302" s="52"/>
    </row>
    <row r="303">
      <c r="D303" s="52"/>
    </row>
    <row r="304">
      <c r="D304" s="52"/>
    </row>
    <row r="305">
      <c r="D305" s="52"/>
    </row>
    <row r="306">
      <c r="D306" s="52"/>
    </row>
    <row r="307">
      <c r="D307" s="52"/>
    </row>
    <row r="308">
      <c r="D308" s="52"/>
    </row>
    <row r="309">
      <c r="D309" s="52"/>
    </row>
    <row r="310">
      <c r="D310" s="52"/>
    </row>
    <row r="311">
      <c r="D311" s="52"/>
    </row>
    <row r="312">
      <c r="D312" s="52"/>
    </row>
    <row r="313">
      <c r="D313" s="52"/>
    </row>
    <row r="314">
      <c r="D314" s="52"/>
    </row>
    <row r="315">
      <c r="D315" s="52"/>
    </row>
    <row r="316">
      <c r="D316" s="52"/>
    </row>
    <row r="317">
      <c r="D317" s="52"/>
    </row>
    <row r="318">
      <c r="D318" s="52"/>
    </row>
    <row r="319">
      <c r="D319" s="52"/>
    </row>
    <row r="320">
      <c r="D320" s="52"/>
    </row>
    <row r="321">
      <c r="D321" s="52"/>
    </row>
    <row r="322">
      <c r="D322" s="52"/>
    </row>
    <row r="323">
      <c r="D323" s="52"/>
    </row>
    <row r="324">
      <c r="D324" s="52"/>
    </row>
    <row r="325">
      <c r="D325" s="52"/>
    </row>
    <row r="326">
      <c r="D326" s="52"/>
    </row>
    <row r="327">
      <c r="D327" s="52"/>
    </row>
    <row r="328">
      <c r="D328" s="52"/>
    </row>
    <row r="329">
      <c r="D329" s="52"/>
    </row>
    <row r="330">
      <c r="D330" s="52"/>
    </row>
    <row r="331">
      <c r="D331" s="52"/>
    </row>
    <row r="332">
      <c r="D332" s="52"/>
    </row>
    <row r="333">
      <c r="D333" s="52"/>
    </row>
    <row r="334">
      <c r="D334" s="52"/>
    </row>
    <row r="335">
      <c r="D335" s="52"/>
    </row>
    <row r="336">
      <c r="D336" s="52"/>
    </row>
    <row r="337">
      <c r="D337" s="52"/>
    </row>
    <row r="338">
      <c r="D338" s="52"/>
    </row>
    <row r="339">
      <c r="D339" s="52"/>
    </row>
    <row r="340">
      <c r="D340" s="52"/>
    </row>
    <row r="341">
      <c r="D341" s="52"/>
    </row>
    <row r="342">
      <c r="D342" s="52"/>
    </row>
    <row r="343">
      <c r="D343" s="52"/>
    </row>
    <row r="344">
      <c r="D344" s="52"/>
    </row>
    <row r="345">
      <c r="D345" s="52"/>
    </row>
    <row r="346">
      <c r="D346" s="52"/>
    </row>
    <row r="347">
      <c r="D347" s="52"/>
    </row>
    <row r="348">
      <c r="D348" s="52"/>
    </row>
    <row r="349">
      <c r="D349" s="52"/>
    </row>
    <row r="350">
      <c r="D350" s="52"/>
    </row>
    <row r="351">
      <c r="D351" s="52"/>
    </row>
    <row r="352">
      <c r="D352" s="52"/>
    </row>
    <row r="353">
      <c r="D353" s="52"/>
    </row>
    <row r="354">
      <c r="D354" s="52"/>
    </row>
    <row r="355">
      <c r="D355" s="52"/>
    </row>
    <row r="356">
      <c r="D356" s="52"/>
    </row>
    <row r="357">
      <c r="D357" s="52"/>
    </row>
    <row r="358">
      <c r="D358" s="52"/>
    </row>
    <row r="359">
      <c r="D359" s="52"/>
    </row>
    <row r="360">
      <c r="D360" s="52"/>
    </row>
    <row r="361">
      <c r="D361" s="52"/>
    </row>
    <row r="362">
      <c r="D362" s="52"/>
    </row>
    <row r="363">
      <c r="D363" s="52"/>
    </row>
    <row r="364">
      <c r="D364" s="52"/>
    </row>
    <row r="365">
      <c r="D365" s="52"/>
    </row>
    <row r="366">
      <c r="D366" s="52"/>
    </row>
    <row r="367">
      <c r="D367" s="52"/>
    </row>
    <row r="368">
      <c r="D368" s="52"/>
    </row>
    <row r="369">
      <c r="D369" s="52"/>
    </row>
    <row r="370">
      <c r="D370" s="52"/>
    </row>
    <row r="371">
      <c r="D371" s="52"/>
    </row>
    <row r="372">
      <c r="D372" s="52"/>
    </row>
    <row r="373">
      <c r="D373" s="52"/>
    </row>
    <row r="374">
      <c r="D374" s="52"/>
    </row>
    <row r="375">
      <c r="D375" s="52"/>
    </row>
    <row r="376">
      <c r="D376" s="52"/>
    </row>
    <row r="377">
      <c r="D377" s="52"/>
    </row>
    <row r="378">
      <c r="D378" s="52"/>
    </row>
    <row r="379">
      <c r="D379" s="52"/>
    </row>
    <row r="380">
      <c r="D380" s="52"/>
    </row>
    <row r="381">
      <c r="D381" s="52"/>
    </row>
    <row r="382">
      <c r="D382" s="52"/>
    </row>
    <row r="383">
      <c r="D383" s="52"/>
    </row>
    <row r="384">
      <c r="D384" s="52"/>
    </row>
    <row r="385">
      <c r="D385" s="52"/>
    </row>
    <row r="386">
      <c r="D386" s="52"/>
    </row>
    <row r="387">
      <c r="D387" s="52"/>
    </row>
    <row r="388">
      <c r="D388" s="52"/>
    </row>
    <row r="389">
      <c r="D389" s="52"/>
    </row>
    <row r="390">
      <c r="D390" s="52"/>
    </row>
    <row r="391">
      <c r="D391" s="52"/>
    </row>
    <row r="392">
      <c r="D392" s="52"/>
    </row>
    <row r="393">
      <c r="D393" s="52"/>
    </row>
    <row r="394">
      <c r="D394" s="52"/>
    </row>
    <row r="395">
      <c r="D395" s="52"/>
    </row>
    <row r="396">
      <c r="D396" s="52"/>
    </row>
    <row r="397">
      <c r="D397" s="52"/>
    </row>
    <row r="398">
      <c r="D398" s="52"/>
    </row>
    <row r="399">
      <c r="D399" s="52"/>
    </row>
    <row r="400">
      <c r="D400" s="52"/>
    </row>
    <row r="401">
      <c r="D401" s="52"/>
    </row>
    <row r="402">
      <c r="D402" s="52"/>
    </row>
    <row r="403">
      <c r="D403" s="52"/>
    </row>
    <row r="404">
      <c r="D404" s="52"/>
    </row>
    <row r="405">
      <c r="D405" s="52"/>
    </row>
    <row r="406">
      <c r="D406" s="52"/>
    </row>
    <row r="407">
      <c r="D407" s="52"/>
    </row>
    <row r="408">
      <c r="D408" s="52"/>
    </row>
    <row r="409">
      <c r="D409" s="52"/>
    </row>
    <row r="410">
      <c r="D410" s="52"/>
    </row>
    <row r="411">
      <c r="D411" s="52"/>
    </row>
    <row r="412">
      <c r="D412" s="52"/>
    </row>
    <row r="413">
      <c r="D413" s="52"/>
    </row>
    <row r="414">
      <c r="D414" s="52"/>
    </row>
    <row r="415">
      <c r="D415" s="52"/>
    </row>
    <row r="416">
      <c r="D416" s="52"/>
    </row>
    <row r="417">
      <c r="D417" s="52"/>
    </row>
    <row r="418">
      <c r="D418" s="52"/>
    </row>
    <row r="419">
      <c r="D419" s="52"/>
    </row>
    <row r="420">
      <c r="D420" s="52"/>
    </row>
    <row r="421">
      <c r="D421" s="52"/>
    </row>
    <row r="422">
      <c r="D422" s="52"/>
    </row>
    <row r="423">
      <c r="D423" s="52"/>
    </row>
    <row r="424">
      <c r="D424" s="52"/>
    </row>
    <row r="425">
      <c r="D425" s="52"/>
    </row>
    <row r="426">
      <c r="D426" s="52"/>
    </row>
    <row r="427">
      <c r="D427" s="52"/>
    </row>
    <row r="428">
      <c r="D428" s="52"/>
    </row>
    <row r="429">
      <c r="D429" s="52"/>
    </row>
    <row r="430">
      <c r="D430" s="52"/>
    </row>
    <row r="431">
      <c r="D431" s="52"/>
    </row>
    <row r="432">
      <c r="D432" s="52"/>
    </row>
    <row r="433">
      <c r="D433" s="52"/>
    </row>
    <row r="434">
      <c r="D434" s="52"/>
    </row>
    <row r="435">
      <c r="D435" s="52"/>
    </row>
    <row r="436">
      <c r="D436" s="52"/>
    </row>
    <row r="437">
      <c r="D437" s="52"/>
    </row>
    <row r="438">
      <c r="D438" s="52"/>
    </row>
    <row r="439">
      <c r="D439" s="52"/>
    </row>
    <row r="440">
      <c r="D440" s="52"/>
    </row>
    <row r="441">
      <c r="D441" s="52"/>
    </row>
    <row r="442">
      <c r="D442" s="52"/>
    </row>
    <row r="443">
      <c r="D443" s="52"/>
    </row>
    <row r="444">
      <c r="D444" s="52"/>
    </row>
    <row r="445">
      <c r="D445" s="52"/>
    </row>
    <row r="446">
      <c r="D446" s="52"/>
    </row>
    <row r="447">
      <c r="D447" s="52"/>
    </row>
    <row r="448">
      <c r="D448" s="52"/>
    </row>
    <row r="449">
      <c r="D449" s="52"/>
    </row>
    <row r="450">
      <c r="D450" s="52"/>
    </row>
    <row r="451">
      <c r="D451" s="52"/>
    </row>
    <row r="452">
      <c r="D452" s="52"/>
    </row>
    <row r="453">
      <c r="D453" s="52"/>
    </row>
    <row r="454">
      <c r="D454" s="52"/>
    </row>
    <row r="455">
      <c r="D455" s="52"/>
    </row>
    <row r="456">
      <c r="D456" s="52"/>
    </row>
    <row r="457">
      <c r="D457" s="52"/>
    </row>
    <row r="458">
      <c r="D458" s="52"/>
    </row>
    <row r="459">
      <c r="D459" s="52"/>
    </row>
    <row r="460">
      <c r="D460" s="52"/>
    </row>
    <row r="461">
      <c r="D461" s="52"/>
    </row>
    <row r="462">
      <c r="D462" s="52"/>
    </row>
    <row r="463">
      <c r="D463" s="52"/>
    </row>
    <row r="464">
      <c r="D464" s="52"/>
    </row>
    <row r="465">
      <c r="D465" s="52"/>
    </row>
    <row r="466">
      <c r="D466" s="52"/>
    </row>
    <row r="467">
      <c r="D467" s="52"/>
    </row>
    <row r="468">
      <c r="D468" s="52"/>
    </row>
    <row r="469">
      <c r="D469" s="52"/>
    </row>
    <row r="470">
      <c r="D470" s="52"/>
    </row>
    <row r="471">
      <c r="D471" s="52"/>
    </row>
    <row r="472">
      <c r="D472" s="52"/>
    </row>
    <row r="473">
      <c r="D473" s="52"/>
    </row>
    <row r="474">
      <c r="D474" s="52"/>
    </row>
    <row r="475">
      <c r="D475" s="52"/>
    </row>
    <row r="476">
      <c r="D476" s="52"/>
    </row>
    <row r="477">
      <c r="D477" s="52"/>
    </row>
    <row r="478">
      <c r="D478" s="52"/>
    </row>
    <row r="479">
      <c r="D479" s="52"/>
    </row>
    <row r="480">
      <c r="D480" s="52"/>
    </row>
    <row r="481">
      <c r="D481" s="52"/>
    </row>
    <row r="482">
      <c r="D482" s="52"/>
    </row>
    <row r="483">
      <c r="D483" s="52"/>
    </row>
    <row r="484">
      <c r="D484" s="52"/>
    </row>
    <row r="485">
      <c r="D485" s="52"/>
    </row>
    <row r="486">
      <c r="D486" s="52"/>
    </row>
    <row r="487">
      <c r="D487" s="52"/>
    </row>
    <row r="488">
      <c r="D488" s="52"/>
    </row>
    <row r="489">
      <c r="D489" s="52"/>
    </row>
    <row r="490">
      <c r="D490" s="52"/>
    </row>
    <row r="491">
      <c r="D491" s="52"/>
    </row>
    <row r="492">
      <c r="D492" s="52"/>
    </row>
    <row r="493">
      <c r="D493" s="52"/>
    </row>
    <row r="494">
      <c r="D494" s="52"/>
    </row>
    <row r="495">
      <c r="D495" s="52"/>
    </row>
    <row r="496">
      <c r="D496" s="52"/>
    </row>
    <row r="497">
      <c r="D497" s="52"/>
    </row>
    <row r="498">
      <c r="D498" s="52"/>
    </row>
    <row r="499">
      <c r="D499" s="52"/>
    </row>
    <row r="500">
      <c r="D500" s="52"/>
    </row>
    <row r="501">
      <c r="D501" s="52"/>
    </row>
    <row r="502">
      <c r="D502" s="52"/>
    </row>
    <row r="503">
      <c r="D503" s="52"/>
    </row>
    <row r="504">
      <c r="D504" s="52"/>
    </row>
    <row r="505">
      <c r="D505" s="52"/>
    </row>
    <row r="506">
      <c r="D506" s="52"/>
    </row>
    <row r="507">
      <c r="D507" s="52"/>
    </row>
    <row r="508">
      <c r="D508" s="52"/>
    </row>
    <row r="509">
      <c r="D509" s="52"/>
    </row>
    <row r="510">
      <c r="D510" s="52"/>
    </row>
    <row r="511">
      <c r="D511" s="52"/>
    </row>
    <row r="512">
      <c r="D512" s="52"/>
    </row>
    <row r="513">
      <c r="D513" s="52"/>
    </row>
    <row r="514">
      <c r="D514" s="52"/>
    </row>
    <row r="515">
      <c r="D515" s="52"/>
    </row>
    <row r="516">
      <c r="D516" s="52"/>
    </row>
    <row r="517">
      <c r="D517" s="52"/>
    </row>
    <row r="518">
      <c r="D518" s="52"/>
    </row>
    <row r="519">
      <c r="D519" s="52"/>
    </row>
    <row r="520">
      <c r="D520" s="52"/>
    </row>
    <row r="521">
      <c r="D521" s="52"/>
    </row>
    <row r="522">
      <c r="D522" s="52"/>
    </row>
    <row r="523">
      <c r="D523" s="52"/>
    </row>
    <row r="524">
      <c r="D524" s="52"/>
    </row>
    <row r="525">
      <c r="D525" s="52"/>
    </row>
    <row r="526">
      <c r="D526" s="52"/>
    </row>
    <row r="527">
      <c r="D527" s="52"/>
    </row>
    <row r="528">
      <c r="D528" s="52"/>
    </row>
    <row r="529">
      <c r="D529" s="52"/>
    </row>
    <row r="530">
      <c r="D530" s="52"/>
    </row>
    <row r="531">
      <c r="D531" s="52"/>
    </row>
    <row r="532">
      <c r="D532" s="52"/>
    </row>
    <row r="533">
      <c r="D533" s="52"/>
    </row>
    <row r="534">
      <c r="D534" s="52"/>
    </row>
    <row r="535">
      <c r="D535" s="52"/>
    </row>
    <row r="536">
      <c r="D536" s="52"/>
    </row>
    <row r="537">
      <c r="D537" s="52"/>
    </row>
    <row r="538">
      <c r="D538" s="52"/>
    </row>
    <row r="539">
      <c r="D539" s="52"/>
    </row>
    <row r="540">
      <c r="D540" s="52"/>
    </row>
    <row r="541">
      <c r="D541" s="52"/>
    </row>
    <row r="542">
      <c r="D542" s="52"/>
    </row>
    <row r="543">
      <c r="D543" s="52"/>
    </row>
    <row r="544">
      <c r="D544" s="52"/>
    </row>
    <row r="545">
      <c r="D545" s="52"/>
    </row>
    <row r="546">
      <c r="D546" s="52"/>
    </row>
    <row r="547">
      <c r="D547" s="52"/>
    </row>
    <row r="548">
      <c r="D548" s="52"/>
    </row>
    <row r="549">
      <c r="D549" s="52"/>
    </row>
    <row r="550">
      <c r="D550" s="52"/>
    </row>
    <row r="551">
      <c r="D551" s="52"/>
    </row>
    <row r="552">
      <c r="D552" s="52"/>
    </row>
    <row r="553">
      <c r="D553" s="52"/>
    </row>
    <row r="554">
      <c r="D554" s="52"/>
    </row>
    <row r="555">
      <c r="D555" s="52"/>
    </row>
    <row r="556">
      <c r="D556" s="52"/>
    </row>
    <row r="557">
      <c r="D557" s="52"/>
    </row>
    <row r="558">
      <c r="D558" s="52"/>
    </row>
    <row r="559">
      <c r="D559" s="52"/>
    </row>
    <row r="560">
      <c r="D560" s="52"/>
    </row>
    <row r="561">
      <c r="D561" s="52"/>
    </row>
    <row r="562">
      <c r="D562" s="52"/>
    </row>
    <row r="563">
      <c r="D563" s="52"/>
    </row>
    <row r="564">
      <c r="D564" s="52"/>
    </row>
    <row r="565">
      <c r="D565" s="52"/>
    </row>
    <row r="566">
      <c r="D566" s="52"/>
    </row>
    <row r="567">
      <c r="D567" s="52"/>
    </row>
    <row r="568">
      <c r="D568" s="52"/>
    </row>
    <row r="569">
      <c r="D569" s="52"/>
    </row>
    <row r="570">
      <c r="D570" s="52"/>
    </row>
    <row r="571">
      <c r="D571" s="52"/>
    </row>
    <row r="572">
      <c r="D572" s="52"/>
    </row>
    <row r="573">
      <c r="D573" s="52"/>
    </row>
    <row r="574">
      <c r="D574" s="52"/>
    </row>
    <row r="575">
      <c r="D575" s="52"/>
    </row>
    <row r="576">
      <c r="D576" s="52"/>
    </row>
    <row r="577">
      <c r="D577" s="52"/>
    </row>
    <row r="578">
      <c r="D578" s="52"/>
    </row>
    <row r="579">
      <c r="D579" s="52"/>
    </row>
    <row r="580">
      <c r="D580" s="52"/>
    </row>
    <row r="581">
      <c r="D581" s="52"/>
    </row>
    <row r="582">
      <c r="D582" s="52"/>
    </row>
    <row r="583">
      <c r="D583" s="52"/>
    </row>
    <row r="584">
      <c r="D584" s="52"/>
    </row>
    <row r="585">
      <c r="D585" s="52"/>
    </row>
    <row r="586">
      <c r="D586" s="52"/>
    </row>
    <row r="587">
      <c r="D587" s="52"/>
    </row>
    <row r="588">
      <c r="D588" s="52"/>
    </row>
    <row r="589">
      <c r="D589" s="52"/>
    </row>
    <row r="590">
      <c r="D590" s="52"/>
    </row>
    <row r="591">
      <c r="D591" s="52"/>
    </row>
    <row r="592">
      <c r="D592" s="52"/>
    </row>
    <row r="593">
      <c r="D593" s="52"/>
    </row>
    <row r="594">
      <c r="D594" s="52"/>
    </row>
    <row r="595">
      <c r="D595" s="52"/>
    </row>
    <row r="596">
      <c r="D596" s="52"/>
    </row>
    <row r="597">
      <c r="D597" s="52"/>
    </row>
    <row r="598">
      <c r="D598" s="52"/>
    </row>
    <row r="599">
      <c r="D599" s="52"/>
    </row>
    <row r="600">
      <c r="D600" s="52"/>
    </row>
    <row r="601">
      <c r="D601" s="52"/>
    </row>
    <row r="602">
      <c r="D602" s="52"/>
    </row>
    <row r="603">
      <c r="D603" s="52"/>
    </row>
    <row r="604">
      <c r="D604" s="52"/>
    </row>
    <row r="605">
      <c r="D605" s="52"/>
    </row>
    <row r="606">
      <c r="D606" s="52"/>
    </row>
    <row r="607">
      <c r="D607" s="52"/>
    </row>
    <row r="608">
      <c r="D608" s="52"/>
    </row>
    <row r="609">
      <c r="D609" s="52"/>
    </row>
    <row r="610">
      <c r="D610" s="52"/>
    </row>
    <row r="611">
      <c r="D611" s="52"/>
    </row>
    <row r="612">
      <c r="D612" s="52"/>
    </row>
    <row r="613">
      <c r="D613" s="52"/>
    </row>
    <row r="614">
      <c r="D614" s="52"/>
    </row>
    <row r="615">
      <c r="D615" s="52"/>
    </row>
    <row r="616">
      <c r="D616" s="52"/>
    </row>
    <row r="617">
      <c r="D617" s="52"/>
    </row>
    <row r="618">
      <c r="D618" s="52"/>
    </row>
    <row r="619">
      <c r="D619" s="52"/>
    </row>
    <row r="620">
      <c r="D620" s="52"/>
    </row>
    <row r="621">
      <c r="D621" s="52"/>
    </row>
    <row r="622">
      <c r="D622" s="52"/>
    </row>
    <row r="623">
      <c r="D623" s="52"/>
    </row>
    <row r="624">
      <c r="D624" s="52"/>
    </row>
    <row r="625">
      <c r="D625" s="52"/>
    </row>
    <row r="626">
      <c r="D626" s="52"/>
    </row>
    <row r="627">
      <c r="D627" s="52"/>
    </row>
    <row r="628">
      <c r="D628" s="52"/>
    </row>
    <row r="629">
      <c r="D629" s="52"/>
    </row>
    <row r="630">
      <c r="D630" s="52"/>
    </row>
    <row r="631">
      <c r="D631" s="52"/>
    </row>
    <row r="632">
      <c r="D632" s="52"/>
    </row>
    <row r="633">
      <c r="D633" s="52"/>
    </row>
    <row r="634">
      <c r="D634" s="52"/>
    </row>
    <row r="635">
      <c r="D635" s="52"/>
    </row>
    <row r="636">
      <c r="D636" s="52"/>
    </row>
    <row r="637">
      <c r="D637" s="52"/>
    </row>
    <row r="638">
      <c r="D638" s="52"/>
    </row>
    <row r="639">
      <c r="D639" s="52"/>
    </row>
    <row r="640">
      <c r="D640" s="52"/>
    </row>
    <row r="641">
      <c r="D641" s="52"/>
    </row>
    <row r="642">
      <c r="D642" s="52"/>
    </row>
    <row r="643">
      <c r="D643" s="52"/>
    </row>
    <row r="644">
      <c r="D644" s="52"/>
    </row>
    <row r="645">
      <c r="D645" s="52"/>
    </row>
    <row r="646">
      <c r="D646" s="52"/>
    </row>
    <row r="647">
      <c r="D647" s="52"/>
    </row>
    <row r="648">
      <c r="D648" s="52"/>
    </row>
    <row r="649">
      <c r="D649" s="52"/>
    </row>
    <row r="650">
      <c r="D650" s="52"/>
    </row>
    <row r="651">
      <c r="D651" s="52"/>
    </row>
    <row r="652">
      <c r="D652" s="52"/>
    </row>
    <row r="653">
      <c r="D653" s="52"/>
    </row>
    <row r="654">
      <c r="D654" s="52"/>
    </row>
    <row r="655">
      <c r="D655" s="52"/>
    </row>
    <row r="656">
      <c r="D656" s="52"/>
    </row>
    <row r="657">
      <c r="D657" s="52"/>
    </row>
    <row r="658">
      <c r="D658" s="52"/>
    </row>
    <row r="659">
      <c r="D659" s="52"/>
    </row>
    <row r="660">
      <c r="D660" s="52"/>
    </row>
    <row r="661">
      <c r="D661" s="52"/>
    </row>
    <row r="662">
      <c r="D662" s="52"/>
    </row>
    <row r="663">
      <c r="D663" s="52"/>
    </row>
    <row r="664">
      <c r="D664" s="52"/>
    </row>
    <row r="665">
      <c r="D665" s="52"/>
    </row>
    <row r="666">
      <c r="D666" s="52"/>
    </row>
    <row r="667">
      <c r="D667" s="52"/>
    </row>
    <row r="668">
      <c r="D668" s="52"/>
    </row>
    <row r="669">
      <c r="D669" s="52"/>
    </row>
    <row r="670">
      <c r="D670" s="52"/>
    </row>
    <row r="671">
      <c r="D671" s="52"/>
    </row>
    <row r="672">
      <c r="D672" s="52"/>
    </row>
    <row r="673">
      <c r="D673" s="52"/>
    </row>
    <row r="674">
      <c r="D674" s="52"/>
    </row>
    <row r="675">
      <c r="D675" s="52"/>
    </row>
    <row r="676">
      <c r="D676" s="52"/>
    </row>
    <row r="677">
      <c r="D677" s="52"/>
    </row>
    <row r="678">
      <c r="D678" s="52"/>
    </row>
    <row r="679">
      <c r="D679" s="52"/>
    </row>
    <row r="680">
      <c r="D680" s="52"/>
    </row>
    <row r="681">
      <c r="D681" s="52"/>
    </row>
    <row r="682">
      <c r="D682" s="52"/>
    </row>
    <row r="683">
      <c r="D683" s="52"/>
    </row>
    <row r="684">
      <c r="D684" s="52"/>
    </row>
    <row r="685">
      <c r="D685" s="52"/>
    </row>
    <row r="686">
      <c r="D686" s="52"/>
    </row>
    <row r="687">
      <c r="D687" s="52"/>
    </row>
    <row r="688">
      <c r="D688" s="52"/>
    </row>
    <row r="689">
      <c r="D689" s="52"/>
    </row>
    <row r="690">
      <c r="D690" s="52"/>
    </row>
    <row r="691">
      <c r="D691" s="52"/>
    </row>
    <row r="692">
      <c r="D692" s="52"/>
    </row>
    <row r="693">
      <c r="D693" s="52"/>
    </row>
    <row r="694">
      <c r="D694" s="52"/>
    </row>
    <row r="695">
      <c r="D695" s="52"/>
    </row>
    <row r="696">
      <c r="D696" s="52"/>
    </row>
    <row r="697">
      <c r="D697" s="52"/>
    </row>
    <row r="698">
      <c r="D698" s="52"/>
    </row>
    <row r="699">
      <c r="D699" s="52"/>
    </row>
    <row r="700">
      <c r="D700" s="52"/>
    </row>
    <row r="701">
      <c r="D701" s="52"/>
    </row>
    <row r="702">
      <c r="D702" s="52"/>
    </row>
    <row r="703">
      <c r="D703" s="52"/>
    </row>
    <row r="704">
      <c r="D704" s="52"/>
    </row>
    <row r="705">
      <c r="D705" s="52"/>
    </row>
    <row r="706">
      <c r="D706" s="52"/>
    </row>
    <row r="707">
      <c r="D707" s="52"/>
    </row>
    <row r="708">
      <c r="D708" s="52"/>
    </row>
    <row r="709">
      <c r="D709" s="52"/>
    </row>
    <row r="710">
      <c r="D710" s="52"/>
    </row>
    <row r="711">
      <c r="D711" s="52"/>
    </row>
    <row r="712">
      <c r="D712" s="52"/>
    </row>
    <row r="713">
      <c r="D713" s="52"/>
    </row>
    <row r="714">
      <c r="D714" s="52"/>
    </row>
    <row r="715">
      <c r="D715" s="52"/>
    </row>
    <row r="716">
      <c r="D716" s="52"/>
    </row>
    <row r="717">
      <c r="D717" s="52"/>
    </row>
    <row r="718">
      <c r="D718" s="52"/>
    </row>
    <row r="719">
      <c r="D719" s="52"/>
    </row>
    <row r="720">
      <c r="D720" s="52"/>
    </row>
    <row r="721">
      <c r="D721" s="52"/>
    </row>
    <row r="722">
      <c r="D722" s="52"/>
    </row>
    <row r="723">
      <c r="D723" s="52"/>
    </row>
    <row r="724">
      <c r="D724" s="52"/>
    </row>
    <row r="725">
      <c r="D725" s="52"/>
    </row>
    <row r="726">
      <c r="D726" s="52"/>
    </row>
    <row r="727">
      <c r="D727" s="52"/>
    </row>
    <row r="728">
      <c r="D728" s="52"/>
    </row>
    <row r="729">
      <c r="D729" s="52"/>
    </row>
    <row r="730">
      <c r="D730" s="52"/>
    </row>
    <row r="731">
      <c r="D731" s="52"/>
    </row>
    <row r="732">
      <c r="D732" s="52"/>
    </row>
    <row r="733">
      <c r="D733" s="52"/>
    </row>
    <row r="734">
      <c r="D734" s="52"/>
    </row>
    <row r="735">
      <c r="D735" s="52"/>
    </row>
    <row r="736">
      <c r="D736" s="52"/>
    </row>
    <row r="737">
      <c r="D737" s="52"/>
    </row>
    <row r="738">
      <c r="D738" s="52"/>
    </row>
    <row r="739">
      <c r="D739" s="52"/>
    </row>
    <row r="740">
      <c r="D740" s="52"/>
    </row>
    <row r="741">
      <c r="D741" s="52"/>
    </row>
    <row r="742">
      <c r="D742" s="52"/>
    </row>
    <row r="743">
      <c r="D743" s="52"/>
    </row>
    <row r="744">
      <c r="D744" s="52"/>
    </row>
    <row r="745">
      <c r="D745" s="52"/>
    </row>
    <row r="746">
      <c r="D746" s="52"/>
    </row>
    <row r="747">
      <c r="D747" s="52"/>
    </row>
    <row r="748">
      <c r="D748" s="52"/>
    </row>
    <row r="749">
      <c r="D749" s="52"/>
    </row>
    <row r="750">
      <c r="D750" s="52"/>
    </row>
    <row r="751">
      <c r="D751" s="52"/>
    </row>
    <row r="752">
      <c r="D752" s="52"/>
    </row>
    <row r="753">
      <c r="D753" s="52"/>
    </row>
    <row r="754">
      <c r="D754" s="52"/>
    </row>
    <row r="755">
      <c r="D755" s="52"/>
    </row>
    <row r="756">
      <c r="D756" s="52"/>
    </row>
    <row r="757">
      <c r="D757" s="52"/>
    </row>
    <row r="758">
      <c r="D758" s="52"/>
    </row>
    <row r="759">
      <c r="D759" s="52"/>
    </row>
    <row r="760">
      <c r="D760" s="52"/>
    </row>
    <row r="761">
      <c r="D761" s="52"/>
    </row>
    <row r="762">
      <c r="D762" s="52"/>
    </row>
    <row r="763">
      <c r="D763" s="52"/>
    </row>
    <row r="764">
      <c r="D764" s="52"/>
    </row>
    <row r="765">
      <c r="D765" s="52"/>
    </row>
    <row r="766">
      <c r="D766" s="52"/>
    </row>
    <row r="767">
      <c r="D767" s="52"/>
    </row>
    <row r="768">
      <c r="D768" s="52"/>
    </row>
    <row r="769">
      <c r="D769" s="52"/>
    </row>
    <row r="770">
      <c r="D770" s="52"/>
    </row>
    <row r="771">
      <c r="D771" s="52"/>
    </row>
    <row r="772">
      <c r="D772" s="52"/>
    </row>
    <row r="773">
      <c r="D773" s="52"/>
    </row>
    <row r="774">
      <c r="D774" s="52"/>
    </row>
    <row r="775">
      <c r="D775" s="52"/>
    </row>
    <row r="776">
      <c r="D776" s="52"/>
    </row>
    <row r="777">
      <c r="D777" s="52"/>
    </row>
    <row r="778">
      <c r="D778" s="52"/>
    </row>
    <row r="779">
      <c r="D779" s="52"/>
    </row>
    <row r="780">
      <c r="D780" s="52"/>
    </row>
    <row r="781">
      <c r="D781" s="52"/>
    </row>
    <row r="782">
      <c r="D782" s="52"/>
    </row>
    <row r="783">
      <c r="D783" s="52"/>
    </row>
    <row r="784">
      <c r="D784" s="52"/>
    </row>
    <row r="785">
      <c r="D785" s="52"/>
    </row>
    <row r="786">
      <c r="D786" s="52"/>
    </row>
    <row r="787">
      <c r="D787" s="52"/>
    </row>
    <row r="788">
      <c r="D788" s="52"/>
    </row>
    <row r="789">
      <c r="D789" s="52"/>
    </row>
    <row r="790">
      <c r="D790" s="52"/>
    </row>
    <row r="791">
      <c r="D791" s="52"/>
    </row>
    <row r="792">
      <c r="D792" s="52"/>
    </row>
    <row r="793">
      <c r="D793" s="52"/>
    </row>
    <row r="794">
      <c r="D794" s="52"/>
    </row>
    <row r="795">
      <c r="D795" s="52"/>
    </row>
    <row r="796">
      <c r="D796" s="52"/>
    </row>
    <row r="797">
      <c r="D797" s="52"/>
    </row>
    <row r="798">
      <c r="D798" s="52"/>
    </row>
    <row r="799">
      <c r="D799" s="52"/>
    </row>
    <row r="800">
      <c r="D800" s="52"/>
    </row>
    <row r="801">
      <c r="D801" s="52"/>
    </row>
    <row r="802">
      <c r="D802" s="52"/>
    </row>
    <row r="803">
      <c r="D803" s="52"/>
    </row>
    <row r="804">
      <c r="D804" s="52"/>
    </row>
    <row r="805">
      <c r="D805" s="52"/>
    </row>
    <row r="806">
      <c r="D806" s="52"/>
    </row>
    <row r="807">
      <c r="D807" s="52"/>
    </row>
    <row r="808">
      <c r="D808" s="52"/>
    </row>
    <row r="809">
      <c r="D809" s="52"/>
    </row>
    <row r="810">
      <c r="D810" s="52"/>
    </row>
    <row r="811">
      <c r="D811" s="52"/>
    </row>
    <row r="812">
      <c r="D812" s="52"/>
    </row>
    <row r="813">
      <c r="D813" s="52"/>
    </row>
    <row r="814">
      <c r="D814" s="52"/>
    </row>
    <row r="815">
      <c r="D815" s="52"/>
    </row>
    <row r="816">
      <c r="D816" s="52"/>
    </row>
    <row r="817">
      <c r="D817" s="52"/>
    </row>
    <row r="818">
      <c r="D818" s="52"/>
    </row>
    <row r="819">
      <c r="D819" s="52"/>
    </row>
    <row r="820">
      <c r="D820" s="52"/>
    </row>
    <row r="821">
      <c r="D821" s="52"/>
    </row>
    <row r="822">
      <c r="D822" s="52"/>
    </row>
    <row r="823">
      <c r="D823" s="52"/>
    </row>
    <row r="824">
      <c r="D824" s="52"/>
    </row>
    <row r="825">
      <c r="D825" s="52"/>
    </row>
    <row r="826">
      <c r="D826" s="52"/>
    </row>
    <row r="827">
      <c r="D827" s="52"/>
    </row>
    <row r="828">
      <c r="D828" s="52"/>
    </row>
    <row r="829">
      <c r="D829" s="52"/>
    </row>
    <row r="830">
      <c r="D830" s="52"/>
    </row>
    <row r="831">
      <c r="D831" s="52"/>
    </row>
    <row r="832">
      <c r="D832" s="52"/>
    </row>
    <row r="833">
      <c r="D833" s="52"/>
    </row>
    <row r="834">
      <c r="D834" s="52"/>
    </row>
    <row r="835">
      <c r="D835" s="52"/>
    </row>
    <row r="836">
      <c r="D836" s="52"/>
    </row>
    <row r="837">
      <c r="D837" s="52"/>
    </row>
    <row r="838">
      <c r="D838" s="52"/>
    </row>
    <row r="839">
      <c r="D839" s="52"/>
    </row>
    <row r="840">
      <c r="D840" s="52"/>
    </row>
    <row r="841">
      <c r="D841" s="52"/>
    </row>
    <row r="842">
      <c r="D842" s="52"/>
    </row>
    <row r="843">
      <c r="D843" s="52"/>
    </row>
  </sheetData>
  <mergeCells count="7">
    <mergeCell ref="A1:F1"/>
    <mergeCell ref="A2:A3"/>
    <mergeCell ref="B2:B3"/>
    <mergeCell ref="C2:C3"/>
    <mergeCell ref="D2:D3"/>
    <mergeCell ref="E2:F2"/>
    <mergeCell ref="A7:E7"/>
  </mergeCells>
  <dataValidations>
    <dataValidation type="list" allowBlank="1" sqref="H4">
      <formula1>"CHECKED (OK),CHECKED  (NOT OK)"</formula1>
    </dataValidation>
  </dataValidations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3" max="3" width="26.75"/>
    <col customWidth="1" min="4" max="4" width="33.25"/>
    <col customWidth="1" min="7" max="7" width="3.5"/>
    <col customWidth="1" min="8" max="8" width="18.63"/>
    <col customWidth="1" min="9" max="9" width="21.63"/>
  </cols>
  <sheetData>
    <row r="1">
      <c r="A1" s="30" t="s">
        <v>1126</v>
      </c>
      <c r="G1" s="31"/>
      <c r="H1" s="32" t="s">
        <v>1127</v>
      </c>
      <c r="I1" s="33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4" t="s">
        <v>1</v>
      </c>
      <c r="B2" s="35" t="s">
        <v>11</v>
      </c>
      <c r="C2" s="35" t="s">
        <v>12</v>
      </c>
      <c r="D2" s="36" t="s">
        <v>13</v>
      </c>
      <c r="E2" s="37" t="s">
        <v>14</v>
      </c>
      <c r="F2" s="38"/>
      <c r="G2" s="39"/>
      <c r="H2" s="40"/>
      <c r="I2" s="40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41"/>
      <c r="B3" s="38"/>
      <c r="C3" s="38"/>
      <c r="D3" s="38"/>
      <c r="E3" s="42" t="s">
        <v>15</v>
      </c>
      <c r="F3" s="43" t="s">
        <v>5</v>
      </c>
      <c r="G3" s="39"/>
      <c r="H3" s="44" t="s">
        <v>6</v>
      </c>
      <c r="I3" s="45" t="s">
        <v>7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24.75" customHeight="1">
      <c r="A4" s="46"/>
      <c r="B4" s="47"/>
      <c r="C4" s="48" t="str">
        <f>vlookup(B4,'Crew Data'!C:G,5,0)</f>
        <v>#N/A</v>
      </c>
      <c r="D4" s="49"/>
      <c r="E4" s="47"/>
      <c r="F4" s="50">
        <f>E4*400</f>
        <v>0</v>
      </c>
      <c r="G4" s="22">
        <f>COUNTIF(B:B,B4)</f>
        <v>0</v>
      </c>
      <c r="H4" s="5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D5" s="52"/>
    </row>
    <row r="6">
      <c r="D6" s="52"/>
    </row>
    <row r="7" ht="44.25" customHeight="1">
      <c r="A7" s="53" t="s">
        <v>16</v>
      </c>
    </row>
    <row r="8">
      <c r="D8" s="52"/>
    </row>
    <row r="9">
      <c r="D9" s="52"/>
    </row>
    <row r="10">
      <c r="D10" s="52"/>
    </row>
    <row r="11">
      <c r="D11" s="52"/>
    </row>
    <row r="12">
      <c r="D12" s="52"/>
    </row>
    <row r="13">
      <c r="D13" s="52"/>
    </row>
    <row r="14">
      <c r="D14" s="52"/>
    </row>
    <row r="15">
      <c r="D15" s="52"/>
    </row>
    <row r="16">
      <c r="D16" s="52"/>
    </row>
    <row r="17">
      <c r="D17" s="52"/>
    </row>
    <row r="18">
      <c r="D18" s="52"/>
    </row>
    <row r="19">
      <c r="D19" s="52"/>
    </row>
    <row r="20">
      <c r="D20" s="52"/>
    </row>
    <row r="21">
      <c r="D21" s="52"/>
    </row>
    <row r="22">
      <c r="D22" s="52"/>
    </row>
    <row r="23">
      <c r="D23" s="52"/>
    </row>
    <row r="24">
      <c r="D24" s="52"/>
    </row>
    <row r="25">
      <c r="D25" s="52"/>
    </row>
    <row r="26">
      <c r="D26" s="52"/>
    </row>
    <row r="27">
      <c r="D27" s="52"/>
    </row>
    <row r="28">
      <c r="D28" s="52"/>
    </row>
    <row r="29">
      <c r="D29" s="52"/>
    </row>
    <row r="30">
      <c r="D30" s="52"/>
    </row>
    <row r="31">
      <c r="D31" s="52"/>
    </row>
    <row r="32">
      <c r="D32" s="52"/>
    </row>
    <row r="33">
      <c r="D33" s="52"/>
    </row>
    <row r="34">
      <c r="D34" s="52"/>
    </row>
    <row r="35">
      <c r="D35" s="52"/>
    </row>
    <row r="36">
      <c r="D36" s="52"/>
    </row>
    <row r="37">
      <c r="D37" s="52"/>
    </row>
    <row r="38">
      <c r="D38" s="52"/>
    </row>
    <row r="39">
      <c r="D39" s="52"/>
    </row>
    <row r="40">
      <c r="D40" s="52"/>
    </row>
    <row r="41">
      <c r="D41" s="52"/>
    </row>
    <row r="42">
      <c r="D42" s="52"/>
    </row>
    <row r="43">
      <c r="D43" s="52"/>
    </row>
    <row r="44">
      <c r="D44" s="52"/>
    </row>
    <row r="45">
      <c r="D45" s="52"/>
    </row>
    <row r="46">
      <c r="D46" s="52"/>
    </row>
    <row r="47">
      <c r="D47" s="52"/>
    </row>
    <row r="48">
      <c r="D48" s="52"/>
    </row>
    <row r="49">
      <c r="D49" s="52"/>
    </row>
    <row r="50">
      <c r="D50" s="52"/>
    </row>
    <row r="51">
      <c r="D51" s="52"/>
    </row>
    <row r="52">
      <c r="D52" s="52"/>
    </row>
    <row r="53">
      <c r="D53" s="52"/>
    </row>
    <row r="54">
      <c r="D54" s="52"/>
    </row>
    <row r="55">
      <c r="D55" s="52"/>
    </row>
    <row r="56">
      <c r="D56" s="52"/>
    </row>
    <row r="57">
      <c r="D57" s="52"/>
    </row>
    <row r="58">
      <c r="D58" s="52"/>
    </row>
    <row r="59">
      <c r="D59" s="52"/>
    </row>
    <row r="60">
      <c r="D60" s="52"/>
    </row>
    <row r="61">
      <c r="D61" s="52"/>
    </row>
    <row r="62">
      <c r="D62" s="52"/>
    </row>
    <row r="63">
      <c r="D63" s="52"/>
    </row>
    <row r="64">
      <c r="D64" s="52"/>
    </row>
    <row r="65">
      <c r="D65" s="52"/>
    </row>
    <row r="66">
      <c r="D66" s="52"/>
    </row>
    <row r="67">
      <c r="D67" s="52"/>
    </row>
    <row r="68">
      <c r="D68" s="52"/>
    </row>
    <row r="69">
      <c r="D69" s="52"/>
    </row>
    <row r="70">
      <c r="D70" s="52"/>
    </row>
    <row r="71">
      <c r="D71" s="52"/>
    </row>
    <row r="72">
      <c r="D72" s="52"/>
    </row>
    <row r="73">
      <c r="D73" s="52"/>
    </row>
    <row r="74">
      <c r="D74" s="52"/>
    </row>
    <row r="75">
      <c r="D75" s="52"/>
    </row>
    <row r="76">
      <c r="D76" s="52"/>
    </row>
    <row r="77">
      <c r="D77" s="52"/>
    </row>
    <row r="78">
      <c r="D78" s="52"/>
    </row>
    <row r="79">
      <c r="D79" s="52"/>
    </row>
    <row r="80">
      <c r="D80" s="52"/>
    </row>
    <row r="81">
      <c r="D81" s="52"/>
    </row>
    <row r="82">
      <c r="D82" s="52"/>
    </row>
    <row r="83">
      <c r="D83" s="52"/>
    </row>
    <row r="84">
      <c r="D84" s="52"/>
    </row>
    <row r="85">
      <c r="D85" s="52"/>
    </row>
    <row r="86">
      <c r="D86" s="52"/>
    </row>
    <row r="87">
      <c r="D87" s="52"/>
    </row>
    <row r="88">
      <c r="D88" s="52"/>
    </row>
    <row r="89">
      <c r="D89" s="52"/>
    </row>
    <row r="90">
      <c r="D90" s="52"/>
    </row>
    <row r="91">
      <c r="D91" s="52"/>
    </row>
    <row r="92">
      <c r="D92" s="52"/>
    </row>
    <row r="93">
      <c r="D93" s="52"/>
    </row>
    <row r="94">
      <c r="D94" s="52"/>
    </row>
    <row r="95">
      <c r="D95" s="52"/>
    </row>
    <row r="96">
      <c r="D96" s="52"/>
    </row>
    <row r="97">
      <c r="D97" s="52"/>
    </row>
    <row r="98">
      <c r="D98" s="52"/>
    </row>
    <row r="99">
      <c r="D99" s="52"/>
    </row>
    <row r="100">
      <c r="D100" s="52"/>
    </row>
    <row r="101">
      <c r="D101" s="52"/>
    </row>
    <row r="102">
      <c r="D102" s="52"/>
    </row>
    <row r="103">
      <c r="D103" s="52"/>
    </row>
    <row r="104">
      <c r="D104" s="52"/>
    </row>
    <row r="105">
      <c r="D105" s="52"/>
    </row>
    <row r="106">
      <c r="D106" s="52"/>
    </row>
    <row r="107">
      <c r="D107" s="52"/>
    </row>
    <row r="108">
      <c r="D108" s="52"/>
    </row>
    <row r="109">
      <c r="D109" s="52"/>
    </row>
    <row r="110">
      <c r="D110" s="52"/>
    </row>
    <row r="111">
      <c r="D111" s="52"/>
    </row>
    <row r="112">
      <c r="D112" s="52"/>
    </row>
    <row r="113">
      <c r="D113" s="52"/>
    </row>
    <row r="114">
      <c r="D114" s="52"/>
    </row>
    <row r="115">
      <c r="D115" s="52"/>
    </row>
    <row r="116">
      <c r="D116" s="52"/>
    </row>
    <row r="117">
      <c r="D117" s="52"/>
    </row>
    <row r="118">
      <c r="D118" s="52"/>
    </row>
    <row r="119">
      <c r="D119" s="52"/>
    </row>
    <row r="120">
      <c r="D120" s="52"/>
    </row>
    <row r="121">
      <c r="D121" s="52"/>
    </row>
    <row r="122">
      <c r="D122" s="52"/>
    </row>
    <row r="123">
      <c r="D123" s="52"/>
    </row>
    <row r="124">
      <c r="D124" s="52"/>
    </row>
    <row r="125">
      <c r="D125" s="52"/>
    </row>
    <row r="126">
      <c r="D126" s="52"/>
    </row>
    <row r="127">
      <c r="D127" s="52"/>
    </row>
    <row r="128">
      <c r="D128" s="52"/>
    </row>
    <row r="129">
      <c r="D129" s="52"/>
    </row>
    <row r="130">
      <c r="D130" s="52"/>
    </row>
    <row r="131">
      <c r="D131" s="52"/>
    </row>
    <row r="132">
      <c r="D132" s="52"/>
    </row>
    <row r="133">
      <c r="D133" s="52"/>
    </row>
    <row r="134">
      <c r="D134" s="52"/>
    </row>
    <row r="135">
      <c r="D135" s="52"/>
    </row>
    <row r="136">
      <c r="D136" s="52"/>
    </row>
    <row r="137">
      <c r="D137" s="52"/>
    </row>
    <row r="138">
      <c r="D138" s="52"/>
    </row>
    <row r="139">
      <c r="D139" s="52"/>
    </row>
    <row r="140">
      <c r="D140" s="52"/>
    </row>
    <row r="141">
      <c r="D141" s="52"/>
    </row>
    <row r="142">
      <c r="D142" s="52"/>
    </row>
    <row r="143">
      <c r="D143" s="52"/>
    </row>
    <row r="144">
      <c r="D144" s="52"/>
    </row>
    <row r="145">
      <c r="D145" s="52"/>
    </row>
    <row r="146">
      <c r="D146" s="52"/>
    </row>
    <row r="147">
      <c r="D147" s="52"/>
    </row>
    <row r="148">
      <c r="D148" s="52"/>
    </row>
    <row r="149">
      <c r="D149" s="52"/>
    </row>
    <row r="150">
      <c r="D150" s="52"/>
    </row>
    <row r="151">
      <c r="D151" s="52"/>
    </row>
    <row r="152">
      <c r="D152" s="52"/>
    </row>
    <row r="153">
      <c r="D153" s="52"/>
    </row>
    <row r="154">
      <c r="D154" s="52"/>
    </row>
    <row r="155">
      <c r="D155" s="52"/>
    </row>
    <row r="156">
      <c r="D156" s="52"/>
    </row>
    <row r="157">
      <c r="D157" s="52"/>
    </row>
    <row r="158">
      <c r="D158" s="52"/>
    </row>
    <row r="159">
      <c r="D159" s="52"/>
    </row>
    <row r="160">
      <c r="D160" s="52"/>
    </row>
    <row r="161">
      <c r="D161" s="52"/>
    </row>
    <row r="162">
      <c r="D162" s="52"/>
    </row>
    <row r="163">
      <c r="D163" s="52"/>
    </row>
    <row r="164">
      <c r="D164" s="52"/>
    </row>
    <row r="165">
      <c r="D165" s="52"/>
    </row>
    <row r="166">
      <c r="D166" s="52"/>
    </row>
    <row r="167">
      <c r="D167" s="52"/>
    </row>
    <row r="168">
      <c r="D168" s="52"/>
    </row>
    <row r="169">
      <c r="D169" s="52"/>
    </row>
    <row r="170">
      <c r="D170" s="52"/>
    </row>
    <row r="171">
      <c r="D171" s="52"/>
    </row>
    <row r="172">
      <c r="D172" s="52"/>
    </row>
    <row r="173">
      <c r="D173" s="52"/>
    </row>
    <row r="174">
      <c r="D174" s="52"/>
    </row>
    <row r="175">
      <c r="D175" s="52"/>
    </row>
    <row r="176">
      <c r="D176" s="52"/>
    </row>
    <row r="177">
      <c r="D177" s="52"/>
    </row>
    <row r="178">
      <c r="D178" s="52"/>
    </row>
    <row r="179">
      <c r="D179" s="52"/>
    </row>
    <row r="180">
      <c r="D180" s="52"/>
    </row>
    <row r="181">
      <c r="D181" s="52"/>
    </row>
    <row r="182">
      <c r="D182" s="52"/>
    </row>
    <row r="183">
      <c r="D183" s="52"/>
    </row>
    <row r="184">
      <c r="D184" s="52"/>
    </row>
    <row r="185">
      <c r="D185" s="52"/>
    </row>
    <row r="186">
      <c r="D186" s="52"/>
    </row>
    <row r="187">
      <c r="D187" s="52"/>
    </row>
    <row r="188">
      <c r="D188" s="52"/>
    </row>
    <row r="189">
      <c r="D189" s="52"/>
    </row>
    <row r="190">
      <c r="D190" s="52"/>
    </row>
    <row r="191">
      <c r="D191" s="52"/>
    </row>
    <row r="192">
      <c r="D192" s="52"/>
    </row>
    <row r="193">
      <c r="D193" s="52"/>
    </row>
    <row r="194">
      <c r="D194" s="52"/>
    </row>
    <row r="195">
      <c r="D195" s="52"/>
    </row>
    <row r="196">
      <c r="D196" s="52"/>
    </row>
    <row r="197">
      <c r="D197" s="52"/>
    </row>
    <row r="198">
      <c r="D198" s="52"/>
    </row>
    <row r="199">
      <c r="D199" s="52"/>
    </row>
    <row r="200">
      <c r="D200" s="52"/>
    </row>
    <row r="201">
      <c r="D201" s="52"/>
    </row>
    <row r="202">
      <c r="D202" s="52"/>
    </row>
    <row r="203">
      <c r="D203" s="52"/>
    </row>
    <row r="204">
      <c r="D204" s="52"/>
    </row>
    <row r="205">
      <c r="D205" s="52"/>
    </row>
    <row r="206">
      <c r="D206" s="52"/>
    </row>
    <row r="207">
      <c r="D207" s="52"/>
    </row>
    <row r="208">
      <c r="D208" s="52"/>
    </row>
    <row r="209">
      <c r="D209" s="52"/>
    </row>
    <row r="210">
      <c r="D210" s="52"/>
    </row>
    <row r="211">
      <c r="D211" s="52"/>
    </row>
    <row r="212">
      <c r="D212" s="52"/>
    </row>
    <row r="213">
      <c r="D213" s="52"/>
    </row>
    <row r="214">
      <c r="D214" s="52"/>
    </row>
    <row r="215">
      <c r="D215" s="52"/>
    </row>
    <row r="216">
      <c r="D216" s="52"/>
    </row>
    <row r="217">
      <c r="D217" s="52"/>
    </row>
    <row r="218">
      <c r="D218" s="52"/>
    </row>
    <row r="219">
      <c r="D219" s="52"/>
    </row>
    <row r="220">
      <c r="D220" s="52"/>
    </row>
    <row r="221">
      <c r="D221" s="52"/>
    </row>
    <row r="222">
      <c r="D222" s="52"/>
    </row>
    <row r="223">
      <c r="D223" s="52"/>
    </row>
    <row r="224">
      <c r="D224" s="52"/>
    </row>
    <row r="225">
      <c r="D225" s="52"/>
    </row>
    <row r="226">
      <c r="D226" s="52"/>
    </row>
    <row r="227">
      <c r="D227" s="52"/>
    </row>
    <row r="228">
      <c r="D228" s="52"/>
    </row>
    <row r="229">
      <c r="D229" s="52"/>
    </row>
    <row r="230">
      <c r="D230" s="52"/>
    </row>
    <row r="231">
      <c r="D231" s="52"/>
    </row>
    <row r="232">
      <c r="D232" s="52"/>
    </row>
    <row r="233">
      <c r="D233" s="52"/>
    </row>
    <row r="234">
      <c r="D234" s="52"/>
    </row>
    <row r="235">
      <c r="D235" s="52"/>
    </row>
    <row r="236">
      <c r="D236" s="52"/>
    </row>
    <row r="237">
      <c r="D237" s="52"/>
    </row>
    <row r="238">
      <c r="D238" s="52"/>
    </row>
    <row r="239">
      <c r="D239" s="52"/>
    </row>
    <row r="240">
      <c r="D240" s="52"/>
    </row>
    <row r="241">
      <c r="D241" s="52"/>
    </row>
    <row r="242">
      <c r="D242" s="52"/>
    </row>
    <row r="243">
      <c r="D243" s="52"/>
    </row>
    <row r="244">
      <c r="D244" s="52"/>
    </row>
    <row r="245">
      <c r="D245" s="52"/>
    </row>
    <row r="246">
      <c r="D246" s="52"/>
    </row>
    <row r="247">
      <c r="D247" s="52"/>
    </row>
    <row r="248">
      <c r="D248" s="52"/>
    </row>
    <row r="249">
      <c r="D249" s="52"/>
    </row>
    <row r="250">
      <c r="D250" s="52"/>
    </row>
    <row r="251">
      <c r="D251" s="52"/>
    </row>
    <row r="252">
      <c r="D252" s="52"/>
    </row>
    <row r="253">
      <c r="D253" s="52"/>
    </row>
    <row r="254">
      <c r="D254" s="52"/>
    </row>
    <row r="255">
      <c r="D255" s="52"/>
    </row>
    <row r="256">
      <c r="D256" s="52"/>
    </row>
    <row r="257">
      <c r="D257" s="52"/>
    </row>
    <row r="258">
      <c r="D258" s="52"/>
    </row>
    <row r="259">
      <c r="D259" s="52"/>
    </row>
    <row r="260">
      <c r="D260" s="52"/>
    </row>
    <row r="261">
      <c r="D261" s="52"/>
    </row>
    <row r="262">
      <c r="D262" s="52"/>
    </row>
    <row r="263">
      <c r="D263" s="52"/>
    </row>
    <row r="264">
      <c r="D264" s="52"/>
    </row>
    <row r="265">
      <c r="D265" s="52"/>
    </row>
    <row r="266">
      <c r="D266" s="52"/>
    </row>
    <row r="267">
      <c r="D267" s="52"/>
    </row>
    <row r="268">
      <c r="D268" s="52"/>
    </row>
    <row r="269">
      <c r="D269" s="52"/>
    </row>
    <row r="270">
      <c r="D270" s="52"/>
    </row>
    <row r="271">
      <c r="D271" s="52"/>
    </row>
    <row r="272">
      <c r="D272" s="52"/>
    </row>
    <row r="273">
      <c r="D273" s="52"/>
    </row>
    <row r="274">
      <c r="D274" s="52"/>
    </row>
    <row r="275">
      <c r="D275" s="52"/>
    </row>
    <row r="276">
      <c r="D276" s="52"/>
    </row>
    <row r="277">
      <c r="D277" s="52"/>
    </row>
    <row r="278">
      <c r="D278" s="52"/>
    </row>
    <row r="279">
      <c r="D279" s="52"/>
    </row>
    <row r="280">
      <c r="D280" s="52"/>
    </row>
    <row r="281">
      <c r="D281" s="52"/>
    </row>
    <row r="282">
      <c r="D282" s="52"/>
    </row>
    <row r="283">
      <c r="D283" s="52"/>
    </row>
    <row r="284">
      <c r="D284" s="52"/>
    </row>
    <row r="285">
      <c r="D285" s="52"/>
    </row>
    <row r="286">
      <c r="D286" s="52"/>
    </row>
    <row r="287">
      <c r="D287" s="52"/>
    </row>
    <row r="288">
      <c r="D288" s="52"/>
    </row>
    <row r="289">
      <c r="D289" s="52"/>
    </row>
    <row r="290">
      <c r="D290" s="52"/>
    </row>
    <row r="291">
      <c r="D291" s="52"/>
    </row>
    <row r="292">
      <c r="D292" s="52"/>
    </row>
    <row r="293">
      <c r="D293" s="52"/>
    </row>
    <row r="294">
      <c r="D294" s="52"/>
    </row>
    <row r="295">
      <c r="D295" s="52"/>
    </row>
    <row r="296">
      <c r="D296" s="52"/>
    </row>
    <row r="297">
      <c r="D297" s="52"/>
    </row>
    <row r="298">
      <c r="D298" s="52"/>
    </row>
    <row r="299">
      <c r="D299" s="52"/>
    </row>
    <row r="300">
      <c r="D300" s="52"/>
    </row>
    <row r="301">
      <c r="D301" s="52"/>
    </row>
    <row r="302">
      <c r="D302" s="52"/>
    </row>
    <row r="303">
      <c r="D303" s="52"/>
    </row>
    <row r="304">
      <c r="D304" s="52"/>
    </row>
    <row r="305">
      <c r="D305" s="52"/>
    </row>
    <row r="306">
      <c r="D306" s="52"/>
    </row>
    <row r="307">
      <c r="D307" s="52"/>
    </row>
    <row r="308">
      <c r="D308" s="52"/>
    </row>
    <row r="309">
      <c r="D309" s="52"/>
    </row>
    <row r="310">
      <c r="D310" s="52"/>
    </row>
    <row r="311">
      <c r="D311" s="52"/>
    </row>
    <row r="312">
      <c r="D312" s="52"/>
    </row>
    <row r="313">
      <c r="D313" s="52"/>
    </row>
    <row r="314">
      <c r="D314" s="52"/>
    </row>
    <row r="315">
      <c r="D315" s="52"/>
    </row>
    <row r="316">
      <c r="D316" s="52"/>
    </row>
    <row r="317">
      <c r="D317" s="52"/>
    </row>
    <row r="318">
      <c r="D318" s="52"/>
    </row>
    <row r="319">
      <c r="D319" s="52"/>
    </row>
    <row r="320">
      <c r="D320" s="52"/>
    </row>
    <row r="321">
      <c r="D321" s="52"/>
    </row>
    <row r="322">
      <c r="D322" s="52"/>
    </row>
    <row r="323">
      <c r="D323" s="52"/>
    </row>
    <row r="324">
      <c r="D324" s="52"/>
    </row>
    <row r="325">
      <c r="D325" s="52"/>
    </row>
    <row r="326">
      <c r="D326" s="52"/>
    </row>
    <row r="327">
      <c r="D327" s="52"/>
    </row>
    <row r="328">
      <c r="D328" s="52"/>
    </row>
    <row r="329">
      <c r="D329" s="52"/>
    </row>
    <row r="330">
      <c r="D330" s="52"/>
    </row>
    <row r="331">
      <c r="D331" s="52"/>
    </row>
    <row r="332">
      <c r="D332" s="52"/>
    </row>
    <row r="333">
      <c r="D333" s="52"/>
    </row>
    <row r="334">
      <c r="D334" s="52"/>
    </row>
    <row r="335">
      <c r="D335" s="52"/>
    </row>
    <row r="336">
      <c r="D336" s="52"/>
    </row>
    <row r="337">
      <c r="D337" s="52"/>
    </row>
    <row r="338">
      <c r="D338" s="52"/>
    </row>
    <row r="339">
      <c r="D339" s="52"/>
    </row>
    <row r="340">
      <c r="D340" s="52"/>
    </row>
    <row r="341">
      <c r="D341" s="52"/>
    </row>
    <row r="342">
      <c r="D342" s="52"/>
    </row>
    <row r="343">
      <c r="D343" s="52"/>
    </row>
    <row r="344">
      <c r="D344" s="52"/>
    </row>
    <row r="345">
      <c r="D345" s="52"/>
    </row>
    <row r="346">
      <c r="D346" s="52"/>
    </row>
    <row r="347">
      <c r="D347" s="52"/>
    </row>
    <row r="348">
      <c r="D348" s="52"/>
    </row>
    <row r="349">
      <c r="D349" s="52"/>
    </row>
    <row r="350">
      <c r="D350" s="52"/>
    </row>
    <row r="351">
      <c r="D351" s="52"/>
    </row>
    <row r="352">
      <c r="D352" s="52"/>
    </row>
    <row r="353">
      <c r="D353" s="52"/>
    </row>
    <row r="354">
      <c r="D354" s="52"/>
    </row>
    <row r="355">
      <c r="D355" s="52"/>
    </row>
    <row r="356">
      <c r="D356" s="52"/>
    </row>
    <row r="357">
      <c r="D357" s="52"/>
    </row>
    <row r="358">
      <c r="D358" s="52"/>
    </row>
    <row r="359">
      <c r="D359" s="52"/>
    </row>
    <row r="360">
      <c r="D360" s="52"/>
    </row>
    <row r="361">
      <c r="D361" s="52"/>
    </row>
    <row r="362">
      <c r="D362" s="52"/>
    </row>
    <row r="363">
      <c r="D363" s="52"/>
    </row>
    <row r="364">
      <c r="D364" s="52"/>
    </row>
    <row r="365">
      <c r="D365" s="52"/>
    </row>
    <row r="366">
      <c r="D366" s="52"/>
    </row>
    <row r="367">
      <c r="D367" s="52"/>
    </row>
    <row r="368">
      <c r="D368" s="52"/>
    </row>
    <row r="369">
      <c r="D369" s="52"/>
    </row>
    <row r="370">
      <c r="D370" s="52"/>
    </row>
    <row r="371">
      <c r="D371" s="52"/>
    </row>
    <row r="372">
      <c r="D372" s="52"/>
    </row>
    <row r="373">
      <c r="D373" s="52"/>
    </row>
    <row r="374">
      <c r="D374" s="52"/>
    </row>
    <row r="375">
      <c r="D375" s="52"/>
    </row>
    <row r="376">
      <c r="D376" s="52"/>
    </row>
    <row r="377">
      <c r="D377" s="52"/>
    </row>
    <row r="378">
      <c r="D378" s="52"/>
    </row>
    <row r="379">
      <c r="D379" s="52"/>
    </row>
    <row r="380">
      <c r="D380" s="52"/>
    </row>
    <row r="381">
      <c r="D381" s="52"/>
    </row>
    <row r="382">
      <c r="D382" s="52"/>
    </row>
    <row r="383">
      <c r="D383" s="52"/>
    </row>
    <row r="384">
      <c r="D384" s="52"/>
    </row>
    <row r="385">
      <c r="D385" s="52"/>
    </row>
    <row r="386">
      <c r="D386" s="52"/>
    </row>
    <row r="387">
      <c r="D387" s="52"/>
    </row>
    <row r="388">
      <c r="D388" s="52"/>
    </row>
    <row r="389">
      <c r="D389" s="52"/>
    </row>
    <row r="390">
      <c r="D390" s="52"/>
    </row>
    <row r="391">
      <c r="D391" s="52"/>
    </row>
    <row r="392">
      <c r="D392" s="52"/>
    </row>
    <row r="393">
      <c r="D393" s="52"/>
    </row>
    <row r="394">
      <c r="D394" s="52"/>
    </row>
    <row r="395">
      <c r="D395" s="52"/>
    </row>
    <row r="396">
      <c r="D396" s="52"/>
    </row>
    <row r="397">
      <c r="D397" s="52"/>
    </row>
    <row r="398">
      <c r="D398" s="52"/>
    </row>
    <row r="399">
      <c r="D399" s="52"/>
    </row>
    <row r="400">
      <c r="D400" s="52"/>
    </row>
    <row r="401">
      <c r="D401" s="52"/>
    </row>
    <row r="402">
      <c r="D402" s="52"/>
    </row>
    <row r="403">
      <c r="D403" s="52"/>
    </row>
    <row r="404">
      <c r="D404" s="52"/>
    </row>
    <row r="405">
      <c r="D405" s="52"/>
    </row>
    <row r="406">
      <c r="D406" s="52"/>
    </row>
    <row r="407">
      <c r="D407" s="52"/>
    </row>
    <row r="408">
      <c r="D408" s="52"/>
    </row>
    <row r="409">
      <c r="D409" s="52"/>
    </row>
    <row r="410">
      <c r="D410" s="52"/>
    </row>
    <row r="411">
      <c r="D411" s="52"/>
    </row>
    <row r="412">
      <c r="D412" s="52"/>
    </row>
    <row r="413">
      <c r="D413" s="52"/>
    </row>
    <row r="414">
      <c r="D414" s="52"/>
    </row>
    <row r="415">
      <c r="D415" s="52"/>
    </row>
    <row r="416">
      <c r="D416" s="52"/>
    </row>
    <row r="417">
      <c r="D417" s="52"/>
    </row>
    <row r="418">
      <c r="D418" s="52"/>
    </row>
    <row r="419">
      <c r="D419" s="52"/>
    </row>
    <row r="420">
      <c r="D420" s="52"/>
    </row>
    <row r="421">
      <c r="D421" s="52"/>
    </row>
    <row r="422">
      <c r="D422" s="52"/>
    </row>
    <row r="423">
      <c r="D423" s="52"/>
    </row>
    <row r="424">
      <c r="D424" s="52"/>
    </row>
    <row r="425">
      <c r="D425" s="52"/>
    </row>
    <row r="426">
      <c r="D426" s="52"/>
    </row>
    <row r="427">
      <c r="D427" s="52"/>
    </row>
    <row r="428">
      <c r="D428" s="52"/>
    </row>
    <row r="429">
      <c r="D429" s="52"/>
    </row>
    <row r="430">
      <c r="D430" s="52"/>
    </row>
    <row r="431">
      <c r="D431" s="52"/>
    </row>
    <row r="432">
      <c r="D432" s="52"/>
    </row>
    <row r="433">
      <c r="D433" s="52"/>
    </row>
    <row r="434">
      <c r="D434" s="52"/>
    </row>
    <row r="435">
      <c r="D435" s="52"/>
    </row>
    <row r="436">
      <c r="D436" s="52"/>
    </row>
    <row r="437">
      <c r="D437" s="52"/>
    </row>
    <row r="438">
      <c r="D438" s="52"/>
    </row>
    <row r="439">
      <c r="D439" s="52"/>
    </row>
    <row r="440">
      <c r="D440" s="52"/>
    </row>
    <row r="441">
      <c r="D441" s="52"/>
    </row>
    <row r="442">
      <c r="D442" s="52"/>
    </row>
    <row r="443">
      <c r="D443" s="52"/>
    </row>
    <row r="444">
      <c r="D444" s="52"/>
    </row>
    <row r="445">
      <c r="D445" s="52"/>
    </row>
    <row r="446">
      <c r="D446" s="52"/>
    </row>
    <row r="447">
      <c r="D447" s="52"/>
    </row>
    <row r="448">
      <c r="D448" s="52"/>
    </row>
    <row r="449">
      <c r="D449" s="52"/>
    </row>
    <row r="450">
      <c r="D450" s="52"/>
    </row>
    <row r="451">
      <c r="D451" s="52"/>
    </row>
    <row r="452">
      <c r="D452" s="52"/>
    </row>
    <row r="453">
      <c r="D453" s="52"/>
    </row>
    <row r="454">
      <c r="D454" s="52"/>
    </row>
    <row r="455">
      <c r="D455" s="52"/>
    </row>
    <row r="456">
      <c r="D456" s="52"/>
    </row>
    <row r="457">
      <c r="D457" s="52"/>
    </row>
    <row r="458">
      <c r="D458" s="52"/>
    </row>
    <row r="459">
      <c r="D459" s="52"/>
    </row>
    <row r="460">
      <c r="D460" s="52"/>
    </row>
    <row r="461">
      <c r="D461" s="52"/>
    </row>
    <row r="462">
      <c r="D462" s="52"/>
    </row>
    <row r="463">
      <c r="D463" s="52"/>
    </row>
    <row r="464">
      <c r="D464" s="52"/>
    </row>
    <row r="465">
      <c r="D465" s="52"/>
    </row>
    <row r="466">
      <c r="D466" s="52"/>
    </row>
    <row r="467">
      <c r="D467" s="52"/>
    </row>
    <row r="468">
      <c r="D468" s="52"/>
    </row>
    <row r="469">
      <c r="D469" s="52"/>
    </row>
    <row r="470">
      <c r="D470" s="52"/>
    </row>
    <row r="471">
      <c r="D471" s="52"/>
    </row>
    <row r="472">
      <c r="D472" s="52"/>
    </row>
    <row r="473">
      <c r="D473" s="52"/>
    </row>
    <row r="474">
      <c r="D474" s="52"/>
    </row>
    <row r="475">
      <c r="D475" s="52"/>
    </row>
    <row r="476">
      <c r="D476" s="52"/>
    </row>
    <row r="477">
      <c r="D477" s="52"/>
    </row>
    <row r="478">
      <c r="D478" s="52"/>
    </row>
    <row r="479">
      <c r="D479" s="52"/>
    </row>
    <row r="480">
      <c r="D480" s="52"/>
    </row>
    <row r="481">
      <c r="D481" s="52"/>
    </row>
    <row r="482">
      <c r="D482" s="52"/>
    </row>
    <row r="483">
      <c r="D483" s="52"/>
    </row>
    <row r="484">
      <c r="D484" s="52"/>
    </row>
    <row r="485">
      <c r="D485" s="52"/>
    </row>
    <row r="486">
      <c r="D486" s="52"/>
    </row>
    <row r="487">
      <c r="D487" s="52"/>
    </row>
    <row r="488">
      <c r="D488" s="52"/>
    </row>
    <row r="489">
      <c r="D489" s="52"/>
    </row>
    <row r="490">
      <c r="D490" s="52"/>
    </row>
    <row r="491">
      <c r="D491" s="52"/>
    </row>
    <row r="492">
      <c r="D492" s="52"/>
    </row>
    <row r="493">
      <c r="D493" s="52"/>
    </row>
    <row r="494">
      <c r="D494" s="52"/>
    </row>
    <row r="495">
      <c r="D495" s="52"/>
    </row>
    <row r="496">
      <c r="D496" s="52"/>
    </row>
    <row r="497">
      <c r="D497" s="52"/>
    </row>
    <row r="498">
      <c r="D498" s="52"/>
    </row>
    <row r="499">
      <c r="D499" s="52"/>
    </row>
    <row r="500">
      <c r="D500" s="52"/>
    </row>
    <row r="501">
      <c r="D501" s="52"/>
    </row>
    <row r="502">
      <c r="D502" s="52"/>
    </row>
    <row r="503">
      <c r="D503" s="52"/>
    </row>
    <row r="504">
      <c r="D504" s="52"/>
    </row>
    <row r="505">
      <c r="D505" s="52"/>
    </row>
    <row r="506">
      <c r="D506" s="52"/>
    </row>
    <row r="507">
      <c r="D507" s="52"/>
    </row>
    <row r="508">
      <c r="D508" s="52"/>
    </row>
    <row r="509">
      <c r="D509" s="52"/>
    </row>
    <row r="510">
      <c r="D510" s="52"/>
    </row>
    <row r="511">
      <c r="D511" s="52"/>
    </row>
    <row r="512">
      <c r="D512" s="52"/>
    </row>
    <row r="513">
      <c r="D513" s="52"/>
    </row>
    <row r="514">
      <c r="D514" s="52"/>
    </row>
    <row r="515">
      <c r="D515" s="52"/>
    </row>
    <row r="516">
      <c r="D516" s="52"/>
    </row>
    <row r="517">
      <c r="D517" s="52"/>
    </row>
    <row r="518">
      <c r="D518" s="52"/>
    </row>
    <row r="519">
      <c r="D519" s="52"/>
    </row>
    <row r="520">
      <c r="D520" s="52"/>
    </row>
    <row r="521">
      <c r="D521" s="52"/>
    </row>
    <row r="522">
      <c r="D522" s="52"/>
    </row>
    <row r="523">
      <c r="D523" s="52"/>
    </row>
    <row r="524">
      <c r="D524" s="52"/>
    </row>
    <row r="525">
      <c r="D525" s="52"/>
    </row>
    <row r="526">
      <c r="D526" s="52"/>
    </row>
    <row r="527">
      <c r="D527" s="52"/>
    </row>
    <row r="528">
      <c r="D528" s="52"/>
    </row>
    <row r="529">
      <c r="D529" s="52"/>
    </row>
    <row r="530">
      <c r="D530" s="52"/>
    </row>
    <row r="531">
      <c r="D531" s="52"/>
    </row>
    <row r="532">
      <c r="D532" s="52"/>
    </row>
    <row r="533">
      <c r="D533" s="52"/>
    </row>
    <row r="534">
      <c r="D534" s="52"/>
    </row>
    <row r="535">
      <c r="D535" s="52"/>
    </row>
    <row r="536">
      <c r="D536" s="52"/>
    </row>
    <row r="537">
      <c r="D537" s="52"/>
    </row>
    <row r="538">
      <c r="D538" s="52"/>
    </row>
    <row r="539">
      <c r="D539" s="52"/>
    </row>
    <row r="540">
      <c r="D540" s="52"/>
    </row>
    <row r="541">
      <c r="D541" s="52"/>
    </row>
    <row r="542">
      <c r="D542" s="52"/>
    </row>
    <row r="543">
      <c r="D543" s="52"/>
    </row>
    <row r="544">
      <c r="D544" s="52"/>
    </row>
    <row r="545">
      <c r="D545" s="52"/>
    </row>
    <row r="546">
      <c r="D546" s="52"/>
    </row>
    <row r="547">
      <c r="D547" s="52"/>
    </row>
    <row r="548">
      <c r="D548" s="52"/>
    </row>
    <row r="549">
      <c r="D549" s="52"/>
    </row>
    <row r="550">
      <c r="D550" s="52"/>
    </row>
    <row r="551">
      <c r="D551" s="52"/>
    </row>
    <row r="552">
      <c r="D552" s="52"/>
    </row>
    <row r="553">
      <c r="D553" s="52"/>
    </row>
    <row r="554">
      <c r="D554" s="52"/>
    </row>
    <row r="555">
      <c r="D555" s="52"/>
    </row>
    <row r="556">
      <c r="D556" s="52"/>
    </row>
    <row r="557">
      <c r="D557" s="52"/>
    </row>
    <row r="558">
      <c r="D558" s="52"/>
    </row>
    <row r="559">
      <c r="D559" s="52"/>
    </row>
    <row r="560">
      <c r="D560" s="52"/>
    </row>
    <row r="561">
      <c r="D561" s="52"/>
    </row>
    <row r="562">
      <c r="D562" s="52"/>
    </row>
    <row r="563">
      <c r="D563" s="52"/>
    </row>
    <row r="564">
      <c r="D564" s="52"/>
    </row>
    <row r="565">
      <c r="D565" s="52"/>
    </row>
    <row r="566">
      <c r="D566" s="52"/>
    </row>
    <row r="567">
      <c r="D567" s="52"/>
    </row>
    <row r="568">
      <c r="D568" s="52"/>
    </row>
    <row r="569">
      <c r="D569" s="52"/>
    </row>
    <row r="570">
      <c r="D570" s="52"/>
    </row>
    <row r="571">
      <c r="D571" s="52"/>
    </row>
    <row r="572">
      <c r="D572" s="52"/>
    </row>
    <row r="573">
      <c r="D573" s="52"/>
    </row>
    <row r="574">
      <c r="D574" s="52"/>
    </row>
    <row r="575">
      <c r="D575" s="52"/>
    </row>
    <row r="576">
      <c r="D576" s="52"/>
    </row>
    <row r="577">
      <c r="D577" s="52"/>
    </row>
    <row r="578">
      <c r="D578" s="52"/>
    </row>
    <row r="579">
      <c r="D579" s="52"/>
    </row>
    <row r="580">
      <c r="D580" s="52"/>
    </row>
    <row r="581">
      <c r="D581" s="52"/>
    </row>
    <row r="582">
      <c r="D582" s="52"/>
    </row>
    <row r="583">
      <c r="D583" s="52"/>
    </row>
    <row r="584">
      <c r="D584" s="52"/>
    </row>
    <row r="585">
      <c r="D585" s="52"/>
    </row>
    <row r="586">
      <c r="D586" s="52"/>
    </row>
    <row r="587">
      <c r="D587" s="52"/>
    </row>
    <row r="588">
      <c r="D588" s="52"/>
    </row>
    <row r="589">
      <c r="D589" s="52"/>
    </row>
    <row r="590">
      <c r="D590" s="52"/>
    </row>
    <row r="591">
      <c r="D591" s="52"/>
    </row>
    <row r="592">
      <c r="D592" s="52"/>
    </row>
    <row r="593">
      <c r="D593" s="52"/>
    </row>
    <row r="594">
      <c r="D594" s="52"/>
    </row>
    <row r="595">
      <c r="D595" s="52"/>
    </row>
    <row r="596">
      <c r="D596" s="52"/>
    </row>
    <row r="597">
      <c r="D597" s="52"/>
    </row>
    <row r="598">
      <c r="D598" s="52"/>
    </row>
    <row r="599">
      <c r="D599" s="52"/>
    </row>
    <row r="600">
      <c r="D600" s="52"/>
    </row>
    <row r="601">
      <c r="D601" s="52"/>
    </row>
    <row r="602">
      <c r="D602" s="52"/>
    </row>
    <row r="603">
      <c r="D603" s="52"/>
    </row>
    <row r="604">
      <c r="D604" s="52"/>
    </row>
    <row r="605">
      <c r="D605" s="52"/>
    </row>
    <row r="606">
      <c r="D606" s="52"/>
    </row>
    <row r="607">
      <c r="D607" s="52"/>
    </row>
    <row r="608">
      <c r="D608" s="52"/>
    </row>
    <row r="609">
      <c r="D609" s="52"/>
    </row>
    <row r="610">
      <c r="D610" s="52"/>
    </row>
    <row r="611">
      <c r="D611" s="52"/>
    </row>
    <row r="612">
      <c r="D612" s="52"/>
    </row>
    <row r="613">
      <c r="D613" s="52"/>
    </row>
    <row r="614">
      <c r="D614" s="52"/>
    </row>
    <row r="615">
      <c r="D615" s="52"/>
    </row>
    <row r="616">
      <c r="D616" s="52"/>
    </row>
    <row r="617">
      <c r="D617" s="52"/>
    </row>
    <row r="618">
      <c r="D618" s="52"/>
    </row>
    <row r="619">
      <c r="D619" s="52"/>
    </row>
    <row r="620">
      <c r="D620" s="52"/>
    </row>
    <row r="621">
      <c r="D621" s="52"/>
    </row>
    <row r="622">
      <c r="D622" s="52"/>
    </row>
    <row r="623">
      <c r="D623" s="52"/>
    </row>
    <row r="624">
      <c r="D624" s="52"/>
    </row>
    <row r="625">
      <c r="D625" s="52"/>
    </row>
    <row r="626">
      <c r="D626" s="52"/>
    </row>
    <row r="627">
      <c r="D627" s="52"/>
    </row>
    <row r="628">
      <c r="D628" s="52"/>
    </row>
    <row r="629">
      <c r="D629" s="52"/>
    </row>
    <row r="630">
      <c r="D630" s="52"/>
    </row>
    <row r="631">
      <c r="D631" s="52"/>
    </row>
    <row r="632">
      <c r="D632" s="52"/>
    </row>
    <row r="633">
      <c r="D633" s="52"/>
    </row>
    <row r="634">
      <c r="D634" s="52"/>
    </row>
    <row r="635">
      <c r="D635" s="52"/>
    </row>
    <row r="636">
      <c r="D636" s="52"/>
    </row>
    <row r="637">
      <c r="D637" s="52"/>
    </row>
    <row r="638">
      <c r="D638" s="52"/>
    </row>
    <row r="639">
      <c r="D639" s="52"/>
    </row>
    <row r="640">
      <c r="D640" s="52"/>
    </row>
    <row r="641">
      <c r="D641" s="52"/>
    </row>
    <row r="642">
      <c r="D642" s="52"/>
    </row>
    <row r="643">
      <c r="D643" s="52"/>
    </row>
    <row r="644">
      <c r="D644" s="52"/>
    </row>
    <row r="645">
      <c r="D645" s="52"/>
    </row>
    <row r="646">
      <c r="D646" s="52"/>
    </row>
    <row r="647">
      <c r="D647" s="52"/>
    </row>
    <row r="648">
      <c r="D648" s="52"/>
    </row>
    <row r="649">
      <c r="D649" s="52"/>
    </row>
    <row r="650">
      <c r="D650" s="52"/>
    </row>
    <row r="651">
      <c r="D651" s="52"/>
    </row>
    <row r="652">
      <c r="D652" s="52"/>
    </row>
    <row r="653">
      <c r="D653" s="52"/>
    </row>
    <row r="654">
      <c r="D654" s="52"/>
    </row>
    <row r="655">
      <c r="D655" s="52"/>
    </row>
    <row r="656">
      <c r="D656" s="52"/>
    </row>
    <row r="657">
      <c r="D657" s="52"/>
    </row>
    <row r="658">
      <c r="D658" s="52"/>
    </row>
    <row r="659">
      <c r="D659" s="52"/>
    </row>
    <row r="660">
      <c r="D660" s="52"/>
    </row>
    <row r="661">
      <c r="D661" s="52"/>
    </row>
    <row r="662">
      <c r="D662" s="52"/>
    </row>
    <row r="663">
      <c r="D663" s="52"/>
    </row>
    <row r="664">
      <c r="D664" s="52"/>
    </row>
    <row r="665">
      <c r="D665" s="52"/>
    </row>
    <row r="666">
      <c r="D666" s="52"/>
    </row>
    <row r="667">
      <c r="D667" s="52"/>
    </row>
    <row r="668">
      <c r="D668" s="52"/>
    </row>
    <row r="669">
      <c r="D669" s="52"/>
    </row>
    <row r="670">
      <c r="D670" s="52"/>
    </row>
    <row r="671">
      <c r="D671" s="52"/>
    </row>
    <row r="672">
      <c r="D672" s="52"/>
    </row>
    <row r="673">
      <c r="D673" s="52"/>
    </row>
    <row r="674">
      <c r="D674" s="52"/>
    </row>
    <row r="675">
      <c r="D675" s="52"/>
    </row>
    <row r="676">
      <c r="D676" s="52"/>
    </row>
    <row r="677">
      <c r="D677" s="52"/>
    </row>
    <row r="678">
      <c r="D678" s="52"/>
    </row>
    <row r="679">
      <c r="D679" s="52"/>
    </row>
    <row r="680">
      <c r="D680" s="52"/>
    </row>
    <row r="681">
      <c r="D681" s="52"/>
    </row>
    <row r="682">
      <c r="D682" s="52"/>
    </row>
    <row r="683">
      <c r="D683" s="52"/>
    </row>
    <row r="684">
      <c r="D684" s="52"/>
    </row>
    <row r="685">
      <c r="D685" s="52"/>
    </row>
    <row r="686">
      <c r="D686" s="52"/>
    </row>
    <row r="687">
      <c r="D687" s="52"/>
    </row>
    <row r="688">
      <c r="D688" s="52"/>
    </row>
    <row r="689">
      <c r="D689" s="52"/>
    </row>
    <row r="690">
      <c r="D690" s="52"/>
    </row>
    <row r="691">
      <c r="D691" s="52"/>
    </row>
    <row r="692">
      <c r="D692" s="52"/>
    </row>
    <row r="693">
      <c r="D693" s="52"/>
    </row>
    <row r="694">
      <c r="D694" s="52"/>
    </row>
    <row r="695">
      <c r="D695" s="52"/>
    </row>
    <row r="696">
      <c r="D696" s="52"/>
    </row>
    <row r="697">
      <c r="D697" s="52"/>
    </row>
    <row r="698">
      <c r="D698" s="52"/>
    </row>
    <row r="699">
      <c r="D699" s="52"/>
    </row>
    <row r="700">
      <c r="D700" s="52"/>
    </row>
    <row r="701">
      <c r="D701" s="52"/>
    </row>
    <row r="702">
      <c r="D702" s="52"/>
    </row>
    <row r="703">
      <c r="D703" s="52"/>
    </row>
    <row r="704">
      <c r="D704" s="52"/>
    </row>
    <row r="705">
      <c r="D705" s="52"/>
    </row>
    <row r="706">
      <c r="D706" s="52"/>
    </row>
    <row r="707">
      <c r="D707" s="52"/>
    </row>
    <row r="708">
      <c r="D708" s="52"/>
    </row>
    <row r="709">
      <c r="D709" s="52"/>
    </row>
    <row r="710">
      <c r="D710" s="52"/>
    </row>
    <row r="711">
      <c r="D711" s="52"/>
    </row>
    <row r="712">
      <c r="D712" s="52"/>
    </row>
    <row r="713">
      <c r="D713" s="52"/>
    </row>
    <row r="714">
      <c r="D714" s="52"/>
    </row>
    <row r="715">
      <c r="D715" s="52"/>
    </row>
    <row r="716">
      <c r="D716" s="52"/>
    </row>
    <row r="717">
      <c r="D717" s="52"/>
    </row>
    <row r="718">
      <c r="D718" s="52"/>
    </row>
    <row r="719">
      <c r="D719" s="52"/>
    </row>
    <row r="720">
      <c r="D720" s="52"/>
    </row>
    <row r="721">
      <c r="D721" s="52"/>
    </row>
    <row r="722">
      <c r="D722" s="52"/>
    </row>
    <row r="723">
      <c r="D723" s="52"/>
    </row>
    <row r="724">
      <c r="D724" s="52"/>
    </row>
    <row r="725">
      <c r="D725" s="52"/>
    </row>
    <row r="726">
      <c r="D726" s="52"/>
    </row>
    <row r="727">
      <c r="D727" s="52"/>
    </row>
    <row r="728">
      <c r="D728" s="52"/>
    </row>
    <row r="729">
      <c r="D729" s="52"/>
    </row>
    <row r="730">
      <c r="D730" s="52"/>
    </row>
    <row r="731">
      <c r="D731" s="52"/>
    </row>
    <row r="732">
      <c r="D732" s="52"/>
    </row>
    <row r="733">
      <c r="D733" s="52"/>
    </row>
    <row r="734">
      <c r="D734" s="52"/>
    </row>
    <row r="735">
      <c r="D735" s="52"/>
    </row>
    <row r="736">
      <c r="D736" s="52"/>
    </row>
    <row r="737">
      <c r="D737" s="52"/>
    </row>
    <row r="738">
      <c r="D738" s="52"/>
    </row>
    <row r="739">
      <c r="D739" s="52"/>
    </row>
    <row r="740">
      <c r="D740" s="52"/>
    </row>
    <row r="741">
      <c r="D741" s="52"/>
    </row>
    <row r="742">
      <c r="D742" s="52"/>
    </row>
    <row r="743">
      <c r="D743" s="52"/>
    </row>
    <row r="744">
      <c r="D744" s="52"/>
    </row>
    <row r="745">
      <c r="D745" s="52"/>
    </row>
    <row r="746">
      <c r="D746" s="52"/>
    </row>
    <row r="747">
      <c r="D747" s="52"/>
    </row>
    <row r="748">
      <c r="D748" s="52"/>
    </row>
    <row r="749">
      <c r="D749" s="52"/>
    </row>
    <row r="750">
      <c r="D750" s="52"/>
    </row>
    <row r="751">
      <c r="D751" s="52"/>
    </row>
    <row r="752">
      <c r="D752" s="52"/>
    </row>
    <row r="753">
      <c r="D753" s="52"/>
    </row>
    <row r="754">
      <c r="D754" s="52"/>
    </row>
    <row r="755">
      <c r="D755" s="52"/>
    </row>
    <row r="756">
      <c r="D756" s="52"/>
    </row>
    <row r="757">
      <c r="D757" s="52"/>
    </row>
    <row r="758">
      <c r="D758" s="52"/>
    </row>
    <row r="759">
      <c r="D759" s="52"/>
    </row>
    <row r="760">
      <c r="D760" s="52"/>
    </row>
    <row r="761">
      <c r="D761" s="52"/>
    </row>
    <row r="762">
      <c r="D762" s="52"/>
    </row>
    <row r="763">
      <c r="D763" s="52"/>
    </row>
    <row r="764">
      <c r="D764" s="52"/>
    </row>
    <row r="765">
      <c r="D765" s="52"/>
    </row>
    <row r="766">
      <c r="D766" s="52"/>
    </row>
    <row r="767">
      <c r="D767" s="52"/>
    </row>
    <row r="768">
      <c r="D768" s="52"/>
    </row>
    <row r="769">
      <c r="D769" s="52"/>
    </row>
    <row r="770">
      <c r="D770" s="52"/>
    </row>
    <row r="771">
      <c r="D771" s="52"/>
    </row>
    <row r="772">
      <c r="D772" s="52"/>
    </row>
    <row r="773">
      <c r="D773" s="52"/>
    </row>
    <row r="774">
      <c r="D774" s="52"/>
    </row>
    <row r="775">
      <c r="D775" s="52"/>
    </row>
    <row r="776">
      <c r="D776" s="52"/>
    </row>
    <row r="777">
      <c r="D777" s="52"/>
    </row>
    <row r="778">
      <c r="D778" s="52"/>
    </row>
    <row r="779">
      <c r="D779" s="52"/>
    </row>
    <row r="780">
      <c r="D780" s="52"/>
    </row>
    <row r="781">
      <c r="D781" s="52"/>
    </row>
    <row r="782">
      <c r="D782" s="52"/>
    </row>
    <row r="783">
      <c r="D783" s="52"/>
    </row>
    <row r="784">
      <c r="D784" s="52"/>
    </row>
    <row r="785">
      <c r="D785" s="52"/>
    </row>
    <row r="786">
      <c r="D786" s="52"/>
    </row>
    <row r="787">
      <c r="D787" s="52"/>
    </row>
    <row r="788">
      <c r="D788" s="52"/>
    </row>
    <row r="789">
      <c r="D789" s="52"/>
    </row>
    <row r="790">
      <c r="D790" s="52"/>
    </row>
    <row r="791">
      <c r="D791" s="52"/>
    </row>
    <row r="792">
      <c r="D792" s="52"/>
    </row>
    <row r="793">
      <c r="D793" s="52"/>
    </row>
    <row r="794">
      <c r="D794" s="52"/>
    </row>
    <row r="795">
      <c r="D795" s="52"/>
    </row>
    <row r="796">
      <c r="D796" s="52"/>
    </row>
    <row r="797">
      <c r="D797" s="52"/>
    </row>
    <row r="798">
      <c r="D798" s="52"/>
    </row>
    <row r="799">
      <c r="D799" s="52"/>
    </row>
    <row r="800">
      <c r="D800" s="52"/>
    </row>
    <row r="801">
      <c r="D801" s="52"/>
    </row>
    <row r="802">
      <c r="D802" s="52"/>
    </row>
    <row r="803">
      <c r="D803" s="52"/>
    </row>
    <row r="804">
      <c r="D804" s="52"/>
    </row>
    <row r="805">
      <c r="D805" s="52"/>
    </row>
    <row r="806">
      <c r="D806" s="52"/>
    </row>
    <row r="807">
      <c r="D807" s="52"/>
    </row>
    <row r="808">
      <c r="D808" s="52"/>
    </row>
    <row r="809">
      <c r="D809" s="52"/>
    </row>
    <row r="810">
      <c r="D810" s="52"/>
    </row>
    <row r="811">
      <c r="D811" s="52"/>
    </row>
    <row r="812">
      <c r="D812" s="52"/>
    </row>
    <row r="813">
      <c r="D813" s="52"/>
    </row>
    <row r="814">
      <c r="D814" s="52"/>
    </row>
    <row r="815">
      <c r="D815" s="52"/>
    </row>
    <row r="816">
      <c r="D816" s="52"/>
    </row>
    <row r="817">
      <c r="D817" s="52"/>
    </row>
    <row r="818">
      <c r="D818" s="52"/>
    </row>
    <row r="819">
      <c r="D819" s="52"/>
    </row>
    <row r="820">
      <c r="D820" s="52"/>
    </row>
    <row r="821">
      <c r="D821" s="52"/>
    </row>
    <row r="822">
      <c r="D822" s="52"/>
    </row>
    <row r="823">
      <c r="D823" s="52"/>
    </row>
    <row r="824">
      <c r="D824" s="52"/>
    </row>
    <row r="825">
      <c r="D825" s="52"/>
    </row>
    <row r="826">
      <c r="D826" s="52"/>
    </row>
    <row r="827">
      <c r="D827" s="52"/>
    </row>
    <row r="828">
      <c r="D828" s="52"/>
    </row>
    <row r="829">
      <c r="D829" s="52"/>
    </row>
    <row r="830">
      <c r="D830" s="52"/>
    </row>
    <row r="831">
      <c r="D831" s="52"/>
    </row>
    <row r="832">
      <c r="D832" s="52"/>
    </row>
    <row r="833">
      <c r="D833" s="52"/>
    </row>
    <row r="834">
      <c r="D834" s="52"/>
    </row>
    <row r="835">
      <c r="D835" s="52"/>
    </row>
    <row r="836">
      <c r="D836" s="52"/>
    </row>
    <row r="837">
      <c r="D837" s="52"/>
    </row>
    <row r="838">
      <c r="D838" s="52"/>
    </row>
    <row r="839">
      <c r="D839" s="52"/>
    </row>
    <row r="840">
      <c r="D840" s="52"/>
    </row>
    <row r="841">
      <c r="D841" s="52"/>
    </row>
    <row r="842">
      <c r="D842" s="52"/>
    </row>
    <row r="843">
      <c r="D843" s="52"/>
    </row>
  </sheetData>
  <mergeCells count="7">
    <mergeCell ref="A1:F1"/>
    <mergeCell ref="A2:A3"/>
    <mergeCell ref="B2:B3"/>
    <mergeCell ref="C2:C3"/>
    <mergeCell ref="D2:D3"/>
    <mergeCell ref="E2:F2"/>
    <mergeCell ref="A7:E7"/>
  </mergeCells>
  <dataValidations>
    <dataValidation type="list" allowBlank="1" sqref="H4">
      <formula1>"CHECKED (OK),CHECKED  (NOT OK)"</formula1>
    </dataValidation>
  </dataValidations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3" max="3" width="26.75"/>
    <col customWidth="1" min="4" max="4" width="33.25"/>
    <col customWidth="1" min="7" max="7" width="3.5"/>
    <col customWidth="1" min="8" max="8" width="18.63"/>
    <col customWidth="1" min="9" max="9" width="21.63"/>
  </cols>
  <sheetData>
    <row r="1">
      <c r="A1" s="30" t="s">
        <v>1128</v>
      </c>
      <c r="G1" s="31"/>
      <c r="H1" s="32" t="s">
        <v>1129</v>
      </c>
      <c r="I1" s="33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4" t="s">
        <v>1</v>
      </c>
      <c r="B2" s="35" t="s">
        <v>11</v>
      </c>
      <c r="C2" s="35" t="s">
        <v>12</v>
      </c>
      <c r="D2" s="36" t="s">
        <v>13</v>
      </c>
      <c r="E2" s="37" t="s">
        <v>14</v>
      </c>
      <c r="F2" s="38"/>
      <c r="G2" s="39"/>
      <c r="H2" s="40"/>
      <c r="I2" s="40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41"/>
      <c r="B3" s="38"/>
      <c r="C3" s="38"/>
      <c r="D3" s="38"/>
      <c r="E3" s="42" t="s">
        <v>15</v>
      </c>
      <c r="F3" s="43" t="s">
        <v>5</v>
      </c>
      <c r="G3" s="39"/>
      <c r="H3" s="44" t="s">
        <v>6</v>
      </c>
      <c r="I3" s="45" t="s">
        <v>7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24.75" customHeight="1">
      <c r="A4" s="46"/>
      <c r="B4" s="47"/>
      <c r="C4" s="48" t="str">
        <f>vlookup(B4,'Crew Data'!C:G,5,0)</f>
        <v>#N/A</v>
      </c>
      <c r="D4" s="49"/>
      <c r="E4" s="47"/>
      <c r="F4" s="50">
        <f>E4*400</f>
        <v>0</v>
      </c>
      <c r="G4" s="22">
        <f>COUNTIF(B:B,B4)</f>
        <v>0</v>
      </c>
      <c r="H4" s="5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D5" s="52"/>
    </row>
    <row r="6">
      <c r="D6" s="52"/>
    </row>
    <row r="7" ht="44.25" customHeight="1">
      <c r="A7" s="53" t="s">
        <v>16</v>
      </c>
    </row>
    <row r="8">
      <c r="D8" s="52"/>
    </row>
    <row r="9">
      <c r="D9" s="52"/>
    </row>
    <row r="10">
      <c r="D10" s="52"/>
    </row>
    <row r="11">
      <c r="D11" s="52"/>
    </row>
    <row r="12">
      <c r="D12" s="52"/>
    </row>
    <row r="13">
      <c r="D13" s="52"/>
    </row>
    <row r="14">
      <c r="D14" s="52"/>
    </row>
    <row r="15">
      <c r="D15" s="52"/>
    </row>
    <row r="16">
      <c r="D16" s="52"/>
    </row>
    <row r="17">
      <c r="D17" s="52"/>
    </row>
    <row r="18">
      <c r="D18" s="52"/>
    </row>
    <row r="19">
      <c r="D19" s="52"/>
    </row>
    <row r="20">
      <c r="D20" s="52"/>
    </row>
    <row r="21">
      <c r="D21" s="52"/>
    </row>
    <row r="22">
      <c r="D22" s="52"/>
    </row>
    <row r="23">
      <c r="D23" s="52"/>
    </row>
    <row r="24">
      <c r="D24" s="52"/>
    </row>
    <row r="25">
      <c r="D25" s="52"/>
    </row>
    <row r="26">
      <c r="D26" s="52"/>
    </row>
    <row r="27">
      <c r="D27" s="52"/>
    </row>
    <row r="28">
      <c r="D28" s="52"/>
    </row>
    <row r="29">
      <c r="D29" s="52"/>
    </row>
    <row r="30">
      <c r="D30" s="52"/>
    </row>
    <row r="31">
      <c r="D31" s="52"/>
    </row>
    <row r="32">
      <c r="D32" s="52"/>
    </row>
    <row r="33">
      <c r="D33" s="52"/>
    </row>
    <row r="34">
      <c r="D34" s="52"/>
    </row>
    <row r="35">
      <c r="D35" s="52"/>
    </row>
    <row r="36">
      <c r="D36" s="52"/>
    </row>
    <row r="37">
      <c r="D37" s="52"/>
    </row>
    <row r="38">
      <c r="D38" s="52"/>
    </row>
    <row r="39">
      <c r="D39" s="52"/>
    </row>
    <row r="40">
      <c r="D40" s="52"/>
    </row>
    <row r="41">
      <c r="D41" s="52"/>
    </row>
    <row r="42">
      <c r="D42" s="52"/>
    </row>
    <row r="43">
      <c r="D43" s="52"/>
    </row>
    <row r="44">
      <c r="D44" s="52"/>
    </row>
    <row r="45">
      <c r="D45" s="52"/>
    </row>
    <row r="46">
      <c r="D46" s="52"/>
    </row>
    <row r="47">
      <c r="D47" s="52"/>
    </row>
    <row r="48">
      <c r="D48" s="52"/>
    </row>
    <row r="49">
      <c r="D49" s="52"/>
    </row>
    <row r="50">
      <c r="D50" s="52"/>
    </row>
    <row r="51">
      <c r="D51" s="52"/>
    </row>
    <row r="52">
      <c r="D52" s="52"/>
    </row>
    <row r="53">
      <c r="D53" s="52"/>
    </row>
    <row r="54">
      <c r="D54" s="52"/>
    </row>
    <row r="55">
      <c r="D55" s="52"/>
    </row>
    <row r="56">
      <c r="D56" s="52"/>
    </row>
    <row r="57">
      <c r="D57" s="52"/>
    </row>
    <row r="58">
      <c r="D58" s="52"/>
    </row>
    <row r="59">
      <c r="D59" s="52"/>
    </row>
    <row r="60">
      <c r="D60" s="52"/>
    </row>
    <row r="61">
      <c r="D61" s="52"/>
    </row>
    <row r="62">
      <c r="D62" s="52"/>
    </row>
    <row r="63">
      <c r="D63" s="52"/>
    </row>
    <row r="64">
      <c r="D64" s="52"/>
    </row>
    <row r="65">
      <c r="D65" s="52"/>
    </row>
    <row r="66">
      <c r="D66" s="52"/>
    </row>
    <row r="67">
      <c r="D67" s="52"/>
    </row>
    <row r="68">
      <c r="D68" s="52"/>
    </row>
    <row r="69">
      <c r="D69" s="52"/>
    </row>
    <row r="70">
      <c r="D70" s="52"/>
    </row>
    <row r="71">
      <c r="D71" s="52"/>
    </row>
    <row r="72">
      <c r="D72" s="52"/>
    </row>
    <row r="73">
      <c r="D73" s="52"/>
    </row>
    <row r="74">
      <c r="D74" s="52"/>
    </row>
    <row r="75">
      <c r="D75" s="52"/>
    </row>
    <row r="76">
      <c r="D76" s="52"/>
    </row>
    <row r="77">
      <c r="D77" s="52"/>
    </row>
    <row r="78">
      <c r="D78" s="52"/>
    </row>
    <row r="79">
      <c r="D79" s="52"/>
    </row>
    <row r="80">
      <c r="D80" s="52"/>
    </row>
    <row r="81">
      <c r="D81" s="52"/>
    </row>
    <row r="82">
      <c r="D82" s="52"/>
    </row>
    <row r="83">
      <c r="D83" s="52"/>
    </row>
    <row r="84">
      <c r="D84" s="52"/>
    </row>
    <row r="85">
      <c r="D85" s="52"/>
    </row>
    <row r="86">
      <c r="D86" s="52"/>
    </row>
    <row r="87">
      <c r="D87" s="52"/>
    </row>
    <row r="88">
      <c r="D88" s="52"/>
    </row>
    <row r="89">
      <c r="D89" s="52"/>
    </row>
    <row r="90">
      <c r="D90" s="52"/>
    </row>
    <row r="91">
      <c r="D91" s="52"/>
    </row>
    <row r="92">
      <c r="D92" s="52"/>
    </row>
    <row r="93">
      <c r="D93" s="52"/>
    </row>
    <row r="94">
      <c r="D94" s="52"/>
    </row>
    <row r="95">
      <c r="D95" s="52"/>
    </row>
    <row r="96">
      <c r="D96" s="52"/>
    </row>
    <row r="97">
      <c r="D97" s="52"/>
    </row>
    <row r="98">
      <c r="D98" s="52"/>
    </row>
    <row r="99">
      <c r="D99" s="52"/>
    </row>
    <row r="100">
      <c r="D100" s="52"/>
    </row>
    <row r="101">
      <c r="D101" s="52"/>
    </row>
    <row r="102">
      <c r="D102" s="52"/>
    </row>
    <row r="103">
      <c r="D103" s="52"/>
    </row>
    <row r="104">
      <c r="D104" s="52"/>
    </row>
    <row r="105">
      <c r="D105" s="52"/>
    </row>
    <row r="106">
      <c r="D106" s="52"/>
    </row>
    <row r="107">
      <c r="D107" s="52"/>
    </row>
    <row r="108">
      <c r="D108" s="52"/>
    </row>
    <row r="109">
      <c r="D109" s="52"/>
    </row>
    <row r="110">
      <c r="D110" s="52"/>
    </row>
    <row r="111">
      <c r="D111" s="52"/>
    </row>
    <row r="112">
      <c r="D112" s="52"/>
    </row>
    <row r="113">
      <c r="D113" s="52"/>
    </row>
    <row r="114">
      <c r="D114" s="52"/>
    </row>
    <row r="115">
      <c r="D115" s="52"/>
    </row>
    <row r="116">
      <c r="D116" s="52"/>
    </row>
    <row r="117">
      <c r="D117" s="52"/>
    </row>
    <row r="118">
      <c r="D118" s="52"/>
    </row>
    <row r="119">
      <c r="D119" s="52"/>
    </row>
    <row r="120">
      <c r="D120" s="52"/>
    </row>
    <row r="121">
      <c r="D121" s="52"/>
    </row>
    <row r="122">
      <c r="D122" s="52"/>
    </row>
    <row r="123">
      <c r="D123" s="52"/>
    </row>
    <row r="124">
      <c r="D124" s="52"/>
    </row>
    <row r="125">
      <c r="D125" s="52"/>
    </row>
    <row r="126">
      <c r="D126" s="52"/>
    </row>
    <row r="127">
      <c r="D127" s="52"/>
    </row>
    <row r="128">
      <c r="D128" s="52"/>
    </row>
    <row r="129">
      <c r="D129" s="52"/>
    </row>
    <row r="130">
      <c r="D130" s="52"/>
    </row>
    <row r="131">
      <c r="D131" s="52"/>
    </row>
    <row r="132">
      <c r="D132" s="52"/>
    </row>
    <row r="133">
      <c r="D133" s="52"/>
    </row>
    <row r="134">
      <c r="D134" s="52"/>
    </row>
    <row r="135">
      <c r="D135" s="52"/>
    </row>
    <row r="136">
      <c r="D136" s="52"/>
    </row>
    <row r="137">
      <c r="D137" s="52"/>
    </row>
    <row r="138">
      <c r="D138" s="52"/>
    </row>
    <row r="139">
      <c r="D139" s="52"/>
    </row>
    <row r="140">
      <c r="D140" s="52"/>
    </row>
    <row r="141">
      <c r="D141" s="52"/>
    </row>
    <row r="142">
      <c r="D142" s="52"/>
    </row>
    <row r="143">
      <c r="D143" s="52"/>
    </row>
    <row r="144">
      <c r="D144" s="52"/>
    </row>
    <row r="145">
      <c r="D145" s="52"/>
    </row>
    <row r="146">
      <c r="D146" s="52"/>
    </row>
    <row r="147">
      <c r="D147" s="52"/>
    </row>
    <row r="148">
      <c r="D148" s="52"/>
    </row>
    <row r="149">
      <c r="D149" s="52"/>
    </row>
    <row r="150">
      <c r="D150" s="52"/>
    </row>
    <row r="151">
      <c r="D151" s="52"/>
    </row>
    <row r="152">
      <c r="D152" s="52"/>
    </row>
    <row r="153">
      <c r="D153" s="52"/>
    </row>
    <row r="154">
      <c r="D154" s="52"/>
    </row>
    <row r="155">
      <c r="D155" s="52"/>
    </row>
    <row r="156">
      <c r="D156" s="52"/>
    </row>
    <row r="157">
      <c r="D157" s="52"/>
    </row>
    <row r="158">
      <c r="D158" s="52"/>
    </row>
    <row r="159">
      <c r="D159" s="52"/>
    </row>
    <row r="160">
      <c r="D160" s="52"/>
    </row>
    <row r="161">
      <c r="D161" s="52"/>
    </row>
    <row r="162">
      <c r="D162" s="52"/>
    </row>
    <row r="163">
      <c r="D163" s="52"/>
    </row>
    <row r="164">
      <c r="D164" s="52"/>
    </row>
    <row r="165">
      <c r="D165" s="52"/>
    </row>
    <row r="166">
      <c r="D166" s="52"/>
    </row>
    <row r="167">
      <c r="D167" s="52"/>
    </row>
    <row r="168">
      <c r="D168" s="52"/>
    </row>
    <row r="169">
      <c r="D169" s="52"/>
    </row>
    <row r="170">
      <c r="D170" s="52"/>
    </row>
    <row r="171">
      <c r="D171" s="52"/>
    </row>
    <row r="172">
      <c r="D172" s="52"/>
    </row>
    <row r="173">
      <c r="D173" s="52"/>
    </row>
    <row r="174">
      <c r="D174" s="52"/>
    </row>
    <row r="175">
      <c r="D175" s="52"/>
    </row>
    <row r="176">
      <c r="D176" s="52"/>
    </row>
    <row r="177">
      <c r="D177" s="52"/>
    </row>
    <row r="178">
      <c r="D178" s="52"/>
    </row>
    <row r="179">
      <c r="D179" s="52"/>
    </row>
    <row r="180">
      <c r="D180" s="52"/>
    </row>
    <row r="181">
      <c r="D181" s="52"/>
    </row>
    <row r="182">
      <c r="D182" s="52"/>
    </row>
    <row r="183">
      <c r="D183" s="52"/>
    </row>
    <row r="184">
      <c r="D184" s="52"/>
    </row>
    <row r="185">
      <c r="D185" s="52"/>
    </row>
    <row r="186">
      <c r="D186" s="52"/>
    </row>
    <row r="187">
      <c r="D187" s="52"/>
    </row>
    <row r="188">
      <c r="D188" s="52"/>
    </row>
    <row r="189">
      <c r="D189" s="52"/>
    </row>
    <row r="190">
      <c r="D190" s="52"/>
    </row>
    <row r="191">
      <c r="D191" s="52"/>
    </row>
    <row r="192">
      <c r="D192" s="52"/>
    </row>
    <row r="193">
      <c r="D193" s="52"/>
    </row>
    <row r="194">
      <c r="D194" s="52"/>
    </row>
    <row r="195">
      <c r="D195" s="52"/>
    </row>
    <row r="196">
      <c r="D196" s="52"/>
    </row>
    <row r="197">
      <c r="D197" s="52"/>
    </row>
    <row r="198">
      <c r="D198" s="52"/>
    </row>
    <row r="199">
      <c r="D199" s="52"/>
    </row>
    <row r="200">
      <c r="D200" s="52"/>
    </row>
    <row r="201">
      <c r="D201" s="52"/>
    </row>
    <row r="202">
      <c r="D202" s="52"/>
    </row>
    <row r="203">
      <c r="D203" s="52"/>
    </row>
    <row r="204">
      <c r="D204" s="52"/>
    </row>
    <row r="205">
      <c r="D205" s="52"/>
    </row>
    <row r="206">
      <c r="D206" s="52"/>
    </row>
    <row r="207">
      <c r="D207" s="52"/>
    </row>
    <row r="208">
      <c r="D208" s="52"/>
    </row>
    <row r="209">
      <c r="D209" s="52"/>
    </row>
    <row r="210">
      <c r="D210" s="52"/>
    </row>
    <row r="211">
      <c r="D211" s="52"/>
    </row>
    <row r="212">
      <c r="D212" s="52"/>
    </row>
    <row r="213">
      <c r="D213" s="52"/>
    </row>
    <row r="214">
      <c r="D214" s="52"/>
    </row>
    <row r="215">
      <c r="D215" s="52"/>
    </row>
    <row r="216">
      <c r="D216" s="52"/>
    </row>
    <row r="217">
      <c r="D217" s="52"/>
    </row>
    <row r="218">
      <c r="D218" s="52"/>
    </row>
    <row r="219">
      <c r="D219" s="52"/>
    </row>
    <row r="220">
      <c r="D220" s="52"/>
    </row>
    <row r="221">
      <c r="D221" s="52"/>
    </row>
    <row r="222">
      <c r="D222" s="52"/>
    </row>
    <row r="223">
      <c r="D223" s="52"/>
    </row>
    <row r="224">
      <c r="D224" s="52"/>
    </row>
    <row r="225">
      <c r="D225" s="52"/>
    </row>
    <row r="226">
      <c r="D226" s="52"/>
    </row>
    <row r="227">
      <c r="D227" s="52"/>
    </row>
    <row r="228">
      <c r="D228" s="52"/>
    </row>
    <row r="229">
      <c r="D229" s="52"/>
    </row>
    <row r="230">
      <c r="D230" s="52"/>
    </row>
    <row r="231">
      <c r="D231" s="52"/>
    </row>
    <row r="232">
      <c r="D232" s="52"/>
    </row>
    <row r="233">
      <c r="D233" s="52"/>
    </row>
    <row r="234">
      <c r="D234" s="52"/>
    </row>
    <row r="235">
      <c r="D235" s="52"/>
    </row>
    <row r="236">
      <c r="D236" s="52"/>
    </row>
    <row r="237">
      <c r="D237" s="52"/>
    </row>
    <row r="238">
      <c r="D238" s="52"/>
    </row>
    <row r="239">
      <c r="D239" s="52"/>
    </row>
    <row r="240">
      <c r="D240" s="52"/>
    </row>
    <row r="241">
      <c r="D241" s="52"/>
    </row>
    <row r="242">
      <c r="D242" s="52"/>
    </row>
    <row r="243">
      <c r="D243" s="52"/>
    </row>
    <row r="244">
      <c r="D244" s="52"/>
    </row>
    <row r="245">
      <c r="D245" s="52"/>
    </row>
    <row r="246">
      <c r="D246" s="52"/>
    </row>
    <row r="247">
      <c r="D247" s="52"/>
    </row>
    <row r="248">
      <c r="D248" s="52"/>
    </row>
    <row r="249">
      <c r="D249" s="52"/>
    </row>
    <row r="250">
      <c r="D250" s="52"/>
    </row>
    <row r="251">
      <c r="D251" s="52"/>
    </row>
    <row r="252">
      <c r="D252" s="52"/>
    </row>
    <row r="253">
      <c r="D253" s="52"/>
    </row>
    <row r="254">
      <c r="D254" s="52"/>
    </row>
    <row r="255">
      <c r="D255" s="52"/>
    </row>
    <row r="256">
      <c r="D256" s="52"/>
    </row>
    <row r="257">
      <c r="D257" s="52"/>
    </row>
    <row r="258">
      <c r="D258" s="52"/>
    </row>
    <row r="259">
      <c r="D259" s="52"/>
    </row>
    <row r="260">
      <c r="D260" s="52"/>
    </row>
    <row r="261">
      <c r="D261" s="52"/>
    </row>
    <row r="262">
      <c r="D262" s="52"/>
    </row>
    <row r="263">
      <c r="D263" s="52"/>
    </row>
    <row r="264">
      <c r="D264" s="52"/>
    </row>
    <row r="265">
      <c r="D265" s="52"/>
    </row>
    <row r="266">
      <c r="D266" s="52"/>
    </row>
    <row r="267">
      <c r="D267" s="52"/>
    </row>
    <row r="268">
      <c r="D268" s="52"/>
    </row>
    <row r="269">
      <c r="D269" s="52"/>
    </row>
    <row r="270">
      <c r="D270" s="52"/>
    </row>
    <row r="271">
      <c r="D271" s="52"/>
    </row>
    <row r="272">
      <c r="D272" s="52"/>
    </row>
    <row r="273">
      <c r="D273" s="52"/>
    </row>
    <row r="274">
      <c r="D274" s="52"/>
    </row>
    <row r="275">
      <c r="D275" s="52"/>
    </row>
    <row r="276">
      <c r="D276" s="52"/>
    </row>
    <row r="277">
      <c r="D277" s="52"/>
    </row>
    <row r="278">
      <c r="D278" s="52"/>
    </row>
    <row r="279">
      <c r="D279" s="52"/>
    </row>
    <row r="280">
      <c r="D280" s="52"/>
    </row>
    <row r="281">
      <c r="D281" s="52"/>
    </row>
    <row r="282">
      <c r="D282" s="52"/>
    </row>
    <row r="283">
      <c r="D283" s="52"/>
    </row>
    <row r="284">
      <c r="D284" s="52"/>
    </row>
    <row r="285">
      <c r="D285" s="52"/>
    </row>
    <row r="286">
      <c r="D286" s="52"/>
    </row>
    <row r="287">
      <c r="D287" s="52"/>
    </row>
    <row r="288">
      <c r="D288" s="52"/>
    </row>
    <row r="289">
      <c r="D289" s="52"/>
    </row>
    <row r="290">
      <c r="D290" s="52"/>
    </row>
    <row r="291">
      <c r="D291" s="52"/>
    </row>
    <row r="292">
      <c r="D292" s="52"/>
    </row>
    <row r="293">
      <c r="D293" s="52"/>
    </row>
    <row r="294">
      <c r="D294" s="52"/>
    </row>
    <row r="295">
      <c r="D295" s="52"/>
    </row>
    <row r="296">
      <c r="D296" s="52"/>
    </row>
    <row r="297">
      <c r="D297" s="52"/>
    </row>
    <row r="298">
      <c r="D298" s="52"/>
    </row>
    <row r="299">
      <c r="D299" s="52"/>
    </row>
    <row r="300">
      <c r="D300" s="52"/>
    </row>
    <row r="301">
      <c r="D301" s="52"/>
    </row>
    <row r="302">
      <c r="D302" s="52"/>
    </row>
    <row r="303">
      <c r="D303" s="52"/>
    </row>
    <row r="304">
      <c r="D304" s="52"/>
    </row>
    <row r="305">
      <c r="D305" s="52"/>
    </row>
    <row r="306">
      <c r="D306" s="52"/>
    </row>
    <row r="307">
      <c r="D307" s="52"/>
    </row>
    <row r="308">
      <c r="D308" s="52"/>
    </row>
    <row r="309">
      <c r="D309" s="52"/>
    </row>
    <row r="310">
      <c r="D310" s="52"/>
    </row>
    <row r="311">
      <c r="D311" s="52"/>
    </row>
    <row r="312">
      <c r="D312" s="52"/>
    </row>
    <row r="313">
      <c r="D313" s="52"/>
    </row>
    <row r="314">
      <c r="D314" s="52"/>
    </row>
    <row r="315">
      <c r="D315" s="52"/>
    </row>
    <row r="316">
      <c r="D316" s="52"/>
    </row>
    <row r="317">
      <c r="D317" s="52"/>
    </row>
    <row r="318">
      <c r="D318" s="52"/>
    </row>
    <row r="319">
      <c r="D319" s="52"/>
    </row>
    <row r="320">
      <c r="D320" s="52"/>
    </row>
    <row r="321">
      <c r="D321" s="52"/>
    </row>
    <row r="322">
      <c r="D322" s="52"/>
    </row>
    <row r="323">
      <c r="D323" s="52"/>
    </row>
    <row r="324">
      <c r="D324" s="52"/>
    </row>
    <row r="325">
      <c r="D325" s="52"/>
    </row>
    <row r="326">
      <c r="D326" s="52"/>
    </row>
    <row r="327">
      <c r="D327" s="52"/>
    </row>
    <row r="328">
      <c r="D328" s="52"/>
    </row>
    <row r="329">
      <c r="D329" s="52"/>
    </row>
    <row r="330">
      <c r="D330" s="52"/>
    </row>
    <row r="331">
      <c r="D331" s="52"/>
    </row>
    <row r="332">
      <c r="D332" s="52"/>
    </row>
    <row r="333">
      <c r="D333" s="52"/>
    </row>
    <row r="334">
      <c r="D334" s="52"/>
    </row>
    <row r="335">
      <c r="D335" s="52"/>
    </row>
    <row r="336">
      <c r="D336" s="52"/>
    </row>
    <row r="337">
      <c r="D337" s="52"/>
    </row>
    <row r="338">
      <c r="D338" s="52"/>
    </row>
    <row r="339">
      <c r="D339" s="52"/>
    </row>
    <row r="340">
      <c r="D340" s="52"/>
    </row>
    <row r="341">
      <c r="D341" s="52"/>
    </row>
    <row r="342">
      <c r="D342" s="52"/>
    </row>
    <row r="343">
      <c r="D343" s="52"/>
    </row>
    <row r="344">
      <c r="D344" s="52"/>
    </row>
    <row r="345">
      <c r="D345" s="52"/>
    </row>
    <row r="346">
      <c r="D346" s="52"/>
    </row>
    <row r="347">
      <c r="D347" s="52"/>
    </row>
    <row r="348">
      <c r="D348" s="52"/>
    </row>
    <row r="349">
      <c r="D349" s="52"/>
    </row>
    <row r="350">
      <c r="D350" s="52"/>
    </row>
    <row r="351">
      <c r="D351" s="52"/>
    </row>
    <row r="352">
      <c r="D352" s="52"/>
    </row>
    <row r="353">
      <c r="D353" s="52"/>
    </row>
    <row r="354">
      <c r="D354" s="52"/>
    </row>
    <row r="355">
      <c r="D355" s="52"/>
    </row>
    <row r="356">
      <c r="D356" s="52"/>
    </row>
    <row r="357">
      <c r="D357" s="52"/>
    </row>
    <row r="358">
      <c r="D358" s="52"/>
    </row>
    <row r="359">
      <c r="D359" s="52"/>
    </row>
    <row r="360">
      <c r="D360" s="52"/>
    </row>
    <row r="361">
      <c r="D361" s="52"/>
    </row>
    <row r="362">
      <c r="D362" s="52"/>
    </row>
    <row r="363">
      <c r="D363" s="52"/>
    </row>
    <row r="364">
      <c r="D364" s="52"/>
    </row>
    <row r="365">
      <c r="D365" s="52"/>
    </row>
    <row r="366">
      <c r="D366" s="52"/>
    </row>
    <row r="367">
      <c r="D367" s="52"/>
    </row>
    <row r="368">
      <c r="D368" s="52"/>
    </row>
    <row r="369">
      <c r="D369" s="52"/>
    </row>
    <row r="370">
      <c r="D370" s="52"/>
    </row>
    <row r="371">
      <c r="D371" s="52"/>
    </row>
    <row r="372">
      <c r="D372" s="52"/>
    </row>
    <row r="373">
      <c r="D373" s="52"/>
    </row>
    <row r="374">
      <c r="D374" s="52"/>
    </row>
    <row r="375">
      <c r="D375" s="52"/>
    </row>
    <row r="376">
      <c r="D376" s="52"/>
    </row>
    <row r="377">
      <c r="D377" s="52"/>
    </row>
    <row r="378">
      <c r="D378" s="52"/>
    </row>
    <row r="379">
      <c r="D379" s="52"/>
    </row>
    <row r="380">
      <c r="D380" s="52"/>
    </row>
    <row r="381">
      <c r="D381" s="52"/>
    </row>
    <row r="382">
      <c r="D382" s="52"/>
    </row>
    <row r="383">
      <c r="D383" s="52"/>
    </row>
    <row r="384">
      <c r="D384" s="52"/>
    </row>
    <row r="385">
      <c r="D385" s="52"/>
    </row>
    <row r="386">
      <c r="D386" s="52"/>
    </row>
    <row r="387">
      <c r="D387" s="52"/>
    </row>
    <row r="388">
      <c r="D388" s="52"/>
    </row>
    <row r="389">
      <c r="D389" s="52"/>
    </row>
    <row r="390">
      <c r="D390" s="52"/>
    </row>
    <row r="391">
      <c r="D391" s="52"/>
    </row>
    <row r="392">
      <c r="D392" s="52"/>
    </row>
    <row r="393">
      <c r="D393" s="52"/>
    </row>
    <row r="394">
      <c r="D394" s="52"/>
    </row>
    <row r="395">
      <c r="D395" s="52"/>
    </row>
    <row r="396">
      <c r="D396" s="52"/>
    </row>
    <row r="397">
      <c r="D397" s="52"/>
    </row>
    <row r="398">
      <c r="D398" s="52"/>
    </row>
    <row r="399">
      <c r="D399" s="52"/>
    </row>
    <row r="400">
      <c r="D400" s="52"/>
    </row>
    <row r="401">
      <c r="D401" s="52"/>
    </row>
    <row r="402">
      <c r="D402" s="52"/>
    </row>
    <row r="403">
      <c r="D403" s="52"/>
    </row>
    <row r="404">
      <c r="D404" s="52"/>
    </row>
    <row r="405">
      <c r="D405" s="52"/>
    </row>
    <row r="406">
      <c r="D406" s="52"/>
    </row>
    <row r="407">
      <c r="D407" s="52"/>
    </row>
    <row r="408">
      <c r="D408" s="52"/>
    </row>
    <row r="409">
      <c r="D409" s="52"/>
    </row>
    <row r="410">
      <c r="D410" s="52"/>
    </row>
    <row r="411">
      <c r="D411" s="52"/>
    </row>
    <row r="412">
      <c r="D412" s="52"/>
    </row>
    <row r="413">
      <c r="D413" s="52"/>
    </row>
    <row r="414">
      <c r="D414" s="52"/>
    </row>
    <row r="415">
      <c r="D415" s="52"/>
    </row>
    <row r="416">
      <c r="D416" s="52"/>
    </row>
    <row r="417">
      <c r="D417" s="52"/>
    </row>
    <row r="418">
      <c r="D418" s="52"/>
    </row>
    <row r="419">
      <c r="D419" s="52"/>
    </row>
    <row r="420">
      <c r="D420" s="52"/>
    </row>
    <row r="421">
      <c r="D421" s="52"/>
    </row>
    <row r="422">
      <c r="D422" s="52"/>
    </row>
    <row r="423">
      <c r="D423" s="52"/>
    </row>
    <row r="424">
      <c r="D424" s="52"/>
    </row>
    <row r="425">
      <c r="D425" s="52"/>
    </row>
    <row r="426">
      <c r="D426" s="52"/>
    </row>
    <row r="427">
      <c r="D427" s="52"/>
    </row>
    <row r="428">
      <c r="D428" s="52"/>
    </row>
    <row r="429">
      <c r="D429" s="52"/>
    </row>
    <row r="430">
      <c r="D430" s="52"/>
    </row>
    <row r="431">
      <c r="D431" s="52"/>
    </row>
    <row r="432">
      <c r="D432" s="52"/>
    </row>
    <row r="433">
      <c r="D433" s="52"/>
    </row>
    <row r="434">
      <c r="D434" s="52"/>
    </row>
    <row r="435">
      <c r="D435" s="52"/>
    </row>
    <row r="436">
      <c r="D436" s="52"/>
    </row>
    <row r="437">
      <c r="D437" s="52"/>
    </row>
    <row r="438">
      <c r="D438" s="52"/>
    </row>
    <row r="439">
      <c r="D439" s="52"/>
    </row>
    <row r="440">
      <c r="D440" s="52"/>
    </row>
    <row r="441">
      <c r="D441" s="52"/>
    </row>
    <row r="442">
      <c r="D442" s="52"/>
    </row>
    <row r="443">
      <c r="D443" s="52"/>
    </row>
    <row r="444">
      <c r="D444" s="52"/>
    </row>
    <row r="445">
      <c r="D445" s="52"/>
    </row>
    <row r="446">
      <c r="D446" s="52"/>
    </row>
    <row r="447">
      <c r="D447" s="52"/>
    </row>
    <row r="448">
      <c r="D448" s="52"/>
    </row>
    <row r="449">
      <c r="D449" s="52"/>
    </row>
    <row r="450">
      <c r="D450" s="52"/>
    </row>
    <row r="451">
      <c r="D451" s="52"/>
    </row>
    <row r="452">
      <c r="D452" s="52"/>
    </row>
    <row r="453">
      <c r="D453" s="52"/>
    </row>
    <row r="454">
      <c r="D454" s="52"/>
    </row>
    <row r="455">
      <c r="D455" s="52"/>
    </row>
    <row r="456">
      <c r="D456" s="52"/>
    </row>
    <row r="457">
      <c r="D457" s="52"/>
    </row>
    <row r="458">
      <c r="D458" s="52"/>
    </row>
    <row r="459">
      <c r="D459" s="52"/>
    </row>
    <row r="460">
      <c r="D460" s="52"/>
    </row>
    <row r="461">
      <c r="D461" s="52"/>
    </row>
    <row r="462">
      <c r="D462" s="52"/>
    </row>
    <row r="463">
      <c r="D463" s="52"/>
    </row>
    <row r="464">
      <c r="D464" s="52"/>
    </row>
    <row r="465">
      <c r="D465" s="52"/>
    </row>
    <row r="466">
      <c r="D466" s="52"/>
    </row>
    <row r="467">
      <c r="D467" s="52"/>
    </row>
    <row r="468">
      <c r="D468" s="52"/>
    </row>
    <row r="469">
      <c r="D469" s="52"/>
    </row>
    <row r="470">
      <c r="D470" s="52"/>
    </row>
    <row r="471">
      <c r="D471" s="52"/>
    </row>
    <row r="472">
      <c r="D472" s="52"/>
    </row>
    <row r="473">
      <c r="D473" s="52"/>
    </row>
    <row r="474">
      <c r="D474" s="52"/>
    </row>
    <row r="475">
      <c r="D475" s="52"/>
    </row>
    <row r="476">
      <c r="D476" s="52"/>
    </row>
    <row r="477">
      <c r="D477" s="52"/>
    </row>
    <row r="478">
      <c r="D478" s="52"/>
    </row>
    <row r="479">
      <c r="D479" s="52"/>
    </row>
    <row r="480">
      <c r="D480" s="52"/>
    </row>
    <row r="481">
      <c r="D481" s="52"/>
    </row>
    <row r="482">
      <c r="D482" s="52"/>
    </row>
    <row r="483">
      <c r="D483" s="52"/>
    </row>
    <row r="484">
      <c r="D484" s="52"/>
    </row>
    <row r="485">
      <c r="D485" s="52"/>
    </row>
    <row r="486">
      <c r="D486" s="52"/>
    </row>
    <row r="487">
      <c r="D487" s="52"/>
    </row>
    <row r="488">
      <c r="D488" s="52"/>
    </row>
    <row r="489">
      <c r="D489" s="52"/>
    </row>
    <row r="490">
      <c r="D490" s="52"/>
    </row>
    <row r="491">
      <c r="D491" s="52"/>
    </row>
    <row r="492">
      <c r="D492" s="52"/>
    </row>
    <row r="493">
      <c r="D493" s="52"/>
    </row>
    <row r="494">
      <c r="D494" s="52"/>
    </row>
    <row r="495">
      <c r="D495" s="52"/>
    </row>
    <row r="496">
      <c r="D496" s="52"/>
    </row>
    <row r="497">
      <c r="D497" s="52"/>
    </row>
    <row r="498">
      <c r="D498" s="52"/>
    </row>
    <row r="499">
      <c r="D499" s="52"/>
    </row>
    <row r="500">
      <c r="D500" s="52"/>
    </row>
    <row r="501">
      <c r="D501" s="52"/>
    </row>
    <row r="502">
      <c r="D502" s="52"/>
    </row>
    <row r="503">
      <c r="D503" s="52"/>
    </row>
    <row r="504">
      <c r="D504" s="52"/>
    </row>
    <row r="505">
      <c r="D505" s="52"/>
    </row>
    <row r="506">
      <c r="D506" s="52"/>
    </row>
    <row r="507">
      <c r="D507" s="52"/>
    </row>
    <row r="508">
      <c r="D508" s="52"/>
    </row>
    <row r="509">
      <c r="D509" s="52"/>
    </row>
    <row r="510">
      <c r="D510" s="52"/>
    </row>
    <row r="511">
      <c r="D511" s="52"/>
    </row>
    <row r="512">
      <c r="D512" s="52"/>
    </row>
    <row r="513">
      <c r="D513" s="52"/>
    </row>
    <row r="514">
      <c r="D514" s="52"/>
    </row>
    <row r="515">
      <c r="D515" s="52"/>
    </row>
    <row r="516">
      <c r="D516" s="52"/>
    </row>
    <row r="517">
      <c r="D517" s="52"/>
    </row>
    <row r="518">
      <c r="D518" s="52"/>
    </row>
    <row r="519">
      <c r="D519" s="52"/>
    </row>
    <row r="520">
      <c r="D520" s="52"/>
    </row>
    <row r="521">
      <c r="D521" s="52"/>
    </row>
    <row r="522">
      <c r="D522" s="52"/>
    </row>
    <row r="523">
      <c r="D523" s="52"/>
    </row>
    <row r="524">
      <c r="D524" s="52"/>
    </row>
    <row r="525">
      <c r="D525" s="52"/>
    </row>
    <row r="526">
      <c r="D526" s="52"/>
    </row>
    <row r="527">
      <c r="D527" s="52"/>
    </row>
    <row r="528">
      <c r="D528" s="52"/>
    </row>
    <row r="529">
      <c r="D529" s="52"/>
    </row>
    <row r="530">
      <c r="D530" s="52"/>
    </row>
    <row r="531">
      <c r="D531" s="52"/>
    </row>
    <row r="532">
      <c r="D532" s="52"/>
    </row>
    <row r="533">
      <c r="D533" s="52"/>
    </row>
    <row r="534">
      <c r="D534" s="52"/>
    </row>
    <row r="535">
      <c r="D535" s="52"/>
    </row>
    <row r="536">
      <c r="D536" s="52"/>
    </row>
    <row r="537">
      <c r="D537" s="52"/>
    </row>
    <row r="538">
      <c r="D538" s="52"/>
    </row>
    <row r="539">
      <c r="D539" s="52"/>
    </row>
    <row r="540">
      <c r="D540" s="52"/>
    </row>
    <row r="541">
      <c r="D541" s="52"/>
    </row>
    <row r="542">
      <c r="D542" s="52"/>
    </row>
    <row r="543">
      <c r="D543" s="52"/>
    </row>
    <row r="544">
      <c r="D544" s="52"/>
    </row>
    <row r="545">
      <c r="D545" s="52"/>
    </row>
    <row r="546">
      <c r="D546" s="52"/>
    </row>
    <row r="547">
      <c r="D547" s="52"/>
    </row>
    <row r="548">
      <c r="D548" s="52"/>
    </row>
    <row r="549">
      <c r="D549" s="52"/>
    </row>
    <row r="550">
      <c r="D550" s="52"/>
    </row>
    <row r="551">
      <c r="D551" s="52"/>
    </row>
    <row r="552">
      <c r="D552" s="52"/>
    </row>
    <row r="553">
      <c r="D553" s="52"/>
    </row>
    <row r="554">
      <c r="D554" s="52"/>
    </row>
    <row r="555">
      <c r="D555" s="52"/>
    </row>
    <row r="556">
      <c r="D556" s="52"/>
    </row>
    <row r="557">
      <c r="D557" s="52"/>
    </row>
    <row r="558">
      <c r="D558" s="52"/>
    </row>
    <row r="559">
      <c r="D559" s="52"/>
    </row>
    <row r="560">
      <c r="D560" s="52"/>
    </row>
    <row r="561">
      <c r="D561" s="52"/>
    </row>
    <row r="562">
      <c r="D562" s="52"/>
    </row>
    <row r="563">
      <c r="D563" s="52"/>
    </row>
    <row r="564">
      <c r="D564" s="52"/>
    </row>
    <row r="565">
      <c r="D565" s="52"/>
    </row>
    <row r="566">
      <c r="D566" s="52"/>
    </row>
    <row r="567">
      <c r="D567" s="52"/>
    </row>
    <row r="568">
      <c r="D568" s="52"/>
    </row>
    <row r="569">
      <c r="D569" s="52"/>
    </row>
    <row r="570">
      <c r="D570" s="52"/>
    </row>
    <row r="571">
      <c r="D571" s="52"/>
    </row>
    <row r="572">
      <c r="D572" s="52"/>
    </row>
    <row r="573">
      <c r="D573" s="52"/>
    </row>
    <row r="574">
      <c r="D574" s="52"/>
    </row>
    <row r="575">
      <c r="D575" s="52"/>
    </row>
    <row r="576">
      <c r="D576" s="52"/>
    </row>
    <row r="577">
      <c r="D577" s="52"/>
    </row>
    <row r="578">
      <c r="D578" s="52"/>
    </row>
    <row r="579">
      <c r="D579" s="52"/>
    </row>
    <row r="580">
      <c r="D580" s="52"/>
    </row>
    <row r="581">
      <c r="D581" s="52"/>
    </row>
    <row r="582">
      <c r="D582" s="52"/>
    </row>
    <row r="583">
      <c r="D583" s="52"/>
    </row>
    <row r="584">
      <c r="D584" s="52"/>
    </row>
    <row r="585">
      <c r="D585" s="52"/>
    </row>
    <row r="586">
      <c r="D586" s="52"/>
    </row>
    <row r="587">
      <c r="D587" s="52"/>
    </row>
    <row r="588">
      <c r="D588" s="52"/>
    </row>
    <row r="589">
      <c r="D589" s="52"/>
    </row>
    <row r="590">
      <c r="D590" s="52"/>
    </row>
    <row r="591">
      <c r="D591" s="52"/>
    </row>
    <row r="592">
      <c r="D592" s="52"/>
    </row>
    <row r="593">
      <c r="D593" s="52"/>
    </row>
    <row r="594">
      <c r="D594" s="52"/>
    </row>
    <row r="595">
      <c r="D595" s="52"/>
    </row>
    <row r="596">
      <c r="D596" s="52"/>
    </row>
    <row r="597">
      <c r="D597" s="52"/>
    </row>
    <row r="598">
      <c r="D598" s="52"/>
    </row>
    <row r="599">
      <c r="D599" s="52"/>
    </row>
    <row r="600">
      <c r="D600" s="52"/>
    </row>
    <row r="601">
      <c r="D601" s="52"/>
    </row>
    <row r="602">
      <c r="D602" s="52"/>
    </row>
    <row r="603">
      <c r="D603" s="52"/>
    </row>
    <row r="604">
      <c r="D604" s="52"/>
    </row>
    <row r="605">
      <c r="D605" s="52"/>
    </row>
    <row r="606">
      <c r="D606" s="52"/>
    </row>
    <row r="607">
      <c r="D607" s="52"/>
    </row>
    <row r="608">
      <c r="D608" s="52"/>
    </row>
    <row r="609">
      <c r="D609" s="52"/>
    </row>
    <row r="610">
      <c r="D610" s="52"/>
    </row>
    <row r="611">
      <c r="D611" s="52"/>
    </row>
    <row r="612">
      <c r="D612" s="52"/>
    </row>
    <row r="613">
      <c r="D613" s="52"/>
    </row>
    <row r="614">
      <c r="D614" s="52"/>
    </row>
    <row r="615">
      <c r="D615" s="52"/>
    </row>
    <row r="616">
      <c r="D616" s="52"/>
    </row>
    <row r="617">
      <c r="D617" s="52"/>
    </row>
    <row r="618">
      <c r="D618" s="52"/>
    </row>
    <row r="619">
      <c r="D619" s="52"/>
    </row>
    <row r="620">
      <c r="D620" s="52"/>
    </row>
    <row r="621">
      <c r="D621" s="52"/>
    </row>
    <row r="622">
      <c r="D622" s="52"/>
    </row>
    <row r="623">
      <c r="D623" s="52"/>
    </row>
    <row r="624">
      <c r="D624" s="52"/>
    </row>
    <row r="625">
      <c r="D625" s="52"/>
    </row>
    <row r="626">
      <c r="D626" s="52"/>
    </row>
    <row r="627">
      <c r="D627" s="52"/>
    </row>
    <row r="628">
      <c r="D628" s="52"/>
    </row>
    <row r="629">
      <c r="D629" s="52"/>
    </row>
    <row r="630">
      <c r="D630" s="52"/>
    </row>
    <row r="631">
      <c r="D631" s="52"/>
    </row>
    <row r="632">
      <c r="D632" s="52"/>
    </row>
    <row r="633">
      <c r="D633" s="52"/>
    </row>
    <row r="634">
      <c r="D634" s="52"/>
    </row>
    <row r="635">
      <c r="D635" s="52"/>
    </row>
    <row r="636">
      <c r="D636" s="52"/>
    </row>
    <row r="637">
      <c r="D637" s="52"/>
    </row>
    <row r="638">
      <c r="D638" s="52"/>
    </row>
    <row r="639">
      <c r="D639" s="52"/>
    </row>
    <row r="640">
      <c r="D640" s="52"/>
    </row>
    <row r="641">
      <c r="D641" s="52"/>
    </row>
    <row r="642">
      <c r="D642" s="52"/>
    </row>
    <row r="643">
      <c r="D643" s="52"/>
    </row>
    <row r="644">
      <c r="D644" s="52"/>
    </row>
    <row r="645">
      <c r="D645" s="52"/>
    </row>
    <row r="646">
      <c r="D646" s="52"/>
    </row>
    <row r="647">
      <c r="D647" s="52"/>
    </row>
    <row r="648">
      <c r="D648" s="52"/>
    </row>
    <row r="649">
      <c r="D649" s="52"/>
    </row>
    <row r="650">
      <c r="D650" s="52"/>
    </row>
    <row r="651">
      <c r="D651" s="52"/>
    </row>
    <row r="652">
      <c r="D652" s="52"/>
    </row>
    <row r="653">
      <c r="D653" s="52"/>
    </row>
    <row r="654">
      <c r="D654" s="52"/>
    </row>
    <row r="655">
      <c r="D655" s="52"/>
    </row>
    <row r="656">
      <c r="D656" s="52"/>
    </row>
    <row r="657">
      <c r="D657" s="52"/>
    </row>
    <row r="658">
      <c r="D658" s="52"/>
    </row>
    <row r="659">
      <c r="D659" s="52"/>
    </row>
    <row r="660">
      <c r="D660" s="52"/>
    </row>
    <row r="661">
      <c r="D661" s="52"/>
    </row>
    <row r="662">
      <c r="D662" s="52"/>
    </row>
    <row r="663">
      <c r="D663" s="52"/>
    </row>
    <row r="664">
      <c r="D664" s="52"/>
    </row>
    <row r="665">
      <c r="D665" s="52"/>
    </row>
    <row r="666">
      <c r="D666" s="52"/>
    </row>
    <row r="667">
      <c r="D667" s="52"/>
    </row>
    <row r="668">
      <c r="D668" s="52"/>
    </row>
    <row r="669">
      <c r="D669" s="52"/>
    </row>
    <row r="670">
      <c r="D670" s="52"/>
    </row>
    <row r="671">
      <c r="D671" s="52"/>
    </row>
    <row r="672">
      <c r="D672" s="52"/>
    </row>
    <row r="673">
      <c r="D673" s="52"/>
    </row>
    <row r="674">
      <c r="D674" s="52"/>
    </row>
    <row r="675">
      <c r="D675" s="52"/>
    </row>
    <row r="676">
      <c r="D676" s="52"/>
    </row>
    <row r="677">
      <c r="D677" s="52"/>
    </row>
    <row r="678">
      <c r="D678" s="52"/>
    </row>
    <row r="679">
      <c r="D679" s="52"/>
    </row>
    <row r="680">
      <c r="D680" s="52"/>
    </row>
    <row r="681">
      <c r="D681" s="52"/>
    </row>
    <row r="682">
      <c r="D682" s="52"/>
    </row>
    <row r="683">
      <c r="D683" s="52"/>
    </row>
    <row r="684">
      <c r="D684" s="52"/>
    </row>
    <row r="685">
      <c r="D685" s="52"/>
    </row>
    <row r="686">
      <c r="D686" s="52"/>
    </row>
    <row r="687">
      <c r="D687" s="52"/>
    </row>
    <row r="688">
      <c r="D688" s="52"/>
    </row>
    <row r="689">
      <c r="D689" s="52"/>
    </row>
    <row r="690">
      <c r="D690" s="52"/>
    </row>
    <row r="691">
      <c r="D691" s="52"/>
    </row>
    <row r="692">
      <c r="D692" s="52"/>
    </row>
    <row r="693">
      <c r="D693" s="52"/>
    </row>
    <row r="694">
      <c r="D694" s="52"/>
    </row>
    <row r="695">
      <c r="D695" s="52"/>
    </row>
    <row r="696">
      <c r="D696" s="52"/>
    </row>
    <row r="697">
      <c r="D697" s="52"/>
    </row>
    <row r="698">
      <c r="D698" s="52"/>
    </row>
    <row r="699">
      <c r="D699" s="52"/>
    </row>
    <row r="700">
      <c r="D700" s="52"/>
    </row>
    <row r="701">
      <c r="D701" s="52"/>
    </row>
    <row r="702">
      <c r="D702" s="52"/>
    </row>
    <row r="703">
      <c r="D703" s="52"/>
    </row>
    <row r="704">
      <c r="D704" s="52"/>
    </row>
    <row r="705">
      <c r="D705" s="52"/>
    </row>
    <row r="706">
      <c r="D706" s="52"/>
    </row>
    <row r="707">
      <c r="D707" s="52"/>
    </row>
    <row r="708">
      <c r="D708" s="52"/>
    </row>
    <row r="709">
      <c r="D709" s="52"/>
    </row>
    <row r="710">
      <c r="D710" s="52"/>
    </row>
    <row r="711">
      <c r="D711" s="52"/>
    </row>
    <row r="712">
      <c r="D712" s="52"/>
    </row>
    <row r="713">
      <c r="D713" s="52"/>
    </row>
    <row r="714">
      <c r="D714" s="52"/>
    </row>
    <row r="715">
      <c r="D715" s="52"/>
    </row>
    <row r="716">
      <c r="D716" s="52"/>
    </row>
    <row r="717">
      <c r="D717" s="52"/>
    </row>
    <row r="718">
      <c r="D718" s="52"/>
    </row>
    <row r="719">
      <c r="D719" s="52"/>
    </row>
    <row r="720">
      <c r="D720" s="52"/>
    </row>
    <row r="721">
      <c r="D721" s="52"/>
    </row>
    <row r="722">
      <c r="D722" s="52"/>
    </row>
    <row r="723">
      <c r="D723" s="52"/>
    </row>
    <row r="724">
      <c r="D724" s="52"/>
    </row>
    <row r="725">
      <c r="D725" s="52"/>
    </row>
    <row r="726">
      <c r="D726" s="52"/>
    </row>
    <row r="727">
      <c r="D727" s="52"/>
    </row>
    <row r="728">
      <c r="D728" s="52"/>
    </row>
    <row r="729">
      <c r="D729" s="52"/>
    </row>
    <row r="730">
      <c r="D730" s="52"/>
    </row>
    <row r="731">
      <c r="D731" s="52"/>
    </row>
    <row r="732">
      <c r="D732" s="52"/>
    </row>
    <row r="733">
      <c r="D733" s="52"/>
    </row>
    <row r="734">
      <c r="D734" s="52"/>
    </row>
    <row r="735">
      <c r="D735" s="52"/>
    </row>
    <row r="736">
      <c r="D736" s="52"/>
    </row>
    <row r="737">
      <c r="D737" s="52"/>
    </row>
    <row r="738">
      <c r="D738" s="52"/>
    </row>
    <row r="739">
      <c r="D739" s="52"/>
    </row>
    <row r="740">
      <c r="D740" s="52"/>
    </row>
    <row r="741">
      <c r="D741" s="52"/>
    </row>
    <row r="742">
      <c r="D742" s="52"/>
    </row>
    <row r="743">
      <c r="D743" s="52"/>
    </row>
    <row r="744">
      <c r="D744" s="52"/>
    </row>
    <row r="745">
      <c r="D745" s="52"/>
    </row>
    <row r="746">
      <c r="D746" s="52"/>
    </row>
    <row r="747">
      <c r="D747" s="52"/>
    </row>
    <row r="748">
      <c r="D748" s="52"/>
    </row>
    <row r="749">
      <c r="D749" s="52"/>
    </row>
    <row r="750">
      <c r="D750" s="52"/>
    </row>
    <row r="751">
      <c r="D751" s="52"/>
    </row>
    <row r="752">
      <c r="D752" s="52"/>
    </row>
    <row r="753">
      <c r="D753" s="52"/>
    </row>
    <row r="754">
      <c r="D754" s="52"/>
    </row>
    <row r="755">
      <c r="D755" s="52"/>
    </row>
    <row r="756">
      <c r="D756" s="52"/>
    </row>
    <row r="757">
      <c r="D757" s="52"/>
    </row>
    <row r="758">
      <c r="D758" s="52"/>
    </row>
    <row r="759">
      <c r="D759" s="52"/>
    </row>
    <row r="760">
      <c r="D760" s="52"/>
    </row>
    <row r="761">
      <c r="D761" s="52"/>
    </row>
    <row r="762">
      <c r="D762" s="52"/>
    </row>
    <row r="763">
      <c r="D763" s="52"/>
    </row>
    <row r="764">
      <c r="D764" s="52"/>
    </row>
    <row r="765">
      <c r="D765" s="52"/>
    </row>
    <row r="766">
      <c r="D766" s="52"/>
    </row>
    <row r="767">
      <c r="D767" s="52"/>
    </row>
    <row r="768">
      <c r="D768" s="52"/>
    </row>
    <row r="769">
      <c r="D769" s="52"/>
    </row>
    <row r="770">
      <c r="D770" s="52"/>
    </row>
    <row r="771">
      <c r="D771" s="52"/>
    </row>
    <row r="772">
      <c r="D772" s="52"/>
    </row>
    <row r="773">
      <c r="D773" s="52"/>
    </row>
    <row r="774">
      <c r="D774" s="52"/>
    </row>
    <row r="775">
      <c r="D775" s="52"/>
    </row>
    <row r="776">
      <c r="D776" s="52"/>
    </row>
    <row r="777">
      <c r="D777" s="52"/>
    </row>
    <row r="778">
      <c r="D778" s="52"/>
    </row>
    <row r="779">
      <c r="D779" s="52"/>
    </row>
    <row r="780">
      <c r="D780" s="52"/>
    </row>
    <row r="781">
      <c r="D781" s="52"/>
    </row>
    <row r="782">
      <c r="D782" s="52"/>
    </row>
    <row r="783">
      <c r="D783" s="52"/>
    </row>
    <row r="784">
      <c r="D784" s="52"/>
    </row>
    <row r="785">
      <c r="D785" s="52"/>
    </row>
    <row r="786">
      <c r="D786" s="52"/>
    </row>
    <row r="787">
      <c r="D787" s="52"/>
    </row>
    <row r="788">
      <c r="D788" s="52"/>
    </row>
    <row r="789">
      <c r="D789" s="52"/>
    </row>
    <row r="790">
      <c r="D790" s="52"/>
    </row>
    <row r="791">
      <c r="D791" s="52"/>
    </row>
    <row r="792">
      <c r="D792" s="52"/>
    </row>
    <row r="793">
      <c r="D793" s="52"/>
    </row>
    <row r="794">
      <c r="D794" s="52"/>
    </row>
    <row r="795">
      <c r="D795" s="52"/>
    </row>
    <row r="796">
      <c r="D796" s="52"/>
    </row>
    <row r="797">
      <c r="D797" s="52"/>
    </row>
    <row r="798">
      <c r="D798" s="52"/>
    </row>
    <row r="799">
      <c r="D799" s="52"/>
    </row>
    <row r="800">
      <c r="D800" s="52"/>
    </row>
    <row r="801">
      <c r="D801" s="52"/>
    </row>
    <row r="802">
      <c r="D802" s="52"/>
    </row>
    <row r="803">
      <c r="D803" s="52"/>
    </row>
    <row r="804">
      <c r="D804" s="52"/>
    </row>
    <row r="805">
      <c r="D805" s="52"/>
    </row>
    <row r="806">
      <c r="D806" s="52"/>
    </row>
    <row r="807">
      <c r="D807" s="52"/>
    </row>
    <row r="808">
      <c r="D808" s="52"/>
    </row>
    <row r="809">
      <c r="D809" s="52"/>
    </row>
    <row r="810">
      <c r="D810" s="52"/>
    </row>
    <row r="811">
      <c r="D811" s="52"/>
    </row>
    <row r="812">
      <c r="D812" s="52"/>
    </row>
    <row r="813">
      <c r="D813" s="52"/>
    </row>
    <row r="814">
      <c r="D814" s="52"/>
    </row>
    <row r="815">
      <c r="D815" s="52"/>
    </row>
    <row r="816">
      <c r="D816" s="52"/>
    </row>
    <row r="817">
      <c r="D817" s="52"/>
    </row>
    <row r="818">
      <c r="D818" s="52"/>
    </row>
    <row r="819">
      <c r="D819" s="52"/>
    </row>
    <row r="820">
      <c r="D820" s="52"/>
    </row>
    <row r="821">
      <c r="D821" s="52"/>
    </row>
    <row r="822">
      <c r="D822" s="52"/>
    </row>
    <row r="823">
      <c r="D823" s="52"/>
    </row>
    <row r="824">
      <c r="D824" s="52"/>
    </row>
    <row r="825">
      <c r="D825" s="52"/>
    </row>
    <row r="826">
      <c r="D826" s="52"/>
    </row>
    <row r="827">
      <c r="D827" s="52"/>
    </row>
    <row r="828">
      <c r="D828" s="52"/>
    </row>
    <row r="829">
      <c r="D829" s="52"/>
    </row>
    <row r="830">
      <c r="D830" s="52"/>
    </row>
    <row r="831">
      <c r="D831" s="52"/>
    </row>
    <row r="832">
      <c r="D832" s="52"/>
    </row>
    <row r="833">
      <c r="D833" s="52"/>
    </row>
    <row r="834">
      <c r="D834" s="52"/>
    </row>
    <row r="835">
      <c r="D835" s="52"/>
    </row>
    <row r="836">
      <c r="D836" s="52"/>
    </row>
    <row r="837">
      <c r="D837" s="52"/>
    </row>
    <row r="838">
      <c r="D838" s="52"/>
    </row>
    <row r="839">
      <c r="D839" s="52"/>
    </row>
    <row r="840">
      <c r="D840" s="52"/>
    </row>
    <row r="841">
      <c r="D841" s="52"/>
    </row>
    <row r="842">
      <c r="D842" s="52"/>
    </row>
    <row r="843">
      <c r="D843" s="52"/>
    </row>
  </sheetData>
  <mergeCells count="7">
    <mergeCell ref="A1:F1"/>
    <mergeCell ref="A2:A3"/>
    <mergeCell ref="B2:B3"/>
    <mergeCell ref="C2:C3"/>
    <mergeCell ref="D2:D3"/>
    <mergeCell ref="E2:F2"/>
    <mergeCell ref="A7:E7"/>
  </mergeCells>
  <dataValidations>
    <dataValidation type="list" allowBlank="1" sqref="H4">
      <formula1>"CHECKED (OK),CHECKED  (NOT OK)"</formula1>
    </dataValidation>
  </dataValidations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3" max="3" width="26.75"/>
    <col customWidth="1" min="4" max="4" width="33.25"/>
    <col customWidth="1" min="7" max="7" width="3.5"/>
    <col customWidth="1" min="8" max="8" width="18.63"/>
    <col customWidth="1" min="9" max="9" width="21.63"/>
  </cols>
  <sheetData>
    <row r="1">
      <c r="A1" s="30" t="s">
        <v>1130</v>
      </c>
      <c r="G1" s="31"/>
      <c r="H1" s="32" t="s">
        <v>1131</v>
      </c>
      <c r="I1" s="33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4" t="s">
        <v>1</v>
      </c>
      <c r="B2" s="35" t="s">
        <v>11</v>
      </c>
      <c r="C2" s="35" t="s">
        <v>12</v>
      </c>
      <c r="D2" s="36" t="s">
        <v>13</v>
      </c>
      <c r="E2" s="37" t="s">
        <v>14</v>
      </c>
      <c r="F2" s="38"/>
      <c r="G2" s="39"/>
      <c r="H2" s="40"/>
      <c r="I2" s="40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41"/>
      <c r="B3" s="38"/>
      <c r="C3" s="38"/>
      <c r="D3" s="38"/>
      <c r="E3" s="42" t="s">
        <v>15</v>
      </c>
      <c r="F3" s="43" t="s">
        <v>5</v>
      </c>
      <c r="G3" s="39"/>
      <c r="H3" s="44" t="s">
        <v>6</v>
      </c>
      <c r="I3" s="45" t="s">
        <v>7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24.75" customHeight="1">
      <c r="A4" s="46"/>
      <c r="B4" s="47"/>
      <c r="C4" s="48" t="str">
        <f>vlookup(B4,'Crew Data'!C:G,5,0)</f>
        <v>#N/A</v>
      </c>
      <c r="D4" s="49"/>
      <c r="E4" s="47"/>
      <c r="F4" s="50">
        <f>E4*400</f>
        <v>0</v>
      </c>
      <c r="G4" s="22">
        <f>COUNTIF(B:B,B4)</f>
        <v>0</v>
      </c>
      <c r="H4" s="5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D5" s="52"/>
    </row>
    <row r="6">
      <c r="D6" s="52"/>
    </row>
    <row r="7" ht="44.25" customHeight="1">
      <c r="A7" s="53" t="s">
        <v>16</v>
      </c>
    </row>
    <row r="8">
      <c r="D8" s="52"/>
    </row>
    <row r="9">
      <c r="D9" s="52"/>
    </row>
    <row r="10">
      <c r="D10" s="52"/>
    </row>
    <row r="11">
      <c r="D11" s="52"/>
    </row>
    <row r="12">
      <c r="D12" s="52"/>
    </row>
    <row r="13">
      <c r="D13" s="52"/>
    </row>
    <row r="14">
      <c r="D14" s="52"/>
    </row>
    <row r="15">
      <c r="D15" s="52"/>
    </row>
    <row r="16">
      <c r="D16" s="52"/>
    </row>
    <row r="17">
      <c r="D17" s="52"/>
    </row>
    <row r="18">
      <c r="D18" s="52"/>
    </row>
    <row r="19">
      <c r="D19" s="52"/>
    </row>
    <row r="20">
      <c r="D20" s="52"/>
    </row>
    <row r="21">
      <c r="D21" s="52"/>
    </row>
    <row r="22">
      <c r="D22" s="52"/>
    </row>
    <row r="23">
      <c r="D23" s="52"/>
    </row>
    <row r="24">
      <c r="D24" s="52"/>
    </row>
    <row r="25">
      <c r="D25" s="52"/>
    </row>
    <row r="26">
      <c r="D26" s="52"/>
    </row>
    <row r="27">
      <c r="D27" s="52"/>
    </row>
    <row r="28">
      <c r="D28" s="52"/>
    </row>
    <row r="29">
      <c r="D29" s="52"/>
    </row>
    <row r="30">
      <c r="D30" s="52"/>
    </row>
    <row r="31">
      <c r="D31" s="52"/>
    </row>
    <row r="32">
      <c r="D32" s="52"/>
    </row>
    <row r="33">
      <c r="D33" s="52"/>
    </row>
    <row r="34">
      <c r="D34" s="52"/>
    </row>
    <row r="35">
      <c r="D35" s="52"/>
    </row>
    <row r="36">
      <c r="D36" s="52"/>
    </row>
    <row r="37">
      <c r="D37" s="52"/>
    </row>
    <row r="38">
      <c r="D38" s="52"/>
    </row>
    <row r="39">
      <c r="D39" s="52"/>
    </row>
    <row r="40">
      <c r="D40" s="52"/>
    </row>
    <row r="41">
      <c r="D41" s="52"/>
    </row>
    <row r="42">
      <c r="D42" s="52"/>
    </row>
    <row r="43">
      <c r="D43" s="52"/>
    </row>
    <row r="44">
      <c r="D44" s="52"/>
    </row>
    <row r="45">
      <c r="D45" s="52"/>
    </row>
    <row r="46">
      <c r="D46" s="52"/>
    </row>
    <row r="47">
      <c r="D47" s="52"/>
    </row>
    <row r="48">
      <c r="D48" s="52"/>
    </row>
    <row r="49">
      <c r="D49" s="52"/>
    </row>
    <row r="50">
      <c r="D50" s="52"/>
    </row>
    <row r="51">
      <c r="D51" s="52"/>
    </row>
    <row r="52">
      <c r="D52" s="52"/>
    </row>
    <row r="53">
      <c r="D53" s="52"/>
    </row>
    <row r="54">
      <c r="D54" s="52"/>
    </row>
    <row r="55">
      <c r="D55" s="52"/>
    </row>
    <row r="56">
      <c r="D56" s="52"/>
    </row>
    <row r="57">
      <c r="D57" s="52"/>
    </row>
    <row r="58">
      <c r="D58" s="52"/>
    </row>
    <row r="59">
      <c r="D59" s="52"/>
    </row>
    <row r="60">
      <c r="D60" s="52"/>
    </row>
    <row r="61">
      <c r="D61" s="52"/>
    </row>
    <row r="62">
      <c r="D62" s="52"/>
    </row>
    <row r="63">
      <c r="D63" s="52"/>
    </row>
    <row r="64">
      <c r="D64" s="52"/>
    </row>
    <row r="65">
      <c r="D65" s="52"/>
    </row>
    <row r="66">
      <c r="D66" s="52"/>
    </row>
    <row r="67">
      <c r="D67" s="52"/>
    </row>
    <row r="68">
      <c r="D68" s="52"/>
    </row>
    <row r="69">
      <c r="D69" s="52"/>
    </row>
    <row r="70">
      <c r="D70" s="52"/>
    </row>
    <row r="71">
      <c r="D71" s="52"/>
    </row>
    <row r="72">
      <c r="D72" s="52"/>
    </row>
    <row r="73">
      <c r="D73" s="52"/>
    </row>
    <row r="74">
      <c r="D74" s="52"/>
    </row>
    <row r="75">
      <c r="D75" s="52"/>
    </row>
    <row r="76">
      <c r="D76" s="52"/>
    </row>
    <row r="77">
      <c r="D77" s="52"/>
    </row>
    <row r="78">
      <c r="D78" s="52"/>
    </row>
    <row r="79">
      <c r="D79" s="52"/>
    </row>
    <row r="80">
      <c r="D80" s="52"/>
    </row>
    <row r="81">
      <c r="D81" s="52"/>
    </row>
    <row r="82">
      <c r="D82" s="52"/>
    </row>
    <row r="83">
      <c r="D83" s="52"/>
    </row>
    <row r="84">
      <c r="D84" s="52"/>
    </row>
    <row r="85">
      <c r="D85" s="52"/>
    </row>
    <row r="86">
      <c r="D86" s="52"/>
    </row>
    <row r="87">
      <c r="D87" s="52"/>
    </row>
    <row r="88">
      <c r="D88" s="52"/>
    </row>
    <row r="89">
      <c r="D89" s="52"/>
    </row>
    <row r="90">
      <c r="D90" s="52"/>
    </row>
    <row r="91">
      <c r="D91" s="52"/>
    </row>
    <row r="92">
      <c r="D92" s="52"/>
    </row>
    <row r="93">
      <c r="D93" s="52"/>
    </row>
    <row r="94">
      <c r="D94" s="52"/>
    </row>
    <row r="95">
      <c r="D95" s="52"/>
    </row>
    <row r="96">
      <c r="D96" s="52"/>
    </row>
    <row r="97">
      <c r="D97" s="52"/>
    </row>
    <row r="98">
      <c r="D98" s="52"/>
    </row>
    <row r="99">
      <c r="D99" s="52"/>
    </row>
    <row r="100">
      <c r="D100" s="52"/>
    </row>
    <row r="101">
      <c r="D101" s="52"/>
    </row>
    <row r="102">
      <c r="D102" s="52"/>
    </row>
    <row r="103">
      <c r="D103" s="52"/>
    </row>
    <row r="104">
      <c r="D104" s="52"/>
    </row>
    <row r="105">
      <c r="D105" s="52"/>
    </row>
    <row r="106">
      <c r="D106" s="52"/>
    </row>
    <row r="107">
      <c r="D107" s="52"/>
    </row>
    <row r="108">
      <c r="D108" s="52"/>
    </row>
    <row r="109">
      <c r="D109" s="52"/>
    </row>
    <row r="110">
      <c r="D110" s="52"/>
    </row>
    <row r="111">
      <c r="D111" s="52"/>
    </row>
    <row r="112">
      <c r="D112" s="52"/>
    </row>
    <row r="113">
      <c r="D113" s="52"/>
    </row>
    <row r="114">
      <c r="D114" s="52"/>
    </row>
    <row r="115">
      <c r="D115" s="52"/>
    </row>
    <row r="116">
      <c r="D116" s="52"/>
    </row>
    <row r="117">
      <c r="D117" s="52"/>
    </row>
    <row r="118">
      <c r="D118" s="52"/>
    </row>
    <row r="119">
      <c r="D119" s="52"/>
    </row>
    <row r="120">
      <c r="D120" s="52"/>
    </row>
    <row r="121">
      <c r="D121" s="52"/>
    </row>
    <row r="122">
      <c r="D122" s="52"/>
    </row>
    <row r="123">
      <c r="D123" s="52"/>
    </row>
    <row r="124">
      <c r="D124" s="52"/>
    </row>
    <row r="125">
      <c r="D125" s="52"/>
    </row>
    <row r="126">
      <c r="D126" s="52"/>
    </row>
    <row r="127">
      <c r="D127" s="52"/>
    </row>
    <row r="128">
      <c r="D128" s="52"/>
    </row>
    <row r="129">
      <c r="D129" s="52"/>
    </row>
    <row r="130">
      <c r="D130" s="52"/>
    </row>
    <row r="131">
      <c r="D131" s="52"/>
    </row>
    <row r="132">
      <c r="D132" s="52"/>
    </row>
    <row r="133">
      <c r="D133" s="52"/>
    </row>
    <row r="134">
      <c r="D134" s="52"/>
    </row>
    <row r="135">
      <c r="D135" s="52"/>
    </row>
    <row r="136">
      <c r="D136" s="52"/>
    </row>
    <row r="137">
      <c r="D137" s="52"/>
    </row>
    <row r="138">
      <c r="D138" s="52"/>
    </row>
    <row r="139">
      <c r="D139" s="52"/>
    </row>
    <row r="140">
      <c r="D140" s="52"/>
    </row>
    <row r="141">
      <c r="D141" s="52"/>
    </row>
    <row r="142">
      <c r="D142" s="52"/>
    </row>
    <row r="143">
      <c r="D143" s="52"/>
    </row>
    <row r="144">
      <c r="D144" s="52"/>
    </row>
    <row r="145">
      <c r="D145" s="52"/>
    </row>
    <row r="146">
      <c r="D146" s="52"/>
    </row>
    <row r="147">
      <c r="D147" s="52"/>
    </row>
    <row r="148">
      <c r="D148" s="52"/>
    </row>
    <row r="149">
      <c r="D149" s="52"/>
    </row>
    <row r="150">
      <c r="D150" s="52"/>
    </row>
    <row r="151">
      <c r="D151" s="52"/>
    </row>
    <row r="152">
      <c r="D152" s="52"/>
    </row>
    <row r="153">
      <c r="D153" s="52"/>
    </row>
    <row r="154">
      <c r="D154" s="52"/>
    </row>
    <row r="155">
      <c r="D155" s="52"/>
    </row>
    <row r="156">
      <c r="D156" s="52"/>
    </row>
    <row r="157">
      <c r="D157" s="52"/>
    </row>
    <row r="158">
      <c r="D158" s="52"/>
    </row>
    <row r="159">
      <c r="D159" s="52"/>
    </row>
    <row r="160">
      <c r="D160" s="52"/>
    </row>
    <row r="161">
      <c r="D161" s="52"/>
    </row>
    <row r="162">
      <c r="D162" s="52"/>
    </row>
    <row r="163">
      <c r="D163" s="52"/>
    </row>
    <row r="164">
      <c r="D164" s="52"/>
    </row>
    <row r="165">
      <c r="D165" s="52"/>
    </row>
    <row r="166">
      <c r="D166" s="52"/>
    </row>
    <row r="167">
      <c r="D167" s="52"/>
    </row>
    <row r="168">
      <c r="D168" s="52"/>
    </row>
    <row r="169">
      <c r="D169" s="52"/>
    </row>
    <row r="170">
      <c r="D170" s="52"/>
    </row>
    <row r="171">
      <c r="D171" s="52"/>
    </row>
    <row r="172">
      <c r="D172" s="52"/>
    </row>
    <row r="173">
      <c r="D173" s="52"/>
    </row>
    <row r="174">
      <c r="D174" s="52"/>
    </row>
    <row r="175">
      <c r="D175" s="52"/>
    </row>
    <row r="176">
      <c r="D176" s="52"/>
    </row>
    <row r="177">
      <c r="D177" s="52"/>
    </row>
    <row r="178">
      <c r="D178" s="52"/>
    </row>
    <row r="179">
      <c r="D179" s="52"/>
    </row>
    <row r="180">
      <c r="D180" s="52"/>
    </row>
    <row r="181">
      <c r="D181" s="52"/>
    </row>
    <row r="182">
      <c r="D182" s="52"/>
    </row>
    <row r="183">
      <c r="D183" s="52"/>
    </row>
    <row r="184">
      <c r="D184" s="52"/>
    </row>
    <row r="185">
      <c r="D185" s="52"/>
    </row>
    <row r="186">
      <c r="D186" s="52"/>
    </row>
    <row r="187">
      <c r="D187" s="52"/>
    </row>
    <row r="188">
      <c r="D188" s="52"/>
    </row>
    <row r="189">
      <c r="D189" s="52"/>
    </row>
    <row r="190">
      <c r="D190" s="52"/>
    </row>
    <row r="191">
      <c r="D191" s="52"/>
    </row>
    <row r="192">
      <c r="D192" s="52"/>
    </row>
    <row r="193">
      <c r="D193" s="52"/>
    </row>
    <row r="194">
      <c r="D194" s="52"/>
    </row>
    <row r="195">
      <c r="D195" s="52"/>
    </row>
    <row r="196">
      <c r="D196" s="52"/>
    </row>
    <row r="197">
      <c r="D197" s="52"/>
    </row>
    <row r="198">
      <c r="D198" s="52"/>
    </row>
    <row r="199">
      <c r="D199" s="52"/>
    </row>
    <row r="200">
      <c r="D200" s="52"/>
    </row>
    <row r="201">
      <c r="D201" s="52"/>
    </row>
    <row r="202">
      <c r="D202" s="52"/>
    </row>
    <row r="203">
      <c r="D203" s="52"/>
    </row>
    <row r="204">
      <c r="D204" s="52"/>
    </row>
    <row r="205">
      <c r="D205" s="52"/>
    </row>
    <row r="206">
      <c r="D206" s="52"/>
    </row>
    <row r="207">
      <c r="D207" s="52"/>
    </row>
    <row r="208">
      <c r="D208" s="52"/>
    </row>
    <row r="209">
      <c r="D209" s="52"/>
    </row>
    <row r="210">
      <c r="D210" s="52"/>
    </row>
    <row r="211">
      <c r="D211" s="52"/>
    </row>
    <row r="212">
      <c r="D212" s="52"/>
    </row>
    <row r="213">
      <c r="D213" s="52"/>
    </row>
    <row r="214">
      <c r="D214" s="52"/>
    </row>
    <row r="215">
      <c r="D215" s="52"/>
    </row>
    <row r="216">
      <c r="D216" s="52"/>
    </row>
    <row r="217">
      <c r="D217" s="52"/>
    </row>
    <row r="218">
      <c r="D218" s="52"/>
    </row>
    <row r="219">
      <c r="D219" s="52"/>
    </row>
    <row r="220">
      <c r="D220" s="52"/>
    </row>
    <row r="221">
      <c r="D221" s="52"/>
    </row>
    <row r="222">
      <c r="D222" s="52"/>
    </row>
    <row r="223">
      <c r="D223" s="52"/>
    </row>
    <row r="224">
      <c r="D224" s="52"/>
    </row>
    <row r="225">
      <c r="D225" s="52"/>
    </row>
    <row r="226">
      <c r="D226" s="52"/>
    </row>
    <row r="227">
      <c r="D227" s="52"/>
    </row>
    <row r="228">
      <c r="D228" s="52"/>
    </row>
    <row r="229">
      <c r="D229" s="52"/>
    </row>
    <row r="230">
      <c r="D230" s="52"/>
    </row>
    <row r="231">
      <c r="D231" s="52"/>
    </row>
    <row r="232">
      <c r="D232" s="52"/>
    </row>
    <row r="233">
      <c r="D233" s="52"/>
    </row>
    <row r="234">
      <c r="D234" s="52"/>
    </row>
    <row r="235">
      <c r="D235" s="52"/>
    </row>
    <row r="236">
      <c r="D236" s="52"/>
    </row>
    <row r="237">
      <c r="D237" s="52"/>
    </row>
    <row r="238">
      <c r="D238" s="52"/>
    </row>
    <row r="239">
      <c r="D239" s="52"/>
    </row>
    <row r="240">
      <c r="D240" s="52"/>
    </row>
    <row r="241">
      <c r="D241" s="52"/>
    </row>
    <row r="242">
      <c r="D242" s="52"/>
    </row>
    <row r="243">
      <c r="D243" s="52"/>
    </row>
    <row r="244">
      <c r="D244" s="52"/>
    </row>
    <row r="245">
      <c r="D245" s="52"/>
    </row>
    <row r="246">
      <c r="D246" s="52"/>
    </row>
    <row r="247">
      <c r="D247" s="52"/>
    </row>
    <row r="248">
      <c r="D248" s="52"/>
    </row>
    <row r="249">
      <c r="D249" s="52"/>
    </row>
    <row r="250">
      <c r="D250" s="52"/>
    </row>
    <row r="251">
      <c r="D251" s="52"/>
    </row>
    <row r="252">
      <c r="D252" s="52"/>
    </row>
    <row r="253">
      <c r="D253" s="52"/>
    </row>
    <row r="254">
      <c r="D254" s="52"/>
    </row>
    <row r="255">
      <c r="D255" s="52"/>
    </row>
    <row r="256">
      <c r="D256" s="52"/>
    </row>
    <row r="257">
      <c r="D257" s="52"/>
    </row>
    <row r="258">
      <c r="D258" s="52"/>
    </row>
    <row r="259">
      <c r="D259" s="52"/>
    </row>
    <row r="260">
      <c r="D260" s="52"/>
    </row>
    <row r="261">
      <c r="D261" s="52"/>
    </row>
    <row r="262">
      <c r="D262" s="52"/>
    </row>
    <row r="263">
      <c r="D263" s="52"/>
    </row>
    <row r="264">
      <c r="D264" s="52"/>
    </row>
    <row r="265">
      <c r="D265" s="52"/>
    </row>
    <row r="266">
      <c r="D266" s="52"/>
    </row>
    <row r="267">
      <c r="D267" s="52"/>
    </row>
    <row r="268">
      <c r="D268" s="52"/>
    </row>
    <row r="269">
      <c r="D269" s="52"/>
    </row>
    <row r="270">
      <c r="D270" s="52"/>
    </row>
    <row r="271">
      <c r="D271" s="52"/>
    </row>
    <row r="272">
      <c r="D272" s="52"/>
    </row>
    <row r="273">
      <c r="D273" s="52"/>
    </row>
    <row r="274">
      <c r="D274" s="52"/>
    </row>
    <row r="275">
      <c r="D275" s="52"/>
    </row>
    <row r="276">
      <c r="D276" s="52"/>
    </row>
    <row r="277">
      <c r="D277" s="52"/>
    </row>
    <row r="278">
      <c r="D278" s="52"/>
    </row>
    <row r="279">
      <c r="D279" s="52"/>
    </row>
    <row r="280">
      <c r="D280" s="52"/>
    </row>
    <row r="281">
      <c r="D281" s="52"/>
    </row>
    <row r="282">
      <c r="D282" s="52"/>
    </row>
    <row r="283">
      <c r="D283" s="52"/>
    </row>
    <row r="284">
      <c r="D284" s="52"/>
    </row>
    <row r="285">
      <c r="D285" s="52"/>
    </row>
    <row r="286">
      <c r="D286" s="52"/>
    </row>
    <row r="287">
      <c r="D287" s="52"/>
    </row>
    <row r="288">
      <c r="D288" s="52"/>
    </row>
    <row r="289">
      <c r="D289" s="52"/>
    </row>
    <row r="290">
      <c r="D290" s="52"/>
    </row>
    <row r="291">
      <c r="D291" s="52"/>
    </row>
    <row r="292">
      <c r="D292" s="52"/>
    </row>
    <row r="293">
      <c r="D293" s="52"/>
    </row>
    <row r="294">
      <c r="D294" s="52"/>
    </row>
    <row r="295">
      <c r="D295" s="52"/>
    </row>
    <row r="296">
      <c r="D296" s="52"/>
    </row>
    <row r="297">
      <c r="D297" s="52"/>
    </row>
    <row r="298">
      <c r="D298" s="52"/>
    </row>
    <row r="299">
      <c r="D299" s="52"/>
    </row>
    <row r="300">
      <c r="D300" s="52"/>
    </row>
    <row r="301">
      <c r="D301" s="52"/>
    </row>
    <row r="302">
      <c r="D302" s="52"/>
    </row>
    <row r="303">
      <c r="D303" s="52"/>
    </row>
    <row r="304">
      <c r="D304" s="52"/>
    </row>
    <row r="305">
      <c r="D305" s="52"/>
    </row>
    <row r="306">
      <c r="D306" s="52"/>
    </row>
    <row r="307">
      <c r="D307" s="52"/>
    </row>
    <row r="308">
      <c r="D308" s="52"/>
    </row>
    <row r="309">
      <c r="D309" s="52"/>
    </row>
    <row r="310">
      <c r="D310" s="52"/>
    </row>
    <row r="311">
      <c r="D311" s="52"/>
    </row>
    <row r="312">
      <c r="D312" s="52"/>
    </row>
    <row r="313">
      <c r="D313" s="52"/>
    </row>
    <row r="314">
      <c r="D314" s="52"/>
    </row>
    <row r="315">
      <c r="D315" s="52"/>
    </row>
    <row r="316">
      <c r="D316" s="52"/>
    </row>
    <row r="317">
      <c r="D317" s="52"/>
    </row>
    <row r="318">
      <c r="D318" s="52"/>
    </row>
    <row r="319">
      <c r="D319" s="52"/>
    </row>
    <row r="320">
      <c r="D320" s="52"/>
    </row>
    <row r="321">
      <c r="D321" s="52"/>
    </row>
    <row r="322">
      <c r="D322" s="52"/>
    </row>
    <row r="323">
      <c r="D323" s="52"/>
    </row>
    <row r="324">
      <c r="D324" s="52"/>
    </row>
    <row r="325">
      <c r="D325" s="52"/>
    </row>
    <row r="326">
      <c r="D326" s="52"/>
    </row>
    <row r="327">
      <c r="D327" s="52"/>
    </row>
    <row r="328">
      <c r="D328" s="52"/>
    </row>
    <row r="329">
      <c r="D329" s="52"/>
    </row>
    <row r="330">
      <c r="D330" s="52"/>
    </row>
    <row r="331">
      <c r="D331" s="52"/>
    </row>
    <row r="332">
      <c r="D332" s="52"/>
    </row>
    <row r="333">
      <c r="D333" s="52"/>
    </row>
    <row r="334">
      <c r="D334" s="52"/>
    </row>
    <row r="335">
      <c r="D335" s="52"/>
    </row>
    <row r="336">
      <c r="D336" s="52"/>
    </row>
    <row r="337">
      <c r="D337" s="52"/>
    </row>
    <row r="338">
      <c r="D338" s="52"/>
    </row>
    <row r="339">
      <c r="D339" s="52"/>
    </row>
    <row r="340">
      <c r="D340" s="52"/>
    </row>
    <row r="341">
      <c r="D341" s="52"/>
    </row>
    <row r="342">
      <c r="D342" s="52"/>
    </row>
    <row r="343">
      <c r="D343" s="52"/>
    </row>
    <row r="344">
      <c r="D344" s="52"/>
    </row>
    <row r="345">
      <c r="D345" s="52"/>
    </row>
    <row r="346">
      <c r="D346" s="52"/>
    </row>
    <row r="347">
      <c r="D347" s="52"/>
    </row>
    <row r="348">
      <c r="D348" s="52"/>
    </row>
    <row r="349">
      <c r="D349" s="52"/>
    </row>
    <row r="350">
      <c r="D350" s="52"/>
    </row>
    <row r="351">
      <c r="D351" s="52"/>
    </row>
    <row r="352">
      <c r="D352" s="52"/>
    </row>
    <row r="353">
      <c r="D353" s="52"/>
    </row>
    <row r="354">
      <c r="D354" s="52"/>
    </row>
    <row r="355">
      <c r="D355" s="52"/>
    </row>
    <row r="356">
      <c r="D356" s="52"/>
    </row>
    <row r="357">
      <c r="D357" s="52"/>
    </row>
    <row r="358">
      <c r="D358" s="52"/>
    </row>
    <row r="359">
      <c r="D359" s="52"/>
    </row>
    <row r="360">
      <c r="D360" s="52"/>
    </row>
    <row r="361">
      <c r="D361" s="52"/>
    </row>
    <row r="362">
      <c r="D362" s="52"/>
    </row>
    <row r="363">
      <c r="D363" s="52"/>
    </row>
    <row r="364">
      <c r="D364" s="52"/>
    </row>
    <row r="365">
      <c r="D365" s="52"/>
    </row>
    <row r="366">
      <c r="D366" s="52"/>
    </row>
    <row r="367">
      <c r="D367" s="52"/>
    </row>
    <row r="368">
      <c r="D368" s="52"/>
    </row>
    <row r="369">
      <c r="D369" s="52"/>
    </row>
    <row r="370">
      <c r="D370" s="52"/>
    </row>
    <row r="371">
      <c r="D371" s="52"/>
    </row>
    <row r="372">
      <c r="D372" s="52"/>
    </row>
    <row r="373">
      <c r="D373" s="52"/>
    </row>
    <row r="374">
      <c r="D374" s="52"/>
    </row>
    <row r="375">
      <c r="D375" s="52"/>
    </row>
    <row r="376">
      <c r="D376" s="52"/>
    </row>
    <row r="377">
      <c r="D377" s="52"/>
    </row>
    <row r="378">
      <c r="D378" s="52"/>
    </row>
    <row r="379">
      <c r="D379" s="52"/>
    </row>
    <row r="380">
      <c r="D380" s="52"/>
    </row>
    <row r="381">
      <c r="D381" s="52"/>
    </row>
    <row r="382">
      <c r="D382" s="52"/>
    </row>
    <row r="383">
      <c r="D383" s="52"/>
    </row>
    <row r="384">
      <c r="D384" s="52"/>
    </row>
    <row r="385">
      <c r="D385" s="52"/>
    </row>
    <row r="386">
      <c r="D386" s="52"/>
    </row>
    <row r="387">
      <c r="D387" s="52"/>
    </row>
    <row r="388">
      <c r="D388" s="52"/>
    </row>
    <row r="389">
      <c r="D389" s="52"/>
    </row>
    <row r="390">
      <c r="D390" s="52"/>
    </row>
    <row r="391">
      <c r="D391" s="52"/>
    </row>
    <row r="392">
      <c r="D392" s="52"/>
    </row>
    <row r="393">
      <c r="D393" s="52"/>
    </row>
    <row r="394">
      <c r="D394" s="52"/>
    </row>
    <row r="395">
      <c r="D395" s="52"/>
    </row>
    <row r="396">
      <c r="D396" s="52"/>
    </row>
    <row r="397">
      <c r="D397" s="52"/>
    </row>
    <row r="398">
      <c r="D398" s="52"/>
    </row>
    <row r="399">
      <c r="D399" s="52"/>
    </row>
    <row r="400">
      <c r="D400" s="52"/>
    </row>
    <row r="401">
      <c r="D401" s="52"/>
    </row>
    <row r="402">
      <c r="D402" s="52"/>
    </row>
    <row r="403">
      <c r="D403" s="52"/>
    </row>
    <row r="404">
      <c r="D404" s="52"/>
    </row>
    <row r="405">
      <c r="D405" s="52"/>
    </row>
    <row r="406">
      <c r="D406" s="52"/>
    </row>
    <row r="407">
      <c r="D407" s="52"/>
    </row>
    <row r="408">
      <c r="D408" s="52"/>
    </row>
    <row r="409">
      <c r="D409" s="52"/>
    </row>
    <row r="410">
      <c r="D410" s="52"/>
    </row>
    <row r="411">
      <c r="D411" s="52"/>
    </row>
    <row r="412">
      <c r="D412" s="52"/>
    </row>
    <row r="413">
      <c r="D413" s="52"/>
    </row>
    <row r="414">
      <c r="D414" s="52"/>
    </row>
    <row r="415">
      <c r="D415" s="52"/>
    </row>
    <row r="416">
      <c r="D416" s="52"/>
    </row>
    <row r="417">
      <c r="D417" s="52"/>
    </row>
    <row r="418">
      <c r="D418" s="52"/>
    </row>
    <row r="419">
      <c r="D419" s="52"/>
    </row>
    <row r="420">
      <c r="D420" s="52"/>
    </row>
    <row r="421">
      <c r="D421" s="52"/>
    </row>
    <row r="422">
      <c r="D422" s="52"/>
    </row>
    <row r="423">
      <c r="D423" s="52"/>
    </row>
    <row r="424">
      <c r="D424" s="52"/>
    </row>
    <row r="425">
      <c r="D425" s="52"/>
    </row>
    <row r="426">
      <c r="D426" s="52"/>
    </row>
    <row r="427">
      <c r="D427" s="52"/>
    </row>
    <row r="428">
      <c r="D428" s="52"/>
    </row>
    <row r="429">
      <c r="D429" s="52"/>
    </row>
    <row r="430">
      <c r="D430" s="52"/>
    </row>
    <row r="431">
      <c r="D431" s="52"/>
    </row>
    <row r="432">
      <c r="D432" s="52"/>
    </row>
    <row r="433">
      <c r="D433" s="52"/>
    </row>
    <row r="434">
      <c r="D434" s="52"/>
    </row>
    <row r="435">
      <c r="D435" s="52"/>
    </row>
    <row r="436">
      <c r="D436" s="52"/>
    </row>
    <row r="437">
      <c r="D437" s="52"/>
    </row>
    <row r="438">
      <c r="D438" s="52"/>
    </row>
    <row r="439">
      <c r="D439" s="52"/>
    </row>
    <row r="440">
      <c r="D440" s="52"/>
    </row>
    <row r="441">
      <c r="D441" s="52"/>
    </row>
    <row r="442">
      <c r="D442" s="52"/>
    </row>
    <row r="443">
      <c r="D443" s="52"/>
    </row>
    <row r="444">
      <c r="D444" s="52"/>
    </row>
    <row r="445">
      <c r="D445" s="52"/>
    </row>
    <row r="446">
      <c r="D446" s="52"/>
    </row>
    <row r="447">
      <c r="D447" s="52"/>
    </row>
    <row r="448">
      <c r="D448" s="52"/>
    </row>
    <row r="449">
      <c r="D449" s="52"/>
    </row>
    <row r="450">
      <c r="D450" s="52"/>
    </row>
    <row r="451">
      <c r="D451" s="52"/>
    </row>
    <row r="452">
      <c r="D452" s="52"/>
    </row>
    <row r="453">
      <c r="D453" s="52"/>
    </row>
    <row r="454">
      <c r="D454" s="52"/>
    </row>
    <row r="455">
      <c r="D455" s="52"/>
    </row>
    <row r="456">
      <c r="D456" s="52"/>
    </row>
    <row r="457">
      <c r="D457" s="52"/>
    </row>
    <row r="458">
      <c r="D458" s="52"/>
    </row>
    <row r="459">
      <c r="D459" s="52"/>
    </row>
    <row r="460">
      <c r="D460" s="52"/>
    </row>
    <row r="461">
      <c r="D461" s="52"/>
    </row>
    <row r="462">
      <c r="D462" s="52"/>
    </row>
    <row r="463">
      <c r="D463" s="52"/>
    </row>
    <row r="464">
      <c r="D464" s="52"/>
    </row>
    <row r="465">
      <c r="D465" s="52"/>
    </row>
    <row r="466">
      <c r="D466" s="52"/>
    </row>
    <row r="467">
      <c r="D467" s="52"/>
    </row>
    <row r="468">
      <c r="D468" s="52"/>
    </row>
    <row r="469">
      <c r="D469" s="52"/>
    </row>
    <row r="470">
      <c r="D470" s="52"/>
    </row>
    <row r="471">
      <c r="D471" s="52"/>
    </row>
    <row r="472">
      <c r="D472" s="52"/>
    </row>
    <row r="473">
      <c r="D473" s="52"/>
    </row>
    <row r="474">
      <c r="D474" s="52"/>
    </row>
    <row r="475">
      <c r="D475" s="52"/>
    </row>
    <row r="476">
      <c r="D476" s="52"/>
    </row>
    <row r="477">
      <c r="D477" s="52"/>
    </row>
    <row r="478">
      <c r="D478" s="52"/>
    </row>
    <row r="479">
      <c r="D479" s="52"/>
    </row>
    <row r="480">
      <c r="D480" s="52"/>
    </row>
    <row r="481">
      <c r="D481" s="52"/>
    </row>
    <row r="482">
      <c r="D482" s="52"/>
    </row>
    <row r="483">
      <c r="D483" s="52"/>
    </row>
    <row r="484">
      <c r="D484" s="52"/>
    </row>
    <row r="485">
      <c r="D485" s="52"/>
    </row>
    <row r="486">
      <c r="D486" s="52"/>
    </row>
    <row r="487">
      <c r="D487" s="52"/>
    </row>
    <row r="488">
      <c r="D488" s="52"/>
    </row>
    <row r="489">
      <c r="D489" s="52"/>
    </row>
    <row r="490">
      <c r="D490" s="52"/>
    </row>
    <row r="491">
      <c r="D491" s="52"/>
    </row>
    <row r="492">
      <c r="D492" s="52"/>
    </row>
    <row r="493">
      <c r="D493" s="52"/>
    </row>
    <row r="494">
      <c r="D494" s="52"/>
    </row>
    <row r="495">
      <c r="D495" s="52"/>
    </row>
    <row r="496">
      <c r="D496" s="52"/>
    </row>
    <row r="497">
      <c r="D497" s="52"/>
    </row>
    <row r="498">
      <c r="D498" s="52"/>
    </row>
    <row r="499">
      <c r="D499" s="52"/>
    </row>
    <row r="500">
      <c r="D500" s="52"/>
    </row>
    <row r="501">
      <c r="D501" s="52"/>
    </row>
    <row r="502">
      <c r="D502" s="52"/>
    </row>
    <row r="503">
      <c r="D503" s="52"/>
    </row>
    <row r="504">
      <c r="D504" s="52"/>
    </row>
    <row r="505">
      <c r="D505" s="52"/>
    </row>
    <row r="506">
      <c r="D506" s="52"/>
    </row>
    <row r="507">
      <c r="D507" s="52"/>
    </row>
    <row r="508">
      <c r="D508" s="52"/>
    </row>
    <row r="509">
      <c r="D509" s="52"/>
    </row>
    <row r="510">
      <c r="D510" s="52"/>
    </row>
    <row r="511">
      <c r="D511" s="52"/>
    </row>
    <row r="512">
      <c r="D512" s="52"/>
    </row>
    <row r="513">
      <c r="D513" s="52"/>
    </row>
    <row r="514">
      <c r="D514" s="52"/>
    </row>
    <row r="515">
      <c r="D515" s="52"/>
    </row>
    <row r="516">
      <c r="D516" s="52"/>
    </row>
    <row r="517">
      <c r="D517" s="52"/>
    </row>
    <row r="518">
      <c r="D518" s="52"/>
    </row>
    <row r="519">
      <c r="D519" s="52"/>
    </row>
    <row r="520">
      <c r="D520" s="52"/>
    </row>
    <row r="521">
      <c r="D521" s="52"/>
    </row>
    <row r="522">
      <c r="D522" s="52"/>
    </row>
    <row r="523">
      <c r="D523" s="52"/>
    </row>
    <row r="524">
      <c r="D524" s="52"/>
    </row>
    <row r="525">
      <c r="D525" s="52"/>
    </row>
    <row r="526">
      <c r="D526" s="52"/>
    </row>
    <row r="527">
      <c r="D527" s="52"/>
    </row>
    <row r="528">
      <c r="D528" s="52"/>
    </row>
    <row r="529">
      <c r="D529" s="52"/>
    </row>
    <row r="530">
      <c r="D530" s="52"/>
    </row>
    <row r="531">
      <c r="D531" s="52"/>
    </row>
    <row r="532">
      <c r="D532" s="52"/>
    </row>
    <row r="533">
      <c r="D533" s="52"/>
    </row>
    <row r="534">
      <c r="D534" s="52"/>
    </row>
    <row r="535">
      <c r="D535" s="52"/>
    </row>
    <row r="536">
      <c r="D536" s="52"/>
    </row>
    <row r="537">
      <c r="D537" s="52"/>
    </row>
    <row r="538">
      <c r="D538" s="52"/>
    </row>
    <row r="539">
      <c r="D539" s="52"/>
    </row>
    <row r="540">
      <c r="D540" s="52"/>
    </row>
    <row r="541">
      <c r="D541" s="52"/>
    </row>
    <row r="542">
      <c r="D542" s="52"/>
    </row>
    <row r="543">
      <c r="D543" s="52"/>
    </row>
    <row r="544">
      <c r="D544" s="52"/>
    </row>
    <row r="545">
      <c r="D545" s="52"/>
    </row>
    <row r="546">
      <c r="D546" s="52"/>
    </row>
    <row r="547">
      <c r="D547" s="52"/>
    </row>
    <row r="548">
      <c r="D548" s="52"/>
    </row>
    <row r="549">
      <c r="D549" s="52"/>
    </row>
    <row r="550">
      <c r="D550" s="52"/>
    </row>
    <row r="551">
      <c r="D551" s="52"/>
    </row>
    <row r="552">
      <c r="D552" s="52"/>
    </row>
    <row r="553">
      <c r="D553" s="52"/>
    </row>
    <row r="554">
      <c r="D554" s="52"/>
    </row>
    <row r="555">
      <c r="D555" s="52"/>
    </row>
    <row r="556">
      <c r="D556" s="52"/>
    </row>
    <row r="557">
      <c r="D557" s="52"/>
    </row>
    <row r="558">
      <c r="D558" s="52"/>
    </row>
    <row r="559">
      <c r="D559" s="52"/>
    </row>
    <row r="560">
      <c r="D560" s="52"/>
    </row>
    <row r="561">
      <c r="D561" s="52"/>
    </row>
    <row r="562">
      <c r="D562" s="52"/>
    </row>
    <row r="563">
      <c r="D563" s="52"/>
    </row>
    <row r="564">
      <c r="D564" s="52"/>
    </row>
    <row r="565">
      <c r="D565" s="52"/>
    </row>
    <row r="566">
      <c r="D566" s="52"/>
    </row>
    <row r="567">
      <c r="D567" s="52"/>
    </row>
    <row r="568">
      <c r="D568" s="52"/>
    </row>
    <row r="569">
      <c r="D569" s="52"/>
    </row>
    <row r="570">
      <c r="D570" s="52"/>
    </row>
    <row r="571">
      <c r="D571" s="52"/>
    </row>
    <row r="572">
      <c r="D572" s="52"/>
    </row>
    <row r="573">
      <c r="D573" s="52"/>
    </row>
    <row r="574">
      <c r="D574" s="52"/>
    </row>
    <row r="575">
      <c r="D575" s="52"/>
    </row>
    <row r="576">
      <c r="D576" s="52"/>
    </row>
    <row r="577">
      <c r="D577" s="52"/>
    </row>
    <row r="578">
      <c r="D578" s="52"/>
    </row>
    <row r="579">
      <c r="D579" s="52"/>
    </row>
    <row r="580">
      <c r="D580" s="52"/>
    </row>
    <row r="581">
      <c r="D581" s="52"/>
    </row>
    <row r="582">
      <c r="D582" s="52"/>
    </row>
    <row r="583">
      <c r="D583" s="52"/>
    </row>
    <row r="584">
      <c r="D584" s="52"/>
    </row>
    <row r="585">
      <c r="D585" s="52"/>
    </row>
    <row r="586">
      <c r="D586" s="52"/>
    </row>
    <row r="587">
      <c r="D587" s="52"/>
    </row>
    <row r="588">
      <c r="D588" s="52"/>
    </row>
    <row r="589">
      <c r="D589" s="52"/>
    </row>
    <row r="590">
      <c r="D590" s="52"/>
    </row>
    <row r="591">
      <c r="D591" s="52"/>
    </row>
    <row r="592">
      <c r="D592" s="52"/>
    </row>
    <row r="593">
      <c r="D593" s="52"/>
    </row>
    <row r="594">
      <c r="D594" s="52"/>
    </row>
    <row r="595">
      <c r="D595" s="52"/>
    </row>
    <row r="596">
      <c r="D596" s="52"/>
    </row>
    <row r="597">
      <c r="D597" s="52"/>
    </row>
    <row r="598">
      <c r="D598" s="52"/>
    </row>
    <row r="599">
      <c r="D599" s="52"/>
    </row>
    <row r="600">
      <c r="D600" s="52"/>
    </row>
    <row r="601">
      <c r="D601" s="52"/>
    </row>
    <row r="602">
      <c r="D602" s="52"/>
    </row>
    <row r="603">
      <c r="D603" s="52"/>
    </row>
    <row r="604">
      <c r="D604" s="52"/>
    </row>
    <row r="605">
      <c r="D605" s="52"/>
    </row>
    <row r="606">
      <c r="D606" s="52"/>
    </row>
    <row r="607">
      <c r="D607" s="52"/>
    </row>
    <row r="608">
      <c r="D608" s="52"/>
    </row>
    <row r="609">
      <c r="D609" s="52"/>
    </row>
    <row r="610">
      <c r="D610" s="52"/>
    </row>
    <row r="611">
      <c r="D611" s="52"/>
    </row>
    <row r="612">
      <c r="D612" s="52"/>
    </row>
    <row r="613">
      <c r="D613" s="52"/>
    </row>
    <row r="614">
      <c r="D614" s="52"/>
    </row>
    <row r="615">
      <c r="D615" s="52"/>
    </row>
    <row r="616">
      <c r="D616" s="52"/>
    </row>
    <row r="617">
      <c r="D617" s="52"/>
    </row>
    <row r="618">
      <c r="D618" s="52"/>
    </row>
    <row r="619">
      <c r="D619" s="52"/>
    </row>
    <row r="620">
      <c r="D620" s="52"/>
    </row>
    <row r="621">
      <c r="D621" s="52"/>
    </row>
    <row r="622">
      <c r="D622" s="52"/>
    </row>
    <row r="623">
      <c r="D623" s="52"/>
    </row>
    <row r="624">
      <c r="D624" s="52"/>
    </row>
    <row r="625">
      <c r="D625" s="52"/>
    </row>
    <row r="626">
      <c r="D626" s="52"/>
    </row>
    <row r="627">
      <c r="D627" s="52"/>
    </row>
    <row r="628">
      <c r="D628" s="52"/>
    </row>
    <row r="629">
      <c r="D629" s="52"/>
    </row>
    <row r="630">
      <c r="D630" s="52"/>
    </row>
    <row r="631">
      <c r="D631" s="52"/>
    </row>
    <row r="632">
      <c r="D632" s="52"/>
    </row>
    <row r="633">
      <c r="D633" s="52"/>
    </row>
    <row r="634">
      <c r="D634" s="52"/>
    </row>
    <row r="635">
      <c r="D635" s="52"/>
    </row>
    <row r="636">
      <c r="D636" s="52"/>
    </row>
    <row r="637">
      <c r="D637" s="52"/>
    </row>
    <row r="638">
      <c r="D638" s="52"/>
    </row>
    <row r="639">
      <c r="D639" s="52"/>
    </row>
    <row r="640">
      <c r="D640" s="52"/>
    </row>
    <row r="641">
      <c r="D641" s="52"/>
    </row>
    <row r="642">
      <c r="D642" s="52"/>
    </row>
    <row r="643">
      <c r="D643" s="52"/>
    </row>
    <row r="644">
      <c r="D644" s="52"/>
    </row>
    <row r="645">
      <c r="D645" s="52"/>
    </row>
    <row r="646">
      <c r="D646" s="52"/>
    </row>
    <row r="647">
      <c r="D647" s="52"/>
    </row>
    <row r="648">
      <c r="D648" s="52"/>
    </row>
    <row r="649">
      <c r="D649" s="52"/>
    </row>
    <row r="650">
      <c r="D650" s="52"/>
    </row>
    <row r="651">
      <c r="D651" s="52"/>
    </row>
    <row r="652">
      <c r="D652" s="52"/>
    </row>
    <row r="653">
      <c r="D653" s="52"/>
    </row>
    <row r="654">
      <c r="D654" s="52"/>
    </row>
    <row r="655">
      <c r="D655" s="52"/>
    </row>
    <row r="656">
      <c r="D656" s="52"/>
    </row>
    <row r="657">
      <c r="D657" s="52"/>
    </row>
    <row r="658">
      <c r="D658" s="52"/>
    </row>
    <row r="659">
      <c r="D659" s="52"/>
    </row>
    <row r="660">
      <c r="D660" s="52"/>
    </row>
    <row r="661">
      <c r="D661" s="52"/>
    </row>
    <row r="662">
      <c r="D662" s="52"/>
    </row>
    <row r="663">
      <c r="D663" s="52"/>
    </row>
    <row r="664">
      <c r="D664" s="52"/>
    </row>
    <row r="665">
      <c r="D665" s="52"/>
    </row>
    <row r="666">
      <c r="D666" s="52"/>
    </row>
    <row r="667">
      <c r="D667" s="52"/>
    </row>
    <row r="668">
      <c r="D668" s="52"/>
    </row>
    <row r="669">
      <c r="D669" s="52"/>
    </row>
    <row r="670">
      <c r="D670" s="52"/>
    </row>
    <row r="671">
      <c r="D671" s="52"/>
    </row>
    <row r="672">
      <c r="D672" s="52"/>
    </row>
    <row r="673">
      <c r="D673" s="52"/>
    </row>
    <row r="674">
      <c r="D674" s="52"/>
    </row>
    <row r="675">
      <c r="D675" s="52"/>
    </row>
    <row r="676">
      <c r="D676" s="52"/>
    </row>
    <row r="677">
      <c r="D677" s="52"/>
    </row>
    <row r="678">
      <c r="D678" s="52"/>
    </row>
    <row r="679">
      <c r="D679" s="52"/>
    </row>
    <row r="680">
      <c r="D680" s="52"/>
    </row>
    <row r="681">
      <c r="D681" s="52"/>
    </row>
    <row r="682">
      <c r="D682" s="52"/>
    </row>
    <row r="683">
      <c r="D683" s="52"/>
    </row>
    <row r="684">
      <c r="D684" s="52"/>
    </row>
    <row r="685">
      <c r="D685" s="52"/>
    </row>
    <row r="686">
      <c r="D686" s="52"/>
    </row>
    <row r="687">
      <c r="D687" s="52"/>
    </row>
    <row r="688">
      <c r="D688" s="52"/>
    </row>
    <row r="689">
      <c r="D689" s="52"/>
    </row>
    <row r="690">
      <c r="D690" s="52"/>
    </row>
    <row r="691">
      <c r="D691" s="52"/>
    </row>
    <row r="692">
      <c r="D692" s="52"/>
    </row>
    <row r="693">
      <c r="D693" s="52"/>
    </row>
    <row r="694">
      <c r="D694" s="52"/>
    </row>
    <row r="695">
      <c r="D695" s="52"/>
    </row>
    <row r="696">
      <c r="D696" s="52"/>
    </row>
    <row r="697">
      <c r="D697" s="52"/>
    </row>
    <row r="698">
      <c r="D698" s="52"/>
    </row>
    <row r="699">
      <c r="D699" s="52"/>
    </row>
    <row r="700">
      <c r="D700" s="52"/>
    </row>
    <row r="701">
      <c r="D701" s="52"/>
    </row>
    <row r="702">
      <c r="D702" s="52"/>
    </row>
    <row r="703">
      <c r="D703" s="52"/>
    </row>
    <row r="704">
      <c r="D704" s="52"/>
    </row>
    <row r="705">
      <c r="D705" s="52"/>
    </row>
    <row r="706">
      <c r="D706" s="52"/>
    </row>
    <row r="707">
      <c r="D707" s="52"/>
    </row>
    <row r="708">
      <c r="D708" s="52"/>
    </row>
    <row r="709">
      <c r="D709" s="52"/>
    </row>
    <row r="710">
      <c r="D710" s="52"/>
    </row>
    <row r="711">
      <c r="D711" s="52"/>
    </row>
    <row r="712">
      <c r="D712" s="52"/>
    </row>
    <row r="713">
      <c r="D713" s="52"/>
    </row>
    <row r="714">
      <c r="D714" s="52"/>
    </row>
    <row r="715">
      <c r="D715" s="52"/>
    </row>
    <row r="716">
      <c r="D716" s="52"/>
    </row>
    <row r="717">
      <c r="D717" s="52"/>
    </row>
    <row r="718">
      <c r="D718" s="52"/>
    </row>
    <row r="719">
      <c r="D719" s="52"/>
    </row>
    <row r="720">
      <c r="D720" s="52"/>
    </row>
    <row r="721">
      <c r="D721" s="52"/>
    </row>
    <row r="722">
      <c r="D722" s="52"/>
    </row>
    <row r="723">
      <c r="D723" s="52"/>
    </row>
    <row r="724">
      <c r="D724" s="52"/>
    </row>
    <row r="725">
      <c r="D725" s="52"/>
    </row>
    <row r="726">
      <c r="D726" s="52"/>
    </row>
    <row r="727">
      <c r="D727" s="52"/>
    </row>
    <row r="728">
      <c r="D728" s="52"/>
    </row>
    <row r="729">
      <c r="D729" s="52"/>
    </row>
    <row r="730">
      <c r="D730" s="52"/>
    </row>
    <row r="731">
      <c r="D731" s="52"/>
    </row>
    <row r="732">
      <c r="D732" s="52"/>
    </row>
    <row r="733">
      <c r="D733" s="52"/>
    </row>
    <row r="734">
      <c r="D734" s="52"/>
    </row>
    <row r="735">
      <c r="D735" s="52"/>
    </row>
    <row r="736">
      <c r="D736" s="52"/>
    </row>
    <row r="737">
      <c r="D737" s="52"/>
    </row>
    <row r="738">
      <c r="D738" s="52"/>
    </row>
    <row r="739">
      <c r="D739" s="52"/>
    </row>
    <row r="740">
      <c r="D740" s="52"/>
    </row>
    <row r="741">
      <c r="D741" s="52"/>
    </row>
    <row r="742">
      <c r="D742" s="52"/>
    </row>
    <row r="743">
      <c r="D743" s="52"/>
    </row>
    <row r="744">
      <c r="D744" s="52"/>
    </row>
    <row r="745">
      <c r="D745" s="52"/>
    </row>
    <row r="746">
      <c r="D746" s="52"/>
    </row>
    <row r="747">
      <c r="D747" s="52"/>
    </row>
    <row r="748">
      <c r="D748" s="52"/>
    </row>
    <row r="749">
      <c r="D749" s="52"/>
    </row>
    <row r="750">
      <c r="D750" s="52"/>
    </row>
    <row r="751">
      <c r="D751" s="52"/>
    </row>
    <row r="752">
      <c r="D752" s="52"/>
    </row>
    <row r="753">
      <c r="D753" s="52"/>
    </row>
    <row r="754">
      <c r="D754" s="52"/>
    </row>
    <row r="755">
      <c r="D755" s="52"/>
    </row>
    <row r="756">
      <c r="D756" s="52"/>
    </row>
    <row r="757">
      <c r="D757" s="52"/>
    </row>
    <row r="758">
      <c r="D758" s="52"/>
    </row>
    <row r="759">
      <c r="D759" s="52"/>
    </row>
    <row r="760">
      <c r="D760" s="52"/>
    </row>
    <row r="761">
      <c r="D761" s="52"/>
    </row>
    <row r="762">
      <c r="D762" s="52"/>
    </row>
    <row r="763">
      <c r="D763" s="52"/>
    </row>
    <row r="764">
      <c r="D764" s="52"/>
    </row>
    <row r="765">
      <c r="D765" s="52"/>
    </row>
    <row r="766">
      <c r="D766" s="52"/>
    </row>
    <row r="767">
      <c r="D767" s="52"/>
    </row>
    <row r="768">
      <c r="D768" s="52"/>
    </row>
    <row r="769">
      <c r="D769" s="52"/>
    </row>
    <row r="770">
      <c r="D770" s="52"/>
    </row>
    <row r="771">
      <c r="D771" s="52"/>
    </row>
    <row r="772">
      <c r="D772" s="52"/>
    </row>
    <row r="773">
      <c r="D773" s="52"/>
    </row>
    <row r="774">
      <c r="D774" s="52"/>
    </row>
    <row r="775">
      <c r="D775" s="52"/>
    </row>
    <row r="776">
      <c r="D776" s="52"/>
    </row>
    <row r="777">
      <c r="D777" s="52"/>
    </row>
    <row r="778">
      <c r="D778" s="52"/>
    </row>
    <row r="779">
      <c r="D779" s="52"/>
    </row>
    <row r="780">
      <c r="D780" s="52"/>
    </row>
    <row r="781">
      <c r="D781" s="52"/>
    </row>
    <row r="782">
      <c r="D782" s="52"/>
    </row>
    <row r="783">
      <c r="D783" s="52"/>
    </row>
    <row r="784">
      <c r="D784" s="52"/>
    </row>
    <row r="785">
      <c r="D785" s="52"/>
    </row>
    <row r="786">
      <c r="D786" s="52"/>
    </row>
    <row r="787">
      <c r="D787" s="52"/>
    </row>
    <row r="788">
      <c r="D788" s="52"/>
    </row>
    <row r="789">
      <c r="D789" s="52"/>
    </row>
    <row r="790">
      <c r="D790" s="52"/>
    </row>
    <row r="791">
      <c r="D791" s="52"/>
    </row>
    <row r="792">
      <c r="D792" s="52"/>
    </row>
    <row r="793">
      <c r="D793" s="52"/>
    </row>
    <row r="794">
      <c r="D794" s="52"/>
    </row>
    <row r="795">
      <c r="D795" s="52"/>
    </row>
    <row r="796">
      <c r="D796" s="52"/>
    </row>
    <row r="797">
      <c r="D797" s="52"/>
    </row>
    <row r="798">
      <c r="D798" s="52"/>
    </row>
    <row r="799">
      <c r="D799" s="52"/>
    </row>
    <row r="800">
      <c r="D800" s="52"/>
    </row>
    <row r="801">
      <c r="D801" s="52"/>
    </row>
    <row r="802">
      <c r="D802" s="52"/>
    </row>
    <row r="803">
      <c r="D803" s="52"/>
    </row>
    <row r="804">
      <c r="D804" s="52"/>
    </row>
    <row r="805">
      <c r="D805" s="52"/>
    </row>
    <row r="806">
      <c r="D806" s="52"/>
    </row>
    <row r="807">
      <c r="D807" s="52"/>
    </row>
    <row r="808">
      <c r="D808" s="52"/>
    </row>
    <row r="809">
      <c r="D809" s="52"/>
    </row>
    <row r="810">
      <c r="D810" s="52"/>
    </row>
    <row r="811">
      <c r="D811" s="52"/>
    </row>
    <row r="812">
      <c r="D812" s="52"/>
    </row>
    <row r="813">
      <c r="D813" s="52"/>
    </row>
    <row r="814">
      <c r="D814" s="52"/>
    </row>
    <row r="815">
      <c r="D815" s="52"/>
    </row>
    <row r="816">
      <c r="D816" s="52"/>
    </row>
    <row r="817">
      <c r="D817" s="52"/>
    </row>
    <row r="818">
      <c r="D818" s="52"/>
    </row>
    <row r="819">
      <c r="D819" s="52"/>
    </row>
    <row r="820">
      <c r="D820" s="52"/>
    </row>
    <row r="821">
      <c r="D821" s="52"/>
    </row>
    <row r="822">
      <c r="D822" s="52"/>
    </row>
    <row r="823">
      <c r="D823" s="52"/>
    </row>
    <row r="824">
      <c r="D824" s="52"/>
    </row>
    <row r="825">
      <c r="D825" s="52"/>
    </row>
    <row r="826">
      <c r="D826" s="52"/>
    </row>
    <row r="827">
      <c r="D827" s="52"/>
    </row>
    <row r="828">
      <c r="D828" s="52"/>
    </row>
    <row r="829">
      <c r="D829" s="52"/>
    </row>
    <row r="830">
      <c r="D830" s="52"/>
    </row>
    <row r="831">
      <c r="D831" s="52"/>
    </row>
    <row r="832">
      <c r="D832" s="52"/>
    </row>
    <row r="833">
      <c r="D833" s="52"/>
    </row>
    <row r="834">
      <c r="D834" s="52"/>
    </row>
    <row r="835">
      <c r="D835" s="52"/>
    </row>
    <row r="836">
      <c r="D836" s="52"/>
    </row>
    <row r="837">
      <c r="D837" s="52"/>
    </row>
    <row r="838">
      <c r="D838" s="52"/>
    </row>
    <row r="839">
      <c r="D839" s="52"/>
    </row>
    <row r="840">
      <c r="D840" s="52"/>
    </row>
    <row r="841">
      <c r="D841" s="52"/>
    </row>
    <row r="842">
      <c r="D842" s="52"/>
    </row>
    <row r="843">
      <c r="D843" s="52"/>
    </row>
  </sheetData>
  <mergeCells count="7">
    <mergeCell ref="A1:F1"/>
    <mergeCell ref="A2:A3"/>
    <mergeCell ref="B2:B3"/>
    <mergeCell ref="C2:C3"/>
    <mergeCell ref="D2:D3"/>
    <mergeCell ref="E2:F2"/>
    <mergeCell ref="A7:E7"/>
  </mergeCells>
  <dataValidations>
    <dataValidation type="list" allowBlank="1" sqref="H4">
      <formula1>"CHECKED (OK),CHECKED  (NOT OK)"</formula1>
    </dataValidation>
  </dataValidations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3" max="3" width="26.75"/>
    <col customWidth="1" min="4" max="4" width="33.25"/>
    <col customWidth="1" min="7" max="7" width="3.5"/>
    <col customWidth="1" min="8" max="8" width="18.63"/>
    <col customWidth="1" min="9" max="9" width="21.63"/>
  </cols>
  <sheetData>
    <row r="1">
      <c r="A1" s="30" t="s">
        <v>1132</v>
      </c>
      <c r="G1" s="31"/>
      <c r="H1" s="32" t="s">
        <v>1133</v>
      </c>
      <c r="I1" s="33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4" t="s">
        <v>1</v>
      </c>
      <c r="B2" s="35" t="s">
        <v>11</v>
      </c>
      <c r="C2" s="35" t="s">
        <v>12</v>
      </c>
      <c r="D2" s="36" t="s">
        <v>13</v>
      </c>
      <c r="E2" s="37" t="s">
        <v>14</v>
      </c>
      <c r="F2" s="38"/>
      <c r="G2" s="39"/>
      <c r="H2" s="40"/>
      <c r="I2" s="40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41"/>
      <c r="B3" s="38"/>
      <c r="C3" s="38"/>
      <c r="D3" s="38"/>
      <c r="E3" s="42" t="s">
        <v>15</v>
      </c>
      <c r="F3" s="43" t="s">
        <v>5</v>
      </c>
      <c r="G3" s="39"/>
      <c r="H3" s="44" t="s">
        <v>6</v>
      </c>
      <c r="I3" s="45" t="s">
        <v>7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24.75" customHeight="1">
      <c r="A4" s="46"/>
      <c r="B4" s="47"/>
      <c r="C4" s="48" t="str">
        <f>vlookup(B4,'Crew Data'!C:G,5,0)</f>
        <v>#N/A</v>
      </c>
      <c r="D4" s="49"/>
      <c r="E4" s="47"/>
      <c r="F4" s="50">
        <f>E4*400</f>
        <v>0</v>
      </c>
      <c r="G4" s="22">
        <f>COUNTIF(B:B,B4)</f>
        <v>0</v>
      </c>
      <c r="H4" s="5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D5" s="52"/>
    </row>
    <row r="6">
      <c r="D6" s="52"/>
    </row>
    <row r="7" ht="44.25" customHeight="1">
      <c r="A7" s="53" t="s">
        <v>16</v>
      </c>
    </row>
    <row r="8">
      <c r="D8" s="52"/>
    </row>
    <row r="9">
      <c r="D9" s="52"/>
    </row>
    <row r="10">
      <c r="D10" s="52"/>
    </row>
    <row r="11">
      <c r="D11" s="52"/>
    </row>
    <row r="12">
      <c r="D12" s="52"/>
    </row>
    <row r="13">
      <c r="D13" s="52"/>
    </row>
    <row r="14">
      <c r="D14" s="52"/>
    </row>
    <row r="15">
      <c r="D15" s="52"/>
    </row>
    <row r="16">
      <c r="D16" s="52"/>
    </row>
    <row r="17">
      <c r="D17" s="52"/>
    </row>
    <row r="18">
      <c r="D18" s="52"/>
    </row>
    <row r="19">
      <c r="D19" s="52"/>
    </row>
    <row r="20">
      <c r="D20" s="52"/>
    </row>
    <row r="21">
      <c r="D21" s="52"/>
    </row>
    <row r="22">
      <c r="D22" s="52"/>
    </row>
    <row r="23">
      <c r="D23" s="52"/>
    </row>
    <row r="24">
      <c r="D24" s="52"/>
    </row>
    <row r="25">
      <c r="D25" s="52"/>
    </row>
    <row r="26">
      <c r="D26" s="52"/>
    </row>
    <row r="27">
      <c r="D27" s="52"/>
    </row>
    <row r="28">
      <c r="D28" s="52"/>
    </row>
    <row r="29">
      <c r="D29" s="52"/>
    </row>
    <row r="30">
      <c r="D30" s="52"/>
    </row>
    <row r="31">
      <c r="D31" s="52"/>
    </row>
    <row r="32">
      <c r="D32" s="52"/>
    </row>
    <row r="33">
      <c r="D33" s="52"/>
    </row>
    <row r="34">
      <c r="D34" s="52"/>
    </row>
    <row r="35">
      <c r="D35" s="52"/>
    </row>
    <row r="36">
      <c r="D36" s="52"/>
    </row>
    <row r="37">
      <c r="D37" s="52"/>
    </row>
    <row r="38">
      <c r="D38" s="52"/>
    </row>
    <row r="39">
      <c r="D39" s="52"/>
    </row>
    <row r="40">
      <c r="D40" s="52"/>
    </row>
    <row r="41">
      <c r="D41" s="52"/>
    </row>
    <row r="42">
      <c r="D42" s="52"/>
    </row>
    <row r="43">
      <c r="D43" s="52"/>
    </row>
    <row r="44">
      <c r="D44" s="52"/>
    </row>
    <row r="45">
      <c r="D45" s="52"/>
    </row>
    <row r="46">
      <c r="D46" s="52"/>
    </row>
    <row r="47">
      <c r="D47" s="52"/>
    </row>
    <row r="48">
      <c r="D48" s="52"/>
    </row>
    <row r="49">
      <c r="D49" s="52"/>
    </row>
    <row r="50">
      <c r="D50" s="52"/>
    </row>
    <row r="51">
      <c r="D51" s="52"/>
    </row>
    <row r="52">
      <c r="D52" s="52"/>
    </row>
    <row r="53">
      <c r="D53" s="52"/>
    </row>
    <row r="54">
      <c r="D54" s="52"/>
    </row>
    <row r="55">
      <c r="D55" s="52"/>
    </row>
    <row r="56">
      <c r="D56" s="52"/>
    </row>
    <row r="57">
      <c r="D57" s="52"/>
    </row>
    <row r="58">
      <c r="D58" s="52"/>
    </row>
    <row r="59">
      <c r="D59" s="52"/>
    </row>
    <row r="60">
      <c r="D60" s="52"/>
    </row>
    <row r="61">
      <c r="D61" s="52"/>
    </row>
    <row r="62">
      <c r="D62" s="52"/>
    </row>
    <row r="63">
      <c r="D63" s="52"/>
    </row>
    <row r="64">
      <c r="D64" s="52"/>
    </row>
    <row r="65">
      <c r="D65" s="52"/>
    </row>
    <row r="66">
      <c r="D66" s="52"/>
    </row>
    <row r="67">
      <c r="D67" s="52"/>
    </row>
    <row r="68">
      <c r="D68" s="52"/>
    </row>
    <row r="69">
      <c r="D69" s="52"/>
    </row>
    <row r="70">
      <c r="D70" s="52"/>
    </row>
    <row r="71">
      <c r="D71" s="52"/>
    </row>
    <row r="72">
      <c r="D72" s="52"/>
    </row>
    <row r="73">
      <c r="D73" s="52"/>
    </row>
    <row r="74">
      <c r="D74" s="52"/>
    </row>
    <row r="75">
      <c r="D75" s="52"/>
    </row>
    <row r="76">
      <c r="D76" s="52"/>
    </row>
    <row r="77">
      <c r="D77" s="52"/>
    </row>
    <row r="78">
      <c r="D78" s="52"/>
    </row>
    <row r="79">
      <c r="D79" s="52"/>
    </row>
    <row r="80">
      <c r="D80" s="52"/>
    </row>
    <row r="81">
      <c r="D81" s="52"/>
    </row>
    <row r="82">
      <c r="D82" s="52"/>
    </row>
    <row r="83">
      <c r="D83" s="52"/>
    </row>
    <row r="84">
      <c r="D84" s="52"/>
    </row>
    <row r="85">
      <c r="D85" s="52"/>
    </row>
    <row r="86">
      <c r="D86" s="52"/>
    </row>
    <row r="87">
      <c r="D87" s="52"/>
    </row>
    <row r="88">
      <c r="D88" s="52"/>
    </row>
    <row r="89">
      <c r="D89" s="52"/>
    </row>
    <row r="90">
      <c r="D90" s="52"/>
    </row>
    <row r="91">
      <c r="D91" s="52"/>
    </row>
    <row r="92">
      <c r="D92" s="52"/>
    </row>
    <row r="93">
      <c r="D93" s="52"/>
    </row>
    <row r="94">
      <c r="D94" s="52"/>
    </row>
    <row r="95">
      <c r="D95" s="52"/>
    </row>
    <row r="96">
      <c r="D96" s="52"/>
    </row>
    <row r="97">
      <c r="D97" s="52"/>
    </row>
    <row r="98">
      <c r="D98" s="52"/>
    </row>
    <row r="99">
      <c r="D99" s="52"/>
    </row>
    <row r="100">
      <c r="D100" s="52"/>
    </row>
    <row r="101">
      <c r="D101" s="52"/>
    </row>
    <row r="102">
      <c r="D102" s="52"/>
    </row>
    <row r="103">
      <c r="D103" s="52"/>
    </row>
    <row r="104">
      <c r="D104" s="52"/>
    </row>
    <row r="105">
      <c r="D105" s="52"/>
    </row>
    <row r="106">
      <c r="D106" s="52"/>
    </row>
    <row r="107">
      <c r="D107" s="52"/>
    </row>
    <row r="108">
      <c r="D108" s="52"/>
    </row>
    <row r="109">
      <c r="D109" s="52"/>
    </row>
    <row r="110">
      <c r="D110" s="52"/>
    </row>
    <row r="111">
      <c r="D111" s="52"/>
    </row>
    <row r="112">
      <c r="D112" s="52"/>
    </row>
    <row r="113">
      <c r="D113" s="52"/>
    </row>
    <row r="114">
      <c r="D114" s="52"/>
    </row>
    <row r="115">
      <c r="D115" s="52"/>
    </row>
    <row r="116">
      <c r="D116" s="52"/>
    </row>
    <row r="117">
      <c r="D117" s="52"/>
    </row>
    <row r="118">
      <c r="D118" s="52"/>
    </row>
    <row r="119">
      <c r="D119" s="52"/>
    </row>
    <row r="120">
      <c r="D120" s="52"/>
    </row>
    <row r="121">
      <c r="D121" s="52"/>
    </row>
    <row r="122">
      <c r="D122" s="52"/>
    </row>
    <row r="123">
      <c r="D123" s="52"/>
    </row>
    <row r="124">
      <c r="D124" s="52"/>
    </row>
    <row r="125">
      <c r="D125" s="52"/>
    </row>
    <row r="126">
      <c r="D126" s="52"/>
    </row>
    <row r="127">
      <c r="D127" s="52"/>
    </row>
    <row r="128">
      <c r="D128" s="52"/>
    </row>
    <row r="129">
      <c r="D129" s="52"/>
    </row>
    <row r="130">
      <c r="D130" s="52"/>
    </row>
    <row r="131">
      <c r="D131" s="52"/>
    </row>
    <row r="132">
      <c r="D132" s="52"/>
    </row>
    <row r="133">
      <c r="D133" s="52"/>
    </row>
    <row r="134">
      <c r="D134" s="52"/>
    </row>
    <row r="135">
      <c r="D135" s="52"/>
    </row>
    <row r="136">
      <c r="D136" s="52"/>
    </row>
    <row r="137">
      <c r="D137" s="52"/>
    </row>
    <row r="138">
      <c r="D138" s="52"/>
    </row>
    <row r="139">
      <c r="D139" s="52"/>
    </row>
    <row r="140">
      <c r="D140" s="52"/>
    </row>
    <row r="141">
      <c r="D141" s="52"/>
    </row>
    <row r="142">
      <c r="D142" s="52"/>
    </row>
    <row r="143">
      <c r="D143" s="52"/>
    </row>
    <row r="144">
      <c r="D144" s="52"/>
    </row>
    <row r="145">
      <c r="D145" s="52"/>
    </row>
    <row r="146">
      <c r="D146" s="52"/>
    </row>
    <row r="147">
      <c r="D147" s="52"/>
    </row>
    <row r="148">
      <c r="D148" s="52"/>
    </row>
    <row r="149">
      <c r="D149" s="52"/>
    </row>
    <row r="150">
      <c r="D150" s="52"/>
    </row>
    <row r="151">
      <c r="D151" s="52"/>
    </row>
    <row r="152">
      <c r="D152" s="52"/>
    </row>
    <row r="153">
      <c r="D153" s="52"/>
    </row>
    <row r="154">
      <c r="D154" s="52"/>
    </row>
    <row r="155">
      <c r="D155" s="52"/>
    </row>
    <row r="156">
      <c r="D156" s="52"/>
    </row>
    <row r="157">
      <c r="D157" s="52"/>
    </row>
    <row r="158">
      <c r="D158" s="52"/>
    </row>
    <row r="159">
      <c r="D159" s="52"/>
    </row>
    <row r="160">
      <c r="D160" s="52"/>
    </row>
    <row r="161">
      <c r="D161" s="52"/>
    </row>
    <row r="162">
      <c r="D162" s="52"/>
    </row>
    <row r="163">
      <c r="D163" s="52"/>
    </row>
    <row r="164">
      <c r="D164" s="52"/>
    </row>
    <row r="165">
      <c r="D165" s="52"/>
    </row>
    <row r="166">
      <c r="D166" s="52"/>
    </row>
    <row r="167">
      <c r="D167" s="52"/>
    </row>
    <row r="168">
      <c r="D168" s="52"/>
    </row>
    <row r="169">
      <c r="D169" s="52"/>
    </row>
    <row r="170">
      <c r="D170" s="52"/>
    </row>
    <row r="171">
      <c r="D171" s="52"/>
    </row>
    <row r="172">
      <c r="D172" s="52"/>
    </row>
    <row r="173">
      <c r="D173" s="52"/>
    </row>
    <row r="174">
      <c r="D174" s="52"/>
    </row>
    <row r="175">
      <c r="D175" s="52"/>
    </row>
    <row r="176">
      <c r="D176" s="52"/>
    </row>
    <row r="177">
      <c r="D177" s="52"/>
    </row>
    <row r="178">
      <c r="D178" s="52"/>
    </row>
    <row r="179">
      <c r="D179" s="52"/>
    </row>
    <row r="180">
      <c r="D180" s="52"/>
    </row>
    <row r="181">
      <c r="D181" s="52"/>
    </row>
    <row r="182">
      <c r="D182" s="52"/>
    </row>
    <row r="183">
      <c r="D183" s="52"/>
    </row>
    <row r="184">
      <c r="D184" s="52"/>
    </row>
    <row r="185">
      <c r="D185" s="52"/>
    </row>
    <row r="186">
      <c r="D186" s="52"/>
    </row>
    <row r="187">
      <c r="D187" s="52"/>
    </row>
    <row r="188">
      <c r="D188" s="52"/>
    </row>
    <row r="189">
      <c r="D189" s="52"/>
    </row>
    <row r="190">
      <c r="D190" s="52"/>
    </row>
    <row r="191">
      <c r="D191" s="52"/>
    </row>
    <row r="192">
      <c r="D192" s="52"/>
    </row>
    <row r="193">
      <c r="D193" s="52"/>
    </row>
    <row r="194">
      <c r="D194" s="52"/>
    </row>
    <row r="195">
      <c r="D195" s="52"/>
    </row>
    <row r="196">
      <c r="D196" s="52"/>
    </row>
    <row r="197">
      <c r="D197" s="52"/>
    </row>
    <row r="198">
      <c r="D198" s="52"/>
    </row>
    <row r="199">
      <c r="D199" s="52"/>
    </row>
    <row r="200">
      <c r="D200" s="52"/>
    </row>
    <row r="201">
      <c r="D201" s="52"/>
    </row>
    <row r="202">
      <c r="D202" s="52"/>
    </row>
    <row r="203">
      <c r="D203" s="52"/>
    </row>
    <row r="204">
      <c r="D204" s="52"/>
    </row>
    <row r="205">
      <c r="D205" s="52"/>
    </row>
    <row r="206">
      <c r="D206" s="52"/>
    </row>
    <row r="207">
      <c r="D207" s="52"/>
    </row>
    <row r="208">
      <c r="D208" s="52"/>
    </row>
    <row r="209">
      <c r="D209" s="52"/>
    </row>
    <row r="210">
      <c r="D210" s="52"/>
    </row>
    <row r="211">
      <c r="D211" s="52"/>
    </row>
    <row r="212">
      <c r="D212" s="52"/>
    </row>
    <row r="213">
      <c r="D213" s="52"/>
    </row>
    <row r="214">
      <c r="D214" s="52"/>
    </row>
    <row r="215">
      <c r="D215" s="52"/>
    </row>
    <row r="216">
      <c r="D216" s="52"/>
    </row>
    <row r="217">
      <c r="D217" s="52"/>
    </row>
    <row r="218">
      <c r="D218" s="52"/>
    </row>
    <row r="219">
      <c r="D219" s="52"/>
    </row>
    <row r="220">
      <c r="D220" s="52"/>
    </row>
    <row r="221">
      <c r="D221" s="52"/>
    </row>
    <row r="222">
      <c r="D222" s="52"/>
    </row>
    <row r="223">
      <c r="D223" s="52"/>
    </row>
    <row r="224">
      <c r="D224" s="52"/>
    </row>
    <row r="225">
      <c r="D225" s="52"/>
    </row>
    <row r="226">
      <c r="D226" s="52"/>
    </row>
    <row r="227">
      <c r="D227" s="52"/>
    </row>
    <row r="228">
      <c r="D228" s="52"/>
    </row>
    <row r="229">
      <c r="D229" s="52"/>
    </row>
    <row r="230">
      <c r="D230" s="52"/>
    </row>
    <row r="231">
      <c r="D231" s="52"/>
    </row>
    <row r="232">
      <c r="D232" s="52"/>
    </row>
    <row r="233">
      <c r="D233" s="52"/>
    </row>
    <row r="234">
      <c r="D234" s="52"/>
    </row>
    <row r="235">
      <c r="D235" s="52"/>
    </row>
    <row r="236">
      <c r="D236" s="52"/>
    </row>
    <row r="237">
      <c r="D237" s="52"/>
    </row>
    <row r="238">
      <c r="D238" s="52"/>
    </row>
    <row r="239">
      <c r="D239" s="52"/>
    </row>
    <row r="240">
      <c r="D240" s="52"/>
    </row>
    <row r="241">
      <c r="D241" s="52"/>
    </row>
    <row r="242">
      <c r="D242" s="52"/>
    </row>
    <row r="243">
      <c r="D243" s="52"/>
    </row>
    <row r="244">
      <c r="D244" s="52"/>
    </row>
    <row r="245">
      <c r="D245" s="52"/>
    </row>
    <row r="246">
      <c r="D246" s="52"/>
    </row>
    <row r="247">
      <c r="D247" s="52"/>
    </row>
    <row r="248">
      <c r="D248" s="52"/>
    </row>
    <row r="249">
      <c r="D249" s="52"/>
    </row>
    <row r="250">
      <c r="D250" s="52"/>
    </row>
    <row r="251">
      <c r="D251" s="52"/>
    </row>
    <row r="252">
      <c r="D252" s="52"/>
    </row>
    <row r="253">
      <c r="D253" s="52"/>
    </row>
    <row r="254">
      <c r="D254" s="52"/>
    </row>
    <row r="255">
      <c r="D255" s="52"/>
    </row>
    <row r="256">
      <c r="D256" s="52"/>
    </row>
    <row r="257">
      <c r="D257" s="52"/>
    </row>
    <row r="258">
      <c r="D258" s="52"/>
    </row>
    <row r="259">
      <c r="D259" s="52"/>
    </row>
    <row r="260">
      <c r="D260" s="52"/>
    </row>
    <row r="261">
      <c r="D261" s="52"/>
    </row>
    <row r="262">
      <c r="D262" s="52"/>
    </row>
    <row r="263">
      <c r="D263" s="52"/>
    </row>
    <row r="264">
      <c r="D264" s="52"/>
    </row>
    <row r="265">
      <c r="D265" s="52"/>
    </row>
    <row r="266">
      <c r="D266" s="52"/>
    </row>
    <row r="267">
      <c r="D267" s="52"/>
    </row>
    <row r="268">
      <c r="D268" s="52"/>
    </row>
    <row r="269">
      <c r="D269" s="52"/>
    </row>
    <row r="270">
      <c r="D270" s="52"/>
    </row>
    <row r="271">
      <c r="D271" s="52"/>
    </row>
    <row r="272">
      <c r="D272" s="52"/>
    </row>
    <row r="273">
      <c r="D273" s="52"/>
    </row>
    <row r="274">
      <c r="D274" s="52"/>
    </row>
    <row r="275">
      <c r="D275" s="52"/>
    </row>
    <row r="276">
      <c r="D276" s="52"/>
    </row>
    <row r="277">
      <c r="D277" s="52"/>
    </row>
    <row r="278">
      <c r="D278" s="52"/>
    </row>
    <row r="279">
      <c r="D279" s="52"/>
    </row>
    <row r="280">
      <c r="D280" s="52"/>
    </row>
    <row r="281">
      <c r="D281" s="52"/>
    </row>
    <row r="282">
      <c r="D282" s="52"/>
    </row>
    <row r="283">
      <c r="D283" s="52"/>
    </row>
    <row r="284">
      <c r="D284" s="52"/>
    </row>
    <row r="285">
      <c r="D285" s="52"/>
    </row>
    <row r="286">
      <c r="D286" s="52"/>
    </row>
    <row r="287">
      <c r="D287" s="52"/>
    </row>
    <row r="288">
      <c r="D288" s="52"/>
    </row>
    <row r="289">
      <c r="D289" s="52"/>
    </row>
    <row r="290">
      <c r="D290" s="52"/>
    </row>
    <row r="291">
      <c r="D291" s="52"/>
    </row>
    <row r="292">
      <c r="D292" s="52"/>
    </row>
    <row r="293">
      <c r="D293" s="52"/>
    </row>
    <row r="294">
      <c r="D294" s="52"/>
    </row>
    <row r="295">
      <c r="D295" s="52"/>
    </row>
    <row r="296">
      <c r="D296" s="52"/>
    </row>
    <row r="297">
      <c r="D297" s="52"/>
    </row>
    <row r="298">
      <c r="D298" s="52"/>
    </row>
    <row r="299">
      <c r="D299" s="52"/>
    </row>
    <row r="300">
      <c r="D300" s="52"/>
    </row>
    <row r="301">
      <c r="D301" s="52"/>
    </row>
    <row r="302">
      <c r="D302" s="52"/>
    </row>
    <row r="303">
      <c r="D303" s="52"/>
    </row>
    <row r="304">
      <c r="D304" s="52"/>
    </row>
    <row r="305">
      <c r="D305" s="52"/>
    </row>
    <row r="306">
      <c r="D306" s="52"/>
    </row>
    <row r="307">
      <c r="D307" s="52"/>
    </row>
    <row r="308">
      <c r="D308" s="52"/>
    </row>
    <row r="309">
      <c r="D309" s="52"/>
    </row>
    <row r="310">
      <c r="D310" s="52"/>
    </row>
    <row r="311">
      <c r="D311" s="52"/>
    </row>
    <row r="312">
      <c r="D312" s="52"/>
    </row>
    <row r="313">
      <c r="D313" s="52"/>
    </row>
    <row r="314">
      <c r="D314" s="52"/>
    </row>
    <row r="315">
      <c r="D315" s="52"/>
    </row>
    <row r="316">
      <c r="D316" s="52"/>
    </row>
    <row r="317">
      <c r="D317" s="52"/>
    </row>
    <row r="318">
      <c r="D318" s="52"/>
    </row>
    <row r="319">
      <c r="D319" s="52"/>
    </row>
    <row r="320">
      <c r="D320" s="52"/>
    </row>
    <row r="321">
      <c r="D321" s="52"/>
    </row>
    <row r="322">
      <c r="D322" s="52"/>
    </row>
    <row r="323">
      <c r="D323" s="52"/>
    </row>
    <row r="324">
      <c r="D324" s="52"/>
    </row>
    <row r="325">
      <c r="D325" s="52"/>
    </row>
    <row r="326">
      <c r="D326" s="52"/>
    </row>
    <row r="327">
      <c r="D327" s="52"/>
    </row>
    <row r="328">
      <c r="D328" s="52"/>
    </row>
    <row r="329">
      <c r="D329" s="52"/>
    </row>
    <row r="330">
      <c r="D330" s="52"/>
    </row>
    <row r="331">
      <c r="D331" s="52"/>
    </row>
    <row r="332">
      <c r="D332" s="52"/>
    </row>
    <row r="333">
      <c r="D333" s="52"/>
    </row>
    <row r="334">
      <c r="D334" s="52"/>
    </row>
    <row r="335">
      <c r="D335" s="52"/>
    </row>
    <row r="336">
      <c r="D336" s="52"/>
    </row>
    <row r="337">
      <c r="D337" s="52"/>
    </row>
    <row r="338">
      <c r="D338" s="52"/>
    </row>
    <row r="339">
      <c r="D339" s="52"/>
    </row>
    <row r="340">
      <c r="D340" s="52"/>
    </row>
    <row r="341">
      <c r="D341" s="52"/>
    </row>
    <row r="342">
      <c r="D342" s="52"/>
    </row>
    <row r="343">
      <c r="D343" s="52"/>
    </row>
    <row r="344">
      <c r="D344" s="52"/>
    </row>
    <row r="345">
      <c r="D345" s="52"/>
    </row>
    <row r="346">
      <c r="D346" s="52"/>
    </row>
    <row r="347">
      <c r="D347" s="52"/>
    </row>
    <row r="348">
      <c r="D348" s="52"/>
    </row>
    <row r="349">
      <c r="D349" s="52"/>
    </row>
    <row r="350">
      <c r="D350" s="52"/>
    </row>
    <row r="351">
      <c r="D351" s="52"/>
    </row>
    <row r="352">
      <c r="D352" s="52"/>
    </row>
    <row r="353">
      <c r="D353" s="52"/>
    </row>
    <row r="354">
      <c r="D354" s="52"/>
    </row>
    <row r="355">
      <c r="D355" s="52"/>
    </row>
    <row r="356">
      <c r="D356" s="52"/>
    </row>
    <row r="357">
      <c r="D357" s="52"/>
    </row>
    <row r="358">
      <c r="D358" s="52"/>
    </row>
    <row r="359">
      <c r="D359" s="52"/>
    </row>
    <row r="360">
      <c r="D360" s="52"/>
    </row>
    <row r="361">
      <c r="D361" s="52"/>
    </row>
    <row r="362">
      <c r="D362" s="52"/>
    </row>
    <row r="363">
      <c r="D363" s="52"/>
    </row>
    <row r="364">
      <c r="D364" s="52"/>
    </row>
    <row r="365">
      <c r="D365" s="52"/>
    </row>
    <row r="366">
      <c r="D366" s="52"/>
    </row>
    <row r="367">
      <c r="D367" s="52"/>
    </row>
    <row r="368">
      <c r="D368" s="52"/>
    </row>
    <row r="369">
      <c r="D369" s="52"/>
    </row>
    <row r="370">
      <c r="D370" s="52"/>
    </row>
    <row r="371">
      <c r="D371" s="52"/>
    </row>
    <row r="372">
      <c r="D372" s="52"/>
    </row>
    <row r="373">
      <c r="D373" s="52"/>
    </row>
    <row r="374">
      <c r="D374" s="52"/>
    </row>
    <row r="375">
      <c r="D375" s="52"/>
    </row>
    <row r="376">
      <c r="D376" s="52"/>
    </row>
    <row r="377">
      <c r="D377" s="52"/>
    </row>
    <row r="378">
      <c r="D378" s="52"/>
    </row>
    <row r="379">
      <c r="D379" s="52"/>
    </row>
    <row r="380">
      <c r="D380" s="52"/>
    </row>
    <row r="381">
      <c r="D381" s="52"/>
    </row>
    <row r="382">
      <c r="D382" s="52"/>
    </row>
    <row r="383">
      <c r="D383" s="52"/>
    </row>
    <row r="384">
      <c r="D384" s="52"/>
    </row>
    <row r="385">
      <c r="D385" s="52"/>
    </row>
    <row r="386">
      <c r="D386" s="52"/>
    </row>
    <row r="387">
      <c r="D387" s="52"/>
    </row>
    <row r="388">
      <c r="D388" s="52"/>
    </row>
    <row r="389">
      <c r="D389" s="52"/>
    </row>
    <row r="390">
      <c r="D390" s="52"/>
    </row>
    <row r="391">
      <c r="D391" s="52"/>
    </row>
    <row r="392">
      <c r="D392" s="52"/>
    </row>
    <row r="393">
      <c r="D393" s="52"/>
    </row>
    <row r="394">
      <c r="D394" s="52"/>
    </row>
    <row r="395">
      <c r="D395" s="52"/>
    </row>
    <row r="396">
      <c r="D396" s="52"/>
    </row>
    <row r="397">
      <c r="D397" s="52"/>
    </row>
    <row r="398">
      <c r="D398" s="52"/>
    </row>
    <row r="399">
      <c r="D399" s="52"/>
    </row>
    <row r="400">
      <c r="D400" s="52"/>
    </row>
    <row r="401">
      <c r="D401" s="52"/>
    </row>
    <row r="402">
      <c r="D402" s="52"/>
    </row>
    <row r="403">
      <c r="D403" s="52"/>
    </row>
    <row r="404">
      <c r="D404" s="52"/>
    </row>
    <row r="405">
      <c r="D405" s="52"/>
    </row>
    <row r="406">
      <c r="D406" s="52"/>
    </row>
    <row r="407">
      <c r="D407" s="52"/>
    </row>
    <row r="408">
      <c r="D408" s="52"/>
    </row>
    <row r="409">
      <c r="D409" s="52"/>
    </row>
    <row r="410">
      <c r="D410" s="52"/>
    </row>
    <row r="411">
      <c r="D411" s="52"/>
    </row>
    <row r="412">
      <c r="D412" s="52"/>
    </row>
    <row r="413">
      <c r="D413" s="52"/>
    </row>
    <row r="414">
      <c r="D414" s="52"/>
    </row>
    <row r="415">
      <c r="D415" s="52"/>
    </row>
    <row r="416">
      <c r="D416" s="52"/>
    </row>
    <row r="417">
      <c r="D417" s="52"/>
    </row>
    <row r="418">
      <c r="D418" s="52"/>
    </row>
    <row r="419">
      <c r="D419" s="52"/>
    </row>
    <row r="420">
      <c r="D420" s="52"/>
    </row>
    <row r="421">
      <c r="D421" s="52"/>
    </row>
    <row r="422">
      <c r="D422" s="52"/>
    </row>
    <row r="423">
      <c r="D423" s="52"/>
    </row>
    <row r="424">
      <c r="D424" s="52"/>
    </row>
    <row r="425">
      <c r="D425" s="52"/>
    </row>
    <row r="426">
      <c r="D426" s="52"/>
    </row>
    <row r="427">
      <c r="D427" s="52"/>
    </row>
    <row r="428">
      <c r="D428" s="52"/>
    </row>
    <row r="429">
      <c r="D429" s="52"/>
    </row>
    <row r="430">
      <c r="D430" s="52"/>
    </row>
    <row r="431">
      <c r="D431" s="52"/>
    </row>
    <row r="432">
      <c r="D432" s="52"/>
    </row>
    <row r="433">
      <c r="D433" s="52"/>
    </row>
    <row r="434">
      <c r="D434" s="52"/>
    </row>
    <row r="435">
      <c r="D435" s="52"/>
    </row>
    <row r="436">
      <c r="D436" s="52"/>
    </row>
    <row r="437">
      <c r="D437" s="52"/>
    </row>
    <row r="438">
      <c r="D438" s="52"/>
    </row>
    <row r="439">
      <c r="D439" s="52"/>
    </row>
    <row r="440">
      <c r="D440" s="52"/>
    </row>
    <row r="441">
      <c r="D441" s="52"/>
    </row>
    <row r="442">
      <c r="D442" s="52"/>
    </row>
    <row r="443">
      <c r="D443" s="52"/>
    </row>
    <row r="444">
      <c r="D444" s="52"/>
    </row>
    <row r="445">
      <c r="D445" s="52"/>
    </row>
    <row r="446">
      <c r="D446" s="52"/>
    </row>
    <row r="447">
      <c r="D447" s="52"/>
    </row>
    <row r="448">
      <c r="D448" s="52"/>
    </row>
    <row r="449">
      <c r="D449" s="52"/>
    </row>
    <row r="450">
      <c r="D450" s="52"/>
    </row>
    <row r="451">
      <c r="D451" s="52"/>
    </row>
    <row r="452">
      <c r="D452" s="52"/>
    </row>
    <row r="453">
      <c r="D453" s="52"/>
    </row>
    <row r="454">
      <c r="D454" s="52"/>
    </row>
    <row r="455">
      <c r="D455" s="52"/>
    </row>
    <row r="456">
      <c r="D456" s="52"/>
    </row>
    <row r="457">
      <c r="D457" s="52"/>
    </row>
    <row r="458">
      <c r="D458" s="52"/>
    </row>
    <row r="459">
      <c r="D459" s="52"/>
    </row>
    <row r="460">
      <c r="D460" s="52"/>
    </row>
    <row r="461">
      <c r="D461" s="52"/>
    </row>
    <row r="462">
      <c r="D462" s="52"/>
    </row>
    <row r="463">
      <c r="D463" s="52"/>
    </row>
    <row r="464">
      <c r="D464" s="52"/>
    </row>
    <row r="465">
      <c r="D465" s="52"/>
    </row>
    <row r="466">
      <c r="D466" s="52"/>
    </row>
    <row r="467">
      <c r="D467" s="52"/>
    </row>
    <row r="468">
      <c r="D468" s="52"/>
    </row>
    <row r="469">
      <c r="D469" s="52"/>
    </row>
    <row r="470">
      <c r="D470" s="52"/>
    </row>
    <row r="471">
      <c r="D471" s="52"/>
    </row>
    <row r="472">
      <c r="D472" s="52"/>
    </row>
    <row r="473">
      <c r="D473" s="52"/>
    </row>
    <row r="474">
      <c r="D474" s="52"/>
    </row>
    <row r="475">
      <c r="D475" s="52"/>
    </row>
    <row r="476">
      <c r="D476" s="52"/>
    </row>
    <row r="477">
      <c r="D477" s="52"/>
    </row>
    <row r="478">
      <c r="D478" s="52"/>
    </row>
    <row r="479">
      <c r="D479" s="52"/>
    </row>
    <row r="480">
      <c r="D480" s="52"/>
    </row>
    <row r="481">
      <c r="D481" s="52"/>
    </row>
    <row r="482">
      <c r="D482" s="52"/>
    </row>
    <row r="483">
      <c r="D483" s="52"/>
    </row>
    <row r="484">
      <c r="D484" s="52"/>
    </row>
    <row r="485">
      <c r="D485" s="52"/>
    </row>
    <row r="486">
      <c r="D486" s="52"/>
    </row>
    <row r="487">
      <c r="D487" s="52"/>
    </row>
    <row r="488">
      <c r="D488" s="52"/>
    </row>
    <row r="489">
      <c r="D489" s="52"/>
    </row>
    <row r="490">
      <c r="D490" s="52"/>
    </row>
    <row r="491">
      <c r="D491" s="52"/>
    </row>
    <row r="492">
      <c r="D492" s="52"/>
    </row>
    <row r="493">
      <c r="D493" s="52"/>
    </row>
    <row r="494">
      <c r="D494" s="52"/>
    </row>
    <row r="495">
      <c r="D495" s="52"/>
    </row>
    <row r="496">
      <c r="D496" s="52"/>
    </row>
    <row r="497">
      <c r="D497" s="52"/>
    </row>
    <row r="498">
      <c r="D498" s="52"/>
    </row>
    <row r="499">
      <c r="D499" s="52"/>
    </row>
    <row r="500">
      <c r="D500" s="52"/>
    </row>
    <row r="501">
      <c r="D501" s="52"/>
    </row>
    <row r="502">
      <c r="D502" s="52"/>
    </row>
    <row r="503">
      <c r="D503" s="52"/>
    </row>
    <row r="504">
      <c r="D504" s="52"/>
    </row>
    <row r="505">
      <c r="D505" s="52"/>
    </row>
    <row r="506">
      <c r="D506" s="52"/>
    </row>
    <row r="507">
      <c r="D507" s="52"/>
    </row>
    <row r="508">
      <c r="D508" s="52"/>
    </row>
    <row r="509">
      <c r="D509" s="52"/>
    </row>
    <row r="510">
      <c r="D510" s="52"/>
    </row>
    <row r="511">
      <c r="D511" s="52"/>
    </row>
    <row r="512">
      <c r="D512" s="52"/>
    </row>
    <row r="513">
      <c r="D513" s="52"/>
    </row>
    <row r="514">
      <c r="D514" s="52"/>
    </row>
    <row r="515">
      <c r="D515" s="52"/>
    </row>
    <row r="516">
      <c r="D516" s="52"/>
    </row>
    <row r="517">
      <c r="D517" s="52"/>
    </row>
    <row r="518">
      <c r="D518" s="52"/>
    </row>
    <row r="519">
      <c r="D519" s="52"/>
    </row>
    <row r="520">
      <c r="D520" s="52"/>
    </row>
    <row r="521">
      <c r="D521" s="52"/>
    </row>
    <row r="522">
      <c r="D522" s="52"/>
    </row>
    <row r="523">
      <c r="D523" s="52"/>
    </row>
    <row r="524">
      <c r="D524" s="52"/>
    </row>
    <row r="525">
      <c r="D525" s="52"/>
    </row>
    <row r="526">
      <c r="D526" s="52"/>
    </row>
    <row r="527">
      <c r="D527" s="52"/>
    </row>
    <row r="528">
      <c r="D528" s="52"/>
    </row>
    <row r="529">
      <c r="D529" s="52"/>
    </row>
    <row r="530">
      <c r="D530" s="52"/>
    </row>
    <row r="531">
      <c r="D531" s="52"/>
    </row>
    <row r="532">
      <c r="D532" s="52"/>
    </row>
    <row r="533">
      <c r="D533" s="52"/>
    </row>
    <row r="534">
      <c r="D534" s="52"/>
    </row>
    <row r="535">
      <c r="D535" s="52"/>
    </row>
    <row r="536">
      <c r="D536" s="52"/>
    </row>
    <row r="537">
      <c r="D537" s="52"/>
    </row>
    <row r="538">
      <c r="D538" s="52"/>
    </row>
    <row r="539">
      <c r="D539" s="52"/>
    </row>
    <row r="540">
      <c r="D540" s="52"/>
    </row>
    <row r="541">
      <c r="D541" s="52"/>
    </row>
    <row r="542">
      <c r="D542" s="52"/>
    </row>
    <row r="543">
      <c r="D543" s="52"/>
    </row>
    <row r="544">
      <c r="D544" s="52"/>
    </row>
    <row r="545">
      <c r="D545" s="52"/>
    </row>
    <row r="546">
      <c r="D546" s="52"/>
    </row>
    <row r="547">
      <c r="D547" s="52"/>
    </row>
    <row r="548">
      <c r="D548" s="52"/>
    </row>
    <row r="549">
      <c r="D549" s="52"/>
    </row>
    <row r="550">
      <c r="D550" s="52"/>
    </row>
    <row r="551">
      <c r="D551" s="52"/>
    </row>
    <row r="552">
      <c r="D552" s="52"/>
    </row>
    <row r="553">
      <c r="D553" s="52"/>
    </row>
    <row r="554">
      <c r="D554" s="52"/>
    </row>
    <row r="555">
      <c r="D555" s="52"/>
    </row>
    <row r="556">
      <c r="D556" s="52"/>
    </row>
    <row r="557">
      <c r="D557" s="52"/>
    </row>
    <row r="558">
      <c r="D558" s="52"/>
    </row>
    <row r="559">
      <c r="D559" s="52"/>
    </row>
    <row r="560">
      <c r="D560" s="52"/>
    </row>
    <row r="561">
      <c r="D561" s="52"/>
    </row>
    <row r="562">
      <c r="D562" s="52"/>
    </row>
    <row r="563">
      <c r="D563" s="52"/>
    </row>
    <row r="564">
      <c r="D564" s="52"/>
    </row>
    <row r="565">
      <c r="D565" s="52"/>
    </row>
    <row r="566">
      <c r="D566" s="52"/>
    </row>
    <row r="567">
      <c r="D567" s="52"/>
    </row>
    <row r="568">
      <c r="D568" s="52"/>
    </row>
    <row r="569">
      <c r="D569" s="52"/>
    </row>
    <row r="570">
      <c r="D570" s="52"/>
    </row>
    <row r="571">
      <c r="D571" s="52"/>
    </row>
    <row r="572">
      <c r="D572" s="52"/>
    </row>
    <row r="573">
      <c r="D573" s="52"/>
    </row>
    <row r="574">
      <c r="D574" s="52"/>
    </row>
    <row r="575">
      <c r="D575" s="52"/>
    </row>
    <row r="576">
      <c r="D576" s="52"/>
    </row>
    <row r="577">
      <c r="D577" s="52"/>
    </row>
    <row r="578">
      <c r="D578" s="52"/>
    </row>
    <row r="579">
      <c r="D579" s="52"/>
    </row>
    <row r="580">
      <c r="D580" s="52"/>
    </row>
    <row r="581">
      <c r="D581" s="52"/>
    </row>
    <row r="582">
      <c r="D582" s="52"/>
    </row>
    <row r="583">
      <c r="D583" s="52"/>
    </row>
    <row r="584">
      <c r="D584" s="52"/>
    </row>
    <row r="585">
      <c r="D585" s="52"/>
    </row>
    <row r="586">
      <c r="D586" s="52"/>
    </row>
    <row r="587">
      <c r="D587" s="52"/>
    </row>
    <row r="588">
      <c r="D588" s="52"/>
    </row>
    <row r="589">
      <c r="D589" s="52"/>
    </row>
    <row r="590">
      <c r="D590" s="52"/>
    </row>
    <row r="591">
      <c r="D591" s="52"/>
    </row>
    <row r="592">
      <c r="D592" s="52"/>
    </row>
    <row r="593">
      <c r="D593" s="52"/>
    </row>
    <row r="594">
      <c r="D594" s="52"/>
    </row>
    <row r="595">
      <c r="D595" s="52"/>
    </row>
    <row r="596">
      <c r="D596" s="52"/>
    </row>
    <row r="597">
      <c r="D597" s="52"/>
    </row>
    <row r="598">
      <c r="D598" s="52"/>
    </row>
    <row r="599">
      <c r="D599" s="52"/>
    </row>
    <row r="600">
      <c r="D600" s="52"/>
    </row>
    <row r="601">
      <c r="D601" s="52"/>
    </row>
    <row r="602">
      <c r="D602" s="52"/>
    </row>
    <row r="603">
      <c r="D603" s="52"/>
    </row>
    <row r="604">
      <c r="D604" s="52"/>
    </row>
    <row r="605">
      <c r="D605" s="52"/>
    </row>
    <row r="606">
      <c r="D606" s="52"/>
    </row>
    <row r="607">
      <c r="D607" s="52"/>
    </row>
    <row r="608">
      <c r="D608" s="52"/>
    </row>
    <row r="609">
      <c r="D609" s="52"/>
    </row>
    <row r="610">
      <c r="D610" s="52"/>
    </row>
    <row r="611">
      <c r="D611" s="52"/>
    </row>
    <row r="612">
      <c r="D612" s="52"/>
    </row>
    <row r="613">
      <c r="D613" s="52"/>
    </row>
    <row r="614">
      <c r="D614" s="52"/>
    </row>
    <row r="615">
      <c r="D615" s="52"/>
    </row>
    <row r="616">
      <c r="D616" s="52"/>
    </row>
    <row r="617">
      <c r="D617" s="52"/>
    </row>
    <row r="618">
      <c r="D618" s="52"/>
    </row>
    <row r="619">
      <c r="D619" s="52"/>
    </row>
    <row r="620">
      <c r="D620" s="52"/>
    </row>
    <row r="621">
      <c r="D621" s="52"/>
    </row>
    <row r="622">
      <c r="D622" s="52"/>
    </row>
    <row r="623">
      <c r="D623" s="52"/>
    </row>
    <row r="624">
      <c r="D624" s="52"/>
    </row>
    <row r="625">
      <c r="D625" s="52"/>
    </row>
    <row r="626">
      <c r="D626" s="52"/>
    </row>
    <row r="627">
      <c r="D627" s="52"/>
    </row>
    <row r="628">
      <c r="D628" s="52"/>
    </row>
    <row r="629">
      <c r="D629" s="52"/>
    </row>
    <row r="630">
      <c r="D630" s="52"/>
    </row>
    <row r="631">
      <c r="D631" s="52"/>
    </row>
    <row r="632">
      <c r="D632" s="52"/>
    </row>
    <row r="633">
      <c r="D633" s="52"/>
    </row>
    <row r="634">
      <c r="D634" s="52"/>
    </row>
    <row r="635">
      <c r="D635" s="52"/>
    </row>
    <row r="636">
      <c r="D636" s="52"/>
    </row>
    <row r="637">
      <c r="D637" s="52"/>
    </row>
    <row r="638">
      <c r="D638" s="52"/>
    </row>
    <row r="639">
      <c r="D639" s="52"/>
    </row>
    <row r="640">
      <c r="D640" s="52"/>
    </row>
    <row r="641">
      <c r="D641" s="52"/>
    </row>
    <row r="642">
      <c r="D642" s="52"/>
    </row>
    <row r="643">
      <c r="D643" s="52"/>
    </row>
    <row r="644">
      <c r="D644" s="52"/>
    </row>
    <row r="645">
      <c r="D645" s="52"/>
    </row>
    <row r="646">
      <c r="D646" s="52"/>
    </row>
    <row r="647">
      <c r="D647" s="52"/>
    </row>
    <row r="648">
      <c r="D648" s="52"/>
    </row>
    <row r="649">
      <c r="D649" s="52"/>
    </row>
    <row r="650">
      <c r="D650" s="52"/>
    </row>
    <row r="651">
      <c r="D651" s="52"/>
    </row>
    <row r="652">
      <c r="D652" s="52"/>
    </row>
    <row r="653">
      <c r="D653" s="52"/>
    </row>
    <row r="654">
      <c r="D654" s="52"/>
    </row>
    <row r="655">
      <c r="D655" s="52"/>
    </row>
    <row r="656">
      <c r="D656" s="52"/>
    </row>
    <row r="657">
      <c r="D657" s="52"/>
    </row>
    <row r="658">
      <c r="D658" s="52"/>
    </row>
    <row r="659">
      <c r="D659" s="52"/>
    </row>
    <row r="660">
      <c r="D660" s="52"/>
    </row>
    <row r="661">
      <c r="D661" s="52"/>
    </row>
    <row r="662">
      <c r="D662" s="52"/>
    </row>
    <row r="663">
      <c r="D663" s="52"/>
    </row>
    <row r="664">
      <c r="D664" s="52"/>
    </row>
    <row r="665">
      <c r="D665" s="52"/>
    </row>
    <row r="666">
      <c r="D666" s="52"/>
    </row>
    <row r="667">
      <c r="D667" s="52"/>
    </row>
    <row r="668">
      <c r="D668" s="52"/>
    </row>
    <row r="669">
      <c r="D669" s="52"/>
    </row>
    <row r="670">
      <c r="D670" s="52"/>
    </row>
    <row r="671">
      <c r="D671" s="52"/>
    </row>
    <row r="672">
      <c r="D672" s="52"/>
    </row>
    <row r="673">
      <c r="D673" s="52"/>
    </row>
    <row r="674">
      <c r="D674" s="52"/>
    </row>
    <row r="675">
      <c r="D675" s="52"/>
    </row>
    <row r="676">
      <c r="D676" s="52"/>
    </row>
    <row r="677">
      <c r="D677" s="52"/>
    </row>
    <row r="678">
      <c r="D678" s="52"/>
    </row>
    <row r="679">
      <c r="D679" s="52"/>
    </row>
    <row r="680">
      <c r="D680" s="52"/>
    </row>
    <row r="681">
      <c r="D681" s="52"/>
    </row>
    <row r="682">
      <c r="D682" s="52"/>
    </row>
    <row r="683">
      <c r="D683" s="52"/>
    </row>
    <row r="684">
      <c r="D684" s="52"/>
    </row>
    <row r="685">
      <c r="D685" s="52"/>
    </row>
    <row r="686">
      <c r="D686" s="52"/>
    </row>
    <row r="687">
      <c r="D687" s="52"/>
    </row>
    <row r="688">
      <c r="D688" s="52"/>
    </row>
    <row r="689">
      <c r="D689" s="52"/>
    </row>
    <row r="690">
      <c r="D690" s="52"/>
    </row>
    <row r="691">
      <c r="D691" s="52"/>
    </row>
    <row r="692">
      <c r="D692" s="52"/>
    </row>
    <row r="693">
      <c r="D693" s="52"/>
    </row>
    <row r="694">
      <c r="D694" s="52"/>
    </row>
    <row r="695">
      <c r="D695" s="52"/>
    </row>
    <row r="696">
      <c r="D696" s="52"/>
    </row>
    <row r="697">
      <c r="D697" s="52"/>
    </row>
    <row r="698">
      <c r="D698" s="52"/>
    </row>
    <row r="699">
      <c r="D699" s="52"/>
    </row>
    <row r="700">
      <c r="D700" s="52"/>
    </row>
    <row r="701">
      <c r="D701" s="52"/>
    </row>
    <row r="702">
      <c r="D702" s="52"/>
    </row>
    <row r="703">
      <c r="D703" s="52"/>
    </row>
    <row r="704">
      <c r="D704" s="52"/>
    </row>
    <row r="705">
      <c r="D705" s="52"/>
    </row>
    <row r="706">
      <c r="D706" s="52"/>
    </row>
    <row r="707">
      <c r="D707" s="52"/>
    </row>
    <row r="708">
      <c r="D708" s="52"/>
    </row>
    <row r="709">
      <c r="D709" s="52"/>
    </row>
    <row r="710">
      <c r="D710" s="52"/>
    </row>
    <row r="711">
      <c r="D711" s="52"/>
    </row>
    <row r="712">
      <c r="D712" s="52"/>
    </row>
    <row r="713">
      <c r="D713" s="52"/>
    </row>
    <row r="714">
      <c r="D714" s="52"/>
    </row>
    <row r="715">
      <c r="D715" s="52"/>
    </row>
    <row r="716">
      <c r="D716" s="52"/>
    </row>
    <row r="717">
      <c r="D717" s="52"/>
    </row>
    <row r="718">
      <c r="D718" s="52"/>
    </row>
    <row r="719">
      <c r="D719" s="52"/>
    </row>
    <row r="720">
      <c r="D720" s="52"/>
    </row>
    <row r="721">
      <c r="D721" s="52"/>
    </row>
    <row r="722">
      <c r="D722" s="52"/>
    </row>
    <row r="723">
      <c r="D723" s="52"/>
    </row>
    <row r="724">
      <c r="D724" s="52"/>
    </row>
    <row r="725">
      <c r="D725" s="52"/>
    </row>
    <row r="726">
      <c r="D726" s="52"/>
    </row>
    <row r="727">
      <c r="D727" s="52"/>
    </row>
    <row r="728">
      <c r="D728" s="52"/>
    </row>
    <row r="729">
      <c r="D729" s="52"/>
    </row>
    <row r="730">
      <c r="D730" s="52"/>
    </row>
    <row r="731">
      <c r="D731" s="52"/>
    </row>
    <row r="732">
      <c r="D732" s="52"/>
    </row>
    <row r="733">
      <c r="D733" s="52"/>
    </row>
    <row r="734">
      <c r="D734" s="52"/>
    </row>
    <row r="735">
      <c r="D735" s="52"/>
    </row>
    <row r="736">
      <c r="D736" s="52"/>
    </row>
    <row r="737">
      <c r="D737" s="52"/>
    </row>
    <row r="738">
      <c r="D738" s="52"/>
    </row>
    <row r="739">
      <c r="D739" s="52"/>
    </row>
    <row r="740">
      <c r="D740" s="52"/>
    </row>
    <row r="741">
      <c r="D741" s="52"/>
    </row>
    <row r="742">
      <c r="D742" s="52"/>
    </row>
    <row r="743">
      <c r="D743" s="52"/>
    </row>
    <row r="744">
      <c r="D744" s="52"/>
    </row>
    <row r="745">
      <c r="D745" s="52"/>
    </row>
    <row r="746">
      <c r="D746" s="52"/>
    </row>
    <row r="747">
      <c r="D747" s="52"/>
    </row>
    <row r="748">
      <c r="D748" s="52"/>
    </row>
    <row r="749">
      <c r="D749" s="52"/>
    </row>
    <row r="750">
      <c r="D750" s="52"/>
    </row>
    <row r="751">
      <c r="D751" s="52"/>
    </row>
    <row r="752">
      <c r="D752" s="52"/>
    </row>
    <row r="753">
      <c r="D753" s="52"/>
    </row>
    <row r="754">
      <c r="D754" s="52"/>
    </row>
    <row r="755">
      <c r="D755" s="52"/>
    </row>
    <row r="756">
      <c r="D756" s="52"/>
    </row>
    <row r="757">
      <c r="D757" s="52"/>
    </row>
    <row r="758">
      <c r="D758" s="52"/>
    </row>
    <row r="759">
      <c r="D759" s="52"/>
    </row>
    <row r="760">
      <c r="D760" s="52"/>
    </row>
    <row r="761">
      <c r="D761" s="52"/>
    </row>
    <row r="762">
      <c r="D762" s="52"/>
    </row>
    <row r="763">
      <c r="D763" s="52"/>
    </row>
    <row r="764">
      <c r="D764" s="52"/>
    </row>
    <row r="765">
      <c r="D765" s="52"/>
    </row>
    <row r="766">
      <c r="D766" s="52"/>
    </row>
    <row r="767">
      <c r="D767" s="52"/>
    </row>
    <row r="768">
      <c r="D768" s="52"/>
    </row>
    <row r="769">
      <c r="D769" s="52"/>
    </row>
    <row r="770">
      <c r="D770" s="52"/>
    </row>
    <row r="771">
      <c r="D771" s="52"/>
    </row>
    <row r="772">
      <c r="D772" s="52"/>
    </row>
    <row r="773">
      <c r="D773" s="52"/>
    </row>
    <row r="774">
      <c r="D774" s="52"/>
    </row>
    <row r="775">
      <c r="D775" s="52"/>
    </row>
    <row r="776">
      <c r="D776" s="52"/>
    </row>
    <row r="777">
      <c r="D777" s="52"/>
    </row>
    <row r="778">
      <c r="D778" s="52"/>
    </row>
    <row r="779">
      <c r="D779" s="52"/>
    </row>
    <row r="780">
      <c r="D780" s="52"/>
    </row>
    <row r="781">
      <c r="D781" s="52"/>
    </row>
    <row r="782">
      <c r="D782" s="52"/>
    </row>
    <row r="783">
      <c r="D783" s="52"/>
    </row>
    <row r="784">
      <c r="D784" s="52"/>
    </row>
    <row r="785">
      <c r="D785" s="52"/>
    </row>
    <row r="786">
      <c r="D786" s="52"/>
    </row>
    <row r="787">
      <c r="D787" s="52"/>
    </row>
    <row r="788">
      <c r="D788" s="52"/>
    </row>
    <row r="789">
      <c r="D789" s="52"/>
    </row>
    <row r="790">
      <c r="D790" s="52"/>
    </row>
    <row r="791">
      <c r="D791" s="52"/>
    </row>
    <row r="792">
      <c r="D792" s="52"/>
    </row>
    <row r="793">
      <c r="D793" s="52"/>
    </row>
    <row r="794">
      <c r="D794" s="52"/>
    </row>
    <row r="795">
      <c r="D795" s="52"/>
    </row>
    <row r="796">
      <c r="D796" s="52"/>
    </row>
    <row r="797">
      <c r="D797" s="52"/>
    </row>
    <row r="798">
      <c r="D798" s="52"/>
    </row>
    <row r="799">
      <c r="D799" s="52"/>
    </row>
    <row r="800">
      <c r="D800" s="52"/>
    </row>
    <row r="801">
      <c r="D801" s="52"/>
    </row>
    <row r="802">
      <c r="D802" s="52"/>
    </row>
    <row r="803">
      <c r="D803" s="52"/>
    </row>
    <row r="804">
      <c r="D804" s="52"/>
    </row>
    <row r="805">
      <c r="D805" s="52"/>
    </row>
    <row r="806">
      <c r="D806" s="52"/>
    </row>
    <row r="807">
      <c r="D807" s="52"/>
    </row>
    <row r="808">
      <c r="D808" s="52"/>
    </row>
    <row r="809">
      <c r="D809" s="52"/>
    </row>
    <row r="810">
      <c r="D810" s="52"/>
    </row>
    <row r="811">
      <c r="D811" s="52"/>
    </row>
    <row r="812">
      <c r="D812" s="52"/>
    </row>
    <row r="813">
      <c r="D813" s="52"/>
    </row>
    <row r="814">
      <c r="D814" s="52"/>
    </row>
    <row r="815">
      <c r="D815" s="52"/>
    </row>
    <row r="816">
      <c r="D816" s="52"/>
    </row>
    <row r="817">
      <c r="D817" s="52"/>
    </row>
    <row r="818">
      <c r="D818" s="52"/>
    </row>
    <row r="819">
      <c r="D819" s="52"/>
    </row>
    <row r="820">
      <c r="D820" s="52"/>
    </row>
    <row r="821">
      <c r="D821" s="52"/>
    </row>
    <row r="822">
      <c r="D822" s="52"/>
    </row>
    <row r="823">
      <c r="D823" s="52"/>
    </row>
    <row r="824">
      <c r="D824" s="52"/>
    </row>
    <row r="825">
      <c r="D825" s="52"/>
    </row>
    <row r="826">
      <c r="D826" s="52"/>
    </row>
    <row r="827">
      <c r="D827" s="52"/>
    </row>
    <row r="828">
      <c r="D828" s="52"/>
    </row>
    <row r="829">
      <c r="D829" s="52"/>
    </row>
    <row r="830">
      <c r="D830" s="52"/>
    </row>
    <row r="831">
      <c r="D831" s="52"/>
    </row>
    <row r="832">
      <c r="D832" s="52"/>
    </row>
    <row r="833">
      <c r="D833" s="52"/>
    </row>
    <row r="834">
      <c r="D834" s="52"/>
    </row>
    <row r="835">
      <c r="D835" s="52"/>
    </row>
    <row r="836">
      <c r="D836" s="52"/>
    </row>
    <row r="837">
      <c r="D837" s="52"/>
    </row>
    <row r="838">
      <c r="D838" s="52"/>
    </row>
    <row r="839">
      <c r="D839" s="52"/>
    </row>
    <row r="840">
      <c r="D840" s="52"/>
    </row>
    <row r="841">
      <c r="D841" s="52"/>
    </row>
    <row r="842">
      <c r="D842" s="52"/>
    </row>
    <row r="843">
      <c r="D843" s="52"/>
    </row>
  </sheetData>
  <mergeCells count="7">
    <mergeCell ref="A1:F1"/>
    <mergeCell ref="A2:A3"/>
    <mergeCell ref="B2:B3"/>
    <mergeCell ref="C2:C3"/>
    <mergeCell ref="D2:D3"/>
    <mergeCell ref="E2:F2"/>
    <mergeCell ref="A7:E7"/>
  </mergeCells>
  <dataValidations>
    <dataValidation type="list" allowBlank="1" sqref="H4">
      <formula1>"CHECKED (OK),CHECKED  (NOT OK)"</formula1>
    </dataValidation>
  </dataValidations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3" max="3" width="26.75"/>
    <col customWidth="1" min="4" max="4" width="33.25"/>
    <col customWidth="1" min="7" max="7" width="3.5"/>
    <col customWidth="1" min="8" max="8" width="18.63"/>
    <col customWidth="1" min="9" max="9" width="21.63"/>
  </cols>
  <sheetData>
    <row r="1">
      <c r="A1" s="30" t="s">
        <v>1134</v>
      </c>
      <c r="G1" s="31"/>
      <c r="H1" s="32" t="s">
        <v>1135</v>
      </c>
      <c r="I1" s="33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4" t="s">
        <v>1</v>
      </c>
      <c r="B2" s="35" t="s">
        <v>11</v>
      </c>
      <c r="C2" s="35" t="s">
        <v>12</v>
      </c>
      <c r="D2" s="36" t="s">
        <v>13</v>
      </c>
      <c r="E2" s="37" t="s">
        <v>14</v>
      </c>
      <c r="F2" s="38"/>
      <c r="G2" s="39"/>
      <c r="H2" s="40"/>
      <c r="I2" s="40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41"/>
      <c r="B3" s="38"/>
      <c r="C3" s="38"/>
      <c r="D3" s="38"/>
      <c r="E3" s="42" t="s">
        <v>15</v>
      </c>
      <c r="F3" s="43" t="s">
        <v>5</v>
      </c>
      <c r="G3" s="39"/>
      <c r="H3" s="44" t="s">
        <v>6</v>
      </c>
      <c r="I3" s="45" t="s">
        <v>7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24.75" customHeight="1">
      <c r="A4" s="46"/>
      <c r="B4" s="47"/>
      <c r="C4" s="48" t="str">
        <f>vlookup(B4,'Crew Data'!C:G,5,0)</f>
        <v>#N/A</v>
      </c>
      <c r="D4" s="49"/>
      <c r="E4" s="47"/>
      <c r="F4" s="50">
        <f>E4*400</f>
        <v>0</v>
      </c>
      <c r="G4" s="22">
        <f>COUNTIF(B:B,B4)</f>
        <v>0</v>
      </c>
      <c r="H4" s="5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D5" s="52"/>
    </row>
    <row r="6">
      <c r="D6" s="52"/>
    </row>
    <row r="7" ht="44.25" customHeight="1">
      <c r="A7" s="53" t="s">
        <v>16</v>
      </c>
    </row>
    <row r="8">
      <c r="D8" s="52"/>
    </row>
    <row r="9">
      <c r="D9" s="52"/>
    </row>
    <row r="10">
      <c r="D10" s="52"/>
    </row>
    <row r="11">
      <c r="D11" s="52"/>
    </row>
    <row r="12">
      <c r="D12" s="52"/>
    </row>
    <row r="13">
      <c r="D13" s="52"/>
    </row>
    <row r="14">
      <c r="D14" s="52"/>
    </row>
    <row r="15">
      <c r="D15" s="52"/>
    </row>
    <row r="16">
      <c r="D16" s="52"/>
    </row>
    <row r="17">
      <c r="D17" s="52"/>
    </row>
    <row r="18">
      <c r="D18" s="52"/>
    </row>
    <row r="19">
      <c r="D19" s="52"/>
    </row>
    <row r="20">
      <c r="D20" s="52"/>
    </row>
    <row r="21">
      <c r="D21" s="52"/>
    </row>
    <row r="22">
      <c r="D22" s="52"/>
    </row>
    <row r="23">
      <c r="D23" s="52"/>
    </row>
    <row r="24">
      <c r="D24" s="52"/>
    </row>
    <row r="25">
      <c r="D25" s="52"/>
    </row>
    <row r="26">
      <c r="D26" s="52"/>
    </row>
    <row r="27">
      <c r="D27" s="52"/>
    </row>
    <row r="28">
      <c r="D28" s="52"/>
    </row>
    <row r="29">
      <c r="D29" s="52"/>
    </row>
    <row r="30">
      <c r="D30" s="52"/>
    </row>
    <row r="31">
      <c r="D31" s="52"/>
    </row>
    <row r="32">
      <c r="D32" s="52"/>
    </row>
    <row r="33">
      <c r="D33" s="52"/>
    </row>
    <row r="34">
      <c r="D34" s="52"/>
    </row>
    <row r="35">
      <c r="D35" s="52"/>
    </row>
    <row r="36">
      <c r="D36" s="52"/>
    </row>
    <row r="37">
      <c r="D37" s="52"/>
    </row>
    <row r="38">
      <c r="D38" s="52"/>
    </row>
    <row r="39">
      <c r="D39" s="52"/>
    </row>
    <row r="40">
      <c r="D40" s="52"/>
    </row>
    <row r="41">
      <c r="D41" s="52"/>
    </row>
    <row r="42">
      <c r="D42" s="52"/>
    </row>
    <row r="43">
      <c r="D43" s="52"/>
    </row>
    <row r="44">
      <c r="D44" s="52"/>
    </row>
    <row r="45">
      <c r="D45" s="52"/>
    </row>
    <row r="46">
      <c r="D46" s="52"/>
    </row>
    <row r="47">
      <c r="D47" s="52"/>
    </row>
    <row r="48">
      <c r="D48" s="52"/>
    </row>
    <row r="49">
      <c r="D49" s="52"/>
    </row>
    <row r="50">
      <c r="D50" s="52"/>
    </row>
    <row r="51">
      <c r="D51" s="52"/>
    </row>
    <row r="52">
      <c r="D52" s="52"/>
    </row>
    <row r="53">
      <c r="D53" s="52"/>
    </row>
    <row r="54">
      <c r="D54" s="52"/>
    </row>
    <row r="55">
      <c r="D55" s="52"/>
    </row>
    <row r="56">
      <c r="D56" s="52"/>
    </row>
    <row r="57">
      <c r="D57" s="52"/>
    </row>
    <row r="58">
      <c r="D58" s="52"/>
    </row>
    <row r="59">
      <c r="D59" s="52"/>
    </row>
    <row r="60">
      <c r="D60" s="52"/>
    </row>
    <row r="61">
      <c r="D61" s="52"/>
    </row>
    <row r="62">
      <c r="D62" s="52"/>
    </row>
    <row r="63">
      <c r="D63" s="52"/>
    </row>
    <row r="64">
      <c r="D64" s="52"/>
    </row>
    <row r="65">
      <c r="D65" s="52"/>
    </row>
    <row r="66">
      <c r="D66" s="52"/>
    </row>
    <row r="67">
      <c r="D67" s="52"/>
    </row>
    <row r="68">
      <c r="D68" s="52"/>
    </row>
    <row r="69">
      <c r="D69" s="52"/>
    </row>
    <row r="70">
      <c r="D70" s="52"/>
    </row>
    <row r="71">
      <c r="D71" s="52"/>
    </row>
    <row r="72">
      <c r="D72" s="52"/>
    </row>
    <row r="73">
      <c r="D73" s="52"/>
    </row>
    <row r="74">
      <c r="D74" s="52"/>
    </row>
    <row r="75">
      <c r="D75" s="52"/>
    </row>
    <row r="76">
      <c r="D76" s="52"/>
    </row>
    <row r="77">
      <c r="D77" s="52"/>
    </row>
    <row r="78">
      <c r="D78" s="52"/>
    </row>
    <row r="79">
      <c r="D79" s="52"/>
    </row>
    <row r="80">
      <c r="D80" s="52"/>
    </row>
    <row r="81">
      <c r="D81" s="52"/>
    </row>
    <row r="82">
      <c r="D82" s="52"/>
    </row>
    <row r="83">
      <c r="D83" s="52"/>
    </row>
    <row r="84">
      <c r="D84" s="52"/>
    </row>
    <row r="85">
      <c r="D85" s="52"/>
    </row>
    <row r="86">
      <c r="D86" s="52"/>
    </row>
    <row r="87">
      <c r="D87" s="52"/>
    </row>
    <row r="88">
      <c r="D88" s="52"/>
    </row>
    <row r="89">
      <c r="D89" s="52"/>
    </row>
    <row r="90">
      <c r="D90" s="52"/>
    </row>
    <row r="91">
      <c r="D91" s="52"/>
    </row>
    <row r="92">
      <c r="D92" s="52"/>
    </row>
    <row r="93">
      <c r="D93" s="52"/>
    </row>
    <row r="94">
      <c r="D94" s="52"/>
    </row>
    <row r="95">
      <c r="D95" s="52"/>
    </row>
    <row r="96">
      <c r="D96" s="52"/>
    </row>
    <row r="97">
      <c r="D97" s="52"/>
    </row>
    <row r="98">
      <c r="D98" s="52"/>
    </row>
    <row r="99">
      <c r="D99" s="52"/>
    </row>
    <row r="100">
      <c r="D100" s="52"/>
    </row>
    <row r="101">
      <c r="D101" s="52"/>
    </row>
    <row r="102">
      <c r="D102" s="52"/>
    </row>
    <row r="103">
      <c r="D103" s="52"/>
    </row>
    <row r="104">
      <c r="D104" s="52"/>
    </row>
    <row r="105">
      <c r="D105" s="52"/>
    </row>
    <row r="106">
      <c r="D106" s="52"/>
    </row>
    <row r="107">
      <c r="D107" s="52"/>
    </row>
    <row r="108">
      <c r="D108" s="52"/>
    </row>
    <row r="109">
      <c r="D109" s="52"/>
    </row>
    <row r="110">
      <c r="D110" s="52"/>
    </row>
    <row r="111">
      <c r="D111" s="52"/>
    </row>
    <row r="112">
      <c r="D112" s="52"/>
    </row>
    <row r="113">
      <c r="D113" s="52"/>
    </row>
    <row r="114">
      <c r="D114" s="52"/>
    </row>
    <row r="115">
      <c r="D115" s="52"/>
    </row>
    <row r="116">
      <c r="D116" s="52"/>
    </row>
    <row r="117">
      <c r="D117" s="52"/>
    </row>
    <row r="118">
      <c r="D118" s="52"/>
    </row>
    <row r="119">
      <c r="D119" s="52"/>
    </row>
    <row r="120">
      <c r="D120" s="52"/>
    </row>
    <row r="121">
      <c r="D121" s="52"/>
    </row>
    <row r="122">
      <c r="D122" s="52"/>
    </row>
    <row r="123">
      <c r="D123" s="52"/>
    </row>
    <row r="124">
      <c r="D124" s="52"/>
    </row>
    <row r="125">
      <c r="D125" s="52"/>
    </row>
    <row r="126">
      <c r="D126" s="52"/>
    </row>
    <row r="127">
      <c r="D127" s="52"/>
    </row>
    <row r="128">
      <c r="D128" s="52"/>
    </row>
    <row r="129">
      <c r="D129" s="52"/>
    </row>
    <row r="130">
      <c r="D130" s="52"/>
    </row>
    <row r="131">
      <c r="D131" s="52"/>
    </row>
    <row r="132">
      <c r="D132" s="52"/>
    </row>
    <row r="133">
      <c r="D133" s="52"/>
    </row>
    <row r="134">
      <c r="D134" s="52"/>
    </row>
    <row r="135">
      <c r="D135" s="52"/>
    </row>
    <row r="136">
      <c r="D136" s="52"/>
    </row>
    <row r="137">
      <c r="D137" s="52"/>
    </row>
    <row r="138">
      <c r="D138" s="52"/>
    </row>
    <row r="139">
      <c r="D139" s="52"/>
    </row>
    <row r="140">
      <c r="D140" s="52"/>
    </row>
    <row r="141">
      <c r="D141" s="52"/>
    </row>
    <row r="142">
      <c r="D142" s="52"/>
    </row>
    <row r="143">
      <c r="D143" s="52"/>
    </row>
    <row r="144">
      <c r="D144" s="52"/>
    </row>
    <row r="145">
      <c r="D145" s="52"/>
    </row>
    <row r="146">
      <c r="D146" s="52"/>
    </row>
    <row r="147">
      <c r="D147" s="52"/>
    </row>
    <row r="148">
      <c r="D148" s="52"/>
    </row>
    <row r="149">
      <c r="D149" s="52"/>
    </row>
    <row r="150">
      <c r="D150" s="52"/>
    </row>
    <row r="151">
      <c r="D151" s="52"/>
    </row>
    <row r="152">
      <c r="D152" s="52"/>
    </row>
    <row r="153">
      <c r="D153" s="52"/>
    </row>
    <row r="154">
      <c r="D154" s="52"/>
    </row>
    <row r="155">
      <c r="D155" s="52"/>
    </row>
    <row r="156">
      <c r="D156" s="52"/>
    </row>
    <row r="157">
      <c r="D157" s="52"/>
    </row>
    <row r="158">
      <c r="D158" s="52"/>
    </row>
    <row r="159">
      <c r="D159" s="52"/>
    </row>
    <row r="160">
      <c r="D160" s="52"/>
    </row>
    <row r="161">
      <c r="D161" s="52"/>
    </row>
    <row r="162">
      <c r="D162" s="52"/>
    </row>
    <row r="163">
      <c r="D163" s="52"/>
    </row>
    <row r="164">
      <c r="D164" s="52"/>
    </row>
    <row r="165">
      <c r="D165" s="52"/>
    </row>
    <row r="166">
      <c r="D166" s="52"/>
    </row>
    <row r="167">
      <c r="D167" s="52"/>
    </row>
    <row r="168">
      <c r="D168" s="52"/>
    </row>
    <row r="169">
      <c r="D169" s="52"/>
    </row>
    <row r="170">
      <c r="D170" s="52"/>
    </row>
    <row r="171">
      <c r="D171" s="52"/>
    </row>
    <row r="172">
      <c r="D172" s="52"/>
    </row>
    <row r="173">
      <c r="D173" s="52"/>
    </row>
    <row r="174">
      <c r="D174" s="52"/>
    </row>
    <row r="175">
      <c r="D175" s="52"/>
    </row>
    <row r="176">
      <c r="D176" s="52"/>
    </row>
    <row r="177">
      <c r="D177" s="52"/>
    </row>
    <row r="178">
      <c r="D178" s="52"/>
    </row>
    <row r="179">
      <c r="D179" s="52"/>
    </row>
    <row r="180">
      <c r="D180" s="52"/>
    </row>
    <row r="181">
      <c r="D181" s="52"/>
    </row>
    <row r="182">
      <c r="D182" s="52"/>
    </row>
    <row r="183">
      <c r="D183" s="52"/>
    </row>
    <row r="184">
      <c r="D184" s="52"/>
    </row>
    <row r="185">
      <c r="D185" s="52"/>
    </row>
    <row r="186">
      <c r="D186" s="52"/>
    </row>
    <row r="187">
      <c r="D187" s="52"/>
    </row>
    <row r="188">
      <c r="D188" s="52"/>
    </row>
    <row r="189">
      <c r="D189" s="52"/>
    </row>
    <row r="190">
      <c r="D190" s="52"/>
    </row>
    <row r="191">
      <c r="D191" s="52"/>
    </row>
    <row r="192">
      <c r="D192" s="52"/>
    </row>
    <row r="193">
      <c r="D193" s="52"/>
    </row>
    <row r="194">
      <c r="D194" s="52"/>
    </row>
    <row r="195">
      <c r="D195" s="52"/>
    </row>
    <row r="196">
      <c r="D196" s="52"/>
    </row>
    <row r="197">
      <c r="D197" s="52"/>
    </row>
    <row r="198">
      <c r="D198" s="52"/>
    </row>
    <row r="199">
      <c r="D199" s="52"/>
    </row>
    <row r="200">
      <c r="D200" s="52"/>
    </row>
    <row r="201">
      <c r="D201" s="52"/>
    </row>
    <row r="202">
      <c r="D202" s="52"/>
    </row>
    <row r="203">
      <c r="D203" s="52"/>
    </row>
    <row r="204">
      <c r="D204" s="52"/>
    </row>
    <row r="205">
      <c r="D205" s="52"/>
    </row>
    <row r="206">
      <c r="D206" s="52"/>
    </row>
    <row r="207">
      <c r="D207" s="52"/>
    </row>
    <row r="208">
      <c r="D208" s="52"/>
    </row>
    <row r="209">
      <c r="D209" s="52"/>
    </row>
    <row r="210">
      <c r="D210" s="52"/>
    </row>
    <row r="211">
      <c r="D211" s="52"/>
    </row>
    <row r="212">
      <c r="D212" s="52"/>
    </row>
    <row r="213">
      <c r="D213" s="52"/>
    </row>
    <row r="214">
      <c r="D214" s="52"/>
    </row>
    <row r="215">
      <c r="D215" s="52"/>
    </row>
    <row r="216">
      <c r="D216" s="52"/>
    </row>
    <row r="217">
      <c r="D217" s="52"/>
    </row>
    <row r="218">
      <c r="D218" s="52"/>
    </row>
    <row r="219">
      <c r="D219" s="52"/>
    </row>
    <row r="220">
      <c r="D220" s="52"/>
    </row>
    <row r="221">
      <c r="D221" s="52"/>
    </row>
    <row r="222">
      <c r="D222" s="52"/>
    </row>
    <row r="223">
      <c r="D223" s="52"/>
    </row>
    <row r="224">
      <c r="D224" s="52"/>
    </row>
    <row r="225">
      <c r="D225" s="52"/>
    </row>
    <row r="226">
      <c r="D226" s="52"/>
    </row>
    <row r="227">
      <c r="D227" s="52"/>
    </row>
    <row r="228">
      <c r="D228" s="52"/>
    </row>
    <row r="229">
      <c r="D229" s="52"/>
    </row>
    <row r="230">
      <c r="D230" s="52"/>
    </row>
    <row r="231">
      <c r="D231" s="52"/>
    </row>
    <row r="232">
      <c r="D232" s="52"/>
    </row>
    <row r="233">
      <c r="D233" s="52"/>
    </row>
    <row r="234">
      <c r="D234" s="52"/>
    </row>
    <row r="235">
      <c r="D235" s="52"/>
    </row>
    <row r="236">
      <c r="D236" s="52"/>
    </row>
    <row r="237">
      <c r="D237" s="52"/>
    </row>
    <row r="238">
      <c r="D238" s="52"/>
    </row>
    <row r="239">
      <c r="D239" s="52"/>
    </row>
    <row r="240">
      <c r="D240" s="52"/>
    </row>
    <row r="241">
      <c r="D241" s="52"/>
    </row>
    <row r="242">
      <c r="D242" s="52"/>
    </row>
    <row r="243">
      <c r="D243" s="52"/>
    </row>
    <row r="244">
      <c r="D244" s="52"/>
    </row>
    <row r="245">
      <c r="D245" s="52"/>
    </row>
    <row r="246">
      <c r="D246" s="52"/>
    </row>
    <row r="247">
      <c r="D247" s="52"/>
    </row>
    <row r="248">
      <c r="D248" s="52"/>
    </row>
    <row r="249">
      <c r="D249" s="52"/>
    </row>
    <row r="250">
      <c r="D250" s="52"/>
    </row>
    <row r="251">
      <c r="D251" s="52"/>
    </row>
    <row r="252">
      <c r="D252" s="52"/>
    </row>
    <row r="253">
      <c r="D253" s="52"/>
    </row>
    <row r="254">
      <c r="D254" s="52"/>
    </row>
    <row r="255">
      <c r="D255" s="52"/>
    </row>
    <row r="256">
      <c r="D256" s="52"/>
    </row>
    <row r="257">
      <c r="D257" s="52"/>
    </row>
    <row r="258">
      <c r="D258" s="52"/>
    </row>
    <row r="259">
      <c r="D259" s="52"/>
    </row>
    <row r="260">
      <c r="D260" s="52"/>
    </row>
    <row r="261">
      <c r="D261" s="52"/>
    </row>
    <row r="262">
      <c r="D262" s="52"/>
    </row>
    <row r="263">
      <c r="D263" s="52"/>
    </row>
    <row r="264">
      <c r="D264" s="52"/>
    </row>
    <row r="265">
      <c r="D265" s="52"/>
    </row>
    <row r="266">
      <c r="D266" s="52"/>
    </row>
    <row r="267">
      <c r="D267" s="52"/>
    </row>
    <row r="268">
      <c r="D268" s="52"/>
    </row>
    <row r="269">
      <c r="D269" s="52"/>
    </row>
    <row r="270">
      <c r="D270" s="52"/>
    </row>
    <row r="271">
      <c r="D271" s="52"/>
    </row>
    <row r="272">
      <c r="D272" s="52"/>
    </row>
    <row r="273">
      <c r="D273" s="52"/>
    </row>
    <row r="274">
      <c r="D274" s="52"/>
    </row>
    <row r="275">
      <c r="D275" s="52"/>
    </row>
    <row r="276">
      <c r="D276" s="52"/>
    </row>
    <row r="277">
      <c r="D277" s="52"/>
    </row>
    <row r="278">
      <c r="D278" s="52"/>
    </row>
    <row r="279">
      <c r="D279" s="52"/>
    </row>
    <row r="280">
      <c r="D280" s="52"/>
    </row>
    <row r="281">
      <c r="D281" s="52"/>
    </row>
    <row r="282">
      <c r="D282" s="52"/>
    </row>
    <row r="283">
      <c r="D283" s="52"/>
    </row>
    <row r="284">
      <c r="D284" s="52"/>
    </row>
    <row r="285">
      <c r="D285" s="52"/>
    </row>
    <row r="286">
      <c r="D286" s="52"/>
    </row>
    <row r="287">
      <c r="D287" s="52"/>
    </row>
    <row r="288">
      <c r="D288" s="52"/>
    </row>
    <row r="289">
      <c r="D289" s="52"/>
    </row>
    <row r="290">
      <c r="D290" s="52"/>
    </row>
    <row r="291">
      <c r="D291" s="52"/>
    </row>
    <row r="292">
      <c r="D292" s="52"/>
    </row>
    <row r="293">
      <c r="D293" s="52"/>
    </row>
    <row r="294">
      <c r="D294" s="52"/>
    </row>
    <row r="295">
      <c r="D295" s="52"/>
    </row>
    <row r="296">
      <c r="D296" s="52"/>
    </row>
    <row r="297">
      <c r="D297" s="52"/>
    </row>
    <row r="298">
      <c r="D298" s="52"/>
    </row>
    <row r="299">
      <c r="D299" s="52"/>
    </row>
    <row r="300">
      <c r="D300" s="52"/>
    </row>
    <row r="301">
      <c r="D301" s="52"/>
    </row>
    <row r="302">
      <c r="D302" s="52"/>
    </row>
    <row r="303">
      <c r="D303" s="52"/>
    </row>
    <row r="304">
      <c r="D304" s="52"/>
    </row>
    <row r="305">
      <c r="D305" s="52"/>
    </row>
    <row r="306">
      <c r="D306" s="52"/>
    </row>
    <row r="307">
      <c r="D307" s="52"/>
    </row>
    <row r="308">
      <c r="D308" s="52"/>
    </row>
    <row r="309">
      <c r="D309" s="52"/>
    </row>
    <row r="310">
      <c r="D310" s="52"/>
    </row>
    <row r="311">
      <c r="D311" s="52"/>
    </row>
    <row r="312">
      <c r="D312" s="52"/>
    </row>
    <row r="313">
      <c r="D313" s="52"/>
    </row>
    <row r="314">
      <c r="D314" s="52"/>
    </row>
    <row r="315">
      <c r="D315" s="52"/>
    </row>
    <row r="316">
      <c r="D316" s="52"/>
    </row>
    <row r="317">
      <c r="D317" s="52"/>
    </row>
    <row r="318">
      <c r="D318" s="52"/>
    </row>
    <row r="319">
      <c r="D319" s="52"/>
    </row>
    <row r="320">
      <c r="D320" s="52"/>
    </row>
    <row r="321">
      <c r="D321" s="52"/>
    </row>
    <row r="322">
      <c r="D322" s="52"/>
    </row>
    <row r="323">
      <c r="D323" s="52"/>
    </row>
    <row r="324">
      <c r="D324" s="52"/>
    </row>
    <row r="325">
      <c r="D325" s="52"/>
    </row>
    <row r="326">
      <c r="D326" s="52"/>
    </row>
    <row r="327">
      <c r="D327" s="52"/>
    </row>
    <row r="328">
      <c r="D328" s="52"/>
    </row>
    <row r="329">
      <c r="D329" s="52"/>
    </row>
    <row r="330">
      <c r="D330" s="52"/>
    </row>
    <row r="331">
      <c r="D331" s="52"/>
    </row>
    <row r="332">
      <c r="D332" s="52"/>
    </row>
    <row r="333">
      <c r="D333" s="52"/>
    </row>
    <row r="334">
      <c r="D334" s="52"/>
    </row>
    <row r="335">
      <c r="D335" s="52"/>
    </row>
    <row r="336">
      <c r="D336" s="52"/>
    </row>
    <row r="337">
      <c r="D337" s="52"/>
    </row>
    <row r="338">
      <c r="D338" s="52"/>
    </row>
    <row r="339">
      <c r="D339" s="52"/>
    </row>
    <row r="340">
      <c r="D340" s="52"/>
    </row>
    <row r="341">
      <c r="D341" s="52"/>
    </row>
    <row r="342">
      <c r="D342" s="52"/>
    </row>
    <row r="343">
      <c r="D343" s="52"/>
    </row>
    <row r="344">
      <c r="D344" s="52"/>
    </row>
    <row r="345">
      <c r="D345" s="52"/>
    </row>
    <row r="346">
      <c r="D346" s="52"/>
    </row>
    <row r="347">
      <c r="D347" s="52"/>
    </row>
    <row r="348">
      <c r="D348" s="52"/>
    </row>
    <row r="349">
      <c r="D349" s="52"/>
    </row>
    <row r="350">
      <c r="D350" s="52"/>
    </row>
    <row r="351">
      <c r="D351" s="52"/>
    </row>
    <row r="352">
      <c r="D352" s="52"/>
    </row>
    <row r="353">
      <c r="D353" s="52"/>
    </row>
    <row r="354">
      <c r="D354" s="52"/>
    </row>
    <row r="355">
      <c r="D355" s="52"/>
    </row>
    <row r="356">
      <c r="D356" s="52"/>
    </row>
    <row r="357">
      <c r="D357" s="52"/>
    </row>
    <row r="358">
      <c r="D358" s="52"/>
    </row>
    <row r="359">
      <c r="D359" s="52"/>
    </row>
    <row r="360">
      <c r="D360" s="52"/>
    </row>
    <row r="361">
      <c r="D361" s="52"/>
    </row>
    <row r="362">
      <c r="D362" s="52"/>
    </row>
    <row r="363">
      <c r="D363" s="52"/>
    </row>
    <row r="364">
      <c r="D364" s="52"/>
    </row>
    <row r="365">
      <c r="D365" s="52"/>
    </row>
    <row r="366">
      <c r="D366" s="52"/>
    </row>
    <row r="367">
      <c r="D367" s="52"/>
    </row>
    <row r="368">
      <c r="D368" s="52"/>
    </row>
    <row r="369">
      <c r="D369" s="52"/>
    </row>
    <row r="370">
      <c r="D370" s="52"/>
    </row>
    <row r="371">
      <c r="D371" s="52"/>
    </row>
    <row r="372">
      <c r="D372" s="52"/>
    </row>
    <row r="373">
      <c r="D373" s="52"/>
    </row>
    <row r="374">
      <c r="D374" s="52"/>
    </row>
    <row r="375">
      <c r="D375" s="52"/>
    </row>
    <row r="376">
      <c r="D376" s="52"/>
    </row>
    <row r="377">
      <c r="D377" s="52"/>
    </row>
    <row r="378">
      <c r="D378" s="52"/>
    </row>
    <row r="379">
      <c r="D379" s="52"/>
    </row>
    <row r="380">
      <c r="D380" s="52"/>
    </row>
    <row r="381">
      <c r="D381" s="52"/>
    </row>
    <row r="382">
      <c r="D382" s="52"/>
    </row>
    <row r="383">
      <c r="D383" s="52"/>
    </row>
    <row r="384">
      <c r="D384" s="52"/>
    </row>
    <row r="385">
      <c r="D385" s="52"/>
    </row>
    <row r="386">
      <c r="D386" s="52"/>
    </row>
    <row r="387">
      <c r="D387" s="52"/>
    </row>
    <row r="388">
      <c r="D388" s="52"/>
    </row>
    <row r="389">
      <c r="D389" s="52"/>
    </row>
    <row r="390">
      <c r="D390" s="52"/>
    </row>
    <row r="391">
      <c r="D391" s="52"/>
    </row>
    <row r="392">
      <c r="D392" s="52"/>
    </row>
    <row r="393">
      <c r="D393" s="52"/>
    </row>
    <row r="394">
      <c r="D394" s="52"/>
    </row>
    <row r="395">
      <c r="D395" s="52"/>
    </row>
    <row r="396">
      <c r="D396" s="52"/>
    </row>
    <row r="397">
      <c r="D397" s="52"/>
    </row>
    <row r="398">
      <c r="D398" s="52"/>
    </row>
    <row r="399">
      <c r="D399" s="52"/>
    </row>
    <row r="400">
      <c r="D400" s="52"/>
    </row>
    <row r="401">
      <c r="D401" s="52"/>
    </row>
    <row r="402">
      <c r="D402" s="52"/>
    </row>
    <row r="403">
      <c r="D403" s="52"/>
    </row>
    <row r="404">
      <c r="D404" s="52"/>
    </row>
    <row r="405">
      <c r="D405" s="52"/>
    </row>
    <row r="406">
      <c r="D406" s="52"/>
    </row>
    <row r="407">
      <c r="D407" s="52"/>
    </row>
    <row r="408">
      <c r="D408" s="52"/>
    </row>
    <row r="409">
      <c r="D409" s="52"/>
    </row>
    <row r="410">
      <c r="D410" s="52"/>
    </row>
    <row r="411">
      <c r="D411" s="52"/>
    </row>
    <row r="412">
      <c r="D412" s="52"/>
    </row>
    <row r="413">
      <c r="D413" s="52"/>
    </row>
    <row r="414">
      <c r="D414" s="52"/>
    </row>
    <row r="415">
      <c r="D415" s="52"/>
    </row>
    <row r="416">
      <c r="D416" s="52"/>
    </row>
    <row r="417">
      <c r="D417" s="52"/>
    </row>
    <row r="418">
      <c r="D418" s="52"/>
    </row>
    <row r="419">
      <c r="D419" s="52"/>
    </row>
    <row r="420">
      <c r="D420" s="52"/>
    </row>
    <row r="421">
      <c r="D421" s="52"/>
    </row>
    <row r="422">
      <c r="D422" s="52"/>
    </row>
    <row r="423">
      <c r="D423" s="52"/>
    </row>
    <row r="424">
      <c r="D424" s="52"/>
    </row>
    <row r="425">
      <c r="D425" s="52"/>
    </row>
    <row r="426">
      <c r="D426" s="52"/>
    </row>
    <row r="427">
      <c r="D427" s="52"/>
    </row>
    <row r="428">
      <c r="D428" s="52"/>
    </row>
    <row r="429">
      <c r="D429" s="52"/>
    </row>
    <row r="430">
      <c r="D430" s="52"/>
    </row>
    <row r="431">
      <c r="D431" s="52"/>
    </row>
    <row r="432">
      <c r="D432" s="52"/>
    </row>
    <row r="433">
      <c r="D433" s="52"/>
    </row>
    <row r="434">
      <c r="D434" s="52"/>
    </row>
    <row r="435">
      <c r="D435" s="52"/>
    </row>
    <row r="436">
      <c r="D436" s="52"/>
    </row>
    <row r="437">
      <c r="D437" s="52"/>
    </row>
    <row r="438">
      <c r="D438" s="52"/>
    </row>
    <row r="439">
      <c r="D439" s="52"/>
    </row>
    <row r="440">
      <c r="D440" s="52"/>
    </row>
    <row r="441">
      <c r="D441" s="52"/>
    </row>
    <row r="442">
      <c r="D442" s="52"/>
    </row>
    <row r="443">
      <c r="D443" s="52"/>
    </row>
    <row r="444">
      <c r="D444" s="52"/>
    </row>
    <row r="445">
      <c r="D445" s="52"/>
    </row>
    <row r="446">
      <c r="D446" s="52"/>
    </row>
    <row r="447">
      <c r="D447" s="52"/>
    </row>
    <row r="448">
      <c r="D448" s="52"/>
    </row>
    <row r="449">
      <c r="D449" s="52"/>
    </row>
    <row r="450">
      <c r="D450" s="52"/>
    </row>
    <row r="451">
      <c r="D451" s="52"/>
    </row>
    <row r="452">
      <c r="D452" s="52"/>
    </row>
    <row r="453">
      <c r="D453" s="52"/>
    </row>
    <row r="454">
      <c r="D454" s="52"/>
    </row>
    <row r="455">
      <c r="D455" s="52"/>
    </row>
    <row r="456">
      <c r="D456" s="52"/>
    </row>
    <row r="457">
      <c r="D457" s="52"/>
    </row>
    <row r="458">
      <c r="D458" s="52"/>
    </row>
    <row r="459">
      <c r="D459" s="52"/>
    </row>
    <row r="460">
      <c r="D460" s="52"/>
    </row>
    <row r="461">
      <c r="D461" s="52"/>
    </row>
    <row r="462">
      <c r="D462" s="52"/>
    </row>
    <row r="463">
      <c r="D463" s="52"/>
    </row>
    <row r="464">
      <c r="D464" s="52"/>
    </row>
    <row r="465">
      <c r="D465" s="52"/>
    </row>
    <row r="466">
      <c r="D466" s="52"/>
    </row>
    <row r="467">
      <c r="D467" s="52"/>
    </row>
    <row r="468">
      <c r="D468" s="52"/>
    </row>
    <row r="469">
      <c r="D469" s="52"/>
    </row>
    <row r="470">
      <c r="D470" s="52"/>
    </row>
    <row r="471">
      <c r="D471" s="52"/>
    </row>
    <row r="472">
      <c r="D472" s="52"/>
    </row>
    <row r="473">
      <c r="D473" s="52"/>
    </row>
    <row r="474">
      <c r="D474" s="52"/>
    </row>
    <row r="475">
      <c r="D475" s="52"/>
    </row>
    <row r="476">
      <c r="D476" s="52"/>
    </row>
    <row r="477">
      <c r="D477" s="52"/>
    </row>
    <row r="478">
      <c r="D478" s="52"/>
    </row>
    <row r="479">
      <c r="D479" s="52"/>
    </row>
    <row r="480">
      <c r="D480" s="52"/>
    </row>
    <row r="481">
      <c r="D481" s="52"/>
    </row>
    <row r="482">
      <c r="D482" s="52"/>
    </row>
    <row r="483">
      <c r="D483" s="52"/>
    </row>
    <row r="484">
      <c r="D484" s="52"/>
    </row>
    <row r="485">
      <c r="D485" s="52"/>
    </row>
    <row r="486">
      <c r="D486" s="52"/>
    </row>
    <row r="487">
      <c r="D487" s="52"/>
    </row>
    <row r="488">
      <c r="D488" s="52"/>
    </row>
    <row r="489">
      <c r="D489" s="52"/>
    </row>
    <row r="490">
      <c r="D490" s="52"/>
    </row>
    <row r="491">
      <c r="D491" s="52"/>
    </row>
    <row r="492">
      <c r="D492" s="52"/>
    </row>
    <row r="493">
      <c r="D493" s="52"/>
    </row>
    <row r="494">
      <c r="D494" s="52"/>
    </row>
    <row r="495">
      <c r="D495" s="52"/>
    </row>
    <row r="496">
      <c r="D496" s="52"/>
    </row>
    <row r="497">
      <c r="D497" s="52"/>
    </row>
    <row r="498">
      <c r="D498" s="52"/>
    </row>
    <row r="499">
      <c r="D499" s="52"/>
    </row>
    <row r="500">
      <c r="D500" s="52"/>
    </row>
    <row r="501">
      <c r="D501" s="52"/>
    </row>
    <row r="502">
      <c r="D502" s="52"/>
    </row>
    <row r="503">
      <c r="D503" s="52"/>
    </row>
    <row r="504">
      <c r="D504" s="52"/>
    </row>
    <row r="505">
      <c r="D505" s="52"/>
    </row>
    <row r="506">
      <c r="D506" s="52"/>
    </row>
    <row r="507">
      <c r="D507" s="52"/>
    </row>
    <row r="508">
      <c r="D508" s="52"/>
    </row>
    <row r="509">
      <c r="D509" s="52"/>
    </row>
    <row r="510">
      <c r="D510" s="52"/>
    </row>
    <row r="511">
      <c r="D511" s="52"/>
    </row>
    <row r="512">
      <c r="D512" s="52"/>
    </row>
    <row r="513">
      <c r="D513" s="52"/>
    </row>
    <row r="514">
      <c r="D514" s="52"/>
    </row>
    <row r="515">
      <c r="D515" s="52"/>
    </row>
    <row r="516">
      <c r="D516" s="52"/>
    </row>
    <row r="517">
      <c r="D517" s="52"/>
    </row>
    <row r="518">
      <c r="D518" s="52"/>
    </row>
    <row r="519">
      <c r="D519" s="52"/>
    </row>
    <row r="520">
      <c r="D520" s="52"/>
    </row>
    <row r="521">
      <c r="D521" s="52"/>
    </row>
    <row r="522">
      <c r="D522" s="52"/>
    </row>
    <row r="523">
      <c r="D523" s="52"/>
    </row>
    <row r="524">
      <c r="D524" s="52"/>
    </row>
    <row r="525">
      <c r="D525" s="52"/>
    </row>
    <row r="526">
      <c r="D526" s="52"/>
    </row>
    <row r="527">
      <c r="D527" s="52"/>
    </row>
    <row r="528">
      <c r="D528" s="52"/>
    </row>
    <row r="529">
      <c r="D529" s="52"/>
    </row>
    <row r="530">
      <c r="D530" s="52"/>
    </row>
    <row r="531">
      <c r="D531" s="52"/>
    </row>
    <row r="532">
      <c r="D532" s="52"/>
    </row>
    <row r="533">
      <c r="D533" s="52"/>
    </row>
    <row r="534">
      <c r="D534" s="52"/>
    </row>
    <row r="535">
      <c r="D535" s="52"/>
    </row>
    <row r="536">
      <c r="D536" s="52"/>
    </row>
    <row r="537">
      <c r="D537" s="52"/>
    </row>
    <row r="538">
      <c r="D538" s="52"/>
    </row>
    <row r="539">
      <c r="D539" s="52"/>
    </row>
    <row r="540">
      <c r="D540" s="52"/>
    </row>
    <row r="541">
      <c r="D541" s="52"/>
    </row>
    <row r="542">
      <c r="D542" s="52"/>
    </row>
    <row r="543">
      <c r="D543" s="52"/>
    </row>
    <row r="544">
      <c r="D544" s="52"/>
    </row>
    <row r="545">
      <c r="D545" s="52"/>
    </row>
    <row r="546">
      <c r="D546" s="52"/>
    </row>
    <row r="547">
      <c r="D547" s="52"/>
    </row>
    <row r="548">
      <c r="D548" s="52"/>
    </row>
    <row r="549">
      <c r="D549" s="52"/>
    </row>
    <row r="550">
      <c r="D550" s="52"/>
    </row>
    <row r="551">
      <c r="D551" s="52"/>
    </row>
    <row r="552">
      <c r="D552" s="52"/>
    </row>
    <row r="553">
      <c r="D553" s="52"/>
    </row>
    <row r="554">
      <c r="D554" s="52"/>
    </row>
    <row r="555">
      <c r="D555" s="52"/>
    </row>
    <row r="556">
      <c r="D556" s="52"/>
    </row>
    <row r="557">
      <c r="D557" s="52"/>
    </row>
    <row r="558">
      <c r="D558" s="52"/>
    </row>
    <row r="559">
      <c r="D559" s="52"/>
    </row>
    <row r="560">
      <c r="D560" s="52"/>
    </row>
    <row r="561">
      <c r="D561" s="52"/>
    </row>
    <row r="562">
      <c r="D562" s="52"/>
    </row>
    <row r="563">
      <c r="D563" s="52"/>
    </row>
    <row r="564">
      <c r="D564" s="52"/>
    </row>
    <row r="565">
      <c r="D565" s="52"/>
    </row>
    <row r="566">
      <c r="D566" s="52"/>
    </row>
    <row r="567">
      <c r="D567" s="52"/>
    </row>
    <row r="568">
      <c r="D568" s="52"/>
    </row>
    <row r="569">
      <c r="D569" s="52"/>
    </row>
    <row r="570">
      <c r="D570" s="52"/>
    </row>
    <row r="571">
      <c r="D571" s="52"/>
    </row>
    <row r="572">
      <c r="D572" s="52"/>
    </row>
    <row r="573">
      <c r="D573" s="52"/>
    </row>
    <row r="574">
      <c r="D574" s="52"/>
    </row>
    <row r="575">
      <c r="D575" s="52"/>
    </row>
    <row r="576">
      <c r="D576" s="52"/>
    </row>
    <row r="577">
      <c r="D577" s="52"/>
    </row>
    <row r="578">
      <c r="D578" s="52"/>
    </row>
    <row r="579">
      <c r="D579" s="52"/>
    </row>
    <row r="580">
      <c r="D580" s="52"/>
    </row>
    <row r="581">
      <c r="D581" s="52"/>
    </row>
    <row r="582">
      <c r="D582" s="52"/>
    </row>
    <row r="583">
      <c r="D583" s="52"/>
    </row>
    <row r="584">
      <c r="D584" s="52"/>
    </row>
    <row r="585">
      <c r="D585" s="52"/>
    </row>
    <row r="586">
      <c r="D586" s="52"/>
    </row>
    <row r="587">
      <c r="D587" s="52"/>
    </row>
    <row r="588">
      <c r="D588" s="52"/>
    </row>
    <row r="589">
      <c r="D589" s="52"/>
    </row>
    <row r="590">
      <c r="D590" s="52"/>
    </row>
    <row r="591">
      <c r="D591" s="52"/>
    </row>
    <row r="592">
      <c r="D592" s="52"/>
    </row>
    <row r="593">
      <c r="D593" s="52"/>
    </row>
    <row r="594">
      <c r="D594" s="52"/>
    </row>
    <row r="595">
      <c r="D595" s="52"/>
    </row>
    <row r="596">
      <c r="D596" s="52"/>
    </row>
    <row r="597">
      <c r="D597" s="52"/>
    </row>
    <row r="598">
      <c r="D598" s="52"/>
    </row>
    <row r="599">
      <c r="D599" s="52"/>
    </row>
    <row r="600">
      <c r="D600" s="52"/>
    </row>
    <row r="601">
      <c r="D601" s="52"/>
    </row>
    <row r="602">
      <c r="D602" s="52"/>
    </row>
    <row r="603">
      <c r="D603" s="52"/>
    </row>
    <row r="604">
      <c r="D604" s="52"/>
    </row>
    <row r="605">
      <c r="D605" s="52"/>
    </row>
    <row r="606">
      <c r="D606" s="52"/>
    </row>
    <row r="607">
      <c r="D607" s="52"/>
    </row>
    <row r="608">
      <c r="D608" s="52"/>
    </row>
    <row r="609">
      <c r="D609" s="52"/>
    </row>
    <row r="610">
      <c r="D610" s="52"/>
    </row>
    <row r="611">
      <c r="D611" s="52"/>
    </row>
    <row r="612">
      <c r="D612" s="52"/>
    </row>
    <row r="613">
      <c r="D613" s="52"/>
    </row>
    <row r="614">
      <c r="D614" s="52"/>
    </row>
    <row r="615">
      <c r="D615" s="52"/>
    </row>
    <row r="616">
      <c r="D616" s="52"/>
    </row>
    <row r="617">
      <c r="D617" s="52"/>
    </row>
    <row r="618">
      <c r="D618" s="52"/>
    </row>
    <row r="619">
      <c r="D619" s="52"/>
    </row>
    <row r="620">
      <c r="D620" s="52"/>
    </row>
    <row r="621">
      <c r="D621" s="52"/>
    </row>
    <row r="622">
      <c r="D622" s="52"/>
    </row>
    <row r="623">
      <c r="D623" s="52"/>
    </row>
    <row r="624">
      <c r="D624" s="52"/>
    </row>
    <row r="625">
      <c r="D625" s="52"/>
    </row>
    <row r="626">
      <c r="D626" s="52"/>
    </row>
    <row r="627">
      <c r="D627" s="52"/>
    </row>
    <row r="628">
      <c r="D628" s="52"/>
    </row>
    <row r="629">
      <c r="D629" s="52"/>
    </row>
    <row r="630">
      <c r="D630" s="52"/>
    </row>
    <row r="631">
      <c r="D631" s="52"/>
    </row>
    <row r="632">
      <c r="D632" s="52"/>
    </row>
    <row r="633">
      <c r="D633" s="52"/>
    </row>
    <row r="634">
      <c r="D634" s="52"/>
    </row>
    <row r="635">
      <c r="D635" s="52"/>
    </row>
    <row r="636">
      <c r="D636" s="52"/>
    </row>
    <row r="637">
      <c r="D637" s="52"/>
    </row>
    <row r="638">
      <c r="D638" s="52"/>
    </row>
    <row r="639">
      <c r="D639" s="52"/>
    </row>
    <row r="640">
      <c r="D640" s="52"/>
    </row>
    <row r="641">
      <c r="D641" s="52"/>
    </row>
    <row r="642">
      <c r="D642" s="52"/>
    </row>
    <row r="643">
      <c r="D643" s="52"/>
    </row>
    <row r="644">
      <c r="D644" s="52"/>
    </row>
    <row r="645">
      <c r="D645" s="52"/>
    </row>
    <row r="646">
      <c r="D646" s="52"/>
    </row>
    <row r="647">
      <c r="D647" s="52"/>
    </row>
    <row r="648">
      <c r="D648" s="52"/>
    </row>
    <row r="649">
      <c r="D649" s="52"/>
    </row>
    <row r="650">
      <c r="D650" s="52"/>
    </row>
    <row r="651">
      <c r="D651" s="52"/>
    </row>
    <row r="652">
      <c r="D652" s="52"/>
    </row>
    <row r="653">
      <c r="D653" s="52"/>
    </row>
    <row r="654">
      <c r="D654" s="52"/>
    </row>
    <row r="655">
      <c r="D655" s="52"/>
    </row>
    <row r="656">
      <c r="D656" s="52"/>
    </row>
    <row r="657">
      <c r="D657" s="52"/>
    </row>
    <row r="658">
      <c r="D658" s="52"/>
    </row>
    <row r="659">
      <c r="D659" s="52"/>
    </row>
    <row r="660">
      <c r="D660" s="52"/>
    </row>
    <row r="661">
      <c r="D661" s="52"/>
    </row>
    <row r="662">
      <c r="D662" s="52"/>
    </row>
    <row r="663">
      <c r="D663" s="52"/>
    </row>
    <row r="664">
      <c r="D664" s="52"/>
    </row>
    <row r="665">
      <c r="D665" s="52"/>
    </row>
    <row r="666">
      <c r="D666" s="52"/>
    </row>
    <row r="667">
      <c r="D667" s="52"/>
    </row>
    <row r="668">
      <c r="D668" s="52"/>
    </row>
    <row r="669">
      <c r="D669" s="52"/>
    </row>
    <row r="670">
      <c r="D670" s="52"/>
    </row>
    <row r="671">
      <c r="D671" s="52"/>
    </row>
    <row r="672">
      <c r="D672" s="52"/>
    </row>
    <row r="673">
      <c r="D673" s="52"/>
    </row>
    <row r="674">
      <c r="D674" s="52"/>
    </row>
    <row r="675">
      <c r="D675" s="52"/>
    </row>
    <row r="676">
      <c r="D676" s="52"/>
    </row>
    <row r="677">
      <c r="D677" s="52"/>
    </row>
    <row r="678">
      <c r="D678" s="52"/>
    </row>
    <row r="679">
      <c r="D679" s="52"/>
    </row>
    <row r="680">
      <c r="D680" s="52"/>
    </row>
    <row r="681">
      <c r="D681" s="52"/>
    </row>
    <row r="682">
      <c r="D682" s="52"/>
    </row>
    <row r="683">
      <c r="D683" s="52"/>
    </row>
    <row r="684">
      <c r="D684" s="52"/>
    </row>
    <row r="685">
      <c r="D685" s="52"/>
    </row>
    <row r="686">
      <c r="D686" s="52"/>
    </row>
    <row r="687">
      <c r="D687" s="52"/>
    </row>
    <row r="688">
      <c r="D688" s="52"/>
    </row>
    <row r="689">
      <c r="D689" s="52"/>
    </row>
    <row r="690">
      <c r="D690" s="52"/>
    </row>
    <row r="691">
      <c r="D691" s="52"/>
    </row>
    <row r="692">
      <c r="D692" s="52"/>
    </row>
    <row r="693">
      <c r="D693" s="52"/>
    </row>
    <row r="694">
      <c r="D694" s="52"/>
    </row>
    <row r="695">
      <c r="D695" s="52"/>
    </row>
    <row r="696">
      <c r="D696" s="52"/>
    </row>
    <row r="697">
      <c r="D697" s="52"/>
    </row>
    <row r="698">
      <c r="D698" s="52"/>
    </row>
    <row r="699">
      <c r="D699" s="52"/>
    </row>
    <row r="700">
      <c r="D700" s="52"/>
    </row>
    <row r="701">
      <c r="D701" s="52"/>
    </row>
    <row r="702">
      <c r="D702" s="52"/>
    </row>
    <row r="703">
      <c r="D703" s="52"/>
    </row>
    <row r="704">
      <c r="D704" s="52"/>
    </row>
    <row r="705">
      <c r="D705" s="52"/>
    </row>
    <row r="706">
      <c r="D706" s="52"/>
    </row>
    <row r="707">
      <c r="D707" s="52"/>
    </row>
    <row r="708">
      <c r="D708" s="52"/>
    </row>
    <row r="709">
      <c r="D709" s="52"/>
    </row>
    <row r="710">
      <c r="D710" s="52"/>
    </row>
    <row r="711">
      <c r="D711" s="52"/>
    </row>
    <row r="712">
      <c r="D712" s="52"/>
    </row>
    <row r="713">
      <c r="D713" s="52"/>
    </row>
    <row r="714">
      <c r="D714" s="52"/>
    </row>
    <row r="715">
      <c r="D715" s="52"/>
    </row>
    <row r="716">
      <c r="D716" s="52"/>
    </row>
    <row r="717">
      <c r="D717" s="52"/>
    </row>
    <row r="718">
      <c r="D718" s="52"/>
    </row>
    <row r="719">
      <c r="D719" s="52"/>
    </row>
    <row r="720">
      <c r="D720" s="52"/>
    </row>
    <row r="721">
      <c r="D721" s="52"/>
    </row>
    <row r="722">
      <c r="D722" s="52"/>
    </row>
    <row r="723">
      <c r="D723" s="52"/>
    </row>
    <row r="724">
      <c r="D724" s="52"/>
    </row>
    <row r="725">
      <c r="D725" s="52"/>
    </row>
    <row r="726">
      <c r="D726" s="52"/>
    </row>
    <row r="727">
      <c r="D727" s="52"/>
    </row>
    <row r="728">
      <c r="D728" s="52"/>
    </row>
    <row r="729">
      <c r="D729" s="52"/>
    </row>
    <row r="730">
      <c r="D730" s="52"/>
    </row>
    <row r="731">
      <c r="D731" s="52"/>
    </row>
    <row r="732">
      <c r="D732" s="52"/>
    </row>
    <row r="733">
      <c r="D733" s="52"/>
    </row>
    <row r="734">
      <c r="D734" s="52"/>
    </row>
    <row r="735">
      <c r="D735" s="52"/>
    </row>
    <row r="736">
      <c r="D736" s="52"/>
    </row>
    <row r="737">
      <c r="D737" s="52"/>
    </row>
    <row r="738">
      <c r="D738" s="52"/>
    </row>
    <row r="739">
      <c r="D739" s="52"/>
    </row>
    <row r="740">
      <c r="D740" s="52"/>
    </row>
    <row r="741">
      <c r="D741" s="52"/>
    </row>
    <row r="742">
      <c r="D742" s="52"/>
    </row>
    <row r="743">
      <c r="D743" s="52"/>
    </row>
    <row r="744">
      <c r="D744" s="52"/>
    </row>
    <row r="745">
      <c r="D745" s="52"/>
    </row>
    <row r="746">
      <c r="D746" s="52"/>
    </row>
    <row r="747">
      <c r="D747" s="52"/>
    </row>
    <row r="748">
      <c r="D748" s="52"/>
    </row>
    <row r="749">
      <c r="D749" s="52"/>
    </row>
    <row r="750">
      <c r="D750" s="52"/>
    </row>
    <row r="751">
      <c r="D751" s="52"/>
    </row>
    <row r="752">
      <c r="D752" s="52"/>
    </row>
    <row r="753">
      <c r="D753" s="52"/>
    </row>
    <row r="754">
      <c r="D754" s="52"/>
    </row>
    <row r="755">
      <c r="D755" s="52"/>
    </row>
    <row r="756">
      <c r="D756" s="52"/>
    </row>
    <row r="757">
      <c r="D757" s="52"/>
    </row>
    <row r="758">
      <c r="D758" s="52"/>
    </row>
    <row r="759">
      <c r="D759" s="52"/>
    </row>
    <row r="760">
      <c r="D760" s="52"/>
    </row>
    <row r="761">
      <c r="D761" s="52"/>
    </row>
    <row r="762">
      <c r="D762" s="52"/>
    </row>
    <row r="763">
      <c r="D763" s="52"/>
    </row>
    <row r="764">
      <c r="D764" s="52"/>
    </row>
    <row r="765">
      <c r="D765" s="52"/>
    </row>
    <row r="766">
      <c r="D766" s="52"/>
    </row>
    <row r="767">
      <c r="D767" s="52"/>
    </row>
    <row r="768">
      <c r="D768" s="52"/>
    </row>
    <row r="769">
      <c r="D769" s="52"/>
    </row>
    <row r="770">
      <c r="D770" s="52"/>
    </row>
    <row r="771">
      <c r="D771" s="52"/>
    </row>
    <row r="772">
      <c r="D772" s="52"/>
    </row>
    <row r="773">
      <c r="D773" s="52"/>
    </row>
    <row r="774">
      <c r="D774" s="52"/>
    </row>
    <row r="775">
      <c r="D775" s="52"/>
    </row>
    <row r="776">
      <c r="D776" s="52"/>
    </row>
    <row r="777">
      <c r="D777" s="52"/>
    </row>
    <row r="778">
      <c r="D778" s="52"/>
    </row>
    <row r="779">
      <c r="D779" s="52"/>
    </row>
    <row r="780">
      <c r="D780" s="52"/>
    </row>
    <row r="781">
      <c r="D781" s="52"/>
    </row>
    <row r="782">
      <c r="D782" s="52"/>
    </row>
    <row r="783">
      <c r="D783" s="52"/>
    </row>
    <row r="784">
      <c r="D784" s="52"/>
    </row>
    <row r="785">
      <c r="D785" s="52"/>
    </row>
    <row r="786">
      <c r="D786" s="52"/>
    </row>
    <row r="787">
      <c r="D787" s="52"/>
    </row>
    <row r="788">
      <c r="D788" s="52"/>
    </row>
    <row r="789">
      <c r="D789" s="52"/>
    </row>
    <row r="790">
      <c r="D790" s="52"/>
    </row>
    <row r="791">
      <c r="D791" s="52"/>
    </row>
    <row r="792">
      <c r="D792" s="52"/>
    </row>
    <row r="793">
      <c r="D793" s="52"/>
    </row>
    <row r="794">
      <c r="D794" s="52"/>
    </row>
    <row r="795">
      <c r="D795" s="52"/>
    </row>
    <row r="796">
      <c r="D796" s="52"/>
    </row>
    <row r="797">
      <c r="D797" s="52"/>
    </row>
    <row r="798">
      <c r="D798" s="52"/>
    </row>
    <row r="799">
      <c r="D799" s="52"/>
    </row>
    <row r="800">
      <c r="D800" s="52"/>
    </row>
    <row r="801">
      <c r="D801" s="52"/>
    </row>
    <row r="802">
      <c r="D802" s="52"/>
    </row>
    <row r="803">
      <c r="D803" s="52"/>
    </row>
    <row r="804">
      <c r="D804" s="52"/>
    </row>
    <row r="805">
      <c r="D805" s="52"/>
    </row>
    <row r="806">
      <c r="D806" s="52"/>
    </row>
    <row r="807">
      <c r="D807" s="52"/>
    </row>
    <row r="808">
      <c r="D808" s="52"/>
    </row>
    <row r="809">
      <c r="D809" s="52"/>
    </row>
    <row r="810">
      <c r="D810" s="52"/>
    </row>
    <row r="811">
      <c r="D811" s="52"/>
    </row>
    <row r="812">
      <c r="D812" s="52"/>
    </row>
    <row r="813">
      <c r="D813" s="52"/>
    </row>
    <row r="814">
      <c r="D814" s="52"/>
    </row>
    <row r="815">
      <c r="D815" s="52"/>
    </row>
    <row r="816">
      <c r="D816" s="52"/>
    </row>
    <row r="817">
      <c r="D817" s="52"/>
    </row>
    <row r="818">
      <c r="D818" s="52"/>
    </row>
    <row r="819">
      <c r="D819" s="52"/>
    </row>
    <row r="820">
      <c r="D820" s="52"/>
    </row>
    <row r="821">
      <c r="D821" s="52"/>
    </row>
    <row r="822">
      <c r="D822" s="52"/>
    </row>
    <row r="823">
      <c r="D823" s="52"/>
    </row>
    <row r="824">
      <c r="D824" s="52"/>
    </row>
    <row r="825">
      <c r="D825" s="52"/>
    </row>
    <row r="826">
      <c r="D826" s="52"/>
    </row>
    <row r="827">
      <c r="D827" s="52"/>
    </row>
    <row r="828">
      <c r="D828" s="52"/>
    </row>
    <row r="829">
      <c r="D829" s="52"/>
    </row>
    <row r="830">
      <c r="D830" s="52"/>
    </row>
    <row r="831">
      <c r="D831" s="52"/>
    </row>
    <row r="832">
      <c r="D832" s="52"/>
    </row>
    <row r="833">
      <c r="D833" s="52"/>
    </row>
    <row r="834">
      <c r="D834" s="52"/>
    </row>
    <row r="835">
      <c r="D835" s="52"/>
    </row>
    <row r="836">
      <c r="D836" s="52"/>
    </row>
    <row r="837">
      <c r="D837" s="52"/>
    </row>
    <row r="838">
      <c r="D838" s="52"/>
    </row>
    <row r="839">
      <c r="D839" s="52"/>
    </row>
    <row r="840">
      <c r="D840" s="52"/>
    </row>
    <row r="841">
      <c r="D841" s="52"/>
    </row>
    <row r="842">
      <c r="D842" s="52"/>
    </row>
    <row r="843">
      <c r="D843" s="52"/>
    </row>
  </sheetData>
  <mergeCells count="7">
    <mergeCell ref="A1:F1"/>
    <mergeCell ref="A2:A3"/>
    <mergeCell ref="B2:B3"/>
    <mergeCell ref="C2:C3"/>
    <mergeCell ref="D2:D3"/>
    <mergeCell ref="E2:F2"/>
    <mergeCell ref="A7:E7"/>
  </mergeCells>
  <dataValidations>
    <dataValidation type="list" allowBlank="1" sqref="H4">
      <formula1>"CHECKED (OK),CHECKED  (NOT OK)"</formula1>
    </dataValidation>
  </dataValidations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3" max="3" width="26.75"/>
    <col customWidth="1" min="4" max="4" width="33.25"/>
    <col customWidth="1" min="7" max="7" width="3.5"/>
    <col customWidth="1" min="8" max="8" width="18.63"/>
    <col customWidth="1" min="9" max="9" width="21.63"/>
  </cols>
  <sheetData>
    <row r="1">
      <c r="A1" s="30" t="s">
        <v>1136</v>
      </c>
      <c r="G1" s="31"/>
      <c r="H1" s="32" t="s">
        <v>1137</v>
      </c>
      <c r="I1" s="33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4" t="s">
        <v>1</v>
      </c>
      <c r="B2" s="35" t="s">
        <v>11</v>
      </c>
      <c r="C2" s="35" t="s">
        <v>12</v>
      </c>
      <c r="D2" s="36" t="s">
        <v>13</v>
      </c>
      <c r="E2" s="37" t="s">
        <v>14</v>
      </c>
      <c r="F2" s="38"/>
      <c r="G2" s="39"/>
      <c r="H2" s="40"/>
      <c r="I2" s="40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41"/>
      <c r="B3" s="38"/>
      <c r="C3" s="38"/>
      <c r="D3" s="38"/>
      <c r="E3" s="42" t="s">
        <v>15</v>
      </c>
      <c r="F3" s="43" t="s">
        <v>5</v>
      </c>
      <c r="G3" s="39"/>
      <c r="H3" s="44" t="s">
        <v>6</v>
      </c>
      <c r="I3" s="45" t="s">
        <v>7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24.75" customHeight="1">
      <c r="A4" s="46"/>
      <c r="B4" s="47"/>
      <c r="C4" s="48" t="str">
        <f>vlookup(B4,'Crew Data'!C:G,5,0)</f>
        <v>#N/A</v>
      </c>
      <c r="D4" s="49"/>
      <c r="E4" s="47"/>
      <c r="F4" s="50">
        <f>E4*400</f>
        <v>0</v>
      </c>
      <c r="G4" s="22">
        <f>COUNTIF(B:B,B4)</f>
        <v>0</v>
      </c>
      <c r="H4" s="5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D5" s="52"/>
    </row>
    <row r="6">
      <c r="D6" s="52"/>
    </row>
    <row r="7" ht="44.25" customHeight="1">
      <c r="A7" s="53" t="s">
        <v>16</v>
      </c>
    </row>
    <row r="8">
      <c r="D8" s="52"/>
    </row>
    <row r="9">
      <c r="D9" s="52"/>
    </row>
    <row r="10">
      <c r="D10" s="52"/>
    </row>
    <row r="11">
      <c r="D11" s="52"/>
    </row>
    <row r="12">
      <c r="D12" s="52"/>
    </row>
    <row r="13">
      <c r="D13" s="52"/>
    </row>
    <row r="14">
      <c r="D14" s="52"/>
    </row>
    <row r="15">
      <c r="D15" s="52"/>
    </row>
    <row r="16">
      <c r="D16" s="52"/>
    </row>
    <row r="17">
      <c r="D17" s="52"/>
    </row>
    <row r="18">
      <c r="D18" s="52"/>
    </row>
    <row r="19">
      <c r="D19" s="52"/>
    </row>
    <row r="20">
      <c r="D20" s="52"/>
    </row>
    <row r="21">
      <c r="D21" s="52"/>
    </row>
    <row r="22">
      <c r="D22" s="52"/>
    </row>
    <row r="23">
      <c r="D23" s="52"/>
    </row>
    <row r="24">
      <c r="D24" s="52"/>
    </row>
    <row r="25">
      <c r="D25" s="52"/>
    </row>
    <row r="26">
      <c r="D26" s="52"/>
    </row>
    <row r="27">
      <c r="D27" s="52"/>
    </row>
    <row r="28">
      <c r="D28" s="52"/>
    </row>
    <row r="29">
      <c r="D29" s="52"/>
    </row>
    <row r="30">
      <c r="D30" s="52"/>
    </row>
    <row r="31">
      <c r="D31" s="52"/>
    </row>
    <row r="32">
      <c r="D32" s="52"/>
    </row>
    <row r="33">
      <c r="D33" s="52"/>
    </row>
    <row r="34">
      <c r="D34" s="52"/>
    </row>
    <row r="35">
      <c r="D35" s="52"/>
    </row>
    <row r="36">
      <c r="D36" s="52"/>
    </row>
    <row r="37">
      <c r="D37" s="52"/>
    </row>
    <row r="38">
      <c r="D38" s="52"/>
    </row>
    <row r="39">
      <c r="D39" s="52"/>
    </row>
    <row r="40">
      <c r="D40" s="52"/>
    </row>
    <row r="41">
      <c r="D41" s="52"/>
    </row>
    <row r="42">
      <c r="D42" s="52"/>
    </row>
    <row r="43">
      <c r="D43" s="52"/>
    </row>
    <row r="44">
      <c r="D44" s="52"/>
    </row>
    <row r="45">
      <c r="D45" s="52"/>
    </row>
    <row r="46">
      <c r="D46" s="52"/>
    </row>
    <row r="47">
      <c r="D47" s="52"/>
    </row>
    <row r="48">
      <c r="D48" s="52"/>
    </row>
    <row r="49">
      <c r="D49" s="52"/>
    </row>
    <row r="50">
      <c r="D50" s="52"/>
    </row>
    <row r="51">
      <c r="D51" s="52"/>
    </row>
    <row r="52">
      <c r="D52" s="52"/>
    </row>
    <row r="53">
      <c r="D53" s="52"/>
    </row>
    <row r="54">
      <c r="D54" s="52"/>
    </row>
    <row r="55">
      <c r="D55" s="52"/>
    </row>
    <row r="56">
      <c r="D56" s="52"/>
    </row>
    <row r="57">
      <c r="D57" s="52"/>
    </row>
    <row r="58">
      <c r="D58" s="52"/>
    </row>
    <row r="59">
      <c r="D59" s="52"/>
    </row>
    <row r="60">
      <c r="D60" s="52"/>
    </row>
    <row r="61">
      <c r="D61" s="52"/>
    </row>
    <row r="62">
      <c r="D62" s="52"/>
    </row>
    <row r="63">
      <c r="D63" s="52"/>
    </row>
    <row r="64">
      <c r="D64" s="52"/>
    </row>
    <row r="65">
      <c r="D65" s="52"/>
    </row>
    <row r="66">
      <c r="D66" s="52"/>
    </row>
    <row r="67">
      <c r="D67" s="52"/>
    </row>
    <row r="68">
      <c r="D68" s="52"/>
    </row>
    <row r="69">
      <c r="D69" s="52"/>
    </row>
    <row r="70">
      <c r="D70" s="52"/>
    </row>
    <row r="71">
      <c r="D71" s="52"/>
    </row>
    <row r="72">
      <c r="D72" s="52"/>
    </row>
    <row r="73">
      <c r="D73" s="52"/>
    </row>
    <row r="74">
      <c r="D74" s="52"/>
    </row>
    <row r="75">
      <c r="D75" s="52"/>
    </row>
    <row r="76">
      <c r="D76" s="52"/>
    </row>
    <row r="77">
      <c r="D77" s="52"/>
    </row>
    <row r="78">
      <c r="D78" s="52"/>
    </row>
    <row r="79">
      <c r="D79" s="52"/>
    </row>
    <row r="80">
      <c r="D80" s="52"/>
    </row>
    <row r="81">
      <c r="D81" s="52"/>
    </row>
    <row r="82">
      <c r="D82" s="52"/>
    </row>
    <row r="83">
      <c r="D83" s="52"/>
    </row>
    <row r="84">
      <c r="D84" s="52"/>
    </row>
    <row r="85">
      <c r="D85" s="52"/>
    </row>
    <row r="86">
      <c r="D86" s="52"/>
    </row>
    <row r="87">
      <c r="D87" s="52"/>
    </row>
    <row r="88">
      <c r="D88" s="52"/>
    </row>
    <row r="89">
      <c r="D89" s="52"/>
    </row>
    <row r="90">
      <c r="D90" s="52"/>
    </row>
    <row r="91">
      <c r="D91" s="52"/>
    </row>
    <row r="92">
      <c r="D92" s="52"/>
    </row>
    <row r="93">
      <c r="D93" s="52"/>
    </row>
    <row r="94">
      <c r="D94" s="52"/>
    </row>
    <row r="95">
      <c r="D95" s="52"/>
    </row>
    <row r="96">
      <c r="D96" s="52"/>
    </row>
    <row r="97">
      <c r="D97" s="52"/>
    </row>
    <row r="98">
      <c r="D98" s="52"/>
    </row>
    <row r="99">
      <c r="D99" s="52"/>
    </row>
    <row r="100">
      <c r="D100" s="52"/>
    </row>
    <row r="101">
      <c r="D101" s="52"/>
    </row>
    <row r="102">
      <c r="D102" s="52"/>
    </row>
    <row r="103">
      <c r="D103" s="52"/>
    </row>
    <row r="104">
      <c r="D104" s="52"/>
    </row>
    <row r="105">
      <c r="D105" s="52"/>
    </row>
    <row r="106">
      <c r="D106" s="52"/>
    </row>
    <row r="107">
      <c r="D107" s="52"/>
    </row>
    <row r="108">
      <c r="D108" s="52"/>
    </row>
    <row r="109">
      <c r="D109" s="52"/>
    </row>
    <row r="110">
      <c r="D110" s="52"/>
    </row>
    <row r="111">
      <c r="D111" s="52"/>
    </row>
    <row r="112">
      <c r="D112" s="52"/>
    </row>
    <row r="113">
      <c r="D113" s="52"/>
    </row>
    <row r="114">
      <c r="D114" s="52"/>
    </row>
    <row r="115">
      <c r="D115" s="52"/>
    </row>
    <row r="116">
      <c r="D116" s="52"/>
    </row>
    <row r="117">
      <c r="D117" s="52"/>
    </row>
    <row r="118">
      <c r="D118" s="52"/>
    </row>
    <row r="119">
      <c r="D119" s="52"/>
    </row>
    <row r="120">
      <c r="D120" s="52"/>
    </row>
    <row r="121">
      <c r="D121" s="52"/>
    </row>
    <row r="122">
      <c r="D122" s="52"/>
    </row>
    <row r="123">
      <c r="D123" s="52"/>
    </row>
    <row r="124">
      <c r="D124" s="52"/>
    </row>
    <row r="125">
      <c r="D125" s="52"/>
    </row>
    <row r="126">
      <c r="D126" s="52"/>
    </row>
    <row r="127">
      <c r="D127" s="52"/>
    </row>
    <row r="128">
      <c r="D128" s="52"/>
    </row>
    <row r="129">
      <c r="D129" s="52"/>
    </row>
    <row r="130">
      <c r="D130" s="52"/>
    </row>
    <row r="131">
      <c r="D131" s="52"/>
    </row>
    <row r="132">
      <c r="D132" s="52"/>
    </row>
    <row r="133">
      <c r="D133" s="52"/>
    </row>
    <row r="134">
      <c r="D134" s="52"/>
    </row>
    <row r="135">
      <c r="D135" s="52"/>
    </row>
    <row r="136">
      <c r="D136" s="52"/>
    </row>
    <row r="137">
      <c r="D137" s="52"/>
    </row>
    <row r="138">
      <c r="D138" s="52"/>
    </row>
    <row r="139">
      <c r="D139" s="52"/>
    </row>
    <row r="140">
      <c r="D140" s="52"/>
    </row>
    <row r="141">
      <c r="D141" s="52"/>
    </row>
    <row r="142">
      <c r="D142" s="52"/>
    </row>
    <row r="143">
      <c r="D143" s="52"/>
    </row>
    <row r="144">
      <c r="D144" s="52"/>
    </row>
    <row r="145">
      <c r="D145" s="52"/>
    </row>
    <row r="146">
      <c r="D146" s="52"/>
    </row>
    <row r="147">
      <c r="D147" s="52"/>
    </row>
    <row r="148">
      <c r="D148" s="52"/>
    </row>
    <row r="149">
      <c r="D149" s="52"/>
    </row>
    <row r="150">
      <c r="D150" s="52"/>
    </row>
    <row r="151">
      <c r="D151" s="52"/>
    </row>
    <row r="152">
      <c r="D152" s="52"/>
    </row>
    <row r="153">
      <c r="D153" s="52"/>
    </row>
    <row r="154">
      <c r="D154" s="52"/>
    </row>
    <row r="155">
      <c r="D155" s="52"/>
    </row>
    <row r="156">
      <c r="D156" s="52"/>
    </row>
    <row r="157">
      <c r="D157" s="52"/>
    </row>
    <row r="158">
      <c r="D158" s="52"/>
    </row>
    <row r="159">
      <c r="D159" s="52"/>
    </row>
    <row r="160">
      <c r="D160" s="52"/>
    </row>
    <row r="161">
      <c r="D161" s="52"/>
    </row>
    <row r="162">
      <c r="D162" s="52"/>
    </row>
    <row r="163">
      <c r="D163" s="52"/>
    </row>
    <row r="164">
      <c r="D164" s="52"/>
    </row>
    <row r="165">
      <c r="D165" s="52"/>
    </row>
    <row r="166">
      <c r="D166" s="52"/>
    </row>
    <row r="167">
      <c r="D167" s="52"/>
    </row>
    <row r="168">
      <c r="D168" s="52"/>
    </row>
    <row r="169">
      <c r="D169" s="52"/>
    </row>
    <row r="170">
      <c r="D170" s="52"/>
    </row>
    <row r="171">
      <c r="D171" s="52"/>
    </row>
    <row r="172">
      <c r="D172" s="52"/>
    </row>
    <row r="173">
      <c r="D173" s="52"/>
    </row>
    <row r="174">
      <c r="D174" s="52"/>
    </row>
    <row r="175">
      <c r="D175" s="52"/>
    </row>
    <row r="176">
      <c r="D176" s="52"/>
    </row>
    <row r="177">
      <c r="D177" s="52"/>
    </row>
    <row r="178">
      <c r="D178" s="52"/>
    </row>
    <row r="179">
      <c r="D179" s="52"/>
    </row>
    <row r="180">
      <c r="D180" s="52"/>
    </row>
    <row r="181">
      <c r="D181" s="52"/>
    </row>
    <row r="182">
      <c r="D182" s="52"/>
    </row>
    <row r="183">
      <c r="D183" s="52"/>
    </row>
    <row r="184">
      <c r="D184" s="52"/>
    </row>
    <row r="185">
      <c r="D185" s="52"/>
    </row>
    <row r="186">
      <c r="D186" s="52"/>
    </row>
    <row r="187">
      <c r="D187" s="52"/>
    </row>
    <row r="188">
      <c r="D188" s="52"/>
    </row>
    <row r="189">
      <c r="D189" s="52"/>
    </row>
    <row r="190">
      <c r="D190" s="52"/>
    </row>
    <row r="191">
      <c r="D191" s="52"/>
    </row>
    <row r="192">
      <c r="D192" s="52"/>
    </row>
    <row r="193">
      <c r="D193" s="52"/>
    </row>
    <row r="194">
      <c r="D194" s="52"/>
    </row>
    <row r="195">
      <c r="D195" s="52"/>
    </row>
    <row r="196">
      <c r="D196" s="52"/>
    </row>
    <row r="197">
      <c r="D197" s="52"/>
    </row>
    <row r="198">
      <c r="D198" s="52"/>
    </row>
    <row r="199">
      <c r="D199" s="52"/>
    </row>
    <row r="200">
      <c r="D200" s="52"/>
    </row>
    <row r="201">
      <c r="D201" s="52"/>
    </row>
    <row r="202">
      <c r="D202" s="52"/>
    </row>
    <row r="203">
      <c r="D203" s="52"/>
    </row>
    <row r="204">
      <c r="D204" s="52"/>
    </row>
    <row r="205">
      <c r="D205" s="52"/>
    </row>
    <row r="206">
      <c r="D206" s="52"/>
    </row>
    <row r="207">
      <c r="D207" s="52"/>
    </row>
    <row r="208">
      <c r="D208" s="52"/>
    </row>
    <row r="209">
      <c r="D209" s="52"/>
    </row>
    <row r="210">
      <c r="D210" s="52"/>
    </row>
    <row r="211">
      <c r="D211" s="52"/>
    </row>
    <row r="212">
      <c r="D212" s="52"/>
    </row>
    <row r="213">
      <c r="D213" s="52"/>
    </row>
    <row r="214">
      <c r="D214" s="52"/>
    </row>
    <row r="215">
      <c r="D215" s="52"/>
    </row>
    <row r="216">
      <c r="D216" s="52"/>
    </row>
    <row r="217">
      <c r="D217" s="52"/>
    </row>
    <row r="218">
      <c r="D218" s="52"/>
    </row>
    <row r="219">
      <c r="D219" s="52"/>
    </row>
    <row r="220">
      <c r="D220" s="52"/>
    </row>
    <row r="221">
      <c r="D221" s="52"/>
    </row>
    <row r="222">
      <c r="D222" s="52"/>
    </row>
    <row r="223">
      <c r="D223" s="52"/>
    </row>
    <row r="224">
      <c r="D224" s="52"/>
    </row>
    <row r="225">
      <c r="D225" s="52"/>
    </row>
    <row r="226">
      <c r="D226" s="52"/>
    </row>
    <row r="227">
      <c r="D227" s="52"/>
    </row>
    <row r="228">
      <c r="D228" s="52"/>
    </row>
    <row r="229">
      <c r="D229" s="52"/>
    </row>
    <row r="230">
      <c r="D230" s="52"/>
    </row>
    <row r="231">
      <c r="D231" s="52"/>
    </row>
    <row r="232">
      <c r="D232" s="52"/>
    </row>
    <row r="233">
      <c r="D233" s="52"/>
    </row>
    <row r="234">
      <c r="D234" s="52"/>
    </row>
    <row r="235">
      <c r="D235" s="52"/>
    </row>
    <row r="236">
      <c r="D236" s="52"/>
    </row>
    <row r="237">
      <c r="D237" s="52"/>
    </row>
    <row r="238">
      <c r="D238" s="52"/>
    </row>
    <row r="239">
      <c r="D239" s="52"/>
    </row>
    <row r="240">
      <c r="D240" s="52"/>
    </row>
    <row r="241">
      <c r="D241" s="52"/>
    </row>
    <row r="242">
      <c r="D242" s="52"/>
    </row>
    <row r="243">
      <c r="D243" s="52"/>
    </row>
    <row r="244">
      <c r="D244" s="52"/>
    </row>
    <row r="245">
      <c r="D245" s="52"/>
    </row>
    <row r="246">
      <c r="D246" s="52"/>
    </row>
    <row r="247">
      <c r="D247" s="52"/>
    </row>
    <row r="248">
      <c r="D248" s="52"/>
    </row>
    <row r="249">
      <c r="D249" s="52"/>
    </row>
    <row r="250">
      <c r="D250" s="52"/>
    </row>
    <row r="251">
      <c r="D251" s="52"/>
    </row>
    <row r="252">
      <c r="D252" s="52"/>
    </row>
    <row r="253">
      <c r="D253" s="52"/>
    </row>
    <row r="254">
      <c r="D254" s="52"/>
    </row>
    <row r="255">
      <c r="D255" s="52"/>
    </row>
    <row r="256">
      <c r="D256" s="52"/>
    </row>
    <row r="257">
      <c r="D257" s="52"/>
    </row>
    <row r="258">
      <c r="D258" s="52"/>
    </row>
    <row r="259">
      <c r="D259" s="52"/>
    </row>
    <row r="260">
      <c r="D260" s="52"/>
    </row>
    <row r="261">
      <c r="D261" s="52"/>
    </row>
    <row r="262">
      <c r="D262" s="52"/>
    </row>
    <row r="263">
      <c r="D263" s="52"/>
    </row>
    <row r="264">
      <c r="D264" s="52"/>
    </row>
    <row r="265">
      <c r="D265" s="52"/>
    </row>
    <row r="266">
      <c r="D266" s="52"/>
    </row>
    <row r="267">
      <c r="D267" s="52"/>
    </row>
    <row r="268">
      <c r="D268" s="52"/>
    </row>
    <row r="269">
      <c r="D269" s="52"/>
    </row>
    <row r="270">
      <c r="D270" s="52"/>
    </row>
    <row r="271">
      <c r="D271" s="52"/>
    </row>
    <row r="272">
      <c r="D272" s="52"/>
    </row>
    <row r="273">
      <c r="D273" s="52"/>
    </row>
    <row r="274">
      <c r="D274" s="52"/>
    </row>
    <row r="275">
      <c r="D275" s="52"/>
    </row>
    <row r="276">
      <c r="D276" s="52"/>
    </row>
    <row r="277">
      <c r="D277" s="52"/>
    </row>
    <row r="278">
      <c r="D278" s="52"/>
    </row>
    <row r="279">
      <c r="D279" s="52"/>
    </row>
    <row r="280">
      <c r="D280" s="52"/>
    </row>
    <row r="281">
      <c r="D281" s="52"/>
    </row>
    <row r="282">
      <c r="D282" s="52"/>
    </row>
    <row r="283">
      <c r="D283" s="52"/>
    </row>
    <row r="284">
      <c r="D284" s="52"/>
    </row>
    <row r="285">
      <c r="D285" s="52"/>
    </row>
    <row r="286">
      <c r="D286" s="52"/>
    </row>
    <row r="287">
      <c r="D287" s="52"/>
    </row>
    <row r="288">
      <c r="D288" s="52"/>
    </row>
    <row r="289">
      <c r="D289" s="52"/>
    </row>
    <row r="290">
      <c r="D290" s="52"/>
    </row>
    <row r="291">
      <c r="D291" s="52"/>
    </row>
    <row r="292">
      <c r="D292" s="52"/>
    </row>
    <row r="293">
      <c r="D293" s="52"/>
    </row>
    <row r="294">
      <c r="D294" s="52"/>
    </row>
    <row r="295">
      <c r="D295" s="52"/>
    </row>
    <row r="296">
      <c r="D296" s="52"/>
    </row>
    <row r="297">
      <c r="D297" s="52"/>
    </row>
    <row r="298">
      <c r="D298" s="52"/>
    </row>
    <row r="299">
      <c r="D299" s="52"/>
    </row>
    <row r="300">
      <c r="D300" s="52"/>
    </row>
    <row r="301">
      <c r="D301" s="52"/>
    </row>
    <row r="302">
      <c r="D302" s="52"/>
    </row>
    <row r="303">
      <c r="D303" s="52"/>
    </row>
    <row r="304">
      <c r="D304" s="52"/>
    </row>
    <row r="305">
      <c r="D305" s="52"/>
    </row>
    <row r="306">
      <c r="D306" s="52"/>
    </row>
    <row r="307">
      <c r="D307" s="52"/>
    </row>
    <row r="308">
      <c r="D308" s="52"/>
    </row>
    <row r="309">
      <c r="D309" s="52"/>
    </row>
    <row r="310">
      <c r="D310" s="52"/>
    </row>
    <row r="311">
      <c r="D311" s="52"/>
    </row>
    <row r="312">
      <c r="D312" s="52"/>
    </row>
    <row r="313">
      <c r="D313" s="52"/>
    </row>
    <row r="314">
      <c r="D314" s="52"/>
    </row>
    <row r="315">
      <c r="D315" s="52"/>
    </row>
    <row r="316">
      <c r="D316" s="52"/>
    </row>
    <row r="317">
      <c r="D317" s="52"/>
    </row>
    <row r="318">
      <c r="D318" s="52"/>
    </row>
    <row r="319">
      <c r="D319" s="52"/>
    </row>
    <row r="320">
      <c r="D320" s="52"/>
    </row>
    <row r="321">
      <c r="D321" s="52"/>
    </row>
    <row r="322">
      <c r="D322" s="52"/>
    </row>
    <row r="323">
      <c r="D323" s="52"/>
    </row>
    <row r="324">
      <c r="D324" s="52"/>
    </row>
    <row r="325">
      <c r="D325" s="52"/>
    </row>
    <row r="326">
      <c r="D326" s="52"/>
    </row>
    <row r="327">
      <c r="D327" s="52"/>
    </row>
    <row r="328">
      <c r="D328" s="52"/>
    </row>
    <row r="329">
      <c r="D329" s="52"/>
    </row>
    <row r="330">
      <c r="D330" s="52"/>
    </row>
    <row r="331">
      <c r="D331" s="52"/>
    </row>
    <row r="332">
      <c r="D332" s="52"/>
    </row>
    <row r="333">
      <c r="D333" s="52"/>
    </row>
    <row r="334">
      <c r="D334" s="52"/>
    </row>
    <row r="335">
      <c r="D335" s="52"/>
    </row>
    <row r="336">
      <c r="D336" s="52"/>
    </row>
    <row r="337">
      <c r="D337" s="52"/>
    </row>
    <row r="338">
      <c r="D338" s="52"/>
    </row>
    <row r="339">
      <c r="D339" s="52"/>
    </row>
    <row r="340">
      <c r="D340" s="52"/>
    </row>
    <row r="341">
      <c r="D341" s="52"/>
    </row>
    <row r="342">
      <c r="D342" s="52"/>
    </row>
    <row r="343">
      <c r="D343" s="52"/>
    </row>
    <row r="344">
      <c r="D344" s="52"/>
    </row>
    <row r="345">
      <c r="D345" s="52"/>
    </row>
    <row r="346">
      <c r="D346" s="52"/>
    </row>
    <row r="347">
      <c r="D347" s="52"/>
    </row>
    <row r="348">
      <c r="D348" s="52"/>
    </row>
    <row r="349">
      <c r="D349" s="52"/>
    </row>
    <row r="350">
      <c r="D350" s="52"/>
    </row>
    <row r="351">
      <c r="D351" s="52"/>
    </row>
    <row r="352">
      <c r="D352" s="52"/>
    </row>
    <row r="353">
      <c r="D353" s="52"/>
    </row>
    <row r="354">
      <c r="D354" s="52"/>
    </row>
    <row r="355">
      <c r="D355" s="52"/>
    </row>
    <row r="356">
      <c r="D356" s="52"/>
    </row>
    <row r="357">
      <c r="D357" s="52"/>
    </row>
    <row r="358">
      <c r="D358" s="52"/>
    </row>
    <row r="359">
      <c r="D359" s="52"/>
    </row>
    <row r="360">
      <c r="D360" s="52"/>
    </row>
    <row r="361">
      <c r="D361" s="52"/>
    </row>
    <row r="362">
      <c r="D362" s="52"/>
    </row>
    <row r="363">
      <c r="D363" s="52"/>
    </row>
    <row r="364">
      <c r="D364" s="52"/>
    </row>
    <row r="365">
      <c r="D365" s="52"/>
    </row>
    <row r="366">
      <c r="D366" s="52"/>
    </row>
    <row r="367">
      <c r="D367" s="52"/>
    </row>
    <row r="368">
      <c r="D368" s="52"/>
    </row>
    <row r="369">
      <c r="D369" s="52"/>
    </row>
    <row r="370">
      <c r="D370" s="52"/>
    </row>
    <row r="371">
      <c r="D371" s="52"/>
    </row>
    <row r="372">
      <c r="D372" s="52"/>
    </row>
    <row r="373">
      <c r="D373" s="52"/>
    </row>
    <row r="374">
      <c r="D374" s="52"/>
    </row>
    <row r="375">
      <c r="D375" s="52"/>
    </row>
    <row r="376">
      <c r="D376" s="52"/>
    </row>
    <row r="377">
      <c r="D377" s="52"/>
    </row>
    <row r="378">
      <c r="D378" s="52"/>
    </row>
    <row r="379">
      <c r="D379" s="52"/>
    </row>
    <row r="380">
      <c r="D380" s="52"/>
    </row>
    <row r="381">
      <c r="D381" s="52"/>
    </row>
    <row r="382">
      <c r="D382" s="52"/>
    </row>
    <row r="383">
      <c r="D383" s="52"/>
    </row>
    <row r="384">
      <c r="D384" s="52"/>
    </row>
    <row r="385">
      <c r="D385" s="52"/>
    </row>
    <row r="386">
      <c r="D386" s="52"/>
    </row>
    <row r="387">
      <c r="D387" s="52"/>
    </row>
    <row r="388">
      <c r="D388" s="52"/>
    </row>
    <row r="389">
      <c r="D389" s="52"/>
    </row>
    <row r="390">
      <c r="D390" s="52"/>
    </row>
    <row r="391">
      <c r="D391" s="52"/>
    </row>
    <row r="392">
      <c r="D392" s="52"/>
    </row>
    <row r="393">
      <c r="D393" s="52"/>
    </row>
    <row r="394">
      <c r="D394" s="52"/>
    </row>
    <row r="395">
      <c r="D395" s="52"/>
    </row>
    <row r="396">
      <c r="D396" s="52"/>
    </row>
    <row r="397">
      <c r="D397" s="52"/>
    </row>
    <row r="398">
      <c r="D398" s="52"/>
    </row>
    <row r="399">
      <c r="D399" s="52"/>
    </row>
    <row r="400">
      <c r="D400" s="52"/>
    </row>
    <row r="401">
      <c r="D401" s="52"/>
    </row>
    <row r="402">
      <c r="D402" s="52"/>
    </row>
    <row r="403">
      <c r="D403" s="52"/>
    </row>
    <row r="404">
      <c r="D404" s="52"/>
    </row>
    <row r="405">
      <c r="D405" s="52"/>
    </row>
    <row r="406">
      <c r="D406" s="52"/>
    </row>
    <row r="407">
      <c r="D407" s="52"/>
    </row>
    <row r="408">
      <c r="D408" s="52"/>
    </row>
    <row r="409">
      <c r="D409" s="52"/>
    </row>
    <row r="410">
      <c r="D410" s="52"/>
    </row>
    <row r="411">
      <c r="D411" s="52"/>
    </row>
    <row r="412">
      <c r="D412" s="52"/>
    </row>
    <row r="413">
      <c r="D413" s="52"/>
    </row>
    <row r="414">
      <c r="D414" s="52"/>
    </row>
    <row r="415">
      <c r="D415" s="52"/>
    </row>
    <row r="416">
      <c r="D416" s="52"/>
    </row>
    <row r="417">
      <c r="D417" s="52"/>
    </row>
    <row r="418">
      <c r="D418" s="52"/>
    </row>
    <row r="419">
      <c r="D419" s="52"/>
    </row>
    <row r="420">
      <c r="D420" s="52"/>
    </row>
    <row r="421">
      <c r="D421" s="52"/>
    </row>
    <row r="422">
      <c r="D422" s="52"/>
    </row>
    <row r="423">
      <c r="D423" s="52"/>
    </row>
    <row r="424">
      <c r="D424" s="52"/>
    </row>
    <row r="425">
      <c r="D425" s="52"/>
    </row>
    <row r="426">
      <c r="D426" s="52"/>
    </row>
    <row r="427">
      <c r="D427" s="52"/>
    </row>
    <row r="428">
      <c r="D428" s="52"/>
    </row>
    <row r="429">
      <c r="D429" s="52"/>
    </row>
    <row r="430">
      <c r="D430" s="52"/>
    </row>
    <row r="431">
      <c r="D431" s="52"/>
    </row>
    <row r="432">
      <c r="D432" s="52"/>
    </row>
    <row r="433">
      <c r="D433" s="52"/>
    </row>
    <row r="434">
      <c r="D434" s="52"/>
    </row>
    <row r="435">
      <c r="D435" s="52"/>
    </row>
    <row r="436">
      <c r="D436" s="52"/>
    </row>
    <row r="437">
      <c r="D437" s="52"/>
    </row>
    <row r="438">
      <c r="D438" s="52"/>
    </row>
    <row r="439">
      <c r="D439" s="52"/>
    </row>
    <row r="440">
      <c r="D440" s="52"/>
    </row>
    <row r="441">
      <c r="D441" s="52"/>
    </row>
    <row r="442">
      <c r="D442" s="52"/>
    </row>
    <row r="443">
      <c r="D443" s="52"/>
    </row>
    <row r="444">
      <c r="D444" s="52"/>
    </row>
    <row r="445">
      <c r="D445" s="52"/>
    </row>
    <row r="446">
      <c r="D446" s="52"/>
    </row>
    <row r="447">
      <c r="D447" s="52"/>
    </row>
    <row r="448">
      <c r="D448" s="52"/>
    </row>
    <row r="449">
      <c r="D449" s="52"/>
    </row>
    <row r="450">
      <c r="D450" s="52"/>
    </row>
    <row r="451">
      <c r="D451" s="52"/>
    </row>
    <row r="452">
      <c r="D452" s="52"/>
    </row>
    <row r="453">
      <c r="D453" s="52"/>
    </row>
    <row r="454">
      <c r="D454" s="52"/>
    </row>
    <row r="455">
      <c r="D455" s="52"/>
    </row>
    <row r="456">
      <c r="D456" s="52"/>
    </row>
    <row r="457">
      <c r="D457" s="52"/>
    </row>
    <row r="458">
      <c r="D458" s="52"/>
    </row>
    <row r="459">
      <c r="D459" s="52"/>
    </row>
    <row r="460">
      <c r="D460" s="52"/>
    </row>
    <row r="461">
      <c r="D461" s="52"/>
    </row>
    <row r="462">
      <c r="D462" s="52"/>
    </row>
    <row r="463">
      <c r="D463" s="52"/>
    </row>
    <row r="464">
      <c r="D464" s="52"/>
    </row>
    <row r="465">
      <c r="D465" s="52"/>
    </row>
    <row r="466">
      <c r="D466" s="52"/>
    </row>
    <row r="467">
      <c r="D467" s="52"/>
    </row>
    <row r="468">
      <c r="D468" s="52"/>
    </row>
    <row r="469">
      <c r="D469" s="52"/>
    </row>
    <row r="470">
      <c r="D470" s="52"/>
    </row>
    <row r="471">
      <c r="D471" s="52"/>
    </row>
    <row r="472">
      <c r="D472" s="52"/>
    </row>
    <row r="473">
      <c r="D473" s="52"/>
    </row>
    <row r="474">
      <c r="D474" s="52"/>
    </row>
    <row r="475">
      <c r="D475" s="52"/>
    </row>
    <row r="476">
      <c r="D476" s="52"/>
    </row>
    <row r="477">
      <c r="D477" s="52"/>
    </row>
    <row r="478">
      <c r="D478" s="52"/>
    </row>
    <row r="479">
      <c r="D479" s="52"/>
    </row>
    <row r="480">
      <c r="D480" s="52"/>
    </row>
    <row r="481">
      <c r="D481" s="52"/>
    </row>
    <row r="482">
      <c r="D482" s="52"/>
    </row>
    <row r="483">
      <c r="D483" s="52"/>
    </row>
    <row r="484">
      <c r="D484" s="52"/>
    </row>
    <row r="485">
      <c r="D485" s="52"/>
    </row>
    <row r="486">
      <c r="D486" s="52"/>
    </row>
    <row r="487">
      <c r="D487" s="52"/>
    </row>
    <row r="488">
      <c r="D488" s="52"/>
    </row>
    <row r="489">
      <c r="D489" s="52"/>
    </row>
    <row r="490">
      <c r="D490" s="52"/>
    </row>
    <row r="491">
      <c r="D491" s="52"/>
    </row>
    <row r="492">
      <c r="D492" s="52"/>
    </row>
    <row r="493">
      <c r="D493" s="52"/>
    </row>
    <row r="494">
      <c r="D494" s="52"/>
    </row>
    <row r="495">
      <c r="D495" s="52"/>
    </row>
    <row r="496">
      <c r="D496" s="52"/>
    </row>
    <row r="497">
      <c r="D497" s="52"/>
    </row>
    <row r="498">
      <c r="D498" s="52"/>
    </row>
    <row r="499">
      <c r="D499" s="52"/>
    </row>
    <row r="500">
      <c r="D500" s="52"/>
    </row>
    <row r="501">
      <c r="D501" s="52"/>
    </row>
    <row r="502">
      <c r="D502" s="52"/>
    </row>
    <row r="503">
      <c r="D503" s="52"/>
    </row>
    <row r="504">
      <c r="D504" s="52"/>
    </row>
    <row r="505">
      <c r="D505" s="52"/>
    </row>
    <row r="506">
      <c r="D506" s="52"/>
    </row>
    <row r="507">
      <c r="D507" s="52"/>
    </row>
    <row r="508">
      <c r="D508" s="52"/>
    </row>
    <row r="509">
      <c r="D509" s="52"/>
    </row>
    <row r="510">
      <c r="D510" s="52"/>
    </row>
    <row r="511">
      <c r="D511" s="52"/>
    </row>
    <row r="512">
      <c r="D512" s="52"/>
    </row>
    <row r="513">
      <c r="D513" s="52"/>
    </row>
    <row r="514">
      <c r="D514" s="52"/>
    </row>
    <row r="515">
      <c r="D515" s="52"/>
    </row>
    <row r="516">
      <c r="D516" s="52"/>
    </row>
    <row r="517">
      <c r="D517" s="52"/>
    </row>
    <row r="518">
      <c r="D518" s="52"/>
    </row>
    <row r="519">
      <c r="D519" s="52"/>
    </row>
    <row r="520">
      <c r="D520" s="52"/>
    </row>
    <row r="521">
      <c r="D521" s="52"/>
    </row>
    <row r="522">
      <c r="D522" s="52"/>
    </row>
    <row r="523">
      <c r="D523" s="52"/>
    </row>
    <row r="524">
      <c r="D524" s="52"/>
    </row>
    <row r="525">
      <c r="D525" s="52"/>
    </row>
    <row r="526">
      <c r="D526" s="52"/>
    </row>
    <row r="527">
      <c r="D527" s="52"/>
    </row>
    <row r="528">
      <c r="D528" s="52"/>
    </row>
    <row r="529">
      <c r="D529" s="52"/>
    </row>
    <row r="530">
      <c r="D530" s="52"/>
    </row>
    <row r="531">
      <c r="D531" s="52"/>
    </row>
    <row r="532">
      <c r="D532" s="52"/>
    </row>
    <row r="533">
      <c r="D533" s="52"/>
    </row>
    <row r="534">
      <c r="D534" s="52"/>
    </row>
    <row r="535">
      <c r="D535" s="52"/>
    </row>
    <row r="536">
      <c r="D536" s="52"/>
    </row>
    <row r="537">
      <c r="D537" s="52"/>
    </row>
    <row r="538">
      <c r="D538" s="52"/>
    </row>
    <row r="539">
      <c r="D539" s="52"/>
    </row>
    <row r="540">
      <c r="D540" s="52"/>
    </row>
    <row r="541">
      <c r="D541" s="52"/>
    </row>
    <row r="542">
      <c r="D542" s="52"/>
    </row>
    <row r="543">
      <c r="D543" s="52"/>
    </row>
    <row r="544">
      <c r="D544" s="52"/>
    </row>
    <row r="545">
      <c r="D545" s="52"/>
    </row>
    <row r="546">
      <c r="D546" s="52"/>
    </row>
    <row r="547">
      <c r="D547" s="52"/>
    </row>
    <row r="548">
      <c r="D548" s="52"/>
    </row>
    <row r="549">
      <c r="D549" s="52"/>
    </row>
    <row r="550">
      <c r="D550" s="52"/>
    </row>
    <row r="551">
      <c r="D551" s="52"/>
    </row>
    <row r="552">
      <c r="D552" s="52"/>
    </row>
    <row r="553">
      <c r="D553" s="52"/>
    </row>
    <row r="554">
      <c r="D554" s="52"/>
    </row>
    <row r="555">
      <c r="D555" s="52"/>
    </row>
    <row r="556">
      <c r="D556" s="52"/>
    </row>
    <row r="557">
      <c r="D557" s="52"/>
    </row>
    <row r="558">
      <c r="D558" s="52"/>
    </row>
    <row r="559">
      <c r="D559" s="52"/>
    </row>
    <row r="560">
      <c r="D560" s="52"/>
    </row>
    <row r="561">
      <c r="D561" s="52"/>
    </row>
    <row r="562">
      <c r="D562" s="52"/>
    </row>
    <row r="563">
      <c r="D563" s="52"/>
    </row>
    <row r="564">
      <c r="D564" s="52"/>
    </row>
    <row r="565">
      <c r="D565" s="52"/>
    </row>
    <row r="566">
      <c r="D566" s="52"/>
    </row>
    <row r="567">
      <c r="D567" s="52"/>
    </row>
    <row r="568">
      <c r="D568" s="52"/>
    </row>
    <row r="569">
      <c r="D569" s="52"/>
    </row>
    <row r="570">
      <c r="D570" s="52"/>
    </row>
    <row r="571">
      <c r="D571" s="52"/>
    </row>
    <row r="572">
      <c r="D572" s="52"/>
    </row>
    <row r="573">
      <c r="D573" s="52"/>
    </row>
    <row r="574">
      <c r="D574" s="52"/>
    </row>
    <row r="575">
      <c r="D575" s="52"/>
    </row>
    <row r="576">
      <c r="D576" s="52"/>
    </row>
    <row r="577">
      <c r="D577" s="52"/>
    </row>
    <row r="578">
      <c r="D578" s="52"/>
    </row>
    <row r="579">
      <c r="D579" s="52"/>
    </row>
    <row r="580">
      <c r="D580" s="52"/>
    </row>
    <row r="581">
      <c r="D581" s="52"/>
    </row>
    <row r="582">
      <c r="D582" s="52"/>
    </row>
    <row r="583">
      <c r="D583" s="52"/>
    </row>
    <row r="584">
      <c r="D584" s="52"/>
    </row>
    <row r="585">
      <c r="D585" s="52"/>
    </row>
    <row r="586">
      <c r="D586" s="52"/>
    </row>
    <row r="587">
      <c r="D587" s="52"/>
    </row>
    <row r="588">
      <c r="D588" s="52"/>
    </row>
    <row r="589">
      <c r="D589" s="52"/>
    </row>
    <row r="590">
      <c r="D590" s="52"/>
    </row>
    <row r="591">
      <c r="D591" s="52"/>
    </row>
    <row r="592">
      <c r="D592" s="52"/>
    </row>
    <row r="593">
      <c r="D593" s="52"/>
    </row>
    <row r="594">
      <c r="D594" s="52"/>
    </row>
    <row r="595">
      <c r="D595" s="52"/>
    </row>
    <row r="596">
      <c r="D596" s="52"/>
    </row>
    <row r="597">
      <c r="D597" s="52"/>
    </row>
    <row r="598">
      <c r="D598" s="52"/>
    </row>
    <row r="599">
      <c r="D599" s="52"/>
    </row>
    <row r="600">
      <c r="D600" s="52"/>
    </row>
    <row r="601">
      <c r="D601" s="52"/>
    </row>
    <row r="602">
      <c r="D602" s="52"/>
    </row>
    <row r="603">
      <c r="D603" s="52"/>
    </row>
    <row r="604">
      <c r="D604" s="52"/>
    </row>
    <row r="605">
      <c r="D605" s="52"/>
    </row>
    <row r="606">
      <c r="D606" s="52"/>
    </row>
    <row r="607">
      <c r="D607" s="52"/>
    </row>
    <row r="608">
      <c r="D608" s="52"/>
    </row>
    <row r="609">
      <c r="D609" s="52"/>
    </row>
    <row r="610">
      <c r="D610" s="52"/>
    </row>
    <row r="611">
      <c r="D611" s="52"/>
    </row>
    <row r="612">
      <c r="D612" s="52"/>
    </row>
    <row r="613">
      <c r="D613" s="52"/>
    </row>
    <row r="614">
      <c r="D614" s="52"/>
    </row>
    <row r="615">
      <c r="D615" s="52"/>
    </row>
    <row r="616">
      <c r="D616" s="52"/>
    </row>
    <row r="617">
      <c r="D617" s="52"/>
    </row>
    <row r="618">
      <c r="D618" s="52"/>
    </row>
    <row r="619">
      <c r="D619" s="52"/>
    </row>
    <row r="620">
      <c r="D620" s="52"/>
    </row>
    <row r="621">
      <c r="D621" s="52"/>
    </row>
    <row r="622">
      <c r="D622" s="52"/>
    </row>
    <row r="623">
      <c r="D623" s="52"/>
    </row>
    <row r="624">
      <c r="D624" s="52"/>
    </row>
    <row r="625">
      <c r="D625" s="52"/>
    </row>
    <row r="626">
      <c r="D626" s="52"/>
    </row>
    <row r="627">
      <c r="D627" s="52"/>
    </row>
    <row r="628">
      <c r="D628" s="52"/>
    </row>
    <row r="629">
      <c r="D629" s="52"/>
    </row>
    <row r="630">
      <c r="D630" s="52"/>
    </row>
    <row r="631">
      <c r="D631" s="52"/>
    </row>
    <row r="632">
      <c r="D632" s="52"/>
    </row>
    <row r="633">
      <c r="D633" s="52"/>
    </row>
    <row r="634">
      <c r="D634" s="52"/>
    </row>
    <row r="635">
      <c r="D635" s="52"/>
    </row>
    <row r="636">
      <c r="D636" s="52"/>
    </row>
    <row r="637">
      <c r="D637" s="52"/>
    </row>
    <row r="638">
      <c r="D638" s="52"/>
    </row>
    <row r="639">
      <c r="D639" s="52"/>
    </row>
    <row r="640">
      <c r="D640" s="52"/>
    </row>
    <row r="641">
      <c r="D641" s="52"/>
    </row>
    <row r="642">
      <c r="D642" s="52"/>
    </row>
    <row r="643">
      <c r="D643" s="52"/>
    </row>
    <row r="644">
      <c r="D644" s="52"/>
    </row>
    <row r="645">
      <c r="D645" s="52"/>
    </row>
    <row r="646">
      <c r="D646" s="52"/>
    </row>
    <row r="647">
      <c r="D647" s="52"/>
    </row>
    <row r="648">
      <c r="D648" s="52"/>
    </row>
    <row r="649">
      <c r="D649" s="52"/>
    </row>
    <row r="650">
      <c r="D650" s="52"/>
    </row>
    <row r="651">
      <c r="D651" s="52"/>
    </row>
    <row r="652">
      <c r="D652" s="52"/>
    </row>
    <row r="653">
      <c r="D653" s="52"/>
    </row>
    <row r="654">
      <c r="D654" s="52"/>
    </row>
    <row r="655">
      <c r="D655" s="52"/>
    </row>
    <row r="656">
      <c r="D656" s="52"/>
    </row>
    <row r="657">
      <c r="D657" s="52"/>
    </row>
    <row r="658">
      <c r="D658" s="52"/>
    </row>
    <row r="659">
      <c r="D659" s="52"/>
    </row>
    <row r="660">
      <c r="D660" s="52"/>
    </row>
    <row r="661">
      <c r="D661" s="52"/>
    </row>
    <row r="662">
      <c r="D662" s="52"/>
    </row>
    <row r="663">
      <c r="D663" s="52"/>
    </row>
    <row r="664">
      <c r="D664" s="52"/>
    </row>
    <row r="665">
      <c r="D665" s="52"/>
    </row>
    <row r="666">
      <c r="D666" s="52"/>
    </row>
    <row r="667">
      <c r="D667" s="52"/>
    </row>
    <row r="668">
      <c r="D668" s="52"/>
    </row>
    <row r="669">
      <c r="D669" s="52"/>
    </row>
    <row r="670">
      <c r="D670" s="52"/>
    </row>
    <row r="671">
      <c r="D671" s="52"/>
    </row>
    <row r="672">
      <c r="D672" s="52"/>
    </row>
    <row r="673">
      <c r="D673" s="52"/>
    </row>
    <row r="674">
      <c r="D674" s="52"/>
    </row>
    <row r="675">
      <c r="D675" s="52"/>
    </row>
    <row r="676">
      <c r="D676" s="52"/>
    </row>
    <row r="677">
      <c r="D677" s="52"/>
    </row>
    <row r="678">
      <c r="D678" s="52"/>
    </row>
    <row r="679">
      <c r="D679" s="52"/>
    </row>
    <row r="680">
      <c r="D680" s="52"/>
    </row>
    <row r="681">
      <c r="D681" s="52"/>
    </row>
    <row r="682">
      <c r="D682" s="52"/>
    </row>
    <row r="683">
      <c r="D683" s="52"/>
    </row>
    <row r="684">
      <c r="D684" s="52"/>
    </row>
    <row r="685">
      <c r="D685" s="52"/>
    </row>
    <row r="686">
      <c r="D686" s="52"/>
    </row>
    <row r="687">
      <c r="D687" s="52"/>
    </row>
    <row r="688">
      <c r="D688" s="52"/>
    </row>
    <row r="689">
      <c r="D689" s="52"/>
    </row>
    <row r="690">
      <c r="D690" s="52"/>
    </row>
    <row r="691">
      <c r="D691" s="52"/>
    </row>
    <row r="692">
      <c r="D692" s="52"/>
    </row>
    <row r="693">
      <c r="D693" s="52"/>
    </row>
    <row r="694">
      <c r="D694" s="52"/>
    </row>
    <row r="695">
      <c r="D695" s="52"/>
    </row>
    <row r="696">
      <c r="D696" s="52"/>
    </row>
    <row r="697">
      <c r="D697" s="52"/>
    </row>
    <row r="698">
      <c r="D698" s="52"/>
    </row>
    <row r="699">
      <c r="D699" s="52"/>
    </row>
    <row r="700">
      <c r="D700" s="52"/>
    </row>
    <row r="701">
      <c r="D701" s="52"/>
    </row>
    <row r="702">
      <c r="D702" s="52"/>
    </row>
    <row r="703">
      <c r="D703" s="52"/>
    </row>
    <row r="704">
      <c r="D704" s="52"/>
    </row>
    <row r="705">
      <c r="D705" s="52"/>
    </row>
    <row r="706">
      <c r="D706" s="52"/>
    </row>
    <row r="707">
      <c r="D707" s="52"/>
    </row>
    <row r="708">
      <c r="D708" s="52"/>
    </row>
    <row r="709">
      <c r="D709" s="52"/>
    </row>
    <row r="710">
      <c r="D710" s="52"/>
    </row>
    <row r="711">
      <c r="D711" s="52"/>
    </row>
    <row r="712">
      <c r="D712" s="52"/>
    </row>
    <row r="713">
      <c r="D713" s="52"/>
    </row>
    <row r="714">
      <c r="D714" s="52"/>
    </row>
    <row r="715">
      <c r="D715" s="52"/>
    </row>
    <row r="716">
      <c r="D716" s="52"/>
    </row>
    <row r="717">
      <c r="D717" s="52"/>
    </row>
    <row r="718">
      <c r="D718" s="52"/>
    </row>
    <row r="719">
      <c r="D719" s="52"/>
    </row>
    <row r="720">
      <c r="D720" s="52"/>
    </row>
    <row r="721">
      <c r="D721" s="52"/>
    </row>
    <row r="722">
      <c r="D722" s="52"/>
    </row>
    <row r="723">
      <c r="D723" s="52"/>
    </row>
    <row r="724">
      <c r="D724" s="52"/>
    </row>
    <row r="725">
      <c r="D725" s="52"/>
    </row>
    <row r="726">
      <c r="D726" s="52"/>
    </row>
    <row r="727">
      <c r="D727" s="52"/>
    </row>
    <row r="728">
      <c r="D728" s="52"/>
    </row>
    <row r="729">
      <c r="D729" s="52"/>
    </row>
    <row r="730">
      <c r="D730" s="52"/>
    </row>
    <row r="731">
      <c r="D731" s="52"/>
    </row>
    <row r="732">
      <c r="D732" s="52"/>
    </row>
    <row r="733">
      <c r="D733" s="52"/>
    </row>
    <row r="734">
      <c r="D734" s="52"/>
    </row>
    <row r="735">
      <c r="D735" s="52"/>
    </row>
    <row r="736">
      <c r="D736" s="52"/>
    </row>
    <row r="737">
      <c r="D737" s="52"/>
    </row>
    <row r="738">
      <c r="D738" s="52"/>
    </row>
    <row r="739">
      <c r="D739" s="52"/>
    </row>
    <row r="740">
      <c r="D740" s="52"/>
    </row>
    <row r="741">
      <c r="D741" s="52"/>
    </row>
    <row r="742">
      <c r="D742" s="52"/>
    </row>
    <row r="743">
      <c r="D743" s="52"/>
    </row>
    <row r="744">
      <c r="D744" s="52"/>
    </row>
    <row r="745">
      <c r="D745" s="52"/>
    </row>
    <row r="746">
      <c r="D746" s="52"/>
    </row>
    <row r="747">
      <c r="D747" s="52"/>
    </row>
    <row r="748">
      <c r="D748" s="52"/>
    </row>
    <row r="749">
      <c r="D749" s="52"/>
    </row>
    <row r="750">
      <c r="D750" s="52"/>
    </row>
    <row r="751">
      <c r="D751" s="52"/>
    </row>
    <row r="752">
      <c r="D752" s="52"/>
    </row>
    <row r="753">
      <c r="D753" s="52"/>
    </row>
    <row r="754">
      <c r="D754" s="52"/>
    </row>
    <row r="755">
      <c r="D755" s="52"/>
    </row>
    <row r="756">
      <c r="D756" s="52"/>
    </row>
    <row r="757">
      <c r="D757" s="52"/>
    </row>
    <row r="758">
      <c r="D758" s="52"/>
    </row>
    <row r="759">
      <c r="D759" s="52"/>
    </row>
    <row r="760">
      <c r="D760" s="52"/>
    </row>
    <row r="761">
      <c r="D761" s="52"/>
    </row>
    <row r="762">
      <c r="D762" s="52"/>
    </row>
    <row r="763">
      <c r="D763" s="52"/>
    </row>
    <row r="764">
      <c r="D764" s="52"/>
    </row>
    <row r="765">
      <c r="D765" s="52"/>
    </row>
    <row r="766">
      <c r="D766" s="52"/>
    </row>
    <row r="767">
      <c r="D767" s="52"/>
    </row>
    <row r="768">
      <c r="D768" s="52"/>
    </row>
    <row r="769">
      <c r="D769" s="52"/>
    </row>
    <row r="770">
      <c r="D770" s="52"/>
    </row>
    <row r="771">
      <c r="D771" s="52"/>
    </row>
    <row r="772">
      <c r="D772" s="52"/>
    </row>
    <row r="773">
      <c r="D773" s="52"/>
    </row>
    <row r="774">
      <c r="D774" s="52"/>
    </row>
    <row r="775">
      <c r="D775" s="52"/>
    </row>
    <row r="776">
      <c r="D776" s="52"/>
    </row>
    <row r="777">
      <c r="D777" s="52"/>
    </row>
    <row r="778">
      <c r="D778" s="52"/>
    </row>
    <row r="779">
      <c r="D779" s="52"/>
    </row>
    <row r="780">
      <c r="D780" s="52"/>
    </row>
    <row r="781">
      <c r="D781" s="52"/>
    </row>
    <row r="782">
      <c r="D782" s="52"/>
    </row>
    <row r="783">
      <c r="D783" s="52"/>
    </row>
    <row r="784">
      <c r="D784" s="52"/>
    </row>
    <row r="785">
      <c r="D785" s="52"/>
    </row>
    <row r="786">
      <c r="D786" s="52"/>
    </row>
    <row r="787">
      <c r="D787" s="52"/>
    </row>
    <row r="788">
      <c r="D788" s="52"/>
    </row>
    <row r="789">
      <c r="D789" s="52"/>
    </row>
    <row r="790">
      <c r="D790" s="52"/>
    </row>
    <row r="791">
      <c r="D791" s="52"/>
    </row>
    <row r="792">
      <c r="D792" s="52"/>
    </row>
    <row r="793">
      <c r="D793" s="52"/>
    </row>
    <row r="794">
      <c r="D794" s="52"/>
    </row>
    <row r="795">
      <c r="D795" s="52"/>
    </row>
    <row r="796">
      <c r="D796" s="52"/>
    </row>
    <row r="797">
      <c r="D797" s="52"/>
    </row>
    <row r="798">
      <c r="D798" s="52"/>
    </row>
    <row r="799">
      <c r="D799" s="52"/>
    </row>
    <row r="800">
      <c r="D800" s="52"/>
    </row>
    <row r="801">
      <c r="D801" s="52"/>
    </row>
    <row r="802">
      <c r="D802" s="52"/>
    </row>
    <row r="803">
      <c r="D803" s="52"/>
    </row>
    <row r="804">
      <c r="D804" s="52"/>
    </row>
    <row r="805">
      <c r="D805" s="52"/>
    </row>
    <row r="806">
      <c r="D806" s="52"/>
    </row>
    <row r="807">
      <c r="D807" s="52"/>
    </row>
    <row r="808">
      <c r="D808" s="52"/>
    </row>
    <row r="809">
      <c r="D809" s="52"/>
    </row>
    <row r="810">
      <c r="D810" s="52"/>
    </row>
    <row r="811">
      <c r="D811" s="52"/>
    </row>
    <row r="812">
      <c r="D812" s="52"/>
    </row>
    <row r="813">
      <c r="D813" s="52"/>
    </row>
    <row r="814">
      <c r="D814" s="52"/>
    </row>
    <row r="815">
      <c r="D815" s="52"/>
    </row>
    <row r="816">
      <c r="D816" s="52"/>
    </row>
    <row r="817">
      <c r="D817" s="52"/>
    </row>
    <row r="818">
      <c r="D818" s="52"/>
    </row>
    <row r="819">
      <c r="D819" s="52"/>
    </row>
    <row r="820">
      <c r="D820" s="52"/>
    </row>
    <row r="821">
      <c r="D821" s="52"/>
    </row>
    <row r="822">
      <c r="D822" s="52"/>
    </row>
    <row r="823">
      <c r="D823" s="52"/>
    </row>
    <row r="824">
      <c r="D824" s="52"/>
    </row>
    <row r="825">
      <c r="D825" s="52"/>
    </row>
    <row r="826">
      <c r="D826" s="52"/>
    </row>
    <row r="827">
      <c r="D827" s="52"/>
    </row>
    <row r="828">
      <c r="D828" s="52"/>
    </row>
    <row r="829">
      <c r="D829" s="52"/>
    </row>
    <row r="830">
      <c r="D830" s="52"/>
    </row>
    <row r="831">
      <c r="D831" s="52"/>
    </row>
    <row r="832">
      <c r="D832" s="52"/>
    </row>
    <row r="833">
      <c r="D833" s="52"/>
    </row>
    <row r="834">
      <c r="D834" s="52"/>
    </row>
    <row r="835">
      <c r="D835" s="52"/>
    </row>
    <row r="836">
      <c r="D836" s="52"/>
    </row>
    <row r="837">
      <c r="D837" s="52"/>
    </row>
    <row r="838">
      <c r="D838" s="52"/>
    </row>
    <row r="839">
      <c r="D839" s="52"/>
    </row>
    <row r="840">
      <c r="D840" s="52"/>
    </row>
    <row r="841">
      <c r="D841" s="52"/>
    </row>
    <row r="842">
      <c r="D842" s="52"/>
    </row>
    <row r="843">
      <c r="D843" s="52"/>
    </row>
  </sheetData>
  <mergeCells count="7">
    <mergeCell ref="A1:F1"/>
    <mergeCell ref="A2:A3"/>
    <mergeCell ref="B2:B3"/>
    <mergeCell ref="C2:C3"/>
    <mergeCell ref="D2:D3"/>
    <mergeCell ref="E2:F2"/>
    <mergeCell ref="A7:E7"/>
  </mergeCells>
  <dataValidations>
    <dataValidation type="list" allowBlank="1" sqref="H4">
      <formula1>"CHECKED (OK),CHECKED  (NOT OK)"</formula1>
    </dataValidation>
  </dataValidations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3" max="3" width="26.75"/>
    <col customWidth="1" min="4" max="4" width="33.25"/>
    <col customWidth="1" min="7" max="7" width="3.5"/>
    <col customWidth="1" min="8" max="8" width="18.63"/>
    <col customWidth="1" min="9" max="9" width="21.63"/>
  </cols>
  <sheetData>
    <row r="1">
      <c r="A1" s="30" t="s">
        <v>1138</v>
      </c>
      <c r="G1" s="31"/>
      <c r="H1" s="32" t="s">
        <v>1139</v>
      </c>
      <c r="I1" s="33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4" t="s">
        <v>1</v>
      </c>
      <c r="B2" s="35" t="s">
        <v>11</v>
      </c>
      <c r="C2" s="35" t="s">
        <v>12</v>
      </c>
      <c r="D2" s="36" t="s">
        <v>13</v>
      </c>
      <c r="E2" s="37" t="s">
        <v>14</v>
      </c>
      <c r="F2" s="38"/>
      <c r="G2" s="39"/>
      <c r="H2" s="40"/>
      <c r="I2" s="40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41"/>
      <c r="B3" s="38"/>
      <c r="C3" s="38"/>
      <c r="D3" s="38"/>
      <c r="E3" s="42" t="s">
        <v>15</v>
      </c>
      <c r="F3" s="43" t="s">
        <v>5</v>
      </c>
      <c r="G3" s="39"/>
      <c r="H3" s="44" t="s">
        <v>6</v>
      </c>
      <c r="I3" s="45" t="s">
        <v>7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24.75" customHeight="1">
      <c r="A4" s="46"/>
      <c r="B4" s="47"/>
      <c r="C4" s="48" t="str">
        <f>vlookup(B4,'Crew Data'!C:G,5,0)</f>
        <v>#N/A</v>
      </c>
      <c r="D4" s="49"/>
      <c r="E4" s="47"/>
      <c r="F4" s="50">
        <f>E4*400</f>
        <v>0</v>
      </c>
      <c r="G4" s="22">
        <f>COUNTIF(B:B,B4)</f>
        <v>0</v>
      </c>
      <c r="H4" s="5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D5" s="52"/>
    </row>
    <row r="6">
      <c r="D6" s="52"/>
    </row>
    <row r="7" ht="44.25" customHeight="1">
      <c r="A7" s="53" t="s">
        <v>16</v>
      </c>
    </row>
    <row r="8">
      <c r="D8" s="52"/>
    </row>
    <row r="9">
      <c r="D9" s="52"/>
    </row>
    <row r="10">
      <c r="D10" s="52"/>
    </row>
    <row r="11">
      <c r="D11" s="52"/>
    </row>
    <row r="12">
      <c r="D12" s="52"/>
    </row>
    <row r="13">
      <c r="D13" s="52"/>
    </row>
    <row r="14">
      <c r="D14" s="52"/>
    </row>
    <row r="15">
      <c r="D15" s="52"/>
    </row>
    <row r="16">
      <c r="D16" s="52"/>
    </row>
    <row r="17">
      <c r="D17" s="52"/>
    </row>
    <row r="18">
      <c r="D18" s="52"/>
    </row>
    <row r="19">
      <c r="D19" s="52"/>
    </row>
    <row r="20">
      <c r="D20" s="52"/>
    </row>
    <row r="21">
      <c r="D21" s="52"/>
    </row>
    <row r="22">
      <c r="D22" s="52"/>
    </row>
    <row r="23">
      <c r="D23" s="52"/>
    </row>
    <row r="24">
      <c r="D24" s="52"/>
    </row>
    <row r="25">
      <c r="D25" s="52"/>
    </row>
    <row r="26">
      <c r="D26" s="52"/>
    </row>
    <row r="27">
      <c r="D27" s="52"/>
    </row>
    <row r="28">
      <c r="D28" s="52"/>
    </row>
    <row r="29">
      <c r="D29" s="52"/>
    </row>
    <row r="30">
      <c r="D30" s="52"/>
    </row>
    <row r="31">
      <c r="D31" s="52"/>
    </row>
    <row r="32">
      <c r="D32" s="52"/>
    </row>
    <row r="33">
      <c r="D33" s="52"/>
    </row>
    <row r="34">
      <c r="D34" s="52"/>
    </row>
    <row r="35">
      <c r="D35" s="52"/>
    </row>
    <row r="36">
      <c r="D36" s="52"/>
    </row>
    <row r="37">
      <c r="D37" s="52"/>
    </row>
    <row r="38">
      <c r="D38" s="52"/>
    </row>
    <row r="39">
      <c r="D39" s="52"/>
    </row>
    <row r="40">
      <c r="D40" s="52"/>
    </row>
    <row r="41">
      <c r="D41" s="52"/>
    </row>
    <row r="42">
      <c r="D42" s="52"/>
    </row>
    <row r="43">
      <c r="D43" s="52"/>
    </row>
    <row r="44">
      <c r="D44" s="52"/>
    </row>
    <row r="45">
      <c r="D45" s="52"/>
    </row>
    <row r="46">
      <c r="D46" s="52"/>
    </row>
    <row r="47">
      <c r="D47" s="52"/>
    </row>
    <row r="48">
      <c r="D48" s="52"/>
    </row>
    <row r="49">
      <c r="D49" s="52"/>
    </row>
    <row r="50">
      <c r="D50" s="52"/>
    </row>
    <row r="51">
      <c r="D51" s="52"/>
    </row>
    <row r="52">
      <c r="D52" s="52"/>
    </row>
    <row r="53">
      <c r="D53" s="52"/>
    </row>
    <row r="54">
      <c r="D54" s="52"/>
    </row>
    <row r="55">
      <c r="D55" s="52"/>
    </row>
    <row r="56">
      <c r="D56" s="52"/>
    </row>
    <row r="57">
      <c r="D57" s="52"/>
    </row>
    <row r="58">
      <c r="D58" s="52"/>
    </row>
    <row r="59">
      <c r="D59" s="52"/>
    </row>
    <row r="60">
      <c r="D60" s="52"/>
    </row>
    <row r="61">
      <c r="D61" s="52"/>
    </row>
    <row r="62">
      <c r="D62" s="52"/>
    </row>
    <row r="63">
      <c r="D63" s="52"/>
    </row>
    <row r="64">
      <c r="D64" s="52"/>
    </row>
    <row r="65">
      <c r="D65" s="52"/>
    </row>
    <row r="66">
      <c r="D66" s="52"/>
    </row>
    <row r="67">
      <c r="D67" s="52"/>
    </row>
    <row r="68">
      <c r="D68" s="52"/>
    </row>
    <row r="69">
      <c r="D69" s="52"/>
    </row>
    <row r="70">
      <c r="D70" s="52"/>
    </row>
    <row r="71">
      <c r="D71" s="52"/>
    </row>
    <row r="72">
      <c r="D72" s="52"/>
    </row>
    <row r="73">
      <c r="D73" s="52"/>
    </row>
    <row r="74">
      <c r="D74" s="52"/>
    </row>
    <row r="75">
      <c r="D75" s="52"/>
    </row>
    <row r="76">
      <c r="D76" s="52"/>
    </row>
    <row r="77">
      <c r="D77" s="52"/>
    </row>
    <row r="78">
      <c r="D78" s="52"/>
    </row>
    <row r="79">
      <c r="D79" s="52"/>
    </row>
    <row r="80">
      <c r="D80" s="52"/>
    </row>
    <row r="81">
      <c r="D81" s="52"/>
    </row>
    <row r="82">
      <c r="D82" s="52"/>
    </row>
    <row r="83">
      <c r="D83" s="52"/>
    </row>
    <row r="84">
      <c r="D84" s="52"/>
    </row>
    <row r="85">
      <c r="D85" s="52"/>
    </row>
    <row r="86">
      <c r="D86" s="52"/>
    </row>
    <row r="87">
      <c r="D87" s="52"/>
    </row>
    <row r="88">
      <c r="D88" s="52"/>
    </row>
    <row r="89">
      <c r="D89" s="52"/>
    </row>
    <row r="90">
      <c r="D90" s="52"/>
    </row>
    <row r="91">
      <c r="D91" s="52"/>
    </row>
    <row r="92">
      <c r="D92" s="52"/>
    </row>
    <row r="93">
      <c r="D93" s="52"/>
    </row>
    <row r="94">
      <c r="D94" s="52"/>
    </row>
    <row r="95">
      <c r="D95" s="52"/>
    </row>
    <row r="96">
      <c r="D96" s="52"/>
    </row>
    <row r="97">
      <c r="D97" s="52"/>
    </row>
    <row r="98">
      <c r="D98" s="52"/>
    </row>
    <row r="99">
      <c r="D99" s="52"/>
    </row>
    <row r="100">
      <c r="D100" s="52"/>
    </row>
    <row r="101">
      <c r="D101" s="52"/>
    </row>
    <row r="102">
      <c r="D102" s="52"/>
    </row>
    <row r="103">
      <c r="D103" s="52"/>
    </row>
    <row r="104">
      <c r="D104" s="52"/>
    </row>
    <row r="105">
      <c r="D105" s="52"/>
    </row>
    <row r="106">
      <c r="D106" s="52"/>
    </row>
    <row r="107">
      <c r="D107" s="52"/>
    </row>
    <row r="108">
      <c r="D108" s="52"/>
    </row>
    <row r="109">
      <c r="D109" s="52"/>
    </row>
    <row r="110">
      <c r="D110" s="52"/>
    </row>
    <row r="111">
      <c r="D111" s="52"/>
    </row>
    <row r="112">
      <c r="D112" s="52"/>
    </row>
    <row r="113">
      <c r="D113" s="52"/>
    </row>
    <row r="114">
      <c r="D114" s="52"/>
    </row>
    <row r="115">
      <c r="D115" s="52"/>
    </row>
    <row r="116">
      <c r="D116" s="52"/>
    </row>
    <row r="117">
      <c r="D117" s="52"/>
    </row>
    <row r="118">
      <c r="D118" s="52"/>
    </row>
    <row r="119">
      <c r="D119" s="52"/>
    </row>
    <row r="120">
      <c r="D120" s="52"/>
    </row>
    <row r="121">
      <c r="D121" s="52"/>
    </row>
    <row r="122">
      <c r="D122" s="52"/>
    </row>
    <row r="123">
      <c r="D123" s="52"/>
    </row>
    <row r="124">
      <c r="D124" s="52"/>
    </row>
    <row r="125">
      <c r="D125" s="52"/>
    </row>
    <row r="126">
      <c r="D126" s="52"/>
    </row>
    <row r="127">
      <c r="D127" s="52"/>
    </row>
    <row r="128">
      <c r="D128" s="52"/>
    </row>
    <row r="129">
      <c r="D129" s="52"/>
    </row>
    <row r="130">
      <c r="D130" s="52"/>
    </row>
    <row r="131">
      <c r="D131" s="52"/>
    </row>
    <row r="132">
      <c r="D132" s="52"/>
    </row>
    <row r="133">
      <c r="D133" s="52"/>
    </row>
    <row r="134">
      <c r="D134" s="52"/>
    </row>
    <row r="135">
      <c r="D135" s="52"/>
    </row>
    <row r="136">
      <c r="D136" s="52"/>
    </row>
    <row r="137">
      <c r="D137" s="52"/>
    </row>
    <row r="138">
      <c r="D138" s="52"/>
    </row>
    <row r="139">
      <c r="D139" s="52"/>
    </row>
    <row r="140">
      <c r="D140" s="52"/>
    </row>
    <row r="141">
      <c r="D141" s="52"/>
    </row>
    <row r="142">
      <c r="D142" s="52"/>
    </row>
    <row r="143">
      <c r="D143" s="52"/>
    </row>
    <row r="144">
      <c r="D144" s="52"/>
    </row>
    <row r="145">
      <c r="D145" s="52"/>
    </row>
    <row r="146">
      <c r="D146" s="52"/>
    </row>
    <row r="147">
      <c r="D147" s="52"/>
    </row>
    <row r="148">
      <c r="D148" s="52"/>
    </row>
    <row r="149">
      <c r="D149" s="52"/>
    </row>
    <row r="150">
      <c r="D150" s="52"/>
    </row>
    <row r="151">
      <c r="D151" s="52"/>
    </row>
    <row r="152">
      <c r="D152" s="52"/>
    </row>
    <row r="153">
      <c r="D153" s="52"/>
    </row>
    <row r="154">
      <c r="D154" s="52"/>
    </row>
    <row r="155">
      <c r="D155" s="52"/>
    </row>
    <row r="156">
      <c r="D156" s="52"/>
    </row>
    <row r="157">
      <c r="D157" s="52"/>
    </row>
    <row r="158">
      <c r="D158" s="52"/>
    </row>
    <row r="159">
      <c r="D159" s="52"/>
    </row>
    <row r="160">
      <c r="D160" s="52"/>
    </row>
    <row r="161">
      <c r="D161" s="52"/>
    </row>
    <row r="162">
      <c r="D162" s="52"/>
    </row>
    <row r="163">
      <c r="D163" s="52"/>
    </row>
    <row r="164">
      <c r="D164" s="52"/>
    </row>
    <row r="165">
      <c r="D165" s="52"/>
    </row>
    <row r="166">
      <c r="D166" s="52"/>
    </row>
    <row r="167">
      <c r="D167" s="52"/>
    </row>
    <row r="168">
      <c r="D168" s="52"/>
    </row>
    <row r="169">
      <c r="D169" s="52"/>
    </row>
    <row r="170">
      <c r="D170" s="52"/>
    </row>
    <row r="171">
      <c r="D171" s="52"/>
    </row>
    <row r="172">
      <c r="D172" s="52"/>
    </row>
    <row r="173">
      <c r="D173" s="52"/>
    </row>
    <row r="174">
      <c r="D174" s="52"/>
    </row>
    <row r="175">
      <c r="D175" s="52"/>
    </row>
    <row r="176">
      <c r="D176" s="52"/>
    </row>
    <row r="177">
      <c r="D177" s="52"/>
    </row>
    <row r="178">
      <c r="D178" s="52"/>
    </row>
    <row r="179">
      <c r="D179" s="52"/>
    </row>
    <row r="180">
      <c r="D180" s="52"/>
    </row>
    <row r="181">
      <c r="D181" s="52"/>
    </row>
    <row r="182">
      <c r="D182" s="52"/>
    </row>
    <row r="183">
      <c r="D183" s="52"/>
    </row>
    <row r="184">
      <c r="D184" s="52"/>
    </row>
    <row r="185">
      <c r="D185" s="52"/>
    </row>
    <row r="186">
      <c r="D186" s="52"/>
    </row>
    <row r="187">
      <c r="D187" s="52"/>
    </row>
    <row r="188">
      <c r="D188" s="52"/>
    </row>
    <row r="189">
      <c r="D189" s="52"/>
    </row>
    <row r="190">
      <c r="D190" s="52"/>
    </row>
    <row r="191">
      <c r="D191" s="52"/>
    </row>
    <row r="192">
      <c r="D192" s="52"/>
    </row>
    <row r="193">
      <c r="D193" s="52"/>
    </row>
    <row r="194">
      <c r="D194" s="52"/>
    </row>
    <row r="195">
      <c r="D195" s="52"/>
    </row>
    <row r="196">
      <c r="D196" s="52"/>
    </row>
    <row r="197">
      <c r="D197" s="52"/>
    </row>
    <row r="198">
      <c r="D198" s="52"/>
    </row>
    <row r="199">
      <c r="D199" s="52"/>
    </row>
    <row r="200">
      <c r="D200" s="52"/>
    </row>
    <row r="201">
      <c r="D201" s="52"/>
    </row>
    <row r="202">
      <c r="D202" s="52"/>
    </row>
    <row r="203">
      <c r="D203" s="52"/>
    </row>
    <row r="204">
      <c r="D204" s="52"/>
    </row>
    <row r="205">
      <c r="D205" s="52"/>
    </row>
    <row r="206">
      <c r="D206" s="52"/>
    </row>
    <row r="207">
      <c r="D207" s="52"/>
    </row>
    <row r="208">
      <c r="D208" s="52"/>
    </row>
    <row r="209">
      <c r="D209" s="52"/>
    </row>
    <row r="210">
      <c r="D210" s="52"/>
    </row>
    <row r="211">
      <c r="D211" s="52"/>
    </row>
    <row r="212">
      <c r="D212" s="52"/>
    </row>
    <row r="213">
      <c r="D213" s="52"/>
    </row>
    <row r="214">
      <c r="D214" s="52"/>
    </row>
    <row r="215">
      <c r="D215" s="52"/>
    </row>
    <row r="216">
      <c r="D216" s="52"/>
    </row>
    <row r="217">
      <c r="D217" s="52"/>
    </row>
    <row r="218">
      <c r="D218" s="52"/>
    </row>
    <row r="219">
      <c r="D219" s="52"/>
    </row>
    <row r="220">
      <c r="D220" s="52"/>
    </row>
    <row r="221">
      <c r="D221" s="52"/>
    </row>
    <row r="222">
      <c r="D222" s="52"/>
    </row>
    <row r="223">
      <c r="D223" s="52"/>
    </row>
    <row r="224">
      <c r="D224" s="52"/>
    </row>
    <row r="225">
      <c r="D225" s="52"/>
    </row>
    <row r="226">
      <c r="D226" s="52"/>
    </row>
    <row r="227">
      <c r="D227" s="52"/>
    </row>
    <row r="228">
      <c r="D228" s="52"/>
    </row>
    <row r="229">
      <c r="D229" s="52"/>
    </row>
    <row r="230">
      <c r="D230" s="52"/>
    </row>
    <row r="231">
      <c r="D231" s="52"/>
    </row>
    <row r="232">
      <c r="D232" s="52"/>
    </row>
    <row r="233">
      <c r="D233" s="52"/>
    </row>
    <row r="234">
      <c r="D234" s="52"/>
    </row>
    <row r="235">
      <c r="D235" s="52"/>
    </row>
    <row r="236">
      <c r="D236" s="52"/>
    </row>
    <row r="237">
      <c r="D237" s="52"/>
    </row>
    <row r="238">
      <c r="D238" s="52"/>
    </row>
    <row r="239">
      <c r="D239" s="52"/>
    </row>
    <row r="240">
      <c r="D240" s="52"/>
    </row>
    <row r="241">
      <c r="D241" s="52"/>
    </row>
    <row r="242">
      <c r="D242" s="52"/>
    </row>
    <row r="243">
      <c r="D243" s="52"/>
    </row>
    <row r="244">
      <c r="D244" s="52"/>
    </row>
    <row r="245">
      <c r="D245" s="52"/>
    </row>
    <row r="246">
      <c r="D246" s="52"/>
    </row>
    <row r="247">
      <c r="D247" s="52"/>
    </row>
    <row r="248">
      <c r="D248" s="52"/>
    </row>
    <row r="249">
      <c r="D249" s="52"/>
    </row>
    <row r="250">
      <c r="D250" s="52"/>
    </row>
    <row r="251">
      <c r="D251" s="52"/>
    </row>
    <row r="252">
      <c r="D252" s="52"/>
    </row>
    <row r="253">
      <c r="D253" s="52"/>
    </row>
    <row r="254">
      <c r="D254" s="52"/>
    </row>
    <row r="255">
      <c r="D255" s="52"/>
    </row>
    <row r="256">
      <c r="D256" s="52"/>
    </row>
    <row r="257">
      <c r="D257" s="52"/>
    </row>
    <row r="258">
      <c r="D258" s="52"/>
    </row>
    <row r="259">
      <c r="D259" s="52"/>
    </row>
    <row r="260">
      <c r="D260" s="52"/>
    </row>
    <row r="261">
      <c r="D261" s="52"/>
    </row>
    <row r="262">
      <c r="D262" s="52"/>
    </row>
    <row r="263">
      <c r="D263" s="52"/>
    </row>
    <row r="264">
      <c r="D264" s="52"/>
    </row>
    <row r="265">
      <c r="D265" s="52"/>
    </row>
    <row r="266">
      <c r="D266" s="52"/>
    </row>
    <row r="267">
      <c r="D267" s="52"/>
    </row>
    <row r="268">
      <c r="D268" s="52"/>
    </row>
    <row r="269">
      <c r="D269" s="52"/>
    </row>
    <row r="270">
      <c r="D270" s="52"/>
    </row>
    <row r="271">
      <c r="D271" s="52"/>
    </row>
    <row r="272">
      <c r="D272" s="52"/>
    </row>
    <row r="273">
      <c r="D273" s="52"/>
    </row>
    <row r="274">
      <c r="D274" s="52"/>
    </row>
    <row r="275">
      <c r="D275" s="52"/>
    </row>
    <row r="276">
      <c r="D276" s="52"/>
    </row>
    <row r="277">
      <c r="D277" s="52"/>
    </row>
    <row r="278">
      <c r="D278" s="52"/>
    </row>
    <row r="279">
      <c r="D279" s="52"/>
    </row>
    <row r="280">
      <c r="D280" s="52"/>
    </row>
    <row r="281">
      <c r="D281" s="52"/>
    </row>
    <row r="282">
      <c r="D282" s="52"/>
    </row>
    <row r="283">
      <c r="D283" s="52"/>
    </row>
    <row r="284">
      <c r="D284" s="52"/>
    </row>
    <row r="285">
      <c r="D285" s="52"/>
    </row>
    <row r="286">
      <c r="D286" s="52"/>
    </row>
    <row r="287">
      <c r="D287" s="52"/>
    </row>
    <row r="288">
      <c r="D288" s="52"/>
    </row>
    <row r="289">
      <c r="D289" s="52"/>
    </row>
    <row r="290">
      <c r="D290" s="52"/>
    </row>
    <row r="291">
      <c r="D291" s="52"/>
    </row>
    <row r="292">
      <c r="D292" s="52"/>
    </row>
    <row r="293">
      <c r="D293" s="52"/>
    </row>
    <row r="294">
      <c r="D294" s="52"/>
    </row>
    <row r="295">
      <c r="D295" s="52"/>
    </row>
    <row r="296">
      <c r="D296" s="52"/>
    </row>
    <row r="297">
      <c r="D297" s="52"/>
    </row>
    <row r="298">
      <c r="D298" s="52"/>
    </row>
    <row r="299">
      <c r="D299" s="52"/>
    </row>
    <row r="300">
      <c r="D300" s="52"/>
    </row>
    <row r="301">
      <c r="D301" s="52"/>
    </row>
    <row r="302">
      <c r="D302" s="52"/>
    </row>
    <row r="303">
      <c r="D303" s="52"/>
    </row>
    <row r="304">
      <c r="D304" s="52"/>
    </row>
    <row r="305">
      <c r="D305" s="52"/>
    </row>
    <row r="306">
      <c r="D306" s="52"/>
    </row>
    <row r="307">
      <c r="D307" s="52"/>
    </row>
    <row r="308">
      <c r="D308" s="52"/>
    </row>
    <row r="309">
      <c r="D309" s="52"/>
    </row>
    <row r="310">
      <c r="D310" s="52"/>
    </row>
    <row r="311">
      <c r="D311" s="52"/>
    </row>
    <row r="312">
      <c r="D312" s="52"/>
    </row>
    <row r="313">
      <c r="D313" s="52"/>
    </row>
    <row r="314">
      <c r="D314" s="52"/>
    </row>
    <row r="315">
      <c r="D315" s="52"/>
    </row>
    <row r="316">
      <c r="D316" s="52"/>
    </row>
    <row r="317">
      <c r="D317" s="52"/>
    </row>
    <row r="318">
      <c r="D318" s="52"/>
    </row>
    <row r="319">
      <c r="D319" s="52"/>
    </row>
    <row r="320">
      <c r="D320" s="52"/>
    </row>
    <row r="321">
      <c r="D321" s="52"/>
    </row>
    <row r="322">
      <c r="D322" s="52"/>
    </row>
    <row r="323">
      <c r="D323" s="52"/>
    </row>
    <row r="324">
      <c r="D324" s="52"/>
    </row>
    <row r="325">
      <c r="D325" s="52"/>
    </row>
    <row r="326">
      <c r="D326" s="52"/>
    </row>
    <row r="327">
      <c r="D327" s="52"/>
    </row>
    <row r="328">
      <c r="D328" s="52"/>
    </row>
    <row r="329">
      <c r="D329" s="52"/>
    </row>
    <row r="330">
      <c r="D330" s="52"/>
    </row>
    <row r="331">
      <c r="D331" s="52"/>
    </row>
    <row r="332">
      <c r="D332" s="52"/>
    </row>
    <row r="333">
      <c r="D333" s="52"/>
    </row>
    <row r="334">
      <c r="D334" s="52"/>
    </row>
    <row r="335">
      <c r="D335" s="52"/>
    </row>
    <row r="336">
      <c r="D336" s="52"/>
    </row>
    <row r="337">
      <c r="D337" s="52"/>
    </row>
    <row r="338">
      <c r="D338" s="52"/>
    </row>
    <row r="339">
      <c r="D339" s="52"/>
    </row>
    <row r="340">
      <c r="D340" s="52"/>
    </row>
    <row r="341">
      <c r="D341" s="52"/>
    </row>
    <row r="342">
      <c r="D342" s="52"/>
    </row>
    <row r="343">
      <c r="D343" s="52"/>
    </row>
    <row r="344">
      <c r="D344" s="52"/>
    </row>
    <row r="345">
      <c r="D345" s="52"/>
    </row>
    <row r="346">
      <c r="D346" s="52"/>
    </row>
    <row r="347">
      <c r="D347" s="52"/>
    </row>
    <row r="348">
      <c r="D348" s="52"/>
    </row>
    <row r="349">
      <c r="D349" s="52"/>
    </row>
    <row r="350">
      <c r="D350" s="52"/>
    </row>
    <row r="351">
      <c r="D351" s="52"/>
    </row>
    <row r="352">
      <c r="D352" s="52"/>
    </row>
    <row r="353">
      <c r="D353" s="52"/>
    </row>
    <row r="354">
      <c r="D354" s="52"/>
    </row>
    <row r="355">
      <c r="D355" s="52"/>
    </row>
    <row r="356">
      <c r="D356" s="52"/>
    </row>
    <row r="357">
      <c r="D357" s="52"/>
    </row>
    <row r="358">
      <c r="D358" s="52"/>
    </row>
    <row r="359">
      <c r="D359" s="52"/>
    </row>
    <row r="360">
      <c r="D360" s="52"/>
    </row>
    <row r="361">
      <c r="D361" s="52"/>
    </row>
    <row r="362">
      <c r="D362" s="52"/>
    </row>
    <row r="363">
      <c r="D363" s="52"/>
    </row>
    <row r="364">
      <c r="D364" s="52"/>
    </row>
    <row r="365">
      <c r="D365" s="52"/>
    </row>
    <row r="366">
      <c r="D366" s="52"/>
    </row>
    <row r="367">
      <c r="D367" s="52"/>
    </row>
    <row r="368">
      <c r="D368" s="52"/>
    </row>
    <row r="369">
      <c r="D369" s="52"/>
    </row>
    <row r="370">
      <c r="D370" s="52"/>
    </row>
    <row r="371">
      <c r="D371" s="52"/>
    </row>
    <row r="372">
      <c r="D372" s="52"/>
    </row>
    <row r="373">
      <c r="D373" s="52"/>
    </row>
    <row r="374">
      <c r="D374" s="52"/>
    </row>
    <row r="375">
      <c r="D375" s="52"/>
    </row>
    <row r="376">
      <c r="D376" s="52"/>
    </row>
    <row r="377">
      <c r="D377" s="52"/>
    </row>
    <row r="378">
      <c r="D378" s="52"/>
    </row>
    <row r="379">
      <c r="D379" s="52"/>
    </row>
    <row r="380">
      <c r="D380" s="52"/>
    </row>
    <row r="381">
      <c r="D381" s="52"/>
    </row>
    <row r="382">
      <c r="D382" s="52"/>
    </row>
    <row r="383">
      <c r="D383" s="52"/>
    </row>
    <row r="384">
      <c r="D384" s="52"/>
    </row>
    <row r="385">
      <c r="D385" s="52"/>
    </row>
    <row r="386">
      <c r="D386" s="52"/>
    </row>
    <row r="387">
      <c r="D387" s="52"/>
    </row>
    <row r="388">
      <c r="D388" s="52"/>
    </row>
    <row r="389">
      <c r="D389" s="52"/>
    </row>
    <row r="390">
      <c r="D390" s="52"/>
    </row>
    <row r="391">
      <c r="D391" s="52"/>
    </row>
    <row r="392">
      <c r="D392" s="52"/>
    </row>
    <row r="393">
      <c r="D393" s="52"/>
    </row>
    <row r="394">
      <c r="D394" s="52"/>
    </row>
    <row r="395">
      <c r="D395" s="52"/>
    </row>
    <row r="396">
      <c r="D396" s="52"/>
    </row>
    <row r="397">
      <c r="D397" s="52"/>
    </row>
    <row r="398">
      <c r="D398" s="52"/>
    </row>
    <row r="399">
      <c r="D399" s="52"/>
    </row>
    <row r="400">
      <c r="D400" s="52"/>
    </row>
    <row r="401">
      <c r="D401" s="52"/>
    </row>
    <row r="402">
      <c r="D402" s="52"/>
    </row>
    <row r="403">
      <c r="D403" s="52"/>
    </row>
    <row r="404">
      <c r="D404" s="52"/>
    </row>
    <row r="405">
      <c r="D405" s="52"/>
    </row>
    <row r="406">
      <c r="D406" s="52"/>
    </row>
    <row r="407">
      <c r="D407" s="52"/>
    </row>
    <row r="408">
      <c r="D408" s="52"/>
    </row>
    <row r="409">
      <c r="D409" s="52"/>
    </row>
    <row r="410">
      <c r="D410" s="52"/>
    </row>
    <row r="411">
      <c r="D411" s="52"/>
    </row>
    <row r="412">
      <c r="D412" s="52"/>
    </row>
    <row r="413">
      <c r="D413" s="52"/>
    </row>
    <row r="414">
      <c r="D414" s="52"/>
    </row>
    <row r="415">
      <c r="D415" s="52"/>
    </row>
    <row r="416">
      <c r="D416" s="52"/>
    </row>
    <row r="417">
      <c r="D417" s="52"/>
    </row>
    <row r="418">
      <c r="D418" s="52"/>
    </row>
    <row r="419">
      <c r="D419" s="52"/>
    </row>
    <row r="420">
      <c r="D420" s="52"/>
    </row>
    <row r="421">
      <c r="D421" s="52"/>
    </row>
    <row r="422">
      <c r="D422" s="52"/>
    </row>
    <row r="423">
      <c r="D423" s="52"/>
    </row>
    <row r="424">
      <c r="D424" s="52"/>
    </row>
    <row r="425">
      <c r="D425" s="52"/>
    </row>
    <row r="426">
      <c r="D426" s="52"/>
    </row>
    <row r="427">
      <c r="D427" s="52"/>
    </row>
    <row r="428">
      <c r="D428" s="52"/>
    </row>
    <row r="429">
      <c r="D429" s="52"/>
    </row>
    <row r="430">
      <c r="D430" s="52"/>
    </row>
    <row r="431">
      <c r="D431" s="52"/>
    </row>
    <row r="432">
      <c r="D432" s="52"/>
    </row>
    <row r="433">
      <c r="D433" s="52"/>
    </row>
    <row r="434">
      <c r="D434" s="52"/>
    </row>
    <row r="435">
      <c r="D435" s="52"/>
    </row>
    <row r="436">
      <c r="D436" s="52"/>
    </row>
    <row r="437">
      <c r="D437" s="52"/>
    </row>
    <row r="438">
      <c r="D438" s="52"/>
    </row>
    <row r="439">
      <c r="D439" s="52"/>
    </row>
    <row r="440">
      <c r="D440" s="52"/>
    </row>
    <row r="441">
      <c r="D441" s="52"/>
    </row>
    <row r="442">
      <c r="D442" s="52"/>
    </row>
    <row r="443">
      <c r="D443" s="52"/>
    </row>
    <row r="444">
      <c r="D444" s="52"/>
    </row>
    <row r="445">
      <c r="D445" s="52"/>
    </row>
    <row r="446">
      <c r="D446" s="52"/>
    </row>
    <row r="447">
      <c r="D447" s="52"/>
    </row>
    <row r="448">
      <c r="D448" s="52"/>
    </row>
    <row r="449">
      <c r="D449" s="52"/>
    </row>
    <row r="450">
      <c r="D450" s="52"/>
    </row>
    <row r="451">
      <c r="D451" s="52"/>
    </row>
    <row r="452">
      <c r="D452" s="52"/>
    </row>
    <row r="453">
      <c r="D453" s="52"/>
    </row>
    <row r="454">
      <c r="D454" s="52"/>
    </row>
    <row r="455">
      <c r="D455" s="52"/>
    </row>
    <row r="456">
      <c r="D456" s="52"/>
    </row>
    <row r="457">
      <c r="D457" s="52"/>
    </row>
    <row r="458">
      <c r="D458" s="52"/>
    </row>
    <row r="459">
      <c r="D459" s="52"/>
    </row>
    <row r="460">
      <c r="D460" s="52"/>
    </row>
    <row r="461">
      <c r="D461" s="52"/>
    </row>
    <row r="462">
      <c r="D462" s="52"/>
    </row>
    <row r="463">
      <c r="D463" s="52"/>
    </row>
    <row r="464">
      <c r="D464" s="52"/>
    </row>
    <row r="465">
      <c r="D465" s="52"/>
    </row>
    <row r="466">
      <c r="D466" s="52"/>
    </row>
    <row r="467">
      <c r="D467" s="52"/>
    </row>
    <row r="468">
      <c r="D468" s="52"/>
    </row>
    <row r="469">
      <c r="D469" s="52"/>
    </row>
    <row r="470">
      <c r="D470" s="52"/>
    </row>
    <row r="471">
      <c r="D471" s="52"/>
    </row>
    <row r="472">
      <c r="D472" s="52"/>
    </row>
    <row r="473">
      <c r="D473" s="52"/>
    </row>
    <row r="474">
      <c r="D474" s="52"/>
    </row>
    <row r="475">
      <c r="D475" s="52"/>
    </row>
    <row r="476">
      <c r="D476" s="52"/>
    </row>
    <row r="477">
      <c r="D477" s="52"/>
    </row>
    <row r="478">
      <c r="D478" s="52"/>
    </row>
    <row r="479">
      <c r="D479" s="52"/>
    </row>
    <row r="480">
      <c r="D480" s="52"/>
    </row>
    <row r="481">
      <c r="D481" s="52"/>
    </row>
    <row r="482">
      <c r="D482" s="52"/>
    </row>
    <row r="483">
      <c r="D483" s="52"/>
    </row>
    <row r="484">
      <c r="D484" s="52"/>
    </row>
    <row r="485">
      <c r="D485" s="52"/>
    </row>
    <row r="486">
      <c r="D486" s="52"/>
    </row>
    <row r="487">
      <c r="D487" s="52"/>
    </row>
    <row r="488">
      <c r="D488" s="52"/>
    </row>
    <row r="489">
      <c r="D489" s="52"/>
    </row>
    <row r="490">
      <c r="D490" s="52"/>
    </row>
    <row r="491">
      <c r="D491" s="52"/>
    </row>
    <row r="492">
      <c r="D492" s="52"/>
    </row>
    <row r="493">
      <c r="D493" s="52"/>
    </row>
    <row r="494">
      <c r="D494" s="52"/>
    </row>
    <row r="495">
      <c r="D495" s="52"/>
    </row>
    <row r="496">
      <c r="D496" s="52"/>
    </row>
    <row r="497">
      <c r="D497" s="52"/>
    </row>
    <row r="498">
      <c r="D498" s="52"/>
    </row>
    <row r="499">
      <c r="D499" s="52"/>
    </row>
    <row r="500">
      <c r="D500" s="52"/>
    </row>
    <row r="501">
      <c r="D501" s="52"/>
    </row>
    <row r="502">
      <c r="D502" s="52"/>
    </row>
    <row r="503">
      <c r="D503" s="52"/>
    </row>
    <row r="504">
      <c r="D504" s="52"/>
    </row>
    <row r="505">
      <c r="D505" s="52"/>
    </row>
    <row r="506">
      <c r="D506" s="52"/>
    </row>
    <row r="507">
      <c r="D507" s="52"/>
    </row>
    <row r="508">
      <c r="D508" s="52"/>
    </row>
    <row r="509">
      <c r="D509" s="52"/>
    </row>
    <row r="510">
      <c r="D510" s="52"/>
    </row>
    <row r="511">
      <c r="D511" s="52"/>
    </row>
    <row r="512">
      <c r="D512" s="52"/>
    </row>
    <row r="513">
      <c r="D513" s="52"/>
    </row>
    <row r="514">
      <c r="D514" s="52"/>
    </row>
    <row r="515">
      <c r="D515" s="52"/>
    </row>
    <row r="516">
      <c r="D516" s="52"/>
    </row>
    <row r="517">
      <c r="D517" s="52"/>
    </row>
    <row r="518">
      <c r="D518" s="52"/>
    </row>
    <row r="519">
      <c r="D519" s="52"/>
    </row>
    <row r="520">
      <c r="D520" s="52"/>
    </row>
    <row r="521">
      <c r="D521" s="52"/>
    </row>
    <row r="522">
      <c r="D522" s="52"/>
    </row>
    <row r="523">
      <c r="D523" s="52"/>
    </row>
    <row r="524">
      <c r="D524" s="52"/>
    </row>
    <row r="525">
      <c r="D525" s="52"/>
    </row>
    <row r="526">
      <c r="D526" s="52"/>
    </row>
    <row r="527">
      <c r="D527" s="52"/>
    </row>
    <row r="528">
      <c r="D528" s="52"/>
    </row>
    <row r="529">
      <c r="D529" s="52"/>
    </row>
    <row r="530">
      <c r="D530" s="52"/>
    </row>
    <row r="531">
      <c r="D531" s="52"/>
    </row>
    <row r="532">
      <c r="D532" s="52"/>
    </row>
    <row r="533">
      <c r="D533" s="52"/>
    </row>
    <row r="534">
      <c r="D534" s="52"/>
    </row>
    <row r="535">
      <c r="D535" s="52"/>
    </row>
    <row r="536">
      <c r="D536" s="52"/>
    </row>
    <row r="537">
      <c r="D537" s="52"/>
    </row>
    <row r="538">
      <c r="D538" s="52"/>
    </row>
    <row r="539">
      <c r="D539" s="52"/>
    </row>
    <row r="540">
      <c r="D540" s="52"/>
    </row>
    <row r="541">
      <c r="D541" s="52"/>
    </row>
    <row r="542">
      <c r="D542" s="52"/>
    </row>
    <row r="543">
      <c r="D543" s="52"/>
    </row>
    <row r="544">
      <c r="D544" s="52"/>
    </row>
    <row r="545">
      <c r="D545" s="52"/>
    </row>
    <row r="546">
      <c r="D546" s="52"/>
    </row>
    <row r="547">
      <c r="D547" s="52"/>
    </row>
    <row r="548">
      <c r="D548" s="52"/>
    </row>
    <row r="549">
      <c r="D549" s="52"/>
    </row>
    <row r="550">
      <c r="D550" s="52"/>
    </row>
    <row r="551">
      <c r="D551" s="52"/>
    </row>
    <row r="552">
      <c r="D552" s="52"/>
    </row>
    <row r="553">
      <c r="D553" s="52"/>
    </row>
    <row r="554">
      <c r="D554" s="52"/>
    </row>
    <row r="555">
      <c r="D555" s="52"/>
    </row>
    <row r="556">
      <c r="D556" s="52"/>
    </row>
    <row r="557">
      <c r="D557" s="52"/>
    </row>
    <row r="558">
      <c r="D558" s="52"/>
    </row>
    <row r="559">
      <c r="D559" s="52"/>
    </row>
    <row r="560">
      <c r="D560" s="52"/>
    </row>
    <row r="561">
      <c r="D561" s="52"/>
    </row>
    <row r="562">
      <c r="D562" s="52"/>
    </row>
    <row r="563">
      <c r="D563" s="52"/>
    </row>
    <row r="564">
      <c r="D564" s="52"/>
    </row>
    <row r="565">
      <c r="D565" s="52"/>
    </row>
    <row r="566">
      <c r="D566" s="52"/>
    </row>
    <row r="567">
      <c r="D567" s="52"/>
    </row>
    <row r="568">
      <c r="D568" s="52"/>
    </row>
    <row r="569">
      <c r="D569" s="52"/>
    </row>
    <row r="570">
      <c r="D570" s="52"/>
    </row>
    <row r="571">
      <c r="D571" s="52"/>
    </row>
    <row r="572">
      <c r="D572" s="52"/>
    </row>
    <row r="573">
      <c r="D573" s="52"/>
    </row>
    <row r="574">
      <c r="D574" s="52"/>
    </row>
    <row r="575">
      <c r="D575" s="52"/>
    </row>
    <row r="576">
      <c r="D576" s="52"/>
    </row>
    <row r="577">
      <c r="D577" s="52"/>
    </row>
    <row r="578">
      <c r="D578" s="52"/>
    </row>
    <row r="579">
      <c r="D579" s="52"/>
    </row>
    <row r="580">
      <c r="D580" s="52"/>
    </row>
    <row r="581">
      <c r="D581" s="52"/>
    </row>
    <row r="582">
      <c r="D582" s="52"/>
    </row>
    <row r="583">
      <c r="D583" s="52"/>
    </row>
    <row r="584">
      <c r="D584" s="52"/>
    </row>
    <row r="585">
      <c r="D585" s="52"/>
    </row>
    <row r="586">
      <c r="D586" s="52"/>
    </row>
    <row r="587">
      <c r="D587" s="52"/>
    </row>
    <row r="588">
      <c r="D588" s="52"/>
    </row>
    <row r="589">
      <c r="D589" s="52"/>
    </row>
    <row r="590">
      <c r="D590" s="52"/>
    </row>
    <row r="591">
      <c r="D591" s="52"/>
    </row>
    <row r="592">
      <c r="D592" s="52"/>
    </row>
    <row r="593">
      <c r="D593" s="52"/>
    </row>
    <row r="594">
      <c r="D594" s="52"/>
    </row>
    <row r="595">
      <c r="D595" s="52"/>
    </row>
    <row r="596">
      <c r="D596" s="52"/>
    </row>
    <row r="597">
      <c r="D597" s="52"/>
    </row>
    <row r="598">
      <c r="D598" s="52"/>
    </row>
    <row r="599">
      <c r="D599" s="52"/>
    </row>
    <row r="600">
      <c r="D600" s="52"/>
    </row>
    <row r="601">
      <c r="D601" s="52"/>
    </row>
    <row r="602">
      <c r="D602" s="52"/>
    </row>
    <row r="603">
      <c r="D603" s="52"/>
    </row>
    <row r="604">
      <c r="D604" s="52"/>
    </row>
    <row r="605">
      <c r="D605" s="52"/>
    </row>
    <row r="606">
      <c r="D606" s="52"/>
    </row>
    <row r="607">
      <c r="D607" s="52"/>
    </row>
    <row r="608">
      <c r="D608" s="52"/>
    </row>
    <row r="609">
      <c r="D609" s="52"/>
    </row>
    <row r="610">
      <c r="D610" s="52"/>
    </row>
    <row r="611">
      <c r="D611" s="52"/>
    </row>
    <row r="612">
      <c r="D612" s="52"/>
    </row>
    <row r="613">
      <c r="D613" s="52"/>
    </row>
    <row r="614">
      <c r="D614" s="52"/>
    </row>
    <row r="615">
      <c r="D615" s="52"/>
    </row>
    <row r="616">
      <c r="D616" s="52"/>
    </row>
    <row r="617">
      <c r="D617" s="52"/>
    </row>
    <row r="618">
      <c r="D618" s="52"/>
    </row>
    <row r="619">
      <c r="D619" s="52"/>
    </row>
    <row r="620">
      <c r="D620" s="52"/>
    </row>
    <row r="621">
      <c r="D621" s="52"/>
    </row>
    <row r="622">
      <c r="D622" s="52"/>
    </row>
    <row r="623">
      <c r="D623" s="52"/>
    </row>
    <row r="624">
      <c r="D624" s="52"/>
    </row>
    <row r="625">
      <c r="D625" s="52"/>
    </row>
    <row r="626">
      <c r="D626" s="52"/>
    </row>
    <row r="627">
      <c r="D627" s="52"/>
    </row>
    <row r="628">
      <c r="D628" s="52"/>
    </row>
    <row r="629">
      <c r="D629" s="52"/>
    </row>
    <row r="630">
      <c r="D630" s="52"/>
    </row>
    <row r="631">
      <c r="D631" s="52"/>
    </row>
    <row r="632">
      <c r="D632" s="52"/>
    </row>
    <row r="633">
      <c r="D633" s="52"/>
    </row>
    <row r="634">
      <c r="D634" s="52"/>
    </row>
    <row r="635">
      <c r="D635" s="52"/>
    </row>
    <row r="636">
      <c r="D636" s="52"/>
    </row>
    <row r="637">
      <c r="D637" s="52"/>
    </row>
    <row r="638">
      <c r="D638" s="52"/>
    </row>
    <row r="639">
      <c r="D639" s="52"/>
    </row>
    <row r="640">
      <c r="D640" s="52"/>
    </row>
    <row r="641">
      <c r="D641" s="52"/>
    </row>
    <row r="642">
      <c r="D642" s="52"/>
    </row>
    <row r="643">
      <c r="D643" s="52"/>
    </row>
    <row r="644">
      <c r="D644" s="52"/>
    </row>
    <row r="645">
      <c r="D645" s="52"/>
    </row>
    <row r="646">
      <c r="D646" s="52"/>
    </row>
    <row r="647">
      <c r="D647" s="52"/>
    </row>
    <row r="648">
      <c r="D648" s="52"/>
    </row>
    <row r="649">
      <c r="D649" s="52"/>
    </row>
    <row r="650">
      <c r="D650" s="52"/>
    </row>
    <row r="651">
      <c r="D651" s="52"/>
    </row>
    <row r="652">
      <c r="D652" s="52"/>
    </row>
    <row r="653">
      <c r="D653" s="52"/>
    </row>
    <row r="654">
      <c r="D654" s="52"/>
    </row>
    <row r="655">
      <c r="D655" s="52"/>
    </row>
    <row r="656">
      <c r="D656" s="52"/>
    </row>
    <row r="657">
      <c r="D657" s="52"/>
    </row>
    <row r="658">
      <c r="D658" s="52"/>
    </row>
    <row r="659">
      <c r="D659" s="52"/>
    </row>
    <row r="660">
      <c r="D660" s="52"/>
    </row>
    <row r="661">
      <c r="D661" s="52"/>
    </row>
    <row r="662">
      <c r="D662" s="52"/>
    </row>
    <row r="663">
      <c r="D663" s="52"/>
    </row>
    <row r="664">
      <c r="D664" s="52"/>
    </row>
    <row r="665">
      <c r="D665" s="52"/>
    </row>
    <row r="666">
      <c r="D666" s="52"/>
    </row>
    <row r="667">
      <c r="D667" s="52"/>
    </row>
    <row r="668">
      <c r="D668" s="52"/>
    </row>
    <row r="669">
      <c r="D669" s="52"/>
    </row>
    <row r="670">
      <c r="D670" s="52"/>
    </row>
    <row r="671">
      <c r="D671" s="52"/>
    </row>
    <row r="672">
      <c r="D672" s="52"/>
    </row>
    <row r="673">
      <c r="D673" s="52"/>
    </row>
    <row r="674">
      <c r="D674" s="52"/>
    </row>
    <row r="675">
      <c r="D675" s="52"/>
    </row>
    <row r="676">
      <c r="D676" s="52"/>
    </row>
    <row r="677">
      <c r="D677" s="52"/>
    </row>
    <row r="678">
      <c r="D678" s="52"/>
    </row>
    <row r="679">
      <c r="D679" s="52"/>
    </row>
    <row r="680">
      <c r="D680" s="52"/>
    </row>
    <row r="681">
      <c r="D681" s="52"/>
    </row>
    <row r="682">
      <c r="D682" s="52"/>
    </row>
    <row r="683">
      <c r="D683" s="52"/>
    </row>
    <row r="684">
      <c r="D684" s="52"/>
    </row>
    <row r="685">
      <c r="D685" s="52"/>
    </row>
    <row r="686">
      <c r="D686" s="52"/>
    </row>
    <row r="687">
      <c r="D687" s="52"/>
    </row>
    <row r="688">
      <c r="D688" s="52"/>
    </row>
    <row r="689">
      <c r="D689" s="52"/>
    </row>
    <row r="690">
      <c r="D690" s="52"/>
    </row>
    <row r="691">
      <c r="D691" s="52"/>
    </row>
    <row r="692">
      <c r="D692" s="52"/>
    </row>
    <row r="693">
      <c r="D693" s="52"/>
    </row>
    <row r="694">
      <c r="D694" s="52"/>
    </row>
    <row r="695">
      <c r="D695" s="52"/>
    </row>
    <row r="696">
      <c r="D696" s="52"/>
    </row>
    <row r="697">
      <c r="D697" s="52"/>
    </row>
    <row r="698">
      <c r="D698" s="52"/>
    </row>
    <row r="699">
      <c r="D699" s="52"/>
    </row>
    <row r="700">
      <c r="D700" s="52"/>
    </row>
    <row r="701">
      <c r="D701" s="52"/>
    </row>
    <row r="702">
      <c r="D702" s="52"/>
    </row>
    <row r="703">
      <c r="D703" s="52"/>
    </row>
    <row r="704">
      <c r="D704" s="52"/>
    </row>
    <row r="705">
      <c r="D705" s="52"/>
    </row>
    <row r="706">
      <c r="D706" s="52"/>
    </row>
    <row r="707">
      <c r="D707" s="52"/>
    </row>
    <row r="708">
      <c r="D708" s="52"/>
    </row>
    <row r="709">
      <c r="D709" s="52"/>
    </row>
    <row r="710">
      <c r="D710" s="52"/>
    </row>
    <row r="711">
      <c r="D711" s="52"/>
    </row>
    <row r="712">
      <c r="D712" s="52"/>
    </row>
    <row r="713">
      <c r="D713" s="52"/>
    </row>
    <row r="714">
      <c r="D714" s="52"/>
    </row>
    <row r="715">
      <c r="D715" s="52"/>
    </row>
    <row r="716">
      <c r="D716" s="52"/>
    </row>
    <row r="717">
      <c r="D717" s="52"/>
    </row>
    <row r="718">
      <c r="D718" s="52"/>
    </row>
    <row r="719">
      <c r="D719" s="52"/>
    </row>
    <row r="720">
      <c r="D720" s="52"/>
    </row>
    <row r="721">
      <c r="D721" s="52"/>
    </row>
    <row r="722">
      <c r="D722" s="52"/>
    </row>
    <row r="723">
      <c r="D723" s="52"/>
    </row>
    <row r="724">
      <c r="D724" s="52"/>
    </row>
    <row r="725">
      <c r="D725" s="52"/>
    </row>
    <row r="726">
      <c r="D726" s="52"/>
    </row>
    <row r="727">
      <c r="D727" s="52"/>
    </row>
    <row r="728">
      <c r="D728" s="52"/>
    </row>
    <row r="729">
      <c r="D729" s="52"/>
    </row>
    <row r="730">
      <c r="D730" s="52"/>
    </row>
    <row r="731">
      <c r="D731" s="52"/>
    </row>
    <row r="732">
      <c r="D732" s="52"/>
    </row>
    <row r="733">
      <c r="D733" s="52"/>
    </row>
    <row r="734">
      <c r="D734" s="52"/>
    </row>
    <row r="735">
      <c r="D735" s="52"/>
    </row>
    <row r="736">
      <c r="D736" s="52"/>
    </row>
    <row r="737">
      <c r="D737" s="52"/>
    </row>
    <row r="738">
      <c r="D738" s="52"/>
    </row>
    <row r="739">
      <c r="D739" s="52"/>
    </row>
    <row r="740">
      <c r="D740" s="52"/>
    </row>
    <row r="741">
      <c r="D741" s="52"/>
    </row>
    <row r="742">
      <c r="D742" s="52"/>
    </row>
    <row r="743">
      <c r="D743" s="52"/>
    </row>
    <row r="744">
      <c r="D744" s="52"/>
    </row>
    <row r="745">
      <c r="D745" s="52"/>
    </row>
    <row r="746">
      <c r="D746" s="52"/>
    </row>
    <row r="747">
      <c r="D747" s="52"/>
    </row>
    <row r="748">
      <c r="D748" s="52"/>
    </row>
    <row r="749">
      <c r="D749" s="52"/>
    </row>
    <row r="750">
      <c r="D750" s="52"/>
    </row>
    <row r="751">
      <c r="D751" s="52"/>
    </row>
    <row r="752">
      <c r="D752" s="52"/>
    </row>
    <row r="753">
      <c r="D753" s="52"/>
    </row>
    <row r="754">
      <c r="D754" s="52"/>
    </row>
    <row r="755">
      <c r="D755" s="52"/>
    </row>
    <row r="756">
      <c r="D756" s="52"/>
    </row>
    <row r="757">
      <c r="D757" s="52"/>
    </row>
    <row r="758">
      <c r="D758" s="52"/>
    </row>
    <row r="759">
      <c r="D759" s="52"/>
    </row>
    <row r="760">
      <c r="D760" s="52"/>
    </row>
    <row r="761">
      <c r="D761" s="52"/>
    </row>
    <row r="762">
      <c r="D762" s="52"/>
    </row>
    <row r="763">
      <c r="D763" s="52"/>
    </row>
    <row r="764">
      <c r="D764" s="52"/>
    </row>
    <row r="765">
      <c r="D765" s="52"/>
    </row>
    <row r="766">
      <c r="D766" s="52"/>
    </row>
    <row r="767">
      <c r="D767" s="52"/>
    </row>
    <row r="768">
      <c r="D768" s="52"/>
    </row>
    <row r="769">
      <c r="D769" s="52"/>
    </row>
    <row r="770">
      <c r="D770" s="52"/>
    </row>
    <row r="771">
      <c r="D771" s="52"/>
    </row>
    <row r="772">
      <c r="D772" s="52"/>
    </row>
    <row r="773">
      <c r="D773" s="52"/>
    </row>
    <row r="774">
      <c r="D774" s="52"/>
    </row>
    <row r="775">
      <c r="D775" s="52"/>
    </row>
    <row r="776">
      <c r="D776" s="52"/>
    </row>
    <row r="777">
      <c r="D777" s="52"/>
    </row>
    <row r="778">
      <c r="D778" s="52"/>
    </row>
    <row r="779">
      <c r="D779" s="52"/>
    </row>
    <row r="780">
      <c r="D780" s="52"/>
    </row>
    <row r="781">
      <c r="D781" s="52"/>
    </row>
    <row r="782">
      <c r="D782" s="52"/>
    </row>
    <row r="783">
      <c r="D783" s="52"/>
    </row>
    <row r="784">
      <c r="D784" s="52"/>
    </row>
    <row r="785">
      <c r="D785" s="52"/>
    </row>
    <row r="786">
      <c r="D786" s="52"/>
    </row>
    <row r="787">
      <c r="D787" s="52"/>
    </row>
    <row r="788">
      <c r="D788" s="52"/>
    </row>
    <row r="789">
      <c r="D789" s="52"/>
    </row>
    <row r="790">
      <c r="D790" s="52"/>
    </row>
    <row r="791">
      <c r="D791" s="52"/>
    </row>
    <row r="792">
      <c r="D792" s="52"/>
    </row>
    <row r="793">
      <c r="D793" s="52"/>
    </row>
    <row r="794">
      <c r="D794" s="52"/>
    </row>
    <row r="795">
      <c r="D795" s="52"/>
    </row>
    <row r="796">
      <c r="D796" s="52"/>
    </row>
    <row r="797">
      <c r="D797" s="52"/>
    </row>
    <row r="798">
      <c r="D798" s="52"/>
    </row>
    <row r="799">
      <c r="D799" s="52"/>
    </row>
    <row r="800">
      <c r="D800" s="52"/>
    </row>
    <row r="801">
      <c r="D801" s="52"/>
    </row>
    <row r="802">
      <c r="D802" s="52"/>
    </row>
    <row r="803">
      <c r="D803" s="52"/>
    </row>
    <row r="804">
      <c r="D804" s="52"/>
    </row>
    <row r="805">
      <c r="D805" s="52"/>
    </row>
    <row r="806">
      <c r="D806" s="52"/>
    </row>
    <row r="807">
      <c r="D807" s="52"/>
    </row>
    <row r="808">
      <c r="D808" s="52"/>
    </row>
    <row r="809">
      <c r="D809" s="52"/>
    </row>
    <row r="810">
      <c r="D810" s="52"/>
    </row>
    <row r="811">
      <c r="D811" s="52"/>
    </row>
    <row r="812">
      <c r="D812" s="52"/>
    </row>
    <row r="813">
      <c r="D813" s="52"/>
    </row>
    <row r="814">
      <c r="D814" s="52"/>
    </row>
    <row r="815">
      <c r="D815" s="52"/>
    </row>
    <row r="816">
      <c r="D816" s="52"/>
    </row>
    <row r="817">
      <c r="D817" s="52"/>
    </row>
    <row r="818">
      <c r="D818" s="52"/>
    </row>
    <row r="819">
      <c r="D819" s="52"/>
    </row>
    <row r="820">
      <c r="D820" s="52"/>
    </row>
    <row r="821">
      <c r="D821" s="52"/>
    </row>
    <row r="822">
      <c r="D822" s="52"/>
    </row>
    <row r="823">
      <c r="D823" s="52"/>
    </row>
    <row r="824">
      <c r="D824" s="52"/>
    </row>
    <row r="825">
      <c r="D825" s="52"/>
    </row>
    <row r="826">
      <c r="D826" s="52"/>
    </row>
    <row r="827">
      <c r="D827" s="52"/>
    </row>
    <row r="828">
      <c r="D828" s="52"/>
    </row>
    <row r="829">
      <c r="D829" s="52"/>
    </row>
    <row r="830">
      <c r="D830" s="52"/>
    </row>
    <row r="831">
      <c r="D831" s="52"/>
    </row>
    <row r="832">
      <c r="D832" s="52"/>
    </row>
    <row r="833">
      <c r="D833" s="52"/>
    </row>
    <row r="834">
      <c r="D834" s="52"/>
    </row>
    <row r="835">
      <c r="D835" s="52"/>
    </row>
    <row r="836">
      <c r="D836" s="52"/>
    </row>
    <row r="837">
      <c r="D837" s="52"/>
    </row>
    <row r="838">
      <c r="D838" s="52"/>
    </row>
    <row r="839">
      <c r="D839" s="52"/>
    </row>
    <row r="840">
      <c r="D840" s="52"/>
    </row>
    <row r="841">
      <c r="D841" s="52"/>
    </row>
    <row r="842">
      <c r="D842" s="52"/>
    </row>
    <row r="843">
      <c r="D843" s="52"/>
    </row>
  </sheetData>
  <mergeCells count="7">
    <mergeCell ref="A1:F1"/>
    <mergeCell ref="A2:A3"/>
    <mergeCell ref="B2:B3"/>
    <mergeCell ref="C2:C3"/>
    <mergeCell ref="D2:D3"/>
    <mergeCell ref="E2:F2"/>
    <mergeCell ref="A7:E7"/>
  </mergeCells>
  <dataValidations>
    <dataValidation type="list" allowBlank="1" sqref="H4">
      <formula1>"CHECKED (OK),CHECKED  (NOT OK)"</formula1>
    </dataValidation>
  </dataValidations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3" max="3" width="26.75"/>
    <col customWidth="1" min="4" max="4" width="33.25"/>
    <col customWidth="1" min="7" max="7" width="3.5"/>
    <col customWidth="1" min="8" max="8" width="18.63"/>
    <col customWidth="1" min="9" max="9" width="21.63"/>
  </cols>
  <sheetData>
    <row r="1">
      <c r="A1" s="30" t="s">
        <v>1140</v>
      </c>
      <c r="G1" s="31"/>
      <c r="H1" s="32" t="s">
        <v>1141</v>
      </c>
      <c r="I1" s="33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4" t="s">
        <v>1</v>
      </c>
      <c r="B2" s="35" t="s">
        <v>11</v>
      </c>
      <c r="C2" s="35" t="s">
        <v>12</v>
      </c>
      <c r="D2" s="36" t="s">
        <v>13</v>
      </c>
      <c r="E2" s="37" t="s">
        <v>14</v>
      </c>
      <c r="F2" s="38"/>
      <c r="G2" s="39"/>
      <c r="H2" s="40"/>
      <c r="I2" s="40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41"/>
      <c r="B3" s="38"/>
      <c r="C3" s="38"/>
      <c r="D3" s="38"/>
      <c r="E3" s="42" t="s">
        <v>15</v>
      </c>
      <c r="F3" s="43" t="s">
        <v>5</v>
      </c>
      <c r="G3" s="39"/>
      <c r="H3" s="44" t="s">
        <v>6</v>
      </c>
      <c r="I3" s="45" t="s">
        <v>7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24.75" customHeight="1">
      <c r="A4" s="46"/>
      <c r="B4" s="47"/>
      <c r="C4" s="48" t="str">
        <f>vlookup(B4,'Crew Data'!C:G,5,0)</f>
        <v>#N/A</v>
      </c>
      <c r="D4" s="49"/>
      <c r="E4" s="47"/>
      <c r="F4" s="50">
        <f>E4*400</f>
        <v>0</v>
      </c>
      <c r="G4" s="22">
        <f>COUNTIF(B:B,B4)</f>
        <v>0</v>
      </c>
      <c r="H4" s="5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D5" s="52"/>
    </row>
    <row r="6">
      <c r="D6" s="52"/>
    </row>
    <row r="7" ht="44.25" customHeight="1">
      <c r="A7" s="53" t="s">
        <v>16</v>
      </c>
    </row>
    <row r="8">
      <c r="D8" s="52"/>
    </row>
    <row r="9">
      <c r="D9" s="52"/>
    </row>
    <row r="10">
      <c r="D10" s="52"/>
    </row>
    <row r="11">
      <c r="D11" s="52"/>
    </row>
    <row r="12">
      <c r="D12" s="52"/>
    </row>
    <row r="13">
      <c r="D13" s="52"/>
    </row>
    <row r="14">
      <c r="D14" s="52"/>
    </row>
    <row r="15">
      <c r="D15" s="52"/>
    </row>
    <row r="16">
      <c r="D16" s="52"/>
    </row>
    <row r="17">
      <c r="D17" s="52"/>
    </row>
    <row r="18">
      <c r="D18" s="52"/>
    </row>
    <row r="19">
      <c r="D19" s="52"/>
    </row>
    <row r="20">
      <c r="D20" s="52"/>
    </row>
    <row r="21">
      <c r="D21" s="52"/>
    </row>
    <row r="22">
      <c r="D22" s="52"/>
    </row>
    <row r="23">
      <c r="D23" s="52"/>
    </row>
    <row r="24">
      <c r="D24" s="52"/>
    </row>
    <row r="25">
      <c r="D25" s="52"/>
    </row>
    <row r="26">
      <c r="D26" s="52"/>
    </row>
    <row r="27">
      <c r="D27" s="52"/>
    </row>
    <row r="28">
      <c r="D28" s="52"/>
    </row>
    <row r="29">
      <c r="D29" s="52"/>
    </row>
    <row r="30">
      <c r="D30" s="52"/>
    </row>
    <row r="31">
      <c r="D31" s="52"/>
    </row>
    <row r="32">
      <c r="D32" s="52"/>
    </row>
    <row r="33">
      <c r="D33" s="52"/>
    </row>
    <row r="34">
      <c r="D34" s="52"/>
    </row>
    <row r="35">
      <c r="D35" s="52"/>
    </row>
    <row r="36">
      <c r="D36" s="52"/>
    </row>
    <row r="37">
      <c r="D37" s="52"/>
    </row>
    <row r="38">
      <c r="D38" s="52"/>
    </row>
    <row r="39">
      <c r="D39" s="52"/>
    </row>
    <row r="40">
      <c r="D40" s="52"/>
    </row>
    <row r="41">
      <c r="D41" s="52"/>
    </row>
    <row r="42">
      <c r="D42" s="52"/>
    </row>
    <row r="43">
      <c r="D43" s="52"/>
    </row>
    <row r="44">
      <c r="D44" s="52"/>
    </row>
    <row r="45">
      <c r="D45" s="52"/>
    </row>
    <row r="46">
      <c r="D46" s="52"/>
    </row>
    <row r="47">
      <c r="D47" s="52"/>
    </row>
    <row r="48">
      <c r="D48" s="52"/>
    </row>
    <row r="49">
      <c r="D49" s="52"/>
    </row>
    <row r="50">
      <c r="D50" s="52"/>
    </row>
    <row r="51">
      <c r="D51" s="52"/>
    </row>
    <row r="52">
      <c r="D52" s="52"/>
    </row>
    <row r="53">
      <c r="D53" s="52"/>
    </row>
    <row r="54">
      <c r="D54" s="52"/>
    </row>
    <row r="55">
      <c r="D55" s="52"/>
    </row>
    <row r="56">
      <c r="D56" s="52"/>
    </row>
    <row r="57">
      <c r="D57" s="52"/>
    </row>
    <row r="58">
      <c r="D58" s="52"/>
    </row>
    <row r="59">
      <c r="D59" s="52"/>
    </row>
    <row r="60">
      <c r="D60" s="52"/>
    </row>
    <row r="61">
      <c r="D61" s="52"/>
    </row>
    <row r="62">
      <c r="D62" s="52"/>
    </row>
    <row r="63">
      <c r="D63" s="52"/>
    </row>
    <row r="64">
      <c r="D64" s="52"/>
    </row>
    <row r="65">
      <c r="D65" s="52"/>
    </row>
    <row r="66">
      <c r="D66" s="52"/>
    </row>
    <row r="67">
      <c r="D67" s="52"/>
    </row>
    <row r="68">
      <c r="D68" s="52"/>
    </row>
    <row r="69">
      <c r="D69" s="52"/>
    </row>
    <row r="70">
      <c r="D70" s="52"/>
    </row>
    <row r="71">
      <c r="D71" s="52"/>
    </row>
    <row r="72">
      <c r="D72" s="52"/>
    </row>
    <row r="73">
      <c r="D73" s="52"/>
    </row>
    <row r="74">
      <c r="D74" s="52"/>
    </row>
    <row r="75">
      <c r="D75" s="52"/>
    </row>
    <row r="76">
      <c r="D76" s="52"/>
    </row>
    <row r="77">
      <c r="D77" s="52"/>
    </row>
    <row r="78">
      <c r="D78" s="52"/>
    </row>
    <row r="79">
      <c r="D79" s="52"/>
    </row>
    <row r="80">
      <c r="D80" s="52"/>
    </row>
    <row r="81">
      <c r="D81" s="52"/>
    </row>
    <row r="82">
      <c r="D82" s="52"/>
    </row>
    <row r="83">
      <c r="D83" s="52"/>
    </row>
    <row r="84">
      <c r="D84" s="52"/>
    </row>
    <row r="85">
      <c r="D85" s="52"/>
    </row>
    <row r="86">
      <c r="D86" s="52"/>
    </row>
    <row r="87">
      <c r="D87" s="52"/>
    </row>
    <row r="88">
      <c r="D88" s="52"/>
    </row>
    <row r="89">
      <c r="D89" s="52"/>
    </row>
    <row r="90">
      <c r="D90" s="52"/>
    </row>
    <row r="91">
      <c r="D91" s="52"/>
    </row>
    <row r="92">
      <c r="D92" s="52"/>
    </row>
    <row r="93">
      <c r="D93" s="52"/>
    </row>
    <row r="94">
      <c r="D94" s="52"/>
    </row>
    <row r="95">
      <c r="D95" s="52"/>
    </row>
    <row r="96">
      <c r="D96" s="52"/>
    </row>
    <row r="97">
      <c r="D97" s="52"/>
    </row>
    <row r="98">
      <c r="D98" s="52"/>
    </row>
    <row r="99">
      <c r="D99" s="52"/>
    </row>
    <row r="100">
      <c r="D100" s="52"/>
    </row>
    <row r="101">
      <c r="D101" s="52"/>
    </row>
    <row r="102">
      <c r="D102" s="52"/>
    </row>
    <row r="103">
      <c r="D103" s="52"/>
    </row>
    <row r="104">
      <c r="D104" s="52"/>
    </row>
    <row r="105">
      <c r="D105" s="52"/>
    </row>
    <row r="106">
      <c r="D106" s="52"/>
    </row>
    <row r="107">
      <c r="D107" s="52"/>
    </row>
    <row r="108">
      <c r="D108" s="52"/>
    </row>
    <row r="109">
      <c r="D109" s="52"/>
    </row>
    <row r="110">
      <c r="D110" s="52"/>
    </row>
    <row r="111">
      <c r="D111" s="52"/>
    </row>
    <row r="112">
      <c r="D112" s="52"/>
    </row>
    <row r="113">
      <c r="D113" s="52"/>
    </row>
    <row r="114">
      <c r="D114" s="52"/>
    </row>
    <row r="115">
      <c r="D115" s="52"/>
    </row>
    <row r="116">
      <c r="D116" s="52"/>
    </row>
    <row r="117">
      <c r="D117" s="52"/>
    </row>
    <row r="118">
      <c r="D118" s="52"/>
    </row>
    <row r="119">
      <c r="D119" s="52"/>
    </row>
    <row r="120">
      <c r="D120" s="52"/>
    </row>
    <row r="121">
      <c r="D121" s="52"/>
    </row>
    <row r="122">
      <c r="D122" s="52"/>
    </row>
    <row r="123">
      <c r="D123" s="52"/>
    </row>
    <row r="124">
      <c r="D124" s="52"/>
    </row>
    <row r="125">
      <c r="D125" s="52"/>
    </row>
    <row r="126">
      <c r="D126" s="52"/>
    </row>
    <row r="127">
      <c r="D127" s="52"/>
    </row>
    <row r="128">
      <c r="D128" s="52"/>
    </row>
    <row r="129">
      <c r="D129" s="52"/>
    </row>
    <row r="130">
      <c r="D130" s="52"/>
    </row>
    <row r="131">
      <c r="D131" s="52"/>
    </row>
    <row r="132">
      <c r="D132" s="52"/>
    </row>
    <row r="133">
      <c r="D133" s="52"/>
    </row>
    <row r="134">
      <c r="D134" s="52"/>
    </row>
    <row r="135">
      <c r="D135" s="52"/>
    </row>
    <row r="136">
      <c r="D136" s="52"/>
    </row>
    <row r="137">
      <c r="D137" s="52"/>
    </row>
    <row r="138">
      <c r="D138" s="52"/>
    </row>
    <row r="139">
      <c r="D139" s="52"/>
    </row>
    <row r="140">
      <c r="D140" s="52"/>
    </row>
    <row r="141">
      <c r="D141" s="52"/>
    </row>
    <row r="142">
      <c r="D142" s="52"/>
    </row>
    <row r="143">
      <c r="D143" s="52"/>
    </row>
    <row r="144">
      <c r="D144" s="52"/>
    </row>
    <row r="145">
      <c r="D145" s="52"/>
    </row>
    <row r="146">
      <c r="D146" s="52"/>
    </row>
    <row r="147">
      <c r="D147" s="52"/>
    </row>
    <row r="148">
      <c r="D148" s="52"/>
    </row>
    <row r="149">
      <c r="D149" s="52"/>
    </row>
    <row r="150">
      <c r="D150" s="52"/>
    </row>
    <row r="151">
      <c r="D151" s="52"/>
    </row>
    <row r="152">
      <c r="D152" s="52"/>
    </row>
    <row r="153">
      <c r="D153" s="52"/>
    </row>
    <row r="154">
      <c r="D154" s="52"/>
    </row>
    <row r="155">
      <c r="D155" s="52"/>
    </row>
    <row r="156">
      <c r="D156" s="52"/>
    </row>
    <row r="157">
      <c r="D157" s="52"/>
    </row>
    <row r="158">
      <c r="D158" s="52"/>
    </row>
    <row r="159">
      <c r="D159" s="52"/>
    </row>
    <row r="160">
      <c r="D160" s="52"/>
    </row>
    <row r="161">
      <c r="D161" s="52"/>
    </row>
    <row r="162">
      <c r="D162" s="52"/>
    </row>
    <row r="163">
      <c r="D163" s="52"/>
    </row>
    <row r="164">
      <c r="D164" s="52"/>
    </row>
    <row r="165">
      <c r="D165" s="52"/>
    </row>
    <row r="166">
      <c r="D166" s="52"/>
    </row>
    <row r="167">
      <c r="D167" s="52"/>
    </row>
    <row r="168">
      <c r="D168" s="52"/>
    </row>
    <row r="169">
      <c r="D169" s="52"/>
    </row>
    <row r="170">
      <c r="D170" s="52"/>
    </row>
    <row r="171">
      <c r="D171" s="52"/>
    </row>
    <row r="172">
      <c r="D172" s="52"/>
    </row>
    <row r="173">
      <c r="D173" s="52"/>
    </row>
    <row r="174">
      <c r="D174" s="52"/>
    </row>
    <row r="175">
      <c r="D175" s="52"/>
    </row>
    <row r="176">
      <c r="D176" s="52"/>
    </row>
    <row r="177">
      <c r="D177" s="52"/>
    </row>
    <row r="178">
      <c r="D178" s="52"/>
    </row>
    <row r="179">
      <c r="D179" s="52"/>
    </row>
    <row r="180">
      <c r="D180" s="52"/>
    </row>
    <row r="181">
      <c r="D181" s="52"/>
    </row>
    <row r="182">
      <c r="D182" s="52"/>
    </row>
    <row r="183">
      <c r="D183" s="52"/>
    </row>
    <row r="184">
      <c r="D184" s="52"/>
    </row>
    <row r="185">
      <c r="D185" s="52"/>
    </row>
    <row r="186">
      <c r="D186" s="52"/>
    </row>
    <row r="187">
      <c r="D187" s="52"/>
    </row>
    <row r="188">
      <c r="D188" s="52"/>
    </row>
    <row r="189">
      <c r="D189" s="52"/>
    </row>
    <row r="190">
      <c r="D190" s="52"/>
    </row>
    <row r="191">
      <c r="D191" s="52"/>
    </row>
    <row r="192">
      <c r="D192" s="52"/>
    </row>
    <row r="193">
      <c r="D193" s="52"/>
    </row>
    <row r="194">
      <c r="D194" s="52"/>
    </row>
    <row r="195">
      <c r="D195" s="52"/>
    </row>
    <row r="196">
      <c r="D196" s="52"/>
    </row>
    <row r="197">
      <c r="D197" s="52"/>
    </row>
    <row r="198">
      <c r="D198" s="52"/>
    </row>
    <row r="199">
      <c r="D199" s="52"/>
    </row>
    <row r="200">
      <c r="D200" s="52"/>
    </row>
    <row r="201">
      <c r="D201" s="52"/>
    </row>
    <row r="202">
      <c r="D202" s="52"/>
    </row>
    <row r="203">
      <c r="D203" s="52"/>
    </row>
    <row r="204">
      <c r="D204" s="52"/>
    </row>
    <row r="205">
      <c r="D205" s="52"/>
    </row>
    <row r="206">
      <c r="D206" s="52"/>
    </row>
    <row r="207">
      <c r="D207" s="52"/>
    </row>
    <row r="208">
      <c r="D208" s="52"/>
    </row>
    <row r="209">
      <c r="D209" s="52"/>
    </row>
    <row r="210">
      <c r="D210" s="52"/>
    </row>
    <row r="211">
      <c r="D211" s="52"/>
    </row>
    <row r="212">
      <c r="D212" s="52"/>
    </row>
    <row r="213">
      <c r="D213" s="52"/>
    </row>
    <row r="214">
      <c r="D214" s="52"/>
    </row>
    <row r="215">
      <c r="D215" s="52"/>
    </row>
    <row r="216">
      <c r="D216" s="52"/>
    </row>
    <row r="217">
      <c r="D217" s="52"/>
    </row>
    <row r="218">
      <c r="D218" s="52"/>
    </row>
    <row r="219">
      <c r="D219" s="52"/>
    </row>
    <row r="220">
      <c r="D220" s="52"/>
    </row>
    <row r="221">
      <c r="D221" s="52"/>
    </row>
    <row r="222">
      <c r="D222" s="52"/>
    </row>
    <row r="223">
      <c r="D223" s="52"/>
    </row>
    <row r="224">
      <c r="D224" s="52"/>
    </row>
    <row r="225">
      <c r="D225" s="52"/>
    </row>
    <row r="226">
      <c r="D226" s="52"/>
    </row>
    <row r="227">
      <c r="D227" s="52"/>
    </row>
    <row r="228">
      <c r="D228" s="52"/>
    </row>
    <row r="229">
      <c r="D229" s="52"/>
    </row>
    <row r="230">
      <c r="D230" s="52"/>
    </row>
    <row r="231">
      <c r="D231" s="52"/>
    </row>
    <row r="232">
      <c r="D232" s="52"/>
    </row>
    <row r="233">
      <c r="D233" s="52"/>
    </row>
    <row r="234">
      <c r="D234" s="52"/>
    </row>
    <row r="235">
      <c r="D235" s="52"/>
    </row>
    <row r="236">
      <c r="D236" s="52"/>
    </row>
    <row r="237">
      <c r="D237" s="52"/>
    </row>
    <row r="238">
      <c r="D238" s="52"/>
    </row>
    <row r="239">
      <c r="D239" s="52"/>
    </row>
    <row r="240">
      <c r="D240" s="52"/>
    </row>
    <row r="241">
      <c r="D241" s="52"/>
    </row>
    <row r="242">
      <c r="D242" s="52"/>
    </row>
    <row r="243">
      <c r="D243" s="52"/>
    </row>
    <row r="244">
      <c r="D244" s="52"/>
    </row>
    <row r="245">
      <c r="D245" s="52"/>
    </row>
    <row r="246">
      <c r="D246" s="52"/>
    </row>
    <row r="247">
      <c r="D247" s="52"/>
    </row>
    <row r="248">
      <c r="D248" s="52"/>
    </row>
    <row r="249">
      <c r="D249" s="52"/>
    </row>
    <row r="250">
      <c r="D250" s="52"/>
    </row>
    <row r="251">
      <c r="D251" s="52"/>
    </row>
    <row r="252">
      <c r="D252" s="52"/>
    </row>
    <row r="253">
      <c r="D253" s="52"/>
    </row>
    <row r="254">
      <c r="D254" s="52"/>
    </row>
    <row r="255">
      <c r="D255" s="52"/>
    </row>
    <row r="256">
      <c r="D256" s="52"/>
    </row>
    <row r="257">
      <c r="D257" s="52"/>
    </row>
    <row r="258">
      <c r="D258" s="52"/>
    </row>
    <row r="259">
      <c r="D259" s="52"/>
    </row>
    <row r="260">
      <c r="D260" s="52"/>
    </row>
    <row r="261">
      <c r="D261" s="52"/>
    </row>
    <row r="262">
      <c r="D262" s="52"/>
    </row>
    <row r="263">
      <c r="D263" s="52"/>
    </row>
    <row r="264">
      <c r="D264" s="52"/>
    </row>
    <row r="265">
      <c r="D265" s="52"/>
    </row>
    <row r="266">
      <c r="D266" s="52"/>
    </row>
    <row r="267">
      <c r="D267" s="52"/>
    </row>
    <row r="268">
      <c r="D268" s="52"/>
    </row>
    <row r="269">
      <c r="D269" s="52"/>
    </row>
    <row r="270">
      <c r="D270" s="52"/>
    </row>
    <row r="271">
      <c r="D271" s="52"/>
    </row>
    <row r="272">
      <c r="D272" s="52"/>
    </row>
    <row r="273">
      <c r="D273" s="52"/>
    </row>
    <row r="274">
      <c r="D274" s="52"/>
    </row>
    <row r="275">
      <c r="D275" s="52"/>
    </row>
    <row r="276">
      <c r="D276" s="52"/>
    </row>
    <row r="277">
      <c r="D277" s="52"/>
    </row>
    <row r="278">
      <c r="D278" s="52"/>
    </row>
    <row r="279">
      <c r="D279" s="52"/>
    </row>
    <row r="280">
      <c r="D280" s="52"/>
    </row>
    <row r="281">
      <c r="D281" s="52"/>
    </row>
    <row r="282">
      <c r="D282" s="52"/>
    </row>
    <row r="283">
      <c r="D283" s="52"/>
    </row>
    <row r="284">
      <c r="D284" s="52"/>
    </row>
    <row r="285">
      <c r="D285" s="52"/>
    </row>
    <row r="286">
      <c r="D286" s="52"/>
    </row>
    <row r="287">
      <c r="D287" s="52"/>
    </row>
    <row r="288">
      <c r="D288" s="52"/>
    </row>
    <row r="289">
      <c r="D289" s="52"/>
    </row>
    <row r="290">
      <c r="D290" s="52"/>
    </row>
    <row r="291">
      <c r="D291" s="52"/>
    </row>
    <row r="292">
      <c r="D292" s="52"/>
    </row>
    <row r="293">
      <c r="D293" s="52"/>
    </row>
    <row r="294">
      <c r="D294" s="52"/>
    </row>
    <row r="295">
      <c r="D295" s="52"/>
    </row>
    <row r="296">
      <c r="D296" s="52"/>
    </row>
    <row r="297">
      <c r="D297" s="52"/>
    </row>
    <row r="298">
      <c r="D298" s="52"/>
    </row>
    <row r="299">
      <c r="D299" s="52"/>
    </row>
    <row r="300">
      <c r="D300" s="52"/>
    </row>
    <row r="301">
      <c r="D301" s="52"/>
    </row>
    <row r="302">
      <c r="D302" s="52"/>
    </row>
    <row r="303">
      <c r="D303" s="52"/>
    </row>
    <row r="304">
      <c r="D304" s="52"/>
    </row>
    <row r="305">
      <c r="D305" s="52"/>
    </row>
    <row r="306">
      <c r="D306" s="52"/>
    </row>
    <row r="307">
      <c r="D307" s="52"/>
    </row>
    <row r="308">
      <c r="D308" s="52"/>
    </row>
    <row r="309">
      <c r="D309" s="52"/>
    </row>
    <row r="310">
      <c r="D310" s="52"/>
    </row>
    <row r="311">
      <c r="D311" s="52"/>
    </row>
    <row r="312">
      <c r="D312" s="52"/>
    </row>
    <row r="313">
      <c r="D313" s="52"/>
    </row>
    <row r="314">
      <c r="D314" s="52"/>
    </row>
    <row r="315">
      <c r="D315" s="52"/>
    </row>
    <row r="316">
      <c r="D316" s="52"/>
    </row>
    <row r="317">
      <c r="D317" s="52"/>
    </row>
    <row r="318">
      <c r="D318" s="52"/>
    </row>
    <row r="319">
      <c r="D319" s="52"/>
    </row>
    <row r="320">
      <c r="D320" s="52"/>
    </row>
    <row r="321">
      <c r="D321" s="52"/>
    </row>
    <row r="322">
      <c r="D322" s="52"/>
    </row>
    <row r="323">
      <c r="D323" s="52"/>
    </row>
    <row r="324">
      <c r="D324" s="52"/>
    </row>
    <row r="325">
      <c r="D325" s="52"/>
    </row>
    <row r="326">
      <c r="D326" s="52"/>
    </row>
    <row r="327">
      <c r="D327" s="52"/>
    </row>
    <row r="328">
      <c r="D328" s="52"/>
    </row>
    <row r="329">
      <c r="D329" s="52"/>
    </row>
    <row r="330">
      <c r="D330" s="52"/>
    </row>
    <row r="331">
      <c r="D331" s="52"/>
    </row>
    <row r="332">
      <c r="D332" s="52"/>
    </row>
    <row r="333">
      <c r="D333" s="52"/>
    </row>
    <row r="334">
      <c r="D334" s="52"/>
    </row>
    <row r="335">
      <c r="D335" s="52"/>
    </row>
    <row r="336">
      <c r="D336" s="52"/>
    </row>
    <row r="337">
      <c r="D337" s="52"/>
    </row>
    <row r="338">
      <c r="D338" s="52"/>
    </row>
    <row r="339">
      <c r="D339" s="52"/>
    </row>
    <row r="340">
      <c r="D340" s="52"/>
    </row>
    <row r="341">
      <c r="D341" s="52"/>
    </row>
    <row r="342">
      <c r="D342" s="52"/>
    </row>
    <row r="343">
      <c r="D343" s="52"/>
    </row>
    <row r="344">
      <c r="D344" s="52"/>
    </row>
    <row r="345">
      <c r="D345" s="52"/>
    </row>
    <row r="346">
      <c r="D346" s="52"/>
    </row>
    <row r="347">
      <c r="D347" s="52"/>
    </row>
    <row r="348">
      <c r="D348" s="52"/>
    </row>
    <row r="349">
      <c r="D349" s="52"/>
    </row>
    <row r="350">
      <c r="D350" s="52"/>
    </row>
    <row r="351">
      <c r="D351" s="52"/>
    </row>
    <row r="352">
      <c r="D352" s="52"/>
    </row>
    <row r="353">
      <c r="D353" s="52"/>
    </row>
    <row r="354">
      <c r="D354" s="52"/>
    </row>
    <row r="355">
      <c r="D355" s="52"/>
    </row>
    <row r="356">
      <c r="D356" s="52"/>
    </row>
    <row r="357">
      <c r="D357" s="52"/>
    </row>
    <row r="358">
      <c r="D358" s="52"/>
    </row>
    <row r="359">
      <c r="D359" s="52"/>
    </row>
    <row r="360">
      <c r="D360" s="52"/>
    </row>
    <row r="361">
      <c r="D361" s="52"/>
    </row>
    <row r="362">
      <c r="D362" s="52"/>
    </row>
    <row r="363">
      <c r="D363" s="52"/>
    </row>
    <row r="364">
      <c r="D364" s="52"/>
    </row>
    <row r="365">
      <c r="D365" s="52"/>
    </row>
    <row r="366">
      <c r="D366" s="52"/>
    </row>
    <row r="367">
      <c r="D367" s="52"/>
    </row>
    <row r="368">
      <c r="D368" s="52"/>
    </row>
    <row r="369">
      <c r="D369" s="52"/>
    </row>
    <row r="370">
      <c r="D370" s="52"/>
    </row>
    <row r="371">
      <c r="D371" s="52"/>
    </row>
    <row r="372">
      <c r="D372" s="52"/>
    </row>
    <row r="373">
      <c r="D373" s="52"/>
    </row>
    <row r="374">
      <c r="D374" s="52"/>
    </row>
    <row r="375">
      <c r="D375" s="52"/>
    </row>
    <row r="376">
      <c r="D376" s="52"/>
    </row>
    <row r="377">
      <c r="D377" s="52"/>
    </row>
    <row r="378">
      <c r="D378" s="52"/>
    </row>
    <row r="379">
      <c r="D379" s="52"/>
    </row>
    <row r="380">
      <c r="D380" s="52"/>
    </row>
    <row r="381">
      <c r="D381" s="52"/>
    </row>
    <row r="382">
      <c r="D382" s="52"/>
    </row>
    <row r="383">
      <c r="D383" s="52"/>
    </row>
    <row r="384">
      <c r="D384" s="52"/>
    </row>
    <row r="385">
      <c r="D385" s="52"/>
    </row>
    <row r="386">
      <c r="D386" s="52"/>
    </row>
    <row r="387">
      <c r="D387" s="52"/>
    </row>
    <row r="388">
      <c r="D388" s="52"/>
    </row>
    <row r="389">
      <c r="D389" s="52"/>
    </row>
    <row r="390">
      <c r="D390" s="52"/>
    </row>
    <row r="391">
      <c r="D391" s="52"/>
    </row>
    <row r="392">
      <c r="D392" s="52"/>
    </row>
    <row r="393">
      <c r="D393" s="52"/>
    </row>
    <row r="394">
      <c r="D394" s="52"/>
    </row>
    <row r="395">
      <c r="D395" s="52"/>
    </row>
    <row r="396">
      <c r="D396" s="52"/>
    </row>
    <row r="397">
      <c r="D397" s="52"/>
    </row>
    <row r="398">
      <c r="D398" s="52"/>
    </row>
    <row r="399">
      <c r="D399" s="52"/>
    </row>
    <row r="400">
      <c r="D400" s="52"/>
    </row>
    <row r="401">
      <c r="D401" s="52"/>
    </row>
    <row r="402">
      <c r="D402" s="52"/>
    </row>
    <row r="403">
      <c r="D403" s="52"/>
    </row>
    <row r="404">
      <c r="D404" s="52"/>
    </row>
    <row r="405">
      <c r="D405" s="52"/>
    </row>
    <row r="406">
      <c r="D406" s="52"/>
    </row>
    <row r="407">
      <c r="D407" s="52"/>
    </row>
    <row r="408">
      <c r="D408" s="52"/>
    </row>
    <row r="409">
      <c r="D409" s="52"/>
    </row>
    <row r="410">
      <c r="D410" s="52"/>
    </row>
    <row r="411">
      <c r="D411" s="52"/>
    </row>
    <row r="412">
      <c r="D412" s="52"/>
    </row>
    <row r="413">
      <c r="D413" s="52"/>
    </row>
    <row r="414">
      <c r="D414" s="52"/>
    </row>
    <row r="415">
      <c r="D415" s="52"/>
    </row>
    <row r="416">
      <c r="D416" s="52"/>
    </row>
    <row r="417">
      <c r="D417" s="52"/>
    </row>
    <row r="418">
      <c r="D418" s="52"/>
    </row>
    <row r="419">
      <c r="D419" s="52"/>
    </row>
    <row r="420">
      <c r="D420" s="52"/>
    </row>
    <row r="421">
      <c r="D421" s="52"/>
    </row>
    <row r="422">
      <c r="D422" s="52"/>
    </row>
    <row r="423">
      <c r="D423" s="52"/>
    </row>
    <row r="424">
      <c r="D424" s="52"/>
    </row>
    <row r="425">
      <c r="D425" s="52"/>
    </row>
    <row r="426">
      <c r="D426" s="52"/>
    </row>
    <row r="427">
      <c r="D427" s="52"/>
    </row>
    <row r="428">
      <c r="D428" s="52"/>
    </row>
    <row r="429">
      <c r="D429" s="52"/>
    </row>
    <row r="430">
      <c r="D430" s="52"/>
    </row>
    <row r="431">
      <c r="D431" s="52"/>
    </row>
    <row r="432">
      <c r="D432" s="52"/>
    </row>
    <row r="433">
      <c r="D433" s="52"/>
    </row>
    <row r="434">
      <c r="D434" s="52"/>
    </row>
    <row r="435">
      <c r="D435" s="52"/>
    </row>
    <row r="436">
      <c r="D436" s="52"/>
    </row>
    <row r="437">
      <c r="D437" s="52"/>
    </row>
    <row r="438">
      <c r="D438" s="52"/>
    </row>
    <row r="439">
      <c r="D439" s="52"/>
    </row>
    <row r="440">
      <c r="D440" s="52"/>
    </row>
    <row r="441">
      <c r="D441" s="52"/>
    </row>
    <row r="442">
      <c r="D442" s="52"/>
    </row>
    <row r="443">
      <c r="D443" s="52"/>
    </row>
    <row r="444">
      <c r="D444" s="52"/>
    </row>
    <row r="445">
      <c r="D445" s="52"/>
    </row>
    <row r="446">
      <c r="D446" s="52"/>
    </row>
    <row r="447">
      <c r="D447" s="52"/>
    </row>
    <row r="448">
      <c r="D448" s="52"/>
    </row>
    <row r="449">
      <c r="D449" s="52"/>
    </row>
    <row r="450">
      <c r="D450" s="52"/>
    </row>
    <row r="451">
      <c r="D451" s="52"/>
    </row>
    <row r="452">
      <c r="D452" s="52"/>
    </row>
    <row r="453">
      <c r="D453" s="52"/>
    </row>
    <row r="454">
      <c r="D454" s="52"/>
    </row>
    <row r="455">
      <c r="D455" s="52"/>
    </row>
    <row r="456">
      <c r="D456" s="52"/>
    </row>
    <row r="457">
      <c r="D457" s="52"/>
    </row>
    <row r="458">
      <c r="D458" s="52"/>
    </row>
    <row r="459">
      <c r="D459" s="52"/>
    </row>
    <row r="460">
      <c r="D460" s="52"/>
    </row>
    <row r="461">
      <c r="D461" s="52"/>
    </row>
    <row r="462">
      <c r="D462" s="52"/>
    </row>
    <row r="463">
      <c r="D463" s="52"/>
    </row>
    <row r="464">
      <c r="D464" s="52"/>
    </row>
    <row r="465">
      <c r="D465" s="52"/>
    </row>
    <row r="466">
      <c r="D466" s="52"/>
    </row>
    <row r="467">
      <c r="D467" s="52"/>
    </row>
    <row r="468">
      <c r="D468" s="52"/>
    </row>
    <row r="469">
      <c r="D469" s="52"/>
    </row>
    <row r="470">
      <c r="D470" s="52"/>
    </row>
    <row r="471">
      <c r="D471" s="52"/>
    </row>
    <row r="472">
      <c r="D472" s="52"/>
    </row>
    <row r="473">
      <c r="D473" s="52"/>
    </row>
    <row r="474">
      <c r="D474" s="52"/>
    </row>
    <row r="475">
      <c r="D475" s="52"/>
    </row>
    <row r="476">
      <c r="D476" s="52"/>
    </row>
    <row r="477">
      <c r="D477" s="52"/>
    </row>
    <row r="478">
      <c r="D478" s="52"/>
    </row>
    <row r="479">
      <c r="D479" s="52"/>
    </row>
    <row r="480">
      <c r="D480" s="52"/>
    </row>
    <row r="481">
      <c r="D481" s="52"/>
    </row>
    <row r="482">
      <c r="D482" s="52"/>
    </row>
    <row r="483">
      <c r="D483" s="52"/>
    </row>
    <row r="484">
      <c r="D484" s="52"/>
    </row>
    <row r="485">
      <c r="D485" s="52"/>
    </row>
    <row r="486">
      <c r="D486" s="52"/>
    </row>
    <row r="487">
      <c r="D487" s="52"/>
    </row>
    <row r="488">
      <c r="D488" s="52"/>
    </row>
    <row r="489">
      <c r="D489" s="52"/>
    </row>
    <row r="490">
      <c r="D490" s="52"/>
    </row>
    <row r="491">
      <c r="D491" s="52"/>
    </row>
    <row r="492">
      <c r="D492" s="52"/>
    </row>
    <row r="493">
      <c r="D493" s="52"/>
    </row>
    <row r="494">
      <c r="D494" s="52"/>
    </row>
    <row r="495">
      <c r="D495" s="52"/>
    </row>
    <row r="496">
      <c r="D496" s="52"/>
    </row>
    <row r="497">
      <c r="D497" s="52"/>
    </row>
    <row r="498">
      <c r="D498" s="52"/>
    </row>
    <row r="499">
      <c r="D499" s="52"/>
    </row>
    <row r="500">
      <c r="D500" s="52"/>
    </row>
    <row r="501">
      <c r="D501" s="52"/>
    </row>
    <row r="502">
      <c r="D502" s="52"/>
    </row>
    <row r="503">
      <c r="D503" s="52"/>
    </row>
    <row r="504">
      <c r="D504" s="52"/>
    </row>
    <row r="505">
      <c r="D505" s="52"/>
    </row>
    <row r="506">
      <c r="D506" s="52"/>
    </row>
    <row r="507">
      <c r="D507" s="52"/>
    </row>
    <row r="508">
      <c r="D508" s="52"/>
    </row>
    <row r="509">
      <c r="D509" s="52"/>
    </row>
    <row r="510">
      <c r="D510" s="52"/>
    </row>
    <row r="511">
      <c r="D511" s="52"/>
    </row>
    <row r="512">
      <c r="D512" s="52"/>
    </row>
    <row r="513">
      <c r="D513" s="52"/>
    </row>
    <row r="514">
      <c r="D514" s="52"/>
    </row>
    <row r="515">
      <c r="D515" s="52"/>
    </row>
    <row r="516">
      <c r="D516" s="52"/>
    </row>
    <row r="517">
      <c r="D517" s="52"/>
    </row>
    <row r="518">
      <c r="D518" s="52"/>
    </row>
    <row r="519">
      <c r="D519" s="52"/>
    </row>
    <row r="520">
      <c r="D520" s="52"/>
    </row>
    <row r="521">
      <c r="D521" s="52"/>
    </row>
    <row r="522">
      <c r="D522" s="52"/>
    </row>
    <row r="523">
      <c r="D523" s="52"/>
    </row>
    <row r="524">
      <c r="D524" s="52"/>
    </row>
    <row r="525">
      <c r="D525" s="52"/>
    </row>
    <row r="526">
      <c r="D526" s="52"/>
    </row>
    <row r="527">
      <c r="D527" s="52"/>
    </row>
    <row r="528">
      <c r="D528" s="52"/>
    </row>
    <row r="529">
      <c r="D529" s="52"/>
    </row>
    <row r="530">
      <c r="D530" s="52"/>
    </row>
    <row r="531">
      <c r="D531" s="52"/>
    </row>
    <row r="532">
      <c r="D532" s="52"/>
    </row>
    <row r="533">
      <c r="D533" s="52"/>
    </row>
    <row r="534">
      <c r="D534" s="52"/>
    </row>
    <row r="535">
      <c r="D535" s="52"/>
    </row>
    <row r="536">
      <c r="D536" s="52"/>
    </row>
    <row r="537">
      <c r="D537" s="52"/>
    </row>
    <row r="538">
      <c r="D538" s="52"/>
    </row>
    <row r="539">
      <c r="D539" s="52"/>
    </row>
    <row r="540">
      <c r="D540" s="52"/>
    </row>
    <row r="541">
      <c r="D541" s="52"/>
    </row>
    <row r="542">
      <c r="D542" s="52"/>
    </row>
    <row r="543">
      <c r="D543" s="52"/>
    </row>
    <row r="544">
      <c r="D544" s="52"/>
    </row>
    <row r="545">
      <c r="D545" s="52"/>
    </row>
    <row r="546">
      <c r="D546" s="52"/>
    </row>
    <row r="547">
      <c r="D547" s="52"/>
    </row>
    <row r="548">
      <c r="D548" s="52"/>
    </row>
    <row r="549">
      <c r="D549" s="52"/>
    </row>
    <row r="550">
      <c r="D550" s="52"/>
    </row>
    <row r="551">
      <c r="D551" s="52"/>
    </row>
    <row r="552">
      <c r="D552" s="52"/>
    </row>
    <row r="553">
      <c r="D553" s="52"/>
    </row>
    <row r="554">
      <c r="D554" s="52"/>
    </row>
    <row r="555">
      <c r="D555" s="52"/>
    </row>
    <row r="556">
      <c r="D556" s="52"/>
    </row>
    <row r="557">
      <c r="D557" s="52"/>
    </row>
    <row r="558">
      <c r="D558" s="52"/>
    </row>
    <row r="559">
      <c r="D559" s="52"/>
    </row>
    <row r="560">
      <c r="D560" s="52"/>
    </row>
    <row r="561">
      <c r="D561" s="52"/>
    </row>
    <row r="562">
      <c r="D562" s="52"/>
    </row>
    <row r="563">
      <c r="D563" s="52"/>
    </row>
    <row r="564">
      <c r="D564" s="52"/>
    </row>
    <row r="565">
      <c r="D565" s="52"/>
    </row>
    <row r="566">
      <c r="D566" s="52"/>
    </row>
    <row r="567">
      <c r="D567" s="52"/>
    </row>
    <row r="568">
      <c r="D568" s="52"/>
    </row>
    <row r="569">
      <c r="D569" s="52"/>
    </row>
    <row r="570">
      <c r="D570" s="52"/>
    </row>
    <row r="571">
      <c r="D571" s="52"/>
    </row>
    <row r="572">
      <c r="D572" s="52"/>
    </row>
    <row r="573">
      <c r="D573" s="52"/>
    </row>
    <row r="574">
      <c r="D574" s="52"/>
    </row>
    <row r="575">
      <c r="D575" s="52"/>
    </row>
    <row r="576">
      <c r="D576" s="52"/>
    </row>
    <row r="577">
      <c r="D577" s="52"/>
    </row>
    <row r="578">
      <c r="D578" s="52"/>
    </row>
    <row r="579">
      <c r="D579" s="52"/>
    </row>
    <row r="580">
      <c r="D580" s="52"/>
    </row>
    <row r="581">
      <c r="D581" s="52"/>
    </row>
    <row r="582">
      <c r="D582" s="52"/>
    </row>
    <row r="583">
      <c r="D583" s="52"/>
    </row>
    <row r="584">
      <c r="D584" s="52"/>
    </row>
    <row r="585">
      <c r="D585" s="52"/>
    </row>
    <row r="586">
      <c r="D586" s="52"/>
    </row>
    <row r="587">
      <c r="D587" s="52"/>
    </row>
    <row r="588">
      <c r="D588" s="52"/>
    </row>
    <row r="589">
      <c r="D589" s="52"/>
    </row>
    <row r="590">
      <c r="D590" s="52"/>
    </row>
    <row r="591">
      <c r="D591" s="52"/>
    </row>
    <row r="592">
      <c r="D592" s="52"/>
    </row>
    <row r="593">
      <c r="D593" s="52"/>
    </row>
    <row r="594">
      <c r="D594" s="52"/>
    </row>
    <row r="595">
      <c r="D595" s="52"/>
    </row>
    <row r="596">
      <c r="D596" s="52"/>
    </row>
    <row r="597">
      <c r="D597" s="52"/>
    </row>
    <row r="598">
      <c r="D598" s="52"/>
    </row>
    <row r="599">
      <c r="D599" s="52"/>
    </row>
    <row r="600">
      <c r="D600" s="52"/>
    </row>
    <row r="601">
      <c r="D601" s="52"/>
    </row>
    <row r="602">
      <c r="D602" s="52"/>
    </row>
    <row r="603">
      <c r="D603" s="52"/>
    </row>
    <row r="604">
      <c r="D604" s="52"/>
    </row>
    <row r="605">
      <c r="D605" s="52"/>
    </row>
    <row r="606">
      <c r="D606" s="52"/>
    </row>
    <row r="607">
      <c r="D607" s="52"/>
    </row>
    <row r="608">
      <c r="D608" s="52"/>
    </row>
    <row r="609">
      <c r="D609" s="52"/>
    </row>
    <row r="610">
      <c r="D610" s="52"/>
    </row>
    <row r="611">
      <c r="D611" s="52"/>
    </row>
    <row r="612">
      <c r="D612" s="52"/>
    </row>
    <row r="613">
      <c r="D613" s="52"/>
    </row>
    <row r="614">
      <c r="D614" s="52"/>
    </row>
    <row r="615">
      <c r="D615" s="52"/>
    </row>
    <row r="616">
      <c r="D616" s="52"/>
    </row>
    <row r="617">
      <c r="D617" s="52"/>
    </row>
    <row r="618">
      <c r="D618" s="52"/>
    </row>
    <row r="619">
      <c r="D619" s="52"/>
    </row>
    <row r="620">
      <c r="D620" s="52"/>
    </row>
    <row r="621">
      <c r="D621" s="52"/>
    </row>
    <row r="622">
      <c r="D622" s="52"/>
    </row>
    <row r="623">
      <c r="D623" s="52"/>
    </row>
    <row r="624">
      <c r="D624" s="52"/>
    </row>
    <row r="625">
      <c r="D625" s="52"/>
    </row>
    <row r="626">
      <c r="D626" s="52"/>
    </row>
    <row r="627">
      <c r="D627" s="52"/>
    </row>
    <row r="628">
      <c r="D628" s="52"/>
    </row>
    <row r="629">
      <c r="D629" s="52"/>
    </row>
    <row r="630">
      <c r="D630" s="52"/>
    </row>
    <row r="631">
      <c r="D631" s="52"/>
    </row>
    <row r="632">
      <c r="D632" s="52"/>
    </row>
    <row r="633">
      <c r="D633" s="52"/>
    </row>
    <row r="634">
      <c r="D634" s="52"/>
    </row>
    <row r="635">
      <c r="D635" s="52"/>
    </row>
    <row r="636">
      <c r="D636" s="52"/>
    </row>
    <row r="637">
      <c r="D637" s="52"/>
    </row>
    <row r="638">
      <c r="D638" s="52"/>
    </row>
    <row r="639">
      <c r="D639" s="52"/>
    </row>
    <row r="640">
      <c r="D640" s="52"/>
    </row>
    <row r="641">
      <c r="D641" s="52"/>
    </row>
    <row r="642">
      <c r="D642" s="52"/>
    </row>
    <row r="643">
      <c r="D643" s="52"/>
    </row>
    <row r="644">
      <c r="D644" s="52"/>
    </row>
    <row r="645">
      <c r="D645" s="52"/>
    </row>
    <row r="646">
      <c r="D646" s="52"/>
    </row>
    <row r="647">
      <c r="D647" s="52"/>
    </row>
    <row r="648">
      <c r="D648" s="52"/>
    </row>
    <row r="649">
      <c r="D649" s="52"/>
    </row>
    <row r="650">
      <c r="D650" s="52"/>
    </row>
    <row r="651">
      <c r="D651" s="52"/>
    </row>
    <row r="652">
      <c r="D652" s="52"/>
    </row>
    <row r="653">
      <c r="D653" s="52"/>
    </row>
    <row r="654">
      <c r="D654" s="52"/>
    </row>
    <row r="655">
      <c r="D655" s="52"/>
    </row>
    <row r="656">
      <c r="D656" s="52"/>
    </row>
    <row r="657">
      <c r="D657" s="52"/>
    </row>
    <row r="658">
      <c r="D658" s="52"/>
    </row>
    <row r="659">
      <c r="D659" s="52"/>
    </row>
    <row r="660">
      <c r="D660" s="52"/>
    </row>
    <row r="661">
      <c r="D661" s="52"/>
    </row>
    <row r="662">
      <c r="D662" s="52"/>
    </row>
    <row r="663">
      <c r="D663" s="52"/>
    </row>
    <row r="664">
      <c r="D664" s="52"/>
    </row>
    <row r="665">
      <c r="D665" s="52"/>
    </row>
    <row r="666">
      <c r="D666" s="52"/>
    </row>
    <row r="667">
      <c r="D667" s="52"/>
    </row>
    <row r="668">
      <c r="D668" s="52"/>
    </row>
    <row r="669">
      <c r="D669" s="52"/>
    </row>
    <row r="670">
      <c r="D670" s="52"/>
    </row>
    <row r="671">
      <c r="D671" s="52"/>
    </row>
    <row r="672">
      <c r="D672" s="52"/>
    </row>
    <row r="673">
      <c r="D673" s="52"/>
    </row>
    <row r="674">
      <c r="D674" s="52"/>
    </row>
    <row r="675">
      <c r="D675" s="52"/>
    </row>
    <row r="676">
      <c r="D676" s="52"/>
    </row>
    <row r="677">
      <c r="D677" s="52"/>
    </row>
    <row r="678">
      <c r="D678" s="52"/>
    </row>
    <row r="679">
      <c r="D679" s="52"/>
    </row>
    <row r="680">
      <c r="D680" s="52"/>
    </row>
    <row r="681">
      <c r="D681" s="52"/>
    </row>
    <row r="682">
      <c r="D682" s="52"/>
    </row>
    <row r="683">
      <c r="D683" s="52"/>
    </row>
    <row r="684">
      <c r="D684" s="52"/>
    </row>
    <row r="685">
      <c r="D685" s="52"/>
    </row>
    <row r="686">
      <c r="D686" s="52"/>
    </row>
    <row r="687">
      <c r="D687" s="52"/>
    </row>
    <row r="688">
      <c r="D688" s="52"/>
    </row>
    <row r="689">
      <c r="D689" s="52"/>
    </row>
    <row r="690">
      <c r="D690" s="52"/>
    </row>
    <row r="691">
      <c r="D691" s="52"/>
    </row>
    <row r="692">
      <c r="D692" s="52"/>
    </row>
    <row r="693">
      <c r="D693" s="52"/>
    </row>
    <row r="694">
      <c r="D694" s="52"/>
    </row>
    <row r="695">
      <c r="D695" s="52"/>
    </row>
    <row r="696">
      <c r="D696" s="52"/>
    </row>
    <row r="697">
      <c r="D697" s="52"/>
    </row>
    <row r="698">
      <c r="D698" s="52"/>
    </row>
    <row r="699">
      <c r="D699" s="52"/>
    </row>
    <row r="700">
      <c r="D700" s="52"/>
    </row>
    <row r="701">
      <c r="D701" s="52"/>
    </row>
    <row r="702">
      <c r="D702" s="52"/>
    </row>
    <row r="703">
      <c r="D703" s="52"/>
    </row>
    <row r="704">
      <c r="D704" s="52"/>
    </row>
    <row r="705">
      <c r="D705" s="52"/>
    </row>
    <row r="706">
      <c r="D706" s="52"/>
    </row>
    <row r="707">
      <c r="D707" s="52"/>
    </row>
    <row r="708">
      <c r="D708" s="52"/>
    </row>
    <row r="709">
      <c r="D709" s="52"/>
    </row>
    <row r="710">
      <c r="D710" s="52"/>
    </row>
    <row r="711">
      <c r="D711" s="52"/>
    </row>
    <row r="712">
      <c r="D712" s="52"/>
    </row>
    <row r="713">
      <c r="D713" s="52"/>
    </row>
    <row r="714">
      <c r="D714" s="52"/>
    </row>
    <row r="715">
      <c r="D715" s="52"/>
    </row>
    <row r="716">
      <c r="D716" s="52"/>
    </row>
    <row r="717">
      <c r="D717" s="52"/>
    </row>
    <row r="718">
      <c r="D718" s="52"/>
    </row>
    <row r="719">
      <c r="D719" s="52"/>
    </row>
    <row r="720">
      <c r="D720" s="52"/>
    </row>
    <row r="721">
      <c r="D721" s="52"/>
    </row>
    <row r="722">
      <c r="D722" s="52"/>
    </row>
    <row r="723">
      <c r="D723" s="52"/>
    </row>
    <row r="724">
      <c r="D724" s="52"/>
    </row>
    <row r="725">
      <c r="D725" s="52"/>
    </row>
    <row r="726">
      <c r="D726" s="52"/>
    </row>
    <row r="727">
      <c r="D727" s="52"/>
    </row>
    <row r="728">
      <c r="D728" s="52"/>
    </row>
    <row r="729">
      <c r="D729" s="52"/>
    </row>
    <row r="730">
      <c r="D730" s="52"/>
    </row>
    <row r="731">
      <c r="D731" s="52"/>
    </row>
    <row r="732">
      <c r="D732" s="52"/>
    </row>
    <row r="733">
      <c r="D733" s="52"/>
    </row>
    <row r="734">
      <c r="D734" s="52"/>
    </row>
    <row r="735">
      <c r="D735" s="52"/>
    </row>
    <row r="736">
      <c r="D736" s="52"/>
    </row>
    <row r="737">
      <c r="D737" s="52"/>
    </row>
    <row r="738">
      <c r="D738" s="52"/>
    </row>
    <row r="739">
      <c r="D739" s="52"/>
    </row>
    <row r="740">
      <c r="D740" s="52"/>
    </row>
    <row r="741">
      <c r="D741" s="52"/>
    </row>
    <row r="742">
      <c r="D742" s="52"/>
    </row>
    <row r="743">
      <c r="D743" s="52"/>
    </row>
    <row r="744">
      <c r="D744" s="52"/>
    </row>
    <row r="745">
      <c r="D745" s="52"/>
    </row>
    <row r="746">
      <c r="D746" s="52"/>
    </row>
    <row r="747">
      <c r="D747" s="52"/>
    </row>
    <row r="748">
      <c r="D748" s="52"/>
    </row>
    <row r="749">
      <c r="D749" s="52"/>
    </row>
    <row r="750">
      <c r="D750" s="52"/>
    </row>
    <row r="751">
      <c r="D751" s="52"/>
    </row>
    <row r="752">
      <c r="D752" s="52"/>
    </row>
    <row r="753">
      <c r="D753" s="52"/>
    </row>
    <row r="754">
      <c r="D754" s="52"/>
    </row>
    <row r="755">
      <c r="D755" s="52"/>
    </row>
    <row r="756">
      <c r="D756" s="52"/>
    </row>
    <row r="757">
      <c r="D757" s="52"/>
    </row>
    <row r="758">
      <c r="D758" s="52"/>
    </row>
    <row r="759">
      <c r="D759" s="52"/>
    </row>
    <row r="760">
      <c r="D760" s="52"/>
    </row>
    <row r="761">
      <c r="D761" s="52"/>
    </row>
    <row r="762">
      <c r="D762" s="52"/>
    </row>
    <row r="763">
      <c r="D763" s="52"/>
    </row>
    <row r="764">
      <c r="D764" s="52"/>
    </row>
    <row r="765">
      <c r="D765" s="52"/>
    </row>
    <row r="766">
      <c r="D766" s="52"/>
    </row>
    <row r="767">
      <c r="D767" s="52"/>
    </row>
    <row r="768">
      <c r="D768" s="52"/>
    </row>
    <row r="769">
      <c r="D769" s="52"/>
    </row>
    <row r="770">
      <c r="D770" s="52"/>
    </row>
    <row r="771">
      <c r="D771" s="52"/>
    </row>
    <row r="772">
      <c r="D772" s="52"/>
    </row>
    <row r="773">
      <c r="D773" s="52"/>
    </row>
    <row r="774">
      <c r="D774" s="52"/>
    </row>
    <row r="775">
      <c r="D775" s="52"/>
    </row>
    <row r="776">
      <c r="D776" s="52"/>
    </row>
    <row r="777">
      <c r="D777" s="52"/>
    </row>
    <row r="778">
      <c r="D778" s="52"/>
    </row>
    <row r="779">
      <c r="D779" s="52"/>
    </row>
    <row r="780">
      <c r="D780" s="52"/>
    </row>
    <row r="781">
      <c r="D781" s="52"/>
    </row>
    <row r="782">
      <c r="D782" s="52"/>
    </row>
    <row r="783">
      <c r="D783" s="52"/>
    </row>
    <row r="784">
      <c r="D784" s="52"/>
    </row>
    <row r="785">
      <c r="D785" s="52"/>
    </row>
    <row r="786">
      <c r="D786" s="52"/>
    </row>
    <row r="787">
      <c r="D787" s="52"/>
    </row>
    <row r="788">
      <c r="D788" s="52"/>
    </row>
    <row r="789">
      <c r="D789" s="52"/>
    </row>
    <row r="790">
      <c r="D790" s="52"/>
    </row>
    <row r="791">
      <c r="D791" s="52"/>
    </row>
    <row r="792">
      <c r="D792" s="52"/>
    </row>
    <row r="793">
      <c r="D793" s="52"/>
    </row>
    <row r="794">
      <c r="D794" s="52"/>
    </row>
    <row r="795">
      <c r="D795" s="52"/>
    </row>
    <row r="796">
      <c r="D796" s="52"/>
    </row>
    <row r="797">
      <c r="D797" s="52"/>
    </row>
    <row r="798">
      <c r="D798" s="52"/>
    </row>
    <row r="799">
      <c r="D799" s="52"/>
    </row>
    <row r="800">
      <c r="D800" s="52"/>
    </row>
    <row r="801">
      <c r="D801" s="52"/>
    </row>
    <row r="802">
      <c r="D802" s="52"/>
    </row>
    <row r="803">
      <c r="D803" s="52"/>
    </row>
    <row r="804">
      <c r="D804" s="52"/>
    </row>
    <row r="805">
      <c r="D805" s="52"/>
    </row>
    <row r="806">
      <c r="D806" s="52"/>
    </row>
    <row r="807">
      <c r="D807" s="52"/>
    </row>
    <row r="808">
      <c r="D808" s="52"/>
    </row>
    <row r="809">
      <c r="D809" s="52"/>
    </row>
    <row r="810">
      <c r="D810" s="52"/>
    </row>
    <row r="811">
      <c r="D811" s="52"/>
    </row>
    <row r="812">
      <c r="D812" s="52"/>
    </row>
    <row r="813">
      <c r="D813" s="52"/>
    </row>
    <row r="814">
      <c r="D814" s="52"/>
    </row>
    <row r="815">
      <c r="D815" s="52"/>
    </row>
    <row r="816">
      <c r="D816" s="52"/>
    </row>
    <row r="817">
      <c r="D817" s="52"/>
    </row>
    <row r="818">
      <c r="D818" s="52"/>
    </row>
    <row r="819">
      <c r="D819" s="52"/>
    </row>
    <row r="820">
      <c r="D820" s="52"/>
    </row>
    <row r="821">
      <c r="D821" s="52"/>
    </row>
    <row r="822">
      <c r="D822" s="52"/>
    </row>
    <row r="823">
      <c r="D823" s="52"/>
    </row>
    <row r="824">
      <c r="D824" s="52"/>
    </row>
    <row r="825">
      <c r="D825" s="52"/>
    </row>
    <row r="826">
      <c r="D826" s="52"/>
    </row>
    <row r="827">
      <c r="D827" s="52"/>
    </row>
    <row r="828">
      <c r="D828" s="52"/>
    </row>
    <row r="829">
      <c r="D829" s="52"/>
    </row>
    <row r="830">
      <c r="D830" s="52"/>
    </row>
    <row r="831">
      <c r="D831" s="52"/>
    </row>
    <row r="832">
      <c r="D832" s="52"/>
    </row>
    <row r="833">
      <c r="D833" s="52"/>
    </row>
    <row r="834">
      <c r="D834" s="52"/>
    </row>
    <row r="835">
      <c r="D835" s="52"/>
    </row>
    <row r="836">
      <c r="D836" s="52"/>
    </row>
    <row r="837">
      <c r="D837" s="52"/>
    </row>
    <row r="838">
      <c r="D838" s="52"/>
    </row>
    <row r="839">
      <c r="D839" s="52"/>
    </row>
    <row r="840">
      <c r="D840" s="52"/>
    </row>
    <row r="841">
      <c r="D841" s="52"/>
    </row>
    <row r="842">
      <c r="D842" s="52"/>
    </row>
    <row r="843">
      <c r="D843" s="52"/>
    </row>
  </sheetData>
  <mergeCells count="7">
    <mergeCell ref="A1:F1"/>
    <mergeCell ref="A2:A3"/>
    <mergeCell ref="B2:B3"/>
    <mergeCell ref="C2:C3"/>
    <mergeCell ref="D2:D3"/>
    <mergeCell ref="E2:F2"/>
    <mergeCell ref="A7:E7"/>
  </mergeCells>
  <dataValidations>
    <dataValidation type="list" allowBlank="1" sqref="H4">
      <formula1>"CHECKED (OK),CHECKED  (NOT OK)"</formula1>
    </dataValidation>
  </dataValidations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3" max="3" width="26.75"/>
    <col customWidth="1" min="4" max="4" width="33.25"/>
    <col customWidth="1" min="7" max="7" width="3.5"/>
    <col customWidth="1" min="8" max="8" width="18.63"/>
    <col customWidth="1" min="9" max="9" width="21.63"/>
  </cols>
  <sheetData>
    <row r="1">
      <c r="A1" s="30" t="s">
        <v>1142</v>
      </c>
      <c r="G1" s="31"/>
      <c r="H1" s="32" t="s">
        <v>1143</v>
      </c>
      <c r="I1" s="33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4" t="s">
        <v>1</v>
      </c>
      <c r="B2" s="35" t="s">
        <v>11</v>
      </c>
      <c r="C2" s="35" t="s">
        <v>12</v>
      </c>
      <c r="D2" s="36" t="s">
        <v>13</v>
      </c>
      <c r="E2" s="37" t="s">
        <v>14</v>
      </c>
      <c r="F2" s="38"/>
      <c r="G2" s="39"/>
      <c r="H2" s="40"/>
      <c r="I2" s="40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41"/>
      <c r="B3" s="38"/>
      <c r="C3" s="38"/>
      <c r="D3" s="38"/>
      <c r="E3" s="42" t="s">
        <v>15</v>
      </c>
      <c r="F3" s="43" t="s">
        <v>5</v>
      </c>
      <c r="G3" s="39"/>
      <c r="H3" s="44" t="s">
        <v>6</v>
      </c>
      <c r="I3" s="45" t="s">
        <v>7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24.75" customHeight="1">
      <c r="A4" s="46"/>
      <c r="B4" s="47"/>
      <c r="C4" s="48" t="str">
        <f>vlookup(B4,'Crew Data'!C:G,5,0)</f>
        <v>#N/A</v>
      </c>
      <c r="D4" s="49"/>
      <c r="E4" s="47"/>
      <c r="F4" s="50">
        <f>E4*400</f>
        <v>0</v>
      </c>
      <c r="G4" s="22">
        <f>COUNTIF(B:B,B4)</f>
        <v>0</v>
      </c>
      <c r="H4" s="5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D5" s="52"/>
    </row>
    <row r="6">
      <c r="D6" s="52"/>
    </row>
    <row r="7" ht="44.25" customHeight="1">
      <c r="A7" s="53" t="s">
        <v>16</v>
      </c>
    </row>
    <row r="8">
      <c r="D8" s="52"/>
    </row>
    <row r="9">
      <c r="D9" s="52"/>
    </row>
    <row r="10">
      <c r="D10" s="52"/>
    </row>
    <row r="11">
      <c r="D11" s="52"/>
    </row>
    <row r="12">
      <c r="D12" s="52"/>
    </row>
    <row r="13">
      <c r="D13" s="52"/>
    </row>
    <row r="14">
      <c r="D14" s="52"/>
    </row>
    <row r="15">
      <c r="D15" s="52"/>
    </row>
    <row r="16">
      <c r="D16" s="52"/>
    </row>
    <row r="17">
      <c r="D17" s="52"/>
    </row>
    <row r="18">
      <c r="D18" s="52"/>
    </row>
    <row r="19">
      <c r="D19" s="52"/>
    </row>
    <row r="20">
      <c r="D20" s="52"/>
    </row>
    <row r="21">
      <c r="D21" s="52"/>
    </row>
    <row r="22">
      <c r="D22" s="52"/>
    </row>
    <row r="23">
      <c r="D23" s="52"/>
    </row>
    <row r="24">
      <c r="D24" s="52"/>
    </row>
    <row r="25">
      <c r="D25" s="52"/>
    </row>
    <row r="26">
      <c r="D26" s="52"/>
    </row>
    <row r="27">
      <c r="D27" s="52"/>
    </row>
    <row r="28">
      <c r="D28" s="52"/>
    </row>
    <row r="29">
      <c r="D29" s="52"/>
    </row>
    <row r="30">
      <c r="D30" s="52"/>
    </row>
    <row r="31">
      <c r="D31" s="52"/>
    </row>
    <row r="32">
      <c r="D32" s="52"/>
    </row>
    <row r="33">
      <c r="D33" s="52"/>
    </row>
    <row r="34">
      <c r="D34" s="52"/>
    </row>
    <row r="35">
      <c r="D35" s="52"/>
    </row>
    <row r="36">
      <c r="D36" s="52"/>
    </row>
    <row r="37">
      <c r="D37" s="52"/>
    </row>
    <row r="38">
      <c r="D38" s="52"/>
    </row>
    <row r="39">
      <c r="D39" s="52"/>
    </row>
    <row r="40">
      <c r="D40" s="52"/>
    </row>
    <row r="41">
      <c r="D41" s="52"/>
    </row>
    <row r="42">
      <c r="D42" s="52"/>
    </row>
    <row r="43">
      <c r="D43" s="52"/>
    </row>
    <row r="44">
      <c r="D44" s="52"/>
    </row>
    <row r="45">
      <c r="D45" s="52"/>
    </row>
    <row r="46">
      <c r="D46" s="52"/>
    </row>
    <row r="47">
      <c r="D47" s="52"/>
    </row>
    <row r="48">
      <c r="D48" s="52"/>
    </row>
    <row r="49">
      <c r="D49" s="52"/>
    </row>
    <row r="50">
      <c r="D50" s="52"/>
    </row>
    <row r="51">
      <c r="D51" s="52"/>
    </row>
    <row r="52">
      <c r="D52" s="52"/>
    </row>
    <row r="53">
      <c r="D53" s="52"/>
    </row>
    <row r="54">
      <c r="D54" s="52"/>
    </row>
    <row r="55">
      <c r="D55" s="52"/>
    </row>
    <row r="56">
      <c r="D56" s="52"/>
    </row>
    <row r="57">
      <c r="D57" s="52"/>
    </row>
    <row r="58">
      <c r="D58" s="52"/>
    </row>
    <row r="59">
      <c r="D59" s="52"/>
    </row>
    <row r="60">
      <c r="D60" s="52"/>
    </row>
    <row r="61">
      <c r="D61" s="52"/>
    </row>
    <row r="62">
      <c r="D62" s="52"/>
    </row>
    <row r="63">
      <c r="D63" s="52"/>
    </row>
    <row r="64">
      <c r="D64" s="52"/>
    </row>
    <row r="65">
      <c r="D65" s="52"/>
    </row>
    <row r="66">
      <c r="D66" s="52"/>
    </row>
    <row r="67">
      <c r="D67" s="52"/>
    </row>
    <row r="68">
      <c r="D68" s="52"/>
    </row>
    <row r="69">
      <c r="D69" s="52"/>
    </row>
    <row r="70">
      <c r="D70" s="52"/>
    </row>
    <row r="71">
      <c r="D71" s="52"/>
    </row>
    <row r="72">
      <c r="D72" s="52"/>
    </row>
    <row r="73">
      <c r="D73" s="52"/>
    </row>
    <row r="74">
      <c r="D74" s="52"/>
    </row>
    <row r="75">
      <c r="D75" s="52"/>
    </row>
    <row r="76">
      <c r="D76" s="52"/>
    </row>
    <row r="77">
      <c r="D77" s="52"/>
    </row>
    <row r="78">
      <c r="D78" s="52"/>
    </row>
    <row r="79">
      <c r="D79" s="52"/>
    </row>
    <row r="80">
      <c r="D80" s="52"/>
    </row>
    <row r="81">
      <c r="D81" s="52"/>
    </row>
    <row r="82">
      <c r="D82" s="52"/>
    </row>
    <row r="83">
      <c r="D83" s="52"/>
    </row>
    <row r="84">
      <c r="D84" s="52"/>
    </row>
    <row r="85">
      <c r="D85" s="52"/>
    </row>
    <row r="86">
      <c r="D86" s="52"/>
    </row>
    <row r="87">
      <c r="D87" s="52"/>
    </row>
    <row r="88">
      <c r="D88" s="52"/>
    </row>
    <row r="89">
      <c r="D89" s="52"/>
    </row>
    <row r="90">
      <c r="D90" s="52"/>
    </row>
    <row r="91">
      <c r="D91" s="52"/>
    </row>
    <row r="92">
      <c r="D92" s="52"/>
    </row>
    <row r="93">
      <c r="D93" s="52"/>
    </row>
    <row r="94">
      <c r="D94" s="52"/>
    </row>
    <row r="95">
      <c r="D95" s="52"/>
    </row>
    <row r="96">
      <c r="D96" s="52"/>
    </row>
    <row r="97">
      <c r="D97" s="52"/>
    </row>
    <row r="98">
      <c r="D98" s="52"/>
    </row>
    <row r="99">
      <c r="D99" s="52"/>
    </row>
    <row r="100">
      <c r="D100" s="52"/>
    </row>
    <row r="101">
      <c r="D101" s="52"/>
    </row>
    <row r="102">
      <c r="D102" s="52"/>
    </row>
    <row r="103">
      <c r="D103" s="52"/>
    </row>
    <row r="104">
      <c r="D104" s="52"/>
    </row>
    <row r="105">
      <c r="D105" s="52"/>
    </row>
    <row r="106">
      <c r="D106" s="52"/>
    </row>
    <row r="107">
      <c r="D107" s="52"/>
    </row>
    <row r="108">
      <c r="D108" s="52"/>
    </row>
    <row r="109">
      <c r="D109" s="52"/>
    </row>
    <row r="110">
      <c r="D110" s="52"/>
    </row>
    <row r="111">
      <c r="D111" s="52"/>
    </row>
    <row r="112">
      <c r="D112" s="52"/>
    </row>
    <row r="113">
      <c r="D113" s="52"/>
    </row>
    <row r="114">
      <c r="D114" s="52"/>
    </row>
    <row r="115">
      <c r="D115" s="52"/>
    </row>
    <row r="116">
      <c r="D116" s="52"/>
    </row>
    <row r="117">
      <c r="D117" s="52"/>
    </row>
    <row r="118">
      <c r="D118" s="52"/>
    </row>
    <row r="119">
      <c r="D119" s="52"/>
    </row>
    <row r="120">
      <c r="D120" s="52"/>
    </row>
    <row r="121">
      <c r="D121" s="52"/>
    </row>
    <row r="122">
      <c r="D122" s="52"/>
    </row>
    <row r="123">
      <c r="D123" s="52"/>
    </row>
    <row r="124">
      <c r="D124" s="52"/>
    </row>
    <row r="125">
      <c r="D125" s="52"/>
    </row>
    <row r="126">
      <c r="D126" s="52"/>
    </row>
    <row r="127">
      <c r="D127" s="52"/>
    </row>
    <row r="128">
      <c r="D128" s="52"/>
    </row>
    <row r="129">
      <c r="D129" s="52"/>
    </row>
    <row r="130">
      <c r="D130" s="52"/>
    </row>
    <row r="131">
      <c r="D131" s="52"/>
    </row>
    <row r="132">
      <c r="D132" s="52"/>
    </row>
    <row r="133">
      <c r="D133" s="52"/>
    </row>
    <row r="134">
      <c r="D134" s="52"/>
    </row>
    <row r="135">
      <c r="D135" s="52"/>
    </row>
    <row r="136">
      <c r="D136" s="52"/>
    </row>
    <row r="137">
      <c r="D137" s="52"/>
    </row>
    <row r="138">
      <c r="D138" s="52"/>
    </row>
    <row r="139">
      <c r="D139" s="52"/>
    </row>
    <row r="140">
      <c r="D140" s="52"/>
    </row>
    <row r="141">
      <c r="D141" s="52"/>
    </row>
    <row r="142">
      <c r="D142" s="52"/>
    </row>
    <row r="143">
      <c r="D143" s="52"/>
    </row>
    <row r="144">
      <c r="D144" s="52"/>
    </row>
    <row r="145">
      <c r="D145" s="52"/>
    </row>
    <row r="146">
      <c r="D146" s="52"/>
    </row>
    <row r="147">
      <c r="D147" s="52"/>
    </row>
    <row r="148">
      <c r="D148" s="52"/>
    </row>
    <row r="149">
      <c r="D149" s="52"/>
    </row>
    <row r="150">
      <c r="D150" s="52"/>
    </row>
    <row r="151">
      <c r="D151" s="52"/>
    </row>
    <row r="152">
      <c r="D152" s="52"/>
    </row>
    <row r="153">
      <c r="D153" s="52"/>
    </row>
    <row r="154">
      <c r="D154" s="52"/>
    </row>
    <row r="155">
      <c r="D155" s="52"/>
    </row>
    <row r="156">
      <c r="D156" s="52"/>
    </row>
    <row r="157">
      <c r="D157" s="52"/>
    </row>
    <row r="158">
      <c r="D158" s="52"/>
    </row>
    <row r="159">
      <c r="D159" s="52"/>
    </row>
    <row r="160">
      <c r="D160" s="52"/>
    </row>
    <row r="161">
      <c r="D161" s="52"/>
    </row>
    <row r="162">
      <c r="D162" s="52"/>
    </row>
    <row r="163">
      <c r="D163" s="52"/>
    </row>
    <row r="164">
      <c r="D164" s="52"/>
    </row>
    <row r="165">
      <c r="D165" s="52"/>
    </row>
    <row r="166">
      <c r="D166" s="52"/>
    </row>
    <row r="167">
      <c r="D167" s="52"/>
    </row>
    <row r="168">
      <c r="D168" s="52"/>
    </row>
    <row r="169">
      <c r="D169" s="52"/>
    </row>
    <row r="170">
      <c r="D170" s="52"/>
    </row>
    <row r="171">
      <c r="D171" s="52"/>
    </row>
    <row r="172">
      <c r="D172" s="52"/>
    </row>
    <row r="173">
      <c r="D173" s="52"/>
    </row>
    <row r="174">
      <c r="D174" s="52"/>
    </row>
    <row r="175">
      <c r="D175" s="52"/>
    </row>
    <row r="176">
      <c r="D176" s="52"/>
    </row>
    <row r="177">
      <c r="D177" s="52"/>
    </row>
    <row r="178">
      <c r="D178" s="52"/>
    </row>
    <row r="179">
      <c r="D179" s="52"/>
    </row>
    <row r="180">
      <c r="D180" s="52"/>
    </row>
    <row r="181">
      <c r="D181" s="52"/>
    </row>
    <row r="182">
      <c r="D182" s="52"/>
    </row>
    <row r="183">
      <c r="D183" s="52"/>
    </row>
    <row r="184">
      <c r="D184" s="52"/>
    </row>
    <row r="185">
      <c r="D185" s="52"/>
    </row>
    <row r="186">
      <c r="D186" s="52"/>
    </row>
    <row r="187">
      <c r="D187" s="52"/>
    </row>
    <row r="188">
      <c r="D188" s="52"/>
    </row>
    <row r="189">
      <c r="D189" s="52"/>
    </row>
    <row r="190">
      <c r="D190" s="52"/>
    </row>
    <row r="191">
      <c r="D191" s="52"/>
    </row>
    <row r="192">
      <c r="D192" s="52"/>
    </row>
    <row r="193">
      <c r="D193" s="52"/>
    </row>
    <row r="194">
      <c r="D194" s="52"/>
    </row>
    <row r="195">
      <c r="D195" s="52"/>
    </row>
    <row r="196">
      <c r="D196" s="52"/>
    </row>
    <row r="197">
      <c r="D197" s="52"/>
    </row>
    <row r="198">
      <c r="D198" s="52"/>
    </row>
    <row r="199">
      <c r="D199" s="52"/>
    </row>
    <row r="200">
      <c r="D200" s="52"/>
    </row>
    <row r="201">
      <c r="D201" s="52"/>
    </row>
    <row r="202">
      <c r="D202" s="52"/>
    </row>
    <row r="203">
      <c r="D203" s="52"/>
    </row>
    <row r="204">
      <c r="D204" s="52"/>
    </row>
    <row r="205">
      <c r="D205" s="52"/>
    </row>
    <row r="206">
      <c r="D206" s="52"/>
    </row>
    <row r="207">
      <c r="D207" s="52"/>
    </row>
    <row r="208">
      <c r="D208" s="52"/>
    </row>
    <row r="209">
      <c r="D209" s="52"/>
    </row>
    <row r="210">
      <c r="D210" s="52"/>
    </row>
    <row r="211">
      <c r="D211" s="52"/>
    </row>
    <row r="212">
      <c r="D212" s="52"/>
    </row>
    <row r="213">
      <c r="D213" s="52"/>
    </row>
    <row r="214">
      <c r="D214" s="52"/>
    </row>
    <row r="215">
      <c r="D215" s="52"/>
    </row>
    <row r="216">
      <c r="D216" s="52"/>
    </row>
    <row r="217">
      <c r="D217" s="52"/>
    </row>
    <row r="218">
      <c r="D218" s="52"/>
    </row>
    <row r="219">
      <c r="D219" s="52"/>
    </row>
    <row r="220">
      <c r="D220" s="52"/>
    </row>
    <row r="221">
      <c r="D221" s="52"/>
    </row>
    <row r="222">
      <c r="D222" s="52"/>
    </row>
    <row r="223">
      <c r="D223" s="52"/>
    </row>
    <row r="224">
      <c r="D224" s="52"/>
    </row>
    <row r="225">
      <c r="D225" s="52"/>
    </row>
    <row r="226">
      <c r="D226" s="52"/>
    </row>
    <row r="227">
      <c r="D227" s="52"/>
    </row>
    <row r="228">
      <c r="D228" s="52"/>
    </row>
    <row r="229">
      <c r="D229" s="52"/>
    </row>
    <row r="230">
      <c r="D230" s="52"/>
    </row>
    <row r="231">
      <c r="D231" s="52"/>
    </row>
    <row r="232">
      <c r="D232" s="52"/>
    </row>
    <row r="233">
      <c r="D233" s="52"/>
    </row>
    <row r="234">
      <c r="D234" s="52"/>
    </row>
    <row r="235">
      <c r="D235" s="52"/>
    </row>
    <row r="236">
      <c r="D236" s="52"/>
    </row>
    <row r="237">
      <c r="D237" s="52"/>
    </row>
    <row r="238">
      <c r="D238" s="52"/>
    </row>
    <row r="239">
      <c r="D239" s="52"/>
    </row>
    <row r="240">
      <c r="D240" s="52"/>
    </row>
    <row r="241">
      <c r="D241" s="52"/>
    </row>
    <row r="242">
      <c r="D242" s="52"/>
    </row>
    <row r="243">
      <c r="D243" s="52"/>
    </row>
    <row r="244">
      <c r="D244" s="52"/>
    </row>
    <row r="245">
      <c r="D245" s="52"/>
    </row>
    <row r="246">
      <c r="D246" s="52"/>
    </row>
    <row r="247">
      <c r="D247" s="52"/>
    </row>
    <row r="248">
      <c r="D248" s="52"/>
    </row>
    <row r="249">
      <c r="D249" s="52"/>
    </row>
    <row r="250">
      <c r="D250" s="52"/>
    </row>
    <row r="251">
      <c r="D251" s="52"/>
    </row>
    <row r="252">
      <c r="D252" s="52"/>
    </row>
    <row r="253">
      <c r="D253" s="52"/>
    </row>
    <row r="254">
      <c r="D254" s="52"/>
    </row>
    <row r="255">
      <c r="D255" s="52"/>
    </row>
    <row r="256">
      <c r="D256" s="52"/>
    </row>
    <row r="257">
      <c r="D257" s="52"/>
    </row>
    <row r="258">
      <c r="D258" s="52"/>
    </row>
    <row r="259">
      <c r="D259" s="52"/>
    </row>
    <row r="260">
      <c r="D260" s="52"/>
    </row>
    <row r="261">
      <c r="D261" s="52"/>
    </row>
    <row r="262">
      <c r="D262" s="52"/>
    </row>
    <row r="263">
      <c r="D263" s="52"/>
    </row>
    <row r="264">
      <c r="D264" s="52"/>
    </row>
    <row r="265">
      <c r="D265" s="52"/>
    </row>
    <row r="266">
      <c r="D266" s="52"/>
    </row>
    <row r="267">
      <c r="D267" s="52"/>
    </row>
    <row r="268">
      <c r="D268" s="52"/>
    </row>
    <row r="269">
      <c r="D269" s="52"/>
    </row>
    <row r="270">
      <c r="D270" s="52"/>
    </row>
    <row r="271">
      <c r="D271" s="52"/>
    </row>
    <row r="272">
      <c r="D272" s="52"/>
    </row>
    <row r="273">
      <c r="D273" s="52"/>
    </row>
    <row r="274">
      <c r="D274" s="52"/>
    </row>
    <row r="275">
      <c r="D275" s="52"/>
    </row>
    <row r="276">
      <c r="D276" s="52"/>
    </row>
    <row r="277">
      <c r="D277" s="52"/>
    </row>
    <row r="278">
      <c r="D278" s="52"/>
    </row>
    <row r="279">
      <c r="D279" s="52"/>
    </row>
    <row r="280">
      <c r="D280" s="52"/>
    </row>
    <row r="281">
      <c r="D281" s="52"/>
    </row>
    <row r="282">
      <c r="D282" s="52"/>
    </row>
    <row r="283">
      <c r="D283" s="52"/>
    </row>
    <row r="284">
      <c r="D284" s="52"/>
    </row>
    <row r="285">
      <c r="D285" s="52"/>
    </row>
    <row r="286">
      <c r="D286" s="52"/>
    </row>
    <row r="287">
      <c r="D287" s="52"/>
    </row>
    <row r="288">
      <c r="D288" s="52"/>
    </row>
    <row r="289">
      <c r="D289" s="52"/>
    </row>
    <row r="290">
      <c r="D290" s="52"/>
    </row>
    <row r="291">
      <c r="D291" s="52"/>
    </row>
    <row r="292">
      <c r="D292" s="52"/>
    </row>
    <row r="293">
      <c r="D293" s="52"/>
    </row>
    <row r="294">
      <c r="D294" s="52"/>
    </row>
    <row r="295">
      <c r="D295" s="52"/>
    </row>
    <row r="296">
      <c r="D296" s="52"/>
    </row>
    <row r="297">
      <c r="D297" s="52"/>
    </row>
    <row r="298">
      <c r="D298" s="52"/>
    </row>
    <row r="299">
      <c r="D299" s="52"/>
    </row>
    <row r="300">
      <c r="D300" s="52"/>
    </row>
    <row r="301">
      <c r="D301" s="52"/>
    </row>
    <row r="302">
      <c r="D302" s="52"/>
    </row>
    <row r="303">
      <c r="D303" s="52"/>
    </row>
    <row r="304">
      <c r="D304" s="52"/>
    </row>
    <row r="305">
      <c r="D305" s="52"/>
    </row>
    <row r="306">
      <c r="D306" s="52"/>
    </row>
    <row r="307">
      <c r="D307" s="52"/>
    </row>
    <row r="308">
      <c r="D308" s="52"/>
    </row>
    <row r="309">
      <c r="D309" s="52"/>
    </row>
    <row r="310">
      <c r="D310" s="52"/>
    </row>
    <row r="311">
      <c r="D311" s="52"/>
    </row>
    <row r="312">
      <c r="D312" s="52"/>
    </row>
    <row r="313">
      <c r="D313" s="52"/>
    </row>
    <row r="314">
      <c r="D314" s="52"/>
    </row>
    <row r="315">
      <c r="D315" s="52"/>
    </row>
    <row r="316">
      <c r="D316" s="52"/>
    </row>
    <row r="317">
      <c r="D317" s="52"/>
    </row>
    <row r="318">
      <c r="D318" s="52"/>
    </row>
    <row r="319">
      <c r="D319" s="52"/>
    </row>
    <row r="320">
      <c r="D320" s="52"/>
    </row>
    <row r="321">
      <c r="D321" s="52"/>
    </row>
    <row r="322">
      <c r="D322" s="52"/>
    </row>
    <row r="323">
      <c r="D323" s="52"/>
    </row>
    <row r="324">
      <c r="D324" s="52"/>
    </row>
    <row r="325">
      <c r="D325" s="52"/>
    </row>
    <row r="326">
      <c r="D326" s="52"/>
    </row>
    <row r="327">
      <c r="D327" s="52"/>
    </row>
    <row r="328">
      <c r="D328" s="52"/>
    </row>
    <row r="329">
      <c r="D329" s="52"/>
    </row>
    <row r="330">
      <c r="D330" s="52"/>
    </row>
    <row r="331">
      <c r="D331" s="52"/>
    </row>
    <row r="332">
      <c r="D332" s="52"/>
    </row>
    <row r="333">
      <c r="D333" s="52"/>
    </row>
    <row r="334">
      <c r="D334" s="52"/>
    </row>
    <row r="335">
      <c r="D335" s="52"/>
    </row>
    <row r="336">
      <c r="D336" s="52"/>
    </row>
    <row r="337">
      <c r="D337" s="52"/>
    </row>
    <row r="338">
      <c r="D338" s="52"/>
    </row>
    <row r="339">
      <c r="D339" s="52"/>
    </row>
    <row r="340">
      <c r="D340" s="52"/>
    </row>
    <row r="341">
      <c r="D341" s="52"/>
    </row>
    <row r="342">
      <c r="D342" s="52"/>
    </row>
    <row r="343">
      <c r="D343" s="52"/>
    </row>
    <row r="344">
      <c r="D344" s="52"/>
    </row>
    <row r="345">
      <c r="D345" s="52"/>
    </row>
    <row r="346">
      <c r="D346" s="52"/>
    </row>
    <row r="347">
      <c r="D347" s="52"/>
    </row>
    <row r="348">
      <c r="D348" s="52"/>
    </row>
    <row r="349">
      <c r="D349" s="52"/>
    </row>
    <row r="350">
      <c r="D350" s="52"/>
    </row>
    <row r="351">
      <c r="D351" s="52"/>
    </row>
    <row r="352">
      <c r="D352" s="52"/>
    </row>
    <row r="353">
      <c r="D353" s="52"/>
    </row>
    <row r="354">
      <c r="D354" s="52"/>
    </row>
    <row r="355">
      <c r="D355" s="52"/>
    </row>
    <row r="356">
      <c r="D356" s="52"/>
    </row>
    <row r="357">
      <c r="D357" s="52"/>
    </row>
    <row r="358">
      <c r="D358" s="52"/>
    </row>
    <row r="359">
      <c r="D359" s="52"/>
    </row>
    <row r="360">
      <c r="D360" s="52"/>
    </row>
    <row r="361">
      <c r="D361" s="52"/>
    </row>
    <row r="362">
      <c r="D362" s="52"/>
    </row>
    <row r="363">
      <c r="D363" s="52"/>
    </row>
    <row r="364">
      <c r="D364" s="52"/>
    </row>
    <row r="365">
      <c r="D365" s="52"/>
    </row>
    <row r="366">
      <c r="D366" s="52"/>
    </row>
    <row r="367">
      <c r="D367" s="52"/>
    </row>
    <row r="368">
      <c r="D368" s="52"/>
    </row>
    <row r="369">
      <c r="D369" s="52"/>
    </row>
    <row r="370">
      <c r="D370" s="52"/>
    </row>
    <row r="371">
      <c r="D371" s="52"/>
    </row>
    <row r="372">
      <c r="D372" s="52"/>
    </row>
    <row r="373">
      <c r="D373" s="52"/>
    </row>
    <row r="374">
      <c r="D374" s="52"/>
    </row>
    <row r="375">
      <c r="D375" s="52"/>
    </row>
    <row r="376">
      <c r="D376" s="52"/>
    </row>
    <row r="377">
      <c r="D377" s="52"/>
    </row>
    <row r="378">
      <c r="D378" s="52"/>
    </row>
    <row r="379">
      <c r="D379" s="52"/>
    </row>
    <row r="380">
      <c r="D380" s="52"/>
    </row>
    <row r="381">
      <c r="D381" s="52"/>
    </row>
    <row r="382">
      <c r="D382" s="52"/>
    </row>
    <row r="383">
      <c r="D383" s="52"/>
    </row>
    <row r="384">
      <c r="D384" s="52"/>
    </row>
    <row r="385">
      <c r="D385" s="52"/>
    </row>
    <row r="386">
      <c r="D386" s="52"/>
    </row>
    <row r="387">
      <c r="D387" s="52"/>
    </row>
    <row r="388">
      <c r="D388" s="52"/>
    </row>
    <row r="389">
      <c r="D389" s="52"/>
    </row>
    <row r="390">
      <c r="D390" s="52"/>
    </row>
    <row r="391">
      <c r="D391" s="52"/>
    </row>
    <row r="392">
      <c r="D392" s="52"/>
    </row>
    <row r="393">
      <c r="D393" s="52"/>
    </row>
    <row r="394">
      <c r="D394" s="52"/>
    </row>
    <row r="395">
      <c r="D395" s="52"/>
    </row>
    <row r="396">
      <c r="D396" s="52"/>
    </row>
    <row r="397">
      <c r="D397" s="52"/>
    </row>
    <row r="398">
      <c r="D398" s="52"/>
    </row>
    <row r="399">
      <c r="D399" s="52"/>
    </row>
    <row r="400">
      <c r="D400" s="52"/>
    </row>
    <row r="401">
      <c r="D401" s="52"/>
    </row>
    <row r="402">
      <c r="D402" s="52"/>
    </row>
    <row r="403">
      <c r="D403" s="52"/>
    </row>
    <row r="404">
      <c r="D404" s="52"/>
    </row>
    <row r="405">
      <c r="D405" s="52"/>
    </row>
    <row r="406">
      <c r="D406" s="52"/>
    </row>
    <row r="407">
      <c r="D407" s="52"/>
    </row>
    <row r="408">
      <c r="D408" s="52"/>
    </row>
    <row r="409">
      <c r="D409" s="52"/>
    </row>
    <row r="410">
      <c r="D410" s="52"/>
    </row>
    <row r="411">
      <c r="D411" s="52"/>
    </row>
    <row r="412">
      <c r="D412" s="52"/>
    </row>
    <row r="413">
      <c r="D413" s="52"/>
    </row>
    <row r="414">
      <c r="D414" s="52"/>
    </row>
    <row r="415">
      <c r="D415" s="52"/>
    </row>
    <row r="416">
      <c r="D416" s="52"/>
    </row>
    <row r="417">
      <c r="D417" s="52"/>
    </row>
    <row r="418">
      <c r="D418" s="52"/>
    </row>
    <row r="419">
      <c r="D419" s="52"/>
    </row>
    <row r="420">
      <c r="D420" s="52"/>
    </row>
    <row r="421">
      <c r="D421" s="52"/>
    </row>
    <row r="422">
      <c r="D422" s="52"/>
    </row>
    <row r="423">
      <c r="D423" s="52"/>
    </row>
    <row r="424">
      <c r="D424" s="52"/>
    </row>
    <row r="425">
      <c r="D425" s="52"/>
    </row>
    <row r="426">
      <c r="D426" s="52"/>
    </row>
    <row r="427">
      <c r="D427" s="52"/>
    </row>
    <row r="428">
      <c r="D428" s="52"/>
    </row>
    <row r="429">
      <c r="D429" s="52"/>
    </row>
    <row r="430">
      <c r="D430" s="52"/>
    </row>
    <row r="431">
      <c r="D431" s="52"/>
    </row>
    <row r="432">
      <c r="D432" s="52"/>
    </row>
    <row r="433">
      <c r="D433" s="52"/>
    </row>
    <row r="434">
      <c r="D434" s="52"/>
    </row>
    <row r="435">
      <c r="D435" s="52"/>
    </row>
    <row r="436">
      <c r="D436" s="52"/>
    </row>
    <row r="437">
      <c r="D437" s="52"/>
    </row>
    <row r="438">
      <c r="D438" s="52"/>
    </row>
    <row r="439">
      <c r="D439" s="52"/>
    </row>
    <row r="440">
      <c r="D440" s="52"/>
    </row>
    <row r="441">
      <c r="D441" s="52"/>
    </row>
    <row r="442">
      <c r="D442" s="52"/>
    </row>
    <row r="443">
      <c r="D443" s="52"/>
    </row>
    <row r="444">
      <c r="D444" s="52"/>
    </row>
    <row r="445">
      <c r="D445" s="52"/>
    </row>
    <row r="446">
      <c r="D446" s="52"/>
    </row>
    <row r="447">
      <c r="D447" s="52"/>
    </row>
    <row r="448">
      <c r="D448" s="52"/>
    </row>
    <row r="449">
      <c r="D449" s="52"/>
    </row>
    <row r="450">
      <c r="D450" s="52"/>
    </row>
    <row r="451">
      <c r="D451" s="52"/>
    </row>
    <row r="452">
      <c r="D452" s="52"/>
    </row>
    <row r="453">
      <c r="D453" s="52"/>
    </row>
    <row r="454">
      <c r="D454" s="52"/>
    </row>
    <row r="455">
      <c r="D455" s="52"/>
    </row>
    <row r="456">
      <c r="D456" s="52"/>
    </row>
    <row r="457">
      <c r="D457" s="52"/>
    </row>
    <row r="458">
      <c r="D458" s="52"/>
    </row>
    <row r="459">
      <c r="D459" s="52"/>
    </row>
    <row r="460">
      <c r="D460" s="52"/>
    </row>
    <row r="461">
      <c r="D461" s="52"/>
    </row>
    <row r="462">
      <c r="D462" s="52"/>
    </row>
    <row r="463">
      <c r="D463" s="52"/>
    </row>
    <row r="464">
      <c r="D464" s="52"/>
    </row>
    <row r="465">
      <c r="D465" s="52"/>
    </row>
    <row r="466">
      <c r="D466" s="52"/>
    </row>
    <row r="467">
      <c r="D467" s="52"/>
    </row>
    <row r="468">
      <c r="D468" s="52"/>
    </row>
    <row r="469">
      <c r="D469" s="52"/>
    </row>
    <row r="470">
      <c r="D470" s="52"/>
    </row>
    <row r="471">
      <c r="D471" s="52"/>
    </row>
    <row r="472">
      <c r="D472" s="52"/>
    </row>
    <row r="473">
      <c r="D473" s="52"/>
    </row>
    <row r="474">
      <c r="D474" s="52"/>
    </row>
    <row r="475">
      <c r="D475" s="52"/>
    </row>
    <row r="476">
      <c r="D476" s="52"/>
    </row>
    <row r="477">
      <c r="D477" s="52"/>
    </row>
    <row r="478">
      <c r="D478" s="52"/>
    </row>
    <row r="479">
      <c r="D479" s="52"/>
    </row>
    <row r="480">
      <c r="D480" s="52"/>
    </row>
    <row r="481">
      <c r="D481" s="52"/>
    </row>
    <row r="482">
      <c r="D482" s="52"/>
    </row>
    <row r="483">
      <c r="D483" s="52"/>
    </row>
    <row r="484">
      <c r="D484" s="52"/>
    </row>
    <row r="485">
      <c r="D485" s="52"/>
    </row>
    <row r="486">
      <c r="D486" s="52"/>
    </row>
    <row r="487">
      <c r="D487" s="52"/>
    </row>
    <row r="488">
      <c r="D488" s="52"/>
    </row>
    <row r="489">
      <c r="D489" s="52"/>
    </row>
    <row r="490">
      <c r="D490" s="52"/>
    </row>
    <row r="491">
      <c r="D491" s="52"/>
    </row>
    <row r="492">
      <c r="D492" s="52"/>
    </row>
    <row r="493">
      <c r="D493" s="52"/>
    </row>
    <row r="494">
      <c r="D494" s="52"/>
    </row>
    <row r="495">
      <c r="D495" s="52"/>
    </row>
    <row r="496">
      <c r="D496" s="52"/>
    </row>
    <row r="497">
      <c r="D497" s="52"/>
    </row>
    <row r="498">
      <c r="D498" s="52"/>
    </row>
    <row r="499">
      <c r="D499" s="52"/>
    </row>
    <row r="500">
      <c r="D500" s="52"/>
    </row>
    <row r="501">
      <c r="D501" s="52"/>
    </row>
    <row r="502">
      <c r="D502" s="52"/>
    </row>
    <row r="503">
      <c r="D503" s="52"/>
    </row>
    <row r="504">
      <c r="D504" s="52"/>
    </row>
    <row r="505">
      <c r="D505" s="52"/>
    </row>
    <row r="506">
      <c r="D506" s="52"/>
    </row>
    <row r="507">
      <c r="D507" s="52"/>
    </row>
    <row r="508">
      <c r="D508" s="52"/>
    </row>
    <row r="509">
      <c r="D509" s="52"/>
    </row>
    <row r="510">
      <c r="D510" s="52"/>
    </row>
    <row r="511">
      <c r="D511" s="52"/>
    </row>
    <row r="512">
      <c r="D512" s="52"/>
    </row>
    <row r="513">
      <c r="D513" s="52"/>
    </row>
    <row r="514">
      <c r="D514" s="52"/>
    </row>
    <row r="515">
      <c r="D515" s="52"/>
    </row>
    <row r="516">
      <c r="D516" s="52"/>
    </row>
    <row r="517">
      <c r="D517" s="52"/>
    </row>
    <row r="518">
      <c r="D518" s="52"/>
    </row>
    <row r="519">
      <c r="D519" s="52"/>
    </row>
    <row r="520">
      <c r="D520" s="52"/>
    </row>
    <row r="521">
      <c r="D521" s="52"/>
    </row>
    <row r="522">
      <c r="D522" s="52"/>
    </row>
    <row r="523">
      <c r="D523" s="52"/>
    </row>
    <row r="524">
      <c r="D524" s="52"/>
    </row>
    <row r="525">
      <c r="D525" s="52"/>
    </row>
    <row r="526">
      <c r="D526" s="52"/>
    </row>
    <row r="527">
      <c r="D527" s="52"/>
    </row>
    <row r="528">
      <c r="D528" s="52"/>
    </row>
    <row r="529">
      <c r="D529" s="52"/>
    </row>
    <row r="530">
      <c r="D530" s="52"/>
    </row>
    <row r="531">
      <c r="D531" s="52"/>
    </row>
    <row r="532">
      <c r="D532" s="52"/>
    </row>
    <row r="533">
      <c r="D533" s="52"/>
    </row>
    <row r="534">
      <c r="D534" s="52"/>
    </row>
    <row r="535">
      <c r="D535" s="52"/>
    </row>
    <row r="536">
      <c r="D536" s="52"/>
    </row>
    <row r="537">
      <c r="D537" s="52"/>
    </row>
    <row r="538">
      <c r="D538" s="52"/>
    </row>
    <row r="539">
      <c r="D539" s="52"/>
    </row>
    <row r="540">
      <c r="D540" s="52"/>
    </row>
    <row r="541">
      <c r="D541" s="52"/>
    </row>
    <row r="542">
      <c r="D542" s="52"/>
    </row>
    <row r="543">
      <c r="D543" s="52"/>
    </row>
    <row r="544">
      <c r="D544" s="52"/>
    </row>
    <row r="545">
      <c r="D545" s="52"/>
    </row>
    <row r="546">
      <c r="D546" s="52"/>
    </row>
    <row r="547">
      <c r="D547" s="52"/>
    </row>
    <row r="548">
      <c r="D548" s="52"/>
    </row>
    <row r="549">
      <c r="D549" s="52"/>
    </row>
    <row r="550">
      <c r="D550" s="52"/>
    </row>
    <row r="551">
      <c r="D551" s="52"/>
    </row>
    <row r="552">
      <c r="D552" s="52"/>
    </row>
    <row r="553">
      <c r="D553" s="52"/>
    </row>
    <row r="554">
      <c r="D554" s="52"/>
    </row>
    <row r="555">
      <c r="D555" s="52"/>
    </row>
    <row r="556">
      <c r="D556" s="52"/>
    </row>
    <row r="557">
      <c r="D557" s="52"/>
    </row>
    <row r="558">
      <c r="D558" s="52"/>
    </row>
    <row r="559">
      <c r="D559" s="52"/>
    </row>
    <row r="560">
      <c r="D560" s="52"/>
    </row>
    <row r="561">
      <c r="D561" s="52"/>
    </row>
    <row r="562">
      <c r="D562" s="52"/>
    </row>
    <row r="563">
      <c r="D563" s="52"/>
    </row>
    <row r="564">
      <c r="D564" s="52"/>
    </row>
    <row r="565">
      <c r="D565" s="52"/>
    </row>
    <row r="566">
      <c r="D566" s="52"/>
    </row>
    <row r="567">
      <c r="D567" s="52"/>
    </row>
    <row r="568">
      <c r="D568" s="52"/>
    </row>
    <row r="569">
      <c r="D569" s="52"/>
    </row>
    <row r="570">
      <c r="D570" s="52"/>
    </row>
    <row r="571">
      <c r="D571" s="52"/>
    </row>
    <row r="572">
      <c r="D572" s="52"/>
    </row>
    <row r="573">
      <c r="D573" s="52"/>
    </row>
    <row r="574">
      <c r="D574" s="52"/>
    </row>
    <row r="575">
      <c r="D575" s="52"/>
    </row>
    <row r="576">
      <c r="D576" s="52"/>
    </row>
    <row r="577">
      <c r="D577" s="52"/>
    </row>
    <row r="578">
      <c r="D578" s="52"/>
    </row>
    <row r="579">
      <c r="D579" s="52"/>
    </row>
    <row r="580">
      <c r="D580" s="52"/>
    </row>
    <row r="581">
      <c r="D581" s="52"/>
    </row>
    <row r="582">
      <c r="D582" s="52"/>
    </row>
    <row r="583">
      <c r="D583" s="52"/>
    </row>
    <row r="584">
      <c r="D584" s="52"/>
    </row>
    <row r="585">
      <c r="D585" s="52"/>
    </row>
    <row r="586">
      <c r="D586" s="52"/>
    </row>
    <row r="587">
      <c r="D587" s="52"/>
    </row>
    <row r="588">
      <c r="D588" s="52"/>
    </row>
    <row r="589">
      <c r="D589" s="52"/>
    </row>
    <row r="590">
      <c r="D590" s="52"/>
    </row>
    <row r="591">
      <c r="D591" s="52"/>
    </row>
    <row r="592">
      <c r="D592" s="52"/>
    </row>
    <row r="593">
      <c r="D593" s="52"/>
    </row>
    <row r="594">
      <c r="D594" s="52"/>
    </row>
    <row r="595">
      <c r="D595" s="52"/>
    </row>
    <row r="596">
      <c r="D596" s="52"/>
    </row>
    <row r="597">
      <c r="D597" s="52"/>
    </row>
    <row r="598">
      <c r="D598" s="52"/>
    </row>
    <row r="599">
      <c r="D599" s="52"/>
    </row>
    <row r="600">
      <c r="D600" s="52"/>
    </row>
    <row r="601">
      <c r="D601" s="52"/>
    </row>
    <row r="602">
      <c r="D602" s="52"/>
    </row>
    <row r="603">
      <c r="D603" s="52"/>
    </row>
    <row r="604">
      <c r="D604" s="52"/>
    </row>
    <row r="605">
      <c r="D605" s="52"/>
    </row>
    <row r="606">
      <c r="D606" s="52"/>
    </row>
    <row r="607">
      <c r="D607" s="52"/>
    </row>
    <row r="608">
      <c r="D608" s="52"/>
    </row>
    <row r="609">
      <c r="D609" s="52"/>
    </row>
    <row r="610">
      <c r="D610" s="52"/>
    </row>
    <row r="611">
      <c r="D611" s="52"/>
    </row>
    <row r="612">
      <c r="D612" s="52"/>
    </row>
    <row r="613">
      <c r="D613" s="52"/>
    </row>
    <row r="614">
      <c r="D614" s="52"/>
    </row>
    <row r="615">
      <c r="D615" s="52"/>
    </row>
    <row r="616">
      <c r="D616" s="52"/>
    </row>
    <row r="617">
      <c r="D617" s="52"/>
    </row>
    <row r="618">
      <c r="D618" s="52"/>
    </row>
    <row r="619">
      <c r="D619" s="52"/>
    </row>
    <row r="620">
      <c r="D620" s="52"/>
    </row>
    <row r="621">
      <c r="D621" s="52"/>
    </row>
    <row r="622">
      <c r="D622" s="52"/>
    </row>
    <row r="623">
      <c r="D623" s="52"/>
    </row>
    <row r="624">
      <c r="D624" s="52"/>
    </row>
    <row r="625">
      <c r="D625" s="52"/>
    </row>
    <row r="626">
      <c r="D626" s="52"/>
    </row>
    <row r="627">
      <c r="D627" s="52"/>
    </row>
    <row r="628">
      <c r="D628" s="52"/>
    </row>
    <row r="629">
      <c r="D629" s="52"/>
    </row>
    <row r="630">
      <c r="D630" s="52"/>
    </row>
    <row r="631">
      <c r="D631" s="52"/>
    </row>
    <row r="632">
      <c r="D632" s="52"/>
    </row>
    <row r="633">
      <c r="D633" s="52"/>
    </row>
    <row r="634">
      <c r="D634" s="52"/>
    </row>
    <row r="635">
      <c r="D635" s="52"/>
    </row>
    <row r="636">
      <c r="D636" s="52"/>
    </row>
    <row r="637">
      <c r="D637" s="52"/>
    </row>
    <row r="638">
      <c r="D638" s="52"/>
    </row>
    <row r="639">
      <c r="D639" s="52"/>
    </row>
    <row r="640">
      <c r="D640" s="52"/>
    </row>
    <row r="641">
      <c r="D641" s="52"/>
    </row>
    <row r="642">
      <c r="D642" s="52"/>
    </row>
    <row r="643">
      <c r="D643" s="52"/>
    </row>
    <row r="644">
      <c r="D644" s="52"/>
    </row>
    <row r="645">
      <c r="D645" s="52"/>
    </row>
    <row r="646">
      <c r="D646" s="52"/>
    </row>
    <row r="647">
      <c r="D647" s="52"/>
    </row>
    <row r="648">
      <c r="D648" s="52"/>
    </row>
    <row r="649">
      <c r="D649" s="52"/>
    </row>
    <row r="650">
      <c r="D650" s="52"/>
    </row>
    <row r="651">
      <c r="D651" s="52"/>
    </row>
    <row r="652">
      <c r="D652" s="52"/>
    </row>
    <row r="653">
      <c r="D653" s="52"/>
    </row>
    <row r="654">
      <c r="D654" s="52"/>
    </row>
    <row r="655">
      <c r="D655" s="52"/>
    </row>
    <row r="656">
      <c r="D656" s="52"/>
    </row>
    <row r="657">
      <c r="D657" s="52"/>
    </row>
    <row r="658">
      <c r="D658" s="52"/>
    </row>
    <row r="659">
      <c r="D659" s="52"/>
    </row>
    <row r="660">
      <c r="D660" s="52"/>
    </row>
    <row r="661">
      <c r="D661" s="52"/>
    </row>
    <row r="662">
      <c r="D662" s="52"/>
    </row>
    <row r="663">
      <c r="D663" s="52"/>
    </row>
    <row r="664">
      <c r="D664" s="52"/>
    </row>
    <row r="665">
      <c r="D665" s="52"/>
    </row>
    <row r="666">
      <c r="D666" s="52"/>
    </row>
    <row r="667">
      <c r="D667" s="52"/>
    </row>
    <row r="668">
      <c r="D668" s="52"/>
    </row>
    <row r="669">
      <c r="D669" s="52"/>
    </row>
    <row r="670">
      <c r="D670" s="52"/>
    </row>
    <row r="671">
      <c r="D671" s="52"/>
    </row>
    <row r="672">
      <c r="D672" s="52"/>
    </row>
    <row r="673">
      <c r="D673" s="52"/>
    </row>
    <row r="674">
      <c r="D674" s="52"/>
    </row>
    <row r="675">
      <c r="D675" s="52"/>
    </row>
    <row r="676">
      <c r="D676" s="52"/>
    </row>
    <row r="677">
      <c r="D677" s="52"/>
    </row>
    <row r="678">
      <c r="D678" s="52"/>
    </row>
    <row r="679">
      <c r="D679" s="52"/>
    </row>
    <row r="680">
      <c r="D680" s="52"/>
    </row>
    <row r="681">
      <c r="D681" s="52"/>
    </row>
    <row r="682">
      <c r="D682" s="52"/>
    </row>
    <row r="683">
      <c r="D683" s="52"/>
    </row>
    <row r="684">
      <c r="D684" s="52"/>
    </row>
    <row r="685">
      <c r="D685" s="52"/>
    </row>
    <row r="686">
      <c r="D686" s="52"/>
    </row>
    <row r="687">
      <c r="D687" s="52"/>
    </row>
    <row r="688">
      <c r="D688" s="52"/>
    </row>
    <row r="689">
      <c r="D689" s="52"/>
    </row>
    <row r="690">
      <c r="D690" s="52"/>
    </row>
    <row r="691">
      <c r="D691" s="52"/>
    </row>
    <row r="692">
      <c r="D692" s="52"/>
    </row>
    <row r="693">
      <c r="D693" s="52"/>
    </row>
    <row r="694">
      <c r="D694" s="52"/>
    </row>
    <row r="695">
      <c r="D695" s="52"/>
    </row>
    <row r="696">
      <c r="D696" s="52"/>
    </row>
    <row r="697">
      <c r="D697" s="52"/>
    </row>
    <row r="698">
      <c r="D698" s="52"/>
    </row>
    <row r="699">
      <c r="D699" s="52"/>
    </row>
    <row r="700">
      <c r="D700" s="52"/>
    </row>
    <row r="701">
      <c r="D701" s="52"/>
    </row>
    <row r="702">
      <c r="D702" s="52"/>
    </row>
    <row r="703">
      <c r="D703" s="52"/>
    </row>
    <row r="704">
      <c r="D704" s="52"/>
    </row>
    <row r="705">
      <c r="D705" s="52"/>
    </row>
    <row r="706">
      <c r="D706" s="52"/>
    </row>
    <row r="707">
      <c r="D707" s="52"/>
    </row>
    <row r="708">
      <c r="D708" s="52"/>
    </row>
    <row r="709">
      <c r="D709" s="52"/>
    </row>
    <row r="710">
      <c r="D710" s="52"/>
    </row>
    <row r="711">
      <c r="D711" s="52"/>
    </row>
    <row r="712">
      <c r="D712" s="52"/>
    </row>
    <row r="713">
      <c r="D713" s="52"/>
    </row>
    <row r="714">
      <c r="D714" s="52"/>
    </row>
    <row r="715">
      <c r="D715" s="52"/>
    </row>
    <row r="716">
      <c r="D716" s="52"/>
    </row>
    <row r="717">
      <c r="D717" s="52"/>
    </row>
    <row r="718">
      <c r="D718" s="52"/>
    </row>
    <row r="719">
      <c r="D719" s="52"/>
    </row>
    <row r="720">
      <c r="D720" s="52"/>
    </row>
    <row r="721">
      <c r="D721" s="52"/>
    </row>
    <row r="722">
      <c r="D722" s="52"/>
    </row>
    <row r="723">
      <c r="D723" s="52"/>
    </row>
    <row r="724">
      <c r="D724" s="52"/>
    </row>
    <row r="725">
      <c r="D725" s="52"/>
    </row>
    <row r="726">
      <c r="D726" s="52"/>
    </row>
    <row r="727">
      <c r="D727" s="52"/>
    </row>
    <row r="728">
      <c r="D728" s="52"/>
    </row>
    <row r="729">
      <c r="D729" s="52"/>
    </row>
    <row r="730">
      <c r="D730" s="52"/>
    </row>
    <row r="731">
      <c r="D731" s="52"/>
    </row>
    <row r="732">
      <c r="D732" s="52"/>
    </row>
    <row r="733">
      <c r="D733" s="52"/>
    </row>
    <row r="734">
      <c r="D734" s="52"/>
    </row>
    <row r="735">
      <c r="D735" s="52"/>
    </row>
    <row r="736">
      <c r="D736" s="52"/>
    </row>
    <row r="737">
      <c r="D737" s="52"/>
    </row>
    <row r="738">
      <c r="D738" s="52"/>
    </row>
    <row r="739">
      <c r="D739" s="52"/>
    </row>
    <row r="740">
      <c r="D740" s="52"/>
    </row>
    <row r="741">
      <c r="D741" s="52"/>
    </row>
    <row r="742">
      <c r="D742" s="52"/>
    </row>
    <row r="743">
      <c r="D743" s="52"/>
    </row>
    <row r="744">
      <c r="D744" s="52"/>
    </row>
    <row r="745">
      <c r="D745" s="52"/>
    </row>
    <row r="746">
      <c r="D746" s="52"/>
    </row>
    <row r="747">
      <c r="D747" s="52"/>
    </row>
    <row r="748">
      <c r="D748" s="52"/>
    </row>
    <row r="749">
      <c r="D749" s="52"/>
    </row>
    <row r="750">
      <c r="D750" s="52"/>
    </row>
    <row r="751">
      <c r="D751" s="52"/>
    </row>
    <row r="752">
      <c r="D752" s="52"/>
    </row>
    <row r="753">
      <c r="D753" s="52"/>
    </row>
    <row r="754">
      <c r="D754" s="52"/>
    </row>
    <row r="755">
      <c r="D755" s="52"/>
    </row>
    <row r="756">
      <c r="D756" s="52"/>
    </row>
    <row r="757">
      <c r="D757" s="52"/>
    </row>
    <row r="758">
      <c r="D758" s="52"/>
    </row>
    <row r="759">
      <c r="D759" s="52"/>
    </row>
    <row r="760">
      <c r="D760" s="52"/>
    </row>
    <row r="761">
      <c r="D761" s="52"/>
    </row>
    <row r="762">
      <c r="D762" s="52"/>
    </row>
    <row r="763">
      <c r="D763" s="52"/>
    </row>
    <row r="764">
      <c r="D764" s="52"/>
    </row>
    <row r="765">
      <c r="D765" s="52"/>
    </row>
    <row r="766">
      <c r="D766" s="52"/>
    </row>
    <row r="767">
      <c r="D767" s="52"/>
    </row>
    <row r="768">
      <c r="D768" s="52"/>
    </row>
    <row r="769">
      <c r="D769" s="52"/>
    </row>
    <row r="770">
      <c r="D770" s="52"/>
    </row>
    <row r="771">
      <c r="D771" s="52"/>
    </row>
    <row r="772">
      <c r="D772" s="52"/>
    </row>
    <row r="773">
      <c r="D773" s="52"/>
    </row>
    <row r="774">
      <c r="D774" s="52"/>
    </row>
    <row r="775">
      <c r="D775" s="52"/>
    </row>
    <row r="776">
      <c r="D776" s="52"/>
    </row>
    <row r="777">
      <c r="D777" s="52"/>
    </row>
    <row r="778">
      <c r="D778" s="52"/>
    </row>
    <row r="779">
      <c r="D779" s="52"/>
    </row>
    <row r="780">
      <c r="D780" s="52"/>
    </row>
    <row r="781">
      <c r="D781" s="52"/>
    </row>
    <row r="782">
      <c r="D782" s="52"/>
    </row>
    <row r="783">
      <c r="D783" s="52"/>
    </row>
    <row r="784">
      <c r="D784" s="52"/>
    </row>
    <row r="785">
      <c r="D785" s="52"/>
    </row>
    <row r="786">
      <c r="D786" s="52"/>
    </row>
    <row r="787">
      <c r="D787" s="52"/>
    </row>
    <row r="788">
      <c r="D788" s="52"/>
    </row>
    <row r="789">
      <c r="D789" s="52"/>
    </row>
    <row r="790">
      <c r="D790" s="52"/>
    </row>
    <row r="791">
      <c r="D791" s="52"/>
    </row>
    <row r="792">
      <c r="D792" s="52"/>
    </row>
    <row r="793">
      <c r="D793" s="52"/>
    </row>
    <row r="794">
      <c r="D794" s="52"/>
    </row>
    <row r="795">
      <c r="D795" s="52"/>
    </row>
    <row r="796">
      <c r="D796" s="52"/>
    </row>
    <row r="797">
      <c r="D797" s="52"/>
    </row>
    <row r="798">
      <c r="D798" s="52"/>
    </row>
    <row r="799">
      <c r="D799" s="52"/>
    </row>
    <row r="800">
      <c r="D800" s="52"/>
    </row>
    <row r="801">
      <c r="D801" s="52"/>
    </row>
    <row r="802">
      <c r="D802" s="52"/>
    </row>
    <row r="803">
      <c r="D803" s="52"/>
    </row>
    <row r="804">
      <c r="D804" s="52"/>
    </row>
    <row r="805">
      <c r="D805" s="52"/>
    </row>
    <row r="806">
      <c r="D806" s="52"/>
    </row>
    <row r="807">
      <c r="D807" s="52"/>
    </row>
    <row r="808">
      <c r="D808" s="52"/>
    </row>
    <row r="809">
      <c r="D809" s="52"/>
    </row>
    <row r="810">
      <c r="D810" s="52"/>
    </row>
    <row r="811">
      <c r="D811" s="52"/>
    </row>
    <row r="812">
      <c r="D812" s="52"/>
    </row>
    <row r="813">
      <c r="D813" s="52"/>
    </row>
    <row r="814">
      <c r="D814" s="52"/>
    </row>
    <row r="815">
      <c r="D815" s="52"/>
    </row>
    <row r="816">
      <c r="D816" s="52"/>
    </row>
    <row r="817">
      <c r="D817" s="52"/>
    </row>
    <row r="818">
      <c r="D818" s="52"/>
    </row>
    <row r="819">
      <c r="D819" s="52"/>
    </row>
    <row r="820">
      <c r="D820" s="52"/>
    </row>
    <row r="821">
      <c r="D821" s="52"/>
    </row>
    <row r="822">
      <c r="D822" s="52"/>
    </row>
    <row r="823">
      <c r="D823" s="52"/>
    </row>
    <row r="824">
      <c r="D824" s="52"/>
    </row>
    <row r="825">
      <c r="D825" s="52"/>
    </row>
    <row r="826">
      <c r="D826" s="52"/>
    </row>
    <row r="827">
      <c r="D827" s="52"/>
    </row>
    <row r="828">
      <c r="D828" s="52"/>
    </row>
    <row r="829">
      <c r="D829" s="52"/>
    </row>
    <row r="830">
      <c r="D830" s="52"/>
    </row>
    <row r="831">
      <c r="D831" s="52"/>
    </row>
    <row r="832">
      <c r="D832" s="52"/>
    </row>
    <row r="833">
      <c r="D833" s="52"/>
    </row>
    <row r="834">
      <c r="D834" s="52"/>
    </row>
    <row r="835">
      <c r="D835" s="52"/>
    </row>
    <row r="836">
      <c r="D836" s="52"/>
    </row>
    <row r="837">
      <c r="D837" s="52"/>
    </row>
    <row r="838">
      <c r="D838" s="52"/>
    </row>
    <row r="839">
      <c r="D839" s="52"/>
    </row>
    <row r="840">
      <c r="D840" s="52"/>
    </row>
    <row r="841">
      <c r="D841" s="52"/>
    </row>
    <row r="842">
      <c r="D842" s="52"/>
    </row>
    <row r="843">
      <c r="D843" s="52"/>
    </row>
  </sheetData>
  <mergeCells count="7">
    <mergeCell ref="A1:F1"/>
    <mergeCell ref="A2:A3"/>
    <mergeCell ref="B2:B3"/>
    <mergeCell ref="C2:C3"/>
    <mergeCell ref="D2:D3"/>
    <mergeCell ref="E2:F2"/>
    <mergeCell ref="A7:E7"/>
  </mergeCells>
  <dataValidations>
    <dataValidation type="list" allowBlank="1" sqref="H4">
      <formula1>"CHECKED (OK),CHECKED  (NOT OK)"</formula1>
    </dataValidation>
  </dataValidations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3" max="3" width="26.75"/>
    <col customWidth="1" min="4" max="4" width="33.25"/>
    <col customWidth="1" min="7" max="7" width="3.5"/>
    <col customWidth="1" min="8" max="8" width="18.63"/>
    <col customWidth="1" min="9" max="9" width="21.63"/>
  </cols>
  <sheetData>
    <row r="1">
      <c r="A1" s="30" t="s">
        <v>1144</v>
      </c>
      <c r="G1" s="31"/>
      <c r="H1" s="32" t="s">
        <v>1145</v>
      </c>
      <c r="I1" s="33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4" t="s">
        <v>1</v>
      </c>
      <c r="B2" s="35" t="s">
        <v>11</v>
      </c>
      <c r="C2" s="35" t="s">
        <v>12</v>
      </c>
      <c r="D2" s="36" t="s">
        <v>13</v>
      </c>
      <c r="E2" s="37" t="s">
        <v>14</v>
      </c>
      <c r="F2" s="38"/>
      <c r="G2" s="39"/>
      <c r="H2" s="40"/>
      <c r="I2" s="40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41"/>
      <c r="B3" s="38"/>
      <c r="C3" s="38"/>
      <c r="D3" s="38"/>
      <c r="E3" s="42" t="s">
        <v>15</v>
      </c>
      <c r="F3" s="43" t="s">
        <v>5</v>
      </c>
      <c r="G3" s="39"/>
      <c r="H3" s="44" t="s">
        <v>6</v>
      </c>
      <c r="I3" s="45" t="s">
        <v>7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24.75" customHeight="1">
      <c r="A4" s="46"/>
      <c r="B4" s="47"/>
      <c r="C4" s="48" t="str">
        <f>vlookup(B4,'Crew Data'!C:G,5,0)</f>
        <v>#N/A</v>
      </c>
      <c r="D4" s="49"/>
      <c r="E4" s="47"/>
      <c r="F4" s="50">
        <f>E4*400</f>
        <v>0</v>
      </c>
      <c r="G4" s="22">
        <f>COUNTIF(B:B,B4)</f>
        <v>0</v>
      </c>
      <c r="H4" s="5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D5" s="52"/>
    </row>
    <row r="6">
      <c r="D6" s="52"/>
    </row>
    <row r="7" ht="44.25" customHeight="1">
      <c r="A7" s="53" t="s">
        <v>16</v>
      </c>
    </row>
    <row r="8">
      <c r="D8" s="52"/>
    </row>
    <row r="9">
      <c r="D9" s="52"/>
    </row>
    <row r="10">
      <c r="D10" s="52"/>
    </row>
    <row r="11">
      <c r="D11" s="52"/>
    </row>
    <row r="12">
      <c r="D12" s="52"/>
    </row>
    <row r="13">
      <c r="D13" s="52"/>
    </row>
    <row r="14">
      <c r="D14" s="52"/>
    </row>
    <row r="15">
      <c r="D15" s="52"/>
    </row>
    <row r="16">
      <c r="D16" s="52"/>
    </row>
    <row r="17">
      <c r="D17" s="52"/>
    </row>
    <row r="18">
      <c r="D18" s="52"/>
    </row>
    <row r="19">
      <c r="D19" s="52"/>
    </row>
    <row r="20">
      <c r="D20" s="52"/>
    </row>
    <row r="21">
      <c r="D21" s="52"/>
    </row>
    <row r="22">
      <c r="D22" s="52"/>
    </row>
    <row r="23">
      <c r="D23" s="52"/>
    </row>
    <row r="24">
      <c r="D24" s="52"/>
    </row>
    <row r="25">
      <c r="D25" s="52"/>
    </row>
    <row r="26">
      <c r="D26" s="52"/>
    </row>
    <row r="27">
      <c r="D27" s="52"/>
    </row>
    <row r="28">
      <c r="D28" s="52"/>
    </row>
    <row r="29">
      <c r="D29" s="52"/>
    </row>
    <row r="30">
      <c r="D30" s="52"/>
    </row>
    <row r="31">
      <c r="D31" s="52"/>
    </row>
    <row r="32">
      <c r="D32" s="52"/>
    </row>
    <row r="33">
      <c r="D33" s="52"/>
    </row>
    <row r="34">
      <c r="D34" s="52"/>
    </row>
    <row r="35">
      <c r="D35" s="52"/>
    </row>
    <row r="36">
      <c r="D36" s="52"/>
    </row>
    <row r="37">
      <c r="D37" s="52"/>
    </row>
    <row r="38">
      <c r="D38" s="52"/>
    </row>
    <row r="39">
      <c r="D39" s="52"/>
    </row>
    <row r="40">
      <c r="D40" s="52"/>
    </row>
    <row r="41">
      <c r="D41" s="52"/>
    </row>
    <row r="42">
      <c r="D42" s="52"/>
    </row>
    <row r="43">
      <c r="D43" s="52"/>
    </row>
    <row r="44">
      <c r="D44" s="52"/>
    </row>
    <row r="45">
      <c r="D45" s="52"/>
    </row>
    <row r="46">
      <c r="D46" s="52"/>
    </row>
    <row r="47">
      <c r="D47" s="52"/>
    </row>
    <row r="48">
      <c r="D48" s="52"/>
    </row>
    <row r="49">
      <c r="D49" s="52"/>
    </row>
    <row r="50">
      <c r="D50" s="52"/>
    </row>
    <row r="51">
      <c r="D51" s="52"/>
    </row>
    <row r="52">
      <c r="D52" s="52"/>
    </row>
    <row r="53">
      <c r="D53" s="52"/>
    </row>
    <row r="54">
      <c r="D54" s="52"/>
    </row>
    <row r="55">
      <c r="D55" s="52"/>
    </row>
    <row r="56">
      <c r="D56" s="52"/>
    </row>
    <row r="57">
      <c r="D57" s="52"/>
    </row>
    <row r="58">
      <c r="D58" s="52"/>
    </row>
    <row r="59">
      <c r="D59" s="52"/>
    </row>
    <row r="60">
      <c r="D60" s="52"/>
    </row>
    <row r="61">
      <c r="D61" s="52"/>
    </row>
    <row r="62">
      <c r="D62" s="52"/>
    </row>
    <row r="63">
      <c r="D63" s="52"/>
    </row>
    <row r="64">
      <c r="D64" s="52"/>
    </row>
    <row r="65">
      <c r="D65" s="52"/>
    </row>
    <row r="66">
      <c r="D66" s="52"/>
    </row>
    <row r="67">
      <c r="D67" s="52"/>
    </row>
    <row r="68">
      <c r="D68" s="52"/>
    </row>
    <row r="69">
      <c r="D69" s="52"/>
    </row>
    <row r="70">
      <c r="D70" s="52"/>
    </row>
    <row r="71">
      <c r="D71" s="52"/>
    </row>
    <row r="72">
      <c r="D72" s="52"/>
    </row>
    <row r="73">
      <c r="D73" s="52"/>
    </row>
    <row r="74">
      <c r="D74" s="52"/>
    </row>
    <row r="75">
      <c r="D75" s="52"/>
    </row>
    <row r="76">
      <c r="D76" s="52"/>
    </row>
    <row r="77">
      <c r="D77" s="52"/>
    </row>
    <row r="78">
      <c r="D78" s="52"/>
    </row>
    <row r="79">
      <c r="D79" s="52"/>
    </row>
    <row r="80">
      <c r="D80" s="52"/>
    </row>
    <row r="81">
      <c r="D81" s="52"/>
    </row>
    <row r="82">
      <c r="D82" s="52"/>
    </row>
    <row r="83">
      <c r="D83" s="52"/>
    </row>
    <row r="84">
      <c r="D84" s="52"/>
    </row>
    <row r="85">
      <c r="D85" s="52"/>
    </row>
    <row r="86">
      <c r="D86" s="52"/>
    </row>
    <row r="87">
      <c r="D87" s="52"/>
    </row>
    <row r="88">
      <c r="D88" s="52"/>
    </row>
    <row r="89">
      <c r="D89" s="52"/>
    </row>
    <row r="90">
      <c r="D90" s="52"/>
    </row>
    <row r="91">
      <c r="D91" s="52"/>
    </row>
    <row r="92">
      <c r="D92" s="52"/>
    </row>
    <row r="93">
      <c r="D93" s="52"/>
    </row>
    <row r="94">
      <c r="D94" s="52"/>
    </row>
    <row r="95">
      <c r="D95" s="52"/>
    </row>
    <row r="96">
      <c r="D96" s="52"/>
    </row>
    <row r="97">
      <c r="D97" s="52"/>
    </row>
    <row r="98">
      <c r="D98" s="52"/>
    </row>
    <row r="99">
      <c r="D99" s="52"/>
    </row>
    <row r="100">
      <c r="D100" s="52"/>
    </row>
    <row r="101">
      <c r="D101" s="52"/>
    </row>
    <row r="102">
      <c r="D102" s="52"/>
    </row>
    <row r="103">
      <c r="D103" s="52"/>
    </row>
    <row r="104">
      <c r="D104" s="52"/>
    </row>
    <row r="105">
      <c r="D105" s="52"/>
    </row>
    <row r="106">
      <c r="D106" s="52"/>
    </row>
    <row r="107">
      <c r="D107" s="52"/>
    </row>
    <row r="108">
      <c r="D108" s="52"/>
    </row>
    <row r="109">
      <c r="D109" s="52"/>
    </row>
    <row r="110">
      <c r="D110" s="52"/>
    </row>
    <row r="111">
      <c r="D111" s="52"/>
    </row>
    <row r="112">
      <c r="D112" s="52"/>
    </row>
    <row r="113">
      <c r="D113" s="52"/>
    </row>
    <row r="114">
      <c r="D114" s="52"/>
    </row>
    <row r="115">
      <c r="D115" s="52"/>
    </row>
    <row r="116">
      <c r="D116" s="52"/>
    </row>
    <row r="117">
      <c r="D117" s="52"/>
    </row>
    <row r="118">
      <c r="D118" s="52"/>
    </row>
    <row r="119">
      <c r="D119" s="52"/>
    </row>
    <row r="120">
      <c r="D120" s="52"/>
    </row>
    <row r="121">
      <c r="D121" s="52"/>
    </row>
    <row r="122">
      <c r="D122" s="52"/>
    </row>
    <row r="123">
      <c r="D123" s="52"/>
    </row>
    <row r="124">
      <c r="D124" s="52"/>
    </row>
    <row r="125">
      <c r="D125" s="52"/>
    </row>
    <row r="126">
      <c r="D126" s="52"/>
    </row>
    <row r="127">
      <c r="D127" s="52"/>
    </row>
    <row r="128">
      <c r="D128" s="52"/>
    </row>
    <row r="129">
      <c r="D129" s="52"/>
    </row>
    <row r="130">
      <c r="D130" s="52"/>
    </row>
    <row r="131">
      <c r="D131" s="52"/>
    </row>
    <row r="132">
      <c r="D132" s="52"/>
    </row>
    <row r="133">
      <c r="D133" s="52"/>
    </row>
    <row r="134">
      <c r="D134" s="52"/>
    </row>
    <row r="135">
      <c r="D135" s="52"/>
    </row>
    <row r="136">
      <c r="D136" s="52"/>
    </row>
    <row r="137">
      <c r="D137" s="52"/>
    </row>
    <row r="138">
      <c r="D138" s="52"/>
    </row>
    <row r="139">
      <c r="D139" s="52"/>
    </row>
    <row r="140">
      <c r="D140" s="52"/>
    </row>
    <row r="141">
      <c r="D141" s="52"/>
    </row>
    <row r="142">
      <c r="D142" s="52"/>
    </row>
    <row r="143">
      <c r="D143" s="52"/>
    </row>
    <row r="144">
      <c r="D144" s="52"/>
    </row>
    <row r="145">
      <c r="D145" s="52"/>
    </row>
    <row r="146">
      <c r="D146" s="52"/>
    </row>
    <row r="147">
      <c r="D147" s="52"/>
    </row>
    <row r="148">
      <c r="D148" s="52"/>
    </row>
    <row r="149">
      <c r="D149" s="52"/>
    </row>
    <row r="150">
      <c r="D150" s="52"/>
    </row>
    <row r="151">
      <c r="D151" s="52"/>
    </row>
    <row r="152">
      <c r="D152" s="52"/>
    </row>
    <row r="153">
      <c r="D153" s="52"/>
    </row>
    <row r="154">
      <c r="D154" s="52"/>
    </row>
    <row r="155">
      <c r="D155" s="52"/>
    </row>
    <row r="156">
      <c r="D156" s="52"/>
    </row>
    <row r="157">
      <c r="D157" s="52"/>
    </row>
    <row r="158">
      <c r="D158" s="52"/>
    </row>
    <row r="159">
      <c r="D159" s="52"/>
    </row>
    <row r="160">
      <c r="D160" s="52"/>
    </row>
    <row r="161">
      <c r="D161" s="52"/>
    </row>
    <row r="162">
      <c r="D162" s="52"/>
    </row>
    <row r="163">
      <c r="D163" s="52"/>
    </row>
    <row r="164">
      <c r="D164" s="52"/>
    </row>
    <row r="165">
      <c r="D165" s="52"/>
    </row>
    <row r="166">
      <c r="D166" s="52"/>
    </row>
    <row r="167">
      <c r="D167" s="52"/>
    </row>
    <row r="168">
      <c r="D168" s="52"/>
    </row>
    <row r="169">
      <c r="D169" s="52"/>
    </row>
    <row r="170">
      <c r="D170" s="52"/>
    </row>
    <row r="171">
      <c r="D171" s="52"/>
    </row>
    <row r="172">
      <c r="D172" s="52"/>
    </row>
    <row r="173">
      <c r="D173" s="52"/>
    </row>
    <row r="174">
      <c r="D174" s="52"/>
    </row>
    <row r="175">
      <c r="D175" s="52"/>
    </row>
    <row r="176">
      <c r="D176" s="52"/>
    </row>
    <row r="177">
      <c r="D177" s="52"/>
    </row>
    <row r="178">
      <c r="D178" s="52"/>
    </row>
    <row r="179">
      <c r="D179" s="52"/>
    </row>
    <row r="180">
      <c r="D180" s="52"/>
    </row>
    <row r="181">
      <c r="D181" s="52"/>
    </row>
    <row r="182">
      <c r="D182" s="52"/>
    </row>
    <row r="183">
      <c r="D183" s="52"/>
    </row>
    <row r="184">
      <c r="D184" s="52"/>
    </row>
    <row r="185">
      <c r="D185" s="52"/>
    </row>
    <row r="186">
      <c r="D186" s="52"/>
    </row>
    <row r="187">
      <c r="D187" s="52"/>
    </row>
    <row r="188">
      <c r="D188" s="52"/>
    </row>
    <row r="189">
      <c r="D189" s="52"/>
    </row>
    <row r="190">
      <c r="D190" s="52"/>
    </row>
    <row r="191">
      <c r="D191" s="52"/>
    </row>
    <row r="192">
      <c r="D192" s="52"/>
    </row>
    <row r="193">
      <c r="D193" s="52"/>
    </row>
    <row r="194">
      <c r="D194" s="52"/>
    </row>
    <row r="195">
      <c r="D195" s="52"/>
    </row>
    <row r="196">
      <c r="D196" s="52"/>
    </row>
    <row r="197">
      <c r="D197" s="52"/>
    </row>
    <row r="198">
      <c r="D198" s="52"/>
    </row>
    <row r="199">
      <c r="D199" s="52"/>
    </row>
    <row r="200">
      <c r="D200" s="52"/>
    </row>
    <row r="201">
      <c r="D201" s="52"/>
    </row>
    <row r="202">
      <c r="D202" s="52"/>
    </row>
    <row r="203">
      <c r="D203" s="52"/>
    </row>
    <row r="204">
      <c r="D204" s="52"/>
    </row>
    <row r="205">
      <c r="D205" s="52"/>
    </row>
    <row r="206">
      <c r="D206" s="52"/>
    </row>
    <row r="207">
      <c r="D207" s="52"/>
    </row>
    <row r="208">
      <c r="D208" s="52"/>
    </row>
    <row r="209">
      <c r="D209" s="52"/>
    </row>
    <row r="210">
      <c r="D210" s="52"/>
    </row>
    <row r="211">
      <c r="D211" s="52"/>
    </row>
    <row r="212">
      <c r="D212" s="52"/>
    </row>
    <row r="213">
      <c r="D213" s="52"/>
    </row>
    <row r="214">
      <c r="D214" s="52"/>
    </row>
    <row r="215">
      <c r="D215" s="52"/>
    </row>
    <row r="216">
      <c r="D216" s="52"/>
    </row>
    <row r="217">
      <c r="D217" s="52"/>
    </row>
    <row r="218">
      <c r="D218" s="52"/>
    </row>
    <row r="219">
      <c r="D219" s="52"/>
    </row>
    <row r="220">
      <c r="D220" s="52"/>
    </row>
    <row r="221">
      <c r="D221" s="52"/>
    </row>
    <row r="222">
      <c r="D222" s="52"/>
    </row>
    <row r="223">
      <c r="D223" s="52"/>
    </row>
    <row r="224">
      <c r="D224" s="52"/>
    </row>
    <row r="225">
      <c r="D225" s="52"/>
    </row>
    <row r="226">
      <c r="D226" s="52"/>
    </row>
    <row r="227">
      <c r="D227" s="52"/>
    </row>
    <row r="228">
      <c r="D228" s="52"/>
    </row>
    <row r="229">
      <c r="D229" s="52"/>
    </row>
    <row r="230">
      <c r="D230" s="52"/>
    </row>
    <row r="231">
      <c r="D231" s="52"/>
    </row>
    <row r="232">
      <c r="D232" s="52"/>
    </row>
    <row r="233">
      <c r="D233" s="52"/>
    </row>
    <row r="234">
      <c r="D234" s="52"/>
    </row>
    <row r="235">
      <c r="D235" s="52"/>
    </row>
    <row r="236">
      <c r="D236" s="52"/>
    </row>
    <row r="237">
      <c r="D237" s="52"/>
    </row>
    <row r="238">
      <c r="D238" s="52"/>
    </row>
    <row r="239">
      <c r="D239" s="52"/>
    </row>
    <row r="240">
      <c r="D240" s="52"/>
    </row>
    <row r="241">
      <c r="D241" s="52"/>
    </row>
    <row r="242">
      <c r="D242" s="52"/>
    </row>
    <row r="243">
      <c r="D243" s="52"/>
    </row>
    <row r="244">
      <c r="D244" s="52"/>
    </row>
    <row r="245">
      <c r="D245" s="52"/>
    </row>
    <row r="246">
      <c r="D246" s="52"/>
    </row>
    <row r="247">
      <c r="D247" s="52"/>
    </row>
    <row r="248">
      <c r="D248" s="52"/>
    </row>
    <row r="249">
      <c r="D249" s="52"/>
    </row>
    <row r="250">
      <c r="D250" s="52"/>
    </row>
    <row r="251">
      <c r="D251" s="52"/>
    </row>
    <row r="252">
      <c r="D252" s="52"/>
    </row>
    <row r="253">
      <c r="D253" s="52"/>
    </row>
    <row r="254">
      <c r="D254" s="52"/>
    </row>
    <row r="255">
      <c r="D255" s="52"/>
    </row>
    <row r="256">
      <c r="D256" s="52"/>
    </row>
    <row r="257">
      <c r="D257" s="52"/>
    </row>
    <row r="258">
      <c r="D258" s="52"/>
    </row>
    <row r="259">
      <c r="D259" s="52"/>
    </row>
    <row r="260">
      <c r="D260" s="52"/>
    </row>
    <row r="261">
      <c r="D261" s="52"/>
    </row>
    <row r="262">
      <c r="D262" s="52"/>
    </row>
    <row r="263">
      <c r="D263" s="52"/>
    </row>
    <row r="264">
      <c r="D264" s="52"/>
    </row>
    <row r="265">
      <c r="D265" s="52"/>
    </row>
    <row r="266">
      <c r="D266" s="52"/>
    </row>
    <row r="267">
      <c r="D267" s="52"/>
    </row>
    <row r="268">
      <c r="D268" s="52"/>
    </row>
    <row r="269">
      <c r="D269" s="52"/>
    </row>
    <row r="270">
      <c r="D270" s="52"/>
    </row>
    <row r="271">
      <c r="D271" s="52"/>
    </row>
    <row r="272">
      <c r="D272" s="52"/>
    </row>
    <row r="273">
      <c r="D273" s="52"/>
    </row>
    <row r="274">
      <c r="D274" s="52"/>
    </row>
    <row r="275">
      <c r="D275" s="52"/>
    </row>
    <row r="276">
      <c r="D276" s="52"/>
    </row>
    <row r="277">
      <c r="D277" s="52"/>
    </row>
    <row r="278">
      <c r="D278" s="52"/>
    </row>
    <row r="279">
      <c r="D279" s="52"/>
    </row>
    <row r="280">
      <c r="D280" s="52"/>
    </row>
    <row r="281">
      <c r="D281" s="52"/>
    </row>
    <row r="282">
      <c r="D282" s="52"/>
    </row>
    <row r="283">
      <c r="D283" s="52"/>
    </row>
    <row r="284">
      <c r="D284" s="52"/>
    </row>
    <row r="285">
      <c r="D285" s="52"/>
    </row>
    <row r="286">
      <c r="D286" s="52"/>
    </row>
    <row r="287">
      <c r="D287" s="52"/>
    </row>
    <row r="288">
      <c r="D288" s="52"/>
    </row>
    <row r="289">
      <c r="D289" s="52"/>
    </row>
    <row r="290">
      <c r="D290" s="52"/>
    </row>
    <row r="291">
      <c r="D291" s="52"/>
    </row>
    <row r="292">
      <c r="D292" s="52"/>
    </row>
    <row r="293">
      <c r="D293" s="52"/>
    </row>
    <row r="294">
      <c r="D294" s="52"/>
    </row>
    <row r="295">
      <c r="D295" s="52"/>
    </row>
    <row r="296">
      <c r="D296" s="52"/>
    </row>
    <row r="297">
      <c r="D297" s="52"/>
    </row>
    <row r="298">
      <c r="D298" s="52"/>
    </row>
    <row r="299">
      <c r="D299" s="52"/>
    </row>
    <row r="300">
      <c r="D300" s="52"/>
    </row>
    <row r="301">
      <c r="D301" s="52"/>
    </row>
    <row r="302">
      <c r="D302" s="52"/>
    </row>
    <row r="303">
      <c r="D303" s="52"/>
    </row>
    <row r="304">
      <c r="D304" s="52"/>
    </row>
    <row r="305">
      <c r="D305" s="52"/>
    </row>
    <row r="306">
      <c r="D306" s="52"/>
    </row>
    <row r="307">
      <c r="D307" s="52"/>
    </row>
    <row r="308">
      <c r="D308" s="52"/>
    </row>
    <row r="309">
      <c r="D309" s="52"/>
    </row>
    <row r="310">
      <c r="D310" s="52"/>
    </row>
    <row r="311">
      <c r="D311" s="52"/>
    </row>
    <row r="312">
      <c r="D312" s="52"/>
    </row>
    <row r="313">
      <c r="D313" s="52"/>
    </row>
    <row r="314">
      <c r="D314" s="52"/>
    </row>
    <row r="315">
      <c r="D315" s="52"/>
    </row>
    <row r="316">
      <c r="D316" s="52"/>
    </row>
    <row r="317">
      <c r="D317" s="52"/>
    </row>
    <row r="318">
      <c r="D318" s="52"/>
    </row>
    <row r="319">
      <c r="D319" s="52"/>
    </row>
    <row r="320">
      <c r="D320" s="52"/>
    </row>
    <row r="321">
      <c r="D321" s="52"/>
    </row>
    <row r="322">
      <c r="D322" s="52"/>
    </row>
    <row r="323">
      <c r="D323" s="52"/>
    </row>
    <row r="324">
      <c r="D324" s="52"/>
    </row>
    <row r="325">
      <c r="D325" s="52"/>
    </row>
    <row r="326">
      <c r="D326" s="52"/>
    </row>
    <row r="327">
      <c r="D327" s="52"/>
    </row>
    <row r="328">
      <c r="D328" s="52"/>
    </row>
    <row r="329">
      <c r="D329" s="52"/>
    </row>
    <row r="330">
      <c r="D330" s="52"/>
    </row>
    <row r="331">
      <c r="D331" s="52"/>
    </row>
    <row r="332">
      <c r="D332" s="52"/>
    </row>
    <row r="333">
      <c r="D333" s="52"/>
    </row>
    <row r="334">
      <c r="D334" s="52"/>
    </row>
    <row r="335">
      <c r="D335" s="52"/>
    </row>
    <row r="336">
      <c r="D336" s="52"/>
    </row>
    <row r="337">
      <c r="D337" s="52"/>
    </row>
    <row r="338">
      <c r="D338" s="52"/>
    </row>
    <row r="339">
      <c r="D339" s="52"/>
    </row>
    <row r="340">
      <c r="D340" s="52"/>
    </row>
    <row r="341">
      <c r="D341" s="52"/>
    </row>
    <row r="342">
      <c r="D342" s="52"/>
    </row>
    <row r="343">
      <c r="D343" s="52"/>
    </row>
    <row r="344">
      <c r="D344" s="52"/>
    </row>
    <row r="345">
      <c r="D345" s="52"/>
    </row>
    <row r="346">
      <c r="D346" s="52"/>
    </row>
    <row r="347">
      <c r="D347" s="52"/>
    </row>
    <row r="348">
      <c r="D348" s="52"/>
    </row>
    <row r="349">
      <c r="D349" s="52"/>
    </row>
    <row r="350">
      <c r="D350" s="52"/>
    </row>
    <row r="351">
      <c r="D351" s="52"/>
    </row>
    <row r="352">
      <c r="D352" s="52"/>
    </row>
    <row r="353">
      <c r="D353" s="52"/>
    </row>
    <row r="354">
      <c r="D354" s="52"/>
    </row>
    <row r="355">
      <c r="D355" s="52"/>
    </row>
    <row r="356">
      <c r="D356" s="52"/>
    </row>
    <row r="357">
      <c r="D357" s="52"/>
    </row>
    <row r="358">
      <c r="D358" s="52"/>
    </row>
    <row r="359">
      <c r="D359" s="52"/>
    </row>
    <row r="360">
      <c r="D360" s="52"/>
    </row>
    <row r="361">
      <c r="D361" s="52"/>
    </row>
    <row r="362">
      <c r="D362" s="52"/>
    </row>
    <row r="363">
      <c r="D363" s="52"/>
    </row>
    <row r="364">
      <c r="D364" s="52"/>
    </row>
    <row r="365">
      <c r="D365" s="52"/>
    </row>
    <row r="366">
      <c r="D366" s="52"/>
    </row>
    <row r="367">
      <c r="D367" s="52"/>
    </row>
    <row r="368">
      <c r="D368" s="52"/>
    </row>
    <row r="369">
      <c r="D369" s="52"/>
    </row>
    <row r="370">
      <c r="D370" s="52"/>
    </row>
    <row r="371">
      <c r="D371" s="52"/>
    </row>
    <row r="372">
      <c r="D372" s="52"/>
    </row>
    <row r="373">
      <c r="D373" s="52"/>
    </row>
    <row r="374">
      <c r="D374" s="52"/>
    </row>
    <row r="375">
      <c r="D375" s="52"/>
    </row>
    <row r="376">
      <c r="D376" s="52"/>
    </row>
    <row r="377">
      <c r="D377" s="52"/>
    </row>
    <row r="378">
      <c r="D378" s="52"/>
    </row>
    <row r="379">
      <c r="D379" s="52"/>
    </row>
    <row r="380">
      <c r="D380" s="52"/>
    </row>
    <row r="381">
      <c r="D381" s="52"/>
    </row>
    <row r="382">
      <c r="D382" s="52"/>
    </row>
    <row r="383">
      <c r="D383" s="52"/>
    </row>
    <row r="384">
      <c r="D384" s="52"/>
    </row>
    <row r="385">
      <c r="D385" s="52"/>
    </row>
    <row r="386">
      <c r="D386" s="52"/>
    </row>
    <row r="387">
      <c r="D387" s="52"/>
    </row>
    <row r="388">
      <c r="D388" s="52"/>
    </row>
    <row r="389">
      <c r="D389" s="52"/>
    </row>
    <row r="390">
      <c r="D390" s="52"/>
    </row>
    <row r="391">
      <c r="D391" s="52"/>
    </row>
    <row r="392">
      <c r="D392" s="52"/>
    </row>
    <row r="393">
      <c r="D393" s="52"/>
    </row>
    <row r="394">
      <c r="D394" s="52"/>
    </row>
    <row r="395">
      <c r="D395" s="52"/>
    </row>
    <row r="396">
      <c r="D396" s="52"/>
    </row>
    <row r="397">
      <c r="D397" s="52"/>
    </row>
    <row r="398">
      <c r="D398" s="52"/>
    </row>
    <row r="399">
      <c r="D399" s="52"/>
    </row>
    <row r="400">
      <c r="D400" s="52"/>
    </row>
    <row r="401">
      <c r="D401" s="52"/>
    </row>
    <row r="402">
      <c r="D402" s="52"/>
    </row>
    <row r="403">
      <c r="D403" s="52"/>
    </row>
    <row r="404">
      <c r="D404" s="52"/>
    </row>
    <row r="405">
      <c r="D405" s="52"/>
    </row>
    <row r="406">
      <c r="D406" s="52"/>
    </row>
    <row r="407">
      <c r="D407" s="52"/>
    </row>
    <row r="408">
      <c r="D408" s="52"/>
    </row>
    <row r="409">
      <c r="D409" s="52"/>
    </row>
    <row r="410">
      <c r="D410" s="52"/>
    </row>
    <row r="411">
      <c r="D411" s="52"/>
    </row>
    <row r="412">
      <c r="D412" s="52"/>
    </row>
    <row r="413">
      <c r="D413" s="52"/>
    </row>
    <row r="414">
      <c r="D414" s="52"/>
    </row>
    <row r="415">
      <c r="D415" s="52"/>
    </row>
    <row r="416">
      <c r="D416" s="52"/>
    </row>
    <row r="417">
      <c r="D417" s="52"/>
    </row>
    <row r="418">
      <c r="D418" s="52"/>
    </row>
    <row r="419">
      <c r="D419" s="52"/>
    </row>
    <row r="420">
      <c r="D420" s="52"/>
    </row>
    <row r="421">
      <c r="D421" s="52"/>
    </row>
    <row r="422">
      <c r="D422" s="52"/>
    </row>
    <row r="423">
      <c r="D423" s="52"/>
    </row>
    <row r="424">
      <c r="D424" s="52"/>
    </row>
    <row r="425">
      <c r="D425" s="52"/>
    </row>
    <row r="426">
      <c r="D426" s="52"/>
    </row>
    <row r="427">
      <c r="D427" s="52"/>
    </row>
    <row r="428">
      <c r="D428" s="52"/>
    </row>
    <row r="429">
      <c r="D429" s="52"/>
    </row>
    <row r="430">
      <c r="D430" s="52"/>
    </row>
    <row r="431">
      <c r="D431" s="52"/>
    </row>
    <row r="432">
      <c r="D432" s="52"/>
    </row>
    <row r="433">
      <c r="D433" s="52"/>
    </row>
    <row r="434">
      <c r="D434" s="52"/>
    </row>
    <row r="435">
      <c r="D435" s="52"/>
    </row>
    <row r="436">
      <c r="D436" s="52"/>
    </row>
    <row r="437">
      <c r="D437" s="52"/>
    </row>
    <row r="438">
      <c r="D438" s="52"/>
    </row>
    <row r="439">
      <c r="D439" s="52"/>
    </row>
    <row r="440">
      <c r="D440" s="52"/>
    </row>
    <row r="441">
      <c r="D441" s="52"/>
    </row>
    <row r="442">
      <c r="D442" s="52"/>
    </row>
    <row r="443">
      <c r="D443" s="52"/>
    </row>
    <row r="444">
      <c r="D444" s="52"/>
    </row>
    <row r="445">
      <c r="D445" s="52"/>
    </row>
    <row r="446">
      <c r="D446" s="52"/>
    </row>
    <row r="447">
      <c r="D447" s="52"/>
    </row>
    <row r="448">
      <c r="D448" s="52"/>
    </row>
    <row r="449">
      <c r="D449" s="52"/>
    </row>
    <row r="450">
      <c r="D450" s="52"/>
    </row>
    <row r="451">
      <c r="D451" s="52"/>
    </row>
    <row r="452">
      <c r="D452" s="52"/>
    </row>
    <row r="453">
      <c r="D453" s="52"/>
    </row>
    <row r="454">
      <c r="D454" s="52"/>
    </row>
    <row r="455">
      <c r="D455" s="52"/>
    </row>
    <row r="456">
      <c r="D456" s="52"/>
    </row>
    <row r="457">
      <c r="D457" s="52"/>
    </row>
    <row r="458">
      <c r="D458" s="52"/>
    </row>
    <row r="459">
      <c r="D459" s="52"/>
    </row>
    <row r="460">
      <c r="D460" s="52"/>
    </row>
    <row r="461">
      <c r="D461" s="52"/>
    </row>
    <row r="462">
      <c r="D462" s="52"/>
    </row>
    <row r="463">
      <c r="D463" s="52"/>
    </row>
    <row r="464">
      <c r="D464" s="52"/>
    </row>
    <row r="465">
      <c r="D465" s="52"/>
    </row>
    <row r="466">
      <c r="D466" s="52"/>
    </row>
    <row r="467">
      <c r="D467" s="52"/>
    </row>
    <row r="468">
      <c r="D468" s="52"/>
    </row>
    <row r="469">
      <c r="D469" s="52"/>
    </row>
    <row r="470">
      <c r="D470" s="52"/>
    </row>
    <row r="471">
      <c r="D471" s="52"/>
    </row>
    <row r="472">
      <c r="D472" s="52"/>
    </row>
    <row r="473">
      <c r="D473" s="52"/>
    </row>
    <row r="474">
      <c r="D474" s="52"/>
    </row>
    <row r="475">
      <c r="D475" s="52"/>
    </row>
    <row r="476">
      <c r="D476" s="52"/>
    </row>
    <row r="477">
      <c r="D477" s="52"/>
    </row>
    <row r="478">
      <c r="D478" s="52"/>
    </row>
    <row r="479">
      <c r="D479" s="52"/>
    </row>
    <row r="480">
      <c r="D480" s="52"/>
    </row>
    <row r="481">
      <c r="D481" s="52"/>
    </row>
    <row r="482">
      <c r="D482" s="52"/>
    </row>
    <row r="483">
      <c r="D483" s="52"/>
    </row>
    <row r="484">
      <c r="D484" s="52"/>
    </row>
    <row r="485">
      <c r="D485" s="52"/>
    </row>
    <row r="486">
      <c r="D486" s="52"/>
    </row>
    <row r="487">
      <c r="D487" s="52"/>
    </row>
    <row r="488">
      <c r="D488" s="52"/>
    </row>
    <row r="489">
      <c r="D489" s="52"/>
    </row>
    <row r="490">
      <c r="D490" s="52"/>
    </row>
    <row r="491">
      <c r="D491" s="52"/>
    </row>
    <row r="492">
      <c r="D492" s="52"/>
    </row>
    <row r="493">
      <c r="D493" s="52"/>
    </row>
    <row r="494">
      <c r="D494" s="52"/>
    </row>
    <row r="495">
      <c r="D495" s="52"/>
    </row>
    <row r="496">
      <c r="D496" s="52"/>
    </row>
    <row r="497">
      <c r="D497" s="52"/>
    </row>
    <row r="498">
      <c r="D498" s="52"/>
    </row>
    <row r="499">
      <c r="D499" s="52"/>
    </row>
    <row r="500">
      <c r="D500" s="52"/>
    </row>
    <row r="501">
      <c r="D501" s="52"/>
    </row>
    <row r="502">
      <c r="D502" s="52"/>
    </row>
    <row r="503">
      <c r="D503" s="52"/>
    </row>
    <row r="504">
      <c r="D504" s="52"/>
    </row>
    <row r="505">
      <c r="D505" s="52"/>
    </row>
    <row r="506">
      <c r="D506" s="52"/>
    </row>
    <row r="507">
      <c r="D507" s="52"/>
    </row>
    <row r="508">
      <c r="D508" s="52"/>
    </row>
    <row r="509">
      <c r="D509" s="52"/>
    </row>
    <row r="510">
      <c r="D510" s="52"/>
    </row>
    <row r="511">
      <c r="D511" s="52"/>
    </row>
    <row r="512">
      <c r="D512" s="52"/>
    </row>
    <row r="513">
      <c r="D513" s="52"/>
    </row>
    <row r="514">
      <c r="D514" s="52"/>
    </row>
    <row r="515">
      <c r="D515" s="52"/>
    </row>
    <row r="516">
      <c r="D516" s="52"/>
    </row>
    <row r="517">
      <c r="D517" s="52"/>
    </row>
    <row r="518">
      <c r="D518" s="52"/>
    </row>
    <row r="519">
      <c r="D519" s="52"/>
    </row>
    <row r="520">
      <c r="D520" s="52"/>
    </row>
    <row r="521">
      <c r="D521" s="52"/>
    </row>
    <row r="522">
      <c r="D522" s="52"/>
    </row>
    <row r="523">
      <c r="D523" s="52"/>
    </row>
    <row r="524">
      <c r="D524" s="52"/>
    </row>
    <row r="525">
      <c r="D525" s="52"/>
    </row>
    <row r="526">
      <c r="D526" s="52"/>
    </row>
    <row r="527">
      <c r="D527" s="52"/>
    </row>
    <row r="528">
      <c r="D528" s="52"/>
    </row>
    <row r="529">
      <c r="D529" s="52"/>
    </row>
    <row r="530">
      <c r="D530" s="52"/>
    </row>
    <row r="531">
      <c r="D531" s="52"/>
    </row>
    <row r="532">
      <c r="D532" s="52"/>
    </row>
    <row r="533">
      <c r="D533" s="52"/>
    </row>
    <row r="534">
      <c r="D534" s="52"/>
    </row>
    <row r="535">
      <c r="D535" s="52"/>
    </row>
    <row r="536">
      <c r="D536" s="52"/>
    </row>
    <row r="537">
      <c r="D537" s="52"/>
    </row>
    <row r="538">
      <c r="D538" s="52"/>
    </row>
    <row r="539">
      <c r="D539" s="52"/>
    </row>
    <row r="540">
      <c r="D540" s="52"/>
    </row>
    <row r="541">
      <c r="D541" s="52"/>
    </row>
    <row r="542">
      <c r="D542" s="52"/>
    </row>
    <row r="543">
      <c r="D543" s="52"/>
    </row>
    <row r="544">
      <c r="D544" s="52"/>
    </row>
    <row r="545">
      <c r="D545" s="52"/>
    </row>
    <row r="546">
      <c r="D546" s="52"/>
    </row>
    <row r="547">
      <c r="D547" s="52"/>
    </row>
    <row r="548">
      <c r="D548" s="52"/>
    </row>
    <row r="549">
      <c r="D549" s="52"/>
    </row>
    <row r="550">
      <c r="D550" s="52"/>
    </row>
    <row r="551">
      <c r="D551" s="52"/>
    </row>
    <row r="552">
      <c r="D552" s="52"/>
    </row>
    <row r="553">
      <c r="D553" s="52"/>
    </row>
    <row r="554">
      <c r="D554" s="52"/>
    </row>
    <row r="555">
      <c r="D555" s="52"/>
    </row>
    <row r="556">
      <c r="D556" s="52"/>
    </row>
    <row r="557">
      <c r="D557" s="52"/>
    </row>
    <row r="558">
      <c r="D558" s="52"/>
    </row>
    <row r="559">
      <c r="D559" s="52"/>
    </row>
    <row r="560">
      <c r="D560" s="52"/>
    </row>
    <row r="561">
      <c r="D561" s="52"/>
    </row>
    <row r="562">
      <c r="D562" s="52"/>
    </row>
    <row r="563">
      <c r="D563" s="52"/>
    </row>
    <row r="564">
      <c r="D564" s="52"/>
    </row>
    <row r="565">
      <c r="D565" s="52"/>
    </row>
    <row r="566">
      <c r="D566" s="52"/>
    </row>
    <row r="567">
      <c r="D567" s="52"/>
    </row>
    <row r="568">
      <c r="D568" s="52"/>
    </row>
    <row r="569">
      <c r="D569" s="52"/>
    </row>
    <row r="570">
      <c r="D570" s="52"/>
    </row>
    <row r="571">
      <c r="D571" s="52"/>
    </row>
    <row r="572">
      <c r="D572" s="52"/>
    </row>
    <row r="573">
      <c r="D573" s="52"/>
    </row>
    <row r="574">
      <c r="D574" s="52"/>
    </row>
    <row r="575">
      <c r="D575" s="52"/>
    </row>
    <row r="576">
      <c r="D576" s="52"/>
    </row>
    <row r="577">
      <c r="D577" s="52"/>
    </row>
    <row r="578">
      <c r="D578" s="52"/>
    </row>
    <row r="579">
      <c r="D579" s="52"/>
    </row>
    <row r="580">
      <c r="D580" s="52"/>
    </row>
    <row r="581">
      <c r="D581" s="52"/>
    </row>
    <row r="582">
      <c r="D582" s="52"/>
    </row>
    <row r="583">
      <c r="D583" s="52"/>
    </row>
    <row r="584">
      <c r="D584" s="52"/>
    </row>
    <row r="585">
      <c r="D585" s="52"/>
    </row>
    <row r="586">
      <c r="D586" s="52"/>
    </row>
    <row r="587">
      <c r="D587" s="52"/>
    </row>
    <row r="588">
      <c r="D588" s="52"/>
    </row>
    <row r="589">
      <c r="D589" s="52"/>
    </row>
    <row r="590">
      <c r="D590" s="52"/>
    </row>
    <row r="591">
      <c r="D591" s="52"/>
    </row>
    <row r="592">
      <c r="D592" s="52"/>
    </row>
    <row r="593">
      <c r="D593" s="52"/>
    </row>
    <row r="594">
      <c r="D594" s="52"/>
    </row>
    <row r="595">
      <c r="D595" s="52"/>
    </row>
    <row r="596">
      <c r="D596" s="52"/>
    </row>
    <row r="597">
      <c r="D597" s="52"/>
    </row>
    <row r="598">
      <c r="D598" s="52"/>
    </row>
    <row r="599">
      <c r="D599" s="52"/>
    </row>
    <row r="600">
      <c r="D600" s="52"/>
    </row>
    <row r="601">
      <c r="D601" s="52"/>
    </row>
    <row r="602">
      <c r="D602" s="52"/>
    </row>
    <row r="603">
      <c r="D603" s="52"/>
    </row>
    <row r="604">
      <c r="D604" s="52"/>
    </row>
    <row r="605">
      <c r="D605" s="52"/>
    </row>
    <row r="606">
      <c r="D606" s="52"/>
    </row>
    <row r="607">
      <c r="D607" s="52"/>
    </row>
    <row r="608">
      <c r="D608" s="52"/>
    </row>
    <row r="609">
      <c r="D609" s="52"/>
    </row>
    <row r="610">
      <c r="D610" s="52"/>
    </row>
    <row r="611">
      <c r="D611" s="52"/>
    </row>
    <row r="612">
      <c r="D612" s="52"/>
    </row>
    <row r="613">
      <c r="D613" s="52"/>
    </row>
    <row r="614">
      <c r="D614" s="52"/>
    </row>
    <row r="615">
      <c r="D615" s="52"/>
    </row>
    <row r="616">
      <c r="D616" s="52"/>
    </row>
    <row r="617">
      <c r="D617" s="52"/>
    </row>
    <row r="618">
      <c r="D618" s="52"/>
    </row>
    <row r="619">
      <c r="D619" s="52"/>
    </row>
    <row r="620">
      <c r="D620" s="52"/>
    </row>
    <row r="621">
      <c r="D621" s="52"/>
    </row>
    <row r="622">
      <c r="D622" s="52"/>
    </row>
    <row r="623">
      <c r="D623" s="52"/>
    </row>
    <row r="624">
      <c r="D624" s="52"/>
    </row>
    <row r="625">
      <c r="D625" s="52"/>
    </row>
    <row r="626">
      <c r="D626" s="52"/>
    </row>
    <row r="627">
      <c r="D627" s="52"/>
    </row>
    <row r="628">
      <c r="D628" s="52"/>
    </row>
    <row r="629">
      <c r="D629" s="52"/>
    </row>
    <row r="630">
      <c r="D630" s="52"/>
    </row>
    <row r="631">
      <c r="D631" s="52"/>
    </row>
    <row r="632">
      <c r="D632" s="52"/>
    </row>
    <row r="633">
      <c r="D633" s="52"/>
    </row>
    <row r="634">
      <c r="D634" s="52"/>
    </row>
    <row r="635">
      <c r="D635" s="52"/>
    </row>
    <row r="636">
      <c r="D636" s="52"/>
    </row>
    <row r="637">
      <c r="D637" s="52"/>
    </row>
    <row r="638">
      <c r="D638" s="52"/>
    </row>
    <row r="639">
      <c r="D639" s="52"/>
    </row>
    <row r="640">
      <c r="D640" s="52"/>
    </row>
    <row r="641">
      <c r="D641" s="52"/>
    </row>
    <row r="642">
      <c r="D642" s="52"/>
    </row>
    <row r="643">
      <c r="D643" s="52"/>
    </row>
    <row r="644">
      <c r="D644" s="52"/>
    </row>
    <row r="645">
      <c r="D645" s="52"/>
    </row>
    <row r="646">
      <c r="D646" s="52"/>
    </row>
    <row r="647">
      <c r="D647" s="52"/>
    </row>
    <row r="648">
      <c r="D648" s="52"/>
    </row>
    <row r="649">
      <c r="D649" s="52"/>
    </row>
    <row r="650">
      <c r="D650" s="52"/>
    </row>
    <row r="651">
      <c r="D651" s="52"/>
    </row>
    <row r="652">
      <c r="D652" s="52"/>
    </row>
    <row r="653">
      <c r="D653" s="52"/>
    </row>
    <row r="654">
      <c r="D654" s="52"/>
    </row>
    <row r="655">
      <c r="D655" s="52"/>
    </row>
    <row r="656">
      <c r="D656" s="52"/>
    </row>
    <row r="657">
      <c r="D657" s="52"/>
    </row>
    <row r="658">
      <c r="D658" s="52"/>
    </row>
    <row r="659">
      <c r="D659" s="52"/>
    </row>
    <row r="660">
      <c r="D660" s="52"/>
    </row>
    <row r="661">
      <c r="D661" s="52"/>
    </row>
    <row r="662">
      <c r="D662" s="52"/>
    </row>
    <row r="663">
      <c r="D663" s="52"/>
    </row>
    <row r="664">
      <c r="D664" s="52"/>
    </row>
    <row r="665">
      <c r="D665" s="52"/>
    </row>
    <row r="666">
      <c r="D666" s="52"/>
    </row>
    <row r="667">
      <c r="D667" s="52"/>
    </row>
    <row r="668">
      <c r="D668" s="52"/>
    </row>
    <row r="669">
      <c r="D669" s="52"/>
    </row>
    <row r="670">
      <c r="D670" s="52"/>
    </row>
    <row r="671">
      <c r="D671" s="52"/>
    </row>
    <row r="672">
      <c r="D672" s="52"/>
    </row>
    <row r="673">
      <c r="D673" s="52"/>
    </row>
    <row r="674">
      <c r="D674" s="52"/>
    </row>
    <row r="675">
      <c r="D675" s="52"/>
    </row>
    <row r="676">
      <c r="D676" s="52"/>
    </row>
    <row r="677">
      <c r="D677" s="52"/>
    </row>
    <row r="678">
      <c r="D678" s="52"/>
    </row>
    <row r="679">
      <c r="D679" s="52"/>
    </row>
    <row r="680">
      <c r="D680" s="52"/>
    </row>
    <row r="681">
      <c r="D681" s="52"/>
    </row>
    <row r="682">
      <c r="D682" s="52"/>
    </row>
    <row r="683">
      <c r="D683" s="52"/>
    </row>
    <row r="684">
      <c r="D684" s="52"/>
    </row>
    <row r="685">
      <c r="D685" s="52"/>
    </row>
    <row r="686">
      <c r="D686" s="52"/>
    </row>
    <row r="687">
      <c r="D687" s="52"/>
    </row>
    <row r="688">
      <c r="D688" s="52"/>
    </row>
    <row r="689">
      <c r="D689" s="52"/>
    </row>
    <row r="690">
      <c r="D690" s="52"/>
    </row>
    <row r="691">
      <c r="D691" s="52"/>
    </row>
    <row r="692">
      <c r="D692" s="52"/>
    </row>
    <row r="693">
      <c r="D693" s="52"/>
    </row>
    <row r="694">
      <c r="D694" s="52"/>
    </row>
    <row r="695">
      <c r="D695" s="52"/>
    </row>
    <row r="696">
      <c r="D696" s="52"/>
    </row>
    <row r="697">
      <c r="D697" s="52"/>
    </row>
    <row r="698">
      <c r="D698" s="52"/>
    </row>
    <row r="699">
      <c r="D699" s="52"/>
    </row>
    <row r="700">
      <c r="D700" s="52"/>
    </row>
    <row r="701">
      <c r="D701" s="52"/>
    </row>
    <row r="702">
      <c r="D702" s="52"/>
    </row>
    <row r="703">
      <c r="D703" s="52"/>
    </row>
    <row r="704">
      <c r="D704" s="52"/>
    </row>
    <row r="705">
      <c r="D705" s="52"/>
    </row>
    <row r="706">
      <c r="D706" s="52"/>
    </row>
    <row r="707">
      <c r="D707" s="52"/>
    </row>
    <row r="708">
      <c r="D708" s="52"/>
    </row>
    <row r="709">
      <c r="D709" s="52"/>
    </row>
    <row r="710">
      <c r="D710" s="52"/>
    </row>
    <row r="711">
      <c r="D711" s="52"/>
    </row>
    <row r="712">
      <c r="D712" s="52"/>
    </row>
    <row r="713">
      <c r="D713" s="52"/>
    </row>
    <row r="714">
      <c r="D714" s="52"/>
    </row>
    <row r="715">
      <c r="D715" s="52"/>
    </row>
    <row r="716">
      <c r="D716" s="52"/>
    </row>
    <row r="717">
      <c r="D717" s="52"/>
    </row>
    <row r="718">
      <c r="D718" s="52"/>
    </row>
    <row r="719">
      <c r="D719" s="52"/>
    </row>
    <row r="720">
      <c r="D720" s="52"/>
    </row>
    <row r="721">
      <c r="D721" s="52"/>
    </row>
    <row r="722">
      <c r="D722" s="52"/>
    </row>
    <row r="723">
      <c r="D723" s="52"/>
    </row>
    <row r="724">
      <c r="D724" s="52"/>
    </row>
    <row r="725">
      <c r="D725" s="52"/>
    </row>
    <row r="726">
      <c r="D726" s="52"/>
    </row>
    <row r="727">
      <c r="D727" s="52"/>
    </row>
    <row r="728">
      <c r="D728" s="52"/>
    </row>
    <row r="729">
      <c r="D729" s="52"/>
    </row>
    <row r="730">
      <c r="D730" s="52"/>
    </row>
    <row r="731">
      <c r="D731" s="52"/>
    </row>
    <row r="732">
      <c r="D732" s="52"/>
    </row>
    <row r="733">
      <c r="D733" s="52"/>
    </row>
    <row r="734">
      <c r="D734" s="52"/>
    </row>
    <row r="735">
      <c r="D735" s="52"/>
    </row>
    <row r="736">
      <c r="D736" s="52"/>
    </row>
    <row r="737">
      <c r="D737" s="52"/>
    </row>
    <row r="738">
      <c r="D738" s="52"/>
    </row>
    <row r="739">
      <c r="D739" s="52"/>
    </row>
    <row r="740">
      <c r="D740" s="52"/>
    </row>
    <row r="741">
      <c r="D741" s="52"/>
    </row>
    <row r="742">
      <c r="D742" s="52"/>
    </row>
    <row r="743">
      <c r="D743" s="52"/>
    </row>
    <row r="744">
      <c r="D744" s="52"/>
    </row>
    <row r="745">
      <c r="D745" s="52"/>
    </row>
    <row r="746">
      <c r="D746" s="52"/>
    </row>
    <row r="747">
      <c r="D747" s="52"/>
    </row>
    <row r="748">
      <c r="D748" s="52"/>
    </row>
    <row r="749">
      <c r="D749" s="52"/>
    </row>
    <row r="750">
      <c r="D750" s="52"/>
    </row>
    <row r="751">
      <c r="D751" s="52"/>
    </row>
    <row r="752">
      <c r="D752" s="52"/>
    </row>
    <row r="753">
      <c r="D753" s="52"/>
    </row>
    <row r="754">
      <c r="D754" s="52"/>
    </row>
    <row r="755">
      <c r="D755" s="52"/>
    </row>
    <row r="756">
      <c r="D756" s="52"/>
    </row>
    <row r="757">
      <c r="D757" s="52"/>
    </row>
    <row r="758">
      <c r="D758" s="52"/>
    </row>
    <row r="759">
      <c r="D759" s="52"/>
    </row>
    <row r="760">
      <c r="D760" s="52"/>
    </row>
    <row r="761">
      <c r="D761" s="52"/>
    </row>
    <row r="762">
      <c r="D762" s="52"/>
    </row>
    <row r="763">
      <c r="D763" s="52"/>
    </row>
    <row r="764">
      <c r="D764" s="52"/>
    </row>
    <row r="765">
      <c r="D765" s="52"/>
    </row>
    <row r="766">
      <c r="D766" s="52"/>
    </row>
    <row r="767">
      <c r="D767" s="52"/>
    </row>
    <row r="768">
      <c r="D768" s="52"/>
    </row>
    <row r="769">
      <c r="D769" s="52"/>
    </row>
    <row r="770">
      <c r="D770" s="52"/>
    </row>
    <row r="771">
      <c r="D771" s="52"/>
    </row>
    <row r="772">
      <c r="D772" s="52"/>
    </row>
    <row r="773">
      <c r="D773" s="52"/>
    </row>
    <row r="774">
      <c r="D774" s="52"/>
    </row>
    <row r="775">
      <c r="D775" s="52"/>
    </row>
    <row r="776">
      <c r="D776" s="52"/>
    </row>
    <row r="777">
      <c r="D777" s="52"/>
    </row>
    <row r="778">
      <c r="D778" s="52"/>
    </row>
    <row r="779">
      <c r="D779" s="52"/>
    </row>
    <row r="780">
      <c r="D780" s="52"/>
    </row>
    <row r="781">
      <c r="D781" s="52"/>
    </row>
    <row r="782">
      <c r="D782" s="52"/>
    </row>
    <row r="783">
      <c r="D783" s="52"/>
    </row>
    <row r="784">
      <c r="D784" s="52"/>
    </row>
    <row r="785">
      <c r="D785" s="52"/>
    </row>
    <row r="786">
      <c r="D786" s="52"/>
    </row>
    <row r="787">
      <c r="D787" s="52"/>
    </row>
    <row r="788">
      <c r="D788" s="52"/>
    </row>
    <row r="789">
      <c r="D789" s="52"/>
    </row>
    <row r="790">
      <c r="D790" s="52"/>
    </row>
    <row r="791">
      <c r="D791" s="52"/>
    </row>
    <row r="792">
      <c r="D792" s="52"/>
    </row>
    <row r="793">
      <c r="D793" s="52"/>
    </row>
    <row r="794">
      <c r="D794" s="52"/>
    </row>
    <row r="795">
      <c r="D795" s="52"/>
    </row>
    <row r="796">
      <c r="D796" s="52"/>
    </row>
    <row r="797">
      <c r="D797" s="52"/>
    </row>
    <row r="798">
      <c r="D798" s="52"/>
    </row>
    <row r="799">
      <c r="D799" s="52"/>
    </row>
    <row r="800">
      <c r="D800" s="52"/>
    </row>
    <row r="801">
      <c r="D801" s="52"/>
    </row>
    <row r="802">
      <c r="D802" s="52"/>
    </row>
    <row r="803">
      <c r="D803" s="52"/>
    </row>
    <row r="804">
      <c r="D804" s="52"/>
    </row>
    <row r="805">
      <c r="D805" s="52"/>
    </row>
    <row r="806">
      <c r="D806" s="52"/>
    </row>
    <row r="807">
      <c r="D807" s="52"/>
    </row>
    <row r="808">
      <c r="D808" s="52"/>
    </row>
    <row r="809">
      <c r="D809" s="52"/>
    </row>
    <row r="810">
      <c r="D810" s="52"/>
    </row>
    <row r="811">
      <c r="D811" s="52"/>
    </row>
    <row r="812">
      <c r="D812" s="52"/>
    </row>
    <row r="813">
      <c r="D813" s="52"/>
    </row>
    <row r="814">
      <c r="D814" s="52"/>
    </row>
    <row r="815">
      <c r="D815" s="52"/>
    </row>
    <row r="816">
      <c r="D816" s="52"/>
    </row>
    <row r="817">
      <c r="D817" s="52"/>
    </row>
    <row r="818">
      <c r="D818" s="52"/>
    </row>
    <row r="819">
      <c r="D819" s="52"/>
    </row>
    <row r="820">
      <c r="D820" s="52"/>
    </row>
    <row r="821">
      <c r="D821" s="52"/>
    </row>
    <row r="822">
      <c r="D822" s="52"/>
    </row>
    <row r="823">
      <c r="D823" s="52"/>
    </row>
    <row r="824">
      <c r="D824" s="52"/>
    </row>
    <row r="825">
      <c r="D825" s="52"/>
    </row>
    <row r="826">
      <c r="D826" s="52"/>
    </row>
    <row r="827">
      <c r="D827" s="52"/>
    </row>
    <row r="828">
      <c r="D828" s="52"/>
    </row>
    <row r="829">
      <c r="D829" s="52"/>
    </row>
    <row r="830">
      <c r="D830" s="52"/>
    </row>
    <row r="831">
      <c r="D831" s="52"/>
    </row>
    <row r="832">
      <c r="D832" s="52"/>
    </row>
    <row r="833">
      <c r="D833" s="52"/>
    </row>
    <row r="834">
      <c r="D834" s="52"/>
    </row>
    <row r="835">
      <c r="D835" s="52"/>
    </row>
    <row r="836">
      <c r="D836" s="52"/>
    </row>
    <row r="837">
      <c r="D837" s="52"/>
    </row>
    <row r="838">
      <c r="D838" s="52"/>
    </row>
    <row r="839">
      <c r="D839" s="52"/>
    </row>
    <row r="840">
      <c r="D840" s="52"/>
    </row>
    <row r="841">
      <c r="D841" s="52"/>
    </row>
    <row r="842">
      <c r="D842" s="52"/>
    </row>
    <row r="843">
      <c r="D843" s="52"/>
    </row>
  </sheetData>
  <mergeCells count="7">
    <mergeCell ref="A1:F1"/>
    <mergeCell ref="A2:A3"/>
    <mergeCell ref="B2:B3"/>
    <mergeCell ref="C2:C3"/>
    <mergeCell ref="D2:D3"/>
    <mergeCell ref="E2:F2"/>
    <mergeCell ref="A7:E7"/>
  </mergeCells>
  <dataValidations>
    <dataValidation type="list" allowBlank="1" sqref="H4">
      <formula1>"CHECKED (OK),CHECKED  (NOT OK)"</formula1>
    </dataValidation>
  </dataValidations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3" max="3" width="26.75"/>
    <col customWidth="1" min="4" max="4" width="33.25"/>
    <col customWidth="1" min="7" max="7" width="3.5"/>
    <col customWidth="1" min="8" max="8" width="18.63"/>
    <col customWidth="1" min="9" max="9" width="21.63"/>
  </cols>
  <sheetData>
    <row r="1">
      <c r="A1" s="30" t="s">
        <v>1146</v>
      </c>
      <c r="G1" s="31"/>
      <c r="H1" s="32" t="s">
        <v>1147</v>
      </c>
      <c r="I1" s="33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4" t="s">
        <v>1</v>
      </c>
      <c r="B2" s="35" t="s">
        <v>11</v>
      </c>
      <c r="C2" s="35" t="s">
        <v>12</v>
      </c>
      <c r="D2" s="36" t="s">
        <v>13</v>
      </c>
      <c r="E2" s="37" t="s">
        <v>14</v>
      </c>
      <c r="F2" s="38"/>
      <c r="G2" s="39"/>
      <c r="H2" s="40"/>
      <c r="I2" s="40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41"/>
      <c r="B3" s="38"/>
      <c r="C3" s="38"/>
      <c r="D3" s="38"/>
      <c r="E3" s="42" t="s">
        <v>15</v>
      </c>
      <c r="F3" s="43" t="s">
        <v>5</v>
      </c>
      <c r="G3" s="39"/>
      <c r="H3" s="44" t="s">
        <v>6</v>
      </c>
      <c r="I3" s="45" t="s">
        <v>7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24.75" customHeight="1">
      <c r="A4" s="46"/>
      <c r="B4" s="47"/>
      <c r="C4" s="48" t="str">
        <f>vlookup(B4,'Crew Data'!C:G,5,0)</f>
        <v>#N/A</v>
      </c>
      <c r="D4" s="49"/>
      <c r="E4" s="47"/>
      <c r="F4" s="50">
        <f>E4*400</f>
        <v>0</v>
      </c>
      <c r="G4" s="22">
        <f>COUNTIF(B:B,B4)</f>
        <v>0</v>
      </c>
      <c r="H4" s="5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D5" s="52"/>
    </row>
    <row r="6">
      <c r="D6" s="52"/>
    </row>
    <row r="7" ht="44.25" customHeight="1">
      <c r="A7" s="53" t="s">
        <v>16</v>
      </c>
    </row>
    <row r="8">
      <c r="D8" s="52"/>
    </row>
    <row r="9">
      <c r="D9" s="52"/>
    </row>
    <row r="10">
      <c r="D10" s="52"/>
    </row>
    <row r="11">
      <c r="D11" s="52"/>
    </row>
    <row r="12">
      <c r="D12" s="52"/>
    </row>
    <row r="13">
      <c r="D13" s="52"/>
    </row>
    <row r="14">
      <c r="D14" s="52"/>
    </row>
    <row r="15">
      <c r="D15" s="52"/>
    </row>
    <row r="16">
      <c r="D16" s="52"/>
    </row>
    <row r="17">
      <c r="D17" s="52"/>
    </row>
    <row r="18">
      <c r="D18" s="52"/>
    </row>
    <row r="19">
      <c r="D19" s="52"/>
    </row>
    <row r="20">
      <c r="D20" s="52"/>
    </row>
    <row r="21">
      <c r="D21" s="52"/>
    </row>
    <row r="22">
      <c r="D22" s="52"/>
    </row>
    <row r="23">
      <c r="D23" s="52"/>
    </row>
    <row r="24">
      <c r="D24" s="52"/>
    </row>
    <row r="25">
      <c r="D25" s="52"/>
    </row>
    <row r="26">
      <c r="D26" s="52"/>
    </row>
    <row r="27">
      <c r="D27" s="52"/>
    </row>
    <row r="28">
      <c r="D28" s="52"/>
    </row>
    <row r="29">
      <c r="D29" s="52"/>
    </row>
    <row r="30">
      <c r="D30" s="52"/>
    </row>
    <row r="31">
      <c r="D31" s="52"/>
    </row>
    <row r="32">
      <c r="D32" s="52"/>
    </row>
    <row r="33">
      <c r="D33" s="52"/>
    </row>
    <row r="34">
      <c r="D34" s="52"/>
    </row>
    <row r="35">
      <c r="D35" s="52"/>
    </row>
    <row r="36">
      <c r="D36" s="52"/>
    </row>
    <row r="37">
      <c r="D37" s="52"/>
    </row>
    <row r="38">
      <c r="D38" s="52"/>
    </row>
    <row r="39">
      <c r="D39" s="52"/>
    </row>
    <row r="40">
      <c r="D40" s="52"/>
    </row>
    <row r="41">
      <c r="D41" s="52"/>
    </row>
    <row r="42">
      <c r="D42" s="52"/>
    </row>
    <row r="43">
      <c r="D43" s="52"/>
    </row>
    <row r="44">
      <c r="D44" s="52"/>
    </row>
    <row r="45">
      <c r="D45" s="52"/>
    </row>
    <row r="46">
      <c r="D46" s="52"/>
    </row>
    <row r="47">
      <c r="D47" s="52"/>
    </row>
    <row r="48">
      <c r="D48" s="52"/>
    </row>
    <row r="49">
      <c r="D49" s="52"/>
    </row>
    <row r="50">
      <c r="D50" s="52"/>
    </row>
    <row r="51">
      <c r="D51" s="52"/>
    </row>
    <row r="52">
      <c r="D52" s="52"/>
    </row>
    <row r="53">
      <c r="D53" s="52"/>
    </row>
    <row r="54">
      <c r="D54" s="52"/>
    </row>
    <row r="55">
      <c r="D55" s="52"/>
    </row>
    <row r="56">
      <c r="D56" s="52"/>
    </row>
    <row r="57">
      <c r="D57" s="52"/>
    </row>
    <row r="58">
      <c r="D58" s="52"/>
    </row>
    <row r="59">
      <c r="D59" s="52"/>
    </row>
    <row r="60">
      <c r="D60" s="52"/>
    </row>
    <row r="61">
      <c r="D61" s="52"/>
    </row>
    <row r="62">
      <c r="D62" s="52"/>
    </row>
    <row r="63">
      <c r="D63" s="52"/>
    </row>
    <row r="64">
      <c r="D64" s="52"/>
    </row>
    <row r="65">
      <c r="D65" s="52"/>
    </row>
    <row r="66">
      <c r="D66" s="52"/>
    </row>
    <row r="67">
      <c r="D67" s="52"/>
    </row>
    <row r="68">
      <c r="D68" s="52"/>
    </row>
    <row r="69">
      <c r="D69" s="52"/>
    </row>
    <row r="70">
      <c r="D70" s="52"/>
    </row>
    <row r="71">
      <c r="D71" s="52"/>
    </row>
    <row r="72">
      <c r="D72" s="52"/>
    </row>
    <row r="73">
      <c r="D73" s="52"/>
    </row>
    <row r="74">
      <c r="D74" s="52"/>
    </row>
    <row r="75">
      <c r="D75" s="52"/>
    </row>
    <row r="76">
      <c r="D76" s="52"/>
    </row>
    <row r="77">
      <c r="D77" s="52"/>
    </row>
    <row r="78">
      <c r="D78" s="52"/>
    </row>
    <row r="79">
      <c r="D79" s="52"/>
    </row>
    <row r="80">
      <c r="D80" s="52"/>
    </row>
    <row r="81">
      <c r="D81" s="52"/>
    </row>
    <row r="82">
      <c r="D82" s="52"/>
    </row>
    <row r="83">
      <c r="D83" s="52"/>
    </row>
    <row r="84">
      <c r="D84" s="52"/>
    </row>
    <row r="85">
      <c r="D85" s="52"/>
    </row>
    <row r="86">
      <c r="D86" s="52"/>
    </row>
    <row r="87">
      <c r="D87" s="52"/>
    </row>
    <row r="88">
      <c r="D88" s="52"/>
    </row>
    <row r="89">
      <c r="D89" s="52"/>
    </row>
    <row r="90">
      <c r="D90" s="52"/>
    </row>
    <row r="91">
      <c r="D91" s="52"/>
    </row>
    <row r="92">
      <c r="D92" s="52"/>
    </row>
    <row r="93">
      <c r="D93" s="52"/>
    </row>
    <row r="94">
      <c r="D94" s="52"/>
    </row>
    <row r="95">
      <c r="D95" s="52"/>
    </row>
    <row r="96">
      <c r="D96" s="52"/>
    </row>
    <row r="97">
      <c r="D97" s="52"/>
    </row>
    <row r="98">
      <c r="D98" s="52"/>
    </row>
    <row r="99">
      <c r="D99" s="52"/>
    </row>
    <row r="100">
      <c r="D100" s="52"/>
    </row>
    <row r="101">
      <c r="D101" s="52"/>
    </row>
    <row r="102">
      <c r="D102" s="52"/>
    </row>
    <row r="103">
      <c r="D103" s="52"/>
    </row>
    <row r="104">
      <c r="D104" s="52"/>
    </row>
    <row r="105">
      <c r="D105" s="52"/>
    </row>
    <row r="106">
      <c r="D106" s="52"/>
    </row>
    <row r="107">
      <c r="D107" s="52"/>
    </row>
    <row r="108">
      <c r="D108" s="52"/>
    </row>
    <row r="109">
      <c r="D109" s="52"/>
    </row>
    <row r="110">
      <c r="D110" s="52"/>
    </row>
    <row r="111">
      <c r="D111" s="52"/>
    </row>
    <row r="112">
      <c r="D112" s="52"/>
    </row>
    <row r="113">
      <c r="D113" s="52"/>
    </row>
    <row r="114">
      <c r="D114" s="52"/>
    </row>
    <row r="115">
      <c r="D115" s="52"/>
    </row>
    <row r="116">
      <c r="D116" s="52"/>
    </row>
    <row r="117">
      <c r="D117" s="52"/>
    </row>
    <row r="118">
      <c r="D118" s="52"/>
    </row>
    <row r="119">
      <c r="D119" s="52"/>
    </row>
    <row r="120">
      <c r="D120" s="52"/>
    </row>
    <row r="121">
      <c r="D121" s="52"/>
    </row>
    <row r="122">
      <c r="D122" s="52"/>
    </row>
    <row r="123">
      <c r="D123" s="52"/>
    </row>
    <row r="124">
      <c r="D124" s="52"/>
    </row>
    <row r="125">
      <c r="D125" s="52"/>
    </row>
    <row r="126">
      <c r="D126" s="52"/>
    </row>
    <row r="127">
      <c r="D127" s="52"/>
    </row>
    <row r="128">
      <c r="D128" s="52"/>
    </row>
    <row r="129">
      <c r="D129" s="52"/>
    </row>
    <row r="130">
      <c r="D130" s="52"/>
    </row>
    <row r="131">
      <c r="D131" s="52"/>
    </row>
    <row r="132">
      <c r="D132" s="52"/>
    </row>
    <row r="133">
      <c r="D133" s="52"/>
    </row>
    <row r="134">
      <c r="D134" s="52"/>
    </row>
    <row r="135">
      <c r="D135" s="52"/>
    </row>
    <row r="136">
      <c r="D136" s="52"/>
    </row>
    <row r="137">
      <c r="D137" s="52"/>
    </row>
    <row r="138">
      <c r="D138" s="52"/>
    </row>
    <row r="139">
      <c r="D139" s="52"/>
    </row>
    <row r="140">
      <c r="D140" s="52"/>
    </row>
    <row r="141">
      <c r="D141" s="52"/>
    </row>
    <row r="142">
      <c r="D142" s="52"/>
    </row>
    <row r="143">
      <c r="D143" s="52"/>
    </row>
    <row r="144">
      <c r="D144" s="52"/>
    </row>
    <row r="145">
      <c r="D145" s="52"/>
    </row>
    <row r="146">
      <c r="D146" s="52"/>
    </row>
    <row r="147">
      <c r="D147" s="52"/>
    </row>
    <row r="148">
      <c r="D148" s="52"/>
    </row>
    <row r="149">
      <c r="D149" s="52"/>
    </row>
    <row r="150">
      <c r="D150" s="52"/>
    </row>
    <row r="151">
      <c r="D151" s="52"/>
    </row>
    <row r="152">
      <c r="D152" s="52"/>
    </row>
    <row r="153">
      <c r="D153" s="52"/>
    </row>
    <row r="154">
      <c r="D154" s="52"/>
    </row>
    <row r="155">
      <c r="D155" s="52"/>
    </row>
    <row r="156">
      <c r="D156" s="52"/>
    </row>
    <row r="157">
      <c r="D157" s="52"/>
    </row>
    <row r="158">
      <c r="D158" s="52"/>
    </row>
    <row r="159">
      <c r="D159" s="52"/>
    </row>
    <row r="160">
      <c r="D160" s="52"/>
    </row>
    <row r="161">
      <c r="D161" s="52"/>
    </row>
    <row r="162">
      <c r="D162" s="52"/>
    </row>
    <row r="163">
      <c r="D163" s="52"/>
    </row>
    <row r="164">
      <c r="D164" s="52"/>
    </row>
    <row r="165">
      <c r="D165" s="52"/>
    </row>
    <row r="166">
      <c r="D166" s="52"/>
    </row>
    <row r="167">
      <c r="D167" s="52"/>
    </row>
    <row r="168">
      <c r="D168" s="52"/>
    </row>
    <row r="169">
      <c r="D169" s="52"/>
    </row>
    <row r="170">
      <c r="D170" s="52"/>
    </row>
    <row r="171">
      <c r="D171" s="52"/>
    </row>
    <row r="172">
      <c r="D172" s="52"/>
    </row>
    <row r="173">
      <c r="D173" s="52"/>
    </row>
    <row r="174">
      <c r="D174" s="52"/>
    </row>
    <row r="175">
      <c r="D175" s="52"/>
    </row>
    <row r="176">
      <c r="D176" s="52"/>
    </row>
    <row r="177">
      <c r="D177" s="52"/>
    </row>
    <row r="178">
      <c r="D178" s="52"/>
    </row>
    <row r="179">
      <c r="D179" s="52"/>
    </row>
    <row r="180">
      <c r="D180" s="52"/>
    </row>
    <row r="181">
      <c r="D181" s="52"/>
    </row>
    <row r="182">
      <c r="D182" s="52"/>
    </row>
    <row r="183">
      <c r="D183" s="52"/>
    </row>
    <row r="184">
      <c r="D184" s="52"/>
    </row>
    <row r="185">
      <c r="D185" s="52"/>
    </row>
    <row r="186">
      <c r="D186" s="52"/>
    </row>
    <row r="187">
      <c r="D187" s="52"/>
    </row>
    <row r="188">
      <c r="D188" s="52"/>
    </row>
    <row r="189">
      <c r="D189" s="52"/>
    </row>
    <row r="190">
      <c r="D190" s="52"/>
    </row>
    <row r="191">
      <c r="D191" s="52"/>
    </row>
    <row r="192">
      <c r="D192" s="52"/>
    </row>
    <row r="193">
      <c r="D193" s="52"/>
    </row>
    <row r="194">
      <c r="D194" s="52"/>
    </row>
    <row r="195">
      <c r="D195" s="52"/>
    </row>
    <row r="196">
      <c r="D196" s="52"/>
    </row>
    <row r="197">
      <c r="D197" s="52"/>
    </row>
    <row r="198">
      <c r="D198" s="52"/>
    </row>
    <row r="199">
      <c r="D199" s="52"/>
    </row>
    <row r="200">
      <c r="D200" s="52"/>
    </row>
    <row r="201">
      <c r="D201" s="52"/>
    </row>
    <row r="202">
      <c r="D202" s="52"/>
    </row>
    <row r="203">
      <c r="D203" s="52"/>
    </row>
    <row r="204">
      <c r="D204" s="52"/>
    </row>
    <row r="205">
      <c r="D205" s="52"/>
    </row>
    <row r="206">
      <c r="D206" s="52"/>
    </row>
    <row r="207">
      <c r="D207" s="52"/>
    </row>
    <row r="208">
      <c r="D208" s="52"/>
    </row>
    <row r="209">
      <c r="D209" s="52"/>
    </row>
    <row r="210">
      <c r="D210" s="52"/>
    </row>
    <row r="211">
      <c r="D211" s="52"/>
    </row>
    <row r="212">
      <c r="D212" s="52"/>
    </row>
    <row r="213">
      <c r="D213" s="52"/>
    </row>
    <row r="214">
      <c r="D214" s="52"/>
    </row>
    <row r="215">
      <c r="D215" s="52"/>
    </row>
    <row r="216">
      <c r="D216" s="52"/>
    </row>
    <row r="217">
      <c r="D217" s="52"/>
    </row>
    <row r="218">
      <c r="D218" s="52"/>
    </row>
    <row r="219">
      <c r="D219" s="52"/>
    </row>
    <row r="220">
      <c r="D220" s="52"/>
    </row>
    <row r="221">
      <c r="D221" s="52"/>
    </row>
    <row r="222">
      <c r="D222" s="52"/>
    </row>
    <row r="223">
      <c r="D223" s="52"/>
    </row>
    <row r="224">
      <c r="D224" s="52"/>
    </row>
    <row r="225">
      <c r="D225" s="52"/>
    </row>
    <row r="226">
      <c r="D226" s="52"/>
    </row>
    <row r="227">
      <c r="D227" s="52"/>
    </row>
    <row r="228">
      <c r="D228" s="52"/>
    </row>
    <row r="229">
      <c r="D229" s="52"/>
    </row>
    <row r="230">
      <c r="D230" s="52"/>
    </row>
    <row r="231">
      <c r="D231" s="52"/>
    </row>
    <row r="232">
      <c r="D232" s="52"/>
    </row>
    <row r="233">
      <c r="D233" s="52"/>
    </row>
    <row r="234">
      <c r="D234" s="52"/>
    </row>
    <row r="235">
      <c r="D235" s="52"/>
    </row>
    <row r="236">
      <c r="D236" s="52"/>
    </row>
    <row r="237">
      <c r="D237" s="52"/>
    </row>
    <row r="238">
      <c r="D238" s="52"/>
    </row>
    <row r="239">
      <c r="D239" s="52"/>
    </row>
    <row r="240">
      <c r="D240" s="52"/>
    </row>
    <row r="241">
      <c r="D241" s="52"/>
    </row>
    <row r="242">
      <c r="D242" s="52"/>
    </row>
    <row r="243">
      <c r="D243" s="52"/>
    </row>
    <row r="244">
      <c r="D244" s="52"/>
    </row>
    <row r="245">
      <c r="D245" s="52"/>
    </row>
    <row r="246">
      <c r="D246" s="52"/>
    </row>
    <row r="247">
      <c r="D247" s="52"/>
    </row>
    <row r="248">
      <c r="D248" s="52"/>
    </row>
    <row r="249">
      <c r="D249" s="52"/>
    </row>
    <row r="250">
      <c r="D250" s="52"/>
    </row>
    <row r="251">
      <c r="D251" s="52"/>
    </row>
    <row r="252">
      <c r="D252" s="52"/>
    </row>
    <row r="253">
      <c r="D253" s="52"/>
    </row>
    <row r="254">
      <c r="D254" s="52"/>
    </row>
    <row r="255">
      <c r="D255" s="52"/>
    </row>
    <row r="256">
      <c r="D256" s="52"/>
    </row>
    <row r="257">
      <c r="D257" s="52"/>
    </row>
    <row r="258">
      <c r="D258" s="52"/>
    </row>
    <row r="259">
      <c r="D259" s="52"/>
    </row>
    <row r="260">
      <c r="D260" s="52"/>
    </row>
    <row r="261">
      <c r="D261" s="52"/>
    </row>
    <row r="262">
      <c r="D262" s="52"/>
    </row>
    <row r="263">
      <c r="D263" s="52"/>
    </row>
    <row r="264">
      <c r="D264" s="52"/>
    </row>
    <row r="265">
      <c r="D265" s="52"/>
    </row>
    <row r="266">
      <c r="D266" s="52"/>
    </row>
    <row r="267">
      <c r="D267" s="52"/>
    </row>
    <row r="268">
      <c r="D268" s="52"/>
    </row>
    <row r="269">
      <c r="D269" s="52"/>
    </row>
    <row r="270">
      <c r="D270" s="52"/>
    </row>
    <row r="271">
      <c r="D271" s="52"/>
    </row>
    <row r="272">
      <c r="D272" s="52"/>
    </row>
    <row r="273">
      <c r="D273" s="52"/>
    </row>
    <row r="274">
      <c r="D274" s="52"/>
    </row>
    <row r="275">
      <c r="D275" s="52"/>
    </row>
    <row r="276">
      <c r="D276" s="52"/>
    </row>
    <row r="277">
      <c r="D277" s="52"/>
    </row>
    <row r="278">
      <c r="D278" s="52"/>
    </row>
    <row r="279">
      <c r="D279" s="52"/>
    </row>
    <row r="280">
      <c r="D280" s="52"/>
    </row>
    <row r="281">
      <c r="D281" s="52"/>
    </row>
    <row r="282">
      <c r="D282" s="52"/>
    </row>
    <row r="283">
      <c r="D283" s="52"/>
    </row>
    <row r="284">
      <c r="D284" s="52"/>
    </row>
    <row r="285">
      <c r="D285" s="52"/>
    </row>
    <row r="286">
      <c r="D286" s="52"/>
    </row>
    <row r="287">
      <c r="D287" s="52"/>
    </row>
    <row r="288">
      <c r="D288" s="52"/>
    </row>
    <row r="289">
      <c r="D289" s="52"/>
    </row>
    <row r="290">
      <c r="D290" s="52"/>
    </row>
    <row r="291">
      <c r="D291" s="52"/>
    </row>
    <row r="292">
      <c r="D292" s="52"/>
    </row>
    <row r="293">
      <c r="D293" s="52"/>
    </row>
    <row r="294">
      <c r="D294" s="52"/>
    </row>
    <row r="295">
      <c r="D295" s="52"/>
    </row>
    <row r="296">
      <c r="D296" s="52"/>
    </row>
    <row r="297">
      <c r="D297" s="52"/>
    </row>
    <row r="298">
      <c r="D298" s="52"/>
    </row>
    <row r="299">
      <c r="D299" s="52"/>
    </row>
    <row r="300">
      <c r="D300" s="52"/>
    </row>
    <row r="301">
      <c r="D301" s="52"/>
    </row>
    <row r="302">
      <c r="D302" s="52"/>
    </row>
    <row r="303">
      <c r="D303" s="52"/>
    </row>
    <row r="304">
      <c r="D304" s="52"/>
    </row>
    <row r="305">
      <c r="D305" s="52"/>
    </row>
    <row r="306">
      <c r="D306" s="52"/>
    </row>
    <row r="307">
      <c r="D307" s="52"/>
    </row>
    <row r="308">
      <c r="D308" s="52"/>
    </row>
    <row r="309">
      <c r="D309" s="52"/>
    </row>
    <row r="310">
      <c r="D310" s="52"/>
    </row>
    <row r="311">
      <c r="D311" s="52"/>
    </row>
    <row r="312">
      <c r="D312" s="52"/>
    </row>
    <row r="313">
      <c r="D313" s="52"/>
    </row>
    <row r="314">
      <c r="D314" s="52"/>
    </row>
    <row r="315">
      <c r="D315" s="52"/>
    </row>
    <row r="316">
      <c r="D316" s="52"/>
    </row>
    <row r="317">
      <c r="D317" s="52"/>
    </row>
    <row r="318">
      <c r="D318" s="52"/>
    </row>
    <row r="319">
      <c r="D319" s="52"/>
    </row>
    <row r="320">
      <c r="D320" s="52"/>
    </row>
    <row r="321">
      <c r="D321" s="52"/>
    </row>
    <row r="322">
      <c r="D322" s="52"/>
    </row>
    <row r="323">
      <c r="D323" s="52"/>
    </row>
    <row r="324">
      <c r="D324" s="52"/>
    </row>
    <row r="325">
      <c r="D325" s="52"/>
    </row>
    <row r="326">
      <c r="D326" s="52"/>
    </row>
    <row r="327">
      <c r="D327" s="52"/>
    </row>
    <row r="328">
      <c r="D328" s="52"/>
    </row>
    <row r="329">
      <c r="D329" s="52"/>
    </row>
    <row r="330">
      <c r="D330" s="52"/>
    </row>
    <row r="331">
      <c r="D331" s="52"/>
    </row>
    <row r="332">
      <c r="D332" s="52"/>
    </row>
    <row r="333">
      <c r="D333" s="52"/>
    </row>
    <row r="334">
      <c r="D334" s="52"/>
    </row>
    <row r="335">
      <c r="D335" s="52"/>
    </row>
    <row r="336">
      <c r="D336" s="52"/>
    </row>
    <row r="337">
      <c r="D337" s="52"/>
    </row>
    <row r="338">
      <c r="D338" s="52"/>
    </row>
    <row r="339">
      <c r="D339" s="52"/>
    </row>
    <row r="340">
      <c r="D340" s="52"/>
    </row>
    <row r="341">
      <c r="D341" s="52"/>
    </row>
    <row r="342">
      <c r="D342" s="52"/>
    </row>
    <row r="343">
      <c r="D343" s="52"/>
    </row>
    <row r="344">
      <c r="D344" s="52"/>
    </row>
    <row r="345">
      <c r="D345" s="52"/>
    </row>
    <row r="346">
      <c r="D346" s="52"/>
    </row>
    <row r="347">
      <c r="D347" s="52"/>
    </row>
    <row r="348">
      <c r="D348" s="52"/>
    </row>
    <row r="349">
      <c r="D349" s="52"/>
    </row>
    <row r="350">
      <c r="D350" s="52"/>
    </row>
    <row r="351">
      <c r="D351" s="52"/>
    </row>
    <row r="352">
      <c r="D352" s="52"/>
    </row>
    <row r="353">
      <c r="D353" s="52"/>
    </row>
    <row r="354">
      <c r="D354" s="52"/>
    </row>
    <row r="355">
      <c r="D355" s="52"/>
    </row>
    <row r="356">
      <c r="D356" s="52"/>
    </row>
    <row r="357">
      <c r="D357" s="52"/>
    </row>
    <row r="358">
      <c r="D358" s="52"/>
    </row>
    <row r="359">
      <c r="D359" s="52"/>
    </row>
    <row r="360">
      <c r="D360" s="52"/>
    </row>
    <row r="361">
      <c r="D361" s="52"/>
    </row>
    <row r="362">
      <c r="D362" s="52"/>
    </row>
    <row r="363">
      <c r="D363" s="52"/>
    </row>
    <row r="364">
      <c r="D364" s="52"/>
    </row>
    <row r="365">
      <c r="D365" s="52"/>
    </row>
    <row r="366">
      <c r="D366" s="52"/>
    </row>
    <row r="367">
      <c r="D367" s="52"/>
    </row>
    <row r="368">
      <c r="D368" s="52"/>
    </row>
    <row r="369">
      <c r="D369" s="52"/>
    </row>
    <row r="370">
      <c r="D370" s="52"/>
    </row>
    <row r="371">
      <c r="D371" s="52"/>
    </row>
    <row r="372">
      <c r="D372" s="52"/>
    </row>
    <row r="373">
      <c r="D373" s="52"/>
    </row>
    <row r="374">
      <c r="D374" s="52"/>
    </row>
    <row r="375">
      <c r="D375" s="52"/>
    </row>
    <row r="376">
      <c r="D376" s="52"/>
    </row>
    <row r="377">
      <c r="D377" s="52"/>
    </row>
    <row r="378">
      <c r="D378" s="52"/>
    </row>
    <row r="379">
      <c r="D379" s="52"/>
    </row>
    <row r="380">
      <c r="D380" s="52"/>
    </row>
    <row r="381">
      <c r="D381" s="52"/>
    </row>
    <row r="382">
      <c r="D382" s="52"/>
    </row>
    <row r="383">
      <c r="D383" s="52"/>
    </row>
    <row r="384">
      <c r="D384" s="52"/>
    </row>
    <row r="385">
      <c r="D385" s="52"/>
    </row>
    <row r="386">
      <c r="D386" s="52"/>
    </row>
    <row r="387">
      <c r="D387" s="52"/>
    </row>
    <row r="388">
      <c r="D388" s="52"/>
    </row>
    <row r="389">
      <c r="D389" s="52"/>
    </row>
    <row r="390">
      <c r="D390" s="52"/>
    </row>
    <row r="391">
      <c r="D391" s="52"/>
    </row>
    <row r="392">
      <c r="D392" s="52"/>
    </row>
    <row r="393">
      <c r="D393" s="52"/>
    </row>
    <row r="394">
      <c r="D394" s="52"/>
    </row>
    <row r="395">
      <c r="D395" s="52"/>
    </row>
    <row r="396">
      <c r="D396" s="52"/>
    </row>
    <row r="397">
      <c r="D397" s="52"/>
    </row>
    <row r="398">
      <c r="D398" s="52"/>
    </row>
    <row r="399">
      <c r="D399" s="52"/>
    </row>
    <row r="400">
      <c r="D400" s="52"/>
    </row>
    <row r="401">
      <c r="D401" s="52"/>
    </row>
    <row r="402">
      <c r="D402" s="52"/>
    </row>
    <row r="403">
      <c r="D403" s="52"/>
    </row>
    <row r="404">
      <c r="D404" s="52"/>
    </row>
    <row r="405">
      <c r="D405" s="52"/>
    </row>
    <row r="406">
      <c r="D406" s="52"/>
    </row>
    <row r="407">
      <c r="D407" s="52"/>
    </row>
    <row r="408">
      <c r="D408" s="52"/>
    </row>
    <row r="409">
      <c r="D409" s="52"/>
    </row>
    <row r="410">
      <c r="D410" s="52"/>
    </row>
    <row r="411">
      <c r="D411" s="52"/>
    </row>
    <row r="412">
      <c r="D412" s="52"/>
    </row>
    <row r="413">
      <c r="D413" s="52"/>
    </row>
    <row r="414">
      <c r="D414" s="52"/>
    </row>
    <row r="415">
      <c r="D415" s="52"/>
    </row>
    <row r="416">
      <c r="D416" s="52"/>
    </row>
    <row r="417">
      <c r="D417" s="52"/>
    </row>
    <row r="418">
      <c r="D418" s="52"/>
    </row>
    <row r="419">
      <c r="D419" s="52"/>
    </row>
    <row r="420">
      <c r="D420" s="52"/>
    </row>
    <row r="421">
      <c r="D421" s="52"/>
    </row>
    <row r="422">
      <c r="D422" s="52"/>
    </row>
    <row r="423">
      <c r="D423" s="52"/>
    </row>
    <row r="424">
      <c r="D424" s="52"/>
    </row>
    <row r="425">
      <c r="D425" s="52"/>
    </row>
    <row r="426">
      <c r="D426" s="52"/>
    </row>
    <row r="427">
      <c r="D427" s="52"/>
    </row>
    <row r="428">
      <c r="D428" s="52"/>
    </row>
    <row r="429">
      <c r="D429" s="52"/>
    </row>
    <row r="430">
      <c r="D430" s="52"/>
    </row>
    <row r="431">
      <c r="D431" s="52"/>
    </row>
    <row r="432">
      <c r="D432" s="52"/>
    </row>
    <row r="433">
      <c r="D433" s="52"/>
    </row>
    <row r="434">
      <c r="D434" s="52"/>
    </row>
    <row r="435">
      <c r="D435" s="52"/>
    </row>
    <row r="436">
      <c r="D436" s="52"/>
    </row>
    <row r="437">
      <c r="D437" s="52"/>
    </row>
    <row r="438">
      <c r="D438" s="52"/>
    </row>
    <row r="439">
      <c r="D439" s="52"/>
    </row>
    <row r="440">
      <c r="D440" s="52"/>
    </row>
    <row r="441">
      <c r="D441" s="52"/>
    </row>
    <row r="442">
      <c r="D442" s="52"/>
    </row>
    <row r="443">
      <c r="D443" s="52"/>
    </row>
    <row r="444">
      <c r="D444" s="52"/>
    </row>
    <row r="445">
      <c r="D445" s="52"/>
    </row>
    <row r="446">
      <c r="D446" s="52"/>
    </row>
    <row r="447">
      <c r="D447" s="52"/>
    </row>
    <row r="448">
      <c r="D448" s="52"/>
    </row>
    <row r="449">
      <c r="D449" s="52"/>
    </row>
    <row r="450">
      <c r="D450" s="52"/>
    </row>
    <row r="451">
      <c r="D451" s="52"/>
    </row>
    <row r="452">
      <c r="D452" s="52"/>
    </row>
    <row r="453">
      <c r="D453" s="52"/>
    </row>
    <row r="454">
      <c r="D454" s="52"/>
    </row>
    <row r="455">
      <c r="D455" s="52"/>
    </row>
    <row r="456">
      <c r="D456" s="52"/>
    </row>
    <row r="457">
      <c r="D457" s="52"/>
    </row>
    <row r="458">
      <c r="D458" s="52"/>
    </row>
    <row r="459">
      <c r="D459" s="52"/>
    </row>
    <row r="460">
      <c r="D460" s="52"/>
    </row>
    <row r="461">
      <c r="D461" s="52"/>
    </row>
    <row r="462">
      <c r="D462" s="52"/>
    </row>
    <row r="463">
      <c r="D463" s="52"/>
    </row>
    <row r="464">
      <c r="D464" s="52"/>
    </row>
    <row r="465">
      <c r="D465" s="52"/>
    </row>
    <row r="466">
      <c r="D466" s="52"/>
    </row>
    <row r="467">
      <c r="D467" s="52"/>
    </row>
    <row r="468">
      <c r="D468" s="52"/>
    </row>
    <row r="469">
      <c r="D469" s="52"/>
    </row>
    <row r="470">
      <c r="D470" s="52"/>
    </row>
    <row r="471">
      <c r="D471" s="52"/>
    </row>
    <row r="472">
      <c r="D472" s="52"/>
    </row>
    <row r="473">
      <c r="D473" s="52"/>
    </row>
    <row r="474">
      <c r="D474" s="52"/>
    </row>
    <row r="475">
      <c r="D475" s="52"/>
    </row>
    <row r="476">
      <c r="D476" s="52"/>
    </row>
    <row r="477">
      <c r="D477" s="52"/>
    </row>
    <row r="478">
      <c r="D478" s="52"/>
    </row>
    <row r="479">
      <c r="D479" s="52"/>
    </row>
    <row r="480">
      <c r="D480" s="52"/>
    </row>
    <row r="481">
      <c r="D481" s="52"/>
    </row>
    <row r="482">
      <c r="D482" s="52"/>
    </row>
    <row r="483">
      <c r="D483" s="52"/>
    </row>
    <row r="484">
      <c r="D484" s="52"/>
    </row>
    <row r="485">
      <c r="D485" s="52"/>
    </row>
    <row r="486">
      <c r="D486" s="52"/>
    </row>
    <row r="487">
      <c r="D487" s="52"/>
    </row>
    <row r="488">
      <c r="D488" s="52"/>
    </row>
    <row r="489">
      <c r="D489" s="52"/>
    </row>
    <row r="490">
      <c r="D490" s="52"/>
    </row>
    <row r="491">
      <c r="D491" s="52"/>
    </row>
    <row r="492">
      <c r="D492" s="52"/>
    </row>
    <row r="493">
      <c r="D493" s="52"/>
    </row>
    <row r="494">
      <c r="D494" s="52"/>
    </row>
    <row r="495">
      <c r="D495" s="52"/>
    </row>
    <row r="496">
      <c r="D496" s="52"/>
    </row>
    <row r="497">
      <c r="D497" s="52"/>
    </row>
    <row r="498">
      <c r="D498" s="52"/>
    </row>
    <row r="499">
      <c r="D499" s="52"/>
    </row>
    <row r="500">
      <c r="D500" s="52"/>
    </row>
    <row r="501">
      <c r="D501" s="52"/>
    </row>
    <row r="502">
      <c r="D502" s="52"/>
    </row>
    <row r="503">
      <c r="D503" s="52"/>
    </row>
    <row r="504">
      <c r="D504" s="52"/>
    </row>
    <row r="505">
      <c r="D505" s="52"/>
    </row>
    <row r="506">
      <c r="D506" s="52"/>
    </row>
    <row r="507">
      <c r="D507" s="52"/>
    </row>
    <row r="508">
      <c r="D508" s="52"/>
    </row>
    <row r="509">
      <c r="D509" s="52"/>
    </row>
    <row r="510">
      <c r="D510" s="52"/>
    </row>
    <row r="511">
      <c r="D511" s="52"/>
    </row>
    <row r="512">
      <c r="D512" s="52"/>
    </row>
    <row r="513">
      <c r="D513" s="52"/>
    </row>
    <row r="514">
      <c r="D514" s="52"/>
    </row>
    <row r="515">
      <c r="D515" s="52"/>
    </row>
    <row r="516">
      <c r="D516" s="52"/>
    </row>
    <row r="517">
      <c r="D517" s="52"/>
    </row>
    <row r="518">
      <c r="D518" s="52"/>
    </row>
    <row r="519">
      <c r="D519" s="52"/>
    </row>
    <row r="520">
      <c r="D520" s="52"/>
    </row>
    <row r="521">
      <c r="D521" s="52"/>
    </row>
    <row r="522">
      <c r="D522" s="52"/>
    </row>
    <row r="523">
      <c r="D523" s="52"/>
    </row>
    <row r="524">
      <c r="D524" s="52"/>
    </row>
    <row r="525">
      <c r="D525" s="52"/>
    </row>
    <row r="526">
      <c r="D526" s="52"/>
    </row>
    <row r="527">
      <c r="D527" s="52"/>
    </row>
    <row r="528">
      <c r="D528" s="52"/>
    </row>
    <row r="529">
      <c r="D529" s="52"/>
    </row>
    <row r="530">
      <c r="D530" s="52"/>
    </row>
    <row r="531">
      <c r="D531" s="52"/>
    </row>
    <row r="532">
      <c r="D532" s="52"/>
    </row>
    <row r="533">
      <c r="D533" s="52"/>
    </row>
    <row r="534">
      <c r="D534" s="52"/>
    </row>
    <row r="535">
      <c r="D535" s="52"/>
    </row>
    <row r="536">
      <c r="D536" s="52"/>
    </row>
    <row r="537">
      <c r="D537" s="52"/>
    </row>
    <row r="538">
      <c r="D538" s="52"/>
    </row>
    <row r="539">
      <c r="D539" s="52"/>
    </row>
    <row r="540">
      <c r="D540" s="52"/>
    </row>
    <row r="541">
      <c r="D541" s="52"/>
    </row>
    <row r="542">
      <c r="D542" s="52"/>
    </row>
    <row r="543">
      <c r="D543" s="52"/>
    </row>
    <row r="544">
      <c r="D544" s="52"/>
    </row>
    <row r="545">
      <c r="D545" s="52"/>
    </row>
    <row r="546">
      <c r="D546" s="52"/>
    </row>
    <row r="547">
      <c r="D547" s="52"/>
    </row>
    <row r="548">
      <c r="D548" s="52"/>
    </row>
    <row r="549">
      <c r="D549" s="52"/>
    </row>
    <row r="550">
      <c r="D550" s="52"/>
    </row>
    <row r="551">
      <c r="D551" s="52"/>
    </row>
    <row r="552">
      <c r="D552" s="52"/>
    </row>
    <row r="553">
      <c r="D553" s="52"/>
    </row>
    <row r="554">
      <c r="D554" s="52"/>
    </row>
    <row r="555">
      <c r="D555" s="52"/>
    </row>
    <row r="556">
      <c r="D556" s="52"/>
    </row>
    <row r="557">
      <c r="D557" s="52"/>
    </row>
    <row r="558">
      <c r="D558" s="52"/>
    </row>
    <row r="559">
      <c r="D559" s="52"/>
    </row>
    <row r="560">
      <c r="D560" s="52"/>
    </row>
    <row r="561">
      <c r="D561" s="52"/>
    </row>
    <row r="562">
      <c r="D562" s="52"/>
    </row>
    <row r="563">
      <c r="D563" s="52"/>
    </row>
    <row r="564">
      <c r="D564" s="52"/>
    </row>
    <row r="565">
      <c r="D565" s="52"/>
    </row>
    <row r="566">
      <c r="D566" s="52"/>
    </row>
    <row r="567">
      <c r="D567" s="52"/>
    </row>
    <row r="568">
      <c r="D568" s="52"/>
    </row>
    <row r="569">
      <c r="D569" s="52"/>
    </row>
    <row r="570">
      <c r="D570" s="52"/>
    </row>
    <row r="571">
      <c r="D571" s="52"/>
    </row>
    <row r="572">
      <c r="D572" s="52"/>
    </row>
    <row r="573">
      <c r="D573" s="52"/>
    </row>
    <row r="574">
      <c r="D574" s="52"/>
    </row>
    <row r="575">
      <c r="D575" s="52"/>
    </row>
    <row r="576">
      <c r="D576" s="52"/>
    </row>
    <row r="577">
      <c r="D577" s="52"/>
    </row>
    <row r="578">
      <c r="D578" s="52"/>
    </row>
    <row r="579">
      <c r="D579" s="52"/>
    </row>
    <row r="580">
      <c r="D580" s="52"/>
    </row>
    <row r="581">
      <c r="D581" s="52"/>
    </row>
    <row r="582">
      <c r="D582" s="52"/>
    </row>
    <row r="583">
      <c r="D583" s="52"/>
    </row>
    <row r="584">
      <c r="D584" s="52"/>
    </row>
    <row r="585">
      <c r="D585" s="52"/>
    </row>
    <row r="586">
      <c r="D586" s="52"/>
    </row>
    <row r="587">
      <c r="D587" s="52"/>
    </row>
    <row r="588">
      <c r="D588" s="52"/>
    </row>
    <row r="589">
      <c r="D589" s="52"/>
    </row>
    <row r="590">
      <c r="D590" s="52"/>
    </row>
    <row r="591">
      <c r="D591" s="52"/>
    </row>
    <row r="592">
      <c r="D592" s="52"/>
    </row>
    <row r="593">
      <c r="D593" s="52"/>
    </row>
    <row r="594">
      <c r="D594" s="52"/>
    </row>
    <row r="595">
      <c r="D595" s="52"/>
    </row>
    <row r="596">
      <c r="D596" s="52"/>
    </row>
    <row r="597">
      <c r="D597" s="52"/>
    </row>
    <row r="598">
      <c r="D598" s="52"/>
    </row>
    <row r="599">
      <c r="D599" s="52"/>
    </row>
    <row r="600">
      <c r="D600" s="52"/>
    </row>
    <row r="601">
      <c r="D601" s="52"/>
    </row>
    <row r="602">
      <c r="D602" s="52"/>
    </row>
    <row r="603">
      <c r="D603" s="52"/>
    </row>
    <row r="604">
      <c r="D604" s="52"/>
    </row>
    <row r="605">
      <c r="D605" s="52"/>
    </row>
    <row r="606">
      <c r="D606" s="52"/>
    </row>
    <row r="607">
      <c r="D607" s="52"/>
    </row>
    <row r="608">
      <c r="D608" s="52"/>
    </row>
    <row r="609">
      <c r="D609" s="52"/>
    </row>
    <row r="610">
      <c r="D610" s="52"/>
    </row>
    <row r="611">
      <c r="D611" s="52"/>
    </row>
    <row r="612">
      <c r="D612" s="52"/>
    </row>
    <row r="613">
      <c r="D613" s="52"/>
    </row>
    <row r="614">
      <c r="D614" s="52"/>
    </row>
    <row r="615">
      <c r="D615" s="52"/>
    </row>
    <row r="616">
      <c r="D616" s="52"/>
    </row>
    <row r="617">
      <c r="D617" s="52"/>
    </row>
    <row r="618">
      <c r="D618" s="52"/>
    </row>
    <row r="619">
      <c r="D619" s="52"/>
    </row>
    <row r="620">
      <c r="D620" s="52"/>
    </row>
    <row r="621">
      <c r="D621" s="52"/>
    </row>
    <row r="622">
      <c r="D622" s="52"/>
    </row>
    <row r="623">
      <c r="D623" s="52"/>
    </row>
    <row r="624">
      <c r="D624" s="52"/>
    </row>
    <row r="625">
      <c r="D625" s="52"/>
    </row>
    <row r="626">
      <c r="D626" s="52"/>
    </row>
    <row r="627">
      <c r="D627" s="52"/>
    </row>
    <row r="628">
      <c r="D628" s="52"/>
    </row>
    <row r="629">
      <c r="D629" s="52"/>
    </row>
    <row r="630">
      <c r="D630" s="52"/>
    </row>
    <row r="631">
      <c r="D631" s="52"/>
    </row>
    <row r="632">
      <c r="D632" s="52"/>
    </row>
    <row r="633">
      <c r="D633" s="52"/>
    </row>
    <row r="634">
      <c r="D634" s="52"/>
    </row>
    <row r="635">
      <c r="D635" s="52"/>
    </row>
    <row r="636">
      <c r="D636" s="52"/>
    </row>
    <row r="637">
      <c r="D637" s="52"/>
    </row>
    <row r="638">
      <c r="D638" s="52"/>
    </row>
    <row r="639">
      <c r="D639" s="52"/>
    </row>
    <row r="640">
      <c r="D640" s="52"/>
    </row>
    <row r="641">
      <c r="D641" s="52"/>
    </row>
    <row r="642">
      <c r="D642" s="52"/>
    </row>
    <row r="643">
      <c r="D643" s="52"/>
    </row>
    <row r="644">
      <c r="D644" s="52"/>
    </row>
    <row r="645">
      <c r="D645" s="52"/>
    </row>
    <row r="646">
      <c r="D646" s="52"/>
    </row>
    <row r="647">
      <c r="D647" s="52"/>
    </row>
    <row r="648">
      <c r="D648" s="52"/>
    </row>
    <row r="649">
      <c r="D649" s="52"/>
    </row>
    <row r="650">
      <c r="D650" s="52"/>
    </row>
    <row r="651">
      <c r="D651" s="52"/>
    </row>
    <row r="652">
      <c r="D652" s="52"/>
    </row>
    <row r="653">
      <c r="D653" s="52"/>
    </row>
    <row r="654">
      <c r="D654" s="52"/>
    </row>
    <row r="655">
      <c r="D655" s="52"/>
    </row>
    <row r="656">
      <c r="D656" s="52"/>
    </row>
    <row r="657">
      <c r="D657" s="52"/>
    </row>
    <row r="658">
      <c r="D658" s="52"/>
    </row>
    <row r="659">
      <c r="D659" s="52"/>
    </row>
    <row r="660">
      <c r="D660" s="52"/>
    </row>
    <row r="661">
      <c r="D661" s="52"/>
    </row>
    <row r="662">
      <c r="D662" s="52"/>
    </row>
    <row r="663">
      <c r="D663" s="52"/>
    </row>
    <row r="664">
      <c r="D664" s="52"/>
    </row>
    <row r="665">
      <c r="D665" s="52"/>
    </row>
    <row r="666">
      <c r="D666" s="52"/>
    </row>
    <row r="667">
      <c r="D667" s="52"/>
    </row>
    <row r="668">
      <c r="D668" s="52"/>
    </row>
    <row r="669">
      <c r="D669" s="52"/>
    </row>
    <row r="670">
      <c r="D670" s="52"/>
    </row>
    <row r="671">
      <c r="D671" s="52"/>
    </row>
    <row r="672">
      <c r="D672" s="52"/>
    </row>
    <row r="673">
      <c r="D673" s="52"/>
    </row>
    <row r="674">
      <c r="D674" s="52"/>
    </row>
    <row r="675">
      <c r="D675" s="52"/>
    </row>
    <row r="676">
      <c r="D676" s="52"/>
    </row>
    <row r="677">
      <c r="D677" s="52"/>
    </row>
    <row r="678">
      <c r="D678" s="52"/>
    </row>
    <row r="679">
      <c r="D679" s="52"/>
    </row>
    <row r="680">
      <c r="D680" s="52"/>
    </row>
    <row r="681">
      <c r="D681" s="52"/>
    </row>
    <row r="682">
      <c r="D682" s="52"/>
    </row>
    <row r="683">
      <c r="D683" s="52"/>
    </row>
    <row r="684">
      <c r="D684" s="52"/>
    </row>
    <row r="685">
      <c r="D685" s="52"/>
    </row>
    <row r="686">
      <c r="D686" s="52"/>
    </row>
    <row r="687">
      <c r="D687" s="52"/>
    </row>
    <row r="688">
      <c r="D688" s="52"/>
    </row>
    <row r="689">
      <c r="D689" s="52"/>
    </row>
    <row r="690">
      <c r="D690" s="52"/>
    </row>
    <row r="691">
      <c r="D691" s="52"/>
    </row>
    <row r="692">
      <c r="D692" s="52"/>
    </row>
    <row r="693">
      <c r="D693" s="52"/>
    </row>
    <row r="694">
      <c r="D694" s="52"/>
    </row>
    <row r="695">
      <c r="D695" s="52"/>
    </row>
    <row r="696">
      <c r="D696" s="52"/>
    </row>
    <row r="697">
      <c r="D697" s="52"/>
    </row>
    <row r="698">
      <c r="D698" s="52"/>
    </row>
    <row r="699">
      <c r="D699" s="52"/>
    </row>
    <row r="700">
      <c r="D700" s="52"/>
    </row>
    <row r="701">
      <c r="D701" s="52"/>
    </row>
    <row r="702">
      <c r="D702" s="52"/>
    </row>
    <row r="703">
      <c r="D703" s="52"/>
    </row>
    <row r="704">
      <c r="D704" s="52"/>
    </row>
    <row r="705">
      <c r="D705" s="52"/>
    </row>
    <row r="706">
      <c r="D706" s="52"/>
    </row>
    <row r="707">
      <c r="D707" s="52"/>
    </row>
    <row r="708">
      <c r="D708" s="52"/>
    </row>
    <row r="709">
      <c r="D709" s="52"/>
    </row>
    <row r="710">
      <c r="D710" s="52"/>
    </row>
    <row r="711">
      <c r="D711" s="52"/>
    </row>
    <row r="712">
      <c r="D712" s="52"/>
    </row>
    <row r="713">
      <c r="D713" s="52"/>
    </row>
    <row r="714">
      <c r="D714" s="52"/>
    </row>
    <row r="715">
      <c r="D715" s="52"/>
    </row>
    <row r="716">
      <c r="D716" s="52"/>
    </row>
    <row r="717">
      <c r="D717" s="52"/>
    </row>
    <row r="718">
      <c r="D718" s="52"/>
    </row>
    <row r="719">
      <c r="D719" s="52"/>
    </row>
    <row r="720">
      <c r="D720" s="52"/>
    </row>
    <row r="721">
      <c r="D721" s="52"/>
    </row>
    <row r="722">
      <c r="D722" s="52"/>
    </row>
    <row r="723">
      <c r="D723" s="52"/>
    </row>
    <row r="724">
      <c r="D724" s="52"/>
    </row>
    <row r="725">
      <c r="D725" s="52"/>
    </row>
    <row r="726">
      <c r="D726" s="52"/>
    </row>
    <row r="727">
      <c r="D727" s="52"/>
    </row>
    <row r="728">
      <c r="D728" s="52"/>
    </row>
    <row r="729">
      <c r="D729" s="52"/>
    </row>
    <row r="730">
      <c r="D730" s="52"/>
    </row>
    <row r="731">
      <c r="D731" s="52"/>
    </row>
    <row r="732">
      <c r="D732" s="52"/>
    </row>
    <row r="733">
      <c r="D733" s="52"/>
    </row>
    <row r="734">
      <c r="D734" s="52"/>
    </row>
    <row r="735">
      <c r="D735" s="52"/>
    </row>
    <row r="736">
      <c r="D736" s="52"/>
    </row>
    <row r="737">
      <c r="D737" s="52"/>
    </row>
    <row r="738">
      <c r="D738" s="52"/>
    </row>
    <row r="739">
      <c r="D739" s="52"/>
    </row>
    <row r="740">
      <c r="D740" s="52"/>
    </row>
    <row r="741">
      <c r="D741" s="52"/>
    </row>
    <row r="742">
      <c r="D742" s="52"/>
    </row>
    <row r="743">
      <c r="D743" s="52"/>
    </row>
    <row r="744">
      <c r="D744" s="52"/>
    </row>
    <row r="745">
      <c r="D745" s="52"/>
    </row>
    <row r="746">
      <c r="D746" s="52"/>
    </row>
    <row r="747">
      <c r="D747" s="52"/>
    </row>
    <row r="748">
      <c r="D748" s="52"/>
    </row>
    <row r="749">
      <c r="D749" s="52"/>
    </row>
    <row r="750">
      <c r="D750" s="52"/>
    </row>
    <row r="751">
      <c r="D751" s="52"/>
    </row>
    <row r="752">
      <c r="D752" s="52"/>
    </row>
    <row r="753">
      <c r="D753" s="52"/>
    </row>
    <row r="754">
      <c r="D754" s="52"/>
    </row>
    <row r="755">
      <c r="D755" s="52"/>
    </row>
    <row r="756">
      <c r="D756" s="52"/>
    </row>
    <row r="757">
      <c r="D757" s="52"/>
    </row>
    <row r="758">
      <c r="D758" s="52"/>
    </row>
    <row r="759">
      <c r="D759" s="52"/>
    </row>
    <row r="760">
      <c r="D760" s="52"/>
    </row>
    <row r="761">
      <c r="D761" s="52"/>
    </row>
    <row r="762">
      <c r="D762" s="52"/>
    </row>
    <row r="763">
      <c r="D763" s="52"/>
    </row>
    <row r="764">
      <c r="D764" s="52"/>
    </row>
    <row r="765">
      <c r="D765" s="52"/>
    </row>
    <row r="766">
      <c r="D766" s="52"/>
    </row>
    <row r="767">
      <c r="D767" s="52"/>
    </row>
    <row r="768">
      <c r="D768" s="52"/>
    </row>
    <row r="769">
      <c r="D769" s="52"/>
    </row>
    <row r="770">
      <c r="D770" s="52"/>
    </row>
    <row r="771">
      <c r="D771" s="52"/>
    </row>
    <row r="772">
      <c r="D772" s="52"/>
    </row>
    <row r="773">
      <c r="D773" s="52"/>
    </row>
    <row r="774">
      <c r="D774" s="52"/>
    </row>
    <row r="775">
      <c r="D775" s="52"/>
    </row>
    <row r="776">
      <c r="D776" s="52"/>
    </row>
    <row r="777">
      <c r="D777" s="52"/>
    </row>
    <row r="778">
      <c r="D778" s="52"/>
    </row>
    <row r="779">
      <c r="D779" s="52"/>
    </row>
    <row r="780">
      <c r="D780" s="52"/>
    </row>
    <row r="781">
      <c r="D781" s="52"/>
    </row>
    <row r="782">
      <c r="D782" s="52"/>
    </row>
    <row r="783">
      <c r="D783" s="52"/>
    </row>
    <row r="784">
      <c r="D784" s="52"/>
    </row>
    <row r="785">
      <c r="D785" s="52"/>
    </row>
    <row r="786">
      <c r="D786" s="52"/>
    </row>
    <row r="787">
      <c r="D787" s="52"/>
    </row>
    <row r="788">
      <c r="D788" s="52"/>
    </row>
    <row r="789">
      <c r="D789" s="52"/>
    </row>
    <row r="790">
      <c r="D790" s="52"/>
    </row>
    <row r="791">
      <c r="D791" s="52"/>
    </row>
    <row r="792">
      <c r="D792" s="52"/>
    </row>
    <row r="793">
      <c r="D793" s="52"/>
    </row>
    <row r="794">
      <c r="D794" s="52"/>
    </row>
    <row r="795">
      <c r="D795" s="52"/>
    </row>
    <row r="796">
      <c r="D796" s="52"/>
    </row>
    <row r="797">
      <c r="D797" s="52"/>
    </row>
    <row r="798">
      <c r="D798" s="52"/>
    </row>
    <row r="799">
      <c r="D799" s="52"/>
    </row>
    <row r="800">
      <c r="D800" s="52"/>
    </row>
    <row r="801">
      <c r="D801" s="52"/>
    </row>
    <row r="802">
      <c r="D802" s="52"/>
    </row>
    <row r="803">
      <c r="D803" s="52"/>
    </row>
    <row r="804">
      <c r="D804" s="52"/>
    </row>
    <row r="805">
      <c r="D805" s="52"/>
    </row>
    <row r="806">
      <c r="D806" s="52"/>
    </row>
    <row r="807">
      <c r="D807" s="52"/>
    </row>
    <row r="808">
      <c r="D808" s="52"/>
    </row>
    <row r="809">
      <c r="D809" s="52"/>
    </row>
    <row r="810">
      <c r="D810" s="52"/>
    </row>
    <row r="811">
      <c r="D811" s="52"/>
    </row>
    <row r="812">
      <c r="D812" s="52"/>
    </row>
    <row r="813">
      <c r="D813" s="52"/>
    </row>
    <row r="814">
      <c r="D814" s="52"/>
    </row>
    <row r="815">
      <c r="D815" s="52"/>
    </row>
    <row r="816">
      <c r="D816" s="52"/>
    </row>
    <row r="817">
      <c r="D817" s="52"/>
    </row>
    <row r="818">
      <c r="D818" s="52"/>
    </row>
    <row r="819">
      <c r="D819" s="52"/>
    </row>
    <row r="820">
      <c r="D820" s="52"/>
    </row>
    <row r="821">
      <c r="D821" s="52"/>
    </row>
    <row r="822">
      <c r="D822" s="52"/>
    </row>
    <row r="823">
      <c r="D823" s="52"/>
    </row>
    <row r="824">
      <c r="D824" s="52"/>
    </row>
    <row r="825">
      <c r="D825" s="52"/>
    </row>
    <row r="826">
      <c r="D826" s="52"/>
    </row>
    <row r="827">
      <c r="D827" s="52"/>
    </row>
    <row r="828">
      <c r="D828" s="52"/>
    </row>
    <row r="829">
      <c r="D829" s="52"/>
    </row>
    <row r="830">
      <c r="D830" s="52"/>
    </row>
    <row r="831">
      <c r="D831" s="52"/>
    </row>
    <row r="832">
      <c r="D832" s="52"/>
    </row>
    <row r="833">
      <c r="D833" s="52"/>
    </row>
    <row r="834">
      <c r="D834" s="52"/>
    </row>
    <row r="835">
      <c r="D835" s="52"/>
    </row>
    <row r="836">
      <c r="D836" s="52"/>
    </row>
    <row r="837">
      <c r="D837" s="52"/>
    </row>
    <row r="838">
      <c r="D838" s="52"/>
    </row>
    <row r="839">
      <c r="D839" s="52"/>
    </row>
    <row r="840">
      <c r="D840" s="52"/>
    </row>
    <row r="841">
      <c r="D841" s="52"/>
    </row>
    <row r="842">
      <c r="D842" s="52"/>
    </row>
    <row r="843">
      <c r="D843" s="52"/>
    </row>
  </sheetData>
  <mergeCells count="7">
    <mergeCell ref="A1:F1"/>
    <mergeCell ref="A2:A3"/>
    <mergeCell ref="B2:B3"/>
    <mergeCell ref="C2:C3"/>
    <mergeCell ref="D2:D3"/>
    <mergeCell ref="E2:F2"/>
    <mergeCell ref="A7:E7"/>
  </mergeCells>
  <dataValidations>
    <dataValidation type="list" allowBlank="1" sqref="H4">
      <formula1>"CHECKED (OK),CHECKED  (NOT OK)"</formula1>
    </dataValidation>
  </dataValidations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3" max="3" width="26.75"/>
    <col customWidth="1" min="4" max="4" width="33.25"/>
    <col customWidth="1" min="7" max="7" width="3.5"/>
    <col customWidth="1" min="8" max="8" width="18.63"/>
    <col customWidth="1" min="9" max="9" width="21.63"/>
  </cols>
  <sheetData>
    <row r="1">
      <c r="A1" s="30" t="s">
        <v>1148</v>
      </c>
      <c r="G1" s="31"/>
      <c r="H1" s="32" t="s">
        <v>1149</v>
      </c>
      <c r="I1" s="33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4" t="s">
        <v>1</v>
      </c>
      <c r="B2" s="35" t="s">
        <v>11</v>
      </c>
      <c r="C2" s="35" t="s">
        <v>12</v>
      </c>
      <c r="D2" s="36" t="s">
        <v>13</v>
      </c>
      <c r="E2" s="37" t="s">
        <v>14</v>
      </c>
      <c r="F2" s="38"/>
      <c r="G2" s="39"/>
      <c r="H2" s="40"/>
      <c r="I2" s="40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41"/>
      <c r="B3" s="38"/>
      <c r="C3" s="38"/>
      <c r="D3" s="38"/>
      <c r="E3" s="42" t="s">
        <v>15</v>
      </c>
      <c r="F3" s="43" t="s">
        <v>5</v>
      </c>
      <c r="G3" s="39"/>
      <c r="H3" s="44" t="s">
        <v>6</v>
      </c>
      <c r="I3" s="45" t="s">
        <v>7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22.5" customHeight="1">
      <c r="A4" s="46">
        <v>1.0</v>
      </c>
      <c r="B4" s="47">
        <v>1014308.0</v>
      </c>
      <c r="C4" s="48" t="str">
        <f>vlookup(B4,'Crew Data'!C:G,5,0)</f>
        <v>Asama Thunyavacharakul</v>
      </c>
      <c r="D4" s="49" t="s">
        <v>1150</v>
      </c>
      <c r="E4" s="47">
        <v>2.0</v>
      </c>
      <c r="F4" s="50">
        <f>E4*400</f>
        <v>800</v>
      </c>
      <c r="G4" s="22">
        <f>COUNTIF(B:B,B4)</f>
        <v>1</v>
      </c>
      <c r="H4" s="51" t="s">
        <v>20</v>
      </c>
      <c r="I4" s="179" t="s">
        <v>1151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A5" s="28"/>
      <c r="B5" s="28"/>
      <c r="C5" s="28"/>
      <c r="D5" s="250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251" t="s">
        <v>1152</v>
      </c>
      <c r="B6" s="252"/>
      <c r="C6" s="253"/>
      <c r="D6" s="250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A7" s="254" t="s">
        <v>1153</v>
      </c>
      <c r="B7" s="255" t="s">
        <v>1154</v>
      </c>
      <c r="C7" s="256" t="s">
        <v>1155</v>
      </c>
      <c r="D7" s="250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257" t="s">
        <v>1156</v>
      </c>
      <c r="B8" s="258" t="s">
        <v>1157</v>
      </c>
      <c r="C8" s="259" t="s">
        <v>1158</v>
      </c>
      <c r="D8" s="250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>
      <c r="A9" s="257" t="s">
        <v>1159</v>
      </c>
      <c r="B9" s="258" t="s">
        <v>1157</v>
      </c>
      <c r="C9" s="259" t="s">
        <v>1158</v>
      </c>
      <c r="D9" s="250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>
      <c r="A10" s="257" t="s">
        <v>1160</v>
      </c>
      <c r="B10" s="260" t="s">
        <v>1157</v>
      </c>
      <c r="C10" s="259" t="s">
        <v>1158</v>
      </c>
      <c r="D10" s="250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31"/>
      <c r="B11" s="31"/>
      <c r="C11" s="31"/>
      <c r="D11" s="250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>
      <c r="A12" s="261" t="s">
        <v>1161</v>
      </c>
      <c r="B12" s="262"/>
      <c r="C12" s="31"/>
      <c r="D12" s="250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28"/>
      <c r="B13" s="28"/>
      <c r="C13" s="28"/>
      <c r="D13" s="250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>
      <c r="A14" s="28"/>
      <c r="B14" s="28"/>
      <c r="C14" s="28"/>
      <c r="D14" s="250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28"/>
      <c r="B15" s="28"/>
      <c r="C15" s="28"/>
      <c r="D15" s="250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28"/>
      <c r="B16" s="28"/>
      <c r="C16" s="28"/>
      <c r="D16" s="250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28"/>
      <c r="B17" s="28"/>
      <c r="C17" s="28"/>
      <c r="D17" s="250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28"/>
      <c r="B18" s="28"/>
      <c r="C18" s="28"/>
      <c r="D18" s="250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28"/>
      <c r="B19" s="28"/>
      <c r="C19" s="28"/>
      <c r="D19" s="250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28"/>
      <c r="B20" s="28"/>
      <c r="C20" s="28"/>
      <c r="D20" s="250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28"/>
      <c r="B21" s="28"/>
      <c r="C21" s="28"/>
      <c r="D21" s="250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>
      <c r="A22" s="28"/>
      <c r="B22" s="28"/>
      <c r="C22" s="28"/>
      <c r="D22" s="250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>
      <c r="A23" s="28"/>
      <c r="B23" s="28"/>
      <c r="C23" s="28"/>
      <c r="D23" s="250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>
      <c r="A24" s="28"/>
      <c r="B24" s="28"/>
      <c r="C24" s="28"/>
      <c r="D24" s="250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>
      <c r="A25" s="28"/>
      <c r="B25" s="28"/>
      <c r="C25" s="28"/>
      <c r="D25" s="250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>
      <c r="A26" s="28"/>
      <c r="B26" s="28"/>
      <c r="C26" s="28"/>
      <c r="D26" s="250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>
      <c r="A27" s="28"/>
      <c r="B27" s="28"/>
      <c r="C27" s="28"/>
      <c r="D27" s="250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>
      <c r="A28" s="28"/>
      <c r="B28" s="28"/>
      <c r="C28" s="28"/>
      <c r="D28" s="250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>
      <c r="A29" s="28"/>
      <c r="B29" s="28"/>
      <c r="C29" s="28"/>
      <c r="D29" s="250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>
      <c r="A30" s="28"/>
      <c r="B30" s="28"/>
      <c r="C30" s="28"/>
      <c r="D30" s="250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>
      <c r="A31" s="28"/>
      <c r="B31" s="28"/>
      <c r="C31" s="28"/>
      <c r="D31" s="250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>
      <c r="A32" s="28"/>
      <c r="B32" s="28"/>
      <c r="C32" s="28"/>
      <c r="D32" s="250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>
      <c r="A33" s="28"/>
      <c r="B33" s="28"/>
      <c r="C33" s="28"/>
      <c r="D33" s="250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>
      <c r="A34" s="28"/>
      <c r="B34" s="28"/>
      <c r="C34" s="28"/>
      <c r="D34" s="250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>
      <c r="A35" s="28"/>
      <c r="B35" s="28"/>
      <c r="C35" s="28"/>
      <c r="D35" s="250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>
      <c r="A36" s="28"/>
      <c r="B36" s="28"/>
      <c r="C36" s="28"/>
      <c r="D36" s="250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>
      <c r="A37" s="28"/>
      <c r="B37" s="28"/>
      <c r="C37" s="28"/>
      <c r="D37" s="250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>
      <c r="A38" s="28"/>
      <c r="B38" s="28"/>
      <c r="C38" s="28"/>
      <c r="D38" s="250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>
      <c r="A39" s="28"/>
      <c r="B39" s="28"/>
      <c r="C39" s="28"/>
      <c r="D39" s="250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>
      <c r="A40" s="28"/>
      <c r="B40" s="28"/>
      <c r="C40" s="28"/>
      <c r="D40" s="250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>
      <c r="A41" s="28"/>
      <c r="B41" s="28"/>
      <c r="C41" s="28"/>
      <c r="D41" s="250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>
      <c r="A42" s="28"/>
      <c r="B42" s="28"/>
      <c r="C42" s="28"/>
      <c r="D42" s="250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>
      <c r="A43" s="28"/>
      <c r="B43" s="28"/>
      <c r="C43" s="28"/>
      <c r="D43" s="250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>
      <c r="A44" s="28"/>
      <c r="B44" s="28"/>
      <c r="C44" s="28"/>
      <c r="D44" s="250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>
      <c r="A45" s="28"/>
      <c r="B45" s="28"/>
      <c r="C45" s="28"/>
      <c r="D45" s="250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>
      <c r="A46" s="28"/>
      <c r="B46" s="28"/>
      <c r="C46" s="28"/>
      <c r="D46" s="250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>
      <c r="A47" s="28"/>
      <c r="B47" s="28"/>
      <c r="C47" s="28"/>
      <c r="D47" s="250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>
      <c r="A48" s="28"/>
      <c r="B48" s="28"/>
      <c r="C48" s="28"/>
      <c r="D48" s="250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>
      <c r="A49" s="28"/>
      <c r="B49" s="28"/>
      <c r="C49" s="28"/>
      <c r="D49" s="250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>
      <c r="A50" s="28"/>
      <c r="B50" s="28"/>
      <c r="C50" s="28"/>
      <c r="D50" s="250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>
      <c r="A51" s="28"/>
      <c r="B51" s="28"/>
      <c r="C51" s="28"/>
      <c r="D51" s="250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>
      <c r="A52" s="28"/>
      <c r="B52" s="28"/>
      <c r="C52" s="28"/>
      <c r="D52" s="250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>
      <c r="A53" s="28"/>
      <c r="B53" s="28"/>
      <c r="C53" s="28"/>
      <c r="D53" s="250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>
      <c r="A54" s="28"/>
      <c r="B54" s="28"/>
      <c r="C54" s="28"/>
      <c r="D54" s="250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>
      <c r="A55" s="28"/>
      <c r="B55" s="28"/>
      <c r="C55" s="28"/>
      <c r="D55" s="250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>
      <c r="A56" s="28"/>
      <c r="B56" s="28"/>
      <c r="C56" s="28"/>
      <c r="D56" s="250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>
      <c r="A57" s="28"/>
      <c r="B57" s="28"/>
      <c r="C57" s="28"/>
      <c r="D57" s="250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>
      <c r="A58" s="28"/>
      <c r="B58" s="28"/>
      <c r="C58" s="28"/>
      <c r="D58" s="250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>
      <c r="A59" s="28"/>
      <c r="B59" s="28"/>
      <c r="C59" s="28"/>
      <c r="D59" s="250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>
      <c r="A60" s="28"/>
      <c r="B60" s="28"/>
      <c r="C60" s="28"/>
      <c r="D60" s="250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>
      <c r="A61" s="28"/>
      <c r="B61" s="28"/>
      <c r="C61" s="28"/>
      <c r="D61" s="250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>
      <c r="A62" s="28"/>
      <c r="B62" s="28"/>
      <c r="C62" s="28"/>
      <c r="D62" s="250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>
      <c r="A63" s="28"/>
      <c r="B63" s="28"/>
      <c r="C63" s="28"/>
      <c r="D63" s="250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>
      <c r="A64" s="28"/>
      <c r="B64" s="28"/>
      <c r="C64" s="28"/>
      <c r="D64" s="250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>
      <c r="A65" s="28"/>
      <c r="B65" s="28"/>
      <c r="C65" s="28"/>
      <c r="D65" s="250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>
      <c r="A66" s="28"/>
      <c r="B66" s="28"/>
      <c r="C66" s="28"/>
      <c r="D66" s="250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>
      <c r="A67" s="28"/>
      <c r="B67" s="28"/>
      <c r="C67" s="28"/>
      <c r="D67" s="250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>
      <c r="A68" s="28"/>
      <c r="B68" s="28"/>
      <c r="C68" s="28"/>
      <c r="D68" s="250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>
      <c r="A69" s="28"/>
      <c r="B69" s="28"/>
      <c r="C69" s="28"/>
      <c r="D69" s="250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>
      <c r="A70" s="28"/>
      <c r="B70" s="28"/>
      <c r="C70" s="28"/>
      <c r="D70" s="250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>
      <c r="A71" s="28"/>
      <c r="B71" s="28"/>
      <c r="C71" s="28"/>
      <c r="D71" s="250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>
      <c r="A72" s="28"/>
      <c r="B72" s="28"/>
      <c r="C72" s="28"/>
      <c r="D72" s="250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>
      <c r="A73" s="28"/>
      <c r="B73" s="28"/>
      <c r="C73" s="28"/>
      <c r="D73" s="250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>
      <c r="A74" s="28"/>
      <c r="B74" s="28"/>
      <c r="C74" s="28"/>
      <c r="D74" s="250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>
      <c r="A75" s="28"/>
      <c r="B75" s="28"/>
      <c r="C75" s="28"/>
      <c r="D75" s="250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>
      <c r="A76" s="28"/>
      <c r="B76" s="28"/>
      <c r="C76" s="28"/>
      <c r="D76" s="250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>
      <c r="A77" s="28"/>
      <c r="B77" s="28"/>
      <c r="C77" s="28"/>
      <c r="D77" s="250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>
      <c r="A78" s="28"/>
      <c r="B78" s="28"/>
      <c r="C78" s="28"/>
      <c r="D78" s="250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>
      <c r="A79" s="28"/>
      <c r="B79" s="28"/>
      <c r="C79" s="28"/>
      <c r="D79" s="250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>
      <c r="A80" s="28"/>
      <c r="B80" s="28"/>
      <c r="C80" s="28"/>
      <c r="D80" s="250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>
      <c r="A81" s="28"/>
      <c r="B81" s="28"/>
      <c r="C81" s="28"/>
      <c r="D81" s="250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>
      <c r="A82" s="28"/>
      <c r="B82" s="28"/>
      <c r="C82" s="28"/>
      <c r="D82" s="250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>
      <c r="A83" s="28"/>
      <c r="B83" s="28"/>
      <c r="C83" s="28"/>
      <c r="D83" s="250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>
      <c r="A84" s="28"/>
      <c r="B84" s="28"/>
      <c r="C84" s="28"/>
      <c r="D84" s="250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>
      <c r="A85" s="28"/>
      <c r="B85" s="28"/>
      <c r="C85" s="28"/>
      <c r="D85" s="250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>
      <c r="A86" s="28"/>
      <c r="B86" s="28"/>
      <c r="C86" s="28"/>
      <c r="D86" s="250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>
      <c r="A87" s="28"/>
      <c r="B87" s="28"/>
      <c r="C87" s="28"/>
      <c r="D87" s="250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>
      <c r="A88" s="28"/>
      <c r="B88" s="28"/>
      <c r="C88" s="28"/>
      <c r="D88" s="250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>
      <c r="A89" s="28"/>
      <c r="B89" s="28"/>
      <c r="C89" s="28"/>
      <c r="D89" s="250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>
      <c r="A90" s="28"/>
      <c r="B90" s="28"/>
      <c r="C90" s="28"/>
      <c r="D90" s="250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>
      <c r="A91" s="28"/>
      <c r="B91" s="28"/>
      <c r="C91" s="28"/>
      <c r="D91" s="250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>
      <c r="A92" s="28"/>
      <c r="B92" s="28"/>
      <c r="C92" s="28"/>
      <c r="D92" s="250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>
      <c r="A93" s="28"/>
      <c r="B93" s="28"/>
      <c r="C93" s="28"/>
      <c r="D93" s="250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>
      <c r="A94" s="28"/>
      <c r="B94" s="28"/>
      <c r="C94" s="28"/>
      <c r="D94" s="250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>
      <c r="A95" s="28"/>
      <c r="B95" s="28"/>
      <c r="C95" s="28"/>
      <c r="D95" s="250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>
      <c r="A96" s="28"/>
      <c r="B96" s="28"/>
      <c r="C96" s="28"/>
      <c r="D96" s="250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>
      <c r="A97" s="28"/>
      <c r="B97" s="28"/>
      <c r="C97" s="28"/>
      <c r="D97" s="250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>
      <c r="A98" s="28"/>
      <c r="B98" s="28"/>
      <c r="C98" s="28"/>
      <c r="D98" s="250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>
      <c r="A99" s="28"/>
      <c r="B99" s="28"/>
      <c r="C99" s="28"/>
      <c r="D99" s="250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>
      <c r="A100" s="28"/>
      <c r="B100" s="28"/>
      <c r="C100" s="28"/>
      <c r="D100" s="250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>
      <c r="A101" s="28"/>
      <c r="B101" s="28"/>
      <c r="C101" s="28"/>
      <c r="D101" s="250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>
      <c r="A102" s="28"/>
      <c r="B102" s="28"/>
      <c r="C102" s="28"/>
      <c r="D102" s="250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>
      <c r="A103" s="28"/>
      <c r="B103" s="28"/>
      <c r="C103" s="28"/>
      <c r="D103" s="250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>
      <c r="A104" s="28"/>
      <c r="B104" s="28"/>
      <c r="C104" s="28"/>
      <c r="D104" s="250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>
      <c r="A105" s="28"/>
      <c r="B105" s="28"/>
      <c r="C105" s="28"/>
      <c r="D105" s="250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>
      <c r="A106" s="28"/>
      <c r="B106" s="28"/>
      <c r="C106" s="28"/>
      <c r="D106" s="250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>
      <c r="A107" s="28"/>
      <c r="B107" s="28"/>
      <c r="C107" s="28"/>
      <c r="D107" s="250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>
      <c r="A108" s="28"/>
      <c r="B108" s="28"/>
      <c r="C108" s="28"/>
      <c r="D108" s="250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>
      <c r="A109" s="28"/>
      <c r="B109" s="28"/>
      <c r="C109" s="28"/>
      <c r="D109" s="250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>
      <c r="A110" s="28"/>
      <c r="B110" s="28"/>
      <c r="C110" s="28"/>
      <c r="D110" s="250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>
      <c r="A111" s="28"/>
      <c r="B111" s="28"/>
      <c r="C111" s="28"/>
      <c r="D111" s="250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>
      <c r="A112" s="28"/>
      <c r="B112" s="28"/>
      <c r="C112" s="28"/>
      <c r="D112" s="250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>
      <c r="A113" s="28"/>
      <c r="B113" s="28"/>
      <c r="C113" s="28"/>
      <c r="D113" s="250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>
      <c r="A114" s="28"/>
      <c r="B114" s="28"/>
      <c r="C114" s="28"/>
      <c r="D114" s="250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>
      <c r="A115" s="28"/>
      <c r="B115" s="28"/>
      <c r="C115" s="28"/>
      <c r="D115" s="250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>
      <c r="A116" s="28"/>
      <c r="B116" s="28"/>
      <c r="C116" s="28"/>
      <c r="D116" s="250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>
      <c r="A117" s="28"/>
      <c r="B117" s="28"/>
      <c r="C117" s="28"/>
      <c r="D117" s="250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>
      <c r="A118" s="28"/>
      <c r="B118" s="28"/>
      <c r="C118" s="28"/>
      <c r="D118" s="250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>
      <c r="A119" s="28"/>
      <c r="B119" s="28"/>
      <c r="C119" s="28"/>
      <c r="D119" s="250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>
      <c r="A120" s="28"/>
      <c r="B120" s="28"/>
      <c r="C120" s="28"/>
      <c r="D120" s="250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>
      <c r="A121" s="28"/>
      <c r="B121" s="28"/>
      <c r="C121" s="28"/>
      <c r="D121" s="250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>
      <c r="A122" s="28"/>
      <c r="B122" s="28"/>
      <c r="C122" s="28"/>
      <c r="D122" s="250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>
      <c r="A123" s="28"/>
      <c r="B123" s="28"/>
      <c r="C123" s="28"/>
      <c r="D123" s="250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>
      <c r="A124" s="28"/>
      <c r="B124" s="28"/>
      <c r="C124" s="28"/>
      <c r="D124" s="250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>
      <c r="A125" s="28"/>
      <c r="B125" s="28"/>
      <c r="C125" s="28"/>
      <c r="D125" s="250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>
      <c r="A126" s="28"/>
      <c r="B126" s="28"/>
      <c r="C126" s="28"/>
      <c r="D126" s="250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>
      <c r="A127" s="28"/>
      <c r="B127" s="28"/>
      <c r="C127" s="28"/>
      <c r="D127" s="250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>
      <c r="A128" s="28"/>
      <c r="B128" s="28"/>
      <c r="C128" s="28"/>
      <c r="D128" s="250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>
      <c r="A129" s="28"/>
      <c r="B129" s="28"/>
      <c r="C129" s="28"/>
      <c r="D129" s="250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>
      <c r="A130" s="28"/>
      <c r="B130" s="28"/>
      <c r="C130" s="28"/>
      <c r="D130" s="250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>
      <c r="A131" s="28"/>
      <c r="B131" s="28"/>
      <c r="C131" s="28"/>
      <c r="D131" s="250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>
      <c r="A132" s="28"/>
      <c r="B132" s="28"/>
      <c r="C132" s="28"/>
      <c r="D132" s="250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>
      <c r="A133" s="28"/>
      <c r="B133" s="28"/>
      <c r="C133" s="28"/>
      <c r="D133" s="250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>
      <c r="A134" s="28"/>
      <c r="B134" s="28"/>
      <c r="C134" s="28"/>
      <c r="D134" s="250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>
      <c r="A135" s="28"/>
      <c r="B135" s="28"/>
      <c r="C135" s="28"/>
      <c r="D135" s="250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>
      <c r="A136" s="28"/>
      <c r="B136" s="28"/>
      <c r="C136" s="28"/>
      <c r="D136" s="250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>
      <c r="A137" s="28"/>
      <c r="B137" s="28"/>
      <c r="C137" s="28"/>
      <c r="D137" s="250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>
      <c r="A138" s="28"/>
      <c r="B138" s="28"/>
      <c r="C138" s="28"/>
      <c r="D138" s="250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>
      <c r="A139" s="28"/>
      <c r="B139" s="28"/>
      <c r="C139" s="28"/>
      <c r="D139" s="250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>
      <c r="A140" s="28"/>
      <c r="B140" s="28"/>
      <c r="C140" s="28"/>
      <c r="D140" s="250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>
      <c r="A141" s="28"/>
      <c r="B141" s="28"/>
      <c r="C141" s="28"/>
      <c r="D141" s="250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>
      <c r="A142" s="28"/>
      <c r="B142" s="28"/>
      <c r="C142" s="28"/>
      <c r="D142" s="250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>
      <c r="A143" s="28"/>
      <c r="B143" s="28"/>
      <c r="C143" s="28"/>
      <c r="D143" s="250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>
      <c r="A144" s="28"/>
      <c r="B144" s="28"/>
      <c r="C144" s="28"/>
      <c r="D144" s="250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>
      <c r="A145" s="28"/>
      <c r="B145" s="28"/>
      <c r="C145" s="28"/>
      <c r="D145" s="250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>
      <c r="A146" s="28"/>
      <c r="B146" s="28"/>
      <c r="C146" s="28"/>
      <c r="D146" s="250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>
      <c r="A147" s="28"/>
      <c r="B147" s="28"/>
      <c r="C147" s="28"/>
      <c r="D147" s="250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>
      <c r="A148" s="28"/>
      <c r="B148" s="28"/>
      <c r="C148" s="28"/>
      <c r="D148" s="250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>
      <c r="A149" s="28"/>
      <c r="B149" s="28"/>
      <c r="C149" s="28"/>
      <c r="D149" s="250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>
      <c r="A150" s="28"/>
      <c r="B150" s="28"/>
      <c r="C150" s="28"/>
      <c r="D150" s="250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>
      <c r="A151" s="28"/>
      <c r="B151" s="28"/>
      <c r="C151" s="28"/>
      <c r="D151" s="250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>
      <c r="A152" s="28"/>
      <c r="B152" s="28"/>
      <c r="C152" s="28"/>
      <c r="D152" s="250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>
      <c r="A153" s="28"/>
      <c r="B153" s="28"/>
      <c r="C153" s="28"/>
      <c r="D153" s="250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>
      <c r="A154" s="28"/>
      <c r="B154" s="28"/>
      <c r="C154" s="28"/>
      <c r="D154" s="250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>
      <c r="A155" s="28"/>
      <c r="B155" s="28"/>
      <c r="C155" s="28"/>
      <c r="D155" s="250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>
      <c r="A156" s="28"/>
      <c r="B156" s="28"/>
      <c r="C156" s="28"/>
      <c r="D156" s="250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>
      <c r="A157" s="28"/>
      <c r="B157" s="28"/>
      <c r="C157" s="28"/>
      <c r="D157" s="250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>
      <c r="A158" s="28"/>
      <c r="B158" s="28"/>
      <c r="C158" s="28"/>
      <c r="D158" s="250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>
      <c r="A159" s="28"/>
      <c r="B159" s="28"/>
      <c r="C159" s="28"/>
      <c r="D159" s="250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>
      <c r="A160" s="28"/>
      <c r="B160" s="28"/>
      <c r="C160" s="28"/>
      <c r="D160" s="250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>
      <c r="A161" s="28"/>
      <c r="B161" s="28"/>
      <c r="C161" s="28"/>
      <c r="D161" s="250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>
      <c r="A162" s="28"/>
      <c r="B162" s="28"/>
      <c r="C162" s="28"/>
      <c r="D162" s="250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>
      <c r="A163" s="28"/>
      <c r="B163" s="28"/>
      <c r="C163" s="28"/>
      <c r="D163" s="250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>
      <c r="A164" s="28"/>
      <c r="B164" s="28"/>
      <c r="C164" s="28"/>
      <c r="D164" s="250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>
      <c r="A165" s="28"/>
      <c r="B165" s="28"/>
      <c r="C165" s="28"/>
      <c r="D165" s="250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>
      <c r="A166" s="28"/>
      <c r="B166" s="28"/>
      <c r="C166" s="28"/>
      <c r="D166" s="250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>
      <c r="A167" s="28"/>
      <c r="B167" s="28"/>
      <c r="C167" s="28"/>
      <c r="D167" s="250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>
      <c r="A168" s="28"/>
      <c r="B168" s="28"/>
      <c r="C168" s="28"/>
      <c r="D168" s="250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>
      <c r="A169" s="28"/>
      <c r="B169" s="28"/>
      <c r="C169" s="28"/>
      <c r="D169" s="250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>
      <c r="A170" s="28"/>
      <c r="B170" s="28"/>
      <c r="C170" s="28"/>
      <c r="D170" s="250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>
      <c r="A171" s="28"/>
      <c r="B171" s="28"/>
      <c r="C171" s="28"/>
      <c r="D171" s="250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>
      <c r="A172" s="28"/>
      <c r="B172" s="28"/>
      <c r="C172" s="28"/>
      <c r="D172" s="250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>
      <c r="A173" s="28"/>
      <c r="B173" s="28"/>
      <c r="C173" s="28"/>
      <c r="D173" s="250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>
      <c r="A174" s="28"/>
      <c r="B174" s="28"/>
      <c r="C174" s="28"/>
      <c r="D174" s="250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>
      <c r="A175" s="28"/>
      <c r="B175" s="28"/>
      <c r="C175" s="28"/>
      <c r="D175" s="250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>
      <c r="A176" s="28"/>
      <c r="B176" s="28"/>
      <c r="C176" s="28"/>
      <c r="D176" s="250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>
      <c r="A177" s="28"/>
      <c r="B177" s="28"/>
      <c r="C177" s="28"/>
      <c r="D177" s="250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>
      <c r="A178" s="28"/>
      <c r="B178" s="28"/>
      <c r="C178" s="28"/>
      <c r="D178" s="250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>
      <c r="A179" s="28"/>
      <c r="B179" s="28"/>
      <c r="C179" s="28"/>
      <c r="D179" s="250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>
      <c r="A180" s="28"/>
      <c r="B180" s="28"/>
      <c r="C180" s="28"/>
      <c r="D180" s="250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>
      <c r="A181" s="28"/>
      <c r="B181" s="28"/>
      <c r="C181" s="28"/>
      <c r="D181" s="250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>
      <c r="A182" s="28"/>
      <c r="B182" s="28"/>
      <c r="C182" s="28"/>
      <c r="D182" s="250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>
      <c r="A183" s="28"/>
      <c r="B183" s="28"/>
      <c r="C183" s="28"/>
      <c r="D183" s="250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>
      <c r="A184" s="28"/>
      <c r="B184" s="28"/>
      <c r="C184" s="28"/>
      <c r="D184" s="250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>
      <c r="A185" s="28"/>
      <c r="B185" s="28"/>
      <c r="C185" s="28"/>
      <c r="D185" s="250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>
      <c r="A186" s="28"/>
      <c r="B186" s="28"/>
      <c r="C186" s="28"/>
      <c r="D186" s="250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>
      <c r="A187" s="28"/>
      <c r="B187" s="28"/>
      <c r="C187" s="28"/>
      <c r="D187" s="250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>
      <c r="A188" s="28"/>
      <c r="B188" s="28"/>
      <c r="C188" s="28"/>
      <c r="D188" s="250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>
      <c r="A189" s="28"/>
      <c r="B189" s="28"/>
      <c r="C189" s="28"/>
      <c r="D189" s="250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>
      <c r="A190" s="28"/>
      <c r="B190" s="28"/>
      <c r="C190" s="28"/>
      <c r="D190" s="250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>
      <c r="A191" s="28"/>
      <c r="B191" s="28"/>
      <c r="C191" s="28"/>
      <c r="D191" s="250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>
      <c r="A192" s="28"/>
      <c r="B192" s="28"/>
      <c r="C192" s="28"/>
      <c r="D192" s="250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>
      <c r="A193" s="28"/>
      <c r="B193" s="28"/>
      <c r="C193" s="28"/>
      <c r="D193" s="250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>
      <c r="A194" s="28"/>
      <c r="B194" s="28"/>
      <c r="C194" s="28"/>
      <c r="D194" s="250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>
      <c r="A195" s="28"/>
      <c r="B195" s="28"/>
      <c r="C195" s="28"/>
      <c r="D195" s="250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>
      <c r="A196" s="28"/>
      <c r="B196" s="28"/>
      <c r="C196" s="28"/>
      <c r="D196" s="250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>
      <c r="A197" s="28"/>
      <c r="B197" s="28"/>
      <c r="C197" s="28"/>
      <c r="D197" s="250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>
      <c r="A198" s="28"/>
      <c r="B198" s="28"/>
      <c r="C198" s="28"/>
      <c r="D198" s="250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>
      <c r="A199" s="28"/>
      <c r="B199" s="28"/>
      <c r="C199" s="28"/>
      <c r="D199" s="250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>
      <c r="A200" s="28"/>
      <c r="B200" s="28"/>
      <c r="C200" s="28"/>
      <c r="D200" s="250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>
      <c r="A201" s="28"/>
      <c r="B201" s="28"/>
      <c r="C201" s="28"/>
      <c r="D201" s="250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>
      <c r="A202" s="28"/>
      <c r="B202" s="28"/>
      <c r="C202" s="28"/>
      <c r="D202" s="250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>
      <c r="A203" s="28"/>
      <c r="B203" s="28"/>
      <c r="C203" s="28"/>
      <c r="D203" s="250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>
      <c r="A204" s="28"/>
      <c r="B204" s="28"/>
      <c r="C204" s="28"/>
      <c r="D204" s="250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>
      <c r="A205" s="28"/>
      <c r="B205" s="28"/>
      <c r="C205" s="28"/>
      <c r="D205" s="250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>
      <c r="A206" s="28"/>
      <c r="B206" s="28"/>
      <c r="C206" s="28"/>
      <c r="D206" s="250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>
      <c r="A207" s="28"/>
      <c r="B207" s="28"/>
      <c r="C207" s="28"/>
      <c r="D207" s="250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>
      <c r="A208" s="28"/>
      <c r="B208" s="28"/>
      <c r="C208" s="28"/>
      <c r="D208" s="250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>
      <c r="A209" s="28"/>
      <c r="B209" s="28"/>
      <c r="C209" s="28"/>
      <c r="D209" s="250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>
      <c r="A210" s="28"/>
      <c r="B210" s="28"/>
      <c r="C210" s="28"/>
      <c r="D210" s="250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>
      <c r="A211" s="28"/>
      <c r="B211" s="28"/>
      <c r="C211" s="28"/>
      <c r="D211" s="250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>
      <c r="A212" s="28"/>
      <c r="B212" s="28"/>
      <c r="C212" s="28"/>
      <c r="D212" s="250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>
      <c r="A213" s="28"/>
      <c r="B213" s="28"/>
      <c r="C213" s="28"/>
      <c r="D213" s="250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>
      <c r="A214" s="28"/>
      <c r="B214" s="28"/>
      <c r="C214" s="28"/>
      <c r="D214" s="250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>
      <c r="A215" s="28"/>
      <c r="B215" s="28"/>
      <c r="C215" s="28"/>
      <c r="D215" s="250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>
      <c r="A216" s="28"/>
      <c r="B216" s="28"/>
      <c r="C216" s="28"/>
      <c r="D216" s="250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>
      <c r="A217" s="28"/>
      <c r="B217" s="28"/>
      <c r="C217" s="28"/>
      <c r="D217" s="250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>
      <c r="A218" s="28"/>
      <c r="B218" s="28"/>
      <c r="C218" s="28"/>
      <c r="D218" s="250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>
      <c r="A219" s="28"/>
      <c r="B219" s="28"/>
      <c r="C219" s="28"/>
      <c r="D219" s="250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>
      <c r="A220" s="28"/>
      <c r="B220" s="28"/>
      <c r="C220" s="28"/>
      <c r="D220" s="250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>
      <c r="A221" s="28"/>
      <c r="B221" s="28"/>
      <c r="C221" s="28"/>
      <c r="D221" s="250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>
      <c r="A222" s="28"/>
      <c r="B222" s="28"/>
      <c r="C222" s="28"/>
      <c r="D222" s="250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>
      <c r="A223" s="28"/>
      <c r="B223" s="28"/>
      <c r="C223" s="28"/>
      <c r="D223" s="250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>
      <c r="A224" s="28"/>
      <c r="B224" s="28"/>
      <c r="C224" s="28"/>
      <c r="D224" s="250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>
      <c r="A225" s="28"/>
      <c r="B225" s="28"/>
      <c r="C225" s="28"/>
      <c r="D225" s="250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>
      <c r="A226" s="28"/>
      <c r="B226" s="28"/>
      <c r="C226" s="28"/>
      <c r="D226" s="250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>
      <c r="A227" s="28"/>
      <c r="B227" s="28"/>
      <c r="C227" s="28"/>
      <c r="D227" s="250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>
      <c r="A228" s="28"/>
      <c r="B228" s="28"/>
      <c r="C228" s="28"/>
      <c r="D228" s="250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>
      <c r="A229" s="28"/>
      <c r="B229" s="28"/>
      <c r="C229" s="28"/>
      <c r="D229" s="250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>
      <c r="A230" s="28"/>
      <c r="B230" s="28"/>
      <c r="C230" s="28"/>
      <c r="D230" s="250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>
      <c r="A231" s="28"/>
      <c r="B231" s="28"/>
      <c r="C231" s="28"/>
      <c r="D231" s="250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>
      <c r="A232" s="28"/>
      <c r="B232" s="28"/>
      <c r="C232" s="28"/>
      <c r="D232" s="250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>
      <c r="A233" s="28"/>
      <c r="B233" s="28"/>
      <c r="C233" s="28"/>
      <c r="D233" s="250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>
      <c r="A234" s="28"/>
      <c r="B234" s="28"/>
      <c r="C234" s="28"/>
      <c r="D234" s="250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>
      <c r="A235" s="28"/>
      <c r="B235" s="28"/>
      <c r="C235" s="28"/>
      <c r="D235" s="250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>
      <c r="A236" s="28"/>
      <c r="B236" s="28"/>
      <c r="C236" s="28"/>
      <c r="D236" s="250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>
      <c r="A237" s="28"/>
      <c r="B237" s="28"/>
      <c r="C237" s="28"/>
      <c r="D237" s="250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>
      <c r="A238" s="28"/>
      <c r="B238" s="28"/>
      <c r="C238" s="28"/>
      <c r="D238" s="250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>
      <c r="A239" s="28"/>
      <c r="B239" s="28"/>
      <c r="C239" s="28"/>
      <c r="D239" s="250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>
      <c r="A240" s="28"/>
      <c r="B240" s="28"/>
      <c r="C240" s="28"/>
      <c r="D240" s="250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>
      <c r="A241" s="28"/>
      <c r="B241" s="28"/>
      <c r="C241" s="28"/>
      <c r="D241" s="250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>
      <c r="A242" s="28"/>
      <c r="B242" s="28"/>
      <c r="C242" s="28"/>
      <c r="D242" s="250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>
      <c r="A243" s="28"/>
      <c r="B243" s="28"/>
      <c r="C243" s="28"/>
      <c r="D243" s="250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>
      <c r="A244" s="28"/>
      <c r="B244" s="28"/>
      <c r="C244" s="28"/>
      <c r="D244" s="250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>
      <c r="A245" s="28"/>
      <c r="B245" s="28"/>
      <c r="C245" s="28"/>
      <c r="D245" s="250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>
      <c r="A246" s="28"/>
      <c r="B246" s="28"/>
      <c r="C246" s="28"/>
      <c r="D246" s="250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>
      <c r="A247" s="28"/>
      <c r="B247" s="28"/>
      <c r="C247" s="28"/>
      <c r="D247" s="250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>
      <c r="A248" s="28"/>
      <c r="B248" s="28"/>
      <c r="C248" s="28"/>
      <c r="D248" s="250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>
      <c r="A249" s="28"/>
      <c r="B249" s="28"/>
      <c r="C249" s="28"/>
      <c r="D249" s="250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>
      <c r="A250" s="28"/>
      <c r="B250" s="28"/>
      <c r="C250" s="28"/>
      <c r="D250" s="250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>
      <c r="A251" s="28"/>
      <c r="B251" s="28"/>
      <c r="C251" s="28"/>
      <c r="D251" s="250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>
      <c r="A252" s="28"/>
      <c r="B252" s="28"/>
      <c r="C252" s="28"/>
      <c r="D252" s="250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>
      <c r="A253" s="28"/>
      <c r="B253" s="28"/>
      <c r="C253" s="28"/>
      <c r="D253" s="250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>
      <c r="A254" s="28"/>
      <c r="B254" s="28"/>
      <c r="C254" s="28"/>
      <c r="D254" s="250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>
      <c r="A255" s="28"/>
      <c r="B255" s="28"/>
      <c r="C255" s="28"/>
      <c r="D255" s="250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>
      <c r="A256" s="28"/>
      <c r="B256" s="28"/>
      <c r="C256" s="28"/>
      <c r="D256" s="250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>
      <c r="A257" s="28"/>
      <c r="B257" s="28"/>
      <c r="C257" s="28"/>
      <c r="D257" s="250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>
      <c r="A258" s="28"/>
      <c r="B258" s="28"/>
      <c r="C258" s="28"/>
      <c r="D258" s="250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>
      <c r="A259" s="28"/>
      <c r="B259" s="28"/>
      <c r="C259" s="28"/>
      <c r="D259" s="250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>
      <c r="A260" s="28"/>
      <c r="B260" s="28"/>
      <c r="C260" s="28"/>
      <c r="D260" s="250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>
      <c r="A261" s="28"/>
      <c r="B261" s="28"/>
      <c r="C261" s="28"/>
      <c r="D261" s="250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>
      <c r="A262" s="28"/>
      <c r="B262" s="28"/>
      <c r="C262" s="28"/>
      <c r="D262" s="250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>
      <c r="A263" s="28"/>
      <c r="B263" s="28"/>
      <c r="C263" s="28"/>
      <c r="D263" s="250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>
      <c r="A264" s="28"/>
      <c r="B264" s="28"/>
      <c r="C264" s="28"/>
      <c r="D264" s="250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>
      <c r="A265" s="28"/>
      <c r="B265" s="28"/>
      <c r="C265" s="28"/>
      <c r="D265" s="250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>
      <c r="A266" s="28"/>
      <c r="B266" s="28"/>
      <c r="C266" s="28"/>
      <c r="D266" s="250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>
      <c r="A267" s="28"/>
      <c r="B267" s="28"/>
      <c r="C267" s="28"/>
      <c r="D267" s="250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>
      <c r="A268" s="28"/>
      <c r="B268" s="28"/>
      <c r="C268" s="28"/>
      <c r="D268" s="250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>
      <c r="A269" s="28"/>
      <c r="B269" s="28"/>
      <c r="C269" s="28"/>
      <c r="D269" s="250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>
      <c r="A270" s="28"/>
      <c r="B270" s="28"/>
      <c r="C270" s="28"/>
      <c r="D270" s="250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>
      <c r="A271" s="28"/>
      <c r="B271" s="28"/>
      <c r="C271" s="28"/>
      <c r="D271" s="250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>
      <c r="A272" s="28"/>
      <c r="B272" s="28"/>
      <c r="C272" s="28"/>
      <c r="D272" s="250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>
      <c r="A273" s="28"/>
      <c r="B273" s="28"/>
      <c r="C273" s="28"/>
      <c r="D273" s="250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>
      <c r="A274" s="28"/>
      <c r="B274" s="28"/>
      <c r="C274" s="28"/>
      <c r="D274" s="250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>
      <c r="A275" s="28"/>
      <c r="B275" s="28"/>
      <c r="C275" s="28"/>
      <c r="D275" s="250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>
      <c r="A276" s="28"/>
      <c r="B276" s="28"/>
      <c r="C276" s="28"/>
      <c r="D276" s="250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>
      <c r="A277" s="28"/>
      <c r="B277" s="28"/>
      <c r="C277" s="28"/>
      <c r="D277" s="250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>
      <c r="A278" s="28"/>
      <c r="B278" s="28"/>
      <c r="C278" s="28"/>
      <c r="D278" s="250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>
      <c r="A279" s="28"/>
      <c r="B279" s="28"/>
      <c r="C279" s="28"/>
      <c r="D279" s="250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>
      <c r="A280" s="28"/>
      <c r="B280" s="28"/>
      <c r="C280" s="28"/>
      <c r="D280" s="250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>
      <c r="A281" s="28"/>
      <c r="B281" s="28"/>
      <c r="C281" s="28"/>
      <c r="D281" s="250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>
      <c r="A282" s="28"/>
      <c r="B282" s="28"/>
      <c r="C282" s="28"/>
      <c r="D282" s="250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>
      <c r="A283" s="28"/>
      <c r="B283" s="28"/>
      <c r="C283" s="28"/>
      <c r="D283" s="250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>
      <c r="A284" s="28"/>
      <c r="B284" s="28"/>
      <c r="C284" s="28"/>
      <c r="D284" s="250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>
      <c r="A285" s="28"/>
      <c r="B285" s="28"/>
      <c r="C285" s="28"/>
      <c r="D285" s="250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>
      <c r="A286" s="28"/>
      <c r="B286" s="28"/>
      <c r="C286" s="28"/>
      <c r="D286" s="250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>
      <c r="A287" s="28"/>
      <c r="B287" s="28"/>
      <c r="C287" s="28"/>
      <c r="D287" s="250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>
      <c r="A288" s="28"/>
      <c r="B288" s="28"/>
      <c r="C288" s="28"/>
      <c r="D288" s="250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>
      <c r="A289" s="28"/>
      <c r="B289" s="28"/>
      <c r="C289" s="28"/>
      <c r="D289" s="250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>
      <c r="A290" s="28"/>
      <c r="B290" s="28"/>
      <c r="C290" s="28"/>
      <c r="D290" s="250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>
      <c r="A291" s="28"/>
      <c r="B291" s="28"/>
      <c r="C291" s="28"/>
      <c r="D291" s="250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>
      <c r="A292" s="28"/>
      <c r="B292" s="28"/>
      <c r="C292" s="28"/>
      <c r="D292" s="250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>
      <c r="A293" s="28"/>
      <c r="B293" s="28"/>
      <c r="C293" s="28"/>
      <c r="D293" s="250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>
      <c r="A294" s="28"/>
      <c r="B294" s="28"/>
      <c r="C294" s="28"/>
      <c r="D294" s="250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>
      <c r="A295" s="28"/>
      <c r="B295" s="28"/>
      <c r="C295" s="28"/>
      <c r="D295" s="250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>
      <c r="A296" s="28"/>
      <c r="B296" s="28"/>
      <c r="C296" s="28"/>
      <c r="D296" s="250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>
      <c r="A297" s="28"/>
      <c r="B297" s="28"/>
      <c r="C297" s="28"/>
      <c r="D297" s="250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>
      <c r="A298" s="28"/>
      <c r="B298" s="28"/>
      <c r="C298" s="28"/>
      <c r="D298" s="250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>
      <c r="A299" s="28"/>
      <c r="B299" s="28"/>
      <c r="C299" s="28"/>
      <c r="D299" s="250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>
      <c r="A300" s="28"/>
      <c r="B300" s="28"/>
      <c r="C300" s="28"/>
      <c r="D300" s="250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>
      <c r="A301" s="28"/>
      <c r="B301" s="28"/>
      <c r="C301" s="28"/>
      <c r="D301" s="250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>
      <c r="A302" s="28"/>
      <c r="B302" s="28"/>
      <c r="C302" s="28"/>
      <c r="D302" s="250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>
      <c r="A303" s="28"/>
      <c r="B303" s="28"/>
      <c r="C303" s="28"/>
      <c r="D303" s="250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>
      <c r="A304" s="28"/>
      <c r="B304" s="28"/>
      <c r="C304" s="28"/>
      <c r="D304" s="250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>
      <c r="A305" s="28"/>
      <c r="B305" s="28"/>
      <c r="C305" s="28"/>
      <c r="D305" s="250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>
      <c r="A306" s="28"/>
      <c r="B306" s="28"/>
      <c r="C306" s="28"/>
      <c r="D306" s="250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>
      <c r="A307" s="28"/>
      <c r="B307" s="28"/>
      <c r="C307" s="28"/>
      <c r="D307" s="250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>
      <c r="A308" s="28"/>
      <c r="B308" s="28"/>
      <c r="C308" s="28"/>
      <c r="D308" s="250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>
      <c r="A309" s="28"/>
      <c r="B309" s="28"/>
      <c r="C309" s="28"/>
      <c r="D309" s="250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>
      <c r="A310" s="28"/>
      <c r="B310" s="28"/>
      <c r="C310" s="28"/>
      <c r="D310" s="250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>
      <c r="A311" s="28"/>
      <c r="B311" s="28"/>
      <c r="C311" s="28"/>
      <c r="D311" s="250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>
      <c r="A312" s="28"/>
      <c r="B312" s="28"/>
      <c r="C312" s="28"/>
      <c r="D312" s="250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>
      <c r="A313" s="28"/>
      <c r="B313" s="28"/>
      <c r="C313" s="28"/>
      <c r="D313" s="250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>
      <c r="A314" s="28"/>
      <c r="B314" s="28"/>
      <c r="C314" s="28"/>
      <c r="D314" s="250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>
      <c r="A315" s="28"/>
      <c r="B315" s="28"/>
      <c r="C315" s="28"/>
      <c r="D315" s="250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>
      <c r="A316" s="28"/>
      <c r="B316" s="28"/>
      <c r="C316" s="28"/>
      <c r="D316" s="250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>
      <c r="A317" s="28"/>
      <c r="B317" s="28"/>
      <c r="C317" s="28"/>
      <c r="D317" s="250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>
      <c r="A318" s="28"/>
      <c r="B318" s="28"/>
      <c r="C318" s="28"/>
      <c r="D318" s="250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>
      <c r="A319" s="28"/>
      <c r="B319" s="28"/>
      <c r="C319" s="28"/>
      <c r="D319" s="250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>
      <c r="A320" s="28"/>
      <c r="B320" s="28"/>
      <c r="C320" s="28"/>
      <c r="D320" s="250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>
      <c r="A321" s="28"/>
      <c r="B321" s="28"/>
      <c r="C321" s="28"/>
      <c r="D321" s="250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>
      <c r="A322" s="28"/>
      <c r="B322" s="28"/>
      <c r="C322" s="28"/>
      <c r="D322" s="250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>
      <c r="A323" s="28"/>
      <c r="B323" s="28"/>
      <c r="C323" s="28"/>
      <c r="D323" s="250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>
      <c r="A324" s="28"/>
      <c r="B324" s="28"/>
      <c r="C324" s="28"/>
      <c r="D324" s="250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>
      <c r="A325" s="28"/>
      <c r="B325" s="28"/>
      <c r="C325" s="28"/>
      <c r="D325" s="250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>
      <c r="A326" s="28"/>
      <c r="B326" s="28"/>
      <c r="C326" s="28"/>
      <c r="D326" s="250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>
      <c r="A327" s="28"/>
      <c r="B327" s="28"/>
      <c r="C327" s="28"/>
      <c r="D327" s="250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>
      <c r="A328" s="28"/>
      <c r="B328" s="28"/>
      <c r="C328" s="28"/>
      <c r="D328" s="250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>
      <c r="A329" s="28"/>
      <c r="B329" s="28"/>
      <c r="C329" s="28"/>
      <c r="D329" s="250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>
      <c r="A330" s="28"/>
      <c r="B330" s="28"/>
      <c r="C330" s="28"/>
      <c r="D330" s="250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>
      <c r="A331" s="28"/>
      <c r="B331" s="28"/>
      <c r="C331" s="28"/>
      <c r="D331" s="250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>
      <c r="A332" s="28"/>
      <c r="B332" s="28"/>
      <c r="C332" s="28"/>
      <c r="D332" s="250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>
      <c r="A333" s="28"/>
      <c r="B333" s="28"/>
      <c r="C333" s="28"/>
      <c r="D333" s="250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>
      <c r="A334" s="28"/>
      <c r="B334" s="28"/>
      <c r="C334" s="28"/>
      <c r="D334" s="250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>
      <c r="A335" s="28"/>
      <c r="B335" s="28"/>
      <c r="C335" s="28"/>
      <c r="D335" s="250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>
      <c r="A336" s="28"/>
      <c r="B336" s="28"/>
      <c r="C336" s="28"/>
      <c r="D336" s="250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>
      <c r="A337" s="28"/>
      <c r="B337" s="28"/>
      <c r="C337" s="28"/>
      <c r="D337" s="250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>
      <c r="A338" s="28"/>
      <c r="B338" s="28"/>
      <c r="C338" s="28"/>
      <c r="D338" s="250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>
      <c r="A339" s="28"/>
      <c r="B339" s="28"/>
      <c r="C339" s="28"/>
      <c r="D339" s="250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>
      <c r="A340" s="28"/>
      <c r="B340" s="28"/>
      <c r="C340" s="28"/>
      <c r="D340" s="250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>
      <c r="A341" s="28"/>
      <c r="B341" s="28"/>
      <c r="C341" s="28"/>
      <c r="D341" s="250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>
      <c r="A342" s="28"/>
      <c r="B342" s="28"/>
      <c r="C342" s="28"/>
      <c r="D342" s="250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>
      <c r="A343" s="28"/>
      <c r="B343" s="28"/>
      <c r="C343" s="28"/>
      <c r="D343" s="250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>
      <c r="A344" s="28"/>
      <c r="B344" s="28"/>
      <c r="C344" s="28"/>
      <c r="D344" s="250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>
      <c r="A345" s="28"/>
      <c r="B345" s="28"/>
      <c r="C345" s="28"/>
      <c r="D345" s="250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>
      <c r="A346" s="28"/>
      <c r="B346" s="28"/>
      <c r="C346" s="28"/>
      <c r="D346" s="250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>
      <c r="A347" s="28"/>
      <c r="B347" s="28"/>
      <c r="C347" s="28"/>
      <c r="D347" s="250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>
      <c r="A348" s="28"/>
      <c r="B348" s="28"/>
      <c r="C348" s="28"/>
      <c r="D348" s="250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>
      <c r="A349" s="28"/>
      <c r="B349" s="28"/>
      <c r="C349" s="28"/>
      <c r="D349" s="250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>
      <c r="A350" s="28"/>
      <c r="B350" s="28"/>
      <c r="C350" s="28"/>
      <c r="D350" s="250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>
      <c r="A351" s="28"/>
      <c r="B351" s="28"/>
      <c r="C351" s="28"/>
      <c r="D351" s="250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>
      <c r="A352" s="28"/>
      <c r="B352" s="28"/>
      <c r="C352" s="28"/>
      <c r="D352" s="250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>
      <c r="A353" s="28"/>
      <c r="B353" s="28"/>
      <c r="C353" s="28"/>
      <c r="D353" s="250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>
      <c r="A354" s="28"/>
      <c r="B354" s="28"/>
      <c r="C354" s="28"/>
      <c r="D354" s="250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>
      <c r="A355" s="28"/>
      <c r="B355" s="28"/>
      <c r="C355" s="28"/>
      <c r="D355" s="250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>
      <c r="A356" s="28"/>
      <c r="B356" s="28"/>
      <c r="C356" s="28"/>
      <c r="D356" s="250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>
      <c r="A357" s="28"/>
      <c r="B357" s="28"/>
      <c r="C357" s="28"/>
      <c r="D357" s="250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>
      <c r="A358" s="28"/>
      <c r="B358" s="28"/>
      <c r="C358" s="28"/>
      <c r="D358" s="250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>
      <c r="A359" s="28"/>
      <c r="B359" s="28"/>
      <c r="C359" s="28"/>
      <c r="D359" s="250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>
      <c r="A360" s="28"/>
      <c r="B360" s="28"/>
      <c r="C360" s="28"/>
      <c r="D360" s="250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>
      <c r="A361" s="28"/>
      <c r="B361" s="28"/>
      <c r="C361" s="28"/>
      <c r="D361" s="250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>
      <c r="A362" s="28"/>
      <c r="B362" s="28"/>
      <c r="C362" s="28"/>
      <c r="D362" s="250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>
      <c r="A363" s="28"/>
      <c r="B363" s="28"/>
      <c r="C363" s="28"/>
      <c r="D363" s="250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>
      <c r="A364" s="28"/>
      <c r="B364" s="28"/>
      <c r="C364" s="28"/>
      <c r="D364" s="250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>
      <c r="A365" s="28"/>
      <c r="B365" s="28"/>
      <c r="C365" s="28"/>
      <c r="D365" s="250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>
      <c r="A366" s="28"/>
      <c r="B366" s="28"/>
      <c r="C366" s="28"/>
      <c r="D366" s="250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>
      <c r="A367" s="28"/>
      <c r="B367" s="28"/>
      <c r="C367" s="28"/>
      <c r="D367" s="250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>
      <c r="A368" s="28"/>
      <c r="B368" s="28"/>
      <c r="C368" s="28"/>
      <c r="D368" s="250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>
      <c r="A369" s="28"/>
      <c r="B369" s="28"/>
      <c r="C369" s="28"/>
      <c r="D369" s="250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>
      <c r="A370" s="28"/>
      <c r="B370" s="28"/>
      <c r="C370" s="28"/>
      <c r="D370" s="250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>
      <c r="A371" s="28"/>
      <c r="B371" s="28"/>
      <c r="C371" s="28"/>
      <c r="D371" s="250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>
      <c r="A372" s="28"/>
      <c r="B372" s="28"/>
      <c r="C372" s="28"/>
      <c r="D372" s="250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>
      <c r="A373" s="28"/>
      <c r="B373" s="28"/>
      <c r="C373" s="28"/>
      <c r="D373" s="250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>
      <c r="A374" s="28"/>
      <c r="B374" s="28"/>
      <c r="C374" s="28"/>
      <c r="D374" s="250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>
      <c r="A375" s="28"/>
      <c r="B375" s="28"/>
      <c r="C375" s="28"/>
      <c r="D375" s="250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>
      <c r="A376" s="28"/>
      <c r="B376" s="28"/>
      <c r="C376" s="28"/>
      <c r="D376" s="250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>
      <c r="A377" s="28"/>
      <c r="B377" s="28"/>
      <c r="C377" s="28"/>
      <c r="D377" s="250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>
      <c r="A378" s="28"/>
      <c r="B378" s="28"/>
      <c r="C378" s="28"/>
      <c r="D378" s="250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>
      <c r="A379" s="28"/>
      <c r="B379" s="28"/>
      <c r="C379" s="28"/>
      <c r="D379" s="250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>
      <c r="A380" s="28"/>
      <c r="B380" s="28"/>
      <c r="C380" s="28"/>
      <c r="D380" s="250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>
      <c r="A381" s="28"/>
      <c r="B381" s="28"/>
      <c r="C381" s="28"/>
      <c r="D381" s="250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>
      <c r="A382" s="28"/>
      <c r="B382" s="28"/>
      <c r="C382" s="28"/>
      <c r="D382" s="250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>
      <c r="A383" s="28"/>
      <c r="B383" s="28"/>
      <c r="C383" s="28"/>
      <c r="D383" s="250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>
      <c r="A384" s="28"/>
      <c r="B384" s="28"/>
      <c r="C384" s="28"/>
      <c r="D384" s="250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>
      <c r="A385" s="28"/>
      <c r="B385" s="28"/>
      <c r="C385" s="28"/>
      <c r="D385" s="250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>
      <c r="A386" s="28"/>
      <c r="B386" s="28"/>
      <c r="C386" s="28"/>
      <c r="D386" s="250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>
      <c r="A387" s="28"/>
      <c r="B387" s="28"/>
      <c r="C387" s="28"/>
      <c r="D387" s="250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>
      <c r="A388" s="28"/>
      <c r="B388" s="28"/>
      <c r="C388" s="28"/>
      <c r="D388" s="250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>
      <c r="A389" s="28"/>
      <c r="B389" s="28"/>
      <c r="C389" s="28"/>
      <c r="D389" s="250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>
      <c r="A390" s="28"/>
      <c r="B390" s="28"/>
      <c r="C390" s="28"/>
      <c r="D390" s="250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>
      <c r="A391" s="28"/>
      <c r="B391" s="28"/>
      <c r="C391" s="28"/>
      <c r="D391" s="250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>
      <c r="A392" s="28"/>
      <c r="B392" s="28"/>
      <c r="C392" s="28"/>
      <c r="D392" s="250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>
      <c r="A393" s="28"/>
      <c r="B393" s="28"/>
      <c r="C393" s="28"/>
      <c r="D393" s="250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>
      <c r="A394" s="28"/>
      <c r="B394" s="28"/>
      <c r="C394" s="28"/>
      <c r="D394" s="250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>
      <c r="A395" s="28"/>
      <c r="B395" s="28"/>
      <c r="C395" s="28"/>
      <c r="D395" s="250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>
      <c r="A396" s="28"/>
      <c r="B396" s="28"/>
      <c r="C396" s="28"/>
      <c r="D396" s="250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>
      <c r="A397" s="28"/>
      <c r="B397" s="28"/>
      <c r="C397" s="28"/>
      <c r="D397" s="250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>
      <c r="A398" s="28"/>
      <c r="B398" s="28"/>
      <c r="C398" s="28"/>
      <c r="D398" s="250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>
      <c r="A399" s="28"/>
      <c r="B399" s="28"/>
      <c r="C399" s="28"/>
      <c r="D399" s="250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>
      <c r="A400" s="28"/>
      <c r="B400" s="28"/>
      <c r="C400" s="28"/>
      <c r="D400" s="250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>
      <c r="A401" s="28"/>
      <c r="B401" s="28"/>
      <c r="C401" s="28"/>
      <c r="D401" s="250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>
      <c r="A402" s="28"/>
      <c r="B402" s="28"/>
      <c r="C402" s="28"/>
      <c r="D402" s="250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>
      <c r="A403" s="28"/>
      <c r="B403" s="28"/>
      <c r="C403" s="28"/>
      <c r="D403" s="250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>
      <c r="A404" s="28"/>
      <c r="B404" s="28"/>
      <c r="C404" s="28"/>
      <c r="D404" s="250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>
      <c r="A405" s="28"/>
      <c r="B405" s="28"/>
      <c r="C405" s="28"/>
      <c r="D405" s="250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>
      <c r="A406" s="28"/>
      <c r="B406" s="28"/>
      <c r="C406" s="28"/>
      <c r="D406" s="250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>
      <c r="A407" s="28"/>
      <c r="B407" s="28"/>
      <c r="C407" s="28"/>
      <c r="D407" s="250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>
      <c r="A408" s="28"/>
      <c r="B408" s="28"/>
      <c r="C408" s="28"/>
      <c r="D408" s="250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>
      <c r="A409" s="28"/>
      <c r="B409" s="28"/>
      <c r="C409" s="28"/>
      <c r="D409" s="250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>
      <c r="A410" s="28"/>
      <c r="B410" s="28"/>
      <c r="C410" s="28"/>
      <c r="D410" s="250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>
      <c r="A411" s="28"/>
      <c r="B411" s="28"/>
      <c r="C411" s="28"/>
      <c r="D411" s="250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>
      <c r="A412" s="28"/>
      <c r="B412" s="28"/>
      <c r="C412" s="28"/>
      <c r="D412" s="250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>
      <c r="A413" s="28"/>
      <c r="B413" s="28"/>
      <c r="C413" s="28"/>
      <c r="D413" s="250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>
      <c r="A414" s="28"/>
      <c r="B414" s="28"/>
      <c r="C414" s="28"/>
      <c r="D414" s="250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>
      <c r="A415" s="28"/>
      <c r="B415" s="28"/>
      <c r="C415" s="28"/>
      <c r="D415" s="250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>
      <c r="A416" s="28"/>
      <c r="B416" s="28"/>
      <c r="C416" s="28"/>
      <c r="D416" s="250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>
      <c r="A417" s="28"/>
      <c r="B417" s="28"/>
      <c r="C417" s="28"/>
      <c r="D417" s="250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>
      <c r="A418" s="28"/>
      <c r="B418" s="28"/>
      <c r="C418" s="28"/>
      <c r="D418" s="250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>
      <c r="A419" s="28"/>
      <c r="B419" s="28"/>
      <c r="C419" s="28"/>
      <c r="D419" s="250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>
      <c r="A420" s="28"/>
      <c r="B420" s="28"/>
      <c r="C420" s="28"/>
      <c r="D420" s="250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>
      <c r="A421" s="28"/>
      <c r="B421" s="28"/>
      <c r="C421" s="28"/>
      <c r="D421" s="250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>
      <c r="A422" s="28"/>
      <c r="B422" s="28"/>
      <c r="C422" s="28"/>
      <c r="D422" s="250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>
      <c r="A423" s="28"/>
      <c r="B423" s="28"/>
      <c r="C423" s="28"/>
      <c r="D423" s="250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>
      <c r="A424" s="28"/>
      <c r="B424" s="28"/>
      <c r="C424" s="28"/>
      <c r="D424" s="250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>
      <c r="A425" s="28"/>
      <c r="B425" s="28"/>
      <c r="C425" s="28"/>
      <c r="D425" s="250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>
      <c r="A426" s="28"/>
      <c r="B426" s="28"/>
      <c r="C426" s="28"/>
      <c r="D426" s="250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>
      <c r="A427" s="28"/>
      <c r="B427" s="28"/>
      <c r="C427" s="28"/>
      <c r="D427" s="250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>
      <c r="A428" s="28"/>
      <c r="B428" s="28"/>
      <c r="C428" s="28"/>
      <c r="D428" s="250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>
      <c r="A429" s="28"/>
      <c r="B429" s="28"/>
      <c r="C429" s="28"/>
      <c r="D429" s="250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>
      <c r="A430" s="28"/>
      <c r="B430" s="28"/>
      <c r="C430" s="28"/>
      <c r="D430" s="250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>
      <c r="A431" s="28"/>
      <c r="B431" s="28"/>
      <c r="C431" s="28"/>
      <c r="D431" s="250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>
      <c r="A432" s="28"/>
      <c r="B432" s="28"/>
      <c r="C432" s="28"/>
      <c r="D432" s="250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>
      <c r="A433" s="28"/>
      <c r="B433" s="28"/>
      <c r="C433" s="28"/>
      <c r="D433" s="250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>
      <c r="A434" s="28"/>
      <c r="B434" s="28"/>
      <c r="C434" s="28"/>
      <c r="D434" s="250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>
      <c r="A435" s="28"/>
      <c r="B435" s="28"/>
      <c r="C435" s="28"/>
      <c r="D435" s="250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>
      <c r="A436" s="28"/>
      <c r="B436" s="28"/>
      <c r="C436" s="28"/>
      <c r="D436" s="250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>
      <c r="A437" s="28"/>
      <c r="B437" s="28"/>
      <c r="C437" s="28"/>
      <c r="D437" s="250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>
      <c r="A438" s="28"/>
      <c r="B438" s="28"/>
      <c r="C438" s="28"/>
      <c r="D438" s="250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>
      <c r="A439" s="28"/>
      <c r="B439" s="28"/>
      <c r="C439" s="28"/>
      <c r="D439" s="250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>
      <c r="A440" s="28"/>
      <c r="B440" s="28"/>
      <c r="C440" s="28"/>
      <c r="D440" s="250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>
      <c r="A441" s="28"/>
      <c r="B441" s="28"/>
      <c r="C441" s="28"/>
      <c r="D441" s="250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>
      <c r="A442" s="28"/>
      <c r="B442" s="28"/>
      <c r="C442" s="28"/>
      <c r="D442" s="250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>
      <c r="A443" s="28"/>
      <c r="B443" s="28"/>
      <c r="C443" s="28"/>
      <c r="D443" s="250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>
      <c r="A444" s="28"/>
      <c r="B444" s="28"/>
      <c r="C444" s="28"/>
      <c r="D444" s="250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>
      <c r="A445" s="28"/>
      <c r="B445" s="28"/>
      <c r="C445" s="28"/>
      <c r="D445" s="250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>
      <c r="A446" s="28"/>
      <c r="B446" s="28"/>
      <c r="C446" s="28"/>
      <c r="D446" s="250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>
      <c r="A447" s="28"/>
      <c r="B447" s="28"/>
      <c r="C447" s="28"/>
      <c r="D447" s="250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>
      <c r="A448" s="28"/>
      <c r="B448" s="28"/>
      <c r="C448" s="28"/>
      <c r="D448" s="250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>
      <c r="A449" s="28"/>
      <c r="B449" s="28"/>
      <c r="C449" s="28"/>
      <c r="D449" s="250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>
      <c r="A450" s="28"/>
      <c r="B450" s="28"/>
      <c r="C450" s="28"/>
      <c r="D450" s="250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>
      <c r="A451" s="28"/>
      <c r="B451" s="28"/>
      <c r="C451" s="28"/>
      <c r="D451" s="250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>
      <c r="A452" s="28"/>
      <c r="B452" s="28"/>
      <c r="C452" s="28"/>
      <c r="D452" s="250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>
      <c r="A453" s="28"/>
      <c r="B453" s="28"/>
      <c r="C453" s="28"/>
      <c r="D453" s="250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>
      <c r="A454" s="28"/>
      <c r="B454" s="28"/>
      <c r="C454" s="28"/>
      <c r="D454" s="250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>
      <c r="A455" s="28"/>
      <c r="B455" s="28"/>
      <c r="C455" s="28"/>
      <c r="D455" s="250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>
      <c r="A456" s="28"/>
      <c r="B456" s="28"/>
      <c r="C456" s="28"/>
      <c r="D456" s="250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>
      <c r="A457" s="28"/>
      <c r="B457" s="28"/>
      <c r="C457" s="28"/>
      <c r="D457" s="250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>
      <c r="A458" s="28"/>
      <c r="B458" s="28"/>
      <c r="C458" s="28"/>
      <c r="D458" s="250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>
      <c r="A459" s="28"/>
      <c r="B459" s="28"/>
      <c r="C459" s="28"/>
      <c r="D459" s="250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>
      <c r="A460" s="28"/>
      <c r="B460" s="28"/>
      <c r="C460" s="28"/>
      <c r="D460" s="250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>
      <c r="A461" s="28"/>
      <c r="B461" s="28"/>
      <c r="C461" s="28"/>
      <c r="D461" s="250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>
      <c r="A462" s="28"/>
      <c r="B462" s="28"/>
      <c r="C462" s="28"/>
      <c r="D462" s="250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>
      <c r="A463" s="28"/>
      <c r="B463" s="28"/>
      <c r="C463" s="28"/>
      <c r="D463" s="250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>
      <c r="A464" s="28"/>
      <c r="B464" s="28"/>
      <c r="C464" s="28"/>
      <c r="D464" s="250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>
      <c r="A465" s="28"/>
      <c r="B465" s="28"/>
      <c r="C465" s="28"/>
      <c r="D465" s="250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>
      <c r="A466" s="28"/>
      <c r="B466" s="28"/>
      <c r="C466" s="28"/>
      <c r="D466" s="250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>
      <c r="A467" s="28"/>
      <c r="B467" s="28"/>
      <c r="C467" s="28"/>
      <c r="D467" s="250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>
      <c r="A468" s="28"/>
      <c r="B468" s="28"/>
      <c r="C468" s="28"/>
      <c r="D468" s="250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>
      <c r="A469" s="28"/>
      <c r="B469" s="28"/>
      <c r="C469" s="28"/>
      <c r="D469" s="250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>
      <c r="A470" s="28"/>
      <c r="B470" s="28"/>
      <c r="C470" s="28"/>
      <c r="D470" s="250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>
      <c r="A471" s="28"/>
      <c r="B471" s="28"/>
      <c r="C471" s="28"/>
      <c r="D471" s="250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>
      <c r="A472" s="28"/>
      <c r="B472" s="28"/>
      <c r="C472" s="28"/>
      <c r="D472" s="250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>
      <c r="A473" s="28"/>
      <c r="B473" s="28"/>
      <c r="C473" s="28"/>
      <c r="D473" s="250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>
      <c r="A474" s="28"/>
      <c r="B474" s="28"/>
      <c r="C474" s="28"/>
      <c r="D474" s="250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>
      <c r="A475" s="28"/>
      <c r="B475" s="28"/>
      <c r="C475" s="28"/>
      <c r="D475" s="250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>
      <c r="A476" s="28"/>
      <c r="B476" s="28"/>
      <c r="C476" s="28"/>
      <c r="D476" s="250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>
      <c r="A477" s="28"/>
      <c r="B477" s="28"/>
      <c r="C477" s="28"/>
      <c r="D477" s="250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>
      <c r="A478" s="28"/>
      <c r="B478" s="28"/>
      <c r="C478" s="28"/>
      <c r="D478" s="250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>
      <c r="A479" s="28"/>
      <c r="B479" s="28"/>
      <c r="C479" s="28"/>
      <c r="D479" s="250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>
      <c r="A480" s="28"/>
      <c r="B480" s="28"/>
      <c r="C480" s="28"/>
      <c r="D480" s="250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>
      <c r="A481" s="28"/>
      <c r="B481" s="28"/>
      <c r="C481" s="28"/>
      <c r="D481" s="250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>
      <c r="A482" s="28"/>
      <c r="B482" s="28"/>
      <c r="C482" s="28"/>
      <c r="D482" s="250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>
      <c r="A483" s="28"/>
      <c r="B483" s="28"/>
      <c r="C483" s="28"/>
      <c r="D483" s="250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>
      <c r="A484" s="28"/>
      <c r="B484" s="28"/>
      <c r="C484" s="28"/>
      <c r="D484" s="250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>
      <c r="A485" s="28"/>
      <c r="B485" s="28"/>
      <c r="C485" s="28"/>
      <c r="D485" s="250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>
      <c r="A486" s="28"/>
      <c r="B486" s="28"/>
      <c r="C486" s="28"/>
      <c r="D486" s="250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>
      <c r="A487" s="28"/>
      <c r="B487" s="28"/>
      <c r="C487" s="28"/>
      <c r="D487" s="250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>
      <c r="A488" s="28"/>
      <c r="B488" s="28"/>
      <c r="C488" s="28"/>
      <c r="D488" s="250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>
      <c r="A489" s="28"/>
      <c r="B489" s="28"/>
      <c r="C489" s="28"/>
      <c r="D489" s="250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>
      <c r="A490" s="28"/>
      <c r="B490" s="28"/>
      <c r="C490" s="28"/>
      <c r="D490" s="250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>
      <c r="A491" s="28"/>
      <c r="B491" s="28"/>
      <c r="C491" s="28"/>
      <c r="D491" s="250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>
      <c r="A492" s="28"/>
      <c r="B492" s="28"/>
      <c r="C492" s="28"/>
      <c r="D492" s="250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>
      <c r="A493" s="28"/>
      <c r="B493" s="28"/>
      <c r="C493" s="28"/>
      <c r="D493" s="250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>
      <c r="A494" s="28"/>
      <c r="B494" s="28"/>
      <c r="C494" s="28"/>
      <c r="D494" s="250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>
      <c r="A495" s="28"/>
      <c r="B495" s="28"/>
      <c r="C495" s="28"/>
      <c r="D495" s="250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>
      <c r="A496" s="28"/>
      <c r="B496" s="28"/>
      <c r="C496" s="28"/>
      <c r="D496" s="250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>
      <c r="A497" s="28"/>
      <c r="B497" s="28"/>
      <c r="C497" s="28"/>
      <c r="D497" s="250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>
      <c r="A498" s="28"/>
      <c r="B498" s="28"/>
      <c r="C498" s="28"/>
      <c r="D498" s="250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>
      <c r="A499" s="28"/>
      <c r="B499" s="28"/>
      <c r="C499" s="28"/>
      <c r="D499" s="250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>
      <c r="A500" s="28"/>
      <c r="B500" s="28"/>
      <c r="C500" s="28"/>
      <c r="D500" s="250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>
      <c r="A501" s="28"/>
      <c r="B501" s="28"/>
      <c r="C501" s="28"/>
      <c r="D501" s="250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>
      <c r="A502" s="28"/>
      <c r="B502" s="28"/>
      <c r="C502" s="28"/>
      <c r="D502" s="250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>
      <c r="A503" s="28"/>
      <c r="B503" s="28"/>
      <c r="C503" s="28"/>
      <c r="D503" s="250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>
      <c r="A504" s="28"/>
      <c r="B504" s="28"/>
      <c r="C504" s="28"/>
      <c r="D504" s="250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>
      <c r="A505" s="28"/>
      <c r="B505" s="28"/>
      <c r="C505" s="28"/>
      <c r="D505" s="250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>
      <c r="A506" s="28"/>
      <c r="B506" s="28"/>
      <c r="C506" s="28"/>
      <c r="D506" s="250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>
      <c r="A507" s="28"/>
      <c r="B507" s="28"/>
      <c r="C507" s="28"/>
      <c r="D507" s="250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>
      <c r="A508" s="28"/>
      <c r="B508" s="28"/>
      <c r="C508" s="28"/>
      <c r="D508" s="250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>
      <c r="A509" s="28"/>
      <c r="B509" s="28"/>
      <c r="C509" s="28"/>
      <c r="D509" s="250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>
      <c r="A510" s="28"/>
      <c r="B510" s="28"/>
      <c r="C510" s="28"/>
      <c r="D510" s="250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>
      <c r="A511" s="28"/>
      <c r="B511" s="28"/>
      <c r="C511" s="28"/>
      <c r="D511" s="250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>
      <c r="A512" s="28"/>
      <c r="B512" s="28"/>
      <c r="C512" s="28"/>
      <c r="D512" s="250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>
      <c r="A513" s="28"/>
      <c r="B513" s="28"/>
      <c r="C513" s="28"/>
      <c r="D513" s="250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>
      <c r="A514" s="28"/>
      <c r="B514" s="28"/>
      <c r="C514" s="28"/>
      <c r="D514" s="250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>
      <c r="A515" s="28"/>
      <c r="B515" s="28"/>
      <c r="C515" s="28"/>
      <c r="D515" s="250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>
      <c r="A516" s="28"/>
      <c r="B516" s="28"/>
      <c r="C516" s="28"/>
      <c r="D516" s="250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>
      <c r="A517" s="28"/>
      <c r="B517" s="28"/>
      <c r="C517" s="28"/>
      <c r="D517" s="250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>
      <c r="A518" s="28"/>
      <c r="B518" s="28"/>
      <c r="C518" s="28"/>
      <c r="D518" s="250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>
      <c r="A519" s="28"/>
      <c r="B519" s="28"/>
      <c r="C519" s="28"/>
      <c r="D519" s="250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>
      <c r="A520" s="28"/>
      <c r="B520" s="28"/>
      <c r="C520" s="28"/>
      <c r="D520" s="250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>
      <c r="A521" s="28"/>
      <c r="B521" s="28"/>
      <c r="C521" s="28"/>
      <c r="D521" s="250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>
      <c r="A522" s="28"/>
      <c r="B522" s="28"/>
      <c r="C522" s="28"/>
      <c r="D522" s="250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>
      <c r="A523" s="28"/>
      <c r="B523" s="28"/>
      <c r="C523" s="28"/>
      <c r="D523" s="250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>
      <c r="A524" s="28"/>
      <c r="B524" s="28"/>
      <c r="C524" s="28"/>
      <c r="D524" s="250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>
      <c r="A525" s="28"/>
      <c r="B525" s="28"/>
      <c r="C525" s="28"/>
      <c r="D525" s="250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>
      <c r="A526" s="28"/>
      <c r="B526" s="28"/>
      <c r="C526" s="28"/>
      <c r="D526" s="250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>
      <c r="A527" s="28"/>
      <c r="B527" s="28"/>
      <c r="C527" s="28"/>
      <c r="D527" s="250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>
      <c r="A528" s="28"/>
      <c r="B528" s="28"/>
      <c r="C528" s="28"/>
      <c r="D528" s="250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>
      <c r="A529" s="28"/>
      <c r="B529" s="28"/>
      <c r="C529" s="28"/>
      <c r="D529" s="250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>
      <c r="A530" s="28"/>
      <c r="B530" s="28"/>
      <c r="C530" s="28"/>
      <c r="D530" s="250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>
      <c r="A531" s="28"/>
      <c r="B531" s="28"/>
      <c r="C531" s="28"/>
      <c r="D531" s="250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>
      <c r="A532" s="28"/>
      <c r="B532" s="28"/>
      <c r="C532" s="28"/>
      <c r="D532" s="250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>
      <c r="A533" s="28"/>
      <c r="B533" s="28"/>
      <c r="C533" s="28"/>
      <c r="D533" s="250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>
      <c r="A534" s="28"/>
      <c r="B534" s="28"/>
      <c r="C534" s="28"/>
      <c r="D534" s="250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>
      <c r="A535" s="28"/>
      <c r="B535" s="28"/>
      <c r="C535" s="28"/>
      <c r="D535" s="250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>
      <c r="A536" s="28"/>
      <c r="B536" s="28"/>
      <c r="C536" s="28"/>
      <c r="D536" s="250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>
      <c r="A537" s="28"/>
      <c r="B537" s="28"/>
      <c r="C537" s="28"/>
      <c r="D537" s="250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>
      <c r="A538" s="28"/>
      <c r="B538" s="28"/>
      <c r="C538" s="28"/>
      <c r="D538" s="250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>
      <c r="A539" s="28"/>
      <c r="B539" s="28"/>
      <c r="C539" s="28"/>
      <c r="D539" s="250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>
      <c r="A540" s="28"/>
      <c r="B540" s="28"/>
      <c r="C540" s="28"/>
      <c r="D540" s="250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>
      <c r="A541" s="28"/>
      <c r="B541" s="28"/>
      <c r="C541" s="28"/>
      <c r="D541" s="250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>
      <c r="A542" s="28"/>
      <c r="B542" s="28"/>
      <c r="C542" s="28"/>
      <c r="D542" s="250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>
      <c r="A543" s="28"/>
      <c r="B543" s="28"/>
      <c r="C543" s="28"/>
      <c r="D543" s="250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>
      <c r="A544" s="28"/>
      <c r="B544" s="28"/>
      <c r="C544" s="28"/>
      <c r="D544" s="250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>
      <c r="A545" s="28"/>
      <c r="B545" s="28"/>
      <c r="C545" s="28"/>
      <c r="D545" s="250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>
      <c r="A546" s="28"/>
      <c r="B546" s="28"/>
      <c r="C546" s="28"/>
      <c r="D546" s="250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>
      <c r="A547" s="28"/>
      <c r="B547" s="28"/>
      <c r="C547" s="28"/>
      <c r="D547" s="250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>
      <c r="A548" s="28"/>
      <c r="B548" s="28"/>
      <c r="C548" s="28"/>
      <c r="D548" s="250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>
      <c r="A549" s="28"/>
      <c r="B549" s="28"/>
      <c r="C549" s="28"/>
      <c r="D549" s="250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>
      <c r="A550" s="28"/>
      <c r="B550" s="28"/>
      <c r="C550" s="28"/>
      <c r="D550" s="250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>
      <c r="A551" s="28"/>
      <c r="B551" s="28"/>
      <c r="C551" s="28"/>
      <c r="D551" s="250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>
      <c r="A552" s="28"/>
      <c r="B552" s="28"/>
      <c r="C552" s="28"/>
      <c r="D552" s="250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>
      <c r="A553" s="28"/>
      <c r="B553" s="28"/>
      <c r="C553" s="28"/>
      <c r="D553" s="250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>
      <c r="A554" s="28"/>
      <c r="B554" s="28"/>
      <c r="C554" s="28"/>
      <c r="D554" s="250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>
      <c r="A555" s="28"/>
      <c r="B555" s="28"/>
      <c r="C555" s="28"/>
      <c r="D555" s="250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>
      <c r="A556" s="28"/>
      <c r="B556" s="28"/>
      <c r="C556" s="28"/>
      <c r="D556" s="250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>
      <c r="A557" s="28"/>
      <c r="B557" s="28"/>
      <c r="C557" s="28"/>
      <c r="D557" s="250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>
      <c r="A558" s="28"/>
      <c r="B558" s="28"/>
      <c r="C558" s="28"/>
      <c r="D558" s="250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>
      <c r="A559" s="28"/>
      <c r="B559" s="28"/>
      <c r="C559" s="28"/>
      <c r="D559" s="250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>
      <c r="A560" s="28"/>
      <c r="B560" s="28"/>
      <c r="C560" s="28"/>
      <c r="D560" s="250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>
      <c r="A561" s="28"/>
      <c r="B561" s="28"/>
      <c r="C561" s="28"/>
      <c r="D561" s="250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>
      <c r="A562" s="28"/>
      <c r="B562" s="28"/>
      <c r="C562" s="28"/>
      <c r="D562" s="250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>
      <c r="A563" s="28"/>
      <c r="B563" s="28"/>
      <c r="C563" s="28"/>
      <c r="D563" s="250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>
      <c r="A564" s="28"/>
      <c r="B564" s="28"/>
      <c r="C564" s="28"/>
      <c r="D564" s="250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>
      <c r="A565" s="28"/>
      <c r="B565" s="28"/>
      <c r="C565" s="28"/>
      <c r="D565" s="250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>
      <c r="A566" s="28"/>
      <c r="B566" s="28"/>
      <c r="C566" s="28"/>
      <c r="D566" s="250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>
      <c r="A567" s="28"/>
      <c r="B567" s="28"/>
      <c r="C567" s="28"/>
      <c r="D567" s="250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>
      <c r="A568" s="28"/>
      <c r="B568" s="28"/>
      <c r="C568" s="28"/>
      <c r="D568" s="250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>
      <c r="A569" s="28"/>
      <c r="B569" s="28"/>
      <c r="C569" s="28"/>
      <c r="D569" s="250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>
      <c r="A570" s="28"/>
      <c r="B570" s="28"/>
      <c r="C570" s="28"/>
      <c r="D570" s="250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>
      <c r="A571" s="28"/>
      <c r="B571" s="28"/>
      <c r="C571" s="28"/>
      <c r="D571" s="250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>
      <c r="A572" s="28"/>
      <c r="B572" s="28"/>
      <c r="C572" s="28"/>
      <c r="D572" s="250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>
      <c r="A573" s="28"/>
      <c r="B573" s="28"/>
      <c r="C573" s="28"/>
      <c r="D573" s="250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>
      <c r="A574" s="28"/>
      <c r="B574" s="28"/>
      <c r="C574" s="28"/>
      <c r="D574" s="250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>
      <c r="A575" s="28"/>
      <c r="B575" s="28"/>
      <c r="C575" s="28"/>
      <c r="D575" s="250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>
      <c r="A576" s="28"/>
      <c r="B576" s="28"/>
      <c r="C576" s="28"/>
      <c r="D576" s="250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>
      <c r="A577" s="28"/>
      <c r="B577" s="28"/>
      <c r="C577" s="28"/>
      <c r="D577" s="250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>
      <c r="A578" s="28"/>
      <c r="B578" s="28"/>
      <c r="C578" s="28"/>
      <c r="D578" s="250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>
      <c r="A579" s="28"/>
      <c r="B579" s="28"/>
      <c r="C579" s="28"/>
      <c r="D579" s="250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>
      <c r="A580" s="28"/>
      <c r="B580" s="28"/>
      <c r="C580" s="28"/>
      <c r="D580" s="250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>
      <c r="A581" s="28"/>
      <c r="B581" s="28"/>
      <c r="C581" s="28"/>
      <c r="D581" s="250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>
      <c r="A582" s="28"/>
      <c r="B582" s="28"/>
      <c r="C582" s="28"/>
      <c r="D582" s="250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>
      <c r="A583" s="28"/>
      <c r="B583" s="28"/>
      <c r="C583" s="28"/>
      <c r="D583" s="250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>
      <c r="A584" s="28"/>
      <c r="B584" s="28"/>
      <c r="C584" s="28"/>
      <c r="D584" s="250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>
      <c r="A585" s="28"/>
      <c r="B585" s="28"/>
      <c r="C585" s="28"/>
      <c r="D585" s="250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>
      <c r="A586" s="28"/>
      <c r="B586" s="28"/>
      <c r="C586" s="28"/>
      <c r="D586" s="250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>
      <c r="A587" s="28"/>
      <c r="B587" s="28"/>
      <c r="C587" s="28"/>
      <c r="D587" s="250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>
      <c r="A588" s="28"/>
      <c r="B588" s="28"/>
      <c r="C588" s="28"/>
      <c r="D588" s="250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>
      <c r="A589" s="28"/>
      <c r="B589" s="28"/>
      <c r="C589" s="28"/>
      <c r="D589" s="250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>
      <c r="A590" s="28"/>
      <c r="B590" s="28"/>
      <c r="C590" s="28"/>
      <c r="D590" s="250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>
      <c r="A591" s="28"/>
      <c r="B591" s="28"/>
      <c r="C591" s="28"/>
      <c r="D591" s="250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>
      <c r="A592" s="28"/>
      <c r="B592" s="28"/>
      <c r="C592" s="28"/>
      <c r="D592" s="250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>
      <c r="A593" s="28"/>
      <c r="B593" s="28"/>
      <c r="C593" s="28"/>
      <c r="D593" s="250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>
      <c r="A594" s="28"/>
      <c r="B594" s="28"/>
      <c r="C594" s="28"/>
      <c r="D594" s="250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>
      <c r="A595" s="28"/>
      <c r="B595" s="28"/>
      <c r="C595" s="28"/>
      <c r="D595" s="250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>
      <c r="A596" s="28"/>
      <c r="B596" s="28"/>
      <c r="C596" s="28"/>
      <c r="D596" s="250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>
      <c r="A597" s="28"/>
      <c r="B597" s="28"/>
      <c r="C597" s="28"/>
      <c r="D597" s="250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>
      <c r="A598" s="28"/>
      <c r="B598" s="28"/>
      <c r="C598" s="28"/>
      <c r="D598" s="250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>
      <c r="A599" s="28"/>
      <c r="B599" s="28"/>
      <c r="C599" s="28"/>
      <c r="D599" s="250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>
      <c r="A600" s="28"/>
      <c r="B600" s="28"/>
      <c r="C600" s="28"/>
      <c r="D600" s="250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>
      <c r="A601" s="28"/>
      <c r="B601" s="28"/>
      <c r="C601" s="28"/>
      <c r="D601" s="250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>
      <c r="A602" s="28"/>
      <c r="B602" s="28"/>
      <c r="C602" s="28"/>
      <c r="D602" s="250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>
      <c r="A603" s="28"/>
      <c r="B603" s="28"/>
      <c r="C603" s="28"/>
      <c r="D603" s="250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>
      <c r="A604" s="28"/>
      <c r="B604" s="28"/>
      <c r="C604" s="28"/>
      <c r="D604" s="250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>
      <c r="A605" s="28"/>
      <c r="B605" s="28"/>
      <c r="C605" s="28"/>
      <c r="D605" s="250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>
      <c r="A606" s="28"/>
      <c r="B606" s="28"/>
      <c r="C606" s="28"/>
      <c r="D606" s="250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>
      <c r="A607" s="28"/>
      <c r="B607" s="28"/>
      <c r="C607" s="28"/>
      <c r="D607" s="250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>
      <c r="A608" s="28"/>
      <c r="B608" s="28"/>
      <c r="C608" s="28"/>
      <c r="D608" s="250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>
      <c r="A609" s="28"/>
      <c r="B609" s="28"/>
      <c r="C609" s="28"/>
      <c r="D609" s="250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>
      <c r="A610" s="28"/>
      <c r="B610" s="28"/>
      <c r="C610" s="28"/>
      <c r="D610" s="250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>
      <c r="A611" s="28"/>
      <c r="B611" s="28"/>
      <c r="C611" s="28"/>
      <c r="D611" s="250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>
      <c r="A612" s="28"/>
      <c r="B612" s="28"/>
      <c r="C612" s="28"/>
      <c r="D612" s="250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>
      <c r="A613" s="28"/>
      <c r="B613" s="28"/>
      <c r="C613" s="28"/>
      <c r="D613" s="250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>
      <c r="A614" s="28"/>
      <c r="B614" s="28"/>
      <c r="C614" s="28"/>
      <c r="D614" s="250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>
      <c r="A615" s="28"/>
      <c r="B615" s="28"/>
      <c r="C615" s="28"/>
      <c r="D615" s="250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>
      <c r="A616" s="28"/>
      <c r="B616" s="28"/>
      <c r="C616" s="28"/>
      <c r="D616" s="250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>
      <c r="A617" s="28"/>
      <c r="B617" s="28"/>
      <c r="C617" s="28"/>
      <c r="D617" s="250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>
      <c r="A618" s="28"/>
      <c r="B618" s="28"/>
      <c r="C618" s="28"/>
      <c r="D618" s="250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>
      <c r="A619" s="28"/>
      <c r="B619" s="28"/>
      <c r="C619" s="28"/>
      <c r="D619" s="250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>
      <c r="A620" s="28"/>
      <c r="B620" s="28"/>
      <c r="C620" s="28"/>
      <c r="D620" s="250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>
      <c r="A621" s="28"/>
      <c r="B621" s="28"/>
      <c r="C621" s="28"/>
      <c r="D621" s="250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>
      <c r="A622" s="28"/>
      <c r="B622" s="28"/>
      <c r="C622" s="28"/>
      <c r="D622" s="250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>
      <c r="A623" s="28"/>
      <c r="B623" s="28"/>
      <c r="C623" s="28"/>
      <c r="D623" s="250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>
      <c r="A624" s="28"/>
      <c r="B624" s="28"/>
      <c r="C624" s="28"/>
      <c r="D624" s="250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>
      <c r="A625" s="28"/>
      <c r="B625" s="28"/>
      <c r="C625" s="28"/>
      <c r="D625" s="250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>
      <c r="A626" s="28"/>
      <c r="B626" s="28"/>
      <c r="C626" s="28"/>
      <c r="D626" s="250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>
      <c r="A627" s="28"/>
      <c r="B627" s="28"/>
      <c r="C627" s="28"/>
      <c r="D627" s="250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>
      <c r="A628" s="28"/>
      <c r="B628" s="28"/>
      <c r="C628" s="28"/>
      <c r="D628" s="250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>
      <c r="A629" s="28"/>
      <c r="B629" s="28"/>
      <c r="C629" s="28"/>
      <c r="D629" s="250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>
      <c r="A630" s="28"/>
      <c r="B630" s="28"/>
      <c r="C630" s="28"/>
      <c r="D630" s="250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>
      <c r="A631" s="28"/>
      <c r="B631" s="28"/>
      <c r="C631" s="28"/>
      <c r="D631" s="250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>
      <c r="A632" s="28"/>
      <c r="B632" s="28"/>
      <c r="C632" s="28"/>
      <c r="D632" s="250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>
      <c r="A633" s="28"/>
      <c r="B633" s="28"/>
      <c r="C633" s="28"/>
      <c r="D633" s="250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>
      <c r="A634" s="28"/>
      <c r="B634" s="28"/>
      <c r="C634" s="28"/>
      <c r="D634" s="250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>
      <c r="A635" s="28"/>
      <c r="B635" s="28"/>
      <c r="C635" s="28"/>
      <c r="D635" s="250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>
      <c r="A636" s="28"/>
      <c r="B636" s="28"/>
      <c r="C636" s="28"/>
      <c r="D636" s="250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>
      <c r="A637" s="28"/>
      <c r="B637" s="28"/>
      <c r="C637" s="28"/>
      <c r="D637" s="250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>
      <c r="A638" s="28"/>
      <c r="B638" s="28"/>
      <c r="C638" s="28"/>
      <c r="D638" s="250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>
      <c r="A639" s="28"/>
      <c r="B639" s="28"/>
      <c r="C639" s="28"/>
      <c r="D639" s="250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>
      <c r="A640" s="28"/>
      <c r="B640" s="28"/>
      <c r="C640" s="28"/>
      <c r="D640" s="250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>
      <c r="A641" s="28"/>
      <c r="B641" s="28"/>
      <c r="C641" s="28"/>
      <c r="D641" s="250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>
      <c r="A642" s="28"/>
      <c r="B642" s="28"/>
      <c r="C642" s="28"/>
      <c r="D642" s="250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>
      <c r="A643" s="28"/>
      <c r="B643" s="28"/>
      <c r="C643" s="28"/>
      <c r="D643" s="250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>
      <c r="A644" s="28"/>
      <c r="B644" s="28"/>
      <c r="C644" s="28"/>
      <c r="D644" s="250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>
      <c r="A645" s="28"/>
      <c r="B645" s="28"/>
      <c r="C645" s="28"/>
      <c r="D645" s="250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>
      <c r="A646" s="28"/>
      <c r="B646" s="28"/>
      <c r="C646" s="28"/>
      <c r="D646" s="250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>
      <c r="A647" s="28"/>
      <c r="B647" s="28"/>
      <c r="C647" s="28"/>
      <c r="D647" s="250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>
      <c r="A648" s="28"/>
      <c r="B648" s="28"/>
      <c r="C648" s="28"/>
      <c r="D648" s="250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>
      <c r="A649" s="28"/>
      <c r="B649" s="28"/>
      <c r="C649" s="28"/>
      <c r="D649" s="250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>
      <c r="A650" s="28"/>
      <c r="B650" s="28"/>
      <c r="C650" s="28"/>
      <c r="D650" s="250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>
      <c r="A651" s="28"/>
      <c r="B651" s="28"/>
      <c r="C651" s="28"/>
      <c r="D651" s="250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>
      <c r="A652" s="28"/>
      <c r="B652" s="28"/>
      <c r="C652" s="28"/>
      <c r="D652" s="250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>
      <c r="A653" s="28"/>
      <c r="B653" s="28"/>
      <c r="C653" s="28"/>
      <c r="D653" s="250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>
      <c r="A654" s="28"/>
      <c r="B654" s="28"/>
      <c r="C654" s="28"/>
      <c r="D654" s="250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>
      <c r="A655" s="28"/>
      <c r="B655" s="28"/>
      <c r="C655" s="28"/>
      <c r="D655" s="250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>
      <c r="A656" s="28"/>
      <c r="B656" s="28"/>
      <c r="C656" s="28"/>
      <c r="D656" s="250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>
      <c r="A657" s="28"/>
      <c r="B657" s="28"/>
      <c r="C657" s="28"/>
      <c r="D657" s="250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>
      <c r="A658" s="28"/>
      <c r="B658" s="28"/>
      <c r="C658" s="28"/>
      <c r="D658" s="250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>
      <c r="A659" s="28"/>
      <c r="B659" s="28"/>
      <c r="C659" s="28"/>
      <c r="D659" s="250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>
      <c r="A660" s="28"/>
      <c r="B660" s="28"/>
      <c r="C660" s="28"/>
      <c r="D660" s="250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>
      <c r="A661" s="28"/>
      <c r="B661" s="28"/>
      <c r="C661" s="28"/>
      <c r="D661" s="250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>
      <c r="A662" s="28"/>
      <c r="B662" s="28"/>
      <c r="C662" s="28"/>
      <c r="D662" s="250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>
      <c r="A663" s="28"/>
      <c r="B663" s="28"/>
      <c r="C663" s="28"/>
      <c r="D663" s="250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>
      <c r="A664" s="28"/>
      <c r="B664" s="28"/>
      <c r="C664" s="28"/>
      <c r="D664" s="250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>
      <c r="A665" s="28"/>
      <c r="B665" s="28"/>
      <c r="C665" s="28"/>
      <c r="D665" s="250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>
      <c r="A666" s="28"/>
      <c r="B666" s="28"/>
      <c r="C666" s="28"/>
      <c r="D666" s="250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>
      <c r="A667" s="28"/>
      <c r="B667" s="28"/>
      <c r="C667" s="28"/>
      <c r="D667" s="250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>
      <c r="A668" s="28"/>
      <c r="B668" s="28"/>
      <c r="C668" s="28"/>
      <c r="D668" s="250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>
      <c r="A669" s="28"/>
      <c r="B669" s="28"/>
      <c r="C669" s="28"/>
      <c r="D669" s="250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>
      <c r="A670" s="28"/>
      <c r="B670" s="28"/>
      <c r="C670" s="28"/>
      <c r="D670" s="250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>
      <c r="A671" s="28"/>
      <c r="B671" s="28"/>
      <c r="C671" s="28"/>
      <c r="D671" s="250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>
      <c r="A672" s="28"/>
      <c r="B672" s="28"/>
      <c r="C672" s="28"/>
      <c r="D672" s="250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>
      <c r="A673" s="28"/>
      <c r="B673" s="28"/>
      <c r="C673" s="28"/>
      <c r="D673" s="250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>
      <c r="A674" s="28"/>
      <c r="B674" s="28"/>
      <c r="C674" s="28"/>
      <c r="D674" s="250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>
      <c r="A675" s="28"/>
      <c r="B675" s="28"/>
      <c r="C675" s="28"/>
      <c r="D675" s="250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>
      <c r="A676" s="28"/>
      <c r="B676" s="28"/>
      <c r="C676" s="28"/>
      <c r="D676" s="250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>
      <c r="A677" s="28"/>
      <c r="B677" s="28"/>
      <c r="C677" s="28"/>
      <c r="D677" s="250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>
      <c r="A678" s="28"/>
      <c r="B678" s="28"/>
      <c r="C678" s="28"/>
      <c r="D678" s="250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>
      <c r="A679" s="28"/>
      <c r="B679" s="28"/>
      <c r="C679" s="28"/>
      <c r="D679" s="250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>
      <c r="A680" s="28"/>
      <c r="B680" s="28"/>
      <c r="C680" s="28"/>
      <c r="D680" s="250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>
      <c r="A681" s="28"/>
      <c r="B681" s="28"/>
      <c r="C681" s="28"/>
      <c r="D681" s="250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>
      <c r="A682" s="28"/>
      <c r="B682" s="28"/>
      <c r="C682" s="28"/>
      <c r="D682" s="250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>
      <c r="A683" s="28"/>
      <c r="B683" s="28"/>
      <c r="C683" s="28"/>
      <c r="D683" s="250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>
      <c r="A684" s="28"/>
      <c r="B684" s="28"/>
      <c r="C684" s="28"/>
      <c r="D684" s="250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>
      <c r="A685" s="28"/>
      <c r="B685" s="28"/>
      <c r="C685" s="28"/>
      <c r="D685" s="250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>
      <c r="A686" s="28"/>
      <c r="B686" s="28"/>
      <c r="C686" s="28"/>
      <c r="D686" s="250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>
      <c r="A687" s="28"/>
      <c r="B687" s="28"/>
      <c r="C687" s="28"/>
      <c r="D687" s="250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>
      <c r="A688" s="28"/>
      <c r="B688" s="28"/>
      <c r="C688" s="28"/>
      <c r="D688" s="250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>
      <c r="A689" s="28"/>
      <c r="B689" s="28"/>
      <c r="C689" s="28"/>
      <c r="D689" s="250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>
      <c r="A690" s="28"/>
      <c r="B690" s="28"/>
      <c r="C690" s="28"/>
      <c r="D690" s="250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>
      <c r="A691" s="28"/>
      <c r="B691" s="28"/>
      <c r="C691" s="28"/>
      <c r="D691" s="250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>
      <c r="A692" s="28"/>
      <c r="B692" s="28"/>
      <c r="C692" s="28"/>
      <c r="D692" s="250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>
      <c r="A693" s="28"/>
      <c r="B693" s="28"/>
      <c r="C693" s="28"/>
      <c r="D693" s="250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>
      <c r="A694" s="28"/>
      <c r="B694" s="28"/>
      <c r="C694" s="28"/>
      <c r="D694" s="250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>
      <c r="A695" s="28"/>
      <c r="B695" s="28"/>
      <c r="C695" s="28"/>
      <c r="D695" s="250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>
      <c r="A696" s="28"/>
      <c r="B696" s="28"/>
      <c r="C696" s="28"/>
      <c r="D696" s="250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>
      <c r="A697" s="28"/>
      <c r="B697" s="28"/>
      <c r="C697" s="28"/>
      <c r="D697" s="250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>
      <c r="A698" s="28"/>
      <c r="B698" s="28"/>
      <c r="C698" s="28"/>
      <c r="D698" s="250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>
      <c r="A699" s="28"/>
      <c r="B699" s="28"/>
      <c r="C699" s="28"/>
      <c r="D699" s="250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>
      <c r="A700" s="28"/>
      <c r="B700" s="28"/>
      <c r="C700" s="28"/>
      <c r="D700" s="250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>
      <c r="A701" s="28"/>
      <c r="B701" s="28"/>
      <c r="C701" s="28"/>
      <c r="D701" s="250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>
      <c r="A702" s="28"/>
      <c r="B702" s="28"/>
      <c r="C702" s="28"/>
      <c r="D702" s="250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>
      <c r="A703" s="28"/>
      <c r="B703" s="28"/>
      <c r="C703" s="28"/>
      <c r="D703" s="250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>
      <c r="A704" s="28"/>
      <c r="B704" s="28"/>
      <c r="C704" s="28"/>
      <c r="D704" s="250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>
      <c r="A705" s="28"/>
      <c r="B705" s="28"/>
      <c r="C705" s="28"/>
      <c r="D705" s="250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>
      <c r="A706" s="28"/>
      <c r="B706" s="28"/>
      <c r="C706" s="28"/>
      <c r="D706" s="250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>
      <c r="A707" s="28"/>
      <c r="B707" s="28"/>
      <c r="C707" s="28"/>
      <c r="D707" s="250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>
      <c r="A708" s="28"/>
      <c r="B708" s="28"/>
      <c r="C708" s="28"/>
      <c r="D708" s="250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>
      <c r="A709" s="28"/>
      <c r="B709" s="28"/>
      <c r="C709" s="28"/>
      <c r="D709" s="250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>
      <c r="A710" s="28"/>
      <c r="B710" s="28"/>
      <c r="C710" s="28"/>
      <c r="D710" s="250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>
      <c r="A711" s="28"/>
      <c r="B711" s="28"/>
      <c r="C711" s="28"/>
      <c r="D711" s="250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>
      <c r="A712" s="28"/>
      <c r="B712" s="28"/>
      <c r="C712" s="28"/>
      <c r="D712" s="250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>
      <c r="A713" s="28"/>
      <c r="B713" s="28"/>
      <c r="C713" s="28"/>
      <c r="D713" s="250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>
      <c r="A714" s="28"/>
      <c r="B714" s="28"/>
      <c r="C714" s="28"/>
      <c r="D714" s="250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>
      <c r="A715" s="28"/>
      <c r="B715" s="28"/>
      <c r="C715" s="28"/>
      <c r="D715" s="250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>
      <c r="A716" s="28"/>
      <c r="B716" s="28"/>
      <c r="C716" s="28"/>
      <c r="D716" s="250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>
      <c r="A717" s="28"/>
      <c r="B717" s="28"/>
      <c r="C717" s="28"/>
      <c r="D717" s="250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>
      <c r="A718" s="28"/>
      <c r="B718" s="28"/>
      <c r="C718" s="28"/>
      <c r="D718" s="250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>
      <c r="A719" s="28"/>
      <c r="B719" s="28"/>
      <c r="C719" s="28"/>
      <c r="D719" s="250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>
      <c r="A720" s="28"/>
      <c r="B720" s="28"/>
      <c r="C720" s="28"/>
      <c r="D720" s="250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>
      <c r="A721" s="28"/>
      <c r="B721" s="28"/>
      <c r="C721" s="28"/>
      <c r="D721" s="250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>
      <c r="A722" s="28"/>
      <c r="B722" s="28"/>
      <c r="C722" s="28"/>
      <c r="D722" s="250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>
      <c r="A723" s="28"/>
      <c r="B723" s="28"/>
      <c r="C723" s="28"/>
      <c r="D723" s="250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>
      <c r="A724" s="28"/>
      <c r="B724" s="28"/>
      <c r="C724" s="28"/>
      <c r="D724" s="250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>
      <c r="A725" s="28"/>
      <c r="B725" s="28"/>
      <c r="C725" s="28"/>
      <c r="D725" s="250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>
      <c r="A726" s="28"/>
      <c r="B726" s="28"/>
      <c r="C726" s="28"/>
      <c r="D726" s="250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>
      <c r="A727" s="28"/>
      <c r="B727" s="28"/>
      <c r="C727" s="28"/>
      <c r="D727" s="250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>
      <c r="A728" s="28"/>
      <c r="B728" s="28"/>
      <c r="C728" s="28"/>
      <c r="D728" s="250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>
      <c r="A729" s="28"/>
      <c r="B729" s="28"/>
      <c r="C729" s="28"/>
      <c r="D729" s="250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>
      <c r="A730" s="28"/>
      <c r="B730" s="28"/>
      <c r="C730" s="28"/>
      <c r="D730" s="250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>
      <c r="A731" s="28"/>
      <c r="B731" s="28"/>
      <c r="C731" s="28"/>
      <c r="D731" s="250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>
      <c r="A732" s="28"/>
      <c r="B732" s="28"/>
      <c r="C732" s="28"/>
      <c r="D732" s="250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>
      <c r="A733" s="28"/>
      <c r="B733" s="28"/>
      <c r="C733" s="28"/>
      <c r="D733" s="250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>
      <c r="A734" s="28"/>
      <c r="B734" s="28"/>
      <c r="C734" s="28"/>
      <c r="D734" s="250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>
      <c r="A735" s="28"/>
      <c r="B735" s="28"/>
      <c r="C735" s="28"/>
      <c r="D735" s="250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>
      <c r="A736" s="28"/>
      <c r="B736" s="28"/>
      <c r="C736" s="28"/>
      <c r="D736" s="250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>
      <c r="A737" s="28"/>
      <c r="B737" s="28"/>
      <c r="C737" s="28"/>
      <c r="D737" s="250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>
      <c r="A738" s="28"/>
      <c r="B738" s="28"/>
      <c r="C738" s="28"/>
      <c r="D738" s="250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>
      <c r="A739" s="28"/>
      <c r="B739" s="28"/>
      <c r="C739" s="28"/>
      <c r="D739" s="250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>
      <c r="A740" s="28"/>
      <c r="B740" s="28"/>
      <c r="C740" s="28"/>
      <c r="D740" s="250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>
      <c r="A741" s="28"/>
      <c r="B741" s="28"/>
      <c r="C741" s="28"/>
      <c r="D741" s="250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>
      <c r="A742" s="28"/>
      <c r="B742" s="28"/>
      <c r="C742" s="28"/>
      <c r="D742" s="250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>
      <c r="A743" s="28"/>
      <c r="B743" s="28"/>
      <c r="C743" s="28"/>
      <c r="D743" s="250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>
      <c r="A744" s="28"/>
      <c r="B744" s="28"/>
      <c r="C744" s="28"/>
      <c r="D744" s="250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>
      <c r="A745" s="28"/>
      <c r="B745" s="28"/>
      <c r="C745" s="28"/>
      <c r="D745" s="250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>
      <c r="A746" s="28"/>
      <c r="B746" s="28"/>
      <c r="C746" s="28"/>
      <c r="D746" s="250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>
      <c r="A747" s="28"/>
      <c r="B747" s="28"/>
      <c r="C747" s="28"/>
      <c r="D747" s="250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>
      <c r="A748" s="28"/>
      <c r="B748" s="28"/>
      <c r="C748" s="28"/>
      <c r="D748" s="250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>
      <c r="A749" s="28"/>
      <c r="B749" s="28"/>
      <c r="C749" s="28"/>
      <c r="D749" s="250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>
      <c r="A750" s="28"/>
      <c r="B750" s="28"/>
      <c r="C750" s="28"/>
      <c r="D750" s="250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>
      <c r="A751" s="28"/>
      <c r="B751" s="28"/>
      <c r="C751" s="28"/>
      <c r="D751" s="250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>
      <c r="A752" s="28"/>
      <c r="B752" s="28"/>
      <c r="C752" s="28"/>
      <c r="D752" s="250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>
      <c r="A753" s="28"/>
      <c r="B753" s="28"/>
      <c r="C753" s="28"/>
      <c r="D753" s="250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>
      <c r="A754" s="28"/>
      <c r="B754" s="28"/>
      <c r="C754" s="28"/>
      <c r="D754" s="250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>
      <c r="A755" s="28"/>
      <c r="B755" s="28"/>
      <c r="C755" s="28"/>
      <c r="D755" s="250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>
      <c r="A756" s="28"/>
      <c r="B756" s="28"/>
      <c r="C756" s="28"/>
      <c r="D756" s="250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>
      <c r="A757" s="28"/>
      <c r="B757" s="28"/>
      <c r="C757" s="28"/>
      <c r="D757" s="250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>
      <c r="A758" s="28"/>
      <c r="B758" s="28"/>
      <c r="C758" s="28"/>
      <c r="D758" s="250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>
      <c r="A759" s="28"/>
      <c r="B759" s="28"/>
      <c r="C759" s="28"/>
      <c r="D759" s="250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>
      <c r="A760" s="28"/>
      <c r="B760" s="28"/>
      <c r="C760" s="28"/>
      <c r="D760" s="250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>
      <c r="A761" s="28"/>
      <c r="B761" s="28"/>
      <c r="C761" s="28"/>
      <c r="D761" s="250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>
      <c r="A762" s="28"/>
      <c r="B762" s="28"/>
      <c r="C762" s="28"/>
      <c r="D762" s="250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>
      <c r="A763" s="28"/>
      <c r="B763" s="28"/>
      <c r="C763" s="28"/>
      <c r="D763" s="250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>
      <c r="A764" s="28"/>
      <c r="B764" s="28"/>
      <c r="C764" s="28"/>
      <c r="D764" s="250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>
      <c r="A765" s="28"/>
      <c r="B765" s="28"/>
      <c r="C765" s="28"/>
      <c r="D765" s="250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>
      <c r="A766" s="28"/>
      <c r="B766" s="28"/>
      <c r="C766" s="28"/>
      <c r="D766" s="250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>
      <c r="A767" s="28"/>
      <c r="B767" s="28"/>
      <c r="C767" s="28"/>
      <c r="D767" s="250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>
      <c r="A768" s="28"/>
      <c r="B768" s="28"/>
      <c r="C768" s="28"/>
      <c r="D768" s="250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>
      <c r="A769" s="28"/>
      <c r="B769" s="28"/>
      <c r="C769" s="28"/>
      <c r="D769" s="250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>
      <c r="A770" s="28"/>
      <c r="B770" s="28"/>
      <c r="C770" s="28"/>
      <c r="D770" s="250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>
      <c r="A771" s="28"/>
      <c r="B771" s="28"/>
      <c r="C771" s="28"/>
      <c r="D771" s="250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>
      <c r="A772" s="28"/>
      <c r="B772" s="28"/>
      <c r="C772" s="28"/>
      <c r="D772" s="250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>
      <c r="A773" s="28"/>
      <c r="B773" s="28"/>
      <c r="C773" s="28"/>
      <c r="D773" s="250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>
      <c r="A774" s="28"/>
      <c r="B774" s="28"/>
      <c r="C774" s="28"/>
      <c r="D774" s="250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>
      <c r="A775" s="28"/>
      <c r="B775" s="28"/>
      <c r="C775" s="28"/>
      <c r="D775" s="250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>
      <c r="A776" s="28"/>
      <c r="B776" s="28"/>
      <c r="C776" s="28"/>
      <c r="D776" s="250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>
      <c r="A777" s="28"/>
      <c r="B777" s="28"/>
      <c r="C777" s="28"/>
      <c r="D777" s="250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>
      <c r="A778" s="28"/>
      <c r="B778" s="28"/>
      <c r="C778" s="28"/>
      <c r="D778" s="250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>
      <c r="A779" s="28"/>
      <c r="B779" s="28"/>
      <c r="C779" s="28"/>
      <c r="D779" s="250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>
      <c r="A780" s="28"/>
      <c r="B780" s="28"/>
      <c r="C780" s="28"/>
      <c r="D780" s="250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>
      <c r="A781" s="28"/>
      <c r="B781" s="28"/>
      <c r="C781" s="28"/>
      <c r="D781" s="250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>
      <c r="A782" s="28"/>
      <c r="B782" s="28"/>
      <c r="C782" s="28"/>
      <c r="D782" s="250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>
      <c r="A783" s="28"/>
      <c r="B783" s="28"/>
      <c r="C783" s="28"/>
      <c r="D783" s="250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>
      <c r="A784" s="28"/>
      <c r="B784" s="28"/>
      <c r="C784" s="28"/>
      <c r="D784" s="250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>
      <c r="A785" s="28"/>
      <c r="B785" s="28"/>
      <c r="C785" s="28"/>
      <c r="D785" s="250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>
      <c r="A786" s="28"/>
      <c r="B786" s="28"/>
      <c r="C786" s="28"/>
      <c r="D786" s="250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>
      <c r="A787" s="28"/>
      <c r="B787" s="28"/>
      <c r="C787" s="28"/>
      <c r="D787" s="250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>
      <c r="A788" s="28"/>
      <c r="B788" s="28"/>
      <c r="C788" s="28"/>
      <c r="D788" s="250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>
      <c r="A789" s="28"/>
      <c r="B789" s="28"/>
      <c r="C789" s="28"/>
      <c r="D789" s="250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>
      <c r="A790" s="28"/>
      <c r="B790" s="28"/>
      <c r="C790" s="28"/>
      <c r="D790" s="250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>
      <c r="A791" s="28"/>
      <c r="B791" s="28"/>
      <c r="C791" s="28"/>
      <c r="D791" s="250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>
      <c r="A792" s="28"/>
      <c r="B792" s="28"/>
      <c r="C792" s="28"/>
      <c r="D792" s="250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>
      <c r="A793" s="28"/>
      <c r="B793" s="28"/>
      <c r="C793" s="28"/>
      <c r="D793" s="250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>
      <c r="A794" s="28"/>
      <c r="B794" s="28"/>
      <c r="C794" s="28"/>
      <c r="D794" s="250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>
      <c r="A795" s="28"/>
      <c r="B795" s="28"/>
      <c r="C795" s="28"/>
      <c r="D795" s="250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>
      <c r="A796" s="28"/>
      <c r="B796" s="28"/>
      <c r="C796" s="28"/>
      <c r="D796" s="250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>
      <c r="A797" s="28"/>
      <c r="B797" s="28"/>
      <c r="C797" s="28"/>
      <c r="D797" s="250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>
      <c r="A798" s="28"/>
      <c r="B798" s="28"/>
      <c r="C798" s="28"/>
      <c r="D798" s="250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>
      <c r="A799" s="28"/>
      <c r="B799" s="28"/>
      <c r="C799" s="28"/>
      <c r="D799" s="250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>
      <c r="A800" s="28"/>
      <c r="B800" s="28"/>
      <c r="C800" s="28"/>
      <c r="D800" s="250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>
      <c r="A801" s="28"/>
      <c r="B801" s="28"/>
      <c r="C801" s="28"/>
      <c r="D801" s="250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>
      <c r="A802" s="28"/>
      <c r="B802" s="28"/>
      <c r="C802" s="28"/>
      <c r="D802" s="250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>
      <c r="A803" s="28"/>
      <c r="B803" s="28"/>
      <c r="C803" s="28"/>
      <c r="D803" s="250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>
      <c r="A804" s="28"/>
      <c r="B804" s="28"/>
      <c r="C804" s="28"/>
      <c r="D804" s="250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>
      <c r="A805" s="28"/>
      <c r="B805" s="28"/>
      <c r="C805" s="28"/>
      <c r="D805" s="250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>
      <c r="A806" s="28"/>
      <c r="B806" s="28"/>
      <c r="C806" s="28"/>
      <c r="D806" s="250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>
      <c r="A807" s="28"/>
      <c r="B807" s="28"/>
      <c r="C807" s="28"/>
      <c r="D807" s="250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>
      <c r="A808" s="28"/>
      <c r="B808" s="28"/>
      <c r="C808" s="28"/>
      <c r="D808" s="250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>
      <c r="A809" s="28"/>
      <c r="B809" s="28"/>
      <c r="C809" s="28"/>
      <c r="D809" s="250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>
      <c r="A810" s="28"/>
      <c r="B810" s="28"/>
      <c r="C810" s="28"/>
      <c r="D810" s="250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>
      <c r="A811" s="28"/>
      <c r="B811" s="28"/>
      <c r="C811" s="28"/>
      <c r="D811" s="250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>
      <c r="A812" s="28"/>
      <c r="B812" s="28"/>
      <c r="C812" s="28"/>
      <c r="D812" s="250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>
      <c r="A813" s="28"/>
      <c r="B813" s="28"/>
      <c r="C813" s="28"/>
      <c r="D813" s="250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>
      <c r="A814" s="28"/>
      <c r="B814" s="28"/>
      <c r="C814" s="28"/>
      <c r="D814" s="250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>
      <c r="A815" s="28"/>
      <c r="B815" s="28"/>
      <c r="C815" s="28"/>
      <c r="D815" s="250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>
      <c r="A816" s="28"/>
      <c r="B816" s="28"/>
      <c r="C816" s="28"/>
      <c r="D816" s="250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>
      <c r="A817" s="28"/>
      <c r="B817" s="28"/>
      <c r="C817" s="28"/>
      <c r="D817" s="250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>
      <c r="A818" s="28"/>
      <c r="B818" s="28"/>
      <c r="C818" s="28"/>
      <c r="D818" s="250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>
      <c r="A819" s="28"/>
      <c r="B819" s="28"/>
      <c r="C819" s="28"/>
      <c r="D819" s="250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>
      <c r="A820" s="28"/>
      <c r="B820" s="28"/>
      <c r="C820" s="28"/>
      <c r="D820" s="250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>
      <c r="A821" s="28"/>
      <c r="B821" s="28"/>
      <c r="C821" s="28"/>
      <c r="D821" s="250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>
      <c r="A822" s="28"/>
      <c r="B822" s="28"/>
      <c r="C822" s="28"/>
      <c r="D822" s="250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>
      <c r="A823" s="28"/>
      <c r="B823" s="28"/>
      <c r="C823" s="28"/>
      <c r="D823" s="250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>
      <c r="A824" s="28"/>
      <c r="B824" s="28"/>
      <c r="C824" s="28"/>
      <c r="D824" s="250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>
      <c r="A825" s="28"/>
      <c r="B825" s="28"/>
      <c r="C825" s="28"/>
      <c r="D825" s="250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>
      <c r="A826" s="28"/>
      <c r="B826" s="28"/>
      <c r="C826" s="28"/>
      <c r="D826" s="250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>
      <c r="A827" s="28"/>
      <c r="B827" s="28"/>
      <c r="C827" s="28"/>
      <c r="D827" s="250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>
      <c r="A828" s="28"/>
      <c r="B828" s="28"/>
      <c r="C828" s="28"/>
      <c r="D828" s="250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>
      <c r="A829" s="28"/>
      <c r="B829" s="28"/>
      <c r="C829" s="28"/>
      <c r="D829" s="250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>
      <c r="A830" s="28"/>
      <c r="B830" s="28"/>
      <c r="C830" s="28"/>
      <c r="D830" s="250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>
      <c r="A831" s="28"/>
      <c r="B831" s="28"/>
      <c r="C831" s="28"/>
      <c r="D831" s="250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>
      <c r="A832" s="28"/>
      <c r="B832" s="28"/>
      <c r="C832" s="28"/>
      <c r="D832" s="250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>
      <c r="A833" s="28"/>
      <c r="B833" s="28"/>
      <c r="C833" s="28"/>
      <c r="D833" s="250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>
      <c r="A834" s="28"/>
      <c r="B834" s="28"/>
      <c r="C834" s="28"/>
      <c r="D834" s="250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>
      <c r="A835" s="28"/>
      <c r="B835" s="28"/>
      <c r="C835" s="28"/>
      <c r="D835" s="250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>
      <c r="A836" s="28"/>
      <c r="B836" s="28"/>
      <c r="C836" s="28"/>
      <c r="D836" s="250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>
      <c r="A837" s="28"/>
      <c r="B837" s="28"/>
      <c r="C837" s="28"/>
      <c r="D837" s="250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>
      <c r="A838" s="28"/>
      <c r="B838" s="28"/>
      <c r="C838" s="28"/>
      <c r="D838" s="250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>
      <c r="A839" s="28"/>
      <c r="B839" s="28"/>
      <c r="C839" s="28"/>
      <c r="D839" s="250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>
      <c r="A840" s="28"/>
      <c r="B840" s="28"/>
      <c r="C840" s="28"/>
      <c r="D840" s="250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>
      <c r="A841" s="28"/>
      <c r="B841" s="28"/>
      <c r="C841" s="28"/>
      <c r="D841" s="250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>
      <c r="A842" s="28"/>
      <c r="B842" s="28"/>
      <c r="C842" s="28"/>
      <c r="D842" s="250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>
      <c r="A843" s="28"/>
      <c r="B843" s="28"/>
      <c r="C843" s="28"/>
      <c r="D843" s="250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>
      <c r="A844" s="28"/>
      <c r="B844" s="28"/>
      <c r="C844" s="28"/>
      <c r="D844" s="250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>
      <c r="A845" s="28"/>
      <c r="B845" s="28"/>
      <c r="C845" s="28"/>
      <c r="D845" s="250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>
      <c r="A846" s="28"/>
      <c r="B846" s="28"/>
      <c r="C846" s="28"/>
      <c r="D846" s="250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>
      <c r="A847" s="28"/>
      <c r="B847" s="28"/>
      <c r="C847" s="28"/>
      <c r="D847" s="250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>
      <c r="A848" s="28"/>
      <c r="B848" s="28"/>
      <c r="C848" s="28"/>
      <c r="D848" s="250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>
      <c r="A849" s="28"/>
      <c r="B849" s="28"/>
      <c r="C849" s="28"/>
      <c r="D849" s="250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>
      <c r="A850" s="28"/>
      <c r="B850" s="28"/>
      <c r="C850" s="28"/>
      <c r="D850" s="250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</sheetData>
  <mergeCells count="7">
    <mergeCell ref="A1:F1"/>
    <mergeCell ref="A2:A3"/>
    <mergeCell ref="B2:B3"/>
    <mergeCell ref="C2:C3"/>
    <mergeCell ref="D2:D3"/>
    <mergeCell ref="E2:F2"/>
    <mergeCell ref="A6:C6"/>
  </mergeCells>
  <dataValidations>
    <dataValidation type="list" allowBlank="1" sqref="H4">
      <formula1>"CHECKED (OK),CHECKED  (NOT OK)"</formula1>
    </dataValidation>
  </dataValidations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4.25"/>
    <col customWidth="1" min="3" max="3" width="26.75"/>
    <col customWidth="1" min="4" max="4" width="33.25"/>
    <col customWidth="1" min="7" max="7" width="3.5"/>
    <col customWidth="1" min="8" max="8" width="18.63"/>
    <col customWidth="1" min="9" max="9" width="21.63"/>
  </cols>
  <sheetData>
    <row r="1">
      <c r="A1" s="30" t="s">
        <v>0</v>
      </c>
      <c r="G1" s="31"/>
      <c r="H1" s="32" t="s">
        <v>1162</v>
      </c>
      <c r="I1" s="33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4" t="s">
        <v>1</v>
      </c>
      <c r="B2" s="35" t="s">
        <v>11</v>
      </c>
      <c r="C2" s="35" t="s">
        <v>12</v>
      </c>
      <c r="D2" s="36" t="s">
        <v>13</v>
      </c>
      <c r="E2" s="37" t="s">
        <v>14</v>
      </c>
      <c r="F2" s="38"/>
      <c r="G2" s="39"/>
      <c r="H2" s="40"/>
      <c r="I2" s="40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41"/>
      <c r="B3" s="38"/>
      <c r="C3" s="38"/>
      <c r="D3" s="38"/>
      <c r="E3" s="42" t="s">
        <v>15</v>
      </c>
      <c r="F3" s="43" t="s">
        <v>5</v>
      </c>
      <c r="G3" s="39"/>
      <c r="H3" s="44" t="s">
        <v>6</v>
      </c>
      <c r="I3" s="45" t="s">
        <v>7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>
      <c r="A4" s="46">
        <v>1.0</v>
      </c>
      <c r="B4" s="47">
        <v>1019407.0</v>
      </c>
      <c r="C4" s="48" t="str">
        <f>vlookup(B4,'Crew Data'!C:G,5,0)</f>
        <v>Saowapak Siri-athikhom</v>
      </c>
      <c r="D4" s="49" t="s">
        <v>1163</v>
      </c>
      <c r="E4" s="47">
        <v>2.0</v>
      </c>
      <c r="F4" s="50">
        <f t="shared" ref="F4:F40" si="1">E4*400</f>
        <v>800</v>
      </c>
      <c r="G4" s="22">
        <f t="shared" ref="G4:G40" si="2">COUNTIF(B:B,B4)</f>
        <v>1</v>
      </c>
      <c r="H4" s="51" t="s">
        <v>20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A5" s="54">
        <v>2.0</v>
      </c>
      <c r="B5" s="47">
        <v>1014346.0</v>
      </c>
      <c r="C5" s="48" t="str">
        <f>vlookup(B5,'Crew Data'!C:G,5,0)</f>
        <v>Narongchai Mongkolchartthai</v>
      </c>
      <c r="D5" s="49" t="s">
        <v>1164</v>
      </c>
      <c r="E5" s="47">
        <v>29.0</v>
      </c>
      <c r="F5" s="50">
        <f t="shared" si="1"/>
        <v>11600</v>
      </c>
      <c r="G5" s="22">
        <f t="shared" si="2"/>
        <v>1</v>
      </c>
      <c r="H5" s="51" t="s">
        <v>20</v>
      </c>
    </row>
    <row r="6">
      <c r="A6" s="46">
        <v>3.0</v>
      </c>
      <c r="B6" s="47">
        <v>1014316.0</v>
      </c>
      <c r="C6" s="48" t="str">
        <f>vlookup(B6,'Crew Data'!C:G,5,0)</f>
        <v>Eakapol Tuncharoen</v>
      </c>
      <c r="D6" s="49" t="s">
        <v>1165</v>
      </c>
      <c r="E6" s="47">
        <v>30.0</v>
      </c>
      <c r="F6" s="50">
        <f t="shared" si="1"/>
        <v>12000</v>
      </c>
      <c r="G6" s="22">
        <f t="shared" si="2"/>
        <v>1</v>
      </c>
      <c r="H6" s="51" t="s">
        <v>20</v>
      </c>
    </row>
    <row r="7">
      <c r="A7" s="54">
        <v>4.0</v>
      </c>
      <c r="B7" s="47">
        <v>1014683.0</v>
      </c>
      <c r="C7" s="48" t="str">
        <f>vlookup(B7,'Crew Data'!C:G,5,0)</f>
        <v>Trin Supredanuwat</v>
      </c>
      <c r="D7" s="49" t="s">
        <v>1166</v>
      </c>
      <c r="E7" s="47">
        <v>3.0</v>
      </c>
      <c r="F7" s="50">
        <f t="shared" si="1"/>
        <v>1200</v>
      </c>
      <c r="G7" s="22">
        <f t="shared" si="2"/>
        <v>1</v>
      </c>
      <c r="H7" s="51" t="s">
        <v>20</v>
      </c>
    </row>
    <row r="8">
      <c r="A8" s="46">
        <v>5.0</v>
      </c>
      <c r="B8" s="47">
        <v>1007338.0</v>
      </c>
      <c r="C8" s="48" t="str">
        <f>vlookup(B8,'Crew Data'!C:G,5,0)</f>
        <v>Chanawut Nutakom</v>
      </c>
      <c r="D8" s="49" t="s">
        <v>1167</v>
      </c>
      <c r="E8" s="47">
        <v>8.0</v>
      </c>
      <c r="F8" s="50">
        <f t="shared" si="1"/>
        <v>3200</v>
      </c>
      <c r="G8" s="22">
        <f t="shared" si="2"/>
        <v>1</v>
      </c>
      <c r="H8" s="51" t="s">
        <v>20</v>
      </c>
    </row>
    <row r="9">
      <c r="A9" s="54">
        <v>6.0</v>
      </c>
      <c r="B9" s="47">
        <v>1022670.0</v>
      </c>
      <c r="C9" s="48" t="str">
        <f>vlookup(B9,'Crew Data'!C:G,5,0)</f>
        <v>#N/A</v>
      </c>
      <c r="D9" s="49" t="s">
        <v>1163</v>
      </c>
      <c r="E9" s="47">
        <v>2.0</v>
      </c>
      <c r="F9" s="50">
        <f t="shared" si="1"/>
        <v>800</v>
      </c>
      <c r="G9" s="22">
        <f t="shared" si="2"/>
        <v>1</v>
      </c>
      <c r="H9" s="51" t="s">
        <v>20</v>
      </c>
    </row>
    <row r="10">
      <c r="A10" s="46">
        <v>7.0</v>
      </c>
      <c r="B10" s="47">
        <v>1011314.0</v>
      </c>
      <c r="C10" s="48" t="str">
        <f>vlookup(B10,'Crew Data'!C:G,5,0)</f>
        <v>Pichayapich Nimphya</v>
      </c>
      <c r="D10" s="49" t="s">
        <v>1150</v>
      </c>
      <c r="E10" s="47">
        <v>2.0</v>
      </c>
      <c r="F10" s="50">
        <f t="shared" si="1"/>
        <v>800</v>
      </c>
      <c r="G10" s="22">
        <f t="shared" si="2"/>
        <v>1</v>
      </c>
      <c r="H10" s="51" t="s">
        <v>20</v>
      </c>
    </row>
    <row r="11">
      <c r="A11" s="54">
        <v>8.0</v>
      </c>
      <c r="B11" s="47">
        <v>1017919.0</v>
      </c>
      <c r="C11" s="48" t="str">
        <f>vlookup(B11,'Crew Data'!C:G,5,0)</f>
        <v>Asanlaya Choomit</v>
      </c>
      <c r="D11" s="263">
        <v>43891.0</v>
      </c>
      <c r="E11" s="47">
        <v>1.0</v>
      </c>
      <c r="F11" s="50">
        <f t="shared" si="1"/>
        <v>400</v>
      </c>
      <c r="G11" s="22">
        <f t="shared" si="2"/>
        <v>1</v>
      </c>
      <c r="H11" s="51" t="s">
        <v>20</v>
      </c>
    </row>
    <row r="12">
      <c r="A12" s="46">
        <v>9.0</v>
      </c>
      <c r="B12" s="47">
        <v>1004757.0</v>
      </c>
      <c r="C12" s="48" t="str">
        <f>vlookup(B12,'Crew Data'!C:G,5,0)</f>
        <v>Pimwaree Makmee</v>
      </c>
      <c r="D12" s="49" t="s">
        <v>1168</v>
      </c>
      <c r="E12" s="47">
        <v>28.0</v>
      </c>
      <c r="F12" s="50">
        <f t="shared" si="1"/>
        <v>11200</v>
      </c>
      <c r="G12" s="22">
        <f t="shared" si="2"/>
        <v>1</v>
      </c>
      <c r="H12" s="51" t="s">
        <v>20</v>
      </c>
    </row>
    <row r="13">
      <c r="A13" s="54">
        <v>10.0</v>
      </c>
      <c r="B13" s="47">
        <v>1003137.0</v>
      </c>
      <c r="C13" s="48" t="str">
        <f>vlookup(B13,'Crew Data'!C:G,5,0)</f>
        <v>Patcharamai Udomphol</v>
      </c>
      <c r="D13" s="49" t="s">
        <v>1150</v>
      </c>
      <c r="E13" s="47">
        <v>2.0</v>
      </c>
      <c r="F13" s="50">
        <f t="shared" si="1"/>
        <v>800</v>
      </c>
      <c r="G13" s="22">
        <f t="shared" si="2"/>
        <v>1</v>
      </c>
      <c r="H13" s="51" t="s">
        <v>20</v>
      </c>
    </row>
    <row r="14">
      <c r="A14" s="46">
        <v>11.0</v>
      </c>
      <c r="B14" s="47">
        <v>1011836.0</v>
      </c>
      <c r="C14" s="48" t="str">
        <f>vlookup(B14,'Crew Data'!C:G,5,0)</f>
        <v>Sirapong Charoenwutbhawonrat</v>
      </c>
      <c r="D14" s="49" t="s">
        <v>1169</v>
      </c>
      <c r="E14" s="47">
        <v>2.0</v>
      </c>
      <c r="F14" s="50">
        <f t="shared" si="1"/>
        <v>800</v>
      </c>
      <c r="G14" s="22">
        <f t="shared" si="2"/>
        <v>1</v>
      </c>
      <c r="H14" s="51" t="s">
        <v>20</v>
      </c>
    </row>
    <row r="15">
      <c r="A15" s="46">
        <v>12.0</v>
      </c>
      <c r="B15" s="47">
        <v>1004562.0</v>
      </c>
      <c r="C15" s="48" t="str">
        <f>vlookup(B15,'Crew Data'!C:G,5,0)</f>
        <v>#N/A</v>
      </c>
      <c r="D15" s="49" t="s">
        <v>1150</v>
      </c>
      <c r="E15" s="47">
        <v>2.0</v>
      </c>
      <c r="F15" s="50">
        <f t="shared" si="1"/>
        <v>800</v>
      </c>
      <c r="G15" s="22">
        <f t="shared" si="2"/>
        <v>1</v>
      </c>
      <c r="H15" s="51" t="s">
        <v>20</v>
      </c>
    </row>
    <row r="16">
      <c r="A16" s="46">
        <v>13.0</v>
      </c>
      <c r="B16" s="47">
        <v>1016214.0</v>
      </c>
      <c r="C16" s="48" t="str">
        <f>vlookup(B16,'Crew Data'!C:G,5,0)</f>
        <v>Passakorn Porncharoon</v>
      </c>
      <c r="D16" s="264" t="s">
        <v>1150</v>
      </c>
      <c r="E16" s="47">
        <v>2.0</v>
      </c>
      <c r="F16" s="50">
        <f t="shared" si="1"/>
        <v>800</v>
      </c>
      <c r="G16" s="22">
        <f t="shared" si="2"/>
        <v>1</v>
      </c>
      <c r="H16" s="51" t="s">
        <v>20</v>
      </c>
    </row>
    <row r="17">
      <c r="A17" s="54">
        <v>14.0</v>
      </c>
      <c r="B17" s="47">
        <v>1007275.0</v>
      </c>
      <c r="C17" s="48" t="str">
        <f>vlookup(B17,'Crew Data'!C:G,5,0)</f>
        <v>Teeraporn Sutthumvilai</v>
      </c>
      <c r="D17" s="49" t="s">
        <v>1150</v>
      </c>
      <c r="E17" s="47">
        <v>2.0</v>
      </c>
      <c r="F17" s="50">
        <f t="shared" si="1"/>
        <v>800</v>
      </c>
      <c r="G17" s="22">
        <f t="shared" si="2"/>
        <v>1</v>
      </c>
      <c r="H17" s="51" t="s">
        <v>20</v>
      </c>
    </row>
    <row r="18">
      <c r="A18" s="46">
        <v>15.0</v>
      </c>
      <c r="B18" s="47">
        <v>1011741.0</v>
      </c>
      <c r="C18" s="48" t="str">
        <f>vlookup(B18,'Crew Data'!C:G,5,0)</f>
        <v>Naphak Aussanon</v>
      </c>
      <c r="D18" s="49" t="s">
        <v>1170</v>
      </c>
      <c r="E18" s="47">
        <v>4.0</v>
      </c>
      <c r="F18" s="50">
        <f t="shared" si="1"/>
        <v>1600</v>
      </c>
      <c r="G18" s="22">
        <f t="shared" si="2"/>
        <v>1</v>
      </c>
      <c r="H18" s="51" t="s">
        <v>20</v>
      </c>
    </row>
    <row r="19">
      <c r="A19" s="46">
        <v>16.0</v>
      </c>
      <c r="B19" s="47">
        <v>1003385.0</v>
      </c>
      <c r="C19" s="48" t="str">
        <f>vlookup(B19,'Crew Data'!C:G,5,0)</f>
        <v>Jaruma Jantarapap</v>
      </c>
      <c r="D19" s="49" t="s">
        <v>1171</v>
      </c>
      <c r="E19" s="47">
        <v>2.0</v>
      </c>
      <c r="F19" s="50">
        <f t="shared" si="1"/>
        <v>800</v>
      </c>
      <c r="G19" s="22">
        <f t="shared" si="2"/>
        <v>1</v>
      </c>
      <c r="H19" s="51" t="s">
        <v>20</v>
      </c>
    </row>
    <row r="20">
      <c r="A20" s="46">
        <v>17.0</v>
      </c>
      <c r="B20" s="47">
        <v>1004851.0</v>
      </c>
      <c r="C20" s="48" t="str">
        <f>vlookup(B20,'Crew Data'!C:G,5,0)</f>
        <v>#N/A</v>
      </c>
      <c r="D20" s="49" t="s">
        <v>1172</v>
      </c>
      <c r="E20" s="47">
        <v>2.0</v>
      </c>
      <c r="F20" s="50">
        <f t="shared" si="1"/>
        <v>800</v>
      </c>
      <c r="G20" s="22">
        <f t="shared" si="2"/>
        <v>1</v>
      </c>
      <c r="H20" s="51" t="s">
        <v>20</v>
      </c>
    </row>
    <row r="21">
      <c r="A21" s="54">
        <v>18.0</v>
      </c>
      <c r="B21" s="47">
        <v>1015405.0</v>
      </c>
      <c r="C21" s="48" t="str">
        <f>vlookup(B21,'Crew Data'!C:G,5,0)</f>
        <v>Nuttapon Pungjun</v>
      </c>
      <c r="D21" s="49" t="s">
        <v>1173</v>
      </c>
      <c r="E21" s="47">
        <v>2.0</v>
      </c>
      <c r="F21" s="50">
        <f t="shared" si="1"/>
        <v>800</v>
      </c>
      <c r="G21" s="22">
        <f t="shared" si="2"/>
        <v>1</v>
      </c>
      <c r="H21" s="51" t="s">
        <v>20</v>
      </c>
    </row>
    <row r="22">
      <c r="A22" s="46">
        <v>19.0</v>
      </c>
      <c r="B22" s="47">
        <v>1001617.0</v>
      </c>
      <c r="C22" s="48" t="str">
        <f>vlookup(B22,'Crew Data'!C:G,5,0)</f>
        <v>Suthida Tanakarn</v>
      </c>
      <c r="D22" s="49" t="s">
        <v>1174</v>
      </c>
      <c r="E22" s="47">
        <v>6.0</v>
      </c>
      <c r="F22" s="50">
        <f t="shared" si="1"/>
        <v>2400</v>
      </c>
      <c r="G22" s="22">
        <f t="shared" si="2"/>
        <v>1</v>
      </c>
      <c r="H22" s="51" t="s">
        <v>20</v>
      </c>
    </row>
    <row r="23">
      <c r="A23" s="46">
        <v>20.0</v>
      </c>
      <c r="B23" s="47">
        <v>1004860.0</v>
      </c>
      <c r="C23" s="48" t="str">
        <f>vlookup(B23,'Crew Data'!C:G,5,0)</f>
        <v>#N/A</v>
      </c>
      <c r="D23" s="49" t="s">
        <v>1175</v>
      </c>
      <c r="E23" s="47">
        <v>2.0</v>
      </c>
      <c r="F23" s="50">
        <f t="shared" si="1"/>
        <v>800</v>
      </c>
      <c r="G23" s="22">
        <f t="shared" si="2"/>
        <v>1</v>
      </c>
      <c r="H23" s="51" t="s">
        <v>20</v>
      </c>
    </row>
    <row r="24">
      <c r="A24" s="46">
        <v>21.0</v>
      </c>
      <c r="B24" s="47">
        <v>1019209.0</v>
      </c>
      <c r="C24" s="48" t="str">
        <f>vlookup(B24,'Crew Data'!C:G,5,0)</f>
        <v>Ployputchara Sridara</v>
      </c>
      <c r="D24" s="263">
        <v>43862.0</v>
      </c>
      <c r="E24" s="47">
        <v>1.0</v>
      </c>
      <c r="F24" s="50">
        <f t="shared" si="1"/>
        <v>400</v>
      </c>
      <c r="G24" s="22">
        <f t="shared" si="2"/>
        <v>1</v>
      </c>
      <c r="H24" s="51" t="s">
        <v>20</v>
      </c>
    </row>
    <row r="25">
      <c r="A25" s="46">
        <v>22.0</v>
      </c>
      <c r="B25" s="47">
        <v>1012902.0</v>
      </c>
      <c r="C25" s="48" t="str">
        <f>vlookup(B25,'Crew Data'!C:G,5,0)</f>
        <v>Saowarat Sowa</v>
      </c>
      <c r="D25" s="49" t="s">
        <v>1171</v>
      </c>
      <c r="E25" s="47">
        <v>2.0</v>
      </c>
      <c r="F25" s="50">
        <f t="shared" si="1"/>
        <v>800</v>
      </c>
      <c r="G25" s="22">
        <f t="shared" si="2"/>
        <v>1</v>
      </c>
      <c r="H25" s="51" t="s">
        <v>20</v>
      </c>
    </row>
    <row r="26">
      <c r="A26" s="46">
        <v>23.0</v>
      </c>
      <c r="B26" s="47">
        <v>1011730.0</v>
      </c>
      <c r="C26" s="48" t="str">
        <f>vlookup(B26,'Crew Data'!C:G,5,0)</f>
        <v>Keitiyot Chaisurisri</v>
      </c>
      <c r="D26" s="263">
        <v>43891.0</v>
      </c>
      <c r="E26" s="47">
        <v>1.0</v>
      </c>
      <c r="F26" s="50">
        <f t="shared" si="1"/>
        <v>400</v>
      </c>
      <c r="G26" s="22">
        <f t="shared" si="2"/>
        <v>1</v>
      </c>
      <c r="H26" s="51" t="s">
        <v>20</v>
      </c>
    </row>
    <row r="27">
      <c r="A27" s="54">
        <v>24.0</v>
      </c>
      <c r="B27" s="47">
        <v>1019214.0</v>
      </c>
      <c r="C27" s="48" t="str">
        <f>vlookup(B27,'Crew Data'!C:G,5,0)</f>
        <v>#N/A</v>
      </c>
      <c r="D27" s="263">
        <v>43891.0</v>
      </c>
      <c r="E27" s="47">
        <v>1.0</v>
      </c>
      <c r="F27" s="50">
        <f t="shared" si="1"/>
        <v>400</v>
      </c>
      <c r="G27" s="22">
        <f t="shared" si="2"/>
        <v>1</v>
      </c>
      <c r="H27" s="51" t="s">
        <v>20</v>
      </c>
    </row>
    <row r="28">
      <c r="A28" s="46">
        <v>25.0</v>
      </c>
      <c r="B28" s="47">
        <v>1025320.0</v>
      </c>
      <c r="C28" s="48" t="str">
        <f>vlookup(B28,'Crew Data'!C:G,5,0)</f>
        <v>Tianyot Kongkaew</v>
      </c>
      <c r="D28" s="49" t="s">
        <v>1176</v>
      </c>
      <c r="E28" s="47">
        <v>18.0</v>
      </c>
      <c r="F28" s="50">
        <f t="shared" si="1"/>
        <v>7200</v>
      </c>
      <c r="G28" s="22">
        <f t="shared" si="2"/>
        <v>1</v>
      </c>
      <c r="H28" s="51" t="s">
        <v>20</v>
      </c>
    </row>
    <row r="29">
      <c r="A29" s="46">
        <v>26.0</v>
      </c>
      <c r="B29" s="47">
        <v>1004317.0</v>
      </c>
      <c r="C29" s="48" t="str">
        <f>vlookup(B29,'Crew Data'!C:G,5,0)</f>
        <v>Narit Aimwat</v>
      </c>
      <c r="D29" s="49" t="s">
        <v>1150</v>
      </c>
      <c r="E29" s="47">
        <v>2.0</v>
      </c>
      <c r="F29" s="50">
        <f t="shared" si="1"/>
        <v>800</v>
      </c>
      <c r="G29" s="22">
        <f t="shared" si="2"/>
        <v>1</v>
      </c>
      <c r="H29" s="51" t="s">
        <v>20</v>
      </c>
    </row>
    <row r="30">
      <c r="A30" s="46">
        <v>27.0</v>
      </c>
      <c r="B30" s="47">
        <v>1014353.0</v>
      </c>
      <c r="C30" s="48" t="str">
        <f>vlookup(B30,'Crew Data'!C:G,5,0)</f>
        <v>Pornnapat Kittimontreechai</v>
      </c>
      <c r="D30" s="49" t="s">
        <v>1177</v>
      </c>
      <c r="E30" s="47">
        <v>3.0</v>
      </c>
      <c r="F30" s="50">
        <f t="shared" si="1"/>
        <v>1200</v>
      </c>
      <c r="G30" s="22">
        <f t="shared" si="2"/>
        <v>1</v>
      </c>
      <c r="H30" s="51" t="s">
        <v>20</v>
      </c>
    </row>
    <row r="31">
      <c r="A31" s="46">
        <v>28.0</v>
      </c>
      <c r="B31" s="47">
        <v>1012895.0</v>
      </c>
      <c r="C31" s="48" t="str">
        <f>vlookup(B31,'Crew Data'!C:G,5,0)</f>
        <v>Pannawach Kiatmethinpol</v>
      </c>
      <c r="D31" s="49" t="s">
        <v>1178</v>
      </c>
      <c r="E31" s="47">
        <v>2.0</v>
      </c>
      <c r="F31" s="50">
        <f t="shared" si="1"/>
        <v>800</v>
      </c>
      <c r="G31" s="22">
        <f t="shared" si="2"/>
        <v>1</v>
      </c>
      <c r="H31" s="51" t="s">
        <v>20</v>
      </c>
    </row>
    <row r="32">
      <c r="A32" s="46">
        <v>29.0</v>
      </c>
      <c r="B32" s="47">
        <v>1010919.0</v>
      </c>
      <c r="C32" s="48" t="str">
        <f>vlookup(B32,'Crew Data'!C:G,5,0)</f>
        <v>Suntorn Srimasongserm</v>
      </c>
      <c r="D32" s="263">
        <v>43891.0</v>
      </c>
      <c r="E32" s="47">
        <v>1.0</v>
      </c>
      <c r="F32" s="50">
        <f t="shared" si="1"/>
        <v>400</v>
      </c>
      <c r="G32" s="22">
        <f t="shared" si="2"/>
        <v>1</v>
      </c>
      <c r="H32" s="51" t="s">
        <v>20</v>
      </c>
    </row>
    <row r="33">
      <c r="A33" s="46">
        <v>30.0</v>
      </c>
      <c r="B33" s="47">
        <v>1007024.0</v>
      </c>
      <c r="C33" s="48" t="str">
        <f>vlookup(B33,'Crew Data'!C:G,5,0)</f>
        <v>Darin Yamalee</v>
      </c>
      <c r="D33" s="49" t="s">
        <v>1173</v>
      </c>
      <c r="E33" s="47">
        <v>2.0</v>
      </c>
      <c r="F33" s="50">
        <f t="shared" si="1"/>
        <v>800</v>
      </c>
      <c r="G33" s="22">
        <f t="shared" si="2"/>
        <v>1</v>
      </c>
      <c r="H33" s="51" t="s">
        <v>20</v>
      </c>
    </row>
    <row r="34">
      <c r="A34" s="46">
        <v>31.0</v>
      </c>
      <c r="B34" s="47">
        <v>1005967.0</v>
      </c>
      <c r="C34" s="48" t="str">
        <f>vlookup(B34,'Crew Data'!C:G,5,0)</f>
        <v>Yukol Phubunjongkij</v>
      </c>
      <c r="D34" s="49" t="s">
        <v>1179</v>
      </c>
      <c r="E34" s="47">
        <v>4.0</v>
      </c>
      <c r="F34" s="50">
        <f t="shared" si="1"/>
        <v>1600</v>
      </c>
      <c r="G34" s="22">
        <f t="shared" si="2"/>
        <v>1</v>
      </c>
      <c r="H34" s="51" t="s">
        <v>20</v>
      </c>
    </row>
    <row r="35">
      <c r="A35" s="54">
        <v>32.0</v>
      </c>
      <c r="B35" s="47">
        <v>1018532.0</v>
      </c>
      <c r="C35" s="48" t="str">
        <f>vlookup(B35,'Crew Data'!C:G,5,0)</f>
        <v>Kantachet Boonserm</v>
      </c>
      <c r="D35" s="49" t="s">
        <v>1180</v>
      </c>
      <c r="E35" s="47">
        <v>17.0</v>
      </c>
      <c r="F35" s="50">
        <f t="shared" si="1"/>
        <v>6800</v>
      </c>
      <c r="G35" s="22">
        <f t="shared" si="2"/>
        <v>1</v>
      </c>
      <c r="H35" s="51" t="s">
        <v>20</v>
      </c>
    </row>
    <row r="36">
      <c r="A36" s="46">
        <v>33.0</v>
      </c>
      <c r="B36" s="47">
        <v>1025321.0</v>
      </c>
      <c r="C36" s="48" t="str">
        <f>vlookup(B36,'Crew Data'!C:G,5,0)</f>
        <v>Sasiphak Bupphapho</v>
      </c>
      <c r="D36" s="49" t="s">
        <v>1176</v>
      </c>
      <c r="E36" s="47">
        <v>18.0</v>
      </c>
      <c r="F36" s="50">
        <f t="shared" si="1"/>
        <v>7200</v>
      </c>
      <c r="G36" s="22">
        <f t="shared" si="2"/>
        <v>1</v>
      </c>
      <c r="H36" s="51" t="s">
        <v>20</v>
      </c>
    </row>
    <row r="37">
      <c r="A37" s="46">
        <v>34.0</v>
      </c>
      <c r="B37" s="47">
        <v>1001822.0</v>
      </c>
      <c r="C37" s="48" t="str">
        <f>vlookup(B37,'Crew Data'!C:G,5,0)</f>
        <v>Wilasinee Natenopparat</v>
      </c>
      <c r="D37" s="49" t="s">
        <v>1181</v>
      </c>
      <c r="E37" s="47">
        <v>20.0</v>
      </c>
      <c r="F37" s="50">
        <f t="shared" si="1"/>
        <v>8000</v>
      </c>
      <c r="G37" s="22">
        <f t="shared" si="2"/>
        <v>1</v>
      </c>
      <c r="H37" s="51" t="s">
        <v>20</v>
      </c>
    </row>
    <row r="38">
      <c r="A38" s="46">
        <v>35.0</v>
      </c>
      <c r="B38" s="47">
        <v>1022226.0</v>
      </c>
      <c r="C38" s="48" t="str">
        <f>vlookup(B38,'Crew Data'!C:G,5,0)</f>
        <v>Janrawee Peerapand</v>
      </c>
      <c r="D38" s="49" t="s">
        <v>1182</v>
      </c>
      <c r="E38" s="47">
        <v>4.0</v>
      </c>
      <c r="F38" s="50">
        <f t="shared" si="1"/>
        <v>1600</v>
      </c>
      <c r="G38" s="22">
        <f t="shared" si="2"/>
        <v>1</v>
      </c>
      <c r="H38" s="51" t="s">
        <v>20</v>
      </c>
    </row>
    <row r="39">
      <c r="A39" s="46">
        <v>36.0</v>
      </c>
      <c r="B39" s="47">
        <v>1009768.0</v>
      </c>
      <c r="C39" s="48" t="str">
        <f>vlookup(B39,'Crew Data'!C:G,5,0)</f>
        <v>Thidech Eakmongkollert</v>
      </c>
      <c r="D39" s="263">
        <v>43891.0</v>
      </c>
      <c r="E39" s="47">
        <v>1.0</v>
      </c>
      <c r="F39" s="50">
        <f t="shared" si="1"/>
        <v>400</v>
      </c>
      <c r="G39" s="22">
        <f t="shared" si="2"/>
        <v>1</v>
      </c>
      <c r="H39" s="51" t="s">
        <v>20</v>
      </c>
    </row>
    <row r="40">
      <c r="A40" s="46">
        <v>37.0</v>
      </c>
      <c r="B40" s="47">
        <v>1001837.0</v>
      </c>
      <c r="C40" s="48" t="str">
        <f>vlookup(B40,'Crew Data'!C:G,5,0)</f>
        <v>Taralan Jareemuk</v>
      </c>
      <c r="D40" s="263">
        <v>43891.0</v>
      </c>
      <c r="E40" s="47">
        <v>1.0</v>
      </c>
      <c r="F40" s="50">
        <f t="shared" si="1"/>
        <v>400</v>
      </c>
      <c r="G40" s="22">
        <f t="shared" si="2"/>
        <v>1</v>
      </c>
      <c r="H40" s="51" t="s">
        <v>20</v>
      </c>
    </row>
    <row r="41">
      <c r="D41" s="52"/>
    </row>
    <row r="42">
      <c r="A42" s="265" t="s">
        <v>1183</v>
      </c>
      <c r="B42" s="252"/>
      <c r="C42" s="253"/>
      <c r="D42" s="52"/>
    </row>
    <row r="43">
      <c r="A43" s="254" t="s">
        <v>1153</v>
      </c>
      <c r="B43" s="255" t="s">
        <v>1154</v>
      </c>
      <c r="C43" s="256" t="s">
        <v>1155</v>
      </c>
      <c r="D43" s="52"/>
    </row>
    <row r="44">
      <c r="A44" s="257" t="s">
        <v>1156</v>
      </c>
      <c r="B44" s="258" t="s">
        <v>1157</v>
      </c>
      <c r="C44" s="259" t="s">
        <v>1158</v>
      </c>
      <c r="D44" s="52"/>
    </row>
    <row r="45">
      <c r="A45" s="257" t="s">
        <v>1159</v>
      </c>
      <c r="B45" s="258" t="s">
        <v>1157</v>
      </c>
      <c r="C45" s="259" t="s">
        <v>1158</v>
      </c>
      <c r="D45" s="52"/>
    </row>
    <row r="46">
      <c r="A46" s="257" t="s">
        <v>1160</v>
      </c>
      <c r="B46" s="260" t="s">
        <v>1157</v>
      </c>
      <c r="C46" s="259" t="s">
        <v>1158</v>
      </c>
      <c r="D46" s="52"/>
    </row>
    <row r="47">
      <c r="A47" s="31"/>
      <c r="B47" s="31"/>
      <c r="C47" s="31"/>
      <c r="D47" s="52"/>
    </row>
    <row r="48">
      <c r="A48" s="261" t="s">
        <v>1184</v>
      </c>
      <c r="B48" s="262"/>
      <c r="C48" s="31"/>
      <c r="D48" s="52"/>
    </row>
    <row r="49">
      <c r="D49" s="52"/>
    </row>
    <row r="50">
      <c r="D50" s="52"/>
    </row>
    <row r="51">
      <c r="D51" s="52"/>
    </row>
    <row r="52">
      <c r="D52" s="52"/>
    </row>
    <row r="53">
      <c r="D53" s="52"/>
    </row>
    <row r="54">
      <c r="D54" s="52"/>
    </row>
    <row r="55">
      <c r="D55" s="52"/>
    </row>
    <row r="56">
      <c r="D56" s="52"/>
    </row>
    <row r="57">
      <c r="D57" s="52"/>
    </row>
    <row r="58">
      <c r="D58" s="52"/>
    </row>
    <row r="59">
      <c r="D59" s="52"/>
    </row>
    <row r="60">
      <c r="D60" s="52"/>
    </row>
    <row r="61">
      <c r="D61" s="52"/>
    </row>
    <row r="62">
      <c r="D62" s="52"/>
    </row>
    <row r="63">
      <c r="D63" s="52"/>
    </row>
    <row r="64">
      <c r="D64" s="52"/>
    </row>
    <row r="65">
      <c r="D65" s="52"/>
    </row>
    <row r="66">
      <c r="D66" s="52"/>
    </row>
    <row r="67">
      <c r="D67" s="52"/>
    </row>
    <row r="68">
      <c r="D68" s="52"/>
    </row>
    <row r="69">
      <c r="D69" s="52"/>
    </row>
    <row r="70">
      <c r="D70" s="52"/>
    </row>
    <row r="71">
      <c r="D71" s="52"/>
    </row>
    <row r="72">
      <c r="D72" s="52"/>
    </row>
    <row r="73">
      <c r="D73" s="52"/>
    </row>
    <row r="74">
      <c r="D74" s="52"/>
    </row>
    <row r="75">
      <c r="D75" s="52"/>
    </row>
    <row r="76">
      <c r="D76" s="52"/>
    </row>
    <row r="77">
      <c r="D77" s="52"/>
    </row>
    <row r="78">
      <c r="D78" s="52"/>
    </row>
    <row r="79">
      <c r="D79" s="52"/>
    </row>
    <row r="80">
      <c r="D80" s="52"/>
    </row>
    <row r="81">
      <c r="D81" s="52"/>
    </row>
    <row r="82">
      <c r="D82" s="52"/>
    </row>
    <row r="83">
      <c r="D83" s="52"/>
    </row>
    <row r="84">
      <c r="D84" s="52"/>
    </row>
    <row r="85">
      <c r="D85" s="52"/>
    </row>
    <row r="86">
      <c r="D86" s="52"/>
    </row>
    <row r="87">
      <c r="D87" s="52"/>
    </row>
    <row r="88">
      <c r="D88" s="52"/>
    </row>
    <row r="89">
      <c r="D89" s="52"/>
    </row>
    <row r="90">
      <c r="D90" s="52"/>
    </row>
    <row r="91">
      <c r="D91" s="52"/>
    </row>
    <row r="92">
      <c r="D92" s="52"/>
    </row>
    <row r="93">
      <c r="D93" s="52"/>
    </row>
    <row r="94">
      <c r="D94" s="52"/>
    </row>
    <row r="95">
      <c r="D95" s="52"/>
    </row>
    <row r="96">
      <c r="D96" s="52"/>
    </row>
    <row r="97">
      <c r="D97" s="52"/>
    </row>
    <row r="98">
      <c r="D98" s="52"/>
    </row>
    <row r="99">
      <c r="D99" s="52"/>
    </row>
    <row r="100">
      <c r="D100" s="52"/>
    </row>
    <row r="101">
      <c r="D101" s="52"/>
    </row>
    <row r="102">
      <c r="D102" s="52"/>
    </row>
    <row r="103">
      <c r="D103" s="52"/>
    </row>
    <row r="104">
      <c r="D104" s="52"/>
    </row>
    <row r="105">
      <c r="D105" s="52"/>
    </row>
    <row r="106">
      <c r="D106" s="52"/>
    </row>
    <row r="107">
      <c r="D107" s="52"/>
    </row>
    <row r="108">
      <c r="D108" s="52"/>
    </row>
    <row r="109">
      <c r="D109" s="52"/>
    </row>
    <row r="110">
      <c r="D110" s="52"/>
    </row>
    <row r="111">
      <c r="D111" s="52"/>
    </row>
    <row r="112">
      <c r="D112" s="52"/>
    </row>
    <row r="113">
      <c r="D113" s="52"/>
    </row>
    <row r="114">
      <c r="D114" s="52"/>
    </row>
    <row r="115">
      <c r="D115" s="52"/>
    </row>
    <row r="116">
      <c r="D116" s="52"/>
    </row>
    <row r="117">
      <c r="D117" s="52"/>
    </row>
    <row r="118">
      <c r="D118" s="52"/>
    </row>
    <row r="119">
      <c r="D119" s="52"/>
    </row>
    <row r="120">
      <c r="D120" s="52"/>
    </row>
    <row r="121">
      <c r="D121" s="52"/>
    </row>
    <row r="122">
      <c r="D122" s="52"/>
    </row>
    <row r="123">
      <c r="D123" s="52"/>
    </row>
    <row r="124">
      <c r="D124" s="52"/>
    </row>
    <row r="125">
      <c r="D125" s="52"/>
    </row>
    <row r="126">
      <c r="D126" s="52"/>
    </row>
    <row r="127">
      <c r="D127" s="52"/>
    </row>
    <row r="128">
      <c r="D128" s="52"/>
    </row>
    <row r="129">
      <c r="D129" s="52"/>
    </row>
    <row r="130">
      <c r="D130" s="52"/>
    </row>
    <row r="131">
      <c r="D131" s="52"/>
    </row>
    <row r="132">
      <c r="D132" s="52"/>
    </row>
    <row r="133">
      <c r="D133" s="52"/>
    </row>
    <row r="134">
      <c r="D134" s="52"/>
    </row>
    <row r="135">
      <c r="D135" s="52"/>
    </row>
    <row r="136">
      <c r="D136" s="52"/>
    </row>
    <row r="137">
      <c r="D137" s="52"/>
    </row>
    <row r="138">
      <c r="D138" s="52"/>
    </row>
    <row r="139">
      <c r="D139" s="52"/>
    </row>
    <row r="140">
      <c r="D140" s="52"/>
    </row>
    <row r="141">
      <c r="D141" s="52"/>
    </row>
    <row r="142">
      <c r="D142" s="52"/>
    </row>
    <row r="143">
      <c r="D143" s="52"/>
    </row>
    <row r="144">
      <c r="D144" s="52"/>
    </row>
    <row r="145">
      <c r="D145" s="52"/>
    </row>
    <row r="146">
      <c r="D146" s="52"/>
    </row>
    <row r="147">
      <c r="D147" s="52"/>
    </row>
    <row r="148">
      <c r="D148" s="52"/>
    </row>
    <row r="149">
      <c r="D149" s="52"/>
    </row>
    <row r="150">
      <c r="D150" s="52"/>
    </row>
    <row r="151">
      <c r="D151" s="52"/>
    </row>
    <row r="152">
      <c r="D152" s="52"/>
    </row>
    <row r="153">
      <c r="D153" s="52"/>
    </row>
    <row r="154">
      <c r="D154" s="52"/>
    </row>
    <row r="155">
      <c r="D155" s="52"/>
    </row>
    <row r="156">
      <c r="D156" s="52"/>
    </row>
    <row r="157">
      <c r="D157" s="52"/>
    </row>
    <row r="158">
      <c r="D158" s="52"/>
    </row>
    <row r="159">
      <c r="D159" s="52"/>
    </row>
    <row r="160">
      <c r="D160" s="52"/>
    </row>
    <row r="161">
      <c r="D161" s="52"/>
    </row>
    <row r="162">
      <c r="D162" s="52"/>
    </row>
    <row r="163">
      <c r="D163" s="52"/>
    </row>
    <row r="164">
      <c r="D164" s="52"/>
    </row>
    <row r="165">
      <c r="D165" s="52"/>
    </row>
    <row r="166">
      <c r="D166" s="52"/>
    </row>
    <row r="167">
      <c r="D167" s="52"/>
    </row>
    <row r="168">
      <c r="D168" s="52"/>
    </row>
    <row r="169">
      <c r="D169" s="52"/>
    </row>
    <row r="170">
      <c r="D170" s="52"/>
    </row>
    <row r="171">
      <c r="D171" s="52"/>
    </row>
    <row r="172">
      <c r="D172" s="52"/>
    </row>
    <row r="173">
      <c r="D173" s="52"/>
    </row>
    <row r="174">
      <c r="D174" s="52"/>
    </row>
    <row r="175">
      <c r="D175" s="52"/>
    </row>
    <row r="176">
      <c r="D176" s="52"/>
    </row>
    <row r="177">
      <c r="D177" s="52"/>
    </row>
    <row r="178">
      <c r="D178" s="52"/>
    </row>
    <row r="179">
      <c r="D179" s="52"/>
    </row>
    <row r="180">
      <c r="D180" s="52"/>
    </row>
    <row r="181">
      <c r="D181" s="52"/>
    </row>
    <row r="182">
      <c r="D182" s="52"/>
    </row>
    <row r="183">
      <c r="D183" s="52"/>
    </row>
    <row r="184">
      <c r="D184" s="52"/>
    </row>
    <row r="185">
      <c r="D185" s="52"/>
    </row>
    <row r="186">
      <c r="D186" s="52"/>
    </row>
    <row r="187">
      <c r="D187" s="52"/>
    </row>
    <row r="188">
      <c r="D188" s="52"/>
    </row>
    <row r="189">
      <c r="D189" s="52"/>
    </row>
    <row r="190">
      <c r="D190" s="52"/>
    </row>
    <row r="191">
      <c r="D191" s="52"/>
    </row>
    <row r="192">
      <c r="D192" s="52"/>
    </row>
    <row r="193">
      <c r="D193" s="52"/>
    </row>
    <row r="194">
      <c r="D194" s="52"/>
    </row>
    <row r="195">
      <c r="D195" s="52"/>
    </row>
    <row r="196">
      <c r="D196" s="52"/>
    </row>
    <row r="197">
      <c r="D197" s="52"/>
    </row>
    <row r="198">
      <c r="D198" s="52"/>
    </row>
    <row r="199">
      <c r="D199" s="52"/>
    </row>
    <row r="200">
      <c r="D200" s="52"/>
    </row>
    <row r="201">
      <c r="D201" s="52"/>
    </row>
    <row r="202">
      <c r="D202" s="52"/>
    </row>
    <row r="203">
      <c r="D203" s="52"/>
    </row>
    <row r="204">
      <c r="D204" s="52"/>
    </row>
    <row r="205">
      <c r="D205" s="52"/>
    </row>
    <row r="206">
      <c r="D206" s="52"/>
    </row>
    <row r="207">
      <c r="D207" s="52"/>
    </row>
    <row r="208">
      <c r="D208" s="52"/>
    </row>
    <row r="209">
      <c r="D209" s="52"/>
    </row>
    <row r="210">
      <c r="D210" s="52"/>
    </row>
    <row r="211">
      <c r="D211" s="52"/>
    </row>
    <row r="212">
      <c r="D212" s="52"/>
    </row>
    <row r="213">
      <c r="D213" s="52"/>
    </row>
    <row r="214">
      <c r="D214" s="52"/>
    </row>
    <row r="215">
      <c r="D215" s="52"/>
    </row>
    <row r="216">
      <c r="D216" s="52"/>
    </row>
    <row r="217">
      <c r="D217" s="52"/>
    </row>
    <row r="218">
      <c r="D218" s="52"/>
    </row>
    <row r="219">
      <c r="D219" s="52"/>
    </row>
    <row r="220">
      <c r="D220" s="52"/>
    </row>
    <row r="221">
      <c r="D221" s="52"/>
    </row>
    <row r="222">
      <c r="D222" s="52"/>
    </row>
    <row r="223">
      <c r="D223" s="52"/>
    </row>
    <row r="224">
      <c r="D224" s="52"/>
    </row>
    <row r="225">
      <c r="D225" s="52"/>
    </row>
    <row r="226">
      <c r="D226" s="52"/>
    </row>
    <row r="227">
      <c r="D227" s="52"/>
    </row>
    <row r="228">
      <c r="D228" s="52"/>
    </row>
    <row r="229">
      <c r="D229" s="52"/>
    </row>
    <row r="230">
      <c r="D230" s="52"/>
    </row>
    <row r="231">
      <c r="D231" s="52"/>
    </row>
    <row r="232">
      <c r="D232" s="52"/>
    </row>
    <row r="233">
      <c r="D233" s="52"/>
    </row>
    <row r="234">
      <c r="D234" s="52"/>
    </row>
    <row r="235">
      <c r="D235" s="52"/>
    </row>
    <row r="236">
      <c r="D236" s="52"/>
    </row>
    <row r="237">
      <c r="D237" s="52"/>
    </row>
    <row r="238">
      <c r="D238" s="52"/>
    </row>
    <row r="239">
      <c r="D239" s="52"/>
    </row>
    <row r="240">
      <c r="D240" s="52"/>
    </row>
    <row r="241">
      <c r="D241" s="52"/>
    </row>
    <row r="242">
      <c r="D242" s="52"/>
    </row>
    <row r="243">
      <c r="D243" s="52"/>
    </row>
    <row r="244">
      <c r="D244" s="52"/>
    </row>
    <row r="245">
      <c r="D245" s="52"/>
    </row>
    <row r="246">
      <c r="D246" s="52"/>
    </row>
    <row r="247">
      <c r="D247" s="52"/>
    </row>
    <row r="248">
      <c r="D248" s="52"/>
    </row>
    <row r="249">
      <c r="D249" s="52"/>
    </row>
    <row r="250">
      <c r="D250" s="52"/>
    </row>
    <row r="251">
      <c r="D251" s="52"/>
    </row>
    <row r="252">
      <c r="D252" s="52"/>
    </row>
    <row r="253">
      <c r="D253" s="52"/>
    </row>
    <row r="254">
      <c r="D254" s="52"/>
    </row>
    <row r="255">
      <c r="D255" s="52"/>
    </row>
    <row r="256">
      <c r="D256" s="52"/>
    </row>
    <row r="257">
      <c r="D257" s="52"/>
    </row>
    <row r="258">
      <c r="D258" s="52"/>
    </row>
    <row r="259">
      <c r="D259" s="52"/>
    </row>
    <row r="260">
      <c r="D260" s="52"/>
    </row>
    <row r="261">
      <c r="D261" s="52"/>
    </row>
    <row r="262">
      <c r="D262" s="52"/>
    </row>
    <row r="263">
      <c r="D263" s="52"/>
    </row>
    <row r="264">
      <c r="D264" s="52"/>
    </row>
    <row r="265">
      <c r="D265" s="52"/>
    </row>
    <row r="266">
      <c r="D266" s="52"/>
    </row>
    <row r="267">
      <c r="D267" s="52"/>
    </row>
    <row r="268">
      <c r="D268" s="52"/>
    </row>
    <row r="269">
      <c r="D269" s="52"/>
    </row>
    <row r="270">
      <c r="D270" s="52"/>
    </row>
    <row r="271">
      <c r="D271" s="52"/>
    </row>
    <row r="272">
      <c r="D272" s="52"/>
    </row>
    <row r="273">
      <c r="D273" s="52"/>
    </row>
    <row r="274">
      <c r="D274" s="52"/>
    </row>
    <row r="275">
      <c r="D275" s="52"/>
    </row>
    <row r="276">
      <c r="D276" s="52"/>
    </row>
    <row r="277">
      <c r="D277" s="52"/>
    </row>
    <row r="278">
      <c r="D278" s="52"/>
    </row>
    <row r="279">
      <c r="D279" s="52"/>
    </row>
    <row r="280">
      <c r="D280" s="52"/>
    </row>
    <row r="281">
      <c r="D281" s="52"/>
    </row>
    <row r="282">
      <c r="D282" s="52"/>
    </row>
    <row r="283">
      <c r="D283" s="52"/>
    </row>
    <row r="284">
      <c r="D284" s="52"/>
    </row>
    <row r="285">
      <c r="D285" s="52"/>
    </row>
    <row r="286">
      <c r="D286" s="52"/>
    </row>
    <row r="287">
      <c r="D287" s="52"/>
    </row>
    <row r="288">
      <c r="D288" s="52"/>
    </row>
    <row r="289">
      <c r="D289" s="52"/>
    </row>
    <row r="290">
      <c r="D290" s="52"/>
    </row>
    <row r="291">
      <c r="D291" s="52"/>
    </row>
    <row r="292">
      <c r="D292" s="52"/>
    </row>
    <row r="293">
      <c r="D293" s="52"/>
    </row>
    <row r="294">
      <c r="D294" s="52"/>
    </row>
    <row r="295">
      <c r="D295" s="52"/>
    </row>
    <row r="296">
      <c r="D296" s="52"/>
    </row>
    <row r="297">
      <c r="D297" s="52"/>
    </row>
    <row r="298">
      <c r="D298" s="52"/>
    </row>
    <row r="299">
      <c r="D299" s="52"/>
    </row>
    <row r="300">
      <c r="D300" s="52"/>
    </row>
    <row r="301">
      <c r="D301" s="52"/>
    </row>
    <row r="302">
      <c r="D302" s="52"/>
    </row>
    <row r="303">
      <c r="D303" s="52"/>
    </row>
    <row r="304">
      <c r="D304" s="52"/>
    </row>
    <row r="305">
      <c r="D305" s="52"/>
    </row>
    <row r="306">
      <c r="D306" s="52"/>
    </row>
    <row r="307">
      <c r="D307" s="52"/>
    </row>
    <row r="308">
      <c r="D308" s="52"/>
    </row>
    <row r="309">
      <c r="D309" s="52"/>
    </row>
    <row r="310">
      <c r="D310" s="52"/>
    </row>
    <row r="311">
      <c r="D311" s="52"/>
    </row>
    <row r="312">
      <c r="D312" s="52"/>
    </row>
    <row r="313">
      <c r="D313" s="52"/>
    </row>
    <row r="314">
      <c r="D314" s="52"/>
    </row>
    <row r="315">
      <c r="D315" s="52"/>
    </row>
    <row r="316">
      <c r="D316" s="52"/>
    </row>
    <row r="317">
      <c r="D317" s="52"/>
    </row>
    <row r="318">
      <c r="D318" s="52"/>
    </row>
    <row r="319">
      <c r="D319" s="52"/>
    </row>
    <row r="320">
      <c r="D320" s="52"/>
    </row>
    <row r="321">
      <c r="D321" s="52"/>
    </row>
    <row r="322">
      <c r="D322" s="52"/>
    </row>
    <row r="323">
      <c r="D323" s="52"/>
    </row>
    <row r="324">
      <c r="D324" s="52"/>
    </row>
    <row r="325">
      <c r="D325" s="52"/>
    </row>
    <row r="326">
      <c r="D326" s="52"/>
    </row>
    <row r="327">
      <c r="D327" s="52"/>
    </row>
    <row r="328">
      <c r="D328" s="52"/>
    </row>
    <row r="329">
      <c r="D329" s="52"/>
    </row>
    <row r="330">
      <c r="D330" s="52"/>
    </row>
    <row r="331">
      <c r="D331" s="52"/>
    </row>
    <row r="332">
      <c r="D332" s="52"/>
    </row>
    <row r="333">
      <c r="D333" s="52"/>
    </row>
    <row r="334">
      <c r="D334" s="52"/>
    </row>
    <row r="335">
      <c r="D335" s="52"/>
    </row>
    <row r="336">
      <c r="D336" s="52"/>
    </row>
    <row r="337">
      <c r="D337" s="52"/>
    </row>
    <row r="338">
      <c r="D338" s="52"/>
    </row>
    <row r="339">
      <c r="D339" s="52"/>
    </row>
    <row r="340">
      <c r="D340" s="52"/>
    </row>
    <row r="341">
      <c r="D341" s="52"/>
    </row>
    <row r="342">
      <c r="D342" s="52"/>
    </row>
    <row r="343">
      <c r="D343" s="52"/>
    </row>
    <row r="344">
      <c r="D344" s="52"/>
    </row>
    <row r="345">
      <c r="D345" s="52"/>
    </row>
    <row r="346">
      <c r="D346" s="52"/>
    </row>
    <row r="347">
      <c r="D347" s="52"/>
    </row>
    <row r="348">
      <c r="D348" s="52"/>
    </row>
    <row r="349">
      <c r="D349" s="52"/>
    </row>
    <row r="350">
      <c r="D350" s="52"/>
    </row>
    <row r="351">
      <c r="D351" s="52"/>
    </row>
    <row r="352">
      <c r="D352" s="52"/>
    </row>
    <row r="353">
      <c r="D353" s="52"/>
    </row>
    <row r="354">
      <c r="D354" s="52"/>
    </row>
    <row r="355">
      <c r="D355" s="52"/>
    </row>
    <row r="356">
      <c r="D356" s="52"/>
    </row>
    <row r="357">
      <c r="D357" s="52"/>
    </row>
    <row r="358">
      <c r="D358" s="52"/>
    </row>
    <row r="359">
      <c r="D359" s="52"/>
    </row>
    <row r="360">
      <c r="D360" s="52"/>
    </row>
    <row r="361">
      <c r="D361" s="52"/>
    </row>
    <row r="362">
      <c r="D362" s="52"/>
    </row>
    <row r="363">
      <c r="D363" s="52"/>
    </row>
    <row r="364">
      <c r="D364" s="52"/>
    </row>
    <row r="365">
      <c r="D365" s="52"/>
    </row>
    <row r="366">
      <c r="D366" s="52"/>
    </row>
    <row r="367">
      <c r="D367" s="52"/>
    </row>
    <row r="368">
      <c r="D368" s="52"/>
    </row>
    <row r="369">
      <c r="D369" s="52"/>
    </row>
    <row r="370">
      <c r="D370" s="52"/>
    </row>
    <row r="371">
      <c r="D371" s="52"/>
    </row>
    <row r="372">
      <c r="D372" s="52"/>
    </row>
    <row r="373">
      <c r="D373" s="52"/>
    </row>
    <row r="374">
      <c r="D374" s="52"/>
    </row>
    <row r="375">
      <c r="D375" s="52"/>
    </row>
    <row r="376">
      <c r="D376" s="52"/>
    </row>
    <row r="377">
      <c r="D377" s="52"/>
    </row>
    <row r="378">
      <c r="D378" s="52"/>
    </row>
    <row r="379">
      <c r="D379" s="52"/>
    </row>
    <row r="380">
      <c r="D380" s="52"/>
    </row>
    <row r="381">
      <c r="D381" s="52"/>
    </row>
    <row r="382">
      <c r="D382" s="52"/>
    </row>
    <row r="383">
      <c r="D383" s="52"/>
    </row>
    <row r="384">
      <c r="D384" s="52"/>
    </row>
    <row r="385">
      <c r="D385" s="52"/>
    </row>
    <row r="386">
      <c r="D386" s="52"/>
    </row>
    <row r="387">
      <c r="D387" s="52"/>
    </row>
    <row r="388">
      <c r="D388" s="52"/>
    </row>
    <row r="389">
      <c r="D389" s="52"/>
    </row>
    <row r="390">
      <c r="D390" s="52"/>
    </row>
    <row r="391">
      <c r="D391" s="52"/>
    </row>
    <row r="392">
      <c r="D392" s="52"/>
    </row>
    <row r="393">
      <c r="D393" s="52"/>
    </row>
    <row r="394">
      <c r="D394" s="52"/>
    </row>
    <row r="395">
      <c r="D395" s="52"/>
    </row>
    <row r="396">
      <c r="D396" s="52"/>
    </row>
    <row r="397">
      <c r="D397" s="52"/>
    </row>
    <row r="398">
      <c r="D398" s="52"/>
    </row>
    <row r="399">
      <c r="D399" s="52"/>
    </row>
    <row r="400">
      <c r="D400" s="52"/>
    </row>
    <row r="401">
      <c r="D401" s="52"/>
    </row>
    <row r="402">
      <c r="D402" s="52"/>
    </row>
    <row r="403">
      <c r="D403" s="52"/>
    </row>
    <row r="404">
      <c r="D404" s="52"/>
    </row>
    <row r="405">
      <c r="D405" s="52"/>
    </row>
    <row r="406">
      <c r="D406" s="52"/>
    </row>
    <row r="407">
      <c r="D407" s="52"/>
    </row>
    <row r="408">
      <c r="D408" s="52"/>
    </row>
    <row r="409">
      <c r="D409" s="52"/>
    </row>
    <row r="410">
      <c r="D410" s="52"/>
    </row>
    <row r="411">
      <c r="D411" s="52"/>
    </row>
    <row r="412">
      <c r="D412" s="52"/>
    </row>
    <row r="413">
      <c r="D413" s="52"/>
    </row>
    <row r="414">
      <c r="D414" s="52"/>
    </row>
    <row r="415">
      <c r="D415" s="52"/>
    </row>
    <row r="416">
      <c r="D416" s="52"/>
    </row>
    <row r="417">
      <c r="D417" s="52"/>
    </row>
    <row r="418">
      <c r="D418" s="52"/>
    </row>
    <row r="419">
      <c r="D419" s="52"/>
    </row>
    <row r="420">
      <c r="D420" s="52"/>
    </row>
    <row r="421">
      <c r="D421" s="52"/>
    </row>
    <row r="422">
      <c r="D422" s="52"/>
    </row>
    <row r="423">
      <c r="D423" s="52"/>
    </row>
    <row r="424">
      <c r="D424" s="52"/>
    </row>
    <row r="425">
      <c r="D425" s="52"/>
    </row>
    <row r="426">
      <c r="D426" s="52"/>
    </row>
    <row r="427">
      <c r="D427" s="52"/>
    </row>
    <row r="428">
      <c r="D428" s="52"/>
    </row>
    <row r="429">
      <c r="D429" s="52"/>
    </row>
    <row r="430">
      <c r="D430" s="52"/>
    </row>
    <row r="431">
      <c r="D431" s="52"/>
    </row>
    <row r="432">
      <c r="D432" s="52"/>
    </row>
    <row r="433">
      <c r="D433" s="52"/>
    </row>
    <row r="434">
      <c r="D434" s="52"/>
    </row>
    <row r="435">
      <c r="D435" s="52"/>
    </row>
    <row r="436">
      <c r="D436" s="52"/>
    </row>
    <row r="437">
      <c r="D437" s="52"/>
    </row>
    <row r="438">
      <c r="D438" s="52"/>
    </row>
    <row r="439">
      <c r="D439" s="52"/>
    </row>
    <row r="440">
      <c r="D440" s="52"/>
    </row>
    <row r="441">
      <c r="D441" s="52"/>
    </row>
    <row r="442">
      <c r="D442" s="52"/>
    </row>
    <row r="443">
      <c r="D443" s="52"/>
    </row>
    <row r="444">
      <c r="D444" s="52"/>
    </row>
    <row r="445">
      <c r="D445" s="52"/>
    </row>
    <row r="446">
      <c r="D446" s="52"/>
    </row>
    <row r="447">
      <c r="D447" s="52"/>
    </row>
    <row r="448">
      <c r="D448" s="52"/>
    </row>
    <row r="449">
      <c r="D449" s="52"/>
    </row>
    <row r="450">
      <c r="D450" s="52"/>
    </row>
    <row r="451">
      <c r="D451" s="52"/>
    </row>
    <row r="452">
      <c r="D452" s="52"/>
    </row>
    <row r="453">
      <c r="D453" s="52"/>
    </row>
    <row r="454">
      <c r="D454" s="52"/>
    </row>
    <row r="455">
      <c r="D455" s="52"/>
    </row>
    <row r="456">
      <c r="D456" s="52"/>
    </row>
    <row r="457">
      <c r="D457" s="52"/>
    </row>
    <row r="458">
      <c r="D458" s="52"/>
    </row>
    <row r="459">
      <c r="D459" s="52"/>
    </row>
    <row r="460">
      <c r="D460" s="52"/>
    </row>
    <row r="461">
      <c r="D461" s="52"/>
    </row>
    <row r="462">
      <c r="D462" s="52"/>
    </row>
    <row r="463">
      <c r="D463" s="52"/>
    </row>
    <row r="464">
      <c r="D464" s="52"/>
    </row>
    <row r="465">
      <c r="D465" s="52"/>
    </row>
    <row r="466">
      <c r="D466" s="52"/>
    </row>
    <row r="467">
      <c r="D467" s="52"/>
    </row>
    <row r="468">
      <c r="D468" s="52"/>
    </row>
    <row r="469">
      <c r="D469" s="52"/>
    </row>
    <row r="470">
      <c r="D470" s="52"/>
    </row>
    <row r="471">
      <c r="D471" s="52"/>
    </row>
    <row r="472">
      <c r="D472" s="52"/>
    </row>
    <row r="473">
      <c r="D473" s="52"/>
    </row>
    <row r="474">
      <c r="D474" s="52"/>
    </row>
    <row r="475">
      <c r="D475" s="52"/>
    </row>
    <row r="476">
      <c r="D476" s="52"/>
    </row>
    <row r="477">
      <c r="D477" s="52"/>
    </row>
    <row r="478">
      <c r="D478" s="52"/>
    </row>
    <row r="479">
      <c r="D479" s="52"/>
    </row>
    <row r="480">
      <c r="D480" s="52"/>
    </row>
    <row r="481">
      <c r="D481" s="52"/>
    </row>
    <row r="482">
      <c r="D482" s="52"/>
    </row>
    <row r="483">
      <c r="D483" s="52"/>
    </row>
    <row r="484">
      <c r="D484" s="52"/>
    </row>
    <row r="485">
      <c r="D485" s="52"/>
    </row>
    <row r="486">
      <c r="D486" s="52"/>
    </row>
    <row r="487">
      <c r="D487" s="52"/>
    </row>
    <row r="488">
      <c r="D488" s="52"/>
    </row>
    <row r="489">
      <c r="D489" s="52"/>
    </row>
    <row r="490">
      <c r="D490" s="52"/>
    </row>
    <row r="491">
      <c r="D491" s="52"/>
    </row>
    <row r="492">
      <c r="D492" s="52"/>
    </row>
    <row r="493">
      <c r="D493" s="52"/>
    </row>
    <row r="494">
      <c r="D494" s="52"/>
    </row>
    <row r="495">
      <c r="D495" s="52"/>
    </row>
    <row r="496">
      <c r="D496" s="52"/>
    </row>
    <row r="497">
      <c r="D497" s="52"/>
    </row>
    <row r="498">
      <c r="D498" s="52"/>
    </row>
    <row r="499">
      <c r="D499" s="52"/>
    </row>
    <row r="500">
      <c r="D500" s="52"/>
    </row>
    <row r="501">
      <c r="D501" s="52"/>
    </row>
    <row r="502">
      <c r="D502" s="52"/>
    </row>
    <row r="503">
      <c r="D503" s="52"/>
    </row>
    <row r="504">
      <c r="D504" s="52"/>
    </row>
    <row r="505">
      <c r="D505" s="52"/>
    </row>
    <row r="506">
      <c r="D506" s="52"/>
    </row>
    <row r="507">
      <c r="D507" s="52"/>
    </row>
    <row r="508">
      <c r="D508" s="52"/>
    </row>
    <row r="509">
      <c r="D509" s="52"/>
    </row>
    <row r="510">
      <c r="D510" s="52"/>
    </row>
    <row r="511">
      <c r="D511" s="52"/>
    </row>
    <row r="512">
      <c r="D512" s="52"/>
    </row>
    <row r="513">
      <c r="D513" s="52"/>
    </row>
    <row r="514">
      <c r="D514" s="52"/>
    </row>
    <row r="515">
      <c r="D515" s="52"/>
    </row>
    <row r="516">
      <c r="D516" s="52"/>
    </row>
    <row r="517">
      <c r="D517" s="52"/>
    </row>
    <row r="518">
      <c r="D518" s="52"/>
    </row>
    <row r="519">
      <c r="D519" s="52"/>
    </row>
    <row r="520">
      <c r="D520" s="52"/>
    </row>
    <row r="521">
      <c r="D521" s="52"/>
    </row>
    <row r="522">
      <c r="D522" s="52"/>
    </row>
    <row r="523">
      <c r="D523" s="52"/>
    </row>
    <row r="524">
      <c r="D524" s="52"/>
    </row>
    <row r="525">
      <c r="D525" s="52"/>
    </row>
    <row r="526">
      <c r="D526" s="52"/>
    </row>
    <row r="527">
      <c r="D527" s="52"/>
    </row>
    <row r="528">
      <c r="D528" s="52"/>
    </row>
    <row r="529">
      <c r="D529" s="52"/>
    </row>
    <row r="530">
      <c r="D530" s="52"/>
    </row>
    <row r="531">
      <c r="D531" s="52"/>
    </row>
    <row r="532">
      <c r="D532" s="52"/>
    </row>
    <row r="533">
      <c r="D533" s="52"/>
    </row>
    <row r="534">
      <c r="D534" s="52"/>
    </row>
    <row r="535">
      <c r="D535" s="52"/>
    </row>
    <row r="536">
      <c r="D536" s="52"/>
    </row>
    <row r="537">
      <c r="D537" s="52"/>
    </row>
    <row r="538">
      <c r="D538" s="52"/>
    </row>
    <row r="539">
      <c r="D539" s="52"/>
    </row>
    <row r="540">
      <c r="D540" s="52"/>
    </row>
    <row r="541">
      <c r="D541" s="52"/>
    </row>
    <row r="542">
      <c r="D542" s="52"/>
    </row>
    <row r="543">
      <c r="D543" s="52"/>
    </row>
    <row r="544">
      <c r="D544" s="52"/>
    </row>
    <row r="545">
      <c r="D545" s="52"/>
    </row>
    <row r="546">
      <c r="D546" s="52"/>
    </row>
    <row r="547">
      <c r="D547" s="52"/>
    </row>
    <row r="548">
      <c r="D548" s="52"/>
    </row>
    <row r="549">
      <c r="D549" s="52"/>
    </row>
    <row r="550">
      <c r="D550" s="52"/>
    </row>
    <row r="551">
      <c r="D551" s="52"/>
    </row>
    <row r="552">
      <c r="D552" s="52"/>
    </row>
    <row r="553">
      <c r="D553" s="52"/>
    </row>
    <row r="554">
      <c r="D554" s="52"/>
    </row>
    <row r="555">
      <c r="D555" s="52"/>
    </row>
    <row r="556">
      <c r="D556" s="52"/>
    </row>
    <row r="557">
      <c r="D557" s="52"/>
    </row>
    <row r="558">
      <c r="D558" s="52"/>
    </row>
    <row r="559">
      <c r="D559" s="52"/>
    </row>
    <row r="560">
      <c r="D560" s="52"/>
    </row>
    <row r="561">
      <c r="D561" s="52"/>
    </row>
    <row r="562">
      <c r="D562" s="52"/>
    </row>
    <row r="563">
      <c r="D563" s="52"/>
    </row>
    <row r="564">
      <c r="D564" s="52"/>
    </row>
    <row r="565">
      <c r="D565" s="52"/>
    </row>
    <row r="566">
      <c r="D566" s="52"/>
    </row>
    <row r="567">
      <c r="D567" s="52"/>
    </row>
    <row r="568">
      <c r="D568" s="52"/>
    </row>
    <row r="569">
      <c r="D569" s="52"/>
    </row>
    <row r="570">
      <c r="D570" s="52"/>
    </row>
    <row r="571">
      <c r="D571" s="52"/>
    </row>
    <row r="572">
      <c r="D572" s="52"/>
    </row>
    <row r="573">
      <c r="D573" s="52"/>
    </row>
    <row r="574">
      <c r="D574" s="52"/>
    </row>
    <row r="575">
      <c r="D575" s="52"/>
    </row>
    <row r="576">
      <c r="D576" s="52"/>
    </row>
    <row r="577">
      <c r="D577" s="52"/>
    </row>
    <row r="578">
      <c r="D578" s="52"/>
    </row>
    <row r="579">
      <c r="D579" s="52"/>
    </row>
    <row r="580">
      <c r="D580" s="52"/>
    </row>
    <row r="581">
      <c r="D581" s="52"/>
    </row>
    <row r="582">
      <c r="D582" s="52"/>
    </row>
    <row r="583">
      <c r="D583" s="52"/>
    </row>
    <row r="584">
      <c r="D584" s="52"/>
    </row>
    <row r="585">
      <c r="D585" s="52"/>
    </row>
    <row r="586">
      <c r="D586" s="52"/>
    </row>
    <row r="587">
      <c r="D587" s="52"/>
    </row>
    <row r="588">
      <c r="D588" s="52"/>
    </row>
    <row r="589">
      <c r="D589" s="52"/>
    </row>
    <row r="590">
      <c r="D590" s="52"/>
    </row>
    <row r="591">
      <c r="D591" s="52"/>
    </row>
    <row r="592">
      <c r="D592" s="52"/>
    </row>
    <row r="593">
      <c r="D593" s="52"/>
    </row>
    <row r="594">
      <c r="D594" s="52"/>
    </row>
    <row r="595">
      <c r="D595" s="52"/>
    </row>
    <row r="596">
      <c r="D596" s="52"/>
    </row>
    <row r="597">
      <c r="D597" s="52"/>
    </row>
    <row r="598">
      <c r="D598" s="52"/>
    </row>
    <row r="599">
      <c r="D599" s="52"/>
    </row>
    <row r="600">
      <c r="D600" s="52"/>
    </row>
    <row r="601">
      <c r="D601" s="52"/>
    </row>
    <row r="602">
      <c r="D602" s="52"/>
    </row>
    <row r="603">
      <c r="D603" s="52"/>
    </row>
    <row r="604">
      <c r="D604" s="52"/>
    </row>
    <row r="605">
      <c r="D605" s="52"/>
    </row>
    <row r="606">
      <c r="D606" s="52"/>
    </row>
    <row r="607">
      <c r="D607" s="52"/>
    </row>
    <row r="608">
      <c r="D608" s="52"/>
    </row>
    <row r="609">
      <c r="D609" s="52"/>
    </row>
    <row r="610">
      <c r="D610" s="52"/>
    </row>
    <row r="611">
      <c r="D611" s="52"/>
    </row>
    <row r="612">
      <c r="D612" s="52"/>
    </row>
    <row r="613">
      <c r="D613" s="52"/>
    </row>
    <row r="614">
      <c r="D614" s="52"/>
    </row>
    <row r="615">
      <c r="D615" s="52"/>
    </row>
    <row r="616">
      <c r="D616" s="52"/>
    </row>
    <row r="617">
      <c r="D617" s="52"/>
    </row>
    <row r="618">
      <c r="D618" s="52"/>
    </row>
    <row r="619">
      <c r="D619" s="52"/>
    </row>
    <row r="620">
      <c r="D620" s="52"/>
    </row>
    <row r="621">
      <c r="D621" s="52"/>
    </row>
    <row r="622">
      <c r="D622" s="52"/>
    </row>
    <row r="623">
      <c r="D623" s="52"/>
    </row>
    <row r="624">
      <c r="D624" s="52"/>
    </row>
    <row r="625">
      <c r="D625" s="52"/>
    </row>
    <row r="626">
      <c r="D626" s="52"/>
    </row>
    <row r="627">
      <c r="D627" s="52"/>
    </row>
    <row r="628">
      <c r="D628" s="52"/>
    </row>
    <row r="629">
      <c r="D629" s="52"/>
    </row>
    <row r="630">
      <c r="D630" s="52"/>
    </row>
    <row r="631">
      <c r="D631" s="52"/>
    </row>
    <row r="632">
      <c r="D632" s="52"/>
    </row>
    <row r="633">
      <c r="D633" s="52"/>
    </row>
    <row r="634">
      <c r="D634" s="52"/>
    </row>
    <row r="635">
      <c r="D635" s="52"/>
    </row>
    <row r="636">
      <c r="D636" s="52"/>
    </row>
    <row r="637">
      <c r="D637" s="52"/>
    </row>
    <row r="638">
      <c r="D638" s="52"/>
    </row>
    <row r="639">
      <c r="D639" s="52"/>
    </row>
    <row r="640">
      <c r="D640" s="52"/>
    </row>
    <row r="641">
      <c r="D641" s="52"/>
    </row>
    <row r="642">
      <c r="D642" s="52"/>
    </row>
    <row r="643">
      <c r="D643" s="52"/>
    </row>
    <row r="644">
      <c r="D644" s="52"/>
    </row>
    <row r="645">
      <c r="D645" s="52"/>
    </row>
    <row r="646">
      <c r="D646" s="52"/>
    </row>
    <row r="647">
      <c r="D647" s="52"/>
    </row>
    <row r="648">
      <c r="D648" s="52"/>
    </row>
    <row r="649">
      <c r="D649" s="52"/>
    </row>
    <row r="650">
      <c r="D650" s="52"/>
    </row>
    <row r="651">
      <c r="D651" s="52"/>
    </row>
    <row r="652">
      <c r="D652" s="52"/>
    </row>
    <row r="653">
      <c r="D653" s="52"/>
    </row>
    <row r="654">
      <c r="D654" s="52"/>
    </row>
    <row r="655">
      <c r="D655" s="52"/>
    </row>
    <row r="656">
      <c r="D656" s="52"/>
    </row>
    <row r="657">
      <c r="D657" s="52"/>
    </row>
    <row r="658">
      <c r="D658" s="52"/>
    </row>
    <row r="659">
      <c r="D659" s="52"/>
    </row>
    <row r="660">
      <c r="D660" s="52"/>
    </row>
    <row r="661">
      <c r="D661" s="52"/>
    </row>
    <row r="662">
      <c r="D662" s="52"/>
    </row>
    <row r="663">
      <c r="D663" s="52"/>
    </row>
    <row r="664">
      <c r="D664" s="52"/>
    </row>
    <row r="665">
      <c r="D665" s="52"/>
    </row>
    <row r="666">
      <c r="D666" s="52"/>
    </row>
    <row r="667">
      <c r="D667" s="52"/>
    </row>
    <row r="668">
      <c r="D668" s="52"/>
    </row>
    <row r="669">
      <c r="D669" s="52"/>
    </row>
    <row r="670">
      <c r="D670" s="52"/>
    </row>
    <row r="671">
      <c r="D671" s="52"/>
    </row>
    <row r="672">
      <c r="D672" s="52"/>
    </row>
    <row r="673">
      <c r="D673" s="52"/>
    </row>
    <row r="674">
      <c r="D674" s="52"/>
    </row>
    <row r="675">
      <c r="D675" s="52"/>
    </row>
    <row r="676">
      <c r="D676" s="52"/>
    </row>
    <row r="677">
      <c r="D677" s="52"/>
    </row>
    <row r="678">
      <c r="D678" s="52"/>
    </row>
    <row r="679">
      <c r="D679" s="52"/>
    </row>
    <row r="680">
      <c r="D680" s="52"/>
    </row>
    <row r="681">
      <c r="D681" s="52"/>
    </row>
    <row r="682">
      <c r="D682" s="52"/>
    </row>
    <row r="683">
      <c r="D683" s="52"/>
    </row>
    <row r="684">
      <c r="D684" s="52"/>
    </row>
    <row r="685">
      <c r="D685" s="52"/>
    </row>
    <row r="686">
      <c r="D686" s="52"/>
    </row>
    <row r="687">
      <c r="D687" s="52"/>
    </row>
    <row r="688">
      <c r="D688" s="52"/>
    </row>
    <row r="689">
      <c r="D689" s="52"/>
    </row>
    <row r="690">
      <c r="D690" s="52"/>
    </row>
    <row r="691">
      <c r="D691" s="52"/>
    </row>
    <row r="692">
      <c r="D692" s="52"/>
    </row>
    <row r="693">
      <c r="D693" s="52"/>
    </row>
    <row r="694">
      <c r="D694" s="52"/>
    </row>
    <row r="695">
      <c r="D695" s="52"/>
    </row>
    <row r="696">
      <c r="D696" s="52"/>
    </row>
    <row r="697">
      <c r="D697" s="52"/>
    </row>
    <row r="698">
      <c r="D698" s="52"/>
    </row>
    <row r="699">
      <c r="D699" s="52"/>
    </row>
    <row r="700">
      <c r="D700" s="52"/>
    </row>
    <row r="701">
      <c r="D701" s="52"/>
    </row>
    <row r="702">
      <c r="D702" s="52"/>
    </row>
    <row r="703">
      <c r="D703" s="52"/>
    </row>
    <row r="704">
      <c r="D704" s="52"/>
    </row>
    <row r="705">
      <c r="D705" s="52"/>
    </row>
    <row r="706">
      <c r="D706" s="52"/>
    </row>
    <row r="707">
      <c r="D707" s="52"/>
    </row>
    <row r="708">
      <c r="D708" s="52"/>
    </row>
    <row r="709">
      <c r="D709" s="52"/>
    </row>
    <row r="710">
      <c r="D710" s="52"/>
    </row>
    <row r="711">
      <c r="D711" s="52"/>
    </row>
    <row r="712">
      <c r="D712" s="52"/>
    </row>
    <row r="713">
      <c r="D713" s="52"/>
    </row>
    <row r="714">
      <c r="D714" s="52"/>
    </row>
    <row r="715">
      <c r="D715" s="52"/>
    </row>
    <row r="716">
      <c r="D716" s="52"/>
    </row>
    <row r="717">
      <c r="D717" s="52"/>
    </row>
    <row r="718">
      <c r="D718" s="52"/>
    </row>
    <row r="719">
      <c r="D719" s="52"/>
    </row>
    <row r="720">
      <c r="D720" s="52"/>
    </row>
    <row r="721">
      <c r="D721" s="52"/>
    </row>
    <row r="722">
      <c r="D722" s="52"/>
    </row>
    <row r="723">
      <c r="D723" s="52"/>
    </row>
    <row r="724">
      <c r="D724" s="52"/>
    </row>
    <row r="725">
      <c r="D725" s="52"/>
    </row>
    <row r="726">
      <c r="D726" s="52"/>
    </row>
    <row r="727">
      <c r="D727" s="52"/>
    </row>
    <row r="728">
      <c r="D728" s="52"/>
    </row>
    <row r="729">
      <c r="D729" s="52"/>
    </row>
    <row r="730">
      <c r="D730" s="52"/>
    </row>
    <row r="731">
      <c r="D731" s="52"/>
    </row>
    <row r="732">
      <c r="D732" s="52"/>
    </row>
    <row r="733">
      <c r="D733" s="52"/>
    </row>
    <row r="734">
      <c r="D734" s="52"/>
    </row>
    <row r="735">
      <c r="D735" s="52"/>
    </row>
    <row r="736">
      <c r="D736" s="52"/>
    </row>
    <row r="737">
      <c r="D737" s="52"/>
    </row>
    <row r="738">
      <c r="D738" s="52"/>
    </row>
    <row r="739">
      <c r="D739" s="52"/>
    </row>
    <row r="740">
      <c r="D740" s="52"/>
    </row>
    <row r="741">
      <c r="D741" s="52"/>
    </row>
    <row r="742">
      <c r="D742" s="52"/>
    </row>
    <row r="743">
      <c r="D743" s="52"/>
    </row>
    <row r="744">
      <c r="D744" s="52"/>
    </row>
    <row r="745">
      <c r="D745" s="52"/>
    </row>
    <row r="746">
      <c r="D746" s="52"/>
    </row>
    <row r="747">
      <c r="D747" s="52"/>
    </row>
    <row r="748">
      <c r="D748" s="52"/>
    </row>
    <row r="749">
      <c r="D749" s="52"/>
    </row>
    <row r="750">
      <c r="D750" s="52"/>
    </row>
    <row r="751">
      <c r="D751" s="52"/>
    </row>
    <row r="752">
      <c r="D752" s="52"/>
    </row>
    <row r="753">
      <c r="D753" s="52"/>
    </row>
    <row r="754">
      <c r="D754" s="52"/>
    </row>
    <row r="755">
      <c r="D755" s="52"/>
    </row>
    <row r="756">
      <c r="D756" s="52"/>
    </row>
    <row r="757">
      <c r="D757" s="52"/>
    </row>
    <row r="758">
      <c r="D758" s="52"/>
    </row>
    <row r="759">
      <c r="D759" s="52"/>
    </row>
    <row r="760">
      <c r="D760" s="52"/>
    </row>
    <row r="761">
      <c r="D761" s="52"/>
    </row>
    <row r="762">
      <c r="D762" s="52"/>
    </row>
    <row r="763">
      <c r="D763" s="52"/>
    </row>
    <row r="764">
      <c r="D764" s="52"/>
    </row>
    <row r="765">
      <c r="D765" s="52"/>
    </row>
    <row r="766">
      <c r="D766" s="52"/>
    </row>
    <row r="767">
      <c r="D767" s="52"/>
    </row>
    <row r="768">
      <c r="D768" s="52"/>
    </row>
    <row r="769">
      <c r="D769" s="52"/>
    </row>
    <row r="770">
      <c r="D770" s="52"/>
    </row>
    <row r="771">
      <c r="D771" s="52"/>
    </row>
    <row r="772">
      <c r="D772" s="52"/>
    </row>
    <row r="773">
      <c r="D773" s="52"/>
    </row>
    <row r="774">
      <c r="D774" s="52"/>
    </row>
    <row r="775">
      <c r="D775" s="52"/>
    </row>
    <row r="776">
      <c r="D776" s="52"/>
    </row>
    <row r="777">
      <c r="D777" s="52"/>
    </row>
    <row r="778">
      <c r="D778" s="52"/>
    </row>
    <row r="779">
      <c r="D779" s="52"/>
    </row>
    <row r="780">
      <c r="D780" s="52"/>
    </row>
    <row r="781">
      <c r="D781" s="52"/>
    </row>
    <row r="782">
      <c r="D782" s="52"/>
    </row>
    <row r="783">
      <c r="D783" s="52"/>
    </row>
    <row r="784">
      <c r="D784" s="52"/>
    </row>
    <row r="785">
      <c r="D785" s="52"/>
    </row>
    <row r="786">
      <c r="D786" s="52"/>
    </row>
    <row r="787">
      <c r="D787" s="52"/>
    </row>
    <row r="788">
      <c r="D788" s="52"/>
    </row>
    <row r="789">
      <c r="D789" s="52"/>
    </row>
    <row r="790">
      <c r="D790" s="52"/>
    </row>
    <row r="791">
      <c r="D791" s="52"/>
    </row>
    <row r="792">
      <c r="D792" s="52"/>
    </row>
    <row r="793">
      <c r="D793" s="52"/>
    </row>
    <row r="794">
      <c r="D794" s="52"/>
    </row>
    <row r="795">
      <c r="D795" s="52"/>
    </row>
    <row r="796">
      <c r="D796" s="52"/>
    </row>
    <row r="797">
      <c r="D797" s="52"/>
    </row>
    <row r="798">
      <c r="D798" s="52"/>
    </row>
    <row r="799">
      <c r="D799" s="52"/>
    </row>
    <row r="800">
      <c r="D800" s="52"/>
    </row>
    <row r="801">
      <c r="D801" s="52"/>
    </row>
    <row r="802">
      <c r="D802" s="52"/>
    </row>
    <row r="803">
      <c r="D803" s="52"/>
    </row>
    <row r="804">
      <c r="D804" s="52"/>
    </row>
    <row r="805">
      <c r="D805" s="52"/>
    </row>
    <row r="806">
      <c r="D806" s="52"/>
    </row>
    <row r="807">
      <c r="D807" s="52"/>
    </row>
    <row r="808">
      <c r="D808" s="52"/>
    </row>
    <row r="809">
      <c r="D809" s="52"/>
    </row>
    <row r="810">
      <c r="D810" s="52"/>
    </row>
    <row r="811">
      <c r="D811" s="52"/>
    </row>
    <row r="812">
      <c r="D812" s="52"/>
    </row>
    <row r="813">
      <c r="D813" s="52"/>
    </row>
    <row r="814">
      <c r="D814" s="52"/>
    </row>
    <row r="815">
      <c r="D815" s="52"/>
    </row>
    <row r="816">
      <c r="D816" s="52"/>
    </row>
    <row r="817">
      <c r="D817" s="52"/>
    </row>
    <row r="818">
      <c r="D818" s="52"/>
    </row>
    <row r="819">
      <c r="D819" s="52"/>
    </row>
    <row r="820">
      <c r="D820" s="52"/>
    </row>
    <row r="821">
      <c r="D821" s="52"/>
    </row>
    <row r="822">
      <c r="D822" s="52"/>
    </row>
    <row r="823">
      <c r="D823" s="52"/>
    </row>
    <row r="824">
      <c r="D824" s="52"/>
    </row>
    <row r="825">
      <c r="D825" s="52"/>
    </row>
    <row r="826">
      <c r="D826" s="52"/>
    </row>
    <row r="827">
      <c r="D827" s="52"/>
    </row>
    <row r="828">
      <c r="D828" s="52"/>
    </row>
    <row r="829">
      <c r="D829" s="52"/>
    </row>
    <row r="830">
      <c r="D830" s="52"/>
    </row>
    <row r="831">
      <c r="D831" s="52"/>
    </row>
    <row r="832">
      <c r="D832" s="52"/>
    </row>
    <row r="833">
      <c r="D833" s="52"/>
    </row>
    <row r="834">
      <c r="D834" s="52"/>
    </row>
    <row r="835">
      <c r="D835" s="52"/>
    </row>
    <row r="836">
      <c r="D836" s="52"/>
    </row>
    <row r="837">
      <c r="D837" s="52"/>
    </row>
    <row r="838">
      <c r="D838" s="52"/>
    </row>
    <row r="839">
      <c r="D839" s="52"/>
    </row>
    <row r="840">
      <c r="D840" s="52"/>
    </row>
    <row r="841">
      <c r="D841" s="52"/>
    </row>
    <row r="842">
      <c r="D842" s="52"/>
    </row>
    <row r="843">
      <c r="D843" s="52"/>
    </row>
    <row r="844">
      <c r="D844" s="52"/>
    </row>
    <row r="845">
      <c r="D845" s="52"/>
    </row>
    <row r="846">
      <c r="D846" s="52"/>
    </row>
    <row r="847">
      <c r="D847" s="52"/>
    </row>
    <row r="848">
      <c r="D848" s="52"/>
    </row>
    <row r="849">
      <c r="D849" s="52"/>
    </row>
    <row r="850">
      <c r="D850" s="52"/>
    </row>
    <row r="851">
      <c r="D851" s="52"/>
    </row>
    <row r="852">
      <c r="D852" s="52"/>
    </row>
    <row r="853">
      <c r="D853" s="52"/>
    </row>
    <row r="854">
      <c r="D854" s="52"/>
    </row>
    <row r="855">
      <c r="D855" s="52"/>
    </row>
    <row r="856">
      <c r="D856" s="52"/>
    </row>
    <row r="857">
      <c r="D857" s="52"/>
    </row>
    <row r="858">
      <c r="D858" s="52"/>
    </row>
    <row r="859">
      <c r="D859" s="52"/>
    </row>
    <row r="860">
      <c r="D860" s="52"/>
    </row>
    <row r="861">
      <c r="D861" s="52"/>
    </row>
    <row r="862">
      <c r="D862" s="52"/>
    </row>
    <row r="863">
      <c r="D863" s="52"/>
    </row>
    <row r="864">
      <c r="D864" s="52"/>
    </row>
    <row r="865">
      <c r="D865" s="52"/>
    </row>
    <row r="866">
      <c r="D866" s="52"/>
    </row>
    <row r="867">
      <c r="D867" s="52"/>
    </row>
    <row r="868">
      <c r="D868" s="52"/>
    </row>
    <row r="869">
      <c r="D869" s="52"/>
    </row>
    <row r="870">
      <c r="D870" s="52"/>
    </row>
    <row r="871">
      <c r="D871" s="52"/>
    </row>
    <row r="872">
      <c r="D872" s="52"/>
    </row>
    <row r="873">
      <c r="D873" s="52"/>
    </row>
    <row r="874">
      <c r="D874" s="52"/>
    </row>
    <row r="875">
      <c r="D875" s="52"/>
    </row>
    <row r="876">
      <c r="D876" s="52"/>
    </row>
    <row r="877">
      <c r="D877" s="52"/>
    </row>
    <row r="878">
      <c r="D878" s="52"/>
    </row>
    <row r="879">
      <c r="D879" s="52"/>
    </row>
    <row r="880">
      <c r="D880" s="52"/>
    </row>
    <row r="881">
      <c r="D881" s="52"/>
    </row>
    <row r="882">
      <c r="D882" s="52"/>
    </row>
    <row r="883">
      <c r="D883" s="52"/>
    </row>
    <row r="884">
      <c r="D884" s="52"/>
    </row>
    <row r="885">
      <c r="D885" s="52"/>
    </row>
    <row r="886">
      <c r="D886" s="52"/>
    </row>
    <row r="887">
      <c r="D887" s="52"/>
    </row>
    <row r="888">
      <c r="D888" s="52"/>
    </row>
    <row r="889">
      <c r="D889" s="52"/>
    </row>
    <row r="890">
      <c r="D890" s="52"/>
    </row>
    <row r="891">
      <c r="D891" s="52"/>
    </row>
    <row r="892">
      <c r="D892" s="52"/>
    </row>
    <row r="893">
      <c r="D893" s="52"/>
    </row>
    <row r="894">
      <c r="D894" s="52"/>
    </row>
    <row r="895">
      <c r="D895" s="52"/>
    </row>
    <row r="896">
      <c r="D896" s="52"/>
    </row>
    <row r="897">
      <c r="D897" s="52"/>
    </row>
  </sheetData>
  <mergeCells count="7">
    <mergeCell ref="A1:F1"/>
    <mergeCell ref="A2:A3"/>
    <mergeCell ref="B2:B3"/>
    <mergeCell ref="C2:C3"/>
    <mergeCell ref="D2:D3"/>
    <mergeCell ref="E2:F2"/>
    <mergeCell ref="A42:C42"/>
  </mergeCells>
  <dataValidations>
    <dataValidation type="list" allowBlank="1" sqref="H4:H40">
      <formula1>"CHECKED (OK),CHECKED  (NOT OK)"</formula1>
    </dataValidation>
  </dataValidations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3" max="3" width="34.5"/>
    <col customWidth="1" min="4" max="4" width="55.63"/>
    <col customWidth="1" min="7" max="7" width="3.5"/>
    <col customWidth="1" min="8" max="8" width="18.63"/>
    <col customWidth="1" min="9" max="9" width="21.63"/>
  </cols>
  <sheetData>
    <row r="1" ht="39.0" customHeight="1">
      <c r="A1" s="30" t="s">
        <v>1185</v>
      </c>
      <c r="G1" s="31"/>
      <c r="H1" s="32" t="s">
        <v>1186</v>
      </c>
      <c r="I1" s="33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ht="29.25" customHeight="1">
      <c r="A2" s="34" t="s">
        <v>1</v>
      </c>
      <c r="B2" s="35" t="s">
        <v>11</v>
      </c>
      <c r="C2" s="35" t="s">
        <v>12</v>
      </c>
      <c r="D2" s="266" t="s">
        <v>13</v>
      </c>
      <c r="E2" s="37" t="s">
        <v>14</v>
      </c>
      <c r="F2" s="38"/>
      <c r="G2" s="39"/>
      <c r="H2" s="40"/>
      <c r="I2" s="40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ht="33.0" customHeight="1">
      <c r="A3" s="41"/>
      <c r="B3" s="38"/>
      <c r="C3" s="38"/>
      <c r="D3" s="38"/>
      <c r="E3" s="42" t="s">
        <v>15</v>
      </c>
      <c r="F3" s="43" t="s">
        <v>5</v>
      </c>
      <c r="G3" s="39"/>
      <c r="H3" s="44" t="s">
        <v>6</v>
      </c>
      <c r="I3" s="45" t="s">
        <v>7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25.5" customHeight="1">
      <c r="A4" s="46">
        <v>1.0</v>
      </c>
      <c r="B4" s="47">
        <v>1001619.0</v>
      </c>
      <c r="C4" s="48" t="str">
        <f>vlookup(B4,'Crew Data'!C:G,5,0)</f>
        <v>#N/A</v>
      </c>
      <c r="D4" s="267" t="s">
        <v>1187</v>
      </c>
      <c r="E4" s="47">
        <v>5.0</v>
      </c>
      <c r="F4" s="50">
        <f t="shared" ref="F4:F130" si="1">E4*400</f>
        <v>2000</v>
      </c>
      <c r="G4" s="22">
        <f t="shared" ref="G4:G130" si="2">COUNTIF(B:B,B4)</f>
        <v>1</v>
      </c>
      <c r="H4" s="51" t="s">
        <v>20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ht="25.5" customHeight="1">
      <c r="A5" s="54">
        <v>2.0</v>
      </c>
      <c r="B5" s="47">
        <v>1019209.0</v>
      </c>
      <c r="C5" s="48" t="str">
        <f>vlookup(B5,'Crew Data'!C:G,5,0)</f>
        <v>Ployputchara Sridara</v>
      </c>
      <c r="D5" s="267" t="s">
        <v>1188</v>
      </c>
      <c r="E5" s="47">
        <v>29.0</v>
      </c>
      <c r="F5" s="50">
        <f t="shared" si="1"/>
        <v>11600</v>
      </c>
      <c r="G5" s="22">
        <f t="shared" si="2"/>
        <v>1</v>
      </c>
      <c r="H5" s="51" t="s">
        <v>20</v>
      </c>
    </row>
    <row r="6" ht="25.5" customHeight="1">
      <c r="A6" s="46">
        <v>3.0</v>
      </c>
      <c r="B6" s="47">
        <v>1007016.0</v>
      </c>
      <c r="C6" s="48" t="str">
        <f>vlookup(B6,'Crew Data'!C:G,5,0)</f>
        <v>Sathita Pongsomran</v>
      </c>
      <c r="D6" s="267" t="s">
        <v>1189</v>
      </c>
      <c r="E6" s="47">
        <v>21.0</v>
      </c>
      <c r="F6" s="50">
        <f t="shared" si="1"/>
        <v>8400</v>
      </c>
      <c r="G6" s="22">
        <f t="shared" si="2"/>
        <v>1</v>
      </c>
      <c r="H6" s="51" t="s">
        <v>20</v>
      </c>
    </row>
    <row r="7" ht="25.5" customHeight="1">
      <c r="A7" s="54">
        <v>4.0</v>
      </c>
      <c r="B7" s="47">
        <v>1004202.0</v>
      </c>
      <c r="C7" s="48" t="str">
        <f>vlookup(B7,'Crew Data'!C:G,5,0)</f>
        <v>Patsachol Intra</v>
      </c>
      <c r="D7" s="267" t="s">
        <v>1190</v>
      </c>
      <c r="E7" s="47">
        <v>2.0</v>
      </c>
      <c r="F7" s="50">
        <f t="shared" si="1"/>
        <v>800</v>
      </c>
      <c r="G7" s="22">
        <f t="shared" si="2"/>
        <v>1</v>
      </c>
      <c r="H7" s="51" t="s">
        <v>20</v>
      </c>
    </row>
    <row r="8" ht="25.5" customHeight="1">
      <c r="A8" s="46">
        <v>5.0</v>
      </c>
      <c r="B8" s="47">
        <v>1007202.0</v>
      </c>
      <c r="C8" s="48" t="str">
        <f>vlookup(B8,'Crew Data'!C:G,5,0)</f>
        <v>Kritsada Prachanuchit</v>
      </c>
      <c r="D8" s="267" t="s">
        <v>1191</v>
      </c>
      <c r="E8" s="47">
        <v>60.0</v>
      </c>
      <c r="F8" s="50">
        <f t="shared" si="1"/>
        <v>24000</v>
      </c>
      <c r="G8" s="22">
        <f t="shared" si="2"/>
        <v>1</v>
      </c>
      <c r="H8" s="51" t="s">
        <v>20</v>
      </c>
    </row>
    <row r="9" ht="25.5" customHeight="1">
      <c r="A9" s="54">
        <v>6.0</v>
      </c>
      <c r="B9" s="47">
        <v>1019295.0</v>
      </c>
      <c r="C9" s="48" t="str">
        <f>vlookup(B9,'Crew Data'!C:G,5,0)</f>
        <v>Methawee Yos-in</v>
      </c>
      <c r="D9" s="267" t="s">
        <v>1177</v>
      </c>
      <c r="E9" s="47">
        <v>3.0</v>
      </c>
      <c r="F9" s="50">
        <f t="shared" si="1"/>
        <v>1200</v>
      </c>
      <c r="G9" s="22">
        <f t="shared" si="2"/>
        <v>1</v>
      </c>
      <c r="H9" s="51" t="s">
        <v>20</v>
      </c>
    </row>
    <row r="10" ht="25.5" customHeight="1">
      <c r="A10" s="46">
        <v>7.0</v>
      </c>
      <c r="B10" s="47">
        <v>1017651.0</v>
      </c>
      <c r="C10" s="48" t="str">
        <f>vlookup(B10,'Crew Data'!C:G,5,0)</f>
        <v>Usana Saepua</v>
      </c>
      <c r="D10" s="267" t="s">
        <v>1192</v>
      </c>
      <c r="E10" s="47">
        <v>30.0</v>
      </c>
      <c r="F10" s="50">
        <f t="shared" si="1"/>
        <v>12000</v>
      </c>
      <c r="G10" s="22">
        <f t="shared" si="2"/>
        <v>1</v>
      </c>
      <c r="H10" s="51" t="s">
        <v>20</v>
      </c>
    </row>
    <row r="11" ht="25.5" customHeight="1">
      <c r="A11" s="54">
        <v>8.0</v>
      </c>
      <c r="B11" s="47">
        <v>1010921.0</v>
      </c>
      <c r="C11" s="48" t="str">
        <f>vlookup(B11,'Crew Data'!C:G,5,0)</f>
        <v>#N/A</v>
      </c>
      <c r="D11" s="267" t="s">
        <v>1190</v>
      </c>
      <c r="E11" s="47">
        <v>2.0</v>
      </c>
      <c r="F11" s="50">
        <f t="shared" si="1"/>
        <v>800</v>
      </c>
      <c r="G11" s="22">
        <f t="shared" si="2"/>
        <v>1</v>
      </c>
      <c r="H11" s="51" t="s">
        <v>20</v>
      </c>
    </row>
    <row r="12" ht="25.5" customHeight="1">
      <c r="A12" s="46">
        <v>9.0</v>
      </c>
      <c r="B12" s="47">
        <v>1011075.0</v>
      </c>
      <c r="C12" s="48" t="str">
        <f>vlookup(B12,'Crew Data'!C:G,5,0)</f>
        <v>Sasisomapa Vatchareewong Na Ayudthaya</v>
      </c>
      <c r="D12" s="267" t="s">
        <v>1193</v>
      </c>
      <c r="E12" s="47">
        <v>2.0</v>
      </c>
      <c r="F12" s="50">
        <f t="shared" si="1"/>
        <v>800</v>
      </c>
      <c r="G12" s="22">
        <f t="shared" si="2"/>
        <v>1</v>
      </c>
      <c r="H12" s="51" t="s">
        <v>20</v>
      </c>
    </row>
    <row r="13" ht="25.5" customHeight="1">
      <c r="A13" s="54">
        <v>10.0</v>
      </c>
      <c r="B13" s="47">
        <v>1013180.0</v>
      </c>
      <c r="C13" s="48" t="str">
        <f>vlookup(B13,'Crew Data'!C:G,5,0)</f>
        <v>Nuttinee Rattana-u-dom</v>
      </c>
      <c r="D13" s="268">
        <v>43862.0</v>
      </c>
      <c r="E13" s="47">
        <v>1.0</v>
      </c>
      <c r="F13" s="50">
        <f t="shared" si="1"/>
        <v>400</v>
      </c>
      <c r="G13" s="22">
        <f t="shared" si="2"/>
        <v>1</v>
      </c>
      <c r="H13" s="51" t="s">
        <v>20</v>
      </c>
    </row>
    <row r="14" ht="25.5" customHeight="1">
      <c r="A14" s="46">
        <v>11.0</v>
      </c>
      <c r="B14" s="47">
        <v>1005805.0</v>
      </c>
      <c r="C14" s="48" t="str">
        <f>vlookup(B14,'Crew Data'!C:G,5,0)</f>
        <v>Kunaporn Rittichart</v>
      </c>
      <c r="D14" s="267" t="s">
        <v>1194</v>
      </c>
      <c r="E14" s="47">
        <v>2.0</v>
      </c>
      <c r="F14" s="50">
        <f t="shared" si="1"/>
        <v>800</v>
      </c>
      <c r="G14" s="22">
        <f t="shared" si="2"/>
        <v>1</v>
      </c>
      <c r="H14" s="51" t="s">
        <v>20</v>
      </c>
    </row>
    <row r="15" ht="25.5" customHeight="1">
      <c r="A15" s="46">
        <v>12.0</v>
      </c>
      <c r="B15" s="47">
        <v>1007201.0</v>
      </c>
      <c r="C15" s="48" t="str">
        <f>vlookup(B15,'Crew Data'!C:G,5,0)</f>
        <v>Juthaporn Ratanavaraporn</v>
      </c>
      <c r="D15" s="267" t="s">
        <v>1194</v>
      </c>
      <c r="E15" s="47">
        <v>2.0</v>
      </c>
      <c r="F15" s="50">
        <f t="shared" si="1"/>
        <v>800</v>
      </c>
      <c r="G15" s="22">
        <f t="shared" si="2"/>
        <v>1</v>
      </c>
      <c r="H15" s="51" t="s">
        <v>20</v>
      </c>
    </row>
    <row r="16" ht="25.5" customHeight="1">
      <c r="A16" s="46">
        <v>13.0</v>
      </c>
      <c r="B16" s="47">
        <v>1011756.0</v>
      </c>
      <c r="C16" s="48" t="str">
        <f>vlookup(B16,'Crew Data'!C:G,5,0)</f>
        <v>#N/A</v>
      </c>
      <c r="D16" s="269" t="s">
        <v>1195</v>
      </c>
      <c r="E16" s="47">
        <v>2.0</v>
      </c>
      <c r="F16" s="50">
        <f t="shared" si="1"/>
        <v>800</v>
      </c>
      <c r="G16" s="22">
        <f t="shared" si="2"/>
        <v>1</v>
      </c>
      <c r="H16" s="51" t="s">
        <v>20</v>
      </c>
    </row>
    <row r="17" ht="25.5" customHeight="1">
      <c r="A17" s="54">
        <v>14.0</v>
      </c>
      <c r="B17" s="47">
        <v>1014667.0</v>
      </c>
      <c r="C17" s="48" t="str">
        <f>vlookup(B17,'Crew Data'!C:G,5,0)</f>
        <v>#N/A</v>
      </c>
      <c r="D17" s="267" t="s">
        <v>1195</v>
      </c>
      <c r="E17" s="47">
        <v>2.0</v>
      </c>
      <c r="F17" s="50">
        <f t="shared" si="1"/>
        <v>800</v>
      </c>
      <c r="G17" s="22">
        <f t="shared" si="2"/>
        <v>1</v>
      </c>
      <c r="H17" s="51" t="s">
        <v>20</v>
      </c>
    </row>
    <row r="18" ht="25.5" customHeight="1">
      <c r="A18" s="46">
        <v>15.0</v>
      </c>
      <c r="B18" s="47">
        <v>1022697.0</v>
      </c>
      <c r="C18" s="48" t="str">
        <f>vlookup(B18,'Crew Data'!C:G,5,0)</f>
        <v>#N/A</v>
      </c>
      <c r="D18" s="267" t="s">
        <v>1195</v>
      </c>
      <c r="E18" s="47">
        <v>2.0</v>
      </c>
      <c r="F18" s="50">
        <f t="shared" si="1"/>
        <v>800</v>
      </c>
      <c r="G18" s="22">
        <f t="shared" si="2"/>
        <v>1</v>
      </c>
      <c r="H18" s="51" t="s">
        <v>20</v>
      </c>
    </row>
    <row r="19" ht="25.5" customHeight="1">
      <c r="A19" s="46">
        <v>16.0</v>
      </c>
      <c r="B19" s="47">
        <v>1011318.0</v>
      </c>
      <c r="C19" s="48" t="str">
        <f>vlookup(B19,'Crew Data'!C:G,5,0)</f>
        <v>Rudeemas Thiangthat</v>
      </c>
      <c r="D19" s="267" t="s">
        <v>1196</v>
      </c>
      <c r="E19" s="47">
        <v>4.0</v>
      </c>
      <c r="F19" s="50">
        <f t="shared" si="1"/>
        <v>1600</v>
      </c>
      <c r="G19" s="22">
        <f t="shared" si="2"/>
        <v>1</v>
      </c>
      <c r="H19" s="51" t="s">
        <v>20</v>
      </c>
    </row>
    <row r="20" ht="25.5" customHeight="1">
      <c r="A20" s="46">
        <v>17.0</v>
      </c>
      <c r="B20" s="47">
        <v>1018537.0</v>
      </c>
      <c r="C20" s="48" t="str">
        <f>vlookup(B20,'Crew Data'!C:G,5,0)</f>
        <v>#N/A</v>
      </c>
      <c r="D20" s="267" t="s">
        <v>1197</v>
      </c>
      <c r="E20" s="47">
        <v>4.0</v>
      </c>
      <c r="F20" s="50">
        <f t="shared" si="1"/>
        <v>1600</v>
      </c>
      <c r="G20" s="22">
        <f t="shared" si="2"/>
        <v>1</v>
      </c>
      <c r="H20" s="51" t="s">
        <v>20</v>
      </c>
    </row>
    <row r="21" ht="25.5" customHeight="1">
      <c r="A21" s="54">
        <v>18.0</v>
      </c>
      <c r="B21" s="47">
        <v>1004539.0</v>
      </c>
      <c r="C21" s="48" t="str">
        <f>vlookup(B21,'Crew Data'!C:G,5,0)</f>
        <v>Sukit Runghiranyathep</v>
      </c>
      <c r="D21" s="267" t="s">
        <v>1197</v>
      </c>
      <c r="E21" s="47">
        <v>4.0</v>
      </c>
      <c r="F21" s="50">
        <f t="shared" si="1"/>
        <v>1600</v>
      </c>
      <c r="G21" s="22">
        <f t="shared" si="2"/>
        <v>1</v>
      </c>
      <c r="H21" s="51" t="s">
        <v>20</v>
      </c>
    </row>
    <row r="22" ht="25.5" customHeight="1">
      <c r="A22" s="46">
        <v>19.0</v>
      </c>
      <c r="B22" s="47">
        <v>1012369.0</v>
      </c>
      <c r="C22" s="48" t="str">
        <f>vlookup(B22,'Crew Data'!C:G,5,0)</f>
        <v>Savitree Sukprakop</v>
      </c>
      <c r="D22" s="267" t="s">
        <v>1198</v>
      </c>
      <c r="E22" s="47">
        <v>2.0</v>
      </c>
      <c r="F22" s="50">
        <f t="shared" si="1"/>
        <v>800</v>
      </c>
      <c r="G22" s="22">
        <f t="shared" si="2"/>
        <v>1</v>
      </c>
      <c r="H22" s="51" t="s">
        <v>20</v>
      </c>
    </row>
    <row r="23" ht="25.5" customHeight="1">
      <c r="A23" s="46">
        <v>20.0</v>
      </c>
      <c r="B23" s="47">
        <v>1005449.0</v>
      </c>
      <c r="C23" s="48" t="str">
        <f>vlookup(B23,'Crew Data'!C:G,5,0)</f>
        <v>Patan  Srivichai</v>
      </c>
      <c r="D23" s="267" t="s">
        <v>1198</v>
      </c>
      <c r="E23" s="47">
        <v>2.0</v>
      </c>
      <c r="F23" s="50">
        <f t="shared" si="1"/>
        <v>800</v>
      </c>
      <c r="G23" s="22">
        <f t="shared" si="2"/>
        <v>1</v>
      </c>
      <c r="H23" s="51" t="s">
        <v>20</v>
      </c>
    </row>
    <row r="24" ht="25.5" customHeight="1">
      <c r="A24" s="46">
        <v>21.0</v>
      </c>
      <c r="B24" s="47">
        <v>1019293.0</v>
      </c>
      <c r="C24" s="48" t="str">
        <f>vlookup(B24,'Crew Data'!C:G,5,0)</f>
        <v>Ittiphol Boontan</v>
      </c>
      <c r="D24" s="267" t="s">
        <v>1199</v>
      </c>
      <c r="E24" s="47">
        <v>2.0</v>
      </c>
      <c r="F24" s="50">
        <f t="shared" si="1"/>
        <v>800</v>
      </c>
      <c r="G24" s="22">
        <f t="shared" si="2"/>
        <v>1</v>
      </c>
      <c r="H24" s="51" t="s">
        <v>20</v>
      </c>
    </row>
    <row r="25" ht="25.5" customHeight="1">
      <c r="A25" s="46">
        <v>22.0</v>
      </c>
      <c r="B25" s="47">
        <v>1006324.0</v>
      </c>
      <c r="C25" s="48" t="str">
        <f>vlookup(B25,'Crew Data'!C:G,5,0)</f>
        <v>Pimpas Ruangtragul</v>
      </c>
      <c r="D25" s="267" t="s">
        <v>1199</v>
      </c>
      <c r="E25" s="47">
        <v>2.0</v>
      </c>
      <c r="F25" s="50">
        <f t="shared" si="1"/>
        <v>800</v>
      </c>
      <c r="G25" s="22">
        <f t="shared" si="2"/>
        <v>1</v>
      </c>
      <c r="H25" s="51" t="s">
        <v>20</v>
      </c>
    </row>
    <row r="26" ht="25.5" customHeight="1">
      <c r="A26" s="46">
        <v>23.0</v>
      </c>
      <c r="B26" s="47">
        <v>1006077.0</v>
      </c>
      <c r="C26" s="48" t="str">
        <f>vlookup(B26,'Crew Data'!C:G,5,0)</f>
        <v>#N/A</v>
      </c>
      <c r="D26" s="267" t="s">
        <v>1198</v>
      </c>
      <c r="E26" s="47">
        <v>2.0</v>
      </c>
      <c r="F26" s="50">
        <f t="shared" si="1"/>
        <v>800</v>
      </c>
      <c r="G26" s="22">
        <f t="shared" si="2"/>
        <v>1</v>
      </c>
      <c r="H26" s="51" t="s">
        <v>20</v>
      </c>
    </row>
    <row r="27" ht="25.5" customHeight="1">
      <c r="A27" s="54">
        <v>24.0</v>
      </c>
      <c r="B27" s="47">
        <v>1012970.0</v>
      </c>
      <c r="C27" s="48" t="str">
        <f>vlookup(B27,'Crew Data'!C:G,5,0)</f>
        <v>Amornwech Jullanate</v>
      </c>
      <c r="D27" s="267" t="s">
        <v>1200</v>
      </c>
      <c r="E27" s="47">
        <v>2.0</v>
      </c>
      <c r="F27" s="50">
        <f t="shared" si="1"/>
        <v>800</v>
      </c>
      <c r="G27" s="22">
        <f t="shared" si="2"/>
        <v>1</v>
      </c>
      <c r="H27" s="51" t="s">
        <v>20</v>
      </c>
    </row>
    <row r="28" ht="25.5" customHeight="1">
      <c r="A28" s="46">
        <v>25.0</v>
      </c>
      <c r="B28" s="47">
        <v>1011836.0</v>
      </c>
      <c r="C28" s="48" t="str">
        <f>vlookup(B28,'Crew Data'!C:G,5,0)</f>
        <v>Sirapong Charoenwutbhawonrat</v>
      </c>
      <c r="D28" s="267" t="s">
        <v>1200</v>
      </c>
      <c r="E28" s="47">
        <v>2.0</v>
      </c>
      <c r="F28" s="50">
        <f t="shared" si="1"/>
        <v>800</v>
      </c>
      <c r="G28" s="22">
        <f t="shared" si="2"/>
        <v>1</v>
      </c>
      <c r="H28" s="51" t="s">
        <v>20</v>
      </c>
    </row>
    <row r="29" ht="25.5" customHeight="1">
      <c r="A29" s="46">
        <v>26.0</v>
      </c>
      <c r="B29" s="47">
        <v>1022215.0</v>
      </c>
      <c r="C29" s="48" t="str">
        <f>vlookup(B29,'Crew Data'!C:G,5,0)</f>
        <v>Porntida Yuttimi</v>
      </c>
      <c r="D29" s="267" t="s">
        <v>1197</v>
      </c>
      <c r="E29" s="47">
        <v>4.0</v>
      </c>
      <c r="F29" s="50">
        <f t="shared" si="1"/>
        <v>1600</v>
      </c>
      <c r="G29" s="22">
        <f t="shared" si="2"/>
        <v>1</v>
      </c>
      <c r="H29" s="51" t="s">
        <v>20</v>
      </c>
    </row>
    <row r="30" ht="25.5" customHeight="1">
      <c r="A30" s="46">
        <v>27.0</v>
      </c>
      <c r="B30" s="47">
        <v>1001582.0</v>
      </c>
      <c r="C30" s="48" t="str">
        <f>vlookup(B30,'Crew Data'!C:G,5,0)</f>
        <v>Waleerat khumsap</v>
      </c>
      <c r="D30" s="267" t="s">
        <v>1201</v>
      </c>
      <c r="E30" s="47">
        <v>2.0</v>
      </c>
      <c r="F30" s="50">
        <f t="shared" si="1"/>
        <v>800</v>
      </c>
      <c r="G30" s="22">
        <f t="shared" si="2"/>
        <v>1</v>
      </c>
      <c r="H30" s="51" t="s">
        <v>20</v>
      </c>
    </row>
    <row r="31" ht="25.5" customHeight="1">
      <c r="A31" s="46">
        <v>28.0</v>
      </c>
      <c r="B31" s="47">
        <v>1000675.0</v>
      </c>
      <c r="C31" s="48" t="str">
        <f>vlookup(B31,'Crew Data'!C:G,5,0)</f>
        <v>Sivaporn Limkanokrat</v>
      </c>
      <c r="D31" s="267" t="s">
        <v>1202</v>
      </c>
      <c r="E31" s="47">
        <v>2.0</v>
      </c>
      <c r="F31" s="50">
        <f t="shared" si="1"/>
        <v>800</v>
      </c>
      <c r="G31" s="22">
        <f t="shared" si="2"/>
        <v>1</v>
      </c>
      <c r="H31" s="51" t="s">
        <v>20</v>
      </c>
    </row>
    <row r="32" ht="25.5" customHeight="1">
      <c r="A32" s="46">
        <v>29.0</v>
      </c>
      <c r="B32" s="47">
        <v>1019545.0</v>
      </c>
      <c r="C32" s="48" t="str">
        <f>vlookup(B32,'Crew Data'!C:G,5,0)</f>
        <v>Sorawich Kaosumang</v>
      </c>
      <c r="D32" s="267" t="s">
        <v>1203</v>
      </c>
      <c r="E32" s="47">
        <v>2.0</v>
      </c>
      <c r="F32" s="50">
        <f t="shared" si="1"/>
        <v>800</v>
      </c>
      <c r="G32" s="22">
        <f t="shared" si="2"/>
        <v>1</v>
      </c>
      <c r="H32" s="51" t="s">
        <v>20</v>
      </c>
    </row>
    <row r="33" ht="25.5" customHeight="1">
      <c r="A33" s="46">
        <v>30.0</v>
      </c>
      <c r="B33" s="47">
        <v>1006363.0</v>
      </c>
      <c r="C33" s="48" t="str">
        <f>vlookup(B33,'Crew Data'!C:G,5,0)</f>
        <v>#N/A</v>
      </c>
      <c r="D33" s="267" t="s">
        <v>1198</v>
      </c>
      <c r="E33" s="47">
        <v>2.0</v>
      </c>
      <c r="F33" s="50">
        <f t="shared" si="1"/>
        <v>800</v>
      </c>
      <c r="G33" s="22">
        <f t="shared" si="2"/>
        <v>1</v>
      </c>
      <c r="H33" s="51" t="s">
        <v>20</v>
      </c>
    </row>
    <row r="34" ht="25.5" customHeight="1">
      <c r="A34" s="46">
        <v>31.0</v>
      </c>
      <c r="B34" s="47">
        <v>1005803.0</v>
      </c>
      <c r="C34" s="48" t="str">
        <f>vlookup(B34,'Crew Data'!C:G,5,0)</f>
        <v>Kornkanok Kollasut</v>
      </c>
      <c r="D34" s="267" t="s">
        <v>1204</v>
      </c>
      <c r="E34" s="47">
        <v>4.0</v>
      </c>
      <c r="F34" s="50">
        <f t="shared" si="1"/>
        <v>1600</v>
      </c>
      <c r="G34" s="22">
        <f t="shared" si="2"/>
        <v>1</v>
      </c>
      <c r="H34" s="51" t="s">
        <v>20</v>
      </c>
    </row>
    <row r="35" ht="25.5" customHeight="1">
      <c r="A35" s="54">
        <v>32.0</v>
      </c>
      <c r="B35" s="47">
        <v>1007014.0</v>
      </c>
      <c r="C35" s="48" t="str">
        <f>vlookup(B35,'Crew Data'!C:G,5,0)</f>
        <v>Piyanut Nainet</v>
      </c>
      <c r="D35" s="267" t="s">
        <v>1205</v>
      </c>
      <c r="E35" s="47">
        <v>4.0</v>
      </c>
      <c r="F35" s="50">
        <f t="shared" si="1"/>
        <v>1600</v>
      </c>
      <c r="G35" s="22">
        <f t="shared" si="2"/>
        <v>1</v>
      </c>
      <c r="H35" s="51" t="s">
        <v>20</v>
      </c>
    </row>
    <row r="36" ht="25.5" customHeight="1">
      <c r="A36" s="46">
        <v>33.0</v>
      </c>
      <c r="B36" s="47">
        <v>1022661.0</v>
      </c>
      <c r="C36" s="48" t="str">
        <f>vlookup(B36,'Crew Data'!C:G,5,0)</f>
        <v>#N/A</v>
      </c>
      <c r="D36" s="267" t="s">
        <v>1206</v>
      </c>
      <c r="E36" s="47">
        <v>2.0</v>
      </c>
      <c r="F36" s="50">
        <f t="shared" si="1"/>
        <v>800</v>
      </c>
      <c r="G36" s="22">
        <f t="shared" si="2"/>
        <v>1</v>
      </c>
      <c r="H36" s="51" t="s">
        <v>20</v>
      </c>
    </row>
    <row r="37" ht="25.5" customHeight="1">
      <c r="A37" s="46">
        <v>34.0</v>
      </c>
      <c r="B37" s="47">
        <v>1022213.0</v>
      </c>
      <c r="C37" s="48" t="str">
        <f>vlookup(B37,'Crew Data'!C:G,5,0)</f>
        <v>Puripak Pensawat</v>
      </c>
      <c r="D37" s="267" t="s">
        <v>1207</v>
      </c>
      <c r="E37" s="47">
        <v>2.0</v>
      </c>
      <c r="F37" s="50">
        <f t="shared" si="1"/>
        <v>800</v>
      </c>
      <c r="G37" s="22">
        <f t="shared" si="2"/>
        <v>1</v>
      </c>
      <c r="H37" s="51" t="s">
        <v>20</v>
      </c>
    </row>
    <row r="38" ht="25.5" customHeight="1">
      <c r="A38" s="46">
        <v>35.0</v>
      </c>
      <c r="B38" s="47">
        <v>1022221.0</v>
      </c>
      <c r="C38" s="48" t="str">
        <f>vlookup(B38,'Crew Data'!C:G,5,0)</f>
        <v>Itsara Indrasuta</v>
      </c>
      <c r="D38" s="267" t="s">
        <v>1208</v>
      </c>
      <c r="E38" s="47">
        <v>2.0</v>
      </c>
      <c r="F38" s="50">
        <f t="shared" si="1"/>
        <v>800</v>
      </c>
      <c r="G38" s="22">
        <f t="shared" si="2"/>
        <v>1</v>
      </c>
      <c r="H38" s="51" t="s">
        <v>20</v>
      </c>
    </row>
    <row r="39" ht="25.5" customHeight="1">
      <c r="A39" s="46">
        <v>36.0</v>
      </c>
      <c r="B39" s="47">
        <v>1007022.0</v>
      </c>
      <c r="C39" s="48" t="str">
        <f>vlookup(B39,'Crew Data'!C:G,5,0)</f>
        <v>Waroot Chanpueak</v>
      </c>
      <c r="D39" s="267" t="s">
        <v>1203</v>
      </c>
      <c r="E39" s="47">
        <v>2.0</v>
      </c>
      <c r="F39" s="50">
        <f t="shared" si="1"/>
        <v>800</v>
      </c>
      <c r="G39" s="22">
        <f t="shared" si="2"/>
        <v>1</v>
      </c>
      <c r="H39" s="51" t="s">
        <v>20</v>
      </c>
    </row>
    <row r="40" ht="25.5" customHeight="1">
      <c r="A40" s="46">
        <v>37.0</v>
      </c>
      <c r="B40" s="47">
        <v>1011080.0</v>
      </c>
      <c r="C40" s="48" t="str">
        <f>vlookup(B40,'Crew Data'!C:G,5,0)</f>
        <v>#N/A</v>
      </c>
      <c r="D40" s="267" t="s">
        <v>1204</v>
      </c>
      <c r="E40" s="47">
        <v>4.0</v>
      </c>
      <c r="F40" s="50">
        <f t="shared" si="1"/>
        <v>1600</v>
      </c>
      <c r="G40" s="22">
        <f t="shared" si="2"/>
        <v>1</v>
      </c>
      <c r="H40" s="51" t="s">
        <v>20</v>
      </c>
    </row>
    <row r="41" ht="25.5" customHeight="1">
      <c r="A41" s="46">
        <v>38.0</v>
      </c>
      <c r="B41" s="47">
        <v>1003392.0</v>
      </c>
      <c r="C41" s="48" t="str">
        <f>vlookup(B41,'Crew Data'!C:G,5,0)</f>
        <v>Punnaphas Tawornpanmanee</v>
      </c>
      <c r="D41" s="267" t="s">
        <v>1209</v>
      </c>
      <c r="E41" s="47">
        <v>4.0</v>
      </c>
      <c r="F41" s="50">
        <f t="shared" si="1"/>
        <v>1600</v>
      </c>
      <c r="G41" s="22">
        <f t="shared" si="2"/>
        <v>1</v>
      </c>
      <c r="H41" s="51" t="s">
        <v>20</v>
      </c>
    </row>
    <row r="42" ht="25.5" customHeight="1">
      <c r="A42" s="46">
        <v>39.0</v>
      </c>
      <c r="B42" s="47">
        <v>1022754.0</v>
      </c>
      <c r="C42" s="48" t="str">
        <f>vlookup(B42,'Crew Data'!C:G,5,0)</f>
        <v>Pawina Jiradilokporn</v>
      </c>
      <c r="D42" s="267" t="s">
        <v>1208</v>
      </c>
      <c r="E42" s="47">
        <v>2.0</v>
      </c>
      <c r="F42" s="50">
        <f t="shared" si="1"/>
        <v>800</v>
      </c>
      <c r="G42" s="22">
        <f t="shared" si="2"/>
        <v>1</v>
      </c>
      <c r="H42" s="51" t="s">
        <v>20</v>
      </c>
    </row>
    <row r="43" ht="25.5" customHeight="1">
      <c r="A43" s="54">
        <v>40.0</v>
      </c>
      <c r="B43" s="47">
        <v>1007181.0</v>
      </c>
      <c r="C43" s="48" t="str">
        <f>vlookup(B43,'Crew Data'!C:G,5,0)</f>
        <v>Warisara Sutta</v>
      </c>
      <c r="D43" s="267" t="s">
        <v>1210</v>
      </c>
      <c r="E43" s="47">
        <v>13.0</v>
      </c>
      <c r="F43" s="50">
        <f t="shared" si="1"/>
        <v>5200</v>
      </c>
      <c r="G43" s="22">
        <f t="shared" si="2"/>
        <v>1</v>
      </c>
      <c r="H43" s="51" t="s">
        <v>20</v>
      </c>
    </row>
    <row r="44" ht="25.5" customHeight="1">
      <c r="A44" s="46">
        <v>41.0</v>
      </c>
      <c r="B44" s="47">
        <v>1007026.0</v>
      </c>
      <c r="C44" s="48" t="str">
        <f>vlookup(B44,'Crew Data'!C:G,5,0)</f>
        <v>Kwanrapee Satayayookt</v>
      </c>
      <c r="D44" s="267" t="s">
        <v>1204</v>
      </c>
      <c r="E44" s="47">
        <v>4.0</v>
      </c>
      <c r="F44" s="50">
        <f t="shared" si="1"/>
        <v>1600</v>
      </c>
      <c r="G44" s="22">
        <f t="shared" si="2"/>
        <v>1</v>
      </c>
      <c r="H44" s="51" t="s">
        <v>20</v>
      </c>
    </row>
    <row r="45" ht="25.5" customHeight="1">
      <c r="A45" s="46">
        <v>42.0</v>
      </c>
      <c r="B45" s="47">
        <v>1004037.0</v>
      </c>
      <c r="C45" s="48" t="str">
        <f>vlookup(B45,'Crew Data'!C:G,5,0)</f>
        <v>Phornchanit Rangsikul</v>
      </c>
      <c r="D45" s="267" t="s">
        <v>1211</v>
      </c>
      <c r="E45" s="47">
        <v>2.0</v>
      </c>
      <c r="F45" s="50">
        <f t="shared" si="1"/>
        <v>800</v>
      </c>
      <c r="G45" s="22">
        <f t="shared" si="2"/>
        <v>1</v>
      </c>
      <c r="H45" s="51" t="s">
        <v>20</v>
      </c>
    </row>
    <row r="46" ht="25.5" customHeight="1">
      <c r="A46" s="46">
        <v>43.0</v>
      </c>
      <c r="B46" s="47">
        <v>1005816.0</v>
      </c>
      <c r="C46" s="48" t="str">
        <f>vlookup(B46,'Crew Data'!C:G,5,0)</f>
        <v>Narada Phongniwat</v>
      </c>
      <c r="D46" s="267" t="s">
        <v>1212</v>
      </c>
      <c r="E46" s="47">
        <v>8.0</v>
      </c>
      <c r="F46" s="50">
        <f t="shared" si="1"/>
        <v>3200</v>
      </c>
      <c r="G46" s="22">
        <f t="shared" si="2"/>
        <v>1</v>
      </c>
      <c r="H46" s="51" t="s">
        <v>20</v>
      </c>
    </row>
    <row r="47" ht="25.5" customHeight="1">
      <c r="A47" s="46">
        <v>44.0</v>
      </c>
      <c r="B47" s="47">
        <v>1007011.0</v>
      </c>
      <c r="C47" s="48" t="str">
        <f>vlookup(B47,'Crew Data'!C:G,5,0)</f>
        <v>Jeeraprapa Tuptimdang</v>
      </c>
      <c r="D47" s="267" t="s">
        <v>1205</v>
      </c>
      <c r="E47" s="47">
        <v>4.0</v>
      </c>
      <c r="F47" s="50">
        <f t="shared" si="1"/>
        <v>1600</v>
      </c>
      <c r="G47" s="22">
        <f t="shared" si="2"/>
        <v>1</v>
      </c>
      <c r="H47" s="51" t="s">
        <v>20</v>
      </c>
    </row>
    <row r="48" ht="25.5" customHeight="1">
      <c r="A48" s="46">
        <v>45.0</v>
      </c>
      <c r="B48" s="47">
        <v>1007018.0</v>
      </c>
      <c r="C48" s="48" t="str">
        <f>vlookup(B48,'Crew Data'!C:G,5,0)</f>
        <v>#N/A</v>
      </c>
      <c r="D48" s="267" t="s">
        <v>1213</v>
      </c>
      <c r="E48" s="47">
        <v>2.0</v>
      </c>
      <c r="F48" s="50">
        <f t="shared" si="1"/>
        <v>800</v>
      </c>
      <c r="G48" s="22">
        <f t="shared" si="2"/>
        <v>1</v>
      </c>
      <c r="H48" s="51" t="s">
        <v>20</v>
      </c>
    </row>
    <row r="49" ht="25.5" customHeight="1">
      <c r="A49" s="46">
        <v>46.0</v>
      </c>
      <c r="B49" s="47">
        <v>1007281.0</v>
      </c>
      <c r="C49" s="48" t="str">
        <f>vlookup(B49,'Crew Data'!C:G,5,0)</f>
        <v>Warodom Wongswasdi</v>
      </c>
      <c r="D49" s="267" t="s">
        <v>1214</v>
      </c>
      <c r="E49" s="47">
        <v>4.0</v>
      </c>
      <c r="F49" s="50">
        <f t="shared" si="1"/>
        <v>1600</v>
      </c>
      <c r="G49" s="22">
        <f t="shared" si="2"/>
        <v>1</v>
      </c>
      <c r="H49" s="51" t="s">
        <v>20</v>
      </c>
    </row>
    <row r="50" ht="25.5" customHeight="1">
      <c r="A50" s="46">
        <v>47.0</v>
      </c>
      <c r="B50" s="47">
        <v>1013182.0</v>
      </c>
      <c r="C50" s="48" t="str">
        <f>vlookup(B50,'Crew Data'!C:G,5,0)</f>
        <v>#N/A</v>
      </c>
      <c r="D50" s="267" t="s">
        <v>1214</v>
      </c>
      <c r="E50" s="47">
        <v>4.0</v>
      </c>
      <c r="F50" s="50">
        <f t="shared" si="1"/>
        <v>1600</v>
      </c>
      <c r="G50" s="22">
        <f t="shared" si="2"/>
        <v>1</v>
      </c>
      <c r="H50" s="51" t="s">
        <v>20</v>
      </c>
    </row>
    <row r="51" ht="25.5" customHeight="1">
      <c r="A51" s="54">
        <v>48.0</v>
      </c>
      <c r="B51" s="47">
        <v>1002065.0</v>
      </c>
      <c r="C51" s="48" t="str">
        <f>vlookup(B51,'Crew Data'!C:G,5,0)</f>
        <v>Pattaramon Phunsook</v>
      </c>
      <c r="D51" s="267" t="s">
        <v>1214</v>
      </c>
      <c r="E51" s="47">
        <v>4.0</v>
      </c>
      <c r="F51" s="50">
        <f t="shared" si="1"/>
        <v>1600</v>
      </c>
      <c r="G51" s="22">
        <f t="shared" si="2"/>
        <v>1</v>
      </c>
      <c r="H51" s="51" t="s">
        <v>20</v>
      </c>
    </row>
    <row r="52" ht="25.5" customHeight="1">
      <c r="A52" s="46">
        <v>49.0</v>
      </c>
      <c r="B52" s="47">
        <v>1018970.0</v>
      </c>
      <c r="C52" s="48" t="str">
        <f>vlookup(B52,'Crew Data'!C:G,5,0)</f>
        <v>Krittachai Jantawong</v>
      </c>
      <c r="D52" s="267" t="s">
        <v>1215</v>
      </c>
      <c r="E52" s="47">
        <v>20.0</v>
      </c>
      <c r="F52" s="50">
        <f t="shared" si="1"/>
        <v>8000</v>
      </c>
      <c r="G52" s="22">
        <f t="shared" si="2"/>
        <v>1</v>
      </c>
      <c r="H52" s="51" t="s">
        <v>20</v>
      </c>
    </row>
    <row r="53" ht="25.5" customHeight="1">
      <c r="A53" s="46">
        <v>50.0</v>
      </c>
      <c r="B53" s="47">
        <v>1004534.0</v>
      </c>
      <c r="C53" s="48" t="str">
        <f>vlookup(B53,'Crew Data'!C:G,5,0)</f>
        <v>Omjai Chuchaisangrat</v>
      </c>
      <c r="D53" s="267" t="s">
        <v>1211</v>
      </c>
      <c r="E53" s="47">
        <v>2.0</v>
      </c>
      <c r="F53" s="50">
        <f t="shared" si="1"/>
        <v>800</v>
      </c>
      <c r="G53" s="22">
        <f t="shared" si="2"/>
        <v>1</v>
      </c>
      <c r="H53" s="51" t="s">
        <v>20</v>
      </c>
    </row>
    <row r="54" ht="25.5" customHeight="1">
      <c r="A54" s="46">
        <v>51.0</v>
      </c>
      <c r="B54" s="47">
        <v>1017935.0</v>
      </c>
      <c r="C54" s="48" t="str">
        <f>vlookup(B54,'Crew Data'!C:G,5,0)</f>
        <v>Supitcha Chansiri</v>
      </c>
      <c r="D54" s="267" t="s">
        <v>1208</v>
      </c>
      <c r="E54" s="47">
        <v>2.0</v>
      </c>
      <c r="F54" s="50">
        <f t="shared" si="1"/>
        <v>800</v>
      </c>
      <c r="G54" s="22">
        <f t="shared" si="2"/>
        <v>1</v>
      </c>
      <c r="H54" s="51" t="s">
        <v>20</v>
      </c>
    </row>
    <row r="55" ht="25.5" customHeight="1">
      <c r="A55" s="46">
        <v>52.0</v>
      </c>
      <c r="B55" s="47">
        <v>1001082.0</v>
      </c>
      <c r="C55" s="48" t="str">
        <f>vlookup(B55,'Crew Data'!C:G,5,0)</f>
        <v>Pobsaran Chantaratim</v>
      </c>
      <c r="D55" s="267" t="s">
        <v>1207</v>
      </c>
      <c r="E55" s="47">
        <v>2.0</v>
      </c>
      <c r="F55" s="50">
        <f t="shared" si="1"/>
        <v>800</v>
      </c>
      <c r="G55" s="22">
        <f t="shared" si="2"/>
        <v>1</v>
      </c>
      <c r="H55" s="51" t="s">
        <v>20</v>
      </c>
    </row>
    <row r="56" ht="25.5" customHeight="1">
      <c r="A56" s="46">
        <v>53.0</v>
      </c>
      <c r="B56" s="47">
        <v>1009843.0</v>
      </c>
      <c r="C56" s="48" t="str">
        <f>vlookup(B56,'Crew Data'!C:G,5,0)</f>
        <v>#N/A</v>
      </c>
      <c r="D56" s="268">
        <v>43862.0</v>
      </c>
      <c r="E56" s="47">
        <v>1.0</v>
      </c>
      <c r="F56" s="50">
        <f t="shared" si="1"/>
        <v>400</v>
      </c>
      <c r="G56" s="22">
        <f t="shared" si="2"/>
        <v>1</v>
      </c>
      <c r="H56" s="51" t="s">
        <v>20</v>
      </c>
    </row>
    <row r="57" ht="25.5" customHeight="1">
      <c r="A57" s="46">
        <v>54.0</v>
      </c>
      <c r="B57" s="47">
        <v>1012370.0</v>
      </c>
      <c r="C57" s="48" t="str">
        <f>vlookup(B57,'Crew Data'!C:G,5,0)</f>
        <v>Thanapiphat Kasempitirat</v>
      </c>
      <c r="D57" s="267" t="s">
        <v>1216</v>
      </c>
      <c r="E57" s="47">
        <v>2.0</v>
      </c>
      <c r="F57" s="50">
        <f t="shared" si="1"/>
        <v>800</v>
      </c>
      <c r="G57" s="22">
        <f t="shared" si="2"/>
        <v>1</v>
      </c>
      <c r="H57" s="51" t="s">
        <v>20</v>
      </c>
    </row>
    <row r="58" ht="25.5" customHeight="1">
      <c r="A58" s="46">
        <v>55.0</v>
      </c>
      <c r="B58" s="47">
        <v>1004204.0</v>
      </c>
      <c r="C58" s="48" t="str">
        <f>vlookup(B58,'Crew Data'!C:G,5,0)</f>
        <v>Phasita Khomdech</v>
      </c>
      <c r="D58" s="267" t="s">
        <v>1217</v>
      </c>
      <c r="E58" s="47">
        <v>6.0</v>
      </c>
      <c r="F58" s="50">
        <f t="shared" si="1"/>
        <v>2400</v>
      </c>
      <c r="G58" s="22">
        <f t="shared" si="2"/>
        <v>1</v>
      </c>
      <c r="H58" s="51" t="s">
        <v>20</v>
      </c>
    </row>
    <row r="59" ht="25.5" customHeight="1">
      <c r="A59" s="54">
        <v>56.0</v>
      </c>
      <c r="B59" s="47">
        <v>1004047.0</v>
      </c>
      <c r="C59" s="48" t="str">
        <f>vlookup(B59,'Crew Data'!C:G,5,0)</f>
        <v>Sunisa Panhirun</v>
      </c>
      <c r="D59" s="267" t="s">
        <v>1216</v>
      </c>
      <c r="E59" s="47">
        <v>2.0</v>
      </c>
      <c r="F59" s="50">
        <f t="shared" si="1"/>
        <v>800</v>
      </c>
      <c r="G59" s="22">
        <f t="shared" si="2"/>
        <v>1</v>
      </c>
      <c r="H59" s="51" t="s">
        <v>20</v>
      </c>
    </row>
    <row r="60" ht="25.5" customHeight="1">
      <c r="A60" s="46">
        <v>57.0</v>
      </c>
      <c r="B60" s="47">
        <v>1011312.0</v>
      </c>
      <c r="C60" s="48" t="str">
        <f>vlookup(B60,'Crew Data'!C:G,5,0)</f>
        <v>Patchara Penpaijit</v>
      </c>
      <c r="D60" s="267" t="s">
        <v>1218</v>
      </c>
      <c r="E60" s="47">
        <v>6.0</v>
      </c>
      <c r="F60" s="50">
        <f t="shared" si="1"/>
        <v>2400</v>
      </c>
      <c r="G60" s="22">
        <f t="shared" si="2"/>
        <v>1</v>
      </c>
      <c r="H60" s="51" t="s">
        <v>20</v>
      </c>
    </row>
    <row r="61" ht="25.5" customHeight="1">
      <c r="A61" s="46">
        <v>58.0</v>
      </c>
      <c r="B61" s="47">
        <v>1005289.0</v>
      </c>
      <c r="C61" s="48" t="str">
        <f>vlookup(B61,'Crew Data'!C:G,5,0)</f>
        <v>Varoonyupa Choovet</v>
      </c>
      <c r="D61" s="267" t="s">
        <v>1216</v>
      </c>
      <c r="E61" s="47">
        <v>2.0</v>
      </c>
      <c r="F61" s="50">
        <f t="shared" si="1"/>
        <v>800</v>
      </c>
      <c r="G61" s="22">
        <f t="shared" si="2"/>
        <v>1</v>
      </c>
      <c r="H61" s="51" t="s">
        <v>20</v>
      </c>
    </row>
    <row r="62" ht="25.5" customHeight="1">
      <c r="A62" s="46">
        <v>59.0</v>
      </c>
      <c r="B62" s="47">
        <v>1005769.0</v>
      </c>
      <c r="C62" s="48" t="str">
        <f>vlookup(B62,'Crew Data'!C:G,5,0)</f>
        <v>Thanicha Noodee</v>
      </c>
      <c r="D62" s="267" t="s">
        <v>1219</v>
      </c>
      <c r="E62" s="47">
        <v>2.0</v>
      </c>
      <c r="F62" s="50">
        <f t="shared" si="1"/>
        <v>800</v>
      </c>
      <c r="G62" s="22">
        <f t="shared" si="2"/>
        <v>1</v>
      </c>
      <c r="H62" s="51" t="s">
        <v>20</v>
      </c>
    </row>
    <row r="63" ht="25.5" customHeight="1">
      <c r="A63" s="46">
        <v>60.0</v>
      </c>
      <c r="B63" s="47">
        <v>1004562.0</v>
      </c>
      <c r="C63" s="48" t="str">
        <f>vlookup(B63,'Crew Data'!C:G,5,0)</f>
        <v>#N/A</v>
      </c>
      <c r="D63" s="268">
        <v>43862.0</v>
      </c>
      <c r="E63" s="47">
        <v>1.0</v>
      </c>
      <c r="F63" s="50">
        <f t="shared" si="1"/>
        <v>400</v>
      </c>
      <c r="G63" s="22">
        <f t="shared" si="2"/>
        <v>1</v>
      </c>
      <c r="H63" s="51" t="s">
        <v>20</v>
      </c>
    </row>
    <row r="64" ht="25.5" customHeight="1">
      <c r="A64" s="54">
        <v>61.0</v>
      </c>
      <c r="B64" s="47">
        <v>1011806.0</v>
      </c>
      <c r="C64" s="48" t="str">
        <f>vlookup(B64,'Crew Data'!C:G,5,0)</f>
        <v>Chonthicha Chanpanitkitchot</v>
      </c>
      <c r="D64" s="267" t="s">
        <v>1220</v>
      </c>
      <c r="E64" s="47">
        <v>2.0</v>
      </c>
      <c r="F64" s="50">
        <f t="shared" si="1"/>
        <v>800</v>
      </c>
      <c r="G64" s="22">
        <f t="shared" si="2"/>
        <v>1</v>
      </c>
      <c r="H64" s="51" t="s">
        <v>20</v>
      </c>
    </row>
    <row r="65" ht="25.5" customHeight="1">
      <c r="A65" s="46">
        <v>62.0</v>
      </c>
      <c r="B65" s="47">
        <v>1004292.0</v>
      </c>
      <c r="C65" s="48" t="str">
        <f>vlookup(B65,'Crew Data'!C:G,5,0)</f>
        <v>Darunee Anumat</v>
      </c>
      <c r="D65" s="267" t="s">
        <v>1220</v>
      </c>
      <c r="E65" s="47">
        <v>2.0</v>
      </c>
      <c r="F65" s="50">
        <f t="shared" si="1"/>
        <v>800</v>
      </c>
      <c r="G65" s="22">
        <f t="shared" si="2"/>
        <v>1</v>
      </c>
      <c r="H65" s="51" t="s">
        <v>20</v>
      </c>
    </row>
    <row r="66" ht="25.5" customHeight="1">
      <c r="A66" s="46">
        <v>63.0</v>
      </c>
      <c r="B66" s="47">
        <v>1017655.0</v>
      </c>
      <c r="C66" s="48" t="str">
        <f>vlookup(B66,'Crew Data'!C:G,5,0)</f>
        <v>Waris Suaprasert</v>
      </c>
      <c r="D66" s="267" t="s">
        <v>1221</v>
      </c>
      <c r="E66" s="47">
        <v>40.0</v>
      </c>
      <c r="F66" s="50">
        <f t="shared" si="1"/>
        <v>16000</v>
      </c>
      <c r="G66" s="22">
        <f t="shared" si="2"/>
        <v>1</v>
      </c>
      <c r="H66" s="51" t="s">
        <v>20</v>
      </c>
    </row>
    <row r="67" ht="25.5" customHeight="1">
      <c r="A67" s="46">
        <v>64.0</v>
      </c>
      <c r="B67" s="47">
        <v>1005831.0</v>
      </c>
      <c r="C67" s="48" t="str">
        <f>vlookup(B67,'Crew Data'!C:G,5,0)</f>
        <v>#N/A</v>
      </c>
      <c r="D67" s="267" t="s">
        <v>1222</v>
      </c>
      <c r="E67" s="47">
        <v>2.0</v>
      </c>
      <c r="F67" s="50">
        <f t="shared" si="1"/>
        <v>800</v>
      </c>
      <c r="G67" s="22">
        <f t="shared" si="2"/>
        <v>1</v>
      </c>
      <c r="H67" s="51" t="s">
        <v>20</v>
      </c>
    </row>
    <row r="68" ht="25.5" customHeight="1">
      <c r="A68" s="46">
        <v>65.0</v>
      </c>
      <c r="B68" s="47">
        <v>1004212.0</v>
      </c>
      <c r="C68" s="48" t="str">
        <f>vlookup(B68,'Crew Data'!C:G,5,0)</f>
        <v>Varisa Nimkasai</v>
      </c>
      <c r="D68" s="267" t="s">
        <v>1220</v>
      </c>
      <c r="E68" s="47">
        <v>2.0</v>
      </c>
      <c r="F68" s="50">
        <f t="shared" si="1"/>
        <v>800</v>
      </c>
      <c r="G68" s="22">
        <f t="shared" si="2"/>
        <v>1</v>
      </c>
      <c r="H68" s="51" t="s">
        <v>20</v>
      </c>
    </row>
    <row r="69" ht="25.5" customHeight="1">
      <c r="A69" s="46">
        <v>66.0</v>
      </c>
      <c r="B69" s="47">
        <v>1007345.0</v>
      </c>
      <c r="C69" s="48" t="str">
        <f>vlookup(B69,'Crew Data'!C:G,5,0)</f>
        <v>#N/A</v>
      </c>
      <c r="D69" s="267" t="s">
        <v>1222</v>
      </c>
      <c r="E69" s="47">
        <v>2.0</v>
      </c>
      <c r="F69" s="50">
        <f t="shared" si="1"/>
        <v>800</v>
      </c>
      <c r="G69" s="22">
        <f t="shared" si="2"/>
        <v>1</v>
      </c>
      <c r="H69" s="51" t="s">
        <v>20</v>
      </c>
    </row>
    <row r="70" ht="25.5" customHeight="1">
      <c r="A70" s="46">
        <v>67.0</v>
      </c>
      <c r="B70" s="47">
        <v>1002370.0</v>
      </c>
      <c r="C70" s="48" t="str">
        <f>vlookup(B70,'Crew Data'!C:G,5,0)</f>
        <v>Napaphat Yuktanan</v>
      </c>
      <c r="D70" s="267" t="s">
        <v>1223</v>
      </c>
      <c r="E70" s="47">
        <v>4.0</v>
      </c>
      <c r="F70" s="50">
        <f t="shared" si="1"/>
        <v>1600</v>
      </c>
      <c r="G70" s="22">
        <f t="shared" si="2"/>
        <v>1</v>
      </c>
      <c r="H70" s="51" t="s">
        <v>20</v>
      </c>
    </row>
    <row r="71" ht="25.5" customHeight="1">
      <c r="A71" s="46">
        <v>68.0</v>
      </c>
      <c r="B71" s="47">
        <v>1012363.0</v>
      </c>
      <c r="C71" s="48" t="str">
        <f>vlookup(B71,'Crew Data'!C:G,5,0)</f>
        <v>#N/A</v>
      </c>
      <c r="D71" s="267" t="s">
        <v>1224</v>
      </c>
      <c r="E71" s="47">
        <v>13.0</v>
      </c>
      <c r="F71" s="50">
        <f t="shared" si="1"/>
        <v>5200</v>
      </c>
      <c r="G71" s="22">
        <f t="shared" si="2"/>
        <v>1</v>
      </c>
      <c r="H71" s="51" t="s">
        <v>20</v>
      </c>
    </row>
    <row r="72" ht="25.5" customHeight="1">
      <c r="A72" s="46">
        <v>69.0</v>
      </c>
      <c r="B72" s="47">
        <v>1007027.0</v>
      </c>
      <c r="C72" s="48" t="str">
        <f>vlookup(B72,'Crew Data'!C:G,5,0)</f>
        <v>Naphaphat Narapirapong</v>
      </c>
      <c r="D72" s="267" t="s">
        <v>1225</v>
      </c>
      <c r="E72" s="47">
        <v>8.0</v>
      </c>
      <c r="F72" s="50">
        <f t="shared" si="1"/>
        <v>3200</v>
      </c>
      <c r="G72" s="22">
        <f t="shared" si="2"/>
        <v>1</v>
      </c>
      <c r="H72" s="51" t="s">
        <v>20</v>
      </c>
    </row>
    <row r="73" ht="25.5" customHeight="1">
      <c r="A73" s="46">
        <v>70.0</v>
      </c>
      <c r="B73" s="47">
        <v>1017656.0</v>
      </c>
      <c r="C73" s="48" t="str">
        <f>vlookup(B73,'Crew Data'!C:G,5,0)</f>
        <v>#N/A</v>
      </c>
      <c r="D73" s="267" t="s">
        <v>1226</v>
      </c>
      <c r="E73" s="47">
        <v>16.0</v>
      </c>
      <c r="F73" s="50">
        <f t="shared" si="1"/>
        <v>6400</v>
      </c>
      <c r="G73" s="22">
        <f t="shared" si="2"/>
        <v>1</v>
      </c>
      <c r="H73" s="51" t="s">
        <v>20</v>
      </c>
    </row>
    <row r="74" ht="25.5" customHeight="1">
      <c r="A74" s="54">
        <v>71.0</v>
      </c>
      <c r="B74" s="47">
        <v>1011082.0</v>
      </c>
      <c r="C74" s="48" t="str">
        <f>vlookup(B74,'Crew Data'!C:G,5,0)</f>
        <v>Tida Pheechapand</v>
      </c>
      <c r="D74" s="267" t="s">
        <v>1227</v>
      </c>
      <c r="E74" s="47">
        <v>3.0</v>
      </c>
      <c r="F74" s="50">
        <f t="shared" si="1"/>
        <v>1200</v>
      </c>
      <c r="G74" s="22">
        <f t="shared" si="2"/>
        <v>1</v>
      </c>
      <c r="H74" s="51" t="s">
        <v>20</v>
      </c>
    </row>
    <row r="75" ht="25.5" customHeight="1">
      <c r="A75" s="46">
        <v>72.0</v>
      </c>
      <c r="B75" s="55">
        <v>1009764.0</v>
      </c>
      <c r="C75" s="48" t="str">
        <f>vlookup(B75,'Crew Data'!C:G,5,0)</f>
        <v>Sittichai Kaewsuriyan</v>
      </c>
      <c r="D75" s="270" t="s">
        <v>1228</v>
      </c>
      <c r="E75" s="55">
        <v>3.0</v>
      </c>
      <c r="F75" s="50">
        <f t="shared" si="1"/>
        <v>1200</v>
      </c>
      <c r="G75" s="22">
        <f t="shared" si="2"/>
        <v>1</v>
      </c>
      <c r="H75" s="51" t="s">
        <v>20</v>
      </c>
    </row>
    <row r="76" ht="25.5" customHeight="1">
      <c r="A76" s="46">
        <v>73.0</v>
      </c>
      <c r="B76" s="55">
        <v>1005767.0</v>
      </c>
      <c r="C76" s="48" t="str">
        <f>vlookup(B76,'Crew Data'!C:G,5,0)</f>
        <v>Setthi-orn Ruenroeng</v>
      </c>
      <c r="D76" s="270" t="s">
        <v>1196</v>
      </c>
      <c r="E76" s="55">
        <v>4.0</v>
      </c>
      <c r="F76" s="50">
        <f t="shared" si="1"/>
        <v>1600</v>
      </c>
      <c r="G76" s="22">
        <f t="shared" si="2"/>
        <v>1</v>
      </c>
      <c r="H76" s="51" t="s">
        <v>20</v>
      </c>
    </row>
    <row r="77" ht="25.5" customHeight="1">
      <c r="A77" s="46">
        <v>74.0</v>
      </c>
      <c r="B77" s="55">
        <v>1001273.0</v>
      </c>
      <c r="C77" s="48" t="str">
        <f>vlookup(B77,'Crew Data'!C:G,5,0)</f>
        <v>Chidchanok Seesorn</v>
      </c>
      <c r="D77" s="270" t="s">
        <v>1229</v>
      </c>
      <c r="E77" s="55">
        <v>2.0</v>
      </c>
      <c r="F77" s="50">
        <f t="shared" si="1"/>
        <v>800</v>
      </c>
      <c r="G77" s="22">
        <f t="shared" si="2"/>
        <v>1</v>
      </c>
      <c r="H77" s="51" t="s">
        <v>20</v>
      </c>
    </row>
    <row r="78" ht="25.5" customHeight="1">
      <c r="A78" s="46">
        <v>75.0</v>
      </c>
      <c r="B78" s="55">
        <v>1007032.0</v>
      </c>
      <c r="C78" s="48" t="str">
        <f>vlookup(B78,'Crew Data'!C:G,5,0)</f>
        <v>Praew Kijsuwan</v>
      </c>
      <c r="D78" s="270" t="s">
        <v>1209</v>
      </c>
      <c r="E78" s="55">
        <v>4.0</v>
      </c>
      <c r="F78" s="50">
        <f t="shared" si="1"/>
        <v>1600</v>
      </c>
      <c r="G78" s="22">
        <f t="shared" si="2"/>
        <v>1</v>
      </c>
      <c r="H78" s="51" t="s">
        <v>20</v>
      </c>
    </row>
    <row r="79" ht="25.5" customHeight="1">
      <c r="A79" s="54">
        <v>76.0</v>
      </c>
      <c r="B79" s="55">
        <v>1023582.0</v>
      </c>
      <c r="C79" s="48" t="str">
        <f>vlookup(B79,'Crew Data'!C:G,5,0)</f>
        <v>Rawiwan Chailerst</v>
      </c>
      <c r="D79" s="270" t="s">
        <v>1209</v>
      </c>
      <c r="E79" s="55">
        <v>4.0</v>
      </c>
      <c r="F79" s="50">
        <f t="shared" si="1"/>
        <v>1600</v>
      </c>
      <c r="G79" s="22">
        <f t="shared" si="2"/>
        <v>1</v>
      </c>
      <c r="H79" s="51" t="s">
        <v>20</v>
      </c>
    </row>
    <row r="80" ht="25.5" customHeight="1">
      <c r="A80" s="46">
        <v>77.0</v>
      </c>
      <c r="B80" s="55">
        <v>1010909.0</v>
      </c>
      <c r="C80" s="48" t="str">
        <f>vlookup(B80,'Crew Data'!C:G,5,0)</f>
        <v>#N/A</v>
      </c>
      <c r="D80" s="270" t="s">
        <v>1230</v>
      </c>
      <c r="E80" s="55">
        <v>4.0</v>
      </c>
      <c r="F80" s="50">
        <f t="shared" si="1"/>
        <v>1600</v>
      </c>
      <c r="G80" s="22">
        <f t="shared" si="2"/>
        <v>1</v>
      </c>
      <c r="H80" s="51" t="s">
        <v>20</v>
      </c>
    </row>
    <row r="81" ht="25.5" customHeight="1">
      <c r="A81" s="46">
        <v>78.0</v>
      </c>
      <c r="B81" s="55">
        <v>1001391.0</v>
      </c>
      <c r="C81" s="48" t="str">
        <f>vlookup(B81,'Crew Data'!C:G,5,0)</f>
        <v>Fontip Siriudomseth</v>
      </c>
      <c r="D81" s="270" t="s">
        <v>1231</v>
      </c>
      <c r="E81" s="55">
        <v>2.0</v>
      </c>
      <c r="F81" s="50">
        <f t="shared" si="1"/>
        <v>800</v>
      </c>
      <c r="G81" s="22">
        <f t="shared" si="2"/>
        <v>1</v>
      </c>
      <c r="H81" s="51" t="s">
        <v>20</v>
      </c>
    </row>
    <row r="82" ht="25.5" customHeight="1">
      <c r="A82" s="46">
        <v>79.0</v>
      </c>
      <c r="B82" s="55">
        <v>1011716.0</v>
      </c>
      <c r="C82" s="48" t="str">
        <f>vlookup(B82,'Crew Data'!C:G,5,0)</f>
        <v>Arjarree Intharapaijit</v>
      </c>
      <c r="D82" s="270" t="s">
        <v>1232</v>
      </c>
      <c r="E82" s="55">
        <v>2.0</v>
      </c>
      <c r="F82" s="50">
        <f t="shared" si="1"/>
        <v>800</v>
      </c>
      <c r="G82" s="22">
        <f t="shared" si="2"/>
        <v>1</v>
      </c>
      <c r="H82" s="51" t="s">
        <v>20</v>
      </c>
    </row>
    <row r="83" ht="25.5" customHeight="1">
      <c r="A83" s="46">
        <v>80.0</v>
      </c>
      <c r="B83" s="55">
        <v>1010925.0</v>
      </c>
      <c r="C83" s="48" t="str">
        <f>vlookup(B83,'Crew Data'!C:G,5,0)</f>
        <v>Thanatdanai Kaewchusen</v>
      </c>
      <c r="D83" s="270" t="s">
        <v>1208</v>
      </c>
      <c r="E83" s="55">
        <v>2.0</v>
      </c>
      <c r="F83" s="50">
        <f t="shared" si="1"/>
        <v>800</v>
      </c>
      <c r="G83" s="22">
        <f t="shared" si="2"/>
        <v>1</v>
      </c>
      <c r="H83" s="51" t="s">
        <v>20</v>
      </c>
    </row>
    <row r="84" ht="25.5" customHeight="1">
      <c r="A84" s="46">
        <v>81.0</v>
      </c>
      <c r="B84" s="55">
        <v>1004579.0</v>
      </c>
      <c r="C84" s="48" t="str">
        <f>vlookup(B84,'Crew Data'!C:G,5,0)</f>
        <v>Sanisara Wongwejsawat</v>
      </c>
      <c r="D84" s="270" t="s">
        <v>1233</v>
      </c>
      <c r="E84" s="55">
        <v>2.0</v>
      </c>
      <c r="F84" s="50">
        <f t="shared" si="1"/>
        <v>800</v>
      </c>
      <c r="G84" s="22">
        <f t="shared" si="2"/>
        <v>1</v>
      </c>
      <c r="H84" s="51" t="s">
        <v>20</v>
      </c>
    </row>
    <row r="85" ht="25.5" customHeight="1">
      <c r="A85" s="46">
        <v>82.0</v>
      </c>
      <c r="B85" s="55">
        <v>1016232.0</v>
      </c>
      <c r="C85" s="48" t="str">
        <f>vlookup(B85,'Crew Data'!C:G,5,0)</f>
        <v>Thanyachatchanok Bamrungsapsakul</v>
      </c>
      <c r="D85" s="270" t="s">
        <v>1171</v>
      </c>
      <c r="E85" s="55">
        <v>2.0</v>
      </c>
      <c r="F85" s="50">
        <f t="shared" si="1"/>
        <v>800</v>
      </c>
      <c r="G85" s="22">
        <f t="shared" si="2"/>
        <v>1</v>
      </c>
      <c r="H85" s="51" t="s">
        <v>20</v>
      </c>
    </row>
    <row r="86" ht="25.5" customHeight="1">
      <c r="A86" s="46">
        <v>83.0</v>
      </c>
      <c r="B86" s="55">
        <v>1011510.0</v>
      </c>
      <c r="C86" s="48" t="str">
        <f>vlookup(B86,'Crew Data'!C:G,5,0)</f>
        <v>Nitinai Chalongtrakul</v>
      </c>
      <c r="D86" s="270" t="s">
        <v>1233</v>
      </c>
      <c r="E86" s="55">
        <v>2.0</v>
      </c>
      <c r="F86" s="50">
        <f t="shared" si="1"/>
        <v>800</v>
      </c>
      <c r="G86" s="22">
        <f t="shared" si="2"/>
        <v>1</v>
      </c>
      <c r="H86" s="51" t="s">
        <v>20</v>
      </c>
    </row>
    <row r="87" ht="25.5" customHeight="1">
      <c r="A87" s="46">
        <v>84.0</v>
      </c>
      <c r="B87" s="55">
        <v>1015409.0</v>
      </c>
      <c r="C87" s="48" t="str">
        <f>vlookup(B87,'Crew Data'!C:G,5,0)</f>
        <v>#N/A</v>
      </c>
      <c r="D87" s="270" t="s">
        <v>1234</v>
      </c>
      <c r="E87" s="55">
        <v>26.0</v>
      </c>
      <c r="F87" s="50">
        <f t="shared" si="1"/>
        <v>10400</v>
      </c>
      <c r="G87" s="22">
        <f t="shared" si="2"/>
        <v>1</v>
      </c>
      <c r="H87" s="51" t="s">
        <v>20</v>
      </c>
    </row>
    <row r="88" ht="25.5" customHeight="1">
      <c r="A88" s="46">
        <v>85.0</v>
      </c>
      <c r="B88" s="55">
        <v>1007182.0</v>
      </c>
      <c r="C88" s="48" t="str">
        <f>vlookup(B88,'Crew Data'!C:G,5,0)</f>
        <v>#N/A</v>
      </c>
      <c r="D88" s="270" t="s">
        <v>1235</v>
      </c>
      <c r="E88" s="55">
        <v>3.0</v>
      </c>
      <c r="F88" s="50">
        <f t="shared" si="1"/>
        <v>1200</v>
      </c>
      <c r="G88" s="22">
        <f t="shared" si="2"/>
        <v>1</v>
      </c>
      <c r="H88" s="51" t="s">
        <v>20</v>
      </c>
    </row>
    <row r="89" ht="25.5" customHeight="1">
      <c r="A89" s="54">
        <v>86.0</v>
      </c>
      <c r="B89" s="55">
        <v>1005818.0</v>
      </c>
      <c r="C89" s="48" t="str">
        <f>vlookup(B89,'Crew Data'!C:G,5,0)</f>
        <v>Nattaporn Phatteeratip</v>
      </c>
      <c r="D89" s="270" t="s">
        <v>1220</v>
      </c>
      <c r="E89" s="55">
        <v>2.0</v>
      </c>
      <c r="F89" s="50">
        <f t="shared" si="1"/>
        <v>800</v>
      </c>
      <c r="G89" s="22">
        <f t="shared" si="2"/>
        <v>1</v>
      </c>
      <c r="H89" s="51" t="s">
        <v>20</v>
      </c>
    </row>
    <row r="90" ht="25.5" customHeight="1">
      <c r="A90" s="46">
        <v>87.0</v>
      </c>
      <c r="B90" s="55">
        <v>1012362.0</v>
      </c>
      <c r="C90" s="48" t="str">
        <f>vlookup(B90,'Crew Data'!C:G,5,0)</f>
        <v>Patcharagorn Chankhong</v>
      </c>
      <c r="D90" s="270" t="s">
        <v>1236</v>
      </c>
      <c r="E90" s="55">
        <v>14.0</v>
      </c>
      <c r="F90" s="50">
        <f t="shared" si="1"/>
        <v>5600</v>
      </c>
      <c r="G90" s="22">
        <f t="shared" si="2"/>
        <v>1</v>
      </c>
      <c r="H90" s="51" t="s">
        <v>20</v>
      </c>
    </row>
    <row r="91" ht="25.5" customHeight="1">
      <c r="A91" s="46">
        <v>88.0</v>
      </c>
      <c r="B91" s="55">
        <v>1000451.0</v>
      </c>
      <c r="C91" s="48" t="str">
        <f>vlookup(B91,'Crew Data'!C:G,5,0)</f>
        <v>Chutima Yuksen</v>
      </c>
      <c r="D91" s="270" t="s">
        <v>1237</v>
      </c>
      <c r="E91" s="55">
        <v>16.0</v>
      </c>
      <c r="F91" s="50">
        <f t="shared" si="1"/>
        <v>6400</v>
      </c>
      <c r="G91" s="22">
        <f t="shared" si="2"/>
        <v>1</v>
      </c>
      <c r="H91" s="51" t="s">
        <v>20</v>
      </c>
    </row>
    <row r="92" ht="25.5" customHeight="1">
      <c r="A92" s="46">
        <v>89.0</v>
      </c>
      <c r="B92" s="55">
        <v>1002146.0</v>
      </c>
      <c r="C92" s="48" t="str">
        <f>vlookup(B92,'Crew Data'!C:G,5,0)</f>
        <v>Romrawee Choeikeewong</v>
      </c>
      <c r="D92" s="271">
        <v>43862.0</v>
      </c>
      <c r="E92" s="55">
        <v>1.0</v>
      </c>
      <c r="F92" s="50">
        <f t="shared" si="1"/>
        <v>400</v>
      </c>
      <c r="G92" s="22">
        <f t="shared" si="2"/>
        <v>1</v>
      </c>
      <c r="H92" s="51" t="s">
        <v>20</v>
      </c>
    </row>
    <row r="93" ht="25.5" customHeight="1">
      <c r="A93" s="46">
        <v>90.0</v>
      </c>
      <c r="B93" s="55">
        <v>1007159.0</v>
      </c>
      <c r="C93" s="48" t="str">
        <f>vlookup(B93,'Crew Data'!C:G,5,0)</f>
        <v>Piyawadee Sitdhilaw</v>
      </c>
      <c r="D93" s="270" t="s">
        <v>1196</v>
      </c>
      <c r="E93" s="55">
        <v>4.0</v>
      </c>
      <c r="F93" s="50">
        <f t="shared" si="1"/>
        <v>1600</v>
      </c>
      <c r="G93" s="22">
        <f t="shared" si="2"/>
        <v>1</v>
      </c>
      <c r="H93" s="51" t="s">
        <v>20</v>
      </c>
    </row>
    <row r="94" ht="25.5" customHeight="1">
      <c r="A94" s="54">
        <v>91.0</v>
      </c>
      <c r="B94" s="55">
        <v>1018532.0</v>
      </c>
      <c r="C94" s="48" t="str">
        <f>vlookup(B94,'Crew Data'!C:G,5,0)</f>
        <v>Kantachet Boonserm</v>
      </c>
      <c r="D94" s="270" t="s">
        <v>1238</v>
      </c>
      <c r="E94" s="55">
        <v>12.0</v>
      </c>
      <c r="F94" s="50">
        <f t="shared" si="1"/>
        <v>4800</v>
      </c>
      <c r="G94" s="22">
        <f t="shared" si="2"/>
        <v>1</v>
      </c>
      <c r="H94" s="51" t="s">
        <v>20</v>
      </c>
    </row>
    <row r="95" ht="25.5" customHeight="1">
      <c r="A95" s="46">
        <v>92.0</v>
      </c>
      <c r="B95" s="55">
        <v>1022779.0</v>
      </c>
      <c r="C95" s="48" t="str">
        <f>vlookup(B95,'Crew Data'!C:G,5,0)</f>
        <v>Thipwadee Ing-Anannat</v>
      </c>
      <c r="D95" s="270" t="s">
        <v>1239</v>
      </c>
      <c r="E95" s="55">
        <v>5.0</v>
      </c>
      <c r="F95" s="50">
        <f t="shared" si="1"/>
        <v>2000</v>
      </c>
      <c r="G95" s="22">
        <f t="shared" si="2"/>
        <v>1</v>
      </c>
      <c r="H95" s="51" t="s">
        <v>20</v>
      </c>
    </row>
    <row r="96" ht="25.5" customHeight="1">
      <c r="A96" s="54">
        <v>93.0</v>
      </c>
      <c r="B96" s="55">
        <v>1018790.0</v>
      </c>
      <c r="C96" s="48" t="str">
        <f>vlookup(B96,'Crew Data'!C:G,5,0)</f>
        <v>Julalak Tansakul</v>
      </c>
      <c r="D96" s="270" t="s">
        <v>1240</v>
      </c>
      <c r="E96" s="55">
        <v>27.0</v>
      </c>
      <c r="F96" s="50">
        <f t="shared" si="1"/>
        <v>10800</v>
      </c>
      <c r="G96" s="22">
        <f t="shared" si="2"/>
        <v>1</v>
      </c>
      <c r="H96" s="51" t="s">
        <v>20</v>
      </c>
    </row>
    <row r="97" ht="25.5" customHeight="1">
      <c r="A97" s="54">
        <v>94.0</v>
      </c>
      <c r="B97" s="55">
        <v>1000486.0</v>
      </c>
      <c r="C97" s="48" t="str">
        <f>vlookup(B97,'Crew Data'!C:G,5,0)</f>
        <v>Ratthinan Wasupornwiboon</v>
      </c>
      <c r="D97" s="270" t="s">
        <v>1241</v>
      </c>
      <c r="E97" s="55">
        <v>6.0</v>
      </c>
      <c r="F97" s="50">
        <f t="shared" si="1"/>
        <v>2400</v>
      </c>
      <c r="G97" s="22">
        <f t="shared" si="2"/>
        <v>1</v>
      </c>
      <c r="H97" s="51" t="s">
        <v>20</v>
      </c>
    </row>
    <row r="98" ht="25.5" customHeight="1">
      <c r="A98" s="46">
        <v>95.0</v>
      </c>
      <c r="B98" s="55">
        <v>1013174.0</v>
      </c>
      <c r="C98" s="48" t="str">
        <f>vlookup(B98,'Crew Data'!C:G,5,0)</f>
        <v>Kanthida Srisupawadee</v>
      </c>
      <c r="D98" s="270" t="s">
        <v>1242</v>
      </c>
      <c r="E98" s="55">
        <v>6.0</v>
      </c>
      <c r="F98" s="50">
        <f t="shared" si="1"/>
        <v>2400</v>
      </c>
      <c r="G98" s="22">
        <f t="shared" si="2"/>
        <v>1</v>
      </c>
      <c r="H98" s="51" t="s">
        <v>20</v>
      </c>
    </row>
    <row r="99" ht="25.5" customHeight="1">
      <c r="A99" s="46">
        <v>96.0</v>
      </c>
      <c r="B99" s="55">
        <v>1007001.0</v>
      </c>
      <c r="C99" s="48" t="str">
        <f>vlookup(B99,'Crew Data'!C:G,5,0)</f>
        <v>Phakrapee Fuengprang</v>
      </c>
      <c r="D99" s="270" t="s">
        <v>1243</v>
      </c>
      <c r="E99" s="55">
        <v>4.0</v>
      </c>
      <c r="F99" s="50">
        <f t="shared" si="1"/>
        <v>1600</v>
      </c>
      <c r="G99" s="22">
        <f t="shared" si="2"/>
        <v>1</v>
      </c>
      <c r="H99" s="51" t="s">
        <v>20</v>
      </c>
    </row>
    <row r="100" ht="25.5" customHeight="1">
      <c r="A100" s="46">
        <v>97.0</v>
      </c>
      <c r="B100" s="55">
        <v>1001822.0</v>
      </c>
      <c r="C100" s="48" t="str">
        <f>vlookup(B100,'Crew Data'!C:G,5,0)</f>
        <v>Wilasinee Natenopparat</v>
      </c>
      <c r="D100" s="270" t="s">
        <v>1238</v>
      </c>
      <c r="E100" s="55">
        <v>12.0</v>
      </c>
      <c r="F100" s="50">
        <f t="shared" si="1"/>
        <v>4800</v>
      </c>
      <c r="G100" s="22">
        <f t="shared" si="2"/>
        <v>1</v>
      </c>
      <c r="H100" s="51" t="s">
        <v>20</v>
      </c>
    </row>
    <row r="101" ht="25.5" customHeight="1">
      <c r="A101" s="46">
        <v>98.0</v>
      </c>
      <c r="B101" s="55">
        <v>1012158.0</v>
      </c>
      <c r="C101" s="48" t="str">
        <f>vlookup(B101,'Crew Data'!C:G,5,0)</f>
        <v>Itthipong Khanthonglor</v>
      </c>
      <c r="D101" s="270" t="s">
        <v>1244</v>
      </c>
      <c r="E101" s="55">
        <v>2.0</v>
      </c>
      <c r="F101" s="50">
        <f t="shared" si="1"/>
        <v>800</v>
      </c>
      <c r="G101" s="22">
        <f t="shared" si="2"/>
        <v>1</v>
      </c>
      <c r="H101" s="51" t="s">
        <v>20</v>
      </c>
    </row>
    <row r="102" ht="25.5" customHeight="1">
      <c r="A102" s="54">
        <v>99.0</v>
      </c>
      <c r="B102" s="55">
        <v>1011322.0</v>
      </c>
      <c r="C102" s="48" t="str">
        <f>vlookup(B102,'Crew Data'!C:G,5,0)</f>
        <v>Thanaporn Thong-In</v>
      </c>
      <c r="D102" s="270" t="s">
        <v>1233</v>
      </c>
      <c r="E102" s="55">
        <v>2.0</v>
      </c>
      <c r="F102" s="50">
        <f t="shared" si="1"/>
        <v>800</v>
      </c>
      <c r="G102" s="22">
        <f t="shared" si="2"/>
        <v>1</v>
      </c>
      <c r="H102" s="51" t="s">
        <v>20</v>
      </c>
    </row>
    <row r="103" ht="25.5" customHeight="1">
      <c r="A103" s="46">
        <v>100.0</v>
      </c>
      <c r="B103" s="55">
        <v>1007273.0</v>
      </c>
      <c r="C103" s="48" t="str">
        <f>vlookup(B103,'Crew Data'!C:G,5,0)</f>
        <v>Sarinya Phontong</v>
      </c>
      <c r="D103" s="270" t="s">
        <v>1245</v>
      </c>
      <c r="E103" s="55">
        <v>28.0</v>
      </c>
      <c r="F103" s="50">
        <f t="shared" si="1"/>
        <v>11200</v>
      </c>
      <c r="G103" s="22">
        <f t="shared" si="2"/>
        <v>1</v>
      </c>
      <c r="H103" s="51" t="s">
        <v>20</v>
      </c>
    </row>
    <row r="104" ht="25.5" customHeight="1">
      <c r="A104" s="54">
        <v>101.0</v>
      </c>
      <c r="B104" s="55">
        <v>1007425.0</v>
      </c>
      <c r="C104" s="48" t="str">
        <f>vlookup(B104,'Crew Data'!C:G,5,0)</f>
        <v>#N/A</v>
      </c>
      <c r="D104" s="270" t="s">
        <v>1246</v>
      </c>
      <c r="E104" s="55">
        <v>4.0</v>
      </c>
      <c r="F104" s="50">
        <f t="shared" si="1"/>
        <v>1600</v>
      </c>
      <c r="G104" s="22">
        <f t="shared" si="2"/>
        <v>1</v>
      </c>
      <c r="H104" s="51" t="s">
        <v>20</v>
      </c>
    </row>
    <row r="105" ht="25.5" customHeight="1">
      <c r="A105" s="54">
        <v>102.0</v>
      </c>
      <c r="B105" s="55">
        <v>1003386.0</v>
      </c>
      <c r="C105" s="48" t="str">
        <f>vlookup(B105,'Crew Data'!C:G,5,0)</f>
        <v>#N/A</v>
      </c>
      <c r="D105" s="270" t="s">
        <v>1247</v>
      </c>
      <c r="E105" s="55">
        <v>10.0</v>
      </c>
      <c r="F105" s="50">
        <f t="shared" si="1"/>
        <v>4000</v>
      </c>
      <c r="G105" s="22">
        <f t="shared" si="2"/>
        <v>1</v>
      </c>
      <c r="H105" s="51" t="s">
        <v>20</v>
      </c>
    </row>
    <row r="106" ht="25.5" customHeight="1">
      <c r="A106" s="46">
        <v>103.0</v>
      </c>
      <c r="B106" s="55">
        <v>1023565.0</v>
      </c>
      <c r="C106" s="48" t="str">
        <f>vlookup(B106,'Crew Data'!C:G,5,0)</f>
        <v>Somchoke Direksathaphorn</v>
      </c>
      <c r="D106" s="270" t="s">
        <v>1201</v>
      </c>
      <c r="E106" s="55">
        <v>2.0</v>
      </c>
      <c r="F106" s="50">
        <f t="shared" si="1"/>
        <v>800</v>
      </c>
      <c r="G106" s="22">
        <f t="shared" si="2"/>
        <v>1</v>
      </c>
      <c r="H106" s="51" t="s">
        <v>20</v>
      </c>
    </row>
    <row r="107" ht="25.5" customHeight="1">
      <c r="A107" s="46">
        <v>104.0</v>
      </c>
      <c r="B107" s="55">
        <v>1013189.0</v>
      </c>
      <c r="C107" s="48" t="str">
        <f>vlookup(B107,'Crew Data'!C:G,5,0)</f>
        <v>Supakrit Khongvittaya</v>
      </c>
      <c r="D107" s="270" t="s">
        <v>1248</v>
      </c>
      <c r="E107" s="55">
        <v>4.0</v>
      </c>
      <c r="F107" s="50">
        <f t="shared" si="1"/>
        <v>1600</v>
      </c>
      <c r="G107" s="22">
        <f t="shared" si="2"/>
        <v>1</v>
      </c>
      <c r="H107" s="51" t="s">
        <v>20</v>
      </c>
    </row>
    <row r="108" ht="25.5" customHeight="1">
      <c r="A108" s="46">
        <v>105.0</v>
      </c>
      <c r="B108" s="55">
        <v>1003942.0</v>
      </c>
      <c r="C108" s="48" t="str">
        <f>vlookup(B108,'Crew Data'!C:G,5,0)</f>
        <v>Wilawan Auttamaphan</v>
      </c>
      <c r="D108" s="270" t="s">
        <v>1211</v>
      </c>
      <c r="E108" s="55">
        <v>2.0</v>
      </c>
      <c r="F108" s="50">
        <f t="shared" si="1"/>
        <v>800</v>
      </c>
      <c r="G108" s="22">
        <f t="shared" si="2"/>
        <v>1</v>
      </c>
      <c r="H108" s="51" t="s">
        <v>20</v>
      </c>
    </row>
    <row r="109" ht="25.5" customHeight="1">
      <c r="A109" s="46">
        <v>106.0</v>
      </c>
      <c r="B109" s="55">
        <v>1015412.0</v>
      </c>
      <c r="C109" s="48" t="str">
        <f>vlookup(B109,'Crew Data'!C:G,5,0)</f>
        <v>Sitthiphath Ratanaborvornsethi</v>
      </c>
      <c r="D109" s="270" t="s">
        <v>1228</v>
      </c>
      <c r="E109" s="55">
        <v>3.0</v>
      </c>
      <c r="F109" s="50">
        <f t="shared" si="1"/>
        <v>1200</v>
      </c>
      <c r="G109" s="22">
        <f t="shared" si="2"/>
        <v>1</v>
      </c>
      <c r="H109" s="51" t="s">
        <v>20</v>
      </c>
    </row>
    <row r="110" ht="25.5" customHeight="1">
      <c r="A110" s="54">
        <v>107.0</v>
      </c>
      <c r="B110" s="55">
        <v>1005945.0</v>
      </c>
      <c r="C110" s="48" t="str">
        <f>vlookup(B110,'Crew Data'!C:G,5,0)</f>
        <v>Laphatrada Saisuk</v>
      </c>
      <c r="D110" s="270" t="s">
        <v>1222</v>
      </c>
      <c r="E110" s="55">
        <v>2.0</v>
      </c>
      <c r="F110" s="50">
        <f t="shared" si="1"/>
        <v>800</v>
      </c>
      <c r="G110" s="22">
        <f t="shared" si="2"/>
        <v>1</v>
      </c>
      <c r="H110" s="51" t="s">
        <v>20</v>
      </c>
    </row>
    <row r="111" ht="25.5" customHeight="1">
      <c r="A111" s="46">
        <v>108.0</v>
      </c>
      <c r="B111" s="55">
        <v>1012366.0</v>
      </c>
      <c r="C111" s="48" t="str">
        <f>vlookup(B111,'Crew Data'!C:G,5,0)</f>
        <v>Ronnachai Wannarat</v>
      </c>
      <c r="D111" s="270" t="s">
        <v>1246</v>
      </c>
      <c r="E111" s="55">
        <v>4.0</v>
      </c>
      <c r="F111" s="50">
        <f t="shared" si="1"/>
        <v>1600</v>
      </c>
      <c r="G111" s="22">
        <f t="shared" si="2"/>
        <v>1</v>
      </c>
      <c r="H111" s="51" t="s">
        <v>20</v>
      </c>
    </row>
    <row r="112" ht="25.5" customHeight="1">
      <c r="A112" s="54">
        <v>109.0</v>
      </c>
      <c r="B112" s="55">
        <v>1007422.0</v>
      </c>
      <c r="C112" s="48" t="str">
        <f>vlookup(B112,'Crew Data'!C:G,5,0)</f>
        <v>#N/A</v>
      </c>
      <c r="D112" s="270" t="s">
        <v>1249</v>
      </c>
      <c r="E112" s="55">
        <v>6.0</v>
      </c>
      <c r="F112" s="50">
        <f t="shared" si="1"/>
        <v>2400</v>
      </c>
      <c r="G112" s="22">
        <f t="shared" si="2"/>
        <v>1</v>
      </c>
      <c r="H112" s="51" t="s">
        <v>20</v>
      </c>
    </row>
    <row r="113" ht="25.5" customHeight="1">
      <c r="A113" s="54">
        <v>110.0</v>
      </c>
      <c r="B113" s="55">
        <v>1000732.0</v>
      </c>
      <c r="C113" s="48" t="str">
        <f>vlookup(B113,'Crew Data'!C:G,5,0)</f>
        <v>Inthra Mathiang</v>
      </c>
      <c r="D113" s="270" t="s">
        <v>1250</v>
      </c>
      <c r="E113" s="55">
        <v>14.0</v>
      </c>
      <c r="F113" s="50">
        <f t="shared" si="1"/>
        <v>5600</v>
      </c>
      <c r="G113" s="22">
        <f t="shared" si="2"/>
        <v>1</v>
      </c>
      <c r="H113" s="51" t="s">
        <v>20</v>
      </c>
    </row>
    <row r="114" ht="25.5" customHeight="1">
      <c r="A114" s="46">
        <v>111.0</v>
      </c>
      <c r="B114" s="55">
        <v>1009768.0</v>
      </c>
      <c r="C114" s="48" t="str">
        <f>vlookup(B114,'Crew Data'!C:G,5,0)</f>
        <v>Thidech Eakmongkollert</v>
      </c>
      <c r="D114" s="270" t="s">
        <v>1251</v>
      </c>
      <c r="E114" s="55">
        <v>29.0</v>
      </c>
      <c r="F114" s="50">
        <f t="shared" si="1"/>
        <v>11600</v>
      </c>
      <c r="G114" s="22">
        <f t="shared" si="2"/>
        <v>1</v>
      </c>
      <c r="H114" s="51" t="s">
        <v>20</v>
      </c>
    </row>
    <row r="115" ht="25.5" customHeight="1">
      <c r="A115" s="46">
        <v>112.0</v>
      </c>
      <c r="B115" s="55">
        <v>1017919.0</v>
      </c>
      <c r="C115" s="48" t="str">
        <f>vlookup(B115,'Crew Data'!C:G,5,0)</f>
        <v>Asanlaya Choomit</v>
      </c>
      <c r="D115" s="270" t="s">
        <v>1252</v>
      </c>
      <c r="E115" s="55">
        <v>27.0</v>
      </c>
      <c r="F115" s="50">
        <f t="shared" si="1"/>
        <v>10800</v>
      </c>
      <c r="G115" s="22">
        <f t="shared" si="2"/>
        <v>1</v>
      </c>
      <c r="H115" s="51" t="s">
        <v>20</v>
      </c>
    </row>
    <row r="116" ht="25.5" customHeight="1">
      <c r="A116" s="46">
        <v>113.0</v>
      </c>
      <c r="B116" s="55">
        <v>1011504.0</v>
      </c>
      <c r="C116" s="48" t="str">
        <f>vlookup(B116,'Crew Data'!C:G,5,0)</f>
        <v>Punyanuch Skulnukulkit</v>
      </c>
      <c r="D116" s="270" t="s">
        <v>1175</v>
      </c>
      <c r="E116" s="55">
        <v>2.0</v>
      </c>
      <c r="F116" s="50">
        <f t="shared" si="1"/>
        <v>800</v>
      </c>
      <c r="G116" s="22">
        <f t="shared" si="2"/>
        <v>1</v>
      </c>
      <c r="H116" s="51" t="s">
        <v>20</v>
      </c>
    </row>
    <row r="117" ht="25.5" customHeight="1">
      <c r="A117" s="46">
        <v>114.0</v>
      </c>
      <c r="B117" s="55">
        <v>1005326.0</v>
      </c>
      <c r="C117" s="48" t="str">
        <f>vlookup(B117,'Crew Data'!C:G,5,0)</f>
        <v>Pakornpoj Lertsmitivant</v>
      </c>
      <c r="D117" s="270" t="s">
        <v>1253</v>
      </c>
      <c r="E117" s="55">
        <v>6.0</v>
      </c>
      <c r="F117" s="50">
        <f t="shared" si="1"/>
        <v>2400</v>
      </c>
      <c r="G117" s="22">
        <f t="shared" si="2"/>
        <v>1</v>
      </c>
      <c r="H117" s="51" t="s">
        <v>20</v>
      </c>
    </row>
    <row r="118" ht="25.5" customHeight="1">
      <c r="A118" s="54">
        <v>115.0</v>
      </c>
      <c r="B118" s="55">
        <v>1012182.0</v>
      </c>
      <c r="C118" s="48" t="str">
        <f>vlookup(B118,'Crew Data'!C:G,5,0)</f>
        <v>Soikamol Phonakhon</v>
      </c>
      <c r="D118" s="270" t="s">
        <v>1254</v>
      </c>
      <c r="E118" s="55">
        <v>4.0</v>
      </c>
      <c r="F118" s="50">
        <f t="shared" si="1"/>
        <v>1600</v>
      </c>
      <c r="G118" s="22">
        <f t="shared" si="2"/>
        <v>1</v>
      </c>
      <c r="H118" s="51" t="s">
        <v>20</v>
      </c>
    </row>
    <row r="119" ht="25.5" customHeight="1">
      <c r="A119" s="46">
        <v>116.0</v>
      </c>
      <c r="B119" s="55">
        <v>1004317.0</v>
      </c>
      <c r="C119" s="48" t="str">
        <f>vlookup(B119,'Crew Data'!C:G,5,0)</f>
        <v>Narit Aimwat</v>
      </c>
      <c r="D119" s="270" t="s">
        <v>1255</v>
      </c>
      <c r="E119" s="55">
        <v>6.0</v>
      </c>
      <c r="F119" s="50">
        <f t="shared" si="1"/>
        <v>2400</v>
      </c>
      <c r="G119" s="22">
        <f t="shared" si="2"/>
        <v>1</v>
      </c>
      <c r="H119" s="51" t="s">
        <v>20</v>
      </c>
    </row>
    <row r="120" ht="25.5" customHeight="1">
      <c r="A120" s="54">
        <v>117.0</v>
      </c>
      <c r="B120" s="55">
        <v>1005354.0</v>
      </c>
      <c r="C120" s="48" t="str">
        <f>vlookup(B120,'Crew Data'!C:G,5,0)</f>
        <v>#N/A</v>
      </c>
      <c r="D120" s="270" t="s">
        <v>1177</v>
      </c>
      <c r="E120" s="55">
        <v>3.0</v>
      </c>
      <c r="F120" s="50">
        <f t="shared" si="1"/>
        <v>1200</v>
      </c>
      <c r="G120" s="22">
        <f t="shared" si="2"/>
        <v>1</v>
      </c>
      <c r="H120" s="51" t="s">
        <v>20</v>
      </c>
    </row>
    <row r="121" ht="25.5" customHeight="1">
      <c r="A121" s="54">
        <v>118.0</v>
      </c>
      <c r="B121" s="55">
        <v>1005824.0</v>
      </c>
      <c r="C121" s="48" t="str">
        <f>vlookup(B121,'Crew Data'!C:G,5,0)</f>
        <v>Panchita Swangarom</v>
      </c>
      <c r="D121" s="270" t="s">
        <v>1256</v>
      </c>
      <c r="E121" s="55">
        <v>3.0</v>
      </c>
      <c r="F121" s="50">
        <f t="shared" si="1"/>
        <v>1200</v>
      </c>
      <c r="G121" s="22">
        <f t="shared" si="2"/>
        <v>1</v>
      </c>
      <c r="H121" s="51" t="s">
        <v>20</v>
      </c>
    </row>
    <row r="122" ht="25.5" customHeight="1">
      <c r="A122" s="46">
        <v>119.0</v>
      </c>
      <c r="B122" s="55">
        <v>1001837.0</v>
      </c>
      <c r="C122" s="48" t="str">
        <f>vlookup(B122,'Crew Data'!C:G,5,0)</f>
        <v>Taralan Jareemuk</v>
      </c>
      <c r="D122" s="270" t="s">
        <v>1257</v>
      </c>
      <c r="E122" s="55">
        <v>28.0</v>
      </c>
      <c r="F122" s="50">
        <f t="shared" si="1"/>
        <v>11200</v>
      </c>
      <c r="G122" s="22">
        <f t="shared" si="2"/>
        <v>1</v>
      </c>
      <c r="H122" s="51" t="s">
        <v>20</v>
      </c>
    </row>
    <row r="123" ht="25.5" customHeight="1">
      <c r="A123" s="46">
        <v>120.0</v>
      </c>
      <c r="B123" s="55">
        <v>1015414.0</v>
      </c>
      <c r="C123" s="48" t="str">
        <f>vlookup(B123,'Crew Data'!C:G,5,0)</f>
        <v>TARADOL POOMSAWANG</v>
      </c>
      <c r="D123" s="270" t="s">
        <v>1258</v>
      </c>
      <c r="E123" s="55">
        <v>2.0</v>
      </c>
      <c r="F123" s="50">
        <f t="shared" si="1"/>
        <v>800</v>
      </c>
      <c r="G123" s="22">
        <f t="shared" si="2"/>
        <v>1</v>
      </c>
      <c r="H123" s="51" t="s">
        <v>20</v>
      </c>
    </row>
    <row r="124" ht="25.5" customHeight="1">
      <c r="A124" s="46">
        <v>121.0</v>
      </c>
      <c r="B124" s="55">
        <v>1010919.0</v>
      </c>
      <c r="C124" s="48" t="str">
        <f>vlookup(B124,'Crew Data'!C:G,5,0)</f>
        <v>Suntorn Srimasongserm</v>
      </c>
      <c r="D124" s="271">
        <v>43890.0</v>
      </c>
      <c r="E124" s="55">
        <v>1.0</v>
      </c>
      <c r="F124" s="50">
        <f t="shared" si="1"/>
        <v>400</v>
      </c>
      <c r="G124" s="22">
        <f t="shared" si="2"/>
        <v>1</v>
      </c>
      <c r="H124" s="51" t="s">
        <v>20</v>
      </c>
    </row>
    <row r="125" ht="25.5" customHeight="1">
      <c r="A125" s="46">
        <v>122.0</v>
      </c>
      <c r="B125" s="55">
        <v>1018968.0</v>
      </c>
      <c r="C125" s="48" t="str">
        <f>vlookup(B125,'Crew Data'!C:G,5,0)</f>
        <v>#N/A</v>
      </c>
      <c r="D125" s="270" t="s">
        <v>1251</v>
      </c>
      <c r="E125" s="55">
        <v>29.0</v>
      </c>
      <c r="F125" s="50">
        <f t="shared" si="1"/>
        <v>11600</v>
      </c>
      <c r="G125" s="22">
        <f t="shared" si="2"/>
        <v>1</v>
      </c>
      <c r="H125" s="51" t="s">
        <v>20</v>
      </c>
    </row>
    <row r="126" ht="25.5" customHeight="1">
      <c r="A126" s="54">
        <v>123.0</v>
      </c>
      <c r="B126" s="55">
        <v>1019214.0</v>
      </c>
      <c r="C126" s="48" t="str">
        <f>vlookup(B126,'Crew Data'!C:G,5,0)</f>
        <v>#N/A</v>
      </c>
      <c r="D126" s="271">
        <v>43890.0</v>
      </c>
      <c r="E126" s="55">
        <v>1.0</v>
      </c>
      <c r="F126" s="50">
        <f t="shared" si="1"/>
        <v>400</v>
      </c>
      <c r="G126" s="22">
        <f t="shared" si="2"/>
        <v>1</v>
      </c>
      <c r="H126" s="51" t="s">
        <v>20</v>
      </c>
    </row>
    <row r="127" ht="25.5" customHeight="1">
      <c r="A127" s="46">
        <v>124.0</v>
      </c>
      <c r="B127" s="55">
        <v>1022666.0</v>
      </c>
      <c r="C127" s="48" t="str">
        <f>vlookup(B127,'Crew Data'!C:G,5,0)</f>
        <v>Suchanart Thongsongsom</v>
      </c>
      <c r="D127" s="270" t="s">
        <v>1259</v>
      </c>
      <c r="E127" s="55">
        <v>2.0</v>
      </c>
      <c r="F127" s="50">
        <f t="shared" si="1"/>
        <v>800</v>
      </c>
      <c r="G127" s="22">
        <f t="shared" si="2"/>
        <v>1</v>
      </c>
      <c r="H127" s="51" t="s">
        <v>20</v>
      </c>
    </row>
    <row r="128" ht="25.5" customHeight="1">
      <c r="A128" s="54">
        <v>125.0</v>
      </c>
      <c r="B128" s="55">
        <v>1006854.0</v>
      </c>
      <c r="C128" s="48" t="str">
        <f>vlookup(B128,'Crew Data'!C:G,5,0)</f>
        <v>Thanachai Wilai-ngam</v>
      </c>
      <c r="D128" s="270" t="s">
        <v>1260</v>
      </c>
      <c r="E128" s="55">
        <v>8.0</v>
      </c>
      <c r="F128" s="50">
        <f t="shared" si="1"/>
        <v>3200</v>
      </c>
      <c r="G128" s="22">
        <f t="shared" si="2"/>
        <v>1</v>
      </c>
      <c r="H128" s="51" t="s">
        <v>20</v>
      </c>
    </row>
    <row r="129" ht="25.5" customHeight="1">
      <c r="A129" s="54">
        <v>126.0</v>
      </c>
      <c r="B129" s="55">
        <v>1011823.0</v>
      </c>
      <c r="C129" s="48" t="str">
        <f>vlookup(B129,'Crew Data'!C:G,5,0)</f>
        <v>#N/A</v>
      </c>
      <c r="D129" s="270" t="s">
        <v>1261</v>
      </c>
      <c r="E129" s="55">
        <v>8.0</v>
      </c>
      <c r="F129" s="50">
        <f t="shared" si="1"/>
        <v>3200</v>
      </c>
      <c r="G129" s="22">
        <f t="shared" si="2"/>
        <v>1</v>
      </c>
      <c r="H129" s="51" t="s">
        <v>20</v>
      </c>
    </row>
    <row r="130" ht="25.5" customHeight="1">
      <c r="A130" s="46">
        <v>127.0</v>
      </c>
      <c r="B130" s="55">
        <v>1003172.0</v>
      </c>
      <c r="C130" s="48" t="str">
        <f>vlookup(B130,'Crew Data'!C:G,5,0)</f>
        <v>Natthanit Kaewchoochuen</v>
      </c>
      <c r="D130" s="270" t="s">
        <v>1262</v>
      </c>
      <c r="E130" s="55">
        <v>15.0</v>
      </c>
      <c r="F130" s="50">
        <f t="shared" si="1"/>
        <v>6000</v>
      </c>
      <c r="G130" s="22">
        <f t="shared" si="2"/>
        <v>1</v>
      </c>
      <c r="H130" s="51" t="s">
        <v>20</v>
      </c>
    </row>
    <row r="131" ht="25.5" customHeight="1">
      <c r="A131" s="272"/>
      <c r="B131" s="273"/>
      <c r="C131" s="272"/>
      <c r="D131" s="274"/>
      <c r="E131" s="275"/>
    </row>
    <row r="132" ht="25.5" customHeight="1">
      <c r="A132" s="265" t="s">
        <v>1183</v>
      </c>
      <c r="B132" s="252"/>
      <c r="C132" s="253"/>
      <c r="D132" s="274"/>
      <c r="E132" s="275"/>
    </row>
    <row r="133" ht="25.5" customHeight="1">
      <c r="A133" s="254" t="s">
        <v>1153</v>
      </c>
      <c r="B133" s="255" t="s">
        <v>1154</v>
      </c>
      <c r="C133" s="256" t="s">
        <v>1155</v>
      </c>
      <c r="D133" s="274"/>
      <c r="E133" s="275"/>
    </row>
    <row r="134" ht="25.5" customHeight="1">
      <c r="A134" s="257" t="s">
        <v>1156</v>
      </c>
      <c r="B134" s="258" t="s">
        <v>1157</v>
      </c>
      <c r="C134" s="259" t="s">
        <v>1158</v>
      </c>
      <c r="D134" s="274"/>
      <c r="E134" s="275"/>
    </row>
    <row r="135" ht="25.5" customHeight="1">
      <c r="A135" s="257" t="s">
        <v>1159</v>
      </c>
      <c r="B135" s="258" t="s">
        <v>1157</v>
      </c>
      <c r="C135" s="259" t="s">
        <v>1158</v>
      </c>
      <c r="D135" s="274"/>
      <c r="E135" s="275"/>
    </row>
    <row r="136" ht="25.5" customHeight="1">
      <c r="A136" s="257" t="s">
        <v>1160</v>
      </c>
      <c r="B136" s="260" t="s">
        <v>1157</v>
      </c>
      <c r="C136" s="259" t="s">
        <v>1158</v>
      </c>
      <c r="D136" s="274"/>
      <c r="E136" s="275"/>
    </row>
    <row r="137" ht="25.5" customHeight="1">
      <c r="A137" s="31"/>
      <c r="B137" s="31"/>
      <c r="C137" s="31"/>
      <c r="D137" s="274"/>
      <c r="E137" s="275"/>
    </row>
    <row r="138" ht="25.5" customHeight="1">
      <c r="A138" s="261" t="s">
        <v>1263</v>
      </c>
      <c r="B138" s="262"/>
      <c r="C138" s="31"/>
      <c r="D138" s="274"/>
      <c r="E138" s="275"/>
    </row>
    <row r="139" ht="25.5" customHeight="1">
      <c r="A139" s="272"/>
      <c r="B139" s="273"/>
      <c r="C139" s="272"/>
      <c r="D139" s="274"/>
      <c r="E139" s="275"/>
    </row>
  </sheetData>
  <mergeCells count="7">
    <mergeCell ref="A1:F1"/>
    <mergeCell ref="A2:A3"/>
    <mergeCell ref="B2:B3"/>
    <mergeCell ref="C2:C3"/>
    <mergeCell ref="D2:D3"/>
    <mergeCell ref="E2:F2"/>
    <mergeCell ref="A132:C132"/>
  </mergeCells>
  <dataValidations>
    <dataValidation type="list" allowBlank="1" sqref="H4:H130">
      <formula1>"CHECKED (OK),CHECKED  (NOT OK)"</formula1>
    </dataValidation>
  </dataValidations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3" max="3" width="26.75"/>
    <col customWidth="1" min="4" max="4" width="51.13"/>
    <col customWidth="1" min="7" max="7" width="3.5"/>
    <col customWidth="1" min="8" max="8" width="18.63"/>
    <col customWidth="1" min="9" max="9" width="21.63"/>
  </cols>
  <sheetData>
    <row r="1" ht="39.0" customHeight="1">
      <c r="A1" s="30" t="s">
        <v>1264</v>
      </c>
      <c r="G1" s="31"/>
      <c r="H1" s="32" t="s">
        <v>1265</v>
      </c>
      <c r="I1" s="33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ht="29.25" customHeight="1">
      <c r="A2" s="34" t="s">
        <v>1</v>
      </c>
      <c r="B2" s="35" t="s">
        <v>11</v>
      </c>
      <c r="C2" s="35" t="s">
        <v>12</v>
      </c>
      <c r="D2" s="266" t="s">
        <v>13</v>
      </c>
      <c r="E2" s="37" t="s">
        <v>14</v>
      </c>
      <c r="F2" s="38"/>
      <c r="G2" s="39"/>
      <c r="H2" s="40"/>
      <c r="I2" s="40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ht="33.0" customHeight="1">
      <c r="A3" s="41"/>
      <c r="B3" s="38"/>
      <c r="C3" s="38"/>
      <c r="D3" s="38"/>
      <c r="E3" s="42" t="s">
        <v>15</v>
      </c>
      <c r="F3" s="43" t="s">
        <v>5</v>
      </c>
      <c r="G3" s="39"/>
      <c r="H3" s="44" t="s">
        <v>6</v>
      </c>
      <c r="I3" s="45" t="s">
        <v>7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25.5" customHeight="1">
      <c r="A4" s="46">
        <v>1.0</v>
      </c>
      <c r="B4" s="47">
        <v>1011323.0</v>
      </c>
      <c r="C4" s="48" t="str">
        <f>vlookup(B4,'Crew Data'!C:G,5,0)</f>
        <v>Yommana Arunrat</v>
      </c>
      <c r="D4" s="268">
        <v>43830.0</v>
      </c>
      <c r="E4" s="47">
        <v>1.0</v>
      </c>
      <c r="F4" s="50">
        <f t="shared" ref="F4:F160" si="1">E4*400</f>
        <v>400</v>
      </c>
      <c r="G4" s="22">
        <f t="shared" ref="G4:G160" si="2">COUNTIF(B:B,B4)</f>
        <v>1</v>
      </c>
      <c r="H4" s="51" t="s">
        <v>20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ht="25.5" customHeight="1">
      <c r="A5" s="54">
        <v>2.0</v>
      </c>
      <c r="B5" s="47">
        <v>1001582.0</v>
      </c>
      <c r="C5" s="48" t="str">
        <f>vlookup(B5,'Crew Data'!C:G,5,0)</f>
        <v>Waleerat khumsap</v>
      </c>
      <c r="D5" s="267" t="s">
        <v>1266</v>
      </c>
      <c r="E5" s="47">
        <v>2.0</v>
      </c>
      <c r="F5" s="50">
        <f t="shared" si="1"/>
        <v>800</v>
      </c>
      <c r="G5" s="22">
        <f t="shared" si="2"/>
        <v>1</v>
      </c>
      <c r="H5" s="51" t="s">
        <v>20</v>
      </c>
    </row>
    <row r="6" ht="25.5" customHeight="1">
      <c r="A6" s="46">
        <v>3.0</v>
      </c>
      <c r="B6" s="47">
        <v>1005956.0</v>
      </c>
      <c r="C6" s="48" t="str">
        <f>vlookup(B6,'Crew Data'!C:G,5,0)</f>
        <v>Pipat Penpaiboon</v>
      </c>
      <c r="D6" s="267" t="s">
        <v>1266</v>
      </c>
      <c r="E6" s="47">
        <v>2.0</v>
      </c>
      <c r="F6" s="50">
        <f t="shared" si="1"/>
        <v>800</v>
      </c>
      <c r="G6" s="22">
        <f t="shared" si="2"/>
        <v>1</v>
      </c>
      <c r="H6" s="51" t="s">
        <v>20</v>
      </c>
    </row>
    <row r="7" ht="25.5" customHeight="1">
      <c r="A7" s="54">
        <v>4.0</v>
      </c>
      <c r="B7" s="47">
        <v>1007424.0</v>
      </c>
      <c r="C7" s="48" t="str">
        <f>vlookup(B7,'Crew Data'!C:G,5,0)</f>
        <v>#N/A</v>
      </c>
      <c r="D7" s="267" t="s">
        <v>1267</v>
      </c>
      <c r="E7" s="47">
        <v>4.0</v>
      </c>
      <c r="F7" s="50">
        <f t="shared" si="1"/>
        <v>1600</v>
      </c>
      <c r="G7" s="22">
        <f t="shared" si="2"/>
        <v>1</v>
      </c>
      <c r="H7" s="51" t="s">
        <v>20</v>
      </c>
    </row>
    <row r="8" ht="25.5" customHeight="1">
      <c r="A8" s="46">
        <v>5.0</v>
      </c>
      <c r="B8" s="47">
        <v>1019397.0</v>
      </c>
      <c r="C8" s="48" t="str">
        <f>vlookup(B8,'Crew Data'!C:G,5,0)</f>
        <v>Jutaporn Gongkam</v>
      </c>
      <c r="D8" s="267" t="s">
        <v>1268</v>
      </c>
      <c r="E8" s="47">
        <v>2.0</v>
      </c>
      <c r="F8" s="50">
        <f t="shared" si="1"/>
        <v>800</v>
      </c>
      <c r="G8" s="22">
        <f t="shared" si="2"/>
        <v>1</v>
      </c>
      <c r="H8" s="51" t="s">
        <v>20</v>
      </c>
    </row>
    <row r="9" ht="25.5" customHeight="1">
      <c r="A9" s="54">
        <v>6.0</v>
      </c>
      <c r="B9" s="47">
        <v>1004757.0</v>
      </c>
      <c r="C9" s="48" t="str">
        <f>vlookup(B9,'Crew Data'!C:G,5,0)</f>
        <v>Pimwaree Makmee</v>
      </c>
      <c r="D9" s="267" t="s">
        <v>1269</v>
      </c>
      <c r="E9" s="47">
        <v>4.0</v>
      </c>
      <c r="F9" s="50">
        <f t="shared" si="1"/>
        <v>1600</v>
      </c>
      <c r="G9" s="22">
        <f t="shared" si="2"/>
        <v>1</v>
      </c>
      <c r="H9" s="51" t="s">
        <v>20</v>
      </c>
    </row>
    <row r="10" ht="25.5" customHeight="1">
      <c r="A10" s="46">
        <v>7.0</v>
      </c>
      <c r="B10" s="47">
        <v>1015413.0</v>
      </c>
      <c r="C10" s="48" t="str">
        <f>vlookup(B10,'Crew Data'!C:G,5,0)</f>
        <v>#N/A</v>
      </c>
      <c r="D10" s="267" t="s">
        <v>1269</v>
      </c>
      <c r="E10" s="47">
        <v>4.0</v>
      </c>
      <c r="F10" s="50">
        <f t="shared" si="1"/>
        <v>1600</v>
      </c>
      <c r="G10" s="22">
        <f t="shared" si="2"/>
        <v>1</v>
      </c>
      <c r="H10" s="51" t="s">
        <v>20</v>
      </c>
    </row>
    <row r="11" ht="25.5" customHeight="1">
      <c r="A11" s="54">
        <v>8.0</v>
      </c>
      <c r="B11" s="47">
        <v>1003393.0</v>
      </c>
      <c r="C11" s="48" t="str">
        <f>vlookup(B11,'Crew Data'!C:G,5,0)</f>
        <v>Rhodavalentine Tipayasoceniza</v>
      </c>
      <c r="D11" s="267" t="s">
        <v>1269</v>
      </c>
      <c r="E11" s="47">
        <v>4.0</v>
      </c>
      <c r="F11" s="50">
        <f t="shared" si="1"/>
        <v>1600</v>
      </c>
      <c r="G11" s="22">
        <f t="shared" si="2"/>
        <v>1</v>
      </c>
      <c r="H11" s="51" t="s">
        <v>20</v>
      </c>
    </row>
    <row r="12" ht="25.5" customHeight="1">
      <c r="A12" s="46">
        <v>9.0</v>
      </c>
      <c r="B12" s="47">
        <v>1007001.0</v>
      </c>
      <c r="C12" s="48" t="str">
        <f>vlookup(B12,'Crew Data'!C:G,5,0)</f>
        <v>Phakrapee Fuengprang</v>
      </c>
      <c r="D12" s="267" t="s">
        <v>1268</v>
      </c>
      <c r="E12" s="47">
        <v>2.0</v>
      </c>
      <c r="F12" s="50">
        <f t="shared" si="1"/>
        <v>800</v>
      </c>
      <c r="G12" s="22">
        <f t="shared" si="2"/>
        <v>1</v>
      </c>
      <c r="H12" s="51" t="s">
        <v>20</v>
      </c>
    </row>
    <row r="13" ht="25.5" customHeight="1">
      <c r="A13" s="54">
        <v>10.0</v>
      </c>
      <c r="B13" s="47">
        <v>1010874.0</v>
      </c>
      <c r="C13" s="48" t="str">
        <f>vlookup(B13,'Crew Data'!C:G,5,0)</f>
        <v>#N/A</v>
      </c>
      <c r="D13" s="268">
        <v>43831.0</v>
      </c>
      <c r="E13" s="47">
        <v>1.0</v>
      </c>
      <c r="F13" s="50">
        <f t="shared" si="1"/>
        <v>400</v>
      </c>
      <c r="G13" s="22">
        <f t="shared" si="2"/>
        <v>1</v>
      </c>
      <c r="H13" s="51" t="s">
        <v>20</v>
      </c>
    </row>
    <row r="14" ht="25.5" customHeight="1">
      <c r="A14" s="46">
        <v>11.0</v>
      </c>
      <c r="B14" s="47">
        <v>1004318.0</v>
      </c>
      <c r="C14" s="48" t="str">
        <f>vlookup(B14,'Crew Data'!C:G,5,0)</f>
        <v>Nattapong Kao-Ngampanich</v>
      </c>
      <c r="D14" s="267" t="s">
        <v>1270</v>
      </c>
      <c r="E14" s="47">
        <v>8.0</v>
      </c>
      <c r="F14" s="50">
        <f t="shared" si="1"/>
        <v>3200</v>
      </c>
      <c r="G14" s="22">
        <f t="shared" si="2"/>
        <v>1</v>
      </c>
      <c r="H14" s="51" t="s">
        <v>20</v>
      </c>
    </row>
    <row r="15" ht="25.5" customHeight="1">
      <c r="A15" s="46">
        <v>12.0</v>
      </c>
      <c r="B15" s="47">
        <v>1002202.0</v>
      </c>
      <c r="C15" s="48" t="str">
        <f>vlookup(B15,'Crew Data'!C:G,5,0)</f>
        <v>Nithipkan Damrongpongkhajorn</v>
      </c>
      <c r="D15" s="267" t="s">
        <v>1271</v>
      </c>
      <c r="E15" s="47">
        <v>2.0</v>
      </c>
      <c r="F15" s="50">
        <f t="shared" si="1"/>
        <v>800</v>
      </c>
      <c r="G15" s="22">
        <f t="shared" si="2"/>
        <v>1</v>
      </c>
      <c r="H15" s="51" t="s">
        <v>20</v>
      </c>
    </row>
    <row r="16" ht="25.5" customHeight="1">
      <c r="A16" s="46">
        <v>13.0</v>
      </c>
      <c r="B16" s="47">
        <v>1007008.0</v>
      </c>
      <c r="C16" s="48" t="str">
        <f>vlookup(B16,'Crew Data'!C:G,5,0)</f>
        <v>Aroonrat Limpawattanasuk</v>
      </c>
      <c r="D16" s="269" t="s">
        <v>1272</v>
      </c>
      <c r="E16" s="47">
        <v>4.0</v>
      </c>
      <c r="F16" s="50">
        <f t="shared" si="1"/>
        <v>1600</v>
      </c>
      <c r="G16" s="22">
        <f t="shared" si="2"/>
        <v>1</v>
      </c>
      <c r="H16" s="51" t="s">
        <v>20</v>
      </c>
    </row>
    <row r="17" ht="25.5" customHeight="1">
      <c r="A17" s="54">
        <v>14.0</v>
      </c>
      <c r="B17" s="47">
        <v>1007028.0</v>
      </c>
      <c r="C17" s="48" t="str">
        <f>vlookup(B17,'Crew Data'!C:G,5,0)</f>
        <v>#N/A</v>
      </c>
      <c r="D17" s="267" t="s">
        <v>1272</v>
      </c>
      <c r="E17" s="47">
        <v>4.0</v>
      </c>
      <c r="F17" s="50">
        <f t="shared" si="1"/>
        <v>1600</v>
      </c>
      <c r="G17" s="22">
        <f t="shared" si="2"/>
        <v>1</v>
      </c>
      <c r="H17" s="51" t="s">
        <v>20</v>
      </c>
    </row>
    <row r="18" ht="25.5" customHeight="1">
      <c r="A18" s="46">
        <v>15.0</v>
      </c>
      <c r="B18" s="47">
        <v>1011836.0</v>
      </c>
      <c r="C18" s="48" t="str">
        <f>vlookup(B18,'Crew Data'!C:G,5,0)</f>
        <v>Sirapong Charoenwutbhawonrat</v>
      </c>
      <c r="D18" s="268">
        <v>43831.0</v>
      </c>
      <c r="E18" s="47">
        <v>1.0</v>
      </c>
      <c r="F18" s="50">
        <f t="shared" si="1"/>
        <v>400</v>
      </c>
      <c r="G18" s="22">
        <f t="shared" si="2"/>
        <v>1</v>
      </c>
      <c r="H18" s="51" t="s">
        <v>20</v>
      </c>
    </row>
    <row r="19" ht="25.5" customHeight="1">
      <c r="A19" s="46">
        <v>16.0</v>
      </c>
      <c r="B19" s="47">
        <v>1022754.0</v>
      </c>
      <c r="C19" s="48" t="str">
        <f>vlookup(B19,'Crew Data'!C:G,5,0)</f>
        <v>Pawina Jiradilokporn</v>
      </c>
      <c r="D19" s="267" t="s">
        <v>1273</v>
      </c>
      <c r="E19" s="47">
        <v>6.0</v>
      </c>
      <c r="F19" s="50">
        <f t="shared" si="1"/>
        <v>2400</v>
      </c>
      <c r="G19" s="22">
        <f t="shared" si="2"/>
        <v>1</v>
      </c>
      <c r="H19" s="51" t="s">
        <v>20</v>
      </c>
    </row>
    <row r="20" ht="25.5" customHeight="1">
      <c r="A20" s="46">
        <v>17.0</v>
      </c>
      <c r="B20" s="47">
        <v>1011517.0</v>
      </c>
      <c r="C20" s="48" t="str">
        <f>vlookup(B20,'Crew Data'!C:G,5,0)</f>
        <v>#N/A</v>
      </c>
      <c r="D20" s="267" t="s">
        <v>1274</v>
      </c>
      <c r="E20" s="47">
        <v>4.0</v>
      </c>
      <c r="F20" s="50">
        <f t="shared" si="1"/>
        <v>1600</v>
      </c>
      <c r="G20" s="22">
        <f t="shared" si="2"/>
        <v>1</v>
      </c>
      <c r="H20" s="51" t="s">
        <v>20</v>
      </c>
    </row>
    <row r="21" ht="25.5" customHeight="1">
      <c r="A21" s="54">
        <v>18.0</v>
      </c>
      <c r="B21" s="47">
        <v>1011515.0</v>
      </c>
      <c r="C21" s="48" t="str">
        <f>vlookup(B21,'Crew Data'!C:G,5,0)</f>
        <v>Sopark Phosiri</v>
      </c>
      <c r="D21" s="267" t="s">
        <v>1275</v>
      </c>
      <c r="E21" s="47">
        <v>6.0</v>
      </c>
      <c r="F21" s="50">
        <f t="shared" si="1"/>
        <v>2400</v>
      </c>
      <c r="G21" s="22">
        <f t="shared" si="2"/>
        <v>1</v>
      </c>
      <c r="H21" s="51" t="s">
        <v>20</v>
      </c>
    </row>
    <row r="22" ht="25.5" customHeight="1">
      <c r="A22" s="46">
        <v>19.0</v>
      </c>
      <c r="B22" s="47">
        <v>1017919.0</v>
      </c>
      <c r="C22" s="48" t="str">
        <f>vlookup(B22,'Crew Data'!C:G,5,0)</f>
        <v>Asanlaya Choomit</v>
      </c>
      <c r="D22" s="267" t="s">
        <v>1276</v>
      </c>
      <c r="E22" s="47">
        <v>32.0</v>
      </c>
      <c r="F22" s="50">
        <f t="shared" si="1"/>
        <v>12800</v>
      </c>
      <c r="G22" s="22">
        <f t="shared" si="2"/>
        <v>1</v>
      </c>
      <c r="H22" s="51" t="s">
        <v>20</v>
      </c>
    </row>
    <row r="23" ht="25.5" customHeight="1">
      <c r="A23" s="46">
        <v>20.0</v>
      </c>
      <c r="B23" s="47">
        <v>1014667.0</v>
      </c>
      <c r="C23" s="48" t="str">
        <f>vlookup(B23,'Crew Data'!C:G,5,0)</f>
        <v>#N/A</v>
      </c>
      <c r="D23" s="267" t="s">
        <v>1277</v>
      </c>
      <c r="E23" s="47">
        <v>2.0</v>
      </c>
      <c r="F23" s="50">
        <f t="shared" si="1"/>
        <v>800</v>
      </c>
      <c r="G23" s="22">
        <f t="shared" si="2"/>
        <v>1</v>
      </c>
      <c r="H23" s="51" t="s">
        <v>20</v>
      </c>
    </row>
    <row r="24" ht="25.5" customHeight="1">
      <c r="A24" s="46">
        <v>21.0</v>
      </c>
      <c r="B24" s="47">
        <v>1007728.0</v>
      </c>
      <c r="C24" s="48" t="str">
        <f>vlookup(B24,'Crew Data'!C:G,5,0)</f>
        <v>Suthasinee Thaeothaisong</v>
      </c>
      <c r="D24" s="267" t="s">
        <v>1278</v>
      </c>
      <c r="E24" s="47">
        <v>2.0</v>
      </c>
      <c r="F24" s="50">
        <f t="shared" si="1"/>
        <v>800</v>
      </c>
      <c r="G24" s="22">
        <f t="shared" si="2"/>
        <v>1</v>
      </c>
      <c r="H24" s="51" t="s">
        <v>20</v>
      </c>
    </row>
    <row r="25" ht="25.5" customHeight="1">
      <c r="A25" s="46">
        <v>22.0</v>
      </c>
      <c r="B25" s="47">
        <v>1006854.0</v>
      </c>
      <c r="C25" s="48" t="str">
        <f>vlookup(B25,'Crew Data'!C:G,5,0)</f>
        <v>Thanachai Wilai-ngam</v>
      </c>
      <c r="D25" s="267" t="s">
        <v>1279</v>
      </c>
      <c r="E25" s="47">
        <v>4.0</v>
      </c>
      <c r="F25" s="50">
        <f t="shared" si="1"/>
        <v>1600</v>
      </c>
      <c r="G25" s="22">
        <f t="shared" si="2"/>
        <v>1</v>
      </c>
      <c r="H25" s="51" t="s">
        <v>20</v>
      </c>
    </row>
    <row r="26" ht="25.5" customHeight="1">
      <c r="A26" s="46">
        <v>23.0</v>
      </c>
      <c r="B26" s="47">
        <v>1004569.0</v>
      </c>
      <c r="C26" s="48" t="str">
        <f>vlookup(B26,'Crew Data'!C:G,5,0)</f>
        <v>Chutikul Khruakham</v>
      </c>
      <c r="D26" s="267" t="s">
        <v>1280</v>
      </c>
      <c r="E26" s="47">
        <v>4.0</v>
      </c>
      <c r="F26" s="50">
        <f t="shared" si="1"/>
        <v>1600</v>
      </c>
      <c r="G26" s="22">
        <f t="shared" si="2"/>
        <v>1</v>
      </c>
      <c r="H26" s="51" t="s">
        <v>20</v>
      </c>
    </row>
    <row r="27" ht="25.5" customHeight="1">
      <c r="A27" s="54">
        <v>24.0</v>
      </c>
      <c r="B27" s="47">
        <v>1010930.0</v>
      </c>
      <c r="C27" s="48" t="str">
        <f>vlookup(B27,'Crew Data'!C:G,5,0)</f>
        <v>#N/A</v>
      </c>
      <c r="D27" s="267" t="s">
        <v>1266</v>
      </c>
      <c r="E27" s="47">
        <v>2.0</v>
      </c>
      <c r="F27" s="50">
        <f t="shared" si="1"/>
        <v>800</v>
      </c>
      <c r="G27" s="22">
        <f t="shared" si="2"/>
        <v>1</v>
      </c>
      <c r="H27" s="51" t="s">
        <v>20</v>
      </c>
    </row>
    <row r="28" ht="25.5" customHeight="1">
      <c r="A28" s="46">
        <v>25.0</v>
      </c>
      <c r="B28" s="47">
        <v>1007006.0</v>
      </c>
      <c r="C28" s="48" t="str">
        <f>vlookup(B28,'Crew Data'!C:G,5,0)</f>
        <v>Wipaporn Prasertsom</v>
      </c>
      <c r="D28" s="267" t="s">
        <v>1268</v>
      </c>
      <c r="E28" s="47">
        <v>2.0</v>
      </c>
      <c r="F28" s="50">
        <f t="shared" si="1"/>
        <v>800</v>
      </c>
      <c r="G28" s="22">
        <f t="shared" si="2"/>
        <v>1</v>
      </c>
      <c r="H28" s="51" t="s">
        <v>20</v>
      </c>
    </row>
    <row r="29" ht="25.5" customHeight="1">
      <c r="A29" s="46">
        <v>26.0</v>
      </c>
      <c r="B29" s="47">
        <v>1014681.0</v>
      </c>
      <c r="C29" s="48" t="str">
        <f>vlookup(B29,'Crew Data'!C:G,5,0)</f>
        <v>#N/A</v>
      </c>
      <c r="D29" s="267" t="s">
        <v>1277</v>
      </c>
      <c r="E29" s="47">
        <v>2.0</v>
      </c>
      <c r="F29" s="50">
        <f t="shared" si="1"/>
        <v>800</v>
      </c>
      <c r="G29" s="22">
        <f t="shared" si="2"/>
        <v>1</v>
      </c>
      <c r="H29" s="51" t="s">
        <v>20</v>
      </c>
    </row>
    <row r="30" ht="25.5" customHeight="1">
      <c r="A30" s="46">
        <v>27.0</v>
      </c>
      <c r="B30" s="47">
        <v>1014358.0</v>
      </c>
      <c r="C30" s="48" t="str">
        <f>vlookup(B30,'Crew Data'!C:G,5,0)</f>
        <v>#N/A</v>
      </c>
      <c r="D30" s="267" t="s">
        <v>1281</v>
      </c>
      <c r="E30" s="47">
        <v>4.0</v>
      </c>
      <c r="F30" s="50">
        <f t="shared" si="1"/>
        <v>1600</v>
      </c>
      <c r="G30" s="22">
        <f t="shared" si="2"/>
        <v>1</v>
      </c>
      <c r="H30" s="51" t="s">
        <v>20</v>
      </c>
    </row>
    <row r="31" ht="25.5" customHeight="1">
      <c r="A31" s="46">
        <v>28.0</v>
      </c>
      <c r="B31" s="47">
        <v>1005301.0</v>
      </c>
      <c r="C31" s="48" t="str">
        <f>vlookup(B31,'Crew Data'!C:G,5,0)</f>
        <v>Pimpaporn Sittitanggoon</v>
      </c>
      <c r="D31" s="267" t="s">
        <v>1282</v>
      </c>
      <c r="E31" s="47">
        <v>4.0</v>
      </c>
      <c r="F31" s="50">
        <f t="shared" si="1"/>
        <v>1600</v>
      </c>
      <c r="G31" s="22">
        <f t="shared" si="2"/>
        <v>1</v>
      </c>
      <c r="H31" s="51" t="s">
        <v>20</v>
      </c>
    </row>
    <row r="32" ht="25.5" customHeight="1">
      <c r="A32" s="46">
        <v>29.0</v>
      </c>
      <c r="B32" s="47">
        <v>1009802.0</v>
      </c>
      <c r="C32" s="48" t="str">
        <f>vlookup(B32,'Crew Data'!C:G,5,0)</f>
        <v>#N/A</v>
      </c>
      <c r="D32" s="267" t="s">
        <v>1278</v>
      </c>
      <c r="E32" s="47">
        <v>2.0</v>
      </c>
      <c r="F32" s="50">
        <f t="shared" si="1"/>
        <v>800</v>
      </c>
      <c r="G32" s="22">
        <f t="shared" si="2"/>
        <v>1</v>
      </c>
      <c r="H32" s="51" t="s">
        <v>20</v>
      </c>
    </row>
    <row r="33" ht="25.5" customHeight="1">
      <c r="A33" s="46">
        <v>30.0</v>
      </c>
      <c r="B33" s="47">
        <v>1001617.0</v>
      </c>
      <c r="C33" s="48" t="str">
        <f>vlookup(B33,'Crew Data'!C:G,5,0)</f>
        <v>Suthida Tanakarn</v>
      </c>
      <c r="D33" s="267" t="s">
        <v>1268</v>
      </c>
      <c r="E33" s="47">
        <v>2.0</v>
      </c>
      <c r="F33" s="50">
        <f t="shared" si="1"/>
        <v>800</v>
      </c>
      <c r="G33" s="22">
        <f t="shared" si="2"/>
        <v>1</v>
      </c>
      <c r="H33" s="51" t="s">
        <v>20</v>
      </c>
    </row>
    <row r="34" ht="25.5" customHeight="1">
      <c r="A34" s="46">
        <v>31.0</v>
      </c>
      <c r="B34" s="47">
        <v>1001082.0</v>
      </c>
      <c r="C34" s="48" t="str">
        <f>vlookup(B34,'Crew Data'!C:G,5,0)</f>
        <v>Pobsaran Chantaratim</v>
      </c>
      <c r="D34" s="267" t="s">
        <v>1283</v>
      </c>
      <c r="E34" s="47">
        <v>2.0</v>
      </c>
      <c r="F34" s="50">
        <f t="shared" si="1"/>
        <v>800</v>
      </c>
      <c r="G34" s="22">
        <f t="shared" si="2"/>
        <v>1</v>
      </c>
      <c r="H34" s="51" t="s">
        <v>20</v>
      </c>
    </row>
    <row r="35" ht="25.5" customHeight="1">
      <c r="A35" s="54">
        <v>32.0</v>
      </c>
      <c r="B35" s="47">
        <v>1012970.0</v>
      </c>
      <c r="C35" s="48" t="str">
        <f>vlookup(B35,'Crew Data'!C:G,5,0)</f>
        <v>Amornwech Jullanate</v>
      </c>
      <c r="D35" s="267" t="s">
        <v>1284</v>
      </c>
      <c r="E35" s="47">
        <v>4.0</v>
      </c>
      <c r="F35" s="50">
        <f t="shared" si="1"/>
        <v>1600</v>
      </c>
      <c r="G35" s="22">
        <f t="shared" si="2"/>
        <v>1</v>
      </c>
      <c r="H35" s="51" t="s">
        <v>20</v>
      </c>
    </row>
    <row r="36" ht="25.5" customHeight="1">
      <c r="A36" s="46">
        <v>33.0</v>
      </c>
      <c r="B36" s="47">
        <v>1011082.0</v>
      </c>
      <c r="C36" s="48" t="str">
        <f>vlookup(B36,'Crew Data'!C:G,5,0)</f>
        <v>Tida Pheechapand</v>
      </c>
      <c r="D36" s="267" t="s">
        <v>1173</v>
      </c>
      <c r="E36" s="47">
        <v>2.0</v>
      </c>
      <c r="F36" s="50">
        <f t="shared" si="1"/>
        <v>800</v>
      </c>
      <c r="G36" s="22">
        <f t="shared" si="2"/>
        <v>1</v>
      </c>
      <c r="H36" s="51" t="s">
        <v>20</v>
      </c>
    </row>
    <row r="37" ht="25.5" customHeight="1">
      <c r="A37" s="46">
        <v>34.0</v>
      </c>
      <c r="B37" s="47">
        <v>1004317.0</v>
      </c>
      <c r="C37" s="48" t="str">
        <f>vlookup(B37,'Crew Data'!C:G,5,0)</f>
        <v>Narit Aimwat</v>
      </c>
      <c r="D37" s="267" t="s">
        <v>1285</v>
      </c>
      <c r="E37" s="47">
        <v>2.0</v>
      </c>
      <c r="F37" s="50">
        <f t="shared" si="1"/>
        <v>800</v>
      </c>
      <c r="G37" s="22">
        <f t="shared" si="2"/>
        <v>1</v>
      </c>
      <c r="H37" s="51" t="s">
        <v>20</v>
      </c>
    </row>
    <row r="38" ht="25.5" customHeight="1">
      <c r="A38" s="46">
        <v>35.0</v>
      </c>
      <c r="B38" s="47">
        <v>1014092.0</v>
      </c>
      <c r="C38" s="48" t="str">
        <f>vlookup(B38,'Crew Data'!C:G,5,0)</f>
        <v>Varatorn Sitisarn</v>
      </c>
      <c r="D38" s="267" t="s">
        <v>1286</v>
      </c>
      <c r="E38" s="47">
        <v>2.0</v>
      </c>
      <c r="F38" s="50">
        <f t="shared" si="1"/>
        <v>800</v>
      </c>
      <c r="G38" s="22">
        <f t="shared" si="2"/>
        <v>1</v>
      </c>
      <c r="H38" s="51" t="s">
        <v>20</v>
      </c>
    </row>
    <row r="39" ht="25.5" customHeight="1">
      <c r="A39" s="46">
        <v>36.0</v>
      </c>
      <c r="B39" s="47">
        <v>1011510.0</v>
      </c>
      <c r="C39" s="48" t="str">
        <f>vlookup(B39,'Crew Data'!C:G,5,0)</f>
        <v>Nitinai Chalongtrakul</v>
      </c>
      <c r="D39" s="267" t="s">
        <v>1285</v>
      </c>
      <c r="E39" s="47">
        <v>2.0</v>
      </c>
      <c r="F39" s="50">
        <f t="shared" si="1"/>
        <v>800</v>
      </c>
      <c r="G39" s="22">
        <f t="shared" si="2"/>
        <v>1</v>
      </c>
      <c r="H39" s="51" t="s">
        <v>20</v>
      </c>
    </row>
    <row r="40" ht="25.5" customHeight="1">
      <c r="A40" s="46">
        <v>37.0</v>
      </c>
      <c r="B40" s="47">
        <v>1009306.0</v>
      </c>
      <c r="C40" s="48" t="str">
        <f>vlookup(B40,'Crew Data'!C:G,5,0)</f>
        <v>Noppawan Yoosamran</v>
      </c>
      <c r="D40" s="267" t="s">
        <v>1287</v>
      </c>
      <c r="E40" s="47">
        <v>4.0</v>
      </c>
      <c r="F40" s="50">
        <f t="shared" si="1"/>
        <v>1600</v>
      </c>
      <c r="G40" s="22">
        <f t="shared" si="2"/>
        <v>1</v>
      </c>
      <c r="H40" s="51" t="s">
        <v>20</v>
      </c>
    </row>
    <row r="41" ht="25.5" customHeight="1">
      <c r="A41" s="46">
        <v>38.0</v>
      </c>
      <c r="B41" s="47">
        <v>1011756.0</v>
      </c>
      <c r="C41" s="48" t="str">
        <f>vlookup(B41,'Crew Data'!C:G,5,0)</f>
        <v>#N/A</v>
      </c>
      <c r="D41" s="267" t="s">
        <v>1288</v>
      </c>
      <c r="E41" s="47">
        <v>2.0</v>
      </c>
      <c r="F41" s="50">
        <f t="shared" si="1"/>
        <v>800</v>
      </c>
      <c r="G41" s="22">
        <f t="shared" si="2"/>
        <v>1</v>
      </c>
      <c r="H41" s="51" t="s">
        <v>20</v>
      </c>
    </row>
    <row r="42" ht="25.5" customHeight="1">
      <c r="A42" s="46">
        <v>39.0</v>
      </c>
      <c r="B42" s="47">
        <v>1003392.0</v>
      </c>
      <c r="C42" s="48" t="str">
        <f>vlookup(B42,'Crew Data'!C:G,5,0)</f>
        <v>Punnaphas Tawornpanmanee</v>
      </c>
      <c r="D42" s="267" t="s">
        <v>1172</v>
      </c>
      <c r="E42" s="47">
        <v>2.0</v>
      </c>
      <c r="F42" s="50">
        <f t="shared" si="1"/>
        <v>800</v>
      </c>
      <c r="G42" s="22">
        <f t="shared" si="2"/>
        <v>1</v>
      </c>
      <c r="H42" s="51" t="s">
        <v>20</v>
      </c>
    </row>
    <row r="43" ht="25.5" customHeight="1">
      <c r="A43" s="54">
        <v>40.0</v>
      </c>
      <c r="B43" s="47">
        <v>1006593.0</v>
      </c>
      <c r="C43" s="48" t="str">
        <f>vlookup(B43,'Crew Data'!C:G,5,0)</f>
        <v>Bhataranan Tanaree</v>
      </c>
      <c r="D43" s="267" t="s">
        <v>1289</v>
      </c>
      <c r="E43" s="47">
        <v>4.0</v>
      </c>
      <c r="F43" s="50">
        <f t="shared" si="1"/>
        <v>1600</v>
      </c>
      <c r="G43" s="22">
        <f t="shared" si="2"/>
        <v>1</v>
      </c>
      <c r="H43" s="51" t="s">
        <v>20</v>
      </c>
    </row>
    <row r="44" ht="25.5" customHeight="1">
      <c r="A44" s="46">
        <v>41.0</v>
      </c>
      <c r="B44" s="47">
        <v>1008991.0</v>
      </c>
      <c r="C44" s="48" t="str">
        <f>vlookup(B44,'Crew Data'!C:G,5,0)</f>
        <v>Premkamon Changsuwan</v>
      </c>
      <c r="D44" s="267" t="s">
        <v>1276</v>
      </c>
      <c r="E44" s="47">
        <v>32.0</v>
      </c>
      <c r="F44" s="50">
        <f t="shared" si="1"/>
        <v>12800</v>
      </c>
      <c r="G44" s="22">
        <f t="shared" si="2"/>
        <v>1</v>
      </c>
      <c r="H44" s="51" t="s">
        <v>20</v>
      </c>
    </row>
    <row r="45" ht="25.5" customHeight="1">
      <c r="A45" s="46">
        <v>42.0</v>
      </c>
      <c r="B45" s="47">
        <v>1009770.0</v>
      </c>
      <c r="C45" s="48" t="str">
        <f>vlookup(B45,'Crew Data'!C:G,5,0)</f>
        <v>Wuttiphat Akenoot</v>
      </c>
      <c r="D45" s="267" t="s">
        <v>1271</v>
      </c>
      <c r="E45" s="47">
        <v>2.0</v>
      </c>
      <c r="F45" s="50">
        <f t="shared" si="1"/>
        <v>800</v>
      </c>
      <c r="G45" s="22">
        <f t="shared" si="2"/>
        <v>1</v>
      </c>
      <c r="H45" s="51" t="s">
        <v>20</v>
      </c>
    </row>
    <row r="46" ht="25.5" customHeight="1">
      <c r="A46" s="46">
        <v>43.0</v>
      </c>
      <c r="B46" s="47">
        <v>1022658.0</v>
      </c>
      <c r="C46" s="48" t="str">
        <f>vlookup(B46,'Crew Data'!C:G,5,0)</f>
        <v>Hariphat Suphangcharus</v>
      </c>
      <c r="D46" s="267" t="s">
        <v>1232</v>
      </c>
      <c r="E46" s="47">
        <v>2.0</v>
      </c>
      <c r="F46" s="50">
        <f t="shared" si="1"/>
        <v>800</v>
      </c>
      <c r="G46" s="22">
        <f t="shared" si="2"/>
        <v>1</v>
      </c>
      <c r="H46" s="51" t="s">
        <v>20</v>
      </c>
    </row>
    <row r="47" ht="25.5" customHeight="1">
      <c r="A47" s="46">
        <v>44.0</v>
      </c>
      <c r="B47" s="47">
        <v>1005824.0</v>
      </c>
      <c r="C47" s="48" t="str">
        <f>vlookup(B47,'Crew Data'!C:G,5,0)</f>
        <v>Panchita Swangarom</v>
      </c>
      <c r="D47" s="267" t="s">
        <v>1290</v>
      </c>
      <c r="E47" s="47">
        <v>4.0</v>
      </c>
      <c r="F47" s="50">
        <f t="shared" si="1"/>
        <v>1600</v>
      </c>
      <c r="G47" s="22">
        <f t="shared" si="2"/>
        <v>1</v>
      </c>
      <c r="H47" s="51" t="s">
        <v>20</v>
      </c>
    </row>
    <row r="48" ht="25.5" customHeight="1">
      <c r="A48" s="46">
        <v>45.0</v>
      </c>
      <c r="B48" s="47">
        <v>1022697.0</v>
      </c>
      <c r="C48" s="48" t="str">
        <f>vlookup(B48,'Crew Data'!C:G,5,0)</f>
        <v>#N/A</v>
      </c>
      <c r="D48" s="267" t="s">
        <v>1291</v>
      </c>
      <c r="E48" s="47">
        <v>2.0</v>
      </c>
      <c r="F48" s="50">
        <f t="shared" si="1"/>
        <v>800</v>
      </c>
      <c r="G48" s="22">
        <f t="shared" si="2"/>
        <v>1</v>
      </c>
      <c r="H48" s="51" t="s">
        <v>20</v>
      </c>
    </row>
    <row r="49" ht="25.5" customHeight="1">
      <c r="A49" s="46">
        <v>46.0</v>
      </c>
      <c r="B49" s="47">
        <v>1013180.0</v>
      </c>
      <c r="C49" s="48" t="str">
        <f>vlookup(B49,'Crew Data'!C:G,5,0)</f>
        <v>Nuttinee Rattana-u-dom</v>
      </c>
      <c r="D49" s="267" t="s">
        <v>1292</v>
      </c>
      <c r="E49" s="47">
        <v>20.0</v>
      </c>
      <c r="F49" s="50">
        <f t="shared" si="1"/>
        <v>8000</v>
      </c>
      <c r="G49" s="22">
        <f t="shared" si="2"/>
        <v>1</v>
      </c>
      <c r="H49" s="51" t="s">
        <v>20</v>
      </c>
    </row>
    <row r="50" ht="25.5" customHeight="1">
      <c r="A50" s="46">
        <v>47.0</v>
      </c>
      <c r="B50" s="47">
        <v>1011058.0</v>
      </c>
      <c r="C50" s="48" t="str">
        <f>vlookup(B50,'Crew Data'!C:G,5,0)</f>
        <v>Hunsa Dechthanaphaisan</v>
      </c>
      <c r="D50" s="267" t="s">
        <v>1283</v>
      </c>
      <c r="E50" s="47">
        <v>2.0</v>
      </c>
      <c r="F50" s="50">
        <f t="shared" si="1"/>
        <v>800</v>
      </c>
      <c r="G50" s="22">
        <f t="shared" si="2"/>
        <v>1</v>
      </c>
      <c r="H50" s="51" t="s">
        <v>20</v>
      </c>
    </row>
    <row r="51" ht="25.5" customHeight="1">
      <c r="A51" s="54">
        <v>48.0</v>
      </c>
      <c r="B51" s="47">
        <v>1012166.0</v>
      </c>
      <c r="C51" s="48" t="str">
        <f>vlookup(B51,'Crew Data'!C:G,5,0)</f>
        <v>Monthira Modesanga</v>
      </c>
      <c r="D51" s="267" t="s">
        <v>1230</v>
      </c>
      <c r="E51" s="47">
        <v>4.0</v>
      </c>
      <c r="F51" s="50">
        <f t="shared" si="1"/>
        <v>1600</v>
      </c>
      <c r="G51" s="22">
        <f t="shared" si="2"/>
        <v>1</v>
      </c>
      <c r="H51" s="51" t="s">
        <v>20</v>
      </c>
    </row>
    <row r="52" ht="25.5" customHeight="1">
      <c r="A52" s="46">
        <v>49.0</v>
      </c>
      <c r="B52" s="47">
        <v>1010880.0</v>
      </c>
      <c r="C52" s="48" t="str">
        <f>vlookup(B52,'Crew Data'!C:G,5,0)</f>
        <v>Chutima Thitisantikhun</v>
      </c>
      <c r="D52" s="267" t="s">
        <v>1293</v>
      </c>
      <c r="E52" s="47">
        <v>4.0</v>
      </c>
      <c r="F52" s="50">
        <f t="shared" si="1"/>
        <v>1600</v>
      </c>
      <c r="G52" s="22">
        <f t="shared" si="2"/>
        <v>1</v>
      </c>
      <c r="H52" s="51" t="s">
        <v>20</v>
      </c>
    </row>
    <row r="53" ht="25.5" customHeight="1">
      <c r="A53" s="46">
        <v>50.0</v>
      </c>
      <c r="B53" s="47">
        <v>1007017.0</v>
      </c>
      <c r="C53" s="48" t="str">
        <f>vlookup(B53,'Crew Data'!C:G,5,0)</f>
        <v>#N/A</v>
      </c>
      <c r="D53" s="267" t="s">
        <v>1294</v>
      </c>
      <c r="E53" s="47">
        <v>4.0</v>
      </c>
      <c r="F53" s="50">
        <f t="shared" si="1"/>
        <v>1600</v>
      </c>
      <c r="G53" s="22">
        <f t="shared" si="2"/>
        <v>1</v>
      </c>
      <c r="H53" s="51" t="s">
        <v>20</v>
      </c>
    </row>
    <row r="54" ht="25.5" customHeight="1">
      <c r="A54" s="46">
        <v>51.0</v>
      </c>
      <c r="B54" s="47">
        <v>1001301.0</v>
      </c>
      <c r="C54" s="48" t="str">
        <f>vlookup(B54,'Crew Data'!C:G,5,0)</f>
        <v>Burin Buarapha</v>
      </c>
      <c r="D54" s="267" t="s">
        <v>1277</v>
      </c>
      <c r="E54" s="47">
        <v>2.0</v>
      </c>
      <c r="F54" s="50">
        <f t="shared" si="1"/>
        <v>800</v>
      </c>
      <c r="G54" s="22">
        <f t="shared" si="2"/>
        <v>1</v>
      </c>
      <c r="H54" s="51" t="s">
        <v>20</v>
      </c>
    </row>
    <row r="55" ht="25.5" customHeight="1">
      <c r="A55" s="46">
        <v>52.0</v>
      </c>
      <c r="B55" s="47">
        <v>1005304.0</v>
      </c>
      <c r="C55" s="48" t="str">
        <f>vlookup(B55,'Crew Data'!C:G,5,0)</f>
        <v>Pongpon Buasalee</v>
      </c>
      <c r="D55" s="267" t="s">
        <v>1295</v>
      </c>
      <c r="E55" s="47">
        <v>4.0</v>
      </c>
      <c r="F55" s="50">
        <f t="shared" si="1"/>
        <v>1600</v>
      </c>
      <c r="G55" s="22">
        <f t="shared" si="2"/>
        <v>1</v>
      </c>
      <c r="H55" s="51" t="s">
        <v>20</v>
      </c>
    </row>
    <row r="56" ht="25.5" customHeight="1">
      <c r="A56" s="46">
        <v>53.0</v>
      </c>
      <c r="B56" s="47">
        <v>1023594.0</v>
      </c>
      <c r="C56" s="48" t="str">
        <f>vlookup(B56,'Crew Data'!C:G,5,0)</f>
        <v>Teerada Sripochsomboon</v>
      </c>
      <c r="D56" s="267" t="s">
        <v>1280</v>
      </c>
      <c r="E56" s="47">
        <v>4.0</v>
      </c>
      <c r="F56" s="50">
        <f t="shared" si="1"/>
        <v>1600</v>
      </c>
      <c r="G56" s="22">
        <f t="shared" si="2"/>
        <v>1</v>
      </c>
      <c r="H56" s="51" t="s">
        <v>20</v>
      </c>
    </row>
    <row r="57" ht="25.5" customHeight="1">
      <c r="A57" s="46">
        <v>54.0</v>
      </c>
      <c r="B57" s="47">
        <v>1023581.0</v>
      </c>
      <c r="C57" s="48" t="str">
        <f>vlookup(B57,'Crew Data'!C:G,5,0)</f>
        <v>Pavitra Chaosrithong</v>
      </c>
      <c r="D57" s="267" t="s">
        <v>1295</v>
      </c>
      <c r="E57" s="47">
        <v>4.0</v>
      </c>
      <c r="F57" s="50">
        <f t="shared" si="1"/>
        <v>1600</v>
      </c>
      <c r="G57" s="22">
        <f t="shared" si="2"/>
        <v>1</v>
      </c>
      <c r="H57" s="51" t="s">
        <v>20</v>
      </c>
    </row>
    <row r="58" ht="25.5" customHeight="1">
      <c r="A58" s="46">
        <v>55.0</v>
      </c>
      <c r="B58" s="47">
        <v>1019518.0</v>
      </c>
      <c r="C58" s="48" t="str">
        <f>vlookup(B58,'Crew Data'!C:G,5,0)</f>
        <v>Naratip Dumrongthai</v>
      </c>
      <c r="D58" s="267" t="s">
        <v>1296</v>
      </c>
      <c r="E58" s="47">
        <v>2.0</v>
      </c>
      <c r="F58" s="50">
        <f t="shared" si="1"/>
        <v>800</v>
      </c>
      <c r="G58" s="22">
        <f t="shared" si="2"/>
        <v>1</v>
      </c>
      <c r="H58" s="51" t="s">
        <v>20</v>
      </c>
    </row>
    <row r="59" ht="25.5" customHeight="1">
      <c r="A59" s="54">
        <v>56.0</v>
      </c>
      <c r="B59" s="47">
        <v>1011313.0</v>
      </c>
      <c r="C59" s="48" t="str">
        <f>vlookup(B59,'Crew Data'!C:G,5,0)</f>
        <v>#N/A</v>
      </c>
      <c r="D59" s="267" t="s">
        <v>1297</v>
      </c>
      <c r="E59" s="47">
        <v>6.0</v>
      </c>
      <c r="F59" s="50">
        <f t="shared" si="1"/>
        <v>2400</v>
      </c>
      <c r="G59" s="22">
        <f t="shared" si="2"/>
        <v>1</v>
      </c>
      <c r="H59" s="51" t="s">
        <v>20</v>
      </c>
    </row>
    <row r="60" ht="25.5" customHeight="1">
      <c r="A60" s="46">
        <v>57.0</v>
      </c>
      <c r="B60" s="47">
        <v>1018531.0</v>
      </c>
      <c r="C60" s="48" t="str">
        <f>vlookup(B60,'Crew Data'!C:G,5,0)</f>
        <v>Chawit Donsawee</v>
      </c>
      <c r="D60" s="267" t="s">
        <v>1298</v>
      </c>
      <c r="E60" s="47">
        <v>6.0</v>
      </c>
      <c r="F60" s="50">
        <f t="shared" si="1"/>
        <v>2400</v>
      </c>
      <c r="G60" s="22">
        <f t="shared" si="2"/>
        <v>1</v>
      </c>
      <c r="H60" s="51" t="s">
        <v>20</v>
      </c>
    </row>
    <row r="61" ht="25.5" customHeight="1">
      <c r="A61" s="46">
        <v>58.0</v>
      </c>
      <c r="B61" s="47">
        <v>1018530.0</v>
      </c>
      <c r="C61" s="48" t="str">
        <f>vlookup(B61,'Crew Data'!C:G,5,0)</f>
        <v>Chaniporn Thanaworrapak</v>
      </c>
      <c r="D61" s="267" t="s">
        <v>1284</v>
      </c>
      <c r="E61" s="47">
        <v>4.0</v>
      </c>
      <c r="F61" s="50">
        <f t="shared" si="1"/>
        <v>1600</v>
      </c>
      <c r="G61" s="22">
        <f t="shared" si="2"/>
        <v>1</v>
      </c>
      <c r="H61" s="51" t="s">
        <v>20</v>
      </c>
    </row>
    <row r="62" ht="25.5" customHeight="1">
      <c r="A62" s="46">
        <v>59.0</v>
      </c>
      <c r="B62" s="47">
        <v>1022670.0</v>
      </c>
      <c r="C62" s="48" t="str">
        <f>vlookup(B62,'Crew Data'!C:G,5,0)</f>
        <v>#N/A</v>
      </c>
      <c r="D62" s="267" t="s">
        <v>1299</v>
      </c>
      <c r="E62" s="47">
        <v>4.0</v>
      </c>
      <c r="F62" s="50">
        <f t="shared" si="1"/>
        <v>1600</v>
      </c>
      <c r="G62" s="22">
        <f t="shared" si="2"/>
        <v>1</v>
      </c>
      <c r="H62" s="51" t="s">
        <v>20</v>
      </c>
    </row>
    <row r="63" ht="25.5" customHeight="1">
      <c r="A63" s="46">
        <v>60.0</v>
      </c>
      <c r="B63" s="47">
        <v>1007340.0</v>
      </c>
      <c r="C63" s="48" t="str">
        <f>vlookup(B63,'Crew Data'!C:G,5,0)</f>
        <v>Patpapada Vadtanawat</v>
      </c>
      <c r="D63" s="267" t="s">
        <v>1300</v>
      </c>
      <c r="E63" s="47">
        <v>2.0</v>
      </c>
      <c r="F63" s="50">
        <f t="shared" si="1"/>
        <v>800</v>
      </c>
      <c r="G63" s="22">
        <f t="shared" si="2"/>
        <v>1</v>
      </c>
      <c r="H63" s="51" t="s">
        <v>20</v>
      </c>
    </row>
    <row r="64" ht="25.5" customHeight="1">
      <c r="A64" s="54">
        <v>61.0</v>
      </c>
      <c r="B64" s="47">
        <v>1003052.0</v>
      </c>
      <c r="C64" s="48" t="str">
        <f>vlookup(B64,'Crew Data'!C:G,5,0)</f>
        <v>#N/A</v>
      </c>
      <c r="D64" s="267" t="s">
        <v>1301</v>
      </c>
      <c r="E64" s="47">
        <v>2.0</v>
      </c>
      <c r="F64" s="50">
        <f t="shared" si="1"/>
        <v>800</v>
      </c>
      <c r="G64" s="22">
        <f t="shared" si="2"/>
        <v>1</v>
      </c>
      <c r="H64" s="51" t="s">
        <v>20</v>
      </c>
    </row>
    <row r="65" ht="25.5" customHeight="1">
      <c r="A65" s="46">
        <v>62.0</v>
      </c>
      <c r="B65" s="47">
        <v>1010932.0</v>
      </c>
      <c r="C65" s="48" t="str">
        <f>vlookup(B65,'Crew Data'!C:G,5,0)</f>
        <v>Wanunyapat Wongvichien</v>
      </c>
      <c r="D65" s="267" t="s">
        <v>1190</v>
      </c>
      <c r="E65" s="47">
        <v>2.0</v>
      </c>
      <c r="F65" s="50">
        <f t="shared" si="1"/>
        <v>800</v>
      </c>
      <c r="G65" s="22">
        <f t="shared" si="2"/>
        <v>1</v>
      </c>
      <c r="H65" s="51" t="s">
        <v>20</v>
      </c>
    </row>
    <row r="66" ht="25.5" customHeight="1">
      <c r="A66" s="46">
        <v>63.0</v>
      </c>
      <c r="B66" s="47">
        <v>1015090.0</v>
      </c>
      <c r="C66" s="48" t="str">
        <f>vlookup(B66,'Crew Data'!C:G,5,0)</f>
        <v>#N/A</v>
      </c>
      <c r="D66" s="267" t="s">
        <v>1302</v>
      </c>
      <c r="E66" s="47">
        <v>4.0</v>
      </c>
      <c r="F66" s="50">
        <f t="shared" si="1"/>
        <v>1600</v>
      </c>
      <c r="G66" s="22">
        <f t="shared" si="2"/>
        <v>1</v>
      </c>
      <c r="H66" s="51" t="s">
        <v>20</v>
      </c>
    </row>
    <row r="67" ht="25.5" customHeight="1">
      <c r="A67" s="46">
        <v>64.0</v>
      </c>
      <c r="B67" s="47">
        <v>1007201.0</v>
      </c>
      <c r="C67" s="48" t="str">
        <f>vlookup(B67,'Crew Data'!C:G,5,0)</f>
        <v>Juthaporn Ratanavaraporn</v>
      </c>
      <c r="D67" s="267" t="s">
        <v>1302</v>
      </c>
      <c r="E67" s="47">
        <v>4.0</v>
      </c>
      <c r="F67" s="50">
        <f t="shared" si="1"/>
        <v>1600</v>
      </c>
      <c r="G67" s="22">
        <f t="shared" si="2"/>
        <v>1</v>
      </c>
      <c r="H67" s="51" t="s">
        <v>20</v>
      </c>
    </row>
    <row r="68" ht="25.5" customHeight="1">
      <c r="A68" s="46">
        <v>65.0</v>
      </c>
      <c r="B68" s="47">
        <v>1007427.0</v>
      </c>
      <c r="C68" s="48" t="str">
        <f>vlookup(B68,'Crew Data'!C:G,5,0)</f>
        <v>Warasit Rittiruechaikul</v>
      </c>
      <c r="D68" s="267" t="s">
        <v>1303</v>
      </c>
      <c r="E68" s="47">
        <v>4.0</v>
      </c>
      <c r="F68" s="50">
        <f t="shared" si="1"/>
        <v>1600</v>
      </c>
      <c r="G68" s="22">
        <f t="shared" si="2"/>
        <v>1</v>
      </c>
      <c r="H68" s="51" t="s">
        <v>20</v>
      </c>
    </row>
    <row r="69" ht="25.5" customHeight="1">
      <c r="A69" s="46">
        <v>66.0</v>
      </c>
      <c r="B69" s="47">
        <v>1006743.0</v>
      </c>
      <c r="C69" s="48" t="str">
        <f>vlookup(B69,'Crew Data'!C:G,5,0)</f>
        <v>Methawadee Nuanganant</v>
      </c>
      <c r="D69" s="267" t="s">
        <v>1193</v>
      </c>
      <c r="E69" s="47">
        <v>2.0</v>
      </c>
      <c r="F69" s="50">
        <f t="shared" si="1"/>
        <v>800</v>
      </c>
      <c r="G69" s="22">
        <f t="shared" si="2"/>
        <v>1</v>
      </c>
      <c r="H69" s="51" t="s">
        <v>20</v>
      </c>
    </row>
    <row r="70" ht="25.5" customHeight="1">
      <c r="A70" s="46">
        <v>67.0</v>
      </c>
      <c r="B70" s="47">
        <v>1007426.0</v>
      </c>
      <c r="C70" s="48" t="str">
        <f>vlookup(B70,'Crew Data'!C:G,5,0)</f>
        <v>Tullaya Bunnag</v>
      </c>
      <c r="D70" s="267" t="s">
        <v>1259</v>
      </c>
      <c r="E70" s="47">
        <v>2.0</v>
      </c>
      <c r="F70" s="50">
        <f t="shared" si="1"/>
        <v>800</v>
      </c>
      <c r="G70" s="22">
        <f t="shared" si="2"/>
        <v>1</v>
      </c>
      <c r="H70" s="51" t="s">
        <v>20</v>
      </c>
    </row>
    <row r="71" ht="25.5" customHeight="1">
      <c r="A71" s="46">
        <v>68.0</v>
      </c>
      <c r="B71" s="47">
        <v>1012367.0</v>
      </c>
      <c r="C71" s="48" t="str">
        <f>vlookup(B71,'Crew Data'!C:G,5,0)</f>
        <v>#N/A</v>
      </c>
      <c r="D71" s="267" t="s">
        <v>1293</v>
      </c>
      <c r="E71" s="47">
        <v>4.0</v>
      </c>
      <c r="F71" s="50">
        <f t="shared" si="1"/>
        <v>1600</v>
      </c>
      <c r="G71" s="22">
        <f t="shared" si="2"/>
        <v>1</v>
      </c>
      <c r="H71" s="51" t="s">
        <v>20</v>
      </c>
    </row>
    <row r="72" ht="25.5" customHeight="1">
      <c r="A72" s="46">
        <v>69.0</v>
      </c>
      <c r="B72" s="47">
        <v>1012155.0</v>
      </c>
      <c r="C72" s="48" t="str">
        <f>vlookup(B72,'Crew Data'!C:G,5,0)</f>
        <v>Duangsuree Krairatanalerk</v>
      </c>
      <c r="D72" s="267" t="s">
        <v>1304</v>
      </c>
      <c r="E72" s="47">
        <v>2.0</v>
      </c>
      <c r="F72" s="50">
        <f t="shared" si="1"/>
        <v>800</v>
      </c>
      <c r="G72" s="22">
        <f t="shared" si="2"/>
        <v>1</v>
      </c>
      <c r="H72" s="51" t="s">
        <v>20</v>
      </c>
    </row>
    <row r="73" ht="25.5" customHeight="1">
      <c r="A73" s="46">
        <v>70.0</v>
      </c>
      <c r="B73" s="47">
        <v>1006744.0</v>
      </c>
      <c r="C73" s="48" t="str">
        <f>vlookup(B73,'Crew Data'!C:G,5,0)</f>
        <v>#N/A</v>
      </c>
      <c r="D73" s="267" t="s">
        <v>1305</v>
      </c>
      <c r="E73" s="47">
        <v>2.0</v>
      </c>
      <c r="F73" s="50">
        <f t="shared" si="1"/>
        <v>800</v>
      </c>
      <c r="G73" s="22">
        <f t="shared" si="2"/>
        <v>1</v>
      </c>
      <c r="H73" s="51" t="s">
        <v>20</v>
      </c>
    </row>
    <row r="74" ht="25.5" customHeight="1">
      <c r="A74" s="54">
        <v>71.0</v>
      </c>
      <c r="B74" s="47">
        <v>1017930.0</v>
      </c>
      <c r="C74" s="48" t="str">
        <f>vlookup(B74,'Crew Data'!C:G,5,0)</f>
        <v>#N/A</v>
      </c>
      <c r="D74" s="267" t="s">
        <v>1306</v>
      </c>
      <c r="E74" s="47">
        <v>29.0</v>
      </c>
      <c r="F74" s="50">
        <f t="shared" si="1"/>
        <v>11600</v>
      </c>
      <c r="G74" s="22">
        <f t="shared" si="2"/>
        <v>1</v>
      </c>
      <c r="H74" s="51" t="s">
        <v>20</v>
      </c>
    </row>
    <row r="75" ht="25.5" customHeight="1">
      <c r="A75" s="46">
        <v>72.0</v>
      </c>
      <c r="B75" s="55">
        <v>1006081.0</v>
      </c>
      <c r="C75" s="48" t="str">
        <f>vlookup(B75,'Crew Data'!C:G,5,0)</f>
        <v>Ploypachara Charoensup</v>
      </c>
      <c r="D75" s="270" t="s">
        <v>1307</v>
      </c>
      <c r="E75" s="55">
        <v>2.0</v>
      </c>
      <c r="F75" s="50">
        <f t="shared" si="1"/>
        <v>800</v>
      </c>
      <c r="G75" s="22">
        <f t="shared" si="2"/>
        <v>1</v>
      </c>
      <c r="H75" s="51" t="s">
        <v>20</v>
      </c>
    </row>
    <row r="76" ht="25.5" customHeight="1">
      <c r="A76" s="46">
        <v>73.0</v>
      </c>
      <c r="B76" s="55">
        <v>1009817.0</v>
      </c>
      <c r="C76" s="48" t="str">
        <f>vlookup(B76,'Crew Data'!C:G,5,0)</f>
        <v>#N/A</v>
      </c>
      <c r="D76" s="270" t="s">
        <v>1308</v>
      </c>
      <c r="E76" s="55">
        <v>3.0</v>
      </c>
      <c r="F76" s="50">
        <f t="shared" si="1"/>
        <v>1200</v>
      </c>
      <c r="G76" s="22">
        <f t="shared" si="2"/>
        <v>1</v>
      </c>
      <c r="H76" s="51" t="s">
        <v>20</v>
      </c>
    </row>
    <row r="77" ht="25.5" customHeight="1">
      <c r="A77" s="46">
        <v>74.0</v>
      </c>
      <c r="B77" s="55">
        <v>1010939.0</v>
      </c>
      <c r="C77" s="48" t="str">
        <f>vlookup(B77,'Crew Data'!C:G,5,0)</f>
        <v>Yuwarat Meesap</v>
      </c>
      <c r="D77" s="270" t="s">
        <v>1309</v>
      </c>
      <c r="E77" s="55">
        <v>4.0</v>
      </c>
      <c r="F77" s="50">
        <f t="shared" si="1"/>
        <v>1600</v>
      </c>
      <c r="G77" s="22">
        <f t="shared" si="2"/>
        <v>1</v>
      </c>
      <c r="H77" s="51" t="s">
        <v>20</v>
      </c>
    </row>
    <row r="78" ht="25.5" customHeight="1">
      <c r="A78" s="46">
        <v>75.0</v>
      </c>
      <c r="B78" s="55">
        <v>1011514.0</v>
      </c>
      <c r="C78" s="48" t="str">
        <f>vlookup(B78,'Crew Data'!C:G,5,0)</f>
        <v>Phapada Chukavirote</v>
      </c>
      <c r="D78" s="270" t="s">
        <v>1310</v>
      </c>
      <c r="E78" s="55">
        <v>2.0</v>
      </c>
      <c r="F78" s="50">
        <f t="shared" si="1"/>
        <v>800</v>
      </c>
      <c r="G78" s="22">
        <f t="shared" si="2"/>
        <v>1</v>
      </c>
      <c r="H78" s="51" t="s">
        <v>20</v>
      </c>
    </row>
    <row r="79" ht="25.5" customHeight="1">
      <c r="A79" s="54">
        <v>76.0</v>
      </c>
      <c r="B79" s="55">
        <v>1002118.0</v>
      </c>
      <c r="C79" s="48" t="str">
        <f>vlookup(B79,'Crew Data'!C:G,5,0)</f>
        <v>Sasimon Jearapan</v>
      </c>
      <c r="D79" s="270" t="s">
        <v>1311</v>
      </c>
      <c r="E79" s="55">
        <v>55.0</v>
      </c>
      <c r="F79" s="50">
        <f t="shared" si="1"/>
        <v>22000</v>
      </c>
      <c r="G79" s="22">
        <f t="shared" si="2"/>
        <v>1</v>
      </c>
      <c r="H79" s="51" t="s">
        <v>20</v>
      </c>
    </row>
    <row r="80" ht="25.5" customHeight="1">
      <c r="A80" s="46">
        <v>77.0</v>
      </c>
      <c r="B80" s="55">
        <v>1016197.0</v>
      </c>
      <c r="C80" s="48" t="str">
        <f>vlookup(B80,'Crew Data'!C:G,5,0)</f>
        <v>Kornchanok Ruamsanit</v>
      </c>
      <c r="D80" s="270" t="s">
        <v>1312</v>
      </c>
      <c r="E80" s="55">
        <v>2.0</v>
      </c>
      <c r="F80" s="50">
        <f t="shared" si="1"/>
        <v>800</v>
      </c>
      <c r="G80" s="22">
        <f t="shared" si="2"/>
        <v>1</v>
      </c>
      <c r="H80" s="51" t="s">
        <v>20</v>
      </c>
    </row>
    <row r="81" ht="25.5" customHeight="1">
      <c r="A81" s="46">
        <v>78.0</v>
      </c>
      <c r="B81" s="55">
        <v>1013185.0</v>
      </c>
      <c r="C81" s="48" t="str">
        <f>vlookup(B81,'Crew Data'!C:G,5,0)</f>
        <v>Pongsak Sangdee</v>
      </c>
      <c r="D81" s="270" t="s">
        <v>1313</v>
      </c>
      <c r="E81" s="55">
        <v>29.0</v>
      </c>
      <c r="F81" s="50">
        <f t="shared" si="1"/>
        <v>11600</v>
      </c>
      <c r="G81" s="22">
        <f t="shared" si="2"/>
        <v>1</v>
      </c>
      <c r="H81" s="51" t="s">
        <v>20</v>
      </c>
    </row>
    <row r="82" ht="25.5" customHeight="1">
      <c r="A82" s="46">
        <v>79.0</v>
      </c>
      <c r="B82" s="55">
        <v>1004212.0</v>
      </c>
      <c r="C82" s="48" t="str">
        <f>vlookup(B82,'Crew Data'!C:G,5,0)</f>
        <v>Varisa Nimkasai</v>
      </c>
      <c r="D82" s="270" t="s">
        <v>1309</v>
      </c>
      <c r="E82" s="55">
        <v>4.0</v>
      </c>
      <c r="F82" s="50">
        <f t="shared" si="1"/>
        <v>1600</v>
      </c>
      <c r="G82" s="22">
        <f t="shared" si="2"/>
        <v>1</v>
      </c>
      <c r="H82" s="51" t="s">
        <v>20</v>
      </c>
    </row>
    <row r="83" ht="25.5" customHeight="1">
      <c r="A83" s="46">
        <v>80.0</v>
      </c>
      <c r="B83" s="55">
        <v>1017649.0</v>
      </c>
      <c r="C83" s="48" t="str">
        <f>vlookup(B83,'Crew Data'!C:G,5,0)</f>
        <v>#N/A</v>
      </c>
      <c r="D83" s="270" t="s">
        <v>1314</v>
      </c>
      <c r="E83" s="55">
        <v>31.0</v>
      </c>
      <c r="F83" s="50">
        <f t="shared" si="1"/>
        <v>12400</v>
      </c>
      <c r="G83" s="22">
        <f t="shared" si="2"/>
        <v>1</v>
      </c>
      <c r="H83" s="51" t="s">
        <v>20</v>
      </c>
    </row>
    <row r="84" ht="25.5" customHeight="1">
      <c r="A84" s="46">
        <v>81.0</v>
      </c>
      <c r="B84" s="55">
        <v>1007181.0</v>
      </c>
      <c r="C84" s="48" t="str">
        <f>vlookup(B84,'Crew Data'!C:G,5,0)</f>
        <v>Warisara Sutta</v>
      </c>
      <c r="D84" s="270" t="s">
        <v>1315</v>
      </c>
      <c r="E84" s="55">
        <v>3.0</v>
      </c>
      <c r="F84" s="50">
        <f t="shared" si="1"/>
        <v>1200</v>
      </c>
      <c r="G84" s="22">
        <f t="shared" si="2"/>
        <v>1</v>
      </c>
      <c r="H84" s="51" t="s">
        <v>20</v>
      </c>
    </row>
    <row r="85" ht="25.5" customHeight="1">
      <c r="A85" s="46">
        <v>82.0</v>
      </c>
      <c r="B85" s="55">
        <v>1013028.0</v>
      </c>
      <c r="C85" s="48" t="str">
        <f>vlookup(B85,'Crew Data'!C:G,5,0)</f>
        <v>Premaporn Preechanonda</v>
      </c>
      <c r="D85" s="270" t="s">
        <v>1193</v>
      </c>
      <c r="E85" s="55">
        <v>2.0</v>
      </c>
      <c r="F85" s="50">
        <f t="shared" si="1"/>
        <v>800</v>
      </c>
      <c r="G85" s="22">
        <f t="shared" si="2"/>
        <v>1</v>
      </c>
      <c r="H85" s="51" t="s">
        <v>20</v>
      </c>
    </row>
    <row r="86" ht="25.5" customHeight="1">
      <c r="A86" s="46">
        <v>83.0</v>
      </c>
      <c r="B86" s="55">
        <v>1002370.0</v>
      </c>
      <c r="C86" s="48" t="str">
        <f>vlookup(B86,'Crew Data'!C:G,5,0)</f>
        <v>Napaphat Yuktanan</v>
      </c>
      <c r="D86" s="270" t="s">
        <v>1301</v>
      </c>
      <c r="E86" s="55">
        <v>2.0</v>
      </c>
      <c r="F86" s="50">
        <f t="shared" si="1"/>
        <v>800</v>
      </c>
      <c r="G86" s="22">
        <f t="shared" si="2"/>
        <v>1</v>
      </c>
      <c r="H86" s="51" t="s">
        <v>20</v>
      </c>
    </row>
    <row r="87" ht="25.5" customHeight="1">
      <c r="A87" s="46">
        <v>84.0</v>
      </c>
      <c r="B87" s="55">
        <v>1008956.0</v>
      </c>
      <c r="C87" s="48" t="str">
        <f>vlookup(B87,'Crew Data'!C:G,5,0)</f>
        <v>Duangkamon Thongfuang</v>
      </c>
      <c r="D87" s="270" t="s">
        <v>1232</v>
      </c>
      <c r="E87" s="55">
        <v>2.0</v>
      </c>
      <c r="F87" s="50">
        <f t="shared" si="1"/>
        <v>800</v>
      </c>
      <c r="G87" s="22">
        <f t="shared" si="2"/>
        <v>1</v>
      </c>
      <c r="H87" s="51" t="s">
        <v>20</v>
      </c>
    </row>
    <row r="88" ht="25.5" customHeight="1">
      <c r="A88" s="46">
        <v>85.0</v>
      </c>
      <c r="B88" s="55">
        <v>1019295.0</v>
      </c>
      <c r="C88" s="48" t="str">
        <f>vlookup(B88,'Crew Data'!C:G,5,0)</f>
        <v>Methawee Yos-in</v>
      </c>
      <c r="D88" s="270" t="s">
        <v>1316</v>
      </c>
      <c r="E88" s="55">
        <v>21.0</v>
      </c>
      <c r="F88" s="50">
        <f t="shared" si="1"/>
        <v>8400</v>
      </c>
      <c r="G88" s="22">
        <f t="shared" si="2"/>
        <v>1</v>
      </c>
      <c r="H88" s="51" t="s">
        <v>20</v>
      </c>
    </row>
    <row r="89" ht="25.5" customHeight="1">
      <c r="A89" s="54">
        <v>86.0</v>
      </c>
      <c r="B89" s="55">
        <v>1007022.0</v>
      </c>
      <c r="C89" s="48" t="str">
        <f>vlookup(B89,'Crew Data'!C:G,5,0)</f>
        <v>Waroot Chanpueak</v>
      </c>
      <c r="D89" s="270" t="s">
        <v>1299</v>
      </c>
      <c r="E89" s="55">
        <v>4.0</v>
      </c>
      <c r="F89" s="50">
        <f t="shared" si="1"/>
        <v>1600</v>
      </c>
      <c r="G89" s="22">
        <f t="shared" si="2"/>
        <v>1</v>
      </c>
      <c r="H89" s="51" t="s">
        <v>20</v>
      </c>
    </row>
    <row r="90" ht="25.5" customHeight="1">
      <c r="A90" s="46">
        <v>87.0</v>
      </c>
      <c r="B90" s="55">
        <v>1012363.0</v>
      </c>
      <c r="C90" s="48" t="str">
        <f>vlookup(B90,'Crew Data'!C:G,5,0)</f>
        <v>#N/A</v>
      </c>
      <c r="D90" s="270" t="s">
        <v>1317</v>
      </c>
      <c r="E90" s="55">
        <v>8.0</v>
      </c>
      <c r="F90" s="50">
        <f t="shared" si="1"/>
        <v>3200</v>
      </c>
      <c r="G90" s="22">
        <f t="shared" si="2"/>
        <v>1</v>
      </c>
      <c r="H90" s="51" t="s">
        <v>20</v>
      </c>
    </row>
    <row r="91" ht="25.5" customHeight="1">
      <c r="A91" s="46">
        <v>88.0</v>
      </c>
      <c r="B91" s="55">
        <v>1022986.0</v>
      </c>
      <c r="C91" s="48" t="str">
        <f>vlookup(B91,'Crew Data'!C:G,5,0)</f>
        <v>Minthita Kanchanapinpong</v>
      </c>
      <c r="D91" s="270" t="s">
        <v>1280</v>
      </c>
      <c r="E91" s="55">
        <v>4.0</v>
      </c>
      <c r="F91" s="50">
        <f t="shared" si="1"/>
        <v>1600</v>
      </c>
      <c r="G91" s="22">
        <f t="shared" si="2"/>
        <v>1</v>
      </c>
      <c r="H91" s="51" t="s">
        <v>20</v>
      </c>
    </row>
    <row r="92" ht="25.5" customHeight="1">
      <c r="A92" s="46">
        <v>89.0</v>
      </c>
      <c r="B92" s="55">
        <v>1023582.0</v>
      </c>
      <c r="C92" s="48" t="str">
        <f>vlookup(B92,'Crew Data'!C:G,5,0)</f>
        <v>Rawiwan Chailerst</v>
      </c>
      <c r="D92" s="270" t="s">
        <v>1302</v>
      </c>
      <c r="E92" s="55">
        <v>4.0</v>
      </c>
      <c r="F92" s="50">
        <f t="shared" si="1"/>
        <v>1600</v>
      </c>
      <c r="G92" s="22">
        <f t="shared" si="2"/>
        <v>1</v>
      </c>
      <c r="H92" s="51" t="s">
        <v>20</v>
      </c>
    </row>
    <row r="93" ht="25.5" customHeight="1">
      <c r="A93" s="46">
        <v>90.0</v>
      </c>
      <c r="B93" s="55">
        <v>1010919.0</v>
      </c>
      <c r="C93" s="48" t="str">
        <f>vlookup(B93,'Crew Data'!C:G,5,0)</f>
        <v>Suntorn Srimasongserm</v>
      </c>
      <c r="D93" s="270" t="s">
        <v>1190</v>
      </c>
      <c r="E93" s="55">
        <v>2.0</v>
      </c>
      <c r="F93" s="50">
        <f t="shared" si="1"/>
        <v>800</v>
      </c>
      <c r="G93" s="22">
        <f t="shared" si="2"/>
        <v>1</v>
      </c>
      <c r="H93" s="51" t="s">
        <v>20</v>
      </c>
    </row>
    <row r="94" ht="25.5" customHeight="1">
      <c r="A94" s="54">
        <v>91.0</v>
      </c>
      <c r="B94" s="55">
        <v>1010897.0</v>
      </c>
      <c r="C94" s="48" t="str">
        <f>vlookup(B94,'Crew Data'!C:G,5,0)</f>
        <v>Natcharee Wisespun</v>
      </c>
      <c r="D94" s="270" t="s">
        <v>1293</v>
      </c>
      <c r="E94" s="55">
        <v>4.0</v>
      </c>
      <c r="F94" s="50">
        <f t="shared" si="1"/>
        <v>1600</v>
      </c>
      <c r="G94" s="22">
        <f t="shared" si="2"/>
        <v>1</v>
      </c>
      <c r="H94" s="51" t="s">
        <v>20</v>
      </c>
    </row>
    <row r="95" ht="25.5" customHeight="1">
      <c r="A95" s="46">
        <v>92.0</v>
      </c>
      <c r="B95" s="55">
        <v>1001123.0</v>
      </c>
      <c r="C95" s="48" t="str">
        <f>vlookup(B95,'Crew Data'!C:G,5,0)</f>
        <v>#N/A</v>
      </c>
      <c r="D95" s="270" t="s">
        <v>1274</v>
      </c>
      <c r="E95" s="55">
        <v>4.0</v>
      </c>
      <c r="F95" s="50">
        <f t="shared" si="1"/>
        <v>1600</v>
      </c>
      <c r="G95" s="22">
        <f t="shared" si="2"/>
        <v>1</v>
      </c>
      <c r="H95" s="51" t="s">
        <v>20</v>
      </c>
    </row>
    <row r="96" ht="25.5" customHeight="1">
      <c r="A96" s="54">
        <v>93.0</v>
      </c>
      <c r="B96" s="55">
        <v>1011813.0</v>
      </c>
      <c r="C96" s="48" t="str">
        <f>vlookup(B96,'Crew Data'!C:G,5,0)</f>
        <v>Kathaleeya Jaroensuk</v>
      </c>
      <c r="D96" s="270" t="s">
        <v>1290</v>
      </c>
      <c r="E96" s="55">
        <v>4.0</v>
      </c>
      <c r="F96" s="50">
        <f t="shared" si="1"/>
        <v>1600</v>
      </c>
      <c r="G96" s="22">
        <f t="shared" si="2"/>
        <v>1</v>
      </c>
      <c r="H96" s="51" t="s">
        <v>20</v>
      </c>
    </row>
    <row r="97" ht="25.5" customHeight="1">
      <c r="A97" s="54">
        <v>94.0</v>
      </c>
      <c r="B97" s="55">
        <v>1022226.0</v>
      </c>
      <c r="C97" s="48" t="str">
        <f>vlookup(B97,'Crew Data'!C:G,5,0)</f>
        <v>Janrawee Peerapand</v>
      </c>
      <c r="D97" s="270" t="s">
        <v>1318</v>
      </c>
      <c r="E97" s="55">
        <v>2.0</v>
      </c>
      <c r="F97" s="50">
        <f t="shared" si="1"/>
        <v>800</v>
      </c>
      <c r="G97" s="22">
        <f t="shared" si="2"/>
        <v>1</v>
      </c>
      <c r="H97" s="51" t="s">
        <v>20</v>
      </c>
    </row>
    <row r="98" ht="25.5" customHeight="1">
      <c r="A98" s="46">
        <v>95.0</v>
      </c>
      <c r="B98" s="55">
        <v>1019535.0</v>
      </c>
      <c r="C98" s="48" t="str">
        <f>vlookup(B98,'Crew Data'!C:G,5,0)</f>
        <v>Primwipa Klinkachorn</v>
      </c>
      <c r="D98" s="270" t="s">
        <v>1190</v>
      </c>
      <c r="E98" s="55">
        <v>2.0</v>
      </c>
      <c r="F98" s="50">
        <f t="shared" si="1"/>
        <v>800</v>
      </c>
      <c r="G98" s="22">
        <f t="shared" si="2"/>
        <v>1</v>
      </c>
      <c r="H98" s="51" t="s">
        <v>20</v>
      </c>
    </row>
    <row r="99" ht="25.5" customHeight="1">
      <c r="A99" s="46">
        <v>96.0</v>
      </c>
      <c r="B99" s="55">
        <v>1004541.0</v>
      </c>
      <c r="C99" s="48" t="str">
        <f>vlookup(B99,'Crew Data'!C:G,5,0)</f>
        <v>Varaporn Rattanamahasalchai</v>
      </c>
      <c r="D99" s="270" t="s">
        <v>1278</v>
      </c>
      <c r="E99" s="55">
        <v>2.0</v>
      </c>
      <c r="F99" s="50">
        <f t="shared" si="1"/>
        <v>800</v>
      </c>
      <c r="G99" s="22">
        <f t="shared" si="2"/>
        <v>1</v>
      </c>
      <c r="H99" s="51" t="s">
        <v>20</v>
      </c>
    </row>
    <row r="100" ht="25.5" customHeight="1">
      <c r="A100" s="46">
        <v>97.0</v>
      </c>
      <c r="B100" s="55">
        <v>1012359.0</v>
      </c>
      <c r="C100" s="48" t="str">
        <f>vlookup(B100,'Crew Data'!C:G,5,0)</f>
        <v>Kotchakon Kanchanamethakul</v>
      </c>
      <c r="D100" s="270" t="s">
        <v>1282</v>
      </c>
      <c r="E100" s="55">
        <v>4.0</v>
      </c>
      <c r="F100" s="50">
        <f t="shared" si="1"/>
        <v>1600</v>
      </c>
      <c r="G100" s="22">
        <f t="shared" si="2"/>
        <v>1</v>
      </c>
      <c r="H100" s="51" t="s">
        <v>20</v>
      </c>
    </row>
    <row r="101" ht="25.5" customHeight="1">
      <c r="A101" s="46">
        <v>98.0</v>
      </c>
      <c r="B101" s="55">
        <v>1019301.0</v>
      </c>
      <c r="C101" s="48" t="str">
        <f>vlookup(B101,'Crew Data'!C:G,5,0)</f>
        <v>#N/A</v>
      </c>
      <c r="D101" s="270" t="s">
        <v>1319</v>
      </c>
      <c r="E101" s="55">
        <v>4.0</v>
      </c>
      <c r="F101" s="50">
        <f t="shared" si="1"/>
        <v>1600</v>
      </c>
      <c r="G101" s="22">
        <f t="shared" si="2"/>
        <v>1</v>
      </c>
      <c r="H101" s="51" t="s">
        <v>20</v>
      </c>
    </row>
    <row r="102" ht="25.5" customHeight="1">
      <c r="A102" s="54">
        <v>99.0</v>
      </c>
      <c r="B102" s="55">
        <v>1001615.0</v>
      </c>
      <c r="C102" s="48" t="str">
        <f>vlookup(B102,'Crew Data'!C:G,5,0)</f>
        <v>Sansanee Chittiboonruan</v>
      </c>
      <c r="D102" s="270" t="s">
        <v>1190</v>
      </c>
      <c r="E102" s="55">
        <v>2.0</v>
      </c>
      <c r="F102" s="50">
        <f t="shared" si="1"/>
        <v>800</v>
      </c>
      <c r="G102" s="22">
        <f t="shared" si="2"/>
        <v>1</v>
      </c>
      <c r="H102" s="51" t="s">
        <v>20</v>
      </c>
    </row>
    <row r="103" ht="25.5" customHeight="1">
      <c r="A103" s="46">
        <v>100.0</v>
      </c>
      <c r="B103" s="55">
        <v>1007036.0</v>
      </c>
      <c r="C103" s="48" t="str">
        <f>vlookup(B103,'Crew Data'!C:G,5,0)</f>
        <v>#N/A</v>
      </c>
      <c r="D103" s="270" t="s">
        <v>1172</v>
      </c>
      <c r="E103" s="55">
        <v>2.0</v>
      </c>
      <c r="F103" s="50">
        <f t="shared" si="1"/>
        <v>800</v>
      </c>
      <c r="G103" s="22">
        <f t="shared" si="2"/>
        <v>1</v>
      </c>
      <c r="H103" s="51" t="s">
        <v>20</v>
      </c>
    </row>
    <row r="104" ht="25.5" customHeight="1">
      <c r="A104" s="54">
        <v>101.0</v>
      </c>
      <c r="B104" s="55">
        <v>1012158.0</v>
      </c>
      <c r="C104" s="48" t="str">
        <f>vlookup(B104,'Crew Data'!C:G,5,0)</f>
        <v>Itthipong Khanthonglor</v>
      </c>
      <c r="D104" s="270" t="s">
        <v>1300</v>
      </c>
      <c r="E104" s="55">
        <v>2.0</v>
      </c>
      <c r="F104" s="50">
        <f t="shared" si="1"/>
        <v>800</v>
      </c>
      <c r="G104" s="22">
        <f t="shared" si="2"/>
        <v>1</v>
      </c>
      <c r="H104" s="51" t="s">
        <v>20</v>
      </c>
    </row>
    <row r="105" ht="25.5" customHeight="1">
      <c r="A105" s="54">
        <v>102.0</v>
      </c>
      <c r="B105" s="55">
        <v>1004195.0</v>
      </c>
      <c r="C105" s="48" t="str">
        <f>vlookup(B105,'Crew Data'!C:G,5,0)</f>
        <v>#N/A</v>
      </c>
      <c r="D105" s="270" t="s">
        <v>1231</v>
      </c>
      <c r="E105" s="55">
        <v>2.0</v>
      </c>
      <c r="F105" s="50">
        <f t="shared" si="1"/>
        <v>800</v>
      </c>
      <c r="G105" s="22">
        <f t="shared" si="2"/>
        <v>1</v>
      </c>
      <c r="H105" s="51" t="s">
        <v>20</v>
      </c>
    </row>
    <row r="106" ht="25.5" customHeight="1">
      <c r="A106" s="46">
        <v>103.0</v>
      </c>
      <c r="B106" s="55">
        <v>1003386.0</v>
      </c>
      <c r="C106" s="48" t="str">
        <f>vlookup(B106,'Crew Data'!C:G,5,0)</f>
        <v>#N/A</v>
      </c>
      <c r="D106" s="270" t="s">
        <v>1320</v>
      </c>
      <c r="E106" s="55">
        <v>8.0</v>
      </c>
      <c r="F106" s="50">
        <f t="shared" si="1"/>
        <v>3200</v>
      </c>
      <c r="G106" s="22">
        <f t="shared" si="2"/>
        <v>1</v>
      </c>
      <c r="H106" s="51" t="s">
        <v>20</v>
      </c>
    </row>
    <row r="107" ht="25.5" customHeight="1">
      <c r="A107" s="46">
        <v>104.0</v>
      </c>
      <c r="B107" s="55">
        <v>1005967.0</v>
      </c>
      <c r="C107" s="48" t="str">
        <f>vlookup(B107,'Crew Data'!C:G,5,0)</f>
        <v>Yukol Phubunjongkij</v>
      </c>
      <c r="D107" s="270" t="s">
        <v>1321</v>
      </c>
      <c r="E107" s="55">
        <v>6.0</v>
      </c>
      <c r="F107" s="50">
        <f t="shared" si="1"/>
        <v>2400</v>
      </c>
      <c r="G107" s="22">
        <f t="shared" si="2"/>
        <v>1</v>
      </c>
      <c r="H107" s="51" t="s">
        <v>20</v>
      </c>
    </row>
    <row r="108" ht="25.5" customHeight="1">
      <c r="A108" s="46">
        <v>105.0</v>
      </c>
      <c r="B108" s="55">
        <v>1017656.0</v>
      </c>
      <c r="C108" s="48" t="str">
        <f>vlookup(B108,'Crew Data'!C:G,5,0)</f>
        <v>#N/A</v>
      </c>
      <c r="D108" s="270" t="s">
        <v>1322</v>
      </c>
      <c r="E108" s="55">
        <v>16.0</v>
      </c>
      <c r="F108" s="50">
        <f t="shared" si="1"/>
        <v>6400</v>
      </c>
      <c r="G108" s="22">
        <f t="shared" si="2"/>
        <v>1</v>
      </c>
      <c r="H108" s="51" t="s">
        <v>20</v>
      </c>
    </row>
    <row r="109" ht="25.5" customHeight="1">
      <c r="A109" s="46">
        <v>106.0</v>
      </c>
      <c r="B109" s="55">
        <v>1003135.0</v>
      </c>
      <c r="C109" s="48" t="str">
        <f>vlookup(B109,'Crew Data'!C:G,5,0)</f>
        <v>Kantina Dittapan</v>
      </c>
      <c r="D109" s="270" t="s">
        <v>1323</v>
      </c>
      <c r="E109" s="55">
        <v>4.0</v>
      </c>
      <c r="F109" s="50">
        <f t="shared" si="1"/>
        <v>1600</v>
      </c>
      <c r="G109" s="22">
        <f t="shared" si="2"/>
        <v>1</v>
      </c>
      <c r="H109" s="51" t="s">
        <v>20</v>
      </c>
    </row>
    <row r="110" ht="25.5" customHeight="1">
      <c r="A110" s="54">
        <v>107.0</v>
      </c>
      <c r="B110" s="55">
        <v>1000716.0</v>
      </c>
      <c r="C110" s="48" t="str">
        <f>vlookup(B110,'Crew Data'!C:G,5,0)</f>
        <v>#N/A</v>
      </c>
      <c r="D110" s="270" t="s">
        <v>1324</v>
      </c>
      <c r="E110" s="55">
        <v>15.0</v>
      </c>
      <c r="F110" s="50">
        <f t="shared" si="1"/>
        <v>6000</v>
      </c>
      <c r="G110" s="22">
        <f t="shared" si="2"/>
        <v>1</v>
      </c>
      <c r="H110" s="51" t="s">
        <v>20</v>
      </c>
    </row>
    <row r="111" ht="25.5" customHeight="1">
      <c r="A111" s="46">
        <v>108.0</v>
      </c>
      <c r="B111" s="55">
        <v>1014359.0</v>
      </c>
      <c r="C111" s="48" t="str">
        <f>vlookup(B111,'Crew Data'!C:G,5,0)</f>
        <v>Rattiporn Thongarch</v>
      </c>
      <c r="D111" s="270" t="s">
        <v>1272</v>
      </c>
      <c r="E111" s="55">
        <v>4.0</v>
      </c>
      <c r="F111" s="50">
        <f t="shared" si="1"/>
        <v>1600</v>
      </c>
      <c r="G111" s="22">
        <f t="shared" si="2"/>
        <v>1</v>
      </c>
      <c r="H111" s="51" t="s">
        <v>20</v>
      </c>
    </row>
    <row r="112" ht="25.5" customHeight="1">
      <c r="A112" s="54">
        <v>109.0</v>
      </c>
      <c r="B112" s="55">
        <v>1011078.0</v>
      </c>
      <c r="C112" s="48" t="str">
        <f>vlookup(B112,'Crew Data'!C:G,5,0)</f>
        <v>#N/A</v>
      </c>
      <c r="D112" s="270" t="s">
        <v>1325</v>
      </c>
      <c r="E112" s="55">
        <v>2.0</v>
      </c>
      <c r="F112" s="50">
        <f t="shared" si="1"/>
        <v>800</v>
      </c>
      <c r="G112" s="22">
        <f t="shared" si="2"/>
        <v>1</v>
      </c>
      <c r="H112" s="51" t="s">
        <v>20</v>
      </c>
    </row>
    <row r="113" ht="25.5" customHeight="1">
      <c r="A113" s="54">
        <v>110.0</v>
      </c>
      <c r="B113" s="55">
        <v>1009843.0</v>
      </c>
      <c r="C113" s="48" t="str">
        <f>vlookup(B113,'Crew Data'!C:G,5,0)</f>
        <v>#N/A</v>
      </c>
      <c r="D113" s="270" t="s">
        <v>1326</v>
      </c>
      <c r="E113" s="55">
        <v>16.0</v>
      </c>
      <c r="F113" s="50">
        <f t="shared" si="1"/>
        <v>6400</v>
      </c>
      <c r="G113" s="22">
        <f t="shared" si="2"/>
        <v>1</v>
      </c>
      <c r="H113" s="51" t="s">
        <v>20</v>
      </c>
    </row>
    <row r="114" ht="25.5" customHeight="1">
      <c r="A114" s="46">
        <v>111.0</v>
      </c>
      <c r="B114" s="55">
        <v>1011499.0</v>
      </c>
      <c r="C114" s="48" t="str">
        <f>vlookup(B114,'Crew Data'!C:G,5,0)</f>
        <v>#N/A</v>
      </c>
      <c r="D114" s="270" t="s">
        <v>1277</v>
      </c>
      <c r="E114" s="55">
        <v>2.0</v>
      </c>
      <c r="F114" s="50">
        <f t="shared" si="1"/>
        <v>800</v>
      </c>
      <c r="G114" s="22">
        <f t="shared" si="2"/>
        <v>1</v>
      </c>
      <c r="H114" s="51" t="s">
        <v>20</v>
      </c>
    </row>
    <row r="115" ht="25.5" customHeight="1">
      <c r="A115" s="46">
        <v>112.0</v>
      </c>
      <c r="B115" s="55">
        <v>1011846.0</v>
      </c>
      <c r="C115" s="48" t="str">
        <f>vlookup(B115,'Crew Data'!C:G,5,0)</f>
        <v>Waleeporn Jongkaewwattana</v>
      </c>
      <c r="D115" s="270" t="s">
        <v>1327</v>
      </c>
      <c r="E115" s="55">
        <v>28.0</v>
      </c>
      <c r="F115" s="50">
        <f t="shared" si="1"/>
        <v>11200</v>
      </c>
      <c r="G115" s="22">
        <f t="shared" si="2"/>
        <v>1</v>
      </c>
      <c r="H115" s="51" t="s">
        <v>20</v>
      </c>
    </row>
    <row r="116" ht="25.5" customHeight="1">
      <c r="A116" s="46">
        <v>113.0</v>
      </c>
      <c r="B116" s="55">
        <v>1011758.0</v>
      </c>
      <c r="C116" s="48" t="str">
        <f>vlookup(B116,'Crew Data'!C:G,5,0)</f>
        <v>Suwannee Phrueksachiwa</v>
      </c>
      <c r="D116" s="270" t="s">
        <v>1328</v>
      </c>
      <c r="E116" s="55">
        <v>6.0</v>
      </c>
      <c r="F116" s="50">
        <f t="shared" si="1"/>
        <v>2400</v>
      </c>
      <c r="G116" s="22">
        <f t="shared" si="2"/>
        <v>1</v>
      </c>
      <c r="H116" s="51" t="s">
        <v>20</v>
      </c>
    </row>
    <row r="117" ht="25.5" customHeight="1">
      <c r="A117" s="46">
        <v>114.0</v>
      </c>
      <c r="B117" s="55">
        <v>1007194.0</v>
      </c>
      <c r="C117" s="48" t="str">
        <f>vlookup(B117,'Crew Data'!C:G,5,0)</f>
        <v>Arparatt Pengya</v>
      </c>
      <c r="D117" s="270" t="s">
        <v>1329</v>
      </c>
      <c r="E117" s="55">
        <v>4.0</v>
      </c>
      <c r="F117" s="50">
        <f t="shared" si="1"/>
        <v>1600</v>
      </c>
      <c r="G117" s="22">
        <f t="shared" si="2"/>
        <v>1</v>
      </c>
      <c r="H117" s="51" t="s">
        <v>20</v>
      </c>
    </row>
    <row r="118" ht="25.5" customHeight="1">
      <c r="A118" s="54">
        <v>115.0</v>
      </c>
      <c r="B118" s="55">
        <v>1014353.0</v>
      </c>
      <c r="C118" s="48" t="str">
        <f>vlookup(B118,'Crew Data'!C:G,5,0)</f>
        <v>Pornnapat Kittimontreechai</v>
      </c>
      <c r="D118" s="270" t="s">
        <v>1330</v>
      </c>
      <c r="E118" s="55">
        <v>31.0</v>
      </c>
      <c r="F118" s="50">
        <f t="shared" si="1"/>
        <v>12400</v>
      </c>
      <c r="G118" s="22">
        <f t="shared" si="2"/>
        <v>1</v>
      </c>
      <c r="H118" s="51" t="s">
        <v>20</v>
      </c>
    </row>
    <row r="119" ht="25.5" customHeight="1">
      <c r="A119" s="46">
        <v>116.0</v>
      </c>
      <c r="B119" s="55">
        <v>1005354.0</v>
      </c>
      <c r="C119" s="48" t="str">
        <f>vlookup(B119,'Crew Data'!C:G,5,0)</f>
        <v>#N/A</v>
      </c>
      <c r="D119" s="270" t="s">
        <v>1331</v>
      </c>
      <c r="E119" s="55">
        <v>30.0</v>
      </c>
      <c r="F119" s="50">
        <f t="shared" si="1"/>
        <v>12000</v>
      </c>
      <c r="G119" s="22">
        <f t="shared" si="2"/>
        <v>1</v>
      </c>
      <c r="H119" s="51" t="s">
        <v>20</v>
      </c>
    </row>
    <row r="120" ht="25.5" customHeight="1">
      <c r="A120" s="54">
        <v>117.0</v>
      </c>
      <c r="B120" s="55">
        <v>1009768.0</v>
      </c>
      <c r="C120" s="48" t="str">
        <f>vlookup(B120,'Crew Data'!C:G,5,0)</f>
        <v>Thidech Eakmongkollert</v>
      </c>
      <c r="D120" s="270" t="s">
        <v>1332</v>
      </c>
      <c r="E120" s="55">
        <v>15.0</v>
      </c>
      <c r="F120" s="50">
        <f t="shared" si="1"/>
        <v>6000</v>
      </c>
      <c r="G120" s="22">
        <f t="shared" si="2"/>
        <v>1</v>
      </c>
      <c r="H120" s="51" t="s">
        <v>20</v>
      </c>
    </row>
    <row r="121" ht="25.5" customHeight="1">
      <c r="A121" s="54">
        <v>118.0</v>
      </c>
      <c r="B121" s="55">
        <v>1000732.0</v>
      </c>
      <c r="C121" s="48" t="str">
        <f>vlookup(B121,'Crew Data'!C:G,5,0)</f>
        <v>Inthra Mathiang</v>
      </c>
      <c r="D121" s="270" t="s">
        <v>1333</v>
      </c>
      <c r="E121" s="55">
        <v>28.0</v>
      </c>
      <c r="F121" s="50">
        <f t="shared" si="1"/>
        <v>11200</v>
      </c>
      <c r="G121" s="22">
        <f t="shared" si="2"/>
        <v>1</v>
      </c>
      <c r="H121" s="51" t="s">
        <v>20</v>
      </c>
    </row>
    <row r="122" ht="25.5" customHeight="1">
      <c r="A122" s="46">
        <v>119.0</v>
      </c>
      <c r="B122" s="55">
        <v>1006363.0</v>
      </c>
      <c r="C122" s="48" t="str">
        <f>vlookup(B122,'Crew Data'!C:G,5,0)</f>
        <v>#N/A</v>
      </c>
      <c r="D122" s="270" t="s">
        <v>1334</v>
      </c>
      <c r="E122" s="55">
        <v>8.0</v>
      </c>
      <c r="F122" s="50">
        <f t="shared" si="1"/>
        <v>3200</v>
      </c>
      <c r="G122" s="22">
        <f t="shared" si="2"/>
        <v>1</v>
      </c>
      <c r="H122" s="51" t="s">
        <v>20</v>
      </c>
    </row>
    <row r="123" ht="25.5" customHeight="1">
      <c r="A123" s="46">
        <v>120.0</v>
      </c>
      <c r="B123" s="55">
        <v>1014346.0</v>
      </c>
      <c r="C123" s="48" t="str">
        <f>vlookup(B123,'Crew Data'!C:G,5,0)</f>
        <v>Narongchai Mongkolchartthai</v>
      </c>
      <c r="D123" s="270" t="s">
        <v>1335</v>
      </c>
      <c r="E123" s="55">
        <v>5.0</v>
      </c>
      <c r="F123" s="50">
        <f t="shared" si="1"/>
        <v>2000</v>
      </c>
      <c r="G123" s="22">
        <f t="shared" si="2"/>
        <v>1</v>
      </c>
      <c r="H123" s="51" t="s">
        <v>20</v>
      </c>
    </row>
    <row r="124" ht="25.5" customHeight="1">
      <c r="A124" s="46">
        <v>121.0</v>
      </c>
      <c r="B124" s="55">
        <v>1003385.0</v>
      </c>
      <c r="C124" s="48" t="str">
        <f>vlookup(B124,'Crew Data'!C:G,5,0)</f>
        <v>Jaruma Jantarapap</v>
      </c>
      <c r="D124" s="270" t="s">
        <v>1302</v>
      </c>
      <c r="E124" s="55">
        <v>4.0</v>
      </c>
      <c r="F124" s="50">
        <f t="shared" si="1"/>
        <v>1600</v>
      </c>
      <c r="G124" s="22">
        <f t="shared" si="2"/>
        <v>1</v>
      </c>
      <c r="H124" s="51" t="s">
        <v>20</v>
      </c>
    </row>
    <row r="125" ht="25.5" customHeight="1">
      <c r="A125" s="46">
        <v>122.0</v>
      </c>
      <c r="B125" s="55">
        <v>1023584.0</v>
      </c>
      <c r="C125" s="48" t="str">
        <f>vlookup(B125,'Crew Data'!C:G,5,0)</f>
        <v>#N/A</v>
      </c>
      <c r="D125" s="270" t="s">
        <v>1336</v>
      </c>
      <c r="E125" s="55">
        <v>18.0</v>
      </c>
      <c r="F125" s="50">
        <f t="shared" si="1"/>
        <v>7200</v>
      </c>
      <c r="G125" s="22">
        <f t="shared" si="2"/>
        <v>1</v>
      </c>
      <c r="H125" s="51" t="s">
        <v>20</v>
      </c>
    </row>
    <row r="126" ht="25.5" customHeight="1">
      <c r="A126" s="54">
        <v>123.0</v>
      </c>
      <c r="B126" s="55">
        <v>1009131.0</v>
      </c>
      <c r="C126" s="48" t="str">
        <f>vlookup(B126,'Crew Data'!C:G,5,0)</f>
        <v>Burin Wongdithai</v>
      </c>
      <c r="D126" s="270" t="s">
        <v>1326</v>
      </c>
      <c r="E126" s="55">
        <v>16.0</v>
      </c>
      <c r="F126" s="50">
        <f t="shared" si="1"/>
        <v>6400</v>
      </c>
      <c r="G126" s="22">
        <f t="shared" si="2"/>
        <v>1</v>
      </c>
      <c r="H126" s="51" t="s">
        <v>20</v>
      </c>
    </row>
    <row r="127" ht="25.5" customHeight="1">
      <c r="A127" s="46">
        <v>124.0</v>
      </c>
      <c r="B127" s="55">
        <v>1018790.0</v>
      </c>
      <c r="C127" s="48" t="str">
        <f>vlookup(B127,'Crew Data'!C:G,5,0)</f>
        <v>Julalak Tansakul</v>
      </c>
      <c r="D127" s="270" t="s">
        <v>1337</v>
      </c>
      <c r="E127" s="55">
        <v>30.0</v>
      </c>
      <c r="F127" s="50">
        <f t="shared" si="1"/>
        <v>12000</v>
      </c>
      <c r="G127" s="22">
        <f t="shared" si="2"/>
        <v>1</v>
      </c>
      <c r="H127" s="51" t="s">
        <v>20</v>
      </c>
    </row>
    <row r="128" ht="25.5" customHeight="1">
      <c r="A128" s="54">
        <v>125.0</v>
      </c>
      <c r="B128" s="55">
        <v>1006899.0</v>
      </c>
      <c r="C128" s="48" t="str">
        <f>vlookup(B128,'Crew Data'!C:G,5,0)</f>
        <v>Phakchira Charoensuk</v>
      </c>
      <c r="D128" s="270" t="s">
        <v>1330</v>
      </c>
      <c r="E128" s="55">
        <v>31.0</v>
      </c>
      <c r="F128" s="50">
        <f t="shared" si="1"/>
        <v>12400</v>
      </c>
      <c r="G128" s="22">
        <f t="shared" si="2"/>
        <v>1</v>
      </c>
      <c r="H128" s="51" t="s">
        <v>20</v>
      </c>
    </row>
    <row r="129" ht="25.5" customHeight="1">
      <c r="A129" s="54">
        <v>126.0</v>
      </c>
      <c r="B129" s="55">
        <v>1006313.0</v>
      </c>
      <c r="C129" s="48" t="str">
        <f>vlookup(B129,'Crew Data'!C:G,5,0)</f>
        <v>Kanyarat Palasak</v>
      </c>
      <c r="D129" s="270" t="s">
        <v>1338</v>
      </c>
      <c r="E129" s="55">
        <v>17.0</v>
      </c>
      <c r="F129" s="50">
        <f t="shared" si="1"/>
        <v>6800</v>
      </c>
      <c r="G129" s="22">
        <f t="shared" si="2"/>
        <v>1</v>
      </c>
      <c r="H129" s="51" t="s">
        <v>20</v>
      </c>
    </row>
    <row r="130" ht="25.5" customHeight="1">
      <c r="A130" s="46">
        <v>127.0</v>
      </c>
      <c r="B130" s="55">
        <v>1019298.0</v>
      </c>
      <c r="C130" s="48" t="str">
        <f>vlookup(B130,'Crew Data'!C:G,5,0)</f>
        <v>#N/A</v>
      </c>
      <c r="D130" s="270" t="s">
        <v>1267</v>
      </c>
      <c r="E130" s="55">
        <v>4.0</v>
      </c>
      <c r="F130" s="50">
        <f t="shared" si="1"/>
        <v>1600</v>
      </c>
      <c r="G130" s="22">
        <f t="shared" si="2"/>
        <v>1</v>
      </c>
      <c r="H130" s="51" t="s">
        <v>20</v>
      </c>
    </row>
    <row r="131" ht="25.5" customHeight="1">
      <c r="A131" s="46">
        <v>128.0</v>
      </c>
      <c r="B131" s="55">
        <v>1003302.0</v>
      </c>
      <c r="C131" s="48" t="str">
        <f>vlookup(B131,'Crew Data'!C:G,5,0)</f>
        <v>Panwad Thongkham</v>
      </c>
      <c r="D131" s="270" t="s">
        <v>1290</v>
      </c>
      <c r="E131" s="55">
        <v>4.0</v>
      </c>
      <c r="F131" s="50">
        <f t="shared" si="1"/>
        <v>1600</v>
      </c>
      <c r="G131" s="22">
        <f t="shared" si="2"/>
        <v>1</v>
      </c>
      <c r="H131" s="51" t="s">
        <v>20</v>
      </c>
    </row>
    <row r="132" ht="25.5" customHeight="1">
      <c r="A132" s="46">
        <v>129.0</v>
      </c>
      <c r="B132" s="55">
        <v>1002984.0</v>
      </c>
      <c r="C132" s="48" t="str">
        <f>vlookup(B132,'Crew Data'!C:G,5,0)</f>
        <v>Praepailin Luckanatin</v>
      </c>
      <c r="D132" s="270" t="s">
        <v>1339</v>
      </c>
      <c r="E132" s="55">
        <v>19.0</v>
      </c>
      <c r="F132" s="50">
        <f t="shared" si="1"/>
        <v>7600</v>
      </c>
      <c r="G132" s="22">
        <f t="shared" si="2"/>
        <v>1</v>
      </c>
      <c r="H132" s="51" t="s">
        <v>20</v>
      </c>
    </row>
    <row r="133" ht="25.5" customHeight="1">
      <c r="A133" s="46">
        <v>130.0</v>
      </c>
      <c r="B133" s="55">
        <v>1010700.0</v>
      </c>
      <c r="C133" s="48" t="str">
        <f>vlookup(B133,'Crew Data'!C:G,5,0)</f>
        <v>Buntika Wongkham</v>
      </c>
      <c r="D133" s="270" t="s">
        <v>1340</v>
      </c>
      <c r="E133" s="55">
        <v>29.0</v>
      </c>
      <c r="F133" s="50">
        <f t="shared" si="1"/>
        <v>11600</v>
      </c>
      <c r="G133" s="22">
        <f t="shared" si="2"/>
        <v>1</v>
      </c>
      <c r="H133" s="51" t="s">
        <v>20</v>
      </c>
    </row>
    <row r="134" ht="25.5" customHeight="1">
      <c r="A134" s="54">
        <v>131.0</v>
      </c>
      <c r="B134" s="55">
        <v>1007018.0</v>
      </c>
      <c r="C134" s="48" t="str">
        <f>vlookup(B134,'Crew Data'!C:G,5,0)</f>
        <v>#N/A</v>
      </c>
      <c r="D134" s="270" t="s">
        <v>1231</v>
      </c>
      <c r="E134" s="55">
        <v>2.0</v>
      </c>
      <c r="F134" s="50">
        <f t="shared" si="1"/>
        <v>800</v>
      </c>
      <c r="G134" s="22">
        <f t="shared" si="2"/>
        <v>1</v>
      </c>
      <c r="H134" s="51" t="s">
        <v>20</v>
      </c>
    </row>
    <row r="135" ht="25.5" customHeight="1">
      <c r="A135" s="46">
        <v>132.0</v>
      </c>
      <c r="B135" s="55">
        <v>1011306.0</v>
      </c>
      <c r="C135" s="48" t="str">
        <f>vlookup(B135,'Crew Data'!C:G,5,0)</f>
        <v>Kanthanuch Boonlor</v>
      </c>
      <c r="D135" s="270" t="s">
        <v>1341</v>
      </c>
      <c r="E135" s="55">
        <v>19.0</v>
      </c>
      <c r="F135" s="50">
        <f t="shared" si="1"/>
        <v>7600</v>
      </c>
      <c r="G135" s="22">
        <f t="shared" si="2"/>
        <v>1</v>
      </c>
      <c r="H135" s="51" t="s">
        <v>20</v>
      </c>
    </row>
    <row r="136" ht="25.5" customHeight="1">
      <c r="A136" s="54">
        <v>133.0</v>
      </c>
      <c r="B136" s="55">
        <v>1014683.0</v>
      </c>
      <c r="C136" s="48" t="str">
        <f>vlookup(B136,'Crew Data'!C:G,5,0)</f>
        <v>Trin Supredanuwat</v>
      </c>
      <c r="D136" s="270" t="s">
        <v>1330</v>
      </c>
      <c r="E136" s="55">
        <v>31.0</v>
      </c>
      <c r="F136" s="276">
        <f t="shared" si="1"/>
        <v>12400</v>
      </c>
      <c r="G136" s="22">
        <f t="shared" si="2"/>
        <v>1</v>
      </c>
      <c r="H136" s="51" t="s">
        <v>20</v>
      </c>
    </row>
    <row r="137" ht="25.5" customHeight="1">
      <c r="A137" s="46">
        <v>134.0</v>
      </c>
      <c r="B137" s="55">
        <v>1011053.0</v>
      </c>
      <c r="C137" s="48" t="str">
        <f>vlookup(B137,'Crew Data'!C:G,5,0)</f>
        <v>Athit Sornsiriwong</v>
      </c>
      <c r="D137" s="270" t="s">
        <v>1330</v>
      </c>
      <c r="E137" s="55">
        <v>31.0</v>
      </c>
      <c r="F137" s="276">
        <f t="shared" si="1"/>
        <v>12400</v>
      </c>
      <c r="G137" s="22">
        <f t="shared" si="2"/>
        <v>1</v>
      </c>
      <c r="H137" s="51" t="s">
        <v>20</v>
      </c>
    </row>
    <row r="138" ht="25.5" customHeight="1">
      <c r="A138" s="46">
        <v>135.0</v>
      </c>
      <c r="B138" s="55">
        <v>1004034.0</v>
      </c>
      <c r="C138" s="48" t="str">
        <f>vlookup(B138,'Crew Data'!C:G,5,0)</f>
        <v>Monthon Siribunnakul</v>
      </c>
      <c r="D138" s="270" t="s">
        <v>1338</v>
      </c>
      <c r="E138" s="55">
        <v>17.0</v>
      </c>
      <c r="F138" s="276">
        <f t="shared" si="1"/>
        <v>6800</v>
      </c>
      <c r="G138" s="22">
        <f t="shared" si="2"/>
        <v>1</v>
      </c>
      <c r="H138" s="51" t="s">
        <v>20</v>
      </c>
    </row>
    <row r="139" ht="25.5" customHeight="1">
      <c r="A139" s="46">
        <v>136.0</v>
      </c>
      <c r="B139" s="55">
        <v>1011518.0</v>
      </c>
      <c r="C139" s="48" t="str">
        <f>vlookup(B139,'Crew Data'!C:G,5,0)</f>
        <v>Wongsakorn Naokaew</v>
      </c>
      <c r="D139" s="270" t="s">
        <v>1342</v>
      </c>
      <c r="E139" s="55">
        <v>12.0</v>
      </c>
      <c r="F139" s="276">
        <f t="shared" si="1"/>
        <v>4800</v>
      </c>
      <c r="G139" s="22">
        <f t="shared" si="2"/>
        <v>1</v>
      </c>
      <c r="H139" s="51" t="s">
        <v>20</v>
      </c>
    </row>
    <row r="140" ht="25.5" customHeight="1">
      <c r="A140" s="54">
        <v>137.0</v>
      </c>
      <c r="B140" s="55">
        <v>1015410.0</v>
      </c>
      <c r="C140" s="48" t="str">
        <f>vlookup(B140,'Crew Data'!C:G,5,0)</f>
        <v>#N/A</v>
      </c>
      <c r="D140" s="270" t="s">
        <v>1343</v>
      </c>
      <c r="E140" s="55">
        <v>26.0</v>
      </c>
      <c r="F140" s="276">
        <f t="shared" si="1"/>
        <v>10400</v>
      </c>
      <c r="G140" s="22">
        <f t="shared" si="2"/>
        <v>1</v>
      </c>
      <c r="H140" s="51" t="s">
        <v>20</v>
      </c>
    </row>
    <row r="141" ht="25.5" customHeight="1">
      <c r="A141" s="46">
        <v>138.0</v>
      </c>
      <c r="B141" s="55">
        <v>1015412.0</v>
      </c>
      <c r="C141" s="48" t="str">
        <f>vlookup(B141,'Crew Data'!C:G,5,0)</f>
        <v>Sitthiphath Ratanaborvornsethi</v>
      </c>
      <c r="D141" s="270" t="s">
        <v>1330</v>
      </c>
      <c r="E141" s="55">
        <v>31.0</v>
      </c>
      <c r="F141" s="276">
        <f t="shared" si="1"/>
        <v>12400</v>
      </c>
      <c r="G141" s="22">
        <f t="shared" si="2"/>
        <v>1</v>
      </c>
      <c r="H141" s="51" t="s">
        <v>20</v>
      </c>
    </row>
    <row r="142" ht="25.5" customHeight="1">
      <c r="A142" s="54">
        <v>139.0</v>
      </c>
      <c r="B142" s="55">
        <v>1006436.0</v>
      </c>
      <c r="C142" s="48" t="str">
        <f>vlookup(B142,'Crew Data'!C:G,5,0)</f>
        <v>#N/A</v>
      </c>
      <c r="D142" s="270" t="s">
        <v>1330</v>
      </c>
      <c r="E142" s="55">
        <v>31.0</v>
      </c>
      <c r="F142" s="276">
        <f t="shared" si="1"/>
        <v>12400</v>
      </c>
      <c r="G142" s="22">
        <f t="shared" si="2"/>
        <v>1</v>
      </c>
      <c r="H142" s="51" t="s">
        <v>20</v>
      </c>
    </row>
    <row r="143" ht="25.5" customHeight="1">
      <c r="A143" s="46">
        <v>140.0</v>
      </c>
      <c r="B143" s="55">
        <v>1017935.0</v>
      </c>
      <c r="C143" s="48" t="str">
        <f>vlookup(B143,'Crew Data'!C:G,5,0)</f>
        <v>Supitcha Chansiri</v>
      </c>
      <c r="D143" s="270" t="s">
        <v>1344</v>
      </c>
      <c r="E143" s="55">
        <v>2.0</v>
      </c>
      <c r="F143" s="276">
        <f t="shared" si="1"/>
        <v>800</v>
      </c>
      <c r="G143" s="22">
        <f t="shared" si="2"/>
        <v>1</v>
      </c>
      <c r="H143" s="51" t="s">
        <v>20</v>
      </c>
    </row>
    <row r="144" ht="25.5" customHeight="1">
      <c r="A144" s="46">
        <v>141.0</v>
      </c>
      <c r="B144" s="55">
        <v>1010925.0</v>
      </c>
      <c r="C144" s="48" t="str">
        <f>vlookup(B144,'Crew Data'!C:G,5,0)</f>
        <v>Thanatdanai Kaewchusen</v>
      </c>
      <c r="D144" s="270" t="s">
        <v>1344</v>
      </c>
      <c r="E144" s="55">
        <v>2.0</v>
      </c>
      <c r="F144" s="276">
        <f t="shared" si="1"/>
        <v>800</v>
      </c>
      <c r="G144" s="22">
        <f t="shared" si="2"/>
        <v>1</v>
      </c>
      <c r="H144" s="51" t="s">
        <v>20</v>
      </c>
    </row>
    <row r="145" ht="25.5" customHeight="1">
      <c r="A145" s="46">
        <v>142.0</v>
      </c>
      <c r="B145" s="55">
        <v>1009764.0</v>
      </c>
      <c r="C145" s="48" t="str">
        <f>vlookup(B145,'Crew Data'!C:G,5,0)</f>
        <v>Sittichai Kaewsuriyan</v>
      </c>
      <c r="D145" s="271">
        <v>43861.0</v>
      </c>
      <c r="E145" s="55">
        <v>1.0</v>
      </c>
      <c r="F145" s="276">
        <f t="shared" si="1"/>
        <v>400</v>
      </c>
      <c r="G145" s="22">
        <f t="shared" si="2"/>
        <v>1</v>
      </c>
      <c r="H145" s="51" t="s">
        <v>20</v>
      </c>
    </row>
    <row r="146" ht="25.5" customHeight="1">
      <c r="A146" s="54">
        <v>143.0</v>
      </c>
      <c r="B146" s="55">
        <v>1001837.0</v>
      </c>
      <c r="C146" s="48" t="str">
        <f>vlookup(B146,'Crew Data'!C:G,5,0)</f>
        <v>Taralan Jareemuk</v>
      </c>
      <c r="D146" s="270" t="s">
        <v>1345</v>
      </c>
      <c r="E146" s="55">
        <v>29.0</v>
      </c>
      <c r="F146" s="276">
        <f t="shared" si="1"/>
        <v>11600</v>
      </c>
      <c r="G146" s="22">
        <f t="shared" si="2"/>
        <v>1</v>
      </c>
      <c r="H146" s="51" t="s">
        <v>20</v>
      </c>
    </row>
    <row r="147" ht="25.5" customHeight="1">
      <c r="A147" s="46">
        <v>144.0</v>
      </c>
      <c r="B147" s="55">
        <v>1022221.0</v>
      </c>
      <c r="C147" s="48" t="str">
        <f>vlookup(B147,'Crew Data'!C:G,5,0)</f>
        <v>Itsara Indrasuta</v>
      </c>
      <c r="D147" s="270" t="s">
        <v>1344</v>
      </c>
      <c r="E147" s="55">
        <v>2.0</v>
      </c>
      <c r="F147" s="276">
        <f t="shared" si="1"/>
        <v>800</v>
      </c>
      <c r="G147" s="22">
        <f t="shared" si="2"/>
        <v>1</v>
      </c>
      <c r="H147" s="51" t="s">
        <v>20</v>
      </c>
    </row>
    <row r="148" ht="25.5" customHeight="1">
      <c r="A148" s="54">
        <v>145.0</v>
      </c>
      <c r="B148" s="55">
        <v>1019525.0</v>
      </c>
      <c r="C148" s="48" t="str">
        <f>vlookup(B148,'Crew Data'!C:G,5,0)</f>
        <v>Nithikarn Saiyukhet</v>
      </c>
      <c r="D148" s="270" t="s">
        <v>1346</v>
      </c>
      <c r="E148" s="55">
        <v>5.0</v>
      </c>
      <c r="F148" s="276">
        <f t="shared" si="1"/>
        <v>2000</v>
      </c>
      <c r="G148" s="22">
        <f t="shared" si="2"/>
        <v>1</v>
      </c>
      <c r="H148" s="51" t="s">
        <v>20</v>
      </c>
    </row>
    <row r="149" ht="25.5" customHeight="1">
      <c r="A149" s="46">
        <v>146.0</v>
      </c>
      <c r="B149" s="55">
        <v>1004562.0</v>
      </c>
      <c r="C149" s="48" t="str">
        <f>vlookup(B149,'Crew Data'!C:G,5,0)</f>
        <v>#N/A</v>
      </c>
      <c r="D149" s="270" t="s">
        <v>1347</v>
      </c>
      <c r="E149" s="55">
        <v>5.0</v>
      </c>
      <c r="F149" s="276">
        <f t="shared" si="1"/>
        <v>2000</v>
      </c>
      <c r="G149" s="22">
        <f t="shared" si="2"/>
        <v>1</v>
      </c>
      <c r="H149" s="51" t="s">
        <v>20</v>
      </c>
    </row>
    <row r="150" ht="25.5" customHeight="1">
      <c r="A150" s="46">
        <v>147.0</v>
      </c>
      <c r="B150" s="55">
        <v>1019403.0</v>
      </c>
      <c r="C150" s="48" t="str">
        <f>vlookup(B150,'Crew Data'!C:G,5,0)</f>
        <v>#N/A</v>
      </c>
      <c r="D150" s="270" t="s">
        <v>1324</v>
      </c>
      <c r="E150" s="55">
        <v>15.0</v>
      </c>
      <c r="F150" s="276">
        <f t="shared" si="1"/>
        <v>6000</v>
      </c>
      <c r="G150" s="22">
        <f t="shared" si="2"/>
        <v>1</v>
      </c>
      <c r="H150" s="51" t="s">
        <v>20</v>
      </c>
    </row>
    <row r="151" ht="25.5" customHeight="1">
      <c r="A151" s="46">
        <v>148.0</v>
      </c>
      <c r="B151" s="55">
        <v>1018784.0</v>
      </c>
      <c r="C151" s="48" t="str">
        <f>vlookup(B151,'Crew Data'!C:G,5,0)</f>
        <v>Apirak Thongpiyaphoom</v>
      </c>
      <c r="D151" s="270" t="s">
        <v>1330</v>
      </c>
      <c r="E151" s="55">
        <v>31.0</v>
      </c>
      <c r="F151" s="276">
        <f t="shared" si="1"/>
        <v>12400</v>
      </c>
      <c r="G151" s="22">
        <f t="shared" si="2"/>
        <v>1</v>
      </c>
      <c r="H151" s="51" t="s">
        <v>20</v>
      </c>
    </row>
    <row r="152" ht="25.5" customHeight="1">
      <c r="A152" s="54">
        <v>149.0</v>
      </c>
      <c r="B152" s="55">
        <v>1012362.0</v>
      </c>
      <c r="C152" s="48" t="str">
        <f>vlookup(B152,'Crew Data'!C:G,5,0)</f>
        <v>Patcharagorn Chankhong</v>
      </c>
      <c r="D152" s="270" t="s">
        <v>1348</v>
      </c>
      <c r="E152" s="55">
        <v>12.0</v>
      </c>
      <c r="F152" s="276">
        <f t="shared" si="1"/>
        <v>4800</v>
      </c>
      <c r="G152" s="22">
        <f t="shared" si="2"/>
        <v>1</v>
      </c>
      <c r="H152" s="51" t="s">
        <v>20</v>
      </c>
    </row>
    <row r="153" ht="25.5" customHeight="1">
      <c r="A153" s="46">
        <v>150.0</v>
      </c>
      <c r="B153" s="55">
        <v>1005831.0</v>
      </c>
      <c r="C153" s="48" t="str">
        <f>vlookup(B153,'Crew Data'!C:G,5,0)</f>
        <v>#N/A</v>
      </c>
      <c r="D153" s="270" t="s">
        <v>1190</v>
      </c>
      <c r="E153" s="55">
        <v>2.0</v>
      </c>
      <c r="F153" s="276">
        <f t="shared" si="1"/>
        <v>800</v>
      </c>
      <c r="G153" s="22">
        <f t="shared" si="2"/>
        <v>1</v>
      </c>
      <c r="H153" s="51" t="s">
        <v>20</v>
      </c>
    </row>
    <row r="154" ht="25.5" customHeight="1">
      <c r="A154" s="54">
        <v>151.0</v>
      </c>
      <c r="B154" s="55">
        <v>1015406.0</v>
      </c>
      <c r="C154" s="48" t="str">
        <f>vlookup(B154,'Crew Data'!C:G,5,0)</f>
        <v>Perati Ardwong</v>
      </c>
      <c r="D154" s="270" t="s">
        <v>1330</v>
      </c>
      <c r="E154" s="55">
        <v>31.0</v>
      </c>
      <c r="F154" s="276">
        <f t="shared" si="1"/>
        <v>12400</v>
      </c>
      <c r="G154" s="22">
        <f t="shared" si="2"/>
        <v>1</v>
      </c>
      <c r="H154" s="51" t="s">
        <v>20</v>
      </c>
    </row>
    <row r="155" ht="25.5" customHeight="1">
      <c r="A155" s="46">
        <v>152.0</v>
      </c>
      <c r="B155" s="55">
        <v>1002146.0</v>
      </c>
      <c r="C155" s="48" t="str">
        <f>vlookup(B155,'Crew Data'!C:G,5,0)</f>
        <v>Romrawee Choeikeewong</v>
      </c>
      <c r="D155" s="271">
        <v>43861.0</v>
      </c>
      <c r="E155" s="55">
        <v>1.0</v>
      </c>
      <c r="F155" s="276">
        <f t="shared" si="1"/>
        <v>400</v>
      </c>
      <c r="G155" s="22">
        <f t="shared" si="2"/>
        <v>1</v>
      </c>
      <c r="H155" s="51" t="s">
        <v>20</v>
      </c>
    </row>
    <row r="156" ht="25.5" customHeight="1">
      <c r="A156" s="46">
        <v>153.0</v>
      </c>
      <c r="B156" s="55">
        <v>1009156.0</v>
      </c>
      <c r="C156" s="48" t="str">
        <f>vlookup(B156,'Crew Data'!C:G,5,0)</f>
        <v>Peamkate Kullasit</v>
      </c>
      <c r="D156" s="270" t="s">
        <v>1294</v>
      </c>
      <c r="E156" s="55">
        <v>4.0</v>
      </c>
      <c r="F156" s="276">
        <f t="shared" si="1"/>
        <v>1600</v>
      </c>
      <c r="G156" s="22">
        <f t="shared" si="2"/>
        <v>1</v>
      </c>
      <c r="H156" s="51" t="s">
        <v>20</v>
      </c>
    </row>
    <row r="157" ht="25.5" customHeight="1">
      <c r="A157" s="46">
        <v>154.0</v>
      </c>
      <c r="B157" s="55">
        <v>1005767.0</v>
      </c>
      <c r="C157" s="48" t="str">
        <f>vlookup(B157,'Crew Data'!C:G,5,0)</f>
        <v>Setthi-orn Ruenroeng</v>
      </c>
      <c r="D157" s="270" t="s">
        <v>1193</v>
      </c>
      <c r="E157" s="55">
        <v>2.0</v>
      </c>
      <c r="F157" s="276">
        <f t="shared" si="1"/>
        <v>800</v>
      </c>
      <c r="G157" s="22">
        <f t="shared" si="2"/>
        <v>1</v>
      </c>
      <c r="H157" s="51" t="s">
        <v>20</v>
      </c>
    </row>
    <row r="158" ht="25.5" customHeight="1">
      <c r="A158" s="54">
        <v>155.0</v>
      </c>
      <c r="B158" s="55">
        <v>1003420.0</v>
      </c>
      <c r="C158" s="48" t="str">
        <f>vlookup(B158,'Crew Data'!C:G,5,0)</f>
        <v>Kewalin Leksuksomboon</v>
      </c>
      <c r="D158" s="270" t="s">
        <v>1349</v>
      </c>
      <c r="E158" s="55">
        <v>2.0</v>
      </c>
      <c r="F158" s="276">
        <f t="shared" si="1"/>
        <v>800</v>
      </c>
      <c r="G158" s="22">
        <f t="shared" si="2"/>
        <v>1</v>
      </c>
      <c r="H158" s="51" t="s">
        <v>20</v>
      </c>
    </row>
    <row r="159" ht="25.5" customHeight="1">
      <c r="A159" s="46">
        <v>156.0</v>
      </c>
      <c r="B159" s="55">
        <v>1018968.0</v>
      </c>
      <c r="C159" s="48" t="str">
        <f>vlookup(B159,'Crew Data'!C:G,5,0)</f>
        <v>#N/A</v>
      </c>
      <c r="D159" s="270" t="s">
        <v>1350</v>
      </c>
      <c r="E159" s="55">
        <v>30.0</v>
      </c>
      <c r="F159" s="276">
        <f t="shared" si="1"/>
        <v>12000</v>
      </c>
      <c r="G159" s="22">
        <f t="shared" si="2"/>
        <v>1</v>
      </c>
      <c r="H159" s="51" t="s">
        <v>20</v>
      </c>
    </row>
    <row r="160" ht="25.5" customHeight="1">
      <c r="A160" s="54">
        <v>157.0</v>
      </c>
      <c r="B160" s="55">
        <v>1013048.0</v>
      </c>
      <c r="C160" s="48" t="str">
        <f>vlookup(B160,'Crew Data'!C:G,5,0)</f>
        <v>Thanchanok Srisawang</v>
      </c>
      <c r="D160" s="270" t="s">
        <v>1330</v>
      </c>
      <c r="E160" s="55">
        <v>31.0</v>
      </c>
      <c r="F160" s="276">
        <f t="shared" si="1"/>
        <v>12400</v>
      </c>
      <c r="G160" s="22">
        <f t="shared" si="2"/>
        <v>1</v>
      </c>
      <c r="H160" s="51" t="s">
        <v>20</v>
      </c>
    </row>
    <row r="161" ht="25.5" customHeight="1">
      <c r="A161" s="272"/>
      <c r="B161" s="273"/>
      <c r="C161" s="272"/>
      <c r="D161" s="274"/>
      <c r="E161" s="275"/>
    </row>
    <row r="162" ht="25.5" customHeight="1">
      <c r="A162" s="265" t="s">
        <v>1183</v>
      </c>
      <c r="B162" s="252"/>
      <c r="C162" s="253"/>
      <c r="D162" s="274"/>
      <c r="E162" s="275"/>
    </row>
    <row r="163" ht="25.5" customHeight="1">
      <c r="A163" s="254" t="s">
        <v>1153</v>
      </c>
      <c r="B163" s="255" t="s">
        <v>1154</v>
      </c>
      <c r="C163" s="256" t="s">
        <v>1155</v>
      </c>
      <c r="D163" s="274"/>
      <c r="E163" s="275"/>
    </row>
    <row r="164" ht="25.5" customHeight="1">
      <c r="A164" s="257" t="s">
        <v>1156</v>
      </c>
      <c r="B164" s="258" t="s">
        <v>1157</v>
      </c>
      <c r="C164" s="259" t="s">
        <v>1158</v>
      </c>
      <c r="D164" s="274"/>
      <c r="E164" s="275"/>
    </row>
    <row r="165" ht="25.5" customHeight="1">
      <c r="A165" s="257" t="s">
        <v>1159</v>
      </c>
      <c r="B165" s="258" t="s">
        <v>1157</v>
      </c>
      <c r="C165" s="259" t="s">
        <v>1158</v>
      </c>
      <c r="D165" s="274"/>
      <c r="E165" s="275"/>
    </row>
    <row r="166" ht="25.5" customHeight="1">
      <c r="A166" s="257" t="s">
        <v>1160</v>
      </c>
      <c r="B166" s="260" t="s">
        <v>1157</v>
      </c>
      <c r="C166" s="259" t="s">
        <v>1158</v>
      </c>
      <c r="D166" s="274"/>
      <c r="E166" s="275"/>
    </row>
    <row r="167" ht="25.5" customHeight="1">
      <c r="A167" s="31"/>
      <c r="B167" s="31"/>
      <c r="C167" s="31"/>
      <c r="D167" s="274"/>
      <c r="E167" s="275"/>
    </row>
    <row r="168" ht="25.5" customHeight="1">
      <c r="A168" s="261" t="s">
        <v>1351</v>
      </c>
      <c r="B168" s="262"/>
      <c r="C168" s="31"/>
      <c r="D168" s="274"/>
      <c r="E168" s="275"/>
    </row>
    <row r="169" ht="25.5" customHeight="1">
      <c r="A169" s="272"/>
      <c r="B169" s="273"/>
      <c r="C169" s="272"/>
      <c r="D169" s="274"/>
      <c r="E169" s="275"/>
    </row>
    <row r="170" ht="25.5" customHeight="1">
      <c r="A170" s="272"/>
      <c r="B170" s="273"/>
      <c r="C170" s="272"/>
      <c r="D170" s="274"/>
      <c r="E170" s="275"/>
    </row>
    <row r="171" ht="25.5" customHeight="1">
      <c r="A171" s="272"/>
      <c r="B171" s="273"/>
      <c r="C171" s="272"/>
      <c r="D171" s="274"/>
      <c r="E171" s="275"/>
    </row>
    <row r="172" ht="25.5" customHeight="1">
      <c r="A172" s="272"/>
      <c r="B172" s="273"/>
      <c r="C172" s="272"/>
      <c r="D172" s="274"/>
      <c r="E172" s="275"/>
    </row>
    <row r="173" ht="25.5" customHeight="1">
      <c r="A173" s="272"/>
      <c r="B173" s="273"/>
      <c r="C173" s="272"/>
      <c r="D173" s="274"/>
      <c r="E173" s="275"/>
    </row>
    <row r="174" ht="25.5" customHeight="1">
      <c r="A174" s="272"/>
      <c r="B174" s="273"/>
      <c r="C174" s="272"/>
      <c r="D174" s="274"/>
      <c r="E174" s="275"/>
    </row>
    <row r="175" ht="25.5" customHeight="1">
      <c r="A175" s="272"/>
      <c r="B175" s="273"/>
      <c r="C175" s="272"/>
      <c r="D175" s="274"/>
      <c r="E175" s="275"/>
    </row>
    <row r="176" ht="25.5" customHeight="1">
      <c r="A176" s="272"/>
      <c r="B176" s="273"/>
      <c r="C176" s="272"/>
      <c r="D176" s="274"/>
      <c r="E176" s="275"/>
    </row>
    <row r="177" ht="25.5" customHeight="1">
      <c r="A177" s="272"/>
      <c r="B177" s="273"/>
      <c r="C177" s="272"/>
      <c r="D177" s="274"/>
      <c r="E177" s="275"/>
    </row>
    <row r="178" ht="25.5" customHeight="1">
      <c r="A178" s="272"/>
      <c r="B178" s="273"/>
      <c r="C178" s="272"/>
      <c r="D178" s="274"/>
      <c r="E178" s="275"/>
    </row>
    <row r="179" ht="25.5" customHeight="1">
      <c r="A179" s="272"/>
      <c r="B179" s="273"/>
      <c r="C179" s="272"/>
      <c r="D179" s="274"/>
      <c r="E179" s="275"/>
    </row>
    <row r="180" ht="25.5" customHeight="1">
      <c r="A180" s="272"/>
      <c r="B180" s="273"/>
      <c r="C180" s="272"/>
      <c r="D180" s="274"/>
      <c r="E180" s="275"/>
    </row>
    <row r="181" ht="25.5" customHeight="1">
      <c r="A181" s="272"/>
      <c r="B181" s="273"/>
      <c r="C181" s="272"/>
      <c r="D181" s="274"/>
      <c r="E181" s="275"/>
    </row>
    <row r="182" ht="25.5" customHeight="1">
      <c r="A182" s="272"/>
      <c r="B182" s="273"/>
      <c r="C182" s="272"/>
      <c r="D182" s="274"/>
      <c r="E182" s="275"/>
    </row>
    <row r="183" ht="25.5" customHeight="1">
      <c r="A183" s="272"/>
      <c r="B183" s="273"/>
      <c r="C183" s="272"/>
      <c r="D183" s="274"/>
      <c r="E183" s="275"/>
    </row>
    <row r="184" ht="25.5" customHeight="1">
      <c r="A184" s="272"/>
      <c r="B184" s="273"/>
      <c r="C184" s="272"/>
      <c r="D184" s="274"/>
      <c r="E184" s="275"/>
    </row>
    <row r="185" ht="25.5" customHeight="1">
      <c r="A185" s="272"/>
      <c r="B185" s="273"/>
      <c r="C185" s="272"/>
      <c r="D185" s="274"/>
      <c r="E185" s="275"/>
    </row>
    <row r="186" ht="25.5" customHeight="1">
      <c r="A186" s="272"/>
      <c r="B186" s="273"/>
      <c r="C186" s="272"/>
      <c r="D186" s="274"/>
      <c r="E186" s="275"/>
    </row>
    <row r="187" ht="25.5" customHeight="1">
      <c r="A187" s="272"/>
      <c r="B187" s="273"/>
      <c r="C187" s="272"/>
      <c r="D187" s="274"/>
      <c r="E187" s="275"/>
    </row>
    <row r="188" ht="25.5" customHeight="1">
      <c r="A188" s="272"/>
      <c r="B188" s="273"/>
      <c r="C188" s="272"/>
      <c r="D188" s="274"/>
      <c r="E188" s="275"/>
    </row>
    <row r="189" ht="25.5" customHeight="1">
      <c r="A189" s="272"/>
      <c r="B189" s="273"/>
      <c r="C189" s="272"/>
      <c r="D189" s="274"/>
      <c r="E189" s="275"/>
    </row>
    <row r="190" ht="25.5" customHeight="1">
      <c r="A190" s="272"/>
      <c r="B190" s="273"/>
      <c r="C190" s="272"/>
      <c r="D190" s="274"/>
      <c r="E190" s="275"/>
    </row>
    <row r="191" ht="25.5" customHeight="1">
      <c r="A191" s="272"/>
      <c r="B191" s="273"/>
      <c r="C191" s="272"/>
      <c r="D191" s="274"/>
      <c r="E191" s="275"/>
    </row>
    <row r="192" ht="25.5" customHeight="1">
      <c r="A192" s="272"/>
      <c r="B192" s="273"/>
      <c r="C192" s="272"/>
      <c r="D192" s="274"/>
      <c r="E192" s="275"/>
    </row>
    <row r="193" ht="25.5" customHeight="1">
      <c r="A193" s="272"/>
      <c r="B193" s="273"/>
      <c r="C193" s="272"/>
      <c r="D193" s="274"/>
      <c r="E193" s="275"/>
    </row>
    <row r="194" ht="25.5" customHeight="1">
      <c r="A194" s="272"/>
      <c r="B194" s="273"/>
      <c r="C194" s="272"/>
      <c r="D194" s="274"/>
      <c r="E194" s="275"/>
    </row>
    <row r="195" ht="25.5" customHeight="1">
      <c r="A195" s="272"/>
      <c r="B195" s="273"/>
      <c r="C195" s="272"/>
      <c r="D195" s="274"/>
      <c r="E195" s="275"/>
    </row>
    <row r="196" ht="25.5" customHeight="1">
      <c r="A196" s="272"/>
      <c r="B196" s="273"/>
      <c r="C196" s="272"/>
      <c r="D196" s="274"/>
      <c r="E196" s="275"/>
    </row>
    <row r="197" ht="25.5" customHeight="1">
      <c r="A197" s="272"/>
      <c r="B197" s="273"/>
      <c r="C197" s="272"/>
      <c r="D197" s="274"/>
      <c r="E197" s="275"/>
    </row>
    <row r="198" ht="25.5" customHeight="1">
      <c r="A198" s="272"/>
      <c r="B198" s="273"/>
      <c r="C198" s="272"/>
      <c r="D198" s="274"/>
      <c r="E198" s="275"/>
    </row>
    <row r="199" ht="25.5" customHeight="1">
      <c r="A199" s="272"/>
      <c r="B199" s="273"/>
      <c r="C199" s="272"/>
      <c r="D199" s="274"/>
      <c r="E199" s="275"/>
    </row>
    <row r="200" ht="25.5" customHeight="1">
      <c r="A200" s="272"/>
      <c r="B200" s="273"/>
      <c r="C200" s="272"/>
      <c r="D200" s="274"/>
      <c r="E200" s="275"/>
    </row>
    <row r="201" ht="25.5" customHeight="1">
      <c r="A201" s="272"/>
      <c r="B201" s="273"/>
      <c r="C201" s="272"/>
      <c r="D201" s="274"/>
      <c r="E201" s="275"/>
    </row>
    <row r="202" ht="25.5" customHeight="1">
      <c r="A202" s="272"/>
      <c r="B202" s="273"/>
      <c r="C202" s="272"/>
      <c r="D202" s="274"/>
      <c r="E202" s="275"/>
    </row>
    <row r="203" ht="25.5" customHeight="1">
      <c r="A203" s="272"/>
      <c r="B203" s="273"/>
      <c r="C203" s="272"/>
      <c r="D203" s="274"/>
      <c r="E203" s="275"/>
    </row>
    <row r="204" ht="25.5" customHeight="1">
      <c r="A204" s="272"/>
      <c r="B204" s="273"/>
      <c r="C204" s="272"/>
      <c r="D204" s="274"/>
      <c r="E204" s="275"/>
    </row>
    <row r="205" ht="25.5" customHeight="1">
      <c r="A205" s="272"/>
      <c r="B205" s="273"/>
      <c r="C205" s="272"/>
      <c r="D205" s="274"/>
      <c r="E205" s="275"/>
    </row>
    <row r="206" ht="25.5" customHeight="1">
      <c r="A206" s="272"/>
      <c r="B206" s="273"/>
      <c r="C206" s="272"/>
      <c r="D206" s="274"/>
      <c r="E206" s="275"/>
    </row>
    <row r="207" ht="25.5" customHeight="1">
      <c r="A207" s="272"/>
      <c r="B207" s="273"/>
      <c r="C207" s="272"/>
      <c r="D207" s="274"/>
      <c r="E207" s="275"/>
    </row>
    <row r="208" ht="25.5" customHeight="1">
      <c r="A208" s="272"/>
      <c r="B208" s="273"/>
      <c r="C208" s="272"/>
      <c r="D208" s="274"/>
      <c r="E208" s="275"/>
    </row>
    <row r="209" ht="25.5" customHeight="1">
      <c r="A209" s="272"/>
      <c r="B209" s="273"/>
      <c r="C209" s="272"/>
      <c r="D209" s="274"/>
      <c r="E209" s="275"/>
    </row>
    <row r="210" ht="25.5" customHeight="1">
      <c r="A210" s="272"/>
      <c r="B210" s="273"/>
      <c r="C210" s="272"/>
      <c r="D210" s="274"/>
      <c r="E210" s="275"/>
    </row>
    <row r="211" ht="25.5" customHeight="1">
      <c r="A211" s="272"/>
      <c r="B211" s="273"/>
      <c r="C211" s="272"/>
      <c r="D211" s="274"/>
      <c r="E211" s="275"/>
    </row>
    <row r="212" ht="25.5" customHeight="1">
      <c r="A212" s="272"/>
      <c r="B212" s="273"/>
      <c r="C212" s="272"/>
      <c r="D212" s="274"/>
      <c r="E212" s="275"/>
    </row>
    <row r="213" ht="25.5" customHeight="1">
      <c r="A213" s="272"/>
      <c r="B213" s="273"/>
      <c r="C213" s="272"/>
      <c r="D213" s="274"/>
      <c r="E213" s="275"/>
    </row>
    <row r="214" ht="25.5" customHeight="1">
      <c r="A214" s="272"/>
      <c r="B214" s="273"/>
      <c r="C214" s="272"/>
      <c r="D214" s="274"/>
      <c r="E214" s="275"/>
    </row>
    <row r="215" ht="25.5" customHeight="1">
      <c r="A215" s="272"/>
      <c r="B215" s="273"/>
      <c r="C215" s="272"/>
      <c r="D215" s="274"/>
      <c r="E215" s="275"/>
    </row>
    <row r="216" ht="25.5" customHeight="1">
      <c r="A216" s="272"/>
      <c r="B216" s="273"/>
      <c r="C216" s="272"/>
      <c r="D216" s="274"/>
      <c r="E216" s="275"/>
    </row>
    <row r="217" ht="25.5" customHeight="1">
      <c r="A217" s="272"/>
      <c r="B217" s="273"/>
      <c r="C217" s="272"/>
      <c r="D217" s="274"/>
      <c r="E217" s="275"/>
    </row>
    <row r="218" ht="25.5" customHeight="1">
      <c r="A218" s="272"/>
      <c r="B218" s="273"/>
      <c r="C218" s="272"/>
      <c r="D218" s="274"/>
      <c r="E218" s="275"/>
    </row>
    <row r="219" ht="25.5" customHeight="1">
      <c r="A219" s="272"/>
      <c r="B219" s="273"/>
      <c r="C219" s="272"/>
      <c r="D219" s="274"/>
      <c r="E219" s="275"/>
    </row>
    <row r="220" ht="25.5" customHeight="1">
      <c r="A220" s="272"/>
      <c r="B220" s="273"/>
      <c r="C220" s="272"/>
      <c r="D220" s="274"/>
      <c r="E220" s="275"/>
    </row>
    <row r="221" ht="25.5" customHeight="1">
      <c r="A221" s="272"/>
      <c r="B221" s="273"/>
      <c r="C221" s="272"/>
      <c r="D221" s="274"/>
      <c r="E221" s="275"/>
    </row>
    <row r="222" ht="25.5" customHeight="1">
      <c r="A222" s="272"/>
      <c r="B222" s="273"/>
      <c r="C222" s="272"/>
      <c r="D222" s="274"/>
      <c r="E222" s="275"/>
    </row>
    <row r="223" ht="25.5" customHeight="1">
      <c r="A223" s="272"/>
      <c r="B223" s="273"/>
      <c r="C223" s="272"/>
      <c r="D223" s="274"/>
      <c r="E223" s="275"/>
    </row>
    <row r="224" ht="25.5" customHeight="1">
      <c r="A224" s="272"/>
      <c r="B224" s="273"/>
      <c r="C224" s="272"/>
      <c r="D224" s="274"/>
      <c r="E224" s="275"/>
    </row>
    <row r="225" ht="25.5" customHeight="1">
      <c r="A225" s="272"/>
      <c r="B225" s="273"/>
      <c r="C225" s="272"/>
      <c r="D225" s="274"/>
      <c r="E225" s="275"/>
    </row>
    <row r="226" ht="25.5" customHeight="1">
      <c r="A226" s="272"/>
      <c r="B226" s="273"/>
      <c r="C226" s="272"/>
      <c r="D226" s="274"/>
      <c r="E226" s="275"/>
    </row>
    <row r="227" ht="25.5" customHeight="1">
      <c r="A227" s="272"/>
      <c r="B227" s="273"/>
      <c r="C227" s="272"/>
      <c r="D227" s="274"/>
      <c r="E227" s="275"/>
    </row>
    <row r="228" ht="25.5" customHeight="1">
      <c r="A228" s="272"/>
      <c r="B228" s="273"/>
      <c r="C228" s="272"/>
      <c r="D228" s="274"/>
      <c r="E228" s="275"/>
    </row>
    <row r="229" ht="25.5" customHeight="1">
      <c r="A229" s="272"/>
      <c r="B229" s="273"/>
      <c r="C229" s="272"/>
      <c r="D229" s="274"/>
      <c r="E229" s="275"/>
    </row>
    <row r="230" ht="25.5" customHeight="1">
      <c r="A230" s="272"/>
      <c r="B230" s="273"/>
      <c r="C230" s="272"/>
      <c r="D230" s="274"/>
      <c r="E230" s="275"/>
    </row>
    <row r="231" ht="25.5" customHeight="1">
      <c r="A231" s="272"/>
      <c r="B231" s="273"/>
      <c r="C231" s="272"/>
      <c r="D231" s="274"/>
      <c r="E231" s="275"/>
    </row>
    <row r="232" ht="25.5" customHeight="1">
      <c r="A232" s="272"/>
      <c r="B232" s="273"/>
      <c r="C232" s="272"/>
      <c r="D232" s="274"/>
      <c r="E232" s="275"/>
    </row>
    <row r="233" ht="25.5" customHeight="1">
      <c r="A233" s="272"/>
      <c r="B233" s="273"/>
      <c r="C233" s="272"/>
      <c r="D233" s="274"/>
      <c r="E233" s="275"/>
    </row>
    <row r="234" ht="25.5" customHeight="1">
      <c r="A234" s="272"/>
      <c r="B234" s="273"/>
      <c r="C234" s="272"/>
      <c r="D234" s="274"/>
      <c r="E234" s="275"/>
    </row>
    <row r="235" ht="25.5" customHeight="1">
      <c r="A235" s="272"/>
      <c r="B235" s="273"/>
      <c r="C235" s="272"/>
      <c r="D235" s="274"/>
      <c r="E235" s="275"/>
    </row>
    <row r="236" ht="25.5" customHeight="1">
      <c r="A236" s="272"/>
      <c r="B236" s="273"/>
      <c r="C236" s="272"/>
      <c r="D236" s="274"/>
      <c r="E236" s="275"/>
    </row>
    <row r="237" ht="25.5" customHeight="1">
      <c r="A237" s="272"/>
      <c r="B237" s="273"/>
      <c r="C237" s="272"/>
      <c r="D237" s="274"/>
      <c r="E237" s="275"/>
    </row>
    <row r="238" ht="25.5" customHeight="1">
      <c r="A238" s="272"/>
      <c r="B238" s="273"/>
      <c r="C238" s="272"/>
      <c r="D238" s="274"/>
      <c r="E238" s="275"/>
    </row>
    <row r="239" ht="25.5" customHeight="1">
      <c r="A239" s="272"/>
      <c r="B239" s="273"/>
      <c r="C239" s="272"/>
      <c r="D239" s="274"/>
      <c r="E239" s="275"/>
    </row>
    <row r="240" ht="25.5" customHeight="1">
      <c r="A240" s="272"/>
      <c r="B240" s="273"/>
      <c r="C240" s="272"/>
      <c r="D240" s="274"/>
      <c r="E240" s="275"/>
    </row>
    <row r="241" ht="25.5" customHeight="1">
      <c r="A241" s="272"/>
      <c r="B241" s="273"/>
      <c r="C241" s="272"/>
      <c r="D241" s="274"/>
      <c r="E241" s="275"/>
    </row>
    <row r="242" ht="25.5" customHeight="1">
      <c r="A242" s="272"/>
      <c r="B242" s="273"/>
      <c r="C242" s="272"/>
      <c r="D242" s="274"/>
      <c r="E242" s="275"/>
    </row>
    <row r="243" ht="25.5" customHeight="1">
      <c r="A243" s="272"/>
      <c r="B243" s="273"/>
      <c r="C243" s="272"/>
      <c r="D243" s="274"/>
      <c r="E243" s="275"/>
    </row>
    <row r="244" ht="25.5" customHeight="1">
      <c r="A244" s="272"/>
      <c r="B244" s="273"/>
      <c r="C244" s="272"/>
      <c r="D244" s="274"/>
      <c r="E244" s="275"/>
    </row>
    <row r="245" ht="25.5" customHeight="1">
      <c r="A245" s="272"/>
      <c r="B245" s="273"/>
      <c r="C245" s="272"/>
      <c r="D245" s="274"/>
      <c r="E245" s="275"/>
    </row>
    <row r="246" ht="25.5" customHeight="1">
      <c r="A246" s="272"/>
      <c r="B246" s="273"/>
      <c r="C246" s="272"/>
      <c r="D246" s="274"/>
      <c r="E246" s="275"/>
    </row>
    <row r="247" ht="25.5" customHeight="1">
      <c r="A247" s="272"/>
      <c r="B247" s="273"/>
      <c r="C247" s="272"/>
      <c r="D247" s="274"/>
      <c r="E247" s="275"/>
    </row>
    <row r="248" ht="25.5" customHeight="1">
      <c r="A248" s="272"/>
      <c r="B248" s="273"/>
      <c r="C248" s="272"/>
      <c r="D248" s="274"/>
      <c r="E248" s="275"/>
    </row>
    <row r="249" ht="25.5" customHeight="1">
      <c r="A249" s="272"/>
      <c r="B249" s="273"/>
      <c r="C249" s="272"/>
      <c r="D249" s="274"/>
      <c r="E249" s="275"/>
    </row>
    <row r="250" ht="25.5" customHeight="1">
      <c r="A250" s="272"/>
      <c r="B250" s="273"/>
      <c r="C250" s="272"/>
      <c r="D250" s="274"/>
      <c r="E250" s="275"/>
    </row>
    <row r="251" ht="25.5" customHeight="1">
      <c r="A251" s="272"/>
      <c r="B251" s="273"/>
      <c r="C251" s="272"/>
      <c r="D251" s="274"/>
      <c r="E251" s="275"/>
    </row>
    <row r="252" ht="25.5" customHeight="1">
      <c r="A252" s="272"/>
      <c r="B252" s="273"/>
      <c r="C252" s="272"/>
      <c r="D252" s="274"/>
      <c r="E252" s="275"/>
    </row>
    <row r="253" ht="25.5" customHeight="1">
      <c r="A253" s="272"/>
      <c r="B253" s="273"/>
      <c r="C253" s="272"/>
      <c r="D253" s="274"/>
      <c r="E253" s="275"/>
    </row>
    <row r="254" ht="25.5" customHeight="1">
      <c r="A254" s="272"/>
      <c r="B254" s="273"/>
      <c r="C254" s="272"/>
      <c r="D254" s="274"/>
      <c r="E254" s="275"/>
    </row>
    <row r="255" ht="25.5" customHeight="1">
      <c r="A255" s="272"/>
      <c r="B255" s="273"/>
      <c r="C255" s="272"/>
      <c r="D255" s="274"/>
      <c r="E255" s="275"/>
    </row>
    <row r="256" ht="25.5" customHeight="1">
      <c r="A256" s="272"/>
      <c r="B256" s="273"/>
      <c r="C256" s="272"/>
      <c r="D256" s="274"/>
      <c r="E256" s="275"/>
    </row>
    <row r="257" ht="25.5" customHeight="1">
      <c r="A257" s="272"/>
      <c r="B257" s="273"/>
      <c r="C257" s="272"/>
      <c r="D257" s="274"/>
      <c r="E257" s="275"/>
    </row>
    <row r="258" ht="25.5" customHeight="1">
      <c r="A258" s="272"/>
      <c r="B258" s="273"/>
      <c r="C258" s="272"/>
      <c r="D258" s="274"/>
      <c r="E258" s="275"/>
    </row>
    <row r="259" ht="25.5" customHeight="1">
      <c r="A259" s="272"/>
      <c r="B259" s="273"/>
      <c r="C259" s="272"/>
      <c r="D259" s="274"/>
      <c r="E259" s="275"/>
    </row>
    <row r="260" ht="25.5" customHeight="1">
      <c r="A260" s="272"/>
      <c r="B260" s="273"/>
      <c r="C260" s="272"/>
      <c r="D260" s="274"/>
      <c r="E260" s="275"/>
    </row>
    <row r="261" ht="25.5" customHeight="1">
      <c r="A261" s="272"/>
      <c r="B261" s="273"/>
      <c r="C261" s="272"/>
      <c r="D261" s="274"/>
      <c r="E261" s="275"/>
    </row>
    <row r="262" ht="25.5" customHeight="1">
      <c r="A262" s="272"/>
      <c r="B262" s="273"/>
      <c r="C262" s="272"/>
      <c r="D262" s="274"/>
      <c r="E262" s="275"/>
    </row>
    <row r="263" ht="25.5" customHeight="1">
      <c r="A263" s="272"/>
      <c r="B263" s="273"/>
      <c r="C263" s="272"/>
      <c r="D263" s="274"/>
      <c r="E263" s="275"/>
    </row>
    <row r="264" ht="25.5" customHeight="1">
      <c r="A264" s="272"/>
      <c r="B264" s="273"/>
      <c r="C264" s="272"/>
      <c r="D264" s="274"/>
      <c r="E264" s="275"/>
    </row>
    <row r="265" ht="25.5" customHeight="1">
      <c r="A265" s="272"/>
      <c r="B265" s="273"/>
      <c r="C265" s="272"/>
      <c r="D265" s="274"/>
      <c r="E265" s="275"/>
    </row>
    <row r="266" ht="25.5" customHeight="1">
      <c r="A266" s="272"/>
      <c r="B266" s="273"/>
      <c r="C266" s="272"/>
      <c r="D266" s="274"/>
      <c r="E266" s="275"/>
    </row>
    <row r="267" ht="25.5" customHeight="1">
      <c r="A267" s="272"/>
      <c r="B267" s="273"/>
      <c r="C267" s="272"/>
      <c r="D267" s="274"/>
      <c r="E267" s="275"/>
    </row>
    <row r="268" ht="25.5" customHeight="1">
      <c r="A268" s="272"/>
      <c r="B268" s="273"/>
      <c r="C268" s="272"/>
      <c r="D268" s="274"/>
      <c r="E268" s="275"/>
    </row>
    <row r="269" ht="25.5" customHeight="1">
      <c r="A269" s="272"/>
      <c r="B269" s="273"/>
      <c r="C269" s="272"/>
      <c r="D269" s="274"/>
      <c r="E269" s="275"/>
    </row>
    <row r="270" ht="25.5" customHeight="1">
      <c r="A270" s="272"/>
      <c r="B270" s="273"/>
      <c r="C270" s="272"/>
      <c r="D270" s="274"/>
      <c r="E270" s="275"/>
    </row>
    <row r="271" ht="25.5" customHeight="1">
      <c r="A271" s="272"/>
      <c r="B271" s="273"/>
      <c r="C271" s="272"/>
      <c r="D271" s="274"/>
      <c r="E271" s="275"/>
    </row>
    <row r="272" ht="25.5" customHeight="1">
      <c r="A272" s="272"/>
      <c r="B272" s="273"/>
      <c r="C272" s="272"/>
      <c r="D272" s="274"/>
      <c r="E272" s="275"/>
    </row>
    <row r="273" ht="25.5" customHeight="1">
      <c r="A273" s="272"/>
      <c r="B273" s="273"/>
      <c r="C273" s="272"/>
      <c r="D273" s="274"/>
      <c r="E273" s="275"/>
    </row>
    <row r="274" ht="25.5" customHeight="1">
      <c r="A274" s="272"/>
      <c r="B274" s="273"/>
      <c r="C274" s="272"/>
      <c r="D274" s="274"/>
      <c r="E274" s="275"/>
    </row>
    <row r="275" ht="25.5" customHeight="1">
      <c r="A275" s="272"/>
      <c r="B275" s="273"/>
      <c r="C275" s="272"/>
      <c r="D275" s="274"/>
      <c r="E275" s="275"/>
    </row>
    <row r="276" ht="25.5" customHeight="1">
      <c r="A276" s="272"/>
      <c r="B276" s="273"/>
      <c r="C276" s="272"/>
      <c r="D276" s="274"/>
      <c r="E276" s="275"/>
    </row>
    <row r="277" ht="25.5" customHeight="1">
      <c r="A277" s="272"/>
      <c r="B277" s="273"/>
      <c r="C277" s="272"/>
      <c r="D277" s="274"/>
      <c r="E277" s="275"/>
    </row>
    <row r="278" ht="25.5" customHeight="1">
      <c r="A278" s="272"/>
      <c r="B278" s="273"/>
      <c r="C278" s="272"/>
      <c r="D278" s="274"/>
      <c r="E278" s="275"/>
    </row>
    <row r="279" ht="25.5" customHeight="1">
      <c r="A279" s="272"/>
      <c r="B279" s="273"/>
      <c r="C279" s="272"/>
      <c r="D279" s="274"/>
      <c r="E279" s="275"/>
    </row>
    <row r="280" ht="25.5" customHeight="1">
      <c r="A280" s="272"/>
      <c r="B280" s="273"/>
      <c r="C280" s="272"/>
      <c r="D280" s="274"/>
      <c r="E280" s="275"/>
    </row>
    <row r="281" ht="25.5" customHeight="1">
      <c r="A281" s="272"/>
      <c r="B281" s="273"/>
      <c r="C281" s="272"/>
      <c r="D281" s="274"/>
      <c r="E281" s="275"/>
    </row>
    <row r="282" ht="25.5" customHeight="1">
      <c r="A282" s="272"/>
      <c r="B282" s="273"/>
      <c r="C282" s="272"/>
      <c r="D282" s="274"/>
      <c r="E282" s="275"/>
    </row>
    <row r="283" ht="25.5" customHeight="1">
      <c r="A283" s="272"/>
      <c r="B283" s="273"/>
      <c r="C283" s="272"/>
      <c r="D283" s="274"/>
      <c r="E283" s="275"/>
    </row>
    <row r="284" ht="25.5" customHeight="1">
      <c r="A284" s="272"/>
      <c r="B284" s="273"/>
      <c r="C284" s="272"/>
      <c r="D284" s="274"/>
      <c r="E284" s="275"/>
    </row>
    <row r="285" ht="25.5" customHeight="1">
      <c r="A285" s="272"/>
      <c r="B285" s="273"/>
      <c r="C285" s="272"/>
      <c r="D285" s="274"/>
      <c r="E285" s="275"/>
    </row>
    <row r="286" ht="25.5" customHeight="1">
      <c r="A286" s="272"/>
      <c r="B286" s="273"/>
      <c r="C286" s="272"/>
      <c r="D286" s="274"/>
      <c r="E286" s="275"/>
    </row>
    <row r="287" ht="25.5" customHeight="1">
      <c r="A287" s="272"/>
      <c r="B287" s="273"/>
      <c r="C287" s="272"/>
      <c r="D287" s="274"/>
      <c r="E287" s="275"/>
    </row>
    <row r="288" ht="25.5" customHeight="1">
      <c r="A288" s="272"/>
      <c r="B288" s="273"/>
      <c r="C288" s="272"/>
      <c r="D288" s="274"/>
      <c r="E288" s="275"/>
    </row>
    <row r="289" ht="25.5" customHeight="1">
      <c r="A289" s="272"/>
      <c r="B289" s="273"/>
      <c r="C289" s="272"/>
      <c r="D289" s="274"/>
      <c r="E289" s="275"/>
    </row>
    <row r="290" ht="25.5" customHeight="1">
      <c r="A290" s="272"/>
      <c r="B290" s="273"/>
      <c r="C290" s="272"/>
      <c r="D290" s="274"/>
      <c r="E290" s="275"/>
    </row>
    <row r="291" ht="25.5" customHeight="1">
      <c r="A291" s="272"/>
      <c r="B291" s="273"/>
      <c r="C291" s="272"/>
      <c r="D291" s="274"/>
      <c r="E291" s="275"/>
    </row>
    <row r="292" ht="25.5" customHeight="1">
      <c r="A292" s="272"/>
      <c r="B292" s="273"/>
      <c r="C292" s="272"/>
      <c r="D292" s="274"/>
      <c r="E292" s="275"/>
    </row>
    <row r="293" ht="25.5" customHeight="1">
      <c r="A293" s="272"/>
      <c r="B293" s="273"/>
      <c r="C293" s="272"/>
      <c r="D293" s="274"/>
      <c r="E293" s="275"/>
    </row>
    <row r="294" ht="25.5" customHeight="1">
      <c r="A294" s="272"/>
      <c r="B294" s="273"/>
      <c r="C294" s="272"/>
      <c r="D294" s="274"/>
      <c r="E294" s="275"/>
    </row>
    <row r="295" ht="25.5" customHeight="1">
      <c r="A295" s="272"/>
      <c r="B295" s="273"/>
      <c r="C295" s="272"/>
      <c r="D295" s="274"/>
      <c r="E295" s="275"/>
    </row>
    <row r="296" ht="25.5" customHeight="1">
      <c r="A296" s="272"/>
      <c r="B296" s="273"/>
      <c r="C296" s="272"/>
      <c r="D296" s="274"/>
      <c r="E296" s="275"/>
    </row>
    <row r="297" ht="25.5" customHeight="1">
      <c r="A297" s="272"/>
      <c r="B297" s="273"/>
      <c r="C297" s="272"/>
      <c r="D297" s="274"/>
      <c r="E297" s="275"/>
    </row>
    <row r="298" ht="25.5" customHeight="1">
      <c r="A298" s="272"/>
      <c r="B298" s="273"/>
      <c r="C298" s="272"/>
      <c r="D298" s="274"/>
      <c r="E298" s="275"/>
    </row>
    <row r="299" ht="25.5" customHeight="1">
      <c r="A299" s="272"/>
      <c r="B299" s="273"/>
      <c r="C299" s="272"/>
      <c r="D299" s="274"/>
      <c r="E299" s="275"/>
    </row>
    <row r="300" ht="25.5" customHeight="1">
      <c r="A300" s="272"/>
      <c r="B300" s="273"/>
      <c r="C300" s="272"/>
      <c r="D300" s="274"/>
      <c r="E300" s="275"/>
    </row>
    <row r="301" ht="25.5" customHeight="1">
      <c r="A301" s="272"/>
      <c r="B301" s="273"/>
      <c r="C301" s="272"/>
      <c r="D301" s="274"/>
      <c r="E301" s="275"/>
    </row>
    <row r="302" ht="25.5" customHeight="1">
      <c r="A302" s="272"/>
      <c r="B302" s="273"/>
      <c r="C302" s="272"/>
      <c r="D302" s="274"/>
      <c r="E302" s="275"/>
    </row>
    <row r="303" ht="25.5" customHeight="1">
      <c r="A303" s="272"/>
      <c r="B303" s="273"/>
      <c r="C303" s="272"/>
      <c r="D303" s="274"/>
      <c r="E303" s="275"/>
    </row>
    <row r="304" ht="25.5" customHeight="1">
      <c r="A304" s="272"/>
      <c r="B304" s="273"/>
      <c r="C304" s="272"/>
      <c r="D304" s="274"/>
      <c r="E304" s="275"/>
    </row>
    <row r="305" ht="25.5" customHeight="1">
      <c r="A305" s="272"/>
      <c r="B305" s="273"/>
      <c r="C305" s="272"/>
      <c r="D305" s="274"/>
      <c r="E305" s="275"/>
    </row>
    <row r="306" ht="25.5" customHeight="1">
      <c r="A306" s="272"/>
      <c r="B306" s="273"/>
      <c r="C306" s="272"/>
      <c r="D306" s="274"/>
      <c r="E306" s="275"/>
    </row>
    <row r="307" ht="25.5" customHeight="1">
      <c r="A307" s="272"/>
      <c r="B307" s="273"/>
      <c r="C307" s="272"/>
      <c r="D307" s="274"/>
      <c r="E307" s="275"/>
    </row>
    <row r="308" ht="25.5" customHeight="1">
      <c r="A308" s="272"/>
      <c r="B308" s="273"/>
      <c r="C308" s="272"/>
      <c r="D308" s="274"/>
      <c r="E308" s="275"/>
    </row>
    <row r="309" ht="25.5" customHeight="1">
      <c r="A309" s="272"/>
      <c r="B309" s="273"/>
      <c r="C309" s="272"/>
      <c r="D309" s="274"/>
      <c r="E309" s="275"/>
    </row>
    <row r="310" ht="25.5" customHeight="1">
      <c r="A310" s="272"/>
      <c r="B310" s="273"/>
      <c r="C310" s="272"/>
      <c r="D310" s="274"/>
      <c r="E310" s="275"/>
    </row>
    <row r="311" ht="25.5" customHeight="1">
      <c r="A311" s="272"/>
      <c r="B311" s="273"/>
      <c r="C311" s="272"/>
      <c r="D311" s="274"/>
      <c r="E311" s="275"/>
    </row>
    <row r="312" ht="25.5" customHeight="1">
      <c r="A312" s="272"/>
      <c r="B312" s="273"/>
      <c r="C312" s="272"/>
      <c r="D312" s="274"/>
      <c r="E312" s="275"/>
    </row>
    <row r="313" ht="25.5" customHeight="1">
      <c r="A313" s="272"/>
      <c r="B313" s="273"/>
      <c r="C313" s="272"/>
      <c r="D313" s="274"/>
      <c r="E313" s="275"/>
    </row>
    <row r="314" ht="25.5" customHeight="1">
      <c r="A314" s="272"/>
      <c r="B314" s="273"/>
      <c r="C314" s="272"/>
      <c r="D314" s="274"/>
      <c r="E314" s="275"/>
    </row>
    <row r="315" ht="25.5" customHeight="1">
      <c r="A315" s="272"/>
      <c r="B315" s="273"/>
      <c r="C315" s="272"/>
      <c r="D315" s="274"/>
      <c r="E315" s="275"/>
    </row>
    <row r="316" ht="25.5" customHeight="1">
      <c r="A316" s="272"/>
      <c r="B316" s="273"/>
      <c r="C316" s="272"/>
      <c r="D316" s="274"/>
      <c r="E316" s="275"/>
    </row>
    <row r="317" ht="25.5" customHeight="1">
      <c r="A317" s="272"/>
      <c r="B317" s="273"/>
      <c r="C317" s="272"/>
      <c r="D317" s="274"/>
      <c r="E317" s="275"/>
    </row>
    <row r="318" ht="25.5" customHeight="1">
      <c r="A318" s="272"/>
      <c r="B318" s="273"/>
      <c r="C318" s="272"/>
      <c r="D318" s="274"/>
      <c r="E318" s="275"/>
    </row>
    <row r="319" ht="25.5" customHeight="1">
      <c r="A319" s="272"/>
      <c r="B319" s="273"/>
      <c r="C319" s="272"/>
      <c r="D319" s="274"/>
      <c r="E319" s="275"/>
    </row>
    <row r="320" ht="25.5" customHeight="1">
      <c r="A320" s="272"/>
      <c r="B320" s="273"/>
      <c r="C320" s="272"/>
      <c r="D320" s="274"/>
      <c r="E320" s="275"/>
    </row>
    <row r="321" ht="25.5" customHeight="1">
      <c r="A321" s="272"/>
      <c r="B321" s="273"/>
      <c r="C321" s="272"/>
      <c r="D321" s="274"/>
      <c r="E321" s="275"/>
    </row>
    <row r="322" ht="25.5" customHeight="1">
      <c r="A322" s="272"/>
      <c r="B322" s="273"/>
      <c r="C322" s="272"/>
      <c r="D322" s="274"/>
      <c r="E322" s="275"/>
    </row>
    <row r="323" ht="25.5" customHeight="1">
      <c r="A323" s="272"/>
      <c r="B323" s="273"/>
      <c r="C323" s="272"/>
      <c r="D323" s="274"/>
      <c r="E323" s="275"/>
    </row>
    <row r="324" ht="25.5" customHeight="1">
      <c r="A324" s="272"/>
      <c r="B324" s="273"/>
      <c r="C324" s="272"/>
      <c r="D324" s="274"/>
      <c r="E324" s="275"/>
    </row>
    <row r="325" ht="25.5" customHeight="1">
      <c r="A325" s="272"/>
      <c r="B325" s="273"/>
      <c r="C325" s="272"/>
      <c r="D325" s="274"/>
      <c r="E325" s="275"/>
    </row>
    <row r="326" ht="25.5" customHeight="1">
      <c r="A326" s="272"/>
      <c r="B326" s="273"/>
      <c r="C326" s="272"/>
      <c r="D326" s="274"/>
      <c r="E326" s="275"/>
    </row>
    <row r="327" ht="25.5" customHeight="1">
      <c r="A327" s="272"/>
      <c r="B327" s="273"/>
      <c r="C327" s="272"/>
      <c r="D327" s="274"/>
      <c r="E327" s="275"/>
    </row>
    <row r="328" ht="25.5" customHeight="1">
      <c r="A328" s="272"/>
      <c r="B328" s="273"/>
      <c r="C328" s="272"/>
      <c r="D328" s="274"/>
      <c r="E328" s="275"/>
    </row>
    <row r="329" ht="25.5" customHeight="1">
      <c r="A329" s="272"/>
      <c r="B329" s="273"/>
      <c r="C329" s="272"/>
      <c r="D329" s="274"/>
      <c r="E329" s="275"/>
    </row>
    <row r="330" ht="25.5" customHeight="1">
      <c r="A330" s="272"/>
      <c r="B330" s="273"/>
      <c r="C330" s="272"/>
      <c r="D330" s="274"/>
      <c r="E330" s="275"/>
    </row>
    <row r="331" ht="25.5" customHeight="1">
      <c r="A331" s="272"/>
      <c r="B331" s="273"/>
      <c r="C331" s="272"/>
      <c r="D331" s="274"/>
      <c r="E331" s="275"/>
    </row>
    <row r="332" ht="25.5" customHeight="1">
      <c r="A332" s="272"/>
      <c r="B332" s="273"/>
      <c r="C332" s="272"/>
      <c r="D332" s="274"/>
      <c r="E332" s="275"/>
    </row>
    <row r="333" ht="25.5" customHeight="1">
      <c r="A333" s="272"/>
      <c r="B333" s="273"/>
      <c r="C333" s="272"/>
      <c r="D333" s="274"/>
      <c r="E333" s="275"/>
    </row>
    <row r="334" ht="25.5" customHeight="1">
      <c r="A334" s="272"/>
      <c r="B334" s="273"/>
      <c r="C334" s="272"/>
      <c r="D334" s="274"/>
      <c r="E334" s="275"/>
    </row>
    <row r="335" ht="25.5" customHeight="1">
      <c r="A335" s="272"/>
      <c r="B335" s="273"/>
      <c r="C335" s="272"/>
      <c r="D335" s="274"/>
      <c r="E335" s="275"/>
    </row>
    <row r="336" ht="25.5" customHeight="1">
      <c r="A336" s="272"/>
      <c r="B336" s="273"/>
      <c r="C336" s="272"/>
      <c r="D336" s="274"/>
      <c r="E336" s="275"/>
    </row>
    <row r="337" ht="25.5" customHeight="1">
      <c r="A337" s="272"/>
      <c r="B337" s="273"/>
      <c r="C337" s="272"/>
      <c r="D337" s="274"/>
      <c r="E337" s="275"/>
    </row>
    <row r="338" ht="25.5" customHeight="1">
      <c r="A338" s="272"/>
      <c r="B338" s="273"/>
      <c r="C338" s="272"/>
      <c r="D338" s="274"/>
      <c r="E338" s="275"/>
    </row>
    <row r="339" ht="25.5" customHeight="1">
      <c r="A339" s="272"/>
      <c r="B339" s="273"/>
      <c r="C339" s="272"/>
      <c r="D339" s="274"/>
      <c r="E339" s="275"/>
    </row>
    <row r="340" ht="25.5" customHeight="1">
      <c r="A340" s="272"/>
      <c r="B340" s="273"/>
      <c r="C340" s="272"/>
      <c r="D340" s="274"/>
      <c r="E340" s="275"/>
    </row>
    <row r="341" ht="25.5" customHeight="1">
      <c r="A341" s="272"/>
      <c r="B341" s="273"/>
      <c r="C341" s="272"/>
      <c r="D341" s="274"/>
      <c r="E341" s="275"/>
    </row>
    <row r="342" ht="25.5" customHeight="1">
      <c r="A342" s="272"/>
      <c r="B342" s="273"/>
      <c r="C342" s="272"/>
      <c r="D342" s="274"/>
      <c r="E342" s="275"/>
    </row>
    <row r="343" ht="25.5" customHeight="1">
      <c r="A343" s="272"/>
      <c r="B343" s="273"/>
      <c r="C343" s="272"/>
      <c r="D343" s="274"/>
      <c r="E343" s="275"/>
    </row>
    <row r="344" ht="25.5" customHeight="1">
      <c r="A344" s="272"/>
      <c r="B344" s="273"/>
      <c r="C344" s="272"/>
      <c r="D344" s="274"/>
      <c r="E344" s="275"/>
    </row>
    <row r="345" ht="25.5" customHeight="1">
      <c r="A345" s="272"/>
      <c r="B345" s="273"/>
      <c r="C345" s="272"/>
      <c r="D345" s="274"/>
      <c r="E345" s="275"/>
    </row>
    <row r="346" ht="25.5" customHeight="1">
      <c r="A346" s="272"/>
      <c r="B346" s="273"/>
      <c r="C346" s="272"/>
      <c r="D346" s="274"/>
      <c r="E346" s="275"/>
    </row>
    <row r="347" ht="25.5" customHeight="1">
      <c r="A347" s="272"/>
      <c r="B347" s="273"/>
      <c r="C347" s="272"/>
      <c r="D347" s="274"/>
      <c r="E347" s="275"/>
    </row>
    <row r="348" ht="25.5" customHeight="1">
      <c r="A348" s="272"/>
      <c r="B348" s="273"/>
      <c r="C348" s="272"/>
      <c r="D348" s="274"/>
      <c r="E348" s="275"/>
    </row>
    <row r="349" ht="25.5" customHeight="1">
      <c r="A349" s="272"/>
      <c r="B349" s="273"/>
      <c r="C349" s="272"/>
      <c r="D349" s="274"/>
      <c r="E349" s="275"/>
    </row>
    <row r="350" ht="25.5" customHeight="1">
      <c r="A350" s="272"/>
      <c r="B350" s="273"/>
      <c r="C350" s="272"/>
      <c r="D350" s="274"/>
      <c r="E350" s="275"/>
    </row>
    <row r="351" ht="25.5" customHeight="1">
      <c r="A351" s="272"/>
      <c r="B351" s="273"/>
      <c r="C351" s="272"/>
      <c r="D351" s="274"/>
      <c r="E351" s="275"/>
    </row>
    <row r="352" ht="25.5" customHeight="1">
      <c r="A352" s="272"/>
      <c r="B352" s="273"/>
      <c r="C352" s="272"/>
      <c r="D352" s="274"/>
      <c r="E352" s="275"/>
    </row>
    <row r="353" ht="25.5" customHeight="1">
      <c r="A353" s="272"/>
      <c r="B353" s="273"/>
      <c r="C353" s="272"/>
      <c r="D353" s="274"/>
      <c r="E353" s="275"/>
    </row>
    <row r="354" ht="25.5" customHeight="1">
      <c r="A354" s="272"/>
      <c r="B354" s="273"/>
      <c r="C354" s="272"/>
      <c r="D354" s="274"/>
      <c r="E354" s="275"/>
    </row>
    <row r="355" ht="25.5" customHeight="1">
      <c r="A355" s="272"/>
      <c r="B355" s="273"/>
      <c r="C355" s="272"/>
      <c r="D355" s="274"/>
      <c r="E355" s="275"/>
    </row>
    <row r="356" ht="25.5" customHeight="1">
      <c r="A356" s="272"/>
      <c r="B356" s="273"/>
      <c r="C356" s="272"/>
      <c r="D356" s="274"/>
      <c r="E356" s="275"/>
    </row>
    <row r="357" ht="25.5" customHeight="1">
      <c r="A357" s="272"/>
      <c r="B357" s="273"/>
      <c r="C357" s="272"/>
      <c r="D357" s="274"/>
      <c r="E357" s="275"/>
    </row>
    <row r="358" ht="25.5" customHeight="1">
      <c r="A358" s="272"/>
      <c r="B358" s="273"/>
      <c r="C358" s="272"/>
      <c r="D358" s="274"/>
      <c r="E358" s="275"/>
    </row>
    <row r="359" ht="25.5" customHeight="1">
      <c r="A359" s="272"/>
      <c r="B359" s="273"/>
      <c r="C359" s="272"/>
      <c r="D359" s="274"/>
      <c r="E359" s="275"/>
    </row>
    <row r="360" ht="25.5" customHeight="1">
      <c r="A360" s="272"/>
      <c r="B360" s="273"/>
      <c r="C360" s="272"/>
      <c r="D360" s="274"/>
      <c r="E360" s="275"/>
    </row>
    <row r="361" ht="25.5" customHeight="1">
      <c r="A361" s="272"/>
      <c r="B361" s="273"/>
      <c r="C361" s="272"/>
      <c r="D361" s="274"/>
      <c r="E361" s="275"/>
    </row>
    <row r="362" ht="25.5" customHeight="1">
      <c r="A362" s="272"/>
      <c r="B362" s="273"/>
      <c r="C362" s="272"/>
      <c r="D362" s="274"/>
      <c r="E362" s="275"/>
    </row>
    <row r="363" ht="25.5" customHeight="1">
      <c r="A363" s="272"/>
      <c r="B363" s="273"/>
      <c r="C363" s="272"/>
      <c r="D363" s="274"/>
      <c r="E363" s="275"/>
    </row>
    <row r="364" ht="25.5" customHeight="1">
      <c r="A364" s="272"/>
      <c r="B364" s="273"/>
      <c r="C364" s="272"/>
      <c r="D364" s="274"/>
      <c r="E364" s="275"/>
    </row>
    <row r="365" ht="25.5" customHeight="1">
      <c r="A365" s="272"/>
      <c r="B365" s="273"/>
      <c r="C365" s="272"/>
      <c r="D365" s="274"/>
      <c r="E365" s="275"/>
    </row>
    <row r="366" ht="25.5" customHeight="1">
      <c r="A366" s="272"/>
      <c r="B366" s="273"/>
      <c r="C366" s="272"/>
      <c r="D366" s="274"/>
      <c r="E366" s="275"/>
    </row>
    <row r="367" ht="25.5" customHeight="1">
      <c r="A367" s="272"/>
      <c r="B367" s="273"/>
      <c r="C367" s="272"/>
      <c r="D367" s="274"/>
      <c r="E367" s="275"/>
    </row>
    <row r="368" ht="25.5" customHeight="1">
      <c r="A368" s="272"/>
      <c r="B368" s="273"/>
      <c r="C368" s="272"/>
      <c r="D368" s="274"/>
      <c r="E368" s="275"/>
    </row>
    <row r="369" ht="25.5" customHeight="1">
      <c r="A369" s="272"/>
      <c r="B369" s="273"/>
      <c r="C369" s="272"/>
      <c r="D369" s="274"/>
      <c r="E369" s="275"/>
    </row>
    <row r="370" ht="25.5" customHeight="1">
      <c r="A370" s="272"/>
      <c r="B370" s="273"/>
      <c r="C370" s="272"/>
      <c r="D370" s="274"/>
      <c r="E370" s="275"/>
    </row>
    <row r="371" ht="25.5" customHeight="1">
      <c r="A371" s="272"/>
      <c r="B371" s="273"/>
      <c r="C371" s="272"/>
      <c r="D371" s="274"/>
      <c r="E371" s="275"/>
    </row>
    <row r="372" ht="25.5" customHeight="1">
      <c r="A372" s="272"/>
      <c r="B372" s="273"/>
      <c r="C372" s="272"/>
      <c r="D372" s="274"/>
      <c r="E372" s="275"/>
    </row>
    <row r="373" ht="25.5" customHeight="1">
      <c r="A373" s="272"/>
      <c r="B373" s="273"/>
      <c r="C373" s="272"/>
      <c r="D373" s="274"/>
      <c r="E373" s="275"/>
    </row>
    <row r="374" ht="25.5" customHeight="1">
      <c r="A374" s="272"/>
      <c r="B374" s="273"/>
      <c r="C374" s="272"/>
      <c r="D374" s="274"/>
      <c r="E374" s="275"/>
    </row>
    <row r="375" ht="25.5" customHeight="1">
      <c r="A375" s="272"/>
      <c r="B375" s="273"/>
      <c r="C375" s="272"/>
      <c r="D375" s="274"/>
      <c r="E375" s="275"/>
    </row>
    <row r="376" ht="25.5" customHeight="1">
      <c r="A376" s="272"/>
      <c r="B376" s="273"/>
      <c r="C376" s="272"/>
      <c r="D376" s="274"/>
      <c r="E376" s="275"/>
    </row>
    <row r="377" ht="25.5" customHeight="1">
      <c r="A377" s="272"/>
      <c r="B377" s="273"/>
      <c r="C377" s="272"/>
      <c r="D377" s="274"/>
      <c r="E377" s="275"/>
    </row>
    <row r="378" ht="25.5" customHeight="1">
      <c r="A378" s="272"/>
      <c r="B378" s="273"/>
      <c r="C378" s="272"/>
      <c r="D378" s="274"/>
      <c r="E378" s="275"/>
    </row>
    <row r="379" ht="25.5" customHeight="1">
      <c r="A379" s="272"/>
      <c r="B379" s="273"/>
      <c r="C379" s="272"/>
      <c r="D379" s="274"/>
      <c r="E379" s="275"/>
    </row>
    <row r="380" ht="25.5" customHeight="1">
      <c r="A380" s="272"/>
      <c r="B380" s="273"/>
      <c r="C380" s="272"/>
      <c r="D380" s="274"/>
      <c r="E380" s="275"/>
    </row>
    <row r="381" ht="25.5" customHeight="1">
      <c r="A381" s="272"/>
      <c r="B381" s="273"/>
      <c r="C381" s="272"/>
      <c r="D381" s="274"/>
      <c r="E381" s="275"/>
    </row>
    <row r="382" ht="25.5" customHeight="1">
      <c r="A382" s="272"/>
      <c r="B382" s="273"/>
      <c r="C382" s="272"/>
      <c r="D382" s="274"/>
      <c r="E382" s="275"/>
    </row>
    <row r="383" ht="25.5" customHeight="1">
      <c r="A383" s="272"/>
      <c r="B383" s="273"/>
      <c r="C383" s="272"/>
      <c r="D383" s="274"/>
      <c r="E383" s="275"/>
    </row>
    <row r="384" ht="25.5" customHeight="1">
      <c r="A384" s="272"/>
      <c r="B384" s="273"/>
      <c r="C384" s="272"/>
      <c r="D384" s="274"/>
      <c r="E384" s="275"/>
    </row>
    <row r="385" ht="25.5" customHeight="1">
      <c r="A385" s="272"/>
      <c r="B385" s="273"/>
      <c r="C385" s="272"/>
      <c r="D385" s="274"/>
      <c r="E385" s="275"/>
    </row>
    <row r="386" ht="25.5" customHeight="1">
      <c r="A386" s="272"/>
      <c r="B386" s="273"/>
      <c r="C386" s="272"/>
      <c r="D386" s="274"/>
      <c r="E386" s="275"/>
    </row>
    <row r="387" ht="25.5" customHeight="1">
      <c r="A387" s="272"/>
      <c r="B387" s="273"/>
      <c r="C387" s="272"/>
      <c r="D387" s="274"/>
      <c r="E387" s="275"/>
    </row>
    <row r="388" ht="25.5" customHeight="1">
      <c r="A388" s="272"/>
      <c r="B388" s="273"/>
      <c r="C388" s="272"/>
      <c r="D388" s="274"/>
      <c r="E388" s="275"/>
    </row>
    <row r="389" ht="25.5" customHeight="1">
      <c r="A389" s="272"/>
      <c r="B389" s="273"/>
      <c r="C389" s="272"/>
      <c r="D389" s="274"/>
      <c r="E389" s="275"/>
    </row>
    <row r="390" ht="25.5" customHeight="1">
      <c r="A390" s="272"/>
      <c r="B390" s="273"/>
      <c r="C390" s="272"/>
      <c r="D390" s="274"/>
      <c r="E390" s="275"/>
    </row>
    <row r="391" ht="25.5" customHeight="1">
      <c r="A391" s="272"/>
      <c r="B391" s="273"/>
      <c r="C391" s="272"/>
      <c r="D391" s="274"/>
      <c r="E391" s="275"/>
    </row>
    <row r="392" ht="25.5" customHeight="1">
      <c r="A392" s="272"/>
      <c r="B392" s="273"/>
      <c r="C392" s="272"/>
      <c r="D392" s="274"/>
      <c r="E392" s="275"/>
    </row>
    <row r="393" ht="25.5" customHeight="1">
      <c r="A393" s="272"/>
      <c r="B393" s="273"/>
      <c r="C393" s="272"/>
      <c r="D393" s="274"/>
      <c r="E393" s="275"/>
    </row>
    <row r="394" ht="25.5" customHeight="1">
      <c r="A394" s="272"/>
      <c r="B394" s="273"/>
      <c r="C394" s="272"/>
      <c r="D394" s="274"/>
      <c r="E394" s="275"/>
    </row>
    <row r="395" ht="25.5" customHeight="1">
      <c r="A395" s="272"/>
      <c r="B395" s="273"/>
      <c r="C395" s="272"/>
      <c r="D395" s="274"/>
      <c r="E395" s="275"/>
    </row>
    <row r="396" ht="25.5" customHeight="1">
      <c r="A396" s="272"/>
      <c r="B396" s="273"/>
      <c r="C396" s="272"/>
      <c r="D396" s="274"/>
      <c r="E396" s="275"/>
    </row>
    <row r="397" ht="25.5" customHeight="1">
      <c r="A397" s="272"/>
      <c r="B397" s="273"/>
      <c r="C397" s="272"/>
      <c r="D397" s="274"/>
      <c r="E397" s="275"/>
    </row>
    <row r="398" ht="25.5" customHeight="1">
      <c r="A398" s="272"/>
      <c r="B398" s="273"/>
      <c r="C398" s="272"/>
      <c r="D398" s="274"/>
      <c r="E398" s="275"/>
    </row>
    <row r="399" ht="25.5" customHeight="1">
      <c r="A399" s="272"/>
      <c r="B399" s="273"/>
      <c r="C399" s="272"/>
      <c r="D399" s="274"/>
      <c r="E399" s="275"/>
    </row>
    <row r="400" ht="25.5" customHeight="1">
      <c r="A400" s="272"/>
      <c r="B400" s="273"/>
      <c r="C400" s="272"/>
      <c r="D400" s="274"/>
      <c r="E400" s="275"/>
    </row>
    <row r="401" ht="25.5" customHeight="1">
      <c r="A401" s="272"/>
      <c r="B401" s="273"/>
      <c r="C401" s="272"/>
      <c r="D401" s="274"/>
      <c r="E401" s="275"/>
    </row>
    <row r="402" ht="25.5" customHeight="1">
      <c r="A402" s="272"/>
      <c r="B402" s="273"/>
      <c r="C402" s="272"/>
      <c r="D402" s="274"/>
      <c r="E402" s="275"/>
    </row>
    <row r="403" ht="25.5" customHeight="1">
      <c r="A403" s="272"/>
      <c r="B403" s="273"/>
      <c r="C403" s="272"/>
      <c r="D403" s="274"/>
      <c r="E403" s="275"/>
    </row>
    <row r="404" ht="25.5" customHeight="1">
      <c r="A404" s="272"/>
      <c r="B404" s="273"/>
      <c r="C404" s="272"/>
      <c r="D404" s="274"/>
      <c r="E404" s="275"/>
    </row>
    <row r="405" ht="25.5" customHeight="1">
      <c r="A405" s="272"/>
      <c r="B405" s="273"/>
      <c r="C405" s="272"/>
      <c r="D405" s="274"/>
      <c r="E405" s="275"/>
    </row>
    <row r="406" ht="25.5" customHeight="1">
      <c r="A406" s="272"/>
      <c r="B406" s="273"/>
      <c r="C406" s="272"/>
      <c r="D406" s="274"/>
      <c r="E406" s="275"/>
    </row>
    <row r="407" ht="25.5" customHeight="1">
      <c r="A407" s="272"/>
      <c r="B407" s="273"/>
      <c r="C407" s="272"/>
      <c r="D407" s="274"/>
      <c r="E407" s="275"/>
    </row>
    <row r="408" ht="25.5" customHeight="1">
      <c r="A408" s="272"/>
      <c r="B408" s="273"/>
      <c r="C408" s="272"/>
      <c r="D408" s="274"/>
      <c r="E408" s="275"/>
    </row>
    <row r="409" ht="25.5" customHeight="1">
      <c r="A409" s="272"/>
      <c r="B409" s="273"/>
      <c r="C409" s="272"/>
      <c r="D409" s="274"/>
      <c r="E409" s="275"/>
    </row>
    <row r="410" ht="25.5" customHeight="1">
      <c r="A410" s="272"/>
      <c r="B410" s="273"/>
      <c r="C410" s="272"/>
      <c r="D410" s="274"/>
      <c r="E410" s="275"/>
    </row>
    <row r="411" ht="25.5" customHeight="1">
      <c r="A411" s="272"/>
      <c r="B411" s="273"/>
      <c r="C411" s="272"/>
      <c r="D411" s="274"/>
      <c r="E411" s="275"/>
    </row>
    <row r="412" ht="25.5" customHeight="1">
      <c r="A412" s="272"/>
      <c r="B412" s="273"/>
      <c r="C412" s="272"/>
      <c r="D412" s="274"/>
      <c r="E412" s="275"/>
    </row>
    <row r="413" ht="25.5" customHeight="1">
      <c r="A413" s="272"/>
      <c r="B413" s="273"/>
      <c r="C413" s="272"/>
      <c r="D413" s="274"/>
      <c r="E413" s="275"/>
    </row>
    <row r="414" ht="25.5" customHeight="1">
      <c r="A414" s="272"/>
      <c r="B414" s="273"/>
      <c r="C414" s="272"/>
      <c r="D414" s="274"/>
      <c r="E414" s="275"/>
    </row>
    <row r="415" ht="25.5" customHeight="1">
      <c r="A415" s="272"/>
      <c r="B415" s="273"/>
      <c r="C415" s="272"/>
      <c r="D415" s="274"/>
      <c r="E415" s="275"/>
    </row>
    <row r="416" ht="25.5" customHeight="1">
      <c r="A416" s="272"/>
      <c r="B416" s="273"/>
      <c r="C416" s="272"/>
      <c r="D416" s="274"/>
      <c r="E416" s="275"/>
    </row>
    <row r="417" ht="25.5" customHeight="1">
      <c r="A417" s="272"/>
      <c r="B417" s="273"/>
      <c r="C417" s="272"/>
      <c r="D417" s="274"/>
      <c r="E417" s="275"/>
    </row>
    <row r="418" ht="25.5" customHeight="1">
      <c r="A418" s="272"/>
      <c r="B418" s="273"/>
      <c r="C418" s="272"/>
      <c r="D418" s="274"/>
      <c r="E418" s="275"/>
    </row>
    <row r="419" ht="25.5" customHeight="1">
      <c r="A419" s="272"/>
      <c r="B419" s="273"/>
      <c r="C419" s="272"/>
      <c r="D419" s="274"/>
      <c r="E419" s="275"/>
    </row>
    <row r="420" ht="25.5" customHeight="1">
      <c r="A420" s="272"/>
      <c r="B420" s="273"/>
      <c r="C420" s="272"/>
      <c r="D420" s="274"/>
      <c r="E420" s="275"/>
    </row>
    <row r="421" ht="25.5" customHeight="1">
      <c r="A421" s="272"/>
      <c r="B421" s="273"/>
      <c r="C421" s="272"/>
      <c r="D421" s="274"/>
      <c r="E421" s="275"/>
    </row>
    <row r="422" ht="25.5" customHeight="1">
      <c r="A422" s="272"/>
      <c r="B422" s="273"/>
      <c r="C422" s="272"/>
      <c r="D422" s="274"/>
      <c r="E422" s="275"/>
    </row>
    <row r="423" ht="25.5" customHeight="1">
      <c r="A423" s="272"/>
      <c r="B423" s="273"/>
      <c r="C423" s="272"/>
      <c r="D423" s="274"/>
      <c r="E423" s="275"/>
    </row>
    <row r="424" ht="25.5" customHeight="1">
      <c r="A424" s="272"/>
      <c r="B424" s="273"/>
      <c r="C424" s="272"/>
      <c r="D424" s="274"/>
      <c r="E424" s="275"/>
    </row>
    <row r="425" ht="25.5" customHeight="1">
      <c r="A425" s="272"/>
      <c r="B425" s="273"/>
      <c r="C425" s="272"/>
      <c r="D425" s="274"/>
      <c r="E425" s="275"/>
    </row>
    <row r="426" ht="25.5" customHeight="1">
      <c r="A426" s="272"/>
      <c r="B426" s="273"/>
      <c r="C426" s="272"/>
      <c r="D426" s="274"/>
      <c r="E426" s="275"/>
    </row>
    <row r="427" ht="25.5" customHeight="1">
      <c r="A427" s="272"/>
      <c r="B427" s="273"/>
      <c r="C427" s="272"/>
      <c r="D427" s="274"/>
      <c r="E427" s="275"/>
    </row>
    <row r="428" ht="25.5" customHeight="1">
      <c r="A428" s="272"/>
      <c r="B428" s="273"/>
      <c r="C428" s="272"/>
      <c r="D428" s="274"/>
      <c r="E428" s="275"/>
    </row>
    <row r="429" ht="25.5" customHeight="1">
      <c r="A429" s="272"/>
      <c r="B429" s="273"/>
      <c r="C429" s="272"/>
      <c r="D429" s="274"/>
      <c r="E429" s="275"/>
    </row>
    <row r="430" ht="25.5" customHeight="1">
      <c r="A430" s="272"/>
      <c r="B430" s="273"/>
      <c r="C430" s="272"/>
      <c r="D430" s="274"/>
      <c r="E430" s="275"/>
    </row>
    <row r="431" ht="25.5" customHeight="1">
      <c r="A431" s="272"/>
      <c r="B431" s="273"/>
      <c r="C431" s="272"/>
      <c r="D431" s="274"/>
      <c r="E431" s="275"/>
    </row>
    <row r="432" ht="25.5" customHeight="1">
      <c r="A432" s="272"/>
      <c r="B432" s="273"/>
      <c r="C432" s="272"/>
      <c r="D432" s="274"/>
      <c r="E432" s="275"/>
    </row>
    <row r="433" ht="25.5" customHeight="1">
      <c r="A433" s="272"/>
      <c r="B433" s="273"/>
      <c r="C433" s="272"/>
      <c r="D433" s="274"/>
      <c r="E433" s="275"/>
    </row>
    <row r="434" ht="25.5" customHeight="1">
      <c r="A434" s="272"/>
      <c r="B434" s="273"/>
      <c r="C434" s="272"/>
      <c r="D434" s="274"/>
      <c r="E434" s="275"/>
    </row>
    <row r="435" ht="25.5" customHeight="1">
      <c r="A435" s="272"/>
      <c r="B435" s="273"/>
      <c r="C435" s="272"/>
      <c r="D435" s="274"/>
      <c r="E435" s="275"/>
    </row>
    <row r="436" ht="25.5" customHeight="1">
      <c r="A436" s="272"/>
      <c r="B436" s="273"/>
      <c r="C436" s="272"/>
      <c r="D436" s="274"/>
      <c r="E436" s="275"/>
    </row>
    <row r="437" ht="25.5" customHeight="1">
      <c r="A437" s="272"/>
      <c r="B437" s="273"/>
      <c r="C437" s="272"/>
      <c r="D437" s="274"/>
      <c r="E437" s="275"/>
    </row>
    <row r="438" ht="25.5" customHeight="1">
      <c r="A438" s="272"/>
      <c r="B438" s="273"/>
      <c r="C438" s="272"/>
      <c r="D438" s="274"/>
      <c r="E438" s="275"/>
    </row>
    <row r="439" ht="25.5" customHeight="1">
      <c r="A439" s="272"/>
      <c r="B439" s="273"/>
      <c r="C439" s="272"/>
      <c r="D439" s="274"/>
      <c r="E439" s="275"/>
    </row>
    <row r="440" ht="25.5" customHeight="1">
      <c r="A440" s="272"/>
      <c r="B440" s="273"/>
      <c r="C440" s="272"/>
      <c r="D440" s="274"/>
      <c r="E440" s="275"/>
    </row>
    <row r="441" ht="25.5" customHeight="1">
      <c r="A441" s="272"/>
      <c r="B441" s="273"/>
      <c r="C441" s="272"/>
      <c r="D441" s="274"/>
      <c r="E441" s="275"/>
    </row>
    <row r="442" ht="25.5" customHeight="1">
      <c r="A442" s="272"/>
      <c r="B442" s="273"/>
      <c r="C442" s="272"/>
      <c r="D442" s="274"/>
      <c r="E442" s="275"/>
    </row>
    <row r="443" ht="25.5" customHeight="1">
      <c r="A443" s="272"/>
      <c r="B443" s="273"/>
      <c r="C443" s="272"/>
      <c r="D443" s="274"/>
      <c r="E443" s="275"/>
    </row>
    <row r="444" ht="25.5" customHeight="1">
      <c r="A444" s="272"/>
      <c r="B444" s="273"/>
      <c r="C444" s="272"/>
      <c r="D444" s="274"/>
      <c r="E444" s="275"/>
    </row>
    <row r="445" ht="25.5" customHeight="1">
      <c r="A445" s="272"/>
      <c r="B445" s="273"/>
      <c r="C445" s="272"/>
      <c r="D445" s="274"/>
      <c r="E445" s="275"/>
    </row>
    <row r="446" ht="25.5" customHeight="1">
      <c r="A446" s="272"/>
      <c r="B446" s="273"/>
      <c r="C446" s="272"/>
      <c r="D446" s="274"/>
      <c r="E446" s="275"/>
    </row>
    <row r="447" ht="25.5" customHeight="1">
      <c r="A447" s="272"/>
      <c r="B447" s="273"/>
      <c r="C447" s="272"/>
      <c r="D447" s="274"/>
      <c r="E447" s="275"/>
    </row>
    <row r="448" ht="25.5" customHeight="1">
      <c r="A448" s="272"/>
      <c r="B448" s="273"/>
      <c r="C448" s="272"/>
      <c r="D448" s="274"/>
      <c r="E448" s="275"/>
    </row>
    <row r="449" ht="25.5" customHeight="1">
      <c r="A449" s="272"/>
      <c r="B449" s="273"/>
      <c r="C449" s="272"/>
      <c r="D449" s="274"/>
      <c r="E449" s="275"/>
    </row>
    <row r="450" ht="25.5" customHeight="1">
      <c r="A450" s="272"/>
      <c r="B450" s="273"/>
      <c r="C450" s="272"/>
      <c r="D450" s="274"/>
      <c r="E450" s="275"/>
    </row>
    <row r="451" ht="25.5" customHeight="1">
      <c r="A451" s="272"/>
      <c r="B451" s="273"/>
      <c r="C451" s="272"/>
      <c r="D451" s="274"/>
      <c r="E451" s="275"/>
    </row>
    <row r="452" ht="25.5" customHeight="1">
      <c r="A452" s="272"/>
      <c r="B452" s="273"/>
      <c r="C452" s="272"/>
      <c r="D452" s="274"/>
      <c r="E452" s="275"/>
    </row>
    <row r="453" ht="25.5" customHeight="1">
      <c r="A453" s="272"/>
      <c r="B453" s="273"/>
      <c r="C453" s="272"/>
      <c r="D453" s="274"/>
      <c r="E453" s="275"/>
    </row>
    <row r="454" ht="25.5" customHeight="1">
      <c r="A454" s="272"/>
      <c r="B454" s="273"/>
      <c r="C454" s="272"/>
      <c r="D454" s="274"/>
      <c r="E454" s="275"/>
    </row>
    <row r="455" ht="25.5" customHeight="1">
      <c r="A455" s="272"/>
      <c r="B455" s="273"/>
      <c r="C455" s="272"/>
      <c r="D455" s="274"/>
      <c r="E455" s="275"/>
    </row>
    <row r="456" ht="25.5" customHeight="1">
      <c r="A456" s="272"/>
      <c r="B456" s="273"/>
      <c r="C456" s="272"/>
      <c r="D456" s="274"/>
      <c r="E456" s="275"/>
    </row>
    <row r="457" ht="25.5" customHeight="1">
      <c r="A457" s="272"/>
      <c r="B457" s="273"/>
      <c r="C457" s="272"/>
      <c r="D457" s="274"/>
      <c r="E457" s="275"/>
    </row>
    <row r="458" ht="25.5" customHeight="1">
      <c r="A458" s="272"/>
      <c r="B458" s="273"/>
      <c r="C458" s="272"/>
      <c r="D458" s="274"/>
      <c r="E458" s="275"/>
    </row>
    <row r="459" ht="25.5" customHeight="1">
      <c r="A459" s="272"/>
      <c r="B459" s="273"/>
      <c r="C459" s="272"/>
      <c r="D459" s="274"/>
      <c r="E459" s="275"/>
    </row>
    <row r="460" ht="25.5" customHeight="1">
      <c r="A460" s="272"/>
      <c r="B460" s="273"/>
      <c r="C460" s="272"/>
      <c r="D460" s="274"/>
      <c r="E460" s="275"/>
    </row>
    <row r="461" ht="25.5" customHeight="1">
      <c r="A461" s="272"/>
      <c r="B461" s="273"/>
      <c r="C461" s="272"/>
      <c r="D461" s="274"/>
      <c r="E461" s="275"/>
    </row>
    <row r="462" ht="25.5" customHeight="1">
      <c r="A462" s="272"/>
      <c r="B462" s="273"/>
      <c r="C462" s="272"/>
      <c r="D462" s="274"/>
      <c r="E462" s="275"/>
    </row>
    <row r="463" ht="25.5" customHeight="1">
      <c r="A463" s="272"/>
      <c r="B463" s="273"/>
      <c r="C463" s="272"/>
      <c r="D463" s="274"/>
      <c r="E463" s="275"/>
    </row>
    <row r="464" ht="25.5" customHeight="1">
      <c r="A464" s="272"/>
      <c r="B464" s="273"/>
      <c r="C464" s="272"/>
      <c r="D464" s="274"/>
      <c r="E464" s="275"/>
    </row>
    <row r="465" ht="25.5" customHeight="1">
      <c r="A465" s="272"/>
      <c r="B465" s="273"/>
      <c r="C465" s="272"/>
      <c r="D465" s="274"/>
      <c r="E465" s="275"/>
    </row>
    <row r="466" ht="25.5" customHeight="1">
      <c r="A466" s="272"/>
      <c r="B466" s="273"/>
      <c r="C466" s="272"/>
      <c r="D466" s="274"/>
      <c r="E466" s="275"/>
    </row>
    <row r="467" ht="25.5" customHeight="1">
      <c r="A467" s="272"/>
      <c r="B467" s="273"/>
      <c r="C467" s="272"/>
      <c r="D467" s="274"/>
      <c r="E467" s="275"/>
    </row>
    <row r="468" ht="25.5" customHeight="1">
      <c r="A468" s="272"/>
      <c r="B468" s="273"/>
      <c r="C468" s="272"/>
      <c r="D468" s="274"/>
      <c r="E468" s="275"/>
    </row>
    <row r="469" ht="25.5" customHeight="1">
      <c r="A469" s="272"/>
      <c r="B469" s="273"/>
      <c r="C469" s="272"/>
      <c r="D469" s="274"/>
      <c r="E469" s="275"/>
    </row>
    <row r="470" ht="25.5" customHeight="1">
      <c r="A470" s="272"/>
      <c r="B470" s="273"/>
      <c r="C470" s="272"/>
      <c r="D470" s="274"/>
      <c r="E470" s="275"/>
    </row>
    <row r="471" ht="25.5" customHeight="1">
      <c r="A471" s="272"/>
      <c r="B471" s="273"/>
      <c r="C471" s="272"/>
      <c r="D471" s="274"/>
      <c r="E471" s="275"/>
    </row>
    <row r="472" ht="25.5" customHeight="1">
      <c r="A472" s="272"/>
      <c r="B472" s="273"/>
      <c r="C472" s="272"/>
      <c r="D472" s="274"/>
      <c r="E472" s="275"/>
    </row>
    <row r="473" ht="25.5" customHeight="1">
      <c r="A473" s="272"/>
      <c r="B473" s="273"/>
      <c r="C473" s="272"/>
      <c r="D473" s="274"/>
      <c r="E473" s="275"/>
    </row>
    <row r="474" ht="25.5" customHeight="1">
      <c r="A474" s="272"/>
      <c r="B474" s="273"/>
      <c r="C474" s="272"/>
      <c r="D474" s="274"/>
      <c r="E474" s="275"/>
    </row>
    <row r="475" ht="25.5" customHeight="1">
      <c r="A475" s="272"/>
      <c r="B475" s="273"/>
      <c r="C475" s="272"/>
      <c r="D475" s="274"/>
      <c r="E475" s="275"/>
    </row>
    <row r="476" ht="25.5" customHeight="1">
      <c r="A476" s="272"/>
      <c r="B476" s="273"/>
      <c r="C476" s="272"/>
      <c r="D476" s="274"/>
      <c r="E476" s="275"/>
    </row>
    <row r="477" ht="25.5" customHeight="1">
      <c r="A477" s="272"/>
      <c r="B477" s="273"/>
      <c r="C477" s="272"/>
      <c r="D477" s="274"/>
      <c r="E477" s="275"/>
    </row>
    <row r="478" ht="25.5" customHeight="1">
      <c r="A478" s="272"/>
      <c r="B478" s="273"/>
      <c r="C478" s="272"/>
      <c r="D478" s="274"/>
      <c r="E478" s="275"/>
    </row>
    <row r="479" ht="25.5" customHeight="1">
      <c r="A479" s="272"/>
      <c r="B479" s="273"/>
      <c r="C479" s="272"/>
      <c r="D479" s="274"/>
      <c r="E479" s="275"/>
    </row>
    <row r="480" ht="25.5" customHeight="1">
      <c r="A480" s="272"/>
      <c r="B480" s="273"/>
      <c r="C480" s="272"/>
      <c r="D480" s="274"/>
      <c r="E480" s="275"/>
    </row>
    <row r="481" ht="25.5" customHeight="1">
      <c r="A481" s="272"/>
      <c r="B481" s="273"/>
      <c r="C481" s="272"/>
      <c r="D481" s="274"/>
      <c r="E481" s="275"/>
    </row>
    <row r="482" ht="25.5" customHeight="1">
      <c r="A482" s="272"/>
      <c r="B482" s="273"/>
      <c r="C482" s="272"/>
      <c r="D482" s="274"/>
      <c r="E482" s="275"/>
    </row>
    <row r="483" ht="25.5" customHeight="1">
      <c r="A483" s="272"/>
      <c r="B483" s="273"/>
      <c r="C483" s="272"/>
      <c r="D483" s="274"/>
      <c r="E483" s="275"/>
    </row>
    <row r="484" ht="25.5" customHeight="1">
      <c r="A484" s="272"/>
      <c r="B484" s="273"/>
      <c r="C484" s="272"/>
      <c r="D484" s="274"/>
      <c r="E484" s="275"/>
    </row>
    <row r="485" ht="25.5" customHeight="1">
      <c r="A485" s="272"/>
      <c r="B485" s="273"/>
      <c r="C485" s="272"/>
      <c r="D485" s="274"/>
      <c r="E485" s="275"/>
    </row>
    <row r="486" ht="25.5" customHeight="1">
      <c r="A486" s="272"/>
      <c r="B486" s="273"/>
      <c r="C486" s="272"/>
      <c r="D486" s="274"/>
      <c r="E486" s="275"/>
    </row>
    <row r="487" ht="25.5" customHeight="1">
      <c r="A487" s="272"/>
      <c r="B487" s="273"/>
      <c r="C487" s="272"/>
      <c r="D487" s="274"/>
      <c r="E487" s="275"/>
    </row>
    <row r="488" ht="25.5" customHeight="1">
      <c r="A488" s="272"/>
      <c r="B488" s="273"/>
      <c r="C488" s="272"/>
      <c r="D488" s="274"/>
      <c r="E488" s="275"/>
    </row>
    <row r="489" ht="25.5" customHeight="1">
      <c r="A489" s="272"/>
      <c r="B489" s="273"/>
      <c r="C489" s="272"/>
      <c r="D489" s="274"/>
      <c r="E489" s="275"/>
    </row>
    <row r="490" ht="25.5" customHeight="1">
      <c r="A490" s="272"/>
      <c r="B490" s="273"/>
      <c r="C490" s="272"/>
      <c r="D490" s="274"/>
      <c r="E490" s="275"/>
    </row>
    <row r="491" ht="25.5" customHeight="1">
      <c r="A491" s="272"/>
      <c r="B491" s="273"/>
      <c r="C491" s="272"/>
      <c r="D491" s="274"/>
      <c r="E491" s="275"/>
    </row>
    <row r="492" ht="25.5" customHeight="1">
      <c r="A492" s="272"/>
      <c r="B492" s="273"/>
      <c r="C492" s="272"/>
      <c r="D492" s="274"/>
      <c r="E492" s="275"/>
    </row>
    <row r="493" ht="25.5" customHeight="1">
      <c r="A493" s="272"/>
      <c r="B493" s="273"/>
      <c r="C493" s="272"/>
      <c r="D493" s="274"/>
      <c r="E493" s="275"/>
    </row>
    <row r="494" ht="25.5" customHeight="1">
      <c r="A494" s="272"/>
      <c r="B494" s="273"/>
      <c r="C494" s="272"/>
      <c r="D494" s="274"/>
      <c r="E494" s="275"/>
    </row>
    <row r="495" ht="25.5" customHeight="1">
      <c r="A495" s="272"/>
      <c r="B495" s="273"/>
      <c r="C495" s="272"/>
      <c r="D495" s="274"/>
      <c r="E495" s="275"/>
    </row>
    <row r="496" ht="25.5" customHeight="1">
      <c r="A496" s="272"/>
      <c r="B496" s="273"/>
      <c r="C496" s="272"/>
      <c r="D496" s="274"/>
      <c r="E496" s="275"/>
    </row>
    <row r="497" ht="25.5" customHeight="1">
      <c r="A497" s="272"/>
      <c r="B497" s="273"/>
      <c r="C497" s="272"/>
      <c r="D497" s="274"/>
      <c r="E497" s="275"/>
    </row>
    <row r="498" ht="25.5" customHeight="1">
      <c r="A498" s="272"/>
      <c r="B498" s="273"/>
      <c r="C498" s="272"/>
      <c r="D498" s="274"/>
      <c r="E498" s="275"/>
    </row>
    <row r="499" ht="25.5" customHeight="1">
      <c r="A499" s="272"/>
      <c r="B499" s="273"/>
      <c r="C499" s="272"/>
      <c r="D499" s="274"/>
      <c r="E499" s="275"/>
    </row>
    <row r="500" ht="25.5" customHeight="1">
      <c r="A500" s="272"/>
      <c r="B500" s="273"/>
      <c r="C500" s="272"/>
      <c r="D500" s="274"/>
      <c r="E500" s="275"/>
    </row>
    <row r="501" ht="25.5" customHeight="1">
      <c r="A501" s="272"/>
      <c r="B501" s="273"/>
      <c r="C501" s="272"/>
      <c r="D501" s="274"/>
      <c r="E501" s="275"/>
    </row>
    <row r="502" ht="25.5" customHeight="1">
      <c r="A502" s="272"/>
      <c r="B502" s="273"/>
      <c r="C502" s="272"/>
      <c r="D502" s="274"/>
      <c r="E502" s="275"/>
    </row>
    <row r="503" ht="25.5" customHeight="1">
      <c r="A503" s="272"/>
      <c r="B503" s="273"/>
      <c r="C503" s="272"/>
      <c r="D503" s="274"/>
      <c r="E503" s="275"/>
    </row>
    <row r="504" ht="25.5" customHeight="1">
      <c r="A504" s="272"/>
      <c r="B504" s="273"/>
      <c r="C504" s="272"/>
      <c r="D504" s="274"/>
      <c r="E504" s="275"/>
    </row>
    <row r="505" ht="25.5" customHeight="1">
      <c r="A505" s="272"/>
      <c r="B505" s="273"/>
      <c r="C505" s="272"/>
      <c r="D505" s="274"/>
      <c r="E505" s="275"/>
    </row>
    <row r="506" ht="25.5" customHeight="1">
      <c r="A506" s="272"/>
      <c r="B506" s="273"/>
      <c r="C506" s="272"/>
      <c r="D506" s="274"/>
      <c r="E506" s="275"/>
    </row>
    <row r="507" ht="25.5" customHeight="1">
      <c r="A507" s="272"/>
      <c r="B507" s="273"/>
      <c r="C507" s="272"/>
      <c r="D507" s="274"/>
      <c r="E507" s="275"/>
    </row>
    <row r="508" ht="25.5" customHeight="1">
      <c r="A508" s="272"/>
      <c r="B508" s="273"/>
      <c r="C508" s="272"/>
      <c r="D508" s="274"/>
      <c r="E508" s="275"/>
    </row>
    <row r="509" ht="25.5" customHeight="1">
      <c r="A509" s="272"/>
      <c r="B509" s="273"/>
      <c r="C509" s="272"/>
      <c r="D509" s="274"/>
      <c r="E509" s="275"/>
    </row>
    <row r="510" ht="25.5" customHeight="1">
      <c r="A510" s="272"/>
      <c r="B510" s="273"/>
      <c r="C510" s="272"/>
      <c r="D510" s="274"/>
      <c r="E510" s="275"/>
    </row>
    <row r="511" ht="25.5" customHeight="1">
      <c r="A511" s="272"/>
      <c r="B511" s="273"/>
      <c r="C511" s="272"/>
      <c r="D511" s="274"/>
      <c r="E511" s="275"/>
    </row>
    <row r="512" ht="25.5" customHeight="1">
      <c r="A512" s="272"/>
      <c r="B512" s="273"/>
      <c r="C512" s="272"/>
      <c r="D512" s="274"/>
      <c r="E512" s="275"/>
    </row>
    <row r="513" ht="25.5" customHeight="1">
      <c r="A513" s="272"/>
      <c r="B513" s="273"/>
      <c r="C513" s="272"/>
      <c r="D513" s="274"/>
      <c r="E513" s="275"/>
    </row>
    <row r="514" ht="25.5" customHeight="1">
      <c r="A514" s="272"/>
      <c r="B514" s="273"/>
      <c r="C514" s="272"/>
      <c r="D514" s="274"/>
      <c r="E514" s="275"/>
    </row>
    <row r="515" ht="25.5" customHeight="1">
      <c r="A515" s="272"/>
      <c r="B515" s="273"/>
      <c r="C515" s="272"/>
      <c r="D515" s="274"/>
      <c r="E515" s="275"/>
    </row>
    <row r="516" ht="25.5" customHeight="1">
      <c r="A516" s="272"/>
      <c r="B516" s="273"/>
      <c r="C516" s="272"/>
      <c r="D516" s="274"/>
      <c r="E516" s="275"/>
    </row>
    <row r="517" ht="25.5" customHeight="1">
      <c r="A517" s="272"/>
      <c r="B517" s="273"/>
      <c r="C517" s="272"/>
      <c r="D517" s="274"/>
      <c r="E517" s="275"/>
    </row>
    <row r="518" ht="25.5" customHeight="1">
      <c r="A518" s="272"/>
      <c r="B518" s="273"/>
      <c r="C518" s="272"/>
      <c r="D518" s="274"/>
      <c r="E518" s="275"/>
    </row>
    <row r="519" ht="25.5" customHeight="1">
      <c r="A519" s="272"/>
      <c r="B519" s="273"/>
      <c r="C519" s="272"/>
      <c r="D519" s="274"/>
      <c r="E519" s="275"/>
    </row>
    <row r="520" ht="25.5" customHeight="1">
      <c r="A520" s="272"/>
      <c r="B520" s="273"/>
      <c r="C520" s="272"/>
      <c r="D520" s="274"/>
      <c r="E520" s="275"/>
    </row>
    <row r="521" ht="25.5" customHeight="1">
      <c r="A521" s="272"/>
      <c r="B521" s="273"/>
      <c r="C521" s="272"/>
      <c r="D521" s="274"/>
      <c r="E521" s="275"/>
    </row>
    <row r="522" ht="25.5" customHeight="1">
      <c r="A522" s="272"/>
      <c r="B522" s="273"/>
      <c r="C522" s="272"/>
      <c r="D522" s="274"/>
      <c r="E522" s="275"/>
    </row>
    <row r="523" ht="25.5" customHeight="1">
      <c r="A523" s="272"/>
      <c r="B523" s="273"/>
      <c r="C523" s="272"/>
      <c r="D523" s="274"/>
      <c r="E523" s="275"/>
    </row>
    <row r="524" ht="25.5" customHeight="1">
      <c r="A524" s="272"/>
      <c r="B524" s="273"/>
      <c r="C524" s="272"/>
      <c r="D524" s="274"/>
      <c r="E524" s="275"/>
    </row>
    <row r="525" ht="25.5" customHeight="1">
      <c r="A525" s="272"/>
      <c r="B525" s="273"/>
      <c r="C525" s="272"/>
      <c r="D525" s="274"/>
      <c r="E525" s="275"/>
    </row>
    <row r="526" ht="25.5" customHeight="1">
      <c r="A526" s="272"/>
      <c r="B526" s="273"/>
      <c r="C526" s="272"/>
      <c r="D526" s="274"/>
      <c r="E526" s="275"/>
    </row>
    <row r="527" ht="25.5" customHeight="1">
      <c r="A527" s="272"/>
      <c r="B527" s="273"/>
      <c r="C527" s="272"/>
      <c r="D527" s="274"/>
      <c r="E527" s="275"/>
    </row>
    <row r="528" ht="25.5" customHeight="1">
      <c r="A528" s="272"/>
      <c r="B528" s="273"/>
      <c r="C528" s="272"/>
      <c r="D528" s="274"/>
      <c r="E528" s="275"/>
    </row>
    <row r="529" ht="25.5" customHeight="1">
      <c r="A529" s="272"/>
      <c r="B529" s="273"/>
      <c r="C529" s="272"/>
      <c r="D529" s="274"/>
      <c r="E529" s="275"/>
    </row>
    <row r="530" ht="25.5" customHeight="1">
      <c r="A530" s="272"/>
      <c r="B530" s="273"/>
      <c r="C530" s="272"/>
      <c r="D530" s="274"/>
      <c r="E530" s="275"/>
    </row>
    <row r="531" ht="25.5" customHeight="1">
      <c r="A531" s="272"/>
      <c r="B531" s="273"/>
      <c r="C531" s="272"/>
      <c r="D531" s="274"/>
      <c r="E531" s="275"/>
    </row>
    <row r="532" ht="25.5" customHeight="1">
      <c r="A532" s="272"/>
      <c r="B532" s="273"/>
      <c r="C532" s="272"/>
      <c r="D532" s="274"/>
      <c r="E532" s="275"/>
    </row>
    <row r="533" ht="25.5" customHeight="1">
      <c r="A533" s="272"/>
      <c r="B533" s="273"/>
      <c r="C533" s="272"/>
      <c r="D533" s="274"/>
      <c r="E533" s="275"/>
    </row>
    <row r="534" ht="25.5" customHeight="1">
      <c r="A534" s="272"/>
      <c r="B534" s="273"/>
      <c r="C534" s="272"/>
      <c r="D534" s="274"/>
      <c r="E534" s="275"/>
    </row>
    <row r="535" ht="25.5" customHeight="1">
      <c r="A535" s="272"/>
      <c r="B535" s="273"/>
      <c r="C535" s="272"/>
      <c r="D535" s="274"/>
      <c r="E535" s="275"/>
    </row>
    <row r="536" ht="25.5" customHeight="1">
      <c r="A536" s="272"/>
      <c r="B536" s="273"/>
      <c r="C536" s="272"/>
      <c r="D536" s="274"/>
      <c r="E536" s="275"/>
    </row>
    <row r="537" ht="25.5" customHeight="1">
      <c r="A537" s="272"/>
      <c r="B537" s="273"/>
      <c r="C537" s="272"/>
      <c r="D537" s="274"/>
      <c r="E537" s="275"/>
    </row>
    <row r="538" ht="25.5" customHeight="1">
      <c r="A538" s="272"/>
      <c r="B538" s="273"/>
      <c r="C538" s="272"/>
      <c r="D538" s="274"/>
      <c r="E538" s="275"/>
    </row>
    <row r="539" ht="25.5" customHeight="1">
      <c r="A539" s="272"/>
      <c r="B539" s="273"/>
      <c r="C539" s="272"/>
      <c r="D539" s="274"/>
      <c r="E539" s="275"/>
    </row>
    <row r="540" ht="25.5" customHeight="1">
      <c r="A540" s="272"/>
      <c r="B540" s="273"/>
      <c r="C540" s="272"/>
      <c r="D540" s="274"/>
      <c r="E540" s="275"/>
    </row>
    <row r="541" ht="25.5" customHeight="1">
      <c r="A541" s="272"/>
      <c r="B541" s="273"/>
      <c r="C541" s="272"/>
      <c r="D541" s="274"/>
      <c r="E541" s="275"/>
    </row>
    <row r="542" ht="25.5" customHeight="1">
      <c r="A542" s="272"/>
      <c r="B542" s="273"/>
      <c r="C542" s="272"/>
      <c r="D542" s="274"/>
      <c r="E542" s="275"/>
    </row>
    <row r="543" ht="25.5" customHeight="1">
      <c r="A543" s="272"/>
      <c r="B543" s="273"/>
      <c r="C543" s="272"/>
      <c r="D543" s="274"/>
      <c r="E543" s="275"/>
    </row>
    <row r="544" ht="25.5" customHeight="1">
      <c r="A544" s="272"/>
      <c r="B544" s="273"/>
      <c r="C544" s="272"/>
      <c r="D544" s="274"/>
      <c r="E544" s="275"/>
    </row>
    <row r="545" ht="25.5" customHeight="1">
      <c r="A545" s="272"/>
      <c r="B545" s="273"/>
      <c r="C545" s="272"/>
      <c r="D545" s="274"/>
      <c r="E545" s="275"/>
    </row>
    <row r="546" ht="25.5" customHeight="1">
      <c r="A546" s="272"/>
      <c r="B546" s="273"/>
      <c r="C546" s="272"/>
      <c r="D546" s="274"/>
      <c r="E546" s="275"/>
    </row>
    <row r="547" ht="25.5" customHeight="1">
      <c r="A547" s="272"/>
      <c r="B547" s="273"/>
      <c r="C547" s="272"/>
      <c r="D547" s="274"/>
      <c r="E547" s="275"/>
    </row>
    <row r="548" ht="25.5" customHeight="1">
      <c r="A548" s="272"/>
      <c r="B548" s="273"/>
      <c r="C548" s="272"/>
      <c r="D548" s="274"/>
      <c r="E548" s="275"/>
    </row>
    <row r="549" ht="25.5" customHeight="1">
      <c r="A549" s="272"/>
      <c r="B549" s="273"/>
      <c r="C549" s="272"/>
      <c r="D549" s="274"/>
      <c r="E549" s="275"/>
    </row>
    <row r="550" ht="25.5" customHeight="1">
      <c r="A550" s="272"/>
      <c r="B550" s="273"/>
      <c r="C550" s="272"/>
      <c r="D550" s="274"/>
      <c r="E550" s="275"/>
    </row>
    <row r="551" ht="25.5" customHeight="1">
      <c r="A551" s="272"/>
      <c r="B551" s="273"/>
      <c r="C551" s="272"/>
      <c r="D551" s="274"/>
      <c r="E551" s="275"/>
    </row>
    <row r="552" ht="25.5" customHeight="1">
      <c r="A552" s="272"/>
      <c r="B552" s="273"/>
      <c r="C552" s="272"/>
      <c r="D552" s="274"/>
      <c r="E552" s="275"/>
    </row>
    <row r="553" ht="25.5" customHeight="1">
      <c r="A553" s="272"/>
      <c r="B553" s="273"/>
      <c r="C553" s="272"/>
      <c r="D553" s="274"/>
      <c r="E553" s="275"/>
    </row>
    <row r="554" ht="25.5" customHeight="1">
      <c r="A554" s="272"/>
      <c r="B554" s="273"/>
      <c r="C554" s="272"/>
      <c r="D554" s="274"/>
      <c r="E554" s="275"/>
    </row>
    <row r="555" ht="25.5" customHeight="1">
      <c r="A555" s="272"/>
      <c r="B555" s="273"/>
      <c r="C555" s="272"/>
      <c r="D555" s="274"/>
      <c r="E555" s="275"/>
    </row>
    <row r="556" ht="25.5" customHeight="1">
      <c r="A556" s="272"/>
      <c r="B556" s="273"/>
      <c r="C556" s="272"/>
      <c r="D556" s="274"/>
      <c r="E556" s="275"/>
    </row>
    <row r="557" ht="25.5" customHeight="1">
      <c r="A557" s="272"/>
      <c r="B557" s="273"/>
      <c r="C557" s="272"/>
      <c r="D557" s="274"/>
      <c r="E557" s="275"/>
    </row>
    <row r="558" ht="25.5" customHeight="1">
      <c r="A558" s="272"/>
      <c r="B558" s="273"/>
      <c r="C558" s="272"/>
      <c r="D558" s="274"/>
      <c r="E558" s="275"/>
    </row>
    <row r="559" ht="25.5" customHeight="1">
      <c r="A559" s="272"/>
      <c r="B559" s="273"/>
      <c r="C559" s="272"/>
      <c r="D559" s="274"/>
      <c r="E559" s="275"/>
    </row>
    <row r="560" ht="25.5" customHeight="1">
      <c r="A560" s="272"/>
      <c r="B560" s="273"/>
      <c r="C560" s="272"/>
      <c r="D560" s="274"/>
      <c r="E560" s="275"/>
    </row>
    <row r="561" ht="25.5" customHeight="1">
      <c r="A561" s="272"/>
      <c r="B561" s="273"/>
      <c r="C561" s="272"/>
      <c r="D561" s="274"/>
      <c r="E561" s="275"/>
    </row>
    <row r="562" ht="25.5" customHeight="1">
      <c r="A562" s="272"/>
      <c r="B562" s="273"/>
      <c r="C562" s="272"/>
      <c r="D562" s="274"/>
      <c r="E562" s="275"/>
    </row>
    <row r="563" ht="25.5" customHeight="1">
      <c r="A563" s="272"/>
      <c r="B563" s="273"/>
      <c r="C563" s="272"/>
      <c r="D563" s="274"/>
      <c r="E563" s="275"/>
    </row>
    <row r="564" ht="25.5" customHeight="1">
      <c r="A564" s="272"/>
      <c r="B564" s="273"/>
      <c r="C564" s="272"/>
      <c r="D564" s="274"/>
      <c r="E564" s="275"/>
    </row>
    <row r="565" ht="25.5" customHeight="1">
      <c r="A565" s="272"/>
      <c r="B565" s="273"/>
      <c r="C565" s="272"/>
      <c r="D565" s="274"/>
      <c r="E565" s="275"/>
    </row>
    <row r="566" ht="25.5" customHeight="1">
      <c r="A566" s="272"/>
      <c r="B566" s="273"/>
      <c r="C566" s="272"/>
      <c r="D566" s="274"/>
      <c r="E566" s="275"/>
    </row>
    <row r="567" ht="25.5" customHeight="1">
      <c r="A567" s="272"/>
      <c r="B567" s="273"/>
      <c r="C567" s="272"/>
      <c r="D567" s="274"/>
      <c r="E567" s="275"/>
    </row>
    <row r="568" ht="25.5" customHeight="1">
      <c r="A568" s="272"/>
      <c r="B568" s="273"/>
      <c r="C568" s="272"/>
      <c r="D568" s="274"/>
      <c r="E568" s="275"/>
    </row>
    <row r="569" ht="25.5" customHeight="1">
      <c r="A569" s="272"/>
      <c r="B569" s="273"/>
      <c r="C569" s="272"/>
      <c r="D569" s="274"/>
      <c r="E569" s="275"/>
    </row>
    <row r="570" ht="25.5" customHeight="1">
      <c r="A570" s="272"/>
      <c r="B570" s="273"/>
      <c r="C570" s="272"/>
      <c r="D570" s="274"/>
      <c r="E570" s="275"/>
    </row>
    <row r="571" ht="25.5" customHeight="1">
      <c r="A571" s="272"/>
      <c r="B571" s="273"/>
      <c r="C571" s="272"/>
      <c r="D571" s="274"/>
      <c r="E571" s="275"/>
    </row>
    <row r="572" ht="25.5" customHeight="1">
      <c r="A572" s="272"/>
      <c r="B572" s="273"/>
      <c r="C572" s="272"/>
      <c r="D572" s="274"/>
      <c r="E572" s="275"/>
    </row>
    <row r="573" ht="25.5" customHeight="1">
      <c r="A573" s="272"/>
      <c r="B573" s="273"/>
      <c r="C573" s="272"/>
      <c r="D573" s="274"/>
      <c r="E573" s="275"/>
    </row>
    <row r="574" ht="25.5" customHeight="1">
      <c r="A574" s="272"/>
      <c r="B574" s="273"/>
      <c r="C574" s="272"/>
      <c r="D574" s="274"/>
      <c r="E574" s="275"/>
    </row>
    <row r="575" ht="25.5" customHeight="1">
      <c r="A575" s="272"/>
      <c r="B575" s="273"/>
      <c r="C575" s="272"/>
      <c r="D575" s="274"/>
      <c r="E575" s="275"/>
    </row>
    <row r="576" ht="25.5" customHeight="1">
      <c r="A576" s="272"/>
      <c r="B576" s="273"/>
      <c r="C576" s="272"/>
      <c r="D576" s="274"/>
      <c r="E576" s="275"/>
    </row>
    <row r="577" ht="25.5" customHeight="1">
      <c r="A577" s="272"/>
      <c r="B577" s="273"/>
      <c r="C577" s="272"/>
      <c r="D577" s="274"/>
      <c r="E577" s="275"/>
    </row>
    <row r="578" ht="25.5" customHeight="1">
      <c r="A578" s="272"/>
      <c r="B578" s="273"/>
      <c r="C578" s="272"/>
      <c r="D578" s="274"/>
      <c r="E578" s="275"/>
    </row>
    <row r="579" ht="25.5" customHeight="1">
      <c r="A579" s="272"/>
      <c r="B579" s="273"/>
      <c r="C579" s="272"/>
      <c r="D579" s="274"/>
      <c r="E579" s="275"/>
    </row>
    <row r="580" ht="25.5" customHeight="1">
      <c r="A580" s="272"/>
      <c r="B580" s="273"/>
      <c r="C580" s="272"/>
      <c r="D580" s="274"/>
      <c r="E580" s="275"/>
    </row>
    <row r="581" ht="25.5" customHeight="1">
      <c r="A581" s="272"/>
      <c r="B581" s="273"/>
      <c r="C581" s="272"/>
      <c r="D581" s="274"/>
      <c r="E581" s="275"/>
    </row>
    <row r="582" ht="25.5" customHeight="1">
      <c r="A582" s="272"/>
      <c r="B582" s="273"/>
      <c r="C582" s="272"/>
      <c r="D582" s="274"/>
      <c r="E582" s="275"/>
    </row>
    <row r="583" ht="25.5" customHeight="1">
      <c r="A583" s="272"/>
      <c r="B583" s="273"/>
      <c r="C583" s="272"/>
      <c r="D583" s="274"/>
      <c r="E583" s="275"/>
    </row>
    <row r="584" ht="25.5" customHeight="1">
      <c r="A584" s="272"/>
      <c r="B584" s="273"/>
      <c r="C584" s="272"/>
      <c r="D584" s="274"/>
      <c r="E584" s="275"/>
    </row>
    <row r="585" ht="25.5" customHeight="1">
      <c r="A585" s="272"/>
      <c r="B585" s="273"/>
      <c r="C585" s="272"/>
      <c r="D585" s="274"/>
      <c r="E585" s="275"/>
    </row>
    <row r="586" ht="25.5" customHeight="1">
      <c r="A586" s="272"/>
      <c r="B586" s="273"/>
      <c r="C586" s="272"/>
      <c r="D586" s="274"/>
      <c r="E586" s="275"/>
    </row>
    <row r="587" ht="25.5" customHeight="1">
      <c r="A587" s="272"/>
      <c r="B587" s="273"/>
      <c r="C587" s="272"/>
      <c r="D587" s="274"/>
      <c r="E587" s="275"/>
    </row>
    <row r="588" ht="25.5" customHeight="1">
      <c r="A588" s="272"/>
      <c r="B588" s="273"/>
      <c r="C588" s="272"/>
      <c r="D588" s="274"/>
      <c r="E588" s="275"/>
    </row>
    <row r="589" ht="25.5" customHeight="1">
      <c r="A589" s="272"/>
      <c r="B589" s="273"/>
      <c r="C589" s="272"/>
      <c r="D589" s="274"/>
      <c r="E589" s="275"/>
    </row>
    <row r="590" ht="25.5" customHeight="1">
      <c r="A590" s="272"/>
      <c r="B590" s="273"/>
      <c r="C590" s="272"/>
      <c r="D590" s="274"/>
      <c r="E590" s="275"/>
    </row>
    <row r="591" ht="25.5" customHeight="1">
      <c r="A591" s="272"/>
      <c r="B591" s="273"/>
      <c r="C591" s="272"/>
      <c r="D591" s="274"/>
      <c r="E591" s="275"/>
    </row>
    <row r="592" ht="25.5" customHeight="1">
      <c r="A592" s="272"/>
      <c r="B592" s="273"/>
      <c r="C592" s="272"/>
      <c r="D592" s="274"/>
      <c r="E592" s="275"/>
    </row>
    <row r="593" ht="25.5" customHeight="1">
      <c r="A593" s="272"/>
      <c r="B593" s="273"/>
      <c r="C593" s="272"/>
      <c r="D593" s="274"/>
      <c r="E593" s="275"/>
    </row>
    <row r="594" ht="25.5" customHeight="1">
      <c r="A594" s="272"/>
      <c r="B594" s="273"/>
      <c r="C594" s="272"/>
      <c r="D594" s="274"/>
      <c r="E594" s="275"/>
    </row>
    <row r="595" ht="25.5" customHeight="1">
      <c r="A595" s="272"/>
      <c r="B595" s="273"/>
      <c r="C595" s="272"/>
      <c r="D595" s="274"/>
      <c r="E595" s="275"/>
    </row>
    <row r="596" ht="25.5" customHeight="1">
      <c r="A596" s="272"/>
      <c r="B596" s="273"/>
      <c r="C596" s="272"/>
      <c r="D596" s="274"/>
      <c r="E596" s="275"/>
    </row>
    <row r="597" ht="25.5" customHeight="1">
      <c r="A597" s="272"/>
      <c r="B597" s="273"/>
      <c r="C597" s="272"/>
      <c r="D597" s="274"/>
      <c r="E597" s="275"/>
    </row>
    <row r="598" ht="25.5" customHeight="1">
      <c r="A598" s="272"/>
      <c r="B598" s="273"/>
      <c r="C598" s="272"/>
      <c r="D598" s="274"/>
      <c r="E598" s="275"/>
    </row>
    <row r="599" ht="25.5" customHeight="1">
      <c r="A599" s="272"/>
      <c r="B599" s="273"/>
      <c r="C599" s="272"/>
      <c r="D599" s="274"/>
      <c r="E599" s="275"/>
    </row>
    <row r="600" ht="25.5" customHeight="1">
      <c r="A600" s="272"/>
      <c r="B600" s="273"/>
      <c r="C600" s="272"/>
      <c r="D600" s="274"/>
      <c r="E600" s="275"/>
    </row>
    <row r="601" ht="25.5" customHeight="1">
      <c r="A601" s="272"/>
      <c r="B601" s="273"/>
      <c r="C601" s="272"/>
      <c r="D601" s="274"/>
      <c r="E601" s="275"/>
    </row>
    <row r="602" ht="25.5" customHeight="1">
      <c r="A602" s="272"/>
      <c r="B602" s="273"/>
      <c r="C602" s="272"/>
      <c r="D602" s="274"/>
      <c r="E602" s="275"/>
    </row>
    <row r="603" ht="25.5" customHeight="1">
      <c r="A603" s="272"/>
      <c r="B603" s="273"/>
      <c r="C603" s="272"/>
      <c r="D603" s="274"/>
      <c r="E603" s="275"/>
    </row>
    <row r="604" ht="25.5" customHeight="1">
      <c r="A604" s="272"/>
      <c r="B604" s="273"/>
      <c r="C604" s="272"/>
      <c r="D604" s="274"/>
      <c r="E604" s="275"/>
    </row>
    <row r="605" ht="25.5" customHeight="1">
      <c r="A605" s="272"/>
      <c r="B605" s="273"/>
      <c r="C605" s="272"/>
      <c r="D605" s="274"/>
      <c r="E605" s="275"/>
    </row>
    <row r="606" ht="25.5" customHeight="1">
      <c r="A606" s="272"/>
      <c r="B606" s="273"/>
      <c r="C606" s="272"/>
      <c r="D606" s="274"/>
      <c r="E606" s="275"/>
    </row>
    <row r="607" ht="25.5" customHeight="1">
      <c r="A607" s="272"/>
      <c r="B607" s="273"/>
      <c r="C607" s="272"/>
      <c r="D607" s="274"/>
      <c r="E607" s="275"/>
    </row>
    <row r="608" ht="25.5" customHeight="1">
      <c r="A608" s="272"/>
      <c r="B608" s="273"/>
      <c r="C608" s="272"/>
      <c r="D608" s="274"/>
      <c r="E608" s="275"/>
    </row>
    <row r="609" ht="25.5" customHeight="1">
      <c r="A609" s="272"/>
      <c r="B609" s="273"/>
      <c r="C609" s="272"/>
      <c r="D609" s="274"/>
      <c r="E609" s="275"/>
    </row>
    <row r="610" ht="25.5" customHeight="1">
      <c r="A610" s="272"/>
      <c r="B610" s="273"/>
      <c r="C610" s="272"/>
      <c r="D610" s="274"/>
      <c r="E610" s="275"/>
    </row>
    <row r="611" ht="25.5" customHeight="1">
      <c r="A611" s="272"/>
      <c r="B611" s="273"/>
      <c r="C611" s="272"/>
      <c r="D611" s="274"/>
      <c r="E611" s="275"/>
    </row>
    <row r="612" ht="25.5" customHeight="1">
      <c r="A612" s="272"/>
      <c r="B612" s="273"/>
      <c r="C612" s="272"/>
      <c r="D612" s="274"/>
      <c r="E612" s="275"/>
    </row>
    <row r="613" ht="25.5" customHeight="1">
      <c r="A613" s="272"/>
      <c r="B613" s="273"/>
      <c r="C613" s="272"/>
      <c r="D613" s="274"/>
      <c r="E613" s="275"/>
    </row>
    <row r="614" ht="25.5" customHeight="1">
      <c r="A614" s="272"/>
      <c r="B614" s="273"/>
      <c r="C614" s="272"/>
      <c r="D614" s="274"/>
      <c r="E614" s="275"/>
    </row>
    <row r="615" ht="25.5" customHeight="1">
      <c r="A615" s="272"/>
      <c r="B615" s="273"/>
      <c r="C615" s="272"/>
      <c r="D615" s="274"/>
      <c r="E615" s="275"/>
    </row>
    <row r="616" ht="25.5" customHeight="1">
      <c r="A616" s="272"/>
      <c r="B616" s="273"/>
      <c r="C616" s="272"/>
      <c r="D616" s="274"/>
      <c r="E616" s="275"/>
    </row>
    <row r="617" ht="25.5" customHeight="1">
      <c r="A617" s="272"/>
      <c r="B617" s="273"/>
      <c r="C617" s="272"/>
      <c r="D617" s="274"/>
      <c r="E617" s="275"/>
    </row>
    <row r="618" ht="25.5" customHeight="1">
      <c r="A618" s="272"/>
      <c r="B618" s="273"/>
      <c r="C618" s="272"/>
      <c r="D618" s="274"/>
      <c r="E618" s="275"/>
    </row>
    <row r="619" ht="25.5" customHeight="1">
      <c r="A619" s="272"/>
      <c r="B619" s="273"/>
      <c r="C619" s="272"/>
      <c r="D619" s="274"/>
      <c r="E619" s="275"/>
    </row>
    <row r="620" ht="25.5" customHeight="1">
      <c r="A620" s="272"/>
      <c r="B620" s="273"/>
      <c r="C620" s="272"/>
      <c r="D620" s="274"/>
      <c r="E620" s="275"/>
    </row>
    <row r="621" ht="25.5" customHeight="1">
      <c r="A621" s="272"/>
      <c r="B621" s="273"/>
      <c r="C621" s="272"/>
      <c r="D621" s="274"/>
      <c r="E621" s="275"/>
    </row>
    <row r="622" ht="25.5" customHeight="1">
      <c r="A622" s="272"/>
      <c r="B622" s="273"/>
      <c r="C622" s="272"/>
      <c r="D622" s="274"/>
      <c r="E622" s="275"/>
    </row>
    <row r="623" ht="25.5" customHeight="1">
      <c r="A623" s="272"/>
      <c r="B623" s="273"/>
      <c r="C623" s="272"/>
      <c r="D623" s="274"/>
      <c r="E623" s="275"/>
    </row>
    <row r="624" ht="25.5" customHeight="1">
      <c r="A624" s="272"/>
      <c r="B624" s="273"/>
      <c r="C624" s="272"/>
      <c r="D624" s="274"/>
      <c r="E624" s="275"/>
    </row>
    <row r="625" ht="25.5" customHeight="1">
      <c r="A625" s="272"/>
      <c r="B625" s="273"/>
      <c r="C625" s="272"/>
      <c r="D625" s="274"/>
      <c r="E625" s="275"/>
    </row>
    <row r="626" ht="25.5" customHeight="1">
      <c r="A626" s="272"/>
      <c r="B626" s="273"/>
      <c r="C626" s="272"/>
      <c r="D626" s="274"/>
      <c r="E626" s="275"/>
    </row>
    <row r="627" ht="25.5" customHeight="1">
      <c r="A627" s="272"/>
      <c r="B627" s="273"/>
      <c r="C627" s="272"/>
      <c r="D627" s="274"/>
      <c r="E627" s="275"/>
    </row>
    <row r="628" ht="25.5" customHeight="1">
      <c r="A628" s="272"/>
      <c r="B628" s="273"/>
      <c r="C628" s="272"/>
      <c r="D628" s="274"/>
      <c r="E628" s="275"/>
    </row>
    <row r="629" ht="25.5" customHeight="1">
      <c r="A629" s="272"/>
      <c r="B629" s="273"/>
      <c r="C629" s="272"/>
      <c r="D629" s="274"/>
      <c r="E629" s="275"/>
    </row>
    <row r="630" ht="25.5" customHeight="1">
      <c r="A630" s="272"/>
      <c r="B630" s="273"/>
      <c r="C630" s="272"/>
      <c r="D630" s="274"/>
      <c r="E630" s="275"/>
    </row>
    <row r="631" ht="25.5" customHeight="1">
      <c r="A631" s="272"/>
      <c r="B631" s="273"/>
      <c r="C631" s="272"/>
      <c r="D631" s="274"/>
      <c r="E631" s="275"/>
    </row>
    <row r="632" ht="25.5" customHeight="1">
      <c r="A632" s="272"/>
      <c r="B632" s="273"/>
      <c r="C632" s="272"/>
      <c r="D632" s="274"/>
      <c r="E632" s="275"/>
    </row>
    <row r="633" ht="25.5" customHeight="1">
      <c r="A633" s="272"/>
      <c r="B633" s="273"/>
      <c r="C633" s="272"/>
      <c r="D633" s="274"/>
      <c r="E633" s="275"/>
    </row>
    <row r="634" ht="25.5" customHeight="1">
      <c r="A634" s="272"/>
      <c r="B634" s="273"/>
      <c r="C634" s="272"/>
      <c r="D634" s="274"/>
      <c r="E634" s="275"/>
    </row>
    <row r="635" ht="25.5" customHeight="1">
      <c r="A635" s="272"/>
      <c r="B635" s="273"/>
      <c r="C635" s="272"/>
      <c r="D635" s="274"/>
      <c r="E635" s="275"/>
    </row>
    <row r="636" ht="25.5" customHeight="1">
      <c r="A636" s="272"/>
      <c r="B636" s="273"/>
      <c r="C636" s="272"/>
      <c r="D636" s="274"/>
      <c r="E636" s="275"/>
    </row>
    <row r="637" ht="25.5" customHeight="1">
      <c r="A637" s="272"/>
      <c r="B637" s="273"/>
      <c r="C637" s="272"/>
      <c r="D637" s="274"/>
      <c r="E637" s="275"/>
    </row>
    <row r="638" ht="25.5" customHeight="1">
      <c r="A638" s="272"/>
      <c r="B638" s="273"/>
      <c r="C638" s="272"/>
      <c r="D638" s="274"/>
      <c r="E638" s="275"/>
    </row>
    <row r="639" ht="25.5" customHeight="1">
      <c r="A639" s="272"/>
      <c r="B639" s="273"/>
      <c r="C639" s="272"/>
      <c r="D639" s="274"/>
      <c r="E639" s="275"/>
    </row>
    <row r="640" ht="25.5" customHeight="1">
      <c r="A640" s="272"/>
      <c r="B640" s="273"/>
      <c r="C640" s="272"/>
      <c r="D640" s="274"/>
      <c r="E640" s="275"/>
    </row>
    <row r="641" ht="25.5" customHeight="1">
      <c r="A641" s="272"/>
      <c r="B641" s="273"/>
      <c r="C641" s="272"/>
      <c r="D641" s="274"/>
      <c r="E641" s="275"/>
    </row>
    <row r="642" ht="25.5" customHeight="1">
      <c r="A642" s="272"/>
      <c r="B642" s="273"/>
      <c r="C642" s="272"/>
      <c r="D642" s="274"/>
      <c r="E642" s="275"/>
    </row>
    <row r="643" ht="25.5" customHeight="1">
      <c r="A643" s="272"/>
      <c r="B643" s="273"/>
      <c r="C643" s="272"/>
      <c r="D643" s="274"/>
      <c r="E643" s="275"/>
    </row>
    <row r="644" ht="25.5" customHeight="1">
      <c r="A644" s="272"/>
      <c r="B644" s="273"/>
      <c r="C644" s="272"/>
      <c r="D644" s="274"/>
      <c r="E644" s="275"/>
    </row>
    <row r="645" ht="25.5" customHeight="1">
      <c r="A645" s="272"/>
      <c r="B645" s="273"/>
      <c r="C645" s="272"/>
      <c r="D645" s="274"/>
      <c r="E645" s="275"/>
    </row>
    <row r="646" ht="25.5" customHeight="1">
      <c r="A646" s="272"/>
      <c r="B646" s="273"/>
      <c r="C646" s="272"/>
      <c r="D646" s="274"/>
      <c r="E646" s="275"/>
    </row>
    <row r="647" ht="25.5" customHeight="1">
      <c r="A647" s="272"/>
      <c r="B647" s="273"/>
      <c r="C647" s="272"/>
      <c r="D647" s="274"/>
      <c r="E647" s="275"/>
    </row>
    <row r="648" ht="25.5" customHeight="1">
      <c r="A648" s="272"/>
      <c r="B648" s="273"/>
      <c r="C648" s="272"/>
      <c r="D648" s="274"/>
      <c r="E648" s="275"/>
    </row>
    <row r="649" ht="25.5" customHeight="1">
      <c r="A649" s="272"/>
      <c r="B649" s="273"/>
      <c r="C649" s="272"/>
      <c r="D649" s="274"/>
      <c r="E649" s="275"/>
    </row>
    <row r="650" ht="25.5" customHeight="1">
      <c r="A650" s="272"/>
      <c r="B650" s="273"/>
      <c r="C650" s="272"/>
      <c r="D650" s="274"/>
      <c r="E650" s="275"/>
    </row>
    <row r="651" ht="25.5" customHeight="1">
      <c r="A651" s="272"/>
      <c r="B651" s="273"/>
      <c r="C651" s="272"/>
      <c r="D651" s="274"/>
      <c r="E651" s="275"/>
    </row>
    <row r="652" ht="25.5" customHeight="1">
      <c r="A652" s="272"/>
      <c r="B652" s="273"/>
      <c r="C652" s="272"/>
      <c r="D652" s="274"/>
      <c r="E652" s="275"/>
    </row>
    <row r="653" ht="25.5" customHeight="1">
      <c r="A653" s="272"/>
      <c r="B653" s="273"/>
      <c r="C653" s="272"/>
      <c r="D653" s="274"/>
      <c r="E653" s="275"/>
    </row>
    <row r="654" ht="25.5" customHeight="1">
      <c r="A654" s="272"/>
      <c r="B654" s="273"/>
      <c r="C654" s="272"/>
      <c r="D654" s="274"/>
      <c r="E654" s="275"/>
    </row>
    <row r="655" ht="25.5" customHeight="1">
      <c r="A655" s="272"/>
      <c r="B655" s="273"/>
      <c r="C655" s="272"/>
      <c r="D655" s="274"/>
      <c r="E655" s="275"/>
    </row>
    <row r="656" ht="25.5" customHeight="1">
      <c r="A656" s="272"/>
      <c r="B656" s="273"/>
      <c r="C656" s="272"/>
      <c r="D656" s="274"/>
      <c r="E656" s="275"/>
    </row>
    <row r="657" ht="25.5" customHeight="1">
      <c r="A657" s="272"/>
      <c r="B657" s="273"/>
      <c r="C657" s="272"/>
      <c r="D657" s="274"/>
      <c r="E657" s="275"/>
    </row>
    <row r="658" ht="25.5" customHeight="1">
      <c r="A658" s="272"/>
      <c r="B658" s="273"/>
      <c r="C658" s="272"/>
      <c r="D658" s="274"/>
      <c r="E658" s="275"/>
    </row>
    <row r="659" ht="25.5" customHeight="1">
      <c r="A659" s="272"/>
      <c r="B659" s="273"/>
      <c r="C659" s="272"/>
      <c r="D659" s="274"/>
      <c r="E659" s="275"/>
    </row>
    <row r="660" ht="25.5" customHeight="1">
      <c r="A660" s="272"/>
      <c r="B660" s="273"/>
      <c r="C660" s="272"/>
      <c r="D660" s="274"/>
      <c r="E660" s="275"/>
    </row>
    <row r="661" ht="25.5" customHeight="1">
      <c r="A661" s="272"/>
      <c r="B661" s="273"/>
      <c r="C661" s="272"/>
      <c r="D661" s="274"/>
      <c r="E661" s="275"/>
    </row>
    <row r="662" ht="25.5" customHeight="1">
      <c r="A662" s="272"/>
      <c r="B662" s="273"/>
      <c r="C662" s="272"/>
      <c r="D662" s="274"/>
      <c r="E662" s="275"/>
    </row>
    <row r="663" ht="25.5" customHeight="1">
      <c r="A663" s="272"/>
      <c r="B663" s="273"/>
      <c r="C663" s="272"/>
      <c r="D663" s="274"/>
      <c r="E663" s="275"/>
    </row>
    <row r="664" ht="25.5" customHeight="1">
      <c r="A664" s="272"/>
      <c r="B664" s="273"/>
      <c r="C664" s="272"/>
      <c r="D664" s="274"/>
      <c r="E664" s="275"/>
    </row>
    <row r="665" ht="25.5" customHeight="1">
      <c r="A665" s="272"/>
      <c r="B665" s="273"/>
      <c r="C665" s="272"/>
      <c r="D665" s="274"/>
      <c r="E665" s="275"/>
    </row>
    <row r="666" ht="25.5" customHeight="1">
      <c r="A666" s="272"/>
      <c r="B666" s="273"/>
      <c r="C666" s="272"/>
      <c r="D666" s="274"/>
      <c r="E666" s="275"/>
    </row>
    <row r="667" ht="25.5" customHeight="1">
      <c r="A667" s="272"/>
      <c r="B667" s="273"/>
      <c r="C667" s="272"/>
      <c r="D667" s="274"/>
      <c r="E667" s="275"/>
    </row>
    <row r="668" ht="25.5" customHeight="1">
      <c r="A668" s="272"/>
      <c r="B668" s="273"/>
      <c r="C668" s="272"/>
      <c r="D668" s="274"/>
      <c r="E668" s="275"/>
    </row>
    <row r="669" ht="25.5" customHeight="1">
      <c r="A669" s="272"/>
      <c r="B669" s="273"/>
      <c r="C669" s="272"/>
      <c r="D669" s="274"/>
      <c r="E669" s="275"/>
    </row>
    <row r="670" ht="25.5" customHeight="1">
      <c r="A670" s="272"/>
      <c r="B670" s="273"/>
      <c r="C670" s="272"/>
      <c r="D670" s="274"/>
      <c r="E670" s="275"/>
    </row>
    <row r="671" ht="25.5" customHeight="1">
      <c r="A671" s="272"/>
      <c r="B671" s="273"/>
      <c r="C671" s="272"/>
      <c r="D671" s="274"/>
      <c r="E671" s="275"/>
    </row>
    <row r="672" ht="25.5" customHeight="1">
      <c r="A672" s="272"/>
      <c r="B672" s="273"/>
      <c r="C672" s="272"/>
      <c r="D672" s="274"/>
      <c r="E672" s="275"/>
    </row>
    <row r="673" ht="25.5" customHeight="1">
      <c r="A673" s="272"/>
      <c r="B673" s="273"/>
      <c r="C673" s="272"/>
      <c r="D673" s="274"/>
      <c r="E673" s="275"/>
    </row>
    <row r="674" ht="25.5" customHeight="1">
      <c r="A674" s="272"/>
      <c r="B674" s="273"/>
      <c r="C674" s="272"/>
      <c r="D674" s="274"/>
      <c r="E674" s="275"/>
    </row>
    <row r="675" ht="25.5" customHeight="1">
      <c r="A675" s="272"/>
      <c r="B675" s="273"/>
      <c r="C675" s="272"/>
      <c r="D675" s="274"/>
      <c r="E675" s="275"/>
    </row>
    <row r="676" ht="25.5" customHeight="1">
      <c r="A676" s="272"/>
      <c r="B676" s="273"/>
      <c r="C676" s="272"/>
      <c r="D676" s="274"/>
      <c r="E676" s="275"/>
    </row>
    <row r="677" ht="25.5" customHeight="1">
      <c r="A677" s="272"/>
      <c r="B677" s="273"/>
      <c r="C677" s="272"/>
      <c r="D677" s="274"/>
      <c r="E677" s="275"/>
    </row>
    <row r="678" ht="25.5" customHeight="1">
      <c r="A678" s="272"/>
      <c r="B678" s="273"/>
      <c r="C678" s="272"/>
      <c r="D678" s="274"/>
      <c r="E678" s="275"/>
    </row>
    <row r="679" ht="25.5" customHeight="1">
      <c r="A679" s="272"/>
      <c r="B679" s="273"/>
      <c r="C679" s="272"/>
      <c r="D679" s="274"/>
      <c r="E679" s="275"/>
    </row>
    <row r="680" ht="25.5" customHeight="1">
      <c r="A680" s="272"/>
      <c r="B680" s="273"/>
      <c r="C680" s="272"/>
      <c r="D680" s="274"/>
      <c r="E680" s="275"/>
    </row>
    <row r="681" ht="25.5" customHeight="1">
      <c r="A681" s="272"/>
      <c r="B681" s="273"/>
      <c r="C681" s="272"/>
      <c r="D681" s="274"/>
      <c r="E681" s="275"/>
    </row>
    <row r="682" ht="25.5" customHeight="1">
      <c r="A682" s="272"/>
      <c r="B682" s="273"/>
      <c r="C682" s="272"/>
      <c r="D682" s="274"/>
      <c r="E682" s="275"/>
    </row>
    <row r="683" ht="25.5" customHeight="1">
      <c r="A683" s="272"/>
      <c r="B683" s="273"/>
      <c r="C683" s="272"/>
      <c r="D683" s="274"/>
      <c r="E683" s="275"/>
    </row>
    <row r="684" ht="25.5" customHeight="1">
      <c r="A684" s="272"/>
      <c r="B684" s="273"/>
      <c r="C684" s="272"/>
      <c r="D684" s="274"/>
      <c r="E684" s="275"/>
    </row>
    <row r="685" ht="25.5" customHeight="1">
      <c r="A685" s="272"/>
      <c r="B685" s="273"/>
      <c r="C685" s="272"/>
      <c r="D685" s="274"/>
      <c r="E685" s="275"/>
    </row>
    <row r="686" ht="25.5" customHeight="1">
      <c r="A686" s="272"/>
      <c r="B686" s="273"/>
      <c r="C686" s="272"/>
      <c r="D686" s="274"/>
      <c r="E686" s="275"/>
    </row>
    <row r="687" ht="25.5" customHeight="1">
      <c r="A687" s="272"/>
      <c r="B687" s="273"/>
      <c r="C687" s="272"/>
      <c r="D687" s="274"/>
      <c r="E687" s="275"/>
    </row>
    <row r="688" ht="25.5" customHeight="1">
      <c r="A688" s="272"/>
      <c r="B688" s="273"/>
      <c r="C688" s="272"/>
      <c r="D688" s="274"/>
      <c r="E688" s="275"/>
    </row>
    <row r="689" ht="25.5" customHeight="1">
      <c r="A689" s="272"/>
      <c r="B689" s="273"/>
      <c r="C689" s="272"/>
      <c r="D689" s="274"/>
      <c r="E689" s="275"/>
    </row>
    <row r="690" ht="25.5" customHeight="1">
      <c r="A690" s="272"/>
      <c r="B690" s="273"/>
      <c r="C690" s="272"/>
      <c r="D690" s="274"/>
      <c r="E690" s="275"/>
    </row>
    <row r="691" ht="25.5" customHeight="1">
      <c r="A691" s="272"/>
      <c r="B691" s="273"/>
      <c r="C691" s="272"/>
      <c r="D691" s="274"/>
      <c r="E691" s="275"/>
    </row>
    <row r="692" ht="25.5" customHeight="1">
      <c r="A692" s="272"/>
      <c r="B692" s="273"/>
      <c r="C692" s="272"/>
      <c r="D692" s="274"/>
      <c r="E692" s="275"/>
    </row>
    <row r="693" ht="25.5" customHeight="1">
      <c r="A693" s="272"/>
      <c r="B693" s="273"/>
      <c r="C693" s="272"/>
      <c r="D693" s="274"/>
      <c r="E693" s="275"/>
    </row>
    <row r="694" ht="25.5" customHeight="1">
      <c r="A694" s="272"/>
      <c r="B694" s="273"/>
      <c r="C694" s="272"/>
      <c r="D694" s="274"/>
      <c r="E694" s="275"/>
    </row>
    <row r="695" ht="25.5" customHeight="1">
      <c r="A695" s="272"/>
      <c r="B695" s="273"/>
      <c r="C695" s="272"/>
      <c r="D695" s="274"/>
      <c r="E695" s="275"/>
    </row>
    <row r="696" ht="25.5" customHeight="1">
      <c r="A696" s="272"/>
      <c r="B696" s="273"/>
      <c r="C696" s="272"/>
      <c r="D696" s="274"/>
      <c r="E696" s="275"/>
    </row>
    <row r="697" ht="25.5" customHeight="1">
      <c r="A697" s="272"/>
      <c r="B697" s="273"/>
      <c r="C697" s="272"/>
      <c r="D697" s="274"/>
      <c r="E697" s="275"/>
    </row>
    <row r="698" ht="25.5" customHeight="1">
      <c r="A698" s="272"/>
      <c r="B698" s="273"/>
      <c r="C698" s="272"/>
      <c r="D698" s="274"/>
      <c r="E698" s="275"/>
    </row>
    <row r="699" ht="25.5" customHeight="1">
      <c r="A699" s="272"/>
      <c r="B699" s="273"/>
      <c r="C699" s="272"/>
      <c r="D699" s="274"/>
      <c r="E699" s="275"/>
    </row>
    <row r="700" ht="25.5" customHeight="1">
      <c r="A700" s="272"/>
      <c r="B700" s="273"/>
      <c r="C700" s="272"/>
      <c r="D700" s="274"/>
      <c r="E700" s="275"/>
    </row>
    <row r="701" ht="25.5" customHeight="1">
      <c r="A701" s="272"/>
      <c r="B701" s="273"/>
      <c r="C701" s="272"/>
      <c r="D701" s="274"/>
      <c r="E701" s="275"/>
    </row>
    <row r="702" ht="25.5" customHeight="1">
      <c r="A702" s="272"/>
      <c r="B702" s="273"/>
      <c r="C702" s="272"/>
      <c r="D702" s="274"/>
      <c r="E702" s="275"/>
    </row>
    <row r="703" ht="25.5" customHeight="1">
      <c r="A703" s="272"/>
      <c r="B703" s="273"/>
      <c r="C703" s="272"/>
      <c r="D703" s="274"/>
      <c r="E703" s="275"/>
    </row>
    <row r="704" ht="25.5" customHeight="1">
      <c r="A704" s="272"/>
      <c r="B704" s="273"/>
      <c r="C704" s="272"/>
      <c r="D704" s="274"/>
      <c r="E704" s="275"/>
    </row>
    <row r="705">
      <c r="A705" s="272"/>
      <c r="B705" s="273"/>
      <c r="C705" s="272"/>
      <c r="D705" s="274"/>
      <c r="E705" s="275"/>
    </row>
    <row r="706">
      <c r="A706" s="272"/>
      <c r="B706" s="273"/>
      <c r="C706" s="272"/>
      <c r="D706" s="274"/>
      <c r="E706" s="275"/>
    </row>
    <row r="707">
      <c r="A707" s="272"/>
      <c r="B707" s="273"/>
      <c r="C707" s="272"/>
      <c r="D707" s="274"/>
      <c r="E707" s="275"/>
    </row>
    <row r="708">
      <c r="A708" s="272"/>
      <c r="B708" s="273"/>
      <c r="C708" s="272"/>
      <c r="D708" s="274"/>
      <c r="E708" s="275"/>
    </row>
    <row r="709">
      <c r="A709" s="272"/>
      <c r="B709" s="273"/>
      <c r="C709" s="272"/>
      <c r="D709" s="274"/>
      <c r="E709" s="275"/>
    </row>
    <row r="710">
      <c r="A710" s="272"/>
      <c r="B710" s="273"/>
      <c r="C710" s="272"/>
      <c r="D710" s="274"/>
      <c r="E710" s="275"/>
    </row>
    <row r="711">
      <c r="A711" s="272"/>
      <c r="B711" s="273"/>
      <c r="C711" s="272"/>
      <c r="D711" s="274"/>
      <c r="E711" s="275"/>
    </row>
    <row r="712">
      <c r="A712" s="272"/>
      <c r="B712" s="273"/>
      <c r="C712" s="272"/>
      <c r="D712" s="274"/>
      <c r="E712" s="275"/>
    </row>
    <row r="713">
      <c r="A713" s="272"/>
      <c r="B713" s="273"/>
      <c r="C713" s="272"/>
      <c r="D713" s="274"/>
      <c r="E713" s="275"/>
    </row>
    <row r="714">
      <c r="A714" s="272"/>
      <c r="B714" s="273"/>
      <c r="C714" s="272"/>
      <c r="D714" s="274"/>
      <c r="E714" s="275"/>
    </row>
    <row r="715">
      <c r="A715" s="272"/>
      <c r="B715" s="273"/>
      <c r="C715" s="272"/>
      <c r="D715" s="274"/>
      <c r="E715" s="275"/>
    </row>
    <row r="716">
      <c r="A716" s="272"/>
      <c r="B716" s="273"/>
      <c r="C716" s="272"/>
      <c r="D716" s="274"/>
      <c r="E716" s="275"/>
    </row>
    <row r="717">
      <c r="A717" s="272"/>
      <c r="B717" s="273"/>
      <c r="C717" s="272"/>
      <c r="D717" s="274"/>
      <c r="E717" s="275"/>
    </row>
    <row r="718">
      <c r="A718" s="272"/>
      <c r="B718" s="273"/>
      <c r="C718" s="272"/>
      <c r="D718" s="274"/>
      <c r="E718" s="275"/>
    </row>
    <row r="719">
      <c r="A719" s="272"/>
      <c r="B719" s="273"/>
      <c r="C719" s="272"/>
      <c r="D719" s="274"/>
      <c r="E719" s="275"/>
    </row>
    <row r="720">
      <c r="A720" s="272"/>
      <c r="B720" s="273"/>
      <c r="C720" s="272"/>
      <c r="D720" s="274"/>
      <c r="E720" s="275"/>
    </row>
    <row r="721">
      <c r="A721" s="272"/>
      <c r="B721" s="273"/>
      <c r="C721" s="272"/>
      <c r="D721" s="274"/>
      <c r="E721" s="275"/>
    </row>
    <row r="722">
      <c r="A722" s="272"/>
      <c r="B722" s="273"/>
      <c r="C722" s="272"/>
      <c r="D722" s="274"/>
      <c r="E722" s="275"/>
    </row>
    <row r="723">
      <c r="A723" s="272"/>
      <c r="B723" s="273"/>
      <c r="C723" s="272"/>
      <c r="D723" s="274"/>
      <c r="E723" s="275"/>
    </row>
    <row r="724">
      <c r="A724" s="272"/>
      <c r="B724" s="273"/>
      <c r="C724" s="272"/>
      <c r="D724" s="274"/>
      <c r="E724" s="275"/>
    </row>
    <row r="725">
      <c r="A725" s="272"/>
      <c r="B725" s="273"/>
      <c r="C725" s="272"/>
      <c r="D725" s="274"/>
      <c r="E725" s="275"/>
    </row>
    <row r="726">
      <c r="A726" s="272"/>
      <c r="B726" s="273"/>
      <c r="C726" s="272"/>
      <c r="D726" s="274"/>
      <c r="E726" s="275"/>
    </row>
    <row r="727">
      <c r="A727" s="272"/>
      <c r="B727" s="273"/>
      <c r="C727" s="272"/>
      <c r="D727" s="274"/>
      <c r="E727" s="275"/>
    </row>
    <row r="728">
      <c r="A728" s="272"/>
      <c r="B728" s="273"/>
      <c r="C728" s="272"/>
      <c r="D728" s="274"/>
      <c r="E728" s="275"/>
    </row>
    <row r="729">
      <c r="A729" s="272"/>
      <c r="B729" s="273"/>
      <c r="C729" s="272"/>
      <c r="D729" s="274"/>
      <c r="E729" s="275"/>
    </row>
    <row r="730">
      <c r="A730" s="272"/>
      <c r="B730" s="273"/>
      <c r="C730" s="272"/>
      <c r="D730" s="274"/>
      <c r="E730" s="275"/>
    </row>
    <row r="731">
      <c r="A731" s="272"/>
      <c r="B731" s="273"/>
      <c r="C731" s="272"/>
      <c r="D731" s="274"/>
      <c r="E731" s="275"/>
    </row>
    <row r="732">
      <c r="A732" s="272"/>
      <c r="B732" s="273"/>
      <c r="C732" s="272"/>
      <c r="D732" s="274"/>
      <c r="E732" s="275"/>
    </row>
    <row r="733">
      <c r="A733" s="272"/>
      <c r="B733" s="273"/>
      <c r="C733" s="272"/>
      <c r="D733" s="274"/>
      <c r="E733" s="275"/>
    </row>
    <row r="734">
      <c r="A734" s="272"/>
      <c r="B734" s="273"/>
      <c r="C734" s="272"/>
      <c r="D734" s="274"/>
      <c r="E734" s="275"/>
    </row>
    <row r="735">
      <c r="A735" s="272"/>
      <c r="B735" s="273"/>
      <c r="C735" s="272"/>
      <c r="D735" s="274"/>
      <c r="E735" s="275"/>
    </row>
    <row r="736">
      <c r="A736" s="272"/>
      <c r="B736" s="273"/>
      <c r="C736" s="272"/>
      <c r="D736" s="274"/>
      <c r="E736" s="275"/>
    </row>
    <row r="737">
      <c r="A737" s="272"/>
      <c r="B737" s="273"/>
      <c r="C737" s="272"/>
      <c r="D737" s="274"/>
      <c r="E737" s="275"/>
    </row>
    <row r="738">
      <c r="A738" s="272"/>
      <c r="B738" s="273"/>
      <c r="C738" s="272"/>
      <c r="D738" s="274"/>
      <c r="E738" s="275"/>
    </row>
    <row r="739">
      <c r="A739" s="272"/>
      <c r="B739" s="273"/>
      <c r="C739" s="272"/>
      <c r="D739" s="274"/>
      <c r="E739" s="275"/>
    </row>
    <row r="740">
      <c r="A740" s="272"/>
      <c r="B740" s="273"/>
      <c r="C740" s="272"/>
      <c r="D740" s="274"/>
      <c r="E740" s="275"/>
    </row>
    <row r="741">
      <c r="A741" s="272"/>
      <c r="B741" s="273"/>
      <c r="C741" s="272"/>
      <c r="D741" s="274"/>
      <c r="E741" s="275"/>
    </row>
    <row r="742">
      <c r="A742" s="272"/>
      <c r="B742" s="273"/>
      <c r="C742" s="272"/>
      <c r="D742" s="274"/>
      <c r="E742" s="275"/>
    </row>
    <row r="743">
      <c r="A743" s="272"/>
      <c r="B743" s="273"/>
      <c r="C743" s="272"/>
      <c r="D743" s="274"/>
      <c r="E743" s="275"/>
    </row>
    <row r="744">
      <c r="A744" s="272"/>
      <c r="B744" s="273"/>
      <c r="C744" s="272"/>
      <c r="D744" s="274"/>
      <c r="E744" s="275"/>
    </row>
    <row r="745">
      <c r="A745" s="272"/>
      <c r="B745" s="273"/>
      <c r="C745" s="272"/>
      <c r="D745" s="274"/>
      <c r="E745" s="275"/>
    </row>
    <row r="746">
      <c r="A746" s="272"/>
      <c r="B746" s="273"/>
      <c r="C746" s="272"/>
      <c r="D746" s="274"/>
      <c r="E746" s="275"/>
    </row>
    <row r="747">
      <c r="A747" s="272"/>
      <c r="B747" s="273"/>
      <c r="C747" s="272"/>
      <c r="D747" s="274"/>
      <c r="E747" s="275"/>
    </row>
    <row r="748">
      <c r="A748" s="272"/>
      <c r="B748" s="273"/>
      <c r="C748" s="272"/>
      <c r="D748" s="274"/>
      <c r="E748" s="275"/>
    </row>
    <row r="749">
      <c r="A749" s="272"/>
      <c r="B749" s="273"/>
      <c r="C749" s="272"/>
      <c r="D749" s="274"/>
      <c r="E749" s="275"/>
    </row>
    <row r="750">
      <c r="A750" s="272"/>
      <c r="B750" s="273"/>
      <c r="C750" s="272"/>
      <c r="D750" s="274"/>
      <c r="E750" s="275"/>
    </row>
    <row r="751">
      <c r="A751" s="272"/>
      <c r="B751" s="273"/>
      <c r="C751" s="272"/>
      <c r="D751" s="274"/>
      <c r="E751" s="275"/>
    </row>
    <row r="752">
      <c r="A752" s="272"/>
      <c r="B752" s="273"/>
      <c r="C752" s="272"/>
      <c r="D752" s="274"/>
      <c r="E752" s="275"/>
    </row>
    <row r="753">
      <c r="A753" s="272"/>
      <c r="B753" s="273"/>
      <c r="C753" s="272"/>
      <c r="D753" s="274"/>
      <c r="E753" s="275"/>
    </row>
    <row r="754">
      <c r="A754" s="272"/>
      <c r="B754" s="273"/>
      <c r="C754" s="272"/>
      <c r="D754" s="274"/>
      <c r="E754" s="275"/>
    </row>
    <row r="755">
      <c r="A755" s="272"/>
      <c r="B755" s="273"/>
      <c r="C755" s="272"/>
      <c r="D755" s="274"/>
      <c r="E755" s="275"/>
    </row>
    <row r="756">
      <c r="A756" s="272"/>
      <c r="B756" s="273"/>
      <c r="C756" s="272"/>
      <c r="D756" s="274"/>
      <c r="E756" s="275"/>
    </row>
    <row r="757">
      <c r="A757" s="272"/>
      <c r="B757" s="273"/>
      <c r="C757" s="272"/>
      <c r="D757" s="274"/>
      <c r="E757" s="275"/>
    </row>
    <row r="758">
      <c r="A758" s="272"/>
      <c r="B758" s="273"/>
      <c r="C758" s="272"/>
      <c r="D758" s="274"/>
      <c r="E758" s="275"/>
    </row>
    <row r="759">
      <c r="A759" s="272"/>
      <c r="B759" s="273"/>
      <c r="C759" s="272"/>
      <c r="D759" s="274"/>
      <c r="E759" s="275"/>
    </row>
    <row r="760">
      <c r="A760" s="272"/>
      <c r="B760" s="273"/>
      <c r="C760" s="272"/>
      <c r="D760" s="274"/>
      <c r="E760" s="275"/>
    </row>
    <row r="761">
      <c r="A761" s="272"/>
      <c r="B761" s="273"/>
      <c r="C761" s="272"/>
      <c r="D761" s="274"/>
      <c r="E761" s="275"/>
    </row>
    <row r="762">
      <c r="A762" s="272"/>
      <c r="B762" s="273"/>
      <c r="C762" s="272"/>
      <c r="D762" s="274"/>
      <c r="E762" s="275"/>
    </row>
    <row r="763">
      <c r="A763" s="272"/>
      <c r="B763" s="273"/>
      <c r="C763" s="272"/>
      <c r="D763" s="274"/>
      <c r="E763" s="275"/>
    </row>
    <row r="764">
      <c r="A764" s="272"/>
      <c r="B764" s="273"/>
      <c r="C764" s="272"/>
      <c r="D764" s="274"/>
      <c r="E764" s="275"/>
    </row>
    <row r="765">
      <c r="A765" s="272"/>
      <c r="B765" s="273"/>
      <c r="C765" s="272"/>
      <c r="D765" s="274"/>
      <c r="E765" s="275"/>
    </row>
    <row r="766">
      <c r="A766" s="272"/>
      <c r="B766" s="273"/>
      <c r="C766" s="272"/>
      <c r="D766" s="274"/>
      <c r="E766" s="275"/>
    </row>
    <row r="767">
      <c r="A767" s="272"/>
      <c r="B767" s="273"/>
      <c r="C767" s="272"/>
      <c r="D767" s="274"/>
      <c r="E767" s="275"/>
    </row>
    <row r="768">
      <c r="A768" s="272"/>
      <c r="B768" s="273"/>
      <c r="C768" s="272"/>
      <c r="D768" s="274"/>
      <c r="E768" s="275"/>
    </row>
    <row r="769">
      <c r="A769" s="272"/>
      <c r="B769" s="273"/>
      <c r="C769" s="272"/>
      <c r="D769" s="274"/>
      <c r="E769" s="275"/>
    </row>
    <row r="770">
      <c r="A770" s="272"/>
      <c r="B770" s="273"/>
      <c r="C770" s="272"/>
      <c r="D770" s="274"/>
      <c r="E770" s="275"/>
    </row>
    <row r="771">
      <c r="A771" s="272"/>
      <c r="B771" s="273"/>
      <c r="C771" s="272"/>
      <c r="D771" s="274"/>
      <c r="E771" s="275"/>
    </row>
    <row r="772">
      <c r="A772" s="272"/>
      <c r="B772" s="273"/>
      <c r="C772" s="272"/>
      <c r="D772" s="274"/>
      <c r="E772" s="275"/>
    </row>
    <row r="773">
      <c r="A773" s="272"/>
      <c r="B773" s="273"/>
      <c r="C773" s="272"/>
      <c r="D773" s="274"/>
      <c r="E773" s="275"/>
    </row>
    <row r="774">
      <c r="A774" s="272"/>
      <c r="B774" s="273"/>
      <c r="C774" s="272"/>
      <c r="D774" s="274"/>
      <c r="E774" s="275"/>
    </row>
    <row r="775">
      <c r="A775" s="272"/>
      <c r="B775" s="273"/>
      <c r="C775" s="272"/>
      <c r="D775" s="274"/>
      <c r="E775" s="275"/>
    </row>
    <row r="776">
      <c r="A776" s="272"/>
      <c r="B776" s="273"/>
      <c r="C776" s="272"/>
      <c r="D776" s="274"/>
      <c r="E776" s="275"/>
    </row>
    <row r="777">
      <c r="A777" s="272"/>
      <c r="B777" s="273"/>
      <c r="C777" s="272"/>
      <c r="D777" s="274"/>
      <c r="E777" s="275"/>
    </row>
    <row r="778">
      <c r="A778" s="272"/>
      <c r="B778" s="273"/>
      <c r="C778" s="272"/>
      <c r="D778" s="274"/>
      <c r="E778" s="275"/>
    </row>
    <row r="779">
      <c r="A779" s="272"/>
      <c r="B779" s="273"/>
      <c r="C779" s="272"/>
      <c r="D779" s="274"/>
      <c r="E779" s="275"/>
    </row>
    <row r="780">
      <c r="A780" s="272"/>
      <c r="B780" s="273"/>
      <c r="C780" s="272"/>
      <c r="D780" s="274"/>
      <c r="E780" s="275"/>
    </row>
    <row r="781">
      <c r="A781" s="272"/>
      <c r="B781" s="273"/>
      <c r="C781" s="272"/>
      <c r="D781" s="274"/>
      <c r="E781" s="275"/>
    </row>
    <row r="782">
      <c r="A782" s="272"/>
      <c r="B782" s="273"/>
      <c r="C782" s="272"/>
      <c r="D782" s="274"/>
      <c r="E782" s="275"/>
    </row>
    <row r="783">
      <c r="A783" s="272"/>
      <c r="B783" s="273"/>
      <c r="C783" s="272"/>
      <c r="D783" s="274"/>
      <c r="E783" s="275"/>
    </row>
    <row r="784">
      <c r="A784" s="272"/>
      <c r="B784" s="273"/>
      <c r="C784" s="272"/>
      <c r="D784" s="274"/>
      <c r="E784" s="275"/>
    </row>
    <row r="785">
      <c r="A785" s="272"/>
      <c r="B785" s="273"/>
      <c r="C785" s="272"/>
      <c r="D785" s="274"/>
      <c r="E785" s="275"/>
    </row>
    <row r="786">
      <c r="A786" s="272"/>
      <c r="B786" s="273"/>
      <c r="C786" s="272"/>
      <c r="D786" s="274"/>
      <c r="E786" s="275"/>
    </row>
    <row r="787">
      <c r="A787" s="272"/>
      <c r="B787" s="273"/>
      <c r="C787" s="272"/>
      <c r="D787" s="274"/>
      <c r="E787" s="275"/>
    </row>
    <row r="788">
      <c r="A788" s="272"/>
      <c r="B788" s="273"/>
      <c r="C788" s="272"/>
      <c r="D788" s="274"/>
      <c r="E788" s="275"/>
    </row>
    <row r="789">
      <c r="A789" s="272"/>
      <c r="B789" s="273"/>
      <c r="C789" s="272"/>
      <c r="D789" s="274"/>
      <c r="E789" s="275"/>
    </row>
    <row r="790">
      <c r="A790" s="272"/>
      <c r="B790" s="273"/>
      <c r="C790" s="272"/>
      <c r="D790" s="274"/>
      <c r="E790" s="275"/>
    </row>
    <row r="791">
      <c r="A791" s="272"/>
      <c r="B791" s="273"/>
      <c r="C791" s="272"/>
      <c r="D791" s="274"/>
      <c r="E791" s="275"/>
    </row>
    <row r="792">
      <c r="A792" s="272"/>
      <c r="B792" s="273"/>
      <c r="C792" s="272"/>
      <c r="D792" s="274"/>
      <c r="E792" s="275"/>
    </row>
    <row r="793">
      <c r="A793" s="272"/>
      <c r="B793" s="273"/>
      <c r="C793" s="272"/>
      <c r="D793" s="274"/>
      <c r="E793" s="275"/>
    </row>
    <row r="794">
      <c r="A794" s="272"/>
      <c r="B794" s="273"/>
      <c r="C794" s="272"/>
      <c r="D794" s="274"/>
      <c r="E794" s="275"/>
    </row>
    <row r="795">
      <c r="A795" s="272"/>
      <c r="B795" s="273"/>
      <c r="C795" s="272"/>
      <c r="D795" s="274"/>
      <c r="E795" s="275"/>
    </row>
    <row r="796">
      <c r="A796" s="272"/>
      <c r="B796" s="273"/>
      <c r="C796" s="272"/>
      <c r="D796" s="274"/>
      <c r="E796" s="275"/>
    </row>
    <row r="797">
      <c r="A797" s="272"/>
      <c r="B797" s="273"/>
      <c r="C797" s="272"/>
      <c r="D797" s="274"/>
      <c r="E797" s="275"/>
    </row>
    <row r="798">
      <c r="A798" s="272"/>
      <c r="B798" s="273"/>
      <c r="C798" s="272"/>
      <c r="D798" s="274"/>
      <c r="E798" s="275"/>
    </row>
    <row r="799">
      <c r="A799" s="272"/>
      <c r="B799" s="273"/>
      <c r="C799" s="272"/>
      <c r="D799" s="274"/>
      <c r="E799" s="275"/>
    </row>
    <row r="800">
      <c r="A800" s="272"/>
      <c r="B800" s="273"/>
      <c r="C800" s="272"/>
      <c r="D800" s="274"/>
      <c r="E800" s="275"/>
    </row>
    <row r="801">
      <c r="A801" s="272"/>
      <c r="B801" s="273"/>
      <c r="C801" s="272"/>
      <c r="D801" s="274"/>
      <c r="E801" s="275"/>
    </row>
    <row r="802">
      <c r="A802" s="272"/>
      <c r="B802" s="273"/>
      <c r="C802" s="272"/>
      <c r="D802" s="274"/>
      <c r="E802" s="275"/>
    </row>
    <row r="803">
      <c r="A803" s="272"/>
      <c r="B803" s="273"/>
      <c r="C803" s="272"/>
      <c r="D803" s="274"/>
      <c r="E803" s="275"/>
    </row>
    <row r="804">
      <c r="A804" s="272"/>
      <c r="B804" s="273"/>
      <c r="C804" s="272"/>
      <c r="D804" s="274"/>
      <c r="E804" s="275"/>
    </row>
    <row r="805">
      <c r="A805" s="272"/>
      <c r="B805" s="273"/>
      <c r="C805" s="272"/>
      <c r="D805" s="274"/>
      <c r="E805" s="275"/>
    </row>
    <row r="806">
      <c r="A806" s="272"/>
      <c r="B806" s="273"/>
      <c r="C806" s="272"/>
      <c r="D806" s="274"/>
      <c r="E806" s="275"/>
    </row>
    <row r="807">
      <c r="A807" s="272"/>
      <c r="B807" s="273"/>
      <c r="C807" s="272"/>
      <c r="D807" s="274"/>
      <c r="E807" s="275"/>
    </row>
    <row r="808">
      <c r="A808" s="272"/>
      <c r="B808" s="273"/>
      <c r="C808" s="272"/>
      <c r="D808" s="274"/>
      <c r="E808" s="275"/>
    </row>
    <row r="809">
      <c r="A809" s="272"/>
      <c r="B809" s="273"/>
      <c r="C809" s="272"/>
      <c r="D809" s="274"/>
      <c r="E809" s="275"/>
    </row>
    <row r="810">
      <c r="A810" s="272"/>
      <c r="B810" s="273"/>
      <c r="C810" s="272"/>
      <c r="D810" s="274"/>
      <c r="E810" s="275"/>
    </row>
    <row r="811">
      <c r="A811" s="272"/>
      <c r="B811" s="273"/>
      <c r="C811" s="272"/>
      <c r="D811" s="274"/>
      <c r="E811" s="275"/>
    </row>
    <row r="812">
      <c r="A812" s="272"/>
      <c r="B812" s="273"/>
      <c r="C812" s="272"/>
      <c r="D812" s="274"/>
      <c r="E812" s="275"/>
    </row>
    <row r="813">
      <c r="A813" s="272"/>
      <c r="B813" s="273"/>
      <c r="C813" s="272"/>
      <c r="D813" s="274"/>
      <c r="E813" s="275"/>
    </row>
    <row r="814">
      <c r="A814" s="272"/>
      <c r="B814" s="273"/>
      <c r="C814" s="272"/>
      <c r="D814" s="274"/>
      <c r="E814" s="275"/>
    </row>
    <row r="815">
      <c r="A815" s="272"/>
      <c r="B815" s="273"/>
      <c r="C815" s="272"/>
      <c r="D815" s="274"/>
      <c r="E815" s="275"/>
    </row>
    <row r="816">
      <c r="A816" s="272"/>
      <c r="B816" s="273"/>
      <c r="C816" s="272"/>
      <c r="D816" s="274"/>
      <c r="E816" s="275"/>
    </row>
    <row r="817">
      <c r="A817" s="272"/>
      <c r="B817" s="273"/>
      <c r="C817" s="272"/>
      <c r="D817" s="274"/>
      <c r="E817" s="275"/>
    </row>
    <row r="818">
      <c r="A818" s="272"/>
      <c r="B818" s="273"/>
      <c r="C818" s="272"/>
      <c r="D818" s="274"/>
      <c r="E818" s="275"/>
    </row>
    <row r="819">
      <c r="A819" s="272"/>
      <c r="B819" s="273"/>
      <c r="C819" s="272"/>
      <c r="D819" s="274"/>
      <c r="E819" s="275"/>
    </row>
    <row r="820">
      <c r="A820" s="272"/>
      <c r="B820" s="273"/>
      <c r="C820" s="272"/>
      <c r="D820" s="274"/>
      <c r="E820" s="275"/>
    </row>
    <row r="821">
      <c r="A821" s="272"/>
      <c r="B821" s="273"/>
      <c r="C821" s="272"/>
      <c r="D821" s="274"/>
      <c r="E821" s="275"/>
    </row>
    <row r="822">
      <c r="A822" s="272"/>
      <c r="B822" s="273"/>
      <c r="C822" s="272"/>
      <c r="D822" s="274"/>
      <c r="E822" s="275"/>
    </row>
    <row r="823">
      <c r="A823" s="272"/>
      <c r="B823" s="273"/>
      <c r="C823" s="272"/>
      <c r="D823" s="274"/>
      <c r="E823" s="275"/>
    </row>
    <row r="824">
      <c r="A824" s="272"/>
      <c r="B824" s="273"/>
      <c r="C824" s="272"/>
      <c r="D824" s="274"/>
      <c r="E824" s="275"/>
    </row>
    <row r="825">
      <c r="A825" s="272"/>
      <c r="B825" s="273"/>
      <c r="C825" s="272"/>
      <c r="D825" s="274"/>
      <c r="E825" s="275"/>
    </row>
    <row r="826">
      <c r="A826" s="272"/>
      <c r="B826" s="273"/>
      <c r="C826" s="272"/>
      <c r="D826" s="274"/>
      <c r="E826" s="275"/>
    </row>
    <row r="827">
      <c r="A827" s="272"/>
      <c r="B827" s="273"/>
      <c r="C827" s="272"/>
      <c r="D827" s="274"/>
      <c r="E827" s="275"/>
    </row>
    <row r="828">
      <c r="A828" s="272"/>
      <c r="B828" s="273"/>
      <c r="C828" s="272"/>
      <c r="D828" s="274"/>
      <c r="E828" s="275"/>
    </row>
    <row r="829">
      <c r="A829" s="272"/>
      <c r="B829" s="273"/>
      <c r="C829" s="272"/>
      <c r="D829" s="274"/>
      <c r="E829" s="275"/>
    </row>
    <row r="830">
      <c r="A830" s="272"/>
      <c r="B830" s="273"/>
      <c r="C830" s="272"/>
      <c r="D830" s="274"/>
      <c r="E830" s="275"/>
    </row>
    <row r="831">
      <c r="A831" s="272"/>
      <c r="B831" s="273"/>
      <c r="C831" s="272"/>
      <c r="D831" s="274"/>
      <c r="E831" s="275"/>
    </row>
    <row r="832">
      <c r="A832" s="272"/>
      <c r="B832" s="273"/>
      <c r="C832" s="272"/>
      <c r="D832" s="274"/>
      <c r="E832" s="275"/>
    </row>
    <row r="833">
      <c r="A833" s="272"/>
      <c r="B833" s="273"/>
      <c r="C833" s="272"/>
      <c r="D833" s="274"/>
      <c r="E833" s="275"/>
    </row>
    <row r="834">
      <c r="A834" s="272"/>
      <c r="B834" s="273"/>
      <c r="C834" s="272"/>
      <c r="D834" s="274"/>
      <c r="E834" s="275"/>
    </row>
    <row r="835">
      <c r="A835" s="272"/>
      <c r="B835" s="273"/>
      <c r="C835" s="272"/>
      <c r="D835" s="274"/>
      <c r="E835" s="275"/>
    </row>
    <row r="836">
      <c r="A836" s="272"/>
      <c r="B836" s="273"/>
      <c r="C836" s="272"/>
      <c r="D836" s="274"/>
      <c r="E836" s="275"/>
    </row>
    <row r="837">
      <c r="A837" s="272"/>
      <c r="B837" s="273"/>
      <c r="C837" s="272"/>
      <c r="D837" s="274"/>
      <c r="E837" s="275"/>
    </row>
    <row r="838">
      <c r="A838" s="272"/>
      <c r="B838" s="273"/>
      <c r="C838" s="272"/>
      <c r="D838" s="274"/>
      <c r="E838" s="275"/>
    </row>
    <row r="839">
      <c r="A839" s="272"/>
      <c r="B839" s="273"/>
      <c r="C839" s="272"/>
      <c r="D839" s="274"/>
      <c r="E839" s="275"/>
    </row>
    <row r="840">
      <c r="A840" s="272"/>
      <c r="B840" s="273"/>
      <c r="C840" s="272"/>
      <c r="D840" s="274"/>
      <c r="E840" s="275"/>
    </row>
    <row r="841">
      <c r="A841" s="272"/>
      <c r="B841" s="273"/>
      <c r="C841" s="272"/>
      <c r="D841" s="274"/>
      <c r="E841" s="275"/>
    </row>
    <row r="842">
      <c r="A842" s="272"/>
      <c r="B842" s="273"/>
      <c r="C842" s="272"/>
      <c r="D842" s="274"/>
      <c r="E842" s="275"/>
    </row>
    <row r="843">
      <c r="A843" s="272"/>
      <c r="B843" s="273"/>
      <c r="C843" s="272"/>
      <c r="D843" s="274"/>
      <c r="E843" s="275"/>
    </row>
    <row r="844">
      <c r="A844" s="272"/>
      <c r="B844" s="273"/>
      <c r="C844" s="272"/>
      <c r="D844" s="274"/>
      <c r="E844" s="275"/>
    </row>
    <row r="845">
      <c r="A845" s="272"/>
      <c r="B845" s="273"/>
      <c r="C845" s="272"/>
      <c r="D845" s="274"/>
      <c r="E845" s="275"/>
    </row>
    <row r="846">
      <c r="A846" s="272"/>
      <c r="B846" s="273"/>
      <c r="C846" s="272"/>
      <c r="D846" s="274"/>
      <c r="E846" s="275"/>
    </row>
    <row r="847">
      <c r="A847" s="272"/>
      <c r="B847" s="273"/>
      <c r="C847" s="272"/>
      <c r="D847" s="274"/>
      <c r="E847" s="275"/>
    </row>
    <row r="848">
      <c r="A848" s="272"/>
      <c r="B848" s="273"/>
      <c r="C848" s="272"/>
      <c r="D848" s="274"/>
      <c r="E848" s="275"/>
    </row>
    <row r="849">
      <c r="A849" s="272"/>
      <c r="B849" s="273"/>
      <c r="C849" s="272"/>
      <c r="D849" s="274"/>
      <c r="E849" s="275"/>
    </row>
    <row r="850">
      <c r="A850" s="272"/>
      <c r="B850" s="273"/>
      <c r="C850" s="272"/>
      <c r="D850" s="274"/>
      <c r="E850" s="275"/>
    </row>
    <row r="851">
      <c r="A851" s="272"/>
      <c r="B851" s="273"/>
      <c r="C851" s="272"/>
      <c r="D851" s="274"/>
      <c r="E851" s="275"/>
    </row>
    <row r="852">
      <c r="A852" s="272"/>
      <c r="B852" s="273"/>
      <c r="C852" s="272"/>
      <c r="D852" s="274"/>
      <c r="E852" s="275"/>
    </row>
    <row r="853">
      <c r="A853" s="272"/>
      <c r="B853" s="273"/>
      <c r="C853" s="272"/>
      <c r="D853" s="274"/>
      <c r="E853" s="275"/>
    </row>
    <row r="854">
      <c r="A854" s="272"/>
      <c r="B854" s="273"/>
      <c r="C854" s="272"/>
      <c r="D854" s="274"/>
      <c r="E854" s="275"/>
    </row>
    <row r="855">
      <c r="A855" s="272"/>
      <c r="B855" s="273"/>
      <c r="C855" s="272"/>
      <c r="D855" s="274"/>
      <c r="E855" s="275"/>
    </row>
    <row r="856">
      <c r="A856" s="272"/>
      <c r="B856" s="273"/>
      <c r="C856" s="272"/>
      <c r="D856" s="274"/>
      <c r="E856" s="275"/>
    </row>
    <row r="857">
      <c r="A857" s="272"/>
      <c r="B857" s="273"/>
      <c r="C857" s="272"/>
      <c r="D857" s="274"/>
      <c r="E857" s="275"/>
    </row>
    <row r="858">
      <c r="A858" s="272"/>
      <c r="B858" s="273"/>
      <c r="C858" s="272"/>
      <c r="D858" s="274"/>
      <c r="E858" s="275"/>
    </row>
    <row r="859">
      <c r="A859" s="272"/>
      <c r="B859" s="273"/>
      <c r="C859" s="272"/>
      <c r="D859" s="274"/>
      <c r="E859" s="275"/>
    </row>
    <row r="860">
      <c r="A860" s="272"/>
      <c r="B860" s="273"/>
      <c r="C860" s="272"/>
      <c r="D860" s="274"/>
      <c r="E860" s="275"/>
    </row>
    <row r="861">
      <c r="A861" s="272"/>
      <c r="B861" s="273"/>
      <c r="C861" s="272"/>
      <c r="D861" s="274"/>
      <c r="E861" s="275"/>
    </row>
    <row r="862">
      <c r="A862" s="272"/>
      <c r="B862" s="273"/>
      <c r="C862" s="272"/>
      <c r="D862" s="274"/>
      <c r="E862" s="275"/>
    </row>
    <row r="863">
      <c r="A863" s="272"/>
      <c r="B863" s="273"/>
      <c r="C863" s="272"/>
      <c r="D863" s="274"/>
      <c r="E863" s="275"/>
    </row>
    <row r="864">
      <c r="A864" s="272"/>
      <c r="B864" s="273"/>
      <c r="C864" s="272"/>
      <c r="D864" s="274"/>
      <c r="E864" s="275"/>
    </row>
    <row r="865">
      <c r="A865" s="272"/>
      <c r="B865" s="273"/>
      <c r="C865" s="272"/>
      <c r="D865" s="274"/>
      <c r="E865" s="275"/>
    </row>
    <row r="866">
      <c r="A866" s="272"/>
      <c r="B866" s="273"/>
      <c r="C866" s="272"/>
      <c r="D866" s="274"/>
      <c r="E866" s="275"/>
    </row>
    <row r="867">
      <c r="A867" s="272"/>
      <c r="B867" s="273"/>
      <c r="C867" s="272"/>
      <c r="D867" s="274"/>
      <c r="E867" s="275"/>
    </row>
    <row r="868">
      <c r="A868" s="272"/>
      <c r="B868" s="273"/>
      <c r="C868" s="272"/>
      <c r="D868" s="274"/>
      <c r="E868" s="275"/>
    </row>
    <row r="869">
      <c r="A869" s="272"/>
      <c r="B869" s="273"/>
      <c r="C869" s="272"/>
      <c r="D869" s="274"/>
      <c r="E869" s="275"/>
    </row>
    <row r="870">
      <c r="A870" s="272"/>
      <c r="B870" s="273"/>
      <c r="C870" s="272"/>
      <c r="D870" s="274"/>
      <c r="E870" s="275"/>
    </row>
    <row r="871">
      <c r="A871" s="272"/>
      <c r="B871" s="273"/>
      <c r="C871" s="272"/>
      <c r="D871" s="274"/>
      <c r="E871" s="275"/>
    </row>
    <row r="872">
      <c r="A872" s="272"/>
      <c r="B872" s="273"/>
      <c r="C872" s="272"/>
      <c r="D872" s="274"/>
      <c r="E872" s="275"/>
    </row>
    <row r="873">
      <c r="A873" s="272"/>
      <c r="B873" s="273"/>
      <c r="C873" s="272"/>
      <c r="D873" s="274"/>
      <c r="E873" s="275"/>
    </row>
    <row r="874">
      <c r="A874" s="272"/>
      <c r="B874" s="273"/>
      <c r="C874" s="272"/>
      <c r="D874" s="274"/>
      <c r="E874" s="275"/>
    </row>
    <row r="875">
      <c r="A875" s="272"/>
      <c r="B875" s="273"/>
      <c r="C875" s="272"/>
      <c r="D875" s="274"/>
      <c r="E875" s="275"/>
    </row>
    <row r="876">
      <c r="A876" s="272"/>
      <c r="B876" s="273"/>
      <c r="C876" s="272"/>
      <c r="D876" s="274"/>
      <c r="E876" s="275"/>
    </row>
    <row r="877">
      <c r="A877" s="272"/>
      <c r="B877" s="273"/>
      <c r="C877" s="272"/>
      <c r="D877" s="274"/>
      <c r="E877" s="275"/>
    </row>
    <row r="878">
      <c r="A878" s="272"/>
      <c r="B878" s="273"/>
      <c r="C878" s="272"/>
      <c r="D878" s="274"/>
      <c r="E878" s="275"/>
    </row>
    <row r="879">
      <c r="A879" s="272"/>
      <c r="B879" s="273"/>
      <c r="C879" s="272"/>
      <c r="D879" s="274"/>
      <c r="E879" s="275"/>
    </row>
    <row r="880">
      <c r="A880" s="272"/>
      <c r="B880" s="273"/>
      <c r="C880" s="272"/>
      <c r="D880" s="274"/>
      <c r="E880" s="275"/>
    </row>
    <row r="881">
      <c r="A881" s="272"/>
      <c r="B881" s="273"/>
      <c r="C881" s="272"/>
      <c r="D881" s="274"/>
      <c r="E881" s="275"/>
    </row>
    <row r="882">
      <c r="A882" s="272"/>
      <c r="B882" s="273"/>
      <c r="C882" s="272"/>
      <c r="D882" s="274"/>
      <c r="E882" s="275"/>
    </row>
    <row r="883">
      <c r="A883" s="272"/>
      <c r="B883" s="273"/>
      <c r="C883" s="272"/>
      <c r="D883" s="274"/>
      <c r="E883" s="275"/>
    </row>
    <row r="884">
      <c r="A884" s="272"/>
      <c r="B884" s="273"/>
      <c r="C884" s="272"/>
      <c r="D884" s="274"/>
      <c r="E884" s="275"/>
    </row>
    <row r="885">
      <c r="A885" s="272"/>
      <c r="B885" s="273"/>
      <c r="C885" s="272"/>
      <c r="D885" s="274"/>
      <c r="E885" s="275"/>
    </row>
    <row r="886">
      <c r="A886" s="272"/>
      <c r="B886" s="273"/>
      <c r="C886" s="272"/>
      <c r="D886" s="274"/>
      <c r="E886" s="275"/>
    </row>
    <row r="887">
      <c r="B887" s="275"/>
      <c r="D887" s="274"/>
      <c r="E887" s="275"/>
    </row>
    <row r="888">
      <c r="B888" s="275"/>
      <c r="D888" s="274"/>
      <c r="E888" s="275"/>
    </row>
    <row r="889">
      <c r="B889" s="275"/>
      <c r="D889" s="274"/>
      <c r="E889" s="275"/>
    </row>
    <row r="890">
      <c r="B890" s="275"/>
      <c r="D890" s="274"/>
      <c r="E890" s="275"/>
    </row>
    <row r="891">
      <c r="B891" s="275"/>
      <c r="D891" s="274"/>
      <c r="E891" s="275"/>
    </row>
    <row r="892">
      <c r="B892" s="275"/>
      <c r="D892" s="274"/>
      <c r="E892" s="275"/>
    </row>
    <row r="893">
      <c r="B893" s="275"/>
      <c r="D893" s="274"/>
      <c r="E893" s="275"/>
    </row>
    <row r="894">
      <c r="B894" s="275"/>
      <c r="D894" s="274"/>
      <c r="E894" s="275"/>
    </row>
    <row r="895">
      <c r="B895" s="275"/>
      <c r="D895" s="274"/>
      <c r="E895" s="275"/>
    </row>
    <row r="896">
      <c r="B896" s="275"/>
      <c r="D896" s="274"/>
      <c r="E896" s="275"/>
    </row>
    <row r="897">
      <c r="B897" s="275"/>
      <c r="D897" s="274"/>
      <c r="E897" s="275"/>
    </row>
    <row r="898">
      <c r="B898" s="275"/>
      <c r="D898" s="274"/>
      <c r="E898" s="275"/>
    </row>
    <row r="899">
      <c r="B899" s="275"/>
      <c r="D899" s="274"/>
      <c r="E899" s="275"/>
    </row>
    <row r="900">
      <c r="B900" s="275"/>
      <c r="D900" s="274"/>
      <c r="E900" s="275"/>
    </row>
    <row r="901">
      <c r="B901" s="275"/>
      <c r="D901" s="274"/>
      <c r="E901" s="275"/>
    </row>
    <row r="902">
      <c r="B902" s="275"/>
      <c r="D902" s="274"/>
      <c r="E902" s="275"/>
    </row>
    <row r="903">
      <c r="B903" s="275"/>
      <c r="D903" s="274"/>
      <c r="E903" s="275"/>
    </row>
  </sheetData>
  <mergeCells count="7">
    <mergeCell ref="A1:F1"/>
    <mergeCell ref="A2:A3"/>
    <mergeCell ref="B2:B3"/>
    <mergeCell ref="C2:C3"/>
    <mergeCell ref="D2:D3"/>
    <mergeCell ref="E2:F2"/>
    <mergeCell ref="A162:C162"/>
  </mergeCells>
  <dataValidations>
    <dataValidation type="list" allowBlank="1" sqref="H4:H160">
      <formula1>"CHECKED (OK),CHECKED  (NOT OK)"</formula1>
    </dataValidation>
  </dataValidations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75"/>
    <col customWidth="1" min="3" max="3" width="26.75"/>
    <col customWidth="1" min="4" max="4" width="51.13"/>
    <col customWidth="1" min="7" max="7" width="3.5"/>
    <col customWidth="1" min="8" max="8" width="18.63"/>
    <col customWidth="1" min="9" max="9" width="21.63"/>
  </cols>
  <sheetData>
    <row r="1" ht="39.0" customHeight="1">
      <c r="A1" s="30" t="s">
        <v>1352</v>
      </c>
      <c r="G1" s="31"/>
      <c r="H1" s="32" t="s">
        <v>1353</v>
      </c>
      <c r="I1" s="33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ht="29.25" customHeight="1">
      <c r="A2" s="34" t="s">
        <v>1</v>
      </c>
      <c r="B2" s="277" t="s">
        <v>11</v>
      </c>
      <c r="C2" s="35" t="s">
        <v>12</v>
      </c>
      <c r="D2" s="278" t="s">
        <v>13</v>
      </c>
      <c r="E2" s="279" t="s">
        <v>14</v>
      </c>
      <c r="F2" s="38"/>
      <c r="G2" s="39"/>
      <c r="H2" s="40"/>
      <c r="I2" s="40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ht="33.0" customHeight="1">
      <c r="A3" s="41"/>
      <c r="B3" s="38"/>
      <c r="C3" s="38"/>
      <c r="D3" s="38"/>
      <c r="E3" s="280" t="s">
        <v>15</v>
      </c>
      <c r="F3" s="43" t="s">
        <v>5</v>
      </c>
      <c r="G3" s="39"/>
      <c r="H3" s="44" t="s">
        <v>6</v>
      </c>
      <c r="I3" s="45" t="s">
        <v>7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25.5" customHeight="1">
      <c r="A4" s="46">
        <v>1.0</v>
      </c>
      <c r="B4" s="47">
        <v>1011318.0</v>
      </c>
      <c r="C4" s="48" t="str">
        <f>vlookup(B4,'Crew Data'!C:G,5,0)</f>
        <v>Rudeemas Thiangthat</v>
      </c>
      <c r="D4" s="267" t="s">
        <v>1354</v>
      </c>
      <c r="E4" s="47">
        <v>2.0</v>
      </c>
      <c r="F4" s="50">
        <f t="shared" ref="F4:F137" si="1">E4*400</f>
        <v>800</v>
      </c>
      <c r="G4" s="22">
        <f t="shared" ref="G4:G137" si="2">COUNTIF(B:B,B4)</f>
        <v>1</v>
      </c>
      <c r="H4" s="51" t="s">
        <v>20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ht="25.5" customHeight="1">
      <c r="A5" s="54">
        <v>2.0</v>
      </c>
      <c r="B5" s="47">
        <v>1011806.0</v>
      </c>
      <c r="C5" s="48" t="str">
        <f>vlookup(B5,'Crew Data'!C:G,5,0)</f>
        <v>Chonthicha Chanpanitkitchot</v>
      </c>
      <c r="D5" s="267" t="s">
        <v>1354</v>
      </c>
      <c r="E5" s="47">
        <v>2.0</v>
      </c>
      <c r="F5" s="50">
        <f t="shared" si="1"/>
        <v>800</v>
      </c>
      <c r="G5" s="22">
        <f t="shared" si="2"/>
        <v>1</v>
      </c>
      <c r="H5" s="51" t="s">
        <v>20</v>
      </c>
    </row>
    <row r="6" ht="25.5" customHeight="1">
      <c r="A6" s="46">
        <v>3.0</v>
      </c>
      <c r="B6" s="47">
        <v>1000732.0</v>
      </c>
      <c r="C6" s="48" t="str">
        <f>vlookup(B6,'Crew Data'!C:G,5,0)</f>
        <v>Inthra Mathiang</v>
      </c>
      <c r="D6" s="267" t="s">
        <v>1355</v>
      </c>
      <c r="E6" s="47">
        <v>27.0</v>
      </c>
      <c r="F6" s="50">
        <f t="shared" si="1"/>
        <v>10800</v>
      </c>
      <c r="G6" s="22">
        <f t="shared" si="2"/>
        <v>1</v>
      </c>
      <c r="H6" s="51" t="s">
        <v>20</v>
      </c>
    </row>
    <row r="7" ht="25.5" customHeight="1">
      <c r="A7" s="54">
        <v>4.0</v>
      </c>
      <c r="B7" s="47">
        <v>1007153.0</v>
      </c>
      <c r="C7" s="48" t="str">
        <f>vlookup(B7,'Crew Data'!C:G,5,0)</f>
        <v>Pannathat Chuchuaisuwan</v>
      </c>
      <c r="D7" s="267" t="s">
        <v>1356</v>
      </c>
      <c r="E7" s="47">
        <v>2.0</v>
      </c>
      <c r="F7" s="50">
        <f t="shared" si="1"/>
        <v>800</v>
      </c>
      <c r="G7" s="22">
        <f t="shared" si="2"/>
        <v>1</v>
      </c>
      <c r="H7" s="51" t="s">
        <v>20</v>
      </c>
    </row>
    <row r="8" ht="25.5" customHeight="1">
      <c r="A8" s="46">
        <v>5.0</v>
      </c>
      <c r="B8" s="47">
        <v>1017642.0</v>
      </c>
      <c r="C8" s="48" t="str">
        <f>vlookup(B8,'Crew Data'!C:G,5,0)</f>
        <v>#N/A</v>
      </c>
      <c r="D8" s="267" t="s">
        <v>1356</v>
      </c>
      <c r="E8" s="47">
        <v>2.0</v>
      </c>
      <c r="F8" s="50">
        <f t="shared" si="1"/>
        <v>800</v>
      </c>
      <c r="G8" s="22">
        <f t="shared" si="2"/>
        <v>1</v>
      </c>
      <c r="H8" s="51" t="s">
        <v>20</v>
      </c>
    </row>
    <row r="9" ht="25.5" customHeight="1">
      <c r="A9" s="54">
        <v>6.0</v>
      </c>
      <c r="B9" s="47">
        <v>1011516.0</v>
      </c>
      <c r="C9" s="48" t="str">
        <f>vlookup(B9,'Crew Data'!C:G,5,0)</f>
        <v>Thitipol Soontorn-Anantakul</v>
      </c>
      <c r="D9" s="267" t="s">
        <v>1354</v>
      </c>
      <c r="E9" s="47">
        <v>2.0</v>
      </c>
      <c r="F9" s="50">
        <f t="shared" si="1"/>
        <v>800</v>
      </c>
      <c r="G9" s="22">
        <f t="shared" si="2"/>
        <v>1</v>
      </c>
      <c r="H9" s="51" t="s">
        <v>20</v>
      </c>
    </row>
    <row r="10" ht="25.5" customHeight="1">
      <c r="A10" s="46">
        <v>7.0</v>
      </c>
      <c r="B10" s="47">
        <v>1002264.0</v>
      </c>
      <c r="C10" s="48" t="str">
        <f>vlookup(B10,'Crew Data'!C:G,5,0)</f>
        <v>Anooradee Wilairot</v>
      </c>
      <c r="D10" s="267" t="s">
        <v>1357</v>
      </c>
      <c r="E10" s="47">
        <v>4.0</v>
      </c>
      <c r="F10" s="50">
        <f t="shared" si="1"/>
        <v>1600</v>
      </c>
      <c r="G10" s="22">
        <f t="shared" si="2"/>
        <v>1</v>
      </c>
      <c r="H10" s="51" t="s">
        <v>20</v>
      </c>
    </row>
    <row r="11" ht="25.5" customHeight="1">
      <c r="A11" s="54">
        <v>8.0</v>
      </c>
      <c r="B11" s="47">
        <v>1011082.0</v>
      </c>
      <c r="C11" s="48" t="str">
        <f>vlookup(B11,'Crew Data'!C:G,5,0)</f>
        <v>Tida Pheechapand</v>
      </c>
      <c r="D11" s="267" t="s">
        <v>1358</v>
      </c>
      <c r="E11" s="47">
        <v>4.0</v>
      </c>
      <c r="F11" s="50">
        <f t="shared" si="1"/>
        <v>1600</v>
      </c>
      <c r="G11" s="22">
        <f t="shared" si="2"/>
        <v>1</v>
      </c>
      <c r="H11" s="51" t="s">
        <v>20</v>
      </c>
    </row>
    <row r="12" ht="25.5" customHeight="1">
      <c r="A12" s="46">
        <v>9.0</v>
      </c>
      <c r="B12" s="47">
        <v>1001392.0</v>
      </c>
      <c r="C12" s="48" t="str">
        <f>vlookup(B12,'Crew Data'!C:G,5,0)</f>
        <v>Hataitip Chaichana</v>
      </c>
      <c r="D12" s="267" t="s">
        <v>1356</v>
      </c>
      <c r="E12" s="47">
        <v>2.0</v>
      </c>
      <c r="F12" s="50">
        <f t="shared" si="1"/>
        <v>800</v>
      </c>
      <c r="G12" s="22">
        <f t="shared" si="2"/>
        <v>1</v>
      </c>
      <c r="H12" s="51" t="s">
        <v>20</v>
      </c>
    </row>
    <row r="13" ht="25.5" customHeight="1">
      <c r="A13" s="54">
        <v>10.0</v>
      </c>
      <c r="B13" s="47">
        <v>1004292.0</v>
      </c>
      <c r="C13" s="48" t="str">
        <f>vlookup(B13,'Crew Data'!C:G,5,0)</f>
        <v>Darunee Anumat</v>
      </c>
      <c r="D13" s="267" t="s">
        <v>1359</v>
      </c>
      <c r="E13" s="47">
        <v>2.0</v>
      </c>
      <c r="F13" s="50">
        <f t="shared" si="1"/>
        <v>800</v>
      </c>
      <c r="G13" s="22">
        <f t="shared" si="2"/>
        <v>1</v>
      </c>
      <c r="H13" s="51" t="s">
        <v>20</v>
      </c>
    </row>
    <row r="14" ht="25.5" customHeight="1">
      <c r="A14" s="46">
        <v>11.0</v>
      </c>
      <c r="B14" s="47">
        <v>1001614.0</v>
      </c>
      <c r="C14" s="48" t="str">
        <f>vlookup(B14,'Crew Data'!C:G,5,0)</f>
        <v>Sanlaya Kanrarat</v>
      </c>
      <c r="D14" s="267" t="s">
        <v>1360</v>
      </c>
      <c r="E14" s="47">
        <v>2.0</v>
      </c>
      <c r="F14" s="50">
        <f t="shared" si="1"/>
        <v>800</v>
      </c>
      <c r="G14" s="22">
        <f t="shared" si="2"/>
        <v>1</v>
      </c>
      <c r="H14" s="51" t="s">
        <v>20</v>
      </c>
    </row>
    <row r="15" ht="25.5" customHeight="1">
      <c r="A15" s="46">
        <v>12.0</v>
      </c>
      <c r="B15" s="47">
        <v>1011314.0</v>
      </c>
      <c r="C15" s="48" t="str">
        <f>vlookup(B15,'Crew Data'!C:G,5,0)</f>
        <v>Pichayapich Nimphya</v>
      </c>
      <c r="D15" s="267" t="s">
        <v>1356</v>
      </c>
      <c r="E15" s="47">
        <v>2.0</v>
      </c>
      <c r="F15" s="50">
        <f t="shared" si="1"/>
        <v>800</v>
      </c>
      <c r="G15" s="22">
        <f t="shared" si="2"/>
        <v>1</v>
      </c>
      <c r="H15" s="51" t="s">
        <v>20</v>
      </c>
    </row>
    <row r="16" ht="25.5" customHeight="1">
      <c r="A16" s="46">
        <v>13.0</v>
      </c>
      <c r="B16" s="47">
        <v>1017643.0</v>
      </c>
      <c r="C16" s="48" t="str">
        <f>vlookup(B16,'Crew Data'!C:G,5,0)</f>
        <v>#N/A</v>
      </c>
      <c r="D16" s="269" t="s">
        <v>1356</v>
      </c>
      <c r="E16" s="47">
        <v>2.0</v>
      </c>
      <c r="F16" s="50">
        <f t="shared" si="1"/>
        <v>800</v>
      </c>
      <c r="G16" s="22">
        <f t="shared" si="2"/>
        <v>1</v>
      </c>
      <c r="H16" s="51" t="s">
        <v>20</v>
      </c>
    </row>
    <row r="17" ht="25.5" customHeight="1">
      <c r="A17" s="54">
        <v>14.0</v>
      </c>
      <c r="B17" s="47">
        <v>1006747.0</v>
      </c>
      <c r="C17" s="48" t="str">
        <f>vlookup(B17,'Crew Data'!C:G,5,0)</f>
        <v>Phichayanat Duangprasanchai</v>
      </c>
      <c r="D17" s="267" t="s">
        <v>1361</v>
      </c>
      <c r="E17" s="47">
        <v>2.0</v>
      </c>
      <c r="F17" s="50">
        <f t="shared" si="1"/>
        <v>800</v>
      </c>
      <c r="G17" s="22">
        <f t="shared" si="2"/>
        <v>1</v>
      </c>
      <c r="H17" s="51" t="s">
        <v>20</v>
      </c>
    </row>
    <row r="18" ht="25.5" customHeight="1">
      <c r="A18" s="46">
        <v>15.0</v>
      </c>
      <c r="B18" s="47">
        <v>1003373.0</v>
      </c>
      <c r="C18" s="48" t="str">
        <f>vlookup(B18,'Crew Data'!C:G,5,0)</f>
        <v>Sarawut Rakdee</v>
      </c>
      <c r="D18" s="267" t="s">
        <v>1362</v>
      </c>
      <c r="E18" s="47">
        <v>4.0</v>
      </c>
      <c r="F18" s="50">
        <f t="shared" si="1"/>
        <v>1600</v>
      </c>
      <c r="G18" s="22">
        <f t="shared" si="2"/>
        <v>1</v>
      </c>
      <c r="H18" s="51" t="s">
        <v>20</v>
      </c>
    </row>
    <row r="19" ht="25.5" customHeight="1">
      <c r="A19" s="46">
        <v>16.0</v>
      </c>
      <c r="B19" s="47">
        <v>1017638.0</v>
      </c>
      <c r="C19" s="48" t="str">
        <f>vlookup(B19,'Crew Data'!C:G,5,0)</f>
        <v>#N/A</v>
      </c>
      <c r="D19" s="267" t="s">
        <v>1363</v>
      </c>
      <c r="E19" s="47">
        <v>4.0</v>
      </c>
      <c r="F19" s="50">
        <f t="shared" si="1"/>
        <v>1600</v>
      </c>
      <c r="G19" s="22">
        <f t="shared" si="2"/>
        <v>1</v>
      </c>
      <c r="H19" s="51" t="s">
        <v>20</v>
      </c>
    </row>
    <row r="20" ht="25.5" customHeight="1">
      <c r="A20" s="46">
        <v>17.0</v>
      </c>
      <c r="B20" s="47">
        <v>1025323.0</v>
      </c>
      <c r="C20" s="48" t="str">
        <f>vlookup(B20,'Crew Data'!C:G,5,0)</f>
        <v>Jariya Tangmahamek</v>
      </c>
      <c r="D20" s="267" t="s">
        <v>1363</v>
      </c>
      <c r="E20" s="47">
        <v>4.0</v>
      </c>
      <c r="F20" s="50">
        <f t="shared" si="1"/>
        <v>1600</v>
      </c>
      <c r="G20" s="22">
        <f t="shared" si="2"/>
        <v>1</v>
      </c>
      <c r="H20" s="51" t="s">
        <v>20</v>
      </c>
    </row>
    <row r="21" ht="25.5" customHeight="1">
      <c r="A21" s="54">
        <v>18.0</v>
      </c>
      <c r="B21" s="47">
        <v>1009510.0</v>
      </c>
      <c r="C21" s="48" t="str">
        <f>vlookup(B21,'Crew Data'!C:G,5,0)</f>
        <v>Kitti Mangkalad</v>
      </c>
      <c r="D21" s="267" t="s">
        <v>1364</v>
      </c>
      <c r="E21" s="47">
        <v>2.0</v>
      </c>
      <c r="F21" s="50">
        <f t="shared" si="1"/>
        <v>800</v>
      </c>
      <c r="G21" s="22">
        <f t="shared" si="2"/>
        <v>1</v>
      </c>
      <c r="H21" s="51" t="s">
        <v>20</v>
      </c>
    </row>
    <row r="22" ht="25.5" customHeight="1">
      <c r="A22" s="46">
        <v>19.0</v>
      </c>
      <c r="B22" s="47">
        <v>1005301.0</v>
      </c>
      <c r="C22" s="48" t="str">
        <f>vlookup(B22,'Crew Data'!C:G,5,0)</f>
        <v>Pimpaporn Sittitanggoon</v>
      </c>
      <c r="D22" s="267" t="s">
        <v>1365</v>
      </c>
      <c r="E22" s="47">
        <v>2.0</v>
      </c>
      <c r="F22" s="50">
        <f t="shared" si="1"/>
        <v>800</v>
      </c>
      <c r="G22" s="22">
        <f t="shared" si="2"/>
        <v>1</v>
      </c>
      <c r="H22" s="51" t="s">
        <v>20</v>
      </c>
    </row>
    <row r="23" ht="25.5" customHeight="1">
      <c r="A23" s="46">
        <v>20.0</v>
      </c>
      <c r="B23" s="47">
        <v>1010932.0</v>
      </c>
      <c r="C23" s="48" t="str">
        <f>vlookup(B23,'Crew Data'!C:G,5,0)</f>
        <v>Wanunyapat Wongvichien</v>
      </c>
      <c r="D23" s="267" t="s">
        <v>1366</v>
      </c>
      <c r="E23" s="47">
        <v>4.0</v>
      </c>
      <c r="F23" s="50">
        <f t="shared" si="1"/>
        <v>1600</v>
      </c>
      <c r="G23" s="22">
        <f t="shared" si="2"/>
        <v>1</v>
      </c>
      <c r="H23" s="51" t="s">
        <v>20</v>
      </c>
    </row>
    <row r="24" ht="25.5" customHeight="1">
      <c r="A24" s="46">
        <v>21.0</v>
      </c>
      <c r="B24" s="47">
        <v>1005280.0</v>
      </c>
      <c r="C24" s="48" t="str">
        <f>vlookup(B24,'Crew Data'!C:G,5,0)</f>
        <v>Napaporn Termthanaporn</v>
      </c>
      <c r="D24" s="267" t="s">
        <v>1367</v>
      </c>
      <c r="E24" s="47">
        <v>4.0</v>
      </c>
      <c r="F24" s="50">
        <f t="shared" si="1"/>
        <v>1600</v>
      </c>
      <c r="G24" s="22">
        <f t="shared" si="2"/>
        <v>1</v>
      </c>
      <c r="H24" s="51" t="s">
        <v>20</v>
      </c>
    </row>
    <row r="25" ht="25.5" customHeight="1">
      <c r="A25" s="46">
        <v>22.0</v>
      </c>
      <c r="B25" s="47">
        <v>1012362.0</v>
      </c>
      <c r="C25" s="48" t="str">
        <f>vlookup(B25,'Crew Data'!C:G,5,0)</f>
        <v>Patcharagorn Chankhong</v>
      </c>
      <c r="D25" s="267" t="s">
        <v>1368</v>
      </c>
      <c r="E25" s="47">
        <v>4.0</v>
      </c>
      <c r="F25" s="50">
        <f t="shared" si="1"/>
        <v>1600</v>
      </c>
      <c r="G25" s="22">
        <f t="shared" si="2"/>
        <v>1</v>
      </c>
      <c r="H25" s="51" t="s">
        <v>20</v>
      </c>
    </row>
    <row r="26" ht="25.5" customHeight="1">
      <c r="A26" s="46">
        <v>23.0</v>
      </c>
      <c r="B26" s="47">
        <v>1025311.0</v>
      </c>
      <c r="C26" s="48" t="str">
        <f>vlookup(B26,'Crew Data'!C:G,5,0)</f>
        <v>#N/A</v>
      </c>
      <c r="D26" s="267" t="s">
        <v>1368</v>
      </c>
      <c r="E26" s="47">
        <v>4.0</v>
      </c>
      <c r="F26" s="50">
        <f t="shared" si="1"/>
        <v>1600</v>
      </c>
      <c r="G26" s="22">
        <f t="shared" si="2"/>
        <v>1</v>
      </c>
      <c r="H26" s="51" t="s">
        <v>20</v>
      </c>
    </row>
    <row r="27" ht="25.5" customHeight="1">
      <c r="A27" s="54">
        <v>24.0</v>
      </c>
      <c r="B27" s="47">
        <v>1007035.0</v>
      </c>
      <c r="C27" s="48" t="str">
        <f>vlookup(B27,'Crew Data'!C:G,5,0)</f>
        <v>Sitthikorn Janchalaem</v>
      </c>
      <c r="D27" s="267" t="s">
        <v>1369</v>
      </c>
      <c r="E27" s="47">
        <v>2.0</v>
      </c>
      <c r="F27" s="50">
        <f t="shared" si="1"/>
        <v>800</v>
      </c>
      <c r="G27" s="22">
        <f t="shared" si="2"/>
        <v>1</v>
      </c>
      <c r="H27" s="51" t="s">
        <v>20</v>
      </c>
    </row>
    <row r="28" ht="25.5" customHeight="1">
      <c r="A28" s="46">
        <v>25.0</v>
      </c>
      <c r="B28" s="47">
        <v>1004860.0</v>
      </c>
      <c r="C28" s="48" t="str">
        <f>vlookup(B28,'Crew Data'!C:G,5,0)</f>
        <v>#N/A</v>
      </c>
      <c r="D28" s="267" t="s">
        <v>1370</v>
      </c>
      <c r="E28" s="47">
        <v>6.0</v>
      </c>
      <c r="F28" s="50">
        <f t="shared" si="1"/>
        <v>2400</v>
      </c>
      <c r="G28" s="22">
        <f t="shared" si="2"/>
        <v>1</v>
      </c>
      <c r="H28" s="51" t="s">
        <v>20</v>
      </c>
    </row>
    <row r="29" ht="25.5" customHeight="1">
      <c r="A29" s="46">
        <v>26.0</v>
      </c>
      <c r="B29" s="47">
        <v>1012166.0</v>
      </c>
      <c r="C29" s="48" t="str">
        <f>vlookup(B29,'Crew Data'!C:G,5,0)</f>
        <v>Monthira Modesanga</v>
      </c>
      <c r="D29" s="267" t="s">
        <v>1307</v>
      </c>
      <c r="E29" s="47">
        <v>2.0</v>
      </c>
      <c r="F29" s="50">
        <f t="shared" si="1"/>
        <v>800</v>
      </c>
      <c r="G29" s="22">
        <f t="shared" si="2"/>
        <v>1</v>
      </c>
      <c r="H29" s="51" t="s">
        <v>20</v>
      </c>
    </row>
    <row r="30" ht="25.5" customHeight="1">
      <c r="A30" s="46">
        <v>27.0</v>
      </c>
      <c r="B30" s="47">
        <v>1010919.0</v>
      </c>
      <c r="C30" s="48" t="str">
        <f>vlookup(B30,'Crew Data'!C:G,5,0)</f>
        <v>Suntorn Srimasongserm</v>
      </c>
      <c r="D30" s="267" t="s">
        <v>1371</v>
      </c>
      <c r="E30" s="47">
        <v>5.0</v>
      </c>
      <c r="F30" s="50">
        <f t="shared" si="1"/>
        <v>2000</v>
      </c>
      <c r="G30" s="22">
        <f t="shared" si="2"/>
        <v>1</v>
      </c>
      <c r="H30" s="51" t="s">
        <v>20</v>
      </c>
    </row>
    <row r="31" ht="25.5" customHeight="1">
      <c r="A31" s="46">
        <v>28.0</v>
      </c>
      <c r="B31" s="47">
        <v>1014672.0</v>
      </c>
      <c r="C31" s="48" t="str">
        <f>vlookup(B31,'Crew Data'!C:G,5,0)</f>
        <v>Parinya Khumruk</v>
      </c>
      <c r="D31" s="267" t="s">
        <v>1357</v>
      </c>
      <c r="E31" s="47">
        <v>4.0</v>
      </c>
      <c r="F31" s="50">
        <f t="shared" si="1"/>
        <v>1600</v>
      </c>
      <c r="G31" s="22">
        <f t="shared" si="2"/>
        <v>1</v>
      </c>
      <c r="H31" s="51" t="s">
        <v>20</v>
      </c>
    </row>
    <row r="32" ht="25.5" customHeight="1">
      <c r="A32" s="46">
        <v>29.0</v>
      </c>
      <c r="B32" s="47">
        <v>1014683.0</v>
      </c>
      <c r="C32" s="48" t="str">
        <f>vlookup(B32,'Crew Data'!C:G,5,0)</f>
        <v>Trin Supredanuwat</v>
      </c>
      <c r="D32" s="267" t="s">
        <v>1372</v>
      </c>
      <c r="E32" s="47">
        <v>11.0</v>
      </c>
      <c r="F32" s="50">
        <f t="shared" si="1"/>
        <v>4400</v>
      </c>
      <c r="G32" s="22">
        <f t="shared" si="2"/>
        <v>1</v>
      </c>
      <c r="H32" s="51" t="s">
        <v>20</v>
      </c>
    </row>
    <row r="33" ht="25.5" customHeight="1">
      <c r="A33" s="46">
        <v>30.0</v>
      </c>
      <c r="B33" s="47">
        <v>1013190.0</v>
      </c>
      <c r="C33" s="48" t="str">
        <f>vlookup(B33,'Crew Data'!C:G,5,0)</f>
        <v>Thamonwan Chokumpornpan</v>
      </c>
      <c r="D33" s="267" t="s">
        <v>1373</v>
      </c>
      <c r="E33" s="47">
        <v>6.0</v>
      </c>
      <c r="F33" s="50">
        <f t="shared" si="1"/>
        <v>2400</v>
      </c>
      <c r="G33" s="22">
        <f t="shared" si="2"/>
        <v>1</v>
      </c>
      <c r="H33" s="51" t="s">
        <v>20</v>
      </c>
    </row>
    <row r="34" ht="25.5" customHeight="1">
      <c r="A34" s="46">
        <v>31.0</v>
      </c>
      <c r="B34" s="47">
        <v>1009306.0</v>
      </c>
      <c r="C34" s="48" t="str">
        <f>vlookup(B34,'Crew Data'!C:G,5,0)</f>
        <v>Noppawan Yoosamran</v>
      </c>
      <c r="D34" s="267" t="s">
        <v>1364</v>
      </c>
      <c r="E34" s="47">
        <v>2.0</v>
      </c>
      <c r="F34" s="50">
        <f t="shared" si="1"/>
        <v>800</v>
      </c>
      <c r="G34" s="22">
        <f t="shared" si="2"/>
        <v>1</v>
      </c>
      <c r="H34" s="51" t="s">
        <v>20</v>
      </c>
    </row>
    <row r="35" ht="25.5" customHeight="1">
      <c r="A35" s="54">
        <v>32.0</v>
      </c>
      <c r="B35" s="47">
        <v>1006987.0</v>
      </c>
      <c r="C35" s="48" t="str">
        <f>vlookup(B35,'Crew Data'!C:G,5,0)</f>
        <v>Ailada Arjsiri</v>
      </c>
      <c r="D35" s="267" t="s">
        <v>1362</v>
      </c>
      <c r="E35" s="47">
        <v>4.0</v>
      </c>
      <c r="F35" s="50">
        <f t="shared" si="1"/>
        <v>1600</v>
      </c>
      <c r="G35" s="22">
        <f t="shared" si="2"/>
        <v>1</v>
      </c>
      <c r="H35" s="51" t="s">
        <v>20</v>
      </c>
    </row>
    <row r="36" ht="25.5" customHeight="1">
      <c r="A36" s="46">
        <v>33.0</v>
      </c>
      <c r="B36" s="47">
        <v>1017645.0</v>
      </c>
      <c r="C36" s="48" t="str">
        <f>vlookup(B36,'Crew Data'!C:G,5,0)</f>
        <v>Nattida Palasak</v>
      </c>
      <c r="D36" s="267" t="s">
        <v>1363</v>
      </c>
      <c r="E36" s="47">
        <v>4.0</v>
      </c>
      <c r="F36" s="50">
        <f t="shared" si="1"/>
        <v>1600</v>
      </c>
      <c r="G36" s="22">
        <f t="shared" si="2"/>
        <v>1</v>
      </c>
      <c r="H36" s="51" t="s">
        <v>20</v>
      </c>
    </row>
    <row r="37" ht="25.5" customHeight="1">
      <c r="A37" s="46">
        <v>34.0</v>
      </c>
      <c r="B37" s="47">
        <v>1015395.0</v>
      </c>
      <c r="C37" s="48" t="str">
        <f>vlookup(B37,'Crew Data'!C:G,5,0)</f>
        <v>#N/A</v>
      </c>
      <c r="D37" s="267" t="s">
        <v>1359</v>
      </c>
      <c r="E37" s="47">
        <v>2.0</v>
      </c>
      <c r="F37" s="50">
        <f t="shared" si="1"/>
        <v>800</v>
      </c>
      <c r="G37" s="22">
        <f t="shared" si="2"/>
        <v>1</v>
      </c>
      <c r="H37" s="51" t="s">
        <v>20</v>
      </c>
    </row>
    <row r="38" ht="25.5" customHeight="1">
      <c r="A38" s="46">
        <v>35.0</v>
      </c>
      <c r="B38" s="47">
        <v>1004569.0</v>
      </c>
      <c r="C38" s="48" t="str">
        <f>vlookup(B38,'Crew Data'!C:G,5,0)</f>
        <v>Chutikul Khruakham</v>
      </c>
      <c r="D38" s="267" t="s">
        <v>1371</v>
      </c>
      <c r="E38" s="47">
        <v>5.0</v>
      </c>
      <c r="F38" s="50">
        <f t="shared" si="1"/>
        <v>2000</v>
      </c>
      <c r="G38" s="22">
        <f t="shared" si="2"/>
        <v>1</v>
      </c>
      <c r="H38" s="51" t="s">
        <v>20</v>
      </c>
    </row>
    <row r="39" ht="25.5" customHeight="1">
      <c r="A39" s="46">
        <v>36.0</v>
      </c>
      <c r="B39" s="47">
        <v>1007343.0</v>
      </c>
      <c r="C39" s="48" t="str">
        <f>vlookup(B39,'Crew Data'!C:G,5,0)</f>
        <v>#N/A</v>
      </c>
      <c r="D39" s="267" t="s">
        <v>1371</v>
      </c>
      <c r="E39" s="47">
        <v>5.0</v>
      </c>
      <c r="F39" s="50">
        <f t="shared" si="1"/>
        <v>2000</v>
      </c>
      <c r="G39" s="22">
        <f t="shared" si="2"/>
        <v>1</v>
      </c>
      <c r="H39" s="51" t="s">
        <v>20</v>
      </c>
    </row>
    <row r="40" ht="25.5" customHeight="1">
      <c r="A40" s="46">
        <v>37.0</v>
      </c>
      <c r="B40" s="47">
        <v>1010926.0</v>
      </c>
      <c r="C40" s="48" t="str">
        <f>vlookup(B40,'Crew Data'!C:G,5,0)</f>
        <v>Thanchanoth Chiwnarupai</v>
      </c>
      <c r="D40" s="267" t="s">
        <v>1310</v>
      </c>
      <c r="E40" s="47">
        <v>2.0</v>
      </c>
      <c r="F40" s="50">
        <f t="shared" si="1"/>
        <v>800</v>
      </c>
      <c r="G40" s="22">
        <f t="shared" si="2"/>
        <v>1</v>
      </c>
      <c r="H40" s="51" t="s">
        <v>20</v>
      </c>
    </row>
    <row r="41" ht="25.5" customHeight="1">
      <c r="A41" s="46">
        <v>38.0</v>
      </c>
      <c r="B41" s="47">
        <v>1009011.0</v>
      </c>
      <c r="C41" s="48" t="str">
        <f>vlookup(B41,'Crew Data'!C:G,5,0)</f>
        <v>Weerayos Rungudomsinsakul</v>
      </c>
      <c r="D41" s="267" t="s">
        <v>1374</v>
      </c>
      <c r="E41" s="47">
        <v>2.0</v>
      </c>
      <c r="F41" s="50">
        <f t="shared" si="1"/>
        <v>800</v>
      </c>
      <c r="G41" s="22">
        <f t="shared" si="2"/>
        <v>1</v>
      </c>
      <c r="H41" s="51" t="s">
        <v>20</v>
      </c>
    </row>
    <row r="42" ht="25.5" customHeight="1">
      <c r="A42" s="46">
        <v>39.0</v>
      </c>
      <c r="B42" s="47">
        <v>1005440.0</v>
      </c>
      <c r="C42" s="48" t="str">
        <f>vlookup(B42,'Crew Data'!C:G,5,0)</f>
        <v>Parinda Vidhecharoengul</v>
      </c>
      <c r="D42" s="267" t="s">
        <v>1361</v>
      </c>
      <c r="E42" s="47">
        <v>2.0</v>
      </c>
      <c r="F42" s="50">
        <f t="shared" si="1"/>
        <v>800</v>
      </c>
      <c r="G42" s="22">
        <f t="shared" si="2"/>
        <v>1</v>
      </c>
      <c r="H42" s="51" t="s">
        <v>20</v>
      </c>
    </row>
    <row r="43" ht="25.5" customHeight="1">
      <c r="A43" s="54">
        <v>40.0</v>
      </c>
      <c r="B43" s="47">
        <v>1007157.0</v>
      </c>
      <c r="C43" s="48" t="str">
        <f>vlookup(B43,'Crew Data'!C:G,5,0)</f>
        <v>Pichanun Seneetantikul</v>
      </c>
      <c r="D43" s="267" t="s">
        <v>1375</v>
      </c>
      <c r="E43" s="47">
        <v>4.0</v>
      </c>
      <c r="F43" s="50">
        <f t="shared" si="1"/>
        <v>1600</v>
      </c>
      <c r="G43" s="22">
        <f t="shared" si="2"/>
        <v>1</v>
      </c>
      <c r="H43" s="51" t="s">
        <v>20</v>
      </c>
    </row>
    <row r="44" ht="25.5" customHeight="1">
      <c r="A44" s="46">
        <v>41.0</v>
      </c>
      <c r="B44" s="47">
        <v>1002348.0</v>
      </c>
      <c r="C44" s="48" t="str">
        <f>vlookup(B44,'Crew Data'!C:G,5,0)</f>
        <v>Warisa Ployruengrussamee</v>
      </c>
      <c r="D44" s="267" t="s">
        <v>1362</v>
      </c>
      <c r="E44" s="47">
        <v>4.0</v>
      </c>
      <c r="F44" s="50">
        <f t="shared" si="1"/>
        <v>1600</v>
      </c>
      <c r="G44" s="22">
        <f t="shared" si="2"/>
        <v>1</v>
      </c>
      <c r="H44" s="51" t="s">
        <v>20</v>
      </c>
    </row>
    <row r="45" ht="25.5" customHeight="1">
      <c r="A45" s="46">
        <v>42.0</v>
      </c>
      <c r="B45" s="47">
        <v>1004757.0</v>
      </c>
      <c r="C45" s="48" t="str">
        <f>vlookup(B45,'Crew Data'!C:G,5,0)</f>
        <v>Pimwaree Makmee</v>
      </c>
      <c r="D45" s="267" t="s">
        <v>1376</v>
      </c>
      <c r="E45" s="47">
        <v>27.0</v>
      </c>
      <c r="F45" s="50">
        <f t="shared" si="1"/>
        <v>10800</v>
      </c>
      <c r="G45" s="22">
        <f t="shared" si="2"/>
        <v>1</v>
      </c>
      <c r="H45" s="51" t="s">
        <v>20</v>
      </c>
    </row>
    <row r="46" ht="25.5" customHeight="1">
      <c r="A46" s="46">
        <v>43.0</v>
      </c>
      <c r="B46" s="47">
        <v>1002149.0</v>
      </c>
      <c r="C46" s="48" t="str">
        <f>vlookup(B46,'Crew Data'!C:G,5,0)</f>
        <v>#N/A</v>
      </c>
      <c r="D46" s="267" t="s">
        <v>1377</v>
      </c>
      <c r="E46" s="47">
        <v>4.0</v>
      </c>
      <c r="F46" s="50">
        <f t="shared" si="1"/>
        <v>1600</v>
      </c>
      <c r="G46" s="22">
        <f t="shared" si="2"/>
        <v>1</v>
      </c>
      <c r="H46" s="51" t="s">
        <v>20</v>
      </c>
    </row>
    <row r="47" ht="25.5" customHeight="1">
      <c r="A47" s="46">
        <v>44.0</v>
      </c>
      <c r="B47" s="47">
        <v>1011517.0</v>
      </c>
      <c r="C47" s="48" t="str">
        <f>vlookup(B47,'Crew Data'!C:G,5,0)</f>
        <v>#N/A</v>
      </c>
      <c r="D47" s="267" t="s">
        <v>1378</v>
      </c>
      <c r="E47" s="47">
        <v>6.0</v>
      </c>
      <c r="F47" s="50">
        <f t="shared" si="1"/>
        <v>2400</v>
      </c>
      <c r="G47" s="22">
        <f t="shared" si="2"/>
        <v>1</v>
      </c>
      <c r="H47" s="51" t="s">
        <v>20</v>
      </c>
    </row>
    <row r="48" ht="25.5" customHeight="1">
      <c r="A48" s="46">
        <v>45.0</v>
      </c>
      <c r="B48" s="47">
        <v>1022845.0</v>
      </c>
      <c r="C48" s="48" t="str">
        <f>vlookup(B48,'Crew Data'!C:G,5,0)</f>
        <v>Phattharasiri Kamkhow</v>
      </c>
      <c r="D48" s="267" t="s">
        <v>1379</v>
      </c>
      <c r="E48" s="47">
        <v>4.0</v>
      </c>
      <c r="F48" s="50">
        <f t="shared" si="1"/>
        <v>1600</v>
      </c>
      <c r="G48" s="22">
        <f t="shared" si="2"/>
        <v>1</v>
      </c>
      <c r="H48" s="51" t="s">
        <v>20</v>
      </c>
    </row>
    <row r="49" ht="25.5" customHeight="1">
      <c r="A49" s="46">
        <v>46.0</v>
      </c>
      <c r="B49" s="47">
        <v>1006881.0</v>
      </c>
      <c r="C49" s="48" t="str">
        <f>vlookup(B49,'Crew Data'!C:G,5,0)</f>
        <v>Krittrin Harnphanphong</v>
      </c>
      <c r="D49" s="267" t="s">
        <v>1379</v>
      </c>
      <c r="E49" s="47">
        <v>4.0</v>
      </c>
      <c r="F49" s="50">
        <f t="shared" si="1"/>
        <v>1600</v>
      </c>
      <c r="G49" s="22">
        <f t="shared" si="2"/>
        <v>1</v>
      </c>
      <c r="H49" s="51" t="s">
        <v>20</v>
      </c>
    </row>
    <row r="50" ht="25.5" customHeight="1">
      <c r="A50" s="46">
        <v>47.0</v>
      </c>
      <c r="B50" s="47">
        <v>1012182.0</v>
      </c>
      <c r="C50" s="48" t="str">
        <f>vlookup(B50,'Crew Data'!C:G,5,0)</f>
        <v>Soikamol Phonakhon</v>
      </c>
      <c r="D50" s="267" t="s">
        <v>1380</v>
      </c>
      <c r="E50" s="47">
        <v>2.0</v>
      </c>
      <c r="F50" s="50">
        <f t="shared" si="1"/>
        <v>800</v>
      </c>
      <c r="G50" s="22">
        <f t="shared" si="2"/>
        <v>1</v>
      </c>
      <c r="H50" s="51" t="s">
        <v>20</v>
      </c>
    </row>
    <row r="51" ht="25.5" customHeight="1">
      <c r="A51" s="54">
        <v>48.0</v>
      </c>
      <c r="B51" s="47">
        <v>1022983.0</v>
      </c>
      <c r="C51" s="48" t="str">
        <f>vlookup(B51,'Crew Data'!C:G,5,0)</f>
        <v>Surapong Thongchinnawat</v>
      </c>
      <c r="D51" s="267" t="s">
        <v>1379</v>
      </c>
      <c r="E51" s="47">
        <v>4.0</v>
      </c>
      <c r="F51" s="50">
        <f t="shared" si="1"/>
        <v>1600</v>
      </c>
      <c r="G51" s="22">
        <f t="shared" si="2"/>
        <v>1</v>
      </c>
      <c r="H51" s="51" t="s">
        <v>20</v>
      </c>
    </row>
    <row r="52" ht="25.5" customHeight="1">
      <c r="A52" s="46">
        <v>49.0</v>
      </c>
      <c r="B52" s="47">
        <v>1007345.0</v>
      </c>
      <c r="C52" s="48" t="str">
        <f>vlookup(B52,'Crew Data'!C:G,5,0)</f>
        <v>#N/A</v>
      </c>
      <c r="D52" s="267" t="s">
        <v>1381</v>
      </c>
      <c r="E52" s="47">
        <v>2.0</v>
      </c>
      <c r="F52" s="50">
        <f t="shared" si="1"/>
        <v>800</v>
      </c>
      <c r="G52" s="22">
        <f t="shared" si="2"/>
        <v>1</v>
      </c>
      <c r="H52" s="51" t="s">
        <v>20</v>
      </c>
    </row>
    <row r="53" ht="25.5" customHeight="1">
      <c r="A53" s="46">
        <v>50.0</v>
      </c>
      <c r="B53" s="47">
        <v>1009670.0</v>
      </c>
      <c r="C53" s="48" t="str">
        <f>vlookup(B53,'Crew Data'!C:G,5,0)</f>
        <v>Sasima Rattanasumrit</v>
      </c>
      <c r="D53" s="267" t="s">
        <v>1356</v>
      </c>
      <c r="E53" s="47">
        <v>2.0</v>
      </c>
      <c r="F53" s="50">
        <f t="shared" si="1"/>
        <v>800</v>
      </c>
      <c r="G53" s="22">
        <f t="shared" si="2"/>
        <v>1</v>
      </c>
      <c r="H53" s="51" t="s">
        <v>20</v>
      </c>
    </row>
    <row r="54" ht="25.5" customHeight="1">
      <c r="A54" s="46">
        <v>51.0</v>
      </c>
      <c r="B54" s="47">
        <v>1004028.0</v>
      </c>
      <c r="C54" s="48" t="str">
        <f>vlookup(B54,'Crew Data'!C:G,5,0)</f>
        <v>#N/A</v>
      </c>
      <c r="D54" s="267" t="s">
        <v>1354</v>
      </c>
      <c r="E54" s="47">
        <v>2.0</v>
      </c>
      <c r="F54" s="50">
        <f t="shared" si="1"/>
        <v>800</v>
      </c>
      <c r="G54" s="22">
        <f t="shared" si="2"/>
        <v>1</v>
      </c>
      <c r="H54" s="51" t="s">
        <v>20</v>
      </c>
    </row>
    <row r="55" ht="25.5" customHeight="1">
      <c r="A55" s="46">
        <v>52.0</v>
      </c>
      <c r="B55" s="47">
        <v>1004195.0</v>
      </c>
      <c r="C55" s="48" t="str">
        <f>vlookup(B55,'Crew Data'!C:G,5,0)</f>
        <v>#N/A</v>
      </c>
      <c r="D55" s="267" t="s">
        <v>1368</v>
      </c>
      <c r="E55" s="47">
        <v>4.0</v>
      </c>
      <c r="F55" s="50">
        <f t="shared" si="1"/>
        <v>1600</v>
      </c>
      <c r="G55" s="22">
        <f t="shared" si="2"/>
        <v>1</v>
      </c>
      <c r="H55" s="51" t="s">
        <v>20</v>
      </c>
    </row>
    <row r="56" ht="25.5" customHeight="1">
      <c r="A56" s="46">
        <v>53.0</v>
      </c>
      <c r="B56" s="47">
        <v>1022697.0</v>
      </c>
      <c r="C56" s="48" t="str">
        <f>vlookup(B56,'Crew Data'!C:G,5,0)</f>
        <v>#N/A</v>
      </c>
      <c r="D56" s="267" t="s">
        <v>1368</v>
      </c>
      <c r="E56" s="47">
        <v>4.0</v>
      </c>
      <c r="F56" s="50">
        <f t="shared" si="1"/>
        <v>1600</v>
      </c>
      <c r="G56" s="22">
        <f t="shared" si="2"/>
        <v>1</v>
      </c>
      <c r="H56" s="51" t="s">
        <v>20</v>
      </c>
    </row>
    <row r="57" ht="25.5" customHeight="1">
      <c r="A57" s="46">
        <v>54.0</v>
      </c>
      <c r="B57" s="47">
        <v>1003418.0</v>
      </c>
      <c r="C57" s="48" t="str">
        <f>vlookup(B57,'Crew Data'!C:G,5,0)</f>
        <v>Chiravitch Kittiphongsathaporn</v>
      </c>
      <c r="D57" s="267" t="s">
        <v>1279</v>
      </c>
      <c r="E57" s="47">
        <v>4.0</v>
      </c>
      <c r="F57" s="50">
        <f t="shared" si="1"/>
        <v>1600</v>
      </c>
      <c r="G57" s="22">
        <f t="shared" si="2"/>
        <v>1</v>
      </c>
      <c r="H57" s="51" t="s">
        <v>20</v>
      </c>
    </row>
    <row r="58" ht="25.5" customHeight="1">
      <c r="A58" s="46">
        <v>55.0</v>
      </c>
      <c r="B58" s="47">
        <v>1019295.0</v>
      </c>
      <c r="C58" s="48" t="str">
        <f>vlookup(B58,'Crew Data'!C:G,5,0)</f>
        <v>Methawee Yos-in</v>
      </c>
      <c r="D58" s="267" t="s">
        <v>1382</v>
      </c>
      <c r="E58" s="47">
        <v>4.0</v>
      </c>
      <c r="F58" s="50">
        <f t="shared" si="1"/>
        <v>1600</v>
      </c>
      <c r="G58" s="22">
        <f t="shared" si="2"/>
        <v>1</v>
      </c>
      <c r="H58" s="51" t="s">
        <v>20</v>
      </c>
    </row>
    <row r="59" ht="25.5" customHeight="1">
      <c r="A59" s="54">
        <v>56.0</v>
      </c>
      <c r="B59" s="47">
        <v>1005773.0</v>
      </c>
      <c r="C59" s="48" t="str">
        <f>vlookup(B59,'Crew Data'!C:G,5,0)</f>
        <v>Wipoj Sinsomboon</v>
      </c>
      <c r="D59" s="267" t="s">
        <v>1367</v>
      </c>
      <c r="E59" s="47">
        <v>4.0</v>
      </c>
      <c r="F59" s="50">
        <f t="shared" si="1"/>
        <v>1600</v>
      </c>
      <c r="G59" s="22">
        <f t="shared" si="2"/>
        <v>1</v>
      </c>
      <c r="H59" s="51" t="s">
        <v>20</v>
      </c>
    </row>
    <row r="60" ht="25.5" customHeight="1">
      <c r="A60" s="46">
        <v>57.0</v>
      </c>
      <c r="B60" s="47">
        <v>1015098.0</v>
      </c>
      <c r="C60" s="48" t="str">
        <f>vlookup(B60,'Crew Data'!C:G,5,0)</f>
        <v>#N/A</v>
      </c>
      <c r="D60" s="267" t="s">
        <v>1358</v>
      </c>
      <c r="E60" s="47">
        <v>4.0</v>
      </c>
      <c r="F60" s="50">
        <f t="shared" si="1"/>
        <v>1600</v>
      </c>
      <c r="G60" s="22">
        <f t="shared" si="2"/>
        <v>1</v>
      </c>
      <c r="H60" s="51" t="s">
        <v>20</v>
      </c>
    </row>
    <row r="61" ht="25.5" customHeight="1">
      <c r="A61" s="46">
        <v>58.0</v>
      </c>
      <c r="B61" s="47">
        <v>1012981.0</v>
      </c>
      <c r="C61" s="48" t="str">
        <f>vlookup(B61,'Crew Data'!C:G,5,0)</f>
        <v>Chinakrit Boonyapiwat</v>
      </c>
      <c r="D61" s="267" t="s">
        <v>1383</v>
      </c>
      <c r="E61" s="47">
        <v>4.0</v>
      </c>
      <c r="F61" s="50">
        <f t="shared" si="1"/>
        <v>1600</v>
      </c>
      <c r="G61" s="22">
        <f t="shared" si="2"/>
        <v>1</v>
      </c>
      <c r="H61" s="51" t="s">
        <v>20</v>
      </c>
    </row>
    <row r="62" ht="25.5" customHeight="1">
      <c r="A62" s="46">
        <v>59.0</v>
      </c>
      <c r="B62" s="47">
        <v>1015410.0</v>
      </c>
      <c r="C62" s="48" t="str">
        <f>vlookup(B62,'Crew Data'!C:G,5,0)</f>
        <v>#N/A</v>
      </c>
      <c r="D62" s="267" t="s">
        <v>1383</v>
      </c>
      <c r="E62" s="47">
        <v>4.0</v>
      </c>
      <c r="F62" s="50">
        <f t="shared" si="1"/>
        <v>1600</v>
      </c>
      <c r="G62" s="22">
        <f t="shared" si="2"/>
        <v>1</v>
      </c>
      <c r="H62" s="51" t="s">
        <v>20</v>
      </c>
    </row>
    <row r="63" ht="25.5" customHeight="1">
      <c r="A63" s="46">
        <v>60.0</v>
      </c>
      <c r="B63" s="47">
        <v>1014080.0</v>
      </c>
      <c r="C63" s="48" t="str">
        <f>vlookup(B63,'Crew Data'!C:G,5,0)</f>
        <v>Phalinsu Angsunakul</v>
      </c>
      <c r="D63" s="267" t="s">
        <v>1307</v>
      </c>
      <c r="E63" s="47">
        <v>2.0</v>
      </c>
      <c r="F63" s="50">
        <f t="shared" si="1"/>
        <v>800</v>
      </c>
      <c r="G63" s="22">
        <f t="shared" si="2"/>
        <v>1</v>
      </c>
      <c r="H63" s="51" t="s">
        <v>20</v>
      </c>
    </row>
    <row r="64" ht="25.5" customHeight="1">
      <c r="A64" s="54">
        <v>61.0</v>
      </c>
      <c r="B64" s="47">
        <v>1007022.0</v>
      </c>
      <c r="C64" s="48" t="str">
        <f>vlookup(B64,'Crew Data'!C:G,5,0)</f>
        <v>Waroot Chanpueak</v>
      </c>
      <c r="D64" s="267" t="s">
        <v>1380</v>
      </c>
      <c r="E64" s="47">
        <v>2.0</v>
      </c>
      <c r="F64" s="50">
        <f t="shared" si="1"/>
        <v>800</v>
      </c>
      <c r="G64" s="22">
        <f t="shared" si="2"/>
        <v>1</v>
      </c>
      <c r="H64" s="51" t="s">
        <v>20</v>
      </c>
    </row>
    <row r="65" ht="25.5" customHeight="1">
      <c r="A65" s="46">
        <v>62.0</v>
      </c>
      <c r="B65" s="47">
        <v>1011313.0</v>
      </c>
      <c r="C65" s="48" t="str">
        <f>vlookup(B65,'Crew Data'!C:G,5,0)</f>
        <v>#N/A</v>
      </c>
      <c r="D65" s="267" t="s">
        <v>1384</v>
      </c>
      <c r="E65" s="47">
        <v>4.0</v>
      </c>
      <c r="F65" s="50">
        <f t="shared" si="1"/>
        <v>1600</v>
      </c>
      <c r="G65" s="22">
        <f t="shared" si="2"/>
        <v>1</v>
      </c>
      <c r="H65" s="51" t="s">
        <v>20</v>
      </c>
    </row>
    <row r="66" ht="25.5" customHeight="1">
      <c r="A66" s="46">
        <v>63.0</v>
      </c>
      <c r="B66" s="47">
        <v>1006991.0</v>
      </c>
      <c r="C66" s="48" t="str">
        <f>vlookup(B66,'Crew Data'!C:G,5,0)</f>
        <v>Chattamanuch Thiamhong</v>
      </c>
      <c r="D66" s="267" t="s">
        <v>1379</v>
      </c>
      <c r="E66" s="47">
        <v>4.0</v>
      </c>
      <c r="F66" s="50">
        <f t="shared" si="1"/>
        <v>1600</v>
      </c>
      <c r="G66" s="22">
        <f t="shared" si="2"/>
        <v>1</v>
      </c>
      <c r="H66" s="51" t="s">
        <v>20</v>
      </c>
    </row>
    <row r="67" ht="25.5" customHeight="1">
      <c r="A67" s="46">
        <v>64.0</v>
      </c>
      <c r="B67" s="47">
        <v>1009802.0</v>
      </c>
      <c r="C67" s="48" t="str">
        <f>vlookup(B67,'Crew Data'!C:G,5,0)</f>
        <v>#N/A</v>
      </c>
      <c r="D67" s="267" t="s">
        <v>1377</v>
      </c>
      <c r="E67" s="47">
        <v>4.0</v>
      </c>
      <c r="F67" s="50">
        <f t="shared" si="1"/>
        <v>1600</v>
      </c>
      <c r="G67" s="22">
        <f t="shared" si="2"/>
        <v>1</v>
      </c>
      <c r="H67" s="51" t="s">
        <v>20</v>
      </c>
    </row>
    <row r="68" ht="25.5" customHeight="1">
      <c r="A68" s="46">
        <v>65.0</v>
      </c>
      <c r="B68" s="47">
        <v>1007004.0</v>
      </c>
      <c r="C68" s="48" t="str">
        <f>vlookup(B68,'Crew Data'!C:G,5,0)</f>
        <v>Thanawat Srisuwan</v>
      </c>
      <c r="D68" s="267" t="s">
        <v>1385</v>
      </c>
      <c r="E68" s="47">
        <v>2.0</v>
      </c>
      <c r="F68" s="50">
        <f t="shared" si="1"/>
        <v>800</v>
      </c>
      <c r="G68" s="22">
        <f t="shared" si="2"/>
        <v>1</v>
      </c>
      <c r="H68" s="51" t="s">
        <v>20</v>
      </c>
    </row>
    <row r="69" ht="25.5" customHeight="1">
      <c r="A69" s="46">
        <v>66.0</v>
      </c>
      <c r="B69" s="47">
        <v>1019399.0</v>
      </c>
      <c r="C69" s="48" t="str">
        <f>vlookup(B69,'Crew Data'!C:G,5,0)</f>
        <v>Kantida Tangpradid</v>
      </c>
      <c r="D69" s="267" t="s">
        <v>1361</v>
      </c>
      <c r="E69" s="47">
        <v>2.0</v>
      </c>
      <c r="F69" s="50">
        <f t="shared" si="1"/>
        <v>800</v>
      </c>
      <c r="G69" s="22">
        <f t="shared" si="2"/>
        <v>1</v>
      </c>
      <c r="H69" s="51" t="s">
        <v>20</v>
      </c>
    </row>
    <row r="70" ht="25.5" customHeight="1">
      <c r="A70" s="46">
        <v>67.0</v>
      </c>
      <c r="B70" s="47">
        <v>1008956.0</v>
      </c>
      <c r="C70" s="48" t="str">
        <f>vlookup(B70,'Crew Data'!C:G,5,0)</f>
        <v>Duangkamon Thongfuang</v>
      </c>
      <c r="D70" s="267" t="s">
        <v>1386</v>
      </c>
      <c r="E70" s="47">
        <v>2.0</v>
      </c>
      <c r="F70" s="50">
        <f t="shared" si="1"/>
        <v>800</v>
      </c>
      <c r="G70" s="22">
        <f t="shared" si="2"/>
        <v>1</v>
      </c>
      <c r="H70" s="51" t="s">
        <v>20</v>
      </c>
    </row>
    <row r="71" ht="25.5" customHeight="1">
      <c r="A71" s="46">
        <v>68.0</v>
      </c>
      <c r="B71" s="47">
        <v>1011307.0</v>
      </c>
      <c r="C71" s="48" t="str">
        <f>vlookup(B71,'Crew Data'!C:G,5,0)</f>
        <v>Munnanicha Sarakong</v>
      </c>
      <c r="D71" s="267" t="s">
        <v>1387</v>
      </c>
      <c r="E71" s="47">
        <v>2.0</v>
      </c>
      <c r="F71" s="50">
        <f t="shared" si="1"/>
        <v>800</v>
      </c>
      <c r="G71" s="22">
        <f t="shared" si="2"/>
        <v>1</v>
      </c>
      <c r="H71" s="51" t="s">
        <v>20</v>
      </c>
    </row>
    <row r="72" ht="25.5" customHeight="1">
      <c r="A72" s="46">
        <v>69.0</v>
      </c>
      <c r="B72" s="47">
        <v>1004212.0</v>
      </c>
      <c r="C72" s="48" t="str">
        <f>vlookup(B72,'Crew Data'!C:G,5,0)</f>
        <v>Varisa Nimkasai</v>
      </c>
      <c r="D72" s="267" t="s">
        <v>1388</v>
      </c>
      <c r="E72" s="47">
        <v>2.0</v>
      </c>
      <c r="F72" s="50">
        <f t="shared" si="1"/>
        <v>800</v>
      </c>
      <c r="G72" s="22">
        <f t="shared" si="2"/>
        <v>1</v>
      </c>
      <c r="H72" s="51" t="s">
        <v>20</v>
      </c>
    </row>
    <row r="73" ht="25.5" customHeight="1">
      <c r="A73" s="46">
        <v>70.0</v>
      </c>
      <c r="B73" s="47">
        <v>1005304.0</v>
      </c>
      <c r="C73" s="48" t="str">
        <f>vlookup(B73,'Crew Data'!C:G,5,0)</f>
        <v>Pongpon Buasalee</v>
      </c>
      <c r="D73" s="267" t="s">
        <v>1389</v>
      </c>
      <c r="E73" s="47">
        <v>6.0</v>
      </c>
      <c r="F73" s="50">
        <f t="shared" si="1"/>
        <v>2400</v>
      </c>
      <c r="G73" s="22">
        <f t="shared" si="2"/>
        <v>1</v>
      </c>
      <c r="H73" s="51" t="s">
        <v>20</v>
      </c>
    </row>
    <row r="74" ht="25.5" customHeight="1">
      <c r="A74" s="54">
        <v>71.0</v>
      </c>
      <c r="B74" s="47">
        <v>1007262.0</v>
      </c>
      <c r="C74" s="48" t="str">
        <f>vlookup(B74,'Crew Data'!C:G,5,0)</f>
        <v> Kaeokumchai</v>
      </c>
      <c r="D74" s="267" t="s">
        <v>1390</v>
      </c>
      <c r="E74" s="47">
        <v>2.0</v>
      </c>
      <c r="F74" s="50">
        <f t="shared" si="1"/>
        <v>800</v>
      </c>
      <c r="G74" s="22">
        <f t="shared" si="2"/>
        <v>1</v>
      </c>
      <c r="H74" s="51" t="s">
        <v>20</v>
      </c>
    </row>
    <row r="75" ht="25.5" customHeight="1">
      <c r="A75" s="46">
        <v>72.0</v>
      </c>
      <c r="B75" s="55">
        <v>1012188.0</v>
      </c>
      <c r="C75" s="48" t="str">
        <f>vlookup(B75,'Crew Data'!C:G,5,0)</f>
        <v>Warut Sritham</v>
      </c>
      <c r="D75" s="270" t="s">
        <v>1391</v>
      </c>
      <c r="E75" s="55">
        <v>3.0</v>
      </c>
      <c r="F75" s="50">
        <f t="shared" si="1"/>
        <v>1200</v>
      </c>
      <c r="G75" s="22">
        <f t="shared" si="2"/>
        <v>1</v>
      </c>
      <c r="H75" s="51" t="s">
        <v>20</v>
      </c>
    </row>
    <row r="76" ht="25.5" customHeight="1">
      <c r="A76" s="46">
        <v>73.0</v>
      </c>
      <c r="B76" s="55">
        <v>1009768.0</v>
      </c>
      <c r="C76" s="48" t="str">
        <f>vlookup(B76,'Crew Data'!C:G,5,0)</f>
        <v>Thidech Eakmongkollert</v>
      </c>
      <c r="D76" s="270" t="s">
        <v>1392</v>
      </c>
      <c r="E76" s="55">
        <v>55.0</v>
      </c>
      <c r="F76" s="50">
        <f t="shared" si="1"/>
        <v>22000</v>
      </c>
      <c r="G76" s="22">
        <f t="shared" si="2"/>
        <v>1</v>
      </c>
      <c r="H76" s="51" t="s">
        <v>20</v>
      </c>
    </row>
    <row r="77" ht="25.5" customHeight="1">
      <c r="A77" s="46">
        <v>74.0</v>
      </c>
      <c r="B77" s="55">
        <v>1014681.0</v>
      </c>
      <c r="C77" s="48" t="str">
        <f>vlookup(B77,'Crew Data'!C:G,5,0)</f>
        <v>#N/A</v>
      </c>
      <c r="D77" s="270" t="s">
        <v>1390</v>
      </c>
      <c r="E77" s="55">
        <v>2.0</v>
      </c>
      <c r="F77" s="50">
        <f t="shared" si="1"/>
        <v>800</v>
      </c>
      <c r="G77" s="22">
        <f t="shared" si="2"/>
        <v>1</v>
      </c>
      <c r="H77" s="51" t="s">
        <v>20</v>
      </c>
    </row>
    <row r="78" ht="25.5" customHeight="1">
      <c r="A78" s="46">
        <v>75.0</v>
      </c>
      <c r="B78" s="55">
        <v>1018790.0</v>
      </c>
      <c r="C78" s="48" t="str">
        <f>vlookup(B78,'Crew Data'!C:G,5,0)</f>
        <v>Julalak Tansakul</v>
      </c>
      <c r="D78" s="270" t="s">
        <v>1393</v>
      </c>
      <c r="E78" s="55">
        <v>27.0</v>
      </c>
      <c r="F78" s="50">
        <f t="shared" si="1"/>
        <v>10800</v>
      </c>
      <c r="G78" s="22">
        <f t="shared" si="2"/>
        <v>1</v>
      </c>
      <c r="H78" s="51" t="s">
        <v>20</v>
      </c>
    </row>
    <row r="79" ht="25.5" customHeight="1">
      <c r="A79" s="54">
        <v>76.0</v>
      </c>
      <c r="B79" s="55">
        <v>1007016.0</v>
      </c>
      <c r="C79" s="48" t="str">
        <f>vlookup(B79,'Crew Data'!C:G,5,0)</f>
        <v>Sathita Pongsomran</v>
      </c>
      <c r="D79" s="270" t="s">
        <v>1394</v>
      </c>
      <c r="E79" s="55">
        <v>61.0</v>
      </c>
      <c r="F79" s="50">
        <f t="shared" si="1"/>
        <v>24400</v>
      </c>
      <c r="G79" s="22">
        <f t="shared" si="2"/>
        <v>1</v>
      </c>
      <c r="H79" s="51" t="s">
        <v>20</v>
      </c>
    </row>
    <row r="80" ht="25.5" customHeight="1">
      <c r="A80" s="46">
        <v>77.0</v>
      </c>
      <c r="B80" s="55">
        <v>1022985.0</v>
      </c>
      <c r="C80" s="48" t="str">
        <f>vlookup(B80,'Crew Data'!C:G,5,0)</f>
        <v>#N/A</v>
      </c>
      <c r="D80" s="270" t="s">
        <v>1395</v>
      </c>
      <c r="E80" s="55">
        <v>2.0</v>
      </c>
      <c r="F80" s="50">
        <f t="shared" si="1"/>
        <v>800</v>
      </c>
      <c r="G80" s="22">
        <f t="shared" si="2"/>
        <v>1</v>
      </c>
      <c r="H80" s="51" t="s">
        <v>20</v>
      </c>
    </row>
    <row r="81" ht="25.5" customHeight="1">
      <c r="A81" s="46">
        <v>78.0</v>
      </c>
      <c r="B81" s="55">
        <v>1003302.0</v>
      </c>
      <c r="C81" s="48" t="str">
        <f>vlookup(B81,'Crew Data'!C:G,5,0)</f>
        <v>Panwad Thongkham</v>
      </c>
      <c r="D81" s="270" t="s">
        <v>1383</v>
      </c>
      <c r="E81" s="55">
        <v>4.0</v>
      </c>
      <c r="F81" s="50">
        <f t="shared" si="1"/>
        <v>1600</v>
      </c>
      <c r="G81" s="22">
        <f t="shared" si="2"/>
        <v>1</v>
      </c>
      <c r="H81" s="51" t="s">
        <v>20</v>
      </c>
    </row>
    <row r="82" ht="25.5" customHeight="1">
      <c r="A82" s="46">
        <v>79.0</v>
      </c>
      <c r="B82" s="55">
        <v>1023589.0</v>
      </c>
      <c r="C82" s="48" t="str">
        <f>vlookup(B82,'Crew Data'!C:G,5,0)</f>
        <v>Pattanee Nopparat</v>
      </c>
      <c r="D82" s="270" t="s">
        <v>1383</v>
      </c>
      <c r="E82" s="55">
        <v>4.0</v>
      </c>
      <c r="F82" s="50">
        <f t="shared" si="1"/>
        <v>1600</v>
      </c>
      <c r="G82" s="22">
        <f t="shared" si="2"/>
        <v>1</v>
      </c>
      <c r="H82" s="51" t="s">
        <v>20</v>
      </c>
    </row>
    <row r="83" ht="25.5" customHeight="1">
      <c r="A83" s="46">
        <v>80.0</v>
      </c>
      <c r="B83" s="55">
        <v>1003386.0</v>
      </c>
      <c r="C83" s="48" t="str">
        <f>vlookup(B83,'Crew Data'!C:G,5,0)</f>
        <v>#N/A</v>
      </c>
      <c r="D83" s="270" t="s">
        <v>1396</v>
      </c>
      <c r="E83" s="55">
        <v>10.0</v>
      </c>
      <c r="F83" s="50">
        <f t="shared" si="1"/>
        <v>4000</v>
      </c>
      <c r="G83" s="22">
        <f t="shared" si="2"/>
        <v>1</v>
      </c>
      <c r="H83" s="51" t="s">
        <v>20</v>
      </c>
    </row>
    <row r="84" ht="25.5" customHeight="1">
      <c r="A84" s="46">
        <v>81.0</v>
      </c>
      <c r="B84" s="55">
        <v>1011513.0</v>
      </c>
      <c r="C84" s="48" t="str">
        <f>vlookup(B84,'Crew Data'!C:G,5,0)</f>
        <v>Rawitnat Marayat</v>
      </c>
      <c r="D84" s="270" t="s">
        <v>1397</v>
      </c>
      <c r="E84" s="55">
        <v>4.0</v>
      </c>
      <c r="F84" s="50">
        <f t="shared" si="1"/>
        <v>1600</v>
      </c>
      <c r="G84" s="22">
        <f t="shared" si="2"/>
        <v>1</v>
      </c>
      <c r="H84" s="51" t="s">
        <v>20</v>
      </c>
    </row>
    <row r="85" ht="25.5" customHeight="1">
      <c r="A85" s="46">
        <v>82.0</v>
      </c>
      <c r="B85" s="55">
        <v>1014064.0</v>
      </c>
      <c r="C85" s="48" t="str">
        <f>vlookup(B85,'Crew Data'!C:G,5,0)</f>
        <v>Jaraspak Plengkhum</v>
      </c>
      <c r="D85" s="270" t="s">
        <v>1398</v>
      </c>
      <c r="E85" s="55">
        <v>4.0</v>
      </c>
      <c r="F85" s="50">
        <f t="shared" si="1"/>
        <v>1600</v>
      </c>
      <c r="G85" s="22">
        <f t="shared" si="2"/>
        <v>1</v>
      </c>
      <c r="H85" s="51" t="s">
        <v>20</v>
      </c>
    </row>
    <row r="86" ht="25.5" customHeight="1">
      <c r="A86" s="46">
        <v>83.0</v>
      </c>
      <c r="B86" s="55">
        <v>1007017.0</v>
      </c>
      <c r="C86" s="48" t="str">
        <f>vlookup(B86,'Crew Data'!C:G,5,0)</f>
        <v>#N/A</v>
      </c>
      <c r="D86" s="270" t="s">
        <v>1365</v>
      </c>
      <c r="E86" s="55">
        <v>2.0</v>
      </c>
      <c r="F86" s="50">
        <f t="shared" si="1"/>
        <v>800</v>
      </c>
      <c r="G86" s="22">
        <f t="shared" si="2"/>
        <v>1</v>
      </c>
      <c r="H86" s="51" t="s">
        <v>20</v>
      </c>
    </row>
    <row r="87" ht="25.5" customHeight="1">
      <c r="A87" s="46">
        <v>84.0</v>
      </c>
      <c r="B87" s="55">
        <v>1011518.0</v>
      </c>
      <c r="C87" s="48" t="str">
        <f>vlookup(B87,'Crew Data'!C:G,5,0)</f>
        <v>Wongsakorn Naokaew</v>
      </c>
      <c r="D87" s="270" t="s">
        <v>1279</v>
      </c>
      <c r="E87" s="55">
        <v>4.0</v>
      </c>
      <c r="F87" s="50">
        <f t="shared" si="1"/>
        <v>1600</v>
      </c>
      <c r="G87" s="22">
        <f t="shared" si="2"/>
        <v>1</v>
      </c>
      <c r="H87" s="51" t="s">
        <v>20</v>
      </c>
    </row>
    <row r="88" ht="25.5" customHeight="1">
      <c r="A88" s="46">
        <v>85.0</v>
      </c>
      <c r="B88" s="55">
        <v>1004851.0</v>
      </c>
      <c r="C88" s="48" t="str">
        <f>vlookup(B88,'Crew Data'!C:G,5,0)</f>
        <v>#N/A</v>
      </c>
      <c r="D88" s="270" t="s">
        <v>1399</v>
      </c>
      <c r="E88" s="55">
        <v>6.0</v>
      </c>
      <c r="F88" s="50">
        <f t="shared" si="1"/>
        <v>2400</v>
      </c>
      <c r="G88" s="22">
        <f t="shared" si="2"/>
        <v>1</v>
      </c>
      <c r="H88" s="51" t="s">
        <v>20</v>
      </c>
    </row>
    <row r="89" ht="25.5" customHeight="1">
      <c r="A89" s="54">
        <v>86.0</v>
      </c>
      <c r="B89" s="55">
        <v>1011716.0</v>
      </c>
      <c r="C89" s="48" t="str">
        <f>vlookup(B89,'Crew Data'!C:G,5,0)</f>
        <v>Arjarree Intharapaijit</v>
      </c>
      <c r="D89" s="270" t="s">
        <v>1400</v>
      </c>
      <c r="E89" s="55">
        <v>6.0</v>
      </c>
      <c r="F89" s="50">
        <f t="shared" si="1"/>
        <v>2400</v>
      </c>
      <c r="G89" s="22">
        <f t="shared" si="2"/>
        <v>1</v>
      </c>
      <c r="H89" s="51" t="s">
        <v>20</v>
      </c>
    </row>
    <row r="90" ht="25.5" customHeight="1">
      <c r="A90" s="46">
        <v>87.0</v>
      </c>
      <c r="B90" s="55">
        <v>1011323.0</v>
      </c>
      <c r="C90" s="48" t="str">
        <f>vlookup(B90,'Crew Data'!C:G,5,0)</f>
        <v>Yommana Arunrat</v>
      </c>
      <c r="D90" s="270" t="s">
        <v>1380</v>
      </c>
      <c r="E90" s="55">
        <v>2.0</v>
      </c>
      <c r="F90" s="50">
        <f t="shared" si="1"/>
        <v>800</v>
      </c>
      <c r="G90" s="22">
        <f t="shared" si="2"/>
        <v>1</v>
      </c>
      <c r="H90" s="51" t="s">
        <v>20</v>
      </c>
    </row>
    <row r="91" ht="25.5" customHeight="1">
      <c r="A91" s="46">
        <v>88.0</v>
      </c>
      <c r="B91" s="55">
        <v>1005967.0</v>
      </c>
      <c r="C91" s="48" t="str">
        <f>vlookup(B91,'Crew Data'!C:G,5,0)</f>
        <v>Yukol Phubunjongkij</v>
      </c>
      <c r="D91" s="270" t="s">
        <v>1375</v>
      </c>
      <c r="E91" s="55">
        <v>4.0</v>
      </c>
      <c r="F91" s="50">
        <f t="shared" si="1"/>
        <v>1600</v>
      </c>
      <c r="G91" s="22">
        <f t="shared" si="2"/>
        <v>1</v>
      </c>
      <c r="H91" s="51" t="s">
        <v>20</v>
      </c>
    </row>
    <row r="92" ht="25.5" customHeight="1">
      <c r="A92" s="46">
        <v>89.0</v>
      </c>
      <c r="B92" s="55">
        <v>1011515.0</v>
      </c>
      <c r="C92" s="48" t="str">
        <f>vlookup(B92,'Crew Data'!C:G,5,0)</f>
        <v>Sopark Phosiri</v>
      </c>
      <c r="D92" s="270" t="s">
        <v>1401</v>
      </c>
      <c r="E92" s="55">
        <v>4.0</v>
      </c>
      <c r="F92" s="50">
        <f t="shared" si="1"/>
        <v>1600</v>
      </c>
      <c r="G92" s="22">
        <f t="shared" si="2"/>
        <v>1</v>
      </c>
      <c r="H92" s="51" t="s">
        <v>20</v>
      </c>
    </row>
    <row r="93" ht="25.5" customHeight="1">
      <c r="A93" s="46">
        <v>90.0</v>
      </c>
      <c r="B93" s="55">
        <v>1005819.0</v>
      </c>
      <c r="C93" s="48" t="str">
        <f>vlookup(B93,'Crew Data'!C:G,5,0)</f>
        <v>Nerisa Chakornpaibool</v>
      </c>
      <c r="D93" s="270" t="s">
        <v>1359</v>
      </c>
      <c r="E93" s="55">
        <v>2.0</v>
      </c>
      <c r="F93" s="50">
        <f t="shared" si="1"/>
        <v>800</v>
      </c>
      <c r="G93" s="22">
        <f t="shared" si="2"/>
        <v>1</v>
      </c>
      <c r="H93" s="51" t="s">
        <v>20</v>
      </c>
    </row>
    <row r="94" ht="25.5" customHeight="1">
      <c r="A94" s="54">
        <v>91.0</v>
      </c>
      <c r="B94" s="55">
        <v>1004562.0</v>
      </c>
      <c r="C94" s="48" t="str">
        <f>vlookup(B94,'Crew Data'!C:G,5,0)</f>
        <v>#N/A</v>
      </c>
      <c r="D94" s="270" t="s">
        <v>1369</v>
      </c>
      <c r="E94" s="55">
        <v>2.0</v>
      </c>
      <c r="F94" s="50">
        <f t="shared" si="1"/>
        <v>800</v>
      </c>
      <c r="G94" s="22">
        <f t="shared" si="2"/>
        <v>1</v>
      </c>
      <c r="H94" s="51" t="s">
        <v>20</v>
      </c>
    </row>
    <row r="95" ht="25.5" customHeight="1">
      <c r="A95" s="46">
        <v>92.0</v>
      </c>
      <c r="B95" s="55">
        <v>1022841.0</v>
      </c>
      <c r="C95" s="48" t="str">
        <f>vlookup(B95,'Crew Data'!C:G,5,0)</f>
        <v>Apinya Chaisaeng</v>
      </c>
      <c r="D95" s="270" t="s">
        <v>1397</v>
      </c>
      <c r="E95" s="55">
        <v>4.0</v>
      </c>
      <c r="F95" s="50">
        <f t="shared" si="1"/>
        <v>1600</v>
      </c>
      <c r="G95" s="22">
        <f t="shared" si="2"/>
        <v>1</v>
      </c>
      <c r="H95" s="51" t="s">
        <v>20</v>
      </c>
    </row>
    <row r="96" ht="25.5" customHeight="1">
      <c r="A96" s="46">
        <v>93.0</v>
      </c>
      <c r="B96" s="55">
        <v>1019308.0</v>
      </c>
      <c r="C96" s="48" t="str">
        <f>vlookup(B96,'Crew Data'!C:G,5,0)</f>
        <v>Thanyathorn Prueksasilp</v>
      </c>
      <c r="D96" s="270" t="s">
        <v>1402</v>
      </c>
      <c r="E96" s="55">
        <v>2.0</v>
      </c>
      <c r="F96" s="50">
        <f t="shared" si="1"/>
        <v>800</v>
      </c>
      <c r="G96" s="22">
        <f t="shared" si="2"/>
        <v>1</v>
      </c>
      <c r="H96" s="51" t="s">
        <v>20</v>
      </c>
    </row>
    <row r="97" ht="25.5" customHeight="1">
      <c r="A97" s="46">
        <v>94.0</v>
      </c>
      <c r="B97" s="55">
        <v>1005964.0</v>
      </c>
      <c r="C97" s="48" t="str">
        <f>vlookup(B97,'Crew Data'!C:G,5,0)</f>
        <v>Sawitri Siribunrueangwong</v>
      </c>
      <c r="D97" s="270" t="s">
        <v>1402</v>
      </c>
      <c r="E97" s="55">
        <v>2.0</v>
      </c>
      <c r="F97" s="50">
        <f t="shared" si="1"/>
        <v>800</v>
      </c>
      <c r="G97" s="22">
        <f t="shared" si="2"/>
        <v>1</v>
      </c>
      <c r="H97" s="51" t="s">
        <v>20</v>
      </c>
    </row>
    <row r="98" ht="25.5" customHeight="1">
      <c r="A98" s="46">
        <v>95.0</v>
      </c>
      <c r="B98" s="55">
        <v>1007196.0</v>
      </c>
      <c r="C98" s="48" t="str">
        <f>vlookup(B98,'Crew Data'!C:G,5,0)</f>
        <v>Chanyakorn Amornkitvikai</v>
      </c>
      <c r="D98" s="270" t="s">
        <v>1402</v>
      </c>
      <c r="E98" s="55">
        <v>2.0</v>
      </c>
      <c r="F98" s="50">
        <f t="shared" si="1"/>
        <v>800</v>
      </c>
      <c r="G98" s="22">
        <f t="shared" si="2"/>
        <v>1</v>
      </c>
      <c r="H98" s="51" t="s">
        <v>20</v>
      </c>
    </row>
    <row r="99" ht="25.5" customHeight="1">
      <c r="A99" s="46">
        <v>96.0</v>
      </c>
      <c r="B99" s="55">
        <v>1004034.0</v>
      </c>
      <c r="C99" s="48" t="str">
        <f>vlookup(B99,'Crew Data'!C:G,5,0)</f>
        <v>Monthon Siribunnakul</v>
      </c>
      <c r="D99" s="270" t="s">
        <v>1402</v>
      </c>
      <c r="E99" s="55">
        <v>2.0</v>
      </c>
      <c r="F99" s="50">
        <f t="shared" si="1"/>
        <v>800</v>
      </c>
      <c r="G99" s="22">
        <f t="shared" si="2"/>
        <v>1</v>
      </c>
      <c r="H99" s="51" t="s">
        <v>20</v>
      </c>
    </row>
    <row r="100" ht="25.5" customHeight="1">
      <c r="A100" s="46">
        <v>97.0</v>
      </c>
      <c r="B100" s="55">
        <v>1006753.0</v>
      </c>
      <c r="C100" s="48" t="str">
        <f>vlookup(B100,'Crew Data'!C:G,5,0)</f>
        <v>Thiptida Keereemasthong</v>
      </c>
      <c r="D100" s="270" t="s">
        <v>1381</v>
      </c>
      <c r="E100" s="55">
        <v>2.0</v>
      </c>
      <c r="F100" s="50">
        <f t="shared" si="1"/>
        <v>800</v>
      </c>
      <c r="G100" s="22">
        <f t="shared" si="2"/>
        <v>1</v>
      </c>
      <c r="H100" s="51" t="s">
        <v>20</v>
      </c>
    </row>
    <row r="101" ht="25.5" customHeight="1">
      <c r="A101" s="46">
        <v>98.0</v>
      </c>
      <c r="B101" s="55">
        <v>1013033.0</v>
      </c>
      <c r="C101" s="48" t="str">
        <f>vlookup(B101,'Crew Data'!C:G,5,0)</f>
        <v>Sirirat Thampipat</v>
      </c>
      <c r="D101" s="270" t="s">
        <v>1403</v>
      </c>
      <c r="E101" s="55">
        <v>2.0</v>
      </c>
      <c r="F101" s="50">
        <f t="shared" si="1"/>
        <v>800</v>
      </c>
      <c r="G101" s="22">
        <f t="shared" si="2"/>
        <v>1</v>
      </c>
      <c r="H101" s="51" t="s">
        <v>20</v>
      </c>
    </row>
    <row r="102" ht="25.5" customHeight="1">
      <c r="A102" s="54">
        <v>99.0</v>
      </c>
      <c r="B102" s="55">
        <v>1011084.0</v>
      </c>
      <c r="C102" s="48" t="str">
        <f>vlookup(B102,'Crew Data'!C:G,5,0)</f>
        <v>Warich Nathtigoon</v>
      </c>
      <c r="D102" s="270" t="s">
        <v>1384</v>
      </c>
      <c r="E102" s="55">
        <v>4.0</v>
      </c>
      <c r="F102" s="50">
        <f t="shared" si="1"/>
        <v>1600</v>
      </c>
      <c r="G102" s="22">
        <f t="shared" si="2"/>
        <v>1</v>
      </c>
      <c r="H102" s="51" t="s">
        <v>20</v>
      </c>
    </row>
    <row r="103" ht="25.5" customHeight="1">
      <c r="A103" s="46">
        <v>100.0</v>
      </c>
      <c r="B103" s="55">
        <v>1006363.0</v>
      </c>
      <c r="C103" s="48" t="str">
        <f>vlookup(B103,'Crew Data'!C:G,5,0)</f>
        <v>#N/A</v>
      </c>
      <c r="D103" s="270" t="s">
        <v>1404</v>
      </c>
      <c r="E103" s="55">
        <v>6.0</v>
      </c>
      <c r="F103" s="50">
        <f t="shared" si="1"/>
        <v>2400</v>
      </c>
      <c r="G103" s="22">
        <f t="shared" si="2"/>
        <v>1</v>
      </c>
      <c r="H103" s="51" t="s">
        <v>20</v>
      </c>
    </row>
    <row r="104" ht="25.5" customHeight="1">
      <c r="A104" s="46">
        <v>101.0</v>
      </c>
      <c r="B104" s="55">
        <v>1007424.0</v>
      </c>
      <c r="C104" s="48" t="str">
        <f>vlookup(B104,'Crew Data'!C:G,5,0)</f>
        <v>#N/A</v>
      </c>
      <c r="D104" s="270" t="s">
        <v>1363</v>
      </c>
      <c r="E104" s="55">
        <v>4.0</v>
      </c>
      <c r="F104" s="50">
        <f t="shared" si="1"/>
        <v>1600</v>
      </c>
      <c r="G104" s="22">
        <f t="shared" si="2"/>
        <v>1</v>
      </c>
      <c r="H104" s="51" t="s">
        <v>20</v>
      </c>
    </row>
    <row r="105" ht="25.5" customHeight="1">
      <c r="A105" s="46">
        <v>102.0</v>
      </c>
      <c r="B105" s="55">
        <v>1025307.0</v>
      </c>
      <c r="C105" s="48" t="str">
        <f>vlookup(B105,'Crew Data'!C:G,5,0)</f>
        <v>Krisada Kerdsuwan</v>
      </c>
      <c r="D105" s="270" t="s">
        <v>1314</v>
      </c>
      <c r="E105" s="55">
        <v>31.0</v>
      </c>
      <c r="F105" s="50">
        <f t="shared" si="1"/>
        <v>12400</v>
      </c>
      <c r="G105" s="22">
        <f t="shared" si="2"/>
        <v>1</v>
      </c>
      <c r="H105" s="51" t="s">
        <v>20</v>
      </c>
    </row>
    <row r="106" ht="25.5" customHeight="1">
      <c r="A106" s="46">
        <v>103.0</v>
      </c>
      <c r="B106" s="55">
        <v>1011836.0</v>
      </c>
      <c r="C106" s="48" t="str">
        <f>vlookup(B106,'Crew Data'!C:G,5,0)</f>
        <v>Sirapong Charoenwutbhawonrat</v>
      </c>
      <c r="D106" s="270" t="s">
        <v>1405</v>
      </c>
      <c r="E106" s="55">
        <v>3.0</v>
      </c>
      <c r="F106" s="50">
        <f t="shared" si="1"/>
        <v>1200</v>
      </c>
      <c r="G106" s="22">
        <f t="shared" si="2"/>
        <v>1</v>
      </c>
      <c r="H106" s="51" t="s">
        <v>20</v>
      </c>
    </row>
    <row r="107" ht="25.5" customHeight="1">
      <c r="A107" s="46">
        <v>104.0</v>
      </c>
      <c r="B107" s="55">
        <v>1014353.0</v>
      </c>
      <c r="C107" s="48" t="str">
        <f>vlookup(B107,'Crew Data'!C:G,5,0)</f>
        <v>Pornnapat Kittimontreechai</v>
      </c>
      <c r="D107" s="270" t="s">
        <v>1406</v>
      </c>
      <c r="E107" s="55">
        <v>16.0</v>
      </c>
      <c r="F107" s="50">
        <f t="shared" si="1"/>
        <v>6400</v>
      </c>
      <c r="G107" s="22">
        <f t="shared" si="2"/>
        <v>1</v>
      </c>
      <c r="H107" s="51" t="s">
        <v>20</v>
      </c>
    </row>
    <row r="108" ht="25.5" customHeight="1">
      <c r="A108" s="46">
        <v>105.0</v>
      </c>
      <c r="B108" s="55">
        <v>1018537.0</v>
      </c>
      <c r="C108" s="48" t="str">
        <f>vlookup(B108,'Crew Data'!C:G,5,0)</f>
        <v>#N/A</v>
      </c>
      <c r="D108" s="270" t="s">
        <v>1397</v>
      </c>
      <c r="E108" s="55">
        <v>4.0</v>
      </c>
      <c r="F108" s="50">
        <f t="shared" si="1"/>
        <v>1600</v>
      </c>
      <c r="G108" s="22">
        <f t="shared" si="2"/>
        <v>1</v>
      </c>
      <c r="H108" s="51" t="s">
        <v>20</v>
      </c>
    </row>
    <row r="109" ht="25.5" customHeight="1">
      <c r="A109" s="46">
        <v>106.0</v>
      </c>
      <c r="B109" s="55">
        <v>1011306.0</v>
      </c>
      <c r="C109" s="48" t="str">
        <f>vlookup(B109,'Crew Data'!C:G,5,0)</f>
        <v>Kanthanuch Boonlor</v>
      </c>
      <c r="D109" s="270" t="s">
        <v>1364</v>
      </c>
      <c r="E109" s="55">
        <v>2.0</v>
      </c>
      <c r="F109" s="50">
        <f t="shared" si="1"/>
        <v>800</v>
      </c>
      <c r="G109" s="22">
        <f t="shared" si="2"/>
        <v>1</v>
      </c>
      <c r="H109" s="51" t="s">
        <v>20</v>
      </c>
    </row>
    <row r="110" ht="25.5" customHeight="1">
      <c r="A110" s="54">
        <v>107.0</v>
      </c>
      <c r="B110" s="55">
        <v>1007266.0</v>
      </c>
      <c r="C110" s="48" t="str">
        <f>vlookup(B110,'Crew Data'!C:G,5,0)</f>
        <v>Nattayanee Junnont</v>
      </c>
      <c r="D110" s="270" t="s">
        <v>1375</v>
      </c>
      <c r="E110" s="55">
        <v>4.0</v>
      </c>
      <c r="F110" s="50">
        <f t="shared" si="1"/>
        <v>1600</v>
      </c>
      <c r="G110" s="22">
        <f t="shared" si="2"/>
        <v>1</v>
      </c>
      <c r="H110" s="51" t="s">
        <v>20</v>
      </c>
    </row>
    <row r="111" ht="25.5" customHeight="1">
      <c r="A111" s="46">
        <v>108.0</v>
      </c>
      <c r="B111" s="55">
        <v>1003385.0</v>
      </c>
      <c r="C111" s="48" t="str">
        <f>vlookup(B111,'Crew Data'!C:G,5,0)</f>
        <v>Jaruma Jantarapap</v>
      </c>
      <c r="D111" s="270" t="s">
        <v>1407</v>
      </c>
      <c r="E111" s="55">
        <v>6.0</v>
      </c>
      <c r="F111" s="50">
        <f t="shared" si="1"/>
        <v>2400</v>
      </c>
      <c r="G111" s="22">
        <f t="shared" si="2"/>
        <v>1</v>
      </c>
      <c r="H111" s="51" t="s">
        <v>20</v>
      </c>
    </row>
    <row r="112" ht="25.5" customHeight="1">
      <c r="A112" s="46">
        <v>109.0</v>
      </c>
      <c r="B112" s="55">
        <v>1009156.0</v>
      </c>
      <c r="C112" s="48" t="str">
        <f>vlookup(B112,'Crew Data'!C:G,5,0)</f>
        <v>Peamkate Kullasit</v>
      </c>
      <c r="D112" s="270" t="s">
        <v>1408</v>
      </c>
      <c r="E112" s="55">
        <v>2.0</v>
      </c>
      <c r="F112" s="50">
        <f t="shared" si="1"/>
        <v>800</v>
      </c>
      <c r="G112" s="22">
        <f t="shared" si="2"/>
        <v>1</v>
      </c>
      <c r="H112" s="51" t="s">
        <v>20</v>
      </c>
    </row>
    <row r="113" ht="25.5" customHeight="1">
      <c r="A113" s="46">
        <v>110.0</v>
      </c>
      <c r="B113" s="55">
        <v>1011303.0</v>
      </c>
      <c r="C113" s="48" t="str">
        <f>vlookup(B113,'Crew Data'!C:G,5,0)</f>
        <v>Awassada Somprasertsri</v>
      </c>
      <c r="D113" s="270" t="s">
        <v>1380</v>
      </c>
      <c r="E113" s="55">
        <v>2.0</v>
      </c>
      <c r="F113" s="50">
        <f t="shared" si="1"/>
        <v>800</v>
      </c>
      <c r="G113" s="22">
        <f t="shared" si="2"/>
        <v>1</v>
      </c>
      <c r="H113" s="51" t="s">
        <v>20</v>
      </c>
    </row>
    <row r="114" ht="25.5" customHeight="1">
      <c r="A114" s="46">
        <v>111.0</v>
      </c>
      <c r="B114" s="55">
        <v>1012158.0</v>
      </c>
      <c r="C114" s="48" t="str">
        <f>vlookup(B114,'Crew Data'!C:G,5,0)</f>
        <v>Itthipong Khanthonglor</v>
      </c>
      <c r="D114" s="270" t="s">
        <v>1409</v>
      </c>
      <c r="E114" s="55">
        <v>4.0</v>
      </c>
      <c r="F114" s="50">
        <f t="shared" si="1"/>
        <v>1600</v>
      </c>
      <c r="G114" s="22">
        <f t="shared" si="2"/>
        <v>1</v>
      </c>
      <c r="H114" s="51" t="s">
        <v>20</v>
      </c>
    </row>
    <row r="115" ht="25.5" customHeight="1">
      <c r="A115" s="46">
        <v>112.0</v>
      </c>
      <c r="B115" s="55">
        <v>1004444.0</v>
      </c>
      <c r="C115" s="48" t="str">
        <f>vlookup(B115,'Crew Data'!C:G,5,0)</f>
        <v>Arisara Nenchatee</v>
      </c>
      <c r="D115" s="270" t="s">
        <v>1371</v>
      </c>
      <c r="E115" s="55">
        <v>5.0</v>
      </c>
      <c r="F115" s="50">
        <f t="shared" si="1"/>
        <v>2000</v>
      </c>
      <c r="G115" s="22">
        <f t="shared" si="2"/>
        <v>1</v>
      </c>
      <c r="H115" s="51" t="s">
        <v>20</v>
      </c>
    </row>
    <row r="116" ht="25.5" customHeight="1">
      <c r="A116" s="46">
        <v>113.0</v>
      </c>
      <c r="B116" s="55">
        <v>1005824.0</v>
      </c>
      <c r="C116" s="48" t="str">
        <f>vlookup(B116,'Crew Data'!C:G,5,0)</f>
        <v>Panchita Swangarom</v>
      </c>
      <c r="D116" s="270" t="s">
        <v>1409</v>
      </c>
      <c r="E116" s="55">
        <v>4.0</v>
      </c>
      <c r="F116" s="50">
        <f t="shared" si="1"/>
        <v>1600</v>
      </c>
      <c r="G116" s="22">
        <f t="shared" si="2"/>
        <v>1</v>
      </c>
      <c r="H116" s="51" t="s">
        <v>20</v>
      </c>
    </row>
    <row r="117" ht="25.5" customHeight="1">
      <c r="A117" s="46">
        <v>114.0</v>
      </c>
      <c r="B117" s="55">
        <v>1000486.0</v>
      </c>
      <c r="C117" s="48" t="str">
        <f>vlookup(B117,'Crew Data'!C:G,5,0)</f>
        <v>Ratthinan Wasupornwiboon</v>
      </c>
      <c r="D117" s="270" t="s">
        <v>1310</v>
      </c>
      <c r="E117" s="55">
        <v>2.0</v>
      </c>
      <c r="F117" s="50">
        <f t="shared" si="1"/>
        <v>800</v>
      </c>
      <c r="G117" s="22">
        <f t="shared" si="2"/>
        <v>1</v>
      </c>
      <c r="H117" s="51" t="s">
        <v>20</v>
      </c>
    </row>
    <row r="118" ht="25.5" customHeight="1">
      <c r="A118" s="54">
        <v>115.0</v>
      </c>
      <c r="B118" s="55">
        <v>1007021.0</v>
      </c>
      <c r="C118" s="48" t="str">
        <f>vlookup(B118,'Crew Data'!C:G,5,0)</f>
        <v>Thararat Thaibantherng</v>
      </c>
      <c r="D118" s="270" t="s">
        <v>1358</v>
      </c>
      <c r="E118" s="55">
        <v>4.0</v>
      </c>
      <c r="F118" s="50">
        <f t="shared" si="1"/>
        <v>1600</v>
      </c>
      <c r="G118" s="22">
        <f t="shared" si="2"/>
        <v>1</v>
      </c>
      <c r="H118" s="51" t="s">
        <v>20</v>
      </c>
    </row>
    <row r="119" ht="25.5" customHeight="1">
      <c r="A119" s="46">
        <v>116.0</v>
      </c>
      <c r="B119" s="55">
        <v>1002370.0</v>
      </c>
      <c r="C119" s="48" t="str">
        <f>vlookup(B119,'Crew Data'!C:G,5,0)</f>
        <v>Napaphat Yuktanan</v>
      </c>
      <c r="D119" s="270" t="s">
        <v>1397</v>
      </c>
      <c r="E119" s="55">
        <v>4.0</v>
      </c>
      <c r="F119" s="50">
        <f t="shared" si="1"/>
        <v>1600</v>
      </c>
      <c r="G119" s="22">
        <f t="shared" si="2"/>
        <v>1</v>
      </c>
      <c r="H119" s="51" t="s">
        <v>20</v>
      </c>
    </row>
    <row r="120" ht="25.5" customHeight="1">
      <c r="A120" s="46">
        <v>117.0</v>
      </c>
      <c r="B120" s="55">
        <v>1011730.0</v>
      </c>
      <c r="C120" s="48" t="str">
        <f>vlookup(B120,'Crew Data'!C:G,5,0)</f>
        <v>Keitiyot Chaisurisri</v>
      </c>
      <c r="D120" s="270" t="s">
        <v>1398</v>
      </c>
      <c r="E120" s="55">
        <v>4.0</v>
      </c>
      <c r="F120" s="50">
        <f t="shared" si="1"/>
        <v>1600</v>
      </c>
      <c r="G120" s="22">
        <f t="shared" si="2"/>
        <v>1</v>
      </c>
      <c r="H120" s="51" t="s">
        <v>20</v>
      </c>
    </row>
    <row r="121" ht="25.5" customHeight="1">
      <c r="A121" s="46">
        <v>118.0</v>
      </c>
      <c r="B121" s="55">
        <v>1015406.0</v>
      </c>
      <c r="C121" s="48" t="str">
        <f>vlookup(B121,'Crew Data'!C:G,5,0)</f>
        <v>Perati Ardwong</v>
      </c>
      <c r="D121" s="270" t="s">
        <v>1410</v>
      </c>
      <c r="E121" s="55">
        <v>30.0</v>
      </c>
      <c r="F121" s="50">
        <f t="shared" si="1"/>
        <v>12000</v>
      </c>
      <c r="G121" s="22">
        <f t="shared" si="2"/>
        <v>1</v>
      </c>
      <c r="H121" s="51" t="s">
        <v>20</v>
      </c>
    </row>
    <row r="122" ht="25.5" customHeight="1">
      <c r="A122" s="46">
        <v>119.0</v>
      </c>
      <c r="B122" s="55">
        <v>1018969.0</v>
      </c>
      <c r="C122" s="48" t="str">
        <f>vlookup(B122,'Crew Data'!C:G,5,0)</f>
        <v>#N/A</v>
      </c>
      <c r="D122" s="270" t="s">
        <v>1411</v>
      </c>
      <c r="E122" s="55">
        <v>26.0</v>
      </c>
      <c r="F122" s="50">
        <f t="shared" si="1"/>
        <v>10400</v>
      </c>
      <c r="G122" s="22">
        <f t="shared" si="2"/>
        <v>1</v>
      </c>
      <c r="H122" s="51" t="s">
        <v>20</v>
      </c>
    </row>
    <row r="123" ht="25.5" customHeight="1">
      <c r="A123" s="46">
        <v>120.0</v>
      </c>
      <c r="B123" s="55">
        <v>1001837.0</v>
      </c>
      <c r="C123" s="48" t="str">
        <f>vlookup(B123,'Crew Data'!C:G,5,0)</f>
        <v>Taralan Jareemuk</v>
      </c>
      <c r="D123" s="270" t="s">
        <v>1412</v>
      </c>
      <c r="E123" s="55">
        <v>28.0</v>
      </c>
      <c r="F123" s="50">
        <f t="shared" si="1"/>
        <v>11200</v>
      </c>
      <c r="G123" s="22">
        <f t="shared" si="2"/>
        <v>1</v>
      </c>
      <c r="H123" s="51" t="s">
        <v>20</v>
      </c>
    </row>
    <row r="124" ht="25.5" customHeight="1">
      <c r="A124" s="46">
        <v>121.0</v>
      </c>
      <c r="B124" s="55">
        <v>1006740.0</v>
      </c>
      <c r="C124" s="48" t="str">
        <f>vlookup(B124,'Crew Data'!C:G,5,0)</f>
        <v>Juthamard Jiarakul</v>
      </c>
      <c r="D124" s="270" t="s">
        <v>1413</v>
      </c>
      <c r="E124" s="55">
        <v>25.0</v>
      </c>
      <c r="F124" s="50">
        <f t="shared" si="1"/>
        <v>10000</v>
      </c>
      <c r="G124" s="22">
        <f t="shared" si="2"/>
        <v>1</v>
      </c>
      <c r="H124" s="51" t="s">
        <v>20</v>
      </c>
    </row>
    <row r="125" ht="25.5" customHeight="1">
      <c r="A125" s="46">
        <v>122.0</v>
      </c>
      <c r="B125" s="55">
        <v>1011813.0</v>
      </c>
      <c r="C125" s="48" t="str">
        <f>vlookup(B125,'Crew Data'!C:G,5,0)</f>
        <v>Kathaleeya Jaroensuk</v>
      </c>
      <c r="D125" s="270" t="s">
        <v>1266</v>
      </c>
      <c r="E125" s="55">
        <v>2.0</v>
      </c>
      <c r="F125" s="50">
        <f t="shared" si="1"/>
        <v>800</v>
      </c>
      <c r="G125" s="22">
        <f t="shared" si="2"/>
        <v>1</v>
      </c>
      <c r="H125" s="51" t="s">
        <v>20</v>
      </c>
    </row>
    <row r="126" ht="25.5" customHeight="1">
      <c r="A126" s="54">
        <v>123.0</v>
      </c>
      <c r="B126" s="55">
        <v>1025319.0</v>
      </c>
      <c r="C126" s="48" t="str">
        <f>vlookup(B126,'Crew Data'!C:G,5,0)</f>
        <v>Phongsakron Saepan</v>
      </c>
      <c r="D126" s="270" t="s">
        <v>1350</v>
      </c>
      <c r="E126" s="55">
        <v>30.0</v>
      </c>
      <c r="F126" s="50">
        <f t="shared" si="1"/>
        <v>12000</v>
      </c>
      <c r="G126" s="22">
        <f t="shared" si="2"/>
        <v>1</v>
      </c>
      <c r="H126" s="51" t="s">
        <v>20</v>
      </c>
    </row>
    <row r="127" ht="25.5" customHeight="1">
      <c r="A127" s="46">
        <v>124.0</v>
      </c>
      <c r="B127" s="55">
        <v>1017653.0</v>
      </c>
      <c r="C127" s="48" t="str">
        <f>vlookup(B127,'Crew Data'!C:G,5,0)</f>
        <v>Wachiraphon Lakbun</v>
      </c>
      <c r="D127" s="270" t="s">
        <v>1367</v>
      </c>
      <c r="E127" s="55">
        <v>4.0</v>
      </c>
      <c r="F127" s="50">
        <f t="shared" si="1"/>
        <v>1600</v>
      </c>
      <c r="G127" s="22">
        <f t="shared" si="2"/>
        <v>1</v>
      </c>
      <c r="H127" s="51" t="s">
        <v>20</v>
      </c>
    </row>
    <row r="128" ht="25.5" customHeight="1">
      <c r="A128" s="46">
        <v>125.0</v>
      </c>
      <c r="B128" s="55">
        <v>1010921.0</v>
      </c>
      <c r="C128" s="48" t="str">
        <f>vlookup(B128,'Crew Data'!C:G,5,0)</f>
        <v>#N/A</v>
      </c>
      <c r="D128" s="270" t="s">
        <v>1381</v>
      </c>
      <c r="E128" s="55">
        <v>2.0</v>
      </c>
      <c r="F128" s="50">
        <f t="shared" si="1"/>
        <v>800</v>
      </c>
      <c r="G128" s="22">
        <f t="shared" si="2"/>
        <v>1</v>
      </c>
      <c r="H128" s="51" t="s">
        <v>20</v>
      </c>
    </row>
    <row r="129" ht="25.5" customHeight="1">
      <c r="A129" s="46">
        <v>126.0</v>
      </c>
      <c r="B129" s="55">
        <v>1019302.0</v>
      </c>
      <c r="C129" s="48" t="str">
        <f>vlookup(B129,'Crew Data'!C:G,5,0)</f>
        <v>Pornpaloach Toklom</v>
      </c>
      <c r="D129" s="270" t="s">
        <v>1401</v>
      </c>
      <c r="E129" s="55">
        <v>4.0</v>
      </c>
      <c r="F129" s="50">
        <f t="shared" si="1"/>
        <v>1600</v>
      </c>
      <c r="G129" s="22">
        <f t="shared" si="2"/>
        <v>1</v>
      </c>
      <c r="H129" s="51" t="s">
        <v>20</v>
      </c>
    </row>
    <row r="130" ht="25.5" customHeight="1">
      <c r="A130" s="46">
        <v>127.0</v>
      </c>
      <c r="B130" s="55">
        <v>1019408.0</v>
      </c>
      <c r="C130" s="48" t="str">
        <f>vlookup(B130,'Crew Data'!C:G,5,0)</f>
        <v>Sarocha Kienvichit</v>
      </c>
      <c r="D130" s="270" t="s">
        <v>1361</v>
      </c>
      <c r="E130" s="55">
        <v>2.0</v>
      </c>
      <c r="F130" s="50">
        <f t="shared" si="1"/>
        <v>800</v>
      </c>
      <c r="G130" s="22">
        <f t="shared" si="2"/>
        <v>1</v>
      </c>
      <c r="H130" s="51" t="s">
        <v>20</v>
      </c>
    </row>
    <row r="131" ht="25.5" customHeight="1">
      <c r="A131" s="46">
        <v>128.0</v>
      </c>
      <c r="B131" s="55">
        <v>1025322.0</v>
      </c>
      <c r="C131" s="48" t="str">
        <f>vlookup(B131,'Crew Data'!C:G,5,0)</f>
        <v>Nathathai Sornthawee</v>
      </c>
      <c r="D131" s="270" t="s">
        <v>1350</v>
      </c>
      <c r="E131" s="55">
        <v>30.0</v>
      </c>
      <c r="F131" s="50">
        <f t="shared" si="1"/>
        <v>12000</v>
      </c>
      <c r="G131" s="22">
        <f t="shared" si="2"/>
        <v>1</v>
      </c>
      <c r="H131" s="51" t="s">
        <v>20</v>
      </c>
    </row>
    <row r="132" ht="25.5" customHeight="1">
      <c r="A132" s="46">
        <v>129.0</v>
      </c>
      <c r="B132" s="55">
        <v>1005831.0</v>
      </c>
      <c r="C132" s="48" t="str">
        <f>vlookup(B132,'Crew Data'!C:G,5,0)</f>
        <v>#N/A</v>
      </c>
      <c r="D132" s="270" t="s">
        <v>1381</v>
      </c>
      <c r="E132" s="55">
        <v>2.0</v>
      </c>
      <c r="F132" s="50">
        <f t="shared" si="1"/>
        <v>800</v>
      </c>
      <c r="G132" s="22">
        <f t="shared" si="2"/>
        <v>1</v>
      </c>
      <c r="H132" s="51" t="s">
        <v>20</v>
      </c>
    </row>
    <row r="133" ht="25.5" customHeight="1">
      <c r="A133" s="46">
        <v>130.0</v>
      </c>
      <c r="B133" s="55">
        <v>1014346.0</v>
      </c>
      <c r="C133" s="48" t="str">
        <f>vlookup(B133,'Crew Data'!C:G,5,0)</f>
        <v>Narongchai Mongkolchartthai</v>
      </c>
      <c r="D133" s="270" t="s">
        <v>1314</v>
      </c>
      <c r="E133" s="55">
        <v>31.0</v>
      </c>
      <c r="F133" s="50">
        <f t="shared" si="1"/>
        <v>12400</v>
      </c>
      <c r="G133" s="22">
        <f t="shared" si="2"/>
        <v>1</v>
      </c>
      <c r="H133" s="51" t="s">
        <v>20</v>
      </c>
    </row>
    <row r="134" ht="25.5" customHeight="1">
      <c r="A134" s="46">
        <v>131.0</v>
      </c>
      <c r="B134" s="55">
        <v>1010874.0</v>
      </c>
      <c r="C134" s="48" t="str">
        <f>vlookup(B134,'Crew Data'!C:G,5,0)</f>
        <v>#N/A</v>
      </c>
      <c r="D134" s="270" t="s">
        <v>1405</v>
      </c>
      <c r="E134" s="55">
        <v>3.0</v>
      </c>
      <c r="F134" s="50">
        <f t="shared" si="1"/>
        <v>1200</v>
      </c>
      <c r="G134" s="22">
        <f t="shared" si="2"/>
        <v>1</v>
      </c>
      <c r="H134" s="51" t="s">
        <v>20</v>
      </c>
    </row>
    <row r="135" ht="25.5" customHeight="1">
      <c r="A135" s="54">
        <v>132.0</v>
      </c>
      <c r="B135" s="55">
        <v>1010710.0</v>
      </c>
      <c r="C135" s="48" t="str">
        <f>vlookup(B135,'Crew Data'!C:G,5,0)</f>
        <v>#N/A</v>
      </c>
      <c r="D135" s="271">
        <v>43799.0</v>
      </c>
      <c r="E135" s="55">
        <v>1.0</v>
      </c>
      <c r="F135" s="50">
        <f t="shared" si="1"/>
        <v>400</v>
      </c>
      <c r="G135" s="22">
        <f t="shared" si="2"/>
        <v>1</v>
      </c>
      <c r="H135" s="51" t="s">
        <v>20</v>
      </c>
    </row>
    <row r="136" ht="25.5" customHeight="1">
      <c r="A136" s="46">
        <v>133.0</v>
      </c>
      <c r="B136" s="55">
        <v>1000705.0</v>
      </c>
      <c r="C136" s="48" t="str">
        <f>vlookup(B136,'Crew Data'!C:G,5,0)</f>
        <v>Avisada Jirunyakul</v>
      </c>
      <c r="D136" s="270" t="s">
        <v>1414</v>
      </c>
      <c r="E136" s="55">
        <v>14.0</v>
      </c>
      <c r="F136" s="50">
        <f t="shared" si="1"/>
        <v>5600</v>
      </c>
      <c r="G136" s="22">
        <f t="shared" si="2"/>
        <v>1</v>
      </c>
      <c r="H136" s="51" t="s">
        <v>20</v>
      </c>
    </row>
    <row r="137" ht="25.5" customHeight="1">
      <c r="A137" s="46">
        <v>134.0</v>
      </c>
      <c r="B137" s="55">
        <v>1018972.0</v>
      </c>
      <c r="C137" s="48" t="str">
        <f>vlookup(B137,'Crew Data'!C:G,5,0)</f>
        <v>#N/A</v>
      </c>
      <c r="D137" s="270" t="s">
        <v>1415</v>
      </c>
      <c r="E137" s="55">
        <v>28.0</v>
      </c>
      <c r="F137" s="50">
        <f t="shared" si="1"/>
        <v>11200</v>
      </c>
      <c r="G137" s="22">
        <f t="shared" si="2"/>
        <v>1</v>
      </c>
      <c r="H137" s="51" t="s">
        <v>20</v>
      </c>
    </row>
    <row r="138" ht="25.5" customHeight="1">
      <c r="A138" s="272"/>
      <c r="B138" s="273"/>
      <c r="C138" s="272"/>
      <c r="D138" s="274"/>
      <c r="E138" s="275"/>
    </row>
    <row r="139" ht="25.5" customHeight="1">
      <c r="A139" s="265" t="s">
        <v>1183</v>
      </c>
      <c r="B139" s="252"/>
      <c r="C139" s="253"/>
      <c r="D139" s="274"/>
      <c r="E139" s="275"/>
    </row>
    <row r="140" ht="25.5" customHeight="1">
      <c r="A140" s="254" t="s">
        <v>1153</v>
      </c>
      <c r="B140" s="255" t="s">
        <v>1154</v>
      </c>
      <c r="C140" s="256" t="s">
        <v>1155</v>
      </c>
      <c r="D140" s="274"/>
      <c r="E140" s="275"/>
    </row>
    <row r="141" ht="25.5" customHeight="1">
      <c r="A141" s="257" t="s">
        <v>1156</v>
      </c>
      <c r="B141" s="258" t="s">
        <v>1157</v>
      </c>
      <c r="C141" s="259" t="s">
        <v>1158</v>
      </c>
      <c r="D141" s="274"/>
      <c r="E141" s="275"/>
    </row>
    <row r="142" ht="25.5" customHeight="1">
      <c r="A142" s="257" t="s">
        <v>1159</v>
      </c>
      <c r="B142" s="258" t="s">
        <v>1157</v>
      </c>
      <c r="C142" s="259" t="s">
        <v>1158</v>
      </c>
      <c r="D142" s="274"/>
      <c r="E142" s="275"/>
    </row>
    <row r="143" ht="25.5" customHeight="1">
      <c r="A143" s="257" t="s">
        <v>1160</v>
      </c>
      <c r="B143" s="260" t="s">
        <v>1157</v>
      </c>
      <c r="C143" s="259" t="s">
        <v>1158</v>
      </c>
      <c r="D143" s="274"/>
      <c r="E143" s="275"/>
    </row>
    <row r="144" ht="25.5" customHeight="1">
      <c r="A144" s="31"/>
      <c r="B144" s="31"/>
      <c r="C144" s="31"/>
      <c r="D144" s="274"/>
      <c r="E144" s="275"/>
    </row>
    <row r="145" ht="25.5" customHeight="1">
      <c r="A145" s="261" t="s">
        <v>1416</v>
      </c>
      <c r="B145" s="262"/>
      <c r="C145" s="31"/>
      <c r="D145" s="274"/>
      <c r="E145" s="275"/>
    </row>
    <row r="146" ht="25.5" customHeight="1">
      <c r="A146" s="272"/>
      <c r="B146" s="273"/>
      <c r="C146" s="272"/>
      <c r="D146" s="274"/>
      <c r="E146" s="275"/>
    </row>
    <row r="147" ht="25.5" customHeight="1">
      <c r="A147" s="272"/>
      <c r="B147" s="273"/>
      <c r="C147" s="272"/>
      <c r="D147" s="274"/>
      <c r="E147" s="275"/>
    </row>
    <row r="148" ht="25.5" customHeight="1">
      <c r="A148" s="272"/>
      <c r="B148" s="273"/>
      <c r="C148" s="272"/>
      <c r="D148" s="274"/>
      <c r="E148" s="275"/>
    </row>
    <row r="149" ht="25.5" customHeight="1">
      <c r="A149" s="272"/>
      <c r="B149" s="273"/>
      <c r="C149" s="272"/>
      <c r="D149" s="274"/>
      <c r="E149" s="275"/>
    </row>
    <row r="150" ht="25.5" customHeight="1">
      <c r="A150" s="272"/>
      <c r="B150" s="273"/>
      <c r="C150" s="272"/>
      <c r="D150" s="274"/>
      <c r="E150" s="275"/>
    </row>
    <row r="151" ht="25.5" customHeight="1">
      <c r="A151" s="272"/>
      <c r="B151" s="273"/>
      <c r="C151" s="272"/>
      <c r="D151" s="274"/>
      <c r="E151" s="275"/>
    </row>
    <row r="152" ht="25.5" customHeight="1">
      <c r="A152" s="272"/>
      <c r="B152" s="273"/>
      <c r="C152" s="272"/>
      <c r="D152" s="274"/>
      <c r="E152" s="275"/>
    </row>
    <row r="153" ht="25.5" customHeight="1">
      <c r="A153" s="272"/>
      <c r="B153" s="273"/>
      <c r="C153" s="272"/>
      <c r="D153" s="274"/>
      <c r="E153" s="275"/>
    </row>
    <row r="154" ht="25.5" customHeight="1">
      <c r="A154" s="272"/>
      <c r="B154" s="273"/>
      <c r="C154" s="272"/>
      <c r="D154" s="274"/>
      <c r="E154" s="275"/>
    </row>
    <row r="155" ht="25.5" customHeight="1">
      <c r="A155" s="272"/>
      <c r="B155" s="273"/>
      <c r="C155" s="272"/>
      <c r="D155" s="274"/>
      <c r="E155" s="275"/>
    </row>
    <row r="156" ht="25.5" customHeight="1">
      <c r="A156" s="272"/>
      <c r="B156" s="273"/>
      <c r="C156" s="272"/>
      <c r="D156" s="274"/>
      <c r="E156" s="275"/>
    </row>
    <row r="157" ht="25.5" customHeight="1">
      <c r="A157" s="272"/>
      <c r="B157" s="273"/>
      <c r="C157" s="272"/>
      <c r="D157" s="274"/>
      <c r="E157" s="275"/>
    </row>
    <row r="158" ht="25.5" customHeight="1">
      <c r="A158" s="272"/>
      <c r="B158" s="273"/>
      <c r="C158" s="272"/>
      <c r="D158" s="274"/>
      <c r="E158" s="275"/>
    </row>
    <row r="159" ht="25.5" customHeight="1">
      <c r="A159" s="272"/>
      <c r="B159" s="273"/>
      <c r="C159" s="272"/>
      <c r="D159" s="274"/>
      <c r="E159" s="275"/>
    </row>
    <row r="160" ht="25.5" customHeight="1">
      <c r="A160" s="272"/>
      <c r="B160" s="273"/>
      <c r="C160" s="272"/>
      <c r="D160" s="274"/>
      <c r="E160" s="275"/>
    </row>
    <row r="161" ht="25.5" customHeight="1">
      <c r="A161" s="272"/>
      <c r="B161" s="273"/>
      <c r="C161" s="272"/>
      <c r="D161" s="274"/>
      <c r="E161" s="275"/>
    </row>
    <row r="162" ht="25.5" customHeight="1">
      <c r="A162" s="272"/>
      <c r="B162" s="273"/>
      <c r="C162" s="272"/>
      <c r="D162" s="274"/>
      <c r="E162" s="275"/>
    </row>
    <row r="163" ht="25.5" customHeight="1">
      <c r="A163" s="272"/>
      <c r="B163" s="273"/>
      <c r="C163" s="272"/>
      <c r="D163" s="274"/>
      <c r="E163" s="275"/>
    </row>
    <row r="164" ht="25.5" customHeight="1">
      <c r="A164" s="272"/>
      <c r="B164" s="273"/>
      <c r="C164" s="272"/>
      <c r="D164" s="274"/>
      <c r="E164" s="275"/>
    </row>
    <row r="165" ht="25.5" customHeight="1">
      <c r="A165" s="272"/>
      <c r="B165" s="273"/>
      <c r="C165" s="272"/>
      <c r="D165" s="274"/>
      <c r="E165" s="275"/>
    </row>
    <row r="166" ht="25.5" customHeight="1">
      <c r="A166" s="272"/>
      <c r="B166" s="273"/>
      <c r="C166" s="272"/>
      <c r="D166" s="274"/>
      <c r="E166" s="275"/>
    </row>
    <row r="167" ht="25.5" customHeight="1">
      <c r="A167" s="272"/>
      <c r="B167" s="273"/>
      <c r="C167" s="272"/>
      <c r="D167" s="274"/>
      <c r="E167" s="275"/>
    </row>
    <row r="168" ht="25.5" customHeight="1">
      <c r="A168" s="272"/>
      <c r="B168" s="273"/>
      <c r="C168" s="272"/>
      <c r="D168" s="274"/>
      <c r="E168" s="275"/>
    </row>
    <row r="169" ht="25.5" customHeight="1">
      <c r="A169" s="272"/>
      <c r="B169" s="273"/>
      <c r="C169" s="272"/>
      <c r="D169" s="274"/>
      <c r="E169" s="275"/>
    </row>
    <row r="170" ht="25.5" customHeight="1">
      <c r="A170" s="272"/>
      <c r="B170" s="273"/>
      <c r="C170" s="272"/>
      <c r="D170" s="274"/>
      <c r="E170" s="275"/>
    </row>
    <row r="171" ht="25.5" customHeight="1">
      <c r="A171" s="272"/>
      <c r="B171" s="273"/>
      <c r="C171" s="272"/>
      <c r="D171" s="274"/>
      <c r="E171" s="275"/>
    </row>
    <row r="172" ht="25.5" customHeight="1">
      <c r="A172" s="272"/>
      <c r="B172" s="273"/>
      <c r="C172" s="272"/>
      <c r="D172" s="274"/>
      <c r="E172" s="275"/>
    </row>
    <row r="173" ht="25.5" customHeight="1">
      <c r="A173" s="272"/>
      <c r="B173" s="273"/>
      <c r="C173" s="272"/>
      <c r="D173" s="274"/>
      <c r="E173" s="275"/>
    </row>
    <row r="174" ht="25.5" customHeight="1">
      <c r="A174" s="272"/>
      <c r="B174" s="273"/>
      <c r="C174" s="272"/>
      <c r="D174" s="274"/>
      <c r="E174" s="275"/>
    </row>
    <row r="175" ht="25.5" customHeight="1">
      <c r="A175" s="272"/>
      <c r="B175" s="273"/>
      <c r="C175" s="272"/>
      <c r="D175" s="274"/>
      <c r="E175" s="275"/>
    </row>
    <row r="176" ht="25.5" customHeight="1">
      <c r="A176" s="272"/>
      <c r="B176" s="273"/>
      <c r="C176" s="272"/>
      <c r="D176" s="274"/>
      <c r="E176" s="275"/>
    </row>
    <row r="177" ht="25.5" customHeight="1">
      <c r="A177" s="272"/>
      <c r="B177" s="273"/>
      <c r="C177" s="272"/>
      <c r="D177" s="274"/>
      <c r="E177" s="275"/>
    </row>
    <row r="178" ht="25.5" customHeight="1">
      <c r="A178" s="272"/>
      <c r="B178" s="273"/>
      <c r="C178" s="272"/>
      <c r="D178" s="274"/>
      <c r="E178" s="275"/>
    </row>
    <row r="179" ht="25.5" customHeight="1">
      <c r="A179" s="272"/>
      <c r="B179" s="273"/>
      <c r="C179" s="272"/>
      <c r="D179" s="274"/>
      <c r="E179" s="275"/>
    </row>
    <row r="180" ht="25.5" customHeight="1">
      <c r="A180" s="272"/>
      <c r="B180" s="273"/>
      <c r="C180" s="272"/>
      <c r="D180" s="274"/>
      <c r="E180" s="275"/>
    </row>
    <row r="181" ht="25.5" customHeight="1">
      <c r="A181" s="272"/>
      <c r="B181" s="273"/>
      <c r="C181" s="272"/>
      <c r="D181" s="274"/>
      <c r="E181" s="275"/>
    </row>
    <row r="182" ht="25.5" customHeight="1">
      <c r="A182" s="272"/>
      <c r="B182" s="273"/>
      <c r="C182" s="272"/>
      <c r="D182" s="274"/>
      <c r="E182" s="275"/>
    </row>
    <row r="183" ht="25.5" customHeight="1">
      <c r="A183" s="272"/>
      <c r="B183" s="273"/>
      <c r="C183" s="272"/>
      <c r="D183" s="274"/>
      <c r="E183" s="275"/>
    </row>
    <row r="184" ht="25.5" customHeight="1">
      <c r="A184" s="272"/>
      <c r="B184" s="273"/>
      <c r="C184" s="272"/>
      <c r="D184" s="274"/>
      <c r="E184" s="275"/>
    </row>
    <row r="185" ht="25.5" customHeight="1">
      <c r="A185" s="272"/>
      <c r="B185" s="273"/>
      <c r="C185" s="272"/>
      <c r="D185" s="274"/>
      <c r="E185" s="275"/>
    </row>
    <row r="186" ht="25.5" customHeight="1">
      <c r="A186" s="272"/>
      <c r="B186" s="273"/>
      <c r="C186" s="272"/>
      <c r="D186" s="274"/>
      <c r="E186" s="275"/>
    </row>
    <row r="187" ht="25.5" customHeight="1">
      <c r="A187" s="272"/>
      <c r="B187" s="273"/>
      <c r="C187" s="272"/>
      <c r="D187" s="274"/>
      <c r="E187" s="275"/>
    </row>
    <row r="188" ht="25.5" customHeight="1">
      <c r="A188" s="272"/>
      <c r="B188" s="273"/>
      <c r="C188" s="272"/>
      <c r="D188" s="274"/>
      <c r="E188" s="275"/>
    </row>
    <row r="189" ht="25.5" customHeight="1">
      <c r="A189" s="272"/>
      <c r="B189" s="273"/>
      <c r="C189" s="272"/>
      <c r="D189" s="274"/>
      <c r="E189" s="275"/>
    </row>
    <row r="190" ht="25.5" customHeight="1">
      <c r="A190" s="272"/>
      <c r="B190" s="273"/>
      <c r="C190" s="272"/>
      <c r="D190" s="274"/>
      <c r="E190" s="275"/>
    </row>
    <row r="191" ht="25.5" customHeight="1">
      <c r="A191" s="272"/>
      <c r="B191" s="273"/>
      <c r="C191" s="272"/>
      <c r="D191" s="274"/>
      <c r="E191" s="275"/>
    </row>
    <row r="192" ht="25.5" customHeight="1">
      <c r="A192" s="272"/>
      <c r="B192" s="273"/>
      <c r="C192" s="272"/>
      <c r="D192" s="274"/>
      <c r="E192" s="275"/>
    </row>
    <row r="193" ht="25.5" customHeight="1">
      <c r="A193" s="272"/>
      <c r="B193" s="273"/>
      <c r="C193" s="272"/>
      <c r="D193" s="274"/>
      <c r="E193" s="275"/>
    </row>
    <row r="194" ht="25.5" customHeight="1">
      <c r="A194" s="272"/>
      <c r="B194" s="273"/>
      <c r="C194" s="272"/>
      <c r="D194" s="274"/>
      <c r="E194" s="275"/>
    </row>
    <row r="195" ht="25.5" customHeight="1">
      <c r="A195" s="272"/>
      <c r="B195" s="273"/>
      <c r="C195" s="272"/>
      <c r="D195" s="274"/>
      <c r="E195" s="275"/>
    </row>
    <row r="196" ht="25.5" customHeight="1">
      <c r="A196" s="272"/>
      <c r="B196" s="273"/>
      <c r="C196" s="272"/>
      <c r="D196" s="274"/>
      <c r="E196" s="275"/>
    </row>
    <row r="197" ht="25.5" customHeight="1">
      <c r="A197" s="272"/>
      <c r="B197" s="273"/>
      <c r="C197" s="272"/>
      <c r="D197" s="274"/>
      <c r="E197" s="275"/>
    </row>
    <row r="198" ht="25.5" customHeight="1">
      <c r="A198" s="272"/>
      <c r="B198" s="273"/>
      <c r="C198" s="272"/>
      <c r="D198" s="274"/>
      <c r="E198" s="275"/>
    </row>
    <row r="199" ht="25.5" customHeight="1">
      <c r="A199" s="272"/>
      <c r="B199" s="273"/>
      <c r="C199" s="272"/>
      <c r="D199" s="274"/>
      <c r="E199" s="275"/>
    </row>
    <row r="200" ht="25.5" customHeight="1">
      <c r="A200" s="272"/>
      <c r="B200" s="273"/>
      <c r="C200" s="272"/>
      <c r="D200" s="274"/>
      <c r="E200" s="275"/>
    </row>
    <row r="201" ht="25.5" customHeight="1">
      <c r="A201" s="272"/>
      <c r="B201" s="273"/>
      <c r="C201" s="272"/>
      <c r="D201" s="274"/>
      <c r="E201" s="275"/>
    </row>
    <row r="202" ht="25.5" customHeight="1">
      <c r="A202" s="272"/>
      <c r="B202" s="273"/>
      <c r="C202" s="272"/>
      <c r="D202" s="274"/>
      <c r="E202" s="275"/>
    </row>
    <row r="203" ht="25.5" customHeight="1">
      <c r="A203" s="272"/>
      <c r="B203" s="273"/>
      <c r="C203" s="272"/>
      <c r="D203" s="274"/>
      <c r="E203" s="275"/>
    </row>
    <row r="204" ht="25.5" customHeight="1">
      <c r="A204" s="272"/>
      <c r="B204" s="273"/>
      <c r="C204" s="272"/>
      <c r="D204" s="274"/>
      <c r="E204" s="275"/>
    </row>
    <row r="205" ht="25.5" customHeight="1">
      <c r="A205" s="272"/>
      <c r="B205" s="273"/>
      <c r="C205" s="272"/>
      <c r="D205" s="274"/>
      <c r="E205" s="275"/>
    </row>
    <row r="206" ht="25.5" customHeight="1">
      <c r="A206" s="272"/>
      <c r="B206" s="273"/>
      <c r="C206" s="272"/>
      <c r="D206" s="274"/>
      <c r="E206" s="275"/>
    </row>
    <row r="207" ht="25.5" customHeight="1">
      <c r="A207" s="272"/>
      <c r="B207" s="273"/>
      <c r="C207" s="272"/>
      <c r="D207" s="274"/>
      <c r="E207" s="275"/>
    </row>
    <row r="208" ht="25.5" customHeight="1">
      <c r="A208" s="272"/>
      <c r="B208" s="273"/>
      <c r="C208" s="272"/>
      <c r="D208" s="274"/>
      <c r="E208" s="275"/>
    </row>
    <row r="209" ht="25.5" customHeight="1">
      <c r="A209" s="272"/>
      <c r="B209" s="273"/>
      <c r="C209" s="272"/>
      <c r="D209" s="274"/>
      <c r="E209" s="275"/>
    </row>
    <row r="210" ht="25.5" customHeight="1">
      <c r="A210" s="272"/>
      <c r="B210" s="273"/>
      <c r="C210" s="272"/>
      <c r="D210" s="274"/>
      <c r="E210" s="275"/>
    </row>
    <row r="211" ht="25.5" customHeight="1">
      <c r="A211" s="272"/>
      <c r="B211" s="273"/>
      <c r="C211" s="272"/>
      <c r="D211" s="274"/>
      <c r="E211" s="275"/>
    </row>
    <row r="212" ht="25.5" customHeight="1">
      <c r="A212" s="272"/>
      <c r="B212" s="273"/>
      <c r="C212" s="272"/>
      <c r="D212" s="274"/>
      <c r="E212" s="275"/>
    </row>
    <row r="213" ht="25.5" customHeight="1">
      <c r="A213" s="272"/>
      <c r="B213" s="273"/>
      <c r="C213" s="272"/>
      <c r="D213" s="274"/>
      <c r="E213" s="275"/>
    </row>
    <row r="214" ht="25.5" customHeight="1">
      <c r="A214" s="272"/>
      <c r="B214" s="273"/>
      <c r="C214" s="272"/>
      <c r="D214" s="274"/>
      <c r="E214" s="275"/>
    </row>
    <row r="215" ht="25.5" customHeight="1">
      <c r="A215" s="272"/>
      <c r="B215" s="273"/>
      <c r="C215" s="272"/>
      <c r="D215" s="274"/>
      <c r="E215" s="275"/>
    </row>
    <row r="216" ht="25.5" customHeight="1">
      <c r="A216" s="272"/>
      <c r="B216" s="273"/>
      <c r="C216" s="272"/>
      <c r="D216" s="274"/>
      <c r="E216" s="275"/>
    </row>
    <row r="217" ht="25.5" customHeight="1">
      <c r="A217" s="272"/>
      <c r="B217" s="273"/>
      <c r="C217" s="272"/>
      <c r="D217" s="274"/>
      <c r="E217" s="275"/>
    </row>
    <row r="218" ht="25.5" customHeight="1">
      <c r="A218" s="272"/>
      <c r="B218" s="273"/>
      <c r="C218" s="272"/>
      <c r="D218" s="274"/>
      <c r="E218" s="275"/>
    </row>
    <row r="219" ht="25.5" customHeight="1">
      <c r="A219" s="272"/>
      <c r="B219" s="273"/>
      <c r="C219" s="272"/>
      <c r="D219" s="274"/>
      <c r="E219" s="275"/>
    </row>
    <row r="220" ht="25.5" customHeight="1">
      <c r="A220" s="272"/>
      <c r="B220" s="273"/>
      <c r="C220" s="272"/>
      <c r="D220" s="274"/>
      <c r="E220" s="275"/>
    </row>
    <row r="221" ht="25.5" customHeight="1">
      <c r="A221" s="272"/>
      <c r="B221" s="273"/>
      <c r="C221" s="272"/>
      <c r="D221" s="274"/>
      <c r="E221" s="275"/>
    </row>
    <row r="222" ht="25.5" customHeight="1">
      <c r="A222" s="272"/>
      <c r="B222" s="273"/>
      <c r="C222" s="272"/>
      <c r="D222" s="274"/>
      <c r="E222" s="275"/>
    </row>
    <row r="223" ht="25.5" customHeight="1">
      <c r="A223" s="272"/>
      <c r="B223" s="273"/>
      <c r="C223" s="272"/>
      <c r="D223" s="274"/>
      <c r="E223" s="275"/>
    </row>
    <row r="224" ht="25.5" customHeight="1">
      <c r="A224" s="272"/>
      <c r="B224" s="273"/>
      <c r="C224" s="272"/>
      <c r="D224" s="274"/>
      <c r="E224" s="275"/>
    </row>
    <row r="225" ht="25.5" customHeight="1">
      <c r="A225" s="272"/>
      <c r="B225" s="273"/>
      <c r="C225" s="272"/>
      <c r="D225" s="274"/>
      <c r="E225" s="275"/>
    </row>
    <row r="226" ht="25.5" customHeight="1">
      <c r="A226" s="272"/>
      <c r="B226" s="273"/>
      <c r="C226" s="272"/>
      <c r="D226" s="274"/>
      <c r="E226" s="275"/>
    </row>
    <row r="227" ht="25.5" customHeight="1">
      <c r="A227" s="272"/>
      <c r="B227" s="273"/>
      <c r="C227" s="272"/>
      <c r="D227" s="274"/>
      <c r="E227" s="275"/>
    </row>
    <row r="228" ht="25.5" customHeight="1">
      <c r="A228" s="272"/>
      <c r="B228" s="273"/>
      <c r="C228" s="272"/>
      <c r="D228" s="274"/>
      <c r="E228" s="275"/>
    </row>
    <row r="229" ht="25.5" customHeight="1">
      <c r="A229" s="272"/>
      <c r="B229" s="273"/>
      <c r="C229" s="272"/>
      <c r="D229" s="274"/>
      <c r="E229" s="275"/>
    </row>
    <row r="230" ht="25.5" customHeight="1">
      <c r="A230" s="272"/>
      <c r="B230" s="273"/>
      <c r="C230" s="272"/>
      <c r="D230" s="274"/>
      <c r="E230" s="275"/>
    </row>
    <row r="231" ht="25.5" customHeight="1">
      <c r="A231" s="272"/>
      <c r="B231" s="273"/>
      <c r="C231" s="272"/>
      <c r="D231" s="274"/>
      <c r="E231" s="275"/>
    </row>
    <row r="232" ht="25.5" customHeight="1">
      <c r="A232" s="272"/>
      <c r="B232" s="273"/>
      <c r="C232" s="272"/>
      <c r="D232" s="274"/>
      <c r="E232" s="275"/>
    </row>
    <row r="233" ht="25.5" customHeight="1">
      <c r="A233" s="272"/>
      <c r="B233" s="273"/>
      <c r="C233" s="272"/>
      <c r="D233" s="274"/>
      <c r="E233" s="275"/>
    </row>
    <row r="234" ht="25.5" customHeight="1">
      <c r="A234" s="272"/>
      <c r="B234" s="273"/>
      <c r="C234" s="272"/>
      <c r="D234" s="274"/>
      <c r="E234" s="275"/>
    </row>
    <row r="235" ht="25.5" customHeight="1">
      <c r="A235" s="272"/>
      <c r="B235" s="273"/>
      <c r="C235" s="272"/>
      <c r="D235" s="274"/>
      <c r="E235" s="275"/>
    </row>
    <row r="236" ht="25.5" customHeight="1">
      <c r="A236" s="272"/>
      <c r="B236" s="273"/>
      <c r="C236" s="272"/>
      <c r="D236" s="274"/>
      <c r="E236" s="275"/>
    </row>
    <row r="237" ht="25.5" customHeight="1">
      <c r="A237" s="272"/>
      <c r="B237" s="273"/>
      <c r="C237" s="272"/>
      <c r="D237" s="274"/>
      <c r="E237" s="275"/>
    </row>
    <row r="238" ht="25.5" customHeight="1">
      <c r="A238" s="272"/>
      <c r="B238" s="273"/>
      <c r="C238" s="272"/>
      <c r="D238" s="274"/>
      <c r="E238" s="275"/>
    </row>
    <row r="239" ht="25.5" customHeight="1">
      <c r="A239" s="272"/>
      <c r="B239" s="273"/>
      <c r="C239" s="272"/>
      <c r="D239" s="274"/>
      <c r="E239" s="275"/>
    </row>
    <row r="240" ht="25.5" customHeight="1">
      <c r="A240" s="272"/>
      <c r="B240" s="273"/>
      <c r="C240" s="272"/>
      <c r="D240" s="274"/>
      <c r="E240" s="275"/>
    </row>
    <row r="241" ht="25.5" customHeight="1">
      <c r="A241" s="272"/>
      <c r="B241" s="273"/>
      <c r="C241" s="272"/>
      <c r="D241" s="274"/>
      <c r="E241" s="275"/>
    </row>
    <row r="242" ht="25.5" customHeight="1">
      <c r="A242" s="272"/>
      <c r="B242" s="273"/>
      <c r="C242" s="272"/>
      <c r="D242" s="274"/>
      <c r="E242" s="275"/>
    </row>
    <row r="243" ht="25.5" customHeight="1">
      <c r="A243" s="272"/>
      <c r="B243" s="273"/>
      <c r="C243" s="272"/>
      <c r="D243" s="274"/>
      <c r="E243" s="275"/>
    </row>
    <row r="244" ht="25.5" customHeight="1">
      <c r="A244" s="272"/>
      <c r="B244" s="273"/>
      <c r="C244" s="272"/>
      <c r="D244" s="274"/>
      <c r="E244" s="275"/>
    </row>
    <row r="245" ht="25.5" customHeight="1">
      <c r="A245" s="272"/>
      <c r="B245" s="273"/>
      <c r="C245" s="272"/>
      <c r="D245" s="274"/>
      <c r="E245" s="275"/>
    </row>
    <row r="246" ht="25.5" customHeight="1">
      <c r="A246" s="272"/>
      <c r="B246" s="273"/>
      <c r="C246" s="272"/>
      <c r="D246" s="274"/>
      <c r="E246" s="275"/>
    </row>
    <row r="247" ht="25.5" customHeight="1">
      <c r="A247" s="272"/>
      <c r="B247" s="273"/>
      <c r="C247" s="272"/>
      <c r="D247" s="274"/>
      <c r="E247" s="275"/>
    </row>
    <row r="248" ht="25.5" customHeight="1">
      <c r="A248" s="272"/>
      <c r="B248" s="273"/>
      <c r="C248" s="272"/>
      <c r="D248" s="274"/>
      <c r="E248" s="275"/>
    </row>
    <row r="249" ht="25.5" customHeight="1">
      <c r="A249" s="272"/>
      <c r="B249" s="273"/>
      <c r="C249" s="272"/>
      <c r="D249" s="274"/>
      <c r="E249" s="275"/>
    </row>
    <row r="250" ht="25.5" customHeight="1">
      <c r="A250" s="272"/>
      <c r="B250" s="273"/>
      <c r="C250" s="272"/>
      <c r="D250" s="274"/>
      <c r="E250" s="275"/>
    </row>
    <row r="251" ht="25.5" customHeight="1">
      <c r="A251" s="272"/>
      <c r="B251" s="273"/>
      <c r="C251" s="272"/>
      <c r="D251" s="274"/>
      <c r="E251" s="275"/>
    </row>
    <row r="252" ht="25.5" customHeight="1">
      <c r="A252" s="272"/>
      <c r="B252" s="273"/>
      <c r="C252" s="272"/>
      <c r="D252" s="274"/>
      <c r="E252" s="275"/>
    </row>
    <row r="253" ht="25.5" customHeight="1">
      <c r="A253" s="272"/>
      <c r="B253" s="273"/>
      <c r="C253" s="272"/>
      <c r="D253" s="274"/>
      <c r="E253" s="275"/>
    </row>
    <row r="254" ht="25.5" customHeight="1">
      <c r="A254" s="272"/>
      <c r="B254" s="273"/>
      <c r="C254" s="272"/>
      <c r="D254" s="274"/>
      <c r="E254" s="275"/>
    </row>
    <row r="255" ht="25.5" customHeight="1">
      <c r="A255" s="272"/>
      <c r="B255" s="273"/>
      <c r="C255" s="272"/>
      <c r="D255" s="274"/>
      <c r="E255" s="275"/>
    </row>
    <row r="256" ht="25.5" customHeight="1">
      <c r="A256" s="272"/>
      <c r="B256" s="273"/>
      <c r="C256" s="272"/>
      <c r="D256" s="274"/>
      <c r="E256" s="275"/>
    </row>
    <row r="257" ht="25.5" customHeight="1">
      <c r="A257" s="272"/>
      <c r="B257" s="273"/>
      <c r="C257" s="272"/>
      <c r="D257" s="274"/>
      <c r="E257" s="275"/>
    </row>
    <row r="258" ht="25.5" customHeight="1">
      <c r="A258" s="272"/>
      <c r="B258" s="273"/>
      <c r="C258" s="272"/>
      <c r="D258" s="274"/>
      <c r="E258" s="275"/>
    </row>
    <row r="259" ht="25.5" customHeight="1">
      <c r="A259" s="272"/>
      <c r="B259" s="273"/>
      <c r="C259" s="272"/>
      <c r="D259" s="274"/>
      <c r="E259" s="275"/>
    </row>
    <row r="260" ht="25.5" customHeight="1">
      <c r="A260" s="272"/>
      <c r="B260" s="273"/>
      <c r="C260" s="272"/>
      <c r="D260" s="274"/>
      <c r="E260" s="275"/>
    </row>
    <row r="261" ht="25.5" customHeight="1">
      <c r="A261" s="272"/>
      <c r="B261" s="273"/>
      <c r="C261" s="272"/>
      <c r="D261" s="274"/>
      <c r="E261" s="275"/>
    </row>
    <row r="262" ht="25.5" customHeight="1">
      <c r="A262" s="272"/>
      <c r="B262" s="273"/>
      <c r="C262" s="272"/>
      <c r="D262" s="274"/>
      <c r="E262" s="275"/>
    </row>
    <row r="263" ht="25.5" customHeight="1">
      <c r="A263" s="272"/>
      <c r="B263" s="273"/>
      <c r="C263" s="272"/>
      <c r="D263" s="274"/>
      <c r="E263" s="275"/>
    </row>
    <row r="264" ht="25.5" customHeight="1">
      <c r="A264" s="272"/>
      <c r="B264" s="273"/>
      <c r="C264" s="272"/>
      <c r="D264" s="274"/>
      <c r="E264" s="275"/>
    </row>
    <row r="265" ht="25.5" customHeight="1">
      <c r="A265" s="272"/>
      <c r="B265" s="273"/>
      <c r="C265" s="272"/>
      <c r="D265" s="274"/>
      <c r="E265" s="275"/>
    </row>
    <row r="266" ht="25.5" customHeight="1">
      <c r="A266" s="272"/>
      <c r="B266" s="273"/>
      <c r="C266" s="272"/>
      <c r="D266" s="274"/>
      <c r="E266" s="275"/>
    </row>
    <row r="267" ht="25.5" customHeight="1">
      <c r="A267" s="272"/>
      <c r="B267" s="273"/>
      <c r="C267" s="272"/>
      <c r="D267" s="274"/>
      <c r="E267" s="275"/>
    </row>
    <row r="268" ht="25.5" customHeight="1">
      <c r="A268" s="272"/>
      <c r="B268" s="273"/>
      <c r="C268" s="272"/>
      <c r="D268" s="274"/>
      <c r="E268" s="275"/>
    </row>
    <row r="269" ht="25.5" customHeight="1">
      <c r="A269" s="272"/>
      <c r="B269" s="273"/>
      <c r="C269" s="272"/>
      <c r="D269" s="274"/>
      <c r="E269" s="275"/>
    </row>
    <row r="270" ht="25.5" customHeight="1">
      <c r="A270" s="272"/>
      <c r="B270" s="273"/>
      <c r="C270" s="272"/>
      <c r="D270" s="274"/>
      <c r="E270" s="275"/>
    </row>
    <row r="271" ht="25.5" customHeight="1">
      <c r="A271" s="272"/>
      <c r="B271" s="273"/>
      <c r="C271" s="272"/>
      <c r="D271" s="274"/>
      <c r="E271" s="275"/>
    </row>
    <row r="272" ht="25.5" customHeight="1">
      <c r="A272" s="272"/>
      <c r="B272" s="273"/>
      <c r="C272" s="272"/>
      <c r="D272" s="274"/>
      <c r="E272" s="275"/>
    </row>
    <row r="273" ht="25.5" customHeight="1">
      <c r="A273" s="272"/>
      <c r="B273" s="273"/>
      <c r="C273" s="272"/>
      <c r="D273" s="274"/>
      <c r="E273" s="275"/>
    </row>
    <row r="274" ht="25.5" customHeight="1">
      <c r="A274" s="272"/>
      <c r="B274" s="273"/>
      <c r="C274" s="272"/>
      <c r="D274" s="274"/>
      <c r="E274" s="275"/>
    </row>
    <row r="275" ht="25.5" customHeight="1">
      <c r="A275" s="272"/>
      <c r="B275" s="273"/>
      <c r="C275" s="272"/>
      <c r="D275" s="274"/>
      <c r="E275" s="275"/>
    </row>
    <row r="276" ht="25.5" customHeight="1">
      <c r="A276" s="272"/>
      <c r="B276" s="273"/>
      <c r="C276" s="272"/>
      <c r="D276" s="274"/>
      <c r="E276" s="275"/>
    </row>
    <row r="277" ht="25.5" customHeight="1">
      <c r="A277" s="272"/>
      <c r="B277" s="273"/>
      <c r="C277" s="272"/>
      <c r="D277" s="274"/>
      <c r="E277" s="275"/>
    </row>
    <row r="278" ht="25.5" customHeight="1">
      <c r="A278" s="272"/>
      <c r="B278" s="273"/>
      <c r="C278" s="272"/>
      <c r="D278" s="274"/>
      <c r="E278" s="275"/>
    </row>
    <row r="279" ht="25.5" customHeight="1">
      <c r="A279" s="272"/>
      <c r="B279" s="273"/>
      <c r="C279" s="272"/>
      <c r="D279" s="274"/>
      <c r="E279" s="275"/>
    </row>
    <row r="280" ht="25.5" customHeight="1">
      <c r="A280" s="272"/>
      <c r="B280" s="273"/>
      <c r="C280" s="272"/>
      <c r="D280" s="274"/>
      <c r="E280" s="275"/>
    </row>
    <row r="281" ht="25.5" customHeight="1">
      <c r="A281" s="272"/>
      <c r="B281" s="273"/>
      <c r="C281" s="272"/>
      <c r="D281" s="274"/>
      <c r="E281" s="275"/>
    </row>
    <row r="282" ht="25.5" customHeight="1">
      <c r="A282" s="272"/>
      <c r="B282" s="273"/>
      <c r="C282" s="272"/>
      <c r="D282" s="274"/>
      <c r="E282" s="275"/>
    </row>
    <row r="283" ht="25.5" customHeight="1">
      <c r="A283" s="272"/>
      <c r="B283" s="273"/>
      <c r="C283" s="272"/>
      <c r="D283" s="274"/>
      <c r="E283" s="275"/>
    </row>
    <row r="284" ht="25.5" customHeight="1">
      <c r="A284" s="272"/>
      <c r="B284" s="273"/>
      <c r="C284" s="272"/>
      <c r="D284" s="274"/>
      <c r="E284" s="275"/>
    </row>
    <row r="285" ht="25.5" customHeight="1">
      <c r="A285" s="272"/>
      <c r="B285" s="273"/>
      <c r="C285" s="272"/>
      <c r="D285" s="274"/>
      <c r="E285" s="275"/>
    </row>
    <row r="286" ht="25.5" customHeight="1">
      <c r="A286" s="272"/>
      <c r="B286" s="273"/>
      <c r="C286" s="272"/>
      <c r="D286" s="274"/>
      <c r="E286" s="275"/>
    </row>
    <row r="287" ht="25.5" customHeight="1">
      <c r="A287" s="272"/>
      <c r="B287" s="273"/>
      <c r="C287" s="272"/>
      <c r="D287" s="274"/>
      <c r="E287" s="275"/>
    </row>
    <row r="288" ht="25.5" customHeight="1">
      <c r="A288" s="272"/>
      <c r="B288" s="273"/>
      <c r="C288" s="272"/>
      <c r="D288" s="274"/>
      <c r="E288" s="275"/>
    </row>
    <row r="289" ht="25.5" customHeight="1">
      <c r="A289" s="272"/>
      <c r="B289" s="273"/>
      <c r="C289" s="272"/>
      <c r="D289" s="274"/>
      <c r="E289" s="275"/>
    </row>
    <row r="290" ht="25.5" customHeight="1">
      <c r="A290" s="272"/>
      <c r="B290" s="273"/>
      <c r="C290" s="272"/>
      <c r="D290" s="274"/>
      <c r="E290" s="275"/>
    </row>
    <row r="291" ht="25.5" customHeight="1">
      <c r="A291" s="272"/>
      <c r="B291" s="273"/>
      <c r="C291" s="272"/>
      <c r="D291" s="274"/>
      <c r="E291" s="275"/>
    </row>
    <row r="292" ht="25.5" customHeight="1">
      <c r="A292" s="272"/>
      <c r="B292" s="273"/>
      <c r="C292" s="272"/>
      <c r="D292" s="274"/>
      <c r="E292" s="275"/>
    </row>
    <row r="293" ht="25.5" customHeight="1">
      <c r="A293" s="272"/>
      <c r="B293" s="273"/>
      <c r="C293" s="272"/>
      <c r="D293" s="274"/>
      <c r="E293" s="275"/>
    </row>
    <row r="294" ht="25.5" customHeight="1">
      <c r="A294" s="272"/>
      <c r="B294" s="273"/>
      <c r="C294" s="272"/>
      <c r="D294" s="274"/>
      <c r="E294" s="275"/>
    </row>
    <row r="295" ht="25.5" customHeight="1">
      <c r="A295" s="272"/>
      <c r="B295" s="273"/>
      <c r="C295" s="272"/>
      <c r="D295" s="274"/>
      <c r="E295" s="275"/>
    </row>
    <row r="296" ht="25.5" customHeight="1">
      <c r="A296" s="272"/>
      <c r="B296" s="273"/>
      <c r="C296" s="272"/>
      <c r="D296" s="274"/>
      <c r="E296" s="275"/>
    </row>
    <row r="297" ht="25.5" customHeight="1">
      <c r="A297" s="272"/>
      <c r="B297" s="273"/>
      <c r="C297" s="272"/>
      <c r="D297" s="274"/>
      <c r="E297" s="275"/>
    </row>
    <row r="298" ht="25.5" customHeight="1">
      <c r="A298" s="272"/>
      <c r="B298" s="273"/>
      <c r="C298" s="272"/>
      <c r="D298" s="274"/>
      <c r="E298" s="275"/>
    </row>
    <row r="299" ht="25.5" customHeight="1">
      <c r="A299" s="272"/>
      <c r="B299" s="273"/>
      <c r="C299" s="272"/>
      <c r="D299" s="274"/>
      <c r="E299" s="275"/>
    </row>
    <row r="300" ht="25.5" customHeight="1">
      <c r="A300" s="272"/>
      <c r="B300" s="273"/>
      <c r="C300" s="272"/>
      <c r="D300" s="274"/>
      <c r="E300" s="275"/>
    </row>
    <row r="301" ht="25.5" customHeight="1">
      <c r="A301" s="272"/>
      <c r="B301" s="273"/>
      <c r="C301" s="272"/>
      <c r="D301" s="274"/>
      <c r="E301" s="275"/>
    </row>
    <row r="302" ht="25.5" customHeight="1">
      <c r="A302" s="272"/>
      <c r="B302" s="273"/>
      <c r="C302" s="272"/>
      <c r="D302" s="274"/>
      <c r="E302" s="275"/>
    </row>
    <row r="303" ht="25.5" customHeight="1">
      <c r="A303" s="272"/>
      <c r="B303" s="273"/>
      <c r="C303" s="272"/>
      <c r="D303" s="274"/>
      <c r="E303" s="275"/>
    </row>
    <row r="304" ht="25.5" customHeight="1">
      <c r="A304" s="272"/>
      <c r="B304" s="273"/>
      <c r="C304" s="272"/>
      <c r="D304" s="274"/>
      <c r="E304" s="275"/>
    </row>
    <row r="305" ht="25.5" customHeight="1">
      <c r="A305" s="272"/>
      <c r="B305" s="273"/>
      <c r="C305" s="272"/>
      <c r="D305" s="274"/>
      <c r="E305" s="275"/>
    </row>
    <row r="306" ht="25.5" customHeight="1">
      <c r="A306" s="272"/>
      <c r="B306" s="273"/>
      <c r="C306" s="272"/>
      <c r="D306" s="274"/>
      <c r="E306" s="275"/>
    </row>
    <row r="307" ht="25.5" customHeight="1">
      <c r="A307" s="272"/>
      <c r="B307" s="273"/>
      <c r="C307" s="272"/>
      <c r="D307" s="274"/>
      <c r="E307" s="275"/>
    </row>
    <row r="308" ht="25.5" customHeight="1">
      <c r="A308" s="272"/>
      <c r="B308" s="273"/>
      <c r="C308" s="272"/>
      <c r="D308" s="274"/>
      <c r="E308" s="275"/>
    </row>
    <row r="309" ht="25.5" customHeight="1">
      <c r="A309" s="272"/>
      <c r="B309" s="273"/>
      <c r="C309" s="272"/>
      <c r="D309" s="274"/>
      <c r="E309" s="275"/>
    </row>
    <row r="310" ht="25.5" customHeight="1">
      <c r="A310" s="272"/>
      <c r="B310" s="273"/>
      <c r="C310" s="272"/>
      <c r="D310" s="274"/>
      <c r="E310" s="275"/>
    </row>
    <row r="311" ht="25.5" customHeight="1">
      <c r="A311" s="272"/>
      <c r="B311" s="273"/>
      <c r="C311" s="272"/>
      <c r="D311" s="274"/>
      <c r="E311" s="275"/>
    </row>
    <row r="312" ht="25.5" customHeight="1">
      <c r="A312" s="272"/>
      <c r="B312" s="273"/>
      <c r="C312" s="272"/>
      <c r="D312" s="274"/>
      <c r="E312" s="275"/>
    </row>
    <row r="313" ht="25.5" customHeight="1">
      <c r="A313" s="272"/>
      <c r="B313" s="273"/>
      <c r="C313" s="272"/>
      <c r="D313" s="274"/>
      <c r="E313" s="275"/>
    </row>
    <row r="314" ht="25.5" customHeight="1">
      <c r="A314" s="272"/>
      <c r="B314" s="273"/>
      <c r="C314" s="272"/>
      <c r="D314" s="274"/>
      <c r="E314" s="275"/>
    </row>
    <row r="315" ht="25.5" customHeight="1">
      <c r="A315" s="272"/>
      <c r="B315" s="273"/>
      <c r="C315" s="272"/>
      <c r="D315" s="274"/>
      <c r="E315" s="275"/>
    </row>
    <row r="316" ht="25.5" customHeight="1">
      <c r="A316" s="272"/>
      <c r="B316" s="273"/>
      <c r="C316" s="272"/>
      <c r="D316" s="274"/>
      <c r="E316" s="275"/>
    </row>
    <row r="317" ht="25.5" customHeight="1">
      <c r="A317" s="272"/>
      <c r="B317" s="273"/>
      <c r="C317" s="272"/>
      <c r="D317" s="274"/>
      <c r="E317" s="275"/>
    </row>
    <row r="318" ht="25.5" customHeight="1">
      <c r="A318" s="272"/>
      <c r="B318" s="273"/>
      <c r="C318" s="272"/>
      <c r="D318" s="274"/>
      <c r="E318" s="275"/>
    </row>
    <row r="319" ht="25.5" customHeight="1">
      <c r="A319" s="272"/>
      <c r="B319" s="273"/>
      <c r="C319" s="272"/>
      <c r="D319" s="274"/>
      <c r="E319" s="275"/>
    </row>
    <row r="320" ht="25.5" customHeight="1">
      <c r="A320" s="272"/>
      <c r="B320" s="273"/>
      <c r="C320" s="272"/>
      <c r="D320" s="274"/>
      <c r="E320" s="275"/>
    </row>
    <row r="321" ht="25.5" customHeight="1">
      <c r="A321" s="272"/>
      <c r="B321" s="273"/>
      <c r="C321" s="272"/>
      <c r="D321" s="274"/>
      <c r="E321" s="275"/>
    </row>
    <row r="322" ht="25.5" customHeight="1">
      <c r="A322" s="272"/>
      <c r="B322" s="273"/>
      <c r="C322" s="272"/>
      <c r="D322" s="274"/>
      <c r="E322" s="275"/>
    </row>
    <row r="323" ht="25.5" customHeight="1">
      <c r="A323" s="272"/>
      <c r="B323" s="273"/>
      <c r="C323" s="272"/>
      <c r="D323" s="274"/>
      <c r="E323" s="275"/>
    </row>
    <row r="324" ht="25.5" customHeight="1">
      <c r="A324" s="272"/>
      <c r="B324" s="273"/>
      <c r="C324" s="272"/>
      <c r="D324" s="274"/>
      <c r="E324" s="275"/>
    </row>
    <row r="325" ht="25.5" customHeight="1">
      <c r="A325" s="272"/>
      <c r="B325" s="273"/>
      <c r="C325" s="272"/>
      <c r="D325" s="274"/>
      <c r="E325" s="275"/>
    </row>
    <row r="326" ht="25.5" customHeight="1">
      <c r="A326" s="272"/>
      <c r="B326" s="273"/>
      <c r="C326" s="272"/>
      <c r="D326" s="274"/>
      <c r="E326" s="275"/>
    </row>
    <row r="327" ht="25.5" customHeight="1">
      <c r="A327" s="272"/>
      <c r="B327" s="273"/>
      <c r="C327" s="272"/>
      <c r="D327" s="274"/>
      <c r="E327" s="275"/>
    </row>
    <row r="328" ht="25.5" customHeight="1">
      <c r="A328" s="272"/>
      <c r="B328" s="273"/>
      <c r="C328" s="272"/>
      <c r="D328" s="274"/>
      <c r="E328" s="275"/>
    </row>
    <row r="329" ht="25.5" customHeight="1">
      <c r="A329" s="272"/>
      <c r="B329" s="273"/>
      <c r="C329" s="272"/>
      <c r="D329" s="274"/>
      <c r="E329" s="275"/>
    </row>
    <row r="330" ht="25.5" customHeight="1">
      <c r="A330" s="272"/>
      <c r="B330" s="273"/>
      <c r="C330" s="272"/>
      <c r="D330" s="274"/>
      <c r="E330" s="275"/>
    </row>
    <row r="331" ht="25.5" customHeight="1">
      <c r="A331" s="272"/>
      <c r="B331" s="273"/>
      <c r="C331" s="272"/>
      <c r="D331" s="274"/>
      <c r="E331" s="275"/>
    </row>
    <row r="332" ht="25.5" customHeight="1">
      <c r="A332" s="272"/>
      <c r="B332" s="273"/>
      <c r="C332" s="272"/>
      <c r="D332" s="274"/>
      <c r="E332" s="275"/>
    </row>
    <row r="333" ht="25.5" customHeight="1">
      <c r="A333" s="272"/>
      <c r="B333" s="273"/>
      <c r="C333" s="272"/>
      <c r="D333" s="274"/>
      <c r="E333" s="275"/>
    </row>
    <row r="334" ht="25.5" customHeight="1">
      <c r="A334" s="272"/>
      <c r="B334" s="273"/>
      <c r="C334" s="272"/>
      <c r="D334" s="274"/>
      <c r="E334" s="275"/>
    </row>
    <row r="335" ht="25.5" customHeight="1">
      <c r="A335" s="272"/>
      <c r="B335" s="273"/>
      <c r="C335" s="272"/>
      <c r="D335" s="274"/>
      <c r="E335" s="275"/>
    </row>
    <row r="336" ht="25.5" customHeight="1">
      <c r="A336" s="272"/>
      <c r="B336" s="273"/>
      <c r="C336" s="272"/>
      <c r="D336" s="274"/>
      <c r="E336" s="275"/>
    </row>
    <row r="337" ht="25.5" customHeight="1">
      <c r="A337" s="272"/>
      <c r="B337" s="273"/>
      <c r="C337" s="272"/>
      <c r="D337" s="274"/>
      <c r="E337" s="275"/>
    </row>
    <row r="338" ht="25.5" customHeight="1">
      <c r="A338" s="272"/>
      <c r="B338" s="273"/>
      <c r="C338" s="272"/>
      <c r="D338" s="274"/>
      <c r="E338" s="275"/>
    </row>
    <row r="339" ht="25.5" customHeight="1">
      <c r="A339" s="272"/>
      <c r="B339" s="273"/>
      <c r="C339" s="272"/>
      <c r="D339" s="274"/>
      <c r="E339" s="275"/>
    </row>
    <row r="340" ht="25.5" customHeight="1">
      <c r="A340" s="272"/>
      <c r="B340" s="273"/>
      <c r="C340" s="272"/>
      <c r="D340" s="274"/>
      <c r="E340" s="275"/>
    </row>
    <row r="341" ht="25.5" customHeight="1">
      <c r="A341" s="272"/>
      <c r="B341" s="273"/>
      <c r="C341" s="272"/>
      <c r="D341" s="274"/>
      <c r="E341" s="275"/>
    </row>
    <row r="342" ht="25.5" customHeight="1">
      <c r="A342" s="272"/>
      <c r="B342" s="273"/>
      <c r="C342" s="272"/>
      <c r="D342" s="274"/>
      <c r="E342" s="275"/>
    </row>
    <row r="343" ht="25.5" customHeight="1">
      <c r="A343" s="272"/>
      <c r="B343" s="273"/>
      <c r="C343" s="272"/>
      <c r="D343" s="274"/>
      <c r="E343" s="275"/>
    </row>
    <row r="344" ht="25.5" customHeight="1">
      <c r="A344" s="272"/>
      <c r="B344" s="273"/>
      <c r="C344" s="272"/>
      <c r="D344" s="274"/>
      <c r="E344" s="275"/>
    </row>
    <row r="345" ht="25.5" customHeight="1">
      <c r="A345" s="272"/>
      <c r="B345" s="273"/>
      <c r="C345" s="272"/>
      <c r="D345" s="274"/>
      <c r="E345" s="275"/>
    </row>
    <row r="346" ht="25.5" customHeight="1">
      <c r="A346" s="272"/>
      <c r="B346" s="273"/>
      <c r="C346" s="272"/>
      <c r="D346" s="274"/>
      <c r="E346" s="275"/>
    </row>
    <row r="347" ht="25.5" customHeight="1">
      <c r="A347" s="272"/>
      <c r="B347" s="273"/>
      <c r="C347" s="272"/>
      <c r="D347" s="274"/>
      <c r="E347" s="275"/>
    </row>
    <row r="348" ht="25.5" customHeight="1">
      <c r="A348" s="272"/>
      <c r="B348" s="273"/>
      <c r="C348" s="272"/>
      <c r="D348" s="274"/>
      <c r="E348" s="275"/>
    </row>
    <row r="349" ht="25.5" customHeight="1">
      <c r="A349" s="272"/>
      <c r="B349" s="273"/>
      <c r="C349" s="272"/>
      <c r="D349" s="274"/>
      <c r="E349" s="275"/>
    </row>
    <row r="350" ht="25.5" customHeight="1">
      <c r="A350" s="272"/>
      <c r="B350" s="273"/>
      <c r="C350" s="272"/>
      <c r="D350" s="274"/>
      <c r="E350" s="275"/>
    </row>
    <row r="351" ht="25.5" customHeight="1">
      <c r="A351" s="272"/>
      <c r="B351" s="273"/>
      <c r="C351" s="272"/>
      <c r="D351" s="274"/>
      <c r="E351" s="275"/>
    </row>
    <row r="352" ht="25.5" customHeight="1">
      <c r="A352" s="272"/>
      <c r="B352" s="273"/>
      <c r="C352" s="272"/>
      <c r="D352" s="274"/>
      <c r="E352" s="275"/>
    </row>
    <row r="353" ht="25.5" customHeight="1">
      <c r="A353" s="272"/>
      <c r="B353" s="273"/>
      <c r="C353" s="272"/>
      <c r="D353" s="274"/>
      <c r="E353" s="275"/>
    </row>
    <row r="354" ht="25.5" customHeight="1">
      <c r="A354" s="272"/>
      <c r="B354" s="273"/>
      <c r="C354" s="272"/>
      <c r="D354" s="274"/>
      <c r="E354" s="275"/>
    </row>
    <row r="355" ht="25.5" customHeight="1">
      <c r="A355" s="272"/>
      <c r="B355" s="273"/>
      <c r="C355" s="272"/>
      <c r="D355" s="274"/>
      <c r="E355" s="275"/>
    </row>
    <row r="356" ht="25.5" customHeight="1">
      <c r="A356" s="272"/>
      <c r="B356" s="273"/>
      <c r="C356" s="272"/>
      <c r="D356" s="274"/>
      <c r="E356" s="275"/>
    </row>
    <row r="357" ht="25.5" customHeight="1">
      <c r="A357" s="272"/>
      <c r="B357" s="273"/>
      <c r="C357" s="272"/>
      <c r="D357" s="274"/>
      <c r="E357" s="275"/>
    </row>
    <row r="358" ht="25.5" customHeight="1">
      <c r="A358" s="272"/>
      <c r="B358" s="273"/>
      <c r="C358" s="272"/>
      <c r="D358" s="274"/>
      <c r="E358" s="275"/>
    </row>
    <row r="359" ht="25.5" customHeight="1">
      <c r="A359" s="272"/>
      <c r="B359" s="273"/>
      <c r="C359" s="272"/>
      <c r="D359" s="274"/>
      <c r="E359" s="275"/>
    </row>
    <row r="360" ht="25.5" customHeight="1">
      <c r="A360" s="272"/>
      <c r="B360" s="273"/>
      <c r="C360" s="272"/>
      <c r="D360" s="274"/>
      <c r="E360" s="275"/>
    </row>
    <row r="361" ht="25.5" customHeight="1">
      <c r="A361" s="272"/>
      <c r="B361" s="273"/>
      <c r="C361" s="272"/>
      <c r="D361" s="274"/>
      <c r="E361" s="275"/>
    </row>
    <row r="362" ht="25.5" customHeight="1">
      <c r="A362" s="272"/>
      <c r="B362" s="273"/>
      <c r="C362" s="272"/>
      <c r="D362" s="274"/>
      <c r="E362" s="275"/>
    </row>
    <row r="363" ht="25.5" customHeight="1">
      <c r="A363" s="272"/>
      <c r="B363" s="273"/>
      <c r="C363" s="272"/>
      <c r="D363" s="274"/>
      <c r="E363" s="275"/>
    </row>
    <row r="364" ht="25.5" customHeight="1">
      <c r="A364" s="272"/>
      <c r="B364" s="273"/>
      <c r="C364" s="272"/>
      <c r="D364" s="274"/>
      <c r="E364" s="275"/>
    </row>
    <row r="365" ht="25.5" customHeight="1">
      <c r="A365" s="272"/>
      <c r="B365" s="273"/>
      <c r="C365" s="272"/>
      <c r="D365" s="274"/>
      <c r="E365" s="275"/>
    </row>
    <row r="366" ht="25.5" customHeight="1">
      <c r="A366" s="272"/>
      <c r="B366" s="273"/>
      <c r="C366" s="272"/>
      <c r="D366" s="274"/>
      <c r="E366" s="275"/>
    </row>
    <row r="367" ht="25.5" customHeight="1">
      <c r="A367" s="272"/>
      <c r="B367" s="273"/>
      <c r="C367" s="272"/>
      <c r="D367" s="274"/>
      <c r="E367" s="275"/>
    </row>
    <row r="368" ht="25.5" customHeight="1">
      <c r="A368" s="272"/>
      <c r="B368" s="273"/>
      <c r="C368" s="272"/>
      <c r="D368" s="274"/>
      <c r="E368" s="275"/>
    </row>
    <row r="369" ht="25.5" customHeight="1">
      <c r="A369" s="272"/>
      <c r="B369" s="273"/>
      <c r="C369" s="272"/>
      <c r="D369" s="274"/>
      <c r="E369" s="275"/>
    </row>
    <row r="370" ht="25.5" customHeight="1">
      <c r="A370" s="272"/>
      <c r="B370" s="273"/>
      <c r="C370" s="272"/>
      <c r="D370" s="274"/>
      <c r="E370" s="275"/>
    </row>
    <row r="371" ht="25.5" customHeight="1">
      <c r="A371" s="272"/>
      <c r="B371" s="273"/>
      <c r="C371" s="272"/>
      <c r="D371" s="274"/>
      <c r="E371" s="275"/>
    </row>
    <row r="372" ht="25.5" customHeight="1">
      <c r="A372" s="272"/>
      <c r="B372" s="273"/>
      <c r="C372" s="272"/>
      <c r="D372" s="274"/>
      <c r="E372" s="275"/>
    </row>
    <row r="373" ht="25.5" customHeight="1">
      <c r="A373" s="272"/>
      <c r="B373" s="273"/>
      <c r="C373" s="272"/>
      <c r="D373" s="274"/>
      <c r="E373" s="275"/>
    </row>
    <row r="374" ht="25.5" customHeight="1">
      <c r="A374" s="272"/>
      <c r="B374" s="273"/>
      <c r="C374" s="272"/>
      <c r="D374" s="274"/>
      <c r="E374" s="275"/>
    </row>
    <row r="375" ht="25.5" customHeight="1">
      <c r="A375" s="272"/>
      <c r="B375" s="273"/>
      <c r="C375" s="272"/>
      <c r="D375" s="274"/>
      <c r="E375" s="275"/>
    </row>
    <row r="376" ht="25.5" customHeight="1">
      <c r="A376" s="272"/>
      <c r="B376" s="273"/>
      <c r="C376" s="272"/>
      <c r="D376" s="274"/>
      <c r="E376" s="275"/>
    </row>
    <row r="377" ht="25.5" customHeight="1">
      <c r="A377" s="272"/>
      <c r="B377" s="273"/>
      <c r="C377" s="272"/>
      <c r="D377" s="274"/>
      <c r="E377" s="275"/>
    </row>
    <row r="378" ht="25.5" customHeight="1">
      <c r="A378" s="272"/>
      <c r="B378" s="273"/>
      <c r="C378" s="272"/>
      <c r="D378" s="274"/>
      <c r="E378" s="275"/>
    </row>
    <row r="379" ht="25.5" customHeight="1">
      <c r="A379" s="272"/>
      <c r="B379" s="273"/>
      <c r="C379" s="272"/>
      <c r="D379" s="274"/>
      <c r="E379" s="275"/>
    </row>
    <row r="380" ht="25.5" customHeight="1">
      <c r="A380" s="272"/>
      <c r="B380" s="273"/>
      <c r="C380" s="272"/>
      <c r="D380" s="274"/>
      <c r="E380" s="275"/>
    </row>
    <row r="381" ht="25.5" customHeight="1">
      <c r="A381" s="272"/>
      <c r="B381" s="273"/>
      <c r="C381" s="272"/>
      <c r="D381" s="274"/>
      <c r="E381" s="275"/>
    </row>
    <row r="382" ht="25.5" customHeight="1">
      <c r="A382" s="272"/>
      <c r="B382" s="273"/>
      <c r="C382" s="272"/>
      <c r="D382" s="274"/>
      <c r="E382" s="275"/>
    </row>
    <row r="383" ht="25.5" customHeight="1">
      <c r="A383" s="272"/>
      <c r="B383" s="273"/>
      <c r="C383" s="272"/>
      <c r="D383" s="274"/>
      <c r="E383" s="275"/>
    </row>
    <row r="384" ht="25.5" customHeight="1">
      <c r="A384" s="272"/>
      <c r="B384" s="273"/>
      <c r="C384" s="272"/>
      <c r="D384" s="274"/>
      <c r="E384" s="275"/>
    </row>
    <row r="385" ht="25.5" customHeight="1">
      <c r="A385" s="272"/>
      <c r="B385" s="273"/>
      <c r="C385" s="272"/>
      <c r="D385" s="274"/>
      <c r="E385" s="275"/>
    </row>
    <row r="386" ht="25.5" customHeight="1">
      <c r="A386" s="272"/>
      <c r="B386" s="273"/>
      <c r="C386" s="272"/>
      <c r="D386" s="274"/>
      <c r="E386" s="275"/>
    </row>
    <row r="387" ht="25.5" customHeight="1">
      <c r="A387" s="272"/>
      <c r="B387" s="273"/>
      <c r="C387" s="272"/>
      <c r="D387" s="274"/>
      <c r="E387" s="275"/>
    </row>
    <row r="388" ht="25.5" customHeight="1">
      <c r="A388" s="272"/>
      <c r="B388" s="273"/>
      <c r="C388" s="272"/>
      <c r="D388" s="274"/>
      <c r="E388" s="275"/>
    </row>
    <row r="389" ht="25.5" customHeight="1">
      <c r="A389" s="272"/>
      <c r="B389" s="273"/>
      <c r="C389" s="272"/>
      <c r="D389" s="274"/>
      <c r="E389" s="275"/>
    </row>
    <row r="390" ht="25.5" customHeight="1">
      <c r="A390" s="272"/>
      <c r="B390" s="273"/>
      <c r="C390" s="272"/>
      <c r="D390" s="274"/>
      <c r="E390" s="275"/>
    </row>
    <row r="391" ht="25.5" customHeight="1">
      <c r="A391" s="272"/>
      <c r="B391" s="273"/>
      <c r="C391" s="272"/>
      <c r="D391" s="274"/>
      <c r="E391" s="275"/>
    </row>
    <row r="392" ht="25.5" customHeight="1">
      <c r="A392" s="272"/>
      <c r="B392" s="273"/>
      <c r="C392" s="272"/>
      <c r="D392" s="274"/>
      <c r="E392" s="275"/>
    </row>
    <row r="393" ht="25.5" customHeight="1">
      <c r="A393" s="272"/>
      <c r="B393" s="273"/>
      <c r="C393" s="272"/>
      <c r="D393" s="274"/>
      <c r="E393" s="275"/>
    </row>
    <row r="394" ht="25.5" customHeight="1">
      <c r="A394" s="272"/>
      <c r="B394" s="273"/>
      <c r="C394" s="272"/>
      <c r="D394" s="274"/>
      <c r="E394" s="275"/>
    </row>
    <row r="395" ht="25.5" customHeight="1">
      <c r="A395" s="272"/>
      <c r="B395" s="273"/>
      <c r="C395" s="272"/>
      <c r="D395" s="274"/>
      <c r="E395" s="275"/>
    </row>
    <row r="396" ht="25.5" customHeight="1">
      <c r="A396" s="272"/>
      <c r="B396" s="273"/>
      <c r="C396" s="272"/>
      <c r="D396" s="274"/>
      <c r="E396" s="275"/>
    </row>
    <row r="397" ht="25.5" customHeight="1">
      <c r="A397" s="272"/>
      <c r="B397" s="273"/>
      <c r="C397" s="272"/>
      <c r="D397" s="274"/>
      <c r="E397" s="275"/>
    </row>
    <row r="398" ht="25.5" customHeight="1">
      <c r="A398" s="272"/>
      <c r="B398" s="273"/>
      <c r="C398" s="272"/>
      <c r="D398" s="274"/>
      <c r="E398" s="275"/>
    </row>
    <row r="399" ht="25.5" customHeight="1">
      <c r="A399" s="272"/>
      <c r="B399" s="273"/>
      <c r="C399" s="272"/>
      <c r="D399" s="274"/>
      <c r="E399" s="275"/>
    </row>
    <row r="400" ht="25.5" customHeight="1">
      <c r="A400" s="272"/>
      <c r="B400" s="273"/>
      <c r="C400" s="272"/>
      <c r="D400" s="274"/>
      <c r="E400" s="275"/>
    </row>
    <row r="401" ht="25.5" customHeight="1">
      <c r="A401" s="272"/>
      <c r="B401" s="273"/>
      <c r="C401" s="272"/>
      <c r="D401" s="274"/>
      <c r="E401" s="275"/>
    </row>
    <row r="402" ht="25.5" customHeight="1">
      <c r="A402" s="272"/>
      <c r="B402" s="273"/>
      <c r="C402" s="272"/>
      <c r="D402" s="274"/>
      <c r="E402" s="275"/>
    </row>
    <row r="403" ht="25.5" customHeight="1">
      <c r="A403" s="272"/>
      <c r="B403" s="273"/>
      <c r="C403" s="272"/>
      <c r="D403" s="274"/>
      <c r="E403" s="275"/>
    </row>
    <row r="404" ht="25.5" customHeight="1">
      <c r="A404" s="272"/>
      <c r="B404" s="273"/>
      <c r="C404" s="272"/>
      <c r="D404" s="274"/>
      <c r="E404" s="275"/>
    </row>
    <row r="405" ht="25.5" customHeight="1">
      <c r="A405" s="272"/>
      <c r="B405" s="273"/>
      <c r="C405" s="272"/>
      <c r="D405" s="274"/>
      <c r="E405" s="275"/>
    </row>
    <row r="406" ht="25.5" customHeight="1">
      <c r="A406" s="272"/>
      <c r="B406" s="273"/>
      <c r="C406" s="272"/>
      <c r="D406" s="274"/>
      <c r="E406" s="275"/>
    </row>
    <row r="407" ht="25.5" customHeight="1">
      <c r="A407" s="272"/>
      <c r="B407" s="273"/>
      <c r="C407" s="272"/>
      <c r="D407" s="274"/>
      <c r="E407" s="275"/>
    </row>
    <row r="408" ht="25.5" customHeight="1">
      <c r="A408" s="272"/>
      <c r="B408" s="273"/>
      <c r="C408" s="272"/>
      <c r="D408" s="274"/>
      <c r="E408" s="275"/>
    </row>
    <row r="409" ht="25.5" customHeight="1">
      <c r="A409" s="272"/>
      <c r="B409" s="273"/>
      <c r="C409" s="272"/>
      <c r="D409" s="274"/>
      <c r="E409" s="275"/>
    </row>
    <row r="410" ht="25.5" customHeight="1">
      <c r="A410" s="272"/>
      <c r="B410" s="273"/>
      <c r="C410" s="272"/>
      <c r="D410" s="274"/>
      <c r="E410" s="275"/>
    </row>
    <row r="411" ht="25.5" customHeight="1">
      <c r="A411" s="272"/>
      <c r="B411" s="273"/>
      <c r="C411" s="272"/>
      <c r="D411" s="274"/>
      <c r="E411" s="275"/>
    </row>
    <row r="412" ht="25.5" customHeight="1">
      <c r="A412" s="272"/>
      <c r="B412" s="273"/>
      <c r="C412" s="272"/>
      <c r="D412" s="274"/>
      <c r="E412" s="275"/>
    </row>
    <row r="413" ht="25.5" customHeight="1">
      <c r="A413" s="272"/>
      <c r="B413" s="273"/>
      <c r="C413" s="272"/>
      <c r="D413" s="274"/>
      <c r="E413" s="275"/>
    </row>
    <row r="414" ht="25.5" customHeight="1">
      <c r="A414" s="272"/>
      <c r="B414" s="273"/>
      <c r="C414" s="272"/>
      <c r="D414" s="274"/>
      <c r="E414" s="275"/>
    </row>
    <row r="415" ht="25.5" customHeight="1">
      <c r="A415" s="272"/>
      <c r="B415" s="273"/>
      <c r="C415" s="272"/>
      <c r="D415" s="274"/>
      <c r="E415" s="275"/>
    </row>
    <row r="416" ht="25.5" customHeight="1">
      <c r="A416" s="272"/>
      <c r="B416" s="273"/>
      <c r="C416" s="272"/>
      <c r="D416" s="274"/>
      <c r="E416" s="275"/>
    </row>
    <row r="417" ht="25.5" customHeight="1">
      <c r="A417" s="272"/>
      <c r="B417" s="273"/>
      <c r="C417" s="272"/>
      <c r="D417" s="274"/>
      <c r="E417" s="275"/>
    </row>
    <row r="418" ht="25.5" customHeight="1">
      <c r="A418" s="272"/>
      <c r="B418" s="273"/>
      <c r="C418" s="272"/>
      <c r="D418" s="274"/>
      <c r="E418" s="275"/>
    </row>
    <row r="419" ht="25.5" customHeight="1">
      <c r="A419" s="272"/>
      <c r="B419" s="273"/>
      <c r="C419" s="272"/>
      <c r="D419" s="274"/>
      <c r="E419" s="275"/>
    </row>
    <row r="420" ht="25.5" customHeight="1">
      <c r="A420" s="272"/>
      <c r="B420" s="273"/>
      <c r="C420" s="272"/>
      <c r="D420" s="274"/>
      <c r="E420" s="275"/>
    </row>
    <row r="421" ht="25.5" customHeight="1">
      <c r="A421" s="272"/>
      <c r="B421" s="273"/>
      <c r="C421" s="272"/>
      <c r="D421" s="274"/>
      <c r="E421" s="275"/>
    </row>
    <row r="422" ht="25.5" customHeight="1">
      <c r="A422" s="272"/>
      <c r="B422" s="273"/>
      <c r="C422" s="272"/>
      <c r="D422" s="274"/>
      <c r="E422" s="275"/>
    </row>
    <row r="423" ht="25.5" customHeight="1">
      <c r="A423" s="272"/>
      <c r="B423" s="273"/>
      <c r="C423" s="272"/>
      <c r="D423" s="274"/>
      <c r="E423" s="275"/>
    </row>
    <row r="424" ht="25.5" customHeight="1">
      <c r="A424" s="272"/>
      <c r="B424" s="273"/>
      <c r="C424" s="272"/>
      <c r="D424" s="274"/>
      <c r="E424" s="275"/>
    </row>
    <row r="425" ht="25.5" customHeight="1">
      <c r="A425" s="272"/>
      <c r="B425" s="273"/>
      <c r="C425" s="272"/>
      <c r="D425" s="274"/>
      <c r="E425" s="275"/>
    </row>
    <row r="426" ht="25.5" customHeight="1">
      <c r="A426" s="272"/>
      <c r="B426" s="273"/>
      <c r="C426" s="272"/>
      <c r="D426" s="274"/>
      <c r="E426" s="275"/>
    </row>
    <row r="427" ht="25.5" customHeight="1">
      <c r="A427" s="272"/>
      <c r="B427" s="273"/>
      <c r="C427" s="272"/>
      <c r="D427" s="274"/>
      <c r="E427" s="275"/>
    </row>
    <row r="428" ht="25.5" customHeight="1">
      <c r="A428" s="272"/>
      <c r="B428" s="273"/>
      <c r="C428" s="272"/>
      <c r="D428" s="274"/>
      <c r="E428" s="275"/>
    </row>
    <row r="429" ht="25.5" customHeight="1">
      <c r="A429" s="272"/>
      <c r="B429" s="273"/>
      <c r="C429" s="272"/>
      <c r="D429" s="274"/>
      <c r="E429" s="275"/>
    </row>
    <row r="430" ht="25.5" customHeight="1">
      <c r="A430" s="272"/>
      <c r="B430" s="273"/>
      <c r="C430" s="272"/>
      <c r="D430" s="274"/>
      <c r="E430" s="275"/>
    </row>
    <row r="431" ht="25.5" customHeight="1">
      <c r="A431" s="272"/>
      <c r="B431" s="273"/>
      <c r="C431" s="272"/>
      <c r="D431" s="274"/>
      <c r="E431" s="275"/>
    </row>
    <row r="432" ht="25.5" customHeight="1">
      <c r="A432" s="272"/>
      <c r="B432" s="273"/>
      <c r="C432" s="272"/>
      <c r="D432" s="274"/>
      <c r="E432" s="275"/>
    </row>
    <row r="433" ht="25.5" customHeight="1">
      <c r="A433" s="272"/>
      <c r="B433" s="273"/>
      <c r="C433" s="272"/>
      <c r="D433" s="274"/>
      <c r="E433" s="275"/>
    </row>
    <row r="434" ht="25.5" customHeight="1">
      <c r="A434" s="272"/>
      <c r="B434" s="273"/>
      <c r="C434" s="272"/>
      <c r="D434" s="274"/>
      <c r="E434" s="275"/>
    </row>
    <row r="435" ht="25.5" customHeight="1">
      <c r="A435" s="272"/>
      <c r="B435" s="273"/>
      <c r="C435" s="272"/>
      <c r="D435" s="274"/>
      <c r="E435" s="275"/>
    </row>
    <row r="436" ht="25.5" customHeight="1">
      <c r="A436" s="272"/>
      <c r="B436" s="273"/>
      <c r="C436" s="272"/>
      <c r="D436" s="274"/>
      <c r="E436" s="275"/>
    </row>
    <row r="437" ht="25.5" customHeight="1">
      <c r="A437" s="272"/>
      <c r="B437" s="273"/>
      <c r="C437" s="272"/>
      <c r="D437" s="274"/>
      <c r="E437" s="275"/>
    </row>
    <row r="438" ht="25.5" customHeight="1">
      <c r="A438" s="272"/>
      <c r="B438" s="273"/>
      <c r="C438" s="272"/>
      <c r="D438" s="274"/>
      <c r="E438" s="275"/>
    </row>
    <row r="439" ht="25.5" customHeight="1">
      <c r="A439" s="272"/>
      <c r="B439" s="273"/>
      <c r="C439" s="272"/>
      <c r="D439" s="274"/>
      <c r="E439" s="275"/>
    </row>
    <row r="440" ht="25.5" customHeight="1">
      <c r="A440" s="272"/>
      <c r="B440" s="273"/>
      <c r="C440" s="272"/>
      <c r="D440" s="274"/>
      <c r="E440" s="275"/>
    </row>
    <row r="441" ht="25.5" customHeight="1">
      <c r="A441" s="272"/>
      <c r="B441" s="273"/>
      <c r="C441" s="272"/>
      <c r="D441" s="274"/>
      <c r="E441" s="275"/>
    </row>
    <row r="442" ht="25.5" customHeight="1">
      <c r="A442" s="272"/>
      <c r="B442" s="273"/>
      <c r="C442" s="272"/>
      <c r="D442" s="274"/>
      <c r="E442" s="275"/>
    </row>
    <row r="443" ht="25.5" customHeight="1">
      <c r="A443" s="272"/>
      <c r="B443" s="273"/>
      <c r="C443" s="272"/>
      <c r="D443" s="274"/>
      <c r="E443" s="275"/>
    </row>
    <row r="444" ht="25.5" customHeight="1">
      <c r="A444" s="272"/>
      <c r="B444" s="273"/>
      <c r="C444" s="272"/>
      <c r="D444" s="274"/>
      <c r="E444" s="275"/>
    </row>
    <row r="445" ht="25.5" customHeight="1">
      <c r="A445" s="272"/>
      <c r="B445" s="273"/>
      <c r="C445" s="272"/>
      <c r="D445" s="274"/>
      <c r="E445" s="275"/>
    </row>
    <row r="446" ht="25.5" customHeight="1">
      <c r="A446" s="272"/>
      <c r="B446" s="273"/>
      <c r="C446" s="272"/>
      <c r="D446" s="274"/>
      <c r="E446" s="275"/>
    </row>
    <row r="447" ht="25.5" customHeight="1">
      <c r="A447" s="272"/>
      <c r="B447" s="273"/>
      <c r="C447" s="272"/>
      <c r="D447" s="274"/>
      <c r="E447" s="275"/>
    </row>
    <row r="448" ht="25.5" customHeight="1">
      <c r="A448" s="272"/>
      <c r="B448" s="273"/>
      <c r="C448" s="272"/>
      <c r="D448" s="274"/>
      <c r="E448" s="275"/>
    </row>
    <row r="449" ht="25.5" customHeight="1">
      <c r="A449" s="272"/>
      <c r="B449" s="273"/>
      <c r="C449" s="272"/>
      <c r="D449" s="274"/>
      <c r="E449" s="275"/>
    </row>
    <row r="450" ht="25.5" customHeight="1">
      <c r="A450" s="272"/>
      <c r="B450" s="273"/>
      <c r="C450" s="272"/>
      <c r="D450" s="274"/>
      <c r="E450" s="275"/>
    </row>
    <row r="451" ht="25.5" customHeight="1">
      <c r="A451" s="272"/>
      <c r="B451" s="273"/>
      <c r="C451" s="272"/>
      <c r="D451" s="274"/>
      <c r="E451" s="275"/>
    </row>
    <row r="452" ht="25.5" customHeight="1">
      <c r="A452" s="272"/>
      <c r="B452" s="273"/>
      <c r="C452" s="272"/>
      <c r="D452" s="274"/>
      <c r="E452" s="275"/>
    </row>
    <row r="453" ht="25.5" customHeight="1">
      <c r="A453" s="272"/>
      <c r="B453" s="273"/>
      <c r="C453" s="272"/>
      <c r="D453" s="274"/>
      <c r="E453" s="275"/>
    </row>
    <row r="454" ht="25.5" customHeight="1">
      <c r="A454" s="272"/>
      <c r="B454" s="273"/>
      <c r="C454" s="272"/>
      <c r="D454" s="274"/>
      <c r="E454" s="275"/>
    </row>
    <row r="455" ht="25.5" customHeight="1">
      <c r="A455" s="272"/>
      <c r="B455" s="273"/>
      <c r="C455" s="272"/>
      <c r="D455" s="274"/>
      <c r="E455" s="275"/>
    </row>
    <row r="456" ht="25.5" customHeight="1">
      <c r="A456" s="272"/>
      <c r="B456" s="273"/>
      <c r="C456" s="272"/>
      <c r="D456" s="274"/>
      <c r="E456" s="275"/>
    </row>
    <row r="457" ht="25.5" customHeight="1">
      <c r="A457" s="272"/>
      <c r="B457" s="273"/>
      <c r="C457" s="272"/>
      <c r="D457" s="274"/>
      <c r="E457" s="275"/>
    </row>
    <row r="458" ht="25.5" customHeight="1">
      <c r="A458" s="272"/>
      <c r="B458" s="273"/>
      <c r="C458" s="272"/>
      <c r="D458" s="274"/>
      <c r="E458" s="275"/>
    </row>
    <row r="459" ht="25.5" customHeight="1">
      <c r="A459" s="272"/>
      <c r="B459" s="273"/>
      <c r="C459" s="272"/>
      <c r="D459" s="274"/>
      <c r="E459" s="275"/>
    </row>
    <row r="460" ht="25.5" customHeight="1">
      <c r="A460" s="272"/>
      <c r="B460" s="273"/>
      <c r="C460" s="272"/>
      <c r="D460" s="274"/>
      <c r="E460" s="275"/>
    </row>
    <row r="461" ht="25.5" customHeight="1">
      <c r="A461" s="272"/>
      <c r="B461" s="273"/>
      <c r="C461" s="272"/>
      <c r="D461" s="274"/>
      <c r="E461" s="275"/>
    </row>
    <row r="462" ht="25.5" customHeight="1">
      <c r="A462" s="272"/>
      <c r="B462" s="273"/>
      <c r="C462" s="272"/>
      <c r="D462" s="274"/>
      <c r="E462" s="275"/>
    </row>
    <row r="463" ht="25.5" customHeight="1">
      <c r="A463" s="272"/>
      <c r="B463" s="273"/>
      <c r="C463" s="272"/>
      <c r="D463" s="274"/>
      <c r="E463" s="275"/>
    </row>
    <row r="464" ht="25.5" customHeight="1">
      <c r="A464" s="272"/>
      <c r="B464" s="273"/>
      <c r="C464" s="272"/>
      <c r="D464" s="274"/>
      <c r="E464" s="275"/>
    </row>
    <row r="465" ht="25.5" customHeight="1">
      <c r="A465" s="272"/>
      <c r="B465" s="273"/>
      <c r="C465" s="272"/>
      <c r="D465" s="274"/>
      <c r="E465" s="275"/>
    </row>
    <row r="466" ht="25.5" customHeight="1">
      <c r="A466" s="272"/>
      <c r="B466" s="273"/>
      <c r="C466" s="272"/>
      <c r="D466" s="274"/>
      <c r="E466" s="275"/>
    </row>
    <row r="467" ht="25.5" customHeight="1">
      <c r="A467" s="272"/>
      <c r="B467" s="273"/>
      <c r="C467" s="272"/>
      <c r="D467" s="274"/>
      <c r="E467" s="275"/>
    </row>
    <row r="468" ht="25.5" customHeight="1">
      <c r="A468" s="272"/>
      <c r="B468" s="273"/>
      <c r="C468" s="272"/>
      <c r="D468" s="274"/>
      <c r="E468" s="275"/>
    </row>
    <row r="469" ht="25.5" customHeight="1">
      <c r="A469" s="272"/>
      <c r="B469" s="273"/>
      <c r="C469" s="272"/>
      <c r="D469" s="274"/>
      <c r="E469" s="275"/>
    </row>
    <row r="470" ht="25.5" customHeight="1">
      <c r="A470" s="272"/>
      <c r="B470" s="273"/>
      <c r="C470" s="272"/>
      <c r="D470" s="274"/>
      <c r="E470" s="275"/>
    </row>
    <row r="471" ht="25.5" customHeight="1">
      <c r="A471" s="272"/>
      <c r="B471" s="273"/>
      <c r="C471" s="272"/>
      <c r="D471" s="274"/>
      <c r="E471" s="275"/>
    </row>
    <row r="472" ht="25.5" customHeight="1">
      <c r="A472" s="272"/>
      <c r="B472" s="273"/>
      <c r="C472" s="272"/>
      <c r="D472" s="274"/>
      <c r="E472" s="275"/>
    </row>
    <row r="473" ht="25.5" customHeight="1">
      <c r="A473" s="272"/>
      <c r="B473" s="273"/>
      <c r="C473" s="272"/>
      <c r="D473" s="274"/>
      <c r="E473" s="275"/>
    </row>
    <row r="474" ht="25.5" customHeight="1">
      <c r="A474" s="272"/>
      <c r="B474" s="273"/>
      <c r="C474" s="272"/>
      <c r="D474" s="274"/>
      <c r="E474" s="275"/>
    </row>
    <row r="475" ht="25.5" customHeight="1">
      <c r="A475" s="272"/>
      <c r="B475" s="273"/>
      <c r="C475" s="272"/>
      <c r="D475" s="274"/>
      <c r="E475" s="275"/>
    </row>
    <row r="476" ht="25.5" customHeight="1">
      <c r="A476" s="272"/>
      <c r="B476" s="273"/>
      <c r="C476" s="272"/>
      <c r="D476" s="274"/>
      <c r="E476" s="275"/>
    </row>
    <row r="477" ht="25.5" customHeight="1">
      <c r="A477" s="272"/>
      <c r="B477" s="273"/>
      <c r="C477" s="272"/>
      <c r="D477" s="274"/>
      <c r="E477" s="275"/>
    </row>
    <row r="478" ht="25.5" customHeight="1">
      <c r="A478" s="272"/>
      <c r="B478" s="273"/>
      <c r="C478" s="272"/>
      <c r="D478" s="274"/>
      <c r="E478" s="275"/>
    </row>
    <row r="479" ht="25.5" customHeight="1">
      <c r="A479" s="272"/>
      <c r="B479" s="273"/>
      <c r="C479" s="272"/>
      <c r="D479" s="274"/>
      <c r="E479" s="275"/>
    </row>
    <row r="480" ht="25.5" customHeight="1">
      <c r="A480" s="272"/>
      <c r="B480" s="273"/>
      <c r="C480" s="272"/>
      <c r="D480" s="274"/>
      <c r="E480" s="275"/>
    </row>
    <row r="481" ht="25.5" customHeight="1">
      <c r="A481" s="272"/>
      <c r="B481" s="273"/>
      <c r="C481" s="272"/>
      <c r="D481" s="274"/>
      <c r="E481" s="275"/>
    </row>
    <row r="482" ht="25.5" customHeight="1">
      <c r="A482" s="272"/>
      <c r="B482" s="273"/>
      <c r="C482" s="272"/>
      <c r="D482" s="274"/>
      <c r="E482" s="275"/>
    </row>
    <row r="483" ht="25.5" customHeight="1">
      <c r="A483" s="272"/>
      <c r="B483" s="273"/>
      <c r="C483" s="272"/>
      <c r="D483" s="274"/>
      <c r="E483" s="275"/>
    </row>
    <row r="484" ht="25.5" customHeight="1">
      <c r="A484" s="272"/>
      <c r="B484" s="273"/>
      <c r="C484" s="272"/>
      <c r="D484" s="274"/>
      <c r="E484" s="275"/>
    </row>
    <row r="485" ht="25.5" customHeight="1">
      <c r="A485" s="272"/>
      <c r="B485" s="273"/>
      <c r="C485" s="272"/>
      <c r="D485" s="274"/>
      <c r="E485" s="275"/>
    </row>
    <row r="486" ht="25.5" customHeight="1">
      <c r="A486" s="272"/>
      <c r="B486" s="273"/>
      <c r="C486" s="272"/>
      <c r="D486" s="274"/>
      <c r="E486" s="275"/>
    </row>
    <row r="487" ht="25.5" customHeight="1">
      <c r="A487" s="272"/>
      <c r="B487" s="273"/>
      <c r="C487" s="272"/>
      <c r="D487" s="274"/>
      <c r="E487" s="275"/>
    </row>
    <row r="488" ht="25.5" customHeight="1">
      <c r="A488" s="272"/>
      <c r="B488" s="273"/>
      <c r="C488" s="272"/>
      <c r="D488" s="274"/>
      <c r="E488" s="275"/>
    </row>
    <row r="489" ht="25.5" customHeight="1">
      <c r="A489" s="272"/>
      <c r="B489" s="273"/>
      <c r="C489" s="272"/>
      <c r="D489" s="274"/>
      <c r="E489" s="275"/>
    </row>
    <row r="490" ht="25.5" customHeight="1">
      <c r="A490" s="272"/>
      <c r="B490" s="273"/>
      <c r="C490" s="272"/>
      <c r="D490" s="274"/>
      <c r="E490" s="275"/>
    </row>
    <row r="491" ht="25.5" customHeight="1">
      <c r="A491" s="272"/>
      <c r="B491" s="273"/>
      <c r="C491" s="272"/>
      <c r="D491" s="274"/>
      <c r="E491" s="275"/>
    </row>
    <row r="492" ht="25.5" customHeight="1">
      <c r="A492" s="272"/>
      <c r="B492" s="273"/>
      <c r="C492" s="272"/>
      <c r="D492" s="274"/>
      <c r="E492" s="275"/>
    </row>
    <row r="493" ht="25.5" customHeight="1">
      <c r="A493" s="272"/>
      <c r="B493" s="273"/>
      <c r="C493" s="272"/>
      <c r="D493" s="274"/>
      <c r="E493" s="275"/>
    </row>
    <row r="494" ht="25.5" customHeight="1">
      <c r="A494" s="272"/>
      <c r="B494" s="273"/>
      <c r="C494" s="272"/>
      <c r="D494" s="274"/>
      <c r="E494" s="275"/>
    </row>
    <row r="495" ht="25.5" customHeight="1">
      <c r="A495" s="272"/>
      <c r="B495" s="273"/>
      <c r="C495" s="272"/>
      <c r="D495" s="274"/>
      <c r="E495" s="275"/>
    </row>
    <row r="496" ht="25.5" customHeight="1">
      <c r="A496" s="272"/>
      <c r="B496" s="273"/>
      <c r="C496" s="272"/>
      <c r="D496" s="274"/>
      <c r="E496" s="275"/>
    </row>
    <row r="497" ht="25.5" customHeight="1">
      <c r="A497" s="272"/>
      <c r="B497" s="273"/>
      <c r="C497" s="272"/>
      <c r="D497" s="274"/>
      <c r="E497" s="275"/>
    </row>
    <row r="498" ht="25.5" customHeight="1">
      <c r="A498" s="272"/>
      <c r="B498" s="273"/>
      <c r="C498" s="272"/>
      <c r="D498" s="274"/>
      <c r="E498" s="275"/>
    </row>
    <row r="499" ht="25.5" customHeight="1">
      <c r="A499" s="272"/>
      <c r="B499" s="273"/>
      <c r="C499" s="272"/>
      <c r="D499" s="274"/>
      <c r="E499" s="275"/>
    </row>
    <row r="500" ht="25.5" customHeight="1">
      <c r="A500" s="272"/>
      <c r="B500" s="273"/>
      <c r="C500" s="272"/>
      <c r="D500" s="274"/>
      <c r="E500" s="275"/>
    </row>
    <row r="501" ht="25.5" customHeight="1">
      <c r="A501" s="272"/>
      <c r="B501" s="273"/>
      <c r="C501" s="272"/>
      <c r="D501" s="274"/>
      <c r="E501" s="275"/>
    </row>
    <row r="502" ht="25.5" customHeight="1">
      <c r="A502" s="272"/>
      <c r="B502" s="273"/>
      <c r="C502" s="272"/>
      <c r="D502" s="274"/>
      <c r="E502" s="275"/>
    </row>
    <row r="503" ht="25.5" customHeight="1">
      <c r="A503" s="272"/>
      <c r="B503" s="273"/>
      <c r="C503" s="272"/>
      <c r="D503" s="274"/>
      <c r="E503" s="275"/>
    </row>
    <row r="504" ht="25.5" customHeight="1">
      <c r="A504" s="272"/>
      <c r="B504" s="273"/>
      <c r="C504" s="272"/>
      <c r="D504" s="274"/>
      <c r="E504" s="275"/>
    </row>
    <row r="505" ht="25.5" customHeight="1">
      <c r="A505" s="272"/>
      <c r="B505" s="273"/>
      <c r="C505" s="272"/>
      <c r="D505" s="274"/>
      <c r="E505" s="275"/>
    </row>
    <row r="506" ht="25.5" customHeight="1">
      <c r="A506" s="272"/>
      <c r="B506" s="273"/>
      <c r="C506" s="272"/>
      <c r="D506" s="274"/>
      <c r="E506" s="275"/>
    </row>
    <row r="507" ht="25.5" customHeight="1">
      <c r="A507" s="272"/>
      <c r="B507" s="273"/>
      <c r="C507" s="272"/>
      <c r="D507" s="274"/>
      <c r="E507" s="275"/>
    </row>
    <row r="508" ht="25.5" customHeight="1">
      <c r="A508" s="272"/>
      <c r="B508" s="273"/>
      <c r="C508" s="272"/>
      <c r="D508" s="274"/>
      <c r="E508" s="275"/>
    </row>
    <row r="509" ht="25.5" customHeight="1">
      <c r="A509" s="272"/>
      <c r="B509" s="273"/>
      <c r="C509" s="272"/>
      <c r="D509" s="274"/>
      <c r="E509" s="275"/>
    </row>
    <row r="510" ht="25.5" customHeight="1">
      <c r="A510" s="272"/>
      <c r="B510" s="273"/>
      <c r="C510" s="272"/>
      <c r="D510" s="274"/>
      <c r="E510" s="275"/>
    </row>
    <row r="511" ht="25.5" customHeight="1">
      <c r="A511" s="272"/>
      <c r="B511" s="273"/>
      <c r="C511" s="272"/>
      <c r="D511" s="274"/>
      <c r="E511" s="275"/>
    </row>
    <row r="512" ht="25.5" customHeight="1">
      <c r="A512" s="272"/>
      <c r="B512" s="273"/>
      <c r="C512" s="272"/>
      <c r="D512" s="274"/>
      <c r="E512" s="275"/>
    </row>
    <row r="513" ht="25.5" customHeight="1">
      <c r="A513" s="272"/>
      <c r="B513" s="273"/>
      <c r="C513" s="272"/>
      <c r="D513" s="274"/>
      <c r="E513" s="275"/>
    </row>
    <row r="514" ht="25.5" customHeight="1">
      <c r="A514" s="272"/>
      <c r="B514" s="273"/>
      <c r="C514" s="272"/>
      <c r="D514" s="274"/>
      <c r="E514" s="275"/>
    </row>
    <row r="515" ht="25.5" customHeight="1">
      <c r="A515" s="272"/>
      <c r="B515" s="273"/>
      <c r="C515" s="272"/>
      <c r="D515" s="274"/>
      <c r="E515" s="275"/>
    </row>
    <row r="516" ht="25.5" customHeight="1">
      <c r="A516" s="272"/>
      <c r="B516" s="273"/>
      <c r="C516" s="272"/>
      <c r="D516" s="274"/>
      <c r="E516" s="275"/>
    </row>
    <row r="517" ht="25.5" customHeight="1">
      <c r="A517" s="272"/>
      <c r="B517" s="273"/>
      <c r="C517" s="272"/>
      <c r="D517" s="274"/>
      <c r="E517" s="275"/>
    </row>
    <row r="518" ht="25.5" customHeight="1">
      <c r="A518" s="272"/>
      <c r="B518" s="273"/>
      <c r="C518" s="272"/>
      <c r="D518" s="274"/>
      <c r="E518" s="275"/>
    </row>
    <row r="519" ht="25.5" customHeight="1">
      <c r="A519" s="272"/>
      <c r="B519" s="273"/>
      <c r="C519" s="272"/>
      <c r="D519" s="274"/>
      <c r="E519" s="275"/>
    </row>
    <row r="520" ht="25.5" customHeight="1">
      <c r="A520" s="272"/>
      <c r="B520" s="273"/>
      <c r="C520" s="272"/>
      <c r="D520" s="274"/>
      <c r="E520" s="275"/>
    </row>
    <row r="521" ht="25.5" customHeight="1">
      <c r="A521" s="272"/>
      <c r="B521" s="273"/>
      <c r="C521" s="272"/>
      <c r="D521" s="274"/>
      <c r="E521" s="275"/>
    </row>
    <row r="522" ht="25.5" customHeight="1">
      <c r="A522" s="272"/>
      <c r="B522" s="273"/>
      <c r="C522" s="272"/>
      <c r="D522" s="274"/>
      <c r="E522" s="275"/>
    </row>
    <row r="523" ht="25.5" customHeight="1">
      <c r="A523" s="272"/>
      <c r="B523" s="273"/>
      <c r="C523" s="272"/>
      <c r="D523" s="274"/>
      <c r="E523" s="275"/>
    </row>
    <row r="524" ht="25.5" customHeight="1">
      <c r="A524" s="272"/>
      <c r="B524" s="273"/>
      <c r="C524" s="272"/>
      <c r="D524" s="274"/>
      <c r="E524" s="275"/>
    </row>
    <row r="525" ht="25.5" customHeight="1">
      <c r="A525" s="272"/>
      <c r="B525" s="273"/>
      <c r="C525" s="272"/>
      <c r="D525" s="274"/>
      <c r="E525" s="275"/>
    </row>
    <row r="526" ht="25.5" customHeight="1">
      <c r="A526" s="272"/>
      <c r="B526" s="273"/>
      <c r="C526" s="272"/>
      <c r="D526" s="274"/>
      <c r="E526" s="275"/>
    </row>
    <row r="527" ht="25.5" customHeight="1">
      <c r="A527" s="272"/>
      <c r="B527" s="273"/>
      <c r="C527" s="272"/>
      <c r="D527" s="274"/>
      <c r="E527" s="275"/>
    </row>
    <row r="528" ht="25.5" customHeight="1">
      <c r="A528" s="272"/>
      <c r="B528" s="273"/>
      <c r="C528" s="272"/>
      <c r="D528" s="274"/>
      <c r="E528" s="275"/>
    </row>
    <row r="529" ht="25.5" customHeight="1">
      <c r="A529" s="272"/>
      <c r="B529" s="273"/>
      <c r="C529" s="272"/>
      <c r="D529" s="274"/>
      <c r="E529" s="275"/>
    </row>
    <row r="530" ht="25.5" customHeight="1">
      <c r="A530" s="272"/>
      <c r="B530" s="273"/>
      <c r="C530" s="272"/>
      <c r="D530" s="274"/>
      <c r="E530" s="275"/>
    </row>
    <row r="531" ht="25.5" customHeight="1">
      <c r="A531" s="272"/>
      <c r="B531" s="273"/>
      <c r="C531" s="272"/>
      <c r="D531" s="274"/>
      <c r="E531" s="275"/>
    </row>
    <row r="532" ht="25.5" customHeight="1">
      <c r="A532" s="272"/>
      <c r="B532" s="273"/>
      <c r="C532" s="272"/>
      <c r="D532" s="274"/>
      <c r="E532" s="275"/>
    </row>
    <row r="533" ht="25.5" customHeight="1">
      <c r="A533" s="272"/>
      <c r="B533" s="273"/>
      <c r="C533" s="272"/>
      <c r="D533" s="274"/>
      <c r="E533" s="275"/>
    </row>
    <row r="534" ht="25.5" customHeight="1">
      <c r="A534" s="272"/>
      <c r="B534" s="273"/>
      <c r="C534" s="272"/>
      <c r="D534" s="274"/>
      <c r="E534" s="275"/>
    </row>
    <row r="535" ht="25.5" customHeight="1">
      <c r="A535" s="272"/>
      <c r="B535" s="273"/>
      <c r="C535" s="272"/>
      <c r="D535" s="274"/>
      <c r="E535" s="275"/>
    </row>
    <row r="536" ht="25.5" customHeight="1">
      <c r="A536" s="272"/>
      <c r="B536" s="273"/>
      <c r="C536" s="272"/>
      <c r="D536" s="274"/>
      <c r="E536" s="275"/>
    </row>
    <row r="537" ht="25.5" customHeight="1">
      <c r="A537" s="272"/>
      <c r="B537" s="273"/>
      <c r="C537" s="272"/>
      <c r="D537" s="274"/>
      <c r="E537" s="275"/>
    </row>
    <row r="538" ht="25.5" customHeight="1">
      <c r="A538" s="272"/>
      <c r="B538" s="273"/>
      <c r="C538" s="272"/>
      <c r="D538" s="274"/>
      <c r="E538" s="275"/>
    </row>
    <row r="539" ht="25.5" customHeight="1">
      <c r="A539" s="272"/>
      <c r="B539" s="273"/>
      <c r="C539" s="272"/>
      <c r="D539" s="274"/>
      <c r="E539" s="275"/>
    </row>
    <row r="540" ht="25.5" customHeight="1">
      <c r="A540" s="272"/>
      <c r="B540" s="273"/>
      <c r="C540" s="272"/>
      <c r="D540" s="274"/>
      <c r="E540" s="275"/>
    </row>
    <row r="541" ht="25.5" customHeight="1">
      <c r="A541" s="272"/>
      <c r="B541" s="273"/>
      <c r="C541" s="272"/>
      <c r="D541" s="274"/>
      <c r="E541" s="275"/>
    </row>
    <row r="542" ht="25.5" customHeight="1">
      <c r="A542" s="272"/>
      <c r="B542" s="273"/>
      <c r="C542" s="272"/>
      <c r="D542" s="274"/>
      <c r="E542" s="275"/>
    </row>
    <row r="543" ht="25.5" customHeight="1">
      <c r="A543" s="272"/>
      <c r="B543" s="273"/>
      <c r="C543" s="272"/>
      <c r="D543" s="274"/>
      <c r="E543" s="275"/>
    </row>
    <row r="544" ht="25.5" customHeight="1">
      <c r="A544" s="272"/>
      <c r="B544" s="273"/>
      <c r="C544" s="272"/>
      <c r="D544" s="274"/>
      <c r="E544" s="275"/>
    </row>
    <row r="545" ht="25.5" customHeight="1">
      <c r="A545" s="272"/>
      <c r="B545" s="273"/>
      <c r="C545" s="272"/>
      <c r="D545" s="274"/>
      <c r="E545" s="275"/>
    </row>
    <row r="546" ht="25.5" customHeight="1">
      <c r="A546" s="272"/>
      <c r="B546" s="273"/>
      <c r="C546" s="272"/>
      <c r="D546" s="274"/>
      <c r="E546" s="275"/>
    </row>
    <row r="547" ht="25.5" customHeight="1">
      <c r="A547" s="272"/>
      <c r="B547" s="273"/>
      <c r="C547" s="272"/>
      <c r="D547" s="274"/>
      <c r="E547" s="275"/>
    </row>
    <row r="548" ht="25.5" customHeight="1">
      <c r="A548" s="272"/>
      <c r="B548" s="273"/>
      <c r="C548" s="272"/>
      <c r="D548" s="274"/>
      <c r="E548" s="275"/>
    </row>
    <row r="549" ht="25.5" customHeight="1">
      <c r="A549" s="272"/>
      <c r="B549" s="273"/>
      <c r="C549" s="272"/>
      <c r="D549" s="274"/>
      <c r="E549" s="275"/>
    </row>
    <row r="550" ht="25.5" customHeight="1">
      <c r="A550" s="272"/>
      <c r="B550" s="273"/>
      <c r="C550" s="272"/>
      <c r="D550" s="274"/>
      <c r="E550" s="275"/>
    </row>
    <row r="551" ht="25.5" customHeight="1">
      <c r="A551" s="272"/>
      <c r="B551" s="273"/>
      <c r="C551" s="272"/>
      <c r="D551" s="274"/>
      <c r="E551" s="275"/>
    </row>
    <row r="552" ht="25.5" customHeight="1">
      <c r="A552" s="272"/>
      <c r="B552" s="273"/>
      <c r="C552" s="272"/>
      <c r="D552" s="274"/>
      <c r="E552" s="275"/>
    </row>
    <row r="553" ht="25.5" customHeight="1">
      <c r="A553" s="272"/>
      <c r="B553" s="273"/>
      <c r="C553" s="272"/>
      <c r="D553" s="274"/>
      <c r="E553" s="275"/>
    </row>
    <row r="554" ht="25.5" customHeight="1">
      <c r="A554" s="272"/>
      <c r="B554" s="273"/>
      <c r="C554" s="272"/>
      <c r="D554" s="274"/>
      <c r="E554" s="275"/>
    </row>
    <row r="555" ht="25.5" customHeight="1">
      <c r="A555" s="272"/>
      <c r="B555" s="273"/>
      <c r="C555" s="272"/>
      <c r="D555" s="274"/>
      <c r="E555" s="275"/>
    </row>
    <row r="556" ht="25.5" customHeight="1">
      <c r="A556" s="272"/>
      <c r="B556" s="273"/>
      <c r="C556" s="272"/>
      <c r="D556" s="274"/>
      <c r="E556" s="275"/>
    </row>
    <row r="557" ht="25.5" customHeight="1">
      <c r="A557" s="272"/>
      <c r="B557" s="273"/>
      <c r="C557" s="272"/>
      <c r="D557" s="274"/>
      <c r="E557" s="275"/>
    </row>
    <row r="558" ht="25.5" customHeight="1">
      <c r="A558" s="272"/>
      <c r="B558" s="273"/>
      <c r="C558" s="272"/>
      <c r="D558" s="274"/>
      <c r="E558" s="275"/>
    </row>
    <row r="559" ht="25.5" customHeight="1">
      <c r="A559" s="272"/>
      <c r="B559" s="273"/>
      <c r="C559" s="272"/>
      <c r="D559" s="274"/>
      <c r="E559" s="275"/>
    </row>
    <row r="560" ht="25.5" customHeight="1">
      <c r="A560" s="272"/>
      <c r="B560" s="273"/>
      <c r="C560" s="272"/>
      <c r="D560" s="274"/>
      <c r="E560" s="275"/>
    </row>
    <row r="561" ht="25.5" customHeight="1">
      <c r="A561" s="272"/>
      <c r="B561" s="273"/>
      <c r="C561" s="272"/>
      <c r="D561" s="274"/>
      <c r="E561" s="275"/>
    </row>
    <row r="562" ht="25.5" customHeight="1">
      <c r="A562" s="272"/>
      <c r="B562" s="273"/>
      <c r="C562" s="272"/>
      <c r="D562" s="274"/>
      <c r="E562" s="275"/>
    </row>
    <row r="563" ht="25.5" customHeight="1">
      <c r="A563" s="272"/>
      <c r="B563" s="273"/>
      <c r="C563" s="272"/>
      <c r="D563" s="274"/>
      <c r="E563" s="275"/>
    </row>
    <row r="564" ht="25.5" customHeight="1">
      <c r="A564" s="272"/>
      <c r="B564" s="273"/>
      <c r="C564" s="272"/>
      <c r="D564" s="274"/>
      <c r="E564" s="275"/>
    </row>
    <row r="565" ht="25.5" customHeight="1">
      <c r="A565" s="272"/>
      <c r="B565" s="273"/>
      <c r="C565" s="272"/>
      <c r="D565" s="274"/>
      <c r="E565" s="275"/>
    </row>
    <row r="566" ht="25.5" customHeight="1">
      <c r="A566" s="272"/>
      <c r="B566" s="273"/>
      <c r="C566" s="272"/>
      <c r="D566" s="274"/>
      <c r="E566" s="275"/>
    </row>
    <row r="567" ht="25.5" customHeight="1">
      <c r="A567" s="272"/>
      <c r="B567" s="273"/>
      <c r="C567" s="272"/>
      <c r="D567" s="274"/>
      <c r="E567" s="275"/>
    </row>
    <row r="568" ht="25.5" customHeight="1">
      <c r="A568" s="272"/>
      <c r="B568" s="273"/>
      <c r="C568" s="272"/>
      <c r="D568" s="274"/>
      <c r="E568" s="275"/>
    </row>
    <row r="569" ht="25.5" customHeight="1">
      <c r="A569" s="272"/>
      <c r="B569" s="273"/>
      <c r="C569" s="272"/>
      <c r="D569" s="274"/>
      <c r="E569" s="275"/>
    </row>
    <row r="570" ht="25.5" customHeight="1">
      <c r="A570" s="272"/>
      <c r="B570" s="273"/>
      <c r="C570" s="272"/>
      <c r="D570" s="274"/>
      <c r="E570" s="275"/>
    </row>
    <row r="571" ht="25.5" customHeight="1">
      <c r="A571" s="272"/>
      <c r="B571" s="273"/>
      <c r="C571" s="272"/>
      <c r="D571" s="274"/>
      <c r="E571" s="275"/>
    </row>
    <row r="572" ht="25.5" customHeight="1">
      <c r="A572" s="272"/>
      <c r="B572" s="273"/>
      <c r="C572" s="272"/>
      <c r="D572" s="274"/>
      <c r="E572" s="275"/>
    </row>
    <row r="573" ht="25.5" customHeight="1">
      <c r="A573" s="272"/>
      <c r="B573" s="273"/>
      <c r="C573" s="272"/>
      <c r="D573" s="274"/>
      <c r="E573" s="275"/>
    </row>
    <row r="574" ht="25.5" customHeight="1">
      <c r="A574" s="272"/>
      <c r="B574" s="273"/>
      <c r="C574" s="272"/>
      <c r="D574" s="274"/>
      <c r="E574" s="275"/>
    </row>
    <row r="575" ht="25.5" customHeight="1">
      <c r="A575" s="272"/>
      <c r="B575" s="273"/>
      <c r="C575" s="272"/>
      <c r="D575" s="274"/>
      <c r="E575" s="275"/>
    </row>
    <row r="576" ht="25.5" customHeight="1">
      <c r="A576" s="272"/>
      <c r="B576" s="273"/>
      <c r="C576" s="272"/>
      <c r="D576" s="274"/>
      <c r="E576" s="275"/>
    </row>
    <row r="577" ht="25.5" customHeight="1">
      <c r="A577" s="272"/>
      <c r="B577" s="273"/>
      <c r="C577" s="272"/>
      <c r="D577" s="274"/>
      <c r="E577" s="275"/>
    </row>
    <row r="578" ht="25.5" customHeight="1">
      <c r="A578" s="272"/>
      <c r="B578" s="273"/>
      <c r="C578" s="272"/>
      <c r="D578" s="274"/>
      <c r="E578" s="275"/>
    </row>
    <row r="579" ht="25.5" customHeight="1">
      <c r="A579" s="272"/>
      <c r="B579" s="273"/>
      <c r="C579" s="272"/>
      <c r="D579" s="274"/>
      <c r="E579" s="275"/>
    </row>
    <row r="580" ht="25.5" customHeight="1">
      <c r="A580" s="272"/>
      <c r="B580" s="273"/>
      <c r="C580" s="272"/>
      <c r="D580" s="274"/>
      <c r="E580" s="275"/>
    </row>
    <row r="581" ht="25.5" customHeight="1">
      <c r="A581" s="272"/>
      <c r="B581" s="273"/>
      <c r="C581" s="272"/>
      <c r="D581" s="274"/>
      <c r="E581" s="275"/>
    </row>
    <row r="582" ht="25.5" customHeight="1">
      <c r="A582" s="272"/>
      <c r="B582" s="273"/>
      <c r="C582" s="272"/>
      <c r="D582" s="274"/>
      <c r="E582" s="275"/>
    </row>
    <row r="583" ht="25.5" customHeight="1">
      <c r="A583" s="272"/>
      <c r="B583" s="273"/>
      <c r="C583" s="272"/>
      <c r="D583" s="274"/>
      <c r="E583" s="275"/>
    </row>
    <row r="584" ht="25.5" customHeight="1">
      <c r="A584" s="272"/>
      <c r="B584" s="273"/>
      <c r="C584" s="272"/>
      <c r="D584" s="274"/>
      <c r="E584" s="275"/>
    </row>
    <row r="585" ht="25.5" customHeight="1">
      <c r="A585" s="272"/>
      <c r="B585" s="273"/>
      <c r="C585" s="272"/>
      <c r="D585" s="274"/>
      <c r="E585" s="275"/>
    </row>
    <row r="586" ht="25.5" customHeight="1">
      <c r="A586" s="272"/>
      <c r="B586" s="273"/>
      <c r="C586" s="272"/>
      <c r="D586" s="274"/>
      <c r="E586" s="275"/>
    </row>
    <row r="587" ht="25.5" customHeight="1">
      <c r="A587" s="272"/>
      <c r="B587" s="273"/>
      <c r="C587" s="272"/>
      <c r="D587" s="274"/>
      <c r="E587" s="275"/>
    </row>
    <row r="588" ht="25.5" customHeight="1">
      <c r="A588" s="272"/>
      <c r="B588" s="273"/>
      <c r="C588" s="272"/>
      <c r="D588" s="274"/>
      <c r="E588" s="275"/>
    </row>
    <row r="589" ht="25.5" customHeight="1">
      <c r="A589" s="272"/>
      <c r="B589" s="273"/>
      <c r="C589" s="272"/>
      <c r="D589" s="274"/>
      <c r="E589" s="275"/>
    </row>
    <row r="590" ht="25.5" customHeight="1">
      <c r="A590" s="272"/>
      <c r="B590" s="273"/>
      <c r="C590" s="272"/>
      <c r="D590" s="274"/>
      <c r="E590" s="275"/>
    </row>
    <row r="591" ht="25.5" customHeight="1">
      <c r="A591" s="272"/>
      <c r="B591" s="273"/>
      <c r="C591" s="272"/>
      <c r="D591" s="274"/>
      <c r="E591" s="275"/>
    </row>
    <row r="592" ht="25.5" customHeight="1">
      <c r="A592" s="272"/>
      <c r="B592" s="273"/>
      <c r="C592" s="272"/>
      <c r="D592" s="274"/>
      <c r="E592" s="275"/>
    </row>
    <row r="593" ht="25.5" customHeight="1">
      <c r="A593" s="272"/>
      <c r="B593" s="273"/>
      <c r="C593" s="272"/>
      <c r="D593" s="274"/>
      <c r="E593" s="275"/>
    </row>
    <row r="594" ht="25.5" customHeight="1">
      <c r="A594" s="272"/>
      <c r="B594" s="273"/>
      <c r="C594" s="272"/>
      <c r="D594" s="274"/>
      <c r="E594" s="275"/>
    </row>
    <row r="595" ht="25.5" customHeight="1">
      <c r="A595" s="272"/>
      <c r="B595" s="273"/>
      <c r="C595" s="272"/>
      <c r="D595" s="274"/>
      <c r="E595" s="275"/>
    </row>
    <row r="596" ht="25.5" customHeight="1">
      <c r="A596" s="272"/>
      <c r="B596" s="273"/>
      <c r="C596" s="272"/>
      <c r="D596" s="274"/>
      <c r="E596" s="275"/>
    </row>
    <row r="597" ht="25.5" customHeight="1">
      <c r="A597" s="272"/>
      <c r="B597" s="273"/>
      <c r="C597" s="272"/>
      <c r="D597" s="274"/>
      <c r="E597" s="275"/>
    </row>
    <row r="598" ht="25.5" customHeight="1">
      <c r="A598" s="272"/>
      <c r="B598" s="273"/>
      <c r="C598" s="272"/>
      <c r="D598" s="274"/>
      <c r="E598" s="275"/>
    </row>
    <row r="599" ht="25.5" customHeight="1">
      <c r="A599" s="272"/>
      <c r="B599" s="273"/>
      <c r="C599" s="272"/>
      <c r="D599" s="274"/>
      <c r="E599" s="275"/>
    </row>
    <row r="600" ht="25.5" customHeight="1">
      <c r="A600" s="272"/>
      <c r="B600" s="273"/>
      <c r="C600" s="272"/>
      <c r="D600" s="274"/>
      <c r="E600" s="275"/>
    </row>
    <row r="601" ht="25.5" customHeight="1">
      <c r="A601" s="272"/>
      <c r="B601" s="273"/>
      <c r="C601" s="272"/>
      <c r="D601" s="274"/>
      <c r="E601" s="275"/>
    </row>
    <row r="602" ht="25.5" customHeight="1">
      <c r="A602" s="272"/>
      <c r="B602" s="273"/>
      <c r="C602" s="272"/>
      <c r="D602" s="274"/>
      <c r="E602" s="275"/>
    </row>
    <row r="603" ht="25.5" customHeight="1">
      <c r="A603" s="272"/>
      <c r="B603" s="273"/>
      <c r="C603" s="272"/>
      <c r="D603" s="274"/>
      <c r="E603" s="275"/>
    </row>
    <row r="604" ht="25.5" customHeight="1">
      <c r="A604" s="272"/>
      <c r="B604" s="273"/>
      <c r="C604" s="272"/>
      <c r="D604" s="274"/>
      <c r="E604" s="275"/>
    </row>
    <row r="605" ht="25.5" customHeight="1">
      <c r="A605" s="272"/>
      <c r="B605" s="273"/>
      <c r="C605" s="272"/>
      <c r="D605" s="274"/>
      <c r="E605" s="275"/>
    </row>
    <row r="606" ht="25.5" customHeight="1">
      <c r="A606" s="272"/>
      <c r="B606" s="273"/>
      <c r="C606" s="272"/>
      <c r="D606" s="274"/>
      <c r="E606" s="275"/>
    </row>
    <row r="607" ht="25.5" customHeight="1">
      <c r="A607" s="272"/>
      <c r="B607" s="273"/>
      <c r="C607" s="272"/>
      <c r="D607" s="274"/>
      <c r="E607" s="275"/>
    </row>
    <row r="608" ht="25.5" customHeight="1">
      <c r="A608" s="272"/>
      <c r="B608" s="273"/>
      <c r="C608" s="272"/>
      <c r="D608" s="274"/>
      <c r="E608" s="275"/>
    </row>
    <row r="609" ht="25.5" customHeight="1">
      <c r="A609" s="272"/>
      <c r="B609" s="273"/>
      <c r="C609" s="272"/>
      <c r="D609" s="274"/>
      <c r="E609" s="275"/>
    </row>
    <row r="610" ht="25.5" customHeight="1">
      <c r="A610" s="272"/>
      <c r="B610" s="273"/>
      <c r="C610" s="272"/>
      <c r="D610" s="274"/>
      <c r="E610" s="275"/>
    </row>
    <row r="611" ht="25.5" customHeight="1">
      <c r="A611" s="272"/>
      <c r="B611" s="273"/>
      <c r="C611" s="272"/>
      <c r="D611" s="274"/>
      <c r="E611" s="275"/>
    </row>
    <row r="612" ht="25.5" customHeight="1">
      <c r="A612" s="272"/>
      <c r="B612" s="273"/>
      <c r="C612" s="272"/>
      <c r="D612" s="274"/>
      <c r="E612" s="275"/>
    </row>
    <row r="613" ht="25.5" customHeight="1">
      <c r="A613" s="272"/>
      <c r="B613" s="273"/>
      <c r="C613" s="272"/>
      <c r="D613" s="274"/>
      <c r="E613" s="275"/>
    </row>
    <row r="614" ht="25.5" customHeight="1">
      <c r="A614" s="272"/>
      <c r="B614" s="273"/>
      <c r="C614" s="272"/>
      <c r="D614" s="274"/>
      <c r="E614" s="275"/>
    </row>
    <row r="615" ht="25.5" customHeight="1">
      <c r="A615" s="272"/>
      <c r="B615" s="273"/>
      <c r="C615" s="272"/>
      <c r="D615" s="274"/>
      <c r="E615" s="275"/>
    </row>
    <row r="616" ht="25.5" customHeight="1">
      <c r="A616" s="272"/>
      <c r="B616" s="273"/>
      <c r="C616" s="272"/>
      <c r="D616" s="274"/>
      <c r="E616" s="275"/>
    </row>
    <row r="617" ht="25.5" customHeight="1">
      <c r="A617" s="272"/>
      <c r="B617" s="273"/>
      <c r="C617" s="272"/>
      <c r="D617" s="274"/>
      <c r="E617" s="275"/>
    </row>
    <row r="618" ht="25.5" customHeight="1">
      <c r="A618" s="272"/>
      <c r="B618" s="273"/>
      <c r="C618" s="272"/>
      <c r="D618" s="274"/>
      <c r="E618" s="275"/>
    </row>
    <row r="619" ht="25.5" customHeight="1">
      <c r="A619" s="272"/>
      <c r="B619" s="273"/>
      <c r="C619" s="272"/>
      <c r="D619" s="274"/>
      <c r="E619" s="275"/>
    </row>
    <row r="620" ht="25.5" customHeight="1">
      <c r="A620" s="272"/>
      <c r="B620" s="273"/>
      <c r="C620" s="272"/>
      <c r="D620" s="274"/>
      <c r="E620" s="275"/>
    </row>
    <row r="621" ht="25.5" customHeight="1">
      <c r="A621" s="272"/>
      <c r="B621" s="273"/>
      <c r="C621" s="272"/>
      <c r="D621" s="274"/>
      <c r="E621" s="275"/>
    </row>
    <row r="622" ht="25.5" customHeight="1">
      <c r="A622" s="272"/>
      <c r="B622" s="273"/>
      <c r="C622" s="272"/>
      <c r="D622" s="274"/>
      <c r="E622" s="275"/>
    </row>
    <row r="623" ht="25.5" customHeight="1">
      <c r="A623" s="272"/>
      <c r="B623" s="273"/>
      <c r="C623" s="272"/>
      <c r="D623" s="274"/>
      <c r="E623" s="275"/>
    </row>
    <row r="624" ht="25.5" customHeight="1">
      <c r="A624" s="272"/>
      <c r="B624" s="273"/>
      <c r="C624" s="272"/>
      <c r="D624" s="274"/>
      <c r="E624" s="275"/>
    </row>
    <row r="625" ht="25.5" customHeight="1">
      <c r="A625" s="272"/>
      <c r="B625" s="273"/>
      <c r="C625" s="272"/>
      <c r="D625" s="274"/>
      <c r="E625" s="275"/>
    </row>
    <row r="626" ht="25.5" customHeight="1">
      <c r="A626" s="272"/>
      <c r="B626" s="273"/>
      <c r="C626" s="272"/>
      <c r="D626" s="274"/>
      <c r="E626" s="275"/>
    </row>
    <row r="627" ht="25.5" customHeight="1">
      <c r="A627" s="272"/>
      <c r="B627" s="273"/>
      <c r="C627" s="272"/>
      <c r="D627" s="274"/>
      <c r="E627" s="275"/>
    </row>
    <row r="628" ht="25.5" customHeight="1">
      <c r="A628" s="272"/>
      <c r="B628" s="273"/>
      <c r="C628" s="272"/>
      <c r="D628" s="274"/>
      <c r="E628" s="275"/>
    </row>
    <row r="629" ht="25.5" customHeight="1">
      <c r="A629" s="272"/>
      <c r="B629" s="273"/>
      <c r="C629" s="272"/>
      <c r="D629" s="274"/>
      <c r="E629" s="275"/>
    </row>
    <row r="630" ht="25.5" customHeight="1">
      <c r="A630" s="272"/>
      <c r="B630" s="273"/>
      <c r="C630" s="272"/>
      <c r="D630" s="274"/>
      <c r="E630" s="275"/>
    </row>
    <row r="631" ht="25.5" customHeight="1">
      <c r="A631" s="272"/>
      <c r="B631" s="273"/>
      <c r="C631" s="272"/>
      <c r="D631" s="274"/>
      <c r="E631" s="275"/>
    </row>
    <row r="632" ht="25.5" customHeight="1">
      <c r="A632" s="272"/>
      <c r="B632" s="273"/>
      <c r="C632" s="272"/>
      <c r="D632" s="274"/>
      <c r="E632" s="275"/>
    </row>
    <row r="633" ht="25.5" customHeight="1">
      <c r="A633" s="272"/>
      <c r="B633" s="273"/>
      <c r="C633" s="272"/>
      <c r="D633" s="274"/>
      <c r="E633" s="275"/>
    </row>
    <row r="634" ht="25.5" customHeight="1">
      <c r="A634" s="272"/>
      <c r="B634" s="273"/>
      <c r="C634" s="272"/>
      <c r="D634" s="274"/>
      <c r="E634" s="275"/>
    </row>
    <row r="635" ht="25.5" customHeight="1">
      <c r="A635" s="272"/>
      <c r="B635" s="273"/>
      <c r="C635" s="272"/>
      <c r="D635" s="274"/>
      <c r="E635" s="275"/>
    </row>
    <row r="636" ht="25.5" customHeight="1">
      <c r="A636" s="272"/>
      <c r="B636" s="273"/>
      <c r="C636" s="272"/>
      <c r="D636" s="274"/>
      <c r="E636" s="275"/>
    </row>
    <row r="637" ht="25.5" customHeight="1">
      <c r="A637" s="272"/>
      <c r="B637" s="273"/>
      <c r="C637" s="272"/>
      <c r="D637" s="274"/>
      <c r="E637" s="275"/>
    </row>
    <row r="638" ht="25.5" customHeight="1">
      <c r="A638" s="272"/>
      <c r="B638" s="273"/>
      <c r="C638" s="272"/>
      <c r="D638" s="274"/>
      <c r="E638" s="275"/>
    </row>
    <row r="639" ht="25.5" customHeight="1">
      <c r="A639" s="272"/>
      <c r="B639" s="273"/>
      <c r="C639" s="272"/>
      <c r="D639" s="274"/>
      <c r="E639" s="275"/>
    </row>
    <row r="640" ht="25.5" customHeight="1">
      <c r="A640" s="272"/>
      <c r="B640" s="273"/>
      <c r="C640" s="272"/>
      <c r="D640" s="274"/>
      <c r="E640" s="275"/>
    </row>
    <row r="641" ht="25.5" customHeight="1">
      <c r="A641" s="272"/>
      <c r="B641" s="273"/>
      <c r="C641" s="272"/>
      <c r="D641" s="274"/>
      <c r="E641" s="275"/>
    </row>
    <row r="642" ht="25.5" customHeight="1">
      <c r="A642" s="272"/>
      <c r="B642" s="273"/>
      <c r="C642" s="272"/>
      <c r="D642" s="274"/>
      <c r="E642" s="275"/>
    </row>
    <row r="643" ht="25.5" customHeight="1">
      <c r="A643" s="272"/>
      <c r="B643" s="273"/>
      <c r="C643" s="272"/>
      <c r="D643" s="274"/>
      <c r="E643" s="275"/>
    </row>
    <row r="644" ht="25.5" customHeight="1">
      <c r="A644" s="272"/>
      <c r="B644" s="273"/>
      <c r="C644" s="272"/>
      <c r="D644" s="274"/>
      <c r="E644" s="275"/>
    </row>
    <row r="645" ht="25.5" customHeight="1">
      <c r="A645" s="272"/>
      <c r="B645" s="273"/>
      <c r="C645" s="272"/>
      <c r="D645" s="274"/>
      <c r="E645" s="275"/>
    </row>
    <row r="646" ht="25.5" customHeight="1">
      <c r="A646" s="272"/>
      <c r="B646" s="273"/>
      <c r="C646" s="272"/>
      <c r="D646" s="274"/>
      <c r="E646" s="275"/>
    </row>
    <row r="647" ht="25.5" customHeight="1">
      <c r="A647" s="272"/>
      <c r="B647" s="273"/>
      <c r="C647" s="272"/>
      <c r="D647" s="274"/>
      <c r="E647" s="275"/>
    </row>
    <row r="648" ht="25.5" customHeight="1">
      <c r="A648" s="272"/>
      <c r="B648" s="273"/>
      <c r="C648" s="272"/>
      <c r="D648" s="274"/>
      <c r="E648" s="275"/>
    </row>
    <row r="649" ht="25.5" customHeight="1">
      <c r="A649" s="272"/>
      <c r="B649" s="273"/>
      <c r="C649" s="272"/>
      <c r="D649" s="274"/>
      <c r="E649" s="275"/>
    </row>
    <row r="650" ht="25.5" customHeight="1">
      <c r="A650" s="272"/>
      <c r="B650" s="273"/>
      <c r="C650" s="272"/>
      <c r="D650" s="274"/>
      <c r="E650" s="275"/>
    </row>
    <row r="651" ht="25.5" customHeight="1">
      <c r="A651" s="272"/>
      <c r="B651" s="273"/>
      <c r="C651" s="272"/>
      <c r="D651" s="274"/>
      <c r="E651" s="275"/>
    </row>
    <row r="652" ht="25.5" customHeight="1">
      <c r="A652" s="272"/>
      <c r="B652" s="273"/>
      <c r="C652" s="272"/>
      <c r="D652" s="274"/>
      <c r="E652" s="275"/>
    </row>
    <row r="653" ht="25.5" customHeight="1">
      <c r="A653" s="272"/>
      <c r="B653" s="273"/>
      <c r="C653" s="272"/>
      <c r="D653" s="274"/>
      <c r="E653" s="275"/>
    </row>
    <row r="654" ht="25.5" customHeight="1">
      <c r="A654" s="272"/>
      <c r="B654" s="273"/>
      <c r="C654" s="272"/>
      <c r="D654" s="274"/>
      <c r="E654" s="275"/>
    </row>
    <row r="655" ht="25.5" customHeight="1">
      <c r="A655" s="272"/>
      <c r="B655" s="273"/>
      <c r="C655" s="272"/>
      <c r="D655" s="274"/>
      <c r="E655" s="275"/>
    </row>
    <row r="656" ht="25.5" customHeight="1">
      <c r="A656" s="272"/>
      <c r="B656" s="273"/>
      <c r="C656" s="272"/>
      <c r="D656" s="274"/>
      <c r="E656" s="275"/>
    </row>
    <row r="657" ht="25.5" customHeight="1">
      <c r="A657" s="272"/>
      <c r="B657" s="273"/>
      <c r="C657" s="272"/>
      <c r="D657" s="274"/>
      <c r="E657" s="275"/>
    </row>
    <row r="658" ht="25.5" customHeight="1">
      <c r="A658" s="272"/>
      <c r="B658" s="273"/>
      <c r="C658" s="272"/>
      <c r="D658" s="274"/>
      <c r="E658" s="275"/>
    </row>
    <row r="659" ht="25.5" customHeight="1">
      <c r="A659" s="272"/>
      <c r="B659" s="273"/>
      <c r="C659" s="272"/>
      <c r="D659" s="274"/>
      <c r="E659" s="275"/>
    </row>
    <row r="660" ht="25.5" customHeight="1">
      <c r="A660" s="272"/>
      <c r="B660" s="273"/>
      <c r="C660" s="272"/>
      <c r="D660" s="274"/>
      <c r="E660" s="275"/>
    </row>
    <row r="661" ht="25.5" customHeight="1">
      <c r="A661" s="272"/>
      <c r="B661" s="273"/>
      <c r="C661" s="272"/>
      <c r="D661" s="274"/>
      <c r="E661" s="275"/>
    </row>
    <row r="662" ht="25.5" customHeight="1">
      <c r="A662" s="272"/>
      <c r="B662" s="273"/>
      <c r="C662" s="272"/>
      <c r="D662" s="274"/>
      <c r="E662" s="275"/>
    </row>
    <row r="663" ht="25.5" customHeight="1">
      <c r="A663" s="272"/>
      <c r="B663" s="273"/>
      <c r="C663" s="272"/>
      <c r="D663" s="274"/>
      <c r="E663" s="275"/>
    </row>
    <row r="664" ht="25.5" customHeight="1">
      <c r="A664" s="272"/>
      <c r="B664" s="273"/>
      <c r="C664" s="272"/>
      <c r="D664" s="274"/>
      <c r="E664" s="275"/>
    </row>
    <row r="665" ht="25.5" customHeight="1">
      <c r="A665" s="272"/>
      <c r="B665" s="273"/>
      <c r="C665" s="272"/>
      <c r="D665" s="274"/>
      <c r="E665" s="275"/>
    </row>
    <row r="666" ht="25.5" customHeight="1">
      <c r="A666" s="272"/>
      <c r="B666" s="273"/>
      <c r="C666" s="272"/>
      <c r="D666" s="274"/>
      <c r="E666" s="275"/>
    </row>
    <row r="667" ht="25.5" customHeight="1">
      <c r="A667" s="272"/>
      <c r="B667" s="273"/>
      <c r="C667" s="272"/>
      <c r="D667" s="274"/>
      <c r="E667" s="275"/>
    </row>
    <row r="668" ht="25.5" customHeight="1">
      <c r="A668" s="272"/>
      <c r="B668" s="273"/>
      <c r="C668" s="272"/>
      <c r="D668" s="274"/>
      <c r="E668" s="275"/>
    </row>
    <row r="669" ht="25.5" customHeight="1">
      <c r="A669" s="272"/>
      <c r="B669" s="273"/>
      <c r="C669" s="272"/>
      <c r="D669" s="274"/>
      <c r="E669" s="275"/>
    </row>
    <row r="670" ht="25.5" customHeight="1">
      <c r="A670" s="272"/>
      <c r="B670" s="273"/>
      <c r="C670" s="272"/>
      <c r="D670" s="274"/>
      <c r="E670" s="275"/>
    </row>
    <row r="671" ht="25.5" customHeight="1">
      <c r="A671" s="272"/>
      <c r="B671" s="273"/>
      <c r="C671" s="272"/>
      <c r="D671" s="274"/>
      <c r="E671" s="275"/>
    </row>
    <row r="672" ht="25.5" customHeight="1">
      <c r="A672" s="272"/>
      <c r="B672" s="273"/>
      <c r="C672" s="272"/>
      <c r="D672" s="274"/>
      <c r="E672" s="275"/>
    </row>
    <row r="673" ht="25.5" customHeight="1">
      <c r="A673" s="272"/>
      <c r="B673" s="273"/>
      <c r="C673" s="272"/>
      <c r="D673" s="274"/>
      <c r="E673" s="275"/>
    </row>
    <row r="674" ht="25.5" customHeight="1">
      <c r="A674" s="272"/>
      <c r="B674" s="273"/>
      <c r="C674" s="272"/>
      <c r="D674" s="274"/>
      <c r="E674" s="275"/>
    </row>
    <row r="675" ht="25.5" customHeight="1">
      <c r="A675" s="272"/>
      <c r="B675" s="273"/>
      <c r="C675" s="272"/>
      <c r="D675" s="274"/>
      <c r="E675" s="275"/>
    </row>
    <row r="676" ht="25.5" customHeight="1">
      <c r="A676" s="272"/>
      <c r="B676" s="273"/>
      <c r="C676" s="272"/>
      <c r="D676" s="274"/>
      <c r="E676" s="275"/>
    </row>
    <row r="677" ht="25.5" customHeight="1">
      <c r="A677" s="272"/>
      <c r="B677" s="273"/>
      <c r="C677" s="272"/>
      <c r="D677" s="274"/>
      <c r="E677" s="275"/>
    </row>
    <row r="678" ht="25.5" customHeight="1">
      <c r="A678" s="272"/>
      <c r="B678" s="273"/>
      <c r="C678" s="272"/>
      <c r="D678" s="274"/>
      <c r="E678" s="275"/>
    </row>
    <row r="679" ht="25.5" customHeight="1">
      <c r="A679" s="272"/>
      <c r="B679" s="273"/>
      <c r="C679" s="272"/>
      <c r="D679" s="274"/>
      <c r="E679" s="275"/>
    </row>
    <row r="680" ht="25.5" customHeight="1">
      <c r="A680" s="272"/>
      <c r="B680" s="273"/>
      <c r="C680" s="272"/>
      <c r="D680" s="274"/>
      <c r="E680" s="275"/>
    </row>
    <row r="681" ht="25.5" customHeight="1">
      <c r="A681" s="272"/>
      <c r="B681" s="273"/>
      <c r="C681" s="272"/>
      <c r="D681" s="274"/>
      <c r="E681" s="275"/>
    </row>
    <row r="682" ht="25.5" customHeight="1">
      <c r="A682" s="272"/>
      <c r="B682" s="273"/>
      <c r="C682" s="272"/>
      <c r="D682" s="274"/>
      <c r="E682" s="275"/>
    </row>
    <row r="683" ht="25.5" customHeight="1">
      <c r="A683" s="272"/>
      <c r="B683" s="273"/>
      <c r="C683" s="272"/>
      <c r="D683" s="274"/>
      <c r="E683" s="275"/>
    </row>
    <row r="684" ht="25.5" customHeight="1">
      <c r="A684" s="272"/>
      <c r="B684" s="273"/>
      <c r="C684" s="272"/>
      <c r="D684" s="274"/>
      <c r="E684" s="275"/>
    </row>
    <row r="685" ht="25.5" customHeight="1">
      <c r="A685" s="272"/>
      <c r="B685" s="273"/>
      <c r="C685" s="272"/>
      <c r="D685" s="274"/>
      <c r="E685" s="275"/>
    </row>
    <row r="686" ht="25.5" customHeight="1">
      <c r="A686" s="272"/>
      <c r="B686" s="273"/>
      <c r="C686" s="272"/>
      <c r="D686" s="274"/>
      <c r="E686" s="275"/>
    </row>
    <row r="687" ht="25.5" customHeight="1">
      <c r="A687" s="272"/>
      <c r="B687" s="273"/>
      <c r="C687" s="272"/>
      <c r="D687" s="274"/>
      <c r="E687" s="275"/>
    </row>
    <row r="688" ht="25.5" customHeight="1">
      <c r="A688" s="272"/>
      <c r="B688" s="273"/>
      <c r="C688" s="272"/>
      <c r="D688" s="274"/>
      <c r="E688" s="275"/>
    </row>
    <row r="689" ht="25.5" customHeight="1">
      <c r="A689" s="272"/>
      <c r="B689" s="273"/>
      <c r="C689" s="272"/>
      <c r="D689" s="274"/>
      <c r="E689" s="275"/>
    </row>
    <row r="690" ht="25.5" customHeight="1">
      <c r="A690" s="272"/>
      <c r="B690" s="273"/>
      <c r="C690" s="272"/>
      <c r="D690" s="274"/>
      <c r="E690" s="275"/>
    </row>
    <row r="691" ht="25.5" customHeight="1">
      <c r="A691" s="272"/>
      <c r="B691" s="273"/>
      <c r="C691" s="272"/>
      <c r="D691" s="274"/>
      <c r="E691" s="275"/>
    </row>
    <row r="692" ht="25.5" customHeight="1">
      <c r="A692" s="272"/>
      <c r="B692" s="273"/>
      <c r="C692" s="272"/>
      <c r="D692" s="274"/>
      <c r="E692" s="275"/>
    </row>
    <row r="693" ht="25.5" customHeight="1">
      <c r="A693" s="272"/>
      <c r="B693" s="273"/>
      <c r="C693" s="272"/>
      <c r="D693" s="274"/>
      <c r="E693" s="275"/>
    </row>
    <row r="694" ht="25.5" customHeight="1">
      <c r="A694" s="272"/>
      <c r="B694" s="273"/>
      <c r="C694" s="272"/>
      <c r="D694" s="274"/>
      <c r="E694" s="275"/>
    </row>
    <row r="695" ht="25.5" customHeight="1">
      <c r="A695" s="272"/>
      <c r="B695" s="273"/>
      <c r="C695" s="272"/>
      <c r="D695" s="274"/>
      <c r="E695" s="275"/>
    </row>
    <row r="696" ht="25.5" customHeight="1">
      <c r="A696" s="272"/>
      <c r="B696" s="273"/>
      <c r="C696" s="272"/>
      <c r="D696" s="274"/>
      <c r="E696" s="275"/>
    </row>
    <row r="697" ht="25.5" customHeight="1">
      <c r="A697" s="272"/>
      <c r="B697" s="273"/>
      <c r="C697" s="272"/>
      <c r="D697" s="274"/>
      <c r="E697" s="275"/>
    </row>
    <row r="698" ht="25.5" customHeight="1">
      <c r="A698" s="272"/>
      <c r="B698" s="273"/>
      <c r="C698" s="272"/>
      <c r="D698" s="274"/>
      <c r="E698" s="275"/>
    </row>
    <row r="699" ht="25.5" customHeight="1">
      <c r="A699" s="272"/>
      <c r="B699" s="273"/>
      <c r="C699" s="272"/>
      <c r="D699" s="274"/>
      <c r="E699" s="275"/>
    </row>
    <row r="700" ht="25.5" customHeight="1">
      <c r="A700" s="272"/>
      <c r="B700" s="273"/>
      <c r="C700" s="272"/>
      <c r="D700" s="274"/>
      <c r="E700" s="275"/>
    </row>
    <row r="701" ht="25.5" customHeight="1">
      <c r="A701" s="272"/>
      <c r="B701" s="273"/>
      <c r="C701" s="272"/>
      <c r="D701" s="274"/>
      <c r="E701" s="275"/>
    </row>
    <row r="702" ht="25.5" customHeight="1">
      <c r="A702" s="272"/>
      <c r="B702" s="273"/>
      <c r="C702" s="272"/>
      <c r="D702" s="274"/>
      <c r="E702" s="275"/>
    </row>
    <row r="703" ht="25.5" customHeight="1">
      <c r="A703" s="272"/>
      <c r="B703" s="273"/>
      <c r="C703" s="272"/>
      <c r="D703" s="274"/>
      <c r="E703" s="275"/>
    </row>
    <row r="704" ht="25.5" customHeight="1">
      <c r="A704" s="272"/>
      <c r="B704" s="273"/>
      <c r="C704" s="272"/>
      <c r="D704" s="274"/>
      <c r="E704" s="275"/>
    </row>
    <row r="705" ht="25.5" customHeight="1">
      <c r="A705" s="272"/>
      <c r="B705" s="273"/>
      <c r="C705" s="272"/>
      <c r="D705" s="274"/>
      <c r="E705" s="275"/>
    </row>
    <row r="706" ht="25.5" customHeight="1">
      <c r="A706" s="272"/>
      <c r="B706" s="273"/>
      <c r="C706" s="272"/>
      <c r="D706" s="274"/>
      <c r="E706" s="275"/>
    </row>
    <row r="707" ht="25.5" customHeight="1">
      <c r="A707" s="272"/>
      <c r="B707" s="273"/>
      <c r="C707" s="272"/>
      <c r="D707" s="274"/>
      <c r="E707" s="275"/>
    </row>
    <row r="708" ht="25.5" customHeight="1">
      <c r="A708" s="272"/>
      <c r="B708" s="273"/>
      <c r="C708" s="272"/>
      <c r="D708" s="274"/>
      <c r="E708" s="275"/>
    </row>
    <row r="709" ht="25.5" customHeight="1">
      <c r="A709" s="272"/>
      <c r="B709" s="273"/>
      <c r="C709" s="272"/>
      <c r="D709" s="274"/>
      <c r="E709" s="275"/>
    </row>
    <row r="710" ht="25.5" customHeight="1">
      <c r="A710" s="272"/>
      <c r="B710" s="273"/>
      <c r="C710" s="272"/>
      <c r="D710" s="274"/>
      <c r="E710" s="275"/>
    </row>
    <row r="711" ht="25.5" customHeight="1">
      <c r="A711" s="272"/>
      <c r="B711" s="273"/>
      <c r="C711" s="272"/>
      <c r="D711" s="274"/>
      <c r="E711" s="275"/>
    </row>
    <row r="712" ht="25.5" customHeight="1">
      <c r="A712" s="272"/>
      <c r="B712" s="273"/>
      <c r="C712" s="272"/>
      <c r="D712" s="274"/>
      <c r="E712" s="275"/>
    </row>
    <row r="713" ht="25.5" customHeight="1">
      <c r="A713" s="272"/>
      <c r="B713" s="273"/>
      <c r="C713" s="272"/>
      <c r="D713" s="274"/>
      <c r="E713" s="275"/>
    </row>
    <row r="714" ht="25.5" customHeight="1">
      <c r="A714" s="272"/>
      <c r="B714" s="273"/>
      <c r="C714" s="272"/>
      <c r="D714" s="274"/>
      <c r="E714" s="275"/>
    </row>
    <row r="715" ht="25.5" customHeight="1">
      <c r="A715" s="272"/>
      <c r="B715" s="273"/>
      <c r="C715" s="272"/>
      <c r="D715" s="274"/>
      <c r="E715" s="275"/>
    </row>
    <row r="716" ht="25.5" customHeight="1">
      <c r="A716" s="272"/>
      <c r="B716" s="273"/>
      <c r="C716" s="272"/>
      <c r="D716" s="274"/>
      <c r="E716" s="275"/>
    </row>
    <row r="717" ht="25.5" customHeight="1">
      <c r="A717" s="272"/>
      <c r="B717" s="273"/>
      <c r="C717" s="272"/>
      <c r="D717" s="274"/>
      <c r="E717" s="275"/>
    </row>
    <row r="718" ht="25.5" customHeight="1">
      <c r="A718" s="272"/>
      <c r="B718" s="273"/>
      <c r="C718" s="272"/>
      <c r="D718" s="274"/>
      <c r="E718" s="275"/>
    </row>
    <row r="719" ht="25.5" customHeight="1">
      <c r="A719" s="272"/>
      <c r="B719" s="273"/>
      <c r="C719" s="272"/>
      <c r="D719" s="274"/>
      <c r="E719" s="275"/>
    </row>
    <row r="720" ht="25.5" customHeight="1">
      <c r="A720" s="272"/>
      <c r="B720" s="273"/>
      <c r="C720" s="272"/>
      <c r="D720" s="274"/>
      <c r="E720" s="275"/>
    </row>
    <row r="721" ht="25.5" customHeight="1">
      <c r="A721" s="272"/>
      <c r="B721" s="273"/>
      <c r="C721" s="272"/>
      <c r="D721" s="274"/>
      <c r="E721" s="275"/>
    </row>
    <row r="722" ht="25.5" customHeight="1">
      <c r="A722" s="272"/>
      <c r="B722" s="273"/>
      <c r="C722" s="272"/>
      <c r="D722" s="274"/>
      <c r="E722" s="275"/>
    </row>
    <row r="723" ht="25.5" customHeight="1">
      <c r="A723" s="272"/>
      <c r="B723" s="273"/>
      <c r="C723" s="272"/>
      <c r="D723" s="274"/>
      <c r="E723" s="275"/>
    </row>
    <row r="724" ht="25.5" customHeight="1">
      <c r="A724" s="272"/>
      <c r="B724" s="273"/>
      <c r="C724" s="272"/>
      <c r="D724" s="274"/>
      <c r="E724" s="275"/>
    </row>
    <row r="725" ht="25.5" customHeight="1">
      <c r="A725" s="272"/>
      <c r="B725" s="273"/>
      <c r="C725" s="272"/>
      <c r="D725" s="274"/>
      <c r="E725" s="275"/>
    </row>
    <row r="726" ht="25.5" customHeight="1">
      <c r="A726" s="272"/>
      <c r="B726" s="273"/>
      <c r="C726" s="272"/>
      <c r="D726" s="274"/>
      <c r="E726" s="275"/>
    </row>
    <row r="727" ht="25.5" customHeight="1">
      <c r="A727" s="272"/>
      <c r="B727" s="273"/>
      <c r="C727" s="272"/>
      <c r="D727" s="274"/>
      <c r="E727" s="275"/>
    </row>
    <row r="728" ht="25.5" customHeight="1">
      <c r="A728" s="272"/>
      <c r="B728" s="273"/>
      <c r="C728" s="272"/>
      <c r="D728" s="274"/>
      <c r="E728" s="275"/>
    </row>
    <row r="729" ht="25.5" customHeight="1">
      <c r="A729" s="272"/>
      <c r="B729" s="273"/>
      <c r="C729" s="272"/>
      <c r="D729" s="274"/>
      <c r="E729" s="275"/>
    </row>
    <row r="730" ht="25.5" customHeight="1">
      <c r="A730" s="272"/>
      <c r="B730" s="273"/>
      <c r="C730" s="272"/>
      <c r="D730" s="274"/>
      <c r="E730" s="275"/>
    </row>
    <row r="731" ht="25.5" customHeight="1">
      <c r="A731" s="272"/>
      <c r="B731" s="273"/>
      <c r="C731" s="272"/>
      <c r="D731" s="274"/>
      <c r="E731" s="275"/>
    </row>
    <row r="732" ht="25.5" customHeight="1">
      <c r="A732" s="272"/>
      <c r="B732" s="273"/>
      <c r="C732" s="272"/>
      <c r="D732" s="274"/>
      <c r="E732" s="275"/>
    </row>
    <row r="733" ht="25.5" customHeight="1">
      <c r="A733" s="272"/>
      <c r="B733" s="273"/>
      <c r="C733" s="272"/>
      <c r="D733" s="274"/>
      <c r="E733" s="275"/>
    </row>
    <row r="734" ht="25.5" customHeight="1">
      <c r="A734" s="272"/>
      <c r="B734" s="273"/>
      <c r="C734" s="272"/>
      <c r="D734" s="274"/>
      <c r="E734" s="275"/>
    </row>
    <row r="735" ht="25.5" customHeight="1">
      <c r="A735" s="272"/>
      <c r="B735" s="273"/>
      <c r="C735" s="272"/>
      <c r="D735" s="274"/>
      <c r="E735" s="275"/>
    </row>
    <row r="736" ht="25.5" customHeight="1">
      <c r="A736" s="272"/>
      <c r="B736" s="273"/>
      <c r="C736" s="272"/>
      <c r="D736" s="274"/>
      <c r="E736" s="275"/>
    </row>
    <row r="737" ht="25.5" customHeight="1">
      <c r="A737" s="272"/>
      <c r="B737" s="273"/>
      <c r="C737" s="272"/>
      <c r="D737" s="274"/>
      <c r="E737" s="275"/>
    </row>
    <row r="738" ht="25.5" customHeight="1">
      <c r="A738" s="272"/>
      <c r="B738" s="273"/>
      <c r="C738" s="272"/>
      <c r="D738" s="274"/>
      <c r="E738" s="275"/>
    </row>
    <row r="739" ht="25.5" customHeight="1">
      <c r="A739" s="272"/>
      <c r="B739" s="273"/>
      <c r="C739" s="272"/>
      <c r="D739" s="274"/>
      <c r="E739" s="275"/>
    </row>
    <row r="740" ht="25.5" customHeight="1">
      <c r="A740" s="272"/>
      <c r="B740" s="273"/>
      <c r="C740" s="272"/>
      <c r="D740" s="274"/>
      <c r="E740" s="275"/>
    </row>
    <row r="741" ht="25.5" customHeight="1">
      <c r="A741" s="272"/>
      <c r="B741" s="273"/>
      <c r="C741" s="272"/>
      <c r="D741" s="274"/>
      <c r="E741" s="275"/>
    </row>
    <row r="742" ht="25.5" customHeight="1">
      <c r="A742" s="272"/>
      <c r="B742" s="273"/>
      <c r="C742" s="272"/>
      <c r="D742" s="274"/>
      <c r="E742" s="275"/>
    </row>
    <row r="743" ht="25.5" customHeight="1">
      <c r="A743" s="272"/>
      <c r="B743" s="273"/>
      <c r="C743" s="272"/>
      <c r="D743" s="274"/>
      <c r="E743" s="275"/>
    </row>
    <row r="744" ht="25.5" customHeight="1">
      <c r="A744" s="272"/>
      <c r="B744" s="273"/>
      <c r="C744" s="272"/>
      <c r="D744" s="274"/>
      <c r="E744" s="275"/>
    </row>
    <row r="745" ht="25.5" customHeight="1">
      <c r="A745" s="272"/>
      <c r="B745" s="273"/>
      <c r="C745" s="272"/>
      <c r="D745" s="274"/>
      <c r="E745" s="275"/>
    </row>
    <row r="746" ht="25.5" customHeight="1">
      <c r="A746" s="272"/>
      <c r="B746" s="273"/>
      <c r="C746" s="272"/>
      <c r="D746" s="274"/>
      <c r="E746" s="275"/>
    </row>
    <row r="747" ht="25.5" customHeight="1">
      <c r="A747" s="272"/>
      <c r="B747" s="273"/>
      <c r="C747" s="272"/>
      <c r="D747" s="274"/>
      <c r="E747" s="275"/>
    </row>
    <row r="748" ht="25.5" customHeight="1">
      <c r="A748" s="272"/>
      <c r="B748" s="273"/>
      <c r="C748" s="272"/>
      <c r="D748" s="274"/>
      <c r="E748" s="275"/>
    </row>
    <row r="749" ht="25.5" customHeight="1">
      <c r="A749" s="272"/>
      <c r="B749" s="273"/>
      <c r="C749" s="272"/>
      <c r="D749" s="274"/>
      <c r="E749" s="275"/>
    </row>
    <row r="750" ht="25.5" customHeight="1">
      <c r="A750" s="272"/>
      <c r="B750" s="273"/>
      <c r="C750" s="272"/>
      <c r="D750" s="274"/>
      <c r="E750" s="275"/>
    </row>
    <row r="751" ht="25.5" customHeight="1">
      <c r="A751" s="272"/>
      <c r="B751" s="273"/>
      <c r="C751" s="272"/>
      <c r="D751" s="274"/>
      <c r="E751" s="275"/>
    </row>
    <row r="752" ht="25.5" customHeight="1">
      <c r="A752" s="272"/>
      <c r="B752" s="273"/>
      <c r="C752" s="272"/>
      <c r="D752" s="274"/>
      <c r="E752" s="275"/>
    </row>
    <row r="753" ht="25.5" customHeight="1">
      <c r="A753" s="272"/>
      <c r="B753" s="273"/>
      <c r="C753" s="272"/>
      <c r="D753" s="274"/>
      <c r="E753" s="275"/>
    </row>
    <row r="754" ht="25.5" customHeight="1">
      <c r="A754" s="272"/>
      <c r="B754" s="273"/>
      <c r="C754" s="272"/>
      <c r="D754" s="274"/>
      <c r="E754" s="275"/>
    </row>
    <row r="755" ht="25.5" customHeight="1">
      <c r="A755" s="272"/>
      <c r="B755" s="273"/>
      <c r="C755" s="272"/>
      <c r="D755" s="274"/>
      <c r="E755" s="275"/>
    </row>
    <row r="756" ht="25.5" customHeight="1">
      <c r="A756" s="272"/>
      <c r="B756" s="273"/>
      <c r="C756" s="272"/>
      <c r="D756" s="274"/>
      <c r="E756" s="275"/>
    </row>
    <row r="757" ht="25.5" customHeight="1">
      <c r="A757" s="272"/>
      <c r="B757" s="273"/>
      <c r="C757" s="272"/>
      <c r="D757" s="274"/>
      <c r="E757" s="275"/>
    </row>
    <row r="758" ht="25.5" customHeight="1">
      <c r="A758" s="272"/>
      <c r="B758" s="273"/>
      <c r="C758" s="272"/>
      <c r="D758" s="274"/>
      <c r="E758" s="275"/>
    </row>
    <row r="759" ht="25.5" customHeight="1">
      <c r="A759" s="272"/>
      <c r="B759" s="273"/>
      <c r="C759" s="272"/>
      <c r="D759" s="274"/>
      <c r="E759" s="275"/>
    </row>
    <row r="760" ht="25.5" customHeight="1">
      <c r="A760" s="272"/>
      <c r="B760" s="273"/>
      <c r="C760" s="272"/>
      <c r="D760" s="274"/>
      <c r="E760" s="275"/>
    </row>
    <row r="761" ht="25.5" customHeight="1">
      <c r="A761" s="272"/>
      <c r="B761" s="273"/>
      <c r="C761" s="272"/>
      <c r="D761" s="274"/>
      <c r="E761" s="275"/>
    </row>
    <row r="762" ht="25.5" customHeight="1">
      <c r="A762" s="272"/>
      <c r="B762" s="273"/>
      <c r="C762" s="272"/>
      <c r="D762" s="274"/>
      <c r="E762" s="275"/>
    </row>
    <row r="763" ht="25.5" customHeight="1">
      <c r="A763" s="272"/>
      <c r="B763" s="273"/>
      <c r="C763" s="272"/>
      <c r="D763" s="274"/>
      <c r="E763" s="275"/>
    </row>
    <row r="764" ht="25.5" customHeight="1">
      <c r="A764" s="272"/>
      <c r="B764" s="273"/>
      <c r="C764" s="272"/>
      <c r="D764" s="274"/>
      <c r="E764" s="275"/>
    </row>
    <row r="765" ht="25.5" customHeight="1">
      <c r="A765" s="272"/>
      <c r="B765" s="273"/>
      <c r="C765" s="272"/>
      <c r="D765" s="274"/>
      <c r="E765" s="275"/>
    </row>
    <row r="766" ht="25.5" customHeight="1">
      <c r="A766" s="272"/>
      <c r="B766" s="273"/>
      <c r="C766" s="272"/>
      <c r="D766" s="274"/>
      <c r="E766" s="275"/>
    </row>
    <row r="767" ht="25.5" customHeight="1">
      <c r="A767" s="272"/>
      <c r="B767" s="273"/>
      <c r="C767" s="272"/>
      <c r="D767" s="274"/>
      <c r="E767" s="275"/>
    </row>
    <row r="768" ht="25.5" customHeight="1">
      <c r="A768" s="272"/>
      <c r="B768" s="273"/>
      <c r="C768" s="272"/>
      <c r="D768" s="274"/>
      <c r="E768" s="275"/>
    </row>
    <row r="769" ht="25.5" customHeight="1">
      <c r="A769" s="272"/>
      <c r="B769" s="273"/>
      <c r="C769" s="272"/>
      <c r="D769" s="274"/>
      <c r="E769" s="275"/>
    </row>
    <row r="770" ht="25.5" customHeight="1">
      <c r="A770" s="272"/>
      <c r="B770" s="273"/>
      <c r="C770" s="272"/>
      <c r="D770" s="274"/>
      <c r="E770" s="275"/>
    </row>
    <row r="771" ht="25.5" customHeight="1">
      <c r="A771" s="272"/>
      <c r="B771" s="273"/>
      <c r="C771" s="272"/>
      <c r="D771" s="274"/>
      <c r="E771" s="275"/>
    </row>
    <row r="772" ht="25.5" customHeight="1">
      <c r="A772" s="272"/>
      <c r="B772" s="273"/>
      <c r="C772" s="272"/>
      <c r="D772" s="274"/>
      <c r="E772" s="275"/>
    </row>
    <row r="773" ht="25.5" customHeight="1">
      <c r="A773" s="272"/>
      <c r="B773" s="273"/>
      <c r="C773" s="272"/>
      <c r="D773" s="274"/>
      <c r="E773" s="275"/>
    </row>
    <row r="774" ht="25.5" customHeight="1">
      <c r="A774" s="272"/>
      <c r="B774" s="273"/>
      <c r="C774" s="272"/>
      <c r="D774" s="274"/>
      <c r="E774" s="275"/>
    </row>
    <row r="775" ht="25.5" customHeight="1">
      <c r="A775" s="272"/>
      <c r="B775" s="273"/>
      <c r="C775" s="272"/>
      <c r="D775" s="274"/>
      <c r="E775" s="275"/>
    </row>
    <row r="776" ht="25.5" customHeight="1">
      <c r="A776" s="272"/>
      <c r="B776" s="273"/>
      <c r="C776" s="272"/>
      <c r="D776" s="274"/>
      <c r="E776" s="275"/>
    </row>
    <row r="777" ht="25.5" customHeight="1">
      <c r="A777" s="272"/>
      <c r="B777" s="273"/>
      <c r="C777" s="272"/>
      <c r="D777" s="274"/>
      <c r="E777" s="275"/>
    </row>
    <row r="778" ht="25.5" customHeight="1">
      <c r="A778" s="272"/>
      <c r="B778" s="273"/>
      <c r="C778" s="272"/>
      <c r="D778" s="274"/>
      <c r="E778" s="275"/>
    </row>
    <row r="779">
      <c r="A779" s="272"/>
      <c r="B779" s="273"/>
      <c r="C779" s="272"/>
      <c r="D779" s="274"/>
      <c r="E779" s="275"/>
    </row>
    <row r="780">
      <c r="A780" s="272"/>
      <c r="B780" s="273"/>
      <c r="C780" s="272"/>
      <c r="D780" s="274"/>
      <c r="E780" s="275"/>
    </row>
    <row r="781">
      <c r="A781" s="272"/>
      <c r="B781" s="273"/>
      <c r="C781" s="272"/>
      <c r="D781" s="274"/>
      <c r="E781" s="275"/>
    </row>
    <row r="782">
      <c r="A782" s="272"/>
      <c r="B782" s="273"/>
      <c r="C782" s="272"/>
      <c r="D782" s="274"/>
      <c r="E782" s="275"/>
    </row>
    <row r="783">
      <c r="A783" s="272"/>
      <c r="B783" s="273"/>
      <c r="C783" s="272"/>
      <c r="D783" s="274"/>
      <c r="E783" s="275"/>
    </row>
    <row r="784">
      <c r="A784" s="272"/>
      <c r="B784" s="273"/>
      <c r="C784" s="272"/>
      <c r="D784" s="274"/>
      <c r="E784" s="275"/>
    </row>
    <row r="785">
      <c r="A785" s="272"/>
      <c r="B785" s="273"/>
      <c r="C785" s="272"/>
      <c r="D785" s="274"/>
      <c r="E785" s="275"/>
    </row>
    <row r="786">
      <c r="A786" s="272"/>
      <c r="B786" s="273"/>
      <c r="C786" s="272"/>
      <c r="D786" s="274"/>
      <c r="E786" s="275"/>
    </row>
    <row r="787">
      <c r="A787" s="272"/>
      <c r="B787" s="273"/>
      <c r="C787" s="272"/>
      <c r="D787" s="274"/>
      <c r="E787" s="275"/>
    </row>
    <row r="788">
      <c r="A788" s="272"/>
      <c r="B788" s="273"/>
      <c r="C788" s="272"/>
      <c r="D788" s="274"/>
      <c r="E788" s="275"/>
    </row>
    <row r="789">
      <c r="A789" s="272"/>
      <c r="B789" s="273"/>
      <c r="C789" s="272"/>
      <c r="D789" s="274"/>
      <c r="E789" s="275"/>
    </row>
    <row r="790">
      <c r="A790" s="272"/>
      <c r="B790" s="273"/>
      <c r="C790" s="272"/>
      <c r="D790" s="274"/>
      <c r="E790" s="275"/>
    </row>
    <row r="791">
      <c r="A791" s="272"/>
      <c r="B791" s="273"/>
      <c r="C791" s="272"/>
      <c r="D791" s="274"/>
      <c r="E791" s="275"/>
    </row>
    <row r="792">
      <c r="A792" s="272"/>
      <c r="B792" s="273"/>
      <c r="C792" s="272"/>
      <c r="D792" s="274"/>
      <c r="E792" s="275"/>
    </row>
    <row r="793">
      <c r="A793" s="272"/>
      <c r="B793" s="273"/>
      <c r="C793" s="272"/>
      <c r="D793" s="274"/>
      <c r="E793" s="275"/>
    </row>
    <row r="794">
      <c r="A794" s="272"/>
      <c r="B794" s="273"/>
      <c r="C794" s="272"/>
      <c r="D794" s="274"/>
      <c r="E794" s="275"/>
    </row>
    <row r="795">
      <c r="A795" s="272"/>
      <c r="B795" s="273"/>
      <c r="C795" s="272"/>
      <c r="D795" s="274"/>
      <c r="E795" s="275"/>
    </row>
    <row r="796">
      <c r="A796" s="272"/>
      <c r="B796" s="273"/>
      <c r="C796" s="272"/>
      <c r="D796" s="274"/>
      <c r="E796" s="275"/>
    </row>
    <row r="797">
      <c r="A797" s="272"/>
      <c r="B797" s="273"/>
      <c r="C797" s="272"/>
      <c r="D797" s="274"/>
      <c r="E797" s="275"/>
    </row>
    <row r="798">
      <c r="A798" s="272"/>
      <c r="B798" s="273"/>
      <c r="C798" s="272"/>
      <c r="D798" s="274"/>
      <c r="E798" s="275"/>
    </row>
    <row r="799">
      <c r="A799" s="272"/>
      <c r="B799" s="273"/>
      <c r="C799" s="272"/>
      <c r="D799" s="274"/>
      <c r="E799" s="275"/>
    </row>
    <row r="800">
      <c r="A800" s="272"/>
      <c r="B800" s="273"/>
      <c r="C800" s="272"/>
      <c r="D800" s="274"/>
      <c r="E800" s="275"/>
    </row>
    <row r="801">
      <c r="A801" s="272"/>
      <c r="B801" s="273"/>
      <c r="C801" s="272"/>
      <c r="D801" s="274"/>
      <c r="E801" s="275"/>
    </row>
    <row r="802">
      <c r="A802" s="272"/>
      <c r="B802" s="273"/>
      <c r="C802" s="272"/>
      <c r="D802" s="274"/>
      <c r="E802" s="275"/>
    </row>
    <row r="803">
      <c r="A803" s="272"/>
      <c r="B803" s="273"/>
      <c r="C803" s="272"/>
      <c r="D803" s="274"/>
      <c r="E803" s="275"/>
    </row>
    <row r="804">
      <c r="A804" s="272"/>
      <c r="B804" s="273"/>
      <c r="C804" s="272"/>
      <c r="D804" s="274"/>
      <c r="E804" s="275"/>
    </row>
    <row r="805">
      <c r="A805" s="272"/>
      <c r="B805" s="273"/>
      <c r="C805" s="272"/>
      <c r="D805" s="274"/>
      <c r="E805" s="275"/>
    </row>
    <row r="806">
      <c r="A806" s="272"/>
      <c r="B806" s="273"/>
      <c r="C806" s="272"/>
      <c r="D806" s="274"/>
      <c r="E806" s="275"/>
    </row>
    <row r="807">
      <c r="A807" s="272"/>
      <c r="B807" s="273"/>
      <c r="C807" s="272"/>
      <c r="D807" s="274"/>
      <c r="E807" s="275"/>
    </row>
    <row r="808">
      <c r="A808" s="272"/>
      <c r="B808" s="273"/>
      <c r="C808" s="272"/>
      <c r="D808" s="274"/>
      <c r="E808" s="275"/>
    </row>
    <row r="809">
      <c r="A809" s="272"/>
      <c r="B809" s="273"/>
      <c r="C809" s="272"/>
      <c r="D809" s="274"/>
      <c r="E809" s="275"/>
    </row>
    <row r="810">
      <c r="A810" s="272"/>
      <c r="B810" s="273"/>
      <c r="C810" s="272"/>
      <c r="D810" s="274"/>
      <c r="E810" s="275"/>
    </row>
    <row r="811">
      <c r="A811" s="272"/>
      <c r="B811" s="273"/>
      <c r="C811" s="272"/>
      <c r="D811" s="274"/>
      <c r="E811" s="275"/>
    </row>
    <row r="812">
      <c r="A812" s="272"/>
      <c r="B812" s="273"/>
      <c r="C812" s="272"/>
      <c r="D812" s="274"/>
      <c r="E812" s="275"/>
    </row>
    <row r="813">
      <c r="A813" s="272"/>
      <c r="B813" s="273"/>
      <c r="C813" s="272"/>
      <c r="D813" s="274"/>
      <c r="E813" s="275"/>
    </row>
    <row r="814">
      <c r="A814" s="272"/>
      <c r="B814" s="273"/>
      <c r="C814" s="272"/>
      <c r="D814" s="274"/>
      <c r="E814" s="275"/>
    </row>
    <row r="815">
      <c r="A815" s="272"/>
      <c r="B815" s="273"/>
      <c r="C815" s="272"/>
      <c r="D815" s="274"/>
      <c r="E815" s="275"/>
    </row>
    <row r="816">
      <c r="A816" s="272"/>
      <c r="B816" s="273"/>
      <c r="C816" s="272"/>
      <c r="D816" s="274"/>
      <c r="E816" s="275"/>
    </row>
    <row r="817">
      <c r="A817" s="272"/>
      <c r="B817" s="273"/>
      <c r="C817" s="272"/>
      <c r="D817" s="274"/>
      <c r="E817" s="275"/>
    </row>
    <row r="818">
      <c r="A818" s="272"/>
      <c r="B818" s="273"/>
      <c r="C818" s="272"/>
      <c r="D818" s="274"/>
      <c r="E818" s="275"/>
    </row>
    <row r="819">
      <c r="A819" s="272"/>
      <c r="B819" s="273"/>
      <c r="C819" s="272"/>
      <c r="D819" s="274"/>
      <c r="E819" s="275"/>
    </row>
    <row r="820">
      <c r="A820" s="272"/>
      <c r="B820" s="273"/>
      <c r="C820" s="272"/>
      <c r="D820" s="274"/>
      <c r="E820" s="275"/>
    </row>
    <row r="821">
      <c r="A821" s="272"/>
      <c r="B821" s="273"/>
      <c r="C821" s="272"/>
      <c r="D821" s="274"/>
      <c r="E821" s="275"/>
    </row>
    <row r="822">
      <c r="A822" s="272"/>
      <c r="B822" s="273"/>
      <c r="C822" s="272"/>
      <c r="D822" s="274"/>
      <c r="E822" s="275"/>
    </row>
    <row r="823">
      <c r="A823" s="272"/>
      <c r="B823" s="273"/>
      <c r="C823" s="272"/>
      <c r="D823" s="274"/>
      <c r="E823" s="275"/>
    </row>
    <row r="824">
      <c r="A824" s="272"/>
      <c r="B824" s="273"/>
      <c r="C824" s="272"/>
      <c r="D824" s="274"/>
      <c r="E824" s="275"/>
    </row>
    <row r="825">
      <c r="A825" s="272"/>
      <c r="B825" s="273"/>
      <c r="C825" s="272"/>
      <c r="D825" s="274"/>
      <c r="E825" s="275"/>
    </row>
    <row r="826">
      <c r="A826" s="272"/>
      <c r="B826" s="273"/>
      <c r="C826" s="272"/>
      <c r="D826" s="274"/>
      <c r="E826" s="275"/>
    </row>
    <row r="827">
      <c r="A827" s="272"/>
      <c r="B827" s="273"/>
      <c r="C827" s="272"/>
      <c r="D827" s="274"/>
      <c r="E827" s="275"/>
    </row>
    <row r="828">
      <c r="A828" s="272"/>
      <c r="B828" s="273"/>
      <c r="C828" s="272"/>
      <c r="D828" s="274"/>
      <c r="E828" s="275"/>
    </row>
    <row r="829">
      <c r="A829" s="272"/>
      <c r="B829" s="273"/>
      <c r="C829" s="272"/>
      <c r="D829" s="274"/>
      <c r="E829" s="275"/>
    </row>
    <row r="830">
      <c r="A830" s="272"/>
      <c r="B830" s="273"/>
      <c r="C830" s="272"/>
      <c r="D830" s="274"/>
      <c r="E830" s="275"/>
    </row>
    <row r="831">
      <c r="A831" s="272"/>
      <c r="B831" s="273"/>
      <c r="C831" s="272"/>
      <c r="D831" s="274"/>
      <c r="E831" s="275"/>
    </row>
    <row r="832">
      <c r="A832" s="272"/>
      <c r="B832" s="273"/>
      <c r="C832" s="272"/>
      <c r="D832" s="274"/>
      <c r="E832" s="275"/>
    </row>
    <row r="833">
      <c r="A833" s="272"/>
      <c r="B833" s="273"/>
      <c r="C833" s="272"/>
      <c r="D833" s="274"/>
      <c r="E833" s="275"/>
    </row>
    <row r="834">
      <c r="A834" s="272"/>
      <c r="B834" s="273"/>
      <c r="C834" s="272"/>
      <c r="D834" s="274"/>
      <c r="E834" s="275"/>
    </row>
    <row r="835">
      <c r="A835" s="272"/>
      <c r="B835" s="273"/>
      <c r="C835" s="272"/>
      <c r="D835" s="274"/>
      <c r="E835" s="275"/>
    </row>
    <row r="836">
      <c r="A836" s="272"/>
      <c r="B836" s="273"/>
      <c r="C836" s="272"/>
      <c r="D836" s="274"/>
      <c r="E836" s="275"/>
    </row>
    <row r="837">
      <c r="A837" s="272"/>
      <c r="B837" s="273"/>
      <c r="C837" s="272"/>
      <c r="D837" s="274"/>
      <c r="E837" s="275"/>
    </row>
    <row r="838">
      <c r="A838" s="272"/>
      <c r="B838" s="273"/>
      <c r="C838" s="272"/>
      <c r="D838" s="274"/>
      <c r="E838" s="275"/>
    </row>
    <row r="839">
      <c r="A839" s="272"/>
      <c r="B839" s="273"/>
      <c r="C839" s="272"/>
      <c r="D839" s="274"/>
      <c r="E839" s="275"/>
    </row>
    <row r="840">
      <c r="A840" s="272"/>
      <c r="B840" s="273"/>
      <c r="C840" s="272"/>
      <c r="D840" s="274"/>
      <c r="E840" s="275"/>
    </row>
    <row r="841">
      <c r="A841" s="272"/>
      <c r="B841" s="273"/>
      <c r="C841" s="272"/>
      <c r="D841" s="274"/>
      <c r="E841" s="275"/>
    </row>
    <row r="842">
      <c r="A842" s="272"/>
      <c r="B842" s="273"/>
      <c r="C842" s="272"/>
      <c r="D842" s="274"/>
      <c r="E842" s="275"/>
    </row>
    <row r="843">
      <c r="A843" s="272"/>
      <c r="B843" s="273"/>
      <c r="C843" s="272"/>
      <c r="D843" s="274"/>
      <c r="E843" s="275"/>
    </row>
    <row r="844">
      <c r="A844" s="272"/>
      <c r="B844" s="273"/>
      <c r="C844" s="272"/>
      <c r="D844" s="274"/>
      <c r="E844" s="275"/>
    </row>
    <row r="845">
      <c r="A845" s="272"/>
      <c r="B845" s="273"/>
      <c r="C845" s="272"/>
      <c r="D845" s="274"/>
      <c r="E845" s="275"/>
    </row>
    <row r="846">
      <c r="A846" s="272"/>
      <c r="B846" s="273"/>
      <c r="C846" s="272"/>
      <c r="D846" s="274"/>
      <c r="E846" s="275"/>
    </row>
    <row r="847">
      <c r="A847" s="272"/>
      <c r="B847" s="273"/>
      <c r="C847" s="272"/>
      <c r="D847" s="274"/>
      <c r="E847" s="275"/>
    </row>
    <row r="848">
      <c r="A848" s="272"/>
      <c r="B848" s="273"/>
      <c r="C848" s="272"/>
      <c r="D848" s="274"/>
      <c r="E848" s="275"/>
    </row>
    <row r="849">
      <c r="A849" s="272"/>
      <c r="B849" s="273"/>
      <c r="C849" s="272"/>
      <c r="D849" s="274"/>
      <c r="E849" s="275"/>
    </row>
    <row r="850">
      <c r="A850" s="272"/>
      <c r="B850" s="273"/>
      <c r="C850" s="272"/>
      <c r="D850" s="274"/>
      <c r="E850" s="275"/>
    </row>
    <row r="851">
      <c r="A851" s="272"/>
      <c r="B851" s="273"/>
      <c r="C851" s="272"/>
      <c r="D851" s="274"/>
      <c r="E851" s="275"/>
    </row>
    <row r="852">
      <c r="A852" s="272"/>
      <c r="B852" s="273"/>
      <c r="C852" s="272"/>
      <c r="D852" s="274"/>
      <c r="E852" s="275"/>
    </row>
    <row r="853">
      <c r="A853" s="272"/>
      <c r="B853" s="273"/>
      <c r="C853" s="272"/>
      <c r="D853" s="274"/>
      <c r="E853" s="275"/>
    </row>
    <row r="854">
      <c r="A854" s="272"/>
      <c r="B854" s="273"/>
      <c r="C854" s="272"/>
      <c r="D854" s="274"/>
      <c r="E854" s="275"/>
    </row>
    <row r="855">
      <c r="A855" s="272"/>
      <c r="B855" s="273"/>
      <c r="C855" s="272"/>
      <c r="D855" s="274"/>
      <c r="E855" s="275"/>
    </row>
    <row r="856">
      <c r="A856" s="272"/>
      <c r="B856" s="273"/>
      <c r="C856" s="272"/>
      <c r="D856" s="274"/>
      <c r="E856" s="275"/>
    </row>
    <row r="857">
      <c r="A857" s="272"/>
      <c r="B857" s="273"/>
      <c r="C857" s="272"/>
      <c r="D857" s="274"/>
      <c r="E857" s="275"/>
    </row>
    <row r="858">
      <c r="A858" s="272"/>
      <c r="B858" s="273"/>
      <c r="C858" s="272"/>
      <c r="D858" s="274"/>
      <c r="E858" s="275"/>
    </row>
    <row r="859">
      <c r="A859" s="272"/>
      <c r="B859" s="273"/>
      <c r="C859" s="272"/>
      <c r="D859" s="274"/>
      <c r="E859" s="275"/>
    </row>
    <row r="860">
      <c r="A860" s="272"/>
      <c r="B860" s="273"/>
      <c r="C860" s="272"/>
      <c r="D860" s="274"/>
      <c r="E860" s="275"/>
    </row>
    <row r="861">
      <c r="A861" s="272"/>
      <c r="B861" s="273"/>
      <c r="C861" s="272"/>
      <c r="D861" s="274"/>
      <c r="E861" s="275"/>
    </row>
    <row r="862">
      <c r="A862" s="272"/>
      <c r="B862" s="273"/>
      <c r="C862" s="272"/>
      <c r="D862" s="274"/>
      <c r="E862" s="275"/>
    </row>
    <row r="863">
      <c r="A863" s="272"/>
      <c r="B863" s="273"/>
      <c r="C863" s="272"/>
      <c r="D863" s="274"/>
      <c r="E863" s="275"/>
    </row>
    <row r="864">
      <c r="A864" s="272"/>
      <c r="B864" s="273"/>
      <c r="C864" s="272"/>
      <c r="D864" s="274"/>
      <c r="E864" s="275"/>
    </row>
    <row r="865">
      <c r="A865" s="272"/>
      <c r="B865" s="273"/>
      <c r="C865" s="272"/>
      <c r="D865" s="274"/>
      <c r="E865" s="275"/>
    </row>
    <row r="866">
      <c r="A866" s="272"/>
      <c r="B866" s="273"/>
      <c r="C866" s="272"/>
      <c r="D866" s="274"/>
      <c r="E866" s="275"/>
    </row>
    <row r="867">
      <c r="A867" s="272"/>
      <c r="B867" s="273"/>
      <c r="C867" s="272"/>
      <c r="D867" s="274"/>
      <c r="E867" s="275"/>
    </row>
    <row r="868">
      <c r="A868" s="272"/>
      <c r="B868" s="273"/>
      <c r="C868" s="272"/>
      <c r="D868" s="274"/>
      <c r="E868" s="275"/>
    </row>
    <row r="869">
      <c r="A869" s="272"/>
      <c r="B869" s="273"/>
      <c r="C869" s="272"/>
      <c r="D869" s="274"/>
      <c r="E869" s="275"/>
    </row>
    <row r="870">
      <c r="A870" s="272"/>
      <c r="B870" s="273"/>
      <c r="C870" s="272"/>
      <c r="D870" s="274"/>
      <c r="E870" s="275"/>
    </row>
    <row r="871">
      <c r="A871" s="272"/>
      <c r="B871" s="273"/>
      <c r="C871" s="272"/>
      <c r="D871" s="274"/>
      <c r="E871" s="275"/>
    </row>
    <row r="872">
      <c r="A872" s="272"/>
      <c r="B872" s="273"/>
      <c r="C872" s="272"/>
      <c r="D872" s="274"/>
      <c r="E872" s="275"/>
    </row>
    <row r="873">
      <c r="A873" s="272"/>
      <c r="B873" s="273"/>
      <c r="C873" s="272"/>
      <c r="D873" s="274"/>
      <c r="E873" s="275"/>
    </row>
    <row r="874">
      <c r="A874" s="272"/>
      <c r="B874" s="273"/>
      <c r="C874" s="272"/>
      <c r="D874" s="274"/>
      <c r="E874" s="275"/>
    </row>
    <row r="875">
      <c r="A875" s="272"/>
      <c r="B875" s="273"/>
      <c r="C875" s="272"/>
      <c r="D875" s="274"/>
      <c r="E875" s="275"/>
    </row>
    <row r="876">
      <c r="A876" s="272"/>
      <c r="B876" s="273"/>
      <c r="C876" s="272"/>
      <c r="D876" s="274"/>
      <c r="E876" s="275"/>
    </row>
    <row r="877">
      <c r="A877" s="272"/>
      <c r="B877" s="273"/>
      <c r="C877" s="272"/>
      <c r="D877" s="274"/>
      <c r="E877" s="275"/>
    </row>
    <row r="878">
      <c r="A878" s="272"/>
      <c r="B878" s="273"/>
      <c r="C878" s="272"/>
      <c r="D878" s="274"/>
      <c r="E878" s="275"/>
    </row>
    <row r="879">
      <c r="A879" s="272"/>
      <c r="B879" s="273"/>
      <c r="C879" s="272"/>
      <c r="D879" s="274"/>
      <c r="E879" s="275"/>
    </row>
    <row r="880">
      <c r="A880" s="272"/>
      <c r="B880" s="273"/>
      <c r="C880" s="272"/>
      <c r="D880" s="274"/>
      <c r="E880" s="275"/>
    </row>
    <row r="881">
      <c r="A881" s="272"/>
      <c r="B881" s="273"/>
      <c r="C881" s="272"/>
      <c r="D881" s="274"/>
      <c r="E881" s="275"/>
    </row>
    <row r="882">
      <c r="A882" s="272"/>
      <c r="B882" s="273"/>
      <c r="C882" s="272"/>
      <c r="D882" s="274"/>
      <c r="E882" s="275"/>
    </row>
    <row r="883">
      <c r="A883" s="272"/>
      <c r="B883" s="273"/>
      <c r="C883" s="272"/>
      <c r="D883" s="274"/>
      <c r="E883" s="275"/>
    </row>
    <row r="884">
      <c r="A884" s="272"/>
      <c r="B884" s="273"/>
      <c r="C884" s="272"/>
      <c r="D884" s="274"/>
      <c r="E884" s="275"/>
    </row>
    <row r="885">
      <c r="A885" s="272"/>
      <c r="B885" s="273"/>
      <c r="C885" s="272"/>
      <c r="D885" s="274"/>
      <c r="E885" s="275"/>
    </row>
    <row r="886">
      <c r="A886" s="272"/>
      <c r="B886" s="273"/>
      <c r="C886" s="272"/>
      <c r="D886" s="274"/>
      <c r="E886" s="275"/>
    </row>
    <row r="887">
      <c r="A887" s="272"/>
      <c r="B887" s="273"/>
      <c r="C887" s="272"/>
      <c r="D887" s="274"/>
      <c r="E887" s="275"/>
    </row>
    <row r="888">
      <c r="A888" s="272"/>
      <c r="B888" s="273"/>
      <c r="C888" s="272"/>
      <c r="D888" s="274"/>
      <c r="E888" s="275"/>
    </row>
    <row r="889">
      <c r="A889" s="272"/>
      <c r="B889" s="273"/>
      <c r="C889" s="272"/>
      <c r="D889" s="274"/>
      <c r="E889" s="275"/>
    </row>
    <row r="890">
      <c r="A890" s="272"/>
      <c r="B890" s="273"/>
      <c r="C890" s="272"/>
      <c r="D890" s="274"/>
      <c r="E890" s="275"/>
    </row>
    <row r="891">
      <c r="A891" s="272"/>
      <c r="B891" s="273"/>
      <c r="C891" s="272"/>
      <c r="D891" s="274"/>
      <c r="E891" s="275"/>
    </row>
    <row r="892">
      <c r="A892" s="272"/>
      <c r="B892" s="273"/>
      <c r="C892" s="272"/>
      <c r="D892" s="274"/>
      <c r="E892" s="275"/>
    </row>
    <row r="893">
      <c r="A893" s="272"/>
      <c r="B893" s="273"/>
      <c r="C893" s="272"/>
      <c r="D893" s="274"/>
      <c r="E893" s="275"/>
    </row>
    <row r="894">
      <c r="A894" s="272"/>
      <c r="B894" s="273"/>
      <c r="C894" s="272"/>
      <c r="D894" s="274"/>
      <c r="E894" s="275"/>
    </row>
    <row r="895">
      <c r="A895" s="272"/>
      <c r="B895" s="273"/>
      <c r="C895" s="272"/>
      <c r="D895" s="274"/>
      <c r="E895" s="275"/>
    </row>
    <row r="896">
      <c r="A896" s="272"/>
      <c r="B896" s="273"/>
      <c r="C896" s="272"/>
      <c r="D896" s="274"/>
      <c r="E896" s="275"/>
    </row>
    <row r="897">
      <c r="A897" s="272"/>
      <c r="B897" s="273"/>
      <c r="C897" s="272"/>
      <c r="D897" s="274"/>
      <c r="E897" s="275"/>
    </row>
    <row r="898">
      <c r="A898" s="272"/>
      <c r="B898" s="273"/>
      <c r="C898" s="272"/>
      <c r="D898" s="274"/>
      <c r="E898" s="275"/>
    </row>
    <row r="899">
      <c r="A899" s="272"/>
      <c r="B899" s="273"/>
      <c r="C899" s="272"/>
      <c r="D899" s="274"/>
      <c r="E899" s="275"/>
    </row>
    <row r="900">
      <c r="A900" s="272"/>
      <c r="B900" s="273"/>
      <c r="C900" s="272"/>
      <c r="D900" s="274"/>
      <c r="E900" s="275"/>
    </row>
    <row r="901">
      <c r="A901" s="272"/>
      <c r="B901" s="273"/>
      <c r="C901" s="272"/>
      <c r="D901" s="274"/>
      <c r="E901" s="275"/>
    </row>
    <row r="902">
      <c r="A902" s="272"/>
      <c r="B902" s="273"/>
      <c r="C902" s="272"/>
      <c r="D902" s="274"/>
      <c r="E902" s="275"/>
    </row>
    <row r="903">
      <c r="A903" s="272"/>
      <c r="B903" s="273"/>
      <c r="C903" s="272"/>
      <c r="D903" s="274"/>
      <c r="E903" s="275"/>
    </row>
    <row r="904">
      <c r="A904" s="272"/>
      <c r="B904" s="273"/>
      <c r="C904" s="272"/>
      <c r="D904" s="274"/>
      <c r="E904" s="275"/>
    </row>
    <row r="905">
      <c r="A905" s="272"/>
      <c r="B905" s="273"/>
      <c r="C905" s="272"/>
      <c r="D905" s="274"/>
      <c r="E905" s="275"/>
    </row>
    <row r="906">
      <c r="A906" s="272"/>
      <c r="B906" s="273"/>
      <c r="C906" s="272"/>
      <c r="D906" s="274"/>
      <c r="E906" s="275"/>
    </row>
    <row r="907">
      <c r="A907" s="272"/>
      <c r="B907" s="273"/>
      <c r="C907" s="272"/>
      <c r="D907" s="274"/>
      <c r="E907" s="275"/>
    </row>
    <row r="908">
      <c r="A908" s="272"/>
      <c r="B908" s="273"/>
      <c r="C908" s="272"/>
      <c r="D908" s="274"/>
      <c r="E908" s="275"/>
    </row>
    <row r="909">
      <c r="A909" s="272"/>
      <c r="B909" s="273"/>
      <c r="C909" s="272"/>
      <c r="D909" s="274"/>
      <c r="E909" s="275"/>
    </row>
    <row r="910">
      <c r="A910" s="272"/>
      <c r="B910" s="273"/>
      <c r="C910" s="272"/>
      <c r="D910" s="274"/>
      <c r="E910" s="275"/>
    </row>
    <row r="911">
      <c r="A911" s="272"/>
      <c r="B911" s="273"/>
      <c r="C911" s="272"/>
      <c r="D911" s="274"/>
      <c r="E911" s="275"/>
    </row>
    <row r="912">
      <c r="A912" s="272"/>
      <c r="B912" s="273"/>
      <c r="C912" s="272"/>
      <c r="D912" s="274"/>
      <c r="E912" s="275"/>
    </row>
    <row r="913">
      <c r="A913" s="272"/>
      <c r="B913" s="273"/>
      <c r="C913" s="272"/>
      <c r="D913" s="274"/>
      <c r="E913" s="275"/>
    </row>
    <row r="914">
      <c r="A914" s="272"/>
      <c r="B914" s="273"/>
      <c r="C914" s="272"/>
      <c r="D914" s="274"/>
      <c r="E914" s="275"/>
    </row>
    <row r="915">
      <c r="A915" s="272"/>
      <c r="B915" s="273"/>
      <c r="C915" s="272"/>
      <c r="D915" s="274"/>
      <c r="E915" s="275"/>
    </row>
    <row r="916">
      <c r="A916" s="272"/>
      <c r="B916" s="273"/>
      <c r="C916" s="272"/>
      <c r="D916" s="274"/>
      <c r="E916" s="275"/>
    </row>
    <row r="917">
      <c r="A917" s="272"/>
      <c r="B917" s="273"/>
      <c r="C917" s="272"/>
      <c r="D917" s="274"/>
      <c r="E917" s="275"/>
    </row>
    <row r="918">
      <c r="A918" s="272"/>
      <c r="B918" s="273"/>
      <c r="C918" s="272"/>
      <c r="D918" s="274"/>
      <c r="E918" s="275"/>
    </row>
    <row r="919">
      <c r="A919" s="272"/>
      <c r="B919" s="273"/>
      <c r="C919" s="272"/>
      <c r="D919" s="274"/>
      <c r="E919" s="275"/>
    </row>
    <row r="920">
      <c r="A920" s="272"/>
      <c r="B920" s="273"/>
      <c r="C920" s="272"/>
      <c r="D920" s="274"/>
      <c r="E920" s="275"/>
    </row>
    <row r="921">
      <c r="A921" s="272"/>
      <c r="B921" s="273"/>
      <c r="C921" s="272"/>
      <c r="D921" s="274"/>
      <c r="E921" s="275"/>
    </row>
    <row r="922">
      <c r="A922" s="272"/>
      <c r="B922" s="273"/>
      <c r="C922" s="272"/>
      <c r="D922" s="274"/>
      <c r="E922" s="275"/>
    </row>
    <row r="923">
      <c r="A923" s="272"/>
      <c r="B923" s="273"/>
      <c r="C923" s="272"/>
      <c r="D923" s="274"/>
      <c r="E923" s="275"/>
    </row>
    <row r="924">
      <c r="A924" s="272"/>
      <c r="B924" s="273"/>
      <c r="C924" s="272"/>
      <c r="D924" s="274"/>
      <c r="E924" s="275"/>
    </row>
    <row r="925">
      <c r="A925" s="272"/>
      <c r="B925" s="273"/>
      <c r="C925" s="272"/>
      <c r="D925" s="274"/>
      <c r="E925" s="275"/>
    </row>
    <row r="926">
      <c r="A926" s="272"/>
      <c r="B926" s="273"/>
      <c r="C926" s="272"/>
      <c r="D926" s="274"/>
      <c r="E926" s="275"/>
    </row>
    <row r="927">
      <c r="A927" s="272"/>
      <c r="B927" s="273"/>
      <c r="C927" s="272"/>
      <c r="D927" s="274"/>
      <c r="E927" s="275"/>
    </row>
    <row r="928">
      <c r="A928" s="272"/>
      <c r="B928" s="273"/>
      <c r="C928" s="272"/>
      <c r="D928" s="274"/>
      <c r="E928" s="275"/>
    </row>
    <row r="929">
      <c r="A929" s="272"/>
      <c r="B929" s="273"/>
      <c r="C929" s="272"/>
      <c r="D929" s="274"/>
      <c r="E929" s="275"/>
    </row>
    <row r="930">
      <c r="A930" s="272"/>
      <c r="B930" s="273"/>
      <c r="C930" s="272"/>
      <c r="D930" s="274"/>
      <c r="E930" s="275"/>
    </row>
    <row r="931">
      <c r="A931" s="272"/>
      <c r="B931" s="273"/>
      <c r="C931" s="272"/>
      <c r="D931" s="274"/>
      <c r="E931" s="275"/>
    </row>
    <row r="932">
      <c r="A932" s="272"/>
      <c r="B932" s="273"/>
      <c r="C932" s="272"/>
      <c r="D932" s="274"/>
      <c r="E932" s="275"/>
    </row>
    <row r="933">
      <c r="A933" s="272"/>
      <c r="B933" s="273"/>
      <c r="C933" s="272"/>
      <c r="D933" s="274"/>
      <c r="E933" s="275"/>
    </row>
    <row r="934">
      <c r="A934" s="272"/>
      <c r="B934" s="273"/>
      <c r="C934" s="272"/>
      <c r="D934" s="274"/>
      <c r="E934" s="275"/>
    </row>
    <row r="935">
      <c r="A935" s="272"/>
      <c r="B935" s="273"/>
      <c r="C935" s="272"/>
      <c r="D935" s="274"/>
      <c r="E935" s="275"/>
    </row>
    <row r="936">
      <c r="A936" s="272"/>
      <c r="B936" s="273"/>
      <c r="C936" s="272"/>
      <c r="D936" s="274"/>
      <c r="E936" s="275"/>
    </row>
    <row r="937">
      <c r="A937" s="272"/>
      <c r="B937" s="273"/>
      <c r="C937" s="272"/>
      <c r="D937" s="274"/>
      <c r="E937" s="275"/>
    </row>
    <row r="938">
      <c r="A938" s="272"/>
      <c r="B938" s="273"/>
      <c r="C938" s="272"/>
      <c r="D938" s="274"/>
      <c r="E938" s="275"/>
    </row>
    <row r="939">
      <c r="A939" s="272"/>
      <c r="B939" s="273"/>
      <c r="C939" s="272"/>
      <c r="D939" s="274"/>
      <c r="E939" s="275"/>
    </row>
    <row r="940">
      <c r="A940" s="272"/>
      <c r="B940" s="273"/>
      <c r="C940" s="272"/>
      <c r="D940" s="274"/>
      <c r="E940" s="275"/>
    </row>
    <row r="941">
      <c r="A941" s="272"/>
      <c r="B941" s="273"/>
      <c r="C941" s="272"/>
      <c r="D941" s="274"/>
      <c r="E941" s="275"/>
    </row>
    <row r="942">
      <c r="A942" s="272"/>
      <c r="B942" s="273"/>
      <c r="C942" s="272"/>
      <c r="D942" s="274"/>
      <c r="E942" s="275"/>
    </row>
    <row r="943">
      <c r="A943" s="272"/>
      <c r="B943" s="273"/>
      <c r="C943" s="272"/>
      <c r="D943" s="274"/>
      <c r="E943" s="275"/>
    </row>
    <row r="944">
      <c r="A944" s="272"/>
      <c r="B944" s="273"/>
      <c r="C944" s="272"/>
      <c r="D944" s="274"/>
      <c r="E944" s="275"/>
    </row>
    <row r="945">
      <c r="A945" s="272"/>
      <c r="B945" s="273"/>
      <c r="C945" s="272"/>
      <c r="D945" s="274"/>
      <c r="E945" s="275"/>
    </row>
    <row r="946">
      <c r="A946" s="272"/>
      <c r="B946" s="273"/>
      <c r="C946" s="272"/>
      <c r="D946" s="274"/>
      <c r="E946" s="275"/>
    </row>
    <row r="947">
      <c r="A947" s="272"/>
      <c r="B947" s="273"/>
      <c r="C947" s="272"/>
      <c r="D947" s="274"/>
      <c r="E947" s="275"/>
    </row>
    <row r="948">
      <c r="A948" s="272"/>
      <c r="B948" s="273"/>
      <c r="C948" s="272"/>
      <c r="D948" s="274"/>
      <c r="E948" s="275"/>
    </row>
    <row r="949">
      <c r="A949" s="272"/>
      <c r="B949" s="273"/>
      <c r="C949" s="272"/>
      <c r="D949" s="274"/>
      <c r="E949" s="275"/>
    </row>
    <row r="950">
      <c r="A950" s="272"/>
      <c r="B950" s="273"/>
      <c r="C950" s="272"/>
      <c r="D950" s="274"/>
      <c r="E950" s="275"/>
    </row>
    <row r="951">
      <c r="A951" s="272"/>
      <c r="B951" s="273"/>
      <c r="C951" s="272"/>
      <c r="D951" s="274"/>
      <c r="E951" s="275"/>
    </row>
    <row r="952">
      <c r="A952" s="272"/>
      <c r="B952" s="273"/>
      <c r="C952" s="272"/>
      <c r="D952" s="274"/>
      <c r="E952" s="275"/>
    </row>
    <row r="953">
      <c r="A953" s="272"/>
      <c r="B953" s="273"/>
      <c r="C953" s="272"/>
      <c r="D953" s="274"/>
      <c r="E953" s="275"/>
    </row>
    <row r="954">
      <c r="A954" s="272"/>
      <c r="B954" s="273"/>
      <c r="C954" s="272"/>
      <c r="D954" s="274"/>
      <c r="E954" s="275"/>
    </row>
    <row r="955">
      <c r="A955" s="272"/>
      <c r="B955" s="273"/>
      <c r="C955" s="272"/>
      <c r="D955" s="274"/>
      <c r="E955" s="275"/>
    </row>
    <row r="956">
      <c r="A956" s="272"/>
      <c r="B956" s="273"/>
      <c r="C956" s="272"/>
      <c r="D956" s="274"/>
      <c r="E956" s="275"/>
    </row>
    <row r="957">
      <c r="A957" s="272"/>
      <c r="B957" s="273"/>
      <c r="C957" s="272"/>
      <c r="D957" s="274"/>
      <c r="E957" s="275"/>
    </row>
    <row r="958">
      <c r="A958" s="272"/>
      <c r="B958" s="273"/>
      <c r="C958" s="272"/>
      <c r="D958" s="274"/>
      <c r="E958" s="275"/>
    </row>
    <row r="959">
      <c r="A959" s="272"/>
      <c r="B959" s="273"/>
      <c r="C959" s="272"/>
      <c r="D959" s="274"/>
      <c r="E959" s="275"/>
    </row>
    <row r="960">
      <c r="A960" s="272"/>
      <c r="B960" s="273"/>
      <c r="C960" s="272"/>
      <c r="D960" s="274"/>
      <c r="E960" s="275"/>
    </row>
    <row r="961">
      <c r="B961" s="275"/>
      <c r="D961" s="274"/>
      <c r="E961" s="275"/>
    </row>
    <row r="962">
      <c r="B962" s="275"/>
      <c r="D962" s="274"/>
      <c r="E962" s="275"/>
    </row>
    <row r="963">
      <c r="B963" s="275"/>
      <c r="D963" s="274"/>
      <c r="E963" s="275"/>
    </row>
    <row r="964">
      <c r="B964" s="275"/>
      <c r="D964" s="274"/>
      <c r="E964" s="275"/>
    </row>
    <row r="965">
      <c r="B965" s="275"/>
      <c r="D965" s="274"/>
      <c r="E965" s="275"/>
    </row>
    <row r="966">
      <c r="B966" s="275"/>
      <c r="D966" s="274"/>
      <c r="E966" s="275"/>
    </row>
    <row r="967">
      <c r="B967" s="275"/>
      <c r="D967" s="274"/>
      <c r="E967" s="275"/>
    </row>
    <row r="968">
      <c r="B968" s="275"/>
      <c r="D968" s="274"/>
      <c r="E968" s="275"/>
    </row>
    <row r="969">
      <c r="B969" s="275"/>
      <c r="D969" s="274"/>
      <c r="E969" s="275"/>
    </row>
    <row r="970">
      <c r="B970" s="275"/>
      <c r="D970" s="274"/>
      <c r="E970" s="275"/>
    </row>
    <row r="971">
      <c r="B971" s="275"/>
      <c r="D971" s="274"/>
      <c r="E971" s="275"/>
    </row>
    <row r="972">
      <c r="B972" s="275"/>
      <c r="D972" s="274"/>
      <c r="E972" s="275"/>
    </row>
    <row r="973">
      <c r="B973" s="275"/>
      <c r="D973" s="274"/>
      <c r="E973" s="275"/>
    </row>
    <row r="974">
      <c r="B974" s="275"/>
      <c r="D974" s="274"/>
      <c r="E974" s="275"/>
    </row>
    <row r="975">
      <c r="B975" s="275"/>
      <c r="D975" s="274"/>
      <c r="E975" s="275"/>
    </row>
    <row r="976">
      <c r="B976" s="275"/>
      <c r="D976" s="274"/>
      <c r="E976" s="275"/>
    </row>
    <row r="977">
      <c r="B977" s="275"/>
      <c r="D977" s="274"/>
      <c r="E977" s="275"/>
    </row>
  </sheetData>
  <mergeCells count="7">
    <mergeCell ref="A1:F1"/>
    <mergeCell ref="A2:A3"/>
    <mergeCell ref="B2:B3"/>
    <mergeCell ref="C2:C3"/>
    <mergeCell ref="D2:D3"/>
    <mergeCell ref="E2:F2"/>
    <mergeCell ref="A139:C139"/>
  </mergeCells>
  <dataValidations>
    <dataValidation type="list" allowBlank="1" sqref="H4:H137">
      <formula1>"CHECKED (OK),CHECKED  (NOT OK)"</formula1>
    </dataValidation>
  </dataValidations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75"/>
    <col customWidth="1" min="3" max="3" width="26.75"/>
    <col customWidth="1" min="4" max="4" width="51.13"/>
    <col customWidth="1" min="7" max="7" width="3.5"/>
    <col customWidth="1" min="8" max="8" width="18.63"/>
    <col customWidth="1" min="9" max="9" width="21.63"/>
  </cols>
  <sheetData>
    <row r="1" ht="39.0" customHeight="1">
      <c r="A1" s="30" t="s">
        <v>1417</v>
      </c>
      <c r="G1" s="31"/>
      <c r="H1" s="32" t="s">
        <v>1418</v>
      </c>
      <c r="I1" s="33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ht="29.25" customHeight="1">
      <c r="A2" s="34" t="s">
        <v>1</v>
      </c>
      <c r="B2" s="35" t="s">
        <v>11</v>
      </c>
      <c r="C2" s="35" t="s">
        <v>12</v>
      </c>
      <c r="D2" s="266" t="s">
        <v>13</v>
      </c>
      <c r="E2" s="37" t="s">
        <v>14</v>
      </c>
      <c r="F2" s="38"/>
      <c r="G2" s="39"/>
      <c r="H2" s="40"/>
      <c r="I2" s="40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ht="33.0" customHeight="1">
      <c r="A3" s="41"/>
      <c r="B3" s="38"/>
      <c r="C3" s="38"/>
      <c r="D3" s="38"/>
      <c r="E3" s="42" t="s">
        <v>15</v>
      </c>
      <c r="F3" s="43" t="s">
        <v>5</v>
      </c>
      <c r="G3" s="39"/>
      <c r="H3" s="44" t="s">
        <v>6</v>
      </c>
      <c r="I3" s="45" t="s">
        <v>7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25.5" customHeight="1">
      <c r="A4" s="46">
        <v>1.0</v>
      </c>
      <c r="B4" s="47">
        <v>1005906.0</v>
      </c>
      <c r="C4" s="48" t="str">
        <f>vlookup(B4,'Crew Data'!C:G,5,0)</f>
        <v>Supatra Pokkhabut</v>
      </c>
      <c r="D4" s="267" t="s">
        <v>1419</v>
      </c>
      <c r="E4" s="47">
        <v>27.0</v>
      </c>
      <c r="F4" s="50">
        <f t="shared" ref="F4:F76" si="1">E4*400</f>
        <v>10800</v>
      </c>
      <c r="G4" s="22">
        <f t="shared" ref="G4:G76" si="2">COUNTIF(B:B,B4)</f>
        <v>1</v>
      </c>
      <c r="H4" s="51" t="s">
        <v>20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ht="25.5" customHeight="1">
      <c r="A5" s="54">
        <v>2.0</v>
      </c>
      <c r="B5" s="47">
        <v>1011741.0</v>
      </c>
      <c r="C5" s="48" t="str">
        <f>vlookup(B5,'Crew Data'!C:G,5,0)</f>
        <v>Naphak Aussanon</v>
      </c>
      <c r="D5" s="267" t="s">
        <v>1420</v>
      </c>
      <c r="E5" s="47">
        <v>27.0</v>
      </c>
      <c r="F5" s="50">
        <f t="shared" si="1"/>
        <v>10800</v>
      </c>
      <c r="G5" s="22">
        <f t="shared" si="2"/>
        <v>1</v>
      </c>
      <c r="H5" s="51" t="s">
        <v>20</v>
      </c>
    </row>
    <row r="6" ht="25.5" customHeight="1">
      <c r="A6" s="46">
        <v>3.0</v>
      </c>
      <c r="B6" s="47">
        <v>1012898.0</v>
      </c>
      <c r="C6" s="48" t="str">
        <f>vlookup(B6,'Crew Data'!C:G,5,0)</f>
        <v>Paranyu Sukthanakij</v>
      </c>
      <c r="D6" s="267" t="s">
        <v>1421</v>
      </c>
      <c r="E6" s="47">
        <v>49.0</v>
      </c>
      <c r="F6" s="50">
        <f t="shared" si="1"/>
        <v>19600</v>
      </c>
      <c r="G6" s="22">
        <f t="shared" si="2"/>
        <v>1</v>
      </c>
      <c r="H6" s="51" t="s">
        <v>20</v>
      </c>
    </row>
    <row r="7" ht="25.5" customHeight="1">
      <c r="A7" s="54">
        <v>4.0</v>
      </c>
      <c r="B7" s="47">
        <v>1009843.0</v>
      </c>
      <c r="C7" s="48" t="str">
        <f>vlookup(B7,'Crew Data'!C:G,5,0)</f>
        <v>#N/A</v>
      </c>
      <c r="D7" s="267" t="s">
        <v>1422</v>
      </c>
      <c r="E7" s="47">
        <v>2.0</v>
      </c>
      <c r="F7" s="50">
        <f t="shared" si="1"/>
        <v>800</v>
      </c>
      <c r="G7" s="22">
        <f t="shared" si="2"/>
        <v>1</v>
      </c>
      <c r="H7" s="51" t="s">
        <v>20</v>
      </c>
    </row>
    <row r="8" ht="25.5" customHeight="1">
      <c r="A8" s="46">
        <v>5.0</v>
      </c>
      <c r="B8" s="47">
        <v>1007418.0</v>
      </c>
      <c r="C8" s="48" t="str">
        <f>vlookup(B8,'Crew Data'!C:G,5,0)</f>
        <v>Nattaphat Boonprasit</v>
      </c>
      <c r="D8" s="267" t="s">
        <v>1305</v>
      </c>
      <c r="E8" s="47">
        <v>2.0</v>
      </c>
      <c r="F8" s="50">
        <f t="shared" si="1"/>
        <v>800</v>
      </c>
      <c r="G8" s="22">
        <f t="shared" si="2"/>
        <v>1</v>
      </c>
      <c r="H8" s="51" t="s">
        <v>20</v>
      </c>
    </row>
    <row r="9" ht="25.5" customHeight="1">
      <c r="A9" s="54">
        <v>6.0</v>
      </c>
      <c r="B9" s="47">
        <v>1001308.0</v>
      </c>
      <c r="C9" s="48" t="str">
        <f>vlookup(B9,'Crew Data'!C:G,5,0)</f>
        <v>Kittisak Issaro</v>
      </c>
      <c r="D9" s="267" t="s">
        <v>1423</v>
      </c>
      <c r="E9" s="47">
        <v>11.0</v>
      </c>
      <c r="F9" s="50">
        <f t="shared" si="1"/>
        <v>4400</v>
      </c>
      <c r="G9" s="22">
        <f t="shared" si="2"/>
        <v>1</v>
      </c>
      <c r="H9" s="51" t="s">
        <v>20</v>
      </c>
    </row>
    <row r="10" ht="25.5" customHeight="1">
      <c r="A10" s="46">
        <v>7.0</v>
      </c>
      <c r="B10" s="47">
        <v>1005304.0</v>
      </c>
      <c r="C10" s="48" t="str">
        <f>vlookup(B10,'Crew Data'!C:G,5,0)</f>
        <v>Pongpon Buasalee</v>
      </c>
      <c r="D10" s="267" t="s">
        <v>1424</v>
      </c>
      <c r="E10" s="47">
        <v>2.0</v>
      </c>
      <c r="F10" s="50">
        <f t="shared" si="1"/>
        <v>800</v>
      </c>
      <c r="G10" s="22">
        <f t="shared" si="2"/>
        <v>1</v>
      </c>
      <c r="H10" s="51" t="s">
        <v>20</v>
      </c>
    </row>
    <row r="11" ht="25.5" customHeight="1">
      <c r="A11" s="54">
        <v>8.0</v>
      </c>
      <c r="B11" s="47">
        <v>1004541.0</v>
      </c>
      <c r="C11" s="48" t="str">
        <f>vlookup(B11,'Crew Data'!C:G,5,0)</f>
        <v>Varaporn Rattanamahasalchai</v>
      </c>
      <c r="D11" s="267" t="s">
        <v>1388</v>
      </c>
      <c r="E11" s="47">
        <v>2.0</v>
      </c>
      <c r="F11" s="50">
        <f t="shared" si="1"/>
        <v>800</v>
      </c>
      <c r="G11" s="22">
        <f t="shared" si="2"/>
        <v>1</v>
      </c>
      <c r="H11" s="51" t="s">
        <v>20</v>
      </c>
    </row>
    <row r="12" ht="25.5" customHeight="1">
      <c r="A12" s="46">
        <v>9.0</v>
      </c>
      <c r="B12" s="47">
        <v>1017932.0</v>
      </c>
      <c r="C12" s="48" t="str">
        <f>vlookup(B12,'Crew Data'!C:G,5,0)</f>
        <v>#N/A</v>
      </c>
      <c r="D12" s="267" t="s">
        <v>1425</v>
      </c>
      <c r="E12" s="47">
        <v>34.0</v>
      </c>
      <c r="F12" s="50">
        <f t="shared" si="1"/>
        <v>13600</v>
      </c>
      <c r="G12" s="22">
        <f t="shared" si="2"/>
        <v>1</v>
      </c>
      <c r="H12" s="51" t="s">
        <v>20</v>
      </c>
    </row>
    <row r="13" ht="25.5" customHeight="1">
      <c r="A13" s="54">
        <v>10.0</v>
      </c>
      <c r="B13" s="47">
        <v>1010892.0</v>
      </c>
      <c r="C13" s="48" t="str">
        <f>vlookup(B13,'Crew Data'!C:G,5,0)</f>
        <v>#N/A</v>
      </c>
      <c r="D13" s="267" t="s">
        <v>1426</v>
      </c>
      <c r="E13" s="47">
        <v>2.0</v>
      </c>
      <c r="F13" s="50">
        <f t="shared" si="1"/>
        <v>800</v>
      </c>
      <c r="G13" s="22">
        <f t="shared" si="2"/>
        <v>1</v>
      </c>
      <c r="H13" s="51" t="s">
        <v>20</v>
      </c>
    </row>
    <row r="14" ht="25.5" customHeight="1">
      <c r="A14" s="46">
        <v>11.0</v>
      </c>
      <c r="B14" s="47">
        <v>1003220.0</v>
      </c>
      <c r="C14" s="48" t="str">
        <f>vlookup(B14,'Crew Data'!C:G,5,0)</f>
        <v>Pathita Leepeeravitit</v>
      </c>
      <c r="D14" s="267" t="s">
        <v>1387</v>
      </c>
      <c r="E14" s="47">
        <v>2.0</v>
      </c>
      <c r="F14" s="50">
        <f t="shared" si="1"/>
        <v>800</v>
      </c>
      <c r="G14" s="22">
        <f t="shared" si="2"/>
        <v>1</v>
      </c>
      <c r="H14" s="51" t="s">
        <v>20</v>
      </c>
    </row>
    <row r="15" ht="25.5" customHeight="1">
      <c r="A15" s="46">
        <v>12.0</v>
      </c>
      <c r="B15" s="47">
        <v>1011836.0</v>
      </c>
      <c r="C15" s="48" t="str">
        <f>vlookup(B15,'Crew Data'!C:G,5,0)</f>
        <v>Sirapong Charoenwutbhawonrat</v>
      </c>
      <c r="D15" s="267" t="s">
        <v>1427</v>
      </c>
      <c r="E15" s="47">
        <v>4.0</v>
      </c>
      <c r="F15" s="50">
        <f t="shared" si="1"/>
        <v>1600</v>
      </c>
      <c r="G15" s="22">
        <f t="shared" si="2"/>
        <v>1</v>
      </c>
      <c r="H15" s="51" t="s">
        <v>20</v>
      </c>
    </row>
    <row r="16" ht="25.5" customHeight="1">
      <c r="A16" s="46">
        <v>13.0</v>
      </c>
      <c r="B16" s="47">
        <v>1002065.0</v>
      </c>
      <c r="C16" s="48" t="str">
        <f>vlookup(B16,'Crew Data'!C:G,5,0)</f>
        <v>Pattaramon Phunsook</v>
      </c>
      <c r="D16" s="269" t="s">
        <v>1387</v>
      </c>
      <c r="E16" s="47">
        <v>2.0</v>
      </c>
      <c r="F16" s="50">
        <f t="shared" si="1"/>
        <v>800</v>
      </c>
      <c r="G16" s="22">
        <f t="shared" si="2"/>
        <v>1</v>
      </c>
      <c r="H16" s="51" t="s">
        <v>20</v>
      </c>
    </row>
    <row r="17" ht="25.5" customHeight="1">
      <c r="A17" s="54">
        <v>14.0</v>
      </c>
      <c r="B17" s="47">
        <v>1005288.0</v>
      </c>
      <c r="C17" s="48" t="str">
        <f>vlookup(B17,'Crew Data'!C:G,5,0)</f>
        <v>Thidarat Potarin</v>
      </c>
      <c r="D17" s="267" t="s">
        <v>1428</v>
      </c>
      <c r="E17" s="47">
        <v>4.0</v>
      </c>
      <c r="F17" s="50">
        <f t="shared" si="1"/>
        <v>1600</v>
      </c>
      <c r="G17" s="22">
        <f t="shared" si="2"/>
        <v>1</v>
      </c>
      <c r="H17" s="51" t="s">
        <v>20</v>
      </c>
    </row>
    <row r="18" ht="25.5" customHeight="1">
      <c r="A18" s="46">
        <v>15.0</v>
      </c>
      <c r="B18" s="47">
        <v>1006742.0</v>
      </c>
      <c r="C18" s="48" t="str">
        <f>vlookup(B18,'Crew Data'!C:G,5,0)</f>
        <v>Korakoch Charoenying</v>
      </c>
      <c r="D18" s="267" t="s">
        <v>1387</v>
      </c>
      <c r="E18" s="47">
        <v>2.0</v>
      </c>
      <c r="F18" s="50">
        <f t="shared" si="1"/>
        <v>800</v>
      </c>
      <c r="G18" s="22">
        <f t="shared" si="2"/>
        <v>1</v>
      </c>
      <c r="H18" s="51" t="s">
        <v>20</v>
      </c>
    </row>
    <row r="19" ht="25.5" customHeight="1">
      <c r="A19" s="46">
        <v>16.0</v>
      </c>
      <c r="B19" s="47">
        <v>1011800.0</v>
      </c>
      <c r="C19" s="48" t="str">
        <f>vlookup(B19,'Crew Data'!C:G,5,0)</f>
        <v>Arisa Witthawaskul</v>
      </c>
      <c r="D19" s="267" t="s">
        <v>1304</v>
      </c>
      <c r="E19" s="47">
        <v>2.0</v>
      </c>
      <c r="F19" s="50">
        <f t="shared" si="1"/>
        <v>800</v>
      </c>
      <c r="G19" s="22">
        <f t="shared" si="2"/>
        <v>1</v>
      </c>
      <c r="H19" s="51" t="s">
        <v>20</v>
      </c>
    </row>
    <row r="20" ht="25.5" customHeight="1">
      <c r="A20" s="46">
        <v>17.0</v>
      </c>
      <c r="B20" s="47">
        <v>1011318.0</v>
      </c>
      <c r="C20" s="48" t="str">
        <f>vlookup(B20,'Crew Data'!C:G,5,0)</f>
        <v>Rudeemas Thiangthat</v>
      </c>
      <c r="D20" s="267" t="s">
        <v>1388</v>
      </c>
      <c r="E20" s="47">
        <v>2.0</v>
      </c>
      <c r="F20" s="50">
        <f t="shared" si="1"/>
        <v>800</v>
      </c>
      <c r="G20" s="22">
        <f t="shared" si="2"/>
        <v>1</v>
      </c>
      <c r="H20" s="51" t="s">
        <v>20</v>
      </c>
    </row>
    <row r="21" ht="25.5" customHeight="1">
      <c r="A21" s="54">
        <v>18.0</v>
      </c>
      <c r="B21" s="47">
        <v>1007020.0</v>
      </c>
      <c r="C21" s="48" t="str">
        <f>vlookup(B21,'Crew Data'!C:G,5,0)</f>
        <v>Thamonwan Chinnarukbumrung</v>
      </c>
      <c r="D21" s="267" t="s">
        <v>1422</v>
      </c>
      <c r="E21" s="47">
        <v>2.0</v>
      </c>
      <c r="F21" s="50">
        <f t="shared" si="1"/>
        <v>800</v>
      </c>
      <c r="G21" s="22">
        <f t="shared" si="2"/>
        <v>1</v>
      </c>
      <c r="H21" s="51" t="s">
        <v>20</v>
      </c>
    </row>
    <row r="22" ht="25.5" customHeight="1">
      <c r="A22" s="46">
        <v>19.0</v>
      </c>
      <c r="B22" s="47">
        <v>1014346.0</v>
      </c>
      <c r="C22" s="48" t="str">
        <f>vlookup(B22,'Crew Data'!C:G,5,0)</f>
        <v>Narongchai Mongkolchartthai</v>
      </c>
      <c r="D22" s="267" t="s">
        <v>1429</v>
      </c>
      <c r="E22" s="47">
        <v>3.0</v>
      </c>
      <c r="F22" s="50">
        <f t="shared" si="1"/>
        <v>1200</v>
      </c>
      <c r="G22" s="22">
        <f t="shared" si="2"/>
        <v>1</v>
      </c>
      <c r="H22" s="51" t="s">
        <v>20</v>
      </c>
    </row>
    <row r="23" ht="25.5" customHeight="1">
      <c r="A23" s="46">
        <v>20.0</v>
      </c>
      <c r="B23" s="47">
        <v>1007011.0</v>
      </c>
      <c r="C23" s="48" t="str">
        <f>vlookup(B23,'Crew Data'!C:G,5,0)</f>
        <v>Jeeraprapa Tuptimdang</v>
      </c>
      <c r="D23" s="267" t="s">
        <v>1422</v>
      </c>
      <c r="E23" s="47">
        <v>2.0</v>
      </c>
      <c r="F23" s="50">
        <f t="shared" si="1"/>
        <v>800</v>
      </c>
      <c r="G23" s="22">
        <f t="shared" si="2"/>
        <v>1</v>
      </c>
      <c r="H23" s="51" t="s">
        <v>20</v>
      </c>
    </row>
    <row r="24" ht="25.5" customHeight="1">
      <c r="A24" s="46">
        <v>21.0</v>
      </c>
      <c r="B24" s="47">
        <v>1003172.0</v>
      </c>
      <c r="C24" s="48" t="str">
        <f>vlookup(B24,'Crew Data'!C:G,5,0)</f>
        <v>Natthanit Kaewchoochuen</v>
      </c>
      <c r="D24" s="267" t="s">
        <v>1430</v>
      </c>
      <c r="E24" s="47">
        <v>2.0</v>
      </c>
      <c r="F24" s="50">
        <f t="shared" si="1"/>
        <v>800</v>
      </c>
      <c r="G24" s="22">
        <f t="shared" si="2"/>
        <v>1</v>
      </c>
      <c r="H24" s="51" t="s">
        <v>20</v>
      </c>
    </row>
    <row r="25" ht="25.5" customHeight="1">
      <c r="A25" s="46">
        <v>22.0</v>
      </c>
      <c r="B25" s="47">
        <v>1001619.0</v>
      </c>
      <c r="C25" s="48" t="str">
        <f>vlookup(B25,'Crew Data'!C:G,5,0)</f>
        <v>#N/A</v>
      </c>
      <c r="D25" s="268">
        <v>43770.0</v>
      </c>
      <c r="E25" s="47">
        <v>1.0</v>
      </c>
      <c r="F25" s="50">
        <f t="shared" si="1"/>
        <v>400</v>
      </c>
      <c r="G25" s="22">
        <f t="shared" si="2"/>
        <v>1</v>
      </c>
      <c r="H25" s="51" t="s">
        <v>20</v>
      </c>
    </row>
    <row r="26" ht="25.5" customHeight="1">
      <c r="A26" s="46">
        <v>23.0</v>
      </c>
      <c r="B26" s="47">
        <v>1010939.0</v>
      </c>
      <c r="C26" s="48" t="str">
        <f>vlookup(B26,'Crew Data'!C:G,5,0)</f>
        <v>Yuwarat Meesap</v>
      </c>
      <c r="D26" s="267" t="s">
        <v>1304</v>
      </c>
      <c r="E26" s="47">
        <v>2.0</v>
      </c>
      <c r="F26" s="50">
        <f t="shared" si="1"/>
        <v>800</v>
      </c>
      <c r="G26" s="22">
        <f t="shared" si="2"/>
        <v>1</v>
      </c>
      <c r="H26" s="51" t="s">
        <v>20</v>
      </c>
    </row>
    <row r="27" ht="25.5" customHeight="1">
      <c r="A27" s="54">
        <v>24.0</v>
      </c>
      <c r="B27" s="47">
        <v>1003392.0</v>
      </c>
      <c r="C27" s="48" t="str">
        <f>vlookup(B27,'Crew Data'!C:G,5,0)</f>
        <v>Punnaphas Tawornpanmanee</v>
      </c>
      <c r="D27" s="267" t="s">
        <v>1431</v>
      </c>
      <c r="E27" s="47">
        <v>2.0</v>
      </c>
      <c r="F27" s="50">
        <f t="shared" si="1"/>
        <v>800</v>
      </c>
      <c r="G27" s="22">
        <f t="shared" si="2"/>
        <v>1</v>
      </c>
      <c r="H27" s="51" t="s">
        <v>20</v>
      </c>
    </row>
    <row r="28" ht="25.5" customHeight="1">
      <c r="A28" s="46">
        <v>25.0</v>
      </c>
      <c r="B28" s="47">
        <v>1022222.0</v>
      </c>
      <c r="C28" s="48" t="str">
        <f>vlookup(B28,'Crew Data'!C:G,5,0)</f>
        <v>Songboon Kiatchaweepan</v>
      </c>
      <c r="D28" s="267" t="s">
        <v>1432</v>
      </c>
      <c r="E28" s="47">
        <v>3.0</v>
      </c>
      <c r="F28" s="50">
        <f t="shared" si="1"/>
        <v>1200</v>
      </c>
      <c r="G28" s="22">
        <f t="shared" si="2"/>
        <v>1</v>
      </c>
      <c r="H28" s="51" t="s">
        <v>20</v>
      </c>
    </row>
    <row r="29" ht="25.5" customHeight="1">
      <c r="A29" s="46">
        <v>26.0</v>
      </c>
      <c r="B29" s="47">
        <v>1017656.0</v>
      </c>
      <c r="C29" s="48" t="str">
        <f>vlookup(B29,'Crew Data'!C:G,5,0)</f>
        <v>#N/A</v>
      </c>
      <c r="D29" s="267" t="s">
        <v>1304</v>
      </c>
      <c r="E29" s="47">
        <v>2.0</v>
      </c>
      <c r="F29" s="50">
        <f t="shared" si="1"/>
        <v>800</v>
      </c>
      <c r="G29" s="22">
        <f t="shared" si="2"/>
        <v>1</v>
      </c>
      <c r="H29" s="51" t="s">
        <v>20</v>
      </c>
    </row>
    <row r="30" ht="25.5" customHeight="1">
      <c r="A30" s="46">
        <v>27.0</v>
      </c>
      <c r="B30" s="47">
        <v>1000716.0</v>
      </c>
      <c r="C30" s="48" t="str">
        <f>vlookup(B30,'Crew Data'!C:G,5,0)</f>
        <v>#N/A</v>
      </c>
      <c r="D30" s="267" t="s">
        <v>1433</v>
      </c>
      <c r="E30" s="47">
        <v>2.0</v>
      </c>
      <c r="F30" s="50">
        <f t="shared" si="1"/>
        <v>800</v>
      </c>
      <c r="G30" s="22">
        <f t="shared" si="2"/>
        <v>1</v>
      </c>
      <c r="H30" s="51" t="s">
        <v>20</v>
      </c>
    </row>
    <row r="31" ht="25.5" customHeight="1">
      <c r="A31" s="46">
        <v>28.0</v>
      </c>
      <c r="B31" s="47">
        <v>1011756.0</v>
      </c>
      <c r="C31" s="48" t="str">
        <f>vlookup(B31,'Crew Data'!C:G,5,0)</f>
        <v>#N/A</v>
      </c>
      <c r="D31" s="267" t="s">
        <v>1422</v>
      </c>
      <c r="E31" s="47">
        <v>2.0</v>
      </c>
      <c r="F31" s="50">
        <f t="shared" si="1"/>
        <v>800</v>
      </c>
      <c r="G31" s="22">
        <f t="shared" si="2"/>
        <v>1</v>
      </c>
      <c r="H31" s="51" t="s">
        <v>20</v>
      </c>
    </row>
    <row r="32" ht="25.5" customHeight="1">
      <c r="A32" s="46">
        <v>29.0</v>
      </c>
      <c r="B32" s="47">
        <v>1004127.0</v>
      </c>
      <c r="C32" s="48" t="str">
        <f>vlookup(B32,'Crew Data'!C:G,5,0)</f>
        <v>Thawinun Arunnuntapanich</v>
      </c>
      <c r="D32" s="267" t="s">
        <v>1434</v>
      </c>
      <c r="E32" s="47">
        <v>2.0</v>
      </c>
      <c r="F32" s="50">
        <f t="shared" si="1"/>
        <v>800</v>
      </c>
      <c r="G32" s="22">
        <f t="shared" si="2"/>
        <v>1</v>
      </c>
      <c r="H32" s="51" t="s">
        <v>20</v>
      </c>
    </row>
    <row r="33" ht="25.5" customHeight="1">
      <c r="A33" s="46">
        <v>30.0</v>
      </c>
      <c r="B33" s="47">
        <v>1004317.0</v>
      </c>
      <c r="C33" s="48" t="str">
        <f>vlookup(B33,'Crew Data'!C:G,5,0)</f>
        <v>Narit Aimwat</v>
      </c>
      <c r="D33" s="267" t="s">
        <v>1435</v>
      </c>
      <c r="E33" s="47">
        <v>10.0</v>
      </c>
      <c r="F33" s="50">
        <f t="shared" si="1"/>
        <v>4000</v>
      </c>
      <c r="G33" s="22">
        <f t="shared" si="2"/>
        <v>1</v>
      </c>
      <c r="H33" s="51" t="s">
        <v>20</v>
      </c>
    </row>
    <row r="34" ht="25.5" customHeight="1">
      <c r="A34" s="46">
        <v>31.0</v>
      </c>
      <c r="B34" s="47">
        <v>1007207.0</v>
      </c>
      <c r="C34" s="48" t="str">
        <f>vlookup(B34,'Crew Data'!C:G,5,0)</f>
        <v>Sasiwan Nakate</v>
      </c>
      <c r="D34" s="267" t="s">
        <v>1436</v>
      </c>
      <c r="E34" s="47">
        <v>2.0</v>
      </c>
      <c r="F34" s="50">
        <f t="shared" si="1"/>
        <v>800</v>
      </c>
      <c r="G34" s="22">
        <f t="shared" si="2"/>
        <v>1</v>
      </c>
      <c r="H34" s="51" t="s">
        <v>20</v>
      </c>
    </row>
    <row r="35" ht="25.5" customHeight="1">
      <c r="A35" s="54">
        <v>32.0</v>
      </c>
      <c r="B35" s="47">
        <v>1004539.0</v>
      </c>
      <c r="C35" s="48" t="str">
        <f>vlookup(B35,'Crew Data'!C:G,5,0)</f>
        <v>Sukit Runghiranyathep</v>
      </c>
      <c r="D35" s="267" t="s">
        <v>1388</v>
      </c>
      <c r="E35" s="47">
        <v>2.0</v>
      </c>
      <c r="F35" s="50">
        <f t="shared" si="1"/>
        <v>800</v>
      </c>
      <c r="G35" s="22">
        <f t="shared" si="2"/>
        <v>1</v>
      </c>
      <c r="H35" s="51" t="s">
        <v>20</v>
      </c>
    </row>
    <row r="36" ht="25.5" customHeight="1">
      <c r="A36" s="46">
        <v>33.0</v>
      </c>
      <c r="B36" s="47">
        <v>1016206.0</v>
      </c>
      <c r="C36" s="48" t="str">
        <f>vlookup(B36,'Crew Data'!C:G,5,0)</f>
        <v>Nisara Aimwong</v>
      </c>
      <c r="D36" s="267" t="s">
        <v>1436</v>
      </c>
      <c r="E36" s="47">
        <v>2.0</v>
      </c>
      <c r="F36" s="50">
        <f t="shared" si="1"/>
        <v>800</v>
      </c>
      <c r="G36" s="22">
        <f t="shared" si="2"/>
        <v>1</v>
      </c>
      <c r="H36" s="51" t="s">
        <v>20</v>
      </c>
    </row>
    <row r="37" ht="25.5" customHeight="1">
      <c r="A37" s="46">
        <v>34.0</v>
      </c>
      <c r="B37" s="47">
        <v>1011813.0</v>
      </c>
      <c r="C37" s="48" t="str">
        <f>vlookup(B37,'Crew Data'!C:G,5,0)</f>
        <v>Kathaleeya Jaroensuk</v>
      </c>
      <c r="D37" s="267" t="s">
        <v>1431</v>
      </c>
      <c r="E37" s="47">
        <v>2.0</v>
      </c>
      <c r="F37" s="50">
        <f t="shared" si="1"/>
        <v>800</v>
      </c>
      <c r="G37" s="22">
        <f t="shared" si="2"/>
        <v>1</v>
      </c>
      <c r="H37" s="51" t="s">
        <v>20</v>
      </c>
    </row>
    <row r="38" ht="25.5" customHeight="1">
      <c r="A38" s="46">
        <v>35.0</v>
      </c>
      <c r="B38" s="47">
        <v>1007266.0</v>
      </c>
      <c r="C38" s="48" t="str">
        <f>vlookup(B38,'Crew Data'!C:G,5,0)</f>
        <v>Nattayanee Junnont</v>
      </c>
      <c r="D38" s="267" t="s">
        <v>1430</v>
      </c>
      <c r="E38" s="47">
        <v>2.0</v>
      </c>
      <c r="F38" s="50">
        <f t="shared" si="1"/>
        <v>800</v>
      </c>
      <c r="G38" s="22">
        <f t="shared" si="2"/>
        <v>1</v>
      </c>
      <c r="H38" s="51" t="s">
        <v>20</v>
      </c>
    </row>
    <row r="39" ht="25.5" customHeight="1">
      <c r="A39" s="46">
        <v>36.0</v>
      </c>
      <c r="B39" s="47">
        <v>1004034.0</v>
      </c>
      <c r="C39" s="48" t="str">
        <f>vlookup(B39,'Crew Data'!C:G,5,0)</f>
        <v>Monthon Siribunnakul</v>
      </c>
      <c r="D39" s="267" t="s">
        <v>1395</v>
      </c>
      <c r="E39" s="47">
        <v>2.0</v>
      </c>
      <c r="F39" s="50">
        <f t="shared" si="1"/>
        <v>800</v>
      </c>
      <c r="G39" s="22">
        <f t="shared" si="2"/>
        <v>1</v>
      </c>
      <c r="H39" s="51" t="s">
        <v>20</v>
      </c>
    </row>
    <row r="40" ht="25.5" customHeight="1">
      <c r="A40" s="46">
        <v>37.0</v>
      </c>
      <c r="B40" s="47">
        <v>1011513.0</v>
      </c>
      <c r="C40" s="48" t="str">
        <f>vlookup(B40,'Crew Data'!C:G,5,0)</f>
        <v>Rawitnat Marayat</v>
      </c>
      <c r="D40" s="267" t="s">
        <v>1436</v>
      </c>
      <c r="E40" s="47">
        <v>2.0</v>
      </c>
      <c r="F40" s="50">
        <f t="shared" si="1"/>
        <v>800</v>
      </c>
      <c r="G40" s="22">
        <f t="shared" si="2"/>
        <v>1</v>
      </c>
      <c r="H40" s="51" t="s">
        <v>20</v>
      </c>
    </row>
    <row r="41" ht="25.5" customHeight="1">
      <c r="A41" s="46">
        <v>38.0</v>
      </c>
      <c r="B41" s="47">
        <v>1011323.0</v>
      </c>
      <c r="C41" s="48" t="str">
        <f>vlookup(B41,'Crew Data'!C:G,5,0)</f>
        <v>Yommana Arunrat</v>
      </c>
      <c r="D41" s="267" t="s">
        <v>1437</v>
      </c>
      <c r="E41" s="47">
        <v>2.0</v>
      </c>
      <c r="F41" s="50">
        <f t="shared" si="1"/>
        <v>800</v>
      </c>
      <c r="G41" s="22">
        <f t="shared" si="2"/>
        <v>1</v>
      </c>
      <c r="H41" s="51" t="s">
        <v>20</v>
      </c>
    </row>
    <row r="42" ht="25.5" customHeight="1">
      <c r="A42" s="46">
        <v>39.0</v>
      </c>
      <c r="B42" s="47">
        <v>1014667.0</v>
      </c>
      <c r="C42" s="48" t="str">
        <f>vlookup(B42,'Crew Data'!C:G,5,0)</f>
        <v>#N/A</v>
      </c>
      <c r="D42" s="267" t="s">
        <v>1438</v>
      </c>
      <c r="E42" s="47">
        <v>4.0</v>
      </c>
      <c r="F42" s="50">
        <f t="shared" si="1"/>
        <v>1600</v>
      </c>
      <c r="G42" s="22">
        <f t="shared" si="2"/>
        <v>1</v>
      </c>
      <c r="H42" s="51" t="s">
        <v>20</v>
      </c>
    </row>
    <row r="43" ht="25.5" customHeight="1">
      <c r="A43" s="54">
        <v>40.0</v>
      </c>
      <c r="B43" s="47">
        <v>1023584.0</v>
      </c>
      <c r="C43" s="48" t="str">
        <f>vlookup(B43,'Crew Data'!C:G,5,0)</f>
        <v>#N/A</v>
      </c>
      <c r="D43" s="267" t="s">
        <v>1439</v>
      </c>
      <c r="E43" s="47">
        <v>2.0</v>
      </c>
      <c r="F43" s="50">
        <f t="shared" si="1"/>
        <v>800</v>
      </c>
      <c r="G43" s="22">
        <f t="shared" si="2"/>
        <v>1</v>
      </c>
      <c r="H43" s="51" t="s">
        <v>20</v>
      </c>
    </row>
    <row r="44" ht="25.5" customHeight="1">
      <c r="A44" s="46">
        <v>41.0</v>
      </c>
      <c r="B44" s="47">
        <v>1001685.0</v>
      </c>
      <c r="C44" s="48" t="str">
        <f>vlookup(B44,'Crew Data'!C:G,5,0)</f>
        <v>Waree Nitikasetpan</v>
      </c>
      <c r="D44" s="267" t="s">
        <v>1390</v>
      </c>
      <c r="E44" s="47">
        <v>2.0</v>
      </c>
      <c r="F44" s="50">
        <f t="shared" si="1"/>
        <v>800</v>
      </c>
      <c r="G44" s="22">
        <f t="shared" si="2"/>
        <v>1</v>
      </c>
      <c r="H44" s="51" t="s">
        <v>20</v>
      </c>
    </row>
    <row r="45" ht="25.5" customHeight="1">
      <c r="A45" s="46">
        <v>42.0</v>
      </c>
      <c r="B45" s="47">
        <v>1011762.0</v>
      </c>
      <c r="C45" s="48" t="str">
        <f>vlookup(B45,'Crew Data'!C:G,5,0)</f>
        <v>Tritotsaporn Ketudat</v>
      </c>
      <c r="D45" s="267" t="s">
        <v>1390</v>
      </c>
      <c r="E45" s="47">
        <v>2.0</v>
      </c>
      <c r="F45" s="50">
        <f t="shared" si="1"/>
        <v>800</v>
      </c>
      <c r="G45" s="22">
        <f t="shared" si="2"/>
        <v>1</v>
      </c>
      <c r="H45" s="51" t="s">
        <v>20</v>
      </c>
    </row>
    <row r="46" ht="25.5" customHeight="1">
      <c r="A46" s="46">
        <v>43.0</v>
      </c>
      <c r="B46" s="47">
        <v>1010919.0</v>
      </c>
      <c r="C46" s="48" t="str">
        <f>vlookup(B46,'Crew Data'!C:G,5,0)</f>
        <v>Suntorn Srimasongserm</v>
      </c>
      <c r="D46" s="268">
        <v>43798.0</v>
      </c>
      <c r="E46" s="47">
        <v>1.0</v>
      </c>
      <c r="F46" s="50">
        <f t="shared" si="1"/>
        <v>400</v>
      </c>
      <c r="G46" s="22">
        <f t="shared" si="2"/>
        <v>1</v>
      </c>
      <c r="H46" s="51" t="s">
        <v>20</v>
      </c>
    </row>
    <row r="47" ht="25.5" customHeight="1">
      <c r="A47" s="46">
        <v>44.0</v>
      </c>
      <c r="B47" s="47">
        <v>1012984.0</v>
      </c>
      <c r="C47" s="48" t="str">
        <f>vlookup(B47,'Crew Data'!C:G,5,0)</f>
        <v>Issaree Opasvimud</v>
      </c>
      <c r="D47" s="267" t="s">
        <v>1390</v>
      </c>
      <c r="E47" s="47">
        <v>2.0</v>
      </c>
      <c r="F47" s="50">
        <f t="shared" si="1"/>
        <v>800</v>
      </c>
      <c r="G47" s="22">
        <f t="shared" si="2"/>
        <v>1</v>
      </c>
      <c r="H47" s="51" t="s">
        <v>20</v>
      </c>
    </row>
    <row r="48" ht="25.5" customHeight="1">
      <c r="A48" s="46">
        <v>45.0</v>
      </c>
      <c r="B48" s="47">
        <v>1007728.0</v>
      </c>
      <c r="C48" s="48" t="str">
        <f>vlookup(B48,'Crew Data'!C:G,5,0)</f>
        <v>Suthasinee Thaeothaisong</v>
      </c>
      <c r="D48" s="267" t="s">
        <v>1436</v>
      </c>
      <c r="E48" s="47">
        <v>2.0</v>
      </c>
      <c r="F48" s="50">
        <f t="shared" si="1"/>
        <v>800</v>
      </c>
      <c r="G48" s="22">
        <f t="shared" si="2"/>
        <v>1</v>
      </c>
      <c r="H48" s="51" t="s">
        <v>20</v>
      </c>
    </row>
    <row r="49" ht="25.5" customHeight="1">
      <c r="A49" s="46">
        <v>46.0</v>
      </c>
      <c r="B49" s="47">
        <v>1012364.0</v>
      </c>
      <c r="C49" s="48" t="str">
        <f>vlookup(B49,'Crew Data'!C:G,5,0)</f>
        <v>#N/A</v>
      </c>
      <c r="D49" s="267" t="s">
        <v>1437</v>
      </c>
      <c r="E49" s="47">
        <v>2.0</v>
      </c>
      <c r="F49" s="50">
        <f t="shared" si="1"/>
        <v>800</v>
      </c>
      <c r="G49" s="22">
        <f t="shared" si="2"/>
        <v>1</v>
      </c>
      <c r="H49" s="51" t="s">
        <v>20</v>
      </c>
    </row>
    <row r="50" ht="25.5" customHeight="1">
      <c r="A50" s="46">
        <v>47.0</v>
      </c>
      <c r="B50" s="47">
        <v>1010916.0</v>
      </c>
      <c r="C50" s="48" t="str">
        <f>vlookup(B50,'Crew Data'!C:G,5,0)</f>
        <v>Sivakorn Sangsukiam</v>
      </c>
      <c r="D50" s="267" t="s">
        <v>1440</v>
      </c>
      <c r="E50" s="47">
        <v>4.0</v>
      </c>
      <c r="F50" s="50">
        <f t="shared" si="1"/>
        <v>1600</v>
      </c>
      <c r="G50" s="22">
        <f t="shared" si="2"/>
        <v>1</v>
      </c>
      <c r="H50" s="51" t="s">
        <v>20</v>
      </c>
    </row>
    <row r="51" ht="25.5" customHeight="1">
      <c r="A51" s="54">
        <v>48.0</v>
      </c>
      <c r="B51" s="47">
        <v>1008991.0</v>
      </c>
      <c r="C51" s="48" t="str">
        <f>vlookup(B51,'Crew Data'!C:G,5,0)</f>
        <v>Premkamon Changsuwan</v>
      </c>
      <c r="D51" s="267" t="s">
        <v>1441</v>
      </c>
      <c r="E51" s="47">
        <v>28.0</v>
      </c>
      <c r="F51" s="50">
        <f t="shared" si="1"/>
        <v>11200</v>
      </c>
      <c r="G51" s="22">
        <f t="shared" si="2"/>
        <v>1</v>
      </c>
      <c r="H51" s="51" t="s">
        <v>20</v>
      </c>
    </row>
    <row r="52" ht="25.5" customHeight="1">
      <c r="A52" s="46">
        <v>49.0</v>
      </c>
      <c r="B52" s="47">
        <v>1000486.0</v>
      </c>
      <c r="C52" s="48" t="str">
        <f>vlookup(B52,'Crew Data'!C:G,5,0)</f>
        <v>Ratthinan Wasupornwiboon</v>
      </c>
      <c r="D52" s="267" t="s">
        <v>1422</v>
      </c>
      <c r="E52" s="47">
        <v>2.0</v>
      </c>
      <c r="F52" s="50">
        <f t="shared" si="1"/>
        <v>800</v>
      </c>
      <c r="G52" s="22">
        <f t="shared" si="2"/>
        <v>1</v>
      </c>
      <c r="H52" s="51" t="s">
        <v>20</v>
      </c>
    </row>
    <row r="53" ht="25.5" customHeight="1">
      <c r="A53" s="46">
        <v>50.0</v>
      </c>
      <c r="B53" s="47">
        <v>1005773.0</v>
      </c>
      <c r="C53" s="48" t="str">
        <f>vlookup(B53,'Crew Data'!C:G,5,0)</f>
        <v>Wipoj Sinsomboon</v>
      </c>
      <c r="D53" s="267" t="s">
        <v>1436</v>
      </c>
      <c r="E53" s="47">
        <v>2.0</v>
      </c>
      <c r="F53" s="50">
        <f t="shared" si="1"/>
        <v>800</v>
      </c>
      <c r="G53" s="22">
        <f t="shared" si="2"/>
        <v>1</v>
      </c>
      <c r="H53" s="51" t="s">
        <v>20</v>
      </c>
    </row>
    <row r="54" ht="25.5" customHeight="1">
      <c r="A54" s="46">
        <v>51.0</v>
      </c>
      <c r="B54" s="47">
        <v>1017645.0</v>
      </c>
      <c r="C54" s="48" t="str">
        <f>vlookup(B54,'Crew Data'!C:G,5,0)</f>
        <v>Nattida Palasak</v>
      </c>
      <c r="D54" s="267" t="s">
        <v>1395</v>
      </c>
      <c r="E54" s="47">
        <v>2.0</v>
      </c>
      <c r="F54" s="50">
        <f t="shared" si="1"/>
        <v>800</v>
      </c>
      <c r="G54" s="22">
        <f t="shared" si="2"/>
        <v>1</v>
      </c>
      <c r="H54" s="51" t="s">
        <v>20</v>
      </c>
    </row>
    <row r="55" ht="25.5" customHeight="1">
      <c r="A55" s="46">
        <v>52.0</v>
      </c>
      <c r="B55" s="47">
        <v>1011827.0</v>
      </c>
      <c r="C55" s="48" t="str">
        <f>vlookup(B55,'Crew Data'!C:G,5,0)</f>
        <v>#N/A</v>
      </c>
      <c r="D55" s="267" t="s">
        <v>1422</v>
      </c>
      <c r="E55" s="47">
        <v>2.0</v>
      </c>
      <c r="F55" s="50">
        <f t="shared" si="1"/>
        <v>800</v>
      </c>
      <c r="G55" s="22">
        <f t="shared" si="2"/>
        <v>1</v>
      </c>
      <c r="H55" s="51" t="s">
        <v>20</v>
      </c>
    </row>
    <row r="56" ht="25.5" customHeight="1">
      <c r="A56" s="46">
        <v>53.0</v>
      </c>
      <c r="B56" s="47">
        <v>1018801.0</v>
      </c>
      <c r="C56" s="48" t="str">
        <f>vlookup(B56,'Crew Data'!C:G,5,0)</f>
        <v>Nattapong Lekkhum</v>
      </c>
      <c r="D56" s="267" t="s">
        <v>1442</v>
      </c>
      <c r="E56" s="47">
        <v>30.0</v>
      </c>
      <c r="F56" s="50">
        <f t="shared" si="1"/>
        <v>12000</v>
      </c>
      <c r="G56" s="22">
        <f t="shared" si="2"/>
        <v>1</v>
      </c>
      <c r="H56" s="51" t="s">
        <v>20</v>
      </c>
    </row>
    <row r="57" ht="25.5" customHeight="1">
      <c r="A57" s="46">
        <v>54.0</v>
      </c>
      <c r="B57" s="47">
        <v>1022697.0</v>
      </c>
      <c r="C57" s="48" t="str">
        <f>vlookup(B57,'Crew Data'!C:G,5,0)</f>
        <v>#N/A</v>
      </c>
      <c r="D57" s="267" t="s">
        <v>1304</v>
      </c>
      <c r="E57" s="47">
        <v>2.0</v>
      </c>
      <c r="F57" s="50">
        <f t="shared" si="1"/>
        <v>800</v>
      </c>
      <c r="G57" s="22">
        <f t="shared" si="2"/>
        <v>1</v>
      </c>
      <c r="H57" s="51" t="s">
        <v>20</v>
      </c>
    </row>
    <row r="58" ht="25.5" customHeight="1">
      <c r="A58" s="46">
        <v>55.0</v>
      </c>
      <c r="B58" s="47">
        <v>1009131.0</v>
      </c>
      <c r="C58" s="48" t="str">
        <f>vlookup(B58,'Crew Data'!C:G,5,0)</f>
        <v>Burin Wongdithai</v>
      </c>
      <c r="D58" s="267" t="s">
        <v>1304</v>
      </c>
      <c r="E58" s="47">
        <v>2.0</v>
      </c>
      <c r="F58" s="50">
        <f t="shared" si="1"/>
        <v>800</v>
      </c>
      <c r="G58" s="22">
        <f t="shared" si="2"/>
        <v>1</v>
      </c>
      <c r="H58" s="51" t="s">
        <v>20</v>
      </c>
    </row>
    <row r="59" ht="25.5" customHeight="1">
      <c r="A59" s="54">
        <v>56.0</v>
      </c>
      <c r="B59" s="47">
        <v>1006960.0</v>
      </c>
      <c r="C59" s="48" t="str">
        <f>vlookup(B59,'Crew Data'!C:G,5,0)</f>
        <v>Natnicha Chumnuan</v>
      </c>
      <c r="D59" s="267" t="s">
        <v>1443</v>
      </c>
      <c r="E59" s="47">
        <v>24.0</v>
      </c>
      <c r="F59" s="50">
        <f t="shared" si="1"/>
        <v>9600</v>
      </c>
      <c r="G59" s="22">
        <f t="shared" si="2"/>
        <v>1</v>
      </c>
      <c r="H59" s="51" t="s">
        <v>20</v>
      </c>
    </row>
    <row r="60" ht="25.5" customHeight="1">
      <c r="A60" s="46">
        <v>57.0</v>
      </c>
      <c r="B60" s="47">
        <v>1003398.0</v>
      </c>
      <c r="C60" s="48" t="str">
        <f>vlookup(B60,'Crew Data'!C:G,5,0)</f>
        <v>Netchaya Namarsa</v>
      </c>
      <c r="D60" s="267" t="s">
        <v>1439</v>
      </c>
      <c r="E60" s="47">
        <v>2.0</v>
      </c>
      <c r="F60" s="50">
        <f t="shared" si="1"/>
        <v>800</v>
      </c>
      <c r="G60" s="22">
        <f t="shared" si="2"/>
        <v>1</v>
      </c>
      <c r="H60" s="51" t="s">
        <v>20</v>
      </c>
    </row>
    <row r="61" ht="25.5" customHeight="1">
      <c r="A61" s="46">
        <v>58.0</v>
      </c>
      <c r="B61" s="47">
        <v>1006363.0</v>
      </c>
      <c r="C61" s="48" t="str">
        <f>vlookup(B61,'Crew Data'!C:G,5,0)</f>
        <v>#N/A</v>
      </c>
      <c r="D61" s="267" t="s">
        <v>1444</v>
      </c>
      <c r="E61" s="47">
        <v>4.0</v>
      </c>
      <c r="F61" s="50">
        <f t="shared" si="1"/>
        <v>1600</v>
      </c>
      <c r="G61" s="22">
        <f t="shared" si="2"/>
        <v>1</v>
      </c>
      <c r="H61" s="51" t="s">
        <v>20</v>
      </c>
    </row>
    <row r="62" ht="25.5" customHeight="1">
      <c r="A62" s="46">
        <v>59.0</v>
      </c>
      <c r="B62" s="47">
        <v>1017643.0</v>
      </c>
      <c r="C62" s="48" t="str">
        <f>vlookup(B62,'Crew Data'!C:G,5,0)</f>
        <v>#N/A</v>
      </c>
      <c r="D62" s="268">
        <v>43799.0</v>
      </c>
      <c r="E62" s="47">
        <v>1.0</v>
      </c>
      <c r="F62" s="50">
        <f t="shared" si="1"/>
        <v>400</v>
      </c>
      <c r="G62" s="22">
        <f t="shared" si="2"/>
        <v>1</v>
      </c>
      <c r="H62" s="51" t="s">
        <v>20</v>
      </c>
    </row>
    <row r="63" ht="25.5" customHeight="1">
      <c r="A63" s="46">
        <v>60.0</v>
      </c>
      <c r="B63" s="47">
        <v>1017642.0</v>
      </c>
      <c r="C63" s="48" t="str">
        <f>vlookup(B63,'Crew Data'!C:G,5,0)</f>
        <v>#N/A</v>
      </c>
      <c r="D63" s="268">
        <v>43799.0</v>
      </c>
      <c r="E63" s="47">
        <v>1.0</v>
      </c>
      <c r="F63" s="50">
        <f t="shared" si="1"/>
        <v>400</v>
      </c>
      <c r="G63" s="22">
        <f t="shared" si="2"/>
        <v>1</v>
      </c>
      <c r="H63" s="51" t="s">
        <v>20</v>
      </c>
    </row>
    <row r="64" ht="25.5" customHeight="1">
      <c r="A64" s="54">
        <v>61.0</v>
      </c>
      <c r="B64" s="47">
        <v>1022668.0</v>
      </c>
      <c r="C64" s="48" t="str">
        <f>vlookup(B64,'Crew Data'!C:G,5,0)</f>
        <v>Chatchaya Laohasurayotin</v>
      </c>
      <c r="D64" s="268">
        <v>43799.0</v>
      </c>
      <c r="E64" s="47">
        <v>1.0</v>
      </c>
      <c r="F64" s="50">
        <f t="shared" si="1"/>
        <v>400</v>
      </c>
      <c r="G64" s="22">
        <f t="shared" si="2"/>
        <v>1</v>
      </c>
      <c r="H64" s="51" t="s">
        <v>20</v>
      </c>
    </row>
    <row r="65" ht="25.5" customHeight="1">
      <c r="A65" s="46">
        <v>62.0</v>
      </c>
      <c r="B65" s="47">
        <v>1007153.0</v>
      </c>
      <c r="C65" s="48" t="str">
        <f>vlookup(B65,'Crew Data'!C:G,5,0)</f>
        <v>Pannathat Chuchuaisuwan</v>
      </c>
      <c r="D65" s="267" t="s">
        <v>1445</v>
      </c>
      <c r="E65" s="47">
        <v>5.0</v>
      </c>
      <c r="F65" s="50">
        <f t="shared" si="1"/>
        <v>2000</v>
      </c>
      <c r="G65" s="22">
        <f t="shared" si="2"/>
        <v>1</v>
      </c>
      <c r="H65" s="51" t="s">
        <v>20</v>
      </c>
    </row>
    <row r="66" ht="25.5" customHeight="1">
      <c r="A66" s="46">
        <v>63.0</v>
      </c>
      <c r="B66" s="47">
        <v>1014064.0</v>
      </c>
      <c r="C66" s="48" t="str">
        <f>vlookup(B66,'Crew Data'!C:G,5,0)</f>
        <v>Jaraspak Plengkhum</v>
      </c>
      <c r="D66" s="267" t="s">
        <v>1430</v>
      </c>
      <c r="E66" s="47">
        <v>2.0</v>
      </c>
      <c r="F66" s="50">
        <f t="shared" si="1"/>
        <v>800</v>
      </c>
      <c r="G66" s="22">
        <f t="shared" si="2"/>
        <v>1</v>
      </c>
      <c r="H66" s="51" t="s">
        <v>20</v>
      </c>
    </row>
    <row r="67" ht="25.5" customHeight="1">
      <c r="A67" s="46">
        <v>64.0</v>
      </c>
      <c r="B67" s="47">
        <v>1005428.0</v>
      </c>
      <c r="C67" s="48" t="str">
        <f>vlookup(B67,'Crew Data'!C:G,5,0)</f>
        <v>#N/A</v>
      </c>
      <c r="D67" s="267" t="s">
        <v>1437</v>
      </c>
      <c r="E67" s="47">
        <v>2.0</v>
      </c>
      <c r="F67" s="50">
        <f t="shared" si="1"/>
        <v>800</v>
      </c>
      <c r="G67" s="22">
        <f t="shared" si="2"/>
        <v>1</v>
      </c>
      <c r="H67" s="51" t="s">
        <v>20</v>
      </c>
    </row>
    <row r="68" ht="25.5" customHeight="1">
      <c r="A68" s="46">
        <v>65.0</v>
      </c>
      <c r="B68" s="47">
        <v>1014683.0</v>
      </c>
      <c r="C68" s="48" t="str">
        <f>vlookup(B68,'Crew Data'!C:G,5,0)</f>
        <v>Trin Supredanuwat</v>
      </c>
      <c r="D68" s="267" t="s">
        <v>1442</v>
      </c>
      <c r="E68" s="47">
        <v>30.0</v>
      </c>
      <c r="F68" s="50">
        <f t="shared" si="1"/>
        <v>12000</v>
      </c>
      <c r="G68" s="22">
        <f t="shared" si="2"/>
        <v>1</v>
      </c>
      <c r="H68" s="51" t="s">
        <v>20</v>
      </c>
    </row>
    <row r="69" ht="25.5" customHeight="1">
      <c r="A69" s="46">
        <v>66.0</v>
      </c>
      <c r="B69" s="47">
        <v>1012362.0</v>
      </c>
      <c r="C69" s="48" t="str">
        <f>vlookup(B69,'Crew Data'!C:G,5,0)</f>
        <v>Patcharagorn Chankhong</v>
      </c>
      <c r="D69" s="267" t="s">
        <v>1436</v>
      </c>
      <c r="E69" s="47">
        <v>2.0</v>
      </c>
      <c r="F69" s="50">
        <f t="shared" si="1"/>
        <v>800</v>
      </c>
      <c r="G69" s="22">
        <f t="shared" si="2"/>
        <v>1</v>
      </c>
      <c r="H69" s="51" t="s">
        <v>20</v>
      </c>
    </row>
    <row r="70" ht="25.5" customHeight="1">
      <c r="A70" s="46">
        <v>67.0</v>
      </c>
      <c r="B70" s="47">
        <v>1007181.0</v>
      </c>
      <c r="C70" s="48" t="str">
        <f>vlookup(B70,'Crew Data'!C:G,5,0)</f>
        <v>Warisara Sutta</v>
      </c>
      <c r="D70" s="267" t="s">
        <v>1446</v>
      </c>
      <c r="E70" s="47">
        <v>28.0</v>
      </c>
      <c r="F70" s="50">
        <f t="shared" si="1"/>
        <v>11200</v>
      </c>
      <c r="G70" s="22">
        <f t="shared" si="2"/>
        <v>1</v>
      </c>
      <c r="H70" s="51" t="s">
        <v>20</v>
      </c>
    </row>
    <row r="71" ht="25.5" customHeight="1">
      <c r="A71" s="46">
        <v>68.0</v>
      </c>
      <c r="B71" s="47">
        <v>1007424.0</v>
      </c>
      <c r="C71" s="48" t="str">
        <f>vlookup(B71,'Crew Data'!C:G,5,0)</f>
        <v>#N/A</v>
      </c>
      <c r="D71" s="267" t="s">
        <v>1447</v>
      </c>
      <c r="E71" s="47">
        <v>6.0</v>
      </c>
      <c r="F71" s="50">
        <f t="shared" si="1"/>
        <v>2400</v>
      </c>
      <c r="G71" s="22">
        <f t="shared" si="2"/>
        <v>1</v>
      </c>
      <c r="H71" s="51" t="s">
        <v>20</v>
      </c>
    </row>
    <row r="72" ht="25.5" customHeight="1">
      <c r="A72" s="54">
        <v>69.0</v>
      </c>
      <c r="B72" s="47">
        <v>1012899.0</v>
      </c>
      <c r="C72" s="48" t="str">
        <f>vlookup(B72,'Crew Data'!C:G,5,0)</f>
        <v>Pichaya Sonthigorn</v>
      </c>
      <c r="D72" s="267" t="s">
        <v>1431</v>
      </c>
      <c r="E72" s="47">
        <v>2.0</v>
      </c>
      <c r="F72" s="50">
        <f t="shared" si="1"/>
        <v>800</v>
      </c>
      <c r="G72" s="22">
        <f t="shared" si="2"/>
        <v>1</v>
      </c>
      <c r="H72" s="51" t="s">
        <v>20</v>
      </c>
    </row>
    <row r="73" ht="25.5" customHeight="1">
      <c r="A73" s="46">
        <v>70.0</v>
      </c>
      <c r="B73" s="47">
        <v>1013190.0</v>
      </c>
      <c r="C73" s="48" t="str">
        <f>vlookup(B73,'Crew Data'!C:G,5,0)</f>
        <v>Thamonwan Chokumpornpan</v>
      </c>
      <c r="D73" s="267" t="s">
        <v>1448</v>
      </c>
      <c r="E73" s="47">
        <v>27.0</v>
      </c>
      <c r="F73" s="50">
        <f t="shared" si="1"/>
        <v>10800</v>
      </c>
      <c r="G73" s="22">
        <f t="shared" si="2"/>
        <v>1</v>
      </c>
      <c r="H73" s="51" t="s">
        <v>20</v>
      </c>
    </row>
    <row r="74" ht="25.5" customHeight="1">
      <c r="A74" s="46">
        <v>71.0</v>
      </c>
      <c r="B74" s="47">
        <v>1017653.0</v>
      </c>
      <c r="C74" s="48" t="str">
        <f>vlookup(B74,'Crew Data'!C:G,5,0)</f>
        <v>Wachiraphon Lakbun</v>
      </c>
      <c r="D74" s="267" t="s">
        <v>1395</v>
      </c>
      <c r="E74" s="47">
        <v>2.0</v>
      </c>
      <c r="F74" s="50">
        <f t="shared" si="1"/>
        <v>800</v>
      </c>
      <c r="G74" s="22">
        <f t="shared" si="2"/>
        <v>1</v>
      </c>
      <c r="H74" s="51" t="s">
        <v>20</v>
      </c>
    </row>
    <row r="75" ht="25.5" customHeight="1">
      <c r="A75" s="46">
        <v>72.0</v>
      </c>
      <c r="B75" s="47">
        <v>1007157.0</v>
      </c>
      <c r="C75" s="48" t="str">
        <f>vlookup(B75,'Crew Data'!C:G,5,0)</f>
        <v>Pichanun Seneetantikul</v>
      </c>
      <c r="D75" s="267" t="s">
        <v>1390</v>
      </c>
      <c r="E75" s="47">
        <v>2.0</v>
      </c>
      <c r="F75" s="50">
        <f t="shared" si="1"/>
        <v>800</v>
      </c>
      <c r="G75" s="22">
        <f t="shared" si="2"/>
        <v>1</v>
      </c>
      <c r="H75" s="51" t="s">
        <v>20</v>
      </c>
    </row>
    <row r="76" ht="25.5" customHeight="1">
      <c r="A76" s="46">
        <v>73.0</v>
      </c>
      <c r="B76" s="47">
        <v>1009799.0</v>
      </c>
      <c r="C76" s="48" t="str">
        <f>vlookup(B76,'Crew Data'!C:G,5,0)</f>
        <v>Kittirat Aujsri</v>
      </c>
      <c r="D76" s="267" t="s">
        <v>1388</v>
      </c>
      <c r="E76" s="47">
        <v>2.0</v>
      </c>
      <c r="F76" s="50">
        <f t="shared" si="1"/>
        <v>800</v>
      </c>
      <c r="G76" s="22">
        <f t="shared" si="2"/>
        <v>1</v>
      </c>
      <c r="H76" s="51" t="s">
        <v>20</v>
      </c>
    </row>
    <row r="77" ht="25.5" customHeight="1">
      <c r="A77" s="272"/>
      <c r="B77" s="272"/>
      <c r="C77" s="272"/>
    </row>
    <row r="78" ht="25.5" customHeight="1">
      <c r="A78" s="265" t="s">
        <v>1183</v>
      </c>
      <c r="B78" s="252"/>
      <c r="C78" s="253"/>
    </row>
    <row r="79" ht="25.5" customHeight="1">
      <c r="A79" s="254" t="s">
        <v>1153</v>
      </c>
      <c r="B79" s="255" t="s">
        <v>1154</v>
      </c>
      <c r="C79" s="256" t="s">
        <v>1155</v>
      </c>
    </row>
    <row r="80" ht="25.5" customHeight="1">
      <c r="A80" s="257" t="s">
        <v>1156</v>
      </c>
      <c r="B80" s="258" t="s">
        <v>1157</v>
      </c>
      <c r="C80" s="259" t="s">
        <v>1158</v>
      </c>
    </row>
    <row r="81" ht="25.5" customHeight="1">
      <c r="A81" s="257" t="s">
        <v>1159</v>
      </c>
      <c r="B81" s="258" t="s">
        <v>1157</v>
      </c>
      <c r="C81" s="259" t="s">
        <v>1158</v>
      </c>
    </row>
    <row r="82" ht="25.5" customHeight="1">
      <c r="A82" s="257" t="s">
        <v>1160</v>
      </c>
      <c r="B82" s="260" t="s">
        <v>1157</v>
      </c>
      <c r="C82" s="259" t="s">
        <v>1158</v>
      </c>
    </row>
    <row r="83" ht="25.5" customHeight="1">
      <c r="A83" s="31"/>
      <c r="B83" s="31"/>
      <c r="C83" s="31"/>
    </row>
    <row r="84" ht="25.5" customHeight="1">
      <c r="A84" s="261" t="s">
        <v>1449</v>
      </c>
      <c r="B84" s="262"/>
      <c r="C84" s="31"/>
    </row>
    <row r="85" ht="25.5" customHeight="1">
      <c r="A85" s="272"/>
      <c r="B85" s="272"/>
      <c r="C85" s="272"/>
    </row>
    <row r="86" ht="25.5" customHeight="1">
      <c r="A86" s="272"/>
      <c r="B86" s="272"/>
      <c r="C86" s="272"/>
    </row>
    <row r="87" ht="25.5" customHeight="1">
      <c r="A87" s="272"/>
      <c r="B87" s="272"/>
      <c r="C87" s="272"/>
    </row>
    <row r="88" ht="25.5" customHeight="1">
      <c r="A88" s="272"/>
      <c r="B88" s="272"/>
      <c r="C88" s="272"/>
    </row>
    <row r="89" ht="25.5" customHeight="1">
      <c r="A89" s="272"/>
      <c r="B89" s="272"/>
      <c r="C89" s="272"/>
    </row>
    <row r="90" ht="25.5" customHeight="1">
      <c r="A90" s="272"/>
      <c r="B90" s="272"/>
      <c r="C90" s="272"/>
    </row>
    <row r="91" ht="25.5" customHeight="1">
      <c r="A91" s="272"/>
      <c r="B91" s="272"/>
      <c r="C91" s="272"/>
    </row>
    <row r="92" ht="25.5" customHeight="1">
      <c r="A92" s="272"/>
      <c r="B92" s="272"/>
      <c r="C92" s="272"/>
    </row>
    <row r="93" ht="25.5" customHeight="1">
      <c r="A93" s="272"/>
      <c r="B93" s="272"/>
      <c r="C93" s="272"/>
    </row>
    <row r="94" ht="25.5" customHeight="1">
      <c r="A94" s="272"/>
      <c r="B94" s="272"/>
      <c r="C94" s="272"/>
    </row>
    <row r="95" ht="25.5" customHeight="1">
      <c r="A95" s="272"/>
      <c r="B95" s="272"/>
      <c r="C95" s="272"/>
    </row>
    <row r="96" ht="25.5" customHeight="1">
      <c r="A96" s="272"/>
      <c r="B96" s="272"/>
      <c r="C96" s="272"/>
    </row>
    <row r="97" ht="25.5" customHeight="1">
      <c r="A97" s="272"/>
      <c r="B97" s="272"/>
      <c r="C97" s="272"/>
    </row>
    <row r="98" ht="25.5" customHeight="1">
      <c r="A98" s="272"/>
      <c r="B98" s="272"/>
      <c r="C98" s="272"/>
    </row>
    <row r="99" ht="25.5" customHeight="1">
      <c r="A99" s="272"/>
      <c r="B99" s="272"/>
      <c r="C99" s="272"/>
    </row>
    <row r="100" ht="25.5" customHeight="1">
      <c r="A100" s="272"/>
      <c r="B100" s="272"/>
      <c r="C100" s="272"/>
    </row>
    <row r="101" ht="25.5" customHeight="1">
      <c r="A101" s="272"/>
      <c r="B101" s="272"/>
      <c r="C101" s="272"/>
    </row>
    <row r="102" ht="25.5" customHeight="1">
      <c r="A102" s="272"/>
      <c r="B102" s="272"/>
      <c r="C102" s="272"/>
    </row>
    <row r="103" ht="25.5" customHeight="1">
      <c r="A103" s="272"/>
      <c r="B103" s="272"/>
      <c r="C103" s="272"/>
    </row>
    <row r="104" ht="25.5" customHeight="1">
      <c r="A104" s="272"/>
      <c r="B104" s="272"/>
      <c r="C104" s="272"/>
    </row>
    <row r="105" ht="25.5" customHeight="1">
      <c r="A105" s="272"/>
      <c r="B105" s="272"/>
      <c r="C105" s="272"/>
    </row>
    <row r="106" ht="25.5" customHeight="1">
      <c r="A106" s="272"/>
      <c r="B106" s="272"/>
      <c r="C106" s="272"/>
    </row>
    <row r="107" ht="25.5" customHeight="1">
      <c r="A107" s="272"/>
      <c r="B107" s="272"/>
      <c r="C107" s="272"/>
    </row>
    <row r="108" ht="25.5" customHeight="1">
      <c r="A108" s="272"/>
      <c r="B108" s="272"/>
      <c r="C108" s="272"/>
    </row>
    <row r="109" ht="25.5" customHeight="1">
      <c r="A109" s="272"/>
      <c r="B109" s="272"/>
      <c r="C109" s="272"/>
    </row>
    <row r="110" ht="25.5" customHeight="1">
      <c r="A110" s="272"/>
      <c r="B110" s="272"/>
      <c r="C110" s="272"/>
    </row>
    <row r="111" ht="25.5" customHeight="1">
      <c r="A111" s="272"/>
      <c r="B111" s="272"/>
      <c r="C111" s="272"/>
    </row>
    <row r="112" ht="25.5" customHeight="1">
      <c r="A112" s="272"/>
      <c r="B112" s="272"/>
      <c r="C112" s="272"/>
    </row>
    <row r="113" ht="25.5" customHeight="1">
      <c r="A113" s="272"/>
      <c r="B113" s="272"/>
      <c r="C113" s="272"/>
    </row>
    <row r="114" ht="25.5" customHeight="1">
      <c r="A114" s="272"/>
      <c r="B114" s="272"/>
      <c r="C114" s="272"/>
    </row>
    <row r="115" ht="25.5" customHeight="1">
      <c r="A115" s="272"/>
      <c r="B115" s="272"/>
      <c r="C115" s="272"/>
    </row>
    <row r="116" ht="25.5" customHeight="1">
      <c r="A116" s="272"/>
      <c r="B116" s="272"/>
      <c r="C116" s="272"/>
    </row>
    <row r="117" ht="25.5" customHeight="1">
      <c r="A117" s="272"/>
      <c r="B117" s="272"/>
      <c r="C117" s="272"/>
    </row>
    <row r="118" ht="25.5" customHeight="1">
      <c r="A118" s="272"/>
      <c r="B118" s="272"/>
      <c r="C118" s="272"/>
    </row>
    <row r="119" ht="25.5" customHeight="1">
      <c r="A119" s="272"/>
      <c r="B119" s="272"/>
      <c r="C119" s="272"/>
    </row>
    <row r="120" ht="25.5" customHeight="1">
      <c r="A120" s="272"/>
      <c r="B120" s="272"/>
      <c r="C120" s="272"/>
    </row>
    <row r="121" ht="25.5" customHeight="1">
      <c r="A121" s="272"/>
      <c r="B121" s="272"/>
      <c r="C121" s="272"/>
    </row>
    <row r="122" ht="25.5" customHeight="1">
      <c r="A122" s="272"/>
      <c r="B122" s="272"/>
      <c r="C122" s="272"/>
    </row>
    <row r="123" ht="25.5" customHeight="1">
      <c r="A123" s="272"/>
      <c r="B123" s="272"/>
      <c r="C123" s="272"/>
    </row>
    <row r="124" ht="25.5" customHeight="1">
      <c r="A124" s="272"/>
      <c r="B124" s="272"/>
      <c r="C124" s="272"/>
    </row>
    <row r="125" ht="25.5" customHeight="1">
      <c r="A125" s="272"/>
      <c r="B125" s="272"/>
      <c r="C125" s="272"/>
    </row>
    <row r="126" ht="25.5" customHeight="1">
      <c r="A126" s="272"/>
      <c r="B126" s="272"/>
      <c r="C126" s="272"/>
    </row>
    <row r="127" ht="25.5" customHeight="1">
      <c r="A127" s="272"/>
      <c r="B127" s="272"/>
      <c r="C127" s="272"/>
    </row>
    <row r="128" ht="25.5" customHeight="1">
      <c r="A128" s="272"/>
      <c r="B128" s="272"/>
      <c r="C128" s="272"/>
    </row>
    <row r="129" ht="25.5" customHeight="1">
      <c r="A129" s="272"/>
      <c r="B129" s="272"/>
      <c r="C129" s="272"/>
    </row>
    <row r="130" ht="25.5" customHeight="1">
      <c r="A130" s="272"/>
      <c r="B130" s="272"/>
      <c r="C130" s="272"/>
    </row>
    <row r="131" ht="25.5" customHeight="1">
      <c r="A131" s="272"/>
      <c r="B131" s="272"/>
      <c r="C131" s="272"/>
    </row>
    <row r="132" ht="25.5" customHeight="1">
      <c r="A132" s="272"/>
      <c r="B132" s="272"/>
      <c r="C132" s="272"/>
    </row>
    <row r="133" ht="25.5" customHeight="1">
      <c r="A133" s="272"/>
      <c r="B133" s="272"/>
      <c r="C133" s="272"/>
    </row>
    <row r="134" ht="25.5" customHeight="1">
      <c r="A134" s="272"/>
      <c r="B134" s="272"/>
      <c r="C134" s="272"/>
    </row>
    <row r="135" ht="25.5" customHeight="1">
      <c r="A135" s="272"/>
      <c r="B135" s="272"/>
      <c r="C135" s="272"/>
    </row>
    <row r="136" ht="25.5" customHeight="1">
      <c r="A136" s="272"/>
      <c r="B136" s="272"/>
      <c r="C136" s="272"/>
    </row>
    <row r="137" ht="25.5" customHeight="1">
      <c r="A137" s="272"/>
      <c r="B137" s="272"/>
      <c r="C137" s="272"/>
    </row>
    <row r="138" ht="25.5" customHeight="1">
      <c r="A138" s="272"/>
      <c r="B138" s="272"/>
      <c r="C138" s="272"/>
    </row>
    <row r="139" ht="25.5" customHeight="1">
      <c r="A139" s="272"/>
      <c r="B139" s="272"/>
      <c r="C139" s="272"/>
    </row>
    <row r="140" ht="25.5" customHeight="1">
      <c r="A140" s="272"/>
      <c r="B140" s="272"/>
      <c r="C140" s="272"/>
    </row>
    <row r="141" ht="25.5" customHeight="1">
      <c r="A141" s="272"/>
      <c r="B141" s="272"/>
      <c r="C141" s="272"/>
    </row>
    <row r="142" ht="25.5" customHeight="1">
      <c r="A142" s="272"/>
      <c r="B142" s="272"/>
      <c r="C142" s="272"/>
    </row>
    <row r="143" ht="25.5" customHeight="1">
      <c r="A143" s="272"/>
      <c r="B143" s="272"/>
      <c r="C143" s="272"/>
    </row>
    <row r="144" ht="25.5" customHeight="1">
      <c r="A144" s="272"/>
      <c r="B144" s="272"/>
      <c r="C144" s="272"/>
    </row>
    <row r="145" ht="25.5" customHeight="1">
      <c r="A145" s="272"/>
      <c r="B145" s="272"/>
      <c r="C145" s="272"/>
    </row>
    <row r="146" ht="25.5" customHeight="1">
      <c r="A146" s="272"/>
      <c r="B146" s="272"/>
      <c r="C146" s="272"/>
    </row>
    <row r="147" ht="25.5" customHeight="1">
      <c r="A147" s="272"/>
      <c r="B147" s="272"/>
      <c r="C147" s="272"/>
    </row>
    <row r="148" ht="25.5" customHeight="1">
      <c r="A148" s="272"/>
      <c r="B148" s="272"/>
      <c r="C148" s="272"/>
    </row>
    <row r="149" ht="25.5" customHeight="1">
      <c r="A149" s="272"/>
      <c r="B149" s="272"/>
      <c r="C149" s="272"/>
    </row>
    <row r="150" ht="25.5" customHeight="1">
      <c r="A150" s="272"/>
      <c r="B150" s="272"/>
      <c r="C150" s="272"/>
    </row>
    <row r="151" ht="25.5" customHeight="1">
      <c r="A151" s="272"/>
      <c r="B151" s="272"/>
      <c r="C151" s="272"/>
    </row>
    <row r="152" ht="25.5" customHeight="1">
      <c r="A152" s="272"/>
      <c r="B152" s="272"/>
      <c r="C152" s="272"/>
    </row>
    <row r="153" ht="25.5" customHeight="1">
      <c r="A153" s="272"/>
      <c r="B153" s="272"/>
      <c r="C153" s="272"/>
    </row>
    <row r="154" ht="25.5" customHeight="1">
      <c r="A154" s="272"/>
      <c r="B154" s="272"/>
      <c r="C154" s="272"/>
    </row>
    <row r="155" ht="25.5" customHeight="1">
      <c r="A155" s="272"/>
      <c r="B155" s="272"/>
      <c r="C155" s="272"/>
    </row>
    <row r="156" ht="25.5" customHeight="1">
      <c r="A156" s="272"/>
      <c r="B156" s="272"/>
      <c r="C156" s="272"/>
    </row>
    <row r="157" ht="25.5" customHeight="1">
      <c r="A157" s="272"/>
      <c r="B157" s="272"/>
      <c r="C157" s="272"/>
    </row>
    <row r="158" ht="25.5" customHeight="1">
      <c r="A158" s="272"/>
      <c r="B158" s="272"/>
      <c r="C158" s="272"/>
    </row>
    <row r="159" ht="25.5" customHeight="1">
      <c r="A159" s="272"/>
      <c r="B159" s="272"/>
      <c r="C159" s="272"/>
    </row>
    <row r="160" ht="25.5" customHeight="1">
      <c r="A160" s="272"/>
      <c r="B160" s="272"/>
      <c r="C160" s="272"/>
    </row>
    <row r="161" ht="25.5" customHeight="1">
      <c r="A161" s="272"/>
      <c r="B161" s="272"/>
      <c r="C161" s="272"/>
    </row>
    <row r="162" ht="25.5" customHeight="1">
      <c r="A162" s="272"/>
      <c r="B162" s="272"/>
      <c r="C162" s="272"/>
    </row>
    <row r="163" ht="25.5" customHeight="1">
      <c r="A163" s="272"/>
      <c r="B163" s="272"/>
      <c r="C163" s="272"/>
    </row>
    <row r="164" ht="25.5" customHeight="1">
      <c r="A164" s="272"/>
      <c r="B164" s="272"/>
      <c r="C164" s="272"/>
    </row>
    <row r="165" ht="25.5" customHeight="1">
      <c r="A165" s="272"/>
      <c r="B165" s="272"/>
      <c r="C165" s="272"/>
    </row>
    <row r="166" ht="25.5" customHeight="1">
      <c r="A166" s="272"/>
      <c r="B166" s="272"/>
      <c r="C166" s="272"/>
    </row>
    <row r="167" ht="25.5" customHeight="1">
      <c r="A167" s="272"/>
      <c r="B167" s="272"/>
      <c r="C167" s="272"/>
    </row>
    <row r="168" ht="25.5" customHeight="1">
      <c r="A168" s="272"/>
      <c r="B168" s="272"/>
      <c r="C168" s="272"/>
    </row>
    <row r="169" ht="25.5" customHeight="1">
      <c r="A169" s="272"/>
      <c r="B169" s="272"/>
      <c r="C169" s="272"/>
    </row>
    <row r="170" ht="25.5" customHeight="1">
      <c r="A170" s="272"/>
      <c r="B170" s="272"/>
      <c r="C170" s="272"/>
    </row>
    <row r="171" ht="25.5" customHeight="1">
      <c r="A171" s="272"/>
      <c r="B171" s="272"/>
      <c r="C171" s="272"/>
    </row>
    <row r="172" ht="25.5" customHeight="1">
      <c r="A172" s="272"/>
      <c r="B172" s="272"/>
      <c r="C172" s="272"/>
    </row>
    <row r="173" ht="25.5" customHeight="1">
      <c r="A173" s="272"/>
      <c r="B173" s="272"/>
      <c r="C173" s="272"/>
    </row>
    <row r="174" ht="25.5" customHeight="1">
      <c r="A174" s="272"/>
      <c r="B174" s="272"/>
      <c r="C174" s="272"/>
    </row>
    <row r="175" ht="25.5" customHeight="1">
      <c r="A175" s="272"/>
      <c r="B175" s="272"/>
      <c r="C175" s="272"/>
    </row>
    <row r="176" ht="25.5" customHeight="1">
      <c r="A176" s="272"/>
      <c r="B176" s="272"/>
      <c r="C176" s="272"/>
    </row>
    <row r="177" ht="25.5" customHeight="1">
      <c r="A177" s="272"/>
      <c r="B177" s="272"/>
      <c r="C177" s="272"/>
    </row>
    <row r="178" ht="25.5" customHeight="1">
      <c r="A178" s="272"/>
      <c r="B178" s="272"/>
      <c r="C178" s="272"/>
    </row>
    <row r="179" ht="25.5" customHeight="1">
      <c r="A179" s="272"/>
      <c r="B179" s="272"/>
      <c r="C179" s="272"/>
    </row>
    <row r="180" ht="25.5" customHeight="1">
      <c r="A180" s="272"/>
      <c r="B180" s="272"/>
      <c r="C180" s="272"/>
    </row>
    <row r="181" ht="25.5" customHeight="1">
      <c r="A181" s="272"/>
      <c r="B181" s="272"/>
      <c r="C181" s="272"/>
    </row>
    <row r="182" ht="25.5" customHeight="1">
      <c r="A182" s="272"/>
      <c r="B182" s="272"/>
      <c r="C182" s="272"/>
    </row>
    <row r="183" ht="25.5" customHeight="1">
      <c r="A183" s="272"/>
      <c r="B183" s="272"/>
      <c r="C183" s="272"/>
    </row>
    <row r="184" ht="25.5" customHeight="1">
      <c r="A184" s="272"/>
      <c r="B184" s="272"/>
      <c r="C184" s="272"/>
    </row>
    <row r="185" ht="25.5" customHeight="1">
      <c r="A185" s="272"/>
      <c r="B185" s="272"/>
      <c r="C185" s="272"/>
    </row>
    <row r="186" ht="25.5" customHeight="1">
      <c r="A186" s="272"/>
      <c r="B186" s="272"/>
      <c r="C186" s="272"/>
    </row>
    <row r="187" ht="25.5" customHeight="1">
      <c r="A187" s="272"/>
      <c r="B187" s="272"/>
      <c r="C187" s="272"/>
    </row>
    <row r="188" ht="25.5" customHeight="1">
      <c r="A188" s="272"/>
      <c r="B188" s="272"/>
      <c r="C188" s="272"/>
    </row>
    <row r="189" ht="25.5" customHeight="1">
      <c r="A189" s="272"/>
      <c r="B189" s="272"/>
      <c r="C189" s="272"/>
    </row>
    <row r="190" ht="25.5" customHeight="1">
      <c r="A190" s="272"/>
      <c r="B190" s="272"/>
      <c r="C190" s="272"/>
    </row>
    <row r="191" ht="25.5" customHeight="1">
      <c r="A191" s="272"/>
      <c r="B191" s="272"/>
      <c r="C191" s="272"/>
    </row>
    <row r="192" ht="25.5" customHeight="1">
      <c r="A192" s="272"/>
      <c r="B192" s="272"/>
      <c r="C192" s="272"/>
    </row>
    <row r="193" ht="25.5" customHeight="1">
      <c r="A193" s="272"/>
      <c r="B193" s="272"/>
      <c r="C193" s="272"/>
    </row>
    <row r="194" ht="25.5" customHeight="1">
      <c r="A194" s="272"/>
      <c r="B194" s="272"/>
      <c r="C194" s="272"/>
    </row>
    <row r="195" ht="25.5" customHeight="1">
      <c r="A195" s="272"/>
      <c r="B195" s="272"/>
      <c r="C195" s="272"/>
    </row>
    <row r="196" ht="25.5" customHeight="1">
      <c r="A196" s="272"/>
      <c r="B196" s="272"/>
      <c r="C196" s="272"/>
    </row>
    <row r="197" ht="25.5" customHeight="1">
      <c r="A197" s="272"/>
      <c r="B197" s="272"/>
      <c r="C197" s="272"/>
    </row>
    <row r="198" ht="25.5" customHeight="1">
      <c r="A198" s="272"/>
      <c r="B198" s="272"/>
      <c r="C198" s="272"/>
    </row>
    <row r="199" ht="25.5" customHeight="1">
      <c r="A199" s="272"/>
      <c r="B199" s="272"/>
      <c r="C199" s="272"/>
    </row>
    <row r="200" ht="25.5" customHeight="1">
      <c r="A200" s="272"/>
      <c r="B200" s="272"/>
      <c r="C200" s="272"/>
    </row>
    <row r="201" ht="25.5" customHeight="1">
      <c r="A201" s="272"/>
      <c r="B201" s="272"/>
      <c r="C201" s="272"/>
    </row>
    <row r="202" ht="25.5" customHeight="1">
      <c r="A202" s="272"/>
      <c r="B202" s="272"/>
      <c r="C202" s="272"/>
    </row>
    <row r="203" ht="25.5" customHeight="1">
      <c r="A203" s="272"/>
      <c r="B203" s="272"/>
      <c r="C203" s="272"/>
    </row>
    <row r="204" ht="25.5" customHeight="1">
      <c r="A204" s="272"/>
      <c r="B204" s="272"/>
      <c r="C204" s="272"/>
    </row>
    <row r="205" ht="25.5" customHeight="1">
      <c r="A205" s="272"/>
      <c r="B205" s="272"/>
      <c r="C205" s="272"/>
    </row>
    <row r="206" ht="25.5" customHeight="1">
      <c r="A206" s="272"/>
      <c r="B206" s="272"/>
      <c r="C206" s="272"/>
    </row>
    <row r="207" ht="25.5" customHeight="1">
      <c r="A207" s="272"/>
      <c r="B207" s="272"/>
      <c r="C207" s="272"/>
    </row>
    <row r="208" ht="25.5" customHeight="1">
      <c r="A208" s="272"/>
      <c r="B208" s="272"/>
      <c r="C208" s="272"/>
    </row>
    <row r="209" ht="25.5" customHeight="1">
      <c r="A209" s="272"/>
      <c r="B209" s="272"/>
      <c r="C209" s="272"/>
    </row>
    <row r="210" ht="25.5" customHeight="1">
      <c r="A210" s="272"/>
      <c r="B210" s="272"/>
      <c r="C210" s="272"/>
    </row>
    <row r="211" ht="25.5" customHeight="1">
      <c r="A211" s="272"/>
      <c r="B211" s="272"/>
      <c r="C211" s="272"/>
    </row>
    <row r="212" ht="25.5" customHeight="1">
      <c r="A212" s="272"/>
      <c r="B212" s="272"/>
      <c r="C212" s="272"/>
    </row>
    <row r="213" ht="25.5" customHeight="1">
      <c r="A213" s="272"/>
      <c r="B213" s="272"/>
      <c r="C213" s="272"/>
    </row>
    <row r="214" ht="25.5" customHeight="1">
      <c r="A214" s="272"/>
      <c r="B214" s="272"/>
      <c r="C214" s="272"/>
    </row>
    <row r="215" ht="25.5" customHeight="1">
      <c r="A215" s="272"/>
      <c r="B215" s="272"/>
      <c r="C215" s="272"/>
    </row>
    <row r="216" ht="25.5" customHeight="1">
      <c r="A216" s="272"/>
      <c r="B216" s="272"/>
      <c r="C216" s="272"/>
    </row>
    <row r="217" ht="25.5" customHeight="1">
      <c r="A217" s="272"/>
      <c r="B217" s="272"/>
      <c r="C217" s="272"/>
    </row>
    <row r="218" ht="25.5" customHeight="1">
      <c r="A218" s="272"/>
      <c r="B218" s="272"/>
      <c r="C218" s="272"/>
    </row>
    <row r="219" ht="25.5" customHeight="1">
      <c r="A219" s="272"/>
      <c r="B219" s="272"/>
      <c r="C219" s="272"/>
    </row>
    <row r="220" ht="25.5" customHeight="1">
      <c r="A220" s="272"/>
      <c r="B220" s="272"/>
      <c r="C220" s="272"/>
    </row>
    <row r="221" ht="25.5" customHeight="1">
      <c r="A221" s="272"/>
      <c r="B221" s="272"/>
      <c r="C221" s="272"/>
    </row>
    <row r="222" ht="25.5" customHeight="1">
      <c r="A222" s="272"/>
      <c r="B222" s="272"/>
      <c r="C222" s="272"/>
    </row>
    <row r="223" ht="25.5" customHeight="1">
      <c r="A223" s="272"/>
      <c r="B223" s="272"/>
      <c r="C223" s="272"/>
    </row>
    <row r="224" ht="25.5" customHeight="1">
      <c r="A224" s="272"/>
      <c r="B224" s="272"/>
      <c r="C224" s="272"/>
    </row>
    <row r="225" ht="25.5" customHeight="1">
      <c r="A225" s="272"/>
      <c r="B225" s="272"/>
      <c r="C225" s="272"/>
    </row>
    <row r="226" ht="25.5" customHeight="1">
      <c r="A226" s="272"/>
      <c r="B226" s="272"/>
      <c r="C226" s="272"/>
    </row>
    <row r="227" ht="25.5" customHeight="1">
      <c r="A227" s="272"/>
      <c r="B227" s="272"/>
      <c r="C227" s="272"/>
    </row>
    <row r="228" ht="25.5" customHeight="1">
      <c r="A228" s="272"/>
      <c r="B228" s="272"/>
      <c r="C228" s="272"/>
    </row>
    <row r="229" ht="25.5" customHeight="1">
      <c r="A229" s="272"/>
      <c r="B229" s="272"/>
      <c r="C229" s="272"/>
    </row>
    <row r="230" ht="25.5" customHeight="1">
      <c r="A230" s="272"/>
      <c r="B230" s="272"/>
      <c r="C230" s="272"/>
    </row>
    <row r="231" ht="25.5" customHeight="1">
      <c r="A231" s="272"/>
      <c r="B231" s="272"/>
      <c r="C231" s="272"/>
    </row>
    <row r="232" ht="25.5" customHeight="1">
      <c r="A232" s="272"/>
      <c r="B232" s="272"/>
      <c r="C232" s="272"/>
    </row>
    <row r="233" ht="25.5" customHeight="1">
      <c r="A233" s="272"/>
      <c r="B233" s="272"/>
      <c r="C233" s="272"/>
    </row>
    <row r="234" ht="25.5" customHeight="1">
      <c r="A234" s="272"/>
      <c r="B234" s="272"/>
      <c r="C234" s="272"/>
    </row>
    <row r="235" ht="25.5" customHeight="1">
      <c r="A235" s="272"/>
      <c r="B235" s="272"/>
      <c r="C235" s="272"/>
    </row>
    <row r="236" ht="25.5" customHeight="1">
      <c r="A236" s="272"/>
      <c r="B236" s="272"/>
      <c r="C236" s="272"/>
    </row>
    <row r="237" ht="25.5" customHeight="1">
      <c r="A237" s="272"/>
      <c r="B237" s="272"/>
      <c r="C237" s="272"/>
    </row>
    <row r="238" ht="25.5" customHeight="1">
      <c r="A238" s="272"/>
      <c r="B238" s="272"/>
      <c r="C238" s="272"/>
    </row>
    <row r="239" ht="25.5" customHeight="1">
      <c r="A239" s="272"/>
      <c r="B239" s="272"/>
      <c r="C239" s="272"/>
    </row>
    <row r="240" ht="25.5" customHeight="1">
      <c r="A240" s="272"/>
      <c r="B240" s="272"/>
      <c r="C240" s="272"/>
    </row>
    <row r="241" ht="25.5" customHeight="1">
      <c r="A241" s="272"/>
      <c r="B241" s="272"/>
      <c r="C241" s="272"/>
    </row>
    <row r="242" ht="25.5" customHeight="1">
      <c r="A242" s="272"/>
      <c r="B242" s="272"/>
      <c r="C242" s="272"/>
    </row>
    <row r="243" ht="25.5" customHeight="1">
      <c r="A243" s="272"/>
      <c r="B243" s="272"/>
      <c r="C243" s="272"/>
    </row>
    <row r="244" ht="25.5" customHeight="1">
      <c r="A244" s="272"/>
      <c r="B244" s="272"/>
      <c r="C244" s="272"/>
    </row>
    <row r="245" ht="25.5" customHeight="1">
      <c r="A245" s="272"/>
      <c r="B245" s="272"/>
      <c r="C245" s="272"/>
    </row>
    <row r="246" ht="25.5" customHeight="1">
      <c r="A246" s="272"/>
      <c r="B246" s="272"/>
      <c r="C246" s="272"/>
    </row>
    <row r="247" ht="25.5" customHeight="1">
      <c r="A247" s="272"/>
      <c r="B247" s="272"/>
      <c r="C247" s="272"/>
    </row>
    <row r="248" ht="25.5" customHeight="1">
      <c r="A248" s="272"/>
      <c r="B248" s="272"/>
      <c r="C248" s="272"/>
    </row>
    <row r="249" ht="25.5" customHeight="1">
      <c r="A249" s="272"/>
      <c r="B249" s="272"/>
      <c r="C249" s="272"/>
    </row>
    <row r="250" ht="25.5" customHeight="1">
      <c r="A250" s="272"/>
      <c r="B250" s="272"/>
      <c r="C250" s="272"/>
    </row>
    <row r="251" ht="25.5" customHeight="1">
      <c r="A251" s="272"/>
      <c r="B251" s="272"/>
      <c r="C251" s="272"/>
    </row>
    <row r="252" ht="25.5" customHeight="1">
      <c r="A252" s="272"/>
      <c r="B252" s="272"/>
      <c r="C252" s="272"/>
    </row>
    <row r="253" ht="25.5" customHeight="1">
      <c r="A253" s="272"/>
      <c r="B253" s="272"/>
      <c r="C253" s="272"/>
    </row>
    <row r="254" ht="25.5" customHeight="1">
      <c r="A254" s="272"/>
      <c r="B254" s="272"/>
      <c r="C254" s="272"/>
    </row>
    <row r="255" ht="25.5" customHeight="1">
      <c r="A255" s="272"/>
      <c r="B255" s="272"/>
      <c r="C255" s="272"/>
    </row>
    <row r="256" ht="25.5" customHeight="1">
      <c r="A256" s="272"/>
      <c r="B256" s="272"/>
      <c r="C256" s="272"/>
    </row>
    <row r="257" ht="25.5" customHeight="1">
      <c r="A257" s="272"/>
      <c r="B257" s="272"/>
      <c r="C257" s="272"/>
    </row>
    <row r="258" ht="25.5" customHeight="1">
      <c r="A258" s="272"/>
      <c r="B258" s="272"/>
      <c r="C258" s="272"/>
    </row>
    <row r="259" ht="25.5" customHeight="1">
      <c r="A259" s="272"/>
      <c r="B259" s="272"/>
      <c r="C259" s="272"/>
    </row>
    <row r="260" ht="25.5" customHeight="1">
      <c r="A260" s="272"/>
      <c r="B260" s="272"/>
      <c r="C260" s="272"/>
    </row>
    <row r="261" ht="25.5" customHeight="1">
      <c r="A261" s="272"/>
      <c r="B261" s="272"/>
      <c r="C261" s="272"/>
    </row>
    <row r="262" ht="25.5" customHeight="1">
      <c r="A262" s="272"/>
      <c r="B262" s="272"/>
      <c r="C262" s="272"/>
    </row>
    <row r="263" ht="25.5" customHeight="1">
      <c r="A263" s="272"/>
      <c r="B263" s="272"/>
      <c r="C263" s="272"/>
    </row>
    <row r="264" ht="25.5" customHeight="1">
      <c r="A264" s="272"/>
      <c r="B264" s="272"/>
      <c r="C264" s="272"/>
    </row>
    <row r="265" ht="25.5" customHeight="1">
      <c r="A265" s="272"/>
      <c r="B265" s="272"/>
      <c r="C265" s="272"/>
    </row>
    <row r="266" ht="25.5" customHeight="1">
      <c r="A266" s="272"/>
      <c r="B266" s="272"/>
      <c r="C266" s="272"/>
    </row>
    <row r="267" ht="25.5" customHeight="1">
      <c r="A267" s="272"/>
      <c r="B267" s="272"/>
      <c r="C267" s="272"/>
    </row>
    <row r="268" ht="25.5" customHeight="1">
      <c r="A268" s="272"/>
      <c r="B268" s="272"/>
      <c r="C268" s="272"/>
    </row>
    <row r="269" ht="25.5" customHeight="1">
      <c r="A269" s="272"/>
      <c r="B269" s="272"/>
      <c r="C269" s="272"/>
    </row>
    <row r="270" ht="25.5" customHeight="1">
      <c r="A270" s="272"/>
      <c r="B270" s="272"/>
      <c r="C270" s="272"/>
    </row>
    <row r="271" ht="25.5" customHeight="1">
      <c r="A271" s="272"/>
      <c r="B271" s="272"/>
      <c r="C271" s="272"/>
    </row>
    <row r="272" ht="25.5" customHeight="1">
      <c r="A272" s="272"/>
      <c r="B272" s="272"/>
      <c r="C272" s="272"/>
    </row>
    <row r="273" ht="25.5" customHeight="1">
      <c r="A273" s="272"/>
      <c r="B273" s="272"/>
      <c r="C273" s="272"/>
    </row>
    <row r="274" ht="25.5" customHeight="1">
      <c r="A274" s="272"/>
      <c r="B274" s="272"/>
      <c r="C274" s="272"/>
    </row>
    <row r="275" ht="25.5" customHeight="1">
      <c r="A275" s="272"/>
      <c r="B275" s="272"/>
      <c r="C275" s="272"/>
    </row>
    <row r="276" ht="25.5" customHeight="1">
      <c r="A276" s="272"/>
      <c r="B276" s="272"/>
      <c r="C276" s="272"/>
    </row>
    <row r="277" ht="25.5" customHeight="1">
      <c r="A277" s="272"/>
      <c r="B277" s="272"/>
      <c r="C277" s="272"/>
    </row>
    <row r="278" ht="25.5" customHeight="1">
      <c r="A278" s="272"/>
      <c r="B278" s="272"/>
      <c r="C278" s="272"/>
    </row>
    <row r="279" ht="25.5" customHeight="1">
      <c r="A279" s="272"/>
      <c r="B279" s="272"/>
      <c r="C279" s="272"/>
    </row>
    <row r="280" ht="25.5" customHeight="1">
      <c r="A280" s="272"/>
      <c r="B280" s="272"/>
      <c r="C280" s="272"/>
    </row>
    <row r="281" ht="25.5" customHeight="1">
      <c r="A281" s="272"/>
      <c r="B281" s="272"/>
      <c r="C281" s="272"/>
    </row>
    <row r="282" ht="25.5" customHeight="1">
      <c r="A282" s="272"/>
      <c r="B282" s="272"/>
      <c r="C282" s="272"/>
    </row>
    <row r="283" ht="25.5" customHeight="1">
      <c r="A283" s="272"/>
      <c r="B283" s="272"/>
      <c r="C283" s="272"/>
    </row>
    <row r="284" ht="25.5" customHeight="1">
      <c r="A284" s="272"/>
      <c r="B284" s="272"/>
      <c r="C284" s="272"/>
    </row>
    <row r="285" ht="25.5" customHeight="1">
      <c r="A285" s="272"/>
      <c r="B285" s="272"/>
      <c r="C285" s="272"/>
    </row>
    <row r="286" ht="25.5" customHeight="1">
      <c r="A286" s="272"/>
      <c r="B286" s="272"/>
      <c r="C286" s="272"/>
    </row>
    <row r="287" ht="25.5" customHeight="1">
      <c r="A287" s="272"/>
      <c r="B287" s="272"/>
      <c r="C287" s="272"/>
    </row>
    <row r="288" ht="25.5" customHeight="1">
      <c r="A288" s="272"/>
      <c r="B288" s="272"/>
      <c r="C288" s="272"/>
    </row>
    <row r="289" ht="25.5" customHeight="1">
      <c r="A289" s="272"/>
      <c r="B289" s="272"/>
      <c r="C289" s="272"/>
    </row>
    <row r="290" ht="25.5" customHeight="1">
      <c r="A290" s="272"/>
      <c r="B290" s="272"/>
      <c r="C290" s="272"/>
    </row>
    <row r="291" ht="25.5" customHeight="1">
      <c r="A291" s="272"/>
      <c r="B291" s="272"/>
      <c r="C291" s="272"/>
    </row>
    <row r="292" ht="25.5" customHeight="1">
      <c r="A292" s="272"/>
      <c r="B292" s="272"/>
      <c r="C292" s="272"/>
    </row>
    <row r="293" ht="25.5" customHeight="1">
      <c r="A293" s="272"/>
      <c r="B293" s="272"/>
      <c r="C293" s="272"/>
    </row>
    <row r="294" ht="25.5" customHeight="1">
      <c r="A294" s="272"/>
      <c r="B294" s="272"/>
      <c r="C294" s="272"/>
    </row>
    <row r="295" ht="25.5" customHeight="1">
      <c r="A295" s="272"/>
      <c r="B295" s="272"/>
      <c r="C295" s="272"/>
    </row>
    <row r="296" ht="25.5" customHeight="1">
      <c r="A296" s="272"/>
      <c r="B296" s="272"/>
      <c r="C296" s="272"/>
    </row>
    <row r="297" ht="25.5" customHeight="1">
      <c r="A297" s="272"/>
      <c r="B297" s="272"/>
      <c r="C297" s="272"/>
    </row>
    <row r="298" ht="25.5" customHeight="1">
      <c r="A298" s="272"/>
      <c r="B298" s="272"/>
      <c r="C298" s="272"/>
    </row>
    <row r="299" ht="25.5" customHeight="1">
      <c r="A299" s="272"/>
      <c r="B299" s="272"/>
      <c r="C299" s="272"/>
    </row>
    <row r="300" ht="25.5" customHeight="1">
      <c r="A300" s="272"/>
      <c r="B300" s="272"/>
      <c r="C300" s="272"/>
    </row>
    <row r="301" ht="25.5" customHeight="1">
      <c r="A301" s="272"/>
      <c r="B301" s="272"/>
      <c r="C301" s="272"/>
    </row>
    <row r="302" ht="25.5" customHeight="1">
      <c r="A302" s="272"/>
      <c r="B302" s="272"/>
      <c r="C302" s="272"/>
    </row>
    <row r="303" ht="25.5" customHeight="1">
      <c r="A303" s="272"/>
      <c r="B303" s="272"/>
      <c r="C303" s="272"/>
    </row>
    <row r="304" ht="25.5" customHeight="1">
      <c r="A304" s="272"/>
      <c r="B304" s="272"/>
      <c r="C304" s="272"/>
    </row>
    <row r="305" ht="25.5" customHeight="1">
      <c r="A305" s="272"/>
      <c r="B305" s="272"/>
      <c r="C305" s="272"/>
    </row>
    <row r="306" ht="25.5" customHeight="1">
      <c r="A306" s="272"/>
      <c r="B306" s="272"/>
      <c r="C306" s="272"/>
    </row>
    <row r="307" ht="25.5" customHeight="1">
      <c r="A307" s="272"/>
      <c r="B307" s="272"/>
      <c r="C307" s="272"/>
    </row>
    <row r="308" ht="25.5" customHeight="1">
      <c r="A308" s="272"/>
      <c r="B308" s="272"/>
      <c r="C308" s="272"/>
    </row>
    <row r="309" ht="25.5" customHeight="1">
      <c r="A309" s="272"/>
      <c r="B309" s="272"/>
      <c r="C309" s="272"/>
    </row>
    <row r="310" ht="25.5" customHeight="1">
      <c r="A310" s="272"/>
      <c r="B310" s="272"/>
      <c r="C310" s="272"/>
    </row>
    <row r="311" ht="25.5" customHeight="1">
      <c r="A311" s="272"/>
      <c r="B311" s="272"/>
      <c r="C311" s="272"/>
    </row>
    <row r="312" ht="25.5" customHeight="1">
      <c r="A312" s="272"/>
      <c r="B312" s="272"/>
      <c r="C312" s="272"/>
    </row>
    <row r="313" ht="25.5" customHeight="1">
      <c r="A313" s="272"/>
      <c r="B313" s="272"/>
      <c r="C313" s="272"/>
    </row>
    <row r="314" ht="25.5" customHeight="1">
      <c r="A314" s="272"/>
      <c r="B314" s="272"/>
      <c r="C314" s="272"/>
    </row>
    <row r="315" ht="25.5" customHeight="1">
      <c r="A315" s="272"/>
      <c r="B315" s="272"/>
      <c r="C315" s="272"/>
    </row>
    <row r="316" ht="25.5" customHeight="1">
      <c r="A316" s="272"/>
      <c r="B316" s="272"/>
      <c r="C316" s="272"/>
    </row>
    <row r="317" ht="25.5" customHeight="1">
      <c r="A317" s="272"/>
      <c r="B317" s="272"/>
      <c r="C317" s="272"/>
    </row>
    <row r="318" ht="25.5" customHeight="1">
      <c r="A318" s="272"/>
      <c r="B318" s="272"/>
      <c r="C318" s="272"/>
    </row>
    <row r="319" ht="25.5" customHeight="1">
      <c r="A319" s="272"/>
      <c r="B319" s="272"/>
      <c r="C319" s="272"/>
    </row>
    <row r="320" ht="25.5" customHeight="1">
      <c r="A320" s="272"/>
      <c r="B320" s="272"/>
      <c r="C320" s="272"/>
    </row>
    <row r="321" ht="25.5" customHeight="1">
      <c r="A321" s="272"/>
      <c r="B321" s="272"/>
      <c r="C321" s="272"/>
    </row>
    <row r="322" ht="25.5" customHeight="1">
      <c r="A322" s="272"/>
      <c r="B322" s="272"/>
      <c r="C322" s="272"/>
    </row>
    <row r="323" ht="25.5" customHeight="1">
      <c r="A323" s="272"/>
      <c r="B323" s="272"/>
      <c r="C323" s="272"/>
    </row>
    <row r="324" ht="25.5" customHeight="1">
      <c r="A324" s="272"/>
      <c r="B324" s="272"/>
      <c r="C324" s="272"/>
    </row>
    <row r="325" ht="25.5" customHeight="1">
      <c r="A325" s="272"/>
      <c r="B325" s="272"/>
      <c r="C325" s="272"/>
    </row>
    <row r="326" ht="25.5" customHeight="1">
      <c r="A326" s="272"/>
      <c r="B326" s="272"/>
      <c r="C326" s="272"/>
    </row>
    <row r="327" ht="25.5" customHeight="1">
      <c r="A327" s="272"/>
      <c r="B327" s="272"/>
      <c r="C327" s="272"/>
    </row>
    <row r="328" ht="25.5" customHeight="1">
      <c r="A328" s="272"/>
      <c r="B328" s="272"/>
      <c r="C328" s="272"/>
    </row>
    <row r="329" ht="25.5" customHeight="1">
      <c r="A329" s="272"/>
      <c r="B329" s="272"/>
      <c r="C329" s="272"/>
    </row>
    <row r="330" ht="25.5" customHeight="1">
      <c r="A330" s="272"/>
      <c r="B330" s="272"/>
      <c r="C330" s="272"/>
    </row>
    <row r="331" ht="25.5" customHeight="1">
      <c r="A331" s="272"/>
      <c r="B331" s="272"/>
      <c r="C331" s="272"/>
    </row>
    <row r="332" ht="25.5" customHeight="1">
      <c r="A332" s="272"/>
      <c r="B332" s="272"/>
      <c r="C332" s="272"/>
    </row>
    <row r="333" ht="25.5" customHeight="1">
      <c r="A333" s="272"/>
      <c r="B333" s="272"/>
      <c r="C333" s="272"/>
    </row>
    <row r="334" ht="25.5" customHeight="1">
      <c r="A334" s="272"/>
      <c r="B334" s="272"/>
      <c r="C334" s="272"/>
    </row>
    <row r="335" ht="25.5" customHeight="1">
      <c r="A335" s="272"/>
      <c r="B335" s="272"/>
      <c r="C335" s="272"/>
    </row>
    <row r="336" ht="25.5" customHeight="1">
      <c r="A336" s="272"/>
      <c r="B336" s="272"/>
      <c r="C336" s="272"/>
    </row>
    <row r="337" ht="25.5" customHeight="1">
      <c r="A337" s="272"/>
      <c r="B337" s="272"/>
      <c r="C337" s="272"/>
    </row>
    <row r="338" ht="25.5" customHeight="1">
      <c r="A338" s="272"/>
      <c r="B338" s="272"/>
      <c r="C338" s="272"/>
    </row>
    <row r="339" ht="25.5" customHeight="1">
      <c r="A339" s="272"/>
      <c r="B339" s="272"/>
      <c r="C339" s="272"/>
    </row>
    <row r="340" ht="25.5" customHeight="1">
      <c r="A340" s="272"/>
      <c r="B340" s="272"/>
      <c r="C340" s="272"/>
    </row>
    <row r="341" ht="25.5" customHeight="1">
      <c r="A341" s="272"/>
      <c r="B341" s="272"/>
      <c r="C341" s="272"/>
    </row>
    <row r="342" ht="25.5" customHeight="1">
      <c r="A342" s="272"/>
      <c r="B342" s="272"/>
      <c r="C342" s="272"/>
    </row>
    <row r="343" ht="25.5" customHeight="1">
      <c r="A343" s="272"/>
      <c r="B343" s="272"/>
      <c r="C343" s="272"/>
    </row>
    <row r="344" ht="25.5" customHeight="1">
      <c r="A344" s="272"/>
      <c r="B344" s="272"/>
      <c r="C344" s="272"/>
    </row>
    <row r="345" ht="25.5" customHeight="1">
      <c r="A345" s="272"/>
      <c r="B345" s="272"/>
      <c r="C345" s="272"/>
    </row>
    <row r="346" ht="25.5" customHeight="1">
      <c r="A346" s="272"/>
      <c r="B346" s="272"/>
      <c r="C346" s="272"/>
    </row>
    <row r="347" ht="25.5" customHeight="1">
      <c r="A347" s="272"/>
      <c r="B347" s="272"/>
      <c r="C347" s="272"/>
    </row>
    <row r="348" ht="25.5" customHeight="1">
      <c r="A348" s="272"/>
      <c r="B348" s="272"/>
      <c r="C348" s="272"/>
    </row>
    <row r="349" ht="25.5" customHeight="1">
      <c r="A349" s="272"/>
      <c r="B349" s="272"/>
      <c r="C349" s="272"/>
    </row>
    <row r="350" ht="25.5" customHeight="1">
      <c r="A350" s="272"/>
      <c r="B350" s="272"/>
      <c r="C350" s="272"/>
    </row>
    <row r="351" ht="25.5" customHeight="1">
      <c r="A351" s="272"/>
      <c r="B351" s="272"/>
      <c r="C351" s="272"/>
    </row>
    <row r="352" ht="25.5" customHeight="1">
      <c r="A352" s="272"/>
      <c r="B352" s="272"/>
      <c r="C352" s="272"/>
    </row>
    <row r="353" ht="25.5" customHeight="1">
      <c r="A353" s="272"/>
      <c r="B353" s="272"/>
      <c r="C353" s="272"/>
    </row>
    <row r="354" ht="25.5" customHeight="1">
      <c r="A354" s="272"/>
      <c r="B354" s="272"/>
      <c r="C354" s="272"/>
    </row>
    <row r="355" ht="25.5" customHeight="1">
      <c r="A355" s="272"/>
      <c r="B355" s="272"/>
      <c r="C355" s="272"/>
    </row>
    <row r="356" ht="25.5" customHeight="1">
      <c r="A356" s="272"/>
      <c r="B356" s="272"/>
      <c r="C356" s="272"/>
    </row>
    <row r="357" ht="25.5" customHeight="1">
      <c r="A357" s="272"/>
      <c r="B357" s="272"/>
      <c r="C357" s="272"/>
    </row>
    <row r="358" ht="25.5" customHeight="1">
      <c r="A358" s="272"/>
      <c r="B358" s="272"/>
      <c r="C358" s="272"/>
    </row>
    <row r="359" ht="25.5" customHeight="1">
      <c r="A359" s="272"/>
      <c r="B359" s="272"/>
      <c r="C359" s="272"/>
    </row>
    <row r="360" ht="25.5" customHeight="1">
      <c r="A360" s="272"/>
      <c r="B360" s="272"/>
      <c r="C360" s="272"/>
    </row>
    <row r="361" ht="25.5" customHeight="1">
      <c r="A361" s="272"/>
      <c r="B361" s="272"/>
      <c r="C361" s="272"/>
    </row>
    <row r="362" ht="25.5" customHeight="1">
      <c r="A362" s="272"/>
      <c r="B362" s="272"/>
      <c r="C362" s="272"/>
    </row>
    <row r="363" ht="25.5" customHeight="1">
      <c r="A363" s="272"/>
      <c r="B363" s="272"/>
      <c r="C363" s="272"/>
    </row>
    <row r="364" ht="25.5" customHeight="1">
      <c r="A364" s="272"/>
      <c r="B364" s="272"/>
      <c r="C364" s="272"/>
    </row>
    <row r="365" ht="25.5" customHeight="1">
      <c r="A365" s="272"/>
      <c r="B365" s="272"/>
      <c r="C365" s="272"/>
    </row>
    <row r="366" ht="25.5" customHeight="1">
      <c r="A366" s="272"/>
      <c r="B366" s="272"/>
      <c r="C366" s="272"/>
    </row>
    <row r="367" ht="25.5" customHeight="1">
      <c r="A367" s="272"/>
      <c r="B367" s="272"/>
      <c r="C367" s="272"/>
    </row>
    <row r="368" ht="25.5" customHeight="1">
      <c r="A368" s="272"/>
      <c r="B368" s="272"/>
      <c r="C368" s="272"/>
    </row>
    <row r="369" ht="25.5" customHeight="1">
      <c r="A369" s="272"/>
      <c r="B369" s="272"/>
      <c r="C369" s="272"/>
    </row>
    <row r="370" ht="25.5" customHeight="1">
      <c r="A370" s="272"/>
      <c r="B370" s="272"/>
      <c r="C370" s="272"/>
    </row>
    <row r="371" ht="25.5" customHeight="1">
      <c r="A371" s="272"/>
      <c r="B371" s="272"/>
      <c r="C371" s="272"/>
    </row>
    <row r="372" ht="25.5" customHeight="1">
      <c r="A372" s="272"/>
      <c r="B372" s="272"/>
      <c r="C372" s="272"/>
    </row>
    <row r="373" ht="25.5" customHeight="1">
      <c r="A373" s="272"/>
      <c r="B373" s="272"/>
      <c r="C373" s="272"/>
    </row>
    <row r="374" ht="25.5" customHeight="1">
      <c r="A374" s="272"/>
      <c r="B374" s="272"/>
      <c r="C374" s="272"/>
    </row>
    <row r="375" ht="25.5" customHeight="1">
      <c r="A375" s="272"/>
      <c r="B375" s="272"/>
      <c r="C375" s="272"/>
    </row>
    <row r="376" ht="25.5" customHeight="1">
      <c r="A376" s="272"/>
      <c r="B376" s="272"/>
      <c r="C376" s="272"/>
    </row>
    <row r="377" ht="25.5" customHeight="1">
      <c r="A377" s="272"/>
      <c r="B377" s="272"/>
      <c r="C377" s="272"/>
    </row>
    <row r="378" ht="25.5" customHeight="1">
      <c r="A378" s="272"/>
      <c r="B378" s="272"/>
      <c r="C378" s="272"/>
    </row>
    <row r="379" ht="25.5" customHeight="1">
      <c r="A379" s="272"/>
      <c r="B379" s="272"/>
      <c r="C379" s="272"/>
    </row>
    <row r="380" ht="25.5" customHeight="1">
      <c r="A380" s="272"/>
      <c r="B380" s="272"/>
      <c r="C380" s="272"/>
    </row>
    <row r="381" ht="25.5" customHeight="1">
      <c r="A381" s="272"/>
      <c r="B381" s="272"/>
      <c r="C381" s="272"/>
    </row>
    <row r="382" ht="25.5" customHeight="1">
      <c r="A382" s="272"/>
      <c r="B382" s="272"/>
      <c r="C382" s="272"/>
    </row>
    <row r="383" ht="25.5" customHeight="1">
      <c r="A383" s="272"/>
      <c r="B383" s="272"/>
      <c r="C383" s="272"/>
    </row>
    <row r="384" ht="25.5" customHeight="1">
      <c r="A384" s="272"/>
      <c r="B384" s="272"/>
      <c r="C384" s="272"/>
    </row>
    <row r="385" ht="25.5" customHeight="1">
      <c r="A385" s="272"/>
      <c r="B385" s="272"/>
      <c r="C385" s="272"/>
    </row>
    <row r="386" ht="25.5" customHeight="1">
      <c r="A386" s="272"/>
      <c r="B386" s="272"/>
      <c r="C386" s="272"/>
    </row>
    <row r="387" ht="25.5" customHeight="1">
      <c r="A387" s="272"/>
      <c r="B387" s="272"/>
      <c r="C387" s="272"/>
    </row>
    <row r="388" ht="25.5" customHeight="1">
      <c r="A388" s="272"/>
      <c r="B388" s="272"/>
      <c r="C388" s="272"/>
    </row>
    <row r="389" ht="25.5" customHeight="1">
      <c r="A389" s="272"/>
      <c r="B389" s="272"/>
      <c r="C389" s="272"/>
    </row>
    <row r="390" ht="25.5" customHeight="1">
      <c r="A390" s="272"/>
      <c r="B390" s="272"/>
      <c r="C390" s="272"/>
    </row>
    <row r="391" ht="25.5" customHeight="1">
      <c r="A391" s="272"/>
      <c r="B391" s="272"/>
      <c r="C391" s="272"/>
    </row>
    <row r="392" ht="25.5" customHeight="1">
      <c r="A392" s="272"/>
      <c r="B392" s="272"/>
      <c r="C392" s="272"/>
    </row>
    <row r="393" ht="25.5" customHeight="1">
      <c r="A393" s="272"/>
      <c r="B393" s="272"/>
      <c r="C393" s="272"/>
    </row>
    <row r="394" ht="25.5" customHeight="1">
      <c r="A394" s="272"/>
      <c r="B394" s="272"/>
      <c r="C394" s="272"/>
    </row>
    <row r="395" ht="25.5" customHeight="1">
      <c r="A395" s="272"/>
      <c r="B395" s="272"/>
      <c r="C395" s="272"/>
    </row>
    <row r="396" ht="25.5" customHeight="1">
      <c r="A396" s="272"/>
      <c r="B396" s="272"/>
      <c r="C396" s="272"/>
    </row>
    <row r="397" ht="25.5" customHeight="1">
      <c r="A397" s="272"/>
      <c r="B397" s="272"/>
      <c r="C397" s="272"/>
    </row>
    <row r="398" ht="25.5" customHeight="1">
      <c r="A398" s="272"/>
      <c r="B398" s="272"/>
      <c r="C398" s="272"/>
    </row>
    <row r="399" ht="25.5" customHeight="1">
      <c r="A399" s="272"/>
      <c r="B399" s="272"/>
      <c r="C399" s="272"/>
    </row>
    <row r="400" ht="25.5" customHeight="1">
      <c r="A400" s="272"/>
      <c r="B400" s="272"/>
      <c r="C400" s="272"/>
    </row>
    <row r="401" ht="25.5" customHeight="1">
      <c r="A401" s="272"/>
      <c r="B401" s="272"/>
      <c r="C401" s="272"/>
    </row>
    <row r="402" ht="25.5" customHeight="1">
      <c r="A402" s="272"/>
      <c r="B402" s="272"/>
      <c r="C402" s="272"/>
    </row>
    <row r="403" ht="25.5" customHeight="1">
      <c r="A403" s="272"/>
      <c r="B403" s="272"/>
      <c r="C403" s="272"/>
    </row>
    <row r="404" ht="25.5" customHeight="1">
      <c r="A404" s="272"/>
      <c r="B404" s="272"/>
      <c r="C404" s="272"/>
    </row>
    <row r="405" ht="25.5" customHeight="1">
      <c r="A405" s="272"/>
      <c r="B405" s="272"/>
      <c r="C405" s="272"/>
    </row>
    <row r="406" ht="25.5" customHeight="1">
      <c r="A406" s="272"/>
      <c r="B406" s="272"/>
      <c r="C406" s="272"/>
    </row>
    <row r="407" ht="25.5" customHeight="1">
      <c r="A407" s="272"/>
      <c r="B407" s="272"/>
      <c r="C407" s="272"/>
    </row>
    <row r="408" ht="25.5" customHeight="1">
      <c r="A408" s="272"/>
      <c r="B408" s="272"/>
      <c r="C408" s="272"/>
    </row>
    <row r="409" ht="25.5" customHeight="1">
      <c r="A409" s="272"/>
      <c r="B409" s="272"/>
      <c r="C409" s="272"/>
    </row>
    <row r="410" ht="25.5" customHeight="1">
      <c r="A410" s="272"/>
      <c r="B410" s="272"/>
      <c r="C410" s="272"/>
    </row>
    <row r="411" ht="25.5" customHeight="1">
      <c r="A411" s="272"/>
      <c r="B411" s="272"/>
      <c r="C411" s="272"/>
    </row>
    <row r="412" ht="25.5" customHeight="1">
      <c r="A412" s="272"/>
      <c r="B412" s="272"/>
      <c r="C412" s="272"/>
    </row>
    <row r="413" ht="25.5" customHeight="1">
      <c r="A413" s="272"/>
      <c r="B413" s="272"/>
      <c r="C413" s="272"/>
    </row>
    <row r="414" ht="25.5" customHeight="1">
      <c r="A414" s="272"/>
      <c r="B414" s="272"/>
      <c r="C414" s="272"/>
    </row>
    <row r="415" ht="25.5" customHeight="1">
      <c r="A415" s="272"/>
      <c r="B415" s="272"/>
      <c r="C415" s="272"/>
    </row>
    <row r="416" ht="25.5" customHeight="1">
      <c r="A416" s="272"/>
      <c r="B416" s="272"/>
      <c r="C416" s="272"/>
    </row>
    <row r="417" ht="25.5" customHeight="1">
      <c r="A417" s="272"/>
      <c r="B417" s="272"/>
      <c r="C417" s="272"/>
    </row>
    <row r="418" ht="25.5" customHeight="1">
      <c r="A418" s="272"/>
      <c r="B418" s="272"/>
      <c r="C418" s="272"/>
    </row>
    <row r="419" ht="25.5" customHeight="1">
      <c r="A419" s="272"/>
      <c r="B419" s="272"/>
      <c r="C419" s="272"/>
    </row>
    <row r="420" ht="25.5" customHeight="1">
      <c r="A420" s="272"/>
      <c r="B420" s="272"/>
      <c r="C420" s="272"/>
    </row>
    <row r="421" ht="25.5" customHeight="1">
      <c r="A421" s="272"/>
      <c r="B421" s="272"/>
      <c r="C421" s="272"/>
    </row>
    <row r="422" ht="25.5" customHeight="1">
      <c r="A422" s="272"/>
      <c r="B422" s="272"/>
      <c r="C422" s="272"/>
    </row>
    <row r="423" ht="25.5" customHeight="1">
      <c r="A423" s="272"/>
      <c r="B423" s="272"/>
      <c r="C423" s="272"/>
    </row>
    <row r="424" ht="25.5" customHeight="1">
      <c r="A424" s="272"/>
      <c r="B424" s="272"/>
      <c r="C424" s="272"/>
    </row>
    <row r="425" ht="25.5" customHeight="1">
      <c r="A425" s="272"/>
      <c r="B425" s="272"/>
      <c r="C425" s="272"/>
    </row>
    <row r="426" ht="25.5" customHeight="1">
      <c r="A426" s="272"/>
      <c r="B426" s="272"/>
      <c r="C426" s="272"/>
    </row>
    <row r="427" ht="25.5" customHeight="1">
      <c r="A427" s="272"/>
      <c r="B427" s="272"/>
      <c r="C427" s="272"/>
    </row>
    <row r="428" ht="25.5" customHeight="1">
      <c r="A428" s="272"/>
      <c r="B428" s="272"/>
      <c r="C428" s="272"/>
    </row>
    <row r="429" ht="25.5" customHeight="1">
      <c r="A429" s="272"/>
      <c r="B429" s="272"/>
      <c r="C429" s="272"/>
    </row>
    <row r="430" ht="25.5" customHeight="1">
      <c r="A430" s="272"/>
      <c r="B430" s="272"/>
      <c r="C430" s="272"/>
    </row>
    <row r="431" ht="25.5" customHeight="1">
      <c r="A431" s="272"/>
      <c r="B431" s="272"/>
      <c r="C431" s="272"/>
    </row>
    <row r="432" ht="25.5" customHeight="1">
      <c r="A432" s="272"/>
      <c r="B432" s="272"/>
      <c r="C432" s="272"/>
    </row>
    <row r="433" ht="25.5" customHeight="1">
      <c r="A433" s="272"/>
      <c r="B433" s="272"/>
      <c r="C433" s="272"/>
    </row>
    <row r="434" ht="25.5" customHeight="1">
      <c r="A434" s="272"/>
      <c r="B434" s="272"/>
      <c r="C434" s="272"/>
    </row>
    <row r="435" ht="25.5" customHeight="1">
      <c r="A435" s="272"/>
      <c r="B435" s="272"/>
      <c r="C435" s="272"/>
    </row>
    <row r="436" ht="25.5" customHeight="1">
      <c r="A436" s="272"/>
      <c r="B436" s="272"/>
      <c r="C436" s="272"/>
    </row>
    <row r="437" ht="25.5" customHeight="1">
      <c r="A437" s="272"/>
      <c r="B437" s="272"/>
      <c r="C437" s="272"/>
    </row>
    <row r="438" ht="25.5" customHeight="1">
      <c r="A438" s="272"/>
      <c r="B438" s="272"/>
      <c r="C438" s="272"/>
    </row>
    <row r="439" ht="25.5" customHeight="1">
      <c r="A439" s="272"/>
      <c r="B439" s="272"/>
      <c r="C439" s="272"/>
    </row>
    <row r="440" ht="25.5" customHeight="1">
      <c r="A440" s="272"/>
      <c r="B440" s="272"/>
      <c r="C440" s="272"/>
    </row>
    <row r="441" ht="25.5" customHeight="1">
      <c r="A441" s="272"/>
      <c r="B441" s="272"/>
      <c r="C441" s="272"/>
    </row>
    <row r="442" ht="25.5" customHeight="1">
      <c r="A442" s="272"/>
      <c r="B442" s="272"/>
      <c r="C442" s="272"/>
    </row>
    <row r="443" ht="25.5" customHeight="1">
      <c r="A443" s="272"/>
      <c r="B443" s="272"/>
      <c r="C443" s="272"/>
    </row>
    <row r="444" ht="25.5" customHeight="1">
      <c r="A444" s="272"/>
      <c r="B444" s="272"/>
      <c r="C444" s="272"/>
    </row>
    <row r="445" ht="25.5" customHeight="1">
      <c r="A445" s="272"/>
      <c r="B445" s="272"/>
      <c r="C445" s="272"/>
    </row>
    <row r="446" ht="25.5" customHeight="1">
      <c r="A446" s="272"/>
      <c r="B446" s="272"/>
      <c r="C446" s="272"/>
    </row>
    <row r="447" ht="25.5" customHeight="1">
      <c r="A447" s="272"/>
      <c r="B447" s="272"/>
      <c r="C447" s="272"/>
    </row>
    <row r="448" ht="25.5" customHeight="1">
      <c r="A448" s="272"/>
      <c r="B448" s="272"/>
      <c r="C448" s="272"/>
    </row>
    <row r="449" ht="25.5" customHeight="1">
      <c r="A449" s="272"/>
      <c r="B449" s="272"/>
      <c r="C449" s="272"/>
    </row>
    <row r="450" ht="25.5" customHeight="1">
      <c r="A450" s="272"/>
      <c r="B450" s="272"/>
      <c r="C450" s="272"/>
    </row>
    <row r="451" ht="25.5" customHeight="1">
      <c r="A451" s="272"/>
      <c r="B451" s="272"/>
      <c r="C451" s="272"/>
    </row>
    <row r="452" ht="25.5" customHeight="1">
      <c r="A452" s="272"/>
      <c r="B452" s="272"/>
      <c r="C452" s="272"/>
    </row>
    <row r="453" ht="25.5" customHeight="1">
      <c r="A453" s="272"/>
      <c r="B453" s="272"/>
      <c r="C453" s="272"/>
    </row>
    <row r="454" ht="25.5" customHeight="1">
      <c r="A454" s="272"/>
      <c r="B454" s="272"/>
      <c r="C454" s="272"/>
    </row>
    <row r="455" ht="25.5" customHeight="1">
      <c r="A455" s="272"/>
      <c r="B455" s="272"/>
      <c r="C455" s="272"/>
    </row>
    <row r="456" ht="25.5" customHeight="1">
      <c r="A456" s="272"/>
      <c r="B456" s="272"/>
      <c r="C456" s="272"/>
    </row>
    <row r="457" ht="25.5" customHeight="1">
      <c r="A457" s="272"/>
      <c r="B457" s="272"/>
      <c r="C457" s="272"/>
    </row>
    <row r="458" ht="25.5" customHeight="1">
      <c r="A458" s="272"/>
      <c r="B458" s="272"/>
      <c r="C458" s="272"/>
    </row>
    <row r="459" ht="25.5" customHeight="1">
      <c r="A459" s="272"/>
      <c r="B459" s="272"/>
      <c r="C459" s="272"/>
    </row>
    <row r="460" ht="25.5" customHeight="1">
      <c r="A460" s="272"/>
      <c r="B460" s="272"/>
      <c r="C460" s="272"/>
    </row>
    <row r="461" ht="25.5" customHeight="1">
      <c r="A461" s="272"/>
      <c r="B461" s="272"/>
      <c r="C461" s="272"/>
    </row>
    <row r="462" ht="25.5" customHeight="1">
      <c r="A462" s="272"/>
      <c r="B462" s="272"/>
      <c r="C462" s="272"/>
    </row>
    <row r="463" ht="25.5" customHeight="1">
      <c r="A463" s="272"/>
      <c r="B463" s="272"/>
      <c r="C463" s="272"/>
    </row>
    <row r="464" ht="25.5" customHeight="1">
      <c r="A464" s="272"/>
      <c r="B464" s="272"/>
      <c r="C464" s="272"/>
    </row>
    <row r="465" ht="25.5" customHeight="1">
      <c r="A465" s="272"/>
      <c r="B465" s="272"/>
      <c r="C465" s="272"/>
    </row>
    <row r="466" ht="25.5" customHeight="1">
      <c r="A466" s="272"/>
      <c r="B466" s="272"/>
      <c r="C466" s="272"/>
    </row>
    <row r="467" ht="25.5" customHeight="1">
      <c r="A467" s="272"/>
      <c r="B467" s="272"/>
      <c r="C467" s="272"/>
    </row>
    <row r="468" ht="25.5" customHeight="1">
      <c r="A468" s="272"/>
      <c r="B468" s="272"/>
      <c r="C468" s="272"/>
    </row>
    <row r="469" ht="25.5" customHeight="1">
      <c r="A469" s="272"/>
      <c r="B469" s="272"/>
      <c r="C469" s="272"/>
    </row>
    <row r="470" ht="25.5" customHeight="1">
      <c r="A470" s="272"/>
      <c r="B470" s="272"/>
      <c r="C470" s="272"/>
    </row>
    <row r="471" ht="25.5" customHeight="1">
      <c r="A471" s="272"/>
      <c r="B471" s="272"/>
      <c r="C471" s="272"/>
    </row>
    <row r="472" ht="25.5" customHeight="1">
      <c r="A472" s="272"/>
      <c r="B472" s="272"/>
      <c r="C472" s="272"/>
    </row>
    <row r="473" ht="25.5" customHeight="1">
      <c r="A473" s="272"/>
      <c r="B473" s="272"/>
      <c r="C473" s="272"/>
    </row>
    <row r="474" ht="25.5" customHeight="1">
      <c r="A474" s="272"/>
      <c r="B474" s="272"/>
      <c r="C474" s="272"/>
    </row>
    <row r="475" ht="25.5" customHeight="1">
      <c r="A475" s="272"/>
      <c r="B475" s="272"/>
      <c r="C475" s="272"/>
    </row>
    <row r="476" ht="25.5" customHeight="1">
      <c r="A476" s="272"/>
      <c r="B476" s="272"/>
      <c r="C476" s="272"/>
    </row>
    <row r="477" ht="25.5" customHeight="1">
      <c r="A477" s="272"/>
      <c r="B477" s="272"/>
      <c r="C477" s="272"/>
    </row>
    <row r="478" ht="25.5" customHeight="1">
      <c r="A478" s="272"/>
      <c r="B478" s="272"/>
      <c r="C478" s="272"/>
    </row>
    <row r="479" ht="25.5" customHeight="1">
      <c r="A479" s="272"/>
      <c r="B479" s="272"/>
      <c r="C479" s="272"/>
    </row>
    <row r="480" ht="25.5" customHeight="1">
      <c r="A480" s="272"/>
      <c r="B480" s="272"/>
      <c r="C480" s="272"/>
    </row>
    <row r="481" ht="25.5" customHeight="1">
      <c r="A481" s="272"/>
      <c r="B481" s="272"/>
      <c r="C481" s="272"/>
    </row>
    <row r="482" ht="25.5" customHeight="1">
      <c r="A482" s="272"/>
      <c r="B482" s="272"/>
      <c r="C482" s="272"/>
    </row>
    <row r="483" ht="25.5" customHeight="1">
      <c r="A483" s="272"/>
      <c r="B483" s="272"/>
      <c r="C483" s="272"/>
    </row>
    <row r="484" ht="25.5" customHeight="1">
      <c r="A484" s="272"/>
      <c r="B484" s="272"/>
      <c r="C484" s="272"/>
    </row>
    <row r="485" ht="25.5" customHeight="1">
      <c r="A485" s="272"/>
      <c r="B485" s="272"/>
      <c r="C485" s="272"/>
    </row>
    <row r="486" ht="25.5" customHeight="1">
      <c r="A486" s="272"/>
      <c r="B486" s="272"/>
      <c r="C486" s="272"/>
    </row>
    <row r="487" ht="25.5" customHeight="1">
      <c r="A487" s="272"/>
      <c r="B487" s="272"/>
      <c r="C487" s="272"/>
    </row>
    <row r="488" ht="25.5" customHeight="1">
      <c r="A488" s="272"/>
      <c r="B488" s="272"/>
      <c r="C488" s="272"/>
    </row>
    <row r="489" ht="25.5" customHeight="1">
      <c r="A489" s="272"/>
      <c r="B489" s="272"/>
      <c r="C489" s="272"/>
    </row>
    <row r="490" ht="25.5" customHeight="1">
      <c r="A490" s="272"/>
      <c r="B490" s="272"/>
      <c r="C490" s="272"/>
    </row>
    <row r="491" ht="25.5" customHeight="1">
      <c r="A491" s="272"/>
      <c r="B491" s="272"/>
      <c r="C491" s="272"/>
    </row>
    <row r="492" ht="25.5" customHeight="1">
      <c r="A492" s="272"/>
      <c r="B492" s="272"/>
      <c r="C492" s="272"/>
    </row>
    <row r="493" ht="25.5" customHeight="1">
      <c r="A493" s="272"/>
      <c r="B493" s="272"/>
      <c r="C493" s="272"/>
    </row>
    <row r="494" ht="25.5" customHeight="1">
      <c r="A494" s="272"/>
      <c r="B494" s="272"/>
      <c r="C494" s="272"/>
    </row>
    <row r="495" ht="25.5" customHeight="1">
      <c r="A495" s="272"/>
      <c r="B495" s="272"/>
      <c r="C495" s="272"/>
    </row>
    <row r="496" ht="25.5" customHeight="1">
      <c r="A496" s="272"/>
      <c r="B496" s="272"/>
      <c r="C496" s="272"/>
    </row>
    <row r="497" ht="25.5" customHeight="1">
      <c r="A497" s="272"/>
      <c r="B497" s="272"/>
      <c r="C497" s="272"/>
    </row>
    <row r="498" ht="25.5" customHeight="1">
      <c r="A498" s="272"/>
      <c r="B498" s="272"/>
      <c r="C498" s="272"/>
    </row>
    <row r="499" ht="25.5" customHeight="1">
      <c r="A499" s="272"/>
      <c r="B499" s="272"/>
      <c r="C499" s="272"/>
    </row>
    <row r="500" ht="25.5" customHeight="1">
      <c r="A500" s="272"/>
      <c r="B500" s="272"/>
      <c r="C500" s="272"/>
    </row>
    <row r="501" ht="25.5" customHeight="1">
      <c r="A501" s="272"/>
      <c r="B501" s="272"/>
      <c r="C501" s="272"/>
    </row>
    <row r="502" ht="25.5" customHeight="1">
      <c r="A502" s="272"/>
      <c r="B502" s="272"/>
      <c r="C502" s="272"/>
    </row>
    <row r="503" ht="25.5" customHeight="1">
      <c r="A503" s="272"/>
      <c r="B503" s="272"/>
      <c r="C503" s="272"/>
    </row>
    <row r="504" ht="25.5" customHeight="1">
      <c r="A504" s="272"/>
      <c r="B504" s="272"/>
      <c r="C504" s="272"/>
    </row>
    <row r="505" ht="25.5" customHeight="1">
      <c r="A505" s="272"/>
      <c r="B505" s="272"/>
      <c r="C505" s="272"/>
    </row>
    <row r="506" ht="25.5" customHeight="1">
      <c r="A506" s="272"/>
      <c r="B506" s="272"/>
      <c r="C506" s="272"/>
    </row>
    <row r="507" ht="25.5" customHeight="1">
      <c r="A507" s="272"/>
      <c r="B507" s="272"/>
      <c r="C507" s="272"/>
    </row>
    <row r="508" ht="25.5" customHeight="1">
      <c r="A508" s="272"/>
      <c r="B508" s="272"/>
      <c r="C508" s="272"/>
    </row>
    <row r="509" ht="25.5" customHeight="1">
      <c r="A509" s="272"/>
      <c r="B509" s="272"/>
      <c r="C509" s="272"/>
    </row>
    <row r="510" ht="25.5" customHeight="1">
      <c r="A510" s="272"/>
      <c r="B510" s="272"/>
      <c r="C510" s="272"/>
    </row>
    <row r="511" ht="25.5" customHeight="1">
      <c r="A511" s="272"/>
      <c r="B511" s="272"/>
      <c r="C511" s="272"/>
    </row>
    <row r="512" ht="25.5" customHeight="1">
      <c r="A512" s="272"/>
      <c r="B512" s="272"/>
      <c r="C512" s="272"/>
    </row>
    <row r="513" ht="25.5" customHeight="1">
      <c r="A513" s="272"/>
      <c r="B513" s="272"/>
      <c r="C513" s="272"/>
    </row>
    <row r="514" ht="25.5" customHeight="1">
      <c r="A514" s="272"/>
      <c r="B514" s="272"/>
      <c r="C514" s="272"/>
    </row>
    <row r="515" ht="25.5" customHeight="1">
      <c r="A515" s="272"/>
      <c r="B515" s="272"/>
      <c r="C515" s="272"/>
    </row>
    <row r="516" ht="25.5" customHeight="1">
      <c r="A516" s="272"/>
      <c r="B516" s="272"/>
      <c r="C516" s="272"/>
    </row>
    <row r="517" ht="25.5" customHeight="1">
      <c r="A517" s="272"/>
      <c r="B517" s="272"/>
      <c r="C517" s="272"/>
    </row>
    <row r="518" ht="25.5" customHeight="1">
      <c r="A518" s="272"/>
      <c r="B518" s="272"/>
      <c r="C518" s="272"/>
    </row>
    <row r="519" ht="25.5" customHeight="1">
      <c r="A519" s="272"/>
      <c r="B519" s="272"/>
      <c r="C519" s="272"/>
    </row>
    <row r="520" ht="25.5" customHeight="1">
      <c r="A520" s="272"/>
      <c r="B520" s="272"/>
      <c r="C520" s="272"/>
    </row>
    <row r="521" ht="25.5" customHeight="1">
      <c r="A521" s="272"/>
      <c r="B521" s="272"/>
      <c r="C521" s="272"/>
    </row>
    <row r="522" ht="25.5" customHeight="1">
      <c r="A522" s="272"/>
      <c r="B522" s="272"/>
      <c r="C522" s="272"/>
    </row>
    <row r="523" ht="25.5" customHeight="1">
      <c r="A523" s="272"/>
      <c r="B523" s="272"/>
      <c r="C523" s="272"/>
    </row>
    <row r="524" ht="25.5" customHeight="1">
      <c r="A524" s="272"/>
      <c r="B524" s="272"/>
      <c r="C524" s="272"/>
    </row>
    <row r="525" ht="25.5" customHeight="1">
      <c r="A525" s="272"/>
      <c r="B525" s="272"/>
      <c r="C525" s="272"/>
    </row>
    <row r="526" ht="25.5" customHeight="1">
      <c r="A526" s="272"/>
      <c r="B526" s="272"/>
      <c r="C526" s="272"/>
    </row>
    <row r="527" ht="25.5" customHeight="1">
      <c r="A527" s="272"/>
      <c r="B527" s="272"/>
      <c r="C527" s="272"/>
    </row>
    <row r="528" ht="25.5" customHeight="1">
      <c r="A528" s="272"/>
      <c r="B528" s="272"/>
      <c r="C528" s="272"/>
    </row>
    <row r="529" ht="25.5" customHeight="1">
      <c r="A529" s="272"/>
      <c r="B529" s="272"/>
      <c r="C529" s="272"/>
    </row>
    <row r="530" ht="25.5" customHeight="1">
      <c r="A530" s="272"/>
      <c r="B530" s="272"/>
      <c r="C530" s="272"/>
    </row>
    <row r="531" ht="25.5" customHeight="1">
      <c r="A531" s="272"/>
      <c r="B531" s="272"/>
      <c r="C531" s="272"/>
    </row>
    <row r="532" ht="25.5" customHeight="1">
      <c r="A532" s="272"/>
      <c r="B532" s="272"/>
      <c r="C532" s="272"/>
    </row>
    <row r="533" ht="25.5" customHeight="1">
      <c r="A533" s="272"/>
      <c r="B533" s="272"/>
      <c r="C533" s="272"/>
    </row>
    <row r="534" ht="25.5" customHeight="1">
      <c r="A534" s="272"/>
      <c r="B534" s="272"/>
      <c r="C534" s="272"/>
    </row>
    <row r="535" ht="25.5" customHeight="1">
      <c r="A535" s="272"/>
      <c r="B535" s="272"/>
      <c r="C535" s="272"/>
    </row>
    <row r="536" ht="25.5" customHeight="1">
      <c r="A536" s="272"/>
      <c r="B536" s="272"/>
      <c r="C536" s="272"/>
    </row>
    <row r="537" ht="25.5" customHeight="1">
      <c r="A537" s="272"/>
      <c r="B537" s="272"/>
      <c r="C537" s="272"/>
    </row>
    <row r="538" ht="25.5" customHeight="1">
      <c r="A538" s="272"/>
      <c r="B538" s="272"/>
      <c r="C538" s="272"/>
    </row>
    <row r="539" ht="25.5" customHeight="1">
      <c r="A539" s="272"/>
      <c r="B539" s="272"/>
      <c r="C539" s="272"/>
    </row>
    <row r="540" ht="25.5" customHeight="1">
      <c r="A540" s="272"/>
      <c r="B540" s="272"/>
      <c r="C540" s="272"/>
    </row>
    <row r="541" ht="25.5" customHeight="1">
      <c r="A541" s="272"/>
      <c r="B541" s="272"/>
      <c r="C541" s="272"/>
    </row>
    <row r="542" ht="25.5" customHeight="1">
      <c r="A542" s="272"/>
      <c r="B542" s="272"/>
      <c r="C542" s="272"/>
    </row>
    <row r="543" ht="25.5" customHeight="1">
      <c r="A543" s="272"/>
      <c r="B543" s="272"/>
      <c r="C543" s="272"/>
    </row>
    <row r="544" ht="25.5" customHeight="1">
      <c r="A544" s="272"/>
      <c r="B544" s="272"/>
      <c r="C544" s="272"/>
    </row>
    <row r="545" ht="25.5" customHeight="1">
      <c r="A545" s="272"/>
      <c r="B545" s="272"/>
      <c r="C545" s="272"/>
    </row>
    <row r="546" ht="25.5" customHeight="1">
      <c r="A546" s="272"/>
      <c r="B546" s="272"/>
      <c r="C546" s="272"/>
    </row>
    <row r="547" ht="25.5" customHeight="1">
      <c r="A547" s="272"/>
      <c r="B547" s="272"/>
      <c r="C547" s="272"/>
    </row>
    <row r="548" ht="25.5" customHeight="1">
      <c r="A548" s="272"/>
      <c r="B548" s="272"/>
      <c r="C548" s="272"/>
    </row>
    <row r="549" ht="25.5" customHeight="1">
      <c r="A549" s="272"/>
      <c r="B549" s="272"/>
      <c r="C549" s="272"/>
    </row>
    <row r="550" ht="25.5" customHeight="1">
      <c r="A550" s="272"/>
      <c r="B550" s="272"/>
      <c r="C550" s="272"/>
    </row>
    <row r="551" ht="25.5" customHeight="1">
      <c r="A551" s="272"/>
      <c r="B551" s="272"/>
      <c r="C551" s="272"/>
    </row>
    <row r="552" ht="25.5" customHeight="1">
      <c r="A552" s="272"/>
      <c r="B552" s="272"/>
      <c r="C552" s="272"/>
    </row>
    <row r="553" ht="25.5" customHeight="1">
      <c r="A553" s="272"/>
      <c r="B553" s="272"/>
      <c r="C553" s="272"/>
    </row>
    <row r="554" ht="25.5" customHeight="1">
      <c r="A554" s="272"/>
      <c r="B554" s="272"/>
      <c r="C554" s="272"/>
    </row>
    <row r="555" ht="25.5" customHeight="1">
      <c r="A555" s="272"/>
      <c r="B555" s="272"/>
      <c r="C555" s="272"/>
    </row>
    <row r="556" ht="25.5" customHeight="1">
      <c r="A556" s="272"/>
      <c r="B556" s="272"/>
      <c r="C556" s="272"/>
    </row>
    <row r="557" ht="25.5" customHeight="1">
      <c r="A557" s="272"/>
      <c r="B557" s="272"/>
      <c r="C557" s="272"/>
    </row>
    <row r="558" ht="25.5" customHeight="1">
      <c r="A558" s="272"/>
      <c r="B558" s="272"/>
      <c r="C558" s="272"/>
    </row>
    <row r="559" ht="25.5" customHeight="1">
      <c r="A559" s="272"/>
      <c r="B559" s="272"/>
      <c r="C559" s="272"/>
    </row>
    <row r="560" ht="25.5" customHeight="1">
      <c r="A560" s="272"/>
      <c r="B560" s="272"/>
      <c r="C560" s="272"/>
    </row>
    <row r="561" ht="25.5" customHeight="1">
      <c r="A561" s="272"/>
      <c r="B561" s="272"/>
      <c r="C561" s="272"/>
    </row>
    <row r="562" ht="25.5" customHeight="1">
      <c r="A562" s="272"/>
      <c r="B562" s="272"/>
      <c r="C562" s="272"/>
    </row>
    <row r="563" ht="25.5" customHeight="1">
      <c r="A563" s="272"/>
      <c r="B563" s="272"/>
      <c r="C563" s="272"/>
    </row>
    <row r="564" ht="25.5" customHeight="1">
      <c r="A564" s="272"/>
      <c r="B564" s="272"/>
      <c r="C564" s="272"/>
    </row>
    <row r="565" ht="25.5" customHeight="1">
      <c r="A565" s="272"/>
      <c r="B565" s="272"/>
      <c r="C565" s="272"/>
    </row>
    <row r="566" ht="25.5" customHeight="1">
      <c r="A566" s="272"/>
      <c r="B566" s="272"/>
      <c r="C566" s="272"/>
    </row>
    <row r="567" ht="25.5" customHeight="1">
      <c r="A567" s="272"/>
      <c r="B567" s="272"/>
      <c r="C567" s="272"/>
    </row>
    <row r="568" ht="25.5" customHeight="1">
      <c r="A568" s="272"/>
      <c r="B568" s="272"/>
      <c r="C568" s="272"/>
    </row>
    <row r="569" ht="25.5" customHeight="1">
      <c r="A569" s="272"/>
      <c r="B569" s="272"/>
      <c r="C569" s="272"/>
    </row>
    <row r="570" ht="25.5" customHeight="1">
      <c r="A570" s="272"/>
      <c r="B570" s="272"/>
      <c r="C570" s="272"/>
    </row>
    <row r="571" ht="25.5" customHeight="1">
      <c r="A571" s="272"/>
      <c r="B571" s="272"/>
      <c r="C571" s="272"/>
    </row>
    <row r="572" ht="25.5" customHeight="1">
      <c r="A572" s="272"/>
      <c r="B572" s="272"/>
      <c r="C572" s="272"/>
    </row>
    <row r="573" ht="25.5" customHeight="1">
      <c r="A573" s="272"/>
      <c r="B573" s="272"/>
      <c r="C573" s="272"/>
    </row>
    <row r="574" ht="25.5" customHeight="1">
      <c r="A574" s="272"/>
      <c r="B574" s="272"/>
      <c r="C574" s="272"/>
    </row>
    <row r="575" ht="25.5" customHeight="1">
      <c r="A575" s="272"/>
      <c r="B575" s="272"/>
      <c r="C575" s="272"/>
    </row>
    <row r="576" ht="25.5" customHeight="1">
      <c r="A576" s="272"/>
      <c r="B576" s="272"/>
      <c r="C576" s="272"/>
    </row>
    <row r="577" ht="25.5" customHeight="1">
      <c r="A577" s="272"/>
      <c r="B577" s="272"/>
      <c r="C577" s="272"/>
    </row>
    <row r="578" ht="25.5" customHeight="1">
      <c r="A578" s="272"/>
      <c r="B578" s="272"/>
      <c r="C578" s="272"/>
    </row>
    <row r="579" ht="25.5" customHeight="1">
      <c r="A579" s="272"/>
      <c r="B579" s="272"/>
      <c r="C579" s="272"/>
    </row>
    <row r="580" ht="25.5" customHeight="1">
      <c r="A580" s="272"/>
      <c r="B580" s="272"/>
      <c r="C580" s="272"/>
    </row>
    <row r="581" ht="25.5" customHeight="1">
      <c r="A581" s="272"/>
      <c r="B581" s="272"/>
      <c r="C581" s="272"/>
    </row>
    <row r="582" ht="25.5" customHeight="1">
      <c r="A582" s="272"/>
      <c r="B582" s="272"/>
      <c r="C582" s="272"/>
    </row>
    <row r="583" ht="25.5" customHeight="1">
      <c r="A583" s="272"/>
      <c r="B583" s="272"/>
      <c r="C583" s="272"/>
    </row>
    <row r="584" ht="25.5" customHeight="1">
      <c r="A584" s="272"/>
      <c r="B584" s="272"/>
      <c r="C584" s="272"/>
    </row>
    <row r="585" ht="25.5" customHeight="1">
      <c r="A585" s="272"/>
      <c r="B585" s="272"/>
      <c r="C585" s="272"/>
    </row>
    <row r="586" ht="25.5" customHeight="1">
      <c r="A586" s="272"/>
      <c r="B586" s="272"/>
      <c r="C586" s="272"/>
    </row>
    <row r="587" ht="25.5" customHeight="1">
      <c r="A587" s="272"/>
      <c r="B587" s="272"/>
      <c r="C587" s="272"/>
    </row>
    <row r="588" ht="25.5" customHeight="1">
      <c r="A588" s="272"/>
      <c r="B588" s="272"/>
      <c r="C588" s="272"/>
    </row>
    <row r="589" ht="25.5" customHeight="1">
      <c r="A589" s="272"/>
      <c r="B589" s="272"/>
      <c r="C589" s="272"/>
    </row>
    <row r="590" ht="25.5" customHeight="1">
      <c r="A590" s="272"/>
      <c r="B590" s="272"/>
      <c r="C590" s="272"/>
    </row>
    <row r="591" ht="25.5" customHeight="1">
      <c r="A591" s="272"/>
      <c r="B591" s="272"/>
      <c r="C591" s="272"/>
    </row>
    <row r="592" ht="25.5" customHeight="1">
      <c r="A592" s="272"/>
      <c r="B592" s="272"/>
      <c r="C592" s="272"/>
    </row>
    <row r="593" ht="25.5" customHeight="1">
      <c r="A593" s="272"/>
      <c r="B593" s="272"/>
      <c r="C593" s="272"/>
    </row>
    <row r="594" ht="25.5" customHeight="1">
      <c r="A594" s="272"/>
      <c r="B594" s="272"/>
      <c r="C594" s="272"/>
    </row>
    <row r="595" ht="25.5" customHeight="1">
      <c r="A595" s="272"/>
      <c r="B595" s="272"/>
      <c r="C595" s="272"/>
    </row>
    <row r="596" ht="25.5" customHeight="1">
      <c r="A596" s="272"/>
      <c r="B596" s="272"/>
      <c r="C596" s="272"/>
    </row>
    <row r="597" ht="25.5" customHeight="1">
      <c r="A597" s="272"/>
      <c r="B597" s="272"/>
      <c r="C597" s="272"/>
    </row>
    <row r="598" ht="25.5" customHeight="1">
      <c r="A598" s="272"/>
      <c r="B598" s="272"/>
      <c r="C598" s="272"/>
    </row>
    <row r="599" ht="25.5" customHeight="1">
      <c r="A599" s="272"/>
      <c r="B599" s="272"/>
      <c r="C599" s="272"/>
    </row>
    <row r="600" ht="25.5" customHeight="1">
      <c r="A600" s="272"/>
      <c r="B600" s="272"/>
      <c r="C600" s="272"/>
    </row>
    <row r="601" ht="25.5" customHeight="1">
      <c r="A601" s="272"/>
      <c r="B601" s="272"/>
      <c r="C601" s="272"/>
    </row>
    <row r="602" ht="25.5" customHeight="1">
      <c r="A602" s="272"/>
      <c r="B602" s="272"/>
      <c r="C602" s="272"/>
    </row>
    <row r="603" ht="25.5" customHeight="1">
      <c r="A603" s="272"/>
      <c r="B603" s="272"/>
      <c r="C603" s="272"/>
    </row>
    <row r="604" ht="25.5" customHeight="1">
      <c r="A604" s="272"/>
      <c r="B604" s="272"/>
      <c r="C604" s="272"/>
    </row>
    <row r="605" ht="25.5" customHeight="1">
      <c r="A605" s="272"/>
      <c r="B605" s="272"/>
      <c r="C605" s="272"/>
    </row>
    <row r="606" ht="25.5" customHeight="1">
      <c r="A606" s="272"/>
      <c r="B606" s="272"/>
      <c r="C606" s="272"/>
    </row>
    <row r="607" ht="25.5" customHeight="1">
      <c r="A607" s="272"/>
      <c r="B607" s="272"/>
      <c r="C607" s="272"/>
    </row>
    <row r="608" ht="25.5" customHeight="1">
      <c r="A608" s="272"/>
      <c r="B608" s="272"/>
      <c r="C608" s="272"/>
    </row>
    <row r="609" ht="25.5" customHeight="1">
      <c r="A609" s="272"/>
      <c r="B609" s="272"/>
      <c r="C609" s="272"/>
    </row>
    <row r="610" ht="25.5" customHeight="1">
      <c r="A610" s="272"/>
      <c r="B610" s="272"/>
      <c r="C610" s="272"/>
    </row>
    <row r="611" ht="25.5" customHeight="1">
      <c r="A611" s="272"/>
      <c r="B611" s="272"/>
      <c r="C611" s="272"/>
    </row>
    <row r="612" ht="25.5" customHeight="1">
      <c r="A612" s="272"/>
      <c r="B612" s="272"/>
      <c r="C612" s="272"/>
    </row>
    <row r="613" ht="25.5" customHeight="1">
      <c r="A613" s="272"/>
      <c r="B613" s="272"/>
      <c r="C613" s="272"/>
    </row>
    <row r="614" ht="25.5" customHeight="1">
      <c r="A614" s="272"/>
      <c r="B614" s="272"/>
      <c r="C614" s="272"/>
    </row>
    <row r="615" ht="25.5" customHeight="1">
      <c r="A615" s="272"/>
      <c r="B615" s="272"/>
      <c r="C615" s="272"/>
    </row>
    <row r="616" ht="25.5" customHeight="1">
      <c r="A616" s="272"/>
      <c r="B616" s="272"/>
      <c r="C616" s="272"/>
    </row>
    <row r="617" ht="25.5" customHeight="1">
      <c r="A617" s="272"/>
      <c r="B617" s="272"/>
      <c r="C617" s="272"/>
    </row>
    <row r="618" ht="25.5" customHeight="1">
      <c r="A618" s="272"/>
      <c r="B618" s="272"/>
      <c r="C618" s="272"/>
    </row>
    <row r="619" ht="25.5" customHeight="1">
      <c r="A619" s="272"/>
      <c r="B619" s="272"/>
      <c r="C619" s="272"/>
    </row>
    <row r="620" ht="25.5" customHeight="1">
      <c r="A620" s="272"/>
      <c r="B620" s="272"/>
      <c r="C620" s="272"/>
    </row>
    <row r="621" ht="25.5" customHeight="1">
      <c r="A621" s="272"/>
      <c r="B621" s="272"/>
      <c r="C621" s="272"/>
    </row>
    <row r="622" ht="25.5" customHeight="1">
      <c r="A622" s="272"/>
      <c r="B622" s="272"/>
      <c r="C622" s="272"/>
    </row>
    <row r="623" ht="25.5" customHeight="1">
      <c r="A623" s="272"/>
      <c r="B623" s="272"/>
      <c r="C623" s="272"/>
    </row>
    <row r="624" ht="25.5" customHeight="1">
      <c r="A624" s="272"/>
      <c r="B624" s="272"/>
      <c r="C624" s="272"/>
    </row>
    <row r="625" ht="25.5" customHeight="1">
      <c r="A625" s="272"/>
      <c r="B625" s="272"/>
      <c r="C625" s="272"/>
    </row>
    <row r="626" ht="25.5" customHeight="1">
      <c r="A626" s="272"/>
      <c r="B626" s="272"/>
      <c r="C626" s="272"/>
    </row>
    <row r="627" ht="25.5" customHeight="1">
      <c r="A627" s="272"/>
      <c r="B627" s="272"/>
      <c r="C627" s="272"/>
    </row>
    <row r="628" ht="25.5" customHeight="1">
      <c r="A628" s="272"/>
      <c r="B628" s="272"/>
      <c r="C628" s="272"/>
    </row>
    <row r="629" ht="25.5" customHeight="1">
      <c r="A629" s="272"/>
      <c r="B629" s="272"/>
      <c r="C629" s="272"/>
    </row>
    <row r="630" ht="25.5" customHeight="1">
      <c r="A630" s="272"/>
      <c r="B630" s="272"/>
      <c r="C630" s="272"/>
    </row>
    <row r="631" ht="25.5" customHeight="1">
      <c r="A631" s="272"/>
      <c r="B631" s="272"/>
      <c r="C631" s="272"/>
    </row>
    <row r="632" ht="25.5" customHeight="1">
      <c r="A632" s="272"/>
      <c r="B632" s="272"/>
      <c r="C632" s="272"/>
    </row>
    <row r="633" ht="25.5" customHeight="1">
      <c r="A633" s="272"/>
      <c r="B633" s="272"/>
      <c r="C633" s="272"/>
    </row>
    <row r="634" ht="25.5" customHeight="1">
      <c r="A634" s="272"/>
      <c r="B634" s="272"/>
      <c r="C634" s="272"/>
    </row>
    <row r="635" ht="25.5" customHeight="1">
      <c r="A635" s="272"/>
      <c r="B635" s="272"/>
      <c r="C635" s="272"/>
    </row>
    <row r="636" ht="25.5" customHeight="1">
      <c r="A636" s="272"/>
      <c r="B636" s="272"/>
      <c r="C636" s="272"/>
    </row>
    <row r="637" ht="25.5" customHeight="1">
      <c r="A637" s="272"/>
      <c r="B637" s="272"/>
      <c r="C637" s="272"/>
    </row>
    <row r="638" ht="25.5" customHeight="1">
      <c r="A638" s="272"/>
      <c r="B638" s="272"/>
      <c r="C638" s="272"/>
    </row>
    <row r="639" ht="25.5" customHeight="1">
      <c r="A639" s="272"/>
      <c r="B639" s="272"/>
      <c r="C639" s="272"/>
    </row>
    <row r="640" ht="25.5" customHeight="1">
      <c r="A640" s="272"/>
      <c r="B640" s="272"/>
      <c r="C640" s="272"/>
    </row>
    <row r="641" ht="25.5" customHeight="1">
      <c r="A641" s="272"/>
      <c r="B641" s="272"/>
      <c r="C641" s="272"/>
    </row>
    <row r="642" ht="25.5" customHeight="1">
      <c r="A642" s="272"/>
      <c r="B642" s="272"/>
      <c r="C642" s="272"/>
    </row>
    <row r="643" ht="25.5" customHeight="1">
      <c r="A643" s="272"/>
      <c r="B643" s="272"/>
      <c r="C643" s="272"/>
    </row>
    <row r="644" ht="25.5" customHeight="1">
      <c r="A644" s="272"/>
      <c r="B644" s="272"/>
      <c r="C644" s="272"/>
    </row>
    <row r="645" ht="25.5" customHeight="1">
      <c r="A645" s="272"/>
      <c r="B645" s="272"/>
      <c r="C645" s="272"/>
    </row>
    <row r="646" ht="25.5" customHeight="1">
      <c r="A646" s="272"/>
      <c r="B646" s="272"/>
      <c r="C646" s="272"/>
    </row>
    <row r="647" ht="25.5" customHeight="1">
      <c r="A647" s="272"/>
      <c r="B647" s="272"/>
      <c r="C647" s="272"/>
    </row>
    <row r="648" ht="25.5" customHeight="1">
      <c r="A648" s="272"/>
      <c r="B648" s="272"/>
      <c r="C648" s="272"/>
    </row>
    <row r="649" ht="25.5" customHeight="1">
      <c r="A649" s="272"/>
      <c r="B649" s="272"/>
      <c r="C649" s="272"/>
    </row>
    <row r="650" ht="25.5" customHeight="1">
      <c r="A650" s="272"/>
      <c r="B650" s="272"/>
      <c r="C650" s="272"/>
    </row>
    <row r="651" ht="25.5" customHeight="1">
      <c r="A651" s="272"/>
      <c r="B651" s="272"/>
      <c r="C651" s="272"/>
    </row>
    <row r="652" ht="25.5" customHeight="1">
      <c r="A652" s="272"/>
      <c r="B652" s="272"/>
      <c r="C652" s="272"/>
    </row>
    <row r="653" ht="25.5" customHeight="1">
      <c r="A653" s="272"/>
      <c r="B653" s="272"/>
      <c r="C653" s="272"/>
    </row>
    <row r="654" ht="25.5" customHeight="1">
      <c r="A654" s="272"/>
      <c r="B654" s="272"/>
      <c r="C654" s="272"/>
    </row>
    <row r="655" ht="25.5" customHeight="1">
      <c r="A655" s="272"/>
      <c r="B655" s="272"/>
      <c r="C655" s="272"/>
    </row>
    <row r="656" ht="25.5" customHeight="1">
      <c r="A656" s="272"/>
      <c r="B656" s="272"/>
      <c r="C656" s="272"/>
    </row>
    <row r="657" ht="25.5" customHeight="1">
      <c r="A657" s="272"/>
      <c r="B657" s="272"/>
      <c r="C657" s="272"/>
    </row>
    <row r="658" ht="25.5" customHeight="1">
      <c r="A658" s="272"/>
      <c r="B658" s="272"/>
      <c r="C658" s="272"/>
    </row>
    <row r="659" ht="25.5" customHeight="1">
      <c r="A659" s="272"/>
      <c r="B659" s="272"/>
      <c r="C659" s="272"/>
    </row>
    <row r="660" ht="25.5" customHeight="1">
      <c r="A660" s="272"/>
      <c r="B660" s="272"/>
      <c r="C660" s="272"/>
    </row>
    <row r="661" ht="25.5" customHeight="1">
      <c r="A661" s="272"/>
      <c r="B661" s="272"/>
      <c r="C661" s="272"/>
    </row>
    <row r="662" ht="25.5" customHeight="1">
      <c r="A662" s="272"/>
      <c r="B662" s="272"/>
      <c r="C662" s="272"/>
    </row>
    <row r="663" ht="25.5" customHeight="1">
      <c r="A663" s="272"/>
      <c r="B663" s="272"/>
      <c r="C663" s="272"/>
    </row>
    <row r="664" ht="25.5" customHeight="1">
      <c r="A664" s="272"/>
      <c r="B664" s="272"/>
      <c r="C664" s="272"/>
    </row>
    <row r="665" ht="25.5" customHeight="1">
      <c r="A665" s="272"/>
      <c r="B665" s="272"/>
      <c r="C665" s="272"/>
    </row>
    <row r="666" ht="25.5" customHeight="1">
      <c r="A666" s="272"/>
      <c r="B666" s="272"/>
      <c r="C666" s="272"/>
    </row>
    <row r="667" ht="25.5" customHeight="1">
      <c r="A667" s="272"/>
      <c r="B667" s="272"/>
      <c r="C667" s="272"/>
    </row>
    <row r="668" ht="25.5" customHeight="1">
      <c r="A668" s="272"/>
      <c r="B668" s="272"/>
      <c r="C668" s="272"/>
    </row>
    <row r="669" ht="25.5" customHeight="1">
      <c r="A669" s="272"/>
      <c r="B669" s="272"/>
      <c r="C669" s="272"/>
    </row>
    <row r="670" ht="25.5" customHeight="1">
      <c r="A670" s="272"/>
      <c r="B670" s="272"/>
      <c r="C670" s="272"/>
    </row>
    <row r="671" ht="25.5" customHeight="1">
      <c r="A671" s="272"/>
      <c r="B671" s="272"/>
      <c r="C671" s="272"/>
    </row>
    <row r="672" ht="25.5" customHeight="1">
      <c r="A672" s="272"/>
      <c r="B672" s="272"/>
      <c r="C672" s="272"/>
    </row>
    <row r="673" ht="25.5" customHeight="1">
      <c r="A673" s="272"/>
      <c r="B673" s="272"/>
      <c r="C673" s="272"/>
    </row>
    <row r="674" ht="25.5" customHeight="1">
      <c r="A674" s="272"/>
      <c r="B674" s="272"/>
      <c r="C674" s="272"/>
    </row>
    <row r="675" ht="25.5" customHeight="1">
      <c r="A675" s="272"/>
      <c r="B675" s="272"/>
      <c r="C675" s="272"/>
    </row>
    <row r="676" ht="25.5" customHeight="1">
      <c r="A676" s="272"/>
      <c r="B676" s="272"/>
      <c r="C676" s="272"/>
    </row>
    <row r="677" ht="25.5" customHeight="1">
      <c r="A677" s="272"/>
      <c r="B677" s="272"/>
      <c r="C677" s="272"/>
    </row>
    <row r="678" ht="25.5" customHeight="1">
      <c r="A678" s="272"/>
      <c r="B678" s="272"/>
      <c r="C678" s="272"/>
    </row>
    <row r="679" ht="25.5" customHeight="1">
      <c r="A679" s="272"/>
      <c r="B679" s="272"/>
      <c r="C679" s="272"/>
    </row>
    <row r="680" ht="25.5" customHeight="1">
      <c r="A680" s="272"/>
      <c r="B680" s="272"/>
      <c r="C680" s="272"/>
    </row>
    <row r="681" ht="25.5" customHeight="1">
      <c r="A681" s="272"/>
      <c r="B681" s="272"/>
      <c r="C681" s="272"/>
    </row>
    <row r="682" ht="25.5" customHeight="1">
      <c r="A682" s="272"/>
      <c r="B682" s="272"/>
      <c r="C682" s="272"/>
    </row>
    <row r="683" ht="25.5" customHeight="1">
      <c r="A683" s="272"/>
      <c r="B683" s="272"/>
      <c r="C683" s="272"/>
    </row>
    <row r="684" ht="25.5" customHeight="1">
      <c r="A684" s="272"/>
      <c r="B684" s="272"/>
      <c r="C684" s="272"/>
    </row>
    <row r="685" ht="25.5" customHeight="1">
      <c r="A685" s="272"/>
      <c r="B685" s="272"/>
      <c r="C685" s="272"/>
    </row>
    <row r="686" ht="25.5" customHeight="1">
      <c r="A686" s="272"/>
      <c r="B686" s="272"/>
      <c r="C686" s="272"/>
    </row>
    <row r="687" ht="25.5" customHeight="1">
      <c r="A687" s="272"/>
      <c r="B687" s="272"/>
      <c r="C687" s="272"/>
    </row>
    <row r="688" ht="25.5" customHeight="1">
      <c r="A688" s="272"/>
      <c r="B688" s="272"/>
      <c r="C688" s="272"/>
    </row>
    <row r="689" ht="25.5" customHeight="1">
      <c r="A689" s="272"/>
      <c r="B689" s="272"/>
      <c r="C689" s="272"/>
    </row>
    <row r="690" ht="25.5" customHeight="1">
      <c r="A690" s="272"/>
      <c r="B690" s="272"/>
      <c r="C690" s="272"/>
    </row>
    <row r="691" ht="25.5" customHeight="1">
      <c r="A691" s="272"/>
      <c r="B691" s="272"/>
      <c r="C691" s="272"/>
    </row>
    <row r="692" ht="25.5" customHeight="1">
      <c r="A692" s="272"/>
      <c r="B692" s="272"/>
      <c r="C692" s="272"/>
    </row>
    <row r="693" ht="25.5" customHeight="1">
      <c r="A693" s="272"/>
      <c r="B693" s="272"/>
      <c r="C693" s="272"/>
    </row>
    <row r="694" ht="25.5" customHeight="1">
      <c r="A694" s="272"/>
      <c r="B694" s="272"/>
      <c r="C694" s="272"/>
    </row>
    <row r="695" ht="25.5" customHeight="1">
      <c r="A695" s="272"/>
      <c r="B695" s="272"/>
      <c r="C695" s="272"/>
    </row>
    <row r="696" ht="25.5" customHeight="1">
      <c r="A696" s="272"/>
      <c r="B696" s="272"/>
      <c r="C696" s="272"/>
    </row>
    <row r="697" ht="25.5" customHeight="1">
      <c r="A697" s="272"/>
      <c r="B697" s="272"/>
      <c r="C697" s="272"/>
    </row>
    <row r="698" ht="25.5" customHeight="1">
      <c r="A698" s="272"/>
      <c r="B698" s="272"/>
      <c r="C698" s="272"/>
    </row>
    <row r="699" ht="25.5" customHeight="1">
      <c r="A699" s="272"/>
      <c r="B699" s="272"/>
      <c r="C699" s="272"/>
    </row>
    <row r="700" ht="25.5" customHeight="1">
      <c r="A700" s="272"/>
      <c r="B700" s="272"/>
      <c r="C700" s="272"/>
    </row>
    <row r="701" ht="25.5" customHeight="1">
      <c r="A701" s="272"/>
      <c r="B701" s="272"/>
      <c r="C701" s="272"/>
    </row>
    <row r="702" ht="25.5" customHeight="1">
      <c r="A702" s="272"/>
      <c r="B702" s="272"/>
      <c r="C702" s="272"/>
    </row>
    <row r="703" ht="25.5" customHeight="1">
      <c r="A703" s="272"/>
      <c r="B703" s="272"/>
      <c r="C703" s="272"/>
    </row>
    <row r="704" ht="25.5" customHeight="1">
      <c r="A704" s="272"/>
      <c r="B704" s="272"/>
      <c r="C704" s="272"/>
    </row>
    <row r="705" ht="25.5" customHeight="1">
      <c r="A705" s="272"/>
      <c r="B705" s="272"/>
      <c r="C705" s="272"/>
    </row>
    <row r="706" ht="25.5" customHeight="1">
      <c r="A706" s="272"/>
      <c r="B706" s="272"/>
      <c r="C706" s="272"/>
    </row>
    <row r="707" ht="25.5" customHeight="1">
      <c r="A707" s="272"/>
      <c r="B707" s="272"/>
      <c r="C707" s="272"/>
    </row>
    <row r="708" ht="25.5" customHeight="1">
      <c r="A708" s="272"/>
      <c r="B708" s="272"/>
      <c r="C708" s="272"/>
    </row>
    <row r="709" ht="25.5" customHeight="1">
      <c r="A709" s="272"/>
      <c r="B709" s="272"/>
      <c r="C709" s="272"/>
    </row>
    <row r="710" ht="25.5" customHeight="1">
      <c r="A710" s="272"/>
      <c r="B710" s="272"/>
      <c r="C710" s="272"/>
    </row>
    <row r="711" ht="25.5" customHeight="1">
      <c r="A711" s="272"/>
      <c r="B711" s="272"/>
      <c r="C711" s="272"/>
    </row>
    <row r="712" ht="25.5" customHeight="1">
      <c r="A712" s="272"/>
      <c r="B712" s="272"/>
      <c r="C712" s="272"/>
    </row>
    <row r="713" ht="25.5" customHeight="1">
      <c r="A713" s="272"/>
      <c r="B713" s="272"/>
      <c r="C713" s="272"/>
    </row>
    <row r="714" ht="25.5" customHeight="1">
      <c r="A714" s="272"/>
      <c r="B714" s="272"/>
      <c r="C714" s="272"/>
    </row>
    <row r="715" ht="25.5" customHeight="1">
      <c r="A715" s="272"/>
      <c r="B715" s="272"/>
      <c r="C715" s="272"/>
    </row>
    <row r="716" ht="25.5" customHeight="1">
      <c r="A716" s="272"/>
      <c r="B716" s="272"/>
      <c r="C716" s="272"/>
    </row>
    <row r="717" ht="25.5" customHeight="1">
      <c r="A717" s="272"/>
      <c r="B717" s="272"/>
      <c r="C717" s="272"/>
    </row>
    <row r="718" ht="25.5" customHeight="1">
      <c r="A718" s="272"/>
      <c r="B718" s="272"/>
      <c r="C718" s="272"/>
    </row>
    <row r="719" ht="25.5" customHeight="1">
      <c r="A719" s="272"/>
      <c r="B719" s="272"/>
      <c r="C719" s="272"/>
    </row>
    <row r="720" ht="25.5" customHeight="1">
      <c r="A720" s="272"/>
      <c r="B720" s="272"/>
      <c r="C720" s="272"/>
    </row>
    <row r="721" ht="25.5" customHeight="1">
      <c r="A721" s="272"/>
      <c r="B721" s="272"/>
      <c r="C721" s="272"/>
    </row>
    <row r="722" ht="25.5" customHeight="1">
      <c r="A722" s="272"/>
      <c r="B722" s="272"/>
      <c r="C722" s="272"/>
    </row>
    <row r="723" ht="25.5" customHeight="1">
      <c r="A723" s="272"/>
      <c r="B723" s="272"/>
      <c r="C723" s="272"/>
    </row>
    <row r="724" ht="25.5" customHeight="1">
      <c r="A724" s="272"/>
      <c r="B724" s="272"/>
      <c r="C724" s="272"/>
    </row>
    <row r="725" ht="25.5" customHeight="1">
      <c r="A725" s="272"/>
      <c r="B725" s="272"/>
      <c r="C725" s="272"/>
    </row>
    <row r="726" ht="25.5" customHeight="1">
      <c r="A726" s="272"/>
      <c r="B726" s="272"/>
      <c r="C726" s="272"/>
    </row>
    <row r="727" ht="25.5" customHeight="1">
      <c r="A727" s="272"/>
      <c r="B727" s="272"/>
      <c r="C727" s="272"/>
    </row>
    <row r="728" ht="25.5" customHeight="1">
      <c r="A728" s="272"/>
      <c r="B728" s="272"/>
      <c r="C728" s="272"/>
    </row>
    <row r="729" ht="25.5" customHeight="1">
      <c r="A729" s="272"/>
      <c r="B729" s="272"/>
      <c r="C729" s="272"/>
    </row>
    <row r="730" ht="25.5" customHeight="1">
      <c r="A730" s="272"/>
      <c r="B730" s="272"/>
      <c r="C730" s="272"/>
    </row>
    <row r="731" ht="25.5" customHeight="1">
      <c r="A731" s="272"/>
      <c r="B731" s="272"/>
      <c r="C731" s="272"/>
    </row>
    <row r="732" ht="25.5" customHeight="1">
      <c r="A732" s="272"/>
      <c r="B732" s="272"/>
      <c r="C732" s="272"/>
    </row>
    <row r="733" ht="25.5" customHeight="1">
      <c r="A733" s="272"/>
      <c r="B733" s="272"/>
      <c r="C733" s="272"/>
    </row>
    <row r="734" ht="25.5" customHeight="1">
      <c r="A734" s="272"/>
      <c r="B734" s="272"/>
      <c r="C734" s="272"/>
    </row>
    <row r="735" ht="25.5" customHeight="1">
      <c r="A735" s="272"/>
      <c r="B735" s="272"/>
      <c r="C735" s="272"/>
    </row>
    <row r="736" ht="25.5" customHeight="1">
      <c r="A736" s="272"/>
      <c r="B736" s="272"/>
      <c r="C736" s="272"/>
    </row>
    <row r="737" ht="25.5" customHeight="1">
      <c r="A737" s="272"/>
      <c r="B737" s="272"/>
      <c r="C737" s="272"/>
    </row>
    <row r="738" ht="25.5" customHeight="1">
      <c r="A738" s="272"/>
      <c r="B738" s="272"/>
      <c r="C738" s="272"/>
    </row>
    <row r="739" ht="25.5" customHeight="1">
      <c r="A739" s="272"/>
      <c r="B739" s="272"/>
      <c r="C739" s="272"/>
    </row>
    <row r="740" ht="25.5" customHeight="1">
      <c r="A740" s="272"/>
      <c r="B740" s="272"/>
      <c r="C740" s="272"/>
    </row>
    <row r="741" ht="25.5" customHeight="1">
      <c r="A741" s="272"/>
      <c r="B741" s="272"/>
      <c r="C741" s="272"/>
    </row>
    <row r="742" ht="25.5" customHeight="1">
      <c r="A742" s="272"/>
      <c r="B742" s="272"/>
      <c r="C742" s="272"/>
    </row>
    <row r="743" ht="25.5" customHeight="1">
      <c r="A743" s="272"/>
      <c r="B743" s="272"/>
      <c r="C743" s="272"/>
    </row>
    <row r="744" ht="25.5" customHeight="1">
      <c r="A744" s="272"/>
      <c r="B744" s="272"/>
      <c r="C744" s="272"/>
    </row>
    <row r="745" ht="25.5" customHeight="1">
      <c r="A745" s="272"/>
      <c r="B745" s="272"/>
      <c r="C745" s="272"/>
    </row>
    <row r="746" ht="25.5" customHeight="1">
      <c r="A746" s="272"/>
      <c r="B746" s="272"/>
      <c r="C746" s="272"/>
    </row>
    <row r="747" ht="25.5" customHeight="1">
      <c r="A747" s="272"/>
      <c r="B747" s="272"/>
      <c r="C747" s="272"/>
    </row>
    <row r="748" ht="25.5" customHeight="1">
      <c r="A748" s="272"/>
      <c r="B748" s="272"/>
      <c r="C748" s="272"/>
    </row>
    <row r="749" ht="25.5" customHeight="1">
      <c r="A749" s="272"/>
      <c r="B749" s="272"/>
      <c r="C749" s="272"/>
    </row>
    <row r="750" ht="25.5" customHeight="1">
      <c r="A750" s="272"/>
      <c r="B750" s="272"/>
      <c r="C750" s="272"/>
    </row>
    <row r="751" ht="25.5" customHeight="1">
      <c r="A751" s="272"/>
      <c r="B751" s="272"/>
      <c r="C751" s="272"/>
    </row>
    <row r="752" ht="25.5" customHeight="1">
      <c r="A752" s="272"/>
      <c r="B752" s="272"/>
      <c r="C752" s="272"/>
    </row>
    <row r="753" ht="25.5" customHeight="1">
      <c r="A753" s="272"/>
      <c r="B753" s="272"/>
      <c r="C753" s="272"/>
    </row>
    <row r="754" ht="25.5" customHeight="1">
      <c r="A754" s="272"/>
      <c r="B754" s="272"/>
      <c r="C754" s="272"/>
    </row>
    <row r="755" ht="25.5" customHeight="1">
      <c r="A755" s="272"/>
      <c r="B755" s="272"/>
      <c r="C755" s="272"/>
    </row>
    <row r="756" ht="25.5" customHeight="1">
      <c r="A756" s="272"/>
      <c r="B756" s="272"/>
      <c r="C756" s="272"/>
    </row>
    <row r="757" ht="25.5" customHeight="1">
      <c r="A757" s="272"/>
      <c r="B757" s="272"/>
      <c r="C757" s="272"/>
    </row>
    <row r="758" ht="25.5" customHeight="1">
      <c r="A758" s="272"/>
      <c r="B758" s="272"/>
      <c r="C758" s="272"/>
    </row>
    <row r="759" ht="25.5" customHeight="1">
      <c r="A759" s="272"/>
      <c r="B759" s="272"/>
      <c r="C759" s="272"/>
    </row>
    <row r="760" ht="25.5" customHeight="1">
      <c r="A760" s="272"/>
      <c r="B760" s="272"/>
      <c r="C760" s="272"/>
    </row>
    <row r="761" ht="25.5" customHeight="1">
      <c r="A761" s="272"/>
      <c r="B761" s="272"/>
      <c r="C761" s="272"/>
    </row>
    <row r="762" ht="25.5" customHeight="1">
      <c r="A762" s="272"/>
      <c r="B762" s="272"/>
      <c r="C762" s="272"/>
    </row>
    <row r="763" ht="25.5" customHeight="1">
      <c r="A763" s="272"/>
      <c r="B763" s="272"/>
      <c r="C763" s="272"/>
    </row>
    <row r="764" ht="25.5" customHeight="1">
      <c r="A764" s="272"/>
      <c r="B764" s="272"/>
      <c r="C764" s="272"/>
    </row>
    <row r="765" ht="25.5" customHeight="1">
      <c r="A765" s="272"/>
      <c r="B765" s="272"/>
      <c r="C765" s="272"/>
    </row>
    <row r="766" ht="25.5" customHeight="1">
      <c r="A766" s="272"/>
      <c r="B766" s="272"/>
      <c r="C766" s="272"/>
    </row>
    <row r="767" ht="25.5" customHeight="1">
      <c r="A767" s="272"/>
      <c r="B767" s="272"/>
      <c r="C767" s="272"/>
    </row>
    <row r="768" ht="25.5" customHeight="1">
      <c r="A768" s="272"/>
      <c r="B768" s="272"/>
      <c r="C768" s="272"/>
    </row>
    <row r="769" ht="25.5" customHeight="1">
      <c r="A769" s="272"/>
      <c r="B769" s="272"/>
      <c r="C769" s="272"/>
    </row>
    <row r="770" ht="25.5" customHeight="1">
      <c r="A770" s="272"/>
      <c r="B770" s="272"/>
      <c r="C770" s="272"/>
    </row>
    <row r="771" ht="25.5" customHeight="1">
      <c r="A771" s="272"/>
      <c r="B771" s="272"/>
      <c r="C771" s="272"/>
    </row>
    <row r="772" ht="25.5" customHeight="1">
      <c r="A772" s="272"/>
      <c r="B772" s="272"/>
      <c r="C772" s="272"/>
    </row>
    <row r="773" ht="25.5" customHeight="1">
      <c r="A773" s="272"/>
      <c r="B773" s="272"/>
      <c r="C773" s="272"/>
    </row>
    <row r="774" ht="25.5" customHeight="1">
      <c r="A774" s="272"/>
      <c r="B774" s="272"/>
      <c r="C774" s="272"/>
    </row>
    <row r="775" ht="25.5" customHeight="1">
      <c r="A775" s="272"/>
      <c r="B775" s="272"/>
      <c r="C775" s="272"/>
    </row>
    <row r="776" ht="25.5" customHeight="1">
      <c r="A776" s="272"/>
      <c r="B776" s="272"/>
      <c r="C776" s="272"/>
    </row>
    <row r="777" ht="25.5" customHeight="1">
      <c r="A777" s="272"/>
      <c r="B777" s="272"/>
      <c r="C777" s="272"/>
    </row>
    <row r="778" ht="25.5" customHeight="1">
      <c r="A778" s="272"/>
      <c r="B778" s="272"/>
      <c r="C778" s="272"/>
    </row>
    <row r="779" ht="25.5" customHeight="1">
      <c r="A779" s="272"/>
      <c r="B779" s="272"/>
      <c r="C779" s="272"/>
    </row>
    <row r="780" ht="25.5" customHeight="1">
      <c r="A780" s="272"/>
      <c r="B780" s="272"/>
      <c r="C780" s="272"/>
    </row>
    <row r="781" ht="25.5" customHeight="1">
      <c r="A781" s="272"/>
      <c r="B781" s="272"/>
      <c r="C781" s="272"/>
    </row>
    <row r="782" ht="25.5" customHeight="1">
      <c r="A782" s="272"/>
      <c r="B782" s="272"/>
      <c r="C782" s="272"/>
    </row>
    <row r="783" ht="25.5" customHeight="1">
      <c r="A783" s="272"/>
      <c r="B783" s="272"/>
      <c r="C783" s="272"/>
    </row>
    <row r="784" ht="25.5" customHeight="1">
      <c r="A784" s="272"/>
      <c r="B784" s="272"/>
      <c r="C784" s="272"/>
    </row>
    <row r="785" ht="25.5" customHeight="1">
      <c r="A785" s="272"/>
      <c r="B785" s="272"/>
      <c r="C785" s="272"/>
    </row>
    <row r="786" ht="25.5" customHeight="1">
      <c r="A786" s="272"/>
      <c r="B786" s="272"/>
      <c r="C786" s="272"/>
    </row>
    <row r="787" ht="25.5" customHeight="1">
      <c r="A787" s="272"/>
      <c r="B787" s="272"/>
      <c r="C787" s="272"/>
    </row>
    <row r="788" ht="25.5" customHeight="1">
      <c r="A788" s="272"/>
      <c r="B788" s="272"/>
      <c r="C788" s="272"/>
    </row>
    <row r="789" ht="25.5" customHeight="1">
      <c r="A789" s="272"/>
      <c r="B789" s="272"/>
      <c r="C789" s="272"/>
    </row>
    <row r="790" ht="25.5" customHeight="1">
      <c r="A790" s="272"/>
      <c r="B790" s="272"/>
      <c r="C790" s="272"/>
    </row>
    <row r="791" ht="25.5" customHeight="1">
      <c r="A791" s="272"/>
      <c r="B791" s="272"/>
      <c r="C791" s="272"/>
    </row>
    <row r="792" ht="25.5" customHeight="1">
      <c r="A792" s="272"/>
      <c r="B792" s="272"/>
      <c r="C792" s="272"/>
    </row>
    <row r="793" ht="25.5" customHeight="1">
      <c r="A793" s="272"/>
      <c r="B793" s="272"/>
      <c r="C793" s="272"/>
    </row>
    <row r="794" ht="25.5" customHeight="1">
      <c r="A794" s="272"/>
      <c r="B794" s="272"/>
      <c r="C794" s="272"/>
    </row>
    <row r="795" ht="25.5" customHeight="1">
      <c r="A795" s="272"/>
      <c r="B795" s="272"/>
      <c r="C795" s="272"/>
    </row>
    <row r="796" ht="25.5" customHeight="1">
      <c r="A796" s="272"/>
      <c r="B796" s="272"/>
      <c r="C796" s="272"/>
    </row>
    <row r="797" ht="25.5" customHeight="1">
      <c r="A797" s="272"/>
      <c r="B797" s="272"/>
      <c r="C797" s="272"/>
    </row>
    <row r="798" ht="25.5" customHeight="1">
      <c r="A798" s="272"/>
      <c r="B798" s="272"/>
      <c r="C798" s="272"/>
    </row>
    <row r="799" ht="25.5" customHeight="1">
      <c r="A799" s="272"/>
      <c r="B799" s="272"/>
      <c r="C799" s="272"/>
    </row>
    <row r="800" ht="25.5" customHeight="1">
      <c r="A800" s="272"/>
      <c r="B800" s="272"/>
      <c r="C800" s="272"/>
    </row>
    <row r="801" ht="25.5" customHeight="1">
      <c r="A801" s="272"/>
      <c r="B801" s="272"/>
      <c r="C801" s="272"/>
    </row>
    <row r="802">
      <c r="A802" s="272"/>
      <c r="B802" s="272"/>
      <c r="C802" s="272"/>
    </row>
    <row r="803">
      <c r="A803" s="272"/>
      <c r="B803" s="272"/>
      <c r="C803" s="272"/>
    </row>
    <row r="804">
      <c r="A804" s="272"/>
      <c r="B804" s="272"/>
      <c r="C804" s="272"/>
    </row>
    <row r="805">
      <c r="A805" s="272"/>
      <c r="B805" s="272"/>
      <c r="C805" s="272"/>
    </row>
    <row r="806">
      <c r="A806" s="272"/>
      <c r="B806" s="272"/>
      <c r="C806" s="272"/>
    </row>
    <row r="807">
      <c r="A807" s="272"/>
      <c r="B807" s="272"/>
      <c r="C807" s="272"/>
    </row>
    <row r="808">
      <c r="A808" s="272"/>
      <c r="B808" s="272"/>
      <c r="C808" s="272"/>
    </row>
    <row r="809">
      <c r="A809" s="272"/>
      <c r="B809" s="272"/>
      <c r="C809" s="272"/>
    </row>
    <row r="810">
      <c r="A810" s="272"/>
      <c r="B810" s="272"/>
      <c r="C810" s="272"/>
    </row>
    <row r="811">
      <c r="A811" s="272"/>
      <c r="B811" s="272"/>
      <c r="C811" s="272"/>
    </row>
    <row r="812">
      <c r="A812" s="272"/>
      <c r="B812" s="272"/>
      <c r="C812" s="272"/>
    </row>
    <row r="813">
      <c r="A813" s="272"/>
      <c r="B813" s="272"/>
      <c r="C813" s="272"/>
    </row>
    <row r="814">
      <c r="A814" s="272"/>
      <c r="B814" s="272"/>
      <c r="C814" s="272"/>
    </row>
    <row r="815">
      <c r="A815" s="272"/>
      <c r="B815" s="272"/>
      <c r="C815" s="272"/>
    </row>
    <row r="816">
      <c r="A816" s="272"/>
      <c r="B816" s="272"/>
      <c r="C816" s="272"/>
    </row>
    <row r="817">
      <c r="A817" s="272"/>
      <c r="B817" s="272"/>
      <c r="C817" s="272"/>
    </row>
    <row r="818">
      <c r="A818" s="272"/>
      <c r="B818" s="272"/>
      <c r="C818" s="272"/>
    </row>
    <row r="819">
      <c r="A819" s="272"/>
      <c r="B819" s="272"/>
      <c r="C819" s="272"/>
    </row>
    <row r="820">
      <c r="A820" s="272"/>
      <c r="B820" s="272"/>
      <c r="C820" s="272"/>
    </row>
    <row r="821">
      <c r="A821" s="272"/>
      <c r="B821" s="272"/>
      <c r="C821" s="272"/>
    </row>
    <row r="822">
      <c r="A822" s="272"/>
      <c r="B822" s="272"/>
      <c r="C822" s="272"/>
    </row>
    <row r="823">
      <c r="A823" s="272"/>
      <c r="B823" s="272"/>
      <c r="C823" s="272"/>
    </row>
    <row r="824">
      <c r="A824" s="272"/>
      <c r="B824" s="272"/>
      <c r="C824" s="272"/>
    </row>
    <row r="825">
      <c r="A825" s="272"/>
      <c r="B825" s="272"/>
      <c r="C825" s="272"/>
    </row>
    <row r="826">
      <c r="A826" s="272"/>
      <c r="B826" s="272"/>
      <c r="C826" s="272"/>
    </row>
    <row r="827">
      <c r="A827" s="272"/>
      <c r="B827" s="272"/>
      <c r="C827" s="272"/>
    </row>
    <row r="828">
      <c r="A828" s="272"/>
      <c r="B828" s="272"/>
      <c r="C828" s="272"/>
    </row>
    <row r="829">
      <c r="A829" s="272"/>
      <c r="B829" s="272"/>
      <c r="C829" s="272"/>
    </row>
    <row r="830">
      <c r="A830" s="272"/>
      <c r="B830" s="272"/>
      <c r="C830" s="272"/>
    </row>
    <row r="831">
      <c r="A831" s="272"/>
      <c r="B831" s="272"/>
      <c r="C831" s="272"/>
    </row>
    <row r="832">
      <c r="A832" s="272"/>
      <c r="B832" s="272"/>
      <c r="C832" s="272"/>
    </row>
    <row r="833">
      <c r="A833" s="272"/>
      <c r="B833" s="272"/>
      <c r="C833" s="272"/>
    </row>
    <row r="834">
      <c r="A834" s="272"/>
      <c r="B834" s="272"/>
      <c r="C834" s="272"/>
    </row>
    <row r="835">
      <c r="A835" s="272"/>
      <c r="B835" s="272"/>
      <c r="C835" s="272"/>
    </row>
    <row r="836">
      <c r="A836" s="272"/>
      <c r="B836" s="272"/>
      <c r="C836" s="272"/>
    </row>
    <row r="837">
      <c r="A837" s="272"/>
      <c r="B837" s="272"/>
      <c r="C837" s="272"/>
    </row>
    <row r="838">
      <c r="A838" s="272"/>
      <c r="B838" s="272"/>
      <c r="C838" s="272"/>
    </row>
    <row r="839">
      <c r="A839" s="272"/>
      <c r="B839" s="272"/>
      <c r="C839" s="272"/>
    </row>
    <row r="840">
      <c r="A840" s="272"/>
      <c r="B840" s="272"/>
      <c r="C840" s="272"/>
    </row>
    <row r="841">
      <c r="A841" s="272"/>
      <c r="B841" s="272"/>
      <c r="C841" s="272"/>
    </row>
    <row r="842">
      <c r="A842" s="272"/>
      <c r="B842" s="272"/>
      <c r="C842" s="272"/>
    </row>
    <row r="843">
      <c r="A843" s="272"/>
      <c r="B843" s="272"/>
      <c r="C843" s="272"/>
    </row>
    <row r="844">
      <c r="A844" s="272"/>
      <c r="B844" s="272"/>
      <c r="C844" s="272"/>
    </row>
    <row r="845">
      <c r="A845" s="272"/>
      <c r="B845" s="272"/>
      <c r="C845" s="272"/>
    </row>
    <row r="846">
      <c r="A846" s="272"/>
      <c r="B846" s="272"/>
      <c r="C846" s="272"/>
    </row>
    <row r="847">
      <c r="A847" s="272"/>
      <c r="B847" s="272"/>
      <c r="C847" s="272"/>
    </row>
    <row r="848">
      <c r="A848" s="272"/>
      <c r="B848" s="272"/>
      <c r="C848" s="272"/>
    </row>
    <row r="849">
      <c r="A849" s="272"/>
      <c r="B849" s="272"/>
      <c r="C849" s="272"/>
    </row>
    <row r="850">
      <c r="A850" s="272"/>
      <c r="B850" s="272"/>
      <c r="C850" s="272"/>
    </row>
    <row r="851">
      <c r="A851" s="272"/>
      <c r="B851" s="272"/>
      <c r="C851" s="272"/>
    </row>
    <row r="852">
      <c r="A852" s="272"/>
      <c r="B852" s="272"/>
      <c r="C852" s="272"/>
    </row>
    <row r="853">
      <c r="A853" s="272"/>
      <c r="B853" s="272"/>
      <c r="C853" s="272"/>
    </row>
    <row r="854">
      <c r="A854" s="272"/>
      <c r="B854" s="272"/>
      <c r="C854" s="272"/>
    </row>
    <row r="855">
      <c r="A855" s="272"/>
      <c r="B855" s="272"/>
      <c r="C855" s="272"/>
    </row>
    <row r="856">
      <c r="A856" s="272"/>
      <c r="B856" s="272"/>
      <c r="C856" s="272"/>
    </row>
    <row r="857">
      <c r="A857" s="272"/>
      <c r="B857" s="272"/>
      <c r="C857" s="272"/>
    </row>
    <row r="858">
      <c r="A858" s="272"/>
      <c r="B858" s="272"/>
      <c r="C858" s="272"/>
    </row>
    <row r="859">
      <c r="A859" s="272"/>
      <c r="B859" s="272"/>
      <c r="C859" s="272"/>
    </row>
    <row r="860">
      <c r="A860" s="272"/>
      <c r="B860" s="272"/>
      <c r="C860" s="272"/>
    </row>
    <row r="861">
      <c r="A861" s="272"/>
      <c r="B861" s="272"/>
      <c r="C861" s="272"/>
    </row>
    <row r="862">
      <c r="A862" s="272"/>
      <c r="B862" s="272"/>
      <c r="C862" s="272"/>
    </row>
    <row r="863">
      <c r="A863" s="272"/>
      <c r="B863" s="272"/>
      <c r="C863" s="272"/>
    </row>
    <row r="864">
      <c r="A864" s="272"/>
      <c r="B864" s="272"/>
      <c r="C864" s="272"/>
    </row>
    <row r="865">
      <c r="A865" s="272"/>
      <c r="B865" s="272"/>
      <c r="C865" s="272"/>
    </row>
    <row r="866">
      <c r="A866" s="272"/>
      <c r="B866" s="272"/>
      <c r="C866" s="272"/>
    </row>
    <row r="867">
      <c r="A867" s="272"/>
      <c r="B867" s="272"/>
      <c r="C867" s="272"/>
    </row>
    <row r="868">
      <c r="A868" s="272"/>
      <c r="B868" s="272"/>
      <c r="C868" s="272"/>
    </row>
    <row r="869">
      <c r="A869" s="272"/>
      <c r="B869" s="272"/>
      <c r="C869" s="272"/>
    </row>
    <row r="870">
      <c r="A870" s="272"/>
      <c r="B870" s="272"/>
      <c r="C870" s="272"/>
    </row>
    <row r="871">
      <c r="A871" s="272"/>
      <c r="B871" s="272"/>
      <c r="C871" s="272"/>
    </row>
    <row r="872">
      <c r="A872" s="272"/>
      <c r="B872" s="272"/>
      <c r="C872" s="272"/>
    </row>
    <row r="873">
      <c r="A873" s="272"/>
      <c r="B873" s="272"/>
      <c r="C873" s="272"/>
    </row>
    <row r="874">
      <c r="A874" s="272"/>
      <c r="B874" s="272"/>
      <c r="C874" s="272"/>
    </row>
    <row r="875">
      <c r="A875" s="272"/>
      <c r="B875" s="272"/>
      <c r="C875" s="272"/>
    </row>
    <row r="876">
      <c r="A876" s="272"/>
      <c r="B876" s="272"/>
      <c r="C876" s="272"/>
    </row>
    <row r="877">
      <c r="A877" s="272"/>
      <c r="B877" s="272"/>
      <c r="C877" s="272"/>
    </row>
    <row r="878">
      <c r="A878" s="272"/>
      <c r="B878" s="272"/>
      <c r="C878" s="272"/>
    </row>
    <row r="879">
      <c r="A879" s="272"/>
      <c r="B879" s="272"/>
      <c r="C879" s="272"/>
    </row>
    <row r="880">
      <c r="A880" s="272"/>
      <c r="B880" s="272"/>
      <c r="C880" s="272"/>
    </row>
    <row r="881">
      <c r="A881" s="272"/>
      <c r="B881" s="272"/>
      <c r="C881" s="272"/>
    </row>
    <row r="882">
      <c r="A882" s="272"/>
      <c r="B882" s="272"/>
      <c r="C882" s="272"/>
    </row>
    <row r="883">
      <c r="A883" s="272"/>
      <c r="B883" s="272"/>
      <c r="C883" s="272"/>
    </row>
    <row r="884">
      <c r="A884" s="272"/>
      <c r="B884" s="272"/>
      <c r="C884" s="272"/>
    </row>
    <row r="885">
      <c r="A885" s="272"/>
      <c r="B885" s="272"/>
      <c r="C885" s="272"/>
    </row>
    <row r="886">
      <c r="A886" s="272"/>
      <c r="B886" s="272"/>
      <c r="C886" s="272"/>
    </row>
    <row r="887">
      <c r="A887" s="272"/>
      <c r="B887" s="272"/>
      <c r="C887" s="272"/>
    </row>
    <row r="888">
      <c r="A888" s="272"/>
      <c r="B888" s="272"/>
      <c r="C888" s="272"/>
    </row>
    <row r="889">
      <c r="A889" s="272"/>
      <c r="B889" s="272"/>
      <c r="C889" s="272"/>
    </row>
    <row r="890">
      <c r="A890" s="272"/>
      <c r="B890" s="272"/>
      <c r="C890" s="272"/>
    </row>
    <row r="891">
      <c r="A891" s="272"/>
      <c r="B891" s="272"/>
      <c r="C891" s="272"/>
    </row>
    <row r="892">
      <c r="A892" s="272"/>
      <c r="B892" s="272"/>
      <c r="C892" s="272"/>
    </row>
    <row r="893">
      <c r="A893" s="272"/>
      <c r="B893" s="272"/>
      <c r="C893" s="272"/>
    </row>
    <row r="894">
      <c r="A894" s="272"/>
      <c r="B894" s="272"/>
      <c r="C894" s="272"/>
    </row>
    <row r="895">
      <c r="A895" s="272"/>
      <c r="B895" s="272"/>
      <c r="C895" s="272"/>
    </row>
    <row r="896">
      <c r="A896" s="272"/>
      <c r="B896" s="272"/>
      <c r="C896" s="272"/>
    </row>
    <row r="897">
      <c r="A897" s="272"/>
      <c r="B897" s="272"/>
      <c r="C897" s="272"/>
    </row>
    <row r="898">
      <c r="A898" s="272"/>
      <c r="B898" s="272"/>
      <c r="C898" s="272"/>
    </row>
    <row r="899">
      <c r="A899" s="272"/>
      <c r="B899" s="272"/>
      <c r="C899" s="272"/>
    </row>
    <row r="900">
      <c r="A900" s="272"/>
      <c r="B900" s="272"/>
      <c r="C900" s="272"/>
    </row>
    <row r="901">
      <c r="A901" s="272"/>
      <c r="B901" s="272"/>
      <c r="C901" s="272"/>
    </row>
    <row r="902">
      <c r="A902" s="272"/>
      <c r="B902" s="272"/>
      <c r="C902" s="272"/>
    </row>
    <row r="903">
      <c r="A903" s="272"/>
      <c r="B903" s="272"/>
      <c r="C903" s="272"/>
    </row>
    <row r="904">
      <c r="A904" s="272"/>
      <c r="B904" s="272"/>
      <c r="C904" s="272"/>
    </row>
    <row r="905">
      <c r="A905" s="272"/>
      <c r="B905" s="272"/>
      <c r="C905" s="272"/>
    </row>
    <row r="906">
      <c r="A906" s="272"/>
      <c r="B906" s="272"/>
      <c r="C906" s="272"/>
    </row>
    <row r="907">
      <c r="A907" s="272"/>
      <c r="B907" s="272"/>
      <c r="C907" s="272"/>
    </row>
    <row r="908">
      <c r="A908" s="272"/>
      <c r="B908" s="272"/>
      <c r="C908" s="272"/>
    </row>
    <row r="909">
      <c r="A909" s="272"/>
      <c r="B909" s="272"/>
      <c r="C909" s="272"/>
    </row>
    <row r="910">
      <c r="A910" s="272"/>
      <c r="B910" s="272"/>
      <c r="C910" s="272"/>
    </row>
    <row r="911">
      <c r="A911" s="272"/>
      <c r="B911" s="272"/>
      <c r="C911" s="272"/>
    </row>
    <row r="912">
      <c r="A912" s="272"/>
      <c r="B912" s="272"/>
      <c r="C912" s="272"/>
    </row>
    <row r="913">
      <c r="A913" s="272"/>
      <c r="B913" s="272"/>
      <c r="C913" s="272"/>
    </row>
    <row r="914">
      <c r="A914" s="272"/>
      <c r="B914" s="272"/>
      <c r="C914" s="272"/>
    </row>
    <row r="915">
      <c r="A915" s="272"/>
      <c r="B915" s="272"/>
      <c r="C915" s="272"/>
    </row>
    <row r="916">
      <c r="A916" s="272"/>
      <c r="B916" s="272"/>
      <c r="C916" s="272"/>
    </row>
    <row r="917">
      <c r="A917" s="272"/>
      <c r="B917" s="272"/>
      <c r="C917" s="272"/>
    </row>
    <row r="918">
      <c r="A918" s="272"/>
      <c r="B918" s="272"/>
      <c r="C918" s="272"/>
    </row>
    <row r="919">
      <c r="A919" s="272"/>
      <c r="B919" s="272"/>
      <c r="C919" s="272"/>
    </row>
    <row r="920">
      <c r="A920" s="272"/>
      <c r="B920" s="272"/>
      <c r="C920" s="272"/>
    </row>
    <row r="921">
      <c r="A921" s="272"/>
      <c r="B921" s="272"/>
      <c r="C921" s="272"/>
    </row>
    <row r="922">
      <c r="A922" s="272"/>
      <c r="B922" s="272"/>
      <c r="C922" s="272"/>
    </row>
    <row r="923">
      <c r="A923" s="272"/>
      <c r="B923" s="272"/>
      <c r="C923" s="272"/>
    </row>
    <row r="924">
      <c r="A924" s="272"/>
      <c r="B924" s="272"/>
      <c r="C924" s="272"/>
    </row>
    <row r="925">
      <c r="A925" s="272"/>
      <c r="B925" s="272"/>
      <c r="C925" s="272"/>
    </row>
    <row r="926">
      <c r="A926" s="272"/>
      <c r="B926" s="272"/>
      <c r="C926" s="272"/>
    </row>
    <row r="927">
      <c r="A927" s="272"/>
      <c r="B927" s="272"/>
      <c r="C927" s="272"/>
    </row>
    <row r="928">
      <c r="A928" s="272"/>
      <c r="B928" s="272"/>
      <c r="C928" s="272"/>
    </row>
    <row r="929">
      <c r="A929" s="272"/>
      <c r="B929" s="272"/>
      <c r="C929" s="272"/>
    </row>
    <row r="930">
      <c r="A930" s="272"/>
      <c r="B930" s="272"/>
      <c r="C930" s="272"/>
    </row>
    <row r="931">
      <c r="A931" s="272"/>
      <c r="B931" s="272"/>
      <c r="C931" s="272"/>
    </row>
    <row r="932">
      <c r="A932" s="272"/>
      <c r="B932" s="272"/>
      <c r="C932" s="272"/>
    </row>
    <row r="933">
      <c r="A933" s="272"/>
      <c r="B933" s="272"/>
      <c r="C933" s="272"/>
    </row>
    <row r="934">
      <c r="A934" s="272"/>
      <c r="B934" s="272"/>
      <c r="C934" s="272"/>
    </row>
    <row r="935">
      <c r="A935" s="272"/>
      <c r="B935" s="272"/>
      <c r="C935" s="272"/>
    </row>
    <row r="936">
      <c r="A936" s="272"/>
      <c r="B936" s="272"/>
      <c r="C936" s="272"/>
    </row>
    <row r="937">
      <c r="A937" s="272"/>
      <c r="B937" s="272"/>
      <c r="C937" s="272"/>
    </row>
    <row r="938">
      <c r="A938" s="272"/>
      <c r="B938" s="272"/>
      <c r="C938" s="272"/>
    </row>
    <row r="939">
      <c r="A939" s="272"/>
      <c r="B939" s="272"/>
      <c r="C939" s="272"/>
    </row>
    <row r="940">
      <c r="A940" s="272"/>
      <c r="B940" s="272"/>
      <c r="C940" s="272"/>
    </row>
    <row r="941">
      <c r="A941" s="272"/>
      <c r="B941" s="272"/>
      <c r="C941" s="272"/>
    </row>
    <row r="942">
      <c r="A942" s="272"/>
      <c r="B942" s="272"/>
      <c r="C942" s="272"/>
    </row>
    <row r="943">
      <c r="A943" s="272"/>
      <c r="B943" s="272"/>
      <c r="C943" s="272"/>
    </row>
    <row r="944">
      <c r="A944" s="272"/>
      <c r="B944" s="272"/>
      <c r="C944" s="272"/>
    </row>
    <row r="945">
      <c r="A945" s="272"/>
      <c r="B945" s="272"/>
      <c r="C945" s="272"/>
    </row>
    <row r="946">
      <c r="A946" s="272"/>
      <c r="B946" s="272"/>
      <c r="C946" s="272"/>
    </row>
    <row r="947">
      <c r="A947" s="272"/>
      <c r="B947" s="272"/>
      <c r="C947" s="272"/>
    </row>
    <row r="948">
      <c r="A948" s="272"/>
      <c r="B948" s="272"/>
      <c r="C948" s="272"/>
    </row>
    <row r="949">
      <c r="A949" s="272"/>
      <c r="B949" s="272"/>
      <c r="C949" s="272"/>
    </row>
    <row r="950">
      <c r="A950" s="272"/>
      <c r="B950" s="272"/>
      <c r="C950" s="272"/>
    </row>
    <row r="951">
      <c r="A951" s="272"/>
      <c r="B951" s="272"/>
      <c r="C951" s="272"/>
    </row>
    <row r="952">
      <c r="A952" s="272"/>
      <c r="B952" s="272"/>
      <c r="C952" s="272"/>
    </row>
    <row r="953">
      <c r="A953" s="272"/>
      <c r="B953" s="272"/>
      <c r="C953" s="272"/>
    </row>
    <row r="954">
      <c r="A954" s="272"/>
      <c r="B954" s="272"/>
      <c r="C954" s="272"/>
    </row>
    <row r="955">
      <c r="A955" s="272"/>
      <c r="B955" s="272"/>
      <c r="C955" s="272"/>
    </row>
    <row r="956">
      <c r="A956" s="272"/>
      <c r="B956" s="272"/>
      <c r="C956" s="272"/>
    </row>
    <row r="957">
      <c r="A957" s="272"/>
      <c r="B957" s="272"/>
      <c r="C957" s="272"/>
    </row>
    <row r="958">
      <c r="A958" s="272"/>
      <c r="B958" s="272"/>
      <c r="C958" s="272"/>
    </row>
    <row r="959">
      <c r="A959" s="272"/>
      <c r="B959" s="272"/>
      <c r="C959" s="272"/>
    </row>
    <row r="960">
      <c r="A960" s="272"/>
      <c r="B960" s="272"/>
      <c r="C960" s="272"/>
    </row>
    <row r="961">
      <c r="A961" s="272"/>
      <c r="B961" s="272"/>
      <c r="C961" s="272"/>
    </row>
    <row r="962">
      <c r="A962" s="272"/>
      <c r="B962" s="272"/>
      <c r="C962" s="272"/>
    </row>
    <row r="963">
      <c r="A963" s="272"/>
      <c r="B963" s="272"/>
      <c r="C963" s="272"/>
    </row>
    <row r="964">
      <c r="A964" s="272"/>
      <c r="B964" s="272"/>
      <c r="C964" s="272"/>
    </row>
    <row r="965">
      <c r="A965" s="272"/>
      <c r="B965" s="272"/>
      <c r="C965" s="272"/>
    </row>
    <row r="966">
      <c r="A966" s="272"/>
      <c r="B966" s="272"/>
      <c r="C966" s="272"/>
    </row>
    <row r="967">
      <c r="A967" s="272"/>
      <c r="B967" s="272"/>
      <c r="C967" s="272"/>
    </row>
    <row r="968">
      <c r="A968" s="272"/>
      <c r="B968" s="272"/>
      <c r="C968" s="272"/>
    </row>
    <row r="969">
      <c r="A969" s="272"/>
      <c r="B969" s="272"/>
      <c r="C969" s="272"/>
    </row>
    <row r="970">
      <c r="A970" s="272"/>
      <c r="B970" s="272"/>
      <c r="C970" s="272"/>
    </row>
    <row r="971">
      <c r="A971" s="272"/>
      <c r="B971" s="272"/>
      <c r="C971" s="272"/>
    </row>
    <row r="972">
      <c r="A972" s="272"/>
      <c r="B972" s="272"/>
      <c r="C972" s="272"/>
    </row>
    <row r="973">
      <c r="A973" s="272"/>
      <c r="B973" s="272"/>
      <c r="C973" s="272"/>
    </row>
    <row r="974">
      <c r="A974" s="272"/>
      <c r="B974" s="272"/>
      <c r="C974" s="272"/>
    </row>
    <row r="975">
      <c r="A975" s="272"/>
      <c r="B975" s="272"/>
      <c r="C975" s="272"/>
    </row>
    <row r="976">
      <c r="A976" s="272"/>
      <c r="B976" s="272"/>
      <c r="C976" s="272"/>
    </row>
    <row r="977">
      <c r="A977" s="272"/>
      <c r="B977" s="272"/>
      <c r="C977" s="272"/>
    </row>
    <row r="978">
      <c r="A978" s="272"/>
      <c r="B978" s="272"/>
      <c r="C978" s="272"/>
    </row>
    <row r="979">
      <c r="A979" s="272"/>
      <c r="B979" s="272"/>
      <c r="C979" s="272"/>
    </row>
    <row r="980">
      <c r="A980" s="272"/>
      <c r="B980" s="272"/>
      <c r="C980" s="272"/>
    </row>
    <row r="981">
      <c r="A981" s="272"/>
      <c r="B981" s="272"/>
      <c r="C981" s="272"/>
    </row>
    <row r="982">
      <c r="A982" s="272"/>
      <c r="B982" s="272"/>
      <c r="C982" s="272"/>
    </row>
    <row r="983">
      <c r="A983" s="272"/>
      <c r="B983" s="272"/>
      <c r="C983" s="272"/>
    </row>
  </sheetData>
  <mergeCells count="7">
    <mergeCell ref="A1:F1"/>
    <mergeCell ref="A2:A3"/>
    <mergeCell ref="B2:B3"/>
    <mergeCell ref="C2:C3"/>
    <mergeCell ref="D2:D3"/>
    <mergeCell ref="E2:F2"/>
    <mergeCell ref="A78:C78"/>
  </mergeCells>
  <dataValidations>
    <dataValidation type="list" allowBlank="1" sqref="H4:H76">
      <formula1>"CHECKED (OK),CHECKED  (NOT OK)"</formula1>
    </dataValidation>
  </dataValidations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4" max="4" width="26.13"/>
    <col customWidth="1" min="5" max="5" width="44.38"/>
    <col customWidth="1" min="8" max="8" width="3.5"/>
    <col customWidth="1" min="9" max="9" width="18.63"/>
    <col customWidth="1" min="10" max="10" width="21.63"/>
  </cols>
  <sheetData>
    <row r="1" ht="39.0" customHeight="1">
      <c r="A1" s="30" t="s">
        <v>1450</v>
      </c>
      <c r="H1" s="31"/>
      <c r="I1" s="32" t="s">
        <v>1451</v>
      </c>
      <c r="J1" s="33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ht="29.25" customHeight="1">
      <c r="A2" s="281" t="s">
        <v>1</v>
      </c>
      <c r="B2" s="266" t="s">
        <v>11</v>
      </c>
      <c r="C2" s="266" t="s">
        <v>1452</v>
      </c>
      <c r="D2" s="266" t="s">
        <v>12</v>
      </c>
      <c r="E2" s="266" t="s">
        <v>13</v>
      </c>
      <c r="F2" s="37" t="s">
        <v>14</v>
      </c>
      <c r="G2" s="38"/>
      <c r="H2" s="39"/>
      <c r="I2" s="40"/>
      <c r="J2" s="40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 ht="33.0" customHeight="1">
      <c r="A3" s="41"/>
      <c r="B3" s="38"/>
      <c r="C3" s="38"/>
      <c r="D3" s="38"/>
      <c r="E3" s="38"/>
      <c r="F3" s="42" t="s">
        <v>15</v>
      </c>
      <c r="G3" s="43" t="s">
        <v>5</v>
      </c>
      <c r="H3" s="39"/>
      <c r="I3" s="44" t="s">
        <v>6</v>
      </c>
      <c r="J3" s="45" t="s">
        <v>7</v>
      </c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 ht="25.5" customHeight="1">
      <c r="A4" s="282">
        <v>1.0</v>
      </c>
      <c r="B4" s="47">
        <v>1022218.0</v>
      </c>
      <c r="C4" s="283" t="str">
        <f>vlookup(B4,'Crew data for number'!B:C,2,0)</f>
        <v/>
      </c>
      <c r="D4" s="284" t="str">
        <f>vlookup(B4,'Crew Data'!C:G,5,0)</f>
        <v>Pimchai Supachaiyakij</v>
      </c>
      <c r="E4" s="267" t="s">
        <v>1453</v>
      </c>
      <c r="F4" s="47">
        <v>3.0</v>
      </c>
      <c r="G4" s="50">
        <f t="shared" ref="G4:G64" si="1">F4*400</f>
        <v>1200</v>
      </c>
      <c r="H4" s="22">
        <f t="shared" ref="H4:H64" si="2">COUNTIF(B:B,B4)</f>
        <v>1</v>
      </c>
      <c r="I4" s="51" t="s">
        <v>20</v>
      </c>
      <c r="J4" s="175" t="s">
        <v>1454</v>
      </c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</row>
    <row r="5" ht="25.5" customHeight="1">
      <c r="A5" s="54">
        <v>2.0</v>
      </c>
      <c r="B5" s="47">
        <v>1014667.0</v>
      </c>
      <c r="C5" s="283" t="str">
        <f>vlookup(B5,'Crew data for number'!B:C,2,0)</f>
        <v>TAA7075</v>
      </c>
      <c r="D5" s="284" t="str">
        <f>vlookup(B5,'Crew Data'!C:G,5,0)</f>
        <v>#N/A</v>
      </c>
      <c r="E5" s="267" t="s">
        <v>1455</v>
      </c>
      <c r="F5" s="47">
        <v>2.0</v>
      </c>
      <c r="G5" s="50">
        <f t="shared" si="1"/>
        <v>800</v>
      </c>
      <c r="H5" s="22">
        <f t="shared" si="2"/>
        <v>1</v>
      </c>
      <c r="I5" s="51" t="s">
        <v>20</v>
      </c>
    </row>
    <row r="6" ht="25.5" customHeight="1">
      <c r="A6" s="282">
        <v>3.0</v>
      </c>
      <c r="B6" s="47">
        <v>1010897.0</v>
      </c>
      <c r="C6" s="283" t="str">
        <f>vlookup(B6,'Crew data for number'!B:C,2,0)</f>
        <v>TAA5524</v>
      </c>
      <c r="D6" s="284" t="str">
        <f>vlookup(B6,'Crew Data'!C:G,5,0)</f>
        <v>Natcharee Wisespun</v>
      </c>
      <c r="E6" s="267" t="s">
        <v>1456</v>
      </c>
      <c r="F6" s="47">
        <v>29.0</v>
      </c>
      <c r="G6" s="50">
        <f t="shared" si="1"/>
        <v>11600</v>
      </c>
      <c r="H6" s="22">
        <f t="shared" si="2"/>
        <v>1</v>
      </c>
      <c r="I6" s="51" t="s">
        <v>20</v>
      </c>
      <c r="J6" s="175" t="s">
        <v>1454</v>
      </c>
    </row>
    <row r="7" ht="25.5" customHeight="1">
      <c r="A7" s="54">
        <v>4.0</v>
      </c>
      <c r="B7" s="47">
        <v>1007017.0</v>
      </c>
      <c r="C7" s="283" t="str">
        <f>vlookup(B7,'Crew data for number'!B:C,2,0)</f>
        <v>TAA3955</v>
      </c>
      <c r="D7" s="284" t="str">
        <f>vlookup(B7,'Crew Data'!C:G,5,0)</f>
        <v>#N/A</v>
      </c>
      <c r="E7" s="267" t="s">
        <v>1457</v>
      </c>
      <c r="F7" s="47">
        <v>5.0</v>
      </c>
      <c r="G7" s="50">
        <f t="shared" si="1"/>
        <v>2000</v>
      </c>
      <c r="H7" s="22">
        <f t="shared" si="2"/>
        <v>1</v>
      </c>
      <c r="I7" s="51" t="s">
        <v>20</v>
      </c>
      <c r="J7" s="175" t="s">
        <v>1458</v>
      </c>
    </row>
    <row r="8" ht="25.5" customHeight="1">
      <c r="A8" s="282">
        <v>5.0</v>
      </c>
      <c r="B8" s="47">
        <v>1019295.0</v>
      </c>
      <c r="C8" s="283" t="str">
        <f>vlookup(B8,'Crew data for number'!B:C,2,0)</f>
        <v>TAA7904</v>
      </c>
      <c r="D8" s="284" t="str">
        <f>vlookup(B8,'Crew Data'!C:G,5,0)</f>
        <v>Methawee Yos-in</v>
      </c>
      <c r="E8" s="267" t="s">
        <v>1459</v>
      </c>
      <c r="F8" s="47">
        <v>7.0</v>
      </c>
      <c r="G8" s="50">
        <f t="shared" si="1"/>
        <v>2800</v>
      </c>
      <c r="H8" s="22">
        <f t="shared" si="2"/>
        <v>1</v>
      </c>
      <c r="I8" s="51" t="s">
        <v>20</v>
      </c>
    </row>
    <row r="9" ht="25.5" customHeight="1">
      <c r="A9" s="54">
        <v>6.0</v>
      </c>
      <c r="B9" s="47">
        <v>1007336.0</v>
      </c>
      <c r="C9" s="283" t="str">
        <f>vlookup(B9,'Crew data for number'!B:C,2,0)</f>
        <v>TAA4060</v>
      </c>
      <c r="D9" s="284" t="str">
        <f>vlookup(B9,'Crew Data'!C:G,5,0)</f>
        <v>#N/A</v>
      </c>
      <c r="E9" s="267" t="s">
        <v>1455</v>
      </c>
      <c r="F9" s="47">
        <v>2.0</v>
      </c>
      <c r="G9" s="50">
        <f t="shared" si="1"/>
        <v>800</v>
      </c>
      <c r="H9" s="22">
        <f t="shared" si="2"/>
        <v>1</v>
      </c>
      <c r="I9" s="51" t="s">
        <v>20</v>
      </c>
    </row>
    <row r="10" ht="25.5" customHeight="1">
      <c r="A10" s="282">
        <v>7.0</v>
      </c>
      <c r="B10" s="47">
        <v>1002370.0</v>
      </c>
      <c r="C10" s="283" t="str">
        <f>vlookup(B10,'Crew data for number'!B:C,2,0)</f>
        <v>TAA1963</v>
      </c>
      <c r="D10" s="284" t="str">
        <f>vlookup(B10,'Crew Data'!C:G,5,0)</f>
        <v>Napaphat Yuktanan</v>
      </c>
      <c r="E10" s="267" t="s">
        <v>1460</v>
      </c>
      <c r="F10" s="47">
        <v>6.0</v>
      </c>
      <c r="G10" s="50">
        <f t="shared" si="1"/>
        <v>2400</v>
      </c>
      <c r="H10" s="22">
        <f t="shared" si="2"/>
        <v>1</v>
      </c>
      <c r="I10" s="51" t="s">
        <v>20</v>
      </c>
    </row>
    <row r="11" ht="25.5" customHeight="1">
      <c r="A11" s="54">
        <v>8.0</v>
      </c>
      <c r="B11" s="47">
        <v>1007728.0</v>
      </c>
      <c r="C11" s="283" t="str">
        <f>vlookup(B11,'Crew data for number'!B:C,2,0)</f>
        <v>TAA4783</v>
      </c>
      <c r="D11" s="284" t="str">
        <f>vlookup(B11,'Crew Data'!C:G,5,0)</f>
        <v>Suthasinee Thaeothaisong</v>
      </c>
      <c r="E11" s="267" t="s">
        <v>1461</v>
      </c>
      <c r="F11" s="47">
        <v>6.0</v>
      </c>
      <c r="G11" s="50">
        <f t="shared" si="1"/>
        <v>2400</v>
      </c>
      <c r="H11" s="22">
        <f t="shared" si="2"/>
        <v>1</v>
      </c>
      <c r="I11" s="51" t="s">
        <v>20</v>
      </c>
    </row>
    <row r="12" ht="25.5" customHeight="1">
      <c r="A12" s="282">
        <v>9.0</v>
      </c>
      <c r="B12" s="47">
        <v>1007022.0</v>
      </c>
      <c r="C12" s="283" t="str">
        <f>vlookup(B12,'Crew data for number'!B:C,2,0)</f>
        <v>TAA3959</v>
      </c>
      <c r="D12" s="284" t="str">
        <f>vlookup(B12,'Crew Data'!C:G,5,0)</f>
        <v>Waroot Chanpueak</v>
      </c>
      <c r="E12" s="267" t="s">
        <v>1462</v>
      </c>
      <c r="F12" s="47">
        <v>4.0</v>
      </c>
      <c r="G12" s="50">
        <f t="shared" si="1"/>
        <v>1600</v>
      </c>
      <c r="H12" s="22">
        <f t="shared" si="2"/>
        <v>1</v>
      </c>
      <c r="I12" s="51" t="s">
        <v>20</v>
      </c>
    </row>
    <row r="13" ht="25.5" customHeight="1">
      <c r="A13" s="54">
        <v>10.0</v>
      </c>
      <c r="B13" s="47">
        <v>1001582.0</v>
      </c>
      <c r="C13" s="283" t="str">
        <f>vlookup(B13,'Crew data for number'!B:C,2,0)</f>
        <v>TAA1698</v>
      </c>
      <c r="D13" s="284" t="str">
        <f>vlookup(B13,'Crew Data'!C:G,5,0)</f>
        <v>Waleerat khumsap</v>
      </c>
      <c r="E13" s="267" t="s">
        <v>1463</v>
      </c>
      <c r="F13" s="47">
        <v>5.0</v>
      </c>
      <c r="G13" s="50">
        <f t="shared" si="1"/>
        <v>2000</v>
      </c>
      <c r="H13" s="22">
        <f t="shared" si="2"/>
        <v>1</v>
      </c>
      <c r="I13" s="51" t="s">
        <v>20</v>
      </c>
    </row>
    <row r="14" ht="25.5" customHeight="1">
      <c r="A14" s="282">
        <v>11.0</v>
      </c>
      <c r="B14" s="47">
        <v>1017655.0</v>
      </c>
      <c r="C14" s="283" t="str">
        <f>vlookup(B14,'Crew data for number'!B:C,2,0)</f>
        <v>TAA7522</v>
      </c>
      <c r="D14" s="284" t="str">
        <f>vlookup(B14,'Crew Data'!C:G,5,0)</f>
        <v>Waris Suaprasert</v>
      </c>
      <c r="E14" s="267" t="s">
        <v>1464</v>
      </c>
      <c r="F14" s="47">
        <v>4.0</v>
      </c>
      <c r="G14" s="50">
        <f t="shared" si="1"/>
        <v>1600</v>
      </c>
      <c r="H14" s="22">
        <f t="shared" si="2"/>
        <v>1</v>
      </c>
      <c r="I14" s="51" t="s">
        <v>20</v>
      </c>
    </row>
    <row r="15" ht="25.5" customHeight="1">
      <c r="A15" s="282">
        <v>12.0</v>
      </c>
      <c r="B15" s="47">
        <v>1006081.0</v>
      </c>
      <c r="C15" s="283" t="str">
        <f>vlookup(B15,'Crew data for number'!B:C,2,0)</f>
        <v>TAA3611</v>
      </c>
      <c r="D15" s="284" t="str">
        <f>vlookup(B15,'Crew Data'!C:G,5,0)</f>
        <v>Ploypachara Charoensup</v>
      </c>
      <c r="E15" s="267" t="s">
        <v>1465</v>
      </c>
      <c r="F15" s="47">
        <v>2.0</v>
      </c>
      <c r="G15" s="50">
        <f t="shared" si="1"/>
        <v>800</v>
      </c>
      <c r="H15" s="22">
        <f t="shared" si="2"/>
        <v>1</v>
      </c>
      <c r="I15" s="51" t="s">
        <v>20</v>
      </c>
    </row>
    <row r="16" ht="25.5" customHeight="1">
      <c r="A16" s="282">
        <v>13.0</v>
      </c>
      <c r="B16" s="47">
        <v>1014683.0</v>
      </c>
      <c r="C16" s="283" t="str">
        <f>vlookup(B16,'Crew data for number'!B:C,2,0)</f>
        <v>TAA7080</v>
      </c>
      <c r="D16" s="284" t="str">
        <f>vlookup(B16,'Crew Data'!C:G,5,0)</f>
        <v>Trin Supredanuwat</v>
      </c>
      <c r="E16" s="269" t="s">
        <v>1466</v>
      </c>
      <c r="F16" s="47">
        <v>1.0</v>
      </c>
      <c r="G16" s="50">
        <f t="shared" si="1"/>
        <v>400</v>
      </c>
      <c r="H16" s="22">
        <f t="shared" si="2"/>
        <v>1</v>
      </c>
      <c r="I16" s="51" t="s">
        <v>20</v>
      </c>
    </row>
    <row r="17" ht="25.5" customHeight="1">
      <c r="A17" s="54">
        <v>14.0</v>
      </c>
      <c r="B17" s="47">
        <v>1011756.0</v>
      </c>
      <c r="C17" s="283" t="str">
        <f>vlookup(B17,'Crew data for number'!B:C,2,0)</f>
        <v>TAA5809</v>
      </c>
      <c r="D17" s="284" t="str">
        <f>vlookup(B17,'Crew Data'!C:G,5,0)</f>
        <v>#N/A</v>
      </c>
      <c r="E17" s="267" t="s">
        <v>1467</v>
      </c>
      <c r="F17" s="47">
        <v>2.0</v>
      </c>
      <c r="G17" s="50">
        <f t="shared" si="1"/>
        <v>800</v>
      </c>
      <c r="H17" s="22">
        <f t="shared" si="2"/>
        <v>1</v>
      </c>
      <c r="I17" s="51" t="s">
        <v>20</v>
      </c>
    </row>
    <row r="18" ht="25.5" customHeight="1">
      <c r="A18" s="282">
        <v>15.0</v>
      </c>
      <c r="B18" s="47">
        <v>1012904.0</v>
      </c>
      <c r="C18" s="283" t="str">
        <f>vlookup(B18,'Crew data for number'!B:C,2,0)</f>
        <v>TAA6378</v>
      </c>
      <c r="D18" s="284" t="str">
        <f>vlookup(B18,'Crew Data'!C:G,5,0)</f>
        <v>Suteerapong Sawangwong</v>
      </c>
      <c r="E18" s="267" t="s">
        <v>1468</v>
      </c>
      <c r="F18" s="47">
        <v>17.0</v>
      </c>
      <c r="G18" s="50">
        <f t="shared" si="1"/>
        <v>6800</v>
      </c>
      <c r="H18" s="22">
        <f t="shared" si="2"/>
        <v>1</v>
      </c>
      <c r="I18" s="51" t="s">
        <v>20</v>
      </c>
    </row>
    <row r="19" ht="25.5" customHeight="1">
      <c r="A19" s="282">
        <v>16.0</v>
      </c>
      <c r="B19" s="47">
        <v>1004375.0</v>
      </c>
      <c r="C19" s="283" t="str">
        <f>vlookup(B19,'Crew data for number'!B:C,2,0)</f>
        <v>TAA2778</v>
      </c>
      <c r="D19" s="284" t="str">
        <f>vlookup(B19,'Crew Data'!C:G,5,0)</f>
        <v>Arpakorn Kultangwattana</v>
      </c>
      <c r="E19" s="267" t="s">
        <v>1469</v>
      </c>
      <c r="F19" s="47">
        <v>2.0</v>
      </c>
      <c r="G19" s="50">
        <f t="shared" si="1"/>
        <v>800</v>
      </c>
      <c r="H19" s="22">
        <f t="shared" si="2"/>
        <v>1</v>
      </c>
      <c r="I19" s="51" t="s">
        <v>20</v>
      </c>
    </row>
    <row r="20" ht="25.5" customHeight="1">
      <c r="A20" s="282">
        <v>17.0</v>
      </c>
      <c r="B20" s="47">
        <v>1010700.0</v>
      </c>
      <c r="C20" s="283" t="str">
        <f>vlookup(B20,'Crew data for number'!B:C,2,0)</f>
        <v>TAA5546</v>
      </c>
      <c r="D20" s="284" t="str">
        <f>vlookup(B20,'Crew Data'!C:G,5,0)</f>
        <v>Buntika Wongkham</v>
      </c>
      <c r="E20" s="267" t="s">
        <v>1470</v>
      </c>
      <c r="F20" s="47">
        <v>4.0</v>
      </c>
      <c r="G20" s="50">
        <f t="shared" si="1"/>
        <v>1600</v>
      </c>
      <c r="H20" s="22">
        <f t="shared" si="2"/>
        <v>1</v>
      </c>
      <c r="I20" s="51" t="s">
        <v>20</v>
      </c>
    </row>
    <row r="21" ht="25.5" customHeight="1">
      <c r="A21" s="54">
        <v>18.0</v>
      </c>
      <c r="B21" s="47">
        <v>1016214.0</v>
      </c>
      <c r="C21" s="283" t="str">
        <f>vlookup(B21,'Crew data for number'!B:C,2,0)</f>
        <v>TAA7288</v>
      </c>
      <c r="D21" s="284" t="str">
        <f>vlookup(B21,'Crew Data'!C:G,5,0)</f>
        <v>Passakorn Porncharoon</v>
      </c>
      <c r="E21" s="267" t="s">
        <v>1469</v>
      </c>
      <c r="F21" s="47">
        <v>2.0</v>
      </c>
      <c r="G21" s="50">
        <f t="shared" si="1"/>
        <v>800</v>
      </c>
      <c r="H21" s="22">
        <f t="shared" si="2"/>
        <v>1</v>
      </c>
      <c r="I21" s="51" t="s">
        <v>20</v>
      </c>
    </row>
    <row r="22" ht="25.5" customHeight="1">
      <c r="A22" s="282">
        <v>19.0</v>
      </c>
      <c r="B22" s="47">
        <v>1007001.0</v>
      </c>
      <c r="C22" s="283" t="str">
        <f>vlookup(B22,'Crew data for number'!B:C,2,0)</f>
        <v>TAA3941</v>
      </c>
      <c r="D22" s="284" t="str">
        <f>vlookup(B22,'Crew Data'!C:G,5,0)</f>
        <v>Phakrapee Fuengprang</v>
      </c>
      <c r="E22" s="267" t="s">
        <v>1471</v>
      </c>
      <c r="F22" s="47">
        <v>2.0</v>
      </c>
      <c r="G22" s="50">
        <f t="shared" si="1"/>
        <v>800</v>
      </c>
      <c r="H22" s="22">
        <f t="shared" si="2"/>
        <v>1</v>
      </c>
      <c r="I22" s="51" t="s">
        <v>20</v>
      </c>
    </row>
    <row r="23" ht="25.5" customHeight="1">
      <c r="A23" s="282">
        <v>20.0</v>
      </c>
      <c r="B23" s="47">
        <v>1006987.0</v>
      </c>
      <c r="C23" s="283" t="str">
        <f>vlookup(B23,'Crew data for number'!B:C,2,0)</f>
        <v>TAA3934</v>
      </c>
      <c r="D23" s="284" t="str">
        <f>vlookup(B23,'Crew Data'!C:G,5,0)</f>
        <v>Ailada Arjsiri</v>
      </c>
      <c r="E23" s="268">
        <v>43739.0</v>
      </c>
      <c r="F23" s="47">
        <v>1.0</v>
      </c>
      <c r="G23" s="50">
        <f t="shared" si="1"/>
        <v>400</v>
      </c>
      <c r="H23" s="22">
        <f t="shared" si="2"/>
        <v>1</v>
      </c>
      <c r="I23" s="51" t="s">
        <v>20</v>
      </c>
    </row>
    <row r="24" ht="25.5" customHeight="1">
      <c r="A24" s="282">
        <v>21.0</v>
      </c>
      <c r="B24" s="47">
        <v>1004531.0</v>
      </c>
      <c r="C24" s="283" t="str">
        <f>vlookup(B24,'Crew data for number'!B:C,2,0)</f>
        <v>TAA2820</v>
      </c>
      <c r="D24" s="284" t="str">
        <f>vlookup(B24,'Crew Data'!C:G,5,0)</f>
        <v>Nattakan Kanokpantarakorn </v>
      </c>
      <c r="E24" s="267" t="s">
        <v>1472</v>
      </c>
      <c r="F24" s="47">
        <v>5.0</v>
      </c>
      <c r="G24" s="50">
        <f t="shared" si="1"/>
        <v>2000</v>
      </c>
      <c r="H24" s="22">
        <f t="shared" si="2"/>
        <v>1</v>
      </c>
      <c r="I24" s="51" t="s">
        <v>20</v>
      </c>
    </row>
    <row r="25" ht="25.5" customHeight="1">
      <c r="A25" s="54">
        <v>22.0</v>
      </c>
      <c r="B25" s="47">
        <v>1014353.0</v>
      </c>
      <c r="C25" s="283" t="str">
        <f>vlookup(B25,'Crew data for number'!B:C,2,0)</f>
        <v>TAA6862</v>
      </c>
      <c r="D25" s="284" t="str">
        <f>vlookup(B25,'Crew Data'!C:G,5,0)</f>
        <v>Pornnapat Kittimontreechai</v>
      </c>
      <c r="E25" s="267" t="s">
        <v>1419</v>
      </c>
      <c r="F25" s="47">
        <v>27.0</v>
      </c>
      <c r="G25" s="50">
        <f t="shared" si="1"/>
        <v>10800</v>
      </c>
      <c r="H25" s="22">
        <f t="shared" si="2"/>
        <v>1</v>
      </c>
      <c r="I25" s="51" t="s">
        <v>20</v>
      </c>
    </row>
    <row r="26" ht="25.5" customHeight="1">
      <c r="A26" s="282">
        <v>23.0</v>
      </c>
      <c r="B26" s="47">
        <v>1003368.0</v>
      </c>
      <c r="C26" s="283" t="str">
        <f>vlookup(B26,'Crew data for number'!B:C,2,0)</f>
        <v>TAA2403</v>
      </c>
      <c r="D26" s="284" t="str">
        <f>vlookup(B26,'Crew Data'!C:G,5,0)</f>
        <v>Woradaluck Lerdthanapaijit</v>
      </c>
      <c r="E26" s="267" t="s">
        <v>1473</v>
      </c>
      <c r="F26" s="47">
        <v>20.0</v>
      </c>
      <c r="G26" s="50">
        <f t="shared" si="1"/>
        <v>8000</v>
      </c>
      <c r="H26" s="22">
        <f t="shared" si="2"/>
        <v>1</v>
      </c>
      <c r="I26" s="51" t="s">
        <v>20</v>
      </c>
    </row>
    <row r="27" ht="25.5" customHeight="1">
      <c r="A27" s="282">
        <v>24.0</v>
      </c>
      <c r="B27" s="47">
        <v>1007308.0</v>
      </c>
      <c r="C27" s="283" t="str">
        <f>vlookup(B27,'Crew data for number'!B:C,2,0)</f>
        <v>TAA4655</v>
      </c>
      <c r="D27" s="284" t="str">
        <f>vlookup(B27,'Crew Data'!C:G,5,0)</f>
        <v>Pichai Jareerattanachart</v>
      </c>
      <c r="E27" s="267" t="s">
        <v>1474</v>
      </c>
      <c r="F27" s="47">
        <v>3.0</v>
      </c>
      <c r="G27" s="50">
        <f t="shared" si="1"/>
        <v>1200</v>
      </c>
      <c r="H27" s="22">
        <f t="shared" si="2"/>
        <v>1</v>
      </c>
      <c r="I27" s="51" t="s">
        <v>20</v>
      </c>
    </row>
    <row r="28" ht="25.5" customHeight="1">
      <c r="A28" s="282">
        <v>25.0</v>
      </c>
      <c r="B28" s="47">
        <v>1012365.0</v>
      </c>
      <c r="C28" s="283" t="str">
        <f>vlookup(B28,'Crew data for number'!B:C,2,0)</f>
        <v>TAA6137</v>
      </c>
      <c r="D28" s="284" t="str">
        <f>vlookup(B28,'Crew Data'!C:G,5,0)</f>
        <v>Manassaphorn Boonprasertwattana</v>
      </c>
      <c r="E28" s="267" t="s">
        <v>1419</v>
      </c>
      <c r="F28" s="47">
        <v>27.0</v>
      </c>
      <c r="G28" s="50">
        <f t="shared" si="1"/>
        <v>10800</v>
      </c>
      <c r="H28" s="22">
        <f t="shared" si="2"/>
        <v>1</v>
      </c>
      <c r="I28" s="51" t="s">
        <v>20</v>
      </c>
    </row>
    <row r="29" ht="25.5" customHeight="1">
      <c r="A29" s="54">
        <v>26.0</v>
      </c>
      <c r="B29" s="47">
        <v>1005741.0</v>
      </c>
      <c r="C29" s="283" t="str">
        <f>vlookup(B29,'Crew data for number'!B:C,2,0)</f>
        <v>TAA3399</v>
      </c>
      <c r="D29" s="284" t="str">
        <f>vlookup(B29,'Crew Data'!C:G,5,0)</f>
        <v>Chanyawat Ruchiratheekhakul</v>
      </c>
      <c r="E29" s="267" t="s">
        <v>1419</v>
      </c>
      <c r="F29" s="47">
        <v>27.0</v>
      </c>
      <c r="G29" s="50">
        <f t="shared" si="1"/>
        <v>10800</v>
      </c>
      <c r="H29" s="22">
        <f t="shared" si="2"/>
        <v>1</v>
      </c>
      <c r="I29" s="51" t="s">
        <v>20</v>
      </c>
    </row>
    <row r="30" ht="25.5" customHeight="1">
      <c r="A30" s="282">
        <v>27.0</v>
      </c>
      <c r="B30" s="47">
        <v>1004034.0</v>
      </c>
      <c r="C30" s="283" t="str">
        <f>vlookup(B30,'Crew data for number'!B:C,2,0)</f>
        <v>TAA2566</v>
      </c>
      <c r="D30" s="284" t="str">
        <f>vlookup(B30,'Crew Data'!C:G,5,0)</f>
        <v>Monthon Siribunnakul</v>
      </c>
      <c r="E30" s="267" t="s">
        <v>1475</v>
      </c>
      <c r="F30" s="47">
        <v>2.0</v>
      </c>
      <c r="G30" s="50">
        <f t="shared" si="1"/>
        <v>800</v>
      </c>
      <c r="H30" s="22">
        <f t="shared" si="2"/>
        <v>1</v>
      </c>
      <c r="I30" s="51" t="s">
        <v>20</v>
      </c>
    </row>
    <row r="31" ht="25.5" customHeight="1">
      <c r="A31" s="282">
        <v>28.0</v>
      </c>
      <c r="B31" s="47">
        <v>1014670.0</v>
      </c>
      <c r="C31" s="283" t="str">
        <f>vlookup(B31,'Crew data for number'!B:C,2,0)</f>
        <v>TAA7086</v>
      </c>
      <c r="D31" s="284" t="str">
        <f>vlookup(B31,'Crew Data'!C:G,5,0)</f>
        <v>Napapat Suwannawong</v>
      </c>
      <c r="E31" s="267" t="s">
        <v>1476</v>
      </c>
      <c r="F31" s="47">
        <v>31.0</v>
      </c>
      <c r="G31" s="50">
        <f t="shared" si="1"/>
        <v>12400</v>
      </c>
      <c r="H31" s="22">
        <f t="shared" si="2"/>
        <v>1</v>
      </c>
      <c r="I31" s="51" t="s">
        <v>20</v>
      </c>
      <c r="J31" s="175" t="s">
        <v>1454</v>
      </c>
    </row>
    <row r="32" ht="25.5" customHeight="1">
      <c r="A32" s="282">
        <v>29.0</v>
      </c>
      <c r="B32" s="47">
        <v>1007416.0</v>
      </c>
      <c r="C32" s="283" t="str">
        <f>vlookup(B32,'Crew data for number'!B:C,2,0)</f>
        <v>TAA4067</v>
      </c>
      <c r="D32" s="284" t="str">
        <f>vlookup(B32,'Crew Data'!C:G,5,0)</f>
        <v>Metus Leearporn</v>
      </c>
      <c r="E32" s="267" t="s">
        <v>1477</v>
      </c>
      <c r="F32" s="47">
        <v>34.0</v>
      </c>
      <c r="G32" s="50">
        <f t="shared" si="1"/>
        <v>13600</v>
      </c>
      <c r="H32" s="22">
        <f t="shared" si="2"/>
        <v>1</v>
      </c>
      <c r="I32" s="51" t="s">
        <v>20</v>
      </c>
      <c r="J32" s="175" t="s">
        <v>1454</v>
      </c>
    </row>
    <row r="33" ht="25.5" customHeight="1">
      <c r="A33" s="54">
        <v>30.0</v>
      </c>
      <c r="B33" s="47">
        <v>1015090.0</v>
      </c>
      <c r="C33" s="283" t="str">
        <f>vlookup(B33,'Crew data for number'!B:C,2,0)</f>
        <v>TAA7007</v>
      </c>
      <c r="D33" s="284" t="str">
        <f>vlookup(B33,'Crew Data'!C:G,5,0)</f>
        <v>#N/A</v>
      </c>
      <c r="E33" s="267" t="s">
        <v>1478</v>
      </c>
      <c r="F33" s="47">
        <v>27.0</v>
      </c>
      <c r="G33" s="50">
        <f t="shared" si="1"/>
        <v>10800</v>
      </c>
      <c r="H33" s="22">
        <f t="shared" si="2"/>
        <v>1</v>
      </c>
      <c r="I33" s="51" t="s">
        <v>20</v>
      </c>
      <c r="J33" s="175" t="s">
        <v>1454</v>
      </c>
    </row>
    <row r="34" ht="25.5" customHeight="1">
      <c r="A34" s="282">
        <v>31.0</v>
      </c>
      <c r="B34" s="47">
        <v>1012158.0</v>
      </c>
      <c r="C34" s="283" t="str">
        <f>vlookup(B34,'Crew data for number'!B:C,2,0)</f>
        <v>TAA5986</v>
      </c>
      <c r="D34" s="284" t="str">
        <f>vlookup(B34,'Crew Data'!C:G,5,0)</f>
        <v>Itthipong Khanthonglor</v>
      </c>
      <c r="E34" s="267" t="s">
        <v>1479</v>
      </c>
      <c r="F34" s="47">
        <v>29.0</v>
      </c>
      <c r="G34" s="50">
        <f t="shared" si="1"/>
        <v>11600</v>
      </c>
      <c r="H34" s="22">
        <f t="shared" si="2"/>
        <v>1</v>
      </c>
      <c r="I34" s="51" t="s">
        <v>20</v>
      </c>
      <c r="J34" s="175" t="s">
        <v>1454</v>
      </c>
    </row>
    <row r="35" ht="25.5" customHeight="1">
      <c r="A35" s="282">
        <v>32.0</v>
      </c>
      <c r="B35" s="47">
        <v>1005423.0</v>
      </c>
      <c r="C35" s="283" t="str">
        <f>vlookup(B35,'Crew data for number'!B:C,2,0)</f>
        <v>TAA3261</v>
      </c>
      <c r="D35" s="284" t="str">
        <f>vlookup(B35,'Crew Data'!C:G,5,0)</f>
        <v>#N/A</v>
      </c>
      <c r="E35" s="267" t="s">
        <v>1480</v>
      </c>
      <c r="F35" s="47">
        <v>55.0</v>
      </c>
      <c r="G35" s="50">
        <f t="shared" si="1"/>
        <v>22000</v>
      </c>
      <c r="H35" s="22">
        <f t="shared" si="2"/>
        <v>1</v>
      </c>
      <c r="I35" s="51" t="s">
        <v>20</v>
      </c>
      <c r="J35" s="175" t="s">
        <v>1454</v>
      </c>
    </row>
    <row r="36" ht="25.5" customHeight="1">
      <c r="A36" s="282">
        <v>33.0</v>
      </c>
      <c r="B36" s="47">
        <v>1005956.0</v>
      </c>
      <c r="C36" s="283" t="str">
        <f>vlookup(B36,'Crew data for number'!B:C,2,0)</f>
        <v>TAA3498</v>
      </c>
      <c r="D36" s="284" t="str">
        <f>vlookup(B36,'Crew Data'!C:G,5,0)</f>
        <v>Pipat Penpaiboon</v>
      </c>
      <c r="E36" s="267" t="s">
        <v>1481</v>
      </c>
      <c r="F36" s="47">
        <v>55.0</v>
      </c>
      <c r="G36" s="50">
        <f t="shared" si="1"/>
        <v>22000</v>
      </c>
      <c r="H36" s="22">
        <f t="shared" si="2"/>
        <v>1</v>
      </c>
      <c r="I36" s="51" t="s">
        <v>20</v>
      </c>
      <c r="J36" s="175" t="s">
        <v>1454</v>
      </c>
    </row>
    <row r="37" ht="25.5" customHeight="1">
      <c r="A37" s="54">
        <v>34.0</v>
      </c>
      <c r="B37" s="47">
        <v>1010878.0</v>
      </c>
      <c r="C37" s="283" t="str">
        <f>vlookup(B37,'Crew data for number'!B:C,2,0)</f>
        <v>TAA5515</v>
      </c>
      <c r="D37" s="284" t="str">
        <f>vlookup(B37,'Crew Data'!C:G,5,0)</f>
        <v>#N/A</v>
      </c>
      <c r="E37" s="267" t="s">
        <v>1482</v>
      </c>
      <c r="F37" s="47">
        <v>33.0</v>
      </c>
      <c r="G37" s="50">
        <f t="shared" si="1"/>
        <v>13200</v>
      </c>
      <c r="H37" s="22">
        <f t="shared" si="2"/>
        <v>1</v>
      </c>
      <c r="I37" s="51" t="s">
        <v>20</v>
      </c>
      <c r="J37" s="175" t="s">
        <v>1454</v>
      </c>
    </row>
    <row r="38" ht="25.5" customHeight="1">
      <c r="A38" s="282">
        <v>35.0</v>
      </c>
      <c r="B38" s="47">
        <v>1008991.0</v>
      </c>
      <c r="C38" s="283" t="str">
        <f>vlookup(B38,'Crew data for number'!B:C,2,0)</f>
        <v>TAA4736</v>
      </c>
      <c r="D38" s="284" t="str">
        <f>vlookup(B38,'Crew Data'!C:G,5,0)</f>
        <v>Premkamon Changsuwan</v>
      </c>
      <c r="E38" s="267" t="s">
        <v>1483</v>
      </c>
      <c r="F38" s="47">
        <v>30.0</v>
      </c>
      <c r="G38" s="50">
        <f t="shared" si="1"/>
        <v>12000</v>
      </c>
      <c r="H38" s="22">
        <f t="shared" si="2"/>
        <v>1</v>
      </c>
      <c r="I38" s="51" t="s">
        <v>20</v>
      </c>
      <c r="J38" s="175" t="s">
        <v>1454</v>
      </c>
    </row>
    <row r="39" ht="25.5" customHeight="1">
      <c r="A39" s="282">
        <v>36.0</v>
      </c>
      <c r="B39" s="47">
        <v>1001236.0</v>
      </c>
      <c r="C39" s="283" t="str">
        <f>vlookup(B39,'Crew data for number'!B:C,2,0)</f>
        <v>TAA1567</v>
      </c>
      <c r="D39" s="284" t="str">
        <f>vlookup(B39,'Crew Data'!C:G,5,0)</f>
        <v>Tananchakorn Nonthapak</v>
      </c>
      <c r="E39" s="267" t="s">
        <v>1484</v>
      </c>
      <c r="F39" s="47">
        <v>30.0</v>
      </c>
      <c r="G39" s="50">
        <f t="shared" si="1"/>
        <v>12000</v>
      </c>
      <c r="H39" s="22">
        <f t="shared" si="2"/>
        <v>1</v>
      </c>
      <c r="I39" s="51" t="s">
        <v>20</v>
      </c>
      <c r="J39" s="175" t="s">
        <v>1454</v>
      </c>
    </row>
    <row r="40" ht="25.5" customHeight="1">
      <c r="A40" s="282">
        <v>37.0</v>
      </c>
      <c r="B40" s="47">
        <v>1025310.0</v>
      </c>
      <c r="C40" s="283" t="str">
        <f>vlookup(B40,'Crew data for number'!B:C,2,0)</f>
        <v>#N/A</v>
      </c>
      <c r="D40" s="284" t="str">
        <f>vlookup(B40,'Crew Data'!C:G,5,0)</f>
        <v>Nitinan Sakunchokjaroen</v>
      </c>
      <c r="E40" s="267" t="s">
        <v>1485</v>
      </c>
      <c r="F40" s="47">
        <v>2.0</v>
      </c>
      <c r="G40" s="50">
        <f t="shared" si="1"/>
        <v>800</v>
      </c>
      <c r="H40" s="22">
        <f t="shared" si="2"/>
        <v>1</v>
      </c>
      <c r="I40" s="51" t="s">
        <v>20</v>
      </c>
    </row>
    <row r="41" ht="25.5" customHeight="1">
      <c r="A41" s="54">
        <v>38.0</v>
      </c>
      <c r="B41" s="47">
        <v>1004729.0</v>
      </c>
      <c r="C41" s="283" t="str">
        <f>vlookup(B41,'Crew data for number'!B:C,2,0)</f>
        <v>TAA3162</v>
      </c>
      <c r="D41" s="284" t="str">
        <f>vlookup(B41,'Crew Data'!C:G,5,0)</f>
        <v>Sasimon Chamnansarn</v>
      </c>
      <c r="E41" s="267" t="s">
        <v>1486</v>
      </c>
      <c r="F41" s="47">
        <v>28.0</v>
      </c>
      <c r="G41" s="50">
        <f t="shared" si="1"/>
        <v>11200</v>
      </c>
      <c r="H41" s="22">
        <f t="shared" si="2"/>
        <v>1</v>
      </c>
      <c r="I41" s="51" t="s">
        <v>20</v>
      </c>
      <c r="J41" s="175" t="s">
        <v>1454</v>
      </c>
    </row>
    <row r="42" ht="25.5" customHeight="1">
      <c r="A42" s="282">
        <v>39.0</v>
      </c>
      <c r="B42" s="47">
        <v>1013190.0</v>
      </c>
      <c r="C42" s="283" t="str">
        <f>vlookup(B42,'Crew data for number'!B:C,2,0)</f>
        <v>TAA6381</v>
      </c>
      <c r="D42" s="284" t="str">
        <f>vlookup(B42,'Crew Data'!C:G,5,0)</f>
        <v>Thamonwan Chokumpornpan</v>
      </c>
      <c r="E42" s="267" t="s">
        <v>1487</v>
      </c>
      <c r="F42" s="47">
        <v>3.0</v>
      </c>
      <c r="G42" s="50">
        <f t="shared" si="1"/>
        <v>1200</v>
      </c>
      <c r="H42" s="22">
        <f t="shared" si="2"/>
        <v>1</v>
      </c>
      <c r="I42" s="51" t="s">
        <v>20</v>
      </c>
    </row>
    <row r="43" ht="25.5" customHeight="1">
      <c r="A43" s="282">
        <v>40.0</v>
      </c>
      <c r="B43" s="47">
        <v>1005302.0</v>
      </c>
      <c r="C43" s="283" t="str">
        <f>vlookup(B43,'Crew data for number'!B:C,2,0)</f>
        <v>TAA3196</v>
      </c>
      <c r="D43" s="284" t="str">
        <f>vlookup(B43,'Crew Data'!C:G,5,0)</f>
        <v>Pinyada Wachiradetsathain</v>
      </c>
      <c r="E43" s="267" t="s">
        <v>1488</v>
      </c>
      <c r="F43" s="47">
        <v>2.0</v>
      </c>
      <c r="G43" s="50">
        <f t="shared" si="1"/>
        <v>800</v>
      </c>
      <c r="H43" s="22">
        <f t="shared" si="2"/>
        <v>1</v>
      </c>
      <c r="I43" s="51" t="s">
        <v>20</v>
      </c>
    </row>
    <row r="44" ht="25.5" customHeight="1">
      <c r="A44" s="282">
        <v>41.0</v>
      </c>
      <c r="B44" s="47">
        <v>1012989.0</v>
      </c>
      <c r="C44" s="283" t="str">
        <f>vlookup(B44,'Crew data for number'!B:C,2,0)</f>
        <v>TAA6502</v>
      </c>
      <c r="D44" s="284" t="str">
        <f>vlookup(B44,'Crew Data'!C:G,5,0)</f>
        <v>Kitibodee Harnkunthamart</v>
      </c>
      <c r="E44" s="267" t="s">
        <v>1455</v>
      </c>
      <c r="F44" s="47">
        <v>2.0</v>
      </c>
      <c r="G44" s="50">
        <f t="shared" si="1"/>
        <v>800</v>
      </c>
      <c r="H44" s="22">
        <f t="shared" si="2"/>
        <v>1</v>
      </c>
      <c r="I44" s="51" t="s">
        <v>20</v>
      </c>
    </row>
    <row r="45" ht="25.5" customHeight="1">
      <c r="A45" s="54">
        <v>42.0</v>
      </c>
      <c r="B45" s="47">
        <v>1012174.0</v>
      </c>
      <c r="C45" s="283" t="str">
        <f>vlookup(B45,'Crew data for number'!B:C,2,0)</f>
        <v>TAA5985</v>
      </c>
      <c r="D45" s="284" t="str">
        <f>vlookup(B45,'Crew Data'!C:G,5,0)</f>
        <v>Parnnachai Srirat</v>
      </c>
      <c r="E45" s="267" t="s">
        <v>1489</v>
      </c>
      <c r="F45" s="47">
        <v>24.0</v>
      </c>
      <c r="G45" s="50">
        <f t="shared" si="1"/>
        <v>9600</v>
      </c>
      <c r="H45" s="22">
        <f t="shared" si="2"/>
        <v>1</v>
      </c>
      <c r="I45" s="51" t="s">
        <v>20</v>
      </c>
    </row>
    <row r="46" ht="25.5" customHeight="1">
      <c r="A46" s="282">
        <v>43.0</v>
      </c>
      <c r="B46" s="47">
        <v>1013179.0</v>
      </c>
      <c r="C46" s="283" t="str">
        <f>vlookup(B46,'Crew data for number'!B:C,2,0)</f>
        <v>TAA6398</v>
      </c>
      <c r="D46" s="284" t="str">
        <f>vlookup(B46,'Crew Data'!C:G,5,0)</f>
        <v>Nunapat Towakul</v>
      </c>
      <c r="E46" s="267" t="s">
        <v>1419</v>
      </c>
      <c r="F46" s="47">
        <v>27.0</v>
      </c>
      <c r="G46" s="50">
        <f t="shared" si="1"/>
        <v>10800</v>
      </c>
      <c r="H46" s="22">
        <f t="shared" si="2"/>
        <v>1</v>
      </c>
      <c r="I46" s="51" t="s">
        <v>20</v>
      </c>
    </row>
    <row r="47" ht="25.5" customHeight="1">
      <c r="A47" s="282">
        <v>44.0</v>
      </c>
      <c r="B47" s="47">
        <v>1004213.0</v>
      </c>
      <c r="C47" s="283" t="str">
        <f>vlookup(B47,'Crew data for number'!B:C,2,0)</f>
        <v>TAA2674</v>
      </c>
      <c r="D47" s="284" t="str">
        <f>vlookup(B47,'Crew Data'!C:G,5,0)</f>
        <v>Worapada Suetrongmunkong</v>
      </c>
      <c r="E47" s="267" t="s">
        <v>1490</v>
      </c>
      <c r="F47" s="47">
        <v>6.0</v>
      </c>
      <c r="G47" s="50">
        <f t="shared" si="1"/>
        <v>2400</v>
      </c>
      <c r="H47" s="22">
        <f t="shared" si="2"/>
        <v>1</v>
      </c>
      <c r="I47" s="51" t="s">
        <v>20</v>
      </c>
    </row>
    <row r="48" ht="25.5" customHeight="1">
      <c r="A48" s="282">
        <v>45.0</v>
      </c>
      <c r="B48" s="47">
        <v>1014308.0</v>
      </c>
      <c r="C48" s="283" t="str">
        <f>vlookup(B48,'Crew data for number'!B:C,2,0)</f>
        <v>TAA6871</v>
      </c>
      <c r="D48" s="284" t="str">
        <f>vlookup(B48,'Crew Data'!C:G,5,0)</f>
        <v>Asama Thunyavacharakul</v>
      </c>
      <c r="E48" s="267" t="s">
        <v>1490</v>
      </c>
      <c r="F48" s="47">
        <v>6.0</v>
      </c>
      <c r="G48" s="50">
        <f t="shared" si="1"/>
        <v>2400</v>
      </c>
      <c r="H48" s="22">
        <f t="shared" si="2"/>
        <v>1</v>
      </c>
      <c r="I48" s="51" t="s">
        <v>20</v>
      </c>
    </row>
    <row r="49" ht="25.5" customHeight="1">
      <c r="A49" s="54">
        <v>46.0</v>
      </c>
      <c r="B49" s="47">
        <v>1006363.0</v>
      </c>
      <c r="C49" s="283" t="str">
        <f>vlookup(B49,'Crew data for number'!B:C,2,0)</f>
        <v>TAA3684</v>
      </c>
      <c r="D49" s="284" t="str">
        <f>vlookup(B49,'Crew Data'!C:G,5,0)</f>
        <v>#N/A</v>
      </c>
      <c r="E49" s="267" t="s">
        <v>1491</v>
      </c>
      <c r="F49" s="47">
        <v>3.0</v>
      </c>
      <c r="G49" s="50">
        <f t="shared" si="1"/>
        <v>1200</v>
      </c>
      <c r="H49" s="22">
        <f t="shared" si="2"/>
        <v>1</v>
      </c>
      <c r="I49" s="51" t="s">
        <v>20</v>
      </c>
    </row>
    <row r="50" ht="25.5" customHeight="1">
      <c r="A50" s="282">
        <v>47.0</v>
      </c>
      <c r="B50" s="47">
        <v>1012188.0</v>
      </c>
      <c r="C50" s="283" t="str">
        <f>vlookup(B50,'Crew data for number'!B:C,2,0)</f>
        <v>TAA6172</v>
      </c>
      <c r="D50" s="284" t="str">
        <f>vlookup(B50,'Crew Data'!C:G,5,0)</f>
        <v>Warut Sritham</v>
      </c>
      <c r="E50" s="267" t="s">
        <v>1455</v>
      </c>
      <c r="F50" s="47">
        <v>2.0</v>
      </c>
      <c r="G50" s="50">
        <f t="shared" si="1"/>
        <v>800</v>
      </c>
      <c r="H50" s="22">
        <f t="shared" si="2"/>
        <v>1</v>
      </c>
      <c r="I50" s="51" t="s">
        <v>20</v>
      </c>
    </row>
    <row r="51" ht="25.5" customHeight="1">
      <c r="A51" s="282">
        <v>48.0</v>
      </c>
      <c r="B51" s="47">
        <v>1012362.0</v>
      </c>
      <c r="C51" s="283" t="str">
        <f>vlookup(B51,'Crew data for number'!B:C,2,0)</f>
        <v>TAA6131</v>
      </c>
      <c r="D51" s="284" t="str">
        <f>vlookup(B51,'Crew Data'!C:G,5,0)</f>
        <v>Patcharagorn Chankhong</v>
      </c>
      <c r="E51" s="267" t="s">
        <v>1455</v>
      </c>
      <c r="F51" s="47">
        <v>2.0</v>
      </c>
      <c r="G51" s="50">
        <f t="shared" si="1"/>
        <v>800</v>
      </c>
      <c r="H51" s="22">
        <f t="shared" si="2"/>
        <v>1</v>
      </c>
      <c r="I51" s="51" t="s">
        <v>20</v>
      </c>
    </row>
    <row r="52" ht="25.5" customHeight="1">
      <c r="A52" s="282">
        <v>49.0</v>
      </c>
      <c r="B52" s="47">
        <v>1001319.0</v>
      </c>
      <c r="C52" s="283" t="str">
        <f>vlookup(B52,'Crew data for number'!B:C,2,0)</f>
        <v>TAA1303</v>
      </c>
      <c r="D52" s="284" t="str">
        <f>vlookup(B52,'Crew Data'!C:G,5,0)</f>
        <v>Wipat Lurkasemsuk</v>
      </c>
      <c r="E52" s="267" t="s">
        <v>1455</v>
      </c>
      <c r="F52" s="47">
        <v>2.0</v>
      </c>
      <c r="G52" s="50">
        <f t="shared" si="1"/>
        <v>800</v>
      </c>
      <c r="H52" s="22">
        <f t="shared" si="2"/>
        <v>1</v>
      </c>
      <c r="I52" s="51" t="s">
        <v>20</v>
      </c>
    </row>
    <row r="53" ht="25.5" customHeight="1">
      <c r="A53" s="54">
        <v>50.0</v>
      </c>
      <c r="B53" s="47">
        <v>1004212.0</v>
      </c>
      <c r="C53" s="283" t="str">
        <f>vlookup(B53,'Crew data for number'!B:C,2,0)</f>
        <v>TAA2678</v>
      </c>
      <c r="D53" s="284" t="str">
        <f>vlookup(B53,'Crew Data'!C:G,5,0)</f>
        <v>Varisa Nimkasai</v>
      </c>
      <c r="E53" s="267" t="s">
        <v>1472</v>
      </c>
      <c r="F53" s="47">
        <v>5.0</v>
      </c>
      <c r="G53" s="50">
        <f t="shared" si="1"/>
        <v>2000</v>
      </c>
      <c r="H53" s="22">
        <f t="shared" si="2"/>
        <v>1</v>
      </c>
      <c r="I53" s="51" t="s">
        <v>20</v>
      </c>
    </row>
    <row r="54" ht="25.5" customHeight="1">
      <c r="A54" s="282">
        <v>51.0</v>
      </c>
      <c r="B54" s="47">
        <v>1009670.0</v>
      </c>
      <c r="C54" s="283" t="str">
        <f>vlookup(B54,'Crew data for number'!B:C,2,0)</f>
        <v>TAA5158</v>
      </c>
      <c r="D54" s="284" t="str">
        <f>vlookup(B54,'Crew Data'!C:G,5,0)</f>
        <v>Sasima Rattanasumrit</v>
      </c>
      <c r="E54" s="267" t="s">
        <v>1492</v>
      </c>
      <c r="F54" s="47">
        <v>28.0</v>
      </c>
      <c r="G54" s="50">
        <f t="shared" si="1"/>
        <v>11200</v>
      </c>
      <c r="H54" s="22">
        <f t="shared" si="2"/>
        <v>1</v>
      </c>
      <c r="I54" s="51" t="s">
        <v>20</v>
      </c>
    </row>
    <row r="55" ht="25.5" customHeight="1">
      <c r="A55" s="282">
        <v>52.0</v>
      </c>
      <c r="B55" s="47">
        <v>1022215.0</v>
      </c>
      <c r="C55" s="283" t="str">
        <f>vlookup(B55,'Crew data for number'!B:C,2,0)</f>
        <v/>
      </c>
      <c r="D55" s="284" t="str">
        <f>vlookup(B55,'Crew Data'!C:G,5,0)</f>
        <v>Porntida Yuttimi</v>
      </c>
      <c r="E55" s="267" t="s">
        <v>1493</v>
      </c>
      <c r="F55" s="47">
        <v>23.0</v>
      </c>
      <c r="G55" s="50">
        <f t="shared" si="1"/>
        <v>9200</v>
      </c>
      <c r="H55" s="22">
        <f t="shared" si="2"/>
        <v>1</v>
      </c>
      <c r="I55" s="51" t="s">
        <v>20</v>
      </c>
    </row>
    <row r="56" ht="25.5" customHeight="1">
      <c r="A56" s="282">
        <v>53.0</v>
      </c>
      <c r="B56" s="47">
        <v>1012908.0</v>
      </c>
      <c r="C56" s="283" t="str">
        <f>vlookup(B56,'Crew data for number'!B:C,2,0)</f>
        <v>TAA6368</v>
      </c>
      <c r="D56" s="284" t="str">
        <f>vlookup(B56,'Crew Data'!C:G,5,0)</f>
        <v>Worakamol Tiamboonprasert</v>
      </c>
      <c r="E56" s="267" t="s">
        <v>1494</v>
      </c>
      <c r="F56" s="47">
        <v>27.0</v>
      </c>
      <c r="G56" s="50">
        <f t="shared" si="1"/>
        <v>10800</v>
      </c>
      <c r="H56" s="22">
        <f t="shared" si="2"/>
        <v>1</v>
      </c>
      <c r="I56" s="51" t="s">
        <v>20</v>
      </c>
    </row>
    <row r="57" ht="25.5" customHeight="1">
      <c r="A57" s="54">
        <v>54.0</v>
      </c>
      <c r="B57" s="47">
        <v>1014359.0</v>
      </c>
      <c r="C57" s="283" t="str">
        <f>vlookup(B57,'Crew data for number'!B:C,2,0)</f>
        <v>TAA6863</v>
      </c>
      <c r="D57" s="284" t="str">
        <f>vlookup(B57,'Crew Data'!C:G,5,0)</f>
        <v>Rattiporn Thongarch</v>
      </c>
      <c r="E57" s="267" t="s">
        <v>1419</v>
      </c>
      <c r="F57" s="47">
        <v>27.0</v>
      </c>
      <c r="G57" s="50">
        <f t="shared" si="1"/>
        <v>10800</v>
      </c>
      <c r="H57" s="22">
        <f t="shared" si="2"/>
        <v>1</v>
      </c>
      <c r="I57" s="51" t="s">
        <v>20</v>
      </c>
    </row>
    <row r="58" ht="25.5" customHeight="1">
      <c r="A58" s="282">
        <v>55.0</v>
      </c>
      <c r="B58" s="47">
        <v>1011823.0</v>
      </c>
      <c r="C58" s="283" t="str">
        <f>vlookup(B58,'Crew data for number'!B:C,2,0)</f>
        <v>TAA6115</v>
      </c>
      <c r="D58" s="284" t="str">
        <f>vlookup(B58,'Crew Data'!C:G,5,0)</f>
        <v>#N/A</v>
      </c>
      <c r="E58" s="267" t="s">
        <v>1305</v>
      </c>
      <c r="F58" s="47">
        <v>2.0</v>
      </c>
      <c r="G58" s="50">
        <f t="shared" si="1"/>
        <v>800</v>
      </c>
      <c r="H58" s="22">
        <f t="shared" si="2"/>
        <v>1</v>
      </c>
      <c r="I58" s="51" t="s">
        <v>20</v>
      </c>
    </row>
    <row r="59" ht="25.5" customHeight="1">
      <c r="A59" s="282">
        <v>56.0</v>
      </c>
      <c r="B59" s="47">
        <v>1007016.0</v>
      </c>
      <c r="C59" s="283" t="str">
        <f>vlookup(B59,'Crew data for number'!B:C,2,0)</f>
        <v>TAA3956</v>
      </c>
      <c r="D59" s="284" t="str">
        <f>vlookup(B59,'Crew Data'!C:G,5,0)</f>
        <v>Sathita Pongsomran</v>
      </c>
      <c r="E59" s="267" t="s">
        <v>1495</v>
      </c>
      <c r="F59" s="47">
        <v>33.0</v>
      </c>
      <c r="G59" s="50">
        <f t="shared" si="1"/>
        <v>13200</v>
      </c>
      <c r="H59" s="22">
        <f t="shared" si="2"/>
        <v>1</v>
      </c>
      <c r="I59" s="51" t="s">
        <v>20</v>
      </c>
      <c r="J59" s="175" t="s">
        <v>1454</v>
      </c>
    </row>
    <row r="60" ht="25.5" customHeight="1">
      <c r="A60" s="282">
        <v>57.0</v>
      </c>
      <c r="B60" s="47">
        <v>1017653.0</v>
      </c>
      <c r="C60" s="283" t="str">
        <f>vlookup(B60,'Crew data for number'!B:C,2,0)</f>
        <v>TAA7521</v>
      </c>
      <c r="D60" s="284" t="str">
        <f>vlookup(B60,'Crew Data'!C:G,5,0)</f>
        <v>Wachiraphon Lakbun</v>
      </c>
      <c r="E60" s="267" t="s">
        <v>1464</v>
      </c>
      <c r="F60" s="47">
        <v>4.0</v>
      </c>
      <c r="G60" s="50">
        <f t="shared" si="1"/>
        <v>1600</v>
      </c>
      <c r="H60" s="22">
        <f t="shared" si="2"/>
        <v>1</v>
      </c>
      <c r="I60" s="51" t="s">
        <v>20</v>
      </c>
    </row>
    <row r="61" ht="25.5" customHeight="1">
      <c r="A61" s="54">
        <v>58.0</v>
      </c>
      <c r="B61" s="47">
        <v>1018531.0</v>
      </c>
      <c r="C61" s="283" t="str">
        <f>vlookup(B61,'Crew data for number'!B:C,2,0)</f>
        <v>TAA7752</v>
      </c>
      <c r="D61" s="284" t="str">
        <f>vlookup(B61,'Crew Data'!C:G,5,0)</f>
        <v>Chawit Donsawee</v>
      </c>
      <c r="E61" s="267" t="s">
        <v>1496</v>
      </c>
      <c r="F61" s="47">
        <v>3.0</v>
      </c>
      <c r="G61" s="50">
        <f t="shared" si="1"/>
        <v>1200</v>
      </c>
      <c r="H61" s="22">
        <f t="shared" si="2"/>
        <v>1</v>
      </c>
      <c r="I61" s="51" t="s">
        <v>20</v>
      </c>
    </row>
    <row r="62" ht="25.5" customHeight="1">
      <c r="A62" s="282">
        <v>59.0</v>
      </c>
      <c r="B62" s="47">
        <v>1001619.0</v>
      </c>
      <c r="C62" s="283" t="str">
        <f>vlookup(B62,'Crew data for number'!B:C,2,0)</f>
        <v>TAA1449</v>
      </c>
      <c r="D62" s="284" t="str">
        <f>vlookup(B62,'Crew Data'!C:G,5,0)</f>
        <v>#N/A</v>
      </c>
      <c r="E62" s="268">
        <v>43769.0</v>
      </c>
      <c r="F62" s="47">
        <v>1.0</v>
      </c>
      <c r="G62" s="50">
        <f t="shared" si="1"/>
        <v>400</v>
      </c>
      <c r="H62" s="22">
        <f t="shared" si="2"/>
        <v>1</v>
      </c>
      <c r="I62" s="51" t="s">
        <v>20</v>
      </c>
    </row>
    <row r="63" ht="25.5" customHeight="1">
      <c r="A63" s="282">
        <v>60.0</v>
      </c>
      <c r="B63" s="47">
        <v>1011316.0</v>
      </c>
      <c r="C63" s="283" t="str">
        <f>vlookup(B63,'Crew data for number'!B:C,2,0)</f>
        <v>TAA5572</v>
      </c>
      <c r="D63" s="284" t="str">
        <f>vlookup(B63,'Crew Data'!C:G,5,0)</f>
        <v>#N/A</v>
      </c>
      <c r="E63" s="267" t="s">
        <v>1305</v>
      </c>
      <c r="F63" s="47">
        <v>2.0</v>
      </c>
      <c r="G63" s="50">
        <f t="shared" si="1"/>
        <v>800</v>
      </c>
      <c r="H63" s="22">
        <f t="shared" si="2"/>
        <v>1</v>
      </c>
      <c r="I63" s="51" t="s">
        <v>20</v>
      </c>
    </row>
    <row r="64" ht="25.5" customHeight="1">
      <c r="A64" s="282">
        <v>61.0</v>
      </c>
      <c r="B64" s="47">
        <v>1022222.0</v>
      </c>
      <c r="C64" s="283" t="str">
        <f>vlookup(B64,'Crew data for number'!B:C,2,0)</f>
        <v/>
      </c>
      <c r="D64" s="284" t="str">
        <f>vlookup(B64,'Crew Data'!C:G,5,0)</f>
        <v>Songboon Kiatchaweepan</v>
      </c>
      <c r="E64" s="268">
        <v>43769.0</v>
      </c>
      <c r="F64" s="47">
        <v>1.0</v>
      </c>
      <c r="G64" s="50">
        <f t="shared" si="1"/>
        <v>400</v>
      </c>
      <c r="H64" s="22">
        <f t="shared" si="2"/>
        <v>1</v>
      </c>
      <c r="I64" s="51" t="s">
        <v>20</v>
      </c>
    </row>
    <row r="65" ht="25.5" customHeight="1"/>
    <row r="66" ht="25.5" customHeight="1">
      <c r="A66" s="265" t="s">
        <v>1183</v>
      </c>
      <c r="B66" s="252"/>
      <c r="C66" s="253"/>
    </row>
    <row r="67" ht="25.5" customHeight="1">
      <c r="A67" s="254" t="s">
        <v>1153</v>
      </c>
      <c r="B67" s="255" t="s">
        <v>1154</v>
      </c>
      <c r="C67" s="256" t="s">
        <v>1155</v>
      </c>
    </row>
    <row r="68" ht="25.5" customHeight="1">
      <c r="A68" s="257" t="s">
        <v>1156</v>
      </c>
      <c r="B68" s="258" t="s">
        <v>1157</v>
      </c>
      <c r="C68" s="259" t="s">
        <v>1158</v>
      </c>
    </row>
    <row r="69" ht="25.5" customHeight="1">
      <c r="A69" s="257" t="s">
        <v>1159</v>
      </c>
      <c r="B69" s="258" t="s">
        <v>1157</v>
      </c>
      <c r="C69" s="259" t="s">
        <v>1158</v>
      </c>
    </row>
    <row r="70" ht="25.5" customHeight="1">
      <c r="A70" s="257" t="s">
        <v>1160</v>
      </c>
      <c r="B70" s="260" t="s">
        <v>1157</v>
      </c>
      <c r="C70" s="259" t="s">
        <v>1158</v>
      </c>
    </row>
    <row r="71" ht="25.5" customHeight="1">
      <c r="A71" s="31"/>
      <c r="B71" s="31"/>
      <c r="C71" s="31"/>
    </row>
    <row r="72" ht="25.5" customHeight="1">
      <c r="A72" s="261" t="s">
        <v>1497</v>
      </c>
      <c r="B72" s="262"/>
      <c r="C72" s="31"/>
    </row>
    <row r="73" ht="25.5" customHeight="1"/>
    <row r="74" ht="25.5" customHeight="1"/>
    <row r="75" ht="25.5" customHeight="1"/>
    <row r="76" ht="25.5" customHeight="1"/>
    <row r="77" ht="25.5" customHeight="1"/>
    <row r="78" ht="25.5" customHeight="1"/>
    <row r="79" ht="25.5" customHeight="1"/>
    <row r="80" ht="25.5" customHeight="1"/>
    <row r="81" ht="25.5" customHeight="1"/>
    <row r="82" ht="25.5" customHeight="1"/>
    <row r="83" ht="25.5" customHeight="1"/>
    <row r="84" ht="25.5" customHeight="1"/>
    <row r="85" ht="25.5" customHeight="1"/>
    <row r="86" ht="25.5" customHeight="1"/>
    <row r="87" ht="25.5" customHeight="1"/>
    <row r="88" ht="25.5" customHeight="1"/>
    <row r="89" ht="25.5" customHeight="1"/>
    <row r="90" ht="25.5" customHeight="1"/>
    <row r="91" ht="25.5" customHeight="1"/>
    <row r="92" ht="25.5" customHeight="1"/>
    <row r="93" ht="25.5" customHeight="1"/>
    <row r="94" ht="25.5" customHeight="1"/>
    <row r="95" ht="25.5" customHeight="1"/>
    <row r="96" ht="25.5" customHeight="1"/>
    <row r="97" ht="25.5" customHeight="1"/>
    <row r="98" ht="25.5" customHeight="1"/>
    <row r="99" ht="25.5" customHeight="1"/>
    <row r="100" ht="25.5" customHeight="1"/>
    <row r="101" ht="25.5" customHeight="1"/>
    <row r="102" ht="25.5" customHeight="1"/>
    <row r="103" ht="25.5" customHeight="1"/>
    <row r="104" ht="25.5" customHeight="1"/>
    <row r="105" ht="25.5" customHeight="1"/>
    <row r="106" ht="25.5" customHeight="1"/>
    <row r="107" ht="25.5" customHeight="1"/>
    <row r="108" ht="25.5" customHeight="1"/>
    <row r="109" ht="25.5" customHeight="1"/>
    <row r="110" ht="25.5" customHeight="1"/>
    <row r="111" ht="25.5" customHeight="1"/>
    <row r="112" ht="25.5" customHeight="1"/>
    <row r="113" ht="25.5" customHeight="1"/>
    <row r="114" ht="25.5" customHeight="1"/>
    <row r="115" ht="25.5" customHeight="1"/>
    <row r="116" ht="25.5" customHeight="1"/>
    <row r="117" ht="25.5" customHeight="1"/>
    <row r="118" ht="25.5" customHeight="1"/>
    <row r="119" ht="25.5" customHeight="1"/>
    <row r="120" ht="25.5" customHeight="1"/>
    <row r="121" ht="25.5" customHeight="1"/>
    <row r="122" ht="25.5" customHeight="1"/>
    <row r="123" ht="25.5" customHeight="1"/>
    <row r="124" ht="25.5" customHeight="1"/>
    <row r="125" ht="25.5" customHeight="1"/>
    <row r="126" ht="25.5" customHeight="1"/>
    <row r="127" ht="25.5" customHeight="1"/>
    <row r="128" ht="25.5" customHeight="1"/>
    <row r="129" ht="25.5" customHeight="1"/>
    <row r="130" ht="25.5" customHeight="1"/>
    <row r="131" ht="25.5" customHeight="1"/>
    <row r="132" ht="25.5" customHeight="1"/>
    <row r="133" ht="25.5" customHeight="1"/>
    <row r="134" ht="25.5" customHeight="1"/>
    <row r="135" ht="25.5" customHeight="1"/>
    <row r="136" ht="25.5" customHeight="1"/>
    <row r="137" ht="25.5" customHeight="1"/>
    <row r="138" ht="25.5" customHeight="1"/>
    <row r="139" ht="25.5" customHeight="1"/>
    <row r="140" ht="25.5" customHeight="1"/>
    <row r="141" ht="25.5" customHeight="1"/>
    <row r="142" ht="25.5" customHeight="1"/>
    <row r="143" ht="25.5" customHeight="1"/>
    <row r="144" ht="25.5" customHeight="1"/>
    <row r="145" ht="25.5" customHeight="1"/>
    <row r="146" ht="25.5" customHeight="1"/>
    <row r="147" ht="25.5" customHeight="1"/>
    <row r="148" ht="25.5" customHeight="1"/>
    <row r="149" ht="25.5" customHeight="1"/>
    <row r="150" ht="25.5" customHeight="1"/>
    <row r="151" ht="25.5" customHeight="1"/>
    <row r="152" ht="25.5" customHeight="1"/>
    <row r="153" ht="25.5" customHeight="1"/>
    <row r="154" ht="25.5" customHeight="1"/>
    <row r="155" ht="25.5" customHeight="1"/>
    <row r="156" ht="25.5" customHeight="1"/>
    <row r="157" ht="25.5" customHeight="1"/>
    <row r="158" ht="25.5" customHeight="1"/>
    <row r="159" ht="25.5" customHeight="1"/>
    <row r="160" ht="25.5" customHeight="1"/>
    <row r="161" ht="25.5" customHeight="1"/>
    <row r="162" ht="25.5" customHeight="1"/>
    <row r="163" ht="25.5" customHeight="1"/>
    <row r="164" ht="25.5" customHeight="1"/>
    <row r="165" ht="25.5" customHeight="1"/>
    <row r="166" ht="25.5" customHeight="1"/>
    <row r="167" ht="25.5" customHeight="1"/>
    <row r="168" ht="25.5" customHeight="1"/>
    <row r="169" ht="25.5" customHeight="1"/>
    <row r="170" ht="25.5" customHeight="1"/>
    <row r="171" ht="25.5" customHeight="1"/>
    <row r="172" ht="25.5" customHeight="1"/>
    <row r="173" ht="25.5" customHeight="1"/>
    <row r="174" ht="25.5" customHeight="1"/>
    <row r="175" ht="25.5" customHeight="1"/>
    <row r="176" ht="25.5" customHeight="1"/>
    <row r="177" ht="25.5" customHeight="1"/>
    <row r="178" ht="25.5" customHeight="1"/>
    <row r="179" ht="25.5" customHeight="1"/>
    <row r="180" ht="25.5" customHeight="1"/>
    <row r="181" ht="25.5" customHeight="1"/>
    <row r="182" ht="25.5" customHeight="1"/>
    <row r="183" ht="25.5" customHeight="1"/>
    <row r="184" ht="25.5" customHeight="1"/>
    <row r="185" ht="25.5" customHeight="1"/>
    <row r="186" ht="25.5" customHeight="1"/>
    <row r="187" ht="25.5" customHeight="1"/>
    <row r="188" ht="25.5" customHeight="1"/>
    <row r="189" ht="25.5" customHeight="1"/>
    <row r="190" ht="25.5" customHeight="1"/>
    <row r="191" ht="25.5" customHeight="1"/>
    <row r="192" ht="25.5" customHeight="1"/>
    <row r="193" ht="25.5" customHeight="1"/>
    <row r="194" ht="25.5" customHeight="1"/>
    <row r="195" ht="25.5" customHeight="1"/>
    <row r="196" ht="25.5" customHeight="1"/>
    <row r="197" ht="25.5" customHeight="1"/>
    <row r="198" ht="25.5" customHeight="1"/>
    <row r="199" ht="25.5" customHeight="1"/>
    <row r="200" ht="25.5" customHeight="1"/>
    <row r="201" ht="25.5" customHeight="1"/>
    <row r="202" ht="25.5" customHeight="1"/>
    <row r="203" ht="25.5" customHeight="1"/>
    <row r="204" ht="25.5" customHeight="1"/>
    <row r="205" ht="25.5" customHeight="1"/>
    <row r="206" ht="25.5" customHeight="1"/>
    <row r="207" ht="25.5" customHeight="1"/>
    <row r="208" ht="25.5" customHeight="1"/>
    <row r="209" ht="25.5" customHeight="1"/>
    <row r="210" ht="25.5" customHeight="1"/>
    <row r="211" ht="25.5" customHeight="1"/>
    <row r="212" ht="25.5" customHeight="1"/>
    <row r="213" ht="25.5" customHeight="1"/>
    <row r="214" ht="25.5" customHeight="1"/>
    <row r="215" ht="25.5" customHeight="1"/>
    <row r="216" ht="25.5" customHeight="1"/>
    <row r="217" ht="25.5" customHeight="1"/>
    <row r="218" ht="25.5" customHeight="1"/>
    <row r="219" ht="25.5" customHeight="1"/>
    <row r="220" ht="25.5" customHeight="1"/>
    <row r="221" ht="25.5" customHeight="1"/>
    <row r="222" ht="25.5" customHeight="1"/>
    <row r="223" ht="25.5" customHeight="1"/>
    <row r="224" ht="25.5" customHeight="1"/>
    <row r="225" ht="25.5" customHeight="1"/>
    <row r="226" ht="25.5" customHeight="1"/>
    <row r="227" ht="25.5" customHeight="1"/>
    <row r="228" ht="25.5" customHeight="1"/>
    <row r="229" ht="25.5" customHeight="1"/>
    <row r="230" ht="25.5" customHeight="1"/>
    <row r="231" ht="25.5" customHeight="1"/>
    <row r="232" ht="25.5" customHeight="1"/>
    <row r="233" ht="25.5" customHeight="1"/>
    <row r="234" ht="25.5" customHeight="1"/>
    <row r="235" ht="25.5" customHeight="1"/>
    <row r="236" ht="25.5" customHeight="1"/>
    <row r="237" ht="25.5" customHeight="1"/>
    <row r="238" ht="25.5" customHeight="1"/>
    <row r="239" ht="25.5" customHeight="1"/>
    <row r="240" ht="25.5" customHeight="1"/>
    <row r="241" ht="25.5" customHeight="1"/>
    <row r="242" ht="25.5" customHeight="1"/>
    <row r="243" ht="25.5" customHeight="1"/>
    <row r="244" ht="25.5" customHeight="1"/>
    <row r="245" ht="25.5" customHeight="1"/>
    <row r="246" ht="25.5" customHeight="1"/>
    <row r="247" ht="25.5" customHeight="1"/>
    <row r="248" ht="25.5" customHeight="1"/>
    <row r="249" ht="25.5" customHeight="1"/>
    <row r="250" ht="25.5" customHeight="1"/>
    <row r="251" ht="25.5" customHeight="1"/>
    <row r="252" ht="25.5" customHeight="1"/>
    <row r="253" ht="25.5" customHeight="1"/>
    <row r="254" ht="25.5" customHeight="1"/>
    <row r="255" ht="25.5" customHeight="1"/>
    <row r="256" ht="25.5" customHeight="1"/>
    <row r="257" ht="25.5" customHeight="1"/>
    <row r="258" ht="25.5" customHeight="1"/>
    <row r="259" ht="25.5" customHeight="1"/>
    <row r="260" ht="25.5" customHeight="1"/>
    <row r="261" ht="25.5" customHeight="1"/>
    <row r="262" ht="25.5" customHeight="1"/>
    <row r="263" ht="25.5" customHeight="1"/>
    <row r="264" ht="25.5" customHeight="1"/>
    <row r="265" ht="25.5" customHeight="1"/>
    <row r="266" ht="25.5" customHeight="1"/>
    <row r="267" ht="25.5" customHeight="1"/>
    <row r="268" ht="25.5" customHeight="1"/>
    <row r="269" ht="25.5" customHeight="1"/>
    <row r="270" ht="25.5" customHeight="1"/>
    <row r="271" ht="25.5" customHeight="1"/>
    <row r="272" ht="25.5" customHeight="1"/>
    <row r="273" ht="25.5" customHeight="1"/>
    <row r="274" ht="25.5" customHeight="1"/>
    <row r="275" ht="25.5" customHeight="1"/>
    <row r="276" ht="25.5" customHeight="1"/>
    <row r="277" ht="25.5" customHeight="1"/>
    <row r="278" ht="25.5" customHeight="1"/>
    <row r="279" ht="25.5" customHeight="1"/>
    <row r="280" ht="25.5" customHeight="1"/>
    <row r="281" ht="25.5" customHeight="1"/>
    <row r="282" ht="25.5" customHeight="1"/>
    <row r="283" ht="25.5" customHeight="1"/>
    <row r="284" ht="25.5" customHeight="1"/>
    <row r="285" ht="25.5" customHeight="1"/>
    <row r="286" ht="25.5" customHeight="1"/>
    <row r="287" ht="25.5" customHeight="1"/>
    <row r="288" ht="25.5" customHeight="1"/>
    <row r="289" ht="25.5" customHeight="1"/>
    <row r="290" ht="25.5" customHeight="1"/>
    <row r="291" ht="25.5" customHeight="1"/>
    <row r="292" ht="25.5" customHeight="1"/>
    <row r="293" ht="25.5" customHeight="1"/>
    <row r="294" ht="25.5" customHeight="1"/>
    <row r="295" ht="25.5" customHeight="1"/>
    <row r="296" ht="25.5" customHeight="1"/>
    <row r="297" ht="25.5" customHeight="1"/>
    <row r="298" ht="25.5" customHeight="1"/>
    <row r="299" ht="25.5" customHeight="1"/>
    <row r="300" ht="25.5" customHeight="1"/>
    <row r="301" ht="25.5" customHeight="1"/>
    <row r="302" ht="25.5" customHeight="1"/>
    <row r="303" ht="25.5" customHeight="1"/>
    <row r="304" ht="25.5" customHeight="1"/>
    <row r="305" ht="25.5" customHeight="1"/>
    <row r="306" ht="25.5" customHeight="1"/>
    <row r="307" ht="25.5" customHeight="1"/>
    <row r="308" ht="25.5" customHeight="1"/>
    <row r="309" ht="25.5" customHeight="1"/>
    <row r="310" ht="25.5" customHeight="1"/>
    <row r="311" ht="25.5" customHeight="1"/>
    <row r="312" ht="25.5" customHeight="1"/>
    <row r="313" ht="25.5" customHeight="1"/>
    <row r="314" ht="25.5" customHeight="1"/>
    <row r="315" ht="25.5" customHeight="1"/>
    <row r="316" ht="25.5" customHeight="1"/>
    <row r="317" ht="25.5" customHeight="1"/>
    <row r="318" ht="25.5" customHeight="1"/>
    <row r="319" ht="25.5" customHeight="1"/>
    <row r="320" ht="25.5" customHeight="1"/>
    <row r="321" ht="25.5" customHeight="1"/>
    <row r="322" ht="25.5" customHeight="1"/>
    <row r="323" ht="25.5" customHeight="1"/>
    <row r="324" ht="25.5" customHeight="1"/>
    <row r="325" ht="25.5" customHeight="1"/>
    <row r="326" ht="25.5" customHeight="1"/>
    <row r="327" ht="25.5" customHeight="1"/>
    <row r="328" ht="25.5" customHeight="1"/>
    <row r="329" ht="25.5" customHeight="1"/>
    <row r="330" ht="25.5" customHeight="1"/>
    <row r="331" ht="25.5" customHeight="1"/>
    <row r="332" ht="25.5" customHeight="1"/>
    <row r="333" ht="25.5" customHeight="1"/>
    <row r="334" ht="25.5" customHeight="1"/>
    <row r="335" ht="25.5" customHeight="1"/>
    <row r="336" ht="25.5" customHeight="1"/>
    <row r="337" ht="25.5" customHeight="1"/>
    <row r="338" ht="25.5" customHeight="1"/>
    <row r="339" ht="25.5" customHeight="1"/>
    <row r="340" ht="25.5" customHeight="1"/>
    <row r="341" ht="25.5" customHeight="1"/>
    <row r="342" ht="25.5" customHeight="1"/>
    <row r="343" ht="25.5" customHeight="1"/>
    <row r="344" ht="25.5" customHeight="1"/>
    <row r="345" ht="25.5" customHeight="1"/>
    <row r="346" ht="25.5" customHeight="1"/>
    <row r="347" ht="25.5" customHeight="1"/>
    <row r="348" ht="25.5" customHeight="1"/>
    <row r="349" ht="25.5" customHeight="1"/>
    <row r="350" ht="25.5" customHeight="1"/>
    <row r="351" ht="25.5" customHeight="1"/>
    <row r="352" ht="25.5" customHeight="1"/>
    <row r="353" ht="25.5" customHeight="1"/>
    <row r="354" ht="25.5" customHeight="1"/>
    <row r="355" ht="25.5" customHeight="1"/>
    <row r="356" ht="25.5" customHeight="1"/>
    <row r="357" ht="25.5" customHeight="1"/>
    <row r="358" ht="25.5" customHeight="1"/>
    <row r="359" ht="25.5" customHeight="1"/>
    <row r="360" ht="25.5" customHeight="1"/>
    <row r="361" ht="25.5" customHeight="1"/>
    <row r="362" ht="25.5" customHeight="1"/>
    <row r="363" ht="25.5" customHeight="1"/>
    <row r="364" ht="25.5" customHeight="1"/>
    <row r="365" ht="25.5" customHeight="1"/>
    <row r="366" ht="25.5" customHeight="1"/>
    <row r="367" ht="25.5" customHeight="1"/>
    <row r="368" ht="25.5" customHeight="1"/>
    <row r="369" ht="25.5" customHeight="1"/>
    <row r="370" ht="25.5" customHeight="1"/>
    <row r="371" ht="25.5" customHeight="1"/>
    <row r="372" ht="25.5" customHeight="1"/>
    <row r="373" ht="25.5" customHeight="1"/>
    <row r="374" ht="25.5" customHeight="1"/>
    <row r="375" ht="25.5" customHeight="1"/>
    <row r="376" ht="25.5" customHeight="1"/>
    <row r="377" ht="25.5" customHeight="1"/>
    <row r="378" ht="25.5" customHeight="1"/>
    <row r="379" ht="25.5" customHeight="1"/>
    <row r="380" ht="25.5" customHeight="1"/>
    <row r="381" ht="25.5" customHeight="1"/>
    <row r="382" ht="25.5" customHeight="1"/>
    <row r="383" ht="25.5" customHeight="1"/>
    <row r="384" ht="25.5" customHeight="1"/>
    <row r="385" ht="25.5" customHeight="1"/>
    <row r="386" ht="25.5" customHeight="1"/>
    <row r="387" ht="25.5" customHeight="1"/>
    <row r="388" ht="25.5" customHeight="1"/>
    <row r="389" ht="25.5" customHeight="1"/>
    <row r="390" ht="25.5" customHeight="1"/>
    <row r="391" ht="25.5" customHeight="1"/>
    <row r="392" ht="25.5" customHeight="1"/>
    <row r="393" ht="25.5" customHeight="1"/>
    <row r="394" ht="25.5" customHeight="1"/>
    <row r="395" ht="25.5" customHeight="1"/>
    <row r="396" ht="25.5" customHeight="1"/>
    <row r="397" ht="25.5" customHeight="1"/>
    <row r="398" ht="25.5" customHeight="1"/>
    <row r="399" ht="25.5" customHeight="1"/>
    <row r="400" ht="25.5" customHeight="1"/>
    <row r="401" ht="25.5" customHeight="1"/>
    <row r="402" ht="25.5" customHeight="1"/>
    <row r="403" ht="25.5" customHeight="1"/>
    <row r="404" ht="25.5" customHeight="1"/>
    <row r="405" ht="25.5" customHeight="1"/>
    <row r="406" ht="25.5" customHeight="1"/>
    <row r="407" ht="25.5" customHeight="1"/>
    <row r="408" ht="25.5" customHeight="1"/>
    <row r="409" ht="25.5" customHeight="1"/>
    <row r="410" ht="25.5" customHeight="1"/>
    <row r="411" ht="25.5" customHeight="1"/>
    <row r="412" ht="25.5" customHeight="1"/>
    <row r="413" ht="25.5" customHeight="1"/>
    <row r="414" ht="25.5" customHeight="1"/>
    <row r="415" ht="25.5" customHeight="1"/>
    <row r="416" ht="25.5" customHeight="1"/>
    <row r="417" ht="25.5" customHeight="1"/>
    <row r="418" ht="25.5" customHeight="1"/>
    <row r="419" ht="25.5" customHeight="1"/>
    <row r="420" ht="25.5" customHeight="1"/>
    <row r="421" ht="25.5" customHeight="1"/>
    <row r="422" ht="25.5" customHeight="1"/>
    <row r="423" ht="25.5" customHeight="1"/>
    <row r="424" ht="25.5" customHeight="1"/>
    <row r="425" ht="25.5" customHeight="1"/>
    <row r="426" ht="25.5" customHeight="1"/>
    <row r="427" ht="25.5" customHeight="1"/>
    <row r="428" ht="25.5" customHeight="1"/>
    <row r="429" ht="25.5" customHeight="1"/>
    <row r="430" ht="25.5" customHeight="1"/>
    <row r="431" ht="25.5" customHeight="1"/>
    <row r="432" ht="25.5" customHeight="1"/>
    <row r="433" ht="25.5" customHeight="1"/>
    <row r="434" ht="25.5" customHeight="1"/>
    <row r="435" ht="25.5" customHeight="1"/>
    <row r="436" ht="25.5" customHeight="1"/>
    <row r="437" ht="25.5" customHeight="1"/>
    <row r="438" ht="25.5" customHeight="1"/>
    <row r="439" ht="25.5" customHeight="1"/>
    <row r="440" ht="25.5" customHeight="1"/>
    <row r="441" ht="25.5" customHeight="1"/>
    <row r="442" ht="25.5" customHeight="1"/>
    <row r="443" ht="25.5" customHeight="1"/>
    <row r="444" ht="25.5" customHeight="1"/>
    <row r="445" ht="25.5" customHeight="1"/>
    <row r="446" ht="25.5" customHeight="1"/>
    <row r="447" ht="25.5" customHeight="1"/>
    <row r="448" ht="25.5" customHeight="1"/>
    <row r="449" ht="25.5" customHeight="1"/>
    <row r="450" ht="25.5" customHeight="1"/>
    <row r="451" ht="25.5" customHeight="1"/>
    <row r="452" ht="25.5" customHeight="1"/>
    <row r="453" ht="25.5" customHeight="1"/>
    <row r="454" ht="25.5" customHeight="1"/>
    <row r="455" ht="25.5" customHeight="1"/>
    <row r="456" ht="25.5" customHeight="1"/>
    <row r="457" ht="25.5" customHeight="1"/>
    <row r="458" ht="25.5" customHeight="1"/>
    <row r="459" ht="25.5" customHeight="1"/>
    <row r="460" ht="25.5" customHeight="1"/>
    <row r="461" ht="25.5" customHeight="1"/>
    <row r="462" ht="25.5" customHeight="1"/>
    <row r="463" ht="25.5" customHeight="1"/>
    <row r="464" ht="25.5" customHeight="1"/>
    <row r="465" ht="25.5" customHeight="1"/>
    <row r="466" ht="25.5" customHeight="1"/>
    <row r="467" ht="25.5" customHeight="1"/>
    <row r="468" ht="25.5" customHeight="1"/>
    <row r="469" ht="25.5" customHeight="1"/>
    <row r="470" ht="25.5" customHeight="1"/>
    <row r="471" ht="25.5" customHeight="1"/>
    <row r="472" ht="25.5" customHeight="1"/>
    <row r="473" ht="25.5" customHeight="1"/>
    <row r="474" ht="25.5" customHeight="1"/>
    <row r="475" ht="25.5" customHeight="1"/>
    <row r="476" ht="25.5" customHeight="1"/>
    <row r="477" ht="25.5" customHeight="1"/>
    <row r="478" ht="25.5" customHeight="1"/>
    <row r="479" ht="25.5" customHeight="1"/>
    <row r="480" ht="25.5" customHeight="1"/>
    <row r="481" ht="25.5" customHeight="1"/>
    <row r="482" ht="25.5" customHeight="1"/>
    <row r="483" ht="25.5" customHeight="1"/>
    <row r="484" ht="25.5" customHeight="1"/>
    <row r="485" ht="25.5" customHeight="1"/>
    <row r="486" ht="25.5" customHeight="1"/>
    <row r="487" ht="25.5" customHeight="1"/>
    <row r="488" ht="25.5" customHeight="1"/>
    <row r="489" ht="25.5" customHeight="1"/>
    <row r="490" ht="25.5" customHeight="1"/>
    <row r="491" ht="25.5" customHeight="1"/>
    <row r="492" ht="25.5" customHeight="1"/>
    <row r="493" ht="25.5" customHeight="1"/>
    <row r="494" ht="25.5" customHeight="1"/>
    <row r="495" ht="25.5" customHeight="1"/>
    <row r="496" ht="25.5" customHeight="1"/>
    <row r="497" ht="25.5" customHeight="1"/>
    <row r="498" ht="25.5" customHeight="1"/>
    <row r="499" ht="25.5" customHeight="1"/>
    <row r="500" ht="25.5" customHeight="1"/>
    <row r="501" ht="25.5" customHeight="1"/>
    <row r="502" ht="25.5" customHeight="1"/>
    <row r="503" ht="25.5" customHeight="1"/>
    <row r="504" ht="25.5" customHeight="1"/>
    <row r="505" ht="25.5" customHeight="1"/>
    <row r="506" ht="25.5" customHeight="1"/>
    <row r="507" ht="25.5" customHeight="1"/>
    <row r="508" ht="25.5" customHeight="1"/>
    <row r="509" ht="25.5" customHeight="1"/>
    <row r="510" ht="25.5" customHeight="1"/>
    <row r="511" ht="25.5" customHeight="1"/>
    <row r="512" ht="25.5" customHeight="1"/>
    <row r="513" ht="25.5" customHeight="1"/>
    <row r="514" ht="25.5" customHeight="1"/>
    <row r="515" ht="25.5" customHeight="1"/>
    <row r="516" ht="25.5" customHeight="1"/>
    <row r="517" ht="25.5" customHeight="1"/>
    <row r="518" ht="25.5" customHeight="1"/>
    <row r="519" ht="25.5" customHeight="1"/>
    <row r="520" ht="25.5" customHeight="1"/>
    <row r="521" ht="25.5" customHeight="1"/>
    <row r="522" ht="25.5" customHeight="1"/>
    <row r="523" ht="25.5" customHeight="1"/>
    <row r="524" ht="25.5" customHeight="1"/>
    <row r="525" ht="25.5" customHeight="1"/>
    <row r="526" ht="25.5" customHeight="1"/>
    <row r="527" ht="25.5" customHeight="1"/>
    <row r="528" ht="25.5" customHeight="1"/>
    <row r="529" ht="25.5" customHeight="1"/>
    <row r="530" ht="25.5" customHeight="1"/>
    <row r="531" ht="25.5" customHeight="1"/>
    <row r="532" ht="25.5" customHeight="1"/>
    <row r="533" ht="25.5" customHeight="1"/>
    <row r="534" ht="25.5" customHeight="1"/>
    <row r="535" ht="25.5" customHeight="1"/>
    <row r="536" ht="25.5" customHeight="1"/>
    <row r="537" ht="25.5" customHeight="1"/>
    <row r="538" ht="25.5" customHeight="1"/>
    <row r="539" ht="25.5" customHeight="1"/>
    <row r="540" ht="25.5" customHeight="1"/>
    <row r="541" ht="25.5" customHeight="1"/>
    <row r="542" ht="25.5" customHeight="1"/>
    <row r="543" ht="25.5" customHeight="1"/>
    <row r="544" ht="25.5" customHeight="1"/>
    <row r="545" ht="25.5" customHeight="1"/>
    <row r="546" ht="25.5" customHeight="1"/>
    <row r="547" ht="25.5" customHeight="1"/>
    <row r="548" ht="25.5" customHeight="1"/>
    <row r="549" ht="25.5" customHeight="1"/>
    <row r="550" ht="25.5" customHeight="1"/>
    <row r="551" ht="25.5" customHeight="1"/>
    <row r="552" ht="25.5" customHeight="1"/>
    <row r="553" ht="25.5" customHeight="1"/>
    <row r="554" ht="25.5" customHeight="1"/>
    <row r="555" ht="25.5" customHeight="1"/>
    <row r="556" ht="25.5" customHeight="1"/>
    <row r="557" ht="25.5" customHeight="1"/>
    <row r="558" ht="25.5" customHeight="1"/>
    <row r="559" ht="25.5" customHeight="1"/>
    <row r="560" ht="25.5" customHeight="1"/>
    <row r="561" ht="25.5" customHeight="1"/>
    <row r="562" ht="25.5" customHeight="1"/>
    <row r="563" ht="25.5" customHeight="1"/>
    <row r="564" ht="25.5" customHeight="1"/>
    <row r="565" ht="25.5" customHeight="1"/>
    <row r="566" ht="25.5" customHeight="1"/>
    <row r="567" ht="25.5" customHeight="1"/>
    <row r="568" ht="25.5" customHeight="1"/>
    <row r="569" ht="25.5" customHeight="1"/>
    <row r="570" ht="25.5" customHeight="1"/>
    <row r="571" ht="25.5" customHeight="1"/>
    <row r="572" ht="25.5" customHeight="1"/>
    <row r="573" ht="25.5" customHeight="1"/>
    <row r="574" ht="25.5" customHeight="1"/>
    <row r="575" ht="25.5" customHeight="1"/>
    <row r="576" ht="25.5" customHeight="1"/>
    <row r="577" ht="25.5" customHeight="1"/>
    <row r="578" ht="25.5" customHeight="1"/>
    <row r="579" ht="25.5" customHeight="1"/>
    <row r="580" ht="25.5" customHeight="1"/>
    <row r="581" ht="25.5" customHeight="1"/>
    <row r="582" ht="25.5" customHeight="1"/>
    <row r="583" ht="25.5" customHeight="1"/>
    <row r="584" ht="25.5" customHeight="1"/>
    <row r="585" ht="25.5" customHeight="1"/>
    <row r="586" ht="25.5" customHeight="1"/>
    <row r="587" ht="25.5" customHeight="1"/>
    <row r="588" ht="25.5" customHeight="1"/>
    <row r="589" ht="25.5" customHeight="1"/>
    <row r="590" ht="25.5" customHeight="1"/>
    <row r="591" ht="25.5" customHeight="1"/>
    <row r="592" ht="25.5" customHeight="1"/>
    <row r="593" ht="25.5" customHeight="1"/>
    <row r="594" ht="25.5" customHeight="1"/>
    <row r="595" ht="25.5" customHeight="1"/>
    <row r="596" ht="25.5" customHeight="1"/>
    <row r="597" ht="25.5" customHeight="1"/>
    <row r="598" ht="25.5" customHeight="1"/>
    <row r="599" ht="25.5" customHeight="1"/>
    <row r="600" ht="25.5" customHeight="1"/>
    <row r="601" ht="25.5" customHeight="1"/>
    <row r="602" ht="25.5" customHeight="1"/>
    <row r="603" ht="25.5" customHeight="1"/>
    <row r="604" ht="25.5" customHeight="1"/>
    <row r="605" ht="25.5" customHeight="1"/>
    <row r="606" ht="25.5" customHeight="1"/>
    <row r="607" ht="25.5" customHeight="1"/>
    <row r="608" ht="25.5" customHeight="1"/>
    <row r="609" ht="25.5" customHeight="1"/>
    <row r="610" ht="25.5" customHeight="1"/>
    <row r="611" ht="25.5" customHeight="1"/>
    <row r="612" ht="25.5" customHeight="1"/>
    <row r="613" ht="25.5" customHeight="1"/>
    <row r="614" ht="25.5" customHeight="1"/>
    <row r="615" ht="25.5" customHeight="1"/>
    <row r="616" ht="25.5" customHeight="1"/>
    <row r="617" ht="25.5" customHeight="1"/>
    <row r="618" ht="25.5" customHeight="1"/>
    <row r="619" ht="25.5" customHeight="1"/>
    <row r="620" ht="25.5" customHeight="1"/>
    <row r="621" ht="25.5" customHeight="1"/>
    <row r="622" ht="25.5" customHeight="1"/>
    <row r="623" ht="25.5" customHeight="1"/>
    <row r="624" ht="25.5" customHeight="1"/>
    <row r="625" ht="25.5" customHeight="1"/>
    <row r="626" ht="25.5" customHeight="1"/>
    <row r="627" ht="25.5" customHeight="1"/>
    <row r="628" ht="25.5" customHeight="1"/>
    <row r="629" ht="25.5" customHeight="1"/>
    <row r="630" ht="25.5" customHeight="1"/>
    <row r="631" ht="25.5" customHeight="1"/>
    <row r="632" ht="25.5" customHeight="1"/>
    <row r="633" ht="25.5" customHeight="1"/>
    <row r="634" ht="25.5" customHeight="1"/>
    <row r="635" ht="25.5" customHeight="1"/>
    <row r="636" ht="25.5" customHeight="1"/>
    <row r="637" ht="25.5" customHeight="1"/>
    <row r="638" ht="25.5" customHeight="1"/>
    <row r="639" ht="25.5" customHeight="1"/>
    <row r="640" ht="25.5" customHeight="1"/>
    <row r="641" ht="25.5" customHeight="1"/>
    <row r="642" ht="25.5" customHeight="1"/>
    <row r="643" ht="25.5" customHeight="1"/>
    <row r="644" ht="25.5" customHeight="1"/>
    <row r="645" ht="25.5" customHeight="1"/>
    <row r="646" ht="25.5" customHeight="1"/>
    <row r="647" ht="25.5" customHeight="1"/>
    <row r="648" ht="25.5" customHeight="1"/>
    <row r="649" ht="25.5" customHeight="1"/>
    <row r="650" ht="25.5" customHeight="1"/>
    <row r="651" ht="25.5" customHeight="1"/>
    <row r="652" ht="25.5" customHeight="1"/>
    <row r="653" ht="25.5" customHeight="1"/>
    <row r="654" ht="25.5" customHeight="1"/>
    <row r="655" ht="25.5" customHeight="1"/>
    <row r="656" ht="25.5" customHeight="1"/>
    <row r="657" ht="25.5" customHeight="1"/>
    <row r="658" ht="25.5" customHeight="1"/>
    <row r="659" ht="25.5" customHeight="1"/>
    <row r="660" ht="25.5" customHeight="1"/>
    <row r="661" ht="25.5" customHeight="1"/>
    <row r="662" ht="25.5" customHeight="1"/>
    <row r="663" ht="25.5" customHeight="1"/>
    <row r="664" ht="25.5" customHeight="1"/>
    <row r="665" ht="25.5" customHeight="1"/>
    <row r="666" ht="25.5" customHeight="1"/>
    <row r="667" ht="25.5" customHeight="1"/>
    <row r="668" ht="25.5" customHeight="1"/>
    <row r="669" ht="25.5" customHeight="1"/>
    <row r="670" ht="25.5" customHeight="1"/>
    <row r="671" ht="25.5" customHeight="1"/>
    <row r="672" ht="25.5" customHeight="1"/>
    <row r="673" ht="25.5" customHeight="1"/>
    <row r="674" ht="25.5" customHeight="1"/>
    <row r="675" ht="25.5" customHeight="1"/>
    <row r="676" ht="25.5" customHeight="1"/>
    <row r="677" ht="25.5" customHeight="1"/>
    <row r="678" ht="25.5" customHeight="1"/>
    <row r="679" ht="25.5" customHeight="1"/>
    <row r="680" ht="25.5" customHeight="1"/>
    <row r="681" ht="25.5" customHeight="1"/>
    <row r="682" ht="25.5" customHeight="1"/>
    <row r="683" ht="25.5" customHeight="1"/>
    <row r="684" ht="25.5" customHeight="1"/>
    <row r="685" ht="25.5" customHeight="1"/>
    <row r="686" ht="25.5" customHeight="1"/>
    <row r="687" ht="25.5" customHeight="1"/>
    <row r="688" ht="25.5" customHeight="1"/>
    <row r="689" ht="25.5" customHeight="1"/>
    <row r="690" ht="25.5" customHeight="1"/>
    <row r="691" ht="25.5" customHeight="1"/>
    <row r="692" ht="25.5" customHeight="1"/>
    <row r="693" ht="25.5" customHeight="1"/>
    <row r="694" ht="25.5" customHeight="1"/>
    <row r="695" ht="25.5" customHeight="1"/>
    <row r="696" ht="25.5" customHeight="1"/>
    <row r="697" ht="25.5" customHeight="1"/>
    <row r="698" ht="25.5" customHeight="1"/>
    <row r="699" ht="25.5" customHeight="1"/>
    <row r="700" ht="25.5" customHeight="1"/>
    <row r="701" ht="25.5" customHeight="1"/>
    <row r="702" ht="25.5" customHeight="1"/>
    <row r="703" ht="25.5" customHeight="1"/>
    <row r="704" ht="25.5" customHeight="1"/>
    <row r="705" ht="25.5" customHeight="1"/>
    <row r="706" ht="25.5" customHeight="1"/>
    <row r="707" ht="25.5" customHeight="1"/>
    <row r="708" ht="25.5" customHeight="1"/>
    <row r="709" ht="25.5" customHeight="1"/>
    <row r="710" ht="25.5" customHeight="1"/>
    <row r="711" ht="25.5" customHeight="1"/>
    <row r="712" ht="25.5" customHeight="1"/>
    <row r="713" ht="25.5" customHeight="1"/>
    <row r="714" ht="25.5" customHeight="1"/>
    <row r="715" ht="25.5" customHeight="1"/>
    <row r="716" ht="25.5" customHeight="1"/>
    <row r="717" ht="25.5" customHeight="1"/>
    <row r="718" ht="25.5" customHeight="1"/>
    <row r="719" ht="25.5" customHeight="1"/>
    <row r="720" ht="25.5" customHeight="1"/>
    <row r="721" ht="25.5" customHeight="1"/>
    <row r="722" ht="25.5" customHeight="1"/>
    <row r="723" ht="25.5" customHeight="1"/>
    <row r="724" ht="25.5" customHeight="1"/>
    <row r="725" ht="25.5" customHeight="1"/>
    <row r="726" ht="25.5" customHeight="1"/>
    <row r="727" ht="25.5" customHeight="1"/>
    <row r="728" ht="25.5" customHeight="1"/>
    <row r="729" ht="25.5" customHeight="1"/>
    <row r="730" ht="25.5" customHeight="1"/>
    <row r="731" ht="25.5" customHeight="1"/>
    <row r="732" ht="25.5" customHeight="1"/>
    <row r="733" ht="25.5" customHeight="1"/>
    <row r="734" ht="25.5" customHeight="1"/>
    <row r="735" ht="25.5" customHeight="1"/>
    <row r="736" ht="25.5" customHeight="1"/>
    <row r="737" ht="25.5" customHeight="1"/>
    <row r="738" ht="25.5" customHeight="1"/>
    <row r="739" ht="25.5" customHeight="1"/>
    <row r="740" ht="25.5" customHeight="1"/>
    <row r="741" ht="25.5" customHeight="1"/>
    <row r="742" ht="25.5" customHeight="1"/>
    <row r="743" ht="25.5" customHeight="1"/>
    <row r="744" ht="25.5" customHeight="1"/>
    <row r="745" ht="25.5" customHeight="1"/>
    <row r="746" ht="25.5" customHeight="1"/>
    <row r="747" ht="25.5" customHeight="1"/>
    <row r="748" ht="25.5" customHeight="1"/>
    <row r="749" ht="25.5" customHeight="1"/>
    <row r="750" ht="25.5" customHeight="1"/>
    <row r="751" ht="25.5" customHeight="1"/>
    <row r="752" ht="25.5" customHeight="1"/>
    <row r="753" ht="25.5" customHeight="1"/>
    <row r="754" ht="25.5" customHeight="1"/>
    <row r="755" ht="25.5" customHeight="1"/>
    <row r="756" ht="25.5" customHeight="1"/>
    <row r="757" ht="25.5" customHeight="1"/>
    <row r="758" ht="25.5" customHeight="1"/>
    <row r="759" ht="25.5" customHeight="1"/>
    <row r="760" ht="25.5" customHeight="1"/>
    <row r="761" ht="25.5" customHeight="1"/>
    <row r="762" ht="25.5" customHeight="1"/>
    <row r="763" ht="25.5" customHeight="1"/>
    <row r="764" ht="25.5" customHeight="1"/>
    <row r="765" ht="25.5" customHeight="1"/>
    <row r="766" ht="25.5" customHeight="1"/>
    <row r="767" ht="25.5" customHeight="1"/>
    <row r="768" ht="25.5" customHeight="1"/>
    <row r="769" ht="25.5" customHeight="1"/>
    <row r="770" ht="25.5" customHeight="1"/>
    <row r="771" ht="25.5" customHeight="1"/>
    <row r="772" ht="25.5" customHeight="1"/>
    <row r="773" ht="25.5" customHeight="1"/>
    <row r="774" ht="25.5" customHeight="1"/>
    <row r="775" ht="25.5" customHeight="1"/>
    <row r="776" ht="25.5" customHeight="1"/>
    <row r="777" ht="25.5" customHeight="1"/>
    <row r="778" ht="25.5" customHeight="1"/>
    <row r="779" ht="25.5" customHeight="1"/>
    <row r="780" ht="25.5" customHeight="1"/>
    <row r="781" ht="25.5" customHeight="1"/>
    <row r="782" ht="25.5" customHeight="1"/>
    <row r="783" ht="25.5" customHeight="1"/>
    <row r="784" ht="25.5" customHeight="1"/>
    <row r="785" ht="25.5" customHeight="1"/>
    <row r="786" ht="25.5" customHeight="1"/>
    <row r="787" ht="25.5" customHeight="1"/>
    <row r="788" ht="25.5" customHeight="1"/>
    <row r="789" ht="25.5" customHeight="1"/>
    <row r="790" ht="25.5" customHeight="1"/>
    <row r="791" ht="25.5" customHeight="1"/>
    <row r="792" ht="25.5" customHeight="1"/>
    <row r="793" ht="25.5" customHeight="1"/>
    <row r="794" ht="25.5" customHeight="1"/>
    <row r="795" ht="25.5" customHeight="1"/>
    <row r="796" ht="25.5" customHeight="1"/>
    <row r="797" ht="25.5" customHeight="1"/>
    <row r="798" ht="25.5" customHeight="1"/>
    <row r="799" ht="25.5" customHeight="1"/>
    <row r="800" ht="25.5" customHeight="1"/>
    <row r="801" ht="25.5" customHeight="1"/>
    <row r="802" ht="25.5" customHeight="1"/>
    <row r="803" ht="25.5" customHeight="1"/>
    <row r="804" ht="25.5" customHeight="1"/>
    <row r="805" ht="25.5" customHeight="1"/>
    <row r="806" ht="25.5" customHeight="1"/>
    <row r="807" ht="25.5" customHeight="1"/>
    <row r="808" ht="25.5" customHeight="1"/>
    <row r="809" ht="25.5" customHeight="1"/>
    <row r="810" ht="25.5" customHeight="1"/>
    <row r="811" ht="25.5" customHeight="1"/>
    <row r="812" ht="25.5" customHeight="1"/>
    <row r="813" ht="25.5" customHeight="1"/>
    <row r="814" ht="25.5" customHeight="1"/>
    <row r="815" ht="25.5" customHeight="1"/>
    <row r="816" ht="25.5" customHeight="1"/>
    <row r="817" ht="25.5" customHeight="1"/>
    <row r="818" ht="25.5" customHeight="1"/>
  </sheetData>
  <mergeCells count="8">
    <mergeCell ref="A1:G1"/>
    <mergeCell ref="A2:A3"/>
    <mergeCell ref="B2:B3"/>
    <mergeCell ref="C2:C3"/>
    <mergeCell ref="D2:D3"/>
    <mergeCell ref="E2:E3"/>
    <mergeCell ref="F2:G2"/>
    <mergeCell ref="A66:C66"/>
  </mergeCells>
  <dataValidations>
    <dataValidation type="list" allowBlank="1" sqref="I4:I64">
      <formula1>"CHECKED (OK),CHECKED  (NOT OK)"</formula1>
    </dataValidation>
  </dataValidations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4" max="4" width="26.13"/>
    <col customWidth="1" min="5" max="5" width="44.38"/>
    <col hidden="1" min="8" max="8" width="12.63"/>
    <col customWidth="1" min="9" max="9" width="18.63"/>
    <col customWidth="1" min="10" max="10" width="21.63"/>
  </cols>
  <sheetData>
    <row r="1" ht="39.0" customHeight="1">
      <c r="A1" s="30" t="s">
        <v>1498</v>
      </c>
      <c r="H1" s="31"/>
      <c r="I1" s="32" t="s">
        <v>1499</v>
      </c>
      <c r="J1" s="33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ht="29.25" customHeight="1">
      <c r="A2" s="281" t="s">
        <v>1</v>
      </c>
      <c r="B2" s="266" t="s">
        <v>11</v>
      </c>
      <c r="C2" s="266" t="s">
        <v>1452</v>
      </c>
      <c r="D2" s="266" t="s">
        <v>12</v>
      </c>
      <c r="E2" s="266" t="s">
        <v>13</v>
      </c>
      <c r="F2" s="37" t="s">
        <v>14</v>
      </c>
      <c r="G2" s="38"/>
      <c r="H2" s="39"/>
      <c r="I2" s="40"/>
      <c r="J2" s="40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 ht="33.0" customHeight="1">
      <c r="A3" s="41"/>
      <c r="B3" s="38"/>
      <c r="C3" s="38"/>
      <c r="D3" s="38"/>
      <c r="E3" s="38"/>
      <c r="F3" s="42" t="s">
        <v>15</v>
      </c>
      <c r="G3" s="43" t="s">
        <v>5</v>
      </c>
      <c r="H3" s="39"/>
      <c r="I3" s="44" t="s">
        <v>6</v>
      </c>
      <c r="J3" s="45" t="s">
        <v>7</v>
      </c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 ht="25.5" customHeight="1">
      <c r="A4" s="282">
        <v>1.0</v>
      </c>
      <c r="B4" s="47">
        <v>1007424.0</v>
      </c>
      <c r="C4" s="283" t="str">
        <f>vlookup(B4,'Crew data for number'!B:C,2,0)</f>
        <v>TAA4074</v>
      </c>
      <c r="D4" s="284" t="str">
        <f>vlookup(B4,'Crew Data'!C:G,5,0)</f>
        <v>#N/A</v>
      </c>
      <c r="E4" s="267" t="s">
        <v>1500</v>
      </c>
      <c r="F4" s="47">
        <v>2.0</v>
      </c>
      <c r="G4" s="50">
        <f t="shared" ref="G4:G67" si="1">F4*400</f>
        <v>800</v>
      </c>
      <c r="H4" s="285">
        <f t="shared" ref="H4:H67" si="2">COUNTIF(B:B,B4)</f>
        <v>1</v>
      </c>
      <c r="I4" s="51" t="s">
        <v>20</v>
      </c>
      <c r="J4" s="40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</row>
    <row r="5" ht="25.5" customHeight="1">
      <c r="A5" s="54">
        <v>2.0</v>
      </c>
      <c r="B5" s="47">
        <v>1004317.0</v>
      </c>
      <c r="C5" s="283" t="str">
        <f>vlookup(B5,'Crew data for number'!B:C,2,0)</f>
        <v>TAA2950</v>
      </c>
      <c r="D5" s="284" t="str">
        <f>vlookup(B5,'Crew Data'!C:G,5,0)</f>
        <v>Narit Aimwat</v>
      </c>
      <c r="E5" s="267" t="s">
        <v>1501</v>
      </c>
      <c r="F5" s="47">
        <v>31.0</v>
      </c>
      <c r="G5" s="50">
        <f t="shared" si="1"/>
        <v>12400</v>
      </c>
      <c r="H5" s="285">
        <f t="shared" si="2"/>
        <v>1</v>
      </c>
      <c r="I5" s="51" t="s">
        <v>20</v>
      </c>
    </row>
    <row r="6" ht="25.5" customHeight="1">
      <c r="A6" s="282">
        <v>3.0</v>
      </c>
      <c r="B6" s="47">
        <v>1011320.0</v>
      </c>
      <c r="C6" s="283" t="str">
        <f>vlookup(B6,'Crew data for number'!B:C,2,0)</f>
        <v>TAA5576</v>
      </c>
      <c r="D6" s="284" t="str">
        <f>vlookup(B6,'Crew Data'!C:G,5,0)</f>
        <v>Sudhat Bunnag</v>
      </c>
      <c r="E6" s="267" t="s">
        <v>1502</v>
      </c>
      <c r="F6" s="47">
        <v>56.0</v>
      </c>
      <c r="G6" s="50">
        <f t="shared" si="1"/>
        <v>22400</v>
      </c>
      <c r="H6" s="285">
        <f t="shared" si="2"/>
        <v>1</v>
      </c>
      <c r="I6" s="51" t="s">
        <v>20</v>
      </c>
    </row>
    <row r="7" ht="25.5" customHeight="1">
      <c r="A7" s="54">
        <v>4.0</v>
      </c>
      <c r="B7" s="47">
        <v>1022985.0</v>
      </c>
      <c r="C7" s="283" t="str">
        <f>vlookup(B7,'Crew data for number'!B:C,2,0)</f>
        <v/>
      </c>
      <c r="D7" s="284" t="str">
        <f>vlookup(B7,'Crew Data'!C:G,5,0)</f>
        <v>#N/A</v>
      </c>
      <c r="E7" s="267" t="s">
        <v>1503</v>
      </c>
      <c r="F7" s="47">
        <v>4.0</v>
      </c>
      <c r="G7" s="50">
        <f t="shared" si="1"/>
        <v>1600</v>
      </c>
      <c r="H7" s="285">
        <f t="shared" si="2"/>
        <v>1</v>
      </c>
      <c r="I7" s="51" t="s">
        <v>20</v>
      </c>
    </row>
    <row r="8" ht="25.5" customHeight="1">
      <c r="A8" s="282">
        <v>5.0</v>
      </c>
      <c r="B8" s="47">
        <v>1012989.0</v>
      </c>
      <c r="C8" s="283" t="str">
        <f>vlookup(B8,'Crew data for number'!B:C,2,0)</f>
        <v>TAA6502</v>
      </c>
      <c r="D8" s="284" t="str">
        <f>vlookup(B8,'Crew Data'!C:G,5,0)</f>
        <v>Kitibodee Harnkunthamart</v>
      </c>
      <c r="E8" s="267" t="s">
        <v>1504</v>
      </c>
      <c r="F8" s="47">
        <v>60.0</v>
      </c>
      <c r="G8" s="50">
        <f t="shared" si="1"/>
        <v>24000</v>
      </c>
      <c r="H8" s="285">
        <f t="shared" si="2"/>
        <v>1</v>
      </c>
      <c r="I8" s="51" t="s">
        <v>20</v>
      </c>
    </row>
    <row r="9" ht="25.5" customHeight="1">
      <c r="A9" s="54">
        <v>6.0</v>
      </c>
      <c r="B9" s="47">
        <v>1012365.0</v>
      </c>
      <c r="C9" s="283" t="str">
        <f>vlookup(B9,'Crew data for number'!B:C,2,0)</f>
        <v>TAA6137</v>
      </c>
      <c r="D9" s="284" t="str">
        <f>vlookup(B9,'Crew Data'!C:G,5,0)</f>
        <v>Manassaphorn Boonprasertwattana</v>
      </c>
      <c r="E9" s="267" t="s">
        <v>1505</v>
      </c>
      <c r="F9" s="47">
        <v>54.0</v>
      </c>
      <c r="G9" s="50">
        <f t="shared" si="1"/>
        <v>21600</v>
      </c>
      <c r="H9" s="285">
        <f t="shared" si="2"/>
        <v>1</v>
      </c>
      <c r="I9" s="51" t="s">
        <v>20</v>
      </c>
    </row>
    <row r="10" ht="25.5" customHeight="1">
      <c r="A10" s="282">
        <v>7.0</v>
      </c>
      <c r="B10" s="47">
        <v>1012901.0</v>
      </c>
      <c r="C10" s="283" t="str">
        <f>vlookup(B10,'Crew data for number'!B:C,2,0)</f>
        <v>TAA6367</v>
      </c>
      <c r="D10" s="284" t="str">
        <f>vlookup(B10,'Crew Data'!C:G,5,0)</f>
        <v>Sandao Siriwarunrak</v>
      </c>
      <c r="E10" s="267" t="s">
        <v>1453</v>
      </c>
      <c r="F10" s="47">
        <v>3.0</v>
      </c>
      <c r="G10" s="50">
        <f t="shared" si="1"/>
        <v>1200</v>
      </c>
      <c r="H10" s="285">
        <f t="shared" si="2"/>
        <v>1</v>
      </c>
      <c r="I10" s="51" t="s">
        <v>20</v>
      </c>
    </row>
    <row r="11" ht="25.5" customHeight="1">
      <c r="A11" s="54">
        <v>8.0</v>
      </c>
      <c r="B11" s="47">
        <v>1011517.0</v>
      </c>
      <c r="C11" s="283" t="str">
        <f>vlookup(B11,'Crew data for number'!B:C,2,0)</f>
        <v>TAA5739</v>
      </c>
      <c r="D11" s="284" t="str">
        <f>vlookup(B11,'Crew Data'!C:G,5,0)</f>
        <v>#N/A</v>
      </c>
      <c r="E11" s="267" t="s">
        <v>1506</v>
      </c>
      <c r="F11" s="47">
        <v>2.0</v>
      </c>
      <c r="G11" s="50">
        <f t="shared" si="1"/>
        <v>800</v>
      </c>
      <c r="H11" s="285">
        <f t="shared" si="2"/>
        <v>1</v>
      </c>
      <c r="I11" s="51" t="s">
        <v>20</v>
      </c>
    </row>
    <row r="12" ht="25.5" customHeight="1">
      <c r="A12" s="282">
        <v>9.0</v>
      </c>
      <c r="B12" s="47">
        <v>1003418.0</v>
      </c>
      <c r="C12" s="283" t="str">
        <f>vlookup(B12,'Crew data for number'!B:C,2,0)</f>
        <v>TAA2430</v>
      </c>
      <c r="D12" s="284" t="str">
        <f>vlookup(B12,'Crew Data'!C:G,5,0)</f>
        <v>Chiravitch Kittiphongsathaporn</v>
      </c>
      <c r="E12" s="268">
        <v>43709.0</v>
      </c>
      <c r="F12" s="47">
        <v>1.0</v>
      </c>
      <c r="G12" s="50">
        <f t="shared" si="1"/>
        <v>400</v>
      </c>
      <c r="H12" s="285">
        <f t="shared" si="2"/>
        <v>1</v>
      </c>
      <c r="I12" s="51" t="s">
        <v>20</v>
      </c>
    </row>
    <row r="13" ht="25.5" customHeight="1">
      <c r="A13" s="54">
        <v>10.0</v>
      </c>
      <c r="B13" s="47">
        <v>1011741.0</v>
      </c>
      <c r="C13" s="283" t="str">
        <f>vlookup(B13,'Crew data for number'!B:C,2,0)</f>
        <v>TAA5816</v>
      </c>
      <c r="D13" s="284" t="str">
        <f>vlookup(B13,'Crew Data'!C:G,5,0)</f>
        <v>Naphak Aussanon</v>
      </c>
      <c r="E13" s="267" t="s">
        <v>1507</v>
      </c>
      <c r="F13" s="47">
        <v>3.0</v>
      </c>
      <c r="G13" s="50">
        <f t="shared" si="1"/>
        <v>1200</v>
      </c>
      <c r="H13" s="285">
        <f t="shared" si="2"/>
        <v>1</v>
      </c>
      <c r="I13" s="51" t="s">
        <v>20</v>
      </c>
    </row>
    <row r="14" ht="25.5" customHeight="1">
      <c r="A14" s="282">
        <v>11.0</v>
      </c>
      <c r="B14" s="47">
        <v>1005906.0</v>
      </c>
      <c r="C14" s="283" t="str">
        <f>vlookup(B14,'Crew data for number'!B:C,2,0)</f>
        <v>TAA3924</v>
      </c>
      <c r="D14" s="284" t="str">
        <f>vlookup(B14,'Crew Data'!C:G,5,0)</f>
        <v>Supatra Pokkhabut</v>
      </c>
      <c r="E14" s="268">
        <v>43709.0</v>
      </c>
      <c r="F14" s="47">
        <v>1.0</v>
      </c>
      <c r="G14" s="50">
        <f t="shared" si="1"/>
        <v>400</v>
      </c>
      <c r="H14" s="285">
        <f t="shared" si="2"/>
        <v>1</v>
      </c>
      <c r="I14" s="51" t="s">
        <v>20</v>
      </c>
    </row>
    <row r="15" ht="25.5" customHeight="1">
      <c r="A15" s="282">
        <v>12.0</v>
      </c>
      <c r="B15" s="47">
        <v>1006593.0</v>
      </c>
      <c r="C15" s="283" t="str">
        <f>vlookup(B15,'Crew data for number'!B:C,2,0)</f>
        <v>TAA4279</v>
      </c>
      <c r="D15" s="284" t="str">
        <f>vlookup(B15,'Crew Data'!C:G,5,0)</f>
        <v>Bhataranan Tanaree</v>
      </c>
      <c r="E15" s="267" t="s">
        <v>1453</v>
      </c>
      <c r="F15" s="47">
        <v>3.0</v>
      </c>
      <c r="G15" s="50">
        <f t="shared" si="1"/>
        <v>1200</v>
      </c>
      <c r="H15" s="285">
        <f t="shared" si="2"/>
        <v>1</v>
      </c>
      <c r="I15" s="51" t="s">
        <v>20</v>
      </c>
    </row>
    <row r="16" ht="25.5" customHeight="1">
      <c r="A16" s="282">
        <v>13.0</v>
      </c>
      <c r="B16" s="47">
        <v>1001914.0</v>
      </c>
      <c r="C16" s="283" t="str">
        <f>vlookup(B16,'Crew data for number'!B:C,2,0)</f>
        <v>TAA1731</v>
      </c>
      <c r="D16" s="284" t="str">
        <f>vlookup(B16,'Crew Data'!C:G,5,0)</f>
        <v>Arthitaya Srisopon</v>
      </c>
      <c r="E16" s="269" t="s">
        <v>1508</v>
      </c>
      <c r="F16" s="47">
        <v>1.0</v>
      </c>
      <c r="G16" s="50">
        <f t="shared" si="1"/>
        <v>400</v>
      </c>
      <c r="H16" s="285">
        <f t="shared" si="2"/>
        <v>1</v>
      </c>
      <c r="I16" s="51" t="s">
        <v>20</v>
      </c>
    </row>
    <row r="17" ht="25.5" customHeight="1">
      <c r="A17" s="54">
        <v>14.0</v>
      </c>
      <c r="B17" s="47">
        <v>1018530.0</v>
      </c>
      <c r="C17" s="283" t="str">
        <f>vlookup(B17,'Crew data for number'!B:C,2,0)</f>
        <v>TAA7750</v>
      </c>
      <c r="D17" s="284" t="str">
        <f>vlookup(B17,'Crew Data'!C:G,5,0)</f>
        <v>Chaniporn Thanaworrapak</v>
      </c>
      <c r="E17" s="267" t="s">
        <v>1509</v>
      </c>
      <c r="F17" s="47">
        <v>2.0</v>
      </c>
      <c r="G17" s="50">
        <f t="shared" si="1"/>
        <v>800</v>
      </c>
      <c r="H17" s="285">
        <f t="shared" si="2"/>
        <v>1</v>
      </c>
      <c r="I17" s="51" t="s">
        <v>20</v>
      </c>
    </row>
    <row r="18" ht="25.5" customHeight="1">
      <c r="A18" s="282">
        <v>15.0</v>
      </c>
      <c r="B18" s="47">
        <v>1007418.0</v>
      </c>
      <c r="C18" s="283" t="str">
        <f>vlookup(B18,'Crew data for number'!B:C,2,0)</f>
        <v>TAA4070</v>
      </c>
      <c r="D18" s="284" t="str">
        <f>vlookup(B18,'Crew Data'!C:G,5,0)</f>
        <v>Nattaphat Boonprasit</v>
      </c>
      <c r="E18" s="268">
        <v>43709.0</v>
      </c>
      <c r="F18" s="47">
        <v>1.0</v>
      </c>
      <c r="G18" s="50">
        <f t="shared" si="1"/>
        <v>400</v>
      </c>
      <c r="H18" s="285">
        <f t="shared" si="2"/>
        <v>1</v>
      </c>
      <c r="I18" s="51" t="s">
        <v>20</v>
      </c>
    </row>
    <row r="19" ht="25.5" customHeight="1">
      <c r="A19" s="282">
        <v>16.0</v>
      </c>
      <c r="B19" s="47">
        <v>1018977.0</v>
      </c>
      <c r="C19" s="283" t="str">
        <f>vlookup(B19,'Crew data for number'!B:C,2,0)</f>
        <v>TAA7835</v>
      </c>
      <c r="D19" s="284" t="str">
        <f>vlookup(B19,'Crew Data'!C:G,5,0)</f>
        <v>Ploypailin Chuntawong</v>
      </c>
      <c r="E19" s="267" t="s">
        <v>1509</v>
      </c>
      <c r="F19" s="47">
        <v>2.0</v>
      </c>
      <c r="G19" s="50">
        <f t="shared" si="1"/>
        <v>800</v>
      </c>
      <c r="H19" s="285">
        <f t="shared" si="2"/>
        <v>1</v>
      </c>
      <c r="I19" s="51" t="s">
        <v>20</v>
      </c>
    </row>
    <row r="20" ht="25.5" customHeight="1">
      <c r="A20" s="282">
        <v>17.0</v>
      </c>
      <c r="B20" s="47">
        <v>1001036.0</v>
      </c>
      <c r="C20" s="283" t="str">
        <f>vlookup(B20,'Crew data for number'!B:C,2,0)</f>
        <v>TAA1073</v>
      </c>
      <c r="D20" s="284" t="str">
        <f>vlookup(B20,'Crew Data'!C:G,5,0)</f>
        <v>#N/A</v>
      </c>
      <c r="E20" s="267" t="s">
        <v>1484</v>
      </c>
      <c r="F20" s="47">
        <v>30.0</v>
      </c>
      <c r="G20" s="50">
        <f t="shared" si="1"/>
        <v>12000</v>
      </c>
      <c r="H20" s="285">
        <f t="shared" si="2"/>
        <v>1</v>
      </c>
      <c r="I20" s="51" t="s">
        <v>20</v>
      </c>
    </row>
    <row r="21" ht="25.5" customHeight="1">
      <c r="A21" s="54">
        <v>18.0</v>
      </c>
      <c r="B21" s="47">
        <v>1015391.0</v>
      </c>
      <c r="C21" s="283" t="str">
        <f>vlookup(B21,'Crew data for number'!B:C,2,0)</f>
        <v>TAA7065</v>
      </c>
      <c r="D21" s="284" t="str">
        <f>vlookup(B21,'Crew Data'!C:G,5,0)</f>
        <v>Chintapa Sukharn</v>
      </c>
      <c r="E21" s="267" t="s">
        <v>1510</v>
      </c>
      <c r="F21" s="47">
        <v>27.0</v>
      </c>
      <c r="G21" s="50">
        <f t="shared" si="1"/>
        <v>10800</v>
      </c>
      <c r="H21" s="285">
        <f t="shared" si="2"/>
        <v>1</v>
      </c>
      <c r="I21" s="51" t="s">
        <v>20</v>
      </c>
    </row>
    <row r="22" ht="25.5" customHeight="1">
      <c r="A22" s="282">
        <v>19.0</v>
      </c>
      <c r="B22" s="47">
        <v>1006313.0</v>
      </c>
      <c r="C22" s="283" t="str">
        <f>vlookup(B22,'Crew data for number'!B:C,2,0)</f>
        <v>TAA3678</v>
      </c>
      <c r="D22" s="284" t="str">
        <f>vlookup(B22,'Crew Data'!C:G,5,0)</f>
        <v>Kanyarat Palasak</v>
      </c>
      <c r="E22" s="267" t="s">
        <v>1511</v>
      </c>
      <c r="F22" s="47">
        <v>4.0</v>
      </c>
      <c r="G22" s="50">
        <f t="shared" si="1"/>
        <v>1600</v>
      </c>
      <c r="H22" s="285">
        <f t="shared" si="2"/>
        <v>1</v>
      </c>
      <c r="I22" s="51" t="s">
        <v>20</v>
      </c>
    </row>
    <row r="23" ht="25.5" customHeight="1">
      <c r="A23" s="282">
        <v>20.0</v>
      </c>
      <c r="B23" s="47">
        <v>1002370.0</v>
      </c>
      <c r="C23" s="283" t="str">
        <f>vlookup(B23,'Crew data for number'!B:C,2,0)</f>
        <v>TAA1963</v>
      </c>
      <c r="D23" s="284" t="str">
        <f>vlookup(B23,'Crew Data'!C:G,5,0)</f>
        <v>Napaphat Yuktanan</v>
      </c>
      <c r="E23" s="267" t="s">
        <v>1453</v>
      </c>
      <c r="F23" s="47">
        <v>3.0</v>
      </c>
      <c r="G23" s="50">
        <f t="shared" si="1"/>
        <v>1200</v>
      </c>
      <c r="H23" s="285">
        <f t="shared" si="2"/>
        <v>1</v>
      </c>
      <c r="I23" s="51" t="s">
        <v>20</v>
      </c>
    </row>
    <row r="24" ht="25.5" customHeight="1">
      <c r="A24" s="282">
        <v>21.0</v>
      </c>
      <c r="B24" s="47">
        <v>1001319.0</v>
      </c>
      <c r="C24" s="283" t="str">
        <f>vlookup(B24,'Crew data for number'!B:C,2,0)</f>
        <v>TAA1303</v>
      </c>
      <c r="D24" s="284" t="str">
        <f>vlookup(B24,'Crew Data'!C:G,5,0)</f>
        <v>Wipat Lurkasemsuk</v>
      </c>
      <c r="E24" s="267" t="s">
        <v>1512</v>
      </c>
      <c r="F24" s="47">
        <v>28.0</v>
      </c>
      <c r="G24" s="50">
        <f t="shared" si="1"/>
        <v>11200</v>
      </c>
      <c r="H24" s="285">
        <f t="shared" si="2"/>
        <v>1</v>
      </c>
      <c r="I24" s="51" t="s">
        <v>20</v>
      </c>
    </row>
    <row r="25" ht="25.5" customHeight="1">
      <c r="A25" s="54">
        <v>22.0</v>
      </c>
      <c r="B25" s="47">
        <v>1013179.0</v>
      </c>
      <c r="C25" s="283" t="str">
        <f>vlookup(B25,'Crew data for number'!B:C,2,0)</f>
        <v>TAA6398</v>
      </c>
      <c r="D25" s="284" t="str">
        <f>vlookup(B25,'Crew Data'!C:G,5,0)</f>
        <v>Nunapat Towakul</v>
      </c>
      <c r="E25" s="267" t="s">
        <v>1513</v>
      </c>
      <c r="F25" s="47">
        <v>28.0</v>
      </c>
      <c r="G25" s="50">
        <f t="shared" si="1"/>
        <v>11200</v>
      </c>
      <c r="H25" s="285">
        <f t="shared" si="2"/>
        <v>1</v>
      </c>
      <c r="I25" s="51" t="s">
        <v>20</v>
      </c>
    </row>
    <row r="26" ht="25.5" customHeight="1">
      <c r="A26" s="282">
        <v>23.0</v>
      </c>
      <c r="B26" s="47">
        <v>1012174.0</v>
      </c>
      <c r="C26" s="283" t="str">
        <f>vlookup(B26,'Crew data for number'!B:C,2,0)</f>
        <v>TAA5985</v>
      </c>
      <c r="D26" s="284" t="str">
        <f>vlookup(B26,'Crew Data'!C:G,5,0)</f>
        <v>Parnnachai Srirat</v>
      </c>
      <c r="E26" s="267" t="s">
        <v>1514</v>
      </c>
      <c r="F26" s="47">
        <v>54.0</v>
      </c>
      <c r="G26" s="50">
        <f t="shared" si="1"/>
        <v>21600</v>
      </c>
      <c r="H26" s="285">
        <f t="shared" si="2"/>
        <v>1</v>
      </c>
      <c r="I26" s="51" t="s">
        <v>20</v>
      </c>
    </row>
    <row r="27" ht="25.5" customHeight="1">
      <c r="A27" s="282">
        <v>24.0</v>
      </c>
      <c r="B27" s="47">
        <v>1023595.0</v>
      </c>
      <c r="C27" s="283" t="str">
        <f>vlookup(B27,'Crew data for number'!B:C,2,0)</f>
        <v/>
      </c>
      <c r="D27" s="284" t="str">
        <f>vlookup(B27,'Crew Data'!C:G,5,0)</f>
        <v>Kanokpan Tongnu</v>
      </c>
      <c r="E27" s="267" t="s">
        <v>1515</v>
      </c>
      <c r="F27" s="47">
        <v>24.0</v>
      </c>
      <c r="G27" s="50">
        <f t="shared" si="1"/>
        <v>9600</v>
      </c>
      <c r="H27" s="285">
        <f t="shared" si="2"/>
        <v>1</v>
      </c>
      <c r="I27" s="51" t="s">
        <v>20</v>
      </c>
    </row>
    <row r="28" ht="25.5" customHeight="1">
      <c r="A28" s="282">
        <v>25.0</v>
      </c>
      <c r="B28" s="47">
        <v>1009818.0</v>
      </c>
      <c r="C28" s="283" t="str">
        <f>vlookup(B28,'Crew data for number'!B:C,2,0)</f>
        <v>TAA5147</v>
      </c>
      <c r="D28" s="284" t="str">
        <f>vlookup(B28,'Crew Data'!C:G,5,0)</f>
        <v>#N/A</v>
      </c>
      <c r="E28" s="267" t="s">
        <v>1511</v>
      </c>
      <c r="F28" s="47">
        <v>4.0</v>
      </c>
      <c r="G28" s="50">
        <f t="shared" si="1"/>
        <v>1600</v>
      </c>
      <c r="H28" s="285">
        <f t="shared" si="2"/>
        <v>1</v>
      </c>
      <c r="I28" s="51" t="s">
        <v>20</v>
      </c>
    </row>
    <row r="29" ht="25.5" customHeight="1">
      <c r="A29" s="54">
        <v>26.0</v>
      </c>
      <c r="B29" s="47">
        <v>1015395.0</v>
      </c>
      <c r="C29" s="283" t="str">
        <f>vlookup(B29,'Crew data for number'!B:C,2,0)</f>
        <v>TAA7059</v>
      </c>
      <c r="D29" s="284" t="str">
        <f>vlookup(B29,'Crew Data'!C:G,5,0)</f>
        <v>#N/A</v>
      </c>
      <c r="E29" s="267" t="s">
        <v>1516</v>
      </c>
      <c r="F29" s="47">
        <v>24.0</v>
      </c>
      <c r="G29" s="50">
        <f t="shared" si="1"/>
        <v>9600</v>
      </c>
      <c r="H29" s="285">
        <f t="shared" si="2"/>
        <v>1</v>
      </c>
      <c r="I29" s="51" t="s">
        <v>20</v>
      </c>
    </row>
    <row r="30" ht="25.5" customHeight="1">
      <c r="A30" s="282">
        <v>27.0</v>
      </c>
      <c r="B30" s="47">
        <v>1014353.0</v>
      </c>
      <c r="C30" s="283" t="str">
        <f>vlookup(B30,'Crew data for number'!B:C,2,0)</f>
        <v>TAA6862</v>
      </c>
      <c r="D30" s="284" t="str">
        <f>vlookup(B30,'Crew Data'!C:G,5,0)</f>
        <v>Pornnapat Kittimontreechai</v>
      </c>
      <c r="E30" s="267" t="s">
        <v>1517</v>
      </c>
      <c r="F30" s="47">
        <v>28.0</v>
      </c>
      <c r="G30" s="50">
        <f t="shared" si="1"/>
        <v>11200</v>
      </c>
      <c r="H30" s="285">
        <f t="shared" si="2"/>
        <v>1</v>
      </c>
      <c r="I30" s="51" t="s">
        <v>20</v>
      </c>
    </row>
    <row r="31" ht="25.5" customHeight="1">
      <c r="A31" s="282">
        <v>28.0</v>
      </c>
      <c r="B31" s="47">
        <v>1022663.0</v>
      </c>
      <c r="C31" s="283" t="str">
        <f>vlookup(B31,'Crew data for number'!B:C,2,0)</f>
        <v/>
      </c>
      <c r="D31" s="284" t="str">
        <f>vlookup(B31,'Crew Data'!C:G,5,0)</f>
        <v>Parunya Poonsuk</v>
      </c>
      <c r="E31" s="267" t="s">
        <v>1518</v>
      </c>
      <c r="F31" s="47">
        <v>28.0</v>
      </c>
      <c r="G31" s="50">
        <f t="shared" si="1"/>
        <v>11200</v>
      </c>
      <c r="H31" s="285">
        <f t="shared" si="2"/>
        <v>1</v>
      </c>
      <c r="I31" s="51" t="s">
        <v>20</v>
      </c>
    </row>
    <row r="32" ht="25.5" customHeight="1">
      <c r="A32" s="282">
        <v>29.0</v>
      </c>
      <c r="B32" s="47">
        <v>1011705.0</v>
      </c>
      <c r="C32" s="283" t="str">
        <f>vlookup(B32,'Crew data for number'!B:C,2,0)</f>
        <v>TAA6150</v>
      </c>
      <c r="D32" s="284" t="str">
        <f>vlookup(B32,'Crew Data'!C:G,5,0)</f>
        <v>Nattika Naephimai</v>
      </c>
      <c r="E32" s="267" t="s">
        <v>1519</v>
      </c>
      <c r="F32" s="47">
        <v>25.0</v>
      </c>
      <c r="G32" s="50">
        <f t="shared" si="1"/>
        <v>10000</v>
      </c>
      <c r="H32" s="285">
        <f t="shared" si="2"/>
        <v>1</v>
      </c>
      <c r="I32" s="51" t="s">
        <v>20</v>
      </c>
    </row>
    <row r="33" ht="25.5" customHeight="1">
      <c r="A33" s="54">
        <v>30.0</v>
      </c>
      <c r="B33" s="47">
        <v>1014683.0</v>
      </c>
      <c r="C33" s="283" t="str">
        <f>vlookup(B33,'Crew data for number'!B:C,2,0)</f>
        <v>TAA7080</v>
      </c>
      <c r="D33" s="284" t="str">
        <f>vlookup(B33,'Crew Data'!C:G,5,0)</f>
        <v>Trin Supredanuwat</v>
      </c>
      <c r="E33" s="267" t="s">
        <v>1484</v>
      </c>
      <c r="F33" s="47">
        <v>30.0</v>
      </c>
      <c r="G33" s="50">
        <f t="shared" si="1"/>
        <v>12000</v>
      </c>
      <c r="H33" s="285">
        <f t="shared" si="2"/>
        <v>1</v>
      </c>
      <c r="I33" s="51" t="s">
        <v>20</v>
      </c>
    </row>
    <row r="34" ht="25.5" customHeight="1">
      <c r="A34" s="282">
        <v>31.0</v>
      </c>
      <c r="B34" s="47">
        <v>1010880.0</v>
      </c>
      <c r="C34" s="283" t="str">
        <f>vlookup(B34,'Crew data for number'!B:C,2,0)</f>
        <v>TAA5520</v>
      </c>
      <c r="D34" s="284" t="str">
        <f>vlookup(B34,'Crew Data'!C:G,5,0)</f>
        <v>Chutima Thitisantikhun</v>
      </c>
      <c r="E34" s="267" t="s">
        <v>1520</v>
      </c>
      <c r="F34" s="47">
        <v>26.0</v>
      </c>
      <c r="G34" s="50">
        <f t="shared" si="1"/>
        <v>10400</v>
      </c>
      <c r="H34" s="285">
        <f t="shared" si="2"/>
        <v>1</v>
      </c>
      <c r="I34" s="51" t="s">
        <v>20</v>
      </c>
    </row>
    <row r="35" ht="25.5" customHeight="1">
      <c r="A35" s="282">
        <v>32.0</v>
      </c>
      <c r="B35" s="47">
        <v>1001394.0</v>
      </c>
      <c r="C35" s="283" t="str">
        <f>vlookup(B35,'Crew data for number'!B:C,2,0)</f>
        <v>TAA1349</v>
      </c>
      <c r="D35" s="284" t="str">
        <f>vlookup(B35,'Crew Data'!C:G,5,0)</f>
        <v>Noppawan Sangpiroon</v>
      </c>
      <c r="E35" s="267" t="s">
        <v>1521</v>
      </c>
      <c r="F35" s="47">
        <v>2.0</v>
      </c>
      <c r="G35" s="50">
        <f t="shared" si="1"/>
        <v>800</v>
      </c>
      <c r="H35" s="285">
        <f t="shared" si="2"/>
        <v>1</v>
      </c>
      <c r="I35" s="51" t="s">
        <v>20</v>
      </c>
    </row>
    <row r="36" ht="25.5" customHeight="1">
      <c r="A36" s="282">
        <v>33.0</v>
      </c>
      <c r="B36" s="47">
        <v>1018529.0</v>
      </c>
      <c r="C36" s="283" t="str">
        <f>vlookup(B36,'Crew data for number'!B:C,2,0)</f>
        <v>TAA7769</v>
      </c>
      <c r="D36" s="284" t="str">
        <f>vlookup(B36,'Crew Data'!C:G,5,0)</f>
        <v>Apichaya Bureesri</v>
      </c>
      <c r="E36" s="267" t="s">
        <v>1522</v>
      </c>
      <c r="F36" s="47">
        <v>26.0</v>
      </c>
      <c r="G36" s="50">
        <f t="shared" si="1"/>
        <v>10400</v>
      </c>
      <c r="H36" s="285">
        <f t="shared" si="2"/>
        <v>1</v>
      </c>
      <c r="I36" s="51" t="s">
        <v>20</v>
      </c>
    </row>
    <row r="37" ht="25.5" customHeight="1">
      <c r="A37" s="54">
        <v>34.0</v>
      </c>
      <c r="B37" s="47">
        <v>1005967.0</v>
      </c>
      <c r="C37" s="283" t="str">
        <f>vlookup(B37,'Crew data for number'!B:C,2,0)</f>
        <v>TAA3507</v>
      </c>
      <c r="D37" s="284" t="str">
        <f>vlookup(B37,'Crew Data'!C:G,5,0)</f>
        <v>Yukol Phubunjongkij</v>
      </c>
      <c r="E37" s="267" t="s">
        <v>1523</v>
      </c>
      <c r="F37" s="47">
        <v>2.0</v>
      </c>
      <c r="G37" s="50">
        <f t="shared" si="1"/>
        <v>800</v>
      </c>
      <c r="H37" s="285">
        <f t="shared" si="2"/>
        <v>1</v>
      </c>
      <c r="I37" s="51" t="s">
        <v>20</v>
      </c>
    </row>
    <row r="38" ht="25.5" customHeight="1">
      <c r="A38" s="282">
        <v>35.0</v>
      </c>
      <c r="B38" s="47">
        <v>1002269.0</v>
      </c>
      <c r="C38" s="283" t="str">
        <f>vlookup(B38,'Crew data for number'!B:C,2,0)</f>
        <v>TAA1937</v>
      </c>
      <c r="D38" s="284" t="str">
        <f>vlookup(B38,'Crew Data'!C:G,5,0)</f>
        <v>Khemaporn Chotepradit</v>
      </c>
      <c r="E38" s="267" t="s">
        <v>1524</v>
      </c>
      <c r="F38" s="47">
        <v>2.0</v>
      </c>
      <c r="G38" s="50">
        <f t="shared" si="1"/>
        <v>800</v>
      </c>
      <c r="H38" s="285">
        <f t="shared" si="2"/>
        <v>1</v>
      </c>
      <c r="I38" s="51" t="s">
        <v>20</v>
      </c>
    </row>
    <row r="39" ht="25.5" customHeight="1">
      <c r="A39" s="282">
        <v>36.0</v>
      </c>
      <c r="B39" s="47">
        <v>1006348.0</v>
      </c>
      <c r="C39" s="283" t="str">
        <f>vlookup(B39,'Crew data for number'!B:C,2,0)</f>
        <v>TAA3674</v>
      </c>
      <c r="D39" s="284" t="str">
        <f>vlookup(B39,'Crew Data'!C:G,5,0)</f>
        <v>#N/A</v>
      </c>
      <c r="E39" s="267" t="s">
        <v>1453</v>
      </c>
      <c r="F39" s="47">
        <v>3.0</v>
      </c>
      <c r="G39" s="50">
        <f t="shared" si="1"/>
        <v>1200</v>
      </c>
      <c r="H39" s="285">
        <f t="shared" si="2"/>
        <v>1</v>
      </c>
      <c r="I39" s="51" t="s">
        <v>20</v>
      </c>
    </row>
    <row r="40" ht="25.5" customHeight="1">
      <c r="A40" s="282">
        <v>37.0</v>
      </c>
      <c r="B40" s="47">
        <v>1015408.0</v>
      </c>
      <c r="C40" s="283" t="str">
        <f>vlookup(B40,'Crew data for number'!B:C,2,0)</f>
        <v>TAA7057</v>
      </c>
      <c r="D40" s="284" t="str">
        <f>vlookup(B40,'Crew Data'!C:G,5,0)</f>
        <v>Pornpimol Chorruengsak</v>
      </c>
      <c r="E40" s="267" t="s">
        <v>1525</v>
      </c>
      <c r="F40" s="47">
        <v>29.0</v>
      </c>
      <c r="G40" s="50">
        <f t="shared" si="1"/>
        <v>11600</v>
      </c>
      <c r="H40" s="285">
        <f t="shared" si="2"/>
        <v>1</v>
      </c>
      <c r="I40" s="51" t="s">
        <v>20</v>
      </c>
    </row>
    <row r="41" ht="25.5" customHeight="1">
      <c r="A41" s="54">
        <v>38.0</v>
      </c>
      <c r="B41" s="47">
        <v>1004212.0</v>
      </c>
      <c r="C41" s="283" t="str">
        <f>vlookup(B41,'Crew data for number'!B:C,2,0)</f>
        <v>TAA2678</v>
      </c>
      <c r="D41" s="284" t="str">
        <f>vlookup(B41,'Crew Data'!C:G,5,0)</f>
        <v>Varisa Nimkasai</v>
      </c>
      <c r="E41" s="267" t="s">
        <v>1484</v>
      </c>
      <c r="F41" s="47">
        <v>30.0</v>
      </c>
      <c r="G41" s="50">
        <f t="shared" si="1"/>
        <v>12000</v>
      </c>
      <c r="H41" s="285">
        <f t="shared" si="2"/>
        <v>1</v>
      </c>
      <c r="I41" s="51" t="s">
        <v>20</v>
      </c>
    </row>
    <row r="42" ht="25.5" customHeight="1">
      <c r="A42" s="282">
        <v>39.0</v>
      </c>
      <c r="B42" s="47">
        <v>1007336.0</v>
      </c>
      <c r="C42" s="283" t="str">
        <f>vlookup(B42,'Crew data for number'!B:C,2,0)</f>
        <v>TAA4060</v>
      </c>
      <c r="D42" s="284" t="str">
        <f>vlookup(B42,'Crew Data'!C:G,5,0)</f>
        <v>#N/A</v>
      </c>
      <c r="E42" s="267" t="s">
        <v>1484</v>
      </c>
      <c r="F42" s="47">
        <v>30.0</v>
      </c>
      <c r="G42" s="50">
        <f t="shared" si="1"/>
        <v>12000</v>
      </c>
      <c r="H42" s="285">
        <f t="shared" si="2"/>
        <v>1</v>
      </c>
      <c r="I42" s="51" t="s">
        <v>20</v>
      </c>
    </row>
    <row r="43" ht="25.5" customHeight="1">
      <c r="A43" s="282">
        <v>40.0</v>
      </c>
      <c r="B43" s="47">
        <v>1000341.0</v>
      </c>
      <c r="C43" s="283" t="str">
        <f>vlookup(B43,'Crew data for number'!B:C,2,0)</f>
        <v>TAA0231</v>
      </c>
      <c r="D43" s="284" t="str">
        <f>vlookup(B43,'Crew Data'!C:G,5,0)</f>
        <v>Nawatthaphorn Meechai</v>
      </c>
      <c r="E43" s="267" t="s">
        <v>1526</v>
      </c>
      <c r="F43" s="47">
        <v>22.0</v>
      </c>
      <c r="G43" s="50">
        <f t="shared" si="1"/>
        <v>8800</v>
      </c>
      <c r="H43" s="285">
        <f t="shared" si="2"/>
        <v>1</v>
      </c>
      <c r="I43" s="51" t="s">
        <v>20</v>
      </c>
    </row>
    <row r="44" ht="25.5" customHeight="1">
      <c r="A44" s="282">
        <v>41.0</v>
      </c>
      <c r="B44" s="47">
        <v>1017653.0</v>
      </c>
      <c r="C44" s="283" t="str">
        <f>vlookup(B44,'Crew data for number'!B:C,2,0)</f>
        <v>TAA7521</v>
      </c>
      <c r="D44" s="284" t="str">
        <f>vlookup(B44,'Crew Data'!C:G,5,0)</f>
        <v>Wachiraphon Lakbun</v>
      </c>
      <c r="E44" s="267" t="s">
        <v>1527</v>
      </c>
      <c r="F44" s="47">
        <v>27.0</v>
      </c>
      <c r="G44" s="50">
        <f t="shared" si="1"/>
        <v>10800</v>
      </c>
      <c r="H44" s="285">
        <f t="shared" si="2"/>
        <v>1</v>
      </c>
      <c r="I44" s="51" t="s">
        <v>20</v>
      </c>
    </row>
    <row r="45" ht="25.5" customHeight="1">
      <c r="A45" s="54">
        <v>42.0</v>
      </c>
      <c r="B45" s="47">
        <v>1012188.0</v>
      </c>
      <c r="C45" s="283" t="str">
        <f>vlookup(B45,'Crew data for number'!B:C,2,0)</f>
        <v>TAA6172</v>
      </c>
      <c r="D45" s="284" t="str">
        <f>vlookup(B45,'Crew Data'!C:G,5,0)</f>
        <v>Warut Sritham</v>
      </c>
      <c r="E45" s="267" t="s">
        <v>1528</v>
      </c>
      <c r="F45" s="47">
        <v>27.0</v>
      </c>
      <c r="G45" s="50">
        <f t="shared" si="1"/>
        <v>10800</v>
      </c>
      <c r="H45" s="285">
        <f t="shared" si="2"/>
        <v>1</v>
      </c>
      <c r="I45" s="51" t="s">
        <v>20</v>
      </c>
    </row>
    <row r="46" ht="25.5" customHeight="1">
      <c r="A46" s="282">
        <v>43.0</v>
      </c>
      <c r="B46" s="47">
        <v>1008754.0</v>
      </c>
      <c r="C46" s="283" t="str">
        <f>vlookup(B46,'Crew data for number'!B:C,2,0)</f>
        <v>TAA4751</v>
      </c>
      <c r="D46" s="284" t="str">
        <f>vlookup(B46,'Crew Data'!C:G,5,0)</f>
        <v>Pimlapas Tanapatpongsapas</v>
      </c>
      <c r="E46" s="267" t="s">
        <v>1529</v>
      </c>
      <c r="F46" s="47">
        <v>27.0</v>
      </c>
      <c r="G46" s="50">
        <f t="shared" si="1"/>
        <v>10800</v>
      </c>
      <c r="H46" s="285">
        <f t="shared" si="2"/>
        <v>1</v>
      </c>
      <c r="I46" s="51" t="s">
        <v>20</v>
      </c>
    </row>
    <row r="47" ht="25.5" customHeight="1">
      <c r="A47" s="282">
        <v>44.0</v>
      </c>
      <c r="B47" s="47">
        <v>1006363.0</v>
      </c>
      <c r="C47" s="283" t="str">
        <f>vlookup(B47,'Crew data for number'!B:C,2,0)</f>
        <v>TAA3684</v>
      </c>
      <c r="D47" s="284" t="str">
        <f>vlookup(B47,'Crew Data'!C:G,5,0)</f>
        <v>#N/A</v>
      </c>
      <c r="E47" s="267" t="s">
        <v>1530</v>
      </c>
      <c r="F47" s="47">
        <v>24.0</v>
      </c>
      <c r="G47" s="50">
        <f t="shared" si="1"/>
        <v>9600</v>
      </c>
      <c r="H47" s="285">
        <f t="shared" si="2"/>
        <v>1</v>
      </c>
      <c r="I47" s="51" t="s">
        <v>20</v>
      </c>
    </row>
    <row r="48" ht="25.5" customHeight="1">
      <c r="A48" s="282">
        <v>45.0</v>
      </c>
      <c r="B48" s="47">
        <v>1015394.0</v>
      </c>
      <c r="C48" s="283" t="str">
        <f>vlookup(B48,'Crew data for number'!B:C,2,0)</f>
        <v>TAA7055</v>
      </c>
      <c r="D48" s="284" t="str">
        <f>vlookup(B48,'Crew Data'!C:G,5,0)</f>
        <v>Kawin Panpipat</v>
      </c>
      <c r="E48" s="267" t="s">
        <v>1531</v>
      </c>
      <c r="F48" s="47">
        <v>25.0</v>
      </c>
      <c r="G48" s="50">
        <f t="shared" si="1"/>
        <v>10000</v>
      </c>
      <c r="H48" s="285">
        <f t="shared" si="2"/>
        <v>1</v>
      </c>
      <c r="I48" s="51" t="s">
        <v>20</v>
      </c>
    </row>
    <row r="49" ht="25.5" customHeight="1">
      <c r="A49" s="54">
        <v>46.0</v>
      </c>
      <c r="B49" s="47">
        <v>1009768.0</v>
      </c>
      <c r="C49" s="283" t="str">
        <f>vlookup(B49,'Crew data for number'!B:C,2,0)</f>
        <v>TAA5135</v>
      </c>
      <c r="D49" s="284" t="str">
        <f>vlookup(B49,'Crew Data'!C:G,5,0)</f>
        <v>Thidech Eakmongkollert</v>
      </c>
      <c r="E49" s="267" t="s">
        <v>1484</v>
      </c>
      <c r="F49" s="47">
        <v>30.0</v>
      </c>
      <c r="G49" s="50">
        <f t="shared" si="1"/>
        <v>12000</v>
      </c>
      <c r="H49" s="285">
        <f t="shared" si="2"/>
        <v>1</v>
      </c>
      <c r="I49" s="51" t="s">
        <v>20</v>
      </c>
    </row>
    <row r="50" ht="25.5" customHeight="1">
      <c r="A50" s="282">
        <v>47.0</v>
      </c>
      <c r="B50" s="47">
        <v>1004203.0</v>
      </c>
      <c r="C50" s="283" t="str">
        <f>vlookup(B50,'Crew data for number'!B:C,2,0)</f>
        <v>TAA2675</v>
      </c>
      <c r="D50" s="284" t="str">
        <f>vlookup(B50,'Crew Data'!C:G,5,0)</f>
        <v>Pavaran Maneechai</v>
      </c>
      <c r="E50" s="267" t="s">
        <v>1532</v>
      </c>
      <c r="F50" s="47">
        <v>25.0</v>
      </c>
      <c r="G50" s="50">
        <f t="shared" si="1"/>
        <v>10000</v>
      </c>
      <c r="H50" s="285">
        <f t="shared" si="2"/>
        <v>1</v>
      </c>
      <c r="I50" s="51" t="s">
        <v>20</v>
      </c>
    </row>
    <row r="51" ht="25.5" customHeight="1">
      <c r="A51" s="282">
        <v>48.0</v>
      </c>
      <c r="B51" s="47">
        <v>1006835.0</v>
      </c>
      <c r="C51" s="283" t="str">
        <f>vlookup(B51,'Crew data for number'!B:C,2,0)</f>
        <v>TAA3877</v>
      </c>
      <c r="D51" s="284" t="str">
        <f>vlookup(B51,'Crew Data'!C:G,5,0)</f>
        <v>Ketsaraporn Borvornmongkolsak</v>
      </c>
      <c r="E51" s="268">
        <v>43709.0</v>
      </c>
      <c r="F51" s="47">
        <v>1.0</v>
      </c>
      <c r="G51" s="50">
        <f t="shared" si="1"/>
        <v>400</v>
      </c>
      <c r="H51" s="285">
        <f t="shared" si="2"/>
        <v>1</v>
      </c>
      <c r="I51" s="51" t="s">
        <v>20</v>
      </c>
    </row>
    <row r="52" ht="25.5" customHeight="1">
      <c r="A52" s="282">
        <v>49.0</v>
      </c>
      <c r="B52" s="47">
        <v>1006987.0</v>
      </c>
      <c r="C52" s="283" t="str">
        <f>vlookup(B52,'Crew data for number'!B:C,2,0)</f>
        <v>TAA3934</v>
      </c>
      <c r="D52" s="284" t="str">
        <f>vlookup(B52,'Crew Data'!C:G,5,0)</f>
        <v>Ailada Arjsiri</v>
      </c>
      <c r="E52" s="268">
        <v>43738.0</v>
      </c>
      <c r="F52" s="47">
        <v>1.0</v>
      </c>
      <c r="G52" s="50">
        <f t="shared" si="1"/>
        <v>400</v>
      </c>
      <c r="H52" s="285">
        <f t="shared" si="2"/>
        <v>1</v>
      </c>
      <c r="I52" s="51" t="s">
        <v>20</v>
      </c>
    </row>
    <row r="53" ht="25.5" customHeight="1">
      <c r="A53" s="54">
        <v>50.0</v>
      </c>
      <c r="B53" s="47">
        <v>1007017.0</v>
      </c>
      <c r="C53" s="283" t="str">
        <f>vlookup(B53,'Crew data for number'!B:C,2,0)</f>
        <v>TAA3955</v>
      </c>
      <c r="D53" s="284" t="str">
        <f>vlookup(B53,'Crew Data'!C:G,5,0)</f>
        <v>#N/A</v>
      </c>
      <c r="E53" s="267" t="s">
        <v>1533</v>
      </c>
      <c r="F53" s="47">
        <v>27.0</v>
      </c>
      <c r="G53" s="50">
        <f t="shared" si="1"/>
        <v>10800</v>
      </c>
      <c r="H53" s="285">
        <f t="shared" si="2"/>
        <v>1</v>
      </c>
      <c r="I53" s="51" t="s">
        <v>20</v>
      </c>
    </row>
    <row r="54" ht="25.5" customHeight="1">
      <c r="A54" s="282">
        <v>51.0</v>
      </c>
      <c r="B54" s="47">
        <v>1016197.0</v>
      </c>
      <c r="C54" s="283" t="str">
        <f>vlookup(B54,'Crew data for number'!B:C,2,0)</f>
        <v>TAA7284</v>
      </c>
      <c r="D54" s="284" t="str">
        <f>vlookup(B54,'Crew Data'!C:G,5,0)</f>
        <v>Kornchanok Ruamsanit</v>
      </c>
      <c r="E54" s="268">
        <v>43710.0</v>
      </c>
      <c r="F54" s="47">
        <v>1.0</v>
      </c>
      <c r="G54" s="50">
        <f t="shared" si="1"/>
        <v>400</v>
      </c>
      <c r="H54" s="285">
        <f t="shared" si="2"/>
        <v>1</v>
      </c>
      <c r="I54" s="51" t="s">
        <v>20</v>
      </c>
    </row>
    <row r="55" ht="25.5" customHeight="1">
      <c r="A55" s="282">
        <v>52.0</v>
      </c>
      <c r="B55" s="47">
        <v>1012362.0</v>
      </c>
      <c r="C55" s="283" t="str">
        <f>vlookup(B55,'Crew data for number'!B:C,2,0)</f>
        <v>TAA6131</v>
      </c>
      <c r="D55" s="284" t="str">
        <f>vlookup(B55,'Crew Data'!C:G,5,0)</f>
        <v>Patcharagorn Chankhong</v>
      </c>
      <c r="E55" s="267" t="s">
        <v>1534</v>
      </c>
      <c r="F55" s="47">
        <v>29.0</v>
      </c>
      <c r="G55" s="50">
        <f t="shared" si="1"/>
        <v>11600</v>
      </c>
      <c r="H55" s="285">
        <f t="shared" si="2"/>
        <v>1</v>
      </c>
      <c r="I55" s="51" t="s">
        <v>20</v>
      </c>
    </row>
    <row r="56" ht="25.5" customHeight="1">
      <c r="A56" s="282">
        <v>53.0</v>
      </c>
      <c r="B56" s="47">
        <v>1018531.0</v>
      </c>
      <c r="C56" s="283" t="str">
        <f>vlookup(B56,'Crew data for number'!B:C,2,0)</f>
        <v>TAA7752</v>
      </c>
      <c r="D56" s="284" t="str">
        <f>vlookup(B56,'Crew Data'!C:G,5,0)</f>
        <v>Chawit Donsawee</v>
      </c>
      <c r="E56" s="267" t="s">
        <v>1484</v>
      </c>
      <c r="F56" s="47">
        <v>30.0</v>
      </c>
      <c r="G56" s="50">
        <f t="shared" si="1"/>
        <v>12000</v>
      </c>
      <c r="H56" s="285">
        <f t="shared" si="2"/>
        <v>1</v>
      </c>
      <c r="I56" s="51" t="s">
        <v>20</v>
      </c>
    </row>
    <row r="57" ht="25.5" customHeight="1">
      <c r="A57" s="54">
        <v>54.0</v>
      </c>
      <c r="B57" s="47">
        <v>1007013.0</v>
      </c>
      <c r="C57" s="283" t="str">
        <f>vlookup(B57,'Crew data for number'!B:C,2,0)</f>
        <v>TAA3972</v>
      </c>
      <c r="D57" s="284" t="str">
        <f>vlookup(B57,'Crew Data'!C:G,5,0)</f>
        <v>Pattamaporn Thamasathitporn</v>
      </c>
      <c r="E57" s="267" t="s">
        <v>1535</v>
      </c>
      <c r="F57" s="47">
        <v>29.0</v>
      </c>
      <c r="G57" s="50">
        <f t="shared" si="1"/>
        <v>11600</v>
      </c>
      <c r="H57" s="285">
        <f t="shared" si="2"/>
        <v>1</v>
      </c>
      <c r="I57" s="51" t="s">
        <v>20</v>
      </c>
    </row>
    <row r="58" ht="25.5" customHeight="1">
      <c r="A58" s="282">
        <v>55.0</v>
      </c>
      <c r="B58" s="47">
        <v>1017919.0</v>
      </c>
      <c r="C58" s="283" t="str">
        <f>vlookup(B58,'Crew data for number'!B:C,2,0)</f>
        <v>TAA7531</v>
      </c>
      <c r="D58" s="284" t="str">
        <f>vlookup(B58,'Crew Data'!C:G,5,0)</f>
        <v>Asanlaya Choomit</v>
      </c>
      <c r="E58" s="267" t="s">
        <v>1536</v>
      </c>
      <c r="F58" s="47">
        <v>29.0</v>
      </c>
      <c r="G58" s="50">
        <f t="shared" si="1"/>
        <v>11600</v>
      </c>
      <c r="H58" s="285">
        <f t="shared" si="2"/>
        <v>1</v>
      </c>
      <c r="I58" s="51" t="s">
        <v>20</v>
      </c>
    </row>
    <row r="59" ht="25.5" customHeight="1">
      <c r="A59" s="282">
        <v>56.0</v>
      </c>
      <c r="B59" s="47">
        <v>1003942.0</v>
      </c>
      <c r="C59" s="283" t="str">
        <f>vlookup(B59,'Crew data for number'!B:C,2,0)</f>
        <v>TAA2769</v>
      </c>
      <c r="D59" s="284" t="str">
        <f>vlookup(B59,'Crew Data'!C:G,5,0)</f>
        <v>Wilawan Auttamaphan</v>
      </c>
      <c r="E59" s="267" t="s">
        <v>1537</v>
      </c>
      <c r="F59" s="47">
        <v>28.0</v>
      </c>
      <c r="G59" s="50">
        <f t="shared" si="1"/>
        <v>11200</v>
      </c>
      <c r="H59" s="285">
        <f t="shared" si="2"/>
        <v>1</v>
      </c>
      <c r="I59" s="51" t="s">
        <v>20</v>
      </c>
    </row>
    <row r="60" ht="25.5" customHeight="1">
      <c r="A60" s="282">
        <v>57.0</v>
      </c>
      <c r="B60" s="47">
        <v>1013190.0</v>
      </c>
      <c r="C60" s="283" t="str">
        <f>vlookup(B60,'Crew data for number'!B:C,2,0)</f>
        <v>TAA6381</v>
      </c>
      <c r="D60" s="284" t="str">
        <f>vlookup(B60,'Crew Data'!C:G,5,0)</f>
        <v>Thamonwan Chokumpornpan</v>
      </c>
      <c r="E60" s="267" t="s">
        <v>1484</v>
      </c>
      <c r="F60" s="47">
        <v>30.0</v>
      </c>
      <c r="G60" s="50">
        <f t="shared" si="1"/>
        <v>12000</v>
      </c>
      <c r="H60" s="285">
        <f t="shared" si="2"/>
        <v>1</v>
      </c>
      <c r="I60" s="51" t="s">
        <v>20</v>
      </c>
    </row>
    <row r="61" ht="25.5" customHeight="1">
      <c r="A61" s="54">
        <v>58.0</v>
      </c>
      <c r="B61" s="47">
        <v>1014667.0</v>
      </c>
      <c r="C61" s="283" t="str">
        <f>vlookup(B61,'Crew data for number'!B:C,2,0)</f>
        <v>TAA7075</v>
      </c>
      <c r="D61" s="284" t="str">
        <f>vlookup(B61,'Crew Data'!C:G,5,0)</f>
        <v>#N/A</v>
      </c>
      <c r="E61" s="267" t="s">
        <v>1538</v>
      </c>
      <c r="F61" s="47">
        <v>3.0</v>
      </c>
      <c r="G61" s="50">
        <f t="shared" si="1"/>
        <v>1200</v>
      </c>
      <c r="H61" s="285">
        <f t="shared" si="2"/>
        <v>1</v>
      </c>
      <c r="I61" s="51" t="s">
        <v>20</v>
      </c>
    </row>
    <row r="62" ht="25.5" customHeight="1">
      <c r="A62" s="282">
        <v>59.0</v>
      </c>
      <c r="B62" s="47">
        <v>1018535.0</v>
      </c>
      <c r="C62" s="283" t="str">
        <f>vlookup(B62,'Crew data for number'!B:C,2,0)</f>
        <v>TAA7767</v>
      </c>
      <c r="D62" s="284" t="str">
        <f>vlookup(B62,'Crew Data'!C:G,5,0)</f>
        <v>Nawapu Dontaolek</v>
      </c>
      <c r="E62" s="267" t="s">
        <v>1535</v>
      </c>
      <c r="F62" s="47">
        <v>29.0</v>
      </c>
      <c r="G62" s="50">
        <f t="shared" si="1"/>
        <v>11600</v>
      </c>
      <c r="H62" s="285">
        <f t="shared" si="2"/>
        <v>1</v>
      </c>
      <c r="I62" s="51" t="s">
        <v>20</v>
      </c>
    </row>
    <row r="63" ht="25.5" customHeight="1">
      <c r="A63" s="282">
        <v>60.0</v>
      </c>
      <c r="B63" s="47">
        <v>1015412.0</v>
      </c>
      <c r="C63" s="283" t="str">
        <f>vlookup(B63,'Crew data for number'!B:C,2,0)</f>
        <v>TAA7056</v>
      </c>
      <c r="D63" s="284" t="str">
        <f>vlookup(B63,'Crew Data'!C:G,5,0)</f>
        <v>Sitthiphath Ratanaborvornsethi</v>
      </c>
      <c r="E63" s="267" t="s">
        <v>1539</v>
      </c>
      <c r="F63" s="47">
        <v>28.0</v>
      </c>
      <c r="G63" s="50">
        <f t="shared" si="1"/>
        <v>11200</v>
      </c>
      <c r="H63" s="285">
        <f t="shared" si="2"/>
        <v>1</v>
      </c>
      <c r="I63" s="51" t="s">
        <v>20</v>
      </c>
    </row>
    <row r="64" ht="25.5" customHeight="1">
      <c r="A64" s="282">
        <v>61.0</v>
      </c>
      <c r="B64" s="47">
        <v>1007728.0</v>
      </c>
      <c r="C64" s="283" t="str">
        <f>vlookup(B64,'Crew data for number'!B:C,2,0)</f>
        <v>TAA4783</v>
      </c>
      <c r="D64" s="284" t="str">
        <f>vlookup(B64,'Crew Data'!C:G,5,0)</f>
        <v>Suthasinee Thaeothaisong</v>
      </c>
      <c r="E64" s="267" t="s">
        <v>1538</v>
      </c>
      <c r="F64" s="47">
        <v>3.0</v>
      </c>
      <c r="G64" s="50">
        <f t="shared" si="1"/>
        <v>1200</v>
      </c>
      <c r="H64" s="285">
        <f t="shared" si="2"/>
        <v>1</v>
      </c>
      <c r="I64" s="51" t="s">
        <v>20</v>
      </c>
    </row>
    <row r="65" ht="25.5" customHeight="1">
      <c r="A65" s="54">
        <v>62.0</v>
      </c>
      <c r="B65" s="47">
        <v>1002146.0</v>
      </c>
      <c r="C65" s="283" t="str">
        <f>vlookup(B65,'Crew data for number'!B:C,2,0)</f>
        <v>TAA1866</v>
      </c>
      <c r="D65" s="284" t="str">
        <f>vlookup(B65,'Crew Data'!C:G,5,0)</f>
        <v>Romrawee Choeikeewong</v>
      </c>
      <c r="E65" s="267" t="s">
        <v>1484</v>
      </c>
      <c r="F65" s="47">
        <v>30.0</v>
      </c>
      <c r="G65" s="50">
        <f t="shared" si="1"/>
        <v>12000</v>
      </c>
      <c r="H65" s="285">
        <f t="shared" si="2"/>
        <v>1</v>
      </c>
      <c r="I65" s="51" t="s">
        <v>20</v>
      </c>
    </row>
    <row r="66" ht="25.5" customHeight="1">
      <c r="A66" s="282">
        <v>63.0</v>
      </c>
      <c r="B66" s="47">
        <v>1019403.0</v>
      </c>
      <c r="C66" s="283" t="str">
        <f>vlookup(B66,'Crew data for number'!B:C,2,0)</f>
        <v>TAA7927</v>
      </c>
      <c r="D66" s="284" t="str">
        <f>vlookup(B66,'Crew Data'!C:G,5,0)</f>
        <v>#N/A</v>
      </c>
      <c r="E66" s="267" t="s">
        <v>1540</v>
      </c>
      <c r="F66" s="47">
        <v>29.0</v>
      </c>
      <c r="G66" s="50">
        <f t="shared" si="1"/>
        <v>11600</v>
      </c>
      <c r="H66" s="285">
        <f t="shared" si="2"/>
        <v>1</v>
      </c>
      <c r="I66" s="51" t="s">
        <v>20</v>
      </c>
    </row>
    <row r="67" ht="25.5" customHeight="1">
      <c r="A67" s="282">
        <v>64.0</v>
      </c>
      <c r="B67" s="47">
        <v>1004764.0</v>
      </c>
      <c r="C67" s="283" t="str">
        <f>vlookup(B67,'Crew data for number'!B:C,2,0)</f>
        <v>TAA2965</v>
      </c>
      <c r="D67" s="284" t="str">
        <f>vlookup(B67,'Crew Data'!C:G,5,0)</f>
        <v>Wakulnatt Santipiyakul</v>
      </c>
      <c r="E67" s="267" t="s">
        <v>1541</v>
      </c>
      <c r="F67" s="47">
        <v>54.0</v>
      </c>
      <c r="G67" s="50">
        <f t="shared" si="1"/>
        <v>21600</v>
      </c>
      <c r="H67" s="285">
        <f t="shared" si="2"/>
        <v>1</v>
      </c>
      <c r="I67" s="51" t="s">
        <v>20</v>
      </c>
    </row>
    <row r="68" ht="25.5" customHeight="1"/>
    <row r="69" ht="25.5" customHeight="1">
      <c r="A69" s="265" t="s">
        <v>1183</v>
      </c>
      <c r="B69" s="252"/>
      <c r="C69" s="253"/>
    </row>
    <row r="70" ht="25.5" customHeight="1">
      <c r="A70" s="254" t="s">
        <v>1153</v>
      </c>
      <c r="B70" s="255" t="s">
        <v>1154</v>
      </c>
      <c r="C70" s="256" t="s">
        <v>1155</v>
      </c>
    </row>
    <row r="71" ht="25.5" customHeight="1">
      <c r="A71" s="257" t="s">
        <v>1156</v>
      </c>
      <c r="B71" s="258" t="s">
        <v>1157</v>
      </c>
      <c r="C71" s="259" t="s">
        <v>1158</v>
      </c>
    </row>
    <row r="72" ht="25.5" customHeight="1">
      <c r="A72" s="257" t="s">
        <v>1159</v>
      </c>
      <c r="B72" s="258" t="s">
        <v>1157</v>
      </c>
      <c r="C72" s="259" t="s">
        <v>1158</v>
      </c>
    </row>
    <row r="73" ht="25.5" customHeight="1">
      <c r="A73" s="257" t="s">
        <v>1160</v>
      </c>
      <c r="B73" s="260" t="s">
        <v>1157</v>
      </c>
      <c r="C73" s="259" t="s">
        <v>1158</v>
      </c>
    </row>
    <row r="74" ht="25.5" customHeight="1">
      <c r="A74" s="31"/>
      <c r="B74" s="31"/>
      <c r="C74" s="31"/>
    </row>
    <row r="75" ht="25.5" customHeight="1">
      <c r="A75" s="261" t="s">
        <v>1542</v>
      </c>
      <c r="B75" s="262"/>
      <c r="C75" s="31"/>
    </row>
    <row r="76" ht="25.5" customHeight="1"/>
    <row r="77" ht="25.5" customHeight="1"/>
    <row r="78" ht="25.5" customHeight="1"/>
    <row r="79" ht="25.5" customHeight="1"/>
    <row r="80" ht="25.5" customHeight="1"/>
    <row r="81" ht="25.5" customHeight="1"/>
    <row r="82" ht="25.5" customHeight="1"/>
    <row r="83" ht="25.5" customHeight="1"/>
    <row r="84" ht="25.5" customHeight="1"/>
    <row r="85" ht="25.5" customHeight="1"/>
    <row r="86" ht="25.5" customHeight="1"/>
    <row r="87" ht="25.5" customHeight="1"/>
    <row r="88" ht="25.5" customHeight="1"/>
    <row r="89" ht="25.5" customHeight="1"/>
    <row r="90" ht="25.5" customHeight="1"/>
    <row r="91" ht="25.5" customHeight="1"/>
    <row r="92" ht="25.5" customHeight="1"/>
    <row r="93" ht="25.5" customHeight="1"/>
    <row r="94" ht="25.5" customHeight="1"/>
    <row r="95" ht="25.5" customHeight="1"/>
    <row r="96" ht="25.5" customHeight="1"/>
    <row r="97" ht="25.5" customHeight="1"/>
    <row r="98" ht="25.5" customHeight="1"/>
    <row r="99" ht="25.5" customHeight="1"/>
    <row r="100" ht="25.5" customHeight="1"/>
    <row r="101" ht="25.5" customHeight="1"/>
    <row r="102" ht="25.5" customHeight="1"/>
    <row r="103" ht="25.5" customHeight="1"/>
    <row r="104" ht="25.5" customHeight="1"/>
    <row r="105" ht="25.5" customHeight="1"/>
    <row r="106" ht="25.5" customHeight="1"/>
    <row r="107" ht="25.5" customHeight="1"/>
    <row r="108" ht="25.5" customHeight="1"/>
    <row r="109" ht="25.5" customHeight="1"/>
    <row r="110" ht="25.5" customHeight="1"/>
    <row r="111" ht="25.5" customHeight="1"/>
    <row r="112" ht="25.5" customHeight="1"/>
    <row r="113" ht="25.5" customHeight="1"/>
    <row r="114" ht="25.5" customHeight="1"/>
    <row r="115" ht="25.5" customHeight="1"/>
    <row r="116" ht="25.5" customHeight="1"/>
    <row r="117" ht="25.5" customHeight="1"/>
    <row r="118" ht="25.5" customHeight="1"/>
    <row r="119" ht="25.5" customHeight="1"/>
    <row r="120" ht="25.5" customHeight="1"/>
    <row r="121" ht="25.5" customHeight="1"/>
    <row r="122" ht="25.5" customHeight="1"/>
    <row r="123" ht="25.5" customHeight="1"/>
    <row r="124" ht="25.5" customHeight="1"/>
    <row r="125" ht="25.5" customHeight="1"/>
    <row r="126" ht="25.5" customHeight="1"/>
    <row r="127" ht="25.5" customHeight="1"/>
    <row r="128" ht="25.5" customHeight="1"/>
    <row r="129" ht="25.5" customHeight="1"/>
    <row r="130" ht="25.5" customHeight="1"/>
    <row r="131" ht="25.5" customHeight="1"/>
    <row r="132" ht="25.5" customHeight="1"/>
    <row r="133" ht="25.5" customHeight="1"/>
    <row r="134" ht="25.5" customHeight="1"/>
    <row r="135" ht="25.5" customHeight="1"/>
    <row r="136" ht="25.5" customHeight="1"/>
    <row r="137" ht="25.5" customHeight="1"/>
    <row r="138" ht="25.5" customHeight="1"/>
    <row r="139" ht="25.5" customHeight="1"/>
    <row r="140" ht="25.5" customHeight="1"/>
    <row r="141" ht="25.5" customHeight="1"/>
    <row r="142" ht="25.5" customHeight="1"/>
    <row r="143" ht="25.5" customHeight="1"/>
    <row r="144" ht="25.5" customHeight="1"/>
    <row r="145" ht="25.5" customHeight="1"/>
    <row r="146" ht="25.5" customHeight="1"/>
    <row r="147" ht="25.5" customHeight="1"/>
    <row r="148" ht="25.5" customHeight="1"/>
    <row r="149" ht="25.5" customHeight="1"/>
    <row r="150" ht="25.5" customHeight="1"/>
    <row r="151" ht="25.5" customHeight="1"/>
    <row r="152" ht="25.5" customHeight="1"/>
    <row r="153" ht="25.5" customHeight="1"/>
    <row r="154" ht="25.5" customHeight="1"/>
    <row r="155" ht="25.5" customHeight="1"/>
    <row r="156" ht="25.5" customHeight="1"/>
    <row r="157" ht="25.5" customHeight="1"/>
    <row r="158" ht="25.5" customHeight="1"/>
    <row r="159" ht="25.5" customHeight="1"/>
    <row r="160" ht="25.5" customHeight="1"/>
    <row r="161" ht="25.5" customHeight="1"/>
    <row r="162" ht="25.5" customHeight="1"/>
    <row r="163" ht="25.5" customHeight="1"/>
    <row r="164" ht="25.5" customHeight="1"/>
    <row r="165" ht="25.5" customHeight="1"/>
    <row r="166" ht="25.5" customHeight="1"/>
    <row r="167" ht="25.5" customHeight="1"/>
    <row r="168" ht="25.5" customHeight="1"/>
    <row r="169" ht="25.5" customHeight="1"/>
    <row r="170" ht="25.5" customHeight="1"/>
    <row r="171" ht="25.5" customHeight="1"/>
    <row r="172" ht="25.5" customHeight="1"/>
    <row r="173" ht="25.5" customHeight="1"/>
    <row r="174" ht="25.5" customHeight="1"/>
    <row r="175" ht="25.5" customHeight="1"/>
    <row r="176" ht="25.5" customHeight="1"/>
    <row r="177" ht="25.5" customHeight="1"/>
    <row r="178" ht="25.5" customHeight="1"/>
    <row r="179" ht="25.5" customHeight="1"/>
    <row r="180" ht="25.5" customHeight="1"/>
    <row r="181" ht="25.5" customHeight="1"/>
    <row r="182" ht="25.5" customHeight="1"/>
    <row r="183" ht="25.5" customHeight="1"/>
    <row r="184" ht="25.5" customHeight="1"/>
    <row r="185" ht="25.5" customHeight="1"/>
    <row r="186" ht="25.5" customHeight="1"/>
    <row r="187" ht="25.5" customHeight="1"/>
    <row r="188" ht="25.5" customHeight="1"/>
    <row r="189" ht="25.5" customHeight="1"/>
    <row r="190" ht="25.5" customHeight="1"/>
    <row r="191" ht="25.5" customHeight="1"/>
    <row r="192" ht="25.5" customHeight="1"/>
    <row r="193" ht="25.5" customHeight="1"/>
    <row r="194" ht="25.5" customHeight="1"/>
    <row r="195" ht="25.5" customHeight="1"/>
    <row r="196" ht="25.5" customHeight="1"/>
    <row r="197" ht="25.5" customHeight="1"/>
    <row r="198" ht="25.5" customHeight="1"/>
    <row r="199" ht="25.5" customHeight="1"/>
    <row r="200" ht="25.5" customHeight="1"/>
    <row r="201" ht="25.5" customHeight="1"/>
    <row r="202" ht="25.5" customHeight="1"/>
    <row r="203" ht="25.5" customHeight="1"/>
    <row r="204" ht="25.5" customHeight="1"/>
    <row r="205" ht="25.5" customHeight="1"/>
    <row r="206" ht="25.5" customHeight="1"/>
    <row r="207" ht="25.5" customHeight="1"/>
    <row r="208" ht="25.5" customHeight="1"/>
    <row r="209" ht="25.5" customHeight="1"/>
    <row r="210" ht="25.5" customHeight="1"/>
    <row r="211" ht="25.5" customHeight="1"/>
    <row r="212" ht="25.5" customHeight="1"/>
    <row r="213" ht="25.5" customHeight="1"/>
    <row r="214" ht="25.5" customHeight="1"/>
    <row r="215" ht="25.5" customHeight="1"/>
    <row r="216" ht="25.5" customHeight="1"/>
    <row r="217" ht="25.5" customHeight="1"/>
    <row r="218" ht="25.5" customHeight="1"/>
    <row r="219" ht="25.5" customHeight="1"/>
    <row r="220" ht="25.5" customHeight="1"/>
    <row r="221" ht="25.5" customHeight="1"/>
    <row r="222" ht="25.5" customHeight="1"/>
    <row r="223" ht="25.5" customHeight="1"/>
    <row r="224" ht="25.5" customHeight="1"/>
    <row r="225" ht="25.5" customHeight="1"/>
    <row r="226" ht="25.5" customHeight="1"/>
    <row r="227" ht="25.5" customHeight="1"/>
    <row r="228" ht="25.5" customHeight="1"/>
    <row r="229" ht="25.5" customHeight="1"/>
    <row r="230" ht="25.5" customHeight="1"/>
    <row r="231" ht="25.5" customHeight="1"/>
    <row r="232" ht="25.5" customHeight="1"/>
    <row r="233" ht="25.5" customHeight="1"/>
    <row r="234" ht="25.5" customHeight="1"/>
    <row r="235" ht="25.5" customHeight="1"/>
    <row r="236" ht="25.5" customHeight="1"/>
    <row r="237" ht="25.5" customHeight="1"/>
    <row r="238" ht="25.5" customHeight="1"/>
    <row r="239" ht="25.5" customHeight="1"/>
    <row r="240" ht="25.5" customHeight="1"/>
    <row r="241" ht="25.5" customHeight="1"/>
    <row r="242" ht="25.5" customHeight="1"/>
    <row r="243" ht="25.5" customHeight="1"/>
    <row r="244" ht="25.5" customHeight="1"/>
    <row r="245" ht="25.5" customHeight="1"/>
    <row r="246" ht="25.5" customHeight="1"/>
    <row r="247" ht="25.5" customHeight="1"/>
    <row r="248" ht="25.5" customHeight="1"/>
    <row r="249" ht="25.5" customHeight="1"/>
    <row r="250" ht="25.5" customHeight="1"/>
    <row r="251" ht="25.5" customHeight="1"/>
    <row r="252" ht="25.5" customHeight="1"/>
    <row r="253" ht="25.5" customHeight="1"/>
    <row r="254" ht="25.5" customHeight="1"/>
    <row r="255" ht="25.5" customHeight="1"/>
    <row r="256" ht="25.5" customHeight="1"/>
    <row r="257" ht="25.5" customHeight="1"/>
    <row r="258" ht="25.5" customHeight="1"/>
    <row r="259" ht="25.5" customHeight="1"/>
    <row r="260" ht="25.5" customHeight="1"/>
    <row r="261" ht="25.5" customHeight="1"/>
    <row r="262" ht="25.5" customHeight="1"/>
    <row r="263" ht="25.5" customHeight="1"/>
    <row r="264" ht="25.5" customHeight="1"/>
    <row r="265" ht="25.5" customHeight="1"/>
    <row r="266" ht="25.5" customHeight="1"/>
    <row r="267" ht="25.5" customHeight="1"/>
    <row r="268" ht="25.5" customHeight="1"/>
    <row r="269" ht="25.5" customHeight="1"/>
    <row r="270" ht="25.5" customHeight="1"/>
    <row r="271" ht="25.5" customHeight="1"/>
    <row r="272" ht="25.5" customHeight="1"/>
    <row r="273" ht="25.5" customHeight="1"/>
    <row r="274" ht="25.5" customHeight="1"/>
    <row r="275" ht="25.5" customHeight="1"/>
    <row r="276" ht="25.5" customHeight="1"/>
    <row r="277" ht="25.5" customHeight="1"/>
    <row r="278" ht="25.5" customHeight="1"/>
    <row r="279" ht="25.5" customHeight="1"/>
    <row r="280" ht="25.5" customHeight="1"/>
    <row r="281" ht="25.5" customHeight="1"/>
    <row r="282" ht="25.5" customHeight="1"/>
    <row r="283" ht="25.5" customHeight="1"/>
    <row r="284" ht="25.5" customHeight="1"/>
    <row r="285" ht="25.5" customHeight="1"/>
    <row r="286" ht="25.5" customHeight="1"/>
    <row r="287" ht="25.5" customHeight="1"/>
    <row r="288" ht="25.5" customHeight="1"/>
    <row r="289" ht="25.5" customHeight="1"/>
    <row r="290" ht="25.5" customHeight="1"/>
    <row r="291" ht="25.5" customHeight="1"/>
    <row r="292" ht="25.5" customHeight="1"/>
    <row r="293" ht="25.5" customHeight="1"/>
    <row r="294" ht="25.5" customHeight="1"/>
    <row r="295" ht="25.5" customHeight="1"/>
    <row r="296" ht="25.5" customHeight="1"/>
    <row r="297" ht="25.5" customHeight="1"/>
    <row r="298" ht="25.5" customHeight="1"/>
    <row r="299" ht="25.5" customHeight="1"/>
    <row r="300" ht="25.5" customHeight="1"/>
    <row r="301" ht="25.5" customHeight="1"/>
    <row r="302" ht="25.5" customHeight="1"/>
    <row r="303" ht="25.5" customHeight="1"/>
    <row r="304" ht="25.5" customHeight="1"/>
    <row r="305" ht="25.5" customHeight="1"/>
    <row r="306" ht="25.5" customHeight="1"/>
    <row r="307" ht="25.5" customHeight="1"/>
    <row r="308" ht="25.5" customHeight="1"/>
    <row r="309" ht="25.5" customHeight="1"/>
    <row r="310" ht="25.5" customHeight="1"/>
    <row r="311" ht="25.5" customHeight="1"/>
    <row r="312" ht="25.5" customHeight="1"/>
    <row r="313" ht="25.5" customHeight="1"/>
    <row r="314" ht="25.5" customHeight="1"/>
    <row r="315" ht="25.5" customHeight="1"/>
    <row r="316" ht="25.5" customHeight="1"/>
    <row r="317" ht="25.5" customHeight="1"/>
    <row r="318" ht="25.5" customHeight="1"/>
    <row r="319" ht="25.5" customHeight="1"/>
    <row r="320" ht="25.5" customHeight="1"/>
    <row r="321" ht="25.5" customHeight="1"/>
    <row r="322" ht="25.5" customHeight="1"/>
    <row r="323" ht="25.5" customHeight="1"/>
    <row r="324" ht="25.5" customHeight="1"/>
    <row r="325" ht="25.5" customHeight="1"/>
    <row r="326" ht="25.5" customHeight="1"/>
    <row r="327" ht="25.5" customHeight="1"/>
    <row r="328" ht="25.5" customHeight="1"/>
    <row r="329" ht="25.5" customHeight="1"/>
    <row r="330" ht="25.5" customHeight="1"/>
    <row r="331" ht="25.5" customHeight="1"/>
    <row r="332" ht="25.5" customHeight="1"/>
    <row r="333" ht="25.5" customHeight="1"/>
    <row r="334" ht="25.5" customHeight="1"/>
    <row r="335" ht="25.5" customHeight="1"/>
    <row r="336" ht="25.5" customHeight="1"/>
    <row r="337" ht="25.5" customHeight="1"/>
    <row r="338" ht="25.5" customHeight="1"/>
    <row r="339" ht="25.5" customHeight="1"/>
    <row r="340" ht="25.5" customHeight="1"/>
    <row r="341" ht="25.5" customHeight="1"/>
    <row r="342" ht="25.5" customHeight="1"/>
    <row r="343" ht="25.5" customHeight="1"/>
    <row r="344" ht="25.5" customHeight="1"/>
    <row r="345" ht="25.5" customHeight="1"/>
    <row r="346" ht="25.5" customHeight="1"/>
    <row r="347" ht="25.5" customHeight="1"/>
    <row r="348" ht="25.5" customHeight="1"/>
    <row r="349" ht="25.5" customHeight="1"/>
    <row r="350" ht="25.5" customHeight="1"/>
    <row r="351" ht="25.5" customHeight="1"/>
    <row r="352" ht="25.5" customHeight="1"/>
    <row r="353" ht="25.5" customHeight="1"/>
    <row r="354" ht="25.5" customHeight="1"/>
    <row r="355" ht="25.5" customHeight="1"/>
    <row r="356" ht="25.5" customHeight="1"/>
    <row r="357" ht="25.5" customHeight="1"/>
    <row r="358" ht="25.5" customHeight="1"/>
    <row r="359" ht="25.5" customHeight="1"/>
    <row r="360" ht="25.5" customHeight="1"/>
    <row r="361" ht="25.5" customHeight="1"/>
    <row r="362" ht="25.5" customHeight="1"/>
    <row r="363" ht="25.5" customHeight="1"/>
    <row r="364" ht="25.5" customHeight="1"/>
    <row r="365" ht="25.5" customHeight="1"/>
    <row r="366" ht="25.5" customHeight="1"/>
    <row r="367" ht="25.5" customHeight="1"/>
    <row r="368" ht="25.5" customHeight="1"/>
    <row r="369" ht="25.5" customHeight="1"/>
    <row r="370" ht="25.5" customHeight="1"/>
    <row r="371" ht="25.5" customHeight="1"/>
    <row r="372" ht="25.5" customHeight="1"/>
    <row r="373" ht="25.5" customHeight="1"/>
    <row r="374" ht="25.5" customHeight="1"/>
    <row r="375" ht="25.5" customHeight="1"/>
    <row r="376" ht="25.5" customHeight="1"/>
    <row r="377" ht="25.5" customHeight="1"/>
    <row r="378" ht="25.5" customHeight="1"/>
    <row r="379" ht="25.5" customHeight="1"/>
    <row r="380" ht="25.5" customHeight="1"/>
    <row r="381" ht="25.5" customHeight="1"/>
    <row r="382" ht="25.5" customHeight="1"/>
    <row r="383" ht="25.5" customHeight="1"/>
    <row r="384" ht="25.5" customHeight="1"/>
    <row r="385" ht="25.5" customHeight="1"/>
    <row r="386" ht="25.5" customHeight="1"/>
    <row r="387" ht="25.5" customHeight="1"/>
    <row r="388" ht="25.5" customHeight="1"/>
    <row r="389" ht="25.5" customHeight="1"/>
    <row r="390" ht="25.5" customHeight="1"/>
    <row r="391" ht="25.5" customHeight="1"/>
    <row r="392" ht="25.5" customHeight="1"/>
    <row r="393" ht="25.5" customHeight="1"/>
    <row r="394" ht="25.5" customHeight="1"/>
    <row r="395" ht="25.5" customHeight="1"/>
    <row r="396" ht="25.5" customHeight="1"/>
    <row r="397" ht="25.5" customHeight="1"/>
    <row r="398" ht="25.5" customHeight="1"/>
    <row r="399" ht="25.5" customHeight="1"/>
    <row r="400" ht="25.5" customHeight="1"/>
    <row r="401" ht="25.5" customHeight="1"/>
    <row r="402" ht="25.5" customHeight="1"/>
    <row r="403" ht="25.5" customHeight="1"/>
    <row r="404" ht="25.5" customHeight="1"/>
    <row r="405" ht="25.5" customHeight="1"/>
    <row r="406" ht="25.5" customHeight="1"/>
    <row r="407" ht="25.5" customHeight="1"/>
    <row r="408" ht="25.5" customHeight="1"/>
    <row r="409" ht="25.5" customHeight="1"/>
    <row r="410" ht="25.5" customHeight="1"/>
    <row r="411" ht="25.5" customHeight="1"/>
    <row r="412" ht="25.5" customHeight="1"/>
    <row r="413" ht="25.5" customHeight="1"/>
    <row r="414" ht="25.5" customHeight="1"/>
    <row r="415" ht="25.5" customHeight="1"/>
    <row r="416" ht="25.5" customHeight="1"/>
    <row r="417" ht="25.5" customHeight="1"/>
    <row r="418" ht="25.5" customHeight="1"/>
    <row r="419" ht="25.5" customHeight="1"/>
    <row r="420" ht="25.5" customHeight="1"/>
    <row r="421" ht="25.5" customHeight="1"/>
    <row r="422" ht="25.5" customHeight="1"/>
    <row r="423" ht="25.5" customHeight="1"/>
    <row r="424" ht="25.5" customHeight="1"/>
    <row r="425" ht="25.5" customHeight="1"/>
    <row r="426" ht="25.5" customHeight="1"/>
    <row r="427" ht="25.5" customHeight="1"/>
    <row r="428" ht="25.5" customHeight="1"/>
    <row r="429" ht="25.5" customHeight="1"/>
    <row r="430" ht="25.5" customHeight="1"/>
    <row r="431" ht="25.5" customHeight="1"/>
    <row r="432" ht="25.5" customHeight="1"/>
    <row r="433" ht="25.5" customHeight="1"/>
    <row r="434" ht="25.5" customHeight="1"/>
    <row r="435" ht="25.5" customHeight="1"/>
    <row r="436" ht="25.5" customHeight="1"/>
    <row r="437" ht="25.5" customHeight="1"/>
    <row r="438" ht="25.5" customHeight="1"/>
    <row r="439" ht="25.5" customHeight="1"/>
    <row r="440" ht="25.5" customHeight="1"/>
    <row r="441" ht="25.5" customHeight="1"/>
    <row r="442" ht="25.5" customHeight="1"/>
    <row r="443" ht="25.5" customHeight="1"/>
    <row r="444" ht="25.5" customHeight="1"/>
    <row r="445" ht="25.5" customHeight="1"/>
    <row r="446" ht="25.5" customHeight="1"/>
    <row r="447" ht="25.5" customHeight="1"/>
    <row r="448" ht="25.5" customHeight="1"/>
    <row r="449" ht="25.5" customHeight="1"/>
    <row r="450" ht="25.5" customHeight="1"/>
    <row r="451" ht="25.5" customHeight="1"/>
    <row r="452" ht="25.5" customHeight="1"/>
    <row r="453" ht="25.5" customHeight="1"/>
    <row r="454" ht="25.5" customHeight="1"/>
    <row r="455" ht="25.5" customHeight="1"/>
    <row r="456" ht="25.5" customHeight="1"/>
    <row r="457" ht="25.5" customHeight="1"/>
    <row r="458" ht="25.5" customHeight="1"/>
    <row r="459" ht="25.5" customHeight="1"/>
    <row r="460" ht="25.5" customHeight="1"/>
    <row r="461" ht="25.5" customHeight="1"/>
    <row r="462" ht="25.5" customHeight="1"/>
    <row r="463" ht="25.5" customHeight="1"/>
    <row r="464" ht="25.5" customHeight="1"/>
    <row r="465" ht="25.5" customHeight="1"/>
    <row r="466" ht="25.5" customHeight="1"/>
    <row r="467" ht="25.5" customHeight="1"/>
    <row r="468" ht="25.5" customHeight="1"/>
    <row r="469" ht="25.5" customHeight="1"/>
    <row r="470" ht="25.5" customHeight="1"/>
    <row r="471" ht="25.5" customHeight="1"/>
    <row r="472" ht="25.5" customHeight="1"/>
    <row r="473" ht="25.5" customHeight="1"/>
    <row r="474" ht="25.5" customHeight="1"/>
    <row r="475" ht="25.5" customHeight="1"/>
    <row r="476" ht="25.5" customHeight="1"/>
    <row r="477" ht="25.5" customHeight="1"/>
    <row r="478" ht="25.5" customHeight="1"/>
    <row r="479" ht="25.5" customHeight="1"/>
    <row r="480" ht="25.5" customHeight="1"/>
    <row r="481" ht="25.5" customHeight="1"/>
    <row r="482" ht="25.5" customHeight="1"/>
    <row r="483" ht="25.5" customHeight="1"/>
    <row r="484" ht="25.5" customHeight="1"/>
    <row r="485" ht="25.5" customHeight="1"/>
    <row r="486" ht="25.5" customHeight="1"/>
    <row r="487" ht="25.5" customHeight="1"/>
    <row r="488" ht="25.5" customHeight="1"/>
    <row r="489" ht="25.5" customHeight="1"/>
    <row r="490" ht="25.5" customHeight="1"/>
    <row r="491" ht="25.5" customHeight="1"/>
    <row r="492" ht="25.5" customHeight="1"/>
    <row r="493" ht="25.5" customHeight="1"/>
    <row r="494" ht="25.5" customHeight="1"/>
    <row r="495" ht="25.5" customHeight="1"/>
    <row r="496" ht="25.5" customHeight="1"/>
    <row r="497" ht="25.5" customHeight="1"/>
    <row r="498" ht="25.5" customHeight="1"/>
    <row r="499" ht="25.5" customHeight="1"/>
    <row r="500" ht="25.5" customHeight="1"/>
    <row r="501" ht="25.5" customHeight="1"/>
    <row r="502" ht="25.5" customHeight="1"/>
    <row r="503" ht="25.5" customHeight="1"/>
    <row r="504" ht="25.5" customHeight="1"/>
    <row r="505" ht="25.5" customHeight="1"/>
    <row r="506" ht="25.5" customHeight="1"/>
    <row r="507" ht="25.5" customHeight="1"/>
    <row r="508" ht="25.5" customHeight="1"/>
    <row r="509" ht="25.5" customHeight="1"/>
    <row r="510" ht="25.5" customHeight="1"/>
    <row r="511" ht="25.5" customHeight="1"/>
    <row r="512" ht="25.5" customHeight="1"/>
    <row r="513" ht="25.5" customHeight="1"/>
    <row r="514" ht="25.5" customHeight="1"/>
    <row r="515" ht="25.5" customHeight="1"/>
    <row r="516" ht="25.5" customHeight="1"/>
    <row r="517" ht="25.5" customHeight="1"/>
    <row r="518" ht="25.5" customHeight="1"/>
    <row r="519" ht="25.5" customHeight="1"/>
    <row r="520" ht="25.5" customHeight="1"/>
    <row r="521" ht="25.5" customHeight="1"/>
    <row r="522" ht="25.5" customHeight="1"/>
    <row r="523" ht="25.5" customHeight="1"/>
    <row r="524" ht="25.5" customHeight="1"/>
    <row r="525" ht="25.5" customHeight="1"/>
    <row r="526" ht="25.5" customHeight="1"/>
    <row r="527" ht="25.5" customHeight="1"/>
    <row r="528" ht="25.5" customHeight="1"/>
    <row r="529" ht="25.5" customHeight="1"/>
    <row r="530" ht="25.5" customHeight="1"/>
    <row r="531" ht="25.5" customHeight="1"/>
    <row r="532" ht="25.5" customHeight="1"/>
    <row r="533" ht="25.5" customHeight="1"/>
    <row r="534" ht="25.5" customHeight="1"/>
    <row r="535" ht="25.5" customHeight="1"/>
    <row r="536" ht="25.5" customHeight="1"/>
    <row r="537" ht="25.5" customHeight="1"/>
    <row r="538" ht="25.5" customHeight="1"/>
    <row r="539" ht="25.5" customHeight="1"/>
    <row r="540" ht="25.5" customHeight="1"/>
    <row r="541" ht="25.5" customHeight="1"/>
    <row r="542" ht="25.5" customHeight="1"/>
    <row r="543" ht="25.5" customHeight="1"/>
    <row r="544" ht="25.5" customHeight="1"/>
    <row r="545" ht="25.5" customHeight="1"/>
    <row r="546" ht="25.5" customHeight="1"/>
    <row r="547" ht="25.5" customHeight="1"/>
    <row r="548" ht="25.5" customHeight="1"/>
    <row r="549" ht="25.5" customHeight="1"/>
    <row r="550" ht="25.5" customHeight="1"/>
    <row r="551" ht="25.5" customHeight="1"/>
    <row r="552" ht="25.5" customHeight="1"/>
    <row r="553" ht="25.5" customHeight="1"/>
    <row r="554" ht="25.5" customHeight="1"/>
    <row r="555" ht="25.5" customHeight="1"/>
    <row r="556" ht="25.5" customHeight="1"/>
    <row r="557" ht="25.5" customHeight="1"/>
    <row r="558" ht="25.5" customHeight="1"/>
    <row r="559" ht="25.5" customHeight="1"/>
    <row r="560" ht="25.5" customHeight="1"/>
    <row r="561" ht="25.5" customHeight="1"/>
    <row r="562" ht="25.5" customHeight="1"/>
    <row r="563" ht="25.5" customHeight="1"/>
    <row r="564" ht="25.5" customHeight="1"/>
    <row r="565" ht="25.5" customHeight="1"/>
    <row r="566" ht="25.5" customHeight="1"/>
    <row r="567" ht="25.5" customHeight="1"/>
    <row r="568" ht="25.5" customHeight="1"/>
    <row r="569" ht="25.5" customHeight="1"/>
    <row r="570" ht="25.5" customHeight="1"/>
    <row r="571" ht="25.5" customHeight="1"/>
    <row r="572" ht="25.5" customHeight="1"/>
    <row r="573" ht="25.5" customHeight="1"/>
    <row r="574" ht="25.5" customHeight="1"/>
    <row r="575" ht="25.5" customHeight="1"/>
    <row r="576" ht="25.5" customHeight="1"/>
    <row r="577" ht="25.5" customHeight="1"/>
    <row r="578" ht="25.5" customHeight="1"/>
    <row r="579" ht="25.5" customHeight="1"/>
    <row r="580" ht="25.5" customHeight="1"/>
    <row r="581" ht="25.5" customHeight="1"/>
    <row r="582" ht="25.5" customHeight="1"/>
    <row r="583" ht="25.5" customHeight="1"/>
    <row r="584" ht="25.5" customHeight="1"/>
    <row r="585" ht="25.5" customHeight="1"/>
    <row r="586" ht="25.5" customHeight="1"/>
    <row r="587" ht="25.5" customHeight="1"/>
    <row r="588" ht="25.5" customHeight="1"/>
    <row r="589" ht="25.5" customHeight="1"/>
    <row r="590" ht="25.5" customHeight="1"/>
    <row r="591" ht="25.5" customHeight="1"/>
    <row r="592" ht="25.5" customHeight="1"/>
    <row r="593" ht="25.5" customHeight="1"/>
    <row r="594" ht="25.5" customHeight="1"/>
    <row r="595" ht="25.5" customHeight="1"/>
    <row r="596" ht="25.5" customHeight="1"/>
    <row r="597" ht="25.5" customHeight="1"/>
    <row r="598" ht="25.5" customHeight="1"/>
    <row r="599" ht="25.5" customHeight="1"/>
    <row r="600" ht="25.5" customHeight="1"/>
    <row r="601" ht="25.5" customHeight="1"/>
    <row r="602" ht="25.5" customHeight="1"/>
    <row r="603" ht="25.5" customHeight="1"/>
    <row r="604" ht="25.5" customHeight="1"/>
    <row r="605" ht="25.5" customHeight="1"/>
    <row r="606" ht="25.5" customHeight="1"/>
    <row r="607" ht="25.5" customHeight="1"/>
    <row r="608" ht="25.5" customHeight="1"/>
    <row r="609" ht="25.5" customHeight="1"/>
    <row r="610" ht="25.5" customHeight="1"/>
    <row r="611" ht="25.5" customHeight="1"/>
    <row r="612" ht="25.5" customHeight="1"/>
    <row r="613" ht="25.5" customHeight="1"/>
    <row r="614" ht="25.5" customHeight="1"/>
    <row r="615" ht="25.5" customHeight="1"/>
    <row r="616" ht="25.5" customHeight="1"/>
    <row r="617" ht="25.5" customHeight="1"/>
    <row r="618" ht="25.5" customHeight="1"/>
    <row r="619" ht="25.5" customHeight="1"/>
    <row r="620" ht="25.5" customHeight="1"/>
    <row r="621" ht="25.5" customHeight="1"/>
    <row r="622" ht="25.5" customHeight="1"/>
    <row r="623" ht="25.5" customHeight="1"/>
    <row r="624" ht="25.5" customHeight="1"/>
    <row r="625" ht="25.5" customHeight="1"/>
    <row r="626" ht="25.5" customHeight="1"/>
    <row r="627" ht="25.5" customHeight="1"/>
    <row r="628" ht="25.5" customHeight="1"/>
    <row r="629" ht="25.5" customHeight="1"/>
    <row r="630" ht="25.5" customHeight="1"/>
    <row r="631" ht="25.5" customHeight="1"/>
    <row r="632" ht="25.5" customHeight="1"/>
    <row r="633" ht="25.5" customHeight="1"/>
    <row r="634" ht="25.5" customHeight="1"/>
    <row r="635" ht="25.5" customHeight="1"/>
    <row r="636" ht="25.5" customHeight="1"/>
    <row r="637" ht="25.5" customHeight="1"/>
    <row r="638" ht="25.5" customHeight="1"/>
    <row r="639" ht="25.5" customHeight="1"/>
    <row r="640" ht="25.5" customHeight="1"/>
    <row r="641" ht="25.5" customHeight="1"/>
    <row r="642" ht="25.5" customHeight="1"/>
    <row r="643" ht="25.5" customHeight="1"/>
    <row r="644" ht="25.5" customHeight="1"/>
    <row r="645" ht="25.5" customHeight="1"/>
    <row r="646" ht="25.5" customHeight="1"/>
    <row r="647" ht="25.5" customHeight="1"/>
    <row r="648" ht="25.5" customHeight="1"/>
    <row r="649" ht="25.5" customHeight="1"/>
    <row r="650" ht="25.5" customHeight="1"/>
    <row r="651" ht="25.5" customHeight="1"/>
    <row r="652" ht="25.5" customHeight="1"/>
    <row r="653" ht="25.5" customHeight="1"/>
    <row r="654" ht="25.5" customHeight="1"/>
    <row r="655" ht="25.5" customHeight="1"/>
    <row r="656" ht="25.5" customHeight="1"/>
    <row r="657" ht="25.5" customHeight="1"/>
    <row r="658" ht="25.5" customHeight="1"/>
    <row r="659" ht="25.5" customHeight="1"/>
    <row r="660" ht="25.5" customHeight="1"/>
    <row r="661" ht="25.5" customHeight="1"/>
    <row r="662" ht="25.5" customHeight="1"/>
    <row r="663" ht="25.5" customHeight="1"/>
    <row r="664" ht="25.5" customHeight="1"/>
    <row r="665" ht="25.5" customHeight="1"/>
    <row r="666" ht="25.5" customHeight="1"/>
    <row r="667" ht="25.5" customHeight="1"/>
    <row r="668" ht="25.5" customHeight="1"/>
    <row r="669" ht="25.5" customHeight="1"/>
    <row r="670" ht="25.5" customHeight="1"/>
    <row r="671" ht="25.5" customHeight="1"/>
    <row r="672" ht="25.5" customHeight="1"/>
    <row r="673" ht="25.5" customHeight="1"/>
    <row r="674" ht="25.5" customHeight="1"/>
    <row r="675" ht="25.5" customHeight="1"/>
    <row r="676" ht="25.5" customHeight="1"/>
    <row r="677" ht="25.5" customHeight="1"/>
    <row r="678" ht="25.5" customHeight="1"/>
    <row r="679" ht="25.5" customHeight="1"/>
    <row r="680" ht="25.5" customHeight="1"/>
    <row r="681" ht="25.5" customHeight="1"/>
    <row r="682" ht="25.5" customHeight="1"/>
    <row r="683" ht="25.5" customHeight="1"/>
    <row r="684" ht="25.5" customHeight="1"/>
    <row r="685" ht="25.5" customHeight="1"/>
    <row r="686" ht="25.5" customHeight="1"/>
    <row r="687" ht="25.5" customHeight="1"/>
    <row r="688" ht="25.5" customHeight="1"/>
    <row r="689" ht="25.5" customHeight="1"/>
    <row r="690" ht="25.5" customHeight="1"/>
    <row r="691" ht="25.5" customHeight="1"/>
    <row r="692" ht="25.5" customHeight="1"/>
    <row r="693" ht="25.5" customHeight="1"/>
    <row r="694" ht="25.5" customHeight="1"/>
    <row r="695" ht="25.5" customHeight="1"/>
    <row r="696" ht="25.5" customHeight="1"/>
    <row r="697" ht="25.5" customHeight="1"/>
    <row r="698" ht="25.5" customHeight="1"/>
    <row r="699" ht="25.5" customHeight="1"/>
    <row r="700" ht="25.5" customHeight="1"/>
    <row r="701" ht="25.5" customHeight="1"/>
    <row r="702" ht="25.5" customHeight="1"/>
    <row r="703" ht="25.5" customHeight="1"/>
    <row r="704" ht="25.5" customHeight="1"/>
    <row r="705" ht="25.5" customHeight="1"/>
    <row r="706" ht="25.5" customHeight="1"/>
    <row r="707" ht="25.5" customHeight="1"/>
    <row r="708" ht="25.5" customHeight="1"/>
    <row r="709" ht="25.5" customHeight="1"/>
    <row r="710" ht="25.5" customHeight="1"/>
    <row r="711" ht="25.5" customHeight="1"/>
    <row r="712" ht="25.5" customHeight="1"/>
    <row r="713" ht="25.5" customHeight="1"/>
    <row r="714" ht="25.5" customHeight="1"/>
    <row r="715" ht="25.5" customHeight="1"/>
    <row r="716" ht="25.5" customHeight="1"/>
    <row r="717" ht="25.5" customHeight="1"/>
    <row r="718" ht="25.5" customHeight="1"/>
    <row r="719" ht="25.5" customHeight="1"/>
    <row r="720" ht="25.5" customHeight="1"/>
    <row r="721" ht="25.5" customHeight="1"/>
    <row r="722" ht="25.5" customHeight="1"/>
    <row r="723" ht="25.5" customHeight="1"/>
    <row r="724" ht="25.5" customHeight="1"/>
    <row r="725" ht="25.5" customHeight="1"/>
    <row r="726" ht="25.5" customHeight="1"/>
    <row r="727" ht="25.5" customHeight="1"/>
    <row r="728" ht="25.5" customHeight="1"/>
    <row r="729" ht="25.5" customHeight="1"/>
    <row r="730" ht="25.5" customHeight="1"/>
    <row r="731" ht="25.5" customHeight="1"/>
    <row r="732" ht="25.5" customHeight="1"/>
    <row r="733" ht="25.5" customHeight="1"/>
    <row r="734" ht="25.5" customHeight="1"/>
    <row r="735" ht="25.5" customHeight="1"/>
    <row r="736" ht="25.5" customHeight="1"/>
    <row r="737" ht="25.5" customHeight="1"/>
    <row r="738" ht="25.5" customHeight="1"/>
    <row r="739" ht="25.5" customHeight="1"/>
    <row r="740" ht="25.5" customHeight="1"/>
    <row r="741" ht="25.5" customHeight="1"/>
    <row r="742" ht="25.5" customHeight="1"/>
    <row r="743" ht="25.5" customHeight="1"/>
    <row r="744" ht="25.5" customHeight="1"/>
    <row r="745" ht="25.5" customHeight="1"/>
    <row r="746" ht="25.5" customHeight="1"/>
    <row r="747" ht="25.5" customHeight="1"/>
    <row r="748" ht="25.5" customHeight="1"/>
    <row r="749" ht="25.5" customHeight="1"/>
    <row r="750" ht="25.5" customHeight="1"/>
    <row r="751" ht="25.5" customHeight="1"/>
    <row r="752" ht="25.5" customHeight="1"/>
    <row r="753" ht="25.5" customHeight="1"/>
    <row r="754" ht="25.5" customHeight="1"/>
    <row r="755" ht="25.5" customHeight="1"/>
    <row r="756" ht="25.5" customHeight="1"/>
    <row r="757" ht="25.5" customHeight="1"/>
    <row r="758" ht="25.5" customHeight="1"/>
    <row r="759" ht="25.5" customHeight="1"/>
    <row r="760" ht="25.5" customHeight="1"/>
    <row r="761" ht="25.5" customHeight="1"/>
    <row r="762" ht="25.5" customHeight="1"/>
    <row r="763" ht="25.5" customHeight="1"/>
    <row r="764" ht="25.5" customHeight="1"/>
    <row r="765" ht="25.5" customHeight="1"/>
    <row r="766" ht="25.5" customHeight="1"/>
    <row r="767" ht="25.5" customHeight="1"/>
    <row r="768" ht="25.5" customHeight="1"/>
    <row r="769" ht="25.5" customHeight="1"/>
    <row r="770" ht="25.5" customHeight="1"/>
    <row r="771" ht="25.5" customHeight="1"/>
    <row r="772" ht="25.5" customHeight="1"/>
    <row r="773" ht="25.5" customHeight="1"/>
    <row r="774" ht="25.5" customHeight="1"/>
    <row r="775" ht="25.5" customHeight="1"/>
    <row r="776" ht="25.5" customHeight="1"/>
    <row r="777" ht="25.5" customHeight="1"/>
    <row r="778" ht="25.5" customHeight="1"/>
    <row r="779" ht="25.5" customHeight="1"/>
    <row r="780" ht="25.5" customHeight="1"/>
    <row r="781" ht="25.5" customHeight="1"/>
    <row r="782" ht="25.5" customHeight="1"/>
    <row r="783" ht="25.5" customHeight="1"/>
    <row r="784" ht="25.5" customHeight="1"/>
    <row r="785" ht="25.5" customHeight="1"/>
    <row r="786" ht="25.5" customHeight="1"/>
    <row r="787" ht="25.5" customHeight="1"/>
    <row r="788" ht="25.5" customHeight="1"/>
    <row r="789" ht="25.5" customHeight="1"/>
    <row r="790" ht="25.5" customHeight="1"/>
    <row r="791" ht="25.5" customHeight="1"/>
    <row r="792" ht="25.5" customHeight="1"/>
    <row r="793" ht="25.5" customHeight="1"/>
    <row r="794" ht="25.5" customHeight="1"/>
    <row r="795" ht="25.5" customHeight="1"/>
    <row r="796" ht="25.5" customHeight="1"/>
    <row r="797" ht="25.5" customHeight="1"/>
    <row r="798" ht="25.5" customHeight="1"/>
    <row r="799" ht="25.5" customHeight="1"/>
    <row r="800" ht="25.5" customHeight="1"/>
    <row r="801" ht="25.5" customHeight="1"/>
    <row r="802" ht="25.5" customHeight="1"/>
    <row r="803" ht="25.5" customHeight="1"/>
    <row r="804" ht="25.5" customHeight="1"/>
    <row r="805" ht="25.5" customHeight="1"/>
    <row r="806" ht="25.5" customHeight="1"/>
    <row r="807" ht="25.5" customHeight="1"/>
    <row r="808" ht="25.5" customHeight="1"/>
    <row r="809" ht="25.5" customHeight="1"/>
    <row r="810" ht="25.5" customHeight="1"/>
    <row r="811" ht="25.5" customHeight="1"/>
    <row r="812" ht="25.5" customHeight="1"/>
    <row r="813" ht="25.5" customHeight="1"/>
    <row r="814" ht="25.5" customHeight="1"/>
    <row r="815" ht="25.5" customHeight="1"/>
    <row r="816" ht="25.5" customHeight="1"/>
    <row r="817" ht="25.5" customHeight="1"/>
  </sheetData>
  <mergeCells count="8">
    <mergeCell ref="A1:G1"/>
    <mergeCell ref="A2:A3"/>
    <mergeCell ref="B2:B3"/>
    <mergeCell ref="C2:C3"/>
    <mergeCell ref="D2:D3"/>
    <mergeCell ref="E2:E3"/>
    <mergeCell ref="F2:G2"/>
    <mergeCell ref="A69:C69"/>
  </mergeCells>
  <dataValidations>
    <dataValidation type="list" allowBlank="1" sqref="I4:I67">
      <formula1>"CHECKED (OK),CHECKED  (NOT OK)"</formula1>
    </dataValidation>
  </dataValidations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3" width="12.5"/>
    <col customWidth="1" min="4" max="4" width="7.38"/>
    <col customWidth="1" min="5" max="5" width="29.88"/>
    <col customWidth="1" min="6" max="6" width="31.75"/>
    <col customWidth="1" min="7" max="7" width="30.13"/>
    <col customWidth="1" min="8" max="8" width="32.25"/>
  </cols>
  <sheetData>
    <row r="1">
      <c r="A1" s="286" t="str">
        <f>IFERROR(__xludf.DUMMYFUNCTION("IMPORTRANGE(""https://docs.google.com/spreadsheets/d/1mjARqxqic6swTCIrvlefIcbTXKfzscQXizcudD61xDk/edit#gid=0"",""Crew Data!A1:G10000"")"),"")</f>
        <v/>
      </c>
      <c r="B1">
        <f>IFERROR(__xludf.DUMMYFUNCTION("""COMPUTED_VALUE"""),2.0)</f>
        <v>2</v>
      </c>
      <c r="C1" s="142">
        <f>IFERROR(__xludf.DUMMYFUNCTION("""COMPUTED_VALUE"""),3.0)</f>
        <v>3</v>
      </c>
      <c r="D1">
        <f>IFERROR(__xludf.DUMMYFUNCTION("""COMPUTED_VALUE"""),4.0)</f>
        <v>4</v>
      </c>
      <c r="E1" s="142">
        <f>IFERROR(__xludf.DUMMYFUNCTION("""COMPUTED_VALUE"""),5.0)</f>
        <v>5</v>
      </c>
      <c r="F1">
        <f>IFERROR(__xludf.DUMMYFUNCTION("""COMPUTED_VALUE"""),6.0)</f>
        <v>6</v>
      </c>
    </row>
    <row r="2">
      <c r="D2" t="str">
        <f>IFERROR(__xludf.DUMMYFUNCTION("""COMPUTED_VALUE"""),"ณ ปัจจุบันรายงานวันที่")</f>
        <v>ณ ปัจจุบันรายงานวันที่</v>
      </c>
      <c r="F2" s="143">
        <f>IFERROR(__xludf.DUMMYFUNCTION("""COMPUTED_VALUE"""),46166.0)</f>
        <v>46166</v>
      </c>
    </row>
    <row r="4">
      <c r="A4" s="142" t="str">
        <f>IFERROR(__xludf.DUMMYFUNCTION("""COMPUTED_VALUE"""),"Batch")</f>
        <v>Batch</v>
      </c>
      <c r="B4" t="str">
        <f>IFERROR(__xludf.DUMMYFUNCTION("""COMPUTED_VALUE"""),"Old ID")</f>
        <v>Old ID</v>
      </c>
      <c r="C4" t="str">
        <f>IFERROR(__xludf.DUMMYFUNCTION("""COMPUTED_VALUE"""),"New ID")</f>
        <v>New ID</v>
      </c>
      <c r="D4" t="str">
        <f>IFERROR(__xludf.DUMMYFUNCTION("""COMPUTED_VALUE"""),"Person
PrefixEng")</f>
        <v>Person
PrefixEng</v>
      </c>
      <c r="E4" t="str">
        <f>IFERROR(__xludf.DUMMYFUNCTION("""COMPUTED_VALUE"""),"PersonFNameEng")</f>
        <v>PersonFNameEng</v>
      </c>
      <c r="F4" t="str">
        <f>IFERROR(__xludf.DUMMYFUNCTION("""COMPUTED_VALUE"""),"PersonLNameEng")</f>
        <v>PersonLNameEng</v>
      </c>
      <c r="G4" t="str">
        <f>IFERROR(__xludf.DUMMYFUNCTION("""COMPUTED_VALUE"""),"FullNameENG")</f>
        <v>FullNameENG</v>
      </c>
    </row>
    <row r="5">
      <c r="A5" s="142">
        <f>IFERROR(__xludf.DUMMYFUNCTION("""COMPUTED_VALUE"""),1.0)</f>
        <v>1</v>
      </c>
      <c r="B5" t="str">
        <f>IFERROR(__xludf.DUMMYFUNCTION("""COMPUTED_VALUE"""),"TAA0025")</f>
        <v>TAA0025</v>
      </c>
      <c r="C5">
        <f>IFERROR(__xludf.DUMMYFUNCTION("""COMPUTED_VALUE"""),1000224.0)</f>
        <v>1000224</v>
      </c>
      <c r="D5" t="str">
        <f>IFERROR(__xludf.DUMMYFUNCTION("""COMPUTED_VALUE"""),"Mrs.")</f>
        <v>Mrs.</v>
      </c>
      <c r="E5" t="str">
        <f>IFERROR(__xludf.DUMMYFUNCTION("""COMPUTED_VALUE"""),"Angkhana")</f>
        <v>Angkhana</v>
      </c>
      <c r="F5" t="str">
        <f>IFERROR(__xludf.DUMMYFUNCTION("""COMPUTED_VALUE"""),"Juraiphong")</f>
        <v>Juraiphong</v>
      </c>
      <c r="G5" t="str">
        <f>IFERROR(__xludf.DUMMYFUNCTION("""COMPUTED_VALUE"""),"Angkhana Juraiphong")</f>
        <v>Angkhana Juraiphong</v>
      </c>
    </row>
    <row r="6">
      <c r="A6" s="142">
        <f>IFERROR(__xludf.DUMMYFUNCTION("""COMPUTED_VALUE"""),1.0)</f>
        <v>1</v>
      </c>
      <c r="B6" t="str">
        <f>IFERROR(__xludf.DUMMYFUNCTION("""COMPUTED_VALUE"""),"TAA0042")</f>
        <v>TAA0042</v>
      </c>
      <c r="C6">
        <f>IFERROR(__xludf.DUMMYFUNCTION("""COMPUTED_VALUE"""),1000229.0)</f>
        <v>1000229</v>
      </c>
      <c r="D6" t="str">
        <f>IFERROR(__xludf.DUMMYFUNCTION("""COMPUTED_VALUE"""),"Ms.")</f>
        <v>Ms.</v>
      </c>
      <c r="E6" t="str">
        <f>IFERROR(__xludf.DUMMYFUNCTION("""COMPUTED_VALUE"""),"Kunyarpast (Thalatchanan)")</f>
        <v>Kunyarpast (Thalatchanan)</v>
      </c>
      <c r="F6" t="str">
        <f>IFERROR(__xludf.DUMMYFUNCTION("""COMPUTED_VALUE"""),"Toyingsirikul")</f>
        <v>Toyingsirikul</v>
      </c>
      <c r="G6" t="str">
        <f>IFERROR(__xludf.DUMMYFUNCTION("""COMPUTED_VALUE"""),"Kunyarpast Toyingsirikul")</f>
        <v>Kunyarpast Toyingsirikul</v>
      </c>
    </row>
    <row r="8">
      <c r="A8" s="142">
        <f>IFERROR(__xludf.DUMMYFUNCTION("""COMPUTED_VALUE"""),2.0)</f>
        <v>2</v>
      </c>
      <c r="B8" t="str">
        <f>IFERROR(__xludf.DUMMYFUNCTION("""COMPUTED_VALUE"""),"TAA0055")</f>
        <v>TAA0055</v>
      </c>
      <c r="C8">
        <f>IFERROR(__xludf.DUMMYFUNCTION("""COMPUTED_VALUE"""),1000233.0)</f>
        <v>1000233</v>
      </c>
      <c r="D8" t="str">
        <f>IFERROR(__xludf.DUMMYFUNCTION("""COMPUTED_VALUE"""),"Ms.")</f>
        <v>Ms.</v>
      </c>
      <c r="E8" t="str">
        <f>IFERROR(__xludf.DUMMYFUNCTION("""COMPUTED_VALUE"""),"Rawiga")</f>
        <v>Rawiga</v>
      </c>
      <c r="F8" t="str">
        <f>IFERROR(__xludf.DUMMYFUNCTION("""COMPUTED_VALUE"""),"Kuawong")</f>
        <v>Kuawong</v>
      </c>
      <c r="G8" t="str">
        <f>IFERROR(__xludf.DUMMYFUNCTION("""COMPUTED_VALUE"""),"Rawiga Kuawong")</f>
        <v>Rawiga Kuawong</v>
      </c>
    </row>
    <row r="9">
      <c r="A9" s="142">
        <f>IFERROR(__xludf.DUMMYFUNCTION("""COMPUTED_VALUE"""),2.0)</f>
        <v>2</v>
      </c>
      <c r="B9" t="str">
        <f>IFERROR(__xludf.DUMMYFUNCTION("""COMPUTED_VALUE"""),"TAA0076")</f>
        <v>TAA0076</v>
      </c>
      <c r="C9">
        <f>IFERROR(__xludf.DUMMYFUNCTION("""COMPUTED_VALUE"""),1000240.0)</f>
        <v>1000240</v>
      </c>
      <c r="D9" t="str">
        <f>IFERROR(__xludf.DUMMYFUNCTION("""COMPUTED_VALUE"""),"Mr.")</f>
        <v>Mr.</v>
      </c>
      <c r="E9" t="str">
        <f>IFERROR(__xludf.DUMMYFUNCTION("""COMPUTED_VALUE"""),"Thanisorn")</f>
        <v>Thanisorn</v>
      </c>
      <c r="F9" t="str">
        <f>IFERROR(__xludf.DUMMYFUNCTION("""COMPUTED_VALUE"""),"Lenavat")</f>
        <v>Lenavat</v>
      </c>
      <c r="G9" t="str">
        <f>IFERROR(__xludf.DUMMYFUNCTION("""COMPUTED_VALUE"""),"Thanisorn Lenavat")</f>
        <v>Thanisorn Lenavat</v>
      </c>
    </row>
    <row r="11">
      <c r="A11" s="142">
        <f>IFERROR(__xludf.DUMMYFUNCTION("""COMPUTED_VALUE"""),3.0)</f>
        <v>3</v>
      </c>
      <c r="B11" t="str">
        <f>IFERROR(__xludf.DUMMYFUNCTION("""COMPUTED_VALUE"""),"TAA0263")</f>
        <v>TAA0263</v>
      </c>
      <c r="C11">
        <f>IFERROR(__xludf.DUMMYFUNCTION("""COMPUTED_VALUE"""),1000369.0)</f>
        <v>1000369</v>
      </c>
      <c r="D11" t="str">
        <f>IFERROR(__xludf.DUMMYFUNCTION("""COMPUTED_VALUE"""),"Ms.")</f>
        <v>Ms.</v>
      </c>
      <c r="E11" t="str">
        <f>IFERROR(__xludf.DUMMYFUNCTION("""COMPUTED_VALUE"""),"Bussayarangsri")</f>
        <v>Bussayarangsri</v>
      </c>
      <c r="F11" t="str">
        <f>IFERROR(__xludf.DUMMYFUNCTION("""COMPUTED_VALUE"""),"Saringkaphaiboon")</f>
        <v>Saringkaphaiboon</v>
      </c>
      <c r="G11" t="str">
        <f>IFERROR(__xludf.DUMMYFUNCTION("""COMPUTED_VALUE"""),"Bussayarangsri Saringkaphaiboon")</f>
        <v>Bussayarangsri Saringkaphaiboon</v>
      </c>
    </row>
    <row r="12">
      <c r="A12" s="142">
        <f>IFERROR(__xludf.DUMMYFUNCTION("""COMPUTED_VALUE"""),3.0)</f>
        <v>3</v>
      </c>
      <c r="B12" t="str">
        <f>IFERROR(__xludf.DUMMYFUNCTION("""COMPUTED_VALUE"""),"TAA0266")</f>
        <v>TAA0266</v>
      </c>
      <c r="C12">
        <f>IFERROR(__xludf.DUMMYFUNCTION("""COMPUTED_VALUE"""),1000374.0)</f>
        <v>1000374</v>
      </c>
      <c r="D12" t="str">
        <f>IFERROR(__xludf.DUMMYFUNCTION("""COMPUTED_VALUE"""),"Ms.")</f>
        <v>Ms.</v>
      </c>
      <c r="E12" t="str">
        <f>IFERROR(__xludf.DUMMYFUNCTION("""COMPUTED_VALUE"""),"Onwijit")</f>
        <v>Onwijit</v>
      </c>
      <c r="F12" t="str">
        <f>IFERROR(__xludf.DUMMYFUNCTION("""COMPUTED_VALUE"""),"Rinthaphol")</f>
        <v>Rinthaphol</v>
      </c>
      <c r="G12" t="str">
        <f>IFERROR(__xludf.DUMMYFUNCTION("""COMPUTED_VALUE"""),"Onwijit Rinthaphol")</f>
        <v>Onwijit Rinthaphol</v>
      </c>
    </row>
    <row r="14">
      <c r="A14" s="142">
        <f>IFERROR(__xludf.DUMMYFUNCTION("""COMPUTED_VALUE"""),4.0)</f>
        <v>4</v>
      </c>
      <c r="B14" t="str">
        <f>IFERROR(__xludf.DUMMYFUNCTION("""COMPUTED_VALUE"""),"TAA0366")</f>
        <v>TAA0366</v>
      </c>
      <c r="C14">
        <f>IFERROR(__xludf.DUMMYFUNCTION("""COMPUTED_VALUE"""),1000429.0)</f>
        <v>1000429</v>
      </c>
      <c r="D14" t="str">
        <f>IFERROR(__xludf.DUMMYFUNCTION("""COMPUTED_VALUE"""),"Ms.")</f>
        <v>Ms.</v>
      </c>
      <c r="E14" t="str">
        <f>IFERROR(__xludf.DUMMYFUNCTION("""COMPUTED_VALUE"""),"Thatchada")</f>
        <v>Thatchada</v>
      </c>
      <c r="F14" t="str">
        <f>IFERROR(__xludf.DUMMYFUNCTION("""COMPUTED_VALUE"""),"Sakulthep")</f>
        <v>Sakulthep</v>
      </c>
      <c r="G14" t="str">
        <f>IFERROR(__xludf.DUMMYFUNCTION("""COMPUTED_VALUE"""),"Thatchada Sakulthep")</f>
        <v>Thatchada Sakulthep</v>
      </c>
    </row>
    <row r="16">
      <c r="A16" s="142">
        <f>IFERROR(__xludf.DUMMYFUNCTION("""COMPUTED_VALUE"""),5.0)</f>
        <v>5</v>
      </c>
      <c r="B16" t="str">
        <f>IFERROR(__xludf.DUMMYFUNCTION("""COMPUTED_VALUE"""),"TAA0506")</f>
        <v>TAA0506</v>
      </c>
      <c r="C16">
        <f>IFERROR(__xludf.DUMMYFUNCTION("""COMPUTED_VALUE"""),1000539.0)</f>
        <v>1000539</v>
      </c>
      <c r="D16" t="str">
        <f>IFERROR(__xludf.DUMMYFUNCTION("""COMPUTED_VALUE"""),"Ms.")</f>
        <v>Ms.</v>
      </c>
      <c r="E16" t="str">
        <f>IFERROR(__xludf.DUMMYFUNCTION("""COMPUTED_VALUE"""),"Nuttakarn")</f>
        <v>Nuttakarn</v>
      </c>
      <c r="F16" t="str">
        <f>IFERROR(__xludf.DUMMYFUNCTION("""COMPUTED_VALUE"""),"Sirasarun")</f>
        <v>Sirasarun</v>
      </c>
      <c r="G16" t="str">
        <f>IFERROR(__xludf.DUMMYFUNCTION("""COMPUTED_VALUE"""),"Nuttakarn Sirasarun")</f>
        <v>Nuttakarn Sirasarun</v>
      </c>
    </row>
    <row r="18">
      <c r="A18" s="142">
        <f>IFERROR(__xludf.DUMMYFUNCTION("""COMPUTED_VALUE"""),6.0)</f>
        <v>6</v>
      </c>
      <c r="B18" t="str">
        <f>IFERROR(__xludf.DUMMYFUNCTION("""COMPUTED_VALUE"""),"TAA0617")</f>
        <v>TAA0617</v>
      </c>
      <c r="C18">
        <f>IFERROR(__xludf.DUMMYFUNCTION("""COMPUTED_VALUE"""),1000636.0)</f>
        <v>1000636</v>
      </c>
      <c r="D18" t="str">
        <f>IFERROR(__xludf.DUMMYFUNCTION("""COMPUTED_VALUE"""),"Ms.")</f>
        <v>Ms.</v>
      </c>
      <c r="E18" t="str">
        <f>IFERROR(__xludf.DUMMYFUNCTION("""COMPUTED_VALUE"""),"Phitsita")</f>
        <v>Phitsita</v>
      </c>
      <c r="F18" t="str">
        <f>IFERROR(__xludf.DUMMYFUNCTION("""COMPUTED_VALUE"""),"Tungasvasti")</f>
        <v>Tungasvasti</v>
      </c>
      <c r="G18" t="str">
        <f>IFERROR(__xludf.DUMMYFUNCTION("""COMPUTED_VALUE"""),"Phitsita Tungasvasti")</f>
        <v>Phitsita Tungasvasti</v>
      </c>
    </row>
    <row r="20">
      <c r="A20" s="142">
        <f>IFERROR(__xludf.DUMMYFUNCTION("""COMPUTED_VALUE"""),7.0)</f>
        <v>7</v>
      </c>
      <c r="B20" t="str">
        <f>IFERROR(__xludf.DUMMYFUNCTION("""COMPUTED_VALUE"""),"TAA0681")</f>
        <v>TAA0681</v>
      </c>
      <c r="C20">
        <f>IFERROR(__xludf.DUMMYFUNCTION("""COMPUTED_VALUE"""),1000675.0)</f>
        <v>1000675</v>
      </c>
      <c r="D20" t="str">
        <f>IFERROR(__xludf.DUMMYFUNCTION("""COMPUTED_VALUE"""),"Ms.")</f>
        <v>Ms.</v>
      </c>
      <c r="E20" t="str">
        <f>IFERROR(__xludf.DUMMYFUNCTION("""COMPUTED_VALUE"""),"Sivaporn")</f>
        <v>Sivaporn</v>
      </c>
      <c r="F20" t="str">
        <f>IFERROR(__xludf.DUMMYFUNCTION("""COMPUTED_VALUE"""),"Limkanokrat")</f>
        <v>Limkanokrat</v>
      </c>
      <c r="G20" t="str">
        <f>IFERROR(__xludf.DUMMYFUNCTION("""COMPUTED_VALUE"""),"Sivaporn Limkanokrat")</f>
        <v>Sivaporn Limkanokrat</v>
      </c>
    </row>
    <row r="21">
      <c r="A21" s="142">
        <f>IFERROR(__xludf.DUMMYFUNCTION("""COMPUTED_VALUE"""),7.0)</f>
        <v>7</v>
      </c>
      <c r="B21" t="str">
        <f>IFERROR(__xludf.DUMMYFUNCTION("""COMPUTED_VALUE"""),"TAA0689")</f>
        <v>TAA0689</v>
      </c>
      <c r="C21">
        <f>IFERROR(__xludf.DUMMYFUNCTION("""COMPUTED_VALUE"""),1000678.0)</f>
        <v>1000678</v>
      </c>
      <c r="D21" t="str">
        <f>IFERROR(__xludf.DUMMYFUNCTION("""COMPUTED_VALUE"""),"Mr.")</f>
        <v>Mr.</v>
      </c>
      <c r="E21" t="str">
        <f>IFERROR(__xludf.DUMMYFUNCTION("""COMPUTED_VALUE"""),"Theppakorn")</f>
        <v>Theppakorn</v>
      </c>
      <c r="F21" t="str">
        <f>IFERROR(__xludf.DUMMYFUNCTION("""COMPUTED_VALUE"""),"Chaichana")</f>
        <v>Chaichana</v>
      </c>
      <c r="G21" t="str">
        <f>IFERROR(__xludf.DUMMYFUNCTION("""COMPUTED_VALUE"""),"Theppakorn Chaichana")</f>
        <v>Theppakorn Chaichana</v>
      </c>
    </row>
    <row r="22">
      <c r="F22" t="str">
        <f>IFERROR(__xludf.DUMMYFUNCTION("""COMPUTED_VALUE""")," ")</f>
        <v> </v>
      </c>
    </row>
    <row r="23">
      <c r="A23" s="142">
        <f>IFERROR(__xludf.DUMMYFUNCTION("""COMPUTED_VALUE"""),8.0)</f>
        <v>8</v>
      </c>
      <c r="B23" t="str">
        <f>IFERROR(__xludf.DUMMYFUNCTION("""COMPUTED_VALUE"""),"TAA0719")</f>
        <v>TAA0719</v>
      </c>
      <c r="C23">
        <f>IFERROR(__xludf.DUMMYFUNCTION("""COMPUTED_VALUE"""),1000705.0)</f>
        <v>1000705</v>
      </c>
      <c r="D23" t="str">
        <f>IFERROR(__xludf.DUMMYFUNCTION("""COMPUTED_VALUE"""),"Ms.")</f>
        <v>Ms.</v>
      </c>
      <c r="E23" t="str">
        <f>IFERROR(__xludf.DUMMYFUNCTION("""COMPUTED_VALUE"""),"Avisada")</f>
        <v>Avisada</v>
      </c>
      <c r="F23" t="str">
        <f>IFERROR(__xludf.DUMMYFUNCTION("""COMPUTED_VALUE"""),"Jirunyakul")</f>
        <v>Jirunyakul</v>
      </c>
      <c r="G23" t="str">
        <f>IFERROR(__xludf.DUMMYFUNCTION("""COMPUTED_VALUE"""),"Avisada Jirunyakul")</f>
        <v>Avisada Jirunyakul</v>
      </c>
    </row>
    <row r="24">
      <c r="A24" s="142">
        <f>IFERROR(__xludf.DUMMYFUNCTION("""COMPUTED_VALUE"""),8.0)</f>
        <v>8</v>
      </c>
      <c r="B24" t="str">
        <f>IFERROR(__xludf.DUMMYFUNCTION("""COMPUTED_VALUE"""),"TAA0720")</f>
        <v>TAA0720</v>
      </c>
      <c r="C24">
        <f>IFERROR(__xludf.DUMMYFUNCTION("""COMPUTED_VALUE"""),1000707.0)</f>
        <v>1000707</v>
      </c>
      <c r="D24" t="str">
        <f>IFERROR(__xludf.DUMMYFUNCTION("""COMPUTED_VALUE"""),"Ms.")</f>
        <v>Ms.</v>
      </c>
      <c r="E24" t="str">
        <f>IFERROR(__xludf.DUMMYFUNCTION("""COMPUTED_VALUE"""),"Lucksnara (Anchalee)")</f>
        <v>Lucksnara (Anchalee)</v>
      </c>
      <c r="F24" t="str">
        <f>IFERROR(__xludf.DUMMYFUNCTION("""COMPUTED_VALUE"""),"Sothiratviroj (Wongdama)")</f>
        <v>Sothiratviroj (Wongdama)</v>
      </c>
      <c r="G24" t="str">
        <f>IFERROR(__xludf.DUMMYFUNCTION("""COMPUTED_VALUE"""),"Lucksnara Sothiratviroj")</f>
        <v>Lucksnara Sothiratviroj</v>
      </c>
    </row>
    <row r="25">
      <c r="A25" s="142">
        <f>IFERROR(__xludf.DUMMYFUNCTION("""COMPUTED_VALUE"""),8.0)</f>
        <v>8</v>
      </c>
      <c r="B25" t="str">
        <f>IFERROR(__xludf.DUMMYFUNCTION("""COMPUTED_VALUE"""),"TAA0722")</f>
        <v>TAA0722</v>
      </c>
      <c r="C25">
        <f>IFERROR(__xludf.DUMMYFUNCTION("""COMPUTED_VALUE"""),1000708.0)</f>
        <v>1000708</v>
      </c>
      <c r="D25" t="str">
        <f>IFERROR(__xludf.DUMMYFUNCTION("""COMPUTED_VALUE"""),"Ms.")</f>
        <v>Ms.</v>
      </c>
      <c r="E25" t="str">
        <f>IFERROR(__xludf.DUMMYFUNCTION("""COMPUTED_VALUE"""),"Panatda")</f>
        <v>Panatda</v>
      </c>
      <c r="F25" t="str">
        <f>IFERROR(__xludf.DUMMYFUNCTION("""COMPUTED_VALUE"""),"Nawakitwiboon")</f>
        <v>Nawakitwiboon</v>
      </c>
      <c r="G25" t="str">
        <f>IFERROR(__xludf.DUMMYFUNCTION("""COMPUTED_VALUE"""),"Panatda Nawakitwiboon")</f>
        <v>Panatda Nawakitwiboon</v>
      </c>
    </row>
    <row r="26">
      <c r="A26" s="142">
        <f>IFERROR(__xludf.DUMMYFUNCTION("""COMPUTED_VALUE"""),8.0)</f>
        <v>8</v>
      </c>
      <c r="B26" t="str">
        <f>IFERROR(__xludf.DUMMYFUNCTION("""COMPUTED_VALUE"""),"TAA0724")</f>
        <v>TAA0724</v>
      </c>
      <c r="C26">
        <f>IFERROR(__xludf.DUMMYFUNCTION("""COMPUTED_VALUE"""),1000709.0)</f>
        <v>1000709</v>
      </c>
      <c r="D26" t="str">
        <f>IFERROR(__xludf.DUMMYFUNCTION("""COMPUTED_VALUE"""),"Mrs.")</f>
        <v>Mrs.</v>
      </c>
      <c r="E26" t="str">
        <f>IFERROR(__xludf.DUMMYFUNCTION("""COMPUTED_VALUE"""),"Preeyaorn")</f>
        <v>Preeyaorn</v>
      </c>
      <c r="F26" t="str">
        <f>IFERROR(__xludf.DUMMYFUNCTION("""COMPUTED_VALUE"""),"Robrou (Ingavanija)")</f>
        <v>Robrou (Ingavanija)</v>
      </c>
      <c r="G26" t="str">
        <f>IFERROR(__xludf.DUMMYFUNCTION("""COMPUTED_VALUE"""),"Preeyaorn Robrou")</f>
        <v>Preeyaorn Robrou</v>
      </c>
    </row>
    <row r="28">
      <c r="A28" s="142">
        <f>IFERROR(__xludf.DUMMYFUNCTION("""COMPUTED_VALUE"""),9.0)</f>
        <v>9</v>
      </c>
      <c r="B28" t="str">
        <f>IFERROR(__xludf.DUMMYFUNCTION("""COMPUTED_VALUE"""),"TAA0754")</f>
        <v>TAA0754</v>
      </c>
      <c r="C28">
        <f>IFERROR(__xludf.DUMMYFUNCTION("""COMPUTED_VALUE"""),1000735.0)</f>
        <v>1000735</v>
      </c>
      <c r="D28" t="str">
        <f>IFERROR(__xludf.DUMMYFUNCTION("""COMPUTED_VALUE"""),"Ms.")</f>
        <v>Ms.</v>
      </c>
      <c r="E28" t="str">
        <f>IFERROR(__xludf.DUMMYFUNCTION("""COMPUTED_VALUE"""),"Darunee")</f>
        <v>Darunee</v>
      </c>
      <c r="F28" t="str">
        <f>IFERROR(__xludf.DUMMYFUNCTION("""COMPUTED_VALUE"""),"Duangdara")</f>
        <v>Duangdara</v>
      </c>
      <c r="G28" t="str">
        <f>IFERROR(__xludf.DUMMYFUNCTION("""COMPUTED_VALUE"""),"Darunee Duangdara")</f>
        <v>Darunee Duangdara</v>
      </c>
    </row>
    <row r="29">
      <c r="A29" s="142">
        <f>IFERROR(__xludf.DUMMYFUNCTION("""COMPUTED_VALUE"""),9.0)</f>
        <v>9</v>
      </c>
      <c r="B29" t="str">
        <f>IFERROR(__xludf.DUMMYFUNCTION("""COMPUTED_VALUE"""),"TAA0760")</f>
        <v>TAA0760</v>
      </c>
      <c r="C29">
        <f>IFERROR(__xludf.DUMMYFUNCTION("""COMPUTED_VALUE"""),1000736.0)</f>
        <v>1000736</v>
      </c>
      <c r="D29" t="str">
        <f>IFERROR(__xludf.DUMMYFUNCTION("""COMPUTED_VALUE"""),"Mr.")</f>
        <v>Mr.</v>
      </c>
      <c r="E29" t="str">
        <f>IFERROR(__xludf.DUMMYFUNCTION("""COMPUTED_VALUE"""),"Ekkachai")</f>
        <v>Ekkachai</v>
      </c>
      <c r="F29" t="str">
        <f>IFERROR(__xludf.DUMMYFUNCTION("""COMPUTED_VALUE"""),"Moolla")</f>
        <v>Moolla</v>
      </c>
      <c r="G29" t="str">
        <f>IFERROR(__xludf.DUMMYFUNCTION("""COMPUTED_VALUE"""),"Ekkachai Moolla")</f>
        <v>Ekkachai Moolla</v>
      </c>
    </row>
    <row r="30">
      <c r="A30" s="142">
        <f>IFERROR(__xludf.DUMMYFUNCTION("""COMPUTED_VALUE"""),9.0)</f>
        <v>9</v>
      </c>
      <c r="B30" t="str">
        <f>IFERROR(__xludf.DUMMYFUNCTION("""COMPUTED_VALUE"""),"TAA0758")</f>
        <v>TAA0758</v>
      </c>
      <c r="C30">
        <f>IFERROR(__xludf.DUMMYFUNCTION("""COMPUTED_VALUE"""),1000737.0)</f>
        <v>1000737</v>
      </c>
      <c r="D30" t="str">
        <f>IFERROR(__xludf.DUMMYFUNCTION("""COMPUTED_VALUE"""),"Mr.")</f>
        <v>Mr.</v>
      </c>
      <c r="E30" t="str">
        <f>IFERROR(__xludf.DUMMYFUNCTION("""COMPUTED_VALUE"""),"Pathomporn")</f>
        <v>Pathomporn</v>
      </c>
      <c r="F30" t="str">
        <f>IFERROR(__xludf.DUMMYFUNCTION("""COMPUTED_VALUE"""),"Sukanthong")</f>
        <v>Sukanthong</v>
      </c>
      <c r="G30" t="str">
        <f>IFERROR(__xludf.DUMMYFUNCTION("""COMPUTED_VALUE"""),"Pathomporn Sukanthong")</f>
        <v>Pathomporn Sukanthong</v>
      </c>
    </row>
    <row r="31">
      <c r="A31" s="142">
        <f>IFERROR(__xludf.DUMMYFUNCTION("""COMPUTED_VALUE"""),9.0)</f>
        <v>9</v>
      </c>
      <c r="B31" t="str">
        <f>IFERROR(__xludf.DUMMYFUNCTION("""COMPUTED_VALUE"""),"TAA0761")</f>
        <v>TAA0761</v>
      </c>
      <c r="C31">
        <f>IFERROR(__xludf.DUMMYFUNCTION("""COMPUTED_VALUE"""),1000738.0)</f>
        <v>1000738</v>
      </c>
      <c r="D31" t="str">
        <f>IFERROR(__xludf.DUMMYFUNCTION("""COMPUTED_VALUE"""),"Mr.")</f>
        <v>Mr.</v>
      </c>
      <c r="E31" t="str">
        <f>IFERROR(__xludf.DUMMYFUNCTION("""COMPUTED_VALUE"""),"Sompoach")</f>
        <v>Sompoach</v>
      </c>
      <c r="F31" t="str">
        <f>IFERROR(__xludf.DUMMYFUNCTION("""COMPUTED_VALUE"""),"Tahsu")</f>
        <v>Tahsu</v>
      </c>
      <c r="G31" t="str">
        <f>IFERROR(__xludf.DUMMYFUNCTION("""COMPUTED_VALUE"""),"Sompoach Tahsu")</f>
        <v>Sompoach Tahsu</v>
      </c>
    </row>
    <row r="33">
      <c r="A33" s="142">
        <f>IFERROR(__xludf.DUMMYFUNCTION("""COMPUTED_VALUE"""),11.0)</f>
        <v>11</v>
      </c>
      <c r="B33" t="str">
        <f>IFERROR(__xludf.DUMMYFUNCTION("""COMPUTED_VALUE"""),"TAA1098")</f>
        <v>TAA1098</v>
      </c>
      <c r="C33">
        <f>IFERROR(__xludf.DUMMYFUNCTION("""COMPUTED_VALUE"""),1001082.0)</f>
        <v>1001082</v>
      </c>
      <c r="D33" t="str">
        <f>IFERROR(__xludf.DUMMYFUNCTION("""COMPUTED_VALUE"""),"Mr.")</f>
        <v>Mr.</v>
      </c>
      <c r="E33" t="str">
        <f>IFERROR(__xludf.DUMMYFUNCTION("""COMPUTED_VALUE"""),"Pobsaran")</f>
        <v>Pobsaran</v>
      </c>
      <c r="F33" t="str">
        <f>IFERROR(__xludf.DUMMYFUNCTION("""COMPUTED_VALUE"""),"Chantaratim")</f>
        <v>Chantaratim</v>
      </c>
      <c r="G33" t="str">
        <f>IFERROR(__xludf.DUMMYFUNCTION("""COMPUTED_VALUE"""),"Pobsaran Chantaratim")</f>
        <v>Pobsaran Chantaratim</v>
      </c>
    </row>
    <row r="34">
      <c r="A34" s="142">
        <f>IFERROR(__xludf.DUMMYFUNCTION("""COMPUTED_VALUE"""),11.0)</f>
        <v>11</v>
      </c>
      <c r="B34" t="str">
        <f>IFERROR(__xludf.DUMMYFUNCTION("""COMPUTED_VALUE"""),"TAA1102")</f>
        <v>TAA1102</v>
      </c>
      <c r="C34">
        <f>IFERROR(__xludf.DUMMYFUNCTION("""COMPUTED_VALUE"""),1001083.0)</f>
        <v>1001083</v>
      </c>
      <c r="D34" t="str">
        <f>IFERROR(__xludf.DUMMYFUNCTION("""COMPUTED_VALUE"""),"Ms.")</f>
        <v>Ms.</v>
      </c>
      <c r="E34" t="str">
        <f>IFERROR(__xludf.DUMMYFUNCTION("""COMPUTED_VALUE"""),"Patchteerat (Pongsupa)")</f>
        <v>Patchteerat (Pongsupa)</v>
      </c>
      <c r="F34" t="str">
        <f>IFERROR(__xludf.DUMMYFUNCTION("""COMPUTED_VALUE"""),"Pongsamart")</f>
        <v>Pongsamart</v>
      </c>
      <c r="G34" t="str">
        <f>IFERROR(__xludf.DUMMYFUNCTION("""COMPUTED_VALUE"""),"Patchteerat Pongsamart")</f>
        <v>Patchteerat Pongsamart</v>
      </c>
    </row>
    <row r="35">
      <c r="A35" s="142">
        <f>IFERROR(__xludf.DUMMYFUNCTION("""COMPUTED_VALUE"""),11.0)</f>
        <v>11</v>
      </c>
      <c r="B35" t="str">
        <f>IFERROR(__xludf.DUMMYFUNCTION("""COMPUTED_VALUE"""),"TAA1104")</f>
        <v>TAA1104</v>
      </c>
      <c r="C35">
        <f>IFERROR(__xludf.DUMMYFUNCTION("""COMPUTED_VALUE"""),1001084.0)</f>
        <v>1001084</v>
      </c>
      <c r="D35" t="str">
        <f>IFERROR(__xludf.DUMMYFUNCTION("""COMPUTED_VALUE"""),"Ms.")</f>
        <v>Ms.</v>
      </c>
      <c r="E35" t="str">
        <f>IFERROR(__xludf.DUMMYFUNCTION("""COMPUTED_VALUE"""),"Sowapan")</f>
        <v>Sowapan</v>
      </c>
      <c r="F35" t="str">
        <f>IFERROR(__xludf.DUMMYFUNCTION("""COMPUTED_VALUE"""),"Chartwuthanon")</f>
        <v>Chartwuthanon</v>
      </c>
      <c r="G35" t="str">
        <f>IFERROR(__xludf.DUMMYFUNCTION("""COMPUTED_VALUE"""),"Sowapan Chartwuthanon")</f>
        <v>Sowapan Chartwuthanon</v>
      </c>
    </row>
    <row r="37">
      <c r="A37" s="142">
        <f>IFERROR(__xludf.DUMMYFUNCTION("""COMPUTED_VALUE"""),12.0)</f>
        <v>12</v>
      </c>
      <c r="B37" t="str">
        <f>IFERROR(__xludf.DUMMYFUNCTION("""COMPUTED_VALUE"""),"TAA1139")</f>
        <v>TAA1139</v>
      </c>
      <c r="C37">
        <f>IFERROR(__xludf.DUMMYFUNCTION("""COMPUTED_VALUE"""),1001122.0)</f>
        <v>1001122</v>
      </c>
      <c r="D37" t="str">
        <f>IFERROR(__xludf.DUMMYFUNCTION("""COMPUTED_VALUE"""),"Ms.")</f>
        <v>Ms.</v>
      </c>
      <c r="E37" t="str">
        <f>IFERROR(__xludf.DUMMYFUNCTION("""COMPUTED_VALUE"""),"Supanya")</f>
        <v>Supanya</v>
      </c>
      <c r="F37" t="str">
        <f>IFERROR(__xludf.DUMMYFUNCTION("""COMPUTED_VALUE"""),"Kareepet")</f>
        <v>Kareepet</v>
      </c>
      <c r="G37" t="str">
        <f>IFERROR(__xludf.DUMMYFUNCTION("""COMPUTED_VALUE"""),"Supanya Kareepet")</f>
        <v>Supanya Kareepet</v>
      </c>
    </row>
    <row r="38">
      <c r="A38" s="142">
        <f>IFERROR(__xludf.DUMMYFUNCTION("""COMPUTED_VALUE"""),12.0)</f>
        <v>12</v>
      </c>
      <c r="B38" t="str">
        <f>IFERROR(__xludf.DUMMYFUNCTION("""COMPUTED_VALUE"""),"TAA1137")</f>
        <v>TAA1137</v>
      </c>
      <c r="C38">
        <f>IFERROR(__xludf.DUMMYFUNCTION("""COMPUTED_VALUE"""),1001124.0)</f>
        <v>1001124</v>
      </c>
      <c r="D38" t="str">
        <f>IFERROR(__xludf.DUMMYFUNCTION("""COMPUTED_VALUE"""),"Ms.")</f>
        <v>Ms.</v>
      </c>
      <c r="E38" t="str">
        <f>IFERROR(__xludf.DUMMYFUNCTION("""COMPUTED_VALUE"""),"Worapanit")</f>
        <v>Worapanit</v>
      </c>
      <c r="F38" t="str">
        <f>IFERROR(__xludf.DUMMYFUNCTION("""COMPUTED_VALUE"""),"Puangwong")</f>
        <v>Puangwong</v>
      </c>
      <c r="G38" t="str">
        <f>IFERROR(__xludf.DUMMYFUNCTION("""COMPUTED_VALUE"""),"Worapanit Puangwong")</f>
        <v>Worapanit Puangwong</v>
      </c>
    </row>
    <row r="40">
      <c r="A40" s="142">
        <f>IFERROR(__xludf.DUMMYFUNCTION("""COMPUTED_VALUE"""),13.0)</f>
        <v>13</v>
      </c>
      <c r="B40" t="str">
        <f>IFERROR(__xludf.DUMMYFUNCTION("""COMPUTED_VALUE"""),"TAA1244")</f>
        <v>TAA1244</v>
      </c>
      <c r="C40">
        <f>IFERROR(__xludf.DUMMYFUNCTION("""COMPUTED_VALUE"""),1001227.0)</f>
        <v>1001227</v>
      </c>
      <c r="D40" t="str">
        <f>IFERROR(__xludf.DUMMYFUNCTION("""COMPUTED_VALUE"""),"Ms.")</f>
        <v>Ms.</v>
      </c>
      <c r="E40" t="str">
        <f>IFERROR(__xludf.DUMMYFUNCTION("""COMPUTED_VALUE"""),"Dara")</f>
        <v>Dara</v>
      </c>
      <c r="F40" t="str">
        <f>IFERROR(__xludf.DUMMYFUNCTION("""COMPUTED_VALUE"""),"Nomanee")</f>
        <v>Nomanee</v>
      </c>
      <c r="G40" t="str">
        <f>IFERROR(__xludf.DUMMYFUNCTION("""COMPUTED_VALUE"""),"Dara Nomanee")</f>
        <v>Dara Nomanee</v>
      </c>
    </row>
    <row r="41">
      <c r="A41" s="142">
        <f>IFERROR(__xludf.DUMMYFUNCTION("""COMPUTED_VALUE"""),13.0)</f>
        <v>13</v>
      </c>
      <c r="B41" t="str">
        <f>IFERROR(__xludf.DUMMYFUNCTION("""COMPUTED_VALUE"""),"TAA1239")</f>
        <v>TAA1239</v>
      </c>
      <c r="C41">
        <f>IFERROR(__xludf.DUMMYFUNCTION("""COMPUTED_VALUE"""),1001230.0)</f>
        <v>1001230</v>
      </c>
      <c r="D41" t="str">
        <f>IFERROR(__xludf.DUMMYFUNCTION("""COMPUTED_VALUE"""),"Ms.")</f>
        <v>Ms.</v>
      </c>
      <c r="E41" t="str">
        <f>IFERROR(__xludf.DUMMYFUNCTION("""COMPUTED_VALUE"""),"Panithi")</f>
        <v>Panithi</v>
      </c>
      <c r="F41" t="str">
        <f>IFERROR(__xludf.DUMMYFUNCTION("""COMPUTED_VALUE"""),"Singlertsakul")</f>
        <v>Singlertsakul</v>
      </c>
      <c r="G41" t="str">
        <f>IFERROR(__xludf.DUMMYFUNCTION("""COMPUTED_VALUE"""),"Panithi Singlertsakul")</f>
        <v>Panithi Singlertsakul</v>
      </c>
    </row>
    <row r="42">
      <c r="A42" s="142">
        <f>IFERROR(__xludf.DUMMYFUNCTION("""COMPUTED_VALUE"""),13.0)</f>
        <v>13</v>
      </c>
      <c r="B42" t="str">
        <f>IFERROR(__xludf.DUMMYFUNCTION("""COMPUTED_VALUE"""),"TAA1248")</f>
        <v>TAA1248</v>
      </c>
      <c r="C42">
        <f>IFERROR(__xludf.DUMMYFUNCTION("""COMPUTED_VALUE"""),1001231.0)</f>
        <v>1001231</v>
      </c>
      <c r="D42" t="str">
        <f>IFERROR(__xludf.DUMMYFUNCTION("""COMPUTED_VALUE"""),"Ms.")</f>
        <v>Ms.</v>
      </c>
      <c r="E42" t="str">
        <f>IFERROR(__xludf.DUMMYFUNCTION("""COMPUTED_VALUE"""),"Pattamavadee")</f>
        <v>Pattamavadee</v>
      </c>
      <c r="F42" t="str">
        <f>IFERROR(__xludf.DUMMYFUNCTION("""COMPUTED_VALUE"""),"Niyomvanich")</f>
        <v>Niyomvanich</v>
      </c>
      <c r="G42" t="str">
        <f>IFERROR(__xludf.DUMMYFUNCTION("""COMPUTED_VALUE"""),"Pattamavadee Niyomvanich")</f>
        <v>Pattamavadee Niyomvanich</v>
      </c>
    </row>
    <row r="43">
      <c r="A43" s="142">
        <f>IFERROR(__xludf.DUMMYFUNCTION("""COMPUTED_VALUE"""),13.0)</f>
        <v>13</v>
      </c>
      <c r="B43" t="str">
        <f>IFERROR(__xludf.DUMMYFUNCTION("""COMPUTED_VALUE"""),"TAA1237")</f>
        <v>TAA1237</v>
      </c>
      <c r="C43">
        <f>IFERROR(__xludf.DUMMYFUNCTION("""COMPUTED_VALUE"""),1001232.0)</f>
        <v>1001232</v>
      </c>
      <c r="D43" t="str">
        <f>IFERROR(__xludf.DUMMYFUNCTION("""COMPUTED_VALUE"""),"Ms.")</f>
        <v>Ms.</v>
      </c>
      <c r="E43" t="str">
        <f>IFERROR(__xludf.DUMMYFUNCTION("""COMPUTED_VALUE"""),"Pornchanun")</f>
        <v>Pornchanun</v>
      </c>
      <c r="F43" t="str">
        <f>IFERROR(__xludf.DUMMYFUNCTION("""COMPUTED_VALUE"""),"Sangmanee")</f>
        <v>Sangmanee</v>
      </c>
      <c r="G43" t="str">
        <f>IFERROR(__xludf.DUMMYFUNCTION("""COMPUTED_VALUE"""),"Pornchanun Sangmanee")</f>
        <v>Pornchanun Sangmanee</v>
      </c>
    </row>
    <row r="44">
      <c r="A44" s="142">
        <f>IFERROR(__xludf.DUMMYFUNCTION("""COMPUTED_VALUE"""),13.0)</f>
        <v>13</v>
      </c>
      <c r="B44" t="str">
        <f>IFERROR(__xludf.DUMMYFUNCTION("""COMPUTED_VALUE"""),"TAA1241")</f>
        <v>TAA1241</v>
      </c>
      <c r="C44">
        <f>IFERROR(__xludf.DUMMYFUNCTION("""COMPUTED_VALUE"""),1001234.0)</f>
        <v>1001234</v>
      </c>
      <c r="D44" t="str">
        <f>IFERROR(__xludf.DUMMYFUNCTION("""COMPUTED_VALUE"""),"Mrs.")</f>
        <v>Mrs.</v>
      </c>
      <c r="E44" t="str">
        <f>IFERROR(__xludf.DUMMYFUNCTION("""COMPUTED_VALUE"""),"Sirirat")</f>
        <v>Sirirat</v>
      </c>
      <c r="F44" t="str">
        <f>IFERROR(__xludf.DUMMYFUNCTION("""COMPUTED_VALUE"""),"Sanguanwong")</f>
        <v>Sanguanwong</v>
      </c>
      <c r="G44" t="str">
        <f>IFERROR(__xludf.DUMMYFUNCTION("""COMPUTED_VALUE"""),"Sirirat Sanguanwong")</f>
        <v>Sirirat Sanguanwong</v>
      </c>
    </row>
    <row r="45">
      <c r="A45" s="142">
        <f>IFERROR(__xludf.DUMMYFUNCTION("""COMPUTED_VALUE"""),13.0)</f>
        <v>13</v>
      </c>
      <c r="B45" t="str">
        <f>IFERROR(__xludf.DUMMYFUNCTION("""COMPUTED_VALUE"""),"TAA1238")</f>
        <v>TAA1238</v>
      </c>
      <c r="C45">
        <f>IFERROR(__xludf.DUMMYFUNCTION("""COMPUTED_VALUE"""),1001235.0)</f>
        <v>1001235</v>
      </c>
      <c r="D45" t="str">
        <f>IFERROR(__xludf.DUMMYFUNCTION("""COMPUTED_VALUE"""),"Ms.")</f>
        <v>Ms.</v>
      </c>
      <c r="E45" t="str">
        <f>IFERROR(__xludf.DUMMYFUNCTION("""COMPUTED_VALUE"""),"Suchada")</f>
        <v>Suchada</v>
      </c>
      <c r="F45" t="str">
        <f>IFERROR(__xludf.DUMMYFUNCTION("""COMPUTED_VALUE"""),"Samakee")</f>
        <v>Samakee</v>
      </c>
      <c r="G45" t="str">
        <f>IFERROR(__xludf.DUMMYFUNCTION("""COMPUTED_VALUE"""),"Suchada Samakee")</f>
        <v>Suchada Samakee</v>
      </c>
    </row>
    <row r="46">
      <c r="A46" s="142">
        <f>IFERROR(__xludf.DUMMYFUNCTION("""COMPUTED_VALUE"""),13.0)</f>
        <v>13</v>
      </c>
      <c r="B46" t="str">
        <f>IFERROR(__xludf.DUMMYFUNCTION("""COMPUTED_VALUE"""),"TAA1229")</f>
        <v>TAA1229</v>
      </c>
      <c r="C46">
        <f>IFERROR(__xludf.DUMMYFUNCTION("""COMPUTED_VALUE"""),1001238.0)</f>
        <v>1001238</v>
      </c>
      <c r="D46" t="str">
        <f>IFERROR(__xludf.DUMMYFUNCTION("""COMPUTED_VALUE"""),"Ms.")</f>
        <v>Ms.</v>
      </c>
      <c r="E46" t="str">
        <f>IFERROR(__xludf.DUMMYFUNCTION("""COMPUTED_VALUE"""),"Thanyaporn")</f>
        <v>Thanyaporn</v>
      </c>
      <c r="F46" t="str">
        <f>IFERROR(__xludf.DUMMYFUNCTION("""COMPUTED_VALUE"""),"Kemsatidanan")</f>
        <v>Kemsatidanan</v>
      </c>
      <c r="G46" t="str">
        <f>IFERROR(__xludf.DUMMYFUNCTION("""COMPUTED_VALUE"""),"Thanyaporn Kemsatidanan")</f>
        <v>Thanyaporn Kemsatidanan</v>
      </c>
    </row>
    <row r="47">
      <c r="A47" s="142">
        <f>IFERROR(__xludf.DUMMYFUNCTION("""COMPUTED_VALUE"""),13.0)</f>
        <v>13</v>
      </c>
      <c r="B47" t="str">
        <f>IFERROR(__xludf.DUMMYFUNCTION("""COMPUTED_VALUE"""),"TAA1243")</f>
        <v>TAA1243</v>
      </c>
      <c r="C47">
        <f>IFERROR(__xludf.DUMMYFUNCTION("""COMPUTED_VALUE"""),1001239.0)</f>
        <v>1001239</v>
      </c>
      <c r="D47" t="str">
        <f>IFERROR(__xludf.DUMMYFUNCTION("""COMPUTED_VALUE"""),"Mrs.")</f>
        <v>Mrs.</v>
      </c>
      <c r="E47" t="str">
        <f>IFERROR(__xludf.DUMMYFUNCTION("""COMPUTED_VALUE"""),"Thitiya")</f>
        <v>Thitiya</v>
      </c>
      <c r="F47" t="str">
        <f>IFERROR(__xludf.DUMMYFUNCTION("""COMPUTED_VALUE"""),"Brigstock-Barron (Atsawarangsi)")</f>
        <v>Brigstock-Barron (Atsawarangsi)</v>
      </c>
      <c r="G47" t="str">
        <f>IFERROR(__xludf.DUMMYFUNCTION("""COMPUTED_VALUE"""),"Thitiya Brigstock-Barron")</f>
        <v>Thitiya Brigstock-Barron</v>
      </c>
    </row>
    <row r="49">
      <c r="A49" s="142">
        <f>IFERROR(__xludf.DUMMYFUNCTION("""COMPUTED_VALUE"""),14.0)</f>
        <v>14</v>
      </c>
      <c r="B49" t="str">
        <f>IFERROR(__xludf.DUMMYFUNCTION("""COMPUTED_VALUE"""),"TAA1310")</f>
        <v>TAA1310</v>
      </c>
      <c r="C49">
        <f>IFERROR(__xludf.DUMMYFUNCTION("""COMPUTED_VALUE"""),1001301.0)</f>
        <v>1001301</v>
      </c>
      <c r="D49" t="str">
        <f>IFERROR(__xludf.DUMMYFUNCTION("""COMPUTED_VALUE"""),"Mr.")</f>
        <v>Mr.</v>
      </c>
      <c r="E49" t="str">
        <f>IFERROR(__xludf.DUMMYFUNCTION("""COMPUTED_VALUE"""),"Burin")</f>
        <v>Burin</v>
      </c>
      <c r="F49" t="str">
        <f>IFERROR(__xludf.DUMMYFUNCTION("""COMPUTED_VALUE"""),"Buarapha")</f>
        <v>Buarapha</v>
      </c>
      <c r="G49" t="str">
        <f>IFERROR(__xludf.DUMMYFUNCTION("""COMPUTED_VALUE"""),"Burin Buarapha")</f>
        <v>Burin Buarapha</v>
      </c>
    </row>
    <row r="50">
      <c r="A50" s="142">
        <f>IFERROR(__xludf.DUMMYFUNCTION("""COMPUTED_VALUE"""),14.0)</f>
        <v>14</v>
      </c>
      <c r="B50" t="str">
        <f>IFERROR(__xludf.DUMMYFUNCTION("""COMPUTED_VALUE"""),"TAA1307")</f>
        <v>TAA1307</v>
      </c>
      <c r="C50">
        <f>IFERROR(__xludf.DUMMYFUNCTION("""COMPUTED_VALUE"""),1001303.0)</f>
        <v>1001303</v>
      </c>
      <c r="D50" t="str">
        <f>IFERROR(__xludf.DUMMYFUNCTION("""COMPUTED_VALUE"""),"Ms.")</f>
        <v>Ms.</v>
      </c>
      <c r="E50" t="str">
        <f>IFERROR(__xludf.DUMMYFUNCTION("""COMPUTED_VALUE"""),"Chindarat")</f>
        <v>Chindarat</v>
      </c>
      <c r="F50" t="str">
        <f>IFERROR(__xludf.DUMMYFUNCTION("""COMPUTED_VALUE"""),"Chintanasathien")</f>
        <v>Chintanasathien</v>
      </c>
      <c r="G50" t="str">
        <f>IFERROR(__xludf.DUMMYFUNCTION("""COMPUTED_VALUE"""),"Chindarat Chintanasathien")</f>
        <v>Chindarat Chintanasathien</v>
      </c>
    </row>
    <row r="51">
      <c r="A51" s="142">
        <f>IFERROR(__xludf.DUMMYFUNCTION("""COMPUTED_VALUE"""),14.0)</f>
        <v>14</v>
      </c>
      <c r="B51" t="str">
        <f>IFERROR(__xludf.DUMMYFUNCTION("""COMPUTED_VALUE"""),"TAA1309")</f>
        <v>TAA1309</v>
      </c>
      <c r="C51">
        <f>IFERROR(__xludf.DUMMYFUNCTION("""COMPUTED_VALUE"""),1001308.0)</f>
        <v>1001308</v>
      </c>
      <c r="D51" t="str">
        <f>IFERROR(__xludf.DUMMYFUNCTION("""COMPUTED_VALUE"""),"Mr.")</f>
        <v>Mr.</v>
      </c>
      <c r="E51" t="str">
        <f>IFERROR(__xludf.DUMMYFUNCTION("""COMPUTED_VALUE"""),"Kittisak")</f>
        <v>Kittisak</v>
      </c>
      <c r="F51" t="str">
        <f>IFERROR(__xludf.DUMMYFUNCTION("""COMPUTED_VALUE"""),"Issaro")</f>
        <v>Issaro</v>
      </c>
      <c r="G51" t="str">
        <f>IFERROR(__xludf.DUMMYFUNCTION("""COMPUTED_VALUE"""),"Kittisak Issaro")</f>
        <v>Kittisak Issaro</v>
      </c>
    </row>
    <row r="52">
      <c r="A52" s="142">
        <f>IFERROR(__xludf.DUMMYFUNCTION("""COMPUTED_VALUE"""),14.0)</f>
        <v>14</v>
      </c>
      <c r="B52" t="str">
        <f>IFERROR(__xludf.DUMMYFUNCTION("""COMPUTED_VALUE"""),"TAA1289")</f>
        <v>TAA1289</v>
      </c>
      <c r="C52">
        <f>IFERROR(__xludf.DUMMYFUNCTION("""COMPUTED_VALUE"""),1001312.0)</f>
        <v>1001312</v>
      </c>
      <c r="D52" t="str">
        <f>IFERROR(__xludf.DUMMYFUNCTION("""COMPUTED_VALUE"""),"Ms.")</f>
        <v>Ms.</v>
      </c>
      <c r="E52" t="str">
        <f>IFERROR(__xludf.DUMMYFUNCTION("""COMPUTED_VALUE"""),"Rattanapat")</f>
        <v>Rattanapat</v>
      </c>
      <c r="F52" t="str">
        <f>IFERROR(__xludf.DUMMYFUNCTION("""COMPUTED_VALUE"""),"Rattanaviroj")</f>
        <v>Rattanaviroj</v>
      </c>
      <c r="G52" t="str">
        <f>IFERROR(__xludf.DUMMYFUNCTION("""COMPUTED_VALUE"""),"Rattanapat Rattanaviroj")</f>
        <v>Rattanapat Rattanaviroj</v>
      </c>
    </row>
    <row r="53">
      <c r="A53" s="142">
        <f>IFERROR(__xludf.DUMMYFUNCTION("""COMPUTED_VALUE"""),14.0)</f>
        <v>14</v>
      </c>
      <c r="B53" t="str">
        <f>IFERROR(__xludf.DUMMYFUNCTION("""COMPUTED_VALUE"""),"TAA1297")</f>
        <v>TAA1297</v>
      </c>
      <c r="C53">
        <f>IFERROR(__xludf.DUMMYFUNCTION("""COMPUTED_VALUE"""),1001317.0)</f>
        <v>1001317</v>
      </c>
      <c r="D53" t="str">
        <f>IFERROR(__xludf.DUMMYFUNCTION("""COMPUTED_VALUE"""),"Ms.")</f>
        <v>Ms.</v>
      </c>
      <c r="E53" t="str">
        <f>IFERROR(__xludf.DUMMYFUNCTION("""COMPUTED_VALUE"""),"Umaporn")</f>
        <v>Umaporn</v>
      </c>
      <c r="F53" t="str">
        <f>IFERROR(__xludf.DUMMYFUNCTION("""COMPUTED_VALUE"""),"Charnond (Laosriwijit)")</f>
        <v>Charnond (Laosriwijit)</v>
      </c>
      <c r="G53" t="str">
        <f>IFERROR(__xludf.DUMMYFUNCTION("""COMPUTED_VALUE"""),"Umaporn Charnond")</f>
        <v>Umaporn Charnond</v>
      </c>
    </row>
    <row r="54">
      <c r="A54" s="142">
        <f>IFERROR(__xludf.DUMMYFUNCTION("""COMPUTED_VALUE"""),14.0)</f>
        <v>14</v>
      </c>
      <c r="B54" t="str">
        <f>IFERROR(__xludf.DUMMYFUNCTION("""COMPUTED_VALUE"""),"TAA1303")</f>
        <v>TAA1303</v>
      </c>
      <c r="C54">
        <f>IFERROR(__xludf.DUMMYFUNCTION("""COMPUTED_VALUE"""),1001319.0)</f>
        <v>1001319</v>
      </c>
      <c r="D54" t="str">
        <f>IFERROR(__xludf.DUMMYFUNCTION("""COMPUTED_VALUE"""),"Mr.")</f>
        <v>Mr.</v>
      </c>
      <c r="E54" t="str">
        <f>IFERROR(__xludf.DUMMYFUNCTION("""COMPUTED_VALUE"""),"Wipat")</f>
        <v>Wipat</v>
      </c>
      <c r="F54" t="str">
        <f>IFERROR(__xludf.DUMMYFUNCTION("""COMPUTED_VALUE"""),"Lurkasemsuk")</f>
        <v>Lurkasemsuk</v>
      </c>
      <c r="G54" t="str">
        <f>IFERROR(__xludf.DUMMYFUNCTION("""COMPUTED_VALUE"""),"Wipat Lurkasemsuk")</f>
        <v>Wipat Lurkasemsuk</v>
      </c>
    </row>
    <row r="56">
      <c r="A56" s="142">
        <f>IFERROR(__xludf.DUMMYFUNCTION("""COMPUTED_VALUE"""),15.0)</f>
        <v>15</v>
      </c>
      <c r="B56" t="str">
        <f>IFERROR(__xludf.DUMMYFUNCTION("""COMPUTED_VALUE"""),"TAA1348")</f>
        <v>TAA1348</v>
      </c>
      <c r="C56">
        <f>IFERROR(__xludf.DUMMYFUNCTION("""COMPUTED_VALUE"""),1001391.0)</f>
        <v>1001391</v>
      </c>
      <c r="D56" t="str">
        <f>IFERROR(__xludf.DUMMYFUNCTION("""COMPUTED_VALUE"""),"Ms.")</f>
        <v>Ms.</v>
      </c>
      <c r="E56" t="str">
        <f>IFERROR(__xludf.DUMMYFUNCTION("""COMPUTED_VALUE"""),"Fontip")</f>
        <v>Fontip</v>
      </c>
      <c r="F56" t="str">
        <f>IFERROR(__xludf.DUMMYFUNCTION("""COMPUTED_VALUE"""),"Siriudomseth")</f>
        <v>Siriudomseth</v>
      </c>
      <c r="G56" t="str">
        <f>IFERROR(__xludf.DUMMYFUNCTION("""COMPUTED_VALUE"""),"Fontip Siriudomseth")</f>
        <v>Fontip Siriudomseth</v>
      </c>
    </row>
    <row r="57">
      <c r="A57" s="142">
        <f>IFERROR(__xludf.DUMMYFUNCTION("""COMPUTED_VALUE"""),15.0)</f>
        <v>15</v>
      </c>
      <c r="B57" t="str">
        <f>IFERROR(__xludf.DUMMYFUNCTION("""COMPUTED_VALUE"""),"TAA1355")</f>
        <v>TAA1355</v>
      </c>
      <c r="C57">
        <f>IFERROR(__xludf.DUMMYFUNCTION("""COMPUTED_VALUE"""),1001392.0)</f>
        <v>1001392</v>
      </c>
      <c r="D57" t="str">
        <f>IFERROR(__xludf.DUMMYFUNCTION("""COMPUTED_VALUE"""),"Ms.")</f>
        <v>Ms.</v>
      </c>
      <c r="E57" t="str">
        <f>IFERROR(__xludf.DUMMYFUNCTION("""COMPUTED_VALUE"""),"Hataitip")</f>
        <v>Hataitip</v>
      </c>
      <c r="F57" t="str">
        <f>IFERROR(__xludf.DUMMYFUNCTION("""COMPUTED_VALUE"""),"Chaichana")</f>
        <v>Chaichana</v>
      </c>
      <c r="G57" t="str">
        <f>IFERROR(__xludf.DUMMYFUNCTION("""COMPUTED_VALUE"""),"Hataitip Chaichana")</f>
        <v>Hataitip Chaichana</v>
      </c>
    </row>
    <row r="58">
      <c r="A58" s="142">
        <f>IFERROR(__xludf.DUMMYFUNCTION("""COMPUTED_VALUE"""),15.0)</f>
        <v>15</v>
      </c>
      <c r="B58" t="str">
        <f>IFERROR(__xludf.DUMMYFUNCTION("""COMPUTED_VALUE"""),"TAA1357")</f>
        <v>TAA1357</v>
      </c>
      <c r="C58">
        <f>IFERROR(__xludf.DUMMYFUNCTION("""COMPUTED_VALUE"""),1001393.0)</f>
        <v>1001393</v>
      </c>
      <c r="D58" t="str">
        <f>IFERROR(__xludf.DUMMYFUNCTION("""COMPUTED_VALUE"""),"Ms.")</f>
        <v>Ms.</v>
      </c>
      <c r="E58" t="str">
        <f>IFERROR(__xludf.DUMMYFUNCTION("""COMPUTED_VALUE"""),"Natthima")</f>
        <v>Natthima</v>
      </c>
      <c r="F58" t="str">
        <f>IFERROR(__xludf.DUMMYFUNCTION("""COMPUTED_VALUE"""),"Dolchalermkiat")</f>
        <v>Dolchalermkiat</v>
      </c>
      <c r="G58" t="str">
        <f>IFERROR(__xludf.DUMMYFUNCTION("""COMPUTED_VALUE"""),"Natthima Dolchalermkiat")</f>
        <v>Natthima Dolchalermkiat</v>
      </c>
    </row>
    <row r="59">
      <c r="A59" s="142">
        <f>IFERROR(__xludf.DUMMYFUNCTION("""COMPUTED_VALUE"""),15.0)</f>
        <v>15</v>
      </c>
      <c r="B59" t="str">
        <f>IFERROR(__xludf.DUMMYFUNCTION("""COMPUTED_VALUE"""),"TAA1349")</f>
        <v>TAA1349</v>
      </c>
      <c r="C59">
        <f>IFERROR(__xludf.DUMMYFUNCTION("""COMPUTED_VALUE"""),1001394.0)</f>
        <v>1001394</v>
      </c>
      <c r="D59" t="str">
        <f>IFERROR(__xludf.DUMMYFUNCTION("""COMPUTED_VALUE"""),"Ms.")</f>
        <v>Ms.</v>
      </c>
      <c r="E59" t="str">
        <f>IFERROR(__xludf.DUMMYFUNCTION("""COMPUTED_VALUE"""),"Noppawan")</f>
        <v>Noppawan</v>
      </c>
      <c r="F59" t="str">
        <f>IFERROR(__xludf.DUMMYFUNCTION("""COMPUTED_VALUE"""),"Sangpiroon")</f>
        <v>Sangpiroon</v>
      </c>
      <c r="G59" t="str">
        <f>IFERROR(__xludf.DUMMYFUNCTION("""COMPUTED_VALUE"""),"Noppawan Sangpiroon")</f>
        <v>Noppawan Sangpiroon</v>
      </c>
    </row>
    <row r="60">
      <c r="A60" s="142">
        <f>IFERROR(__xludf.DUMMYFUNCTION("""COMPUTED_VALUE"""),15.0)</f>
        <v>15</v>
      </c>
      <c r="B60" t="str">
        <f>IFERROR(__xludf.DUMMYFUNCTION("""COMPUTED_VALUE"""),"TAA1354")</f>
        <v>TAA1354</v>
      </c>
      <c r="C60">
        <f>IFERROR(__xludf.DUMMYFUNCTION("""COMPUTED_VALUE"""),1001395.0)</f>
        <v>1001395</v>
      </c>
      <c r="D60" t="str">
        <f>IFERROR(__xludf.DUMMYFUNCTION("""COMPUTED_VALUE"""),"Ms.")</f>
        <v>Ms.</v>
      </c>
      <c r="E60" t="str">
        <f>IFERROR(__xludf.DUMMYFUNCTION("""COMPUTED_VALUE"""),"Phadsawan")</f>
        <v>Phadsawan</v>
      </c>
      <c r="F60" t="str">
        <f>IFERROR(__xludf.DUMMYFUNCTION("""COMPUTED_VALUE"""),"Inthaphun")</f>
        <v>Inthaphun</v>
      </c>
      <c r="G60" t="str">
        <f>IFERROR(__xludf.DUMMYFUNCTION("""COMPUTED_VALUE"""),"Phadsawan Inthaphun")</f>
        <v>Phadsawan Inthaphun</v>
      </c>
    </row>
    <row r="61">
      <c r="A61" s="142">
        <f>IFERROR(__xludf.DUMMYFUNCTION("""COMPUTED_VALUE"""),15.0)</f>
        <v>15</v>
      </c>
      <c r="B61" t="str">
        <f>IFERROR(__xludf.DUMMYFUNCTION("""COMPUTED_VALUE"""),"TAA1346")</f>
        <v>TAA1346</v>
      </c>
      <c r="C61">
        <f>IFERROR(__xludf.DUMMYFUNCTION("""COMPUTED_VALUE"""),1001397.0)</f>
        <v>1001397</v>
      </c>
      <c r="D61" t="str">
        <f>IFERROR(__xludf.DUMMYFUNCTION("""COMPUTED_VALUE"""),"Ms.")</f>
        <v>Ms.</v>
      </c>
      <c r="E61" t="str">
        <f>IFERROR(__xludf.DUMMYFUNCTION("""COMPUTED_VALUE"""),"Sukanya")</f>
        <v>Sukanya</v>
      </c>
      <c r="F61" t="str">
        <f>IFERROR(__xludf.DUMMYFUNCTION("""COMPUTED_VALUE"""),"Kareepet")</f>
        <v>Kareepet</v>
      </c>
      <c r="G61" t="str">
        <f>IFERROR(__xludf.DUMMYFUNCTION("""COMPUTED_VALUE"""),"Sukanya Kareepet")</f>
        <v>Sukanya Kareepet</v>
      </c>
    </row>
    <row r="63">
      <c r="A63" s="142">
        <f>IFERROR(__xludf.DUMMYFUNCTION("""COMPUTED_VALUE"""),16.0)</f>
        <v>16</v>
      </c>
      <c r="B63" t="str">
        <f>IFERROR(__xludf.DUMMYFUNCTION("""COMPUTED_VALUE"""),"TAA1448")</f>
        <v>TAA1448</v>
      </c>
      <c r="C63">
        <f>IFERROR(__xludf.DUMMYFUNCTION("""COMPUTED_VALUE"""),1001609.0)</f>
        <v>1001609</v>
      </c>
      <c r="D63" t="str">
        <f>IFERROR(__xludf.DUMMYFUNCTION("""COMPUTED_VALUE"""),"Ms.")</f>
        <v>Ms.</v>
      </c>
      <c r="E63" t="str">
        <f>IFERROR(__xludf.DUMMYFUNCTION("""COMPUTED_VALUE"""),"Kanya")</f>
        <v>Kanya</v>
      </c>
      <c r="F63" t="str">
        <f>IFERROR(__xludf.DUMMYFUNCTION("""COMPUTED_VALUE"""),"Vivattanatipa")</f>
        <v>Vivattanatipa</v>
      </c>
      <c r="G63" t="str">
        <f>IFERROR(__xludf.DUMMYFUNCTION("""COMPUTED_VALUE"""),"Kanya Vivattanatipa")</f>
        <v>Kanya Vivattanatipa</v>
      </c>
    </row>
    <row r="64">
      <c r="A64" s="142">
        <f>IFERROR(__xludf.DUMMYFUNCTION("""COMPUTED_VALUE"""),16.0)</f>
        <v>16</v>
      </c>
      <c r="B64" t="str">
        <f>IFERROR(__xludf.DUMMYFUNCTION("""COMPUTED_VALUE"""),"TAA1439")</f>
        <v>TAA1439</v>
      </c>
      <c r="C64">
        <f>IFERROR(__xludf.DUMMYFUNCTION("""COMPUTED_VALUE"""),1001611.0)</f>
        <v>1001611</v>
      </c>
      <c r="D64" t="str">
        <f>IFERROR(__xludf.DUMMYFUNCTION("""COMPUTED_VALUE"""),"Mr.")</f>
        <v>Mr.</v>
      </c>
      <c r="E64" t="str">
        <f>IFERROR(__xludf.DUMMYFUNCTION("""COMPUTED_VALUE"""),"Nattaporl")</f>
        <v>Nattaporl</v>
      </c>
      <c r="F64" t="str">
        <f>IFERROR(__xludf.DUMMYFUNCTION("""COMPUTED_VALUE"""),"Suktalordcheep")</f>
        <v>Suktalordcheep</v>
      </c>
      <c r="G64" t="str">
        <f>IFERROR(__xludf.DUMMYFUNCTION("""COMPUTED_VALUE"""),"Nattaporl Suktalordcheep")</f>
        <v>Nattaporl Suktalordcheep</v>
      </c>
    </row>
    <row r="65">
      <c r="A65" s="142">
        <f>IFERROR(__xludf.DUMMYFUNCTION("""COMPUTED_VALUE"""),16.0)</f>
        <v>16</v>
      </c>
      <c r="B65" t="str">
        <f>IFERROR(__xludf.DUMMYFUNCTION("""COMPUTED_VALUE"""),"TAA1444")</f>
        <v>TAA1444</v>
      </c>
      <c r="C65">
        <f>IFERROR(__xludf.DUMMYFUNCTION("""COMPUTED_VALUE"""),1001614.0)</f>
        <v>1001614</v>
      </c>
      <c r="D65" t="str">
        <f>IFERROR(__xludf.DUMMYFUNCTION("""COMPUTED_VALUE"""),"Ms.")</f>
        <v>Ms.</v>
      </c>
      <c r="E65" t="str">
        <f>IFERROR(__xludf.DUMMYFUNCTION("""COMPUTED_VALUE"""),"Sanlaya")</f>
        <v>Sanlaya</v>
      </c>
      <c r="F65" t="str">
        <f>IFERROR(__xludf.DUMMYFUNCTION("""COMPUTED_VALUE"""),"Kanrarat")</f>
        <v>Kanrarat</v>
      </c>
      <c r="G65" t="str">
        <f>IFERROR(__xludf.DUMMYFUNCTION("""COMPUTED_VALUE"""),"Sanlaya Kanrarat")</f>
        <v>Sanlaya Kanrarat</v>
      </c>
    </row>
    <row r="66">
      <c r="A66" s="142">
        <f>IFERROR(__xludf.DUMMYFUNCTION("""COMPUTED_VALUE"""),16.0)</f>
        <v>16</v>
      </c>
      <c r="B66" t="str">
        <f>IFERROR(__xludf.DUMMYFUNCTION("""COMPUTED_VALUE"""),"TAA1446")</f>
        <v>TAA1446</v>
      </c>
      <c r="C66">
        <f>IFERROR(__xludf.DUMMYFUNCTION("""COMPUTED_VALUE"""),1001615.0)</f>
        <v>1001615</v>
      </c>
      <c r="D66" t="str">
        <f>IFERROR(__xludf.DUMMYFUNCTION("""COMPUTED_VALUE"""),"Ms.")</f>
        <v>Ms.</v>
      </c>
      <c r="E66" t="str">
        <f>IFERROR(__xludf.DUMMYFUNCTION("""COMPUTED_VALUE"""),"Sansanee")</f>
        <v>Sansanee</v>
      </c>
      <c r="F66" t="str">
        <f>IFERROR(__xludf.DUMMYFUNCTION("""COMPUTED_VALUE"""),"Chittiboonruan")</f>
        <v>Chittiboonruan</v>
      </c>
      <c r="G66" t="str">
        <f>IFERROR(__xludf.DUMMYFUNCTION("""COMPUTED_VALUE"""),"Sansanee Chittiboonruan")</f>
        <v>Sansanee Chittiboonruan</v>
      </c>
    </row>
    <row r="67">
      <c r="A67" s="142">
        <f>IFERROR(__xludf.DUMMYFUNCTION("""COMPUTED_VALUE"""),16.0)</f>
        <v>16</v>
      </c>
      <c r="B67" t="str">
        <f>IFERROR(__xludf.DUMMYFUNCTION("""COMPUTED_VALUE"""),"TAA1434")</f>
        <v>TAA1434</v>
      </c>
      <c r="C67">
        <f>IFERROR(__xludf.DUMMYFUNCTION("""COMPUTED_VALUE"""),1001616.0)</f>
        <v>1001616</v>
      </c>
      <c r="D67" t="str">
        <f>IFERROR(__xludf.DUMMYFUNCTION("""COMPUTED_VALUE"""),"Ms.")</f>
        <v>Ms.</v>
      </c>
      <c r="E67" t="str">
        <f>IFERROR(__xludf.DUMMYFUNCTION("""COMPUTED_VALUE"""),"Supaporn")</f>
        <v>Supaporn</v>
      </c>
      <c r="F67" t="str">
        <f>IFERROR(__xludf.DUMMYFUNCTION("""COMPUTED_VALUE"""),"Pringploed")</f>
        <v>Pringploed</v>
      </c>
      <c r="G67" t="str">
        <f>IFERROR(__xludf.DUMMYFUNCTION("""COMPUTED_VALUE"""),"Supaporn Pringploed")</f>
        <v>Supaporn Pringploed</v>
      </c>
    </row>
    <row r="68">
      <c r="A68" s="142">
        <f>IFERROR(__xludf.DUMMYFUNCTION("""COMPUTED_VALUE"""),16.0)</f>
        <v>16</v>
      </c>
      <c r="B68" t="str">
        <f>IFERROR(__xludf.DUMMYFUNCTION("""COMPUTED_VALUE"""),"TAA1433")</f>
        <v>TAA1433</v>
      </c>
      <c r="C68">
        <f>IFERROR(__xludf.DUMMYFUNCTION("""COMPUTED_VALUE"""),1001617.0)</f>
        <v>1001617</v>
      </c>
      <c r="D68" t="str">
        <f>IFERROR(__xludf.DUMMYFUNCTION("""COMPUTED_VALUE"""),"Ms.")</f>
        <v>Ms.</v>
      </c>
      <c r="E68" t="str">
        <f>IFERROR(__xludf.DUMMYFUNCTION("""COMPUTED_VALUE"""),"Suthida")</f>
        <v>Suthida</v>
      </c>
      <c r="F68" t="str">
        <f>IFERROR(__xludf.DUMMYFUNCTION("""COMPUTED_VALUE"""),"Tanakarn")</f>
        <v>Tanakarn</v>
      </c>
      <c r="G68" t="str">
        <f>IFERROR(__xludf.DUMMYFUNCTION("""COMPUTED_VALUE"""),"Suthida Tanakarn")</f>
        <v>Suthida Tanakarn</v>
      </c>
    </row>
    <row r="69">
      <c r="A69" s="142">
        <f>IFERROR(__xludf.DUMMYFUNCTION("""COMPUTED_VALUE"""),16.0)</f>
        <v>16</v>
      </c>
      <c r="B69" t="str">
        <f>IFERROR(__xludf.DUMMYFUNCTION("""COMPUTED_VALUE"""),"TAA1450")</f>
        <v>TAA1450</v>
      </c>
      <c r="C69">
        <f>IFERROR(__xludf.DUMMYFUNCTION("""COMPUTED_VALUE"""),1001622.0)</f>
        <v>1001622</v>
      </c>
      <c r="D69" t="str">
        <f>IFERROR(__xludf.DUMMYFUNCTION("""COMPUTED_VALUE"""),"Ms.")</f>
        <v>Ms.</v>
      </c>
      <c r="E69" t="str">
        <f>IFERROR(__xludf.DUMMYFUNCTION("""COMPUTED_VALUE"""),"Waraluck")</f>
        <v>Waraluck</v>
      </c>
      <c r="F69" t="str">
        <f>IFERROR(__xludf.DUMMYFUNCTION("""COMPUTED_VALUE"""),"Meksikarin")</f>
        <v>Meksikarin</v>
      </c>
      <c r="G69" t="str">
        <f>IFERROR(__xludf.DUMMYFUNCTION("""COMPUTED_VALUE"""),"Waraluck Meksikarin")</f>
        <v>Waraluck Meksikarin</v>
      </c>
    </row>
    <row r="71">
      <c r="A71" s="142">
        <f>IFERROR(__xludf.DUMMYFUNCTION("""COMPUTED_VALUE"""),17.0)</f>
        <v>17</v>
      </c>
      <c r="B71" t="str">
        <f>IFERROR(__xludf.DUMMYFUNCTION("""COMPUTED_VALUE"""),"TAA1526")</f>
        <v>TAA1526</v>
      </c>
      <c r="C71">
        <f>IFERROR(__xludf.DUMMYFUNCTION("""COMPUTED_VALUE"""),1001684.0)</f>
        <v>1001684</v>
      </c>
      <c r="D71" t="str">
        <f>IFERROR(__xludf.DUMMYFUNCTION("""COMPUTED_VALUE"""),"Ms.")</f>
        <v>Ms.</v>
      </c>
      <c r="E71" t="str">
        <f>IFERROR(__xludf.DUMMYFUNCTION("""COMPUTED_VALUE"""),"Smita")</f>
        <v>Smita</v>
      </c>
      <c r="F71" t="str">
        <f>IFERROR(__xludf.DUMMYFUNCTION("""COMPUTED_VALUE"""),"Kittisastra")</f>
        <v>Kittisastra</v>
      </c>
      <c r="G71" t="str">
        <f>IFERROR(__xludf.DUMMYFUNCTION("""COMPUTED_VALUE"""),"Smita Kittisastra")</f>
        <v>Smita Kittisastra</v>
      </c>
    </row>
    <row r="72">
      <c r="A72" s="142">
        <f>IFERROR(__xludf.DUMMYFUNCTION("""COMPUTED_VALUE"""),17.0)</f>
        <v>17</v>
      </c>
      <c r="B72" t="str">
        <f>IFERROR(__xludf.DUMMYFUNCTION("""COMPUTED_VALUE"""),"TAA1525")</f>
        <v>TAA1525</v>
      </c>
      <c r="C72">
        <f>IFERROR(__xludf.DUMMYFUNCTION("""COMPUTED_VALUE"""),1001685.0)</f>
        <v>1001685</v>
      </c>
      <c r="D72" t="str">
        <f>IFERROR(__xludf.DUMMYFUNCTION("""COMPUTED_VALUE"""),"Ms.")</f>
        <v>Ms.</v>
      </c>
      <c r="E72" t="str">
        <f>IFERROR(__xludf.DUMMYFUNCTION("""COMPUTED_VALUE"""),"Waree")</f>
        <v>Waree</v>
      </c>
      <c r="F72" t="str">
        <f>IFERROR(__xludf.DUMMYFUNCTION("""COMPUTED_VALUE"""),"Nitikasetpan")</f>
        <v>Nitikasetpan</v>
      </c>
      <c r="G72" t="str">
        <f>IFERROR(__xludf.DUMMYFUNCTION("""COMPUTED_VALUE"""),"Waree Nitikasetpan")</f>
        <v>Waree Nitikasetpan</v>
      </c>
    </row>
    <row r="74">
      <c r="A74" s="142">
        <f>IFERROR(__xludf.DUMMYFUNCTION("""COMPUTED_VALUE"""),18.0)</f>
        <v>18</v>
      </c>
      <c r="B74" t="str">
        <f>IFERROR(__xludf.DUMMYFUNCTION("""COMPUTED_VALUE"""),"TAA1639")</f>
        <v>TAA1639</v>
      </c>
      <c r="C74">
        <f>IFERROR(__xludf.DUMMYFUNCTION("""COMPUTED_VALUE"""),1001818.0)</f>
        <v>1001818</v>
      </c>
      <c r="D74" t="str">
        <f>IFERROR(__xludf.DUMMYFUNCTION("""COMPUTED_VALUE"""),"Ms.")</f>
        <v>Ms.</v>
      </c>
      <c r="E74" t="str">
        <f>IFERROR(__xludf.DUMMYFUNCTION("""COMPUTED_VALUE"""),"Tanyapat (Nattakarn)")</f>
        <v>Tanyapat (Nattakarn)</v>
      </c>
      <c r="F74" t="str">
        <f>IFERROR(__xludf.DUMMYFUNCTION("""COMPUTED_VALUE"""),"Limthananat (Junlaprom)")</f>
        <v>Limthananat (Junlaprom)</v>
      </c>
      <c r="G74" t="str">
        <f>IFERROR(__xludf.DUMMYFUNCTION("""COMPUTED_VALUE"""),"Tanyapat Limthananat")</f>
        <v>Tanyapat Limthananat</v>
      </c>
    </row>
    <row r="75">
      <c r="A75" s="142">
        <f>IFERROR(__xludf.DUMMYFUNCTION("""COMPUTED_VALUE"""),18.0)</f>
        <v>18</v>
      </c>
      <c r="B75" t="str">
        <f>IFERROR(__xludf.DUMMYFUNCTION("""COMPUTED_VALUE"""),"TAA1644")</f>
        <v>TAA1644</v>
      </c>
      <c r="C75">
        <f>IFERROR(__xludf.DUMMYFUNCTION("""COMPUTED_VALUE"""),1001822.0)</f>
        <v>1001822</v>
      </c>
      <c r="D75" t="str">
        <f>IFERROR(__xludf.DUMMYFUNCTION("""COMPUTED_VALUE"""),"Ms.")</f>
        <v>Ms.</v>
      </c>
      <c r="E75" t="str">
        <f>IFERROR(__xludf.DUMMYFUNCTION("""COMPUTED_VALUE"""),"Wilasinee")</f>
        <v>Wilasinee</v>
      </c>
      <c r="F75" t="str">
        <f>IFERROR(__xludf.DUMMYFUNCTION("""COMPUTED_VALUE"""),"Natenopparat")</f>
        <v>Natenopparat</v>
      </c>
      <c r="G75" t="str">
        <f>IFERROR(__xludf.DUMMYFUNCTION("""COMPUTED_VALUE"""),"Wilasinee Natenopparat")</f>
        <v>Wilasinee Natenopparat</v>
      </c>
    </row>
    <row r="77">
      <c r="A77" s="142">
        <f>IFERROR(__xludf.DUMMYFUNCTION("""COMPUTED_VALUE"""),19.0)</f>
        <v>19</v>
      </c>
      <c r="B77" t="str">
        <f>IFERROR(__xludf.DUMMYFUNCTION("""COMPUTED_VALUE"""),"TAA1722")</f>
        <v>TAA1722</v>
      </c>
      <c r="C77">
        <f>IFERROR(__xludf.DUMMYFUNCTION("""COMPUTED_VALUE"""),1000992.0)</f>
        <v>1000992</v>
      </c>
      <c r="D77" t="str">
        <f>IFERROR(__xludf.DUMMYFUNCTION("""COMPUTED_VALUE"""),"Ms.")</f>
        <v>Ms.</v>
      </c>
      <c r="E77" t="str">
        <f>IFERROR(__xludf.DUMMYFUNCTION("""COMPUTED_VALUE"""),"Sirinya")</f>
        <v>Sirinya</v>
      </c>
      <c r="F77" t="str">
        <f>IFERROR(__xludf.DUMMYFUNCTION("""COMPUTED_VALUE"""),"Wichaiya")</f>
        <v>Wichaiya</v>
      </c>
      <c r="G77" t="str">
        <f>IFERROR(__xludf.DUMMYFUNCTION("""COMPUTED_VALUE"""),"Sirinya Wichaiya")</f>
        <v>Sirinya Wichaiya</v>
      </c>
    </row>
    <row r="78">
      <c r="A78" s="142">
        <f>IFERROR(__xludf.DUMMYFUNCTION("""COMPUTED_VALUE"""),19.0)</f>
        <v>19</v>
      </c>
      <c r="B78" t="str">
        <f>IFERROR(__xludf.DUMMYFUNCTION("""COMPUTED_VALUE"""),"TAA1731")</f>
        <v>TAA1731</v>
      </c>
      <c r="C78">
        <f>IFERROR(__xludf.DUMMYFUNCTION("""COMPUTED_VALUE"""),1001914.0)</f>
        <v>1001914</v>
      </c>
      <c r="D78" t="str">
        <f>IFERROR(__xludf.DUMMYFUNCTION("""COMPUTED_VALUE"""),"Ms.")</f>
        <v>Ms.</v>
      </c>
      <c r="E78" t="str">
        <f>IFERROR(__xludf.DUMMYFUNCTION("""COMPUTED_VALUE"""),"Arthitaya")</f>
        <v>Arthitaya</v>
      </c>
      <c r="F78" t="str">
        <f>IFERROR(__xludf.DUMMYFUNCTION("""COMPUTED_VALUE"""),"Srisopon")</f>
        <v>Srisopon</v>
      </c>
      <c r="G78" t="str">
        <f>IFERROR(__xludf.DUMMYFUNCTION("""COMPUTED_VALUE"""),"Arthitaya Srisopon")</f>
        <v>Arthitaya Srisopon</v>
      </c>
    </row>
    <row r="79">
      <c r="A79" s="142">
        <f>IFERROR(__xludf.DUMMYFUNCTION("""COMPUTED_VALUE"""),19.0)</f>
        <v>19</v>
      </c>
      <c r="B79" t="str">
        <f>IFERROR(__xludf.DUMMYFUNCTION("""COMPUTED_VALUE"""),"TAA1734")</f>
        <v>TAA1734</v>
      </c>
      <c r="C79">
        <f>IFERROR(__xludf.DUMMYFUNCTION("""COMPUTED_VALUE"""),1001917.0)</f>
        <v>1001917</v>
      </c>
      <c r="D79" t="str">
        <f>IFERROR(__xludf.DUMMYFUNCTION("""COMPUTED_VALUE"""),"Ms.")</f>
        <v>Ms.</v>
      </c>
      <c r="E79" t="str">
        <f>IFERROR(__xludf.DUMMYFUNCTION("""COMPUTED_VALUE"""),"Lakkana")</f>
        <v>Lakkana</v>
      </c>
      <c r="F79" t="str">
        <f>IFERROR(__xludf.DUMMYFUNCTION("""COMPUTED_VALUE"""),"Phongtong")</f>
        <v>Phongtong</v>
      </c>
      <c r="G79" t="str">
        <f>IFERROR(__xludf.DUMMYFUNCTION("""COMPUTED_VALUE"""),"Lakkana Phongtong")</f>
        <v>Lakkana Phongtong</v>
      </c>
    </row>
    <row r="80">
      <c r="A80" s="142">
        <f>IFERROR(__xludf.DUMMYFUNCTION("""COMPUTED_VALUE"""),19.0)</f>
        <v>19</v>
      </c>
      <c r="B80" t="str">
        <f>IFERROR(__xludf.DUMMYFUNCTION("""COMPUTED_VALUE"""),"TAA1735")</f>
        <v>TAA1735</v>
      </c>
      <c r="C80">
        <f>IFERROR(__xludf.DUMMYFUNCTION("""COMPUTED_VALUE"""),1001918.0)</f>
        <v>1001918</v>
      </c>
      <c r="D80" t="str">
        <f>IFERROR(__xludf.DUMMYFUNCTION("""COMPUTED_VALUE"""),"Ms.")</f>
        <v>Ms.</v>
      </c>
      <c r="E80" t="str">
        <f>IFERROR(__xludf.DUMMYFUNCTION("""COMPUTED_VALUE"""),"Mint")</f>
        <v>Mint</v>
      </c>
      <c r="F80" t="str">
        <f>IFERROR(__xludf.DUMMYFUNCTION("""COMPUTED_VALUE"""),"Jencheawcharn")</f>
        <v>Jencheawcharn</v>
      </c>
      <c r="G80" t="str">
        <f>IFERROR(__xludf.DUMMYFUNCTION("""COMPUTED_VALUE"""),"Mint Jencheawcharn")</f>
        <v>Mint Jencheawcharn</v>
      </c>
    </row>
    <row r="81">
      <c r="A81" s="142">
        <f>IFERROR(__xludf.DUMMYFUNCTION("""COMPUTED_VALUE"""),19.0)</f>
        <v>19</v>
      </c>
      <c r="B81" t="str">
        <f>IFERROR(__xludf.DUMMYFUNCTION("""COMPUTED_VALUE"""),"TAA1717")</f>
        <v>TAA1717</v>
      </c>
      <c r="C81">
        <f>IFERROR(__xludf.DUMMYFUNCTION("""COMPUTED_VALUE"""),1001921.0)</f>
        <v>1001921</v>
      </c>
      <c r="D81" t="str">
        <f>IFERROR(__xludf.DUMMYFUNCTION("""COMPUTED_VALUE"""),"Ms.")</f>
        <v>Ms.</v>
      </c>
      <c r="E81" t="str">
        <f>IFERROR(__xludf.DUMMYFUNCTION("""COMPUTED_VALUE"""),"Preeyanuch")</f>
        <v>Preeyanuch</v>
      </c>
      <c r="F81" t="str">
        <f>IFERROR(__xludf.DUMMYFUNCTION("""COMPUTED_VALUE"""),"Yuwayongdee")</f>
        <v>Yuwayongdee</v>
      </c>
      <c r="G81" t="str">
        <f>IFERROR(__xludf.DUMMYFUNCTION("""COMPUTED_VALUE"""),"Preeyanuch Yuwayongdee")</f>
        <v>Preeyanuch Yuwayongdee</v>
      </c>
    </row>
    <row r="82">
      <c r="A82" s="142">
        <f>IFERROR(__xludf.DUMMYFUNCTION("""COMPUTED_VALUE"""),19.0)</f>
        <v>19</v>
      </c>
      <c r="B82" t="str">
        <f>IFERROR(__xludf.DUMMYFUNCTION("""COMPUTED_VALUE"""),"TAA1718")</f>
        <v>TAA1718</v>
      </c>
      <c r="C82">
        <f>IFERROR(__xludf.DUMMYFUNCTION("""COMPUTED_VALUE"""),1001922.0)</f>
        <v>1001922</v>
      </c>
      <c r="D82" t="str">
        <f>IFERROR(__xludf.DUMMYFUNCTION("""COMPUTED_VALUE"""),"Mrs.")</f>
        <v>Mrs.</v>
      </c>
      <c r="E82" t="str">
        <f>IFERROR(__xludf.DUMMYFUNCTION("""COMPUTED_VALUE"""),"Sirisinee")</f>
        <v>Sirisinee</v>
      </c>
      <c r="F82" t="str">
        <f>IFERROR(__xludf.DUMMYFUNCTION("""COMPUTED_VALUE"""),"Wongchanhan (Chaisuwankiree)")</f>
        <v>Wongchanhan (Chaisuwankiree)</v>
      </c>
      <c r="G82" t="str">
        <f>IFERROR(__xludf.DUMMYFUNCTION("""COMPUTED_VALUE"""),"Sirisinee Wongchanhan")</f>
        <v>Sirisinee Wongchanhan</v>
      </c>
    </row>
    <row r="84">
      <c r="A84" s="142">
        <f>IFERROR(__xludf.DUMMYFUNCTION("""COMPUTED_VALUE"""),20.0)</f>
        <v>20</v>
      </c>
      <c r="B84" t="str">
        <f>IFERROR(__xludf.DUMMYFUNCTION("""COMPUTED_VALUE"""),"TAA1252")</f>
        <v>TAA1252</v>
      </c>
      <c r="C84">
        <f>IFERROR(__xludf.DUMMYFUNCTION("""COMPUTED_VALUE"""),1001215.0)</f>
        <v>1001215</v>
      </c>
      <c r="D84" t="str">
        <f>IFERROR(__xludf.DUMMYFUNCTION("""COMPUTED_VALUE"""),"Ms.")</f>
        <v>Ms.</v>
      </c>
      <c r="E84" t="str">
        <f>IFERROR(__xludf.DUMMYFUNCTION("""COMPUTED_VALUE"""),"Sirikwan")</f>
        <v>Sirikwan</v>
      </c>
      <c r="F84" t="str">
        <f>IFERROR(__xludf.DUMMYFUNCTION("""COMPUTED_VALUE"""),"Boonwan (Larmungkun)")</f>
        <v>Boonwan (Larmungkun)</v>
      </c>
      <c r="G84" t="str">
        <f>IFERROR(__xludf.DUMMYFUNCTION("""COMPUTED_VALUE"""),"Sirikwan Boonwan")</f>
        <v>Sirikwan Boonwan</v>
      </c>
    </row>
    <row r="85">
      <c r="A85" s="142">
        <f>IFERROR(__xludf.DUMMYFUNCTION("""COMPUTED_VALUE"""),20.0)</f>
        <v>20</v>
      </c>
      <c r="B85" t="str">
        <f>IFERROR(__xludf.DUMMYFUNCTION("""COMPUTED_VALUE"""),"TAA1548")</f>
        <v>TAA1548</v>
      </c>
      <c r="C85">
        <f>IFERROR(__xludf.DUMMYFUNCTION("""COMPUTED_VALUE"""),1001692.0)</f>
        <v>1001692</v>
      </c>
      <c r="D85" t="str">
        <f>IFERROR(__xludf.DUMMYFUNCTION("""COMPUTED_VALUE"""),"Ms.")</f>
        <v>Ms.</v>
      </c>
      <c r="E85" t="str">
        <f>IFERROR(__xludf.DUMMYFUNCTION("""COMPUTED_VALUE"""),"Noppawan")</f>
        <v>Noppawan</v>
      </c>
      <c r="F85" t="str">
        <f>IFERROR(__xludf.DUMMYFUNCTION("""COMPUTED_VALUE"""),"Tainvichit")</f>
        <v>Tainvichit</v>
      </c>
      <c r="G85" t="str">
        <f>IFERROR(__xludf.DUMMYFUNCTION("""COMPUTED_VALUE"""),"Noppawan Tainvichit")</f>
        <v>Noppawan Tainvichit</v>
      </c>
    </row>
    <row r="86">
      <c r="A86" s="142">
        <f>IFERROR(__xludf.DUMMYFUNCTION("""COMPUTED_VALUE"""),20.0)</f>
        <v>20</v>
      </c>
      <c r="B86" t="str">
        <f>IFERROR(__xludf.DUMMYFUNCTION("""COMPUTED_VALUE"""),"TAA1838")</f>
        <v>TAA1838</v>
      </c>
      <c r="C86">
        <f>IFERROR(__xludf.DUMMYFUNCTION("""COMPUTED_VALUE"""),1002065.0)</f>
        <v>1002065</v>
      </c>
      <c r="D86" t="str">
        <f>IFERROR(__xludf.DUMMYFUNCTION("""COMPUTED_VALUE"""),"Ms.")</f>
        <v>Ms.</v>
      </c>
      <c r="E86" t="str">
        <f>IFERROR(__xludf.DUMMYFUNCTION("""COMPUTED_VALUE"""),"Pattaramon")</f>
        <v>Pattaramon</v>
      </c>
      <c r="F86" t="str">
        <f>IFERROR(__xludf.DUMMYFUNCTION("""COMPUTED_VALUE"""),"Phunsook")</f>
        <v>Phunsook</v>
      </c>
      <c r="G86" t="str">
        <f>IFERROR(__xludf.DUMMYFUNCTION("""COMPUTED_VALUE"""),"Pattaramon Phunsook")</f>
        <v>Pattaramon Phunsook</v>
      </c>
    </row>
    <row r="88">
      <c r="A88" s="142">
        <f>IFERROR(__xludf.DUMMYFUNCTION("""COMPUTED_VALUE"""),21.0)</f>
        <v>21</v>
      </c>
      <c r="B88" t="str">
        <f>IFERROR(__xludf.DUMMYFUNCTION("""COMPUTED_VALUE"""),"TAA1864")</f>
        <v>TAA1864</v>
      </c>
      <c r="C88">
        <f>IFERROR(__xludf.DUMMYFUNCTION("""COMPUTED_VALUE"""),1002145.0)</f>
        <v>1002145</v>
      </c>
      <c r="D88" t="str">
        <f>IFERROR(__xludf.DUMMYFUNCTION("""COMPUTED_VALUE"""),"Ms.")</f>
        <v>Ms.</v>
      </c>
      <c r="E88" t="str">
        <f>IFERROR(__xludf.DUMMYFUNCTION("""COMPUTED_VALUE"""),"Panjapat")</f>
        <v>Panjapat</v>
      </c>
      <c r="F88" t="str">
        <f>IFERROR(__xludf.DUMMYFUNCTION("""COMPUTED_VALUE"""),"Intaraprasert")</f>
        <v>Intaraprasert</v>
      </c>
      <c r="G88" t="str">
        <f>IFERROR(__xludf.DUMMYFUNCTION("""COMPUTED_VALUE"""),"Panjapat Intaraprasert")</f>
        <v>Panjapat Intaraprasert</v>
      </c>
    </row>
    <row r="89">
      <c r="A89" s="142">
        <f>IFERROR(__xludf.DUMMYFUNCTION("""COMPUTED_VALUE"""),21.0)</f>
        <v>21</v>
      </c>
      <c r="B89" t="str">
        <f>IFERROR(__xludf.DUMMYFUNCTION("""COMPUTED_VALUE"""),"TAA1866")</f>
        <v>TAA1866</v>
      </c>
      <c r="C89">
        <f>IFERROR(__xludf.DUMMYFUNCTION("""COMPUTED_VALUE"""),1002146.0)</f>
        <v>1002146</v>
      </c>
      <c r="D89" t="str">
        <f>IFERROR(__xludf.DUMMYFUNCTION("""COMPUTED_VALUE"""),"Ms.")</f>
        <v>Ms.</v>
      </c>
      <c r="E89" t="str">
        <f>IFERROR(__xludf.DUMMYFUNCTION("""COMPUTED_VALUE"""),"Romrawee")</f>
        <v>Romrawee</v>
      </c>
      <c r="F89" t="str">
        <f>IFERROR(__xludf.DUMMYFUNCTION("""COMPUTED_VALUE"""),"Choeikeewong")</f>
        <v>Choeikeewong</v>
      </c>
      <c r="G89" t="str">
        <f>IFERROR(__xludf.DUMMYFUNCTION("""COMPUTED_VALUE"""),"Romrawee Choeikeewong")</f>
        <v>Romrawee Choeikeewong</v>
      </c>
    </row>
    <row r="91">
      <c r="A91" s="142">
        <f>IFERROR(__xludf.DUMMYFUNCTION("""COMPUTED_VALUE"""),22.0)</f>
        <v>22</v>
      </c>
      <c r="B91" t="str">
        <f>IFERROR(__xludf.DUMMYFUNCTION("""COMPUTED_VALUE"""),"TAA1928")</f>
        <v>TAA1928</v>
      </c>
      <c r="C91">
        <f>IFERROR(__xludf.DUMMYFUNCTION("""COMPUTED_VALUE"""),1002264.0)</f>
        <v>1002264</v>
      </c>
      <c r="D91" t="str">
        <f>IFERROR(__xludf.DUMMYFUNCTION("""COMPUTED_VALUE"""),"Ms.")</f>
        <v>Ms.</v>
      </c>
      <c r="E91" t="str">
        <f>IFERROR(__xludf.DUMMYFUNCTION("""COMPUTED_VALUE"""),"Anooradee")</f>
        <v>Anooradee</v>
      </c>
      <c r="F91" t="str">
        <f>IFERROR(__xludf.DUMMYFUNCTION("""COMPUTED_VALUE"""),"Wilairot (Puengklan)")</f>
        <v>Wilairot (Puengklan)</v>
      </c>
      <c r="G91" t="str">
        <f>IFERROR(__xludf.DUMMYFUNCTION("""COMPUTED_VALUE"""),"Anooradee Wilairot")</f>
        <v>Anooradee Wilairot</v>
      </c>
    </row>
    <row r="92">
      <c r="A92" s="142">
        <f>IFERROR(__xludf.DUMMYFUNCTION("""COMPUTED_VALUE"""),22.0)</f>
        <v>22</v>
      </c>
      <c r="B92" t="str">
        <f>IFERROR(__xludf.DUMMYFUNCTION("""COMPUTED_VALUE"""),"TAA1923")</f>
        <v>TAA1923</v>
      </c>
      <c r="C92">
        <f>IFERROR(__xludf.DUMMYFUNCTION("""COMPUTED_VALUE"""),1002265.0)</f>
        <v>1002265</v>
      </c>
      <c r="D92" t="str">
        <f>IFERROR(__xludf.DUMMYFUNCTION("""COMPUTED_VALUE"""),"Ms.")</f>
        <v>Ms.</v>
      </c>
      <c r="E92" t="str">
        <f>IFERROR(__xludf.DUMMYFUNCTION("""COMPUTED_VALUE"""),"Chokaew")</f>
        <v>Chokaew</v>
      </c>
      <c r="F92" t="str">
        <f>IFERROR(__xludf.DUMMYFUNCTION("""COMPUTED_VALUE"""),"Champangoen")</f>
        <v>Champangoen</v>
      </c>
      <c r="G92" t="str">
        <f>IFERROR(__xludf.DUMMYFUNCTION("""COMPUTED_VALUE"""),"Chokaew Champangoen")</f>
        <v>Chokaew Champangoen</v>
      </c>
    </row>
    <row r="93">
      <c r="A93" s="142">
        <f>IFERROR(__xludf.DUMMYFUNCTION("""COMPUTED_VALUE"""),22.0)</f>
        <v>22</v>
      </c>
      <c r="B93" t="str">
        <f>IFERROR(__xludf.DUMMYFUNCTION("""COMPUTED_VALUE"""),"TAA1936")</f>
        <v>TAA1936</v>
      </c>
      <c r="C93">
        <f>IFERROR(__xludf.DUMMYFUNCTION("""COMPUTED_VALUE"""),1002267.0)</f>
        <v>1002267</v>
      </c>
      <c r="D93" t="str">
        <f>IFERROR(__xludf.DUMMYFUNCTION("""COMPUTED_VALUE"""),"Ms.")</f>
        <v>Ms.</v>
      </c>
      <c r="E93" t="str">
        <f>IFERROR(__xludf.DUMMYFUNCTION("""COMPUTED_VALUE"""),"Doungporn")</f>
        <v>Doungporn</v>
      </c>
      <c r="F93" t="str">
        <f>IFERROR(__xludf.DUMMYFUNCTION("""COMPUTED_VALUE"""),"Satitkune")</f>
        <v>Satitkune</v>
      </c>
      <c r="G93" t="str">
        <f>IFERROR(__xludf.DUMMYFUNCTION("""COMPUTED_VALUE"""),"Doungporn Satitkune")</f>
        <v>Doungporn Satitkune</v>
      </c>
    </row>
    <row r="94">
      <c r="A94" s="142">
        <f>IFERROR(__xludf.DUMMYFUNCTION("""COMPUTED_VALUE"""),22.0)</f>
        <v>22</v>
      </c>
      <c r="B94" t="str">
        <f>IFERROR(__xludf.DUMMYFUNCTION("""COMPUTED_VALUE"""),"TAA1937")</f>
        <v>TAA1937</v>
      </c>
      <c r="C94">
        <f>IFERROR(__xludf.DUMMYFUNCTION("""COMPUTED_VALUE"""),1002269.0)</f>
        <v>1002269</v>
      </c>
      <c r="D94" t="str">
        <f>IFERROR(__xludf.DUMMYFUNCTION("""COMPUTED_VALUE"""),"Ms.")</f>
        <v>Ms.</v>
      </c>
      <c r="E94" t="str">
        <f>IFERROR(__xludf.DUMMYFUNCTION("""COMPUTED_VALUE"""),"Khemaporn")</f>
        <v>Khemaporn</v>
      </c>
      <c r="F94" t="str">
        <f>IFERROR(__xludf.DUMMYFUNCTION("""COMPUTED_VALUE"""),"Chotepradit")</f>
        <v>Chotepradit</v>
      </c>
      <c r="G94" t="str">
        <f>IFERROR(__xludf.DUMMYFUNCTION("""COMPUTED_VALUE"""),"Khemaporn Chotepradit")</f>
        <v>Khemaporn Chotepradit</v>
      </c>
    </row>
    <row r="95">
      <c r="A95" s="142">
        <f>IFERROR(__xludf.DUMMYFUNCTION("""COMPUTED_VALUE"""),22.0)</f>
        <v>22</v>
      </c>
      <c r="B95" t="str">
        <f>IFERROR(__xludf.DUMMYFUNCTION("""COMPUTED_VALUE"""),"TAA1930")</f>
        <v>TAA1930</v>
      </c>
      <c r="C95">
        <f>IFERROR(__xludf.DUMMYFUNCTION("""COMPUTED_VALUE"""),1002271.0)</f>
        <v>1002271</v>
      </c>
      <c r="D95" t="str">
        <f>IFERROR(__xludf.DUMMYFUNCTION("""COMPUTED_VALUE"""),"Ms.")</f>
        <v>Ms.</v>
      </c>
      <c r="E95" t="str">
        <f>IFERROR(__xludf.DUMMYFUNCTION("""COMPUTED_VALUE"""),"Phaphasorn")</f>
        <v>Phaphasorn</v>
      </c>
      <c r="F95" t="str">
        <f>IFERROR(__xludf.DUMMYFUNCTION("""COMPUTED_VALUE"""),"Pawapootanont (Chaturatphatson)")</f>
        <v>Pawapootanont (Chaturatphatson)</v>
      </c>
      <c r="G95" t="str">
        <f>IFERROR(__xludf.DUMMYFUNCTION("""COMPUTED_VALUE"""),"Phaphasorn Pawapootanont")</f>
        <v>Phaphasorn Pawapootanont</v>
      </c>
    </row>
    <row r="96">
      <c r="A96" s="142">
        <f>IFERROR(__xludf.DUMMYFUNCTION("""COMPUTED_VALUE"""),22.0)</f>
        <v>22</v>
      </c>
      <c r="B96" t="str">
        <f>IFERROR(__xludf.DUMMYFUNCTION("""COMPUTED_VALUE"""),"TAA1934")</f>
        <v>TAA1934</v>
      </c>
      <c r="C96">
        <f>IFERROR(__xludf.DUMMYFUNCTION("""COMPUTED_VALUE"""),1002273.0)</f>
        <v>1002273</v>
      </c>
      <c r="D96" t="str">
        <f>IFERROR(__xludf.DUMMYFUNCTION("""COMPUTED_VALUE"""),"Ms.")</f>
        <v>Ms.</v>
      </c>
      <c r="E96" t="str">
        <f>IFERROR(__xludf.DUMMYFUNCTION("""COMPUTED_VALUE"""),"Sirion")</f>
        <v>Sirion</v>
      </c>
      <c r="F96" t="str">
        <f>IFERROR(__xludf.DUMMYFUNCTION("""COMPUTED_VALUE"""),"Kwanchai")</f>
        <v>Kwanchai</v>
      </c>
      <c r="G96" t="str">
        <f>IFERROR(__xludf.DUMMYFUNCTION("""COMPUTED_VALUE"""),"Sirion Kwanchai")</f>
        <v>Sirion Kwanchai</v>
      </c>
    </row>
    <row r="98">
      <c r="A98" s="142">
        <f>IFERROR(__xludf.DUMMYFUNCTION("""COMPUTED_VALUE"""),23.0)</f>
        <v>23</v>
      </c>
      <c r="B98" t="str">
        <f>IFERROR(__xludf.DUMMYFUNCTION("""COMPUTED_VALUE"""),"TAA1255")</f>
        <v>TAA1255</v>
      </c>
      <c r="C98">
        <f>IFERROR(__xludf.DUMMYFUNCTION("""COMPUTED_VALUE"""),1001209.0)</f>
        <v>1001209</v>
      </c>
      <c r="D98" t="str">
        <f>IFERROR(__xludf.DUMMYFUNCTION("""COMPUTED_VALUE"""),"Ms.")</f>
        <v>Ms.</v>
      </c>
      <c r="E98" t="str">
        <f>IFERROR(__xludf.DUMMYFUNCTION("""COMPUTED_VALUE"""),"Chadchaya")</f>
        <v>Chadchaya</v>
      </c>
      <c r="F98" t="str">
        <f>IFERROR(__xludf.DUMMYFUNCTION("""COMPUTED_VALUE"""),"Sinloy")</f>
        <v>Sinloy</v>
      </c>
      <c r="G98" t="str">
        <f>IFERROR(__xludf.DUMMYFUNCTION("""COMPUTED_VALUE"""),"Chadchaya Sinloy")</f>
        <v>Chadchaya Sinloy</v>
      </c>
    </row>
    <row r="99">
      <c r="A99" s="142">
        <f>IFERROR(__xludf.DUMMYFUNCTION("""COMPUTED_VALUE"""),23.0)</f>
        <v>23</v>
      </c>
      <c r="B99" t="str">
        <f>IFERROR(__xludf.DUMMYFUNCTION("""COMPUTED_VALUE"""),"TAA1962")</f>
        <v>TAA1962</v>
      </c>
      <c r="C99">
        <f>IFERROR(__xludf.DUMMYFUNCTION("""COMPUTED_VALUE"""),1002363.0)</f>
        <v>1002363</v>
      </c>
      <c r="D99" t="str">
        <f>IFERROR(__xludf.DUMMYFUNCTION("""COMPUTED_VALUE"""),"Ms.")</f>
        <v>Ms.</v>
      </c>
      <c r="E99" t="str">
        <f>IFERROR(__xludf.DUMMYFUNCTION("""COMPUTED_VALUE"""),"Boondarika")</f>
        <v>Boondarika</v>
      </c>
      <c r="F99" t="str">
        <f>IFERROR(__xludf.DUMMYFUNCTION("""COMPUTED_VALUE"""),"Chaikarn")</f>
        <v>Chaikarn</v>
      </c>
      <c r="G99" t="str">
        <f>IFERROR(__xludf.DUMMYFUNCTION("""COMPUTED_VALUE"""),"Boondarika Chaikarn")</f>
        <v>Boondarika Chaikarn</v>
      </c>
    </row>
    <row r="100">
      <c r="A100" s="142">
        <f>IFERROR(__xludf.DUMMYFUNCTION("""COMPUTED_VALUE"""),23.0)</f>
        <v>23</v>
      </c>
      <c r="B100" t="str">
        <f>IFERROR(__xludf.DUMMYFUNCTION("""COMPUTED_VALUE"""),"TAA1960")</f>
        <v>TAA1960</v>
      </c>
      <c r="C100">
        <f>IFERROR(__xludf.DUMMYFUNCTION("""COMPUTED_VALUE"""),1002368.0)</f>
        <v>1002368</v>
      </c>
      <c r="D100" t="str">
        <f>IFERROR(__xludf.DUMMYFUNCTION("""COMPUTED_VALUE"""),"Mrs.")</f>
        <v>Mrs.</v>
      </c>
      <c r="E100" t="str">
        <f>IFERROR(__xludf.DUMMYFUNCTION("""COMPUTED_VALUE"""),"Krongjai")</f>
        <v>Krongjai</v>
      </c>
      <c r="F100" t="str">
        <f>IFERROR(__xludf.DUMMYFUNCTION("""COMPUTED_VALUE"""),"Jaturapattarakij")</f>
        <v>Jaturapattarakij</v>
      </c>
      <c r="G100" t="str">
        <f>IFERROR(__xludf.DUMMYFUNCTION("""COMPUTED_VALUE"""),"Krongjai Jaturapattarakij")</f>
        <v>Krongjai Jaturapattarakij</v>
      </c>
    </row>
    <row r="101">
      <c r="A101" s="142">
        <f>IFERROR(__xludf.DUMMYFUNCTION("""COMPUTED_VALUE"""),23.0)</f>
        <v>23</v>
      </c>
      <c r="B101" t="str">
        <f>IFERROR(__xludf.DUMMYFUNCTION("""COMPUTED_VALUE"""),"TAA1963")</f>
        <v>TAA1963</v>
      </c>
      <c r="C101">
        <f>IFERROR(__xludf.DUMMYFUNCTION("""COMPUTED_VALUE"""),1002370.0)</f>
        <v>1002370</v>
      </c>
      <c r="D101" t="str">
        <f>IFERROR(__xludf.DUMMYFUNCTION("""COMPUTED_VALUE"""),"Ms.")</f>
        <v>Ms.</v>
      </c>
      <c r="E101" t="str">
        <f>IFERROR(__xludf.DUMMYFUNCTION("""COMPUTED_VALUE"""),"Napaphat")</f>
        <v>Napaphat</v>
      </c>
      <c r="F101" t="str">
        <f>IFERROR(__xludf.DUMMYFUNCTION("""COMPUTED_VALUE"""),"Yuktanan")</f>
        <v>Yuktanan</v>
      </c>
      <c r="G101" t="str">
        <f>IFERROR(__xludf.DUMMYFUNCTION("""COMPUTED_VALUE"""),"Napaphat Yuktanan")</f>
        <v>Napaphat Yuktanan</v>
      </c>
    </row>
    <row r="102">
      <c r="A102" s="142">
        <f>IFERROR(__xludf.DUMMYFUNCTION("""COMPUTED_VALUE"""),23.0)</f>
        <v>23</v>
      </c>
      <c r="B102" t="str">
        <f>IFERROR(__xludf.DUMMYFUNCTION("""COMPUTED_VALUE"""),"TAA1969")</f>
        <v>TAA1969</v>
      </c>
      <c r="C102">
        <f>IFERROR(__xludf.DUMMYFUNCTION("""COMPUTED_VALUE"""),1002371.0)</f>
        <v>1002371</v>
      </c>
      <c r="D102" t="str">
        <f>IFERROR(__xludf.DUMMYFUNCTION("""COMPUTED_VALUE"""),"Ms.")</f>
        <v>Ms.</v>
      </c>
      <c r="E102" t="str">
        <f>IFERROR(__xludf.DUMMYFUNCTION("""COMPUTED_VALUE"""),"Nattee")</f>
        <v>Nattee</v>
      </c>
      <c r="F102" t="str">
        <f>IFERROR(__xludf.DUMMYFUNCTION("""COMPUTED_VALUE"""),"Kittivorachate")</f>
        <v>Kittivorachate</v>
      </c>
      <c r="G102" t="str">
        <f>IFERROR(__xludf.DUMMYFUNCTION("""COMPUTED_VALUE"""),"Nattee Kittivorachate")</f>
        <v>Nattee Kittivorachate</v>
      </c>
    </row>
    <row r="103">
      <c r="A103" s="142">
        <f>IFERROR(__xludf.DUMMYFUNCTION("""COMPUTED_VALUE"""),23.0)</f>
        <v>23</v>
      </c>
      <c r="B103" t="str">
        <f>IFERROR(__xludf.DUMMYFUNCTION("""COMPUTED_VALUE"""),"TAA1964")</f>
        <v>TAA1964</v>
      </c>
      <c r="C103">
        <f>IFERROR(__xludf.DUMMYFUNCTION("""COMPUTED_VALUE"""),1002374.0)</f>
        <v>1002374</v>
      </c>
      <c r="D103" t="str">
        <f>IFERROR(__xludf.DUMMYFUNCTION("""COMPUTED_VALUE"""),"Ms.")</f>
        <v>Ms.</v>
      </c>
      <c r="E103" t="str">
        <f>IFERROR(__xludf.DUMMYFUNCTION("""COMPUTED_VALUE"""),"Sirilak")</f>
        <v>Sirilak</v>
      </c>
      <c r="F103" t="str">
        <f>IFERROR(__xludf.DUMMYFUNCTION("""COMPUTED_VALUE"""),"Sutanant")</f>
        <v>Sutanant</v>
      </c>
      <c r="G103" t="str">
        <f>IFERROR(__xludf.DUMMYFUNCTION("""COMPUTED_VALUE"""),"Sirilak Sutanant")</f>
        <v>Sirilak Sutanant</v>
      </c>
    </row>
    <row r="105">
      <c r="A105" s="142">
        <f>IFERROR(__xludf.DUMMYFUNCTION("""COMPUTED_VALUE"""),24.0)</f>
        <v>24</v>
      </c>
      <c r="B105" t="str">
        <f>IFERROR(__xludf.DUMMYFUNCTION("""COMPUTED_VALUE"""),"TAA2231")</f>
        <v>TAA2231</v>
      </c>
      <c r="C105">
        <f>IFERROR(__xludf.DUMMYFUNCTION("""COMPUTED_VALUE"""),1002909.0)</f>
        <v>1002909</v>
      </c>
      <c r="D105" t="str">
        <f>IFERROR(__xludf.DUMMYFUNCTION("""COMPUTED_VALUE"""),"Mr.")</f>
        <v>Mr.</v>
      </c>
      <c r="E105" t="str">
        <f>IFERROR(__xludf.DUMMYFUNCTION("""COMPUTED_VALUE"""),"Panodpol")</f>
        <v>Panodpol</v>
      </c>
      <c r="F105" t="str">
        <f>IFERROR(__xludf.DUMMYFUNCTION("""COMPUTED_VALUE"""),"Yensuong")</f>
        <v>Yensuong</v>
      </c>
      <c r="G105" t="str">
        <f>IFERROR(__xludf.DUMMYFUNCTION("""COMPUTED_VALUE"""),"Panodpol Yensuong")</f>
        <v>Panodpol Yensuong</v>
      </c>
    </row>
    <row r="106">
      <c r="A106" s="142">
        <f>IFERROR(__xludf.DUMMYFUNCTION("""COMPUTED_VALUE"""),24.0)</f>
        <v>24</v>
      </c>
      <c r="B106" t="str">
        <f>IFERROR(__xludf.DUMMYFUNCTION("""COMPUTED_VALUE"""),"TAA2236")</f>
        <v>TAA2236</v>
      </c>
      <c r="C106">
        <f>IFERROR(__xludf.DUMMYFUNCTION("""COMPUTED_VALUE"""),1002910.0)</f>
        <v>1002910</v>
      </c>
      <c r="D106" t="str">
        <f>IFERROR(__xludf.DUMMYFUNCTION("""COMPUTED_VALUE"""),"Ms.")</f>
        <v>Ms.</v>
      </c>
      <c r="E106" t="str">
        <f>IFERROR(__xludf.DUMMYFUNCTION("""COMPUTED_VALUE"""),"Patsita")</f>
        <v>Patsita</v>
      </c>
      <c r="F106" t="str">
        <f>IFERROR(__xludf.DUMMYFUNCTION("""COMPUTED_VALUE"""),"Patchararujirathchot")</f>
        <v>Patchararujirathchot</v>
      </c>
      <c r="G106" t="str">
        <f>IFERROR(__xludf.DUMMYFUNCTION("""COMPUTED_VALUE"""),"Patsita Patchararujirathchot")</f>
        <v>Patsita Patchararujirathchot</v>
      </c>
    </row>
    <row r="108">
      <c r="A108" s="142">
        <f>IFERROR(__xludf.DUMMYFUNCTION("""COMPUTED_VALUE"""),25.0)</f>
        <v>25</v>
      </c>
      <c r="B108" t="str">
        <f>IFERROR(__xludf.DUMMYFUNCTION("""COMPUTED_VALUE"""),"TAA1567")</f>
        <v>TAA1567</v>
      </c>
      <c r="C108">
        <f>IFERROR(__xludf.DUMMYFUNCTION("""COMPUTED_VALUE"""),1001236.0)</f>
        <v>1001236</v>
      </c>
      <c r="D108" t="str">
        <f>IFERROR(__xludf.DUMMYFUNCTION("""COMPUTED_VALUE"""),"Ms.")</f>
        <v>Ms.</v>
      </c>
      <c r="E108" t="str">
        <f>IFERROR(__xludf.DUMMYFUNCTION("""COMPUTED_VALUE"""),"Tananchakorn (Wassamon)")</f>
        <v>Tananchakorn (Wassamon)</v>
      </c>
      <c r="F108" t="str">
        <f>IFERROR(__xludf.DUMMYFUNCTION("""COMPUTED_VALUE"""),"Nonthapak")</f>
        <v>Nonthapak</v>
      </c>
      <c r="G108" t="str">
        <f>IFERROR(__xludf.DUMMYFUNCTION("""COMPUTED_VALUE"""),"Tananchakorn Nonthapak")</f>
        <v>Tananchakorn Nonthapak</v>
      </c>
    </row>
    <row r="109">
      <c r="A109" s="142">
        <f>IFERROR(__xludf.DUMMYFUNCTION("""COMPUTED_VALUE"""),25.0)</f>
        <v>25</v>
      </c>
      <c r="B109" t="str">
        <f>IFERROR(__xludf.DUMMYFUNCTION("""COMPUTED_VALUE"""),"TAA1564")</f>
        <v>TAA1564</v>
      </c>
      <c r="C109">
        <f>IFERROR(__xludf.DUMMYFUNCTION("""COMPUTED_VALUE"""),1001237.0)</f>
        <v>1001237</v>
      </c>
      <c r="D109" t="str">
        <f>IFERROR(__xludf.DUMMYFUNCTION("""COMPUTED_VALUE"""),"Mr.")</f>
        <v>Mr.</v>
      </c>
      <c r="E109" t="str">
        <f>IFERROR(__xludf.DUMMYFUNCTION("""COMPUTED_VALUE"""),"Thanawat")</f>
        <v>Thanawat</v>
      </c>
      <c r="F109" t="str">
        <f>IFERROR(__xludf.DUMMYFUNCTION("""COMPUTED_VALUE"""),"Srisurasub")</f>
        <v>Srisurasub</v>
      </c>
      <c r="G109" t="str">
        <f>IFERROR(__xludf.DUMMYFUNCTION("""COMPUTED_VALUE"""),"Thanawat Srisurasub")</f>
        <v>Thanawat Srisurasub</v>
      </c>
    </row>
    <row r="110">
      <c r="A110" s="142">
        <f>IFERROR(__xludf.DUMMYFUNCTION("""COMPUTED_VALUE"""),25.0)</f>
        <v>25</v>
      </c>
      <c r="B110" t="str">
        <f>IFERROR(__xludf.DUMMYFUNCTION("""COMPUTED_VALUE"""),"TAA2258")</f>
        <v>TAA2258</v>
      </c>
      <c r="C110">
        <f>IFERROR(__xludf.DUMMYFUNCTION("""COMPUTED_VALUE"""),1002980.0)</f>
        <v>1002980</v>
      </c>
      <c r="D110" t="str">
        <f>IFERROR(__xludf.DUMMYFUNCTION("""COMPUTED_VALUE"""),"Ms.")</f>
        <v>Ms.</v>
      </c>
      <c r="E110" t="str">
        <f>IFERROR(__xludf.DUMMYFUNCTION("""COMPUTED_VALUE"""),"Boontharig")</f>
        <v>Boontharig</v>
      </c>
      <c r="F110" t="str">
        <f>IFERROR(__xludf.DUMMYFUNCTION("""COMPUTED_VALUE"""),"Krairiksh")</f>
        <v>Krairiksh</v>
      </c>
      <c r="G110" t="str">
        <f>IFERROR(__xludf.DUMMYFUNCTION("""COMPUTED_VALUE"""),"Boontharig Krairiksh")</f>
        <v>Boontharig Krairiksh</v>
      </c>
    </row>
    <row r="111">
      <c r="A111" s="142">
        <f>IFERROR(__xludf.DUMMYFUNCTION("""COMPUTED_VALUE"""),25.0)</f>
        <v>25</v>
      </c>
      <c r="B111" t="str">
        <f>IFERROR(__xludf.DUMMYFUNCTION("""COMPUTED_VALUE"""),"TAA2256")</f>
        <v>TAA2256</v>
      </c>
      <c r="C111">
        <f>IFERROR(__xludf.DUMMYFUNCTION("""COMPUTED_VALUE"""),1002984.0)</f>
        <v>1002984</v>
      </c>
      <c r="D111" t="str">
        <f>IFERROR(__xludf.DUMMYFUNCTION("""COMPUTED_VALUE"""),"Ms.")</f>
        <v>Ms.</v>
      </c>
      <c r="E111" t="str">
        <f>IFERROR(__xludf.DUMMYFUNCTION("""COMPUTED_VALUE"""),"Praepailin")</f>
        <v>Praepailin</v>
      </c>
      <c r="F111" t="str">
        <f>IFERROR(__xludf.DUMMYFUNCTION("""COMPUTED_VALUE"""),"Luckanatin")</f>
        <v>Luckanatin</v>
      </c>
      <c r="G111" t="str">
        <f>IFERROR(__xludf.DUMMYFUNCTION("""COMPUTED_VALUE"""),"Praepailin Luckanatin")</f>
        <v>Praepailin Luckanatin</v>
      </c>
    </row>
    <row r="112">
      <c r="A112" s="142">
        <f>IFERROR(__xludf.DUMMYFUNCTION("""COMPUTED_VALUE"""),25.0)</f>
        <v>25</v>
      </c>
      <c r="B112" t="str">
        <f>IFERROR(__xludf.DUMMYFUNCTION("""COMPUTED_VALUE"""),"TAA2262")</f>
        <v>TAA2262</v>
      </c>
      <c r="C112">
        <f>IFERROR(__xludf.DUMMYFUNCTION("""COMPUTED_VALUE"""),1002986.0)</f>
        <v>1002986</v>
      </c>
      <c r="D112" t="str">
        <f>IFERROR(__xludf.DUMMYFUNCTION("""COMPUTED_VALUE"""),"Ms.")</f>
        <v>Ms.</v>
      </c>
      <c r="E112" t="str">
        <f>IFERROR(__xludf.DUMMYFUNCTION("""COMPUTED_VALUE"""),"Sirikhwan")</f>
        <v>Sirikhwan</v>
      </c>
      <c r="F112" t="str">
        <f>IFERROR(__xludf.DUMMYFUNCTION("""COMPUTED_VALUE"""),"Siringoen")</f>
        <v>Siringoen</v>
      </c>
      <c r="G112" t="str">
        <f>IFERROR(__xludf.DUMMYFUNCTION("""COMPUTED_VALUE"""),"Sirikhwan Siringoen")</f>
        <v>Sirikhwan Siringoen</v>
      </c>
    </row>
    <row r="113">
      <c r="A113" s="142">
        <f>IFERROR(__xludf.DUMMYFUNCTION("""COMPUTED_VALUE"""),25.0)</f>
        <v>25</v>
      </c>
      <c r="B113" t="str">
        <f>IFERROR(__xludf.DUMMYFUNCTION("""COMPUTED_VALUE"""),"TAA2263")</f>
        <v>TAA2263</v>
      </c>
      <c r="C113">
        <f>IFERROR(__xludf.DUMMYFUNCTION("""COMPUTED_VALUE"""),1002987.0)</f>
        <v>1002987</v>
      </c>
      <c r="D113" t="str">
        <f>IFERROR(__xludf.DUMMYFUNCTION("""COMPUTED_VALUE"""),"Mr.")</f>
        <v>Mr.</v>
      </c>
      <c r="E113" t="str">
        <f>IFERROR(__xludf.DUMMYFUNCTION("""COMPUTED_VALUE"""),"Thanet")</f>
        <v>Thanet</v>
      </c>
      <c r="F113" t="str">
        <f>IFERROR(__xludf.DUMMYFUNCTION("""COMPUTED_VALUE"""),"Ardhan")</f>
        <v>Ardhan</v>
      </c>
      <c r="G113" t="str">
        <f>IFERROR(__xludf.DUMMYFUNCTION("""COMPUTED_VALUE"""),"Thanet Ardhan")</f>
        <v>Thanet Ardhan</v>
      </c>
    </row>
    <row r="115">
      <c r="A115" s="142">
        <f>IFERROR(__xludf.DUMMYFUNCTION("""COMPUTED_VALUE"""),26.0)</f>
        <v>26</v>
      </c>
      <c r="B115" t="str">
        <f>IFERROR(__xludf.DUMMYFUNCTION("""COMPUTED_VALUE"""),"TAA2289")</f>
        <v>TAA2289</v>
      </c>
      <c r="C115">
        <f>IFERROR(__xludf.DUMMYFUNCTION("""COMPUTED_VALUE"""),1003047.0)</f>
        <v>1003047</v>
      </c>
      <c r="D115" t="str">
        <f>IFERROR(__xludf.DUMMYFUNCTION("""COMPUTED_VALUE"""),"Ms.")</f>
        <v>Ms.</v>
      </c>
      <c r="E115" t="str">
        <f>IFERROR(__xludf.DUMMYFUNCTION("""COMPUTED_VALUE"""),"Mananpat (Alisa)")</f>
        <v>Mananpat (Alisa)</v>
      </c>
      <c r="F115" t="str">
        <f>IFERROR(__xludf.DUMMYFUNCTION("""COMPUTED_VALUE"""),"Dechanoppawit (Phiewkhao)")</f>
        <v>Dechanoppawit (Phiewkhao)</v>
      </c>
      <c r="G115" t="str">
        <f>IFERROR(__xludf.DUMMYFUNCTION("""COMPUTED_VALUE"""),"Mananpat Dechanoppawit")</f>
        <v>Mananpat Dechanoppawit</v>
      </c>
    </row>
    <row r="116">
      <c r="A116" s="142">
        <f>IFERROR(__xludf.DUMMYFUNCTION("""COMPUTED_VALUE"""),26.0)</f>
        <v>26</v>
      </c>
      <c r="B116" t="str">
        <f>IFERROR(__xludf.DUMMYFUNCTION("""COMPUTED_VALUE"""),"TAA2288")</f>
        <v>TAA2288</v>
      </c>
      <c r="C116">
        <f>IFERROR(__xludf.DUMMYFUNCTION("""COMPUTED_VALUE"""),1003054.0)</f>
        <v>1003054</v>
      </c>
      <c r="D116" t="str">
        <f>IFERROR(__xludf.DUMMYFUNCTION("""COMPUTED_VALUE"""),"Ms.")</f>
        <v>Ms.</v>
      </c>
      <c r="E116" t="str">
        <f>IFERROR(__xludf.DUMMYFUNCTION("""COMPUTED_VALUE"""),"Oraphin")</f>
        <v>Oraphin</v>
      </c>
      <c r="F116" t="str">
        <f>IFERROR(__xludf.DUMMYFUNCTION("""COMPUTED_VALUE"""),"Suwongjit")</f>
        <v>Suwongjit</v>
      </c>
      <c r="G116" t="str">
        <f>IFERROR(__xludf.DUMMYFUNCTION("""COMPUTED_VALUE"""),"Oraphin Suwongjit")</f>
        <v>Oraphin Suwongjit</v>
      </c>
    </row>
    <row r="117">
      <c r="A117" s="142">
        <f>IFERROR(__xludf.DUMMYFUNCTION("""COMPUTED_VALUE"""),26.0)</f>
        <v>26</v>
      </c>
      <c r="B117" t="str">
        <f>IFERROR(__xludf.DUMMYFUNCTION("""COMPUTED_VALUE"""),"TAA2296")</f>
        <v>TAA2296</v>
      </c>
      <c r="C117">
        <f>IFERROR(__xludf.DUMMYFUNCTION("""COMPUTED_VALUE"""),1003055.0)</f>
        <v>1003055</v>
      </c>
      <c r="D117" t="str">
        <f>IFERROR(__xludf.DUMMYFUNCTION("""COMPUTED_VALUE"""),"Mr.")</f>
        <v>Mr.</v>
      </c>
      <c r="E117" t="str">
        <f>IFERROR(__xludf.DUMMYFUNCTION("""COMPUTED_VALUE"""),"Pachara")</f>
        <v>Pachara</v>
      </c>
      <c r="F117" t="str">
        <f>IFERROR(__xludf.DUMMYFUNCTION("""COMPUTED_VALUE"""),"Nonthapak")</f>
        <v>Nonthapak</v>
      </c>
      <c r="G117" t="str">
        <f>IFERROR(__xludf.DUMMYFUNCTION("""COMPUTED_VALUE"""),"Pachara Nonthapak")</f>
        <v>Pachara Nonthapak</v>
      </c>
    </row>
    <row r="119">
      <c r="A119" s="142">
        <f>IFERROR(__xludf.DUMMYFUNCTION("""COMPUTED_VALUE"""),27.0)</f>
        <v>27</v>
      </c>
      <c r="B119" t="str">
        <f>IFERROR(__xludf.DUMMYFUNCTION("""COMPUTED_VALUE"""),"TAA2342")</f>
        <v>TAA2342</v>
      </c>
      <c r="C119">
        <f>IFERROR(__xludf.DUMMYFUNCTION("""COMPUTED_VALUE"""),1003217.0)</f>
        <v>1003217</v>
      </c>
      <c r="D119" t="str">
        <f>IFERROR(__xludf.DUMMYFUNCTION("""COMPUTED_VALUE"""),"Mr.")</f>
        <v>Mr.</v>
      </c>
      <c r="E119" t="str">
        <f>IFERROR(__xludf.DUMMYFUNCTION("""COMPUTED_VALUE"""),"Athitkorn (Anucha)")</f>
        <v>Athitkorn (Anucha)</v>
      </c>
      <c r="F119" t="str">
        <f>IFERROR(__xludf.DUMMYFUNCTION("""COMPUTED_VALUE"""),"Pattaranonsawat  (Sansawat)")</f>
        <v>Pattaranonsawat  (Sansawat)</v>
      </c>
      <c r="G119" t="str">
        <f>IFERROR(__xludf.DUMMYFUNCTION("""COMPUTED_VALUE"""),"Athitkorn Pattaranonsawat")</f>
        <v>Athitkorn Pattaranonsawat</v>
      </c>
    </row>
    <row r="120">
      <c r="A120" s="142">
        <f>IFERROR(__xludf.DUMMYFUNCTION("""COMPUTED_VALUE"""),27.0)</f>
        <v>27</v>
      </c>
      <c r="B120" t="str">
        <f>IFERROR(__xludf.DUMMYFUNCTION("""COMPUTED_VALUE"""),"TAA2344")</f>
        <v>TAA2344</v>
      </c>
      <c r="C120">
        <f>IFERROR(__xludf.DUMMYFUNCTION("""COMPUTED_VALUE"""),1003220.0)</f>
        <v>1003220</v>
      </c>
      <c r="D120" t="str">
        <f>IFERROR(__xludf.DUMMYFUNCTION("""COMPUTED_VALUE"""),"Ms.")</f>
        <v>Ms.</v>
      </c>
      <c r="E120" t="str">
        <f>IFERROR(__xludf.DUMMYFUNCTION("""COMPUTED_VALUE"""),"Pathita")</f>
        <v>Pathita</v>
      </c>
      <c r="F120" t="str">
        <f>IFERROR(__xludf.DUMMYFUNCTION("""COMPUTED_VALUE"""),"Leepeeravitit")</f>
        <v>Leepeeravitit</v>
      </c>
      <c r="G120" t="str">
        <f>IFERROR(__xludf.DUMMYFUNCTION("""COMPUTED_VALUE"""),"Pathita Leepeeravitit")</f>
        <v>Pathita Leepeeravitit</v>
      </c>
    </row>
    <row r="121">
      <c r="A121" s="142">
        <f>IFERROR(__xludf.DUMMYFUNCTION("""COMPUTED_VALUE"""),27.0)</f>
        <v>27</v>
      </c>
      <c r="B121" t="str">
        <f>IFERROR(__xludf.DUMMYFUNCTION("""COMPUTED_VALUE"""),"TAA2340")</f>
        <v>TAA2340</v>
      </c>
      <c r="C121">
        <f>IFERROR(__xludf.DUMMYFUNCTION("""COMPUTED_VALUE"""),1003222.0)</f>
        <v>1003222</v>
      </c>
      <c r="D121" t="str">
        <f>IFERROR(__xludf.DUMMYFUNCTION("""COMPUTED_VALUE"""),"Ms.")</f>
        <v>Ms.</v>
      </c>
      <c r="E121" t="str">
        <f>IFERROR(__xludf.DUMMYFUNCTION("""COMPUTED_VALUE"""),"Ploy")</f>
        <v>Ploy</v>
      </c>
      <c r="F121" t="str">
        <f>IFERROR(__xludf.DUMMYFUNCTION("""COMPUTED_VALUE"""),"Tassanatarn")</f>
        <v>Tassanatarn</v>
      </c>
      <c r="G121" t="str">
        <f>IFERROR(__xludf.DUMMYFUNCTION("""COMPUTED_VALUE"""),"Ploy Tassanatarn")</f>
        <v>Ploy Tassanatarn</v>
      </c>
    </row>
    <row r="122">
      <c r="A122" s="142">
        <f>IFERROR(__xludf.DUMMYFUNCTION("""COMPUTED_VALUE"""),27.0)</f>
        <v>27</v>
      </c>
      <c r="B122" t="str">
        <f>IFERROR(__xludf.DUMMYFUNCTION("""COMPUTED_VALUE"""),"TAA2350")</f>
        <v>TAA2350</v>
      </c>
      <c r="C122">
        <f>IFERROR(__xludf.DUMMYFUNCTION("""COMPUTED_VALUE"""),1003224.0)</f>
        <v>1003224</v>
      </c>
      <c r="D122" t="str">
        <f>IFERROR(__xludf.DUMMYFUNCTION("""COMPUTED_VALUE"""),"Ms.")</f>
        <v>Ms.</v>
      </c>
      <c r="E122" t="str">
        <f>IFERROR(__xludf.DUMMYFUNCTION("""COMPUTED_VALUE"""),"Torpad")</f>
        <v>Torpad</v>
      </c>
      <c r="F122" t="str">
        <f>IFERROR(__xludf.DUMMYFUNCTION("""COMPUTED_VALUE"""),"Jansirigul")</f>
        <v>Jansirigul</v>
      </c>
      <c r="G122" t="str">
        <f>IFERROR(__xludf.DUMMYFUNCTION("""COMPUTED_VALUE"""),"Torpad Jansirigul")</f>
        <v>Torpad Jansirigul</v>
      </c>
    </row>
    <row r="124">
      <c r="A124" s="142">
        <f>IFERROR(__xludf.DUMMYFUNCTION("""COMPUTED_VALUE"""),28.0)</f>
        <v>28</v>
      </c>
      <c r="B124" t="str">
        <f>IFERROR(__xludf.DUMMYFUNCTION("""COMPUTED_VALUE"""),"TAA0231")</f>
        <v>TAA0231</v>
      </c>
      <c r="C124">
        <f>IFERROR(__xludf.DUMMYFUNCTION("""COMPUTED_VALUE"""),1000341.0)</f>
        <v>1000341</v>
      </c>
      <c r="D124" t="str">
        <f>IFERROR(__xludf.DUMMYFUNCTION("""COMPUTED_VALUE"""),"Ms.")</f>
        <v>Ms.</v>
      </c>
      <c r="E124" t="str">
        <f>IFERROR(__xludf.DUMMYFUNCTION("""COMPUTED_VALUE"""),"Nawatthaphorn(Tananant) (Kamonchanok)")</f>
        <v>Nawatthaphorn(Tananant) (Kamonchanok)</v>
      </c>
      <c r="F124" t="str">
        <f>IFERROR(__xludf.DUMMYFUNCTION("""COMPUTED_VALUE"""),"Meechai(Juntarachota)")</f>
        <v>Meechai(Juntarachota)</v>
      </c>
      <c r="G124" t="str">
        <f>IFERROR(__xludf.DUMMYFUNCTION("""COMPUTED_VALUE"""),"Nawatthaphorn Meechai")</f>
        <v>Nawatthaphorn Meechai</v>
      </c>
    </row>
    <row r="125">
      <c r="A125" s="142">
        <f>IFERROR(__xludf.DUMMYFUNCTION("""COMPUTED_VALUE"""),28.0)</f>
        <v>28</v>
      </c>
      <c r="B125" t="str">
        <f>IFERROR(__xludf.DUMMYFUNCTION("""COMPUTED_VALUE"""),"TAA1780")</f>
        <v>TAA1780</v>
      </c>
      <c r="C125">
        <f>IFERROR(__xludf.DUMMYFUNCTION("""COMPUTED_VALUE"""),1001054.0)</f>
        <v>1001054</v>
      </c>
      <c r="D125" t="str">
        <f>IFERROR(__xludf.DUMMYFUNCTION("""COMPUTED_VALUE"""),"Ms.")</f>
        <v>Ms.</v>
      </c>
      <c r="E125" t="str">
        <f>IFERROR(__xludf.DUMMYFUNCTION("""COMPUTED_VALUE"""),"Wipa")</f>
        <v>Wipa</v>
      </c>
      <c r="F125" t="str">
        <f>IFERROR(__xludf.DUMMYFUNCTION("""COMPUTED_VALUE"""),"Totsaporn")</f>
        <v>Totsaporn</v>
      </c>
      <c r="G125" t="str">
        <f>IFERROR(__xludf.DUMMYFUNCTION("""COMPUTED_VALUE"""),"Wipa Totsaporn")</f>
        <v>Wipa Totsaporn</v>
      </c>
    </row>
    <row r="126">
      <c r="A126" s="142">
        <f>IFERROR(__xludf.DUMMYFUNCTION("""COMPUTED_VALUE"""),28.0)</f>
        <v>28</v>
      </c>
      <c r="B126" t="str">
        <f>IFERROR(__xludf.DUMMYFUNCTION("""COMPUTED_VALUE"""),"TAA1949")</f>
        <v>TAA1949</v>
      </c>
      <c r="C126">
        <f>IFERROR(__xludf.DUMMYFUNCTION("""COMPUTED_VALUE"""),1001934.0)</f>
        <v>1001934</v>
      </c>
      <c r="D126" t="str">
        <f>IFERROR(__xludf.DUMMYFUNCTION("""COMPUTED_VALUE"""),"Mr.")</f>
        <v>Mr.</v>
      </c>
      <c r="E126" t="str">
        <f>IFERROR(__xludf.DUMMYFUNCTION("""COMPUTED_VALUE"""),"Komet")</f>
        <v>Komet</v>
      </c>
      <c r="F126" t="str">
        <f>IFERROR(__xludf.DUMMYFUNCTION("""COMPUTED_VALUE"""),"Prasankan")</f>
        <v>Prasankan</v>
      </c>
      <c r="G126" t="str">
        <f>IFERROR(__xludf.DUMMYFUNCTION("""COMPUTED_VALUE"""),"Komet Prasankan")</f>
        <v>Komet Prasankan</v>
      </c>
    </row>
    <row r="127">
      <c r="A127" s="142">
        <f>IFERROR(__xludf.DUMMYFUNCTION("""COMPUTED_VALUE"""),28.0)</f>
        <v>28</v>
      </c>
      <c r="B127" t="str">
        <f>IFERROR(__xludf.DUMMYFUNCTION("""COMPUTED_VALUE"""),"TAA1993")</f>
        <v>TAA1993</v>
      </c>
      <c r="C127">
        <f>IFERROR(__xludf.DUMMYFUNCTION("""COMPUTED_VALUE"""),1002118.0)</f>
        <v>1002118</v>
      </c>
      <c r="D127" t="str">
        <f>IFERROR(__xludf.DUMMYFUNCTION("""COMPUTED_VALUE"""),"Ms.")</f>
        <v>Ms.</v>
      </c>
      <c r="E127" t="str">
        <f>IFERROR(__xludf.DUMMYFUNCTION("""COMPUTED_VALUE"""),"Sasimon")</f>
        <v>Sasimon</v>
      </c>
      <c r="F127" t="str">
        <f>IFERROR(__xludf.DUMMYFUNCTION("""COMPUTED_VALUE"""),"Jearapan")</f>
        <v>Jearapan</v>
      </c>
      <c r="G127" t="str">
        <f>IFERROR(__xludf.DUMMYFUNCTION("""COMPUTED_VALUE"""),"Sasimon Jearapan")</f>
        <v>Sasimon Jearapan</v>
      </c>
    </row>
    <row r="128">
      <c r="A128" s="142">
        <f>IFERROR(__xludf.DUMMYFUNCTION("""COMPUTED_VALUE"""),28.0)</f>
        <v>28</v>
      </c>
      <c r="B128" t="str">
        <f>IFERROR(__xludf.DUMMYFUNCTION("""COMPUTED_VALUE"""),"TAA2014")</f>
        <v>TAA2014</v>
      </c>
      <c r="C128">
        <f>IFERROR(__xludf.DUMMYFUNCTION("""COMPUTED_VALUE"""),1002119.0)</f>
        <v>1002119</v>
      </c>
      <c r="D128" t="str">
        <f>IFERROR(__xludf.DUMMYFUNCTION("""COMPUTED_VALUE"""),"Ms.")</f>
        <v>Ms.</v>
      </c>
      <c r="E128" t="str">
        <f>IFERROR(__xludf.DUMMYFUNCTION("""COMPUTED_VALUE"""),"Phoonkuan")</f>
        <v>Phoonkuan</v>
      </c>
      <c r="F128" t="str">
        <f>IFERROR(__xludf.DUMMYFUNCTION("""COMPUTED_VALUE"""),"Kumkeaw")</f>
        <v>Kumkeaw</v>
      </c>
      <c r="G128" t="str">
        <f>IFERROR(__xludf.DUMMYFUNCTION("""COMPUTED_VALUE"""),"Phoonkuan Kumkeaw")</f>
        <v>Phoonkuan Kumkeaw</v>
      </c>
    </row>
    <row r="129">
      <c r="A129" s="142">
        <f>IFERROR(__xludf.DUMMYFUNCTION("""COMPUTED_VALUE"""),28.0)</f>
        <v>28</v>
      </c>
      <c r="B129" t="str">
        <f>IFERROR(__xludf.DUMMYFUNCTION("""COMPUTED_VALUE"""),"TAA2061")</f>
        <v>TAA2061</v>
      </c>
      <c r="C129">
        <f>IFERROR(__xludf.DUMMYFUNCTION("""COMPUTED_VALUE"""),1002202.0)</f>
        <v>1002202</v>
      </c>
      <c r="D129" t="str">
        <f>IFERROR(__xludf.DUMMYFUNCTION("""COMPUTED_VALUE"""),"Ms.")</f>
        <v>Ms.</v>
      </c>
      <c r="E129" t="str">
        <f>IFERROR(__xludf.DUMMYFUNCTION("""COMPUTED_VALUE"""),"Nithipkan (Kanokan)")</f>
        <v>Nithipkan (Kanokan)</v>
      </c>
      <c r="F129" t="str">
        <f>IFERROR(__xludf.DUMMYFUNCTION("""COMPUTED_VALUE"""),"Damrongpongkhajorn (Nopparat)")</f>
        <v>Damrongpongkhajorn (Nopparat)</v>
      </c>
      <c r="G129" t="str">
        <f>IFERROR(__xludf.DUMMYFUNCTION("""COMPUTED_VALUE"""),"Nithipkan Damrongpongkhajorn")</f>
        <v>Nithipkan Damrongpongkhajorn</v>
      </c>
    </row>
    <row r="130">
      <c r="A130" s="142">
        <f>IFERROR(__xludf.DUMMYFUNCTION("""COMPUTED_VALUE"""),28.0)</f>
        <v>28</v>
      </c>
      <c r="B130" t="str">
        <f>IFERROR(__xludf.DUMMYFUNCTION("""COMPUTED_VALUE"""),"TAA2394")</f>
        <v>TAA2394</v>
      </c>
      <c r="C130">
        <f>IFERROR(__xludf.DUMMYFUNCTION("""COMPUTED_VALUE"""),1003365.0)</f>
        <v>1003365</v>
      </c>
      <c r="D130" t="str">
        <f>IFERROR(__xludf.DUMMYFUNCTION("""COMPUTED_VALUE"""),"Ms.")</f>
        <v>Ms.</v>
      </c>
      <c r="E130" t="str">
        <f>IFERROR(__xludf.DUMMYFUNCTION("""COMPUTED_VALUE"""),"Napatchol")</f>
        <v>Napatchol</v>
      </c>
      <c r="F130" t="str">
        <f>IFERROR(__xludf.DUMMYFUNCTION("""COMPUTED_VALUE"""),"Wongwuttito")</f>
        <v>Wongwuttito</v>
      </c>
      <c r="G130" t="str">
        <f>IFERROR(__xludf.DUMMYFUNCTION("""COMPUTED_VALUE"""),"Napatchol Wongwuttito")</f>
        <v>Napatchol Wongwuttito</v>
      </c>
    </row>
    <row r="131">
      <c r="A131" s="142">
        <f>IFERROR(__xludf.DUMMYFUNCTION("""COMPUTED_VALUE"""),28.0)</f>
        <v>28</v>
      </c>
      <c r="B131" t="str">
        <f>IFERROR(__xludf.DUMMYFUNCTION("""COMPUTED_VALUE"""),"TAA2403")</f>
        <v>TAA2403</v>
      </c>
      <c r="C131">
        <f>IFERROR(__xludf.DUMMYFUNCTION("""COMPUTED_VALUE"""),1003368.0)</f>
        <v>1003368</v>
      </c>
      <c r="D131" t="str">
        <f>IFERROR(__xludf.DUMMYFUNCTION("""COMPUTED_VALUE"""),"Ms.")</f>
        <v>Ms.</v>
      </c>
      <c r="E131" t="str">
        <f>IFERROR(__xludf.DUMMYFUNCTION("""COMPUTED_VALUE"""),"Woradaluck (Praewvarisa)")</f>
        <v>Woradaluck (Praewvarisa)</v>
      </c>
      <c r="F131" t="str">
        <f>IFERROR(__xludf.DUMMYFUNCTION("""COMPUTED_VALUE"""),"Lerdthanapaijit (Naiphongsri)")</f>
        <v>Lerdthanapaijit (Naiphongsri)</v>
      </c>
      <c r="G131" t="str">
        <f>IFERROR(__xludf.DUMMYFUNCTION("""COMPUTED_VALUE"""),"Woradaluck Lerdthanapaijit")</f>
        <v>Woradaluck Lerdthanapaijit</v>
      </c>
    </row>
    <row r="132">
      <c r="A132" s="142">
        <f>IFERROR(__xludf.DUMMYFUNCTION("""COMPUTED_VALUE"""),28.0)</f>
        <v>28</v>
      </c>
      <c r="B132" t="str">
        <f>IFERROR(__xludf.DUMMYFUNCTION("""COMPUTED_VALUE"""),"TAA2393")</f>
        <v>TAA2393</v>
      </c>
      <c r="C132">
        <f>IFERROR(__xludf.DUMMYFUNCTION("""COMPUTED_VALUE"""),1003369.0)</f>
        <v>1003369</v>
      </c>
      <c r="D132" t="str">
        <f>IFERROR(__xludf.DUMMYFUNCTION("""COMPUTED_VALUE"""),"Mr.")</f>
        <v>Mr.</v>
      </c>
      <c r="E132" t="str">
        <f>IFERROR(__xludf.DUMMYFUNCTION("""COMPUTED_VALUE"""),"Siwakorn")</f>
        <v>Siwakorn</v>
      </c>
      <c r="F132" t="str">
        <f>IFERROR(__xludf.DUMMYFUNCTION("""COMPUTED_VALUE"""),"Champasri")</f>
        <v>Champasri</v>
      </c>
      <c r="G132" t="str">
        <f>IFERROR(__xludf.DUMMYFUNCTION("""COMPUTED_VALUE"""),"Siwakorn Champasri")</f>
        <v>Siwakorn Champasri</v>
      </c>
    </row>
    <row r="134">
      <c r="A134" s="142">
        <f>IFERROR(__xludf.DUMMYFUNCTION("""COMPUTED_VALUE"""),29.0)</f>
        <v>29</v>
      </c>
      <c r="B134" t="str">
        <f>IFERROR(__xludf.DUMMYFUNCTION("""COMPUTED_VALUE"""),"TAA2422")</f>
        <v>TAA2422</v>
      </c>
      <c r="C134">
        <f>IFERROR(__xludf.DUMMYFUNCTION("""COMPUTED_VALUE"""),1003383.0)</f>
        <v>1003383</v>
      </c>
      <c r="D134" t="str">
        <f>IFERROR(__xludf.DUMMYFUNCTION("""COMPUTED_VALUE"""),"Ms.")</f>
        <v>Ms.</v>
      </c>
      <c r="E134" t="str">
        <f>IFERROR(__xludf.DUMMYFUNCTION("""COMPUTED_VALUE"""),"Amphika")</f>
        <v>Amphika</v>
      </c>
      <c r="F134" t="str">
        <f>IFERROR(__xludf.DUMMYFUNCTION("""COMPUTED_VALUE"""),"Sirawanadorn")</f>
        <v>Sirawanadorn</v>
      </c>
      <c r="G134" t="str">
        <f>IFERROR(__xludf.DUMMYFUNCTION("""COMPUTED_VALUE"""),"Amphika Sirawanadorn")</f>
        <v>Amphika Sirawanadorn</v>
      </c>
    </row>
    <row r="135">
      <c r="A135" s="142">
        <f>IFERROR(__xludf.DUMMYFUNCTION("""COMPUTED_VALUE"""),29.0)</f>
        <v>29</v>
      </c>
      <c r="B135" t="str">
        <f>IFERROR(__xludf.DUMMYFUNCTION("""COMPUTED_VALUE"""),"TAA2428")</f>
        <v>TAA2428</v>
      </c>
      <c r="C135">
        <f>IFERROR(__xludf.DUMMYFUNCTION("""COMPUTED_VALUE"""),1003384.0)</f>
        <v>1003384</v>
      </c>
      <c r="D135" t="str">
        <f>IFERROR(__xludf.DUMMYFUNCTION("""COMPUTED_VALUE"""),"Ms.")</f>
        <v>Ms.</v>
      </c>
      <c r="E135" t="str">
        <f>IFERROR(__xludf.DUMMYFUNCTION("""COMPUTED_VALUE"""),"Chatchaya (Pimmpatthra)")</f>
        <v>Chatchaya (Pimmpatthra)</v>
      </c>
      <c r="F135" t="str">
        <f>IFERROR(__xludf.DUMMYFUNCTION("""COMPUTED_VALUE"""),"Bhoocharyarth(Rattanarangsri)")</f>
        <v>Bhoocharyarth(Rattanarangsri)</v>
      </c>
      <c r="G135" t="str">
        <f>IFERROR(__xludf.DUMMYFUNCTION("""COMPUTED_VALUE"""),"Chatchaya Bhoocharyarth")</f>
        <v>Chatchaya Bhoocharyarth</v>
      </c>
    </row>
    <row r="136">
      <c r="A136" s="142">
        <f>IFERROR(__xludf.DUMMYFUNCTION("""COMPUTED_VALUE"""),29.0)</f>
        <v>29</v>
      </c>
      <c r="B136" t="str">
        <f>IFERROR(__xludf.DUMMYFUNCTION("""COMPUTED_VALUE"""),"TAA2426")</f>
        <v>TAA2426</v>
      </c>
      <c r="C136">
        <f>IFERROR(__xludf.DUMMYFUNCTION("""COMPUTED_VALUE"""),1003385.0)</f>
        <v>1003385</v>
      </c>
      <c r="D136" t="str">
        <f>IFERROR(__xludf.DUMMYFUNCTION("""COMPUTED_VALUE"""),"Ms.")</f>
        <v>Ms.</v>
      </c>
      <c r="E136" t="str">
        <f>IFERROR(__xludf.DUMMYFUNCTION("""COMPUTED_VALUE"""),"Jaruma")</f>
        <v>Jaruma</v>
      </c>
      <c r="F136" t="str">
        <f>IFERROR(__xludf.DUMMYFUNCTION("""COMPUTED_VALUE"""),"Jantarapap")</f>
        <v>Jantarapap</v>
      </c>
      <c r="G136" t="str">
        <f>IFERROR(__xludf.DUMMYFUNCTION("""COMPUTED_VALUE"""),"Jaruma Jantarapap")</f>
        <v>Jaruma Jantarapap</v>
      </c>
    </row>
    <row r="137">
      <c r="A137" s="142">
        <f>IFERROR(__xludf.DUMMYFUNCTION("""COMPUTED_VALUE"""),29.0)</f>
        <v>29</v>
      </c>
      <c r="B137" t="str">
        <f>IFERROR(__xludf.DUMMYFUNCTION("""COMPUTED_VALUE"""),"TAA2423")</f>
        <v>TAA2423</v>
      </c>
      <c r="C137">
        <f>IFERROR(__xludf.DUMMYFUNCTION("""COMPUTED_VALUE"""),1003390.0)</f>
        <v>1003390</v>
      </c>
      <c r="D137" t="str">
        <f>IFERROR(__xludf.DUMMYFUNCTION("""COMPUTED_VALUE"""),"Ms.")</f>
        <v>Ms.</v>
      </c>
      <c r="E137" t="str">
        <f>IFERROR(__xludf.DUMMYFUNCTION("""COMPUTED_VALUE"""),"Pattaranit")</f>
        <v>Pattaranit</v>
      </c>
      <c r="F137" t="str">
        <f>IFERROR(__xludf.DUMMYFUNCTION("""COMPUTED_VALUE"""),"Trejareonwiwat")</f>
        <v>Trejareonwiwat</v>
      </c>
      <c r="G137" t="str">
        <f>IFERROR(__xludf.DUMMYFUNCTION("""COMPUTED_VALUE"""),"Pattaranit Trejareonwiwat")</f>
        <v>Pattaranit Trejareonwiwat</v>
      </c>
    </row>
    <row r="138">
      <c r="A138" s="142">
        <f>IFERROR(__xludf.DUMMYFUNCTION("""COMPUTED_VALUE"""),29.0)</f>
        <v>29</v>
      </c>
      <c r="B138" t="str">
        <f>IFERROR(__xludf.DUMMYFUNCTION("""COMPUTED_VALUE"""),"TAA2427")</f>
        <v>TAA2427</v>
      </c>
      <c r="C138">
        <f>IFERROR(__xludf.DUMMYFUNCTION("""COMPUTED_VALUE"""),1003392.0)</f>
        <v>1003392</v>
      </c>
      <c r="D138" t="str">
        <f>IFERROR(__xludf.DUMMYFUNCTION("""COMPUTED_VALUE"""),"Ms.")</f>
        <v>Ms.</v>
      </c>
      <c r="E138" t="str">
        <f>IFERROR(__xludf.DUMMYFUNCTION("""COMPUTED_VALUE"""),"Punnaphas (Amornret)")</f>
        <v>Punnaphas (Amornret)</v>
      </c>
      <c r="F138" t="str">
        <f>IFERROR(__xludf.DUMMYFUNCTION("""COMPUTED_VALUE"""),"Tawornpanmanee")</f>
        <v>Tawornpanmanee</v>
      </c>
      <c r="G138" t="str">
        <f>IFERROR(__xludf.DUMMYFUNCTION("""COMPUTED_VALUE"""),"Punnaphas Tawornpanmanee")</f>
        <v>Punnaphas Tawornpanmanee</v>
      </c>
    </row>
    <row r="139">
      <c r="A139" s="142">
        <f>IFERROR(__xludf.DUMMYFUNCTION("""COMPUTED_VALUE"""),29.0)</f>
        <v>29</v>
      </c>
      <c r="B139" t="str">
        <f>IFERROR(__xludf.DUMMYFUNCTION("""COMPUTED_VALUE"""),"TAA2399")</f>
        <v>TAA2399</v>
      </c>
      <c r="C139">
        <f>IFERROR(__xludf.DUMMYFUNCTION("""COMPUTED_VALUE"""),1003393.0)</f>
        <v>1003393</v>
      </c>
      <c r="D139" t="str">
        <f>IFERROR(__xludf.DUMMYFUNCTION("""COMPUTED_VALUE"""),"Ms.")</f>
        <v>Ms.</v>
      </c>
      <c r="E139" t="str">
        <f>IFERROR(__xludf.DUMMYFUNCTION("""COMPUTED_VALUE"""),"Rhodavalentine")</f>
        <v>Rhodavalentine</v>
      </c>
      <c r="F139" t="str">
        <f>IFERROR(__xludf.DUMMYFUNCTION("""COMPUTED_VALUE"""),"Tipayasoceniza")</f>
        <v>Tipayasoceniza</v>
      </c>
      <c r="G139" t="str">
        <f>IFERROR(__xludf.DUMMYFUNCTION("""COMPUTED_VALUE"""),"Rhodavalentine Tipayasoceniza")</f>
        <v>Rhodavalentine Tipayasoceniza</v>
      </c>
    </row>
    <row r="140">
      <c r="A140" s="142">
        <f>IFERROR(__xludf.DUMMYFUNCTION("""COMPUTED_VALUE"""),29.0)</f>
        <v>29</v>
      </c>
      <c r="B140" t="str">
        <f>IFERROR(__xludf.DUMMYFUNCTION("""COMPUTED_VALUE"""),"TAA2425")</f>
        <v>TAA2425</v>
      </c>
      <c r="C140">
        <f>IFERROR(__xludf.DUMMYFUNCTION("""COMPUTED_VALUE"""),1003397.0)</f>
        <v>1003397</v>
      </c>
      <c r="D140" t="str">
        <f>IFERROR(__xludf.DUMMYFUNCTION("""COMPUTED_VALUE"""),"Ms.")</f>
        <v>Ms.</v>
      </c>
      <c r="E140" t="str">
        <f>IFERROR(__xludf.DUMMYFUNCTION("""COMPUTED_VALUE"""),"Vallika")</f>
        <v>Vallika</v>
      </c>
      <c r="F140" t="str">
        <f>IFERROR(__xludf.DUMMYFUNCTION("""COMPUTED_VALUE"""),"Nichajaruspong")</f>
        <v>Nichajaruspong</v>
      </c>
      <c r="G140" t="str">
        <f>IFERROR(__xludf.DUMMYFUNCTION("""COMPUTED_VALUE"""),"Vallika Nichajaruspong")</f>
        <v>Vallika Nichajaruspong</v>
      </c>
    </row>
    <row r="141">
      <c r="A141" s="142">
        <f>IFERROR(__xludf.DUMMYFUNCTION("""COMPUTED_VALUE"""),29.0)</f>
        <v>29</v>
      </c>
      <c r="B141" t="str">
        <f>IFERROR(__xludf.DUMMYFUNCTION("""COMPUTED_VALUE"""),"TAA2388")</f>
        <v>TAA2388</v>
      </c>
      <c r="C141">
        <f>IFERROR(__xludf.DUMMYFUNCTION("""COMPUTED_VALUE"""),1003398.0)</f>
        <v>1003398</v>
      </c>
      <c r="D141" t="str">
        <f>IFERROR(__xludf.DUMMYFUNCTION("""COMPUTED_VALUE"""),"Ms.")</f>
        <v>Ms.</v>
      </c>
      <c r="E141" t="str">
        <f>IFERROR(__xludf.DUMMYFUNCTION("""COMPUTED_VALUE"""),"Netchaya (Varanthaya)")</f>
        <v>Netchaya (Varanthaya)</v>
      </c>
      <c r="F141" t="str">
        <f>IFERROR(__xludf.DUMMYFUNCTION("""COMPUTED_VALUE"""),"Namarsa")</f>
        <v>Namarsa</v>
      </c>
      <c r="G141" t="str">
        <f>IFERROR(__xludf.DUMMYFUNCTION("""COMPUTED_VALUE"""),"Netchaya Namarsa")</f>
        <v>Netchaya Namarsa</v>
      </c>
    </row>
    <row r="143">
      <c r="A143" s="142">
        <f>IFERROR(__xludf.DUMMYFUNCTION("""COMPUTED_VALUE"""),30.0)</f>
        <v>30</v>
      </c>
      <c r="B143" t="str">
        <f>IFERROR(__xludf.DUMMYFUNCTION("""COMPUTED_VALUE"""),"TAA0411")</f>
        <v>TAA0411</v>
      </c>
      <c r="C143">
        <f>IFERROR(__xludf.DUMMYFUNCTION("""COMPUTED_VALUE"""),1000451.0)</f>
        <v>1000451</v>
      </c>
      <c r="D143" t="str">
        <f>IFERROR(__xludf.DUMMYFUNCTION("""COMPUTED_VALUE"""),"Ms.")</f>
        <v>Ms.</v>
      </c>
      <c r="E143" t="str">
        <f>IFERROR(__xludf.DUMMYFUNCTION("""COMPUTED_VALUE"""),"Chutima")</f>
        <v>Chutima</v>
      </c>
      <c r="F143" t="str">
        <f>IFERROR(__xludf.DUMMYFUNCTION("""COMPUTED_VALUE"""),"Yuksen")</f>
        <v>Yuksen</v>
      </c>
      <c r="G143" t="str">
        <f>IFERROR(__xludf.DUMMYFUNCTION("""COMPUTED_VALUE"""),"Chutima Yuksen")</f>
        <v>Chutima Yuksen</v>
      </c>
    </row>
    <row r="144">
      <c r="A144" s="142">
        <f>IFERROR(__xludf.DUMMYFUNCTION("""COMPUTED_VALUE"""),30.0)</f>
        <v>30</v>
      </c>
      <c r="B144" t="str">
        <f>IFERROR(__xludf.DUMMYFUNCTION("""COMPUTED_VALUE"""),"TAA0716")</f>
        <v>TAA0716</v>
      </c>
      <c r="C144">
        <f>IFERROR(__xludf.DUMMYFUNCTION("""COMPUTED_VALUE"""),1000704.0)</f>
        <v>1000704</v>
      </c>
      <c r="D144" t="str">
        <f>IFERROR(__xludf.DUMMYFUNCTION("""COMPUTED_VALUE"""),"Ms.")</f>
        <v>Ms.</v>
      </c>
      <c r="E144" t="str">
        <f>IFERROR(__xludf.DUMMYFUNCTION("""COMPUTED_VALUE"""),"Wipawadee")</f>
        <v>Wipawadee</v>
      </c>
      <c r="F144" t="str">
        <f>IFERROR(__xludf.DUMMYFUNCTION("""COMPUTED_VALUE"""),"Karawattanaworrakul (Kunchol)")</f>
        <v>Karawattanaworrakul (Kunchol)</v>
      </c>
      <c r="G144" t="str">
        <f>IFERROR(__xludf.DUMMYFUNCTION("""COMPUTED_VALUE"""),"Wipawadee Karawattanaworrakul ")</f>
        <v>Wipawadee Karawattanaworrakul </v>
      </c>
    </row>
    <row r="146">
      <c r="A146" s="142">
        <f>IFERROR(__xludf.DUMMYFUNCTION("""COMPUTED_VALUE"""),31.0)</f>
        <v>31</v>
      </c>
      <c r="B146" t="str">
        <f>IFERROR(__xludf.DUMMYFUNCTION("""COMPUTED_VALUE"""),"TAA1905")</f>
        <v>TAA1905</v>
      </c>
      <c r="C146">
        <f>IFERROR(__xludf.DUMMYFUNCTION("""COMPUTED_VALUE"""),1001755.0)</f>
        <v>1001755</v>
      </c>
      <c r="D146" t="str">
        <f>IFERROR(__xludf.DUMMYFUNCTION("""COMPUTED_VALUE"""),"Ms.")</f>
        <v>Ms.</v>
      </c>
      <c r="E146" t="str">
        <f>IFERROR(__xludf.DUMMYFUNCTION("""COMPUTED_VALUE"""),"Chananpat (Sirirat)")</f>
        <v>Chananpat (Sirirat)</v>
      </c>
      <c r="F146" t="str">
        <f>IFERROR(__xludf.DUMMYFUNCTION("""COMPUTED_VALUE"""),"Sirivikornrat (Luemon)")</f>
        <v>Sirivikornrat (Luemon)</v>
      </c>
      <c r="G146" t="str">
        <f>IFERROR(__xludf.DUMMYFUNCTION("""COMPUTED_VALUE"""),"Chananpat Sirivikornrat")</f>
        <v>Chananpat Sirivikornrat</v>
      </c>
    </row>
    <row r="147">
      <c r="A147" s="142">
        <f>IFERROR(__xludf.DUMMYFUNCTION("""COMPUTED_VALUE"""),31.0)</f>
        <v>31</v>
      </c>
      <c r="B147" t="str">
        <f>IFERROR(__xludf.DUMMYFUNCTION("""COMPUTED_VALUE"""),"TAA2557")</f>
        <v>TAA2557</v>
      </c>
      <c r="C147">
        <f>IFERROR(__xludf.DUMMYFUNCTION("""COMPUTED_VALUE"""),1004029.0)</f>
        <v>1004029</v>
      </c>
      <c r="D147" t="str">
        <f>IFERROR(__xludf.DUMMYFUNCTION("""COMPUTED_VALUE"""),"Ms.")</f>
        <v>Ms.</v>
      </c>
      <c r="E147" t="str">
        <f>IFERROR(__xludf.DUMMYFUNCTION("""COMPUTED_VALUE"""),"Ketsara")</f>
        <v>Ketsara</v>
      </c>
      <c r="F147" t="str">
        <f>IFERROR(__xludf.DUMMYFUNCTION("""COMPUTED_VALUE"""),"Ketsakul")</f>
        <v>Ketsakul</v>
      </c>
      <c r="G147" t="str">
        <f>IFERROR(__xludf.DUMMYFUNCTION("""COMPUTED_VALUE"""),"Ketsara Ketsakul")</f>
        <v>Ketsara Ketsakul</v>
      </c>
    </row>
    <row r="148">
      <c r="A148" s="142">
        <f>IFERROR(__xludf.DUMMYFUNCTION("""COMPUTED_VALUE"""),31.0)</f>
        <v>31</v>
      </c>
      <c r="B148" t="str">
        <f>IFERROR(__xludf.DUMMYFUNCTION("""COMPUTED_VALUE"""),"TAA2560")</f>
        <v>TAA2560</v>
      </c>
      <c r="C148">
        <f>IFERROR(__xludf.DUMMYFUNCTION("""COMPUTED_VALUE"""),1004030.0)</f>
        <v>1004030</v>
      </c>
      <c r="D148" t="str">
        <f>IFERROR(__xludf.DUMMYFUNCTION("""COMPUTED_VALUE"""),"Ms.")</f>
        <v>Ms.</v>
      </c>
      <c r="E148" t="str">
        <f>IFERROR(__xludf.DUMMYFUNCTION("""COMPUTED_VALUE"""),"Kulpornpat")</f>
        <v>Kulpornpat</v>
      </c>
      <c r="F148" t="str">
        <f>IFERROR(__xludf.DUMMYFUNCTION("""COMPUTED_VALUE"""),"Srikulchaipat")</f>
        <v>Srikulchaipat</v>
      </c>
      <c r="G148" t="str">
        <f>IFERROR(__xludf.DUMMYFUNCTION("""COMPUTED_VALUE"""),"Kulpornpat Srikulchaipat")</f>
        <v>Kulpornpat Srikulchaipat</v>
      </c>
    </row>
    <row r="149">
      <c r="A149" s="142">
        <f>IFERROR(__xludf.DUMMYFUNCTION("""COMPUTED_VALUE"""),31.0)</f>
        <v>31</v>
      </c>
      <c r="B149" t="str">
        <f>IFERROR(__xludf.DUMMYFUNCTION("""COMPUTED_VALUE"""),"TAA2566")</f>
        <v>TAA2566</v>
      </c>
      <c r="C149">
        <f>IFERROR(__xludf.DUMMYFUNCTION("""COMPUTED_VALUE"""),1004034.0)</f>
        <v>1004034</v>
      </c>
      <c r="D149" t="str">
        <f>IFERROR(__xludf.DUMMYFUNCTION("""COMPUTED_VALUE"""),"Mr.")</f>
        <v>Mr.</v>
      </c>
      <c r="E149" t="str">
        <f>IFERROR(__xludf.DUMMYFUNCTION("""COMPUTED_VALUE"""),"Monthon")</f>
        <v>Monthon</v>
      </c>
      <c r="F149" t="str">
        <f>IFERROR(__xludf.DUMMYFUNCTION("""COMPUTED_VALUE"""),"Siribunnakul")</f>
        <v>Siribunnakul</v>
      </c>
      <c r="G149" t="str">
        <f>IFERROR(__xludf.DUMMYFUNCTION("""COMPUTED_VALUE"""),"Monthon Siribunnakul")</f>
        <v>Monthon Siribunnakul</v>
      </c>
    </row>
    <row r="150">
      <c r="A150" s="142">
        <f>IFERROR(__xludf.DUMMYFUNCTION("""COMPUTED_VALUE"""),31.0)</f>
        <v>31</v>
      </c>
      <c r="B150" t="str">
        <f>IFERROR(__xludf.DUMMYFUNCTION("""COMPUTED_VALUE"""),"TAA2561")</f>
        <v>TAA2561</v>
      </c>
      <c r="C150">
        <f>IFERROR(__xludf.DUMMYFUNCTION("""COMPUTED_VALUE"""),1004037.0)</f>
        <v>1004037</v>
      </c>
      <c r="D150" t="str">
        <f>IFERROR(__xludf.DUMMYFUNCTION("""COMPUTED_VALUE"""),"Ms.")</f>
        <v>Ms.</v>
      </c>
      <c r="E150" t="str">
        <f>IFERROR(__xludf.DUMMYFUNCTION("""COMPUTED_VALUE"""),"Phornchanit (Surangsri)")</f>
        <v>Phornchanit (Surangsri)</v>
      </c>
      <c r="F150" t="str">
        <f>IFERROR(__xludf.DUMMYFUNCTION("""COMPUTED_VALUE"""),"Rangsikul")</f>
        <v>Rangsikul</v>
      </c>
      <c r="G150" t="str">
        <f>IFERROR(__xludf.DUMMYFUNCTION("""COMPUTED_VALUE"""),"Phornchanit Rangsikul")</f>
        <v>Phornchanit Rangsikul</v>
      </c>
    </row>
    <row r="151">
      <c r="A151" s="142">
        <f>IFERROR(__xludf.DUMMYFUNCTION("""COMPUTED_VALUE"""),31.0)</f>
        <v>31</v>
      </c>
      <c r="B151" t="str">
        <f>IFERROR(__xludf.DUMMYFUNCTION("""COMPUTED_VALUE"""),"TAA2563")</f>
        <v>TAA2563</v>
      </c>
      <c r="C151">
        <f>IFERROR(__xludf.DUMMYFUNCTION("""COMPUTED_VALUE"""),1004038.0)</f>
        <v>1004038</v>
      </c>
      <c r="D151" t="str">
        <f>IFERROR(__xludf.DUMMYFUNCTION("""COMPUTED_VALUE"""),"Ms.")</f>
        <v>Ms.</v>
      </c>
      <c r="E151" t="str">
        <f>IFERROR(__xludf.DUMMYFUNCTION("""COMPUTED_VALUE"""),"Piracha")</f>
        <v>Piracha</v>
      </c>
      <c r="F151" t="str">
        <f>IFERROR(__xludf.DUMMYFUNCTION("""COMPUTED_VALUE"""),"Hongsakul")</f>
        <v>Hongsakul</v>
      </c>
      <c r="G151" t="str">
        <f>IFERROR(__xludf.DUMMYFUNCTION("""COMPUTED_VALUE"""),"Piracha Hongsakul")</f>
        <v>Piracha Hongsakul</v>
      </c>
    </row>
    <row r="152">
      <c r="A152" s="142">
        <f>IFERROR(__xludf.DUMMYFUNCTION("""COMPUTED_VALUE"""),31.0)</f>
        <v>31</v>
      </c>
      <c r="B152" t="str">
        <f>IFERROR(__xludf.DUMMYFUNCTION("""COMPUTED_VALUE"""),"TAA2551")</f>
        <v>TAA2551</v>
      </c>
      <c r="C152">
        <f>IFERROR(__xludf.DUMMYFUNCTION("""COMPUTED_VALUE"""),1004041.0)</f>
        <v>1004041</v>
      </c>
      <c r="D152" t="str">
        <f>IFERROR(__xludf.DUMMYFUNCTION("""COMPUTED_VALUE"""),"Ms.")</f>
        <v>Ms.</v>
      </c>
      <c r="E152" t="str">
        <f>IFERROR(__xludf.DUMMYFUNCTION("""COMPUTED_VALUE"""),"Sirima")</f>
        <v>Sirima</v>
      </c>
      <c r="F152" t="str">
        <f>IFERROR(__xludf.DUMMYFUNCTION("""COMPUTED_VALUE"""),"Yupongpitak (Imardoon)")</f>
        <v>Yupongpitak (Imardoon)</v>
      </c>
      <c r="G152" t="str">
        <f>IFERROR(__xludf.DUMMYFUNCTION("""COMPUTED_VALUE"""),"Sirima Yupongpitak")</f>
        <v>Sirima Yupongpitak</v>
      </c>
    </row>
    <row r="153">
      <c r="A153" s="142">
        <f>IFERROR(__xludf.DUMMYFUNCTION("""COMPUTED_VALUE"""),31.0)</f>
        <v>31</v>
      </c>
      <c r="B153" t="str">
        <f>IFERROR(__xludf.DUMMYFUNCTION("""COMPUTED_VALUE"""),"TAA2562")</f>
        <v>TAA2562</v>
      </c>
      <c r="C153">
        <f>IFERROR(__xludf.DUMMYFUNCTION("""COMPUTED_VALUE"""),1004045.0)</f>
        <v>1004045</v>
      </c>
      <c r="D153" t="str">
        <f>IFERROR(__xludf.DUMMYFUNCTION("""COMPUTED_VALUE"""),"Ms.")</f>
        <v>Ms.</v>
      </c>
      <c r="E153" t="str">
        <f>IFERROR(__xludf.DUMMYFUNCTION("""COMPUTED_VALUE"""),"Waraphorn")</f>
        <v>Waraphorn</v>
      </c>
      <c r="F153" t="str">
        <f>IFERROR(__xludf.DUMMYFUNCTION("""COMPUTED_VALUE"""),"Khunthong")</f>
        <v>Khunthong</v>
      </c>
      <c r="G153" t="str">
        <f>IFERROR(__xludf.DUMMYFUNCTION("""COMPUTED_VALUE"""),"Waraphorn Khunthong")</f>
        <v>Waraphorn Khunthong</v>
      </c>
    </row>
    <row r="155">
      <c r="A155" s="142">
        <f>IFERROR(__xludf.DUMMYFUNCTION("""COMPUTED_VALUE"""),32.0)</f>
        <v>32</v>
      </c>
      <c r="B155" t="str">
        <f>IFERROR(__xludf.DUMMYFUNCTION("""COMPUTED_VALUE"""),"TAA0291")</f>
        <v>TAA0291</v>
      </c>
      <c r="C155">
        <f>IFERROR(__xludf.DUMMYFUNCTION("""COMPUTED_VALUE"""),1000387.0)</f>
        <v>1000387</v>
      </c>
      <c r="D155" t="str">
        <f>IFERROR(__xludf.DUMMYFUNCTION("""COMPUTED_VALUE"""),"Mr.")</f>
        <v>Mr.</v>
      </c>
      <c r="E155" t="str">
        <f>IFERROR(__xludf.DUMMYFUNCTION("""COMPUTED_VALUE"""),"Phu-rit")</f>
        <v>Phu-rit</v>
      </c>
      <c r="F155" t="str">
        <f>IFERROR(__xludf.DUMMYFUNCTION("""COMPUTED_VALUE"""),"Punpeng")</f>
        <v>Punpeng</v>
      </c>
      <c r="G155" t="str">
        <f>IFERROR(__xludf.DUMMYFUNCTION("""COMPUTED_VALUE"""),"Phu-rit Punpeng")</f>
        <v>Phu-rit Punpeng</v>
      </c>
    </row>
    <row r="156">
      <c r="A156" s="142">
        <f>IFERROR(__xludf.DUMMYFUNCTION("""COMPUTED_VALUE"""),32.0)</f>
        <v>32</v>
      </c>
      <c r="B156" t="str">
        <f>IFERROR(__xludf.DUMMYFUNCTION("""COMPUTED_VALUE"""),"TAA0308")</f>
        <v>TAA0308</v>
      </c>
      <c r="C156">
        <f>IFERROR(__xludf.DUMMYFUNCTION("""COMPUTED_VALUE"""),1000397.0)</f>
        <v>1000397</v>
      </c>
      <c r="D156" t="str">
        <f>IFERROR(__xludf.DUMMYFUNCTION("""COMPUTED_VALUE"""),"Ms.")</f>
        <v>Ms.</v>
      </c>
      <c r="E156" t="str">
        <f>IFERROR(__xludf.DUMMYFUNCTION("""COMPUTED_VALUE"""),"Janwat")</f>
        <v>Janwat</v>
      </c>
      <c r="F156" t="str">
        <f>IFERROR(__xludf.DUMMYFUNCTION("""COMPUTED_VALUE"""),"Jiumjaroen")</f>
        <v>Jiumjaroen</v>
      </c>
      <c r="G156" t="str">
        <f>IFERROR(__xludf.DUMMYFUNCTION("""COMPUTED_VALUE"""),"Janwat Jiumjaroen")</f>
        <v>Janwat Jiumjaroen</v>
      </c>
    </row>
    <row r="157">
      <c r="A157" s="142">
        <f>IFERROR(__xludf.DUMMYFUNCTION("""COMPUTED_VALUE"""),32.0)</f>
        <v>32</v>
      </c>
      <c r="B157" t="str">
        <f>IFERROR(__xludf.DUMMYFUNCTION("""COMPUTED_VALUE"""),"TAA1562")</f>
        <v>TAA1562</v>
      </c>
      <c r="C157">
        <f>IFERROR(__xludf.DUMMYFUNCTION("""COMPUTED_VALUE"""),1001233.0)</f>
        <v>1001233</v>
      </c>
      <c r="D157" t="str">
        <f>IFERROR(__xludf.DUMMYFUNCTION("""COMPUTED_VALUE"""),"Ms.")</f>
        <v>Ms.</v>
      </c>
      <c r="E157" t="str">
        <f>IFERROR(__xludf.DUMMYFUNCTION("""COMPUTED_VALUE"""),"Sasithorn")</f>
        <v>Sasithorn</v>
      </c>
      <c r="F157" t="str">
        <f>IFERROR(__xludf.DUMMYFUNCTION("""COMPUTED_VALUE"""),"Wonglee")</f>
        <v>Wonglee</v>
      </c>
      <c r="G157" t="str">
        <f>IFERROR(__xludf.DUMMYFUNCTION("""COMPUTED_VALUE"""),"Sasithorn Wonglee")</f>
        <v>Sasithorn Wonglee</v>
      </c>
    </row>
    <row r="158">
      <c r="A158" s="142">
        <f>IFERROR(__xludf.DUMMYFUNCTION("""COMPUTED_VALUE"""),32.0)</f>
        <v>32</v>
      </c>
      <c r="B158" t="str">
        <f>IFERROR(__xludf.DUMMYFUNCTION("""COMPUTED_VALUE"""),"TAA1278")</f>
        <v>TAA1278</v>
      </c>
      <c r="C158">
        <f>IFERROR(__xludf.DUMMYFUNCTION("""COMPUTED_VALUE"""),1001286.0)</f>
        <v>1001286</v>
      </c>
      <c r="D158" t="str">
        <f>IFERROR(__xludf.DUMMYFUNCTION("""COMPUTED_VALUE"""),"Ms.")</f>
        <v>Ms.</v>
      </c>
      <c r="E158" t="str">
        <f>IFERROR(__xludf.DUMMYFUNCTION("""COMPUTED_VALUE"""),"Sirinart")</f>
        <v>Sirinart</v>
      </c>
      <c r="F158" t="str">
        <f>IFERROR(__xludf.DUMMYFUNCTION("""COMPUTED_VALUE"""),"Auypornbusyakom")</f>
        <v>Auypornbusyakom</v>
      </c>
      <c r="G158" t="str">
        <f>IFERROR(__xludf.DUMMYFUNCTION("""COMPUTED_VALUE"""),"Sirinart Auypornbusyakom")</f>
        <v>Sirinart Auypornbusyakom</v>
      </c>
    </row>
    <row r="159">
      <c r="A159" s="142">
        <f>IFERROR(__xludf.DUMMYFUNCTION("""COMPUTED_VALUE"""),32.0)</f>
        <v>32</v>
      </c>
      <c r="B159" t="str">
        <f>IFERROR(__xludf.DUMMYFUNCTION("""COMPUTED_VALUE"""),"TAA2655")</f>
        <v>TAA2655</v>
      </c>
      <c r="C159">
        <f>IFERROR(__xludf.DUMMYFUNCTION("""COMPUTED_VALUE"""),1004127.0)</f>
        <v>1004127</v>
      </c>
      <c r="D159" t="str">
        <f>IFERROR(__xludf.DUMMYFUNCTION("""COMPUTED_VALUE"""),"Ms.")</f>
        <v>Ms.</v>
      </c>
      <c r="E159" t="str">
        <f>IFERROR(__xludf.DUMMYFUNCTION("""COMPUTED_VALUE"""),"Thawinun")</f>
        <v>Thawinun</v>
      </c>
      <c r="F159" t="str">
        <f>IFERROR(__xludf.DUMMYFUNCTION("""COMPUTED_VALUE"""),"Arunnuntapanich")</f>
        <v>Arunnuntapanich</v>
      </c>
      <c r="G159" t="str">
        <f>IFERROR(__xludf.DUMMYFUNCTION("""COMPUTED_VALUE"""),"Thawinun Arunnuntapanich")</f>
        <v>Thawinun Arunnuntapanich</v>
      </c>
    </row>
    <row r="161">
      <c r="A161" s="142">
        <f>IFERROR(__xludf.DUMMYFUNCTION("""COMPUTED_VALUE"""),33.0)</f>
        <v>33</v>
      </c>
      <c r="B161" t="str">
        <f>IFERROR(__xludf.DUMMYFUNCTION("""COMPUTED_VALUE"""),"TAA2679")</f>
        <v>TAA2679</v>
      </c>
      <c r="C161">
        <f>IFERROR(__xludf.DUMMYFUNCTION("""COMPUTED_VALUE"""),1004196.0)</f>
        <v>1004196</v>
      </c>
      <c r="D161" t="str">
        <f>IFERROR(__xludf.DUMMYFUNCTION("""COMPUTED_VALUE"""),"Ms.")</f>
        <v>Ms.</v>
      </c>
      <c r="E161" t="str">
        <f>IFERROR(__xludf.DUMMYFUNCTION("""COMPUTED_VALUE"""),"Kanyarat")</f>
        <v>Kanyarat</v>
      </c>
      <c r="F161" t="str">
        <f>IFERROR(__xludf.DUMMYFUNCTION("""COMPUTED_VALUE"""),"Boonthanawat")</f>
        <v>Boonthanawat</v>
      </c>
      <c r="G161" t="str">
        <f>IFERROR(__xludf.DUMMYFUNCTION("""COMPUTED_VALUE"""),"Kanyarat Boonthanawat")</f>
        <v>Kanyarat Boonthanawat</v>
      </c>
    </row>
    <row r="162">
      <c r="A162" s="142">
        <f>IFERROR(__xludf.DUMMYFUNCTION("""COMPUTED_VALUE"""),33.0)</f>
        <v>33</v>
      </c>
      <c r="B162" t="str">
        <f>IFERROR(__xludf.DUMMYFUNCTION("""COMPUTED_VALUE"""),"TAA2685")</f>
        <v>TAA2685</v>
      </c>
      <c r="C162">
        <f>IFERROR(__xludf.DUMMYFUNCTION("""COMPUTED_VALUE"""),1004197.0)</f>
        <v>1004197</v>
      </c>
      <c r="D162" t="str">
        <f>IFERROR(__xludf.DUMMYFUNCTION("""COMPUTED_VALUE"""),"Ms.")</f>
        <v>Ms.</v>
      </c>
      <c r="E162" t="str">
        <f>IFERROR(__xludf.DUMMYFUNCTION("""COMPUTED_VALUE"""),"Kultharin")</f>
        <v>Kultharin</v>
      </c>
      <c r="F162" t="str">
        <f>IFERROR(__xludf.DUMMYFUNCTION("""COMPUTED_VALUE"""),"Kijbamrunglab")</f>
        <v>Kijbamrunglab</v>
      </c>
      <c r="G162" t="str">
        <f>IFERROR(__xludf.DUMMYFUNCTION("""COMPUTED_VALUE"""),"Kultharin Kijbamrunglab")</f>
        <v>Kultharin Kijbamrunglab</v>
      </c>
    </row>
    <row r="163">
      <c r="A163" s="142">
        <f>IFERROR(__xludf.DUMMYFUNCTION("""COMPUTED_VALUE"""),33.0)</f>
        <v>33</v>
      </c>
      <c r="B163" t="str">
        <f>IFERROR(__xludf.DUMMYFUNCTION("""COMPUTED_VALUE"""),"TAA2681")</f>
        <v>TAA2681</v>
      </c>
      <c r="C163">
        <f>IFERROR(__xludf.DUMMYFUNCTION("""COMPUTED_VALUE"""),1004200.0)</f>
        <v>1004200</v>
      </c>
      <c r="D163" t="str">
        <f>IFERROR(__xludf.DUMMYFUNCTION("""COMPUTED_VALUE"""),"Ms.")</f>
        <v>Ms.</v>
      </c>
      <c r="E163" t="str">
        <f>IFERROR(__xludf.DUMMYFUNCTION("""COMPUTED_VALUE"""),"Napasorn")</f>
        <v>Napasorn</v>
      </c>
      <c r="F163" t="str">
        <f>IFERROR(__xludf.DUMMYFUNCTION("""COMPUTED_VALUE"""),"Narkkaew")</f>
        <v>Narkkaew</v>
      </c>
      <c r="G163" t="str">
        <f>IFERROR(__xludf.DUMMYFUNCTION("""COMPUTED_VALUE"""),"Napasorn Narkkaew")</f>
        <v>Napasorn Narkkaew</v>
      </c>
    </row>
    <row r="164">
      <c r="A164" s="142">
        <f>IFERROR(__xludf.DUMMYFUNCTION("""COMPUTED_VALUE"""),33.0)</f>
        <v>33</v>
      </c>
      <c r="B164" t="str">
        <f>IFERROR(__xludf.DUMMYFUNCTION("""COMPUTED_VALUE"""),"TAA2684")</f>
        <v>TAA2684</v>
      </c>
      <c r="C164">
        <f>IFERROR(__xludf.DUMMYFUNCTION("""COMPUTED_VALUE"""),1004202.0)</f>
        <v>1004202</v>
      </c>
      <c r="D164" t="str">
        <f>IFERROR(__xludf.DUMMYFUNCTION("""COMPUTED_VALUE"""),"Ms.")</f>
        <v>Ms.</v>
      </c>
      <c r="E164" t="str">
        <f>IFERROR(__xludf.DUMMYFUNCTION("""COMPUTED_VALUE"""),"Patsachol")</f>
        <v>Patsachol</v>
      </c>
      <c r="F164" t="str">
        <f>IFERROR(__xludf.DUMMYFUNCTION("""COMPUTED_VALUE"""),"Intra")</f>
        <v>Intra</v>
      </c>
      <c r="G164" t="str">
        <f>IFERROR(__xludf.DUMMYFUNCTION("""COMPUTED_VALUE"""),"Patsachol Intra")</f>
        <v>Patsachol Intra</v>
      </c>
    </row>
    <row r="165">
      <c r="A165" s="142">
        <f>IFERROR(__xludf.DUMMYFUNCTION("""COMPUTED_VALUE"""),33.0)</f>
        <v>33</v>
      </c>
      <c r="B165" t="str">
        <f>IFERROR(__xludf.DUMMYFUNCTION("""COMPUTED_VALUE"""),"TAA2675")</f>
        <v>TAA2675</v>
      </c>
      <c r="C165">
        <f>IFERROR(__xludf.DUMMYFUNCTION("""COMPUTED_VALUE"""),1004203.0)</f>
        <v>1004203</v>
      </c>
      <c r="D165" t="str">
        <f>IFERROR(__xludf.DUMMYFUNCTION("""COMPUTED_VALUE"""),"Mrs.")</f>
        <v>Mrs.</v>
      </c>
      <c r="E165" t="str">
        <f>IFERROR(__xludf.DUMMYFUNCTION("""COMPUTED_VALUE"""),"Pavaran")</f>
        <v>Pavaran</v>
      </c>
      <c r="F165" t="str">
        <f>IFERROR(__xludf.DUMMYFUNCTION("""COMPUTED_VALUE"""),"Maneechai (Khonwai)")</f>
        <v>Maneechai (Khonwai)</v>
      </c>
      <c r="G165" t="str">
        <f>IFERROR(__xludf.DUMMYFUNCTION("""COMPUTED_VALUE"""),"Pavaran Maneechai")</f>
        <v>Pavaran Maneechai</v>
      </c>
    </row>
    <row r="166">
      <c r="A166" s="142">
        <f>IFERROR(__xludf.DUMMYFUNCTION("""COMPUTED_VALUE"""),33.0)</f>
        <v>33</v>
      </c>
      <c r="B166" t="str">
        <f>IFERROR(__xludf.DUMMYFUNCTION("""COMPUTED_VALUE"""),"TAA2683")</f>
        <v>TAA2683</v>
      </c>
      <c r="C166">
        <f>IFERROR(__xludf.DUMMYFUNCTION("""COMPUTED_VALUE"""),1004204.0)</f>
        <v>1004204</v>
      </c>
      <c r="D166" t="str">
        <f>IFERROR(__xludf.DUMMYFUNCTION("""COMPUTED_VALUE"""),"Ms.")</f>
        <v>Ms.</v>
      </c>
      <c r="E166" t="str">
        <f>IFERROR(__xludf.DUMMYFUNCTION("""COMPUTED_VALUE"""),"Phasita")</f>
        <v>Phasita</v>
      </c>
      <c r="F166" t="str">
        <f>IFERROR(__xludf.DUMMYFUNCTION("""COMPUTED_VALUE"""),"Khomdech")</f>
        <v>Khomdech</v>
      </c>
      <c r="G166" t="str">
        <f>IFERROR(__xludf.DUMMYFUNCTION("""COMPUTED_VALUE"""),"Phasita Khomdech")</f>
        <v>Phasita Khomdech</v>
      </c>
    </row>
    <row r="167">
      <c r="A167" s="142">
        <f>IFERROR(__xludf.DUMMYFUNCTION("""COMPUTED_VALUE"""),33.0)</f>
        <v>33</v>
      </c>
      <c r="B167" t="str">
        <f>IFERROR(__xludf.DUMMYFUNCTION("""COMPUTED_VALUE"""),"TAA2677")</f>
        <v>TAA2677</v>
      </c>
      <c r="C167">
        <f>IFERROR(__xludf.DUMMYFUNCTION("""COMPUTED_VALUE"""),1004205.0)</f>
        <v>1004205</v>
      </c>
      <c r="D167" t="str">
        <f>IFERROR(__xludf.DUMMYFUNCTION("""COMPUTED_VALUE"""),"Mrs.")</f>
        <v>Mrs.</v>
      </c>
      <c r="E167" t="str">
        <f>IFERROR(__xludf.DUMMYFUNCTION("""COMPUTED_VALUE"""),"Pimvaree")</f>
        <v>Pimvaree</v>
      </c>
      <c r="F167" t="str">
        <f>IFERROR(__xludf.DUMMYFUNCTION("""COMPUTED_VALUE"""),"Ko")</f>
        <v>Ko</v>
      </c>
      <c r="G167" t="str">
        <f>IFERROR(__xludf.DUMMYFUNCTION("""COMPUTED_VALUE"""),"Pimvaree Ko")</f>
        <v>Pimvaree Ko</v>
      </c>
    </row>
    <row r="168">
      <c r="A168" s="142">
        <f>IFERROR(__xludf.DUMMYFUNCTION("""COMPUTED_VALUE"""),33.0)</f>
        <v>33</v>
      </c>
      <c r="B168" t="str">
        <f>IFERROR(__xludf.DUMMYFUNCTION("""COMPUTED_VALUE"""),"TAA2692")</f>
        <v>TAA2692</v>
      </c>
      <c r="C168">
        <f>IFERROR(__xludf.DUMMYFUNCTION("""COMPUTED_VALUE"""),1004206.0)</f>
        <v>1004206</v>
      </c>
      <c r="D168" t="str">
        <f>IFERROR(__xludf.DUMMYFUNCTION("""COMPUTED_VALUE"""),"Ms.")</f>
        <v>Ms.</v>
      </c>
      <c r="E168" t="str">
        <f>IFERROR(__xludf.DUMMYFUNCTION("""COMPUTED_VALUE"""),"Pitikan")</f>
        <v>Pitikan</v>
      </c>
      <c r="F168" t="str">
        <f>IFERROR(__xludf.DUMMYFUNCTION("""COMPUTED_VALUE"""),"Siwapathomchai")</f>
        <v>Siwapathomchai</v>
      </c>
      <c r="G168" t="str">
        <f>IFERROR(__xludf.DUMMYFUNCTION("""COMPUTED_VALUE"""),"Pitikan Siwapathomchai")</f>
        <v>Pitikan Siwapathomchai</v>
      </c>
    </row>
    <row r="169">
      <c r="A169" s="142">
        <f>IFERROR(__xludf.DUMMYFUNCTION("""COMPUTED_VALUE"""),33.0)</f>
        <v>33</v>
      </c>
      <c r="B169" t="str">
        <f>IFERROR(__xludf.DUMMYFUNCTION("""COMPUTED_VALUE"""),"TAA2671")</f>
        <v>TAA2671</v>
      </c>
      <c r="C169">
        <f>IFERROR(__xludf.DUMMYFUNCTION("""COMPUTED_VALUE"""),1004211.0)</f>
        <v>1004211</v>
      </c>
      <c r="D169" t="str">
        <f>IFERROR(__xludf.DUMMYFUNCTION("""COMPUTED_VALUE"""),"Mr.")</f>
        <v>Mr.</v>
      </c>
      <c r="E169" t="str">
        <f>IFERROR(__xludf.DUMMYFUNCTION("""COMPUTED_VALUE"""),"Thanyawit")</f>
        <v>Thanyawit</v>
      </c>
      <c r="F169" t="str">
        <f>IFERROR(__xludf.DUMMYFUNCTION("""COMPUTED_VALUE"""),"Srichan")</f>
        <v>Srichan</v>
      </c>
      <c r="G169" t="str">
        <f>IFERROR(__xludf.DUMMYFUNCTION("""COMPUTED_VALUE"""),"Thanyawit Srichan")</f>
        <v>Thanyawit Srichan</v>
      </c>
    </row>
    <row r="170">
      <c r="A170" s="142">
        <f>IFERROR(__xludf.DUMMYFUNCTION("""COMPUTED_VALUE"""),33.0)</f>
        <v>33</v>
      </c>
      <c r="B170" t="str">
        <f>IFERROR(__xludf.DUMMYFUNCTION("""COMPUTED_VALUE"""),"TAA2678")</f>
        <v>TAA2678</v>
      </c>
      <c r="C170">
        <f>IFERROR(__xludf.DUMMYFUNCTION("""COMPUTED_VALUE"""),1004212.0)</f>
        <v>1004212</v>
      </c>
      <c r="D170" t="str">
        <f>IFERROR(__xludf.DUMMYFUNCTION("""COMPUTED_VALUE"""),"Mrs.")</f>
        <v>Mrs.</v>
      </c>
      <c r="E170" t="str">
        <f>IFERROR(__xludf.DUMMYFUNCTION("""COMPUTED_VALUE"""),"Varisa")</f>
        <v>Varisa</v>
      </c>
      <c r="F170" t="str">
        <f>IFERROR(__xludf.DUMMYFUNCTION("""COMPUTED_VALUE"""),"Nimkasai (Poonsawat)")</f>
        <v>Nimkasai (Poonsawat)</v>
      </c>
      <c r="G170" t="str">
        <f>IFERROR(__xludf.DUMMYFUNCTION("""COMPUTED_VALUE"""),"Varisa Nimkasai")</f>
        <v>Varisa Nimkasai</v>
      </c>
    </row>
    <row r="171">
      <c r="A171" s="142">
        <f>IFERROR(__xludf.DUMMYFUNCTION("""COMPUTED_VALUE"""),33.0)</f>
        <v>33</v>
      </c>
      <c r="B171" t="str">
        <f>IFERROR(__xludf.DUMMYFUNCTION("""COMPUTED_VALUE"""),"TAA2674")</f>
        <v>TAA2674</v>
      </c>
      <c r="C171">
        <f>IFERROR(__xludf.DUMMYFUNCTION("""COMPUTED_VALUE"""),1004213.0)</f>
        <v>1004213</v>
      </c>
      <c r="D171" t="str">
        <f>IFERROR(__xludf.DUMMYFUNCTION("""COMPUTED_VALUE"""),"Ms.")</f>
        <v>Ms.</v>
      </c>
      <c r="E171" t="str">
        <f>IFERROR(__xludf.DUMMYFUNCTION("""COMPUTED_VALUE"""),"Worapada")</f>
        <v>Worapada</v>
      </c>
      <c r="F171" t="str">
        <f>IFERROR(__xludf.DUMMYFUNCTION("""COMPUTED_VALUE"""),"Suetrongmunkong")</f>
        <v>Suetrongmunkong</v>
      </c>
      <c r="G171" t="str">
        <f>IFERROR(__xludf.DUMMYFUNCTION("""COMPUTED_VALUE"""),"Worapada Suetrongmunkong")</f>
        <v>Worapada Suetrongmunkong</v>
      </c>
    </row>
    <row r="173">
      <c r="A173" s="142">
        <f>IFERROR(__xludf.DUMMYFUNCTION("""COMPUTED_VALUE"""),34.0)</f>
        <v>34</v>
      </c>
      <c r="B173" t="str">
        <f>IFERROR(__xludf.DUMMYFUNCTION("""COMPUTED_VALUE"""),"TAA1698")</f>
        <v>TAA1698</v>
      </c>
      <c r="C173">
        <f>IFERROR(__xludf.DUMMYFUNCTION("""COMPUTED_VALUE"""),1001582.0)</f>
        <v>1001582</v>
      </c>
      <c r="D173" t="str">
        <f>IFERROR(__xludf.DUMMYFUNCTION("""COMPUTED_VALUE"""),"Ms.")</f>
        <v>Ms.</v>
      </c>
      <c r="E173" t="str">
        <f>IFERROR(__xludf.DUMMYFUNCTION("""COMPUTED_VALUE"""),"Waleerat")</f>
        <v>Waleerat</v>
      </c>
      <c r="F173" t="str">
        <f>IFERROR(__xludf.DUMMYFUNCTION("""COMPUTED_VALUE"""),"khumsap (Klayjam)")</f>
        <v>khumsap (Klayjam)</v>
      </c>
      <c r="G173" t="str">
        <f>IFERROR(__xludf.DUMMYFUNCTION("""COMPUTED_VALUE"""),"Waleerat khumsap")</f>
        <v>Waleerat khumsap</v>
      </c>
    </row>
    <row r="174">
      <c r="A174" s="142">
        <f>IFERROR(__xludf.DUMMYFUNCTION("""COMPUTED_VALUE"""),34.0)</f>
        <v>34</v>
      </c>
      <c r="B174" t="str">
        <f>IFERROR(__xludf.DUMMYFUNCTION("""COMPUTED_VALUE"""),"TAA2081")</f>
        <v>TAA2081</v>
      </c>
      <c r="C174">
        <f>IFERROR(__xludf.DUMMYFUNCTION("""COMPUTED_VALUE"""),1002251.0)</f>
        <v>1002251</v>
      </c>
      <c r="D174" t="str">
        <f>IFERROR(__xludf.DUMMYFUNCTION("""COMPUTED_VALUE"""),"Ms.")</f>
        <v>Ms.</v>
      </c>
      <c r="E174" t="str">
        <f>IFERROR(__xludf.DUMMYFUNCTION("""COMPUTED_VALUE"""),"Suthinee")</f>
        <v>Suthinee</v>
      </c>
      <c r="F174" t="str">
        <f>IFERROR(__xludf.DUMMYFUNCTION("""COMPUTED_VALUE"""),"Jeerawattanawong")</f>
        <v>Jeerawattanawong</v>
      </c>
      <c r="G174" t="str">
        <f>IFERROR(__xludf.DUMMYFUNCTION("""COMPUTED_VALUE"""),"Suthinee Jeerawattanawong")</f>
        <v>Suthinee Jeerawattanawong</v>
      </c>
    </row>
    <row r="175">
      <c r="A175" s="142">
        <f>IFERROR(__xludf.DUMMYFUNCTION("""COMPUTED_VALUE"""),34.0)</f>
        <v>34</v>
      </c>
      <c r="B175" t="str">
        <f>IFERROR(__xludf.DUMMYFUNCTION("""COMPUTED_VALUE"""),"TAA2576")</f>
        <v>TAA2576</v>
      </c>
      <c r="C175">
        <f>IFERROR(__xludf.DUMMYFUNCTION("""COMPUTED_VALUE"""),1003302.0)</f>
        <v>1003302</v>
      </c>
      <c r="D175" t="str">
        <f>IFERROR(__xludf.DUMMYFUNCTION("""COMPUTED_VALUE"""),"Ms.")</f>
        <v>Ms.</v>
      </c>
      <c r="E175" t="str">
        <f>IFERROR(__xludf.DUMMYFUNCTION("""COMPUTED_VALUE"""),"Panwad")</f>
        <v>Panwad</v>
      </c>
      <c r="F175" t="str">
        <f>IFERROR(__xludf.DUMMYFUNCTION("""COMPUTED_VALUE"""),"Thongkham (Pittayarak)")</f>
        <v>Thongkham (Pittayarak)</v>
      </c>
      <c r="G175" t="str">
        <f>IFERROR(__xludf.DUMMYFUNCTION("""COMPUTED_VALUE"""),"Panwad Thongkham")</f>
        <v>Panwad Thongkham</v>
      </c>
    </row>
    <row r="176">
      <c r="A176" s="142">
        <f>IFERROR(__xludf.DUMMYFUNCTION("""COMPUTED_VALUE"""),34.0)</f>
        <v>34</v>
      </c>
      <c r="B176" t="str">
        <f>IFERROR(__xludf.DUMMYFUNCTION("""COMPUTED_VALUE"""),"TAA2804")</f>
        <v>TAA2804</v>
      </c>
      <c r="C176">
        <f>IFERROR(__xludf.DUMMYFUNCTION("""COMPUTED_VALUE"""),1004444.0)</f>
        <v>1004444</v>
      </c>
      <c r="D176" t="str">
        <f>IFERROR(__xludf.DUMMYFUNCTION("""COMPUTED_VALUE"""),"Ms.")</f>
        <v>Ms.</v>
      </c>
      <c r="E176" t="str">
        <f>IFERROR(__xludf.DUMMYFUNCTION("""COMPUTED_VALUE"""),"Arisara")</f>
        <v>Arisara</v>
      </c>
      <c r="F176" t="str">
        <f>IFERROR(__xludf.DUMMYFUNCTION("""COMPUTED_VALUE"""),"Nenchatee")</f>
        <v>Nenchatee</v>
      </c>
      <c r="G176" t="str">
        <f>IFERROR(__xludf.DUMMYFUNCTION("""COMPUTED_VALUE"""),"Arisara Nenchatee")</f>
        <v>Arisara Nenchatee</v>
      </c>
    </row>
    <row r="177">
      <c r="A177" s="142">
        <f>IFERROR(__xludf.DUMMYFUNCTION("""COMPUTED_VALUE"""),34.0)</f>
        <v>34</v>
      </c>
      <c r="B177" t="str">
        <f>IFERROR(__xludf.DUMMYFUNCTION("""COMPUTED_VALUE"""),"TAA2798")</f>
        <v>TAA2798</v>
      </c>
      <c r="C177">
        <f>IFERROR(__xludf.DUMMYFUNCTION("""COMPUTED_VALUE"""),1004450.0)</f>
        <v>1004450</v>
      </c>
      <c r="D177" t="str">
        <f>IFERROR(__xludf.DUMMYFUNCTION("""COMPUTED_VALUE"""),"Ms.")</f>
        <v>Ms.</v>
      </c>
      <c r="E177" t="str">
        <f>IFERROR(__xludf.DUMMYFUNCTION("""COMPUTED_VALUE"""),"Suthathip")</f>
        <v>Suthathip</v>
      </c>
      <c r="F177" t="str">
        <f>IFERROR(__xludf.DUMMYFUNCTION("""COMPUTED_VALUE"""),"Choosen")</f>
        <v>Choosen</v>
      </c>
      <c r="G177" t="str">
        <f>IFERROR(__xludf.DUMMYFUNCTION("""COMPUTED_VALUE"""),"Suthathip Choosen")</f>
        <v>Suthathip Choosen</v>
      </c>
    </row>
    <row r="178">
      <c r="A178" s="142">
        <f>IFERROR(__xludf.DUMMYFUNCTION("""COMPUTED_VALUE"""),34.0)</f>
        <v>34</v>
      </c>
      <c r="B178" t="str">
        <f>IFERROR(__xludf.DUMMYFUNCTION("""COMPUTED_VALUE"""),"TAA2803")</f>
        <v>TAA2803</v>
      </c>
      <c r="C178">
        <f>IFERROR(__xludf.DUMMYFUNCTION("""COMPUTED_VALUE"""),1004452.0)</f>
        <v>1004452</v>
      </c>
      <c r="D178" t="str">
        <f>IFERROR(__xludf.DUMMYFUNCTION("""COMPUTED_VALUE"""),"Ms.")</f>
        <v>Ms.</v>
      </c>
      <c r="E178" t="str">
        <f>IFERROR(__xludf.DUMMYFUNCTION("""COMPUTED_VALUE"""),"Torsang")</f>
        <v>Torsang</v>
      </c>
      <c r="F178" t="str">
        <f>IFERROR(__xludf.DUMMYFUNCTION("""COMPUTED_VALUE"""),"Supachaiyakit")</f>
        <v>Supachaiyakit</v>
      </c>
      <c r="G178" t="str">
        <f>IFERROR(__xludf.DUMMYFUNCTION("""COMPUTED_VALUE"""),"Torsang Supachaiyakit")</f>
        <v>Torsang Supachaiyakit</v>
      </c>
    </row>
    <row r="180">
      <c r="A180" s="142">
        <f>IFERROR(__xludf.DUMMYFUNCTION("""COMPUTED_VALUE"""),35.0)</f>
        <v>35</v>
      </c>
      <c r="B180" t="str">
        <f>IFERROR(__xludf.DUMMYFUNCTION("""COMPUTED_VALUE"""),"TAA2080")</f>
        <v>TAA2080</v>
      </c>
      <c r="C180">
        <f>IFERROR(__xludf.DUMMYFUNCTION("""COMPUTED_VALUE"""),1002207.0)</f>
        <v>1002207</v>
      </c>
      <c r="D180" t="str">
        <f>IFERROR(__xludf.DUMMYFUNCTION("""COMPUTED_VALUE"""),"Ms.")</f>
        <v>Ms.</v>
      </c>
      <c r="E180" t="str">
        <f>IFERROR(__xludf.DUMMYFUNCTION("""COMPUTED_VALUE"""),"Phakaon")</f>
        <v>Phakaon</v>
      </c>
      <c r="F180" t="str">
        <f>IFERROR(__xludf.DUMMYFUNCTION("""COMPUTED_VALUE"""),"Chaiwong")</f>
        <v>Chaiwong</v>
      </c>
      <c r="G180" t="str">
        <f>IFERROR(__xludf.DUMMYFUNCTION("""COMPUTED_VALUE"""),"Phakaon Chaiwong")</f>
        <v>Phakaon Chaiwong</v>
      </c>
    </row>
    <row r="181">
      <c r="A181" s="142">
        <f>IFERROR(__xludf.DUMMYFUNCTION("""COMPUTED_VALUE"""),35.0)</f>
        <v>35</v>
      </c>
      <c r="B181" t="str">
        <f>IFERROR(__xludf.DUMMYFUNCTION("""COMPUTED_VALUE"""),"TAA2587")</f>
        <v>TAA2587</v>
      </c>
      <c r="C181">
        <f>IFERROR(__xludf.DUMMYFUNCTION("""COMPUTED_VALUE"""),1003137.0)</f>
        <v>1003137</v>
      </c>
      <c r="D181" t="str">
        <f>IFERROR(__xludf.DUMMYFUNCTION("""COMPUTED_VALUE"""),"Ms.")</f>
        <v>Ms.</v>
      </c>
      <c r="E181" t="str">
        <f>IFERROR(__xludf.DUMMYFUNCTION("""COMPUTED_VALUE"""),"Patcharamai(Tanatorn)")</f>
        <v>Patcharamai(Tanatorn)</v>
      </c>
      <c r="F181" t="str">
        <f>IFERROR(__xludf.DUMMYFUNCTION("""COMPUTED_VALUE"""),"Udomphol")</f>
        <v>Udomphol</v>
      </c>
      <c r="G181" t="str">
        <f>IFERROR(__xludf.DUMMYFUNCTION("""COMPUTED_VALUE"""),"Patcharamai Udomphol")</f>
        <v>Patcharamai Udomphol</v>
      </c>
    </row>
    <row r="182">
      <c r="A182" s="142">
        <f>IFERROR(__xludf.DUMMYFUNCTION("""COMPUTED_VALUE"""),35.0)</f>
        <v>35</v>
      </c>
      <c r="B182" t="str">
        <f>IFERROR(__xludf.DUMMYFUNCTION("""COMPUTED_VALUE"""),"TAA2466")</f>
        <v>TAA2466</v>
      </c>
      <c r="C182">
        <f>IFERROR(__xludf.DUMMYFUNCTION("""COMPUTED_VALUE"""),1003145.0)</f>
        <v>1003145</v>
      </c>
      <c r="D182" t="str">
        <f>IFERROR(__xludf.DUMMYFUNCTION("""COMPUTED_VALUE"""),"Ms.")</f>
        <v>Ms.</v>
      </c>
      <c r="E182" t="str">
        <f>IFERROR(__xludf.DUMMYFUNCTION("""COMPUTED_VALUE"""),"Nonglak")</f>
        <v>Nonglak</v>
      </c>
      <c r="F182" t="str">
        <f>IFERROR(__xludf.DUMMYFUNCTION("""COMPUTED_VALUE"""),"Srimuang")</f>
        <v>Srimuang</v>
      </c>
      <c r="G182" t="str">
        <f>IFERROR(__xludf.DUMMYFUNCTION("""COMPUTED_VALUE"""),"Nonglak Srimuang")</f>
        <v>Nonglak Srimuang</v>
      </c>
    </row>
    <row r="183">
      <c r="A183" s="142">
        <f>IFERROR(__xludf.DUMMYFUNCTION("""COMPUTED_VALUE"""),35.0)</f>
        <v>35</v>
      </c>
      <c r="B183" t="str">
        <f>IFERROR(__xludf.DUMMYFUNCTION("""COMPUTED_VALUE"""),"TAA2659")</f>
        <v>TAA2659</v>
      </c>
      <c r="C183">
        <f>IFERROR(__xludf.DUMMYFUNCTION("""COMPUTED_VALUE"""),1003204.0)</f>
        <v>1003204</v>
      </c>
      <c r="D183" t="str">
        <f>IFERROR(__xludf.DUMMYFUNCTION("""COMPUTED_VALUE"""),"Ms.")</f>
        <v>Ms.</v>
      </c>
      <c r="E183" t="str">
        <f>IFERROR(__xludf.DUMMYFUNCTION("""COMPUTED_VALUE"""),"Padiporn")</f>
        <v>Padiporn</v>
      </c>
      <c r="F183" t="str">
        <f>IFERROR(__xludf.DUMMYFUNCTION("""COMPUTED_VALUE"""),"Phopeng")</f>
        <v>Phopeng</v>
      </c>
      <c r="G183" t="str">
        <f>IFERROR(__xludf.DUMMYFUNCTION("""COMPUTED_VALUE"""),"Padiporn Phopeng")</f>
        <v>Padiporn Phopeng</v>
      </c>
    </row>
    <row r="184">
      <c r="A184" s="142">
        <f>IFERROR(__xludf.DUMMYFUNCTION("""COMPUTED_VALUE"""),35.0)</f>
        <v>35</v>
      </c>
      <c r="B184" t="str">
        <f>IFERROR(__xludf.DUMMYFUNCTION("""COMPUTED_VALUE"""),"TAA2821")</f>
        <v>TAA2821</v>
      </c>
      <c r="C184">
        <f>IFERROR(__xludf.DUMMYFUNCTION("""COMPUTED_VALUE"""),1004530.0)</f>
        <v>1004530</v>
      </c>
      <c r="D184" t="str">
        <f>IFERROR(__xludf.DUMMYFUNCTION("""COMPUTED_VALUE"""),"Ms.")</f>
        <v>Ms.</v>
      </c>
      <c r="E184" t="str">
        <f>IFERROR(__xludf.DUMMYFUNCTION("""COMPUTED_VALUE"""),"Nadlada")</f>
        <v>Nadlada</v>
      </c>
      <c r="F184" t="str">
        <f>IFERROR(__xludf.DUMMYFUNCTION("""COMPUTED_VALUE"""),"Sutham")</f>
        <v>Sutham</v>
      </c>
      <c r="G184" t="str">
        <f>IFERROR(__xludf.DUMMYFUNCTION("""COMPUTED_VALUE"""),"Nadlada Sutham")</f>
        <v>Nadlada Sutham</v>
      </c>
    </row>
    <row r="185">
      <c r="A185" s="142">
        <f>IFERROR(__xludf.DUMMYFUNCTION("""COMPUTED_VALUE"""),35.0)</f>
        <v>35</v>
      </c>
      <c r="B185" t="str">
        <f>IFERROR(__xludf.DUMMYFUNCTION("""COMPUTED_VALUE"""),"TAA2820")</f>
        <v>TAA2820</v>
      </c>
      <c r="C185">
        <f>IFERROR(__xludf.DUMMYFUNCTION("""COMPUTED_VALUE"""),1004531.0)</f>
        <v>1004531</v>
      </c>
      <c r="D185" t="str">
        <f>IFERROR(__xludf.DUMMYFUNCTION("""COMPUTED_VALUE"""),"Ms.")</f>
        <v>Ms.</v>
      </c>
      <c r="E185" t="str">
        <f>IFERROR(__xludf.DUMMYFUNCTION("""COMPUTED_VALUE"""),"Nattakan")</f>
        <v>Nattakan</v>
      </c>
      <c r="F185" t="str">
        <f>IFERROR(__xludf.DUMMYFUNCTION("""COMPUTED_VALUE"""),"Kanokpantarakorn (Meesat)")</f>
        <v>Kanokpantarakorn (Meesat)</v>
      </c>
      <c r="G185" t="str">
        <f>IFERROR(__xludf.DUMMYFUNCTION("""COMPUTED_VALUE"""),"Nattakan Kanokpantarakorn ")</f>
        <v>Nattakan Kanokpantarakorn </v>
      </c>
    </row>
    <row r="186">
      <c r="A186" s="142">
        <f>IFERROR(__xludf.DUMMYFUNCTION("""COMPUTED_VALUE"""),35.0)</f>
        <v>35</v>
      </c>
      <c r="B186" t="str">
        <f>IFERROR(__xludf.DUMMYFUNCTION("""COMPUTED_VALUE"""),"TAA2819")</f>
        <v>TAA2819</v>
      </c>
      <c r="C186">
        <f>IFERROR(__xludf.DUMMYFUNCTION("""COMPUTED_VALUE"""),1004532.0)</f>
        <v>1004532</v>
      </c>
      <c r="D186" t="str">
        <f>IFERROR(__xludf.DUMMYFUNCTION("""COMPUTED_VALUE"""),"Ms.")</f>
        <v>Ms.</v>
      </c>
      <c r="E186" t="str">
        <f>IFERROR(__xludf.DUMMYFUNCTION("""COMPUTED_VALUE"""),"Nichakan")</f>
        <v>Nichakan</v>
      </c>
      <c r="F186" t="str">
        <f>IFERROR(__xludf.DUMMYFUNCTION("""COMPUTED_VALUE"""),"Preeprem")</f>
        <v>Preeprem</v>
      </c>
      <c r="G186" t="str">
        <f>IFERROR(__xludf.DUMMYFUNCTION("""COMPUTED_VALUE"""),"Nichakan Preeprem")</f>
        <v>Nichakan Preeprem</v>
      </c>
    </row>
    <row r="187">
      <c r="A187" s="142">
        <f>IFERROR(__xludf.DUMMYFUNCTION("""COMPUTED_VALUE"""),35.0)</f>
        <v>35</v>
      </c>
      <c r="B187" t="str">
        <f>IFERROR(__xludf.DUMMYFUNCTION("""COMPUTED_VALUE"""),"TAA2827")</f>
        <v>TAA2827</v>
      </c>
      <c r="C187">
        <f>IFERROR(__xludf.DUMMYFUNCTION("""COMPUTED_VALUE"""),1004534.0)</f>
        <v>1004534</v>
      </c>
      <c r="D187" t="str">
        <f>IFERROR(__xludf.DUMMYFUNCTION("""COMPUTED_VALUE"""),"Ms.")</f>
        <v>Ms.</v>
      </c>
      <c r="E187" t="str">
        <f>IFERROR(__xludf.DUMMYFUNCTION("""COMPUTED_VALUE"""),"Omjai")</f>
        <v>Omjai</v>
      </c>
      <c r="F187" t="str">
        <f>IFERROR(__xludf.DUMMYFUNCTION("""COMPUTED_VALUE"""),"Chuchaisangrat (Sangkaew)")</f>
        <v>Chuchaisangrat (Sangkaew)</v>
      </c>
      <c r="G187" t="str">
        <f>IFERROR(__xludf.DUMMYFUNCTION("""COMPUTED_VALUE"""),"Omjai Chuchaisangrat")</f>
        <v>Omjai Chuchaisangrat</v>
      </c>
    </row>
    <row r="188">
      <c r="A188" s="142">
        <f>IFERROR(__xludf.DUMMYFUNCTION("""COMPUTED_VALUE"""),35.0)</f>
        <v>35</v>
      </c>
      <c r="B188" t="str">
        <f>IFERROR(__xludf.DUMMYFUNCTION("""COMPUTED_VALUE"""),"TAA2832")</f>
        <v>TAA2832</v>
      </c>
      <c r="C188">
        <f>IFERROR(__xludf.DUMMYFUNCTION("""COMPUTED_VALUE"""),1004536.0)</f>
        <v>1004536</v>
      </c>
      <c r="D188" t="str">
        <f>IFERROR(__xludf.DUMMYFUNCTION("""COMPUTED_VALUE"""),"Mr.")</f>
        <v>Mr.</v>
      </c>
      <c r="E188" t="str">
        <f>IFERROR(__xludf.DUMMYFUNCTION("""COMPUTED_VALUE"""),"Rathawit (Chanin)")</f>
        <v>Rathawit (Chanin)</v>
      </c>
      <c r="F188" t="str">
        <f>IFERROR(__xludf.DUMMYFUNCTION("""COMPUTED_VALUE"""),"Vachirasittapong (Intrachot)")</f>
        <v>Vachirasittapong (Intrachot)</v>
      </c>
      <c r="G188" t="str">
        <f>IFERROR(__xludf.DUMMYFUNCTION("""COMPUTED_VALUE"""),"Rathawit Vachirasittapong")</f>
        <v>Rathawit Vachirasittapong</v>
      </c>
    </row>
    <row r="189">
      <c r="A189" s="142">
        <f>IFERROR(__xludf.DUMMYFUNCTION("""COMPUTED_VALUE"""),35.0)</f>
        <v>35</v>
      </c>
      <c r="B189" t="str">
        <f>IFERROR(__xludf.DUMMYFUNCTION("""COMPUTED_VALUE"""),"TAA2833")</f>
        <v>TAA2833</v>
      </c>
      <c r="C189">
        <f>IFERROR(__xludf.DUMMYFUNCTION("""COMPUTED_VALUE"""),1004538.0)</f>
        <v>1004538</v>
      </c>
      <c r="D189" t="str">
        <f>IFERROR(__xludf.DUMMYFUNCTION("""COMPUTED_VALUE"""),"Ms.")</f>
        <v>Ms.</v>
      </c>
      <c r="E189" t="str">
        <f>IFERROR(__xludf.DUMMYFUNCTION("""COMPUTED_VALUE"""),"Sasipa")</f>
        <v>Sasipa</v>
      </c>
      <c r="F189" t="str">
        <f>IFERROR(__xludf.DUMMYFUNCTION("""COMPUTED_VALUE"""),"Lertkiertdamrong (Priwun)")</f>
        <v>Lertkiertdamrong (Priwun)</v>
      </c>
      <c r="G189" t="str">
        <f>IFERROR(__xludf.DUMMYFUNCTION("""COMPUTED_VALUE"""),"Sasipa Lertkiertdamrong")</f>
        <v>Sasipa Lertkiertdamrong</v>
      </c>
    </row>
    <row r="190">
      <c r="A190" s="142">
        <f>IFERROR(__xludf.DUMMYFUNCTION("""COMPUTED_VALUE"""),35.0)</f>
        <v>35</v>
      </c>
      <c r="B190" t="str">
        <f>IFERROR(__xludf.DUMMYFUNCTION("""COMPUTED_VALUE"""),"TAA2828")</f>
        <v>TAA2828</v>
      </c>
      <c r="C190">
        <f>IFERROR(__xludf.DUMMYFUNCTION("""COMPUTED_VALUE"""),1004539.0)</f>
        <v>1004539</v>
      </c>
      <c r="D190" t="str">
        <f>IFERROR(__xludf.DUMMYFUNCTION("""COMPUTED_VALUE"""),"Mr.")</f>
        <v>Mr.</v>
      </c>
      <c r="E190" t="str">
        <f>IFERROR(__xludf.DUMMYFUNCTION("""COMPUTED_VALUE"""),"Sukit")</f>
        <v>Sukit</v>
      </c>
      <c r="F190" t="str">
        <f>IFERROR(__xludf.DUMMYFUNCTION("""COMPUTED_VALUE"""),"Runghiranyathep")</f>
        <v>Runghiranyathep</v>
      </c>
      <c r="G190" t="str">
        <f>IFERROR(__xludf.DUMMYFUNCTION("""COMPUTED_VALUE"""),"Sukit Runghiranyathep")</f>
        <v>Sukit Runghiranyathep</v>
      </c>
    </row>
    <row r="191">
      <c r="A191" s="142">
        <f>IFERROR(__xludf.DUMMYFUNCTION("""COMPUTED_VALUE"""),35.0)</f>
        <v>35</v>
      </c>
      <c r="B191" t="str">
        <f>IFERROR(__xludf.DUMMYFUNCTION("""COMPUTED_VALUE"""),"TAA2830")</f>
        <v>TAA2830</v>
      </c>
      <c r="C191">
        <f>IFERROR(__xludf.DUMMYFUNCTION("""COMPUTED_VALUE"""),1004540.0)</f>
        <v>1004540</v>
      </c>
      <c r="D191" t="str">
        <f>IFERROR(__xludf.DUMMYFUNCTION("""COMPUTED_VALUE"""),"Ms.")</f>
        <v>Ms.</v>
      </c>
      <c r="E191" t="str">
        <f>IFERROR(__xludf.DUMMYFUNCTION("""COMPUTED_VALUE"""),"Thitipa")</f>
        <v>Thitipa</v>
      </c>
      <c r="F191" t="str">
        <f>IFERROR(__xludf.DUMMYFUNCTION("""COMPUTED_VALUE"""),"Pinthusaksit")</f>
        <v>Pinthusaksit</v>
      </c>
      <c r="G191" t="str">
        <f>IFERROR(__xludf.DUMMYFUNCTION("""COMPUTED_VALUE"""),"Thitipa Pinthusaksit")</f>
        <v>Thitipa Pinthusaksit</v>
      </c>
    </row>
    <row r="192">
      <c r="A192" s="142">
        <f>IFERROR(__xludf.DUMMYFUNCTION("""COMPUTED_VALUE"""),35.0)</f>
        <v>35</v>
      </c>
      <c r="B192" t="str">
        <f>IFERROR(__xludf.DUMMYFUNCTION("""COMPUTED_VALUE"""),"TAA2826")</f>
        <v>TAA2826</v>
      </c>
      <c r="C192">
        <f>IFERROR(__xludf.DUMMYFUNCTION("""COMPUTED_VALUE"""),1004541.0)</f>
        <v>1004541</v>
      </c>
      <c r="D192" t="str">
        <f>IFERROR(__xludf.DUMMYFUNCTION("""COMPUTED_VALUE"""),"Ms.")</f>
        <v>Ms.</v>
      </c>
      <c r="E192" t="str">
        <f>IFERROR(__xludf.DUMMYFUNCTION("""COMPUTED_VALUE"""),"Varaporn")</f>
        <v>Varaporn</v>
      </c>
      <c r="F192" t="str">
        <f>IFERROR(__xludf.DUMMYFUNCTION("""COMPUTED_VALUE"""),"Rattanamahasalchai")</f>
        <v>Rattanamahasalchai</v>
      </c>
      <c r="G192" t="str">
        <f>IFERROR(__xludf.DUMMYFUNCTION("""COMPUTED_VALUE"""),"Varaporn Rattanamahasalchai")</f>
        <v>Varaporn Rattanamahasalchai</v>
      </c>
    </row>
    <row r="194">
      <c r="A194" s="142">
        <f>IFERROR(__xludf.DUMMYFUNCTION("""COMPUTED_VALUE"""),36.0)</f>
        <v>36</v>
      </c>
      <c r="B194" t="str">
        <f>IFERROR(__xludf.DUMMYFUNCTION("""COMPUTED_VALUE"""),"TAA2472")</f>
        <v>TAA2472</v>
      </c>
      <c r="C194">
        <f>IFERROR(__xludf.DUMMYFUNCTION("""COMPUTED_VALUE"""),1003172.0)</f>
        <v>1003172</v>
      </c>
      <c r="D194" t="str">
        <f>IFERROR(__xludf.DUMMYFUNCTION("""COMPUTED_VALUE"""),"Ms.")</f>
        <v>Ms.</v>
      </c>
      <c r="E194" t="str">
        <f>IFERROR(__xludf.DUMMYFUNCTION("""COMPUTED_VALUE"""),"Natthanit")</f>
        <v>Natthanit</v>
      </c>
      <c r="F194" t="str">
        <f>IFERROR(__xludf.DUMMYFUNCTION("""COMPUTED_VALUE"""),"Kaewchoochuen")</f>
        <v>Kaewchoochuen</v>
      </c>
      <c r="G194" t="str">
        <f>IFERROR(__xludf.DUMMYFUNCTION("""COMPUTED_VALUE"""),"Natthanit Kaewchoochuen")</f>
        <v>Natthanit Kaewchoochuen</v>
      </c>
    </row>
    <row r="195">
      <c r="A195" s="142">
        <f>IFERROR(__xludf.DUMMYFUNCTION("""COMPUTED_VALUE"""),36.0)</f>
        <v>36</v>
      </c>
      <c r="B195" t="str">
        <f>IFERROR(__xludf.DUMMYFUNCTION("""COMPUTED_VALUE"""),"TAA2881")</f>
        <v>TAA2881</v>
      </c>
      <c r="C195">
        <f>IFERROR(__xludf.DUMMYFUNCTION("""COMPUTED_VALUE"""),1004569.0)</f>
        <v>1004569</v>
      </c>
      <c r="D195" t="str">
        <f>IFERROR(__xludf.DUMMYFUNCTION("""COMPUTED_VALUE"""),"Ms.")</f>
        <v>Ms.</v>
      </c>
      <c r="E195" t="str">
        <f>IFERROR(__xludf.DUMMYFUNCTION("""COMPUTED_VALUE"""),"Chutikul")</f>
        <v>Chutikul</v>
      </c>
      <c r="F195" t="str">
        <f>IFERROR(__xludf.DUMMYFUNCTION("""COMPUTED_VALUE"""),"Khruakham")</f>
        <v>Khruakham</v>
      </c>
      <c r="G195" t="str">
        <f>IFERROR(__xludf.DUMMYFUNCTION("""COMPUTED_VALUE"""),"Chutikul Khruakham")</f>
        <v>Chutikul Khruakham</v>
      </c>
    </row>
    <row r="196">
      <c r="A196" s="142">
        <f>IFERROR(__xludf.DUMMYFUNCTION("""COMPUTED_VALUE"""),36.0)</f>
        <v>36</v>
      </c>
      <c r="B196" t="str">
        <f>IFERROR(__xludf.DUMMYFUNCTION("""COMPUTED_VALUE"""),"TAA2868")</f>
        <v>TAA2868</v>
      </c>
      <c r="C196">
        <f>IFERROR(__xludf.DUMMYFUNCTION("""COMPUTED_VALUE"""),1004572.0)</f>
        <v>1004572</v>
      </c>
      <c r="D196" t="str">
        <f>IFERROR(__xludf.DUMMYFUNCTION("""COMPUTED_VALUE"""),"Ms.")</f>
        <v>Ms.</v>
      </c>
      <c r="E196" t="str">
        <f>IFERROR(__xludf.DUMMYFUNCTION("""COMPUTED_VALUE"""),"Kamolwan")</f>
        <v>Kamolwan</v>
      </c>
      <c r="F196" t="str">
        <f>IFERROR(__xludf.DUMMYFUNCTION("""COMPUTED_VALUE"""),"Khantidilokvongsa")</f>
        <v>Khantidilokvongsa</v>
      </c>
      <c r="G196" t="str">
        <f>IFERROR(__xludf.DUMMYFUNCTION("""COMPUTED_VALUE"""),"Kamolwan Khantidilokvongsa")</f>
        <v>Kamolwan Khantidilokvongsa</v>
      </c>
    </row>
    <row r="197">
      <c r="A197" s="142">
        <f>IFERROR(__xludf.DUMMYFUNCTION("""COMPUTED_VALUE"""),36.0)</f>
        <v>36</v>
      </c>
      <c r="B197" t="str">
        <f>IFERROR(__xludf.DUMMYFUNCTION("""COMPUTED_VALUE"""),"TAA2879")</f>
        <v>TAA2879</v>
      </c>
      <c r="C197">
        <f>IFERROR(__xludf.DUMMYFUNCTION("""COMPUTED_VALUE"""),1004579.0)</f>
        <v>1004579</v>
      </c>
      <c r="D197" t="str">
        <f>IFERROR(__xludf.DUMMYFUNCTION("""COMPUTED_VALUE"""),"Ms.")</f>
        <v>Ms.</v>
      </c>
      <c r="E197" t="str">
        <f>IFERROR(__xludf.DUMMYFUNCTION("""COMPUTED_VALUE"""),"Sanisara")</f>
        <v>Sanisara</v>
      </c>
      <c r="F197" t="str">
        <f>IFERROR(__xludf.DUMMYFUNCTION("""COMPUTED_VALUE"""),"Wongwejsawat")</f>
        <v>Wongwejsawat</v>
      </c>
      <c r="G197" t="str">
        <f>IFERROR(__xludf.DUMMYFUNCTION("""COMPUTED_VALUE"""),"Sanisara Wongwejsawat")</f>
        <v>Sanisara Wongwejsawat</v>
      </c>
    </row>
    <row r="198">
      <c r="A198" s="142">
        <f>IFERROR(__xludf.DUMMYFUNCTION("""COMPUTED_VALUE"""),36.0)</f>
        <v>36</v>
      </c>
      <c r="B198" t="str">
        <f>IFERROR(__xludf.DUMMYFUNCTION("""COMPUTED_VALUE"""),"TAA2860")</f>
        <v>TAA2860</v>
      </c>
      <c r="C198">
        <f>IFERROR(__xludf.DUMMYFUNCTION("""COMPUTED_VALUE"""),1004583.0)</f>
        <v>1004583</v>
      </c>
      <c r="D198" t="str">
        <f>IFERROR(__xludf.DUMMYFUNCTION("""COMPUTED_VALUE"""),"Ms.")</f>
        <v>Ms.</v>
      </c>
      <c r="E198" t="str">
        <f>IFERROR(__xludf.DUMMYFUNCTION("""COMPUTED_VALUE"""),"Suphanun")</f>
        <v>Suphanun</v>
      </c>
      <c r="F198" t="str">
        <f>IFERROR(__xludf.DUMMYFUNCTION("""COMPUTED_VALUE"""),"Yotpunya")</f>
        <v>Yotpunya</v>
      </c>
      <c r="G198" t="str">
        <f>IFERROR(__xludf.DUMMYFUNCTION("""COMPUTED_VALUE"""),"Suphanun Yotpunya")</f>
        <v>Suphanun Yotpunya</v>
      </c>
    </row>
    <row r="200">
      <c r="A200" s="142">
        <f>IFERROR(__xludf.DUMMYFUNCTION("""COMPUTED_VALUE"""),37.0)</f>
        <v>37</v>
      </c>
      <c r="B200" t="str">
        <f>IFERROR(__xludf.DUMMYFUNCTION("""COMPUTED_VALUE"""),"TAA2972")</f>
        <v>TAA2972</v>
      </c>
      <c r="C200">
        <f>IFERROR(__xludf.DUMMYFUNCTION("""COMPUTED_VALUE"""),1004744.0)</f>
        <v>1004744</v>
      </c>
      <c r="D200" t="str">
        <f>IFERROR(__xludf.DUMMYFUNCTION("""COMPUTED_VALUE"""),"Ms.")</f>
        <v>Ms.</v>
      </c>
      <c r="E200" t="str">
        <f>IFERROR(__xludf.DUMMYFUNCTION("""COMPUTED_VALUE"""),"Amornrat")</f>
        <v>Amornrat</v>
      </c>
      <c r="F200" t="str">
        <f>IFERROR(__xludf.DUMMYFUNCTION("""COMPUTED_VALUE"""),"Wattanawongkajon")</f>
        <v>Wattanawongkajon</v>
      </c>
      <c r="G200" t="str">
        <f>IFERROR(__xludf.DUMMYFUNCTION("""COMPUTED_VALUE"""),"Amornrat Wattanawongkajon")</f>
        <v>Amornrat Wattanawongkajon</v>
      </c>
    </row>
    <row r="201">
      <c r="A201" s="142">
        <f>IFERROR(__xludf.DUMMYFUNCTION("""COMPUTED_VALUE"""),37.0)</f>
        <v>37</v>
      </c>
      <c r="B201" t="str">
        <f>IFERROR(__xludf.DUMMYFUNCTION("""COMPUTED_VALUE"""),"TAA2970")</f>
        <v>TAA2970</v>
      </c>
      <c r="C201">
        <f>IFERROR(__xludf.DUMMYFUNCTION("""COMPUTED_VALUE"""),1004745.0)</f>
        <v>1004745</v>
      </c>
      <c r="D201" t="str">
        <f>IFERROR(__xludf.DUMMYFUNCTION("""COMPUTED_VALUE"""),"Ms.")</f>
        <v>Ms.</v>
      </c>
      <c r="E201" t="str">
        <f>IFERROR(__xludf.DUMMYFUNCTION("""COMPUTED_VALUE"""),"Angsumalin")</f>
        <v>Angsumalin</v>
      </c>
      <c r="F201" t="str">
        <f>IFERROR(__xludf.DUMMYFUNCTION("""COMPUTED_VALUE"""),"Arayachutinan")</f>
        <v>Arayachutinan</v>
      </c>
      <c r="G201" t="str">
        <f>IFERROR(__xludf.DUMMYFUNCTION("""COMPUTED_VALUE"""),"Angsumalin Arayachutinan")</f>
        <v>Angsumalin Arayachutinan</v>
      </c>
    </row>
    <row r="202">
      <c r="A202" s="142">
        <f>IFERROR(__xludf.DUMMYFUNCTION("""COMPUTED_VALUE"""),37.0)</f>
        <v>37</v>
      </c>
      <c r="B202" t="str">
        <f>IFERROR(__xludf.DUMMYFUNCTION("""COMPUTED_VALUE"""),"TAA2974")</f>
        <v>TAA2974</v>
      </c>
      <c r="C202">
        <f>IFERROR(__xludf.DUMMYFUNCTION("""COMPUTED_VALUE"""),1004748.0)</f>
        <v>1004748</v>
      </c>
      <c r="D202" t="str">
        <f>IFERROR(__xludf.DUMMYFUNCTION("""COMPUTED_VALUE"""),"Ms.")</f>
        <v>Ms.</v>
      </c>
      <c r="E202" t="str">
        <f>IFERROR(__xludf.DUMMYFUNCTION("""COMPUTED_VALUE"""),"Chirapha")</f>
        <v>Chirapha</v>
      </c>
      <c r="F202" t="str">
        <f>IFERROR(__xludf.DUMMYFUNCTION("""COMPUTED_VALUE"""),"Khlaikhlueng")</f>
        <v>Khlaikhlueng</v>
      </c>
      <c r="G202" t="str">
        <f>IFERROR(__xludf.DUMMYFUNCTION("""COMPUTED_VALUE"""),"Chirapha Khlaikhlueng")</f>
        <v>Chirapha Khlaikhlueng</v>
      </c>
    </row>
    <row r="203">
      <c r="A203" s="142">
        <f>IFERROR(__xludf.DUMMYFUNCTION("""COMPUTED_VALUE"""),37.0)</f>
        <v>37</v>
      </c>
      <c r="B203" t="str">
        <f>IFERROR(__xludf.DUMMYFUNCTION("""COMPUTED_VALUE"""),"TAA2964")</f>
        <v>TAA2964</v>
      </c>
      <c r="C203">
        <f>IFERROR(__xludf.DUMMYFUNCTION("""COMPUTED_VALUE"""),1004751.0)</f>
        <v>1004751</v>
      </c>
      <c r="D203" t="str">
        <f>IFERROR(__xludf.DUMMYFUNCTION("""COMPUTED_VALUE"""),"Ms.")</f>
        <v>Ms.</v>
      </c>
      <c r="E203" t="str">
        <f>IFERROR(__xludf.DUMMYFUNCTION("""COMPUTED_VALUE"""),"Manichaya")</f>
        <v>Manichaya</v>
      </c>
      <c r="F203" t="str">
        <f>IFERROR(__xludf.DUMMYFUNCTION("""COMPUTED_VALUE"""),"Samai")</f>
        <v>Samai</v>
      </c>
      <c r="G203" t="str">
        <f>IFERROR(__xludf.DUMMYFUNCTION("""COMPUTED_VALUE"""),"Manichaya Samai")</f>
        <v>Manichaya Samai</v>
      </c>
    </row>
    <row r="204">
      <c r="A204" s="142">
        <f>IFERROR(__xludf.DUMMYFUNCTION("""COMPUTED_VALUE"""),37.0)</f>
        <v>37</v>
      </c>
      <c r="B204" t="str">
        <f>IFERROR(__xludf.DUMMYFUNCTION("""COMPUTED_VALUE"""),"TAA2976")</f>
        <v>TAA2976</v>
      </c>
      <c r="C204">
        <f>IFERROR(__xludf.DUMMYFUNCTION("""COMPUTED_VALUE"""),1004754.0)</f>
        <v>1004754</v>
      </c>
      <c r="D204" t="str">
        <f>IFERROR(__xludf.DUMMYFUNCTION("""COMPUTED_VALUE"""),"Ms.")</f>
        <v>Ms.</v>
      </c>
      <c r="E204" t="str">
        <f>IFERROR(__xludf.DUMMYFUNCTION("""COMPUTED_VALUE"""),"Nantida")</f>
        <v>Nantida</v>
      </c>
      <c r="F204" t="str">
        <f>IFERROR(__xludf.DUMMYFUNCTION("""COMPUTED_VALUE"""),"Sae-Tan")</f>
        <v>Sae-Tan</v>
      </c>
      <c r="G204" t="str">
        <f>IFERROR(__xludf.DUMMYFUNCTION("""COMPUTED_VALUE"""),"Nantida Sae-Tan")</f>
        <v>Nantida Sae-Tan</v>
      </c>
    </row>
    <row r="205">
      <c r="A205" s="142">
        <f>IFERROR(__xludf.DUMMYFUNCTION("""COMPUTED_VALUE"""),37.0)</f>
        <v>37</v>
      </c>
      <c r="B205" t="str">
        <f>IFERROR(__xludf.DUMMYFUNCTION("""COMPUTED_VALUE"""),"TAA2963")</f>
        <v>TAA2963</v>
      </c>
      <c r="C205">
        <f>IFERROR(__xludf.DUMMYFUNCTION("""COMPUTED_VALUE"""),1004755.0)</f>
        <v>1004755</v>
      </c>
      <c r="D205" t="str">
        <f>IFERROR(__xludf.DUMMYFUNCTION("""COMPUTED_VALUE"""),"Ms.")</f>
        <v>Ms.</v>
      </c>
      <c r="E205" t="str">
        <f>IFERROR(__xludf.DUMMYFUNCTION("""COMPUTED_VALUE"""),"Nichapha")</f>
        <v>Nichapha</v>
      </c>
      <c r="F205" t="str">
        <f>IFERROR(__xludf.DUMMYFUNCTION("""COMPUTED_VALUE"""),"Ariyakulnimit")</f>
        <v>Ariyakulnimit</v>
      </c>
      <c r="G205" t="str">
        <f>IFERROR(__xludf.DUMMYFUNCTION("""COMPUTED_VALUE"""),"Nichapha Ariyakulnimit")</f>
        <v>Nichapha Ariyakulnimit</v>
      </c>
    </row>
    <row r="206">
      <c r="A206" s="142">
        <f>IFERROR(__xludf.DUMMYFUNCTION("""COMPUTED_VALUE"""),37.0)</f>
        <v>37</v>
      </c>
      <c r="B206" t="str">
        <f>IFERROR(__xludf.DUMMYFUNCTION("""COMPUTED_VALUE"""),"TAA2967")</f>
        <v>TAA2967</v>
      </c>
      <c r="C206">
        <f>IFERROR(__xludf.DUMMYFUNCTION("""COMPUTED_VALUE"""),1004757.0)</f>
        <v>1004757</v>
      </c>
      <c r="D206" t="str">
        <f>IFERROR(__xludf.DUMMYFUNCTION("""COMPUTED_VALUE"""),"Ms.")</f>
        <v>Ms.</v>
      </c>
      <c r="E206" t="str">
        <f>IFERROR(__xludf.DUMMYFUNCTION("""COMPUTED_VALUE"""),"Pimwaree")</f>
        <v>Pimwaree</v>
      </c>
      <c r="F206" t="str">
        <f>IFERROR(__xludf.DUMMYFUNCTION("""COMPUTED_VALUE"""),"Makmee")</f>
        <v>Makmee</v>
      </c>
      <c r="G206" t="str">
        <f>IFERROR(__xludf.DUMMYFUNCTION("""COMPUTED_VALUE"""),"Pimwaree Makmee")</f>
        <v>Pimwaree Makmee</v>
      </c>
    </row>
    <row r="207">
      <c r="A207" s="142">
        <f>IFERROR(__xludf.DUMMYFUNCTION("""COMPUTED_VALUE"""),37.0)</f>
        <v>37</v>
      </c>
      <c r="B207" t="str">
        <f>IFERROR(__xludf.DUMMYFUNCTION("""COMPUTED_VALUE"""),"TAA2971")</f>
        <v>TAA2971</v>
      </c>
      <c r="C207">
        <f>IFERROR(__xludf.DUMMYFUNCTION("""COMPUTED_VALUE"""),1004762.0)</f>
        <v>1004762</v>
      </c>
      <c r="D207" t="str">
        <f>IFERROR(__xludf.DUMMYFUNCTION("""COMPUTED_VALUE"""),"Ms.")</f>
        <v>Ms.</v>
      </c>
      <c r="E207" t="str">
        <f>IFERROR(__xludf.DUMMYFUNCTION("""COMPUTED_VALUE"""),"Thiprutai")</f>
        <v>Thiprutai</v>
      </c>
      <c r="F207" t="str">
        <f>IFERROR(__xludf.DUMMYFUNCTION("""COMPUTED_VALUE"""),"Dechpakdee")</f>
        <v>Dechpakdee</v>
      </c>
      <c r="G207" t="str">
        <f>IFERROR(__xludf.DUMMYFUNCTION("""COMPUTED_VALUE"""),"Thiprutai Dechpakdee")</f>
        <v>Thiprutai Dechpakdee</v>
      </c>
    </row>
    <row r="208">
      <c r="A208" s="142">
        <f>IFERROR(__xludf.DUMMYFUNCTION("""COMPUTED_VALUE"""),37.0)</f>
        <v>37</v>
      </c>
      <c r="B208" t="str">
        <f>IFERROR(__xludf.DUMMYFUNCTION("""COMPUTED_VALUE"""),"TAA2965")</f>
        <v>TAA2965</v>
      </c>
      <c r="C208">
        <f>IFERROR(__xludf.DUMMYFUNCTION("""COMPUTED_VALUE"""),1004764.0)</f>
        <v>1004764</v>
      </c>
      <c r="D208" t="str">
        <f>IFERROR(__xludf.DUMMYFUNCTION("""COMPUTED_VALUE"""),"Ms.")</f>
        <v>Ms.</v>
      </c>
      <c r="E208" t="str">
        <f>IFERROR(__xludf.DUMMYFUNCTION("""COMPUTED_VALUE"""),"Wakulnatt (Awatsara)")</f>
        <v>Wakulnatt (Awatsara)</v>
      </c>
      <c r="F208" t="str">
        <f>IFERROR(__xludf.DUMMYFUNCTION("""COMPUTED_VALUE"""),"Santipiyakul")</f>
        <v>Santipiyakul</v>
      </c>
      <c r="G208" t="str">
        <f>IFERROR(__xludf.DUMMYFUNCTION("""COMPUTED_VALUE"""),"Wakulnatt Santipiyakul")</f>
        <v>Wakulnatt Santipiyakul</v>
      </c>
    </row>
    <row r="209">
      <c r="A209" s="142">
        <f>IFERROR(__xludf.DUMMYFUNCTION("""COMPUTED_VALUE"""),37.0)</f>
        <v>37</v>
      </c>
      <c r="B209" t="str">
        <f>IFERROR(__xludf.DUMMYFUNCTION("""COMPUTED_VALUE"""),"TAA2968")</f>
        <v>TAA2968</v>
      </c>
      <c r="C209">
        <f>IFERROR(__xludf.DUMMYFUNCTION("""COMPUTED_VALUE"""),1004765.0)</f>
        <v>1004765</v>
      </c>
      <c r="D209" t="str">
        <f>IFERROR(__xludf.DUMMYFUNCTION("""COMPUTED_VALUE"""),"Ms.")</f>
        <v>Ms.</v>
      </c>
      <c r="E209" t="str">
        <f>IFERROR(__xludf.DUMMYFUNCTION("""COMPUTED_VALUE"""),"Wasinee")</f>
        <v>Wasinee</v>
      </c>
      <c r="F209" t="str">
        <f>IFERROR(__xludf.DUMMYFUNCTION("""COMPUTED_VALUE"""),"Leeopas")</f>
        <v>Leeopas</v>
      </c>
      <c r="G209" t="str">
        <f>IFERROR(__xludf.DUMMYFUNCTION("""COMPUTED_VALUE"""),"Wasinee Leeopas")</f>
        <v>Wasinee Leeopas</v>
      </c>
    </row>
    <row r="210">
      <c r="A210" s="142">
        <f>IFERROR(__xludf.DUMMYFUNCTION("""COMPUTED_VALUE"""),37.0)</f>
        <v>37</v>
      </c>
      <c r="B210" t="str">
        <f>IFERROR(__xludf.DUMMYFUNCTION("""COMPUTED_VALUE"""),"TAA2966")</f>
        <v>TAA2966</v>
      </c>
      <c r="C210">
        <f>IFERROR(__xludf.DUMMYFUNCTION("""COMPUTED_VALUE"""),1004766.0)</f>
        <v>1004766</v>
      </c>
      <c r="D210" t="str">
        <f>IFERROR(__xludf.DUMMYFUNCTION("""COMPUTED_VALUE"""),"Ms.")</f>
        <v>Ms.</v>
      </c>
      <c r="E210" t="str">
        <f>IFERROR(__xludf.DUMMYFUNCTION("""COMPUTED_VALUE"""),"Wijittra")</f>
        <v>Wijittra</v>
      </c>
      <c r="F210" t="str">
        <f>IFERROR(__xludf.DUMMYFUNCTION("""COMPUTED_VALUE"""),"Tapon")</f>
        <v>Tapon</v>
      </c>
      <c r="G210" t="str">
        <f>IFERROR(__xludf.DUMMYFUNCTION("""COMPUTED_VALUE"""),"Wijittra Tapon")</f>
        <v>Wijittra Tapon</v>
      </c>
    </row>
    <row r="212">
      <c r="A212" s="142">
        <f>IFERROR(__xludf.DUMMYFUNCTION("""COMPUTED_VALUE"""),38.0)</f>
        <v>38</v>
      </c>
      <c r="B212" t="str">
        <f>IFERROR(__xludf.DUMMYFUNCTION("""COMPUTED_VALUE"""),"TAA3008")</f>
        <v>TAA3008</v>
      </c>
      <c r="C212">
        <f>IFERROR(__xludf.DUMMYFUNCTION("""COMPUTED_VALUE"""),1004839.0)</f>
        <v>1004839</v>
      </c>
      <c r="D212" t="str">
        <f>IFERROR(__xludf.DUMMYFUNCTION("""COMPUTED_VALUE"""),"Ms.")</f>
        <v>Ms.</v>
      </c>
      <c r="E212" t="str">
        <f>IFERROR(__xludf.DUMMYFUNCTION("""COMPUTED_VALUE"""),"Jutarat")</f>
        <v>Jutarat</v>
      </c>
      <c r="F212" t="str">
        <f>IFERROR(__xludf.DUMMYFUNCTION("""COMPUTED_VALUE"""),"Permpornsri")</f>
        <v>Permpornsri</v>
      </c>
      <c r="G212" t="str">
        <f>IFERROR(__xludf.DUMMYFUNCTION("""COMPUTED_VALUE"""),"Jutarat Permpornsri")</f>
        <v>Jutarat Permpornsri</v>
      </c>
    </row>
    <row r="213">
      <c r="A213" s="142">
        <f>IFERROR(__xludf.DUMMYFUNCTION("""COMPUTED_VALUE"""),38.0)</f>
        <v>38</v>
      </c>
      <c r="B213" t="str">
        <f>IFERROR(__xludf.DUMMYFUNCTION("""COMPUTED_VALUE"""),"TAA3002")</f>
        <v>TAA3002</v>
      </c>
      <c r="C213">
        <f>IFERROR(__xludf.DUMMYFUNCTION("""COMPUTED_VALUE"""),1004850.0)</f>
        <v>1004850</v>
      </c>
      <c r="D213" t="str">
        <f>IFERROR(__xludf.DUMMYFUNCTION("""COMPUTED_VALUE"""),"Ms.")</f>
        <v>Ms.</v>
      </c>
      <c r="E213" t="str">
        <f>IFERROR(__xludf.DUMMYFUNCTION("""COMPUTED_VALUE"""),"Nantawan")</f>
        <v>Nantawan</v>
      </c>
      <c r="F213" t="str">
        <f>IFERROR(__xludf.DUMMYFUNCTION("""COMPUTED_VALUE"""),"Siripanich")</f>
        <v>Siripanich</v>
      </c>
      <c r="G213" t="str">
        <f>IFERROR(__xludf.DUMMYFUNCTION("""COMPUTED_VALUE"""),"Nantawan Siripanich")</f>
        <v>Nantawan Siripanich</v>
      </c>
    </row>
    <row r="214">
      <c r="A214" s="142">
        <f>IFERROR(__xludf.DUMMYFUNCTION("""COMPUTED_VALUE"""),38.0)</f>
        <v>38</v>
      </c>
      <c r="B214" t="str">
        <f>IFERROR(__xludf.DUMMYFUNCTION("""COMPUTED_VALUE"""),"TAA2999")</f>
        <v>TAA2999</v>
      </c>
      <c r="C214">
        <f>IFERROR(__xludf.DUMMYFUNCTION("""COMPUTED_VALUE"""),1004861.0)</f>
        <v>1004861</v>
      </c>
      <c r="D214" t="str">
        <f>IFERROR(__xludf.DUMMYFUNCTION("""COMPUTED_VALUE"""),"Ms.")</f>
        <v>Ms.</v>
      </c>
      <c r="E214" t="str">
        <f>IFERROR(__xludf.DUMMYFUNCTION("""COMPUTED_VALUE"""),"Seenzipunk (Sasipim)")</f>
        <v>Seenzipunk (Sasipim)</v>
      </c>
      <c r="F214" t="str">
        <f>IFERROR(__xludf.DUMMYFUNCTION("""COMPUTED_VALUE"""),"Boonnin")</f>
        <v>Boonnin</v>
      </c>
      <c r="G214" t="str">
        <f>IFERROR(__xludf.DUMMYFUNCTION("""COMPUTED_VALUE"""),"Seenzipunk Boonnin")</f>
        <v>Seenzipunk Boonnin</v>
      </c>
    </row>
    <row r="215">
      <c r="A215" s="142">
        <f>IFERROR(__xludf.DUMMYFUNCTION("""COMPUTED_VALUE"""),38.0)</f>
        <v>38</v>
      </c>
      <c r="B215" t="str">
        <f>IFERROR(__xludf.DUMMYFUNCTION("""COMPUTED_VALUE"""),"TAA3010")</f>
        <v>TAA3010</v>
      </c>
      <c r="C215">
        <f>IFERROR(__xludf.DUMMYFUNCTION("""COMPUTED_VALUE"""),1004863.0)</f>
        <v>1004863</v>
      </c>
      <c r="D215" t="str">
        <f>IFERROR(__xludf.DUMMYFUNCTION("""COMPUTED_VALUE"""),"Ms.")</f>
        <v>Ms.</v>
      </c>
      <c r="E215" t="str">
        <f>IFERROR(__xludf.DUMMYFUNCTION("""COMPUTED_VALUE"""),"Sirirat")</f>
        <v>Sirirat</v>
      </c>
      <c r="F215" t="str">
        <f>IFERROR(__xludf.DUMMYFUNCTION("""COMPUTED_VALUE"""),"Sirikul")</f>
        <v>Sirikul</v>
      </c>
      <c r="G215" t="str">
        <f>IFERROR(__xludf.DUMMYFUNCTION("""COMPUTED_VALUE"""),"Sirirat Sirikul")</f>
        <v>Sirirat Sirikul</v>
      </c>
    </row>
    <row r="217">
      <c r="A217" s="142">
        <f>IFERROR(__xludf.DUMMYFUNCTION("""COMPUTED_VALUE"""),39.0)</f>
        <v>39</v>
      </c>
      <c r="B217" t="str">
        <f>IFERROR(__xludf.DUMMYFUNCTION("""COMPUTED_VALUE"""),"TAA0461")</f>
        <v>TAA0461</v>
      </c>
      <c r="C217">
        <f>IFERROR(__xludf.DUMMYFUNCTION("""COMPUTED_VALUE"""),1000486.0)</f>
        <v>1000486</v>
      </c>
      <c r="D217" t="str">
        <f>IFERROR(__xludf.DUMMYFUNCTION("""COMPUTED_VALUE"""),"Ms.")</f>
        <v>Ms.</v>
      </c>
      <c r="E217" t="str">
        <f>IFERROR(__xludf.DUMMYFUNCTION("""COMPUTED_VALUE"""),"Ratthinan")</f>
        <v>Ratthinan</v>
      </c>
      <c r="F217" t="str">
        <f>IFERROR(__xludf.DUMMYFUNCTION("""COMPUTED_VALUE"""),"Wasupornwiboon")</f>
        <v>Wasupornwiboon</v>
      </c>
      <c r="G217" t="str">
        <f>IFERROR(__xludf.DUMMYFUNCTION("""COMPUTED_VALUE"""),"Ratthinan Wasupornwiboon")</f>
        <v>Ratthinan Wasupornwiboon</v>
      </c>
    </row>
    <row r="218">
      <c r="A218" s="142">
        <f>IFERROR(__xludf.DUMMYFUNCTION("""COMPUTED_VALUE"""),39.0)</f>
        <v>39</v>
      </c>
      <c r="B218" t="str">
        <f>IFERROR(__xludf.DUMMYFUNCTION("""COMPUTED_VALUE"""),"TAA2610")</f>
        <v>TAA2610</v>
      </c>
      <c r="C218">
        <f>IFERROR(__xludf.DUMMYFUNCTION("""COMPUTED_VALUE"""),1003340.0)</f>
        <v>1003340</v>
      </c>
      <c r="D218" t="str">
        <f>IFERROR(__xludf.DUMMYFUNCTION("""COMPUTED_VALUE"""),"Ms.")</f>
        <v>Ms.</v>
      </c>
      <c r="E218" t="str">
        <f>IFERROR(__xludf.DUMMYFUNCTION("""COMPUTED_VALUE"""),"Dararat")</f>
        <v>Dararat</v>
      </c>
      <c r="F218" t="str">
        <f>IFERROR(__xludf.DUMMYFUNCTION("""COMPUTED_VALUE"""),"Kataecha")</f>
        <v>Kataecha</v>
      </c>
      <c r="G218" t="str">
        <f>IFERROR(__xludf.DUMMYFUNCTION("""COMPUTED_VALUE"""),"Dararat Kataecha")</f>
        <v>Dararat Kataecha</v>
      </c>
    </row>
    <row r="219">
      <c r="A219" s="142">
        <f>IFERROR(__xludf.DUMMYFUNCTION("""COMPUTED_VALUE"""),39.0)</f>
        <v>39</v>
      </c>
      <c r="B219" t="str">
        <f>IFERROR(__xludf.DUMMYFUNCTION("""COMPUTED_VALUE"""),"TAA2793")</f>
        <v>TAA2793</v>
      </c>
      <c r="C219">
        <f>IFERROR(__xludf.DUMMYFUNCTION("""COMPUTED_VALUE"""),1004047.0)</f>
        <v>1004047</v>
      </c>
      <c r="D219" t="str">
        <f>IFERROR(__xludf.DUMMYFUNCTION("""COMPUTED_VALUE"""),"Ms.")</f>
        <v>Ms.</v>
      </c>
      <c r="E219" t="str">
        <f>IFERROR(__xludf.DUMMYFUNCTION("""COMPUTED_VALUE"""),"Sunisa")</f>
        <v>Sunisa</v>
      </c>
      <c r="F219" t="str">
        <f>IFERROR(__xludf.DUMMYFUNCTION("""COMPUTED_VALUE"""),"Panhirun")</f>
        <v>Panhirun</v>
      </c>
      <c r="G219" t="str">
        <f>IFERROR(__xludf.DUMMYFUNCTION("""COMPUTED_VALUE"""),"Sunisa Panhirun")</f>
        <v>Sunisa Panhirun</v>
      </c>
    </row>
    <row r="220">
      <c r="A220" s="142">
        <f>IFERROR(__xludf.DUMMYFUNCTION("""COMPUTED_VALUE"""),39.0)</f>
        <v>39</v>
      </c>
      <c r="B220" t="str">
        <f>IFERROR(__xludf.DUMMYFUNCTION("""COMPUTED_VALUE"""),"TAA3189")</f>
        <v>TAA3189</v>
      </c>
      <c r="C220">
        <f>IFERROR(__xludf.DUMMYFUNCTION("""COMPUTED_VALUE"""),1005278.0)</f>
        <v>1005278</v>
      </c>
      <c r="D220" t="str">
        <f>IFERROR(__xludf.DUMMYFUNCTION("""COMPUTED_VALUE"""),"Ms.")</f>
        <v>Ms.</v>
      </c>
      <c r="E220" t="str">
        <f>IFERROR(__xludf.DUMMYFUNCTION("""COMPUTED_VALUE"""),"Benjama")</f>
        <v>Benjama</v>
      </c>
      <c r="F220" t="str">
        <f>IFERROR(__xludf.DUMMYFUNCTION("""COMPUTED_VALUE"""),"Keyata")</f>
        <v>Keyata</v>
      </c>
      <c r="G220" t="str">
        <f>IFERROR(__xludf.DUMMYFUNCTION("""COMPUTED_VALUE"""),"Benjama Keyata")</f>
        <v>Benjama Keyata</v>
      </c>
    </row>
    <row r="221">
      <c r="A221" s="142">
        <f>IFERROR(__xludf.DUMMYFUNCTION("""COMPUTED_VALUE"""),39.0)</f>
        <v>39</v>
      </c>
      <c r="B221" t="str">
        <f>IFERROR(__xludf.DUMMYFUNCTION("""COMPUTED_VALUE"""),"TAA3176")</f>
        <v>TAA3176</v>
      </c>
      <c r="C221">
        <f>IFERROR(__xludf.DUMMYFUNCTION("""COMPUTED_VALUE"""),1005280.0)</f>
        <v>1005280</v>
      </c>
      <c r="D221" t="str">
        <f>IFERROR(__xludf.DUMMYFUNCTION("""COMPUTED_VALUE"""),"Ms.")</f>
        <v>Ms.</v>
      </c>
      <c r="E221" t="str">
        <f>IFERROR(__xludf.DUMMYFUNCTION("""COMPUTED_VALUE"""),"Napaporn")</f>
        <v>Napaporn</v>
      </c>
      <c r="F221" t="str">
        <f>IFERROR(__xludf.DUMMYFUNCTION("""COMPUTED_VALUE"""),"Termthanaporn")</f>
        <v>Termthanaporn</v>
      </c>
      <c r="G221" t="str">
        <f>IFERROR(__xludf.DUMMYFUNCTION("""COMPUTED_VALUE"""),"Napaporn Termthanaporn")</f>
        <v>Napaporn Termthanaporn</v>
      </c>
    </row>
    <row r="222">
      <c r="A222" s="142">
        <f>IFERROR(__xludf.DUMMYFUNCTION("""COMPUTED_VALUE"""),39.0)</f>
        <v>39</v>
      </c>
      <c r="B222" t="str">
        <f>IFERROR(__xludf.DUMMYFUNCTION("""COMPUTED_VALUE"""),"TAA3180")</f>
        <v>TAA3180</v>
      </c>
      <c r="C222">
        <f>IFERROR(__xludf.DUMMYFUNCTION("""COMPUTED_VALUE"""),1005287.0)</f>
        <v>1005287</v>
      </c>
      <c r="D222" t="str">
        <f>IFERROR(__xludf.DUMMYFUNCTION("""COMPUTED_VALUE"""),"Ms.")</f>
        <v>Ms.</v>
      </c>
      <c r="E222" t="str">
        <f>IFERROR(__xludf.DUMMYFUNCTION("""COMPUTED_VALUE"""),"Thanawan")</f>
        <v>Thanawan</v>
      </c>
      <c r="F222" t="str">
        <f>IFERROR(__xludf.DUMMYFUNCTION("""COMPUTED_VALUE"""),"Seemakul")</f>
        <v>Seemakul</v>
      </c>
      <c r="G222" t="str">
        <f>IFERROR(__xludf.DUMMYFUNCTION("""COMPUTED_VALUE"""),"Thanawan Seemakul")</f>
        <v>Thanawan Seemakul</v>
      </c>
    </row>
    <row r="223">
      <c r="A223" s="142">
        <f>IFERROR(__xludf.DUMMYFUNCTION("""COMPUTED_VALUE"""),39.0)</f>
        <v>39</v>
      </c>
      <c r="B223" t="str">
        <f>IFERROR(__xludf.DUMMYFUNCTION("""COMPUTED_VALUE"""),"TAA3190")</f>
        <v>TAA3190</v>
      </c>
      <c r="C223">
        <f>IFERROR(__xludf.DUMMYFUNCTION("""COMPUTED_VALUE"""),1005288.0)</f>
        <v>1005288</v>
      </c>
      <c r="D223" t="str">
        <f>IFERROR(__xludf.DUMMYFUNCTION("""COMPUTED_VALUE"""),"Ms.")</f>
        <v>Ms.</v>
      </c>
      <c r="E223" t="str">
        <f>IFERROR(__xludf.DUMMYFUNCTION("""COMPUTED_VALUE"""),"Thidarat")</f>
        <v>Thidarat</v>
      </c>
      <c r="F223" t="str">
        <f>IFERROR(__xludf.DUMMYFUNCTION("""COMPUTED_VALUE"""),"Potarin")</f>
        <v>Potarin</v>
      </c>
      <c r="G223" t="str">
        <f>IFERROR(__xludf.DUMMYFUNCTION("""COMPUTED_VALUE"""),"Thidarat Potarin")</f>
        <v>Thidarat Potarin</v>
      </c>
    </row>
    <row r="224">
      <c r="A224" s="142">
        <f>IFERROR(__xludf.DUMMYFUNCTION("""COMPUTED_VALUE"""),39.0)</f>
        <v>39</v>
      </c>
      <c r="B224" t="str">
        <f>IFERROR(__xludf.DUMMYFUNCTION("""COMPUTED_VALUE"""),"TAA3175")</f>
        <v>TAA3175</v>
      </c>
      <c r="C224">
        <f>IFERROR(__xludf.DUMMYFUNCTION("""COMPUTED_VALUE"""),1005289.0)</f>
        <v>1005289</v>
      </c>
      <c r="D224" t="str">
        <f>IFERROR(__xludf.DUMMYFUNCTION("""COMPUTED_VALUE"""),"Ms.")</f>
        <v>Ms.</v>
      </c>
      <c r="E224" t="str">
        <f>IFERROR(__xludf.DUMMYFUNCTION("""COMPUTED_VALUE"""),"Varoonyupa")</f>
        <v>Varoonyupa</v>
      </c>
      <c r="F224" t="str">
        <f>IFERROR(__xludf.DUMMYFUNCTION("""COMPUTED_VALUE"""),"Choovet")</f>
        <v>Choovet</v>
      </c>
      <c r="G224" t="str">
        <f>IFERROR(__xludf.DUMMYFUNCTION("""COMPUTED_VALUE"""),"Varoonyupa Choovet")</f>
        <v>Varoonyupa Choovet</v>
      </c>
    </row>
    <row r="226">
      <c r="A226" s="142">
        <f>IFERROR(__xludf.DUMMYFUNCTION("""COMPUTED_VALUE"""),40.0)</f>
        <v>40</v>
      </c>
      <c r="B226" t="str">
        <f>IFERROR(__xludf.DUMMYFUNCTION("""COMPUTED_VALUE"""),"TAA1595")</f>
        <v>TAA1595</v>
      </c>
      <c r="C226">
        <f>IFERROR(__xludf.DUMMYFUNCTION("""COMPUTED_VALUE"""),1001162.0)</f>
        <v>1001162</v>
      </c>
      <c r="D226" t="str">
        <f>IFERROR(__xludf.DUMMYFUNCTION("""COMPUTED_VALUE"""),"Ms.")</f>
        <v>Ms.</v>
      </c>
      <c r="E226" t="str">
        <f>IFERROR(__xludf.DUMMYFUNCTION("""COMPUTED_VALUE"""),"Preechaya")</f>
        <v>Preechaya</v>
      </c>
      <c r="F226" t="str">
        <f>IFERROR(__xludf.DUMMYFUNCTION("""COMPUTED_VALUE"""),"Rattanaporn")</f>
        <v>Rattanaporn</v>
      </c>
      <c r="G226" t="str">
        <f>IFERROR(__xludf.DUMMYFUNCTION("""COMPUTED_VALUE"""),"Preechaya Rattanaporn")</f>
        <v>Preechaya Rattanaporn</v>
      </c>
    </row>
    <row r="227">
      <c r="A227" s="142">
        <f>IFERROR(__xludf.DUMMYFUNCTION("""COMPUTED_VALUE"""),40.0)</f>
        <v>40</v>
      </c>
      <c r="B227" t="str">
        <f>IFERROR(__xludf.DUMMYFUNCTION("""COMPUTED_VALUE"""),"TAA1667")</f>
        <v>TAA1667</v>
      </c>
      <c r="C227">
        <f>IFERROR(__xludf.DUMMYFUNCTION("""COMPUTED_VALUE"""),1001787.0)</f>
        <v>1001787</v>
      </c>
      <c r="D227" t="str">
        <f>IFERROR(__xludf.DUMMYFUNCTION("""COMPUTED_VALUE"""),"Ms.")</f>
        <v>Ms.</v>
      </c>
      <c r="E227" t="str">
        <f>IFERROR(__xludf.DUMMYFUNCTION("""COMPUTED_VALUE"""),"Porntippa")</f>
        <v>Porntippa</v>
      </c>
      <c r="F227" t="str">
        <f>IFERROR(__xludf.DUMMYFUNCTION("""COMPUTED_VALUE"""),"Markpoon")</f>
        <v>Markpoon</v>
      </c>
      <c r="G227" t="str">
        <f>IFERROR(__xludf.DUMMYFUNCTION("""COMPUTED_VALUE"""),"Porntippa Markpoon")</f>
        <v>Porntippa Markpoon</v>
      </c>
    </row>
    <row r="228">
      <c r="A228" s="142">
        <f>IFERROR(__xludf.DUMMYFUNCTION("""COMPUTED_VALUE"""),40.0)</f>
        <v>40</v>
      </c>
      <c r="B228" t="str">
        <f>IFERROR(__xludf.DUMMYFUNCTION("""COMPUTED_VALUE"""),"TAA2170")</f>
        <v>TAA2170</v>
      </c>
      <c r="C228">
        <f>IFERROR(__xludf.DUMMYFUNCTION("""COMPUTED_VALUE"""),1002729.0)</f>
        <v>1002729</v>
      </c>
      <c r="D228" t="str">
        <f>IFERROR(__xludf.DUMMYFUNCTION("""COMPUTED_VALUE"""),"Mr.")</f>
        <v>Mr.</v>
      </c>
      <c r="E228" t="str">
        <f>IFERROR(__xludf.DUMMYFUNCTION("""COMPUTED_VALUE"""),"Raywat")</f>
        <v>Raywat</v>
      </c>
      <c r="F228" t="str">
        <f>IFERROR(__xludf.DUMMYFUNCTION("""COMPUTED_VALUE"""),"Sakulsom")</f>
        <v>Sakulsom</v>
      </c>
      <c r="G228" t="str">
        <f>IFERROR(__xludf.DUMMYFUNCTION("""COMPUTED_VALUE"""),"Raywat Sakulsom")</f>
        <v>Raywat Sakulsom</v>
      </c>
    </row>
    <row r="229">
      <c r="A229" s="142">
        <f>IFERROR(__xludf.DUMMYFUNCTION("""COMPUTED_VALUE"""),40.0)</f>
        <v>40</v>
      </c>
      <c r="B229" t="str">
        <f>IFERROR(__xludf.DUMMYFUNCTION("""COMPUTED_VALUE"""),"TAA3203")</f>
        <v>TAA3203</v>
      </c>
      <c r="C229">
        <f>IFERROR(__xludf.DUMMYFUNCTION("""COMPUTED_VALUE"""),1005290.0)</f>
        <v>1005290</v>
      </c>
      <c r="D229" t="str">
        <f>IFERROR(__xludf.DUMMYFUNCTION("""COMPUTED_VALUE"""),"Mr.")</f>
        <v>Mr.</v>
      </c>
      <c r="E229" t="str">
        <f>IFERROR(__xludf.DUMMYFUNCTION("""COMPUTED_VALUE"""),"Chalatpon")</f>
        <v>Chalatpon</v>
      </c>
      <c r="F229" t="str">
        <f>IFERROR(__xludf.DUMMYFUNCTION("""COMPUTED_VALUE"""),"Tangkanjanapas")</f>
        <v>Tangkanjanapas</v>
      </c>
      <c r="G229" t="str">
        <f>IFERROR(__xludf.DUMMYFUNCTION("""COMPUTED_VALUE"""),"Chalatpon Tangkanjanapas")</f>
        <v>Chalatpon Tangkanjanapas</v>
      </c>
    </row>
    <row r="230">
      <c r="A230" s="142">
        <f>IFERROR(__xludf.DUMMYFUNCTION("""COMPUTED_VALUE"""),40.0)</f>
        <v>40</v>
      </c>
      <c r="B230" t="str">
        <f>IFERROR(__xludf.DUMMYFUNCTION("""COMPUTED_VALUE"""),"TAA3205")</f>
        <v>TAA3205</v>
      </c>
      <c r="C230">
        <f>IFERROR(__xludf.DUMMYFUNCTION("""COMPUTED_VALUE"""),1005297.0)</f>
        <v>1005297</v>
      </c>
      <c r="D230" t="str">
        <f>IFERROR(__xludf.DUMMYFUNCTION("""COMPUTED_VALUE"""),"Ms.")</f>
        <v>Ms.</v>
      </c>
      <c r="E230" t="str">
        <f>IFERROR(__xludf.DUMMYFUNCTION("""COMPUTED_VALUE"""),"Kunapond")</f>
        <v>Kunapond</v>
      </c>
      <c r="F230" t="str">
        <f>IFERROR(__xludf.DUMMYFUNCTION("""COMPUTED_VALUE"""),"Wutayatornsakul")</f>
        <v>Wutayatornsakul</v>
      </c>
      <c r="G230" t="str">
        <f>IFERROR(__xludf.DUMMYFUNCTION("""COMPUTED_VALUE"""),"Kunapond Wutayatornsakul")</f>
        <v>Kunapond Wutayatornsakul</v>
      </c>
    </row>
    <row r="231">
      <c r="A231" s="142">
        <f>IFERROR(__xludf.DUMMYFUNCTION("""COMPUTED_VALUE"""),40.0)</f>
        <v>40</v>
      </c>
      <c r="B231" t="str">
        <f>IFERROR(__xludf.DUMMYFUNCTION("""COMPUTED_VALUE"""),"TAA3207")</f>
        <v>TAA3207</v>
      </c>
      <c r="C231">
        <f>IFERROR(__xludf.DUMMYFUNCTION("""COMPUTED_VALUE"""),1005299.0)</f>
        <v>1005299</v>
      </c>
      <c r="D231" t="str">
        <f>IFERROR(__xludf.DUMMYFUNCTION("""COMPUTED_VALUE"""),"Ms.")</f>
        <v>Ms.</v>
      </c>
      <c r="E231" t="str">
        <f>IFERROR(__xludf.DUMMYFUNCTION("""COMPUTED_VALUE"""),"Nannalin")</f>
        <v>Nannalin</v>
      </c>
      <c r="F231" t="str">
        <f>IFERROR(__xludf.DUMMYFUNCTION("""COMPUTED_VALUE"""),"Deetesna")</f>
        <v>Deetesna</v>
      </c>
      <c r="G231" t="str">
        <f>IFERROR(__xludf.DUMMYFUNCTION("""COMPUTED_VALUE"""),"Nan Deetesna")</f>
        <v>Nan Deetesna</v>
      </c>
    </row>
    <row r="232">
      <c r="A232" s="142">
        <f>IFERROR(__xludf.DUMMYFUNCTION("""COMPUTED_VALUE"""),40.0)</f>
        <v>40</v>
      </c>
      <c r="B232" t="str">
        <f>IFERROR(__xludf.DUMMYFUNCTION("""COMPUTED_VALUE"""),"TAA3206")</f>
        <v>TAA3206</v>
      </c>
      <c r="C232">
        <f>IFERROR(__xludf.DUMMYFUNCTION("""COMPUTED_VALUE"""),1005301.0)</f>
        <v>1005301</v>
      </c>
      <c r="D232" t="str">
        <f>IFERROR(__xludf.DUMMYFUNCTION("""COMPUTED_VALUE"""),"Ms.")</f>
        <v>Ms.</v>
      </c>
      <c r="E232" t="str">
        <f>IFERROR(__xludf.DUMMYFUNCTION("""COMPUTED_VALUE"""),"Pimpaporn")</f>
        <v>Pimpaporn</v>
      </c>
      <c r="F232" t="str">
        <f>IFERROR(__xludf.DUMMYFUNCTION("""COMPUTED_VALUE"""),"Sittitanggoon")</f>
        <v>Sittitanggoon</v>
      </c>
      <c r="G232" t="str">
        <f>IFERROR(__xludf.DUMMYFUNCTION("""COMPUTED_VALUE"""),"Pimpaporn Sittitanggoon")</f>
        <v>Pimpaporn Sittitanggoon</v>
      </c>
    </row>
    <row r="233">
      <c r="A233" s="142">
        <f>IFERROR(__xludf.DUMMYFUNCTION("""COMPUTED_VALUE"""),40.0)</f>
        <v>40</v>
      </c>
      <c r="B233" t="str">
        <f>IFERROR(__xludf.DUMMYFUNCTION("""COMPUTED_VALUE"""),"TAA3196")</f>
        <v>TAA3196</v>
      </c>
      <c r="C233">
        <f>IFERROR(__xludf.DUMMYFUNCTION("""COMPUTED_VALUE"""),1005302.0)</f>
        <v>1005302</v>
      </c>
      <c r="D233" t="str">
        <f>IFERROR(__xludf.DUMMYFUNCTION("""COMPUTED_VALUE"""),"Ms.")</f>
        <v>Ms.</v>
      </c>
      <c r="E233" t="str">
        <f>IFERROR(__xludf.DUMMYFUNCTION("""COMPUTED_VALUE"""),"Pinyada")</f>
        <v>Pinyada</v>
      </c>
      <c r="F233" t="str">
        <f>IFERROR(__xludf.DUMMYFUNCTION("""COMPUTED_VALUE"""),"Wachiradetsathain")</f>
        <v>Wachiradetsathain</v>
      </c>
      <c r="G233" t="str">
        <f>IFERROR(__xludf.DUMMYFUNCTION("""COMPUTED_VALUE"""),"Pinyada Wachiradetsathain")</f>
        <v>Pinyada Wachiradetsathain</v>
      </c>
    </row>
    <row r="234">
      <c r="A234" s="142">
        <f>IFERROR(__xludf.DUMMYFUNCTION("""COMPUTED_VALUE"""),40.0)</f>
        <v>40</v>
      </c>
      <c r="B234" t="str">
        <f>IFERROR(__xludf.DUMMYFUNCTION("""COMPUTED_VALUE"""),"TAA3200")</f>
        <v>TAA3200</v>
      </c>
      <c r="C234">
        <f>IFERROR(__xludf.DUMMYFUNCTION("""COMPUTED_VALUE"""),1005303.0)</f>
        <v>1005303</v>
      </c>
      <c r="D234" t="str">
        <f>IFERROR(__xludf.DUMMYFUNCTION("""COMPUTED_VALUE"""),"Ms.")</f>
        <v>Ms.</v>
      </c>
      <c r="E234" t="str">
        <f>IFERROR(__xludf.DUMMYFUNCTION("""COMPUTED_VALUE"""),"Piyathida")</f>
        <v>Piyathida</v>
      </c>
      <c r="F234" t="str">
        <f>IFERROR(__xludf.DUMMYFUNCTION("""COMPUTED_VALUE"""),"Jaikla")</f>
        <v>Jaikla</v>
      </c>
      <c r="G234" t="str">
        <f>IFERROR(__xludf.DUMMYFUNCTION("""COMPUTED_VALUE"""),"Piyathida Jaikla")</f>
        <v>Piyathida Jaikla</v>
      </c>
    </row>
    <row r="235">
      <c r="A235" s="142">
        <f>IFERROR(__xludf.DUMMYFUNCTION("""COMPUTED_VALUE"""),40.0)</f>
        <v>40</v>
      </c>
      <c r="B235" t="str">
        <f>IFERROR(__xludf.DUMMYFUNCTION("""COMPUTED_VALUE"""),"TAA3195")</f>
        <v>TAA3195</v>
      </c>
      <c r="C235">
        <f>IFERROR(__xludf.DUMMYFUNCTION("""COMPUTED_VALUE"""),1005304.0)</f>
        <v>1005304</v>
      </c>
      <c r="D235" t="str">
        <f>IFERROR(__xludf.DUMMYFUNCTION("""COMPUTED_VALUE"""),"Mr.")</f>
        <v>Mr.</v>
      </c>
      <c r="E235" t="str">
        <f>IFERROR(__xludf.DUMMYFUNCTION("""COMPUTED_VALUE"""),"Pongpon")</f>
        <v>Pongpon</v>
      </c>
      <c r="F235" t="str">
        <f>IFERROR(__xludf.DUMMYFUNCTION("""COMPUTED_VALUE"""),"Buasalee")</f>
        <v>Buasalee</v>
      </c>
      <c r="G235" t="str">
        <f>IFERROR(__xludf.DUMMYFUNCTION("""COMPUTED_VALUE"""),"Pongpon Buasalee")</f>
        <v>Pongpon Buasalee</v>
      </c>
    </row>
    <row r="236">
      <c r="A236" s="142">
        <f>IFERROR(__xludf.DUMMYFUNCTION("""COMPUTED_VALUE"""),40.0)</f>
        <v>40</v>
      </c>
      <c r="B236" t="str">
        <f>IFERROR(__xludf.DUMMYFUNCTION("""COMPUTED_VALUE"""),"TAA3211")</f>
        <v>TAA3211</v>
      </c>
      <c r="C236">
        <f>IFERROR(__xludf.DUMMYFUNCTION("""COMPUTED_VALUE"""),1005306.0)</f>
        <v>1005306</v>
      </c>
      <c r="D236" t="str">
        <f>IFERROR(__xludf.DUMMYFUNCTION("""COMPUTED_VALUE"""),"Ms.")</f>
        <v>Ms.</v>
      </c>
      <c r="E236" t="str">
        <f>IFERROR(__xludf.DUMMYFUNCTION("""COMPUTED_VALUE"""),"Sirirat")</f>
        <v>Sirirat</v>
      </c>
      <c r="F236" t="str">
        <f>IFERROR(__xludf.DUMMYFUNCTION("""COMPUTED_VALUE"""),"Kaewduangkhae")</f>
        <v>Kaewduangkhae</v>
      </c>
      <c r="G236" t="str">
        <f>IFERROR(__xludf.DUMMYFUNCTION("""COMPUTED_VALUE"""),"Sirirat Kaewduangkhae")</f>
        <v>Sirirat Kaewduangkhae</v>
      </c>
    </row>
    <row r="237">
      <c r="A237" s="142">
        <f>IFERROR(__xludf.DUMMYFUNCTION("""COMPUTED_VALUE"""),40.0)</f>
        <v>40</v>
      </c>
      <c r="B237" t="str">
        <f>IFERROR(__xludf.DUMMYFUNCTION("""COMPUTED_VALUE"""),"TAA3194")</f>
        <v>TAA3194</v>
      </c>
      <c r="C237">
        <f>IFERROR(__xludf.DUMMYFUNCTION("""COMPUTED_VALUE"""),1005307.0)</f>
        <v>1005307</v>
      </c>
      <c r="D237" t="str">
        <f>IFERROR(__xludf.DUMMYFUNCTION("""COMPUTED_VALUE"""),"Ms.")</f>
        <v>Ms.</v>
      </c>
      <c r="E237" t="str">
        <f>IFERROR(__xludf.DUMMYFUNCTION("""COMPUTED_VALUE"""),"Thanattha")</f>
        <v>Thanattha</v>
      </c>
      <c r="F237" t="str">
        <f>IFERROR(__xludf.DUMMYFUNCTION("""COMPUTED_VALUE"""),"Machai")</f>
        <v>Machai</v>
      </c>
      <c r="G237" t="str">
        <f>IFERROR(__xludf.DUMMYFUNCTION("""COMPUTED_VALUE"""),"Thanattha Machai")</f>
        <v>Thanattha Machai</v>
      </c>
    </row>
    <row r="238">
      <c r="A238" s="142">
        <f>IFERROR(__xludf.DUMMYFUNCTION("""COMPUTED_VALUE"""),40.0)</f>
        <v>40</v>
      </c>
      <c r="B238" t="str">
        <f>IFERROR(__xludf.DUMMYFUNCTION("""COMPUTED_VALUE"""),"TAA3209")</f>
        <v>TAA3209</v>
      </c>
      <c r="C238">
        <f>IFERROR(__xludf.DUMMYFUNCTION("""COMPUTED_VALUE"""),1005308.0)</f>
        <v>1005308</v>
      </c>
      <c r="D238" t="str">
        <f>IFERROR(__xludf.DUMMYFUNCTION("""COMPUTED_VALUE"""),"Mrs.")</f>
        <v>Mrs.</v>
      </c>
      <c r="E238" t="str">
        <f>IFERROR(__xludf.DUMMYFUNCTION("""COMPUTED_VALUE"""),"Yamonpat")</f>
        <v>Yamonpat</v>
      </c>
      <c r="F238" t="str">
        <f>IFERROR(__xludf.DUMMYFUNCTION("""COMPUTED_VALUE"""),"Kerk")</f>
        <v>Kerk</v>
      </c>
      <c r="G238" t="str">
        <f>IFERROR(__xludf.DUMMYFUNCTION("""COMPUTED_VALUE"""),"Yamonpat Kerk")</f>
        <v>Yamonpat Kerk</v>
      </c>
    </row>
    <row r="240">
      <c r="A240" s="142">
        <f>IFERROR(__xludf.DUMMYFUNCTION("""COMPUTED_VALUE"""),41.0)</f>
        <v>41</v>
      </c>
      <c r="B240" t="str">
        <f>IFERROR(__xludf.DUMMYFUNCTION("""COMPUTED_VALUE"""),"TAA0747")</f>
        <v>TAA0747</v>
      </c>
      <c r="C240">
        <f>IFERROR(__xludf.DUMMYFUNCTION("""COMPUTED_VALUE"""),1000732.0)</f>
        <v>1000732</v>
      </c>
      <c r="D240" t="str">
        <f>IFERROR(__xludf.DUMMYFUNCTION("""COMPUTED_VALUE"""),"Mr.")</f>
        <v>Mr.</v>
      </c>
      <c r="E240" t="str">
        <f>IFERROR(__xludf.DUMMYFUNCTION("""COMPUTED_VALUE"""),"Inthra")</f>
        <v>Inthra</v>
      </c>
      <c r="F240" t="str">
        <f>IFERROR(__xludf.DUMMYFUNCTION("""COMPUTED_VALUE"""),"Mathiang")</f>
        <v>Mathiang</v>
      </c>
      <c r="G240" t="str">
        <f>IFERROR(__xludf.DUMMYFUNCTION("""COMPUTED_VALUE"""),"Inthra Mathiang")</f>
        <v>Inthra Mathiang</v>
      </c>
    </row>
    <row r="241">
      <c r="A241" s="142">
        <f>IFERROR(__xludf.DUMMYFUNCTION("""COMPUTED_VALUE"""),41.0)</f>
        <v>41</v>
      </c>
      <c r="B241" t="str">
        <f>IFERROR(__xludf.DUMMYFUNCTION("""COMPUTED_VALUE"""),"TAA1601")</f>
        <v>TAA1601</v>
      </c>
      <c r="C241">
        <f>IFERROR(__xludf.DUMMYFUNCTION("""COMPUTED_VALUE"""),1001139.0)</f>
        <v>1001139</v>
      </c>
      <c r="D241" t="str">
        <f>IFERROR(__xludf.DUMMYFUNCTION("""COMPUTED_VALUE"""),"Ms.")</f>
        <v>Ms.</v>
      </c>
      <c r="E241" t="str">
        <f>IFERROR(__xludf.DUMMYFUNCTION("""COMPUTED_VALUE"""),"Lalada (Darawan)")</f>
        <v>Lalada (Darawan)</v>
      </c>
      <c r="F241" t="str">
        <f>IFERROR(__xludf.DUMMYFUNCTION("""COMPUTED_VALUE"""),"Thiengthip")</f>
        <v>Thiengthip</v>
      </c>
      <c r="G241" t="str">
        <f>IFERROR(__xludf.DUMMYFUNCTION("""COMPUTED_VALUE"""),"Lalada Thiengthip")</f>
        <v>Lalada Thiengthip</v>
      </c>
    </row>
    <row r="242">
      <c r="A242" s="142">
        <f>IFERROR(__xludf.DUMMYFUNCTION("""COMPUTED_VALUE"""),41.0)</f>
        <v>41</v>
      </c>
      <c r="B242" t="str">
        <f>IFERROR(__xludf.DUMMYFUNCTION("""COMPUTED_VALUE"""),"TAA1251")</f>
        <v>TAA1251</v>
      </c>
      <c r="C242">
        <f>IFERROR(__xludf.DUMMYFUNCTION("""COMPUTED_VALUE"""),1001216.0)</f>
        <v>1001216</v>
      </c>
      <c r="D242" t="str">
        <f>IFERROR(__xludf.DUMMYFUNCTION("""COMPUTED_VALUE"""),"Ms.")</f>
        <v>Ms.</v>
      </c>
      <c r="E242" t="str">
        <f>IFERROR(__xludf.DUMMYFUNCTION("""COMPUTED_VALUE"""),"Waraporn")</f>
        <v>Waraporn</v>
      </c>
      <c r="F242" t="str">
        <f>IFERROR(__xludf.DUMMYFUNCTION("""COMPUTED_VALUE"""),"Siripaiwan")</f>
        <v>Siripaiwan</v>
      </c>
      <c r="G242" t="str">
        <f>IFERROR(__xludf.DUMMYFUNCTION("""COMPUTED_VALUE"""),"Waraporn Siripaiwan")</f>
        <v>Waraporn Siripaiwan</v>
      </c>
    </row>
    <row r="243">
      <c r="A243" s="142">
        <f>IFERROR(__xludf.DUMMYFUNCTION("""COMPUTED_VALUE"""),41.0)</f>
        <v>41</v>
      </c>
      <c r="B243" t="str">
        <f>IFERROR(__xludf.DUMMYFUNCTION("""COMPUTED_VALUE"""),"TAA1953")</f>
        <v>TAA1953</v>
      </c>
      <c r="C243">
        <f>IFERROR(__xludf.DUMMYFUNCTION("""COMPUTED_VALUE"""),1001837.0)</f>
        <v>1001837</v>
      </c>
      <c r="D243" t="str">
        <f>IFERROR(__xludf.DUMMYFUNCTION("""COMPUTED_VALUE"""),"Ms.")</f>
        <v>Ms.</v>
      </c>
      <c r="E243" t="str">
        <f>IFERROR(__xludf.DUMMYFUNCTION("""COMPUTED_VALUE"""),"Taralan (Saowanee)")</f>
        <v>Taralan (Saowanee)</v>
      </c>
      <c r="F243" t="str">
        <f>IFERROR(__xludf.DUMMYFUNCTION("""COMPUTED_VALUE"""),"Jareemuk")</f>
        <v>Jareemuk</v>
      </c>
      <c r="G243" t="str">
        <f>IFERROR(__xludf.DUMMYFUNCTION("""COMPUTED_VALUE"""),"Taralan Jareemuk")</f>
        <v>Taralan Jareemuk</v>
      </c>
    </row>
    <row r="244">
      <c r="A244" s="142">
        <f>IFERROR(__xludf.DUMMYFUNCTION("""COMPUTED_VALUE"""),41.0)</f>
        <v>41</v>
      </c>
      <c r="B244" t="str">
        <f>IFERROR(__xludf.DUMMYFUNCTION("""COMPUTED_VALUE"""),"TAA2051")</f>
        <v>TAA2051</v>
      </c>
      <c r="C244">
        <f>IFERROR(__xludf.DUMMYFUNCTION("""COMPUTED_VALUE"""),1002478.0)</f>
        <v>1002478</v>
      </c>
      <c r="D244" t="str">
        <f>IFERROR(__xludf.DUMMYFUNCTION("""COMPUTED_VALUE"""),"Ms.")</f>
        <v>Ms.</v>
      </c>
      <c r="E244" t="str">
        <f>IFERROR(__xludf.DUMMYFUNCTION("""COMPUTED_VALUE"""),"Kamonwan")</f>
        <v>Kamonwan</v>
      </c>
      <c r="F244" t="str">
        <f>IFERROR(__xludf.DUMMYFUNCTION("""COMPUTED_VALUE"""),"Kalsook")</f>
        <v>Kalsook</v>
      </c>
      <c r="G244" t="str">
        <f>IFERROR(__xludf.DUMMYFUNCTION("""COMPUTED_VALUE"""),"Kamonwan Kalsook")</f>
        <v>Kamonwan Kalsook</v>
      </c>
    </row>
    <row r="245">
      <c r="A245" s="142">
        <f>IFERROR(__xludf.DUMMYFUNCTION("""COMPUTED_VALUE"""),41.0)</f>
        <v>41</v>
      </c>
      <c r="B245" t="str">
        <f>IFERROR(__xludf.DUMMYFUNCTION("""COMPUTED_VALUE"""),"TAA3249")</f>
        <v>TAA3249</v>
      </c>
      <c r="C245">
        <f>IFERROR(__xludf.DUMMYFUNCTION("""COMPUTED_VALUE"""),1005431.0)</f>
        <v>1005431</v>
      </c>
      <c r="D245" t="str">
        <f>IFERROR(__xludf.DUMMYFUNCTION("""COMPUTED_VALUE"""),"Ms.")</f>
        <v>Ms.</v>
      </c>
      <c r="E245" t="str">
        <f>IFERROR(__xludf.DUMMYFUNCTION("""COMPUTED_VALUE"""),"Jarintip")</f>
        <v>Jarintip</v>
      </c>
      <c r="F245" t="str">
        <f>IFERROR(__xludf.DUMMYFUNCTION("""COMPUTED_VALUE"""),"Chaowasin (Chomsuwan)")</f>
        <v>Chaowasin (Chomsuwan)</v>
      </c>
      <c r="G245" t="str">
        <f>IFERROR(__xludf.DUMMYFUNCTION("""COMPUTED_VALUE"""),"Jarintip Chaowasin")</f>
        <v>Jarintip Chaowasin</v>
      </c>
    </row>
    <row r="246">
      <c r="A246" s="142">
        <f>IFERROR(__xludf.DUMMYFUNCTION("""COMPUTED_VALUE"""),41.0)</f>
        <v>41</v>
      </c>
      <c r="B246" t="str">
        <f>IFERROR(__xludf.DUMMYFUNCTION("""COMPUTED_VALUE"""),"TAA3253")</f>
        <v>TAA3253</v>
      </c>
      <c r="C246">
        <f>IFERROR(__xludf.DUMMYFUNCTION("""COMPUTED_VALUE"""),1005440.0)</f>
        <v>1005440</v>
      </c>
      <c r="D246" t="str">
        <f>IFERROR(__xludf.DUMMYFUNCTION("""COMPUTED_VALUE"""),"Ms.")</f>
        <v>Ms.</v>
      </c>
      <c r="E246" t="str">
        <f>IFERROR(__xludf.DUMMYFUNCTION("""COMPUTED_VALUE"""),"Parinda")</f>
        <v>Parinda</v>
      </c>
      <c r="F246" t="str">
        <f>IFERROR(__xludf.DUMMYFUNCTION("""COMPUTED_VALUE"""),"Vidhecharoengul")</f>
        <v>Vidhecharoengul</v>
      </c>
      <c r="G246" t="str">
        <f>IFERROR(__xludf.DUMMYFUNCTION("""COMPUTED_VALUE"""),"Parinda Vidhecharoengul")</f>
        <v>Parinda Vidhecharoengul</v>
      </c>
    </row>
    <row r="247">
      <c r="A247" s="142">
        <f>IFERROR(__xludf.DUMMYFUNCTION("""COMPUTED_VALUE"""),41.0)</f>
        <v>41</v>
      </c>
      <c r="B247" t="str">
        <f>IFERROR(__xludf.DUMMYFUNCTION("""COMPUTED_VALUE"""),"TAA3262")</f>
        <v>TAA3262</v>
      </c>
      <c r="C247">
        <f>IFERROR(__xludf.DUMMYFUNCTION("""COMPUTED_VALUE"""),1005443.0)</f>
        <v>1005443</v>
      </c>
      <c r="D247" t="str">
        <f>IFERROR(__xludf.DUMMYFUNCTION("""COMPUTED_VALUE"""),"Ms.")</f>
        <v>Ms.</v>
      </c>
      <c r="E247" t="str">
        <f>IFERROR(__xludf.DUMMYFUNCTION("""COMPUTED_VALUE"""),"Pipassa")</f>
        <v>Pipassa</v>
      </c>
      <c r="F247" t="str">
        <f>IFERROR(__xludf.DUMMYFUNCTION("""COMPUTED_VALUE"""),"Laopiyasakul")</f>
        <v>Laopiyasakul</v>
      </c>
      <c r="G247" t="str">
        <f>IFERROR(__xludf.DUMMYFUNCTION("""COMPUTED_VALUE"""),"Pipassa Laopiyasakul")</f>
        <v>Pipassa Laopiyasakul</v>
      </c>
    </row>
    <row r="248">
      <c r="A248" s="142">
        <f>IFERROR(__xludf.DUMMYFUNCTION("""COMPUTED_VALUE"""),41.0)</f>
        <v>41</v>
      </c>
      <c r="B248" t="str">
        <f>IFERROR(__xludf.DUMMYFUNCTION("""COMPUTED_VALUE"""),"TAA3250")</f>
        <v>TAA3250</v>
      </c>
      <c r="C248">
        <f>IFERROR(__xludf.DUMMYFUNCTION("""COMPUTED_VALUE"""),1005444.0)</f>
        <v>1005444</v>
      </c>
      <c r="D248" t="str">
        <f>IFERROR(__xludf.DUMMYFUNCTION("""COMPUTED_VALUE"""),"Ms.")</f>
        <v>Ms.</v>
      </c>
      <c r="E248" t="str">
        <f>IFERROR(__xludf.DUMMYFUNCTION("""COMPUTED_VALUE"""),"Rassarin")</f>
        <v>Rassarin</v>
      </c>
      <c r="F248" t="str">
        <f>IFERROR(__xludf.DUMMYFUNCTION("""COMPUTED_VALUE"""),"Weerathammavit")</f>
        <v>Weerathammavit</v>
      </c>
      <c r="G248" t="str">
        <f>IFERROR(__xludf.DUMMYFUNCTION("""COMPUTED_VALUE"""),"Rassarin Weerathammavit")</f>
        <v>Rassarin Weerathammavit</v>
      </c>
    </row>
    <row r="249">
      <c r="A249" s="142">
        <f>IFERROR(__xludf.DUMMYFUNCTION("""COMPUTED_VALUE"""),41.0)</f>
        <v>41</v>
      </c>
      <c r="B249" t="str">
        <f>IFERROR(__xludf.DUMMYFUNCTION("""COMPUTED_VALUE"""),"TAA3256")</f>
        <v>TAA3256</v>
      </c>
      <c r="C249">
        <f>IFERROR(__xludf.DUMMYFUNCTION("""COMPUTED_VALUE"""),1005449.0)</f>
        <v>1005449</v>
      </c>
      <c r="D249" t="str">
        <f>IFERROR(__xludf.DUMMYFUNCTION("""COMPUTED_VALUE"""),"Mr.")</f>
        <v>Mr.</v>
      </c>
      <c r="E249" t="str">
        <f>IFERROR(__xludf.DUMMYFUNCTION("""COMPUTED_VALUE"""),"Patan (Suthipong)")</f>
        <v>Patan (Suthipong)</v>
      </c>
      <c r="F249" t="str">
        <f>IFERROR(__xludf.DUMMYFUNCTION("""COMPUTED_VALUE"""),"Srivichai")</f>
        <v>Srivichai</v>
      </c>
      <c r="G249" t="str">
        <f>IFERROR(__xludf.DUMMYFUNCTION("""COMPUTED_VALUE"""),"Patan  Srivichai")</f>
        <v>Patan  Srivichai</v>
      </c>
    </row>
    <row r="251">
      <c r="A251" s="142">
        <f>IFERROR(__xludf.DUMMYFUNCTION("""COMPUTED_VALUE"""),43.0)</f>
        <v>43</v>
      </c>
      <c r="B251" t="str">
        <f>IFERROR(__xludf.DUMMYFUNCTION("""COMPUTED_VALUE"""),"TAA3399")</f>
        <v>TAA3399</v>
      </c>
      <c r="C251">
        <f>IFERROR(__xludf.DUMMYFUNCTION("""COMPUTED_VALUE"""),1005741.0)</f>
        <v>1005741</v>
      </c>
      <c r="D251" t="str">
        <f>IFERROR(__xludf.DUMMYFUNCTION("""COMPUTED_VALUE"""),"Ms.")</f>
        <v>Ms.</v>
      </c>
      <c r="E251" t="str">
        <f>IFERROR(__xludf.DUMMYFUNCTION("""COMPUTED_VALUE"""),"Chanyawat")</f>
        <v>Chanyawat</v>
      </c>
      <c r="F251" t="str">
        <f>IFERROR(__xludf.DUMMYFUNCTION("""COMPUTED_VALUE"""),"Ruchiratheekhakul")</f>
        <v>Ruchiratheekhakul</v>
      </c>
      <c r="G251" t="str">
        <f>IFERROR(__xludf.DUMMYFUNCTION("""COMPUTED_VALUE"""),"Chanyawat Ruchiratheekhakul")</f>
        <v>Chanyawat Ruchiratheekhakul</v>
      </c>
    </row>
    <row r="252">
      <c r="A252" s="142">
        <f>IFERROR(__xludf.DUMMYFUNCTION("""COMPUTED_VALUE"""),43.0)</f>
        <v>43</v>
      </c>
      <c r="B252" t="str">
        <f>IFERROR(__xludf.DUMMYFUNCTION("""COMPUTED_VALUE"""),"TAA3398")</f>
        <v>TAA3398</v>
      </c>
      <c r="C252">
        <f>IFERROR(__xludf.DUMMYFUNCTION("""COMPUTED_VALUE"""),1005748.0)</f>
        <v>1005748</v>
      </c>
      <c r="D252" t="str">
        <f>IFERROR(__xludf.DUMMYFUNCTION("""COMPUTED_VALUE"""),"Ms.")</f>
        <v>Ms.</v>
      </c>
      <c r="E252" t="str">
        <f>IFERROR(__xludf.DUMMYFUNCTION("""COMPUTED_VALUE"""),"Gam")</f>
        <v>Gam</v>
      </c>
      <c r="F252" t="str">
        <f>IFERROR(__xludf.DUMMYFUNCTION("""COMPUTED_VALUE"""),"Keultachavanich")</f>
        <v>Keultachavanich</v>
      </c>
      <c r="G252" t="str">
        <f>IFERROR(__xludf.DUMMYFUNCTION("""COMPUTED_VALUE"""),"Gam Keultachavanich")</f>
        <v>Gam Keultachavanich</v>
      </c>
    </row>
    <row r="253">
      <c r="A253" s="142">
        <f>IFERROR(__xludf.DUMMYFUNCTION("""COMPUTED_VALUE"""),43.0)</f>
        <v>43</v>
      </c>
      <c r="B253" t="str">
        <f>IFERROR(__xludf.DUMMYFUNCTION("""COMPUTED_VALUE"""),"TAA3405")</f>
        <v>TAA3405</v>
      </c>
      <c r="C253">
        <f>IFERROR(__xludf.DUMMYFUNCTION("""COMPUTED_VALUE"""),1005753.0)</f>
        <v>1005753</v>
      </c>
      <c r="D253" t="str">
        <f>IFERROR(__xludf.DUMMYFUNCTION("""COMPUTED_VALUE"""),"Ms.")</f>
        <v>Ms.</v>
      </c>
      <c r="E253" t="str">
        <f>IFERROR(__xludf.DUMMYFUNCTION("""COMPUTED_VALUE"""),"Kamolchanok")</f>
        <v>Kamolchanok</v>
      </c>
      <c r="F253" t="str">
        <f>IFERROR(__xludf.DUMMYFUNCTION("""COMPUTED_VALUE"""),"Khantidilokvongsa")</f>
        <v>Khantidilokvongsa</v>
      </c>
      <c r="G253" t="str">
        <f>IFERROR(__xludf.DUMMYFUNCTION("""COMPUTED_VALUE"""),"Kamolchanok Khantidilokvongsa")</f>
        <v>Kamolchanok Khantidilokvongsa</v>
      </c>
    </row>
    <row r="254">
      <c r="A254" s="142">
        <f>IFERROR(__xludf.DUMMYFUNCTION("""COMPUTED_VALUE"""),43.0)</f>
        <v>43</v>
      </c>
      <c r="B254" t="str">
        <f>IFERROR(__xludf.DUMMYFUNCTION("""COMPUTED_VALUE"""),"TAA3401")</f>
        <v>TAA3401</v>
      </c>
      <c r="C254">
        <f>IFERROR(__xludf.DUMMYFUNCTION("""COMPUTED_VALUE"""),1005757.0)</f>
        <v>1005757</v>
      </c>
      <c r="D254" t="str">
        <f>IFERROR(__xludf.DUMMYFUNCTION("""COMPUTED_VALUE"""),"Ms.")</f>
        <v>Ms.</v>
      </c>
      <c r="E254" t="str">
        <f>IFERROR(__xludf.DUMMYFUNCTION("""COMPUTED_VALUE"""),"Mintra")</f>
        <v>Mintra</v>
      </c>
      <c r="F254" t="str">
        <f>IFERROR(__xludf.DUMMYFUNCTION("""COMPUTED_VALUE"""),"Thamadee")</f>
        <v>Thamadee</v>
      </c>
      <c r="G254" t="str">
        <f>IFERROR(__xludf.DUMMYFUNCTION("""COMPUTED_VALUE"""),"Mintra Thamadee")</f>
        <v>Mintra Thamadee</v>
      </c>
    </row>
    <row r="255">
      <c r="A255" s="142">
        <f>IFERROR(__xludf.DUMMYFUNCTION("""COMPUTED_VALUE"""),43.0)</f>
        <v>43</v>
      </c>
      <c r="B255" t="str">
        <f>IFERROR(__xludf.DUMMYFUNCTION("""COMPUTED_VALUE"""),"TAA3404")</f>
        <v>TAA3404</v>
      </c>
      <c r="C255">
        <f>IFERROR(__xludf.DUMMYFUNCTION("""COMPUTED_VALUE"""),1005759.0)</f>
        <v>1005759</v>
      </c>
      <c r="D255" t="str">
        <f>IFERROR(__xludf.DUMMYFUNCTION("""COMPUTED_VALUE"""),"Ms.")</f>
        <v>Ms.</v>
      </c>
      <c r="E255" t="str">
        <f>IFERROR(__xludf.DUMMYFUNCTION("""COMPUTED_VALUE"""),"Nirinya (Nilubon)")</f>
        <v>Nirinya (Nilubon)</v>
      </c>
      <c r="F255" t="str">
        <f>IFERROR(__xludf.DUMMYFUNCTION("""COMPUTED_VALUE"""),"Arunthanakulphat (Samlee)")</f>
        <v>Arunthanakulphat (Samlee)</v>
      </c>
      <c r="G255" t="str">
        <f>IFERROR(__xludf.DUMMYFUNCTION("""COMPUTED_VALUE"""),"Nirinya Arunthanakulphat")</f>
        <v>Nirinya Arunthanakulphat</v>
      </c>
    </row>
    <row r="256">
      <c r="A256" s="142">
        <f>IFERROR(__xludf.DUMMYFUNCTION("""COMPUTED_VALUE"""),43.0)</f>
        <v>43</v>
      </c>
      <c r="B256" t="str">
        <f>IFERROR(__xludf.DUMMYFUNCTION("""COMPUTED_VALUE"""),"TAA3387")</f>
        <v>TAA3387</v>
      </c>
      <c r="C256">
        <f>IFERROR(__xludf.DUMMYFUNCTION("""COMPUTED_VALUE"""),1005762.0)</f>
        <v>1005762</v>
      </c>
      <c r="D256" t="str">
        <f>IFERROR(__xludf.DUMMYFUNCTION("""COMPUTED_VALUE"""),"Mr.")</f>
        <v>Mr.</v>
      </c>
      <c r="E256" t="str">
        <f>IFERROR(__xludf.DUMMYFUNCTION("""COMPUTED_VALUE"""),"Photchara")</f>
        <v>Photchara</v>
      </c>
      <c r="F256" t="str">
        <f>IFERROR(__xludf.DUMMYFUNCTION("""COMPUTED_VALUE"""),"Srisuk")</f>
        <v>Srisuk</v>
      </c>
      <c r="G256" t="str">
        <f>IFERROR(__xludf.DUMMYFUNCTION("""COMPUTED_VALUE"""),"Photchara Srisuk")</f>
        <v>Photchara Srisuk</v>
      </c>
    </row>
    <row r="257">
      <c r="A257" s="142">
        <f>IFERROR(__xludf.DUMMYFUNCTION("""COMPUTED_VALUE"""),43.0)</f>
        <v>43</v>
      </c>
      <c r="B257" t="str">
        <f>IFERROR(__xludf.DUMMYFUNCTION("""COMPUTED_VALUE"""),"TAA3396")</f>
        <v>TAA3396</v>
      </c>
      <c r="C257">
        <f>IFERROR(__xludf.DUMMYFUNCTION("""COMPUTED_VALUE"""),1005763.0)</f>
        <v>1005763</v>
      </c>
      <c r="D257" t="str">
        <f>IFERROR(__xludf.DUMMYFUNCTION("""COMPUTED_VALUE"""),"Ms.")</f>
        <v>Ms.</v>
      </c>
      <c r="E257" t="str">
        <f>IFERROR(__xludf.DUMMYFUNCTION("""COMPUTED_VALUE"""),"Pranpriya")</f>
        <v>Pranpriya</v>
      </c>
      <c r="F257" t="str">
        <f>IFERROR(__xludf.DUMMYFUNCTION("""COMPUTED_VALUE"""),"Rujirakamolvit")</f>
        <v>Rujirakamolvit</v>
      </c>
      <c r="G257" t="str">
        <f>IFERROR(__xludf.DUMMYFUNCTION("""COMPUTED_VALUE"""),"Pranpriya Rujirakamolvit")</f>
        <v>Pranpriya Rujirakamolvit</v>
      </c>
    </row>
    <row r="258">
      <c r="A258" s="142">
        <f>IFERROR(__xludf.DUMMYFUNCTION("""COMPUTED_VALUE"""),43.0)</f>
        <v>43</v>
      </c>
      <c r="B258" t="str">
        <f>IFERROR(__xludf.DUMMYFUNCTION("""COMPUTED_VALUE"""),"TAA3392")</f>
        <v>TAA3392</v>
      </c>
      <c r="C258">
        <f>IFERROR(__xludf.DUMMYFUNCTION("""COMPUTED_VALUE"""),1005765.0)</f>
        <v>1005765</v>
      </c>
      <c r="D258" t="str">
        <f>IFERROR(__xludf.DUMMYFUNCTION("""COMPUTED_VALUE"""),"Ms.")</f>
        <v>Ms.</v>
      </c>
      <c r="E258" t="str">
        <f>IFERROR(__xludf.DUMMYFUNCTION("""COMPUTED_VALUE"""),"Rapeepan")</f>
        <v>Rapeepan</v>
      </c>
      <c r="F258" t="str">
        <f>IFERROR(__xludf.DUMMYFUNCTION("""COMPUTED_VALUE"""),"Ariyakul")</f>
        <v>Ariyakul</v>
      </c>
      <c r="G258" t="str">
        <f>IFERROR(__xludf.DUMMYFUNCTION("""COMPUTED_VALUE"""),"Rapeepan Ariyakul")</f>
        <v>Rapeepan Ariyakul</v>
      </c>
    </row>
    <row r="259">
      <c r="A259" s="142">
        <f>IFERROR(__xludf.DUMMYFUNCTION("""COMPUTED_VALUE"""),43.0)</f>
        <v>43</v>
      </c>
      <c r="B259" t="str">
        <f>IFERROR(__xludf.DUMMYFUNCTION("""COMPUTED_VALUE"""),"TAA3393")</f>
        <v>TAA3393</v>
      </c>
      <c r="C259">
        <f>IFERROR(__xludf.DUMMYFUNCTION("""COMPUTED_VALUE"""),1005767.0)</f>
        <v>1005767</v>
      </c>
      <c r="D259" t="str">
        <f>IFERROR(__xludf.DUMMYFUNCTION("""COMPUTED_VALUE"""),"Ms.")</f>
        <v>Ms.</v>
      </c>
      <c r="E259" t="str">
        <f>IFERROR(__xludf.DUMMYFUNCTION("""COMPUTED_VALUE"""),"Setthi-orn")</f>
        <v>Setthi-orn</v>
      </c>
      <c r="F259" t="str">
        <f>IFERROR(__xludf.DUMMYFUNCTION("""COMPUTED_VALUE"""),"Ruenroeng")</f>
        <v>Ruenroeng</v>
      </c>
      <c r="G259" t="str">
        <f>IFERROR(__xludf.DUMMYFUNCTION("""COMPUTED_VALUE"""),"Setthi-orn Ruenroeng")</f>
        <v>Setthi-orn Ruenroeng</v>
      </c>
    </row>
    <row r="260">
      <c r="A260" s="142">
        <f>IFERROR(__xludf.DUMMYFUNCTION("""COMPUTED_VALUE"""),43.0)</f>
        <v>43</v>
      </c>
      <c r="B260" t="str">
        <f>IFERROR(__xludf.DUMMYFUNCTION("""COMPUTED_VALUE"""),"TAA3403")</f>
        <v>TAA3403</v>
      </c>
      <c r="C260">
        <f>IFERROR(__xludf.DUMMYFUNCTION("""COMPUTED_VALUE"""),1005769.0)</f>
        <v>1005769</v>
      </c>
      <c r="D260" t="str">
        <f>IFERROR(__xludf.DUMMYFUNCTION("""COMPUTED_VALUE"""),"Ms.")</f>
        <v>Ms.</v>
      </c>
      <c r="E260" t="str">
        <f>IFERROR(__xludf.DUMMYFUNCTION("""COMPUTED_VALUE"""),"Thanicha")</f>
        <v>Thanicha</v>
      </c>
      <c r="F260" t="str">
        <f>IFERROR(__xludf.DUMMYFUNCTION("""COMPUTED_VALUE"""),"Noodee")</f>
        <v>Noodee</v>
      </c>
      <c r="G260" t="str">
        <f>IFERROR(__xludf.DUMMYFUNCTION("""COMPUTED_VALUE"""),"Thanicha Noodee")</f>
        <v>Thanicha Noodee</v>
      </c>
    </row>
    <row r="261">
      <c r="A261" s="142">
        <f>IFERROR(__xludf.DUMMYFUNCTION("""COMPUTED_VALUE"""),43.0)</f>
        <v>43</v>
      </c>
      <c r="B261" t="str">
        <f>IFERROR(__xludf.DUMMYFUNCTION("""COMPUTED_VALUE"""),"TAA3388")</f>
        <v>TAA3388</v>
      </c>
      <c r="C261">
        <f>IFERROR(__xludf.DUMMYFUNCTION("""COMPUTED_VALUE"""),1005773.0)</f>
        <v>1005773</v>
      </c>
      <c r="D261" t="str">
        <f>IFERROR(__xludf.DUMMYFUNCTION("""COMPUTED_VALUE"""),"Mr.")</f>
        <v>Mr.</v>
      </c>
      <c r="E261" t="str">
        <f>IFERROR(__xludf.DUMMYFUNCTION("""COMPUTED_VALUE"""),"Wipoj")</f>
        <v>Wipoj</v>
      </c>
      <c r="F261" t="str">
        <f>IFERROR(__xludf.DUMMYFUNCTION("""COMPUTED_VALUE"""),"Sinsomboon")</f>
        <v>Sinsomboon</v>
      </c>
      <c r="G261" t="str">
        <f>IFERROR(__xludf.DUMMYFUNCTION("""COMPUTED_VALUE"""),"Wipoj Sinsomboon")</f>
        <v>Wipoj Sinsomboon</v>
      </c>
    </row>
    <row r="263">
      <c r="A263" s="142">
        <f>IFERROR(__xludf.DUMMYFUNCTION("""COMPUTED_VALUE"""),44.0)</f>
        <v>44</v>
      </c>
      <c r="B263" t="str">
        <f>IFERROR(__xludf.DUMMYFUNCTION("""COMPUTED_VALUE"""),"TAA3442")</f>
        <v>TAA3442</v>
      </c>
      <c r="C263">
        <f>IFERROR(__xludf.DUMMYFUNCTION("""COMPUTED_VALUE"""),1005802.0)</f>
        <v>1005802</v>
      </c>
      <c r="D263" t="str">
        <f>IFERROR(__xludf.DUMMYFUNCTION("""COMPUTED_VALUE"""),"Ms.")</f>
        <v>Ms.</v>
      </c>
      <c r="E263" t="str">
        <f>IFERROR(__xludf.DUMMYFUNCTION("""COMPUTED_VALUE"""),"Jaruwan")</f>
        <v>Jaruwan</v>
      </c>
      <c r="F263" t="str">
        <f>IFERROR(__xludf.DUMMYFUNCTION("""COMPUTED_VALUE"""),"Jarungpirawong")</f>
        <v>Jarungpirawong</v>
      </c>
      <c r="G263" t="str">
        <f>IFERROR(__xludf.DUMMYFUNCTION("""COMPUTED_VALUE"""),"Jaruwan Jarungpirawong")</f>
        <v>Jaruwan Jarungpirawong</v>
      </c>
    </row>
    <row r="264">
      <c r="A264" s="142">
        <f>IFERROR(__xludf.DUMMYFUNCTION("""COMPUTED_VALUE"""),44.0)</f>
        <v>44</v>
      </c>
      <c r="B264" t="str">
        <f>IFERROR(__xludf.DUMMYFUNCTION("""COMPUTED_VALUE"""),"TAA3441")</f>
        <v>TAA3441</v>
      </c>
      <c r="C264">
        <f>IFERROR(__xludf.DUMMYFUNCTION("""COMPUTED_VALUE"""),1005803.0)</f>
        <v>1005803</v>
      </c>
      <c r="D264" t="str">
        <f>IFERROR(__xludf.DUMMYFUNCTION("""COMPUTED_VALUE"""),"Ms.")</f>
        <v>Ms.</v>
      </c>
      <c r="E264" t="str">
        <f>IFERROR(__xludf.DUMMYFUNCTION("""COMPUTED_VALUE"""),"Kornkanok")</f>
        <v>Kornkanok</v>
      </c>
      <c r="F264" t="str">
        <f>IFERROR(__xludf.DUMMYFUNCTION("""COMPUTED_VALUE"""),"Kollasut")</f>
        <v>Kollasut</v>
      </c>
      <c r="G264" t="str">
        <f>IFERROR(__xludf.DUMMYFUNCTION("""COMPUTED_VALUE"""),"Kornkanok Kollasut")</f>
        <v>Kornkanok Kollasut</v>
      </c>
    </row>
    <row r="265">
      <c r="A265" s="142">
        <f>IFERROR(__xludf.DUMMYFUNCTION("""COMPUTED_VALUE"""),44.0)</f>
        <v>44</v>
      </c>
      <c r="B265" t="str">
        <f>IFERROR(__xludf.DUMMYFUNCTION("""COMPUTED_VALUE"""),"TAA3400")</f>
        <v>TAA3400</v>
      </c>
      <c r="C265">
        <f>IFERROR(__xludf.DUMMYFUNCTION("""COMPUTED_VALUE"""),1005805.0)</f>
        <v>1005805</v>
      </c>
      <c r="D265" t="str">
        <f>IFERROR(__xludf.DUMMYFUNCTION("""COMPUTED_VALUE"""),"Ms.")</f>
        <v>Ms.</v>
      </c>
      <c r="E265" t="str">
        <f>IFERROR(__xludf.DUMMYFUNCTION("""COMPUTED_VALUE"""),"Kunaporn")</f>
        <v>Kunaporn</v>
      </c>
      <c r="F265" t="str">
        <f>IFERROR(__xludf.DUMMYFUNCTION("""COMPUTED_VALUE"""),"Rittichart")</f>
        <v>Rittichart</v>
      </c>
      <c r="G265" t="str">
        <f>IFERROR(__xludf.DUMMYFUNCTION("""COMPUTED_VALUE"""),"Kunaporn Rittichart")</f>
        <v>Kunaporn Rittichart</v>
      </c>
    </row>
    <row r="266">
      <c r="A266" s="142">
        <f>IFERROR(__xludf.DUMMYFUNCTION("""COMPUTED_VALUE"""),44.0)</f>
        <v>44</v>
      </c>
      <c r="B266" t="str">
        <f>IFERROR(__xludf.DUMMYFUNCTION("""COMPUTED_VALUE"""),"TAA3440")</f>
        <v>TAA3440</v>
      </c>
      <c r="C266">
        <f>IFERROR(__xludf.DUMMYFUNCTION("""COMPUTED_VALUE"""),1005816.0)</f>
        <v>1005816</v>
      </c>
      <c r="D266" t="str">
        <f>IFERROR(__xludf.DUMMYFUNCTION("""COMPUTED_VALUE"""),"Ms.")</f>
        <v>Ms.</v>
      </c>
      <c r="E266" t="str">
        <f>IFERROR(__xludf.DUMMYFUNCTION("""COMPUTED_VALUE"""),"Narada")</f>
        <v>Narada</v>
      </c>
      <c r="F266" t="str">
        <f>IFERROR(__xludf.DUMMYFUNCTION("""COMPUTED_VALUE"""),"Phongniwat")</f>
        <v>Phongniwat</v>
      </c>
      <c r="G266" t="str">
        <f>IFERROR(__xludf.DUMMYFUNCTION("""COMPUTED_VALUE"""),"Narada Phongniwat")</f>
        <v>Narada Phongniwat</v>
      </c>
    </row>
    <row r="267">
      <c r="A267" s="142">
        <f>IFERROR(__xludf.DUMMYFUNCTION("""COMPUTED_VALUE"""),44.0)</f>
        <v>44</v>
      </c>
      <c r="B267" t="str">
        <f>IFERROR(__xludf.DUMMYFUNCTION("""COMPUTED_VALUE"""),"TAA3443")</f>
        <v>TAA3443</v>
      </c>
      <c r="C267">
        <f>IFERROR(__xludf.DUMMYFUNCTION("""COMPUTED_VALUE"""),1005818.0)</f>
        <v>1005818</v>
      </c>
      <c r="D267" t="str">
        <f>IFERROR(__xludf.DUMMYFUNCTION("""COMPUTED_VALUE"""),"Mrs.")</f>
        <v>Mrs.</v>
      </c>
      <c r="E267" t="str">
        <f>IFERROR(__xludf.DUMMYFUNCTION("""COMPUTED_VALUE"""),"Nattaporn")</f>
        <v>Nattaporn</v>
      </c>
      <c r="F267" t="str">
        <f>IFERROR(__xludf.DUMMYFUNCTION("""COMPUTED_VALUE"""),"Phatteeratip (Kamnil)")</f>
        <v>Phatteeratip (Kamnil)</v>
      </c>
      <c r="G267" t="str">
        <f>IFERROR(__xludf.DUMMYFUNCTION("""COMPUTED_VALUE"""),"Nattaporn Phatteeratip")</f>
        <v>Nattaporn Phatteeratip</v>
      </c>
    </row>
    <row r="268">
      <c r="A268" s="142">
        <f>IFERROR(__xludf.DUMMYFUNCTION("""COMPUTED_VALUE"""),44.0)</f>
        <v>44</v>
      </c>
      <c r="B268" t="str">
        <f>IFERROR(__xludf.DUMMYFUNCTION("""COMPUTED_VALUE"""),"TAA3406")</f>
        <v>TAA3406</v>
      </c>
      <c r="C268">
        <f>IFERROR(__xludf.DUMMYFUNCTION("""COMPUTED_VALUE"""),1005819.0)</f>
        <v>1005819</v>
      </c>
      <c r="D268" t="str">
        <f>IFERROR(__xludf.DUMMYFUNCTION("""COMPUTED_VALUE"""),"Ms.")</f>
        <v>Ms.</v>
      </c>
      <c r="E268" t="str">
        <f>IFERROR(__xludf.DUMMYFUNCTION("""COMPUTED_VALUE"""),"Nerisa")</f>
        <v>Nerisa</v>
      </c>
      <c r="F268" t="str">
        <f>IFERROR(__xludf.DUMMYFUNCTION("""COMPUTED_VALUE"""),"Chakornpaibool (Muensong)")</f>
        <v>Chakornpaibool (Muensong)</v>
      </c>
      <c r="G268" t="str">
        <f>IFERROR(__xludf.DUMMYFUNCTION("""COMPUTED_VALUE"""),"Nerisa Chakornpaibool")</f>
        <v>Nerisa Chakornpaibool</v>
      </c>
    </row>
    <row r="269">
      <c r="A269" s="142">
        <f>IFERROR(__xludf.DUMMYFUNCTION("""COMPUTED_VALUE"""),44.0)</f>
        <v>44</v>
      </c>
      <c r="B269" t="str">
        <f>IFERROR(__xludf.DUMMYFUNCTION("""COMPUTED_VALUE"""),"TAA3445")</f>
        <v>TAA3445</v>
      </c>
      <c r="C269">
        <f>IFERROR(__xludf.DUMMYFUNCTION("""COMPUTED_VALUE"""),1005828.0)</f>
        <v>1005828</v>
      </c>
      <c r="D269" t="str">
        <f>IFERROR(__xludf.DUMMYFUNCTION("""COMPUTED_VALUE"""),"Ms.")</f>
        <v>Ms.</v>
      </c>
      <c r="E269" t="str">
        <f>IFERROR(__xludf.DUMMYFUNCTION("""COMPUTED_VALUE"""),"Piyawan")</f>
        <v>Piyawan</v>
      </c>
      <c r="F269" t="str">
        <f>IFERROR(__xludf.DUMMYFUNCTION("""COMPUTED_VALUE"""),"Panitanthum")</f>
        <v>Panitanthum</v>
      </c>
      <c r="G269" t="str">
        <f>IFERROR(__xludf.DUMMYFUNCTION("""COMPUTED_VALUE"""),"Piyawan Panitanthum")</f>
        <v>Piyawan Panitanthum</v>
      </c>
    </row>
    <row r="270">
      <c r="A270" s="142">
        <f>IFERROR(__xludf.DUMMYFUNCTION("""COMPUTED_VALUE"""),44.0)</f>
        <v>44</v>
      </c>
      <c r="B270" t="str">
        <f>IFERROR(__xludf.DUMMYFUNCTION("""COMPUTED_VALUE"""),"TAA3402")</f>
        <v>TAA3402</v>
      </c>
      <c r="C270">
        <f>IFERROR(__xludf.DUMMYFUNCTION("""COMPUTED_VALUE"""),1005834.0)</f>
        <v>1005834</v>
      </c>
      <c r="D270" t="str">
        <f>IFERROR(__xludf.DUMMYFUNCTION("""COMPUTED_VALUE"""),"Ms.")</f>
        <v>Ms.</v>
      </c>
      <c r="E270" t="str">
        <f>IFERROR(__xludf.DUMMYFUNCTION("""COMPUTED_VALUE"""),"Ratchaneewan")</f>
        <v>Ratchaneewan</v>
      </c>
      <c r="F270" t="str">
        <f>IFERROR(__xludf.DUMMYFUNCTION("""COMPUTED_VALUE"""),"Tipyod")</f>
        <v>Tipyod</v>
      </c>
      <c r="G270" t="str">
        <f>IFERROR(__xludf.DUMMYFUNCTION("""COMPUTED_VALUE"""),"Ratchaneewan Tipyod")</f>
        <v>Ratchaneewan Tipyod</v>
      </c>
    </row>
    <row r="271">
      <c r="A271" s="142">
        <f>IFERROR(__xludf.DUMMYFUNCTION("""COMPUTED_VALUE"""),44.0)</f>
        <v>44</v>
      </c>
      <c r="B271" t="str">
        <f>IFERROR(__xludf.DUMMYFUNCTION("""COMPUTED_VALUE"""),"TAA3444")</f>
        <v>TAA3444</v>
      </c>
      <c r="C271">
        <f>IFERROR(__xludf.DUMMYFUNCTION("""COMPUTED_VALUE"""),1005844.0)</f>
        <v>1005844</v>
      </c>
      <c r="D271" t="str">
        <f>IFERROR(__xludf.DUMMYFUNCTION("""COMPUTED_VALUE"""),"Mrs.")</f>
        <v>Mrs.</v>
      </c>
      <c r="E271" t="str">
        <f>IFERROR(__xludf.DUMMYFUNCTION("""COMPUTED_VALUE"""),"Tikapat")</f>
        <v>Tikapat</v>
      </c>
      <c r="F271" t="str">
        <f>IFERROR(__xludf.DUMMYFUNCTION("""COMPUTED_VALUE"""),"Chitcharoen (Fungladda)")</f>
        <v>Chitcharoen (Fungladda)</v>
      </c>
      <c r="G271" t="str">
        <f>IFERROR(__xludf.DUMMYFUNCTION("""COMPUTED_VALUE"""),"Tikapat Chitcharoen")</f>
        <v>Tikapat Chitcharoen</v>
      </c>
    </row>
    <row r="273">
      <c r="A273" s="142">
        <f>IFERROR(__xludf.DUMMYFUNCTION("""COMPUTED_VALUE"""),45.0)</f>
        <v>45</v>
      </c>
      <c r="B273" t="str">
        <f>IFERROR(__xludf.DUMMYFUNCTION("""COMPUTED_VALUE"""),"TAA3494")</f>
        <v>TAA3494</v>
      </c>
      <c r="C273">
        <f>IFERROR(__xludf.DUMMYFUNCTION("""COMPUTED_VALUE"""),1005944.0)</f>
        <v>1005944</v>
      </c>
      <c r="D273" t="str">
        <f>IFERROR(__xludf.DUMMYFUNCTION("""COMPUTED_VALUE"""),"Ms.")</f>
        <v>Ms.</v>
      </c>
      <c r="E273" t="str">
        <f>IFERROR(__xludf.DUMMYFUNCTION("""COMPUTED_VALUE"""),"Kwanchanok")</f>
        <v>Kwanchanok</v>
      </c>
      <c r="F273" t="str">
        <f>IFERROR(__xludf.DUMMYFUNCTION("""COMPUTED_VALUE"""),"Praditsuk (Prommanee)")</f>
        <v>Praditsuk (Prommanee)</v>
      </c>
      <c r="G273" t="str">
        <f>IFERROR(__xludf.DUMMYFUNCTION("""COMPUTED_VALUE"""),"Kwanchanok Praditsuk")</f>
        <v>Kwanchanok Praditsuk</v>
      </c>
    </row>
    <row r="274">
      <c r="A274" s="142">
        <f>IFERROR(__xludf.DUMMYFUNCTION("""COMPUTED_VALUE"""),45.0)</f>
        <v>45</v>
      </c>
      <c r="B274" t="str">
        <f>IFERROR(__xludf.DUMMYFUNCTION("""COMPUTED_VALUE"""),"TAA3503")</f>
        <v>TAA3503</v>
      </c>
      <c r="C274">
        <f>IFERROR(__xludf.DUMMYFUNCTION("""COMPUTED_VALUE"""),1005945.0)</f>
        <v>1005945</v>
      </c>
      <c r="D274" t="str">
        <f>IFERROR(__xludf.DUMMYFUNCTION("""COMPUTED_VALUE"""),"Ms.")</f>
        <v>Ms.</v>
      </c>
      <c r="E274" t="str">
        <f>IFERROR(__xludf.DUMMYFUNCTION("""COMPUTED_VALUE"""),"Laphatrada")</f>
        <v>Laphatrada</v>
      </c>
      <c r="F274" t="str">
        <f>IFERROR(__xludf.DUMMYFUNCTION("""COMPUTED_VALUE"""),"Saisuk")</f>
        <v>Saisuk</v>
      </c>
      <c r="G274" t="str">
        <f>IFERROR(__xludf.DUMMYFUNCTION("""COMPUTED_VALUE"""),"Laphatrada Saisuk")</f>
        <v>Laphatrada Saisuk</v>
      </c>
    </row>
    <row r="275">
      <c r="A275" s="142">
        <f>IFERROR(__xludf.DUMMYFUNCTION("""COMPUTED_VALUE"""),45.0)</f>
        <v>45</v>
      </c>
      <c r="B275" t="str">
        <f>IFERROR(__xludf.DUMMYFUNCTION("""COMPUTED_VALUE"""),"TAA3505")</f>
        <v>TAA3505</v>
      </c>
      <c r="C275">
        <f>IFERROR(__xludf.DUMMYFUNCTION("""COMPUTED_VALUE"""),1005953.0)</f>
        <v>1005953</v>
      </c>
      <c r="D275" t="str">
        <f>IFERROR(__xludf.DUMMYFUNCTION("""COMPUTED_VALUE"""),"Ms.")</f>
        <v>Ms.</v>
      </c>
      <c r="E275" t="str">
        <f>IFERROR(__xludf.DUMMYFUNCTION("""COMPUTED_VALUE"""),"Pinchapitch (Patharida)")</f>
        <v>Pinchapitch (Patharida)</v>
      </c>
      <c r="F275" t="str">
        <f>IFERROR(__xludf.DUMMYFUNCTION("""COMPUTED_VALUE"""),"Pinchachartanant (Ittharat)")</f>
        <v>Pinchachartanant (Ittharat)</v>
      </c>
      <c r="G275" t="str">
        <f>IFERROR(__xludf.DUMMYFUNCTION("""COMPUTED_VALUE"""),"Pinchapitch Pinchachartanant")</f>
        <v>Pinchapitch Pinchachartanant</v>
      </c>
    </row>
    <row r="276">
      <c r="A276" s="142">
        <f>IFERROR(__xludf.DUMMYFUNCTION("""COMPUTED_VALUE"""),45.0)</f>
        <v>45</v>
      </c>
      <c r="B276" t="str">
        <f>IFERROR(__xludf.DUMMYFUNCTION("""COMPUTED_VALUE"""),"TAA3500")</f>
        <v>TAA3500</v>
      </c>
      <c r="C276">
        <f>IFERROR(__xludf.DUMMYFUNCTION("""COMPUTED_VALUE"""),1005954.0)</f>
        <v>1005954</v>
      </c>
      <c r="D276" t="str">
        <f>IFERROR(__xludf.DUMMYFUNCTION("""COMPUTED_VALUE"""),"Ms.")</f>
        <v>Ms.</v>
      </c>
      <c r="E276" t="str">
        <f>IFERROR(__xludf.DUMMYFUNCTION("""COMPUTED_VALUE"""),"Pawinee")</f>
        <v>Pawinee</v>
      </c>
      <c r="F276" t="str">
        <f>IFERROR(__xludf.DUMMYFUNCTION("""COMPUTED_VALUE"""),"Srisungnoen")</f>
        <v>Srisungnoen</v>
      </c>
      <c r="G276" t="str">
        <f>IFERROR(__xludf.DUMMYFUNCTION("""COMPUTED_VALUE"""),"Pawinee Srisungnoen")</f>
        <v>Pawinee Srisungnoen</v>
      </c>
    </row>
    <row r="277">
      <c r="A277" s="142">
        <f>IFERROR(__xludf.DUMMYFUNCTION("""COMPUTED_VALUE"""),45.0)</f>
        <v>45</v>
      </c>
      <c r="B277" t="str">
        <f>IFERROR(__xludf.DUMMYFUNCTION("""COMPUTED_VALUE"""),"TAA3498")</f>
        <v>TAA3498</v>
      </c>
      <c r="C277">
        <f>IFERROR(__xludf.DUMMYFUNCTION("""COMPUTED_VALUE"""),1005956.0)</f>
        <v>1005956</v>
      </c>
      <c r="D277" t="str">
        <f>IFERROR(__xludf.DUMMYFUNCTION("""COMPUTED_VALUE"""),"Mr.")</f>
        <v>Mr.</v>
      </c>
      <c r="E277" t="str">
        <f>IFERROR(__xludf.DUMMYFUNCTION("""COMPUTED_VALUE"""),"Pipat")</f>
        <v>Pipat</v>
      </c>
      <c r="F277" t="str">
        <f>IFERROR(__xludf.DUMMYFUNCTION("""COMPUTED_VALUE"""),"Penpaiboon")</f>
        <v>Penpaiboon</v>
      </c>
      <c r="G277" t="str">
        <f>IFERROR(__xludf.DUMMYFUNCTION("""COMPUTED_VALUE"""),"Pipat Penpaiboon")</f>
        <v>Pipat Penpaiboon</v>
      </c>
    </row>
    <row r="278">
      <c r="A278" s="142">
        <f>IFERROR(__xludf.DUMMYFUNCTION("""COMPUTED_VALUE"""),45.0)</f>
        <v>45</v>
      </c>
      <c r="B278" t="str">
        <f>IFERROR(__xludf.DUMMYFUNCTION("""COMPUTED_VALUE"""),"TAA3502")</f>
        <v>TAA3502</v>
      </c>
      <c r="C278">
        <f>IFERROR(__xludf.DUMMYFUNCTION("""COMPUTED_VALUE"""),1005957.0)</f>
        <v>1005957</v>
      </c>
      <c r="D278" t="str">
        <f>IFERROR(__xludf.DUMMYFUNCTION("""COMPUTED_VALUE"""),"Ms.")</f>
        <v>Ms.</v>
      </c>
      <c r="E278" t="str">
        <f>IFERROR(__xludf.DUMMYFUNCTION("""COMPUTED_VALUE"""),"Praewpailin")</f>
        <v>Praewpailin</v>
      </c>
      <c r="F278" t="str">
        <f>IFERROR(__xludf.DUMMYFUNCTION("""COMPUTED_VALUE"""),"Kiatpipattanakul (Dista)")</f>
        <v>Kiatpipattanakul (Dista)</v>
      </c>
      <c r="G278" t="str">
        <f>IFERROR(__xludf.DUMMYFUNCTION("""COMPUTED_VALUE"""),"Praewpailin Kiatpipattanakul")</f>
        <v>Praewpailin Kiatpipattanakul</v>
      </c>
    </row>
    <row r="279">
      <c r="A279" s="142">
        <f>IFERROR(__xludf.DUMMYFUNCTION("""COMPUTED_VALUE"""),45.0)</f>
        <v>45</v>
      </c>
      <c r="B279" t="str">
        <f>IFERROR(__xludf.DUMMYFUNCTION("""COMPUTED_VALUE"""),"TAA3508")</f>
        <v>TAA3508</v>
      </c>
      <c r="C279">
        <f>IFERROR(__xludf.DUMMYFUNCTION("""COMPUTED_VALUE"""),1005958.0)</f>
        <v>1005958</v>
      </c>
      <c r="D279" t="str">
        <f>IFERROR(__xludf.DUMMYFUNCTION("""COMPUTED_VALUE"""),"Mr.")</f>
        <v>Mr.</v>
      </c>
      <c r="E279" t="str">
        <f>IFERROR(__xludf.DUMMYFUNCTION("""COMPUTED_VALUE"""),"Pumipat")</f>
        <v>Pumipat</v>
      </c>
      <c r="F279" t="str">
        <f>IFERROR(__xludf.DUMMYFUNCTION("""COMPUTED_VALUE"""),"Khorkongprasert")</f>
        <v>Khorkongprasert</v>
      </c>
      <c r="G279" t="str">
        <f>IFERROR(__xludf.DUMMYFUNCTION("""COMPUTED_VALUE"""),"Pumipat Khorkongprasert")</f>
        <v>Pumipat Khorkongprasert</v>
      </c>
    </row>
    <row r="280">
      <c r="A280" s="142">
        <f>IFERROR(__xludf.DUMMYFUNCTION("""COMPUTED_VALUE"""),45.0)</f>
        <v>45</v>
      </c>
      <c r="B280" t="str">
        <f>IFERROR(__xludf.DUMMYFUNCTION("""COMPUTED_VALUE"""),"TAA3495")</f>
        <v>TAA3495</v>
      </c>
      <c r="C280">
        <f>IFERROR(__xludf.DUMMYFUNCTION("""COMPUTED_VALUE"""),1005964.0)</f>
        <v>1005964</v>
      </c>
      <c r="D280" t="str">
        <f>IFERROR(__xludf.DUMMYFUNCTION("""COMPUTED_VALUE"""),"Ms.")</f>
        <v>Ms.</v>
      </c>
      <c r="E280" t="str">
        <f>IFERROR(__xludf.DUMMYFUNCTION("""COMPUTED_VALUE"""),"Sawitri")</f>
        <v>Sawitri</v>
      </c>
      <c r="F280" t="str">
        <f>IFERROR(__xludf.DUMMYFUNCTION("""COMPUTED_VALUE"""),"Siribunrueangwong")</f>
        <v>Siribunrueangwong</v>
      </c>
      <c r="G280" t="str">
        <f>IFERROR(__xludf.DUMMYFUNCTION("""COMPUTED_VALUE"""),"Sawitri Siribunrueangwong")</f>
        <v>Sawitri Siribunrueangwong</v>
      </c>
    </row>
    <row r="281">
      <c r="A281" s="142">
        <f>IFERROR(__xludf.DUMMYFUNCTION("""COMPUTED_VALUE"""),45.0)</f>
        <v>45</v>
      </c>
      <c r="B281" t="str">
        <f>IFERROR(__xludf.DUMMYFUNCTION("""COMPUTED_VALUE"""),"TAA3507")</f>
        <v>TAA3507</v>
      </c>
      <c r="C281">
        <f>IFERROR(__xludf.DUMMYFUNCTION("""COMPUTED_VALUE"""),1005967.0)</f>
        <v>1005967</v>
      </c>
      <c r="D281" t="str">
        <f>IFERROR(__xludf.DUMMYFUNCTION("""COMPUTED_VALUE"""),"Mr.")</f>
        <v>Mr.</v>
      </c>
      <c r="E281" t="str">
        <f>IFERROR(__xludf.DUMMYFUNCTION("""COMPUTED_VALUE"""),"Yukol (Thakrit)")</f>
        <v>Yukol (Thakrit)</v>
      </c>
      <c r="F281" t="str">
        <f>IFERROR(__xludf.DUMMYFUNCTION("""COMPUTED_VALUE"""),"Phubunjongkij")</f>
        <v>Phubunjongkij</v>
      </c>
      <c r="G281" t="str">
        <f>IFERROR(__xludf.DUMMYFUNCTION("""COMPUTED_VALUE"""),"Yukol Phubunjongkij")</f>
        <v>Yukol Phubunjongkij</v>
      </c>
    </row>
    <row r="282">
      <c r="A282" s="142">
        <f>IFERROR(__xludf.DUMMYFUNCTION("""COMPUTED_VALUE"""),45.0)</f>
        <v>45</v>
      </c>
      <c r="B282" t="str">
        <f>IFERROR(__xludf.DUMMYFUNCTION("""COMPUTED_VALUE"""),"TAA3497")</f>
        <v>TAA3497</v>
      </c>
      <c r="C282">
        <f>IFERROR(__xludf.DUMMYFUNCTION("""COMPUTED_VALUE"""),1005972.0)</f>
        <v>1005972</v>
      </c>
      <c r="D282" t="str">
        <f>IFERROR(__xludf.DUMMYFUNCTION("""COMPUTED_VALUE"""),"Mr.")</f>
        <v>Mr.</v>
      </c>
      <c r="E282" t="str">
        <f>IFERROR(__xludf.DUMMYFUNCTION("""COMPUTED_VALUE"""),"Wuttipon")</f>
        <v>Wuttipon</v>
      </c>
      <c r="F282" t="str">
        <f>IFERROR(__xludf.DUMMYFUNCTION("""COMPUTED_VALUE"""),"Onpuns")</f>
        <v>Onpuns</v>
      </c>
      <c r="G282" t="str">
        <f>IFERROR(__xludf.DUMMYFUNCTION("""COMPUTED_VALUE"""),"Wuttipon Onpuns")</f>
        <v>Wuttipon Onpuns</v>
      </c>
    </row>
    <row r="284">
      <c r="A284" s="142">
        <f>IFERROR(__xludf.DUMMYFUNCTION("""COMPUTED_VALUE"""),46.0)</f>
        <v>46</v>
      </c>
      <c r="B284" t="str">
        <f>IFERROR(__xludf.DUMMYFUNCTION("""COMPUTED_VALUE"""),"TAA3618")</f>
        <v>TAA3618</v>
      </c>
      <c r="C284">
        <f>IFERROR(__xludf.DUMMYFUNCTION("""COMPUTED_VALUE"""),1006052.0)</f>
        <v>1006052</v>
      </c>
      <c r="D284" t="str">
        <f>IFERROR(__xludf.DUMMYFUNCTION("""COMPUTED_VALUE"""),"Ms.")</f>
        <v>Ms.</v>
      </c>
      <c r="E284" t="str">
        <f>IFERROR(__xludf.DUMMYFUNCTION("""COMPUTED_VALUE"""),"Ananya")</f>
        <v>Ananya</v>
      </c>
      <c r="F284" t="str">
        <f>IFERROR(__xludf.DUMMYFUNCTION("""COMPUTED_VALUE"""),"Sindhusen")</f>
        <v>Sindhusen</v>
      </c>
      <c r="G284" t="str">
        <f>IFERROR(__xludf.DUMMYFUNCTION("""COMPUTED_VALUE"""),"Ananya Sindhusen")</f>
        <v>Ananya Sindhusen</v>
      </c>
    </row>
    <row r="285">
      <c r="A285" s="142">
        <f>IFERROR(__xludf.DUMMYFUNCTION("""COMPUTED_VALUE"""),46.0)</f>
        <v>46</v>
      </c>
      <c r="B285" t="str">
        <f>IFERROR(__xludf.DUMMYFUNCTION("""COMPUTED_VALUE"""),"TAA3610")</f>
        <v>TAA3610</v>
      </c>
      <c r="C285">
        <f>IFERROR(__xludf.DUMMYFUNCTION("""COMPUTED_VALUE"""),1006076.0)</f>
        <v>1006076</v>
      </c>
      <c r="D285" t="str">
        <f>IFERROR(__xludf.DUMMYFUNCTION("""COMPUTED_VALUE"""),"Ms.")</f>
        <v>Ms.</v>
      </c>
      <c r="E285" t="str">
        <f>IFERROR(__xludf.DUMMYFUNCTION("""COMPUTED_VALUE"""),"Naruechon")</f>
        <v>Naruechon</v>
      </c>
      <c r="F285" t="str">
        <f>IFERROR(__xludf.DUMMYFUNCTION("""COMPUTED_VALUE"""),"Rodkaew")</f>
        <v>Rodkaew</v>
      </c>
      <c r="G285" t="str">
        <f>IFERROR(__xludf.DUMMYFUNCTION("""COMPUTED_VALUE"""),"Naruechon Rodkaew")</f>
        <v>Naruechon Rodkaew</v>
      </c>
    </row>
    <row r="286">
      <c r="A286" s="142">
        <f>IFERROR(__xludf.DUMMYFUNCTION("""COMPUTED_VALUE"""),46.0)</f>
        <v>46</v>
      </c>
      <c r="B286" t="str">
        <f>IFERROR(__xludf.DUMMYFUNCTION("""COMPUTED_VALUE"""),"TAA3611")</f>
        <v>TAA3611</v>
      </c>
      <c r="C286">
        <f>IFERROR(__xludf.DUMMYFUNCTION("""COMPUTED_VALUE"""),1006081.0)</f>
        <v>1006081</v>
      </c>
      <c r="D286" t="str">
        <f>IFERROR(__xludf.DUMMYFUNCTION("""COMPUTED_VALUE"""),"Ms.")</f>
        <v>Ms.</v>
      </c>
      <c r="E286" t="str">
        <f>IFERROR(__xludf.DUMMYFUNCTION("""COMPUTED_VALUE"""),"Ploypachara")</f>
        <v>Ploypachara</v>
      </c>
      <c r="F286" t="str">
        <f>IFERROR(__xludf.DUMMYFUNCTION("""COMPUTED_VALUE"""),"Charoensup")</f>
        <v>Charoensup</v>
      </c>
      <c r="G286" t="str">
        <f>IFERROR(__xludf.DUMMYFUNCTION("""COMPUTED_VALUE"""),"Ploypachara Charoensup")</f>
        <v>Ploypachara Charoensup</v>
      </c>
    </row>
    <row r="287">
      <c r="A287" s="142">
        <f>IFERROR(__xludf.DUMMYFUNCTION("""COMPUTED_VALUE"""),46.0)</f>
        <v>46</v>
      </c>
      <c r="B287" t="str">
        <f>IFERROR(__xludf.DUMMYFUNCTION("""COMPUTED_VALUE"""),"TAA3612")</f>
        <v>TAA3612</v>
      </c>
      <c r="C287">
        <f>IFERROR(__xludf.DUMMYFUNCTION("""COMPUTED_VALUE"""),1006085.0)</f>
        <v>1006085</v>
      </c>
      <c r="D287" t="str">
        <f>IFERROR(__xludf.DUMMYFUNCTION("""COMPUTED_VALUE"""),"Ms.")</f>
        <v>Ms.</v>
      </c>
      <c r="E287" t="str">
        <f>IFERROR(__xludf.DUMMYFUNCTION("""COMPUTED_VALUE"""),"Sunan")</f>
        <v>Sunan</v>
      </c>
      <c r="F287" t="str">
        <f>IFERROR(__xludf.DUMMYFUNCTION("""COMPUTED_VALUE"""),"Homcharoenpanith")</f>
        <v>Homcharoenpanith</v>
      </c>
      <c r="G287" t="str">
        <f>IFERROR(__xludf.DUMMYFUNCTION("""COMPUTED_VALUE"""),"Sunan Homcharoenpanith")</f>
        <v>Sunan Homcharoenpanith</v>
      </c>
    </row>
    <row r="288">
      <c r="A288" s="142">
        <f>IFERROR(__xludf.DUMMYFUNCTION("""COMPUTED_VALUE"""),46.0)</f>
        <v>46</v>
      </c>
      <c r="B288" t="str">
        <f>IFERROR(__xludf.DUMMYFUNCTION("""COMPUTED_VALUE"""),"TAA3620")</f>
        <v>TAA3620</v>
      </c>
      <c r="C288">
        <f>IFERROR(__xludf.DUMMYFUNCTION("""COMPUTED_VALUE"""),1006086.0)</f>
        <v>1006086</v>
      </c>
      <c r="D288" t="str">
        <f>IFERROR(__xludf.DUMMYFUNCTION("""COMPUTED_VALUE"""),"Ms.")</f>
        <v>Ms.</v>
      </c>
      <c r="E288" t="str">
        <f>IFERROR(__xludf.DUMMYFUNCTION("""COMPUTED_VALUE"""),"Tanaporn")</f>
        <v>Tanaporn</v>
      </c>
      <c r="F288" t="str">
        <f>IFERROR(__xludf.DUMMYFUNCTION("""COMPUTED_VALUE"""),"Wongviboonkul")</f>
        <v>Wongviboonkul</v>
      </c>
      <c r="G288" t="str">
        <f>IFERROR(__xludf.DUMMYFUNCTION("""COMPUTED_VALUE"""),"Tanaporn Wongviboonkul")</f>
        <v>Tanaporn Wongviboonkul</v>
      </c>
    </row>
    <row r="290">
      <c r="A290" s="142">
        <f>IFERROR(__xludf.DUMMYFUNCTION("""COMPUTED_VALUE"""),47.0)</f>
        <v>47</v>
      </c>
      <c r="B290" t="str">
        <f>IFERROR(__xludf.DUMMYFUNCTION("""COMPUTED_VALUE"""),"TAA3682")</f>
        <v>TAA3682</v>
      </c>
      <c r="C290">
        <f>IFERROR(__xludf.DUMMYFUNCTION("""COMPUTED_VALUE"""),1006293.0)</f>
        <v>1006293</v>
      </c>
      <c r="D290" t="str">
        <f>IFERROR(__xludf.DUMMYFUNCTION("""COMPUTED_VALUE"""),"Ms.")</f>
        <v>Ms.</v>
      </c>
      <c r="E290" t="str">
        <f>IFERROR(__xludf.DUMMYFUNCTION("""COMPUTED_VALUE"""),"Atchara")</f>
        <v>Atchara</v>
      </c>
      <c r="F290" t="str">
        <f>IFERROR(__xludf.DUMMYFUNCTION("""COMPUTED_VALUE"""),"Mettaraksa")</f>
        <v>Mettaraksa</v>
      </c>
      <c r="G290" t="str">
        <f>IFERROR(__xludf.DUMMYFUNCTION("""COMPUTED_VALUE"""),"Atchara Mettaraksa")</f>
        <v>Atchara Mettaraksa</v>
      </c>
    </row>
    <row r="291">
      <c r="A291" s="142">
        <f>IFERROR(__xludf.DUMMYFUNCTION("""COMPUTED_VALUE"""),47.0)</f>
        <v>47</v>
      </c>
      <c r="B291" t="str">
        <f>IFERROR(__xludf.DUMMYFUNCTION("""COMPUTED_VALUE"""),"TAA3681")</f>
        <v>TAA3681</v>
      </c>
      <c r="C291">
        <f>IFERROR(__xludf.DUMMYFUNCTION("""COMPUTED_VALUE"""),1006311.0)</f>
        <v>1006311</v>
      </c>
      <c r="D291" t="str">
        <f>IFERROR(__xludf.DUMMYFUNCTION("""COMPUTED_VALUE"""),"Ms.")</f>
        <v>Ms.</v>
      </c>
      <c r="E291" t="str">
        <f>IFERROR(__xludf.DUMMYFUNCTION("""COMPUTED_VALUE"""),"Kantanat(Piyakwan )")</f>
        <v>Kantanat(Piyakwan )</v>
      </c>
      <c r="F291" t="str">
        <f>IFERROR(__xludf.DUMMYFUNCTION("""COMPUTED_VALUE"""),"Fuengfuchevakul(Ketmongkol)")</f>
        <v>Fuengfuchevakul(Ketmongkol)</v>
      </c>
      <c r="G291" t="str">
        <f>IFERROR(__xludf.DUMMYFUNCTION("""COMPUTED_VALUE"""),"Kantanat Fuengfuchevakul")</f>
        <v>Kantanat Fuengfuchevakul</v>
      </c>
    </row>
    <row r="292">
      <c r="A292" s="142">
        <f>IFERROR(__xludf.DUMMYFUNCTION("""COMPUTED_VALUE"""),47.0)</f>
        <v>47</v>
      </c>
      <c r="B292" t="str">
        <f>IFERROR(__xludf.DUMMYFUNCTION("""COMPUTED_VALUE"""),"TAA3673")</f>
        <v>TAA3673</v>
      </c>
      <c r="C292">
        <f>IFERROR(__xludf.DUMMYFUNCTION("""COMPUTED_VALUE"""),1006312.0)</f>
        <v>1006312</v>
      </c>
      <c r="D292" t="str">
        <f>IFERROR(__xludf.DUMMYFUNCTION("""COMPUTED_VALUE"""),"Ms.")</f>
        <v>Ms.</v>
      </c>
      <c r="E292" t="str">
        <f>IFERROR(__xludf.DUMMYFUNCTION("""COMPUTED_VALUE"""),"Kanyanatch")</f>
        <v>Kanyanatch</v>
      </c>
      <c r="F292" t="str">
        <f>IFERROR(__xludf.DUMMYFUNCTION("""COMPUTED_VALUE"""),"A-kakun")</f>
        <v>A-kakun</v>
      </c>
      <c r="G292" t="str">
        <f>IFERROR(__xludf.DUMMYFUNCTION("""COMPUTED_VALUE"""),"Kanyanatch A-kakun")</f>
        <v>Kanyanatch A-kakun</v>
      </c>
    </row>
    <row r="293">
      <c r="A293" s="142">
        <f>IFERROR(__xludf.DUMMYFUNCTION("""COMPUTED_VALUE"""),47.0)</f>
        <v>47</v>
      </c>
      <c r="B293" t="str">
        <f>IFERROR(__xludf.DUMMYFUNCTION("""COMPUTED_VALUE"""),"TAA3678")</f>
        <v>TAA3678</v>
      </c>
      <c r="C293">
        <f>IFERROR(__xludf.DUMMYFUNCTION("""COMPUTED_VALUE"""),1006313.0)</f>
        <v>1006313</v>
      </c>
      <c r="D293" t="str">
        <f>IFERROR(__xludf.DUMMYFUNCTION("""COMPUTED_VALUE"""),"Ms.")</f>
        <v>Ms.</v>
      </c>
      <c r="E293" t="str">
        <f>IFERROR(__xludf.DUMMYFUNCTION("""COMPUTED_VALUE"""),"Kanyarat")</f>
        <v>Kanyarat</v>
      </c>
      <c r="F293" t="str">
        <f>IFERROR(__xludf.DUMMYFUNCTION("""COMPUTED_VALUE"""),"Palasak")</f>
        <v>Palasak</v>
      </c>
      <c r="G293" t="str">
        <f>IFERROR(__xludf.DUMMYFUNCTION("""COMPUTED_VALUE"""),"Kanyarat Palasak")</f>
        <v>Kanyarat Palasak</v>
      </c>
    </row>
    <row r="294">
      <c r="A294" s="142">
        <f>IFERROR(__xludf.DUMMYFUNCTION("""COMPUTED_VALUE"""),47.0)</f>
        <v>47</v>
      </c>
      <c r="B294" t="str">
        <f>IFERROR(__xludf.DUMMYFUNCTION("""COMPUTED_VALUE"""),"TAA3685")</f>
        <v>TAA3685</v>
      </c>
      <c r="C294">
        <f>IFERROR(__xludf.DUMMYFUNCTION("""COMPUTED_VALUE"""),1006324.0)</f>
        <v>1006324</v>
      </c>
      <c r="D294" t="str">
        <f>IFERROR(__xludf.DUMMYFUNCTION("""COMPUTED_VALUE"""),"Ms.")</f>
        <v>Ms.</v>
      </c>
      <c r="E294" t="str">
        <f>IFERROR(__xludf.DUMMYFUNCTION("""COMPUTED_VALUE"""),"Pimpas (Mhaneepicha)")</f>
        <v>Pimpas (Mhaneepicha)</v>
      </c>
      <c r="F294" t="str">
        <f>IFERROR(__xludf.DUMMYFUNCTION("""COMPUTED_VALUE"""),"Ruangtragul")</f>
        <v>Ruangtragul</v>
      </c>
      <c r="G294" t="str">
        <f>IFERROR(__xludf.DUMMYFUNCTION("""COMPUTED_VALUE"""),"Pimpas Ruangtragul")</f>
        <v>Pimpas Ruangtragul</v>
      </c>
    </row>
    <row r="295">
      <c r="A295" s="142">
        <f>IFERROR(__xludf.DUMMYFUNCTION("""COMPUTED_VALUE"""),47.0)</f>
        <v>47</v>
      </c>
      <c r="B295" t="str">
        <f>IFERROR(__xludf.DUMMYFUNCTION("""COMPUTED_VALUE"""),"TAA3672")</f>
        <v>TAA3672</v>
      </c>
      <c r="C295">
        <f>IFERROR(__xludf.DUMMYFUNCTION("""COMPUTED_VALUE"""),1006331.0)</f>
        <v>1006331</v>
      </c>
      <c r="D295" t="str">
        <f>IFERROR(__xludf.DUMMYFUNCTION("""COMPUTED_VALUE"""),"Ms.")</f>
        <v>Ms.</v>
      </c>
      <c r="E295" t="str">
        <f>IFERROR(__xludf.DUMMYFUNCTION("""COMPUTED_VALUE"""),"Nisara")</f>
        <v>Nisara</v>
      </c>
      <c r="F295" t="str">
        <f>IFERROR(__xludf.DUMMYFUNCTION("""COMPUTED_VALUE"""),"Raviyan")</f>
        <v>Raviyan</v>
      </c>
      <c r="G295" t="str">
        <f>IFERROR(__xludf.DUMMYFUNCTION("""COMPUTED_VALUE"""),"Nisara Raviyan")</f>
        <v>Nisara Raviyan</v>
      </c>
    </row>
    <row r="296">
      <c r="A296" s="142">
        <f>IFERROR(__xludf.DUMMYFUNCTION("""COMPUTED_VALUE"""),47.0)</f>
        <v>47</v>
      </c>
      <c r="B296" t="str">
        <f>IFERROR(__xludf.DUMMYFUNCTION("""COMPUTED_VALUE"""),"TAA3688")</f>
        <v>TAA3688</v>
      </c>
      <c r="C296">
        <f>IFERROR(__xludf.DUMMYFUNCTION("""COMPUTED_VALUE"""),1006333.0)</f>
        <v>1006333</v>
      </c>
      <c r="D296" t="str">
        <f>IFERROR(__xludf.DUMMYFUNCTION("""COMPUTED_VALUE"""),"Ms.")</f>
        <v>Ms.</v>
      </c>
      <c r="E296" t="str">
        <f>IFERROR(__xludf.DUMMYFUNCTION("""COMPUTED_VALUE"""),"Peerada")</f>
        <v>Peerada</v>
      </c>
      <c r="F296" t="str">
        <f>IFERROR(__xludf.DUMMYFUNCTION("""COMPUTED_VALUE"""),"Musigsukont (Ganjanaverapol)")</f>
        <v>Musigsukont (Ganjanaverapol)</v>
      </c>
      <c r="G296" t="str">
        <f>IFERROR(__xludf.DUMMYFUNCTION("""COMPUTED_VALUE"""),"Peerada Musigsukont")</f>
        <v>Peerada Musigsukont</v>
      </c>
    </row>
    <row r="297">
      <c r="A297" s="142">
        <f>IFERROR(__xludf.DUMMYFUNCTION("""COMPUTED_VALUE"""),47.0)</f>
        <v>47</v>
      </c>
      <c r="B297" t="str">
        <f>IFERROR(__xludf.DUMMYFUNCTION("""COMPUTED_VALUE"""),"TAA3679")</f>
        <v>TAA3679</v>
      </c>
      <c r="C297">
        <f>IFERROR(__xludf.DUMMYFUNCTION("""COMPUTED_VALUE"""),1006344.0)</f>
        <v>1006344</v>
      </c>
      <c r="D297" t="str">
        <f>IFERROR(__xludf.DUMMYFUNCTION("""COMPUTED_VALUE"""),"Ms.")</f>
        <v>Ms.</v>
      </c>
      <c r="E297" t="str">
        <f>IFERROR(__xludf.DUMMYFUNCTION("""COMPUTED_VALUE"""),"Rungnapa")</f>
        <v>Rungnapa</v>
      </c>
      <c r="F297" t="str">
        <f>IFERROR(__xludf.DUMMYFUNCTION("""COMPUTED_VALUE"""),"Sawaruk")</f>
        <v>Sawaruk</v>
      </c>
      <c r="G297" t="str">
        <f>IFERROR(__xludf.DUMMYFUNCTION("""COMPUTED_VALUE"""),"Rungnapa Sawaruk")</f>
        <v>Rungnapa Sawaruk</v>
      </c>
    </row>
    <row r="298">
      <c r="A298" s="142">
        <f>IFERROR(__xludf.DUMMYFUNCTION("""COMPUTED_VALUE"""),47.0)</f>
        <v>47</v>
      </c>
      <c r="B298" t="str">
        <f>IFERROR(__xludf.DUMMYFUNCTION("""COMPUTED_VALUE"""),"TAA3677")</f>
        <v>TAA3677</v>
      </c>
      <c r="C298">
        <f>IFERROR(__xludf.DUMMYFUNCTION("""COMPUTED_VALUE"""),1006352.0)</f>
        <v>1006352</v>
      </c>
      <c r="D298" t="str">
        <f>IFERROR(__xludf.DUMMYFUNCTION("""COMPUTED_VALUE"""),"Ms.")</f>
        <v>Ms.</v>
      </c>
      <c r="E298" t="str">
        <f>IFERROR(__xludf.DUMMYFUNCTION("""COMPUTED_VALUE"""),"Sirinthip")</f>
        <v>Sirinthip</v>
      </c>
      <c r="F298" t="str">
        <f>IFERROR(__xludf.DUMMYFUNCTION("""COMPUTED_VALUE"""),"Singhadecha")</f>
        <v>Singhadecha</v>
      </c>
      <c r="G298" t="str">
        <f>IFERROR(__xludf.DUMMYFUNCTION("""COMPUTED_VALUE"""),"Sirinthip Singhadecha")</f>
        <v>Sirinthip Singhadecha</v>
      </c>
    </row>
    <row r="299">
      <c r="A299" s="142">
        <f>IFERROR(__xludf.DUMMYFUNCTION("""COMPUTED_VALUE"""),47.0)</f>
        <v>47</v>
      </c>
      <c r="B299" t="str">
        <f>IFERROR(__xludf.DUMMYFUNCTION("""COMPUTED_VALUE"""),"TAA3670")</f>
        <v>TAA3670</v>
      </c>
      <c r="C299">
        <f>IFERROR(__xludf.DUMMYFUNCTION("""COMPUTED_VALUE"""),1006360.0)</f>
        <v>1006360</v>
      </c>
      <c r="D299" t="str">
        <f>IFERROR(__xludf.DUMMYFUNCTION("""COMPUTED_VALUE"""),"Ms.")</f>
        <v>Ms.</v>
      </c>
      <c r="E299" t="str">
        <f>IFERROR(__xludf.DUMMYFUNCTION("""COMPUTED_VALUE"""),"Thanisorn")</f>
        <v>Thanisorn</v>
      </c>
      <c r="F299" t="str">
        <f>IFERROR(__xludf.DUMMYFUNCTION("""COMPUTED_VALUE"""),"Chinprahasta")</f>
        <v>Chinprahasta</v>
      </c>
      <c r="G299" t="str">
        <f>IFERROR(__xludf.DUMMYFUNCTION("""COMPUTED_VALUE"""),"Thanisorn Chinprahasta")</f>
        <v>Thanisorn Chinprahasta</v>
      </c>
    </row>
    <row r="301">
      <c r="A301" s="142">
        <f>IFERROR(__xludf.DUMMYFUNCTION("""COMPUTED_VALUE"""),48.0)</f>
        <v>48</v>
      </c>
      <c r="B301" t="str">
        <f>IFERROR(__xludf.DUMMYFUNCTION("""COMPUTED_VALUE"""),"TAA3834")</f>
        <v>TAA3834</v>
      </c>
      <c r="C301">
        <f>IFERROR(__xludf.DUMMYFUNCTION("""COMPUTED_VALUE"""),1006739.0)</f>
        <v>1006739</v>
      </c>
      <c r="D301" t="str">
        <f>IFERROR(__xludf.DUMMYFUNCTION("""COMPUTED_VALUE"""),"Ms.")</f>
        <v>Ms.</v>
      </c>
      <c r="E301" t="str">
        <f>IFERROR(__xludf.DUMMYFUNCTION("""COMPUTED_VALUE"""),"Jariya")</f>
        <v>Jariya</v>
      </c>
      <c r="F301" t="str">
        <f>IFERROR(__xludf.DUMMYFUNCTION("""COMPUTED_VALUE"""),"Wasinanon")</f>
        <v>Wasinanon</v>
      </c>
      <c r="G301" t="str">
        <f>IFERROR(__xludf.DUMMYFUNCTION("""COMPUTED_VALUE"""),"Jariya Wasinanon")</f>
        <v>Jariya Wasinanon</v>
      </c>
    </row>
    <row r="302">
      <c r="A302" s="142">
        <f>IFERROR(__xludf.DUMMYFUNCTION("""COMPUTED_VALUE"""),48.0)</f>
        <v>48</v>
      </c>
      <c r="B302" t="str">
        <f>IFERROR(__xludf.DUMMYFUNCTION("""COMPUTED_VALUE"""),"TAA3823")</f>
        <v>TAA3823</v>
      </c>
      <c r="C302">
        <f>IFERROR(__xludf.DUMMYFUNCTION("""COMPUTED_VALUE"""),1006740.0)</f>
        <v>1006740</v>
      </c>
      <c r="D302" t="str">
        <f>IFERROR(__xludf.DUMMYFUNCTION("""COMPUTED_VALUE"""),"Ms.")</f>
        <v>Ms.</v>
      </c>
      <c r="E302" t="str">
        <f>IFERROR(__xludf.DUMMYFUNCTION("""COMPUTED_VALUE"""),"Juthamard")</f>
        <v>Juthamard</v>
      </c>
      <c r="F302" t="str">
        <f>IFERROR(__xludf.DUMMYFUNCTION("""COMPUTED_VALUE"""),"Jiarakul (Pienwikraisophon)")</f>
        <v>Jiarakul (Pienwikraisophon)</v>
      </c>
      <c r="G302" t="str">
        <f>IFERROR(__xludf.DUMMYFUNCTION("""COMPUTED_VALUE"""),"Juthamard Jiarakul")</f>
        <v>Juthamard Jiarakul</v>
      </c>
    </row>
    <row r="303">
      <c r="A303" s="142">
        <f>IFERROR(__xludf.DUMMYFUNCTION("""COMPUTED_VALUE"""),48.0)</f>
        <v>48</v>
      </c>
      <c r="B303" t="str">
        <f>IFERROR(__xludf.DUMMYFUNCTION("""COMPUTED_VALUE"""),"TAA3825")</f>
        <v>TAA3825</v>
      </c>
      <c r="C303">
        <f>IFERROR(__xludf.DUMMYFUNCTION("""COMPUTED_VALUE"""),1006741.0)</f>
        <v>1006741</v>
      </c>
      <c r="D303" t="str">
        <f>IFERROR(__xludf.DUMMYFUNCTION("""COMPUTED_VALUE"""),"Ms.")</f>
        <v>Ms.</v>
      </c>
      <c r="E303" t="str">
        <f>IFERROR(__xludf.DUMMYFUNCTION("""COMPUTED_VALUE"""),"Kanyanee")</f>
        <v>Kanyanee</v>
      </c>
      <c r="F303" t="str">
        <f>IFERROR(__xludf.DUMMYFUNCTION("""COMPUTED_VALUE"""),"Sakunsim")</f>
        <v>Sakunsim</v>
      </c>
      <c r="G303" t="str">
        <f>IFERROR(__xludf.DUMMYFUNCTION("""COMPUTED_VALUE"""),"Kanyanee Sakunsim")</f>
        <v>Kanyanee Sakunsim</v>
      </c>
    </row>
    <row r="304">
      <c r="A304" s="142">
        <f>IFERROR(__xludf.DUMMYFUNCTION("""COMPUTED_VALUE"""),48.0)</f>
        <v>48</v>
      </c>
      <c r="B304" t="str">
        <f>IFERROR(__xludf.DUMMYFUNCTION("""COMPUTED_VALUE"""),"TAA3821")</f>
        <v>TAA3821</v>
      </c>
      <c r="C304">
        <f>IFERROR(__xludf.DUMMYFUNCTION("""COMPUTED_VALUE"""),1006742.0)</f>
        <v>1006742</v>
      </c>
      <c r="D304" t="str">
        <f>IFERROR(__xludf.DUMMYFUNCTION("""COMPUTED_VALUE"""),"Ms.")</f>
        <v>Ms.</v>
      </c>
      <c r="E304" t="str">
        <f>IFERROR(__xludf.DUMMYFUNCTION("""COMPUTED_VALUE"""),"Korakoch")</f>
        <v>Korakoch</v>
      </c>
      <c r="F304" t="str">
        <f>IFERROR(__xludf.DUMMYFUNCTION("""COMPUTED_VALUE"""),"Charoenying")</f>
        <v>Charoenying</v>
      </c>
      <c r="G304" t="str">
        <f>IFERROR(__xludf.DUMMYFUNCTION("""COMPUTED_VALUE"""),"Korakoch Charoenying")</f>
        <v>Korakoch Charoenying</v>
      </c>
    </row>
    <row r="305">
      <c r="A305" s="142">
        <f>IFERROR(__xludf.DUMMYFUNCTION("""COMPUTED_VALUE"""),48.0)</f>
        <v>48</v>
      </c>
      <c r="B305" t="str">
        <f>IFERROR(__xludf.DUMMYFUNCTION("""COMPUTED_VALUE"""),"TAA3822")</f>
        <v>TAA3822</v>
      </c>
      <c r="C305">
        <f>IFERROR(__xludf.DUMMYFUNCTION("""COMPUTED_VALUE"""),1006743.0)</f>
        <v>1006743</v>
      </c>
      <c r="D305" t="str">
        <f>IFERROR(__xludf.DUMMYFUNCTION("""COMPUTED_VALUE"""),"Ms.")</f>
        <v>Ms.</v>
      </c>
      <c r="E305" t="str">
        <f>IFERROR(__xludf.DUMMYFUNCTION("""COMPUTED_VALUE"""),"Methawadee")</f>
        <v>Methawadee</v>
      </c>
      <c r="F305" t="str">
        <f>IFERROR(__xludf.DUMMYFUNCTION("""COMPUTED_VALUE"""),"Nuanganant")</f>
        <v>Nuanganant</v>
      </c>
      <c r="G305" t="str">
        <f>IFERROR(__xludf.DUMMYFUNCTION("""COMPUTED_VALUE"""),"Methawadee Nuanganant")</f>
        <v>Methawadee Nuanganant</v>
      </c>
    </row>
    <row r="306">
      <c r="A306" s="142">
        <f>IFERROR(__xludf.DUMMYFUNCTION("""COMPUTED_VALUE"""),48.0)</f>
        <v>48</v>
      </c>
      <c r="B306" t="str">
        <f>IFERROR(__xludf.DUMMYFUNCTION("""COMPUTED_VALUE"""),"TAA3820")</f>
        <v>TAA3820</v>
      </c>
      <c r="C306">
        <f>IFERROR(__xludf.DUMMYFUNCTION("""COMPUTED_VALUE"""),1006745.0)</f>
        <v>1006745</v>
      </c>
      <c r="D306" t="str">
        <f>IFERROR(__xludf.DUMMYFUNCTION("""COMPUTED_VALUE"""),"Mr.")</f>
        <v>Mr.</v>
      </c>
      <c r="E306" t="str">
        <f>IFERROR(__xludf.DUMMYFUNCTION("""COMPUTED_VALUE"""),"Peerapop")</f>
        <v>Peerapop</v>
      </c>
      <c r="F306" t="str">
        <f>IFERROR(__xludf.DUMMYFUNCTION("""COMPUTED_VALUE"""),"Sompranon")</f>
        <v>Sompranon</v>
      </c>
      <c r="G306" t="str">
        <f>IFERROR(__xludf.DUMMYFUNCTION("""COMPUTED_VALUE"""),"Peerapop Sompranon")</f>
        <v>Peerapop Sompranon</v>
      </c>
    </row>
    <row r="307">
      <c r="A307" s="142">
        <f>IFERROR(__xludf.DUMMYFUNCTION("""COMPUTED_VALUE"""),48.0)</f>
        <v>48</v>
      </c>
      <c r="B307" t="str">
        <f>IFERROR(__xludf.DUMMYFUNCTION("""COMPUTED_VALUE"""),"TAA3819")</f>
        <v>TAA3819</v>
      </c>
      <c r="C307">
        <f>IFERROR(__xludf.DUMMYFUNCTION("""COMPUTED_VALUE"""),1006746.0)</f>
        <v>1006746</v>
      </c>
      <c r="D307" t="str">
        <f>IFERROR(__xludf.DUMMYFUNCTION("""COMPUTED_VALUE"""),"Ms.")</f>
        <v>Ms.</v>
      </c>
      <c r="E307" t="str">
        <f>IFERROR(__xludf.DUMMYFUNCTION("""COMPUTED_VALUE"""),"Phanphayia")</f>
        <v>Phanphayia</v>
      </c>
      <c r="F307" t="str">
        <f>IFERROR(__xludf.DUMMYFUNCTION("""COMPUTED_VALUE"""),"Phunphianchat")</f>
        <v>Phunphianchat</v>
      </c>
      <c r="G307" t="str">
        <f>IFERROR(__xludf.DUMMYFUNCTION("""COMPUTED_VALUE"""),"Phanphayia Phunphianchat")</f>
        <v>Phanphayia Phunphianchat</v>
      </c>
    </row>
    <row r="308">
      <c r="A308" s="142">
        <f>IFERROR(__xludf.DUMMYFUNCTION("""COMPUTED_VALUE"""),48.0)</f>
        <v>48</v>
      </c>
      <c r="B308" t="str">
        <f>IFERROR(__xludf.DUMMYFUNCTION("""COMPUTED_VALUE"""),"TAA3818")</f>
        <v>TAA3818</v>
      </c>
      <c r="C308">
        <f>IFERROR(__xludf.DUMMYFUNCTION("""COMPUTED_VALUE"""),1006747.0)</f>
        <v>1006747</v>
      </c>
      <c r="D308" t="str">
        <f>IFERROR(__xludf.DUMMYFUNCTION("""COMPUTED_VALUE"""),"Ms.")</f>
        <v>Ms.</v>
      </c>
      <c r="E308" t="str">
        <f>IFERROR(__xludf.DUMMYFUNCTION("""COMPUTED_VALUE"""),"Phichayanat (Noppawan)")</f>
        <v>Phichayanat (Noppawan)</v>
      </c>
      <c r="F308" t="str">
        <f>IFERROR(__xludf.DUMMYFUNCTION("""COMPUTED_VALUE"""),"Duangprasanchai")</f>
        <v>Duangprasanchai</v>
      </c>
      <c r="G308" t="str">
        <f>IFERROR(__xludf.DUMMYFUNCTION("""COMPUTED_VALUE"""),"Phichayanat Duangprasanchai")</f>
        <v>Phichayanat Duangprasanchai</v>
      </c>
    </row>
    <row r="309">
      <c r="A309" s="142">
        <f>IFERROR(__xludf.DUMMYFUNCTION("""COMPUTED_VALUE"""),48.0)</f>
        <v>48</v>
      </c>
      <c r="B309" t="str">
        <f>IFERROR(__xludf.DUMMYFUNCTION("""COMPUTED_VALUE"""),"TAA3816")</f>
        <v>TAA3816</v>
      </c>
      <c r="C309">
        <f>IFERROR(__xludf.DUMMYFUNCTION("""COMPUTED_VALUE"""),1006750.0)</f>
        <v>1006750</v>
      </c>
      <c r="D309" t="str">
        <f>IFERROR(__xludf.DUMMYFUNCTION("""COMPUTED_VALUE"""),"Ms.")</f>
        <v>Ms.</v>
      </c>
      <c r="E309" t="str">
        <f>IFERROR(__xludf.DUMMYFUNCTION("""COMPUTED_VALUE"""),"Supada")</f>
        <v>Supada</v>
      </c>
      <c r="F309" t="str">
        <f>IFERROR(__xludf.DUMMYFUNCTION("""COMPUTED_VALUE"""),"Wanichapat")</f>
        <v>Wanichapat</v>
      </c>
      <c r="G309" t="str">
        <f>IFERROR(__xludf.DUMMYFUNCTION("""COMPUTED_VALUE"""),"Supada Wanichapat")</f>
        <v>Supada Wanichapat</v>
      </c>
    </row>
    <row r="310">
      <c r="A310" s="142">
        <f>IFERROR(__xludf.DUMMYFUNCTION("""COMPUTED_VALUE"""),48.0)</f>
        <v>48</v>
      </c>
      <c r="B310" t="str">
        <f>IFERROR(__xludf.DUMMYFUNCTION("""COMPUTED_VALUE"""),"TAA3824")</f>
        <v>TAA3824</v>
      </c>
      <c r="C310">
        <f>IFERROR(__xludf.DUMMYFUNCTION("""COMPUTED_VALUE"""),1006751.0)</f>
        <v>1006751</v>
      </c>
      <c r="D310" t="str">
        <f>IFERROR(__xludf.DUMMYFUNCTION("""COMPUTED_VALUE"""),"Ms.")</f>
        <v>Ms.</v>
      </c>
      <c r="E310" t="str">
        <f>IFERROR(__xludf.DUMMYFUNCTION("""COMPUTED_VALUE"""),"Supawadee")</f>
        <v>Supawadee</v>
      </c>
      <c r="F310" t="str">
        <f>IFERROR(__xludf.DUMMYFUNCTION("""COMPUTED_VALUE"""),"Panachompoo")</f>
        <v>Panachompoo</v>
      </c>
      <c r="G310" t="str">
        <f>IFERROR(__xludf.DUMMYFUNCTION("""COMPUTED_VALUE"""),"Supawadee Panachompoo")</f>
        <v>Supawadee Panachompoo</v>
      </c>
    </row>
    <row r="311">
      <c r="A311" s="142">
        <f>IFERROR(__xludf.DUMMYFUNCTION("""COMPUTED_VALUE"""),48.0)</f>
        <v>48</v>
      </c>
      <c r="B311" t="str">
        <f>IFERROR(__xludf.DUMMYFUNCTION("""COMPUTED_VALUE"""),"TAA3830")</f>
        <v>TAA3830</v>
      </c>
      <c r="C311">
        <f>IFERROR(__xludf.DUMMYFUNCTION("""COMPUTED_VALUE"""),1006752.0)</f>
        <v>1006752</v>
      </c>
      <c r="D311" t="str">
        <f>IFERROR(__xludf.DUMMYFUNCTION("""COMPUTED_VALUE"""),"Ms.")</f>
        <v>Ms.</v>
      </c>
      <c r="E311" t="str">
        <f>IFERROR(__xludf.DUMMYFUNCTION("""COMPUTED_VALUE"""),"Tanyada")</f>
        <v>Tanyada</v>
      </c>
      <c r="F311" t="str">
        <f>IFERROR(__xludf.DUMMYFUNCTION("""COMPUTED_VALUE"""),"Charoenpong")</f>
        <v>Charoenpong</v>
      </c>
      <c r="G311" t="str">
        <f>IFERROR(__xludf.DUMMYFUNCTION("""COMPUTED_VALUE"""),"Tanyada Charoenpong")</f>
        <v>Tanyada Charoenpong</v>
      </c>
    </row>
    <row r="312">
      <c r="A312" s="142">
        <f>IFERROR(__xludf.DUMMYFUNCTION("""COMPUTED_VALUE"""),48.0)</f>
        <v>48</v>
      </c>
      <c r="B312" t="str">
        <f>IFERROR(__xludf.DUMMYFUNCTION("""COMPUTED_VALUE"""),"TAA3831")</f>
        <v>TAA3831</v>
      </c>
      <c r="C312">
        <f>IFERROR(__xludf.DUMMYFUNCTION("""COMPUTED_VALUE"""),1006753.0)</f>
        <v>1006753</v>
      </c>
      <c r="D312" t="str">
        <f>IFERROR(__xludf.DUMMYFUNCTION("""COMPUTED_VALUE"""),"Ms.")</f>
        <v>Ms.</v>
      </c>
      <c r="E312" t="str">
        <f>IFERROR(__xludf.DUMMYFUNCTION("""COMPUTED_VALUE"""),"Thiptida")</f>
        <v>Thiptida</v>
      </c>
      <c r="F312" t="str">
        <f>IFERROR(__xludf.DUMMYFUNCTION("""COMPUTED_VALUE"""),"Keereemasthong")</f>
        <v>Keereemasthong</v>
      </c>
      <c r="G312" t="str">
        <f>IFERROR(__xludf.DUMMYFUNCTION("""COMPUTED_VALUE"""),"Thiptida Keereemasthong")</f>
        <v>Thiptida Keereemasthong</v>
      </c>
    </row>
    <row r="313">
      <c r="A313" s="142">
        <f>IFERROR(__xludf.DUMMYFUNCTION("""COMPUTED_VALUE"""),48.0)</f>
        <v>48</v>
      </c>
      <c r="B313" t="str">
        <f>IFERROR(__xludf.DUMMYFUNCTION("""COMPUTED_VALUE"""),"TAA3826")</f>
        <v>TAA3826</v>
      </c>
      <c r="C313">
        <f>IFERROR(__xludf.DUMMYFUNCTION("""COMPUTED_VALUE"""),1006754.0)</f>
        <v>1006754</v>
      </c>
      <c r="D313" t="str">
        <f>IFERROR(__xludf.DUMMYFUNCTION("""COMPUTED_VALUE"""),"Ms.")</f>
        <v>Ms.</v>
      </c>
      <c r="E313" t="str">
        <f>IFERROR(__xludf.DUMMYFUNCTION("""COMPUTED_VALUE"""),"Tilada")</f>
        <v>Tilada</v>
      </c>
      <c r="F313" t="str">
        <f>IFERROR(__xludf.DUMMYFUNCTION("""COMPUTED_VALUE"""),"Srichaichana")</f>
        <v>Srichaichana</v>
      </c>
      <c r="G313" t="str">
        <f>IFERROR(__xludf.DUMMYFUNCTION("""COMPUTED_VALUE"""),"Tilada Srichaichana")</f>
        <v>Tilada Srichaichana</v>
      </c>
    </row>
    <row r="315">
      <c r="A315" s="142">
        <f>IFERROR(__xludf.DUMMYFUNCTION("""COMPUTED_VALUE"""),49.0)</f>
        <v>49</v>
      </c>
      <c r="B315" t="str">
        <f>IFERROR(__xludf.DUMMYFUNCTION("""COMPUTED_VALUE"""),"TAA3881")</f>
        <v>TAA3881</v>
      </c>
      <c r="C315">
        <f>IFERROR(__xludf.DUMMYFUNCTION("""COMPUTED_VALUE"""),1006834.0)</f>
        <v>1006834</v>
      </c>
      <c r="D315" t="str">
        <f>IFERROR(__xludf.DUMMYFUNCTION("""COMPUTED_VALUE"""),"Ms.")</f>
        <v>Ms.</v>
      </c>
      <c r="E315" t="str">
        <f>IFERROR(__xludf.DUMMYFUNCTION("""COMPUTED_VALUE"""),"Jirachaya")</f>
        <v>Jirachaya</v>
      </c>
      <c r="F315" t="str">
        <f>IFERROR(__xludf.DUMMYFUNCTION("""COMPUTED_VALUE"""),"Limpadtanachai")</f>
        <v>Limpadtanachai</v>
      </c>
      <c r="G315" t="str">
        <f>IFERROR(__xludf.DUMMYFUNCTION("""COMPUTED_VALUE"""),"Jirachaya Limpadtanachai")</f>
        <v>Jirachaya Limpadtanachai</v>
      </c>
    </row>
    <row r="316">
      <c r="A316" s="142">
        <f>IFERROR(__xludf.DUMMYFUNCTION("""COMPUTED_VALUE"""),49.0)</f>
        <v>49</v>
      </c>
      <c r="B316" t="str">
        <f>IFERROR(__xludf.DUMMYFUNCTION("""COMPUTED_VALUE"""),"TAA3877")</f>
        <v>TAA3877</v>
      </c>
      <c r="C316">
        <f>IFERROR(__xludf.DUMMYFUNCTION("""COMPUTED_VALUE"""),1006835.0)</f>
        <v>1006835</v>
      </c>
      <c r="D316" t="str">
        <f>IFERROR(__xludf.DUMMYFUNCTION("""COMPUTED_VALUE"""),"Ms.")</f>
        <v>Ms.</v>
      </c>
      <c r="E316" t="str">
        <f>IFERROR(__xludf.DUMMYFUNCTION("""COMPUTED_VALUE"""),"Ketsaraporn")</f>
        <v>Ketsaraporn</v>
      </c>
      <c r="F316" t="str">
        <f>IFERROR(__xludf.DUMMYFUNCTION("""COMPUTED_VALUE"""),"Borvornmongkolsak")</f>
        <v>Borvornmongkolsak</v>
      </c>
      <c r="G316" t="str">
        <f>IFERROR(__xludf.DUMMYFUNCTION("""COMPUTED_VALUE"""),"Ketsaraporn Borvornmongkolsak")</f>
        <v>Ketsaraporn Borvornmongkolsak</v>
      </c>
    </row>
    <row r="317">
      <c r="A317" s="142">
        <f>IFERROR(__xludf.DUMMYFUNCTION("""COMPUTED_VALUE"""),49.0)</f>
        <v>49</v>
      </c>
      <c r="B317" t="str">
        <f>IFERROR(__xludf.DUMMYFUNCTION("""COMPUTED_VALUE"""),"TAA3882")</f>
        <v>TAA3882</v>
      </c>
      <c r="C317">
        <f>IFERROR(__xludf.DUMMYFUNCTION("""COMPUTED_VALUE"""),1006836.0)</f>
        <v>1006836</v>
      </c>
      <c r="D317" t="str">
        <f>IFERROR(__xludf.DUMMYFUNCTION("""COMPUTED_VALUE"""),"Mrs.")</f>
        <v>Mrs.</v>
      </c>
      <c r="E317" t="str">
        <f>IFERROR(__xludf.DUMMYFUNCTION("""COMPUTED_VALUE"""),"Kotchaporn (Chengping)")</f>
        <v>Kotchaporn (Chengping)</v>
      </c>
      <c r="F317" t="str">
        <f>IFERROR(__xludf.DUMMYFUNCTION("""COMPUTED_VALUE"""),"Komutanont (Saetang)")</f>
        <v>Komutanont (Saetang)</v>
      </c>
      <c r="G317" t="str">
        <f>IFERROR(__xludf.DUMMYFUNCTION("""COMPUTED_VALUE"""),"Kotchaporn Komutanont")</f>
        <v>Kotchaporn Komutanont</v>
      </c>
    </row>
    <row r="318">
      <c r="A318" s="142">
        <f>IFERROR(__xludf.DUMMYFUNCTION("""COMPUTED_VALUE"""),49.0)</f>
        <v>49</v>
      </c>
      <c r="B318" t="str">
        <f>IFERROR(__xludf.DUMMYFUNCTION("""COMPUTED_VALUE"""),"TAA3872")</f>
        <v>TAA3872</v>
      </c>
      <c r="C318">
        <f>IFERROR(__xludf.DUMMYFUNCTION("""COMPUTED_VALUE"""),1006840.0)</f>
        <v>1006840</v>
      </c>
      <c r="D318" t="str">
        <f>IFERROR(__xludf.DUMMYFUNCTION("""COMPUTED_VALUE"""),"Mr.")</f>
        <v>Mr.</v>
      </c>
      <c r="E318" t="str">
        <f>IFERROR(__xludf.DUMMYFUNCTION("""COMPUTED_VALUE"""),"Nutthawich")</f>
        <v>Nutthawich</v>
      </c>
      <c r="F318" t="str">
        <f>IFERROR(__xludf.DUMMYFUNCTION("""COMPUTED_VALUE"""),"Suwanmanee")</f>
        <v>Suwanmanee</v>
      </c>
      <c r="G318" t="str">
        <f>IFERROR(__xludf.DUMMYFUNCTION("""COMPUTED_VALUE"""),"Nutthawich Suwanmanee")</f>
        <v>Nutthawich Suwanmanee</v>
      </c>
    </row>
    <row r="319">
      <c r="A319" s="142">
        <f>IFERROR(__xludf.DUMMYFUNCTION("""COMPUTED_VALUE"""),49.0)</f>
        <v>49</v>
      </c>
      <c r="B319" t="str">
        <f>IFERROR(__xludf.DUMMYFUNCTION("""COMPUTED_VALUE"""),"TAA3874")</f>
        <v>TAA3874</v>
      </c>
      <c r="C319">
        <f>IFERROR(__xludf.DUMMYFUNCTION("""COMPUTED_VALUE"""),1006844.0)</f>
        <v>1006844</v>
      </c>
      <c r="D319" t="str">
        <f>IFERROR(__xludf.DUMMYFUNCTION("""COMPUTED_VALUE"""),"Ms.")</f>
        <v>Ms.</v>
      </c>
      <c r="E319" t="str">
        <f>IFERROR(__xludf.DUMMYFUNCTION("""COMPUTED_VALUE"""),"Rada")</f>
        <v>Rada</v>
      </c>
      <c r="F319" t="str">
        <f>IFERROR(__xludf.DUMMYFUNCTION("""COMPUTED_VALUE"""),"Nilyam")</f>
        <v>Nilyam</v>
      </c>
      <c r="G319" t="str">
        <f>IFERROR(__xludf.DUMMYFUNCTION("""COMPUTED_VALUE"""),"Rada Nilyam")</f>
        <v>Rada Nilyam</v>
      </c>
    </row>
    <row r="320">
      <c r="A320" s="142">
        <f>IFERROR(__xludf.DUMMYFUNCTION("""COMPUTED_VALUE"""),49.0)</f>
        <v>49</v>
      </c>
      <c r="B320" t="str">
        <f>IFERROR(__xludf.DUMMYFUNCTION("""COMPUTED_VALUE"""),"TAA3875")</f>
        <v>TAA3875</v>
      </c>
      <c r="C320">
        <f>IFERROR(__xludf.DUMMYFUNCTION("""COMPUTED_VALUE"""),1006845.0)</f>
        <v>1006845</v>
      </c>
      <c r="D320" t="str">
        <f>IFERROR(__xludf.DUMMYFUNCTION("""COMPUTED_VALUE"""),"Ms.")</f>
        <v>Ms.</v>
      </c>
      <c r="E320" t="str">
        <f>IFERROR(__xludf.DUMMYFUNCTION("""COMPUTED_VALUE"""),"Sakuna")</f>
        <v>Sakuna</v>
      </c>
      <c r="F320" t="str">
        <f>IFERROR(__xludf.DUMMYFUNCTION("""COMPUTED_VALUE"""),"Puangpipat")</f>
        <v>Puangpipat</v>
      </c>
      <c r="G320" t="str">
        <f>IFERROR(__xludf.DUMMYFUNCTION("""COMPUTED_VALUE"""),"Sakuna Puangpipat")</f>
        <v>Sakuna Puangpipat</v>
      </c>
    </row>
    <row r="321">
      <c r="A321" s="142">
        <f>IFERROR(__xludf.DUMMYFUNCTION("""COMPUTED_VALUE"""),49.0)</f>
        <v>49</v>
      </c>
      <c r="B321" t="str">
        <f>IFERROR(__xludf.DUMMYFUNCTION("""COMPUTED_VALUE"""),"TAA3869")</f>
        <v>TAA3869</v>
      </c>
      <c r="C321">
        <f>IFERROR(__xludf.DUMMYFUNCTION("""COMPUTED_VALUE"""),1006847.0)</f>
        <v>1006847</v>
      </c>
      <c r="D321" t="str">
        <f>IFERROR(__xludf.DUMMYFUNCTION("""COMPUTED_VALUE"""),"Ms.")</f>
        <v>Ms.</v>
      </c>
      <c r="E321" t="str">
        <f>IFERROR(__xludf.DUMMYFUNCTION("""COMPUTED_VALUE"""),"Siriluk")</f>
        <v>Siriluk</v>
      </c>
      <c r="F321" t="str">
        <f>IFERROR(__xludf.DUMMYFUNCTION("""COMPUTED_VALUE"""),"Supkongyu")</f>
        <v>Supkongyu</v>
      </c>
      <c r="G321" t="str">
        <f>IFERROR(__xludf.DUMMYFUNCTION("""COMPUTED_VALUE"""),"Siriluk Supkongyu")</f>
        <v>Siriluk Supkongyu</v>
      </c>
    </row>
    <row r="322">
      <c r="A322" s="142">
        <f>IFERROR(__xludf.DUMMYFUNCTION("""COMPUTED_VALUE"""),49.0)</f>
        <v>49</v>
      </c>
      <c r="B322" t="str">
        <f>IFERROR(__xludf.DUMMYFUNCTION("""COMPUTED_VALUE"""),"TAA3871")</f>
        <v>TAA3871</v>
      </c>
      <c r="C322">
        <f>IFERROR(__xludf.DUMMYFUNCTION("""COMPUTED_VALUE"""),1006852.0)</f>
        <v>1006852</v>
      </c>
      <c r="D322" t="str">
        <f>IFERROR(__xludf.DUMMYFUNCTION("""COMPUTED_VALUE"""),"Mr.")</f>
        <v>Mr.</v>
      </c>
      <c r="E322" t="str">
        <f>IFERROR(__xludf.DUMMYFUNCTION("""COMPUTED_VALUE"""),"Taspon")</f>
        <v>Taspon</v>
      </c>
      <c r="F322" t="str">
        <f>IFERROR(__xludf.DUMMYFUNCTION("""COMPUTED_VALUE"""),"Jantaduang")</f>
        <v>Jantaduang</v>
      </c>
      <c r="G322" t="str">
        <f>IFERROR(__xludf.DUMMYFUNCTION("""COMPUTED_VALUE"""),"Taspon Jantaduang")</f>
        <v>Taspon Jantaduang</v>
      </c>
    </row>
    <row r="323">
      <c r="A323" s="142">
        <f>IFERROR(__xludf.DUMMYFUNCTION("""COMPUTED_VALUE"""),49.0)</f>
        <v>49</v>
      </c>
      <c r="B323" t="str">
        <f>IFERROR(__xludf.DUMMYFUNCTION("""COMPUTED_VALUE"""),"TAA3885")</f>
        <v>TAA3885</v>
      </c>
      <c r="C323">
        <f>IFERROR(__xludf.DUMMYFUNCTION("""COMPUTED_VALUE"""),1006854.0)</f>
        <v>1006854</v>
      </c>
      <c r="D323" t="str">
        <f>IFERROR(__xludf.DUMMYFUNCTION("""COMPUTED_VALUE"""),"Mr.")</f>
        <v>Mr.</v>
      </c>
      <c r="E323" t="str">
        <f>IFERROR(__xludf.DUMMYFUNCTION("""COMPUTED_VALUE"""),"Thanachai")</f>
        <v>Thanachai</v>
      </c>
      <c r="F323" t="str">
        <f>IFERROR(__xludf.DUMMYFUNCTION("""COMPUTED_VALUE"""),"Wilai-ngam")</f>
        <v>Wilai-ngam</v>
      </c>
      <c r="G323" t="str">
        <f>IFERROR(__xludf.DUMMYFUNCTION("""COMPUTED_VALUE"""),"Thanachai Wilai-ngam")</f>
        <v>Thanachai Wilai-ngam</v>
      </c>
    </row>
    <row r="324">
      <c r="A324" s="142">
        <f>IFERROR(__xludf.DUMMYFUNCTION("""COMPUTED_VALUE"""),49.0)</f>
        <v>49</v>
      </c>
      <c r="B324" t="str">
        <f>IFERROR(__xludf.DUMMYFUNCTION("""COMPUTED_VALUE"""),"TAA3887")</f>
        <v>TAA3887</v>
      </c>
      <c r="C324">
        <f>IFERROR(__xludf.DUMMYFUNCTION("""COMPUTED_VALUE"""),1006855.0)</f>
        <v>1006855</v>
      </c>
      <c r="D324" t="str">
        <f>IFERROR(__xludf.DUMMYFUNCTION("""COMPUTED_VALUE"""),"Mr.")</f>
        <v>Mr.</v>
      </c>
      <c r="E324" t="str">
        <f>IFERROR(__xludf.DUMMYFUNCTION("""COMPUTED_VALUE"""),"Theeraphon")</f>
        <v>Theeraphon</v>
      </c>
      <c r="F324" t="str">
        <f>IFERROR(__xludf.DUMMYFUNCTION("""COMPUTED_VALUE"""),"Porisutkun")</f>
        <v>Porisutkun</v>
      </c>
      <c r="G324" t="str">
        <f>IFERROR(__xludf.DUMMYFUNCTION("""COMPUTED_VALUE"""),"Theeraphon Porisutkun")</f>
        <v>Theeraphon Porisutkun</v>
      </c>
    </row>
    <row r="326">
      <c r="A326" s="142">
        <f>IFERROR(__xludf.DUMMYFUNCTION("""COMPUTED_VALUE"""),50.0)</f>
        <v>50</v>
      </c>
      <c r="B326" t="str">
        <f>IFERROR(__xludf.DUMMYFUNCTION("""COMPUTED_VALUE"""),"TAA3892")</f>
        <v>TAA3892</v>
      </c>
      <c r="C326">
        <f>IFERROR(__xludf.DUMMYFUNCTION("""COMPUTED_VALUE"""),1006870.0)</f>
        <v>1006870</v>
      </c>
      <c r="D326" t="str">
        <f>IFERROR(__xludf.DUMMYFUNCTION("""COMPUTED_VALUE"""),"Ms.")</f>
        <v>Ms.</v>
      </c>
      <c r="E326" t="str">
        <f>IFERROR(__xludf.DUMMYFUNCTION("""COMPUTED_VALUE"""),"Duangporn")</f>
        <v>Duangporn</v>
      </c>
      <c r="F326" t="str">
        <f>IFERROR(__xludf.DUMMYFUNCTION("""COMPUTED_VALUE"""),"Denkesineelam")</f>
        <v>Denkesineelam</v>
      </c>
      <c r="G326" t="str">
        <f>IFERROR(__xludf.DUMMYFUNCTION("""COMPUTED_VALUE"""),"Duangporn Denkesineelam")</f>
        <v>Duangporn Denkesineelam</v>
      </c>
    </row>
    <row r="327">
      <c r="A327" s="142">
        <f>IFERROR(__xludf.DUMMYFUNCTION("""COMPUTED_VALUE"""),50.0)</f>
        <v>50</v>
      </c>
      <c r="B327" t="str">
        <f>IFERROR(__xludf.DUMMYFUNCTION("""COMPUTED_VALUE"""),"TAA3898")</f>
        <v>TAA3898</v>
      </c>
      <c r="C327">
        <f>IFERROR(__xludf.DUMMYFUNCTION("""COMPUTED_VALUE"""),1006881.0)</f>
        <v>1006881</v>
      </c>
      <c r="D327" t="str">
        <f>IFERROR(__xludf.DUMMYFUNCTION("""COMPUTED_VALUE"""),"Mr.")</f>
        <v>Mr.</v>
      </c>
      <c r="E327" t="str">
        <f>IFERROR(__xludf.DUMMYFUNCTION("""COMPUTED_VALUE"""),"Krittrin")</f>
        <v>Krittrin</v>
      </c>
      <c r="F327" t="str">
        <f>IFERROR(__xludf.DUMMYFUNCTION("""COMPUTED_VALUE"""),"Harnphanphong")</f>
        <v>Harnphanphong</v>
      </c>
      <c r="G327" t="str">
        <f>IFERROR(__xludf.DUMMYFUNCTION("""COMPUTED_VALUE"""),"Krittrin Harnphanphong")</f>
        <v>Krittrin Harnphanphong</v>
      </c>
    </row>
    <row r="328">
      <c r="A328" s="142">
        <f>IFERROR(__xludf.DUMMYFUNCTION("""COMPUTED_VALUE"""),50.0)</f>
        <v>50</v>
      </c>
      <c r="B328" t="str">
        <f>IFERROR(__xludf.DUMMYFUNCTION("""COMPUTED_VALUE"""),"TAA3893")</f>
        <v>TAA3893</v>
      </c>
      <c r="C328">
        <f>IFERROR(__xludf.DUMMYFUNCTION("""COMPUTED_VALUE"""),1006897.0)</f>
        <v>1006897</v>
      </c>
      <c r="D328" t="str">
        <f>IFERROR(__xludf.DUMMYFUNCTION("""COMPUTED_VALUE"""),"Mr.")</f>
        <v>Mr.</v>
      </c>
      <c r="E328" t="str">
        <f>IFERROR(__xludf.DUMMYFUNCTION("""COMPUTED_VALUE"""),"Padejkarn")</f>
        <v>Padejkarn</v>
      </c>
      <c r="F328" t="str">
        <f>IFERROR(__xludf.DUMMYFUNCTION("""COMPUTED_VALUE"""),"Hanta")</f>
        <v>Hanta</v>
      </c>
      <c r="G328" t="str">
        <f>IFERROR(__xludf.DUMMYFUNCTION("""COMPUTED_VALUE"""),"Padejkarn Hanta")</f>
        <v>Padejkarn Hanta</v>
      </c>
    </row>
    <row r="329">
      <c r="A329" s="142">
        <f>IFERROR(__xludf.DUMMYFUNCTION("""COMPUTED_VALUE"""),50.0)</f>
        <v>50</v>
      </c>
      <c r="B329" t="str">
        <f>IFERROR(__xludf.DUMMYFUNCTION("""COMPUTED_VALUE"""),"TAA3897")</f>
        <v>TAA3897</v>
      </c>
      <c r="C329">
        <f>IFERROR(__xludf.DUMMYFUNCTION("""COMPUTED_VALUE"""),1006899.0)</f>
        <v>1006899</v>
      </c>
      <c r="D329" t="str">
        <f>IFERROR(__xludf.DUMMYFUNCTION("""COMPUTED_VALUE"""),"Ms.")</f>
        <v>Ms.</v>
      </c>
      <c r="E329" t="str">
        <f>IFERROR(__xludf.DUMMYFUNCTION("""COMPUTED_VALUE"""),"Phakchira")</f>
        <v>Phakchira</v>
      </c>
      <c r="F329" t="str">
        <f>IFERROR(__xludf.DUMMYFUNCTION("""COMPUTED_VALUE"""),"Charoensuk")</f>
        <v>Charoensuk</v>
      </c>
      <c r="G329" t="str">
        <f>IFERROR(__xludf.DUMMYFUNCTION("""COMPUTED_VALUE"""),"Phakchira Charoensuk")</f>
        <v>Phakchira Charoensuk</v>
      </c>
    </row>
    <row r="330">
      <c r="A330" s="142">
        <f>IFERROR(__xludf.DUMMYFUNCTION("""COMPUTED_VALUE"""),50.0)</f>
        <v>50</v>
      </c>
      <c r="B330" t="str">
        <f>IFERROR(__xludf.DUMMYFUNCTION("""COMPUTED_VALUE"""),"TAA3890")</f>
        <v>TAA3890</v>
      </c>
      <c r="C330">
        <f>IFERROR(__xludf.DUMMYFUNCTION("""COMPUTED_VALUE"""),1006900.0)</f>
        <v>1006900</v>
      </c>
      <c r="D330" t="str">
        <f>IFERROR(__xludf.DUMMYFUNCTION("""COMPUTED_VALUE"""),"Ms.")</f>
        <v>Ms.</v>
      </c>
      <c r="E330" t="str">
        <f>IFERROR(__xludf.DUMMYFUNCTION("""COMPUTED_VALUE"""),"Ratha")</f>
        <v>Ratha</v>
      </c>
      <c r="F330" t="str">
        <f>IFERROR(__xludf.DUMMYFUNCTION("""COMPUTED_VALUE"""),"Aphiworaphakin")</f>
        <v>Aphiworaphakin</v>
      </c>
      <c r="G330" t="str">
        <f>IFERROR(__xludf.DUMMYFUNCTION("""COMPUTED_VALUE"""),"Ratha Aphiworaphakin")</f>
        <v>Ratha Aphiworaphakin</v>
      </c>
    </row>
    <row r="331">
      <c r="A331" s="142">
        <f>IFERROR(__xludf.DUMMYFUNCTION("""COMPUTED_VALUE"""),50.0)</f>
        <v>50</v>
      </c>
      <c r="B331" t="str">
        <f>IFERROR(__xludf.DUMMYFUNCTION("""COMPUTED_VALUE"""),"TAA3895")</f>
        <v>TAA3895</v>
      </c>
      <c r="C331">
        <f>IFERROR(__xludf.DUMMYFUNCTION("""COMPUTED_VALUE"""),1006905.0)</f>
        <v>1006905</v>
      </c>
      <c r="D331" t="str">
        <f>IFERROR(__xludf.DUMMYFUNCTION("""COMPUTED_VALUE"""),"Ms.")</f>
        <v>Ms.</v>
      </c>
      <c r="E331" t="str">
        <f>IFERROR(__xludf.DUMMYFUNCTION("""COMPUTED_VALUE"""),"Thanyaluck")</f>
        <v>Thanyaluck</v>
      </c>
      <c r="F331" t="str">
        <f>IFERROR(__xludf.DUMMYFUNCTION("""COMPUTED_VALUE"""),"Wongkittivech")</f>
        <v>Wongkittivech</v>
      </c>
      <c r="G331" t="str">
        <f>IFERROR(__xludf.DUMMYFUNCTION("""COMPUTED_VALUE"""),"Thanyaluck Wongkittivech")</f>
        <v>Thanyaluck Wongkittivech</v>
      </c>
    </row>
    <row r="332">
      <c r="A332" s="142">
        <f>IFERROR(__xludf.DUMMYFUNCTION("""COMPUTED_VALUE"""),50.0)</f>
        <v>50</v>
      </c>
      <c r="B332" t="str">
        <f>IFERROR(__xludf.DUMMYFUNCTION("""COMPUTED_VALUE"""),"TAA3889")</f>
        <v>TAA3889</v>
      </c>
      <c r="C332">
        <f>IFERROR(__xludf.DUMMYFUNCTION("""COMPUTED_VALUE"""),1006911.0)</f>
        <v>1006911</v>
      </c>
      <c r="D332" t="str">
        <f>IFERROR(__xludf.DUMMYFUNCTION("""COMPUTED_VALUE"""),"Mr.")</f>
        <v>Mr.</v>
      </c>
      <c r="E332" t="str">
        <f>IFERROR(__xludf.DUMMYFUNCTION("""COMPUTED_VALUE"""),"Yuttana")</f>
        <v>Yuttana</v>
      </c>
      <c r="F332" t="str">
        <f>IFERROR(__xludf.DUMMYFUNCTION("""COMPUTED_VALUE"""),"Chintanapatumporn")</f>
        <v>Chintanapatumporn</v>
      </c>
      <c r="G332" t="str">
        <f>IFERROR(__xludf.DUMMYFUNCTION("""COMPUTED_VALUE"""),"Yuttana Chintanapatumporn")</f>
        <v>Yuttana Chintanapatumporn</v>
      </c>
    </row>
    <row r="334">
      <c r="A334" s="142">
        <f>IFERROR(__xludf.DUMMYFUNCTION("""COMPUTED_VALUE"""),51.0)</f>
        <v>51</v>
      </c>
      <c r="B334" t="str">
        <f>IFERROR(__xludf.DUMMYFUNCTION("""COMPUTED_VALUE"""),"TAA3934")</f>
        <v>TAA3934</v>
      </c>
      <c r="C334">
        <f>IFERROR(__xludf.DUMMYFUNCTION("""COMPUTED_VALUE"""),1006987.0)</f>
        <v>1006987</v>
      </c>
      <c r="D334" t="str">
        <f>IFERROR(__xludf.DUMMYFUNCTION("""COMPUTED_VALUE"""),"Mrs.")</f>
        <v>Mrs.</v>
      </c>
      <c r="E334" t="str">
        <f>IFERROR(__xludf.DUMMYFUNCTION("""COMPUTED_VALUE"""),"Ailada")</f>
        <v>Ailada</v>
      </c>
      <c r="F334" t="str">
        <f>IFERROR(__xludf.DUMMYFUNCTION("""COMPUTED_VALUE"""),"Arjsiri (Yindeepop)")</f>
        <v>Arjsiri (Yindeepop)</v>
      </c>
      <c r="G334" t="str">
        <f>IFERROR(__xludf.DUMMYFUNCTION("""COMPUTED_VALUE"""),"Ailada Arjsiri")</f>
        <v>Ailada Arjsiri</v>
      </c>
    </row>
    <row r="335">
      <c r="A335" s="142">
        <f>IFERROR(__xludf.DUMMYFUNCTION("""COMPUTED_VALUE"""),51.0)</f>
        <v>51</v>
      </c>
      <c r="B335" t="str">
        <f>IFERROR(__xludf.DUMMYFUNCTION("""COMPUTED_VALUE"""),"TAA3931")</f>
        <v>TAA3931</v>
      </c>
      <c r="C335">
        <f>IFERROR(__xludf.DUMMYFUNCTION("""COMPUTED_VALUE"""),1006988.0)</f>
        <v>1006988</v>
      </c>
      <c r="D335" t="str">
        <f>IFERROR(__xludf.DUMMYFUNCTION("""COMPUTED_VALUE"""),"Ms.")</f>
        <v>Ms.</v>
      </c>
      <c r="E335" t="str">
        <f>IFERROR(__xludf.DUMMYFUNCTION("""COMPUTED_VALUE"""),"Akira")</f>
        <v>Akira</v>
      </c>
      <c r="F335" t="str">
        <f>IFERROR(__xludf.DUMMYFUNCTION("""COMPUTED_VALUE"""),"Amornwong")</f>
        <v>Amornwong</v>
      </c>
      <c r="G335" t="str">
        <f>IFERROR(__xludf.DUMMYFUNCTION("""COMPUTED_VALUE"""),"Akira Amornwong")</f>
        <v>Akira Amornwong</v>
      </c>
    </row>
    <row r="336">
      <c r="A336" s="142">
        <f>IFERROR(__xludf.DUMMYFUNCTION("""COMPUTED_VALUE"""),51.0)</f>
        <v>51</v>
      </c>
      <c r="B336" t="str">
        <f>IFERROR(__xludf.DUMMYFUNCTION("""COMPUTED_VALUE"""),"TAA3938")</f>
        <v>TAA3938</v>
      </c>
      <c r="C336">
        <f>IFERROR(__xludf.DUMMYFUNCTION("""COMPUTED_VALUE"""),1006989.0)</f>
        <v>1006989</v>
      </c>
      <c r="D336" t="str">
        <f>IFERROR(__xludf.DUMMYFUNCTION("""COMPUTED_VALUE"""),"Ms.")</f>
        <v>Ms.</v>
      </c>
      <c r="E336" t="str">
        <f>IFERROR(__xludf.DUMMYFUNCTION("""COMPUTED_VALUE"""),"Pimlawee (Benjamaporn)")</f>
        <v>Pimlawee (Benjamaporn)</v>
      </c>
      <c r="F336" t="str">
        <f>IFERROR(__xludf.DUMMYFUNCTION("""COMPUTED_VALUE"""),"Unn-A-Nant")</f>
        <v>Unn-A-Nant</v>
      </c>
      <c r="G336" t="str">
        <f>IFERROR(__xludf.DUMMYFUNCTION("""COMPUTED_VALUE"""),"Pimlawee Unn-A-Nant")</f>
        <v>Pimlawee Unn-A-Nant</v>
      </c>
    </row>
    <row r="337">
      <c r="A337" s="142">
        <f>IFERROR(__xludf.DUMMYFUNCTION("""COMPUTED_VALUE"""),51.0)</f>
        <v>51</v>
      </c>
      <c r="B337" t="str">
        <f>IFERROR(__xludf.DUMMYFUNCTION("""COMPUTED_VALUE"""),"TAA3944")</f>
        <v>TAA3944</v>
      </c>
      <c r="C337">
        <f>IFERROR(__xludf.DUMMYFUNCTION("""COMPUTED_VALUE"""),1006991.0)</f>
        <v>1006991</v>
      </c>
      <c r="D337" t="str">
        <f>IFERROR(__xludf.DUMMYFUNCTION("""COMPUTED_VALUE"""),"Ms.")</f>
        <v>Ms.</v>
      </c>
      <c r="E337" t="str">
        <f>IFERROR(__xludf.DUMMYFUNCTION("""COMPUTED_VALUE"""),"Chattamanuch")</f>
        <v>Chattamanuch</v>
      </c>
      <c r="F337" t="str">
        <f>IFERROR(__xludf.DUMMYFUNCTION("""COMPUTED_VALUE"""),"Thiamhong")</f>
        <v>Thiamhong</v>
      </c>
      <c r="G337" t="str">
        <f>IFERROR(__xludf.DUMMYFUNCTION("""COMPUTED_VALUE"""),"Chattamanuch Thiamhong")</f>
        <v>Chattamanuch Thiamhong</v>
      </c>
    </row>
    <row r="338">
      <c r="A338" s="142">
        <f>IFERROR(__xludf.DUMMYFUNCTION("""COMPUTED_VALUE"""),51.0)</f>
        <v>51</v>
      </c>
      <c r="B338" t="str">
        <f>IFERROR(__xludf.DUMMYFUNCTION("""COMPUTED_VALUE"""),"TAA3949")</f>
        <v>TAA3949</v>
      </c>
      <c r="C338">
        <f>IFERROR(__xludf.DUMMYFUNCTION("""COMPUTED_VALUE"""),1006992.0)</f>
        <v>1006992</v>
      </c>
      <c r="D338" t="str">
        <f>IFERROR(__xludf.DUMMYFUNCTION("""COMPUTED_VALUE"""),"Mr.")</f>
        <v>Mr.</v>
      </c>
      <c r="E338" t="str">
        <f>IFERROR(__xludf.DUMMYFUNCTION("""COMPUTED_VALUE"""),"Danupon")</f>
        <v>Danupon</v>
      </c>
      <c r="F338" t="str">
        <f>IFERROR(__xludf.DUMMYFUNCTION("""COMPUTED_VALUE"""),"Chuenmongkol")</f>
        <v>Chuenmongkol</v>
      </c>
      <c r="G338" t="str">
        <f>IFERROR(__xludf.DUMMYFUNCTION("""COMPUTED_VALUE"""),"Danupon Chuenmongkol")</f>
        <v>Danupon Chuenmongkol</v>
      </c>
    </row>
    <row r="339">
      <c r="A339" s="142">
        <f>IFERROR(__xludf.DUMMYFUNCTION("""COMPUTED_VALUE"""),51.0)</f>
        <v>51</v>
      </c>
      <c r="B339" t="str">
        <f>IFERROR(__xludf.DUMMYFUNCTION("""COMPUTED_VALUE"""),"TAA3946")</f>
        <v>TAA3946</v>
      </c>
      <c r="C339">
        <f>IFERROR(__xludf.DUMMYFUNCTION("""COMPUTED_VALUE"""),1006993.0)</f>
        <v>1006993</v>
      </c>
      <c r="D339" t="str">
        <f>IFERROR(__xludf.DUMMYFUNCTION("""COMPUTED_VALUE"""),"Ms.")</f>
        <v>Ms.</v>
      </c>
      <c r="E339" t="str">
        <f>IFERROR(__xludf.DUMMYFUNCTION("""COMPUTED_VALUE"""),"Jutaporn")</f>
        <v>Jutaporn</v>
      </c>
      <c r="F339" t="str">
        <f>IFERROR(__xludf.DUMMYFUNCTION("""COMPUTED_VALUE"""),"Kanjanakhajit")</f>
        <v>Kanjanakhajit</v>
      </c>
      <c r="G339" t="str">
        <f>IFERROR(__xludf.DUMMYFUNCTION("""COMPUTED_VALUE"""),"Jutaporn Kanjanakhajit")</f>
        <v>Jutaporn Kanjanakhajit</v>
      </c>
    </row>
    <row r="340">
      <c r="A340" s="142">
        <f>IFERROR(__xludf.DUMMYFUNCTION("""COMPUTED_VALUE"""),51.0)</f>
        <v>51</v>
      </c>
      <c r="B340" t="str">
        <f>IFERROR(__xludf.DUMMYFUNCTION("""COMPUTED_VALUE"""),"TAA3939")</f>
        <v>TAA3939</v>
      </c>
      <c r="C340">
        <f>IFERROR(__xludf.DUMMYFUNCTION("""COMPUTED_VALUE"""),1006995.0)</f>
        <v>1006995</v>
      </c>
      <c r="D340" t="str">
        <f>IFERROR(__xludf.DUMMYFUNCTION("""COMPUTED_VALUE"""),"Ms.")</f>
        <v>Ms.</v>
      </c>
      <c r="E340" t="str">
        <f>IFERROR(__xludf.DUMMYFUNCTION("""COMPUTED_VALUE"""),"Kornrumpha")</f>
        <v>Kornrumpha</v>
      </c>
      <c r="F340" t="str">
        <f>IFERROR(__xludf.DUMMYFUNCTION("""COMPUTED_VALUE"""),"Wongsing")</f>
        <v>Wongsing</v>
      </c>
      <c r="G340" t="str">
        <f>IFERROR(__xludf.DUMMYFUNCTION("""COMPUTED_VALUE"""),"Kornrumpha Wongsing")</f>
        <v>Kornrumpha Wongsing</v>
      </c>
    </row>
    <row r="341">
      <c r="A341" s="142">
        <f>IFERROR(__xludf.DUMMYFUNCTION("""COMPUTED_VALUE"""),51.0)</f>
        <v>51</v>
      </c>
      <c r="B341" t="str">
        <f>IFERROR(__xludf.DUMMYFUNCTION("""COMPUTED_VALUE"""),"TAA3936")</f>
        <v>TAA3936</v>
      </c>
      <c r="C341">
        <f>IFERROR(__xludf.DUMMYFUNCTION("""COMPUTED_VALUE"""),1006998.0)</f>
        <v>1006998</v>
      </c>
      <c r="D341" t="str">
        <f>IFERROR(__xludf.DUMMYFUNCTION("""COMPUTED_VALUE"""),"Ms.")</f>
        <v>Ms.</v>
      </c>
      <c r="E341" t="str">
        <f>IFERROR(__xludf.DUMMYFUNCTION("""COMPUTED_VALUE"""),"Natchanakarn")</f>
        <v>Natchanakarn</v>
      </c>
      <c r="F341" t="str">
        <f>IFERROR(__xludf.DUMMYFUNCTION("""COMPUTED_VALUE"""),"Wattanaboribhonkun")</f>
        <v>Wattanaboribhonkun</v>
      </c>
      <c r="G341" t="str">
        <f>IFERROR(__xludf.DUMMYFUNCTION("""COMPUTED_VALUE"""),"Natchanakarn Wattanaboribhonkun")</f>
        <v>Natchanakarn Wattanaboribhonkun</v>
      </c>
    </row>
    <row r="342">
      <c r="A342" s="142">
        <f>IFERROR(__xludf.DUMMYFUNCTION("""COMPUTED_VALUE"""),51.0)</f>
        <v>51</v>
      </c>
      <c r="B342" t="str">
        <f>IFERROR(__xludf.DUMMYFUNCTION("""COMPUTED_VALUE"""),"TAA3950")</f>
        <v>TAA3950</v>
      </c>
      <c r="C342">
        <f>IFERROR(__xludf.DUMMYFUNCTION("""COMPUTED_VALUE"""),1007000.0)</f>
        <v>1007000</v>
      </c>
      <c r="D342" t="str">
        <f>IFERROR(__xludf.DUMMYFUNCTION("""COMPUTED_VALUE"""),"Ms.")</f>
        <v>Ms.</v>
      </c>
      <c r="E342" t="str">
        <f>IFERROR(__xludf.DUMMYFUNCTION("""COMPUTED_VALUE"""),"Panaiporn")</f>
        <v>Panaiporn</v>
      </c>
      <c r="F342" t="str">
        <f>IFERROR(__xludf.DUMMYFUNCTION("""COMPUTED_VALUE"""),"Rattananakin (Hwungwichien)")</f>
        <v>Rattananakin (Hwungwichien)</v>
      </c>
      <c r="G342" t="str">
        <f>IFERROR(__xludf.DUMMYFUNCTION("""COMPUTED_VALUE"""),"Panaiporn Rattananakin")</f>
        <v>Panaiporn Rattananakin</v>
      </c>
    </row>
    <row r="343">
      <c r="A343" s="142">
        <f>IFERROR(__xludf.DUMMYFUNCTION("""COMPUTED_VALUE"""),51.0)</f>
        <v>51</v>
      </c>
      <c r="B343" t="str">
        <f>IFERROR(__xludf.DUMMYFUNCTION("""COMPUTED_VALUE"""),"TAA3941")</f>
        <v>TAA3941</v>
      </c>
      <c r="C343">
        <f>IFERROR(__xludf.DUMMYFUNCTION("""COMPUTED_VALUE"""),1007001.0)</f>
        <v>1007001</v>
      </c>
      <c r="D343" t="str">
        <f>IFERROR(__xludf.DUMMYFUNCTION("""COMPUTED_VALUE"""),"Ms.")</f>
        <v>Ms.</v>
      </c>
      <c r="E343" t="str">
        <f>IFERROR(__xludf.DUMMYFUNCTION("""COMPUTED_VALUE"""),"Phakrapee")</f>
        <v>Phakrapee</v>
      </c>
      <c r="F343" t="str">
        <f>IFERROR(__xludf.DUMMYFUNCTION("""COMPUTED_VALUE"""),"Fuengprang")</f>
        <v>Fuengprang</v>
      </c>
      <c r="G343" t="str">
        <f>IFERROR(__xludf.DUMMYFUNCTION("""COMPUTED_VALUE"""),"Phakrapee Fuengprang")</f>
        <v>Phakrapee Fuengprang</v>
      </c>
    </row>
    <row r="344">
      <c r="A344" s="142">
        <f>IFERROR(__xludf.DUMMYFUNCTION("""COMPUTED_VALUE"""),51.0)</f>
        <v>51</v>
      </c>
      <c r="B344" t="str">
        <f>IFERROR(__xludf.DUMMYFUNCTION("""COMPUTED_VALUE"""),"TAA3933")</f>
        <v>TAA3933</v>
      </c>
      <c r="C344">
        <f>IFERROR(__xludf.DUMMYFUNCTION("""COMPUTED_VALUE"""),1007003.0)</f>
        <v>1007003</v>
      </c>
      <c r="D344" t="str">
        <f>IFERROR(__xludf.DUMMYFUNCTION("""COMPUTED_VALUE"""),"Mrs.")</f>
        <v>Mrs.</v>
      </c>
      <c r="E344" t="str">
        <f>IFERROR(__xludf.DUMMYFUNCTION("""COMPUTED_VALUE"""),"Ravipa")</f>
        <v>Ravipa</v>
      </c>
      <c r="F344" t="str">
        <f>IFERROR(__xludf.DUMMYFUNCTION("""COMPUTED_VALUE"""),"Tumsen (Praropkul)")</f>
        <v>Tumsen (Praropkul)</v>
      </c>
      <c r="G344" t="str">
        <f>IFERROR(__xludf.DUMMYFUNCTION("""COMPUTED_VALUE"""),"Ravipa Tumsen")</f>
        <v>Ravipa Tumsen</v>
      </c>
    </row>
    <row r="345">
      <c r="A345" s="142">
        <f>IFERROR(__xludf.DUMMYFUNCTION("""COMPUTED_VALUE"""),51.0)</f>
        <v>51</v>
      </c>
      <c r="B345" t="str">
        <f>IFERROR(__xludf.DUMMYFUNCTION("""COMPUTED_VALUE"""),"TAA3947")</f>
        <v>TAA3947</v>
      </c>
      <c r="C345">
        <f>IFERROR(__xludf.DUMMYFUNCTION("""COMPUTED_VALUE"""),1007004.0)</f>
        <v>1007004</v>
      </c>
      <c r="D345" t="str">
        <f>IFERROR(__xludf.DUMMYFUNCTION("""COMPUTED_VALUE"""),"Mr.")</f>
        <v>Mr.</v>
      </c>
      <c r="E345" t="str">
        <f>IFERROR(__xludf.DUMMYFUNCTION("""COMPUTED_VALUE"""),"Thanawat")</f>
        <v>Thanawat</v>
      </c>
      <c r="F345" t="str">
        <f>IFERROR(__xludf.DUMMYFUNCTION("""COMPUTED_VALUE"""),"Srisuwan")</f>
        <v>Srisuwan</v>
      </c>
      <c r="G345" t="str">
        <f>IFERROR(__xludf.DUMMYFUNCTION("""COMPUTED_VALUE"""),"Thanawat Srisuwan")</f>
        <v>Thanawat Srisuwan</v>
      </c>
    </row>
    <row r="346">
      <c r="A346" s="142">
        <f>IFERROR(__xludf.DUMMYFUNCTION("""COMPUTED_VALUE"""),51.0)</f>
        <v>51</v>
      </c>
      <c r="B346" t="str">
        <f>IFERROR(__xludf.DUMMYFUNCTION("""COMPUTED_VALUE"""),"TAA3930")</f>
        <v>TAA3930</v>
      </c>
      <c r="C346">
        <f>IFERROR(__xludf.DUMMYFUNCTION("""COMPUTED_VALUE"""),1007006.0)</f>
        <v>1007006</v>
      </c>
      <c r="D346" t="str">
        <f>IFERROR(__xludf.DUMMYFUNCTION("""COMPUTED_VALUE"""),"Ms.")</f>
        <v>Ms.</v>
      </c>
      <c r="E346" t="str">
        <f>IFERROR(__xludf.DUMMYFUNCTION("""COMPUTED_VALUE"""),"Wipaporn")</f>
        <v>Wipaporn</v>
      </c>
      <c r="F346" t="str">
        <f>IFERROR(__xludf.DUMMYFUNCTION("""COMPUTED_VALUE"""),"Prasertsom")</f>
        <v>Prasertsom</v>
      </c>
      <c r="G346" t="str">
        <f>IFERROR(__xludf.DUMMYFUNCTION("""COMPUTED_VALUE"""),"Wipaporn Prasertsom")</f>
        <v>Wipaporn Prasertsom</v>
      </c>
    </row>
    <row r="348">
      <c r="A348" s="142">
        <f>IFERROR(__xludf.DUMMYFUNCTION("""COMPUTED_VALUE"""),52.0)</f>
        <v>52</v>
      </c>
      <c r="B348" t="str">
        <f>IFERROR(__xludf.DUMMYFUNCTION("""COMPUTED_VALUE"""),"TAA3968")</f>
        <v>TAA3968</v>
      </c>
      <c r="C348">
        <f>IFERROR(__xludf.DUMMYFUNCTION("""COMPUTED_VALUE"""),1007007.0)</f>
        <v>1007007</v>
      </c>
      <c r="D348" t="str">
        <f>IFERROR(__xludf.DUMMYFUNCTION("""COMPUTED_VALUE"""),"Mr.")</f>
        <v>Mr.</v>
      </c>
      <c r="E348" t="str">
        <f>IFERROR(__xludf.DUMMYFUNCTION("""COMPUTED_VALUE"""),"Aram")</f>
        <v>Aram</v>
      </c>
      <c r="F348" t="str">
        <f>IFERROR(__xludf.DUMMYFUNCTION("""COMPUTED_VALUE"""),"Nukulpakdee")</f>
        <v>Nukulpakdee</v>
      </c>
      <c r="G348" t="str">
        <f>IFERROR(__xludf.DUMMYFUNCTION("""COMPUTED_VALUE"""),"Aram Nukulpakdee")</f>
        <v>Aram Nukulpakdee</v>
      </c>
    </row>
    <row r="349">
      <c r="A349" s="142">
        <f>IFERROR(__xludf.DUMMYFUNCTION("""COMPUTED_VALUE"""),52.0)</f>
        <v>52</v>
      </c>
      <c r="B349" t="str">
        <f>IFERROR(__xludf.DUMMYFUNCTION("""COMPUTED_VALUE"""),"TAA3975")</f>
        <v>TAA3975</v>
      </c>
      <c r="C349">
        <f>IFERROR(__xludf.DUMMYFUNCTION("""COMPUTED_VALUE"""),1007008.0)</f>
        <v>1007008</v>
      </c>
      <c r="D349" t="str">
        <f>IFERROR(__xludf.DUMMYFUNCTION("""COMPUTED_VALUE"""),"Ms.")</f>
        <v>Ms.</v>
      </c>
      <c r="E349" t="str">
        <f>IFERROR(__xludf.DUMMYFUNCTION("""COMPUTED_VALUE"""),"Aroonrat")</f>
        <v>Aroonrat</v>
      </c>
      <c r="F349" t="str">
        <f>IFERROR(__xludf.DUMMYFUNCTION("""COMPUTED_VALUE"""),"Limpawattanasuk")</f>
        <v>Limpawattanasuk</v>
      </c>
      <c r="G349" t="str">
        <f>IFERROR(__xludf.DUMMYFUNCTION("""COMPUTED_VALUE"""),"Aroonrat Limpawattanasuk")</f>
        <v>Aroonrat Limpawattanasuk</v>
      </c>
    </row>
    <row r="350">
      <c r="A350" s="142">
        <f>IFERROR(__xludf.DUMMYFUNCTION("""COMPUTED_VALUE"""),52.0)</f>
        <v>52</v>
      </c>
      <c r="B350" t="str">
        <f>IFERROR(__xludf.DUMMYFUNCTION("""COMPUTED_VALUE"""),"TAA3970")</f>
        <v>TAA3970</v>
      </c>
      <c r="C350">
        <f>IFERROR(__xludf.DUMMYFUNCTION("""COMPUTED_VALUE"""),1007009.0)</f>
        <v>1007009</v>
      </c>
      <c r="D350" t="str">
        <f>IFERROR(__xludf.DUMMYFUNCTION("""COMPUTED_VALUE"""),"Ms.")</f>
        <v>Ms.</v>
      </c>
      <c r="E350" t="str">
        <f>IFERROR(__xludf.DUMMYFUNCTION("""COMPUTED_VALUE"""),"Busayarat")</f>
        <v>Busayarat</v>
      </c>
      <c r="F350" t="str">
        <f>IFERROR(__xludf.DUMMYFUNCTION("""COMPUTED_VALUE"""),"Pongratanakul")</f>
        <v>Pongratanakul</v>
      </c>
      <c r="G350" t="str">
        <f>IFERROR(__xludf.DUMMYFUNCTION("""COMPUTED_VALUE"""),"Busayarat Pongratanakul")</f>
        <v>Busayarat Pongratanakul</v>
      </c>
    </row>
    <row r="351">
      <c r="A351" s="142">
        <f>IFERROR(__xludf.DUMMYFUNCTION("""COMPUTED_VALUE"""),52.0)</f>
        <v>52</v>
      </c>
      <c r="B351" t="str">
        <f>IFERROR(__xludf.DUMMYFUNCTION("""COMPUTED_VALUE"""),"TAA3953")</f>
        <v>TAA3953</v>
      </c>
      <c r="C351">
        <f>IFERROR(__xludf.DUMMYFUNCTION("""COMPUTED_VALUE"""),1007010.0)</f>
        <v>1007010</v>
      </c>
      <c r="D351" t="str">
        <f>IFERROR(__xludf.DUMMYFUNCTION("""COMPUTED_VALUE"""),"Ms.")</f>
        <v>Ms.</v>
      </c>
      <c r="E351" t="str">
        <f>IFERROR(__xludf.DUMMYFUNCTION("""COMPUTED_VALUE"""),"Jadesadaporn")</f>
        <v>Jadesadaporn</v>
      </c>
      <c r="F351" t="str">
        <f>IFERROR(__xludf.DUMMYFUNCTION("""COMPUTED_VALUE"""),"Rungcharoen")</f>
        <v>Rungcharoen</v>
      </c>
      <c r="G351" t="str">
        <f>IFERROR(__xludf.DUMMYFUNCTION("""COMPUTED_VALUE"""),"Jadesadaporn Rungcharoen")</f>
        <v>Jadesadaporn Rungcharoen</v>
      </c>
    </row>
    <row r="352">
      <c r="A352" s="142">
        <f>IFERROR(__xludf.DUMMYFUNCTION("""COMPUTED_VALUE"""),52.0)</f>
        <v>52</v>
      </c>
      <c r="B352" t="str">
        <f>IFERROR(__xludf.DUMMYFUNCTION("""COMPUTED_VALUE"""),"TAA3962")</f>
        <v>TAA3962</v>
      </c>
      <c r="C352">
        <f>IFERROR(__xludf.DUMMYFUNCTION("""COMPUTED_VALUE"""),1007011.0)</f>
        <v>1007011</v>
      </c>
      <c r="D352" t="str">
        <f>IFERROR(__xludf.DUMMYFUNCTION("""COMPUTED_VALUE"""),"Ms.")</f>
        <v>Ms.</v>
      </c>
      <c r="E352" t="str">
        <f>IFERROR(__xludf.DUMMYFUNCTION("""COMPUTED_VALUE"""),"Jeeraprapa")</f>
        <v>Jeeraprapa</v>
      </c>
      <c r="F352" t="str">
        <f>IFERROR(__xludf.DUMMYFUNCTION("""COMPUTED_VALUE"""),"Tuptimdang")</f>
        <v>Tuptimdang</v>
      </c>
      <c r="G352" t="str">
        <f>IFERROR(__xludf.DUMMYFUNCTION("""COMPUTED_VALUE"""),"Jeeraprapa Tuptimdang")</f>
        <v>Jeeraprapa Tuptimdang</v>
      </c>
    </row>
    <row r="353">
      <c r="A353" s="142">
        <f>IFERROR(__xludf.DUMMYFUNCTION("""COMPUTED_VALUE"""),52.0)</f>
        <v>52</v>
      </c>
      <c r="B353" t="str">
        <f>IFERROR(__xludf.DUMMYFUNCTION("""COMPUTED_VALUE"""),"TAA3957")</f>
        <v>TAA3957</v>
      </c>
      <c r="C353">
        <f>IFERROR(__xludf.DUMMYFUNCTION("""COMPUTED_VALUE"""),1007012.0)</f>
        <v>1007012</v>
      </c>
      <c r="D353" t="str">
        <f>IFERROR(__xludf.DUMMYFUNCTION("""COMPUTED_VALUE"""),"Ms.")</f>
        <v>Ms.</v>
      </c>
      <c r="E353" t="str">
        <f>IFERROR(__xludf.DUMMYFUNCTION("""COMPUTED_VALUE"""),"Nualpran")</f>
        <v>Nualpran</v>
      </c>
      <c r="F353" t="str">
        <f>IFERROR(__xludf.DUMMYFUNCTION("""COMPUTED_VALUE"""),"Waitayachaiwat")</f>
        <v>Waitayachaiwat</v>
      </c>
      <c r="G353" t="str">
        <f>IFERROR(__xludf.DUMMYFUNCTION("""COMPUTED_VALUE"""),"Nualpran Waitayachaiwat")</f>
        <v>Nualpran Waitayachaiwat</v>
      </c>
    </row>
    <row r="354">
      <c r="A354" s="142">
        <f>IFERROR(__xludf.DUMMYFUNCTION("""COMPUTED_VALUE"""),52.0)</f>
        <v>52</v>
      </c>
      <c r="B354" t="str">
        <f>IFERROR(__xludf.DUMMYFUNCTION("""COMPUTED_VALUE"""),"TAA3972")</f>
        <v>TAA3972</v>
      </c>
      <c r="C354">
        <f>IFERROR(__xludf.DUMMYFUNCTION("""COMPUTED_VALUE"""),1007013.0)</f>
        <v>1007013</v>
      </c>
      <c r="D354" t="str">
        <f>IFERROR(__xludf.DUMMYFUNCTION("""COMPUTED_VALUE"""),"Ms.")</f>
        <v>Ms.</v>
      </c>
      <c r="E354" t="str">
        <f>IFERROR(__xludf.DUMMYFUNCTION("""COMPUTED_VALUE"""),"Pattamaporn")</f>
        <v>Pattamaporn</v>
      </c>
      <c r="F354" t="str">
        <f>IFERROR(__xludf.DUMMYFUNCTION("""COMPUTED_VALUE"""),"Thamasathitporn")</f>
        <v>Thamasathitporn</v>
      </c>
      <c r="G354" t="str">
        <f>IFERROR(__xludf.DUMMYFUNCTION("""COMPUTED_VALUE"""),"Pattamaporn Thamasathitporn")</f>
        <v>Pattamaporn Thamasathitporn</v>
      </c>
    </row>
    <row r="355">
      <c r="A355" s="142">
        <f>IFERROR(__xludf.DUMMYFUNCTION("""COMPUTED_VALUE"""),52.0)</f>
        <v>52</v>
      </c>
      <c r="B355" t="str">
        <f>IFERROR(__xludf.DUMMYFUNCTION("""COMPUTED_VALUE"""),"TAA3966")</f>
        <v>TAA3966</v>
      </c>
      <c r="C355">
        <f>IFERROR(__xludf.DUMMYFUNCTION("""COMPUTED_VALUE"""),1007014.0)</f>
        <v>1007014</v>
      </c>
      <c r="D355" t="str">
        <f>IFERROR(__xludf.DUMMYFUNCTION("""COMPUTED_VALUE"""),"Mr.")</f>
        <v>Mr.</v>
      </c>
      <c r="E355" t="str">
        <f>IFERROR(__xludf.DUMMYFUNCTION("""COMPUTED_VALUE"""),"Piyanut")</f>
        <v>Piyanut</v>
      </c>
      <c r="F355" t="str">
        <f>IFERROR(__xludf.DUMMYFUNCTION("""COMPUTED_VALUE"""),"Nainet")</f>
        <v>Nainet</v>
      </c>
      <c r="G355" t="str">
        <f>IFERROR(__xludf.DUMMYFUNCTION("""COMPUTED_VALUE"""),"Piyanut Nainet")</f>
        <v>Piyanut Nainet</v>
      </c>
    </row>
    <row r="356">
      <c r="A356" s="142">
        <f>IFERROR(__xludf.DUMMYFUNCTION("""COMPUTED_VALUE"""),52.0)</f>
        <v>52</v>
      </c>
      <c r="B356" t="str">
        <f>IFERROR(__xludf.DUMMYFUNCTION("""COMPUTED_VALUE"""),"TAA3974")</f>
        <v>TAA3974</v>
      </c>
      <c r="C356">
        <f>IFERROR(__xludf.DUMMYFUNCTION("""COMPUTED_VALUE"""),1007015.0)</f>
        <v>1007015</v>
      </c>
      <c r="D356" t="str">
        <f>IFERROR(__xludf.DUMMYFUNCTION("""COMPUTED_VALUE"""),"Ms.")</f>
        <v>Ms.</v>
      </c>
      <c r="E356" t="str">
        <f>IFERROR(__xludf.DUMMYFUNCTION("""COMPUTED_VALUE"""),"Ramida")</f>
        <v>Ramida</v>
      </c>
      <c r="F356" t="str">
        <f>IFERROR(__xludf.DUMMYFUNCTION("""COMPUTED_VALUE"""),"Boonpromma")</f>
        <v>Boonpromma</v>
      </c>
      <c r="G356" t="str">
        <f>IFERROR(__xludf.DUMMYFUNCTION("""COMPUTED_VALUE"""),"Ramida Boonpromma")</f>
        <v>Ramida Boonpromma</v>
      </c>
    </row>
    <row r="357">
      <c r="A357" s="142">
        <f>IFERROR(__xludf.DUMMYFUNCTION("""COMPUTED_VALUE"""),52.0)</f>
        <v>52</v>
      </c>
      <c r="B357" t="str">
        <f>IFERROR(__xludf.DUMMYFUNCTION("""COMPUTED_VALUE"""),"TAA3956")</f>
        <v>TAA3956</v>
      </c>
      <c r="C357">
        <f>IFERROR(__xludf.DUMMYFUNCTION("""COMPUTED_VALUE"""),1007016.0)</f>
        <v>1007016</v>
      </c>
      <c r="D357" t="str">
        <f>IFERROR(__xludf.DUMMYFUNCTION("""COMPUTED_VALUE"""),"Ms.")</f>
        <v>Ms.</v>
      </c>
      <c r="E357" t="str">
        <f>IFERROR(__xludf.DUMMYFUNCTION("""COMPUTED_VALUE"""),"Sathita")</f>
        <v>Sathita</v>
      </c>
      <c r="F357" t="str">
        <f>IFERROR(__xludf.DUMMYFUNCTION("""COMPUTED_VALUE"""),"Pongsomran")</f>
        <v>Pongsomran</v>
      </c>
      <c r="G357" t="str">
        <f>IFERROR(__xludf.DUMMYFUNCTION("""COMPUTED_VALUE"""),"Sathita Pongsomran")</f>
        <v>Sathita Pongsomran</v>
      </c>
    </row>
    <row r="358">
      <c r="A358" s="142">
        <f>IFERROR(__xludf.DUMMYFUNCTION("""COMPUTED_VALUE"""),52.0)</f>
        <v>52</v>
      </c>
      <c r="B358" t="str">
        <f>IFERROR(__xludf.DUMMYFUNCTION("""COMPUTED_VALUE"""),"TAA3967")</f>
        <v>TAA3967</v>
      </c>
      <c r="C358">
        <f>IFERROR(__xludf.DUMMYFUNCTION("""COMPUTED_VALUE"""),1007020.0)</f>
        <v>1007020</v>
      </c>
      <c r="D358" t="str">
        <f>IFERROR(__xludf.DUMMYFUNCTION("""COMPUTED_VALUE"""),"Ms.")</f>
        <v>Ms.</v>
      </c>
      <c r="E358" t="str">
        <f>IFERROR(__xludf.DUMMYFUNCTION("""COMPUTED_VALUE"""),"Thamonwan")</f>
        <v>Thamonwan</v>
      </c>
      <c r="F358" t="str">
        <f>IFERROR(__xludf.DUMMYFUNCTION("""COMPUTED_VALUE"""),"Chinnarukbumrung")</f>
        <v>Chinnarukbumrung</v>
      </c>
      <c r="G358" t="str">
        <f>IFERROR(__xludf.DUMMYFUNCTION("""COMPUTED_VALUE"""),"Thamonwan Chinnarukbumrung")</f>
        <v>Thamonwan Chinnarukbumrung</v>
      </c>
    </row>
    <row r="359">
      <c r="A359" s="142">
        <f>IFERROR(__xludf.DUMMYFUNCTION("""COMPUTED_VALUE"""),52.0)</f>
        <v>52</v>
      </c>
      <c r="B359" t="str">
        <f>IFERROR(__xludf.DUMMYFUNCTION("""COMPUTED_VALUE"""),"TAA3958")</f>
        <v>TAA3958</v>
      </c>
      <c r="C359">
        <f>IFERROR(__xludf.DUMMYFUNCTION("""COMPUTED_VALUE"""),1007021.0)</f>
        <v>1007021</v>
      </c>
      <c r="D359" t="str">
        <f>IFERROR(__xludf.DUMMYFUNCTION("""COMPUTED_VALUE"""),"Mrs.")</f>
        <v>Mrs.</v>
      </c>
      <c r="E359" t="str">
        <f>IFERROR(__xludf.DUMMYFUNCTION("""COMPUTED_VALUE"""),"Thararat")</f>
        <v>Thararat</v>
      </c>
      <c r="F359" t="str">
        <f>IFERROR(__xludf.DUMMYFUNCTION("""COMPUTED_VALUE"""),"Thaibantherng(Hengphucharoen)")</f>
        <v>Thaibantherng(Hengphucharoen)</v>
      </c>
      <c r="G359" t="str">
        <f>IFERROR(__xludf.DUMMYFUNCTION("""COMPUTED_VALUE"""),"Thararat Thaibantherng")</f>
        <v>Thararat Thaibantherng</v>
      </c>
    </row>
    <row r="360">
      <c r="A360" s="142">
        <f>IFERROR(__xludf.DUMMYFUNCTION("""COMPUTED_VALUE"""),52.0)</f>
        <v>52</v>
      </c>
      <c r="B360" t="str">
        <f>IFERROR(__xludf.DUMMYFUNCTION("""COMPUTED_VALUE"""),"TAA3959")</f>
        <v>TAA3959</v>
      </c>
      <c r="C360">
        <f>IFERROR(__xludf.DUMMYFUNCTION("""COMPUTED_VALUE"""),1007022.0)</f>
        <v>1007022</v>
      </c>
      <c r="D360" t="str">
        <f>IFERROR(__xludf.DUMMYFUNCTION("""COMPUTED_VALUE"""),"Mr.")</f>
        <v>Mr.</v>
      </c>
      <c r="E360" t="str">
        <f>IFERROR(__xludf.DUMMYFUNCTION("""COMPUTED_VALUE"""),"Waroot")</f>
        <v>Waroot</v>
      </c>
      <c r="F360" t="str">
        <f>IFERROR(__xludf.DUMMYFUNCTION("""COMPUTED_VALUE"""),"Chanpueak")</f>
        <v>Chanpueak</v>
      </c>
      <c r="G360" t="str">
        <f>IFERROR(__xludf.DUMMYFUNCTION("""COMPUTED_VALUE"""),"Waroot Chanpueak")</f>
        <v>Waroot Chanpueak</v>
      </c>
    </row>
    <row r="362">
      <c r="A362" s="142">
        <f>IFERROR(__xludf.DUMMYFUNCTION("""COMPUTED_VALUE"""),53.0)</f>
        <v>53</v>
      </c>
      <c r="B362" t="str">
        <f>IFERROR(__xludf.DUMMYFUNCTION("""COMPUTED_VALUE"""),"TAA3998")</f>
        <v>TAA3998</v>
      </c>
      <c r="C362">
        <f>IFERROR(__xludf.DUMMYFUNCTION("""COMPUTED_VALUE"""),1007023.0)</f>
        <v>1007023</v>
      </c>
      <c r="D362" t="str">
        <f>IFERROR(__xludf.DUMMYFUNCTION("""COMPUTED_VALUE"""),"Mr.")</f>
        <v>Mr.</v>
      </c>
      <c r="E362" t="str">
        <f>IFERROR(__xludf.DUMMYFUNCTION("""COMPUTED_VALUE"""),"Apinan")</f>
        <v>Apinan</v>
      </c>
      <c r="F362" t="str">
        <f>IFERROR(__xludf.DUMMYFUNCTION("""COMPUTED_VALUE"""),"Sookpinij")</f>
        <v>Sookpinij</v>
      </c>
      <c r="G362" t="str">
        <f>IFERROR(__xludf.DUMMYFUNCTION("""COMPUTED_VALUE"""),"Apinan Sookpinij")</f>
        <v>Apinan Sookpinij</v>
      </c>
    </row>
    <row r="363">
      <c r="A363" s="142">
        <f>IFERROR(__xludf.DUMMYFUNCTION("""COMPUTED_VALUE"""),53.0)</f>
        <v>53</v>
      </c>
      <c r="B363" t="str">
        <f>IFERROR(__xludf.DUMMYFUNCTION("""COMPUTED_VALUE"""),"TAA3989")</f>
        <v>TAA3989</v>
      </c>
      <c r="C363">
        <f>IFERROR(__xludf.DUMMYFUNCTION("""COMPUTED_VALUE"""),1007024.0)</f>
        <v>1007024</v>
      </c>
      <c r="D363" t="str">
        <f>IFERROR(__xludf.DUMMYFUNCTION("""COMPUTED_VALUE"""),"Ms.")</f>
        <v>Ms.</v>
      </c>
      <c r="E363" t="str">
        <f>IFERROR(__xludf.DUMMYFUNCTION("""COMPUTED_VALUE"""),"Darin")</f>
        <v>Darin</v>
      </c>
      <c r="F363" t="str">
        <f>IFERROR(__xludf.DUMMYFUNCTION("""COMPUTED_VALUE"""),"Yamalee")</f>
        <v>Yamalee</v>
      </c>
      <c r="G363" t="str">
        <f>IFERROR(__xludf.DUMMYFUNCTION("""COMPUTED_VALUE"""),"Darin Yamalee")</f>
        <v>Darin Yamalee</v>
      </c>
    </row>
    <row r="364">
      <c r="A364" s="142">
        <f>IFERROR(__xludf.DUMMYFUNCTION("""COMPUTED_VALUE"""),53.0)</f>
        <v>53</v>
      </c>
      <c r="B364" t="str">
        <f>IFERROR(__xludf.DUMMYFUNCTION("""COMPUTED_VALUE"""),"TAA3982")</f>
        <v>TAA3982</v>
      </c>
      <c r="C364">
        <f>IFERROR(__xludf.DUMMYFUNCTION("""COMPUTED_VALUE"""),1007025.0)</f>
        <v>1007025</v>
      </c>
      <c r="D364" t="str">
        <f>IFERROR(__xludf.DUMMYFUNCTION("""COMPUTED_VALUE"""),"Mr.")</f>
        <v>Mr.</v>
      </c>
      <c r="E364" t="str">
        <f>IFERROR(__xludf.DUMMYFUNCTION("""COMPUTED_VALUE"""),"Jirayutt")</f>
        <v>Jirayutt</v>
      </c>
      <c r="F364" t="str">
        <f>IFERROR(__xludf.DUMMYFUNCTION("""COMPUTED_VALUE"""),"Tungmunkij")</f>
        <v>Tungmunkij</v>
      </c>
      <c r="G364" t="str">
        <f>IFERROR(__xludf.DUMMYFUNCTION("""COMPUTED_VALUE"""),"Jirayutt Tungmunkij")</f>
        <v>Jirayutt Tungmunkij</v>
      </c>
    </row>
    <row r="365">
      <c r="A365" s="142">
        <f>IFERROR(__xludf.DUMMYFUNCTION("""COMPUTED_VALUE"""),53.0)</f>
        <v>53</v>
      </c>
      <c r="B365" t="str">
        <f>IFERROR(__xludf.DUMMYFUNCTION("""COMPUTED_VALUE"""),"TAA3987")</f>
        <v>TAA3987</v>
      </c>
      <c r="C365">
        <f>IFERROR(__xludf.DUMMYFUNCTION("""COMPUTED_VALUE"""),1007026.0)</f>
        <v>1007026</v>
      </c>
      <c r="D365" t="str">
        <f>IFERROR(__xludf.DUMMYFUNCTION("""COMPUTED_VALUE"""),"Ms.")</f>
        <v>Ms.</v>
      </c>
      <c r="E365" t="str">
        <f>IFERROR(__xludf.DUMMYFUNCTION("""COMPUTED_VALUE"""),"Kwanrapee")</f>
        <v>Kwanrapee</v>
      </c>
      <c r="F365" t="str">
        <f>IFERROR(__xludf.DUMMYFUNCTION("""COMPUTED_VALUE"""),"Satayayookt")</f>
        <v>Satayayookt</v>
      </c>
      <c r="G365" t="str">
        <f>IFERROR(__xludf.DUMMYFUNCTION("""COMPUTED_VALUE"""),"Kwanrapee Satayayookt")</f>
        <v>Kwanrapee Satayayookt</v>
      </c>
    </row>
    <row r="366">
      <c r="A366" s="142">
        <f>IFERROR(__xludf.DUMMYFUNCTION("""COMPUTED_VALUE"""),53.0)</f>
        <v>53</v>
      </c>
      <c r="B366" t="str">
        <f>IFERROR(__xludf.DUMMYFUNCTION("""COMPUTED_VALUE"""),"TAA3984")</f>
        <v>TAA3984</v>
      </c>
      <c r="C366">
        <f>IFERROR(__xludf.DUMMYFUNCTION("""COMPUTED_VALUE"""),1007027.0)</f>
        <v>1007027</v>
      </c>
      <c r="D366" t="str">
        <f>IFERROR(__xludf.DUMMYFUNCTION("""COMPUTED_VALUE"""),"Ms.")</f>
        <v>Ms.</v>
      </c>
      <c r="E366" t="str">
        <f>IFERROR(__xludf.DUMMYFUNCTION("""COMPUTED_VALUE"""),"Naphaphat")</f>
        <v>Naphaphat</v>
      </c>
      <c r="F366" t="str">
        <f>IFERROR(__xludf.DUMMYFUNCTION("""COMPUTED_VALUE"""),"Narapirapong")</f>
        <v>Narapirapong</v>
      </c>
      <c r="G366" t="str">
        <f>IFERROR(__xludf.DUMMYFUNCTION("""COMPUTED_VALUE"""),"Naphaphat Narapirapong")</f>
        <v>Naphaphat Narapirapong</v>
      </c>
    </row>
    <row r="367">
      <c r="A367" s="142">
        <f>IFERROR(__xludf.DUMMYFUNCTION("""COMPUTED_VALUE"""),53.0)</f>
        <v>53</v>
      </c>
      <c r="B367" t="str">
        <f>IFERROR(__xludf.DUMMYFUNCTION("""COMPUTED_VALUE"""),"TAA3980")</f>
        <v>TAA3980</v>
      </c>
      <c r="C367">
        <f>IFERROR(__xludf.DUMMYFUNCTION("""COMPUTED_VALUE"""),1007029.0)</f>
        <v>1007029</v>
      </c>
      <c r="D367" t="str">
        <f>IFERROR(__xludf.DUMMYFUNCTION("""COMPUTED_VALUE"""),"Ms.")</f>
        <v>Ms.</v>
      </c>
      <c r="E367" t="str">
        <f>IFERROR(__xludf.DUMMYFUNCTION("""COMPUTED_VALUE"""),"Pitchaya (Jinnipha)")</f>
        <v>Pitchaya (Jinnipha)</v>
      </c>
      <c r="F367" t="str">
        <f>IFERROR(__xludf.DUMMYFUNCTION("""COMPUTED_VALUE"""),"Dalai (Viskul)")</f>
        <v>Dalai (Viskul)</v>
      </c>
      <c r="G367" t="str">
        <f>IFERROR(__xludf.DUMMYFUNCTION("""COMPUTED_VALUE"""),"Pitchaya Dalai")</f>
        <v>Pitchaya Dalai</v>
      </c>
    </row>
    <row r="368">
      <c r="A368" s="142">
        <f>IFERROR(__xludf.DUMMYFUNCTION("""COMPUTED_VALUE"""),53.0)</f>
        <v>53</v>
      </c>
      <c r="B368" t="str">
        <f>IFERROR(__xludf.DUMMYFUNCTION("""COMPUTED_VALUE"""),"TAA3988")</f>
        <v>TAA3988</v>
      </c>
      <c r="C368">
        <f>IFERROR(__xludf.DUMMYFUNCTION("""COMPUTED_VALUE"""),1007030.0)</f>
        <v>1007030</v>
      </c>
      <c r="D368" t="str">
        <f>IFERROR(__xludf.DUMMYFUNCTION("""COMPUTED_VALUE"""),"Mr.")</f>
        <v>Mr.</v>
      </c>
      <c r="E368" t="str">
        <f>IFERROR(__xludf.DUMMYFUNCTION("""COMPUTED_VALUE"""),"Poramate")</f>
        <v>Poramate</v>
      </c>
      <c r="F368" t="str">
        <f>IFERROR(__xludf.DUMMYFUNCTION("""COMPUTED_VALUE"""),"Rattanaseksun")</f>
        <v>Rattanaseksun</v>
      </c>
      <c r="G368" t="str">
        <f>IFERROR(__xludf.DUMMYFUNCTION("""COMPUTED_VALUE"""),"Poramate Rattanaseksun")</f>
        <v>Poramate Rattanaseksun</v>
      </c>
    </row>
    <row r="369">
      <c r="A369" s="142">
        <f>IFERROR(__xludf.DUMMYFUNCTION("""COMPUTED_VALUE"""),53.0)</f>
        <v>53</v>
      </c>
      <c r="B369" t="str">
        <f>IFERROR(__xludf.DUMMYFUNCTION("""COMPUTED_VALUE"""),"TAA3997")</f>
        <v>TAA3997</v>
      </c>
      <c r="C369">
        <f>IFERROR(__xludf.DUMMYFUNCTION("""COMPUTED_VALUE"""),1007032.0)</f>
        <v>1007032</v>
      </c>
      <c r="D369" t="str">
        <f>IFERROR(__xludf.DUMMYFUNCTION("""COMPUTED_VALUE"""),"Ms.")</f>
        <v>Ms.</v>
      </c>
      <c r="E369" t="str">
        <f>IFERROR(__xludf.DUMMYFUNCTION("""COMPUTED_VALUE"""),"Praew")</f>
        <v>Praew</v>
      </c>
      <c r="F369" t="str">
        <f>IFERROR(__xludf.DUMMYFUNCTION("""COMPUTED_VALUE"""),"Kijsuwan")</f>
        <v>Kijsuwan</v>
      </c>
      <c r="G369" t="str">
        <f>IFERROR(__xludf.DUMMYFUNCTION("""COMPUTED_VALUE"""),"Praew Kijsuwan")</f>
        <v>Praew Kijsuwan</v>
      </c>
    </row>
    <row r="370">
      <c r="A370" s="142">
        <f>IFERROR(__xludf.DUMMYFUNCTION("""COMPUTED_VALUE"""),53.0)</f>
        <v>53</v>
      </c>
      <c r="B370" t="str">
        <f>IFERROR(__xludf.DUMMYFUNCTION("""COMPUTED_VALUE"""),"TAA3977")</f>
        <v>TAA3977</v>
      </c>
      <c r="C370">
        <f>IFERROR(__xludf.DUMMYFUNCTION("""COMPUTED_VALUE"""),1007034.0)</f>
        <v>1007034</v>
      </c>
      <c r="D370" t="str">
        <f>IFERROR(__xludf.DUMMYFUNCTION("""COMPUTED_VALUE"""),"Ms.")</f>
        <v>Ms.</v>
      </c>
      <c r="E370" t="str">
        <f>IFERROR(__xludf.DUMMYFUNCTION("""COMPUTED_VALUE"""),"Raveekankate")</f>
        <v>Raveekankate</v>
      </c>
      <c r="F370" t="str">
        <f>IFERROR(__xludf.DUMMYFUNCTION("""COMPUTED_VALUE"""),"Sukasemthongdi")</f>
        <v>Sukasemthongdi</v>
      </c>
      <c r="G370" t="str">
        <f>IFERROR(__xludf.DUMMYFUNCTION("""COMPUTED_VALUE"""),"Raveekankate Sukasemthongdi")</f>
        <v>Raveekankate Sukasemthongdi</v>
      </c>
    </row>
    <row r="371">
      <c r="A371" s="142">
        <f>IFERROR(__xludf.DUMMYFUNCTION("""COMPUTED_VALUE"""),53.0)</f>
        <v>53</v>
      </c>
      <c r="B371" t="str">
        <f>IFERROR(__xludf.DUMMYFUNCTION("""COMPUTED_VALUE"""),"TAA3981")</f>
        <v>TAA3981</v>
      </c>
      <c r="C371">
        <f>IFERROR(__xludf.DUMMYFUNCTION("""COMPUTED_VALUE"""),1007035.0)</f>
        <v>1007035</v>
      </c>
      <c r="D371" t="str">
        <f>IFERROR(__xludf.DUMMYFUNCTION("""COMPUTED_VALUE"""),"Mr.")</f>
        <v>Mr.</v>
      </c>
      <c r="E371" t="str">
        <f>IFERROR(__xludf.DUMMYFUNCTION("""COMPUTED_VALUE"""),"Sitthikorn")</f>
        <v>Sitthikorn</v>
      </c>
      <c r="F371" t="str">
        <f>IFERROR(__xludf.DUMMYFUNCTION("""COMPUTED_VALUE"""),"Janchalaem")</f>
        <v>Janchalaem</v>
      </c>
      <c r="G371" t="str">
        <f>IFERROR(__xludf.DUMMYFUNCTION("""COMPUTED_VALUE"""),"Sitthikorn Janchalaem")</f>
        <v>Sitthikorn Janchalaem</v>
      </c>
    </row>
    <row r="373">
      <c r="A373" s="142">
        <f>IFERROR(__xludf.DUMMYFUNCTION("""COMPUTED_VALUE"""),54.0)</f>
        <v>54</v>
      </c>
      <c r="B373" t="str">
        <f>IFERROR(__xludf.DUMMYFUNCTION("""COMPUTED_VALUE"""),"TAA4009")</f>
        <v>TAA4009</v>
      </c>
      <c r="C373">
        <f>IFERROR(__xludf.DUMMYFUNCTION("""COMPUTED_VALUE"""),1007138.0)</f>
        <v>1007138</v>
      </c>
      <c r="D373" t="str">
        <f>IFERROR(__xludf.DUMMYFUNCTION("""COMPUTED_VALUE"""),"Ms.")</f>
        <v>Ms.</v>
      </c>
      <c r="E373" t="str">
        <f>IFERROR(__xludf.DUMMYFUNCTION("""COMPUTED_VALUE"""),"Muanprae")</f>
        <v>Muanprae</v>
      </c>
      <c r="F373" t="str">
        <f>IFERROR(__xludf.DUMMYFUNCTION("""COMPUTED_VALUE"""),"Fukiatisuthi")</f>
        <v>Fukiatisuthi</v>
      </c>
      <c r="G373" t="str">
        <f>IFERROR(__xludf.DUMMYFUNCTION("""COMPUTED_VALUE"""),"Muanprae Fukiatisuthi")</f>
        <v>Muanprae Fukiatisuthi</v>
      </c>
    </row>
    <row r="374">
      <c r="A374" s="142">
        <f>IFERROR(__xludf.DUMMYFUNCTION("""COMPUTED_VALUE"""),54.0)</f>
        <v>54</v>
      </c>
      <c r="B374" t="str">
        <f>IFERROR(__xludf.DUMMYFUNCTION("""COMPUTED_VALUE"""),"TAA4013")</f>
        <v>TAA4013</v>
      </c>
      <c r="C374">
        <f>IFERROR(__xludf.DUMMYFUNCTION("""COMPUTED_VALUE"""),1007143.0)</f>
        <v>1007143</v>
      </c>
      <c r="D374" t="str">
        <f>IFERROR(__xludf.DUMMYFUNCTION("""COMPUTED_VALUE"""),"Ms.")</f>
        <v>Ms.</v>
      </c>
      <c r="E374" t="str">
        <f>IFERROR(__xludf.DUMMYFUNCTION("""COMPUTED_VALUE"""),"Nantakarn")</f>
        <v>Nantakarn</v>
      </c>
      <c r="F374" t="str">
        <f>IFERROR(__xludf.DUMMYFUNCTION("""COMPUTED_VALUE"""),"Sangwarn")</f>
        <v>Sangwarn</v>
      </c>
      <c r="G374" t="str">
        <f>IFERROR(__xludf.DUMMYFUNCTION("""COMPUTED_VALUE"""),"Nantakarn Sangwarn")</f>
        <v>Nantakarn Sangwarn</v>
      </c>
    </row>
    <row r="375">
      <c r="A375" s="142">
        <f>IFERROR(__xludf.DUMMYFUNCTION("""COMPUTED_VALUE"""),54.0)</f>
        <v>54</v>
      </c>
      <c r="B375" t="str">
        <f>IFERROR(__xludf.DUMMYFUNCTION("""COMPUTED_VALUE"""),"TAA4006")</f>
        <v>TAA4006</v>
      </c>
      <c r="C375">
        <f>IFERROR(__xludf.DUMMYFUNCTION("""COMPUTED_VALUE"""),1007144.0)</f>
        <v>1007144</v>
      </c>
      <c r="D375" t="str">
        <f>IFERROR(__xludf.DUMMYFUNCTION("""COMPUTED_VALUE"""),"Ms.")</f>
        <v>Ms.</v>
      </c>
      <c r="E375" t="str">
        <f>IFERROR(__xludf.DUMMYFUNCTION("""COMPUTED_VALUE"""),"Natcharee")</f>
        <v>Natcharee</v>
      </c>
      <c r="F375" t="str">
        <f>IFERROR(__xludf.DUMMYFUNCTION("""COMPUTED_VALUE"""),"Chaweewong")</f>
        <v>Chaweewong</v>
      </c>
      <c r="G375" t="str">
        <f>IFERROR(__xludf.DUMMYFUNCTION("""COMPUTED_VALUE"""),"Natcharee Chaweewong")</f>
        <v>Natcharee Chaweewong</v>
      </c>
    </row>
    <row r="376">
      <c r="A376" s="142">
        <f>IFERROR(__xludf.DUMMYFUNCTION("""COMPUTED_VALUE"""),54.0)</f>
        <v>54</v>
      </c>
      <c r="B376" t="str">
        <f>IFERROR(__xludf.DUMMYFUNCTION("""COMPUTED_VALUE"""),"TAA3999")</f>
        <v>TAA3999</v>
      </c>
      <c r="C376">
        <f>IFERROR(__xludf.DUMMYFUNCTION("""COMPUTED_VALUE"""),1007146.0)</f>
        <v>1007146</v>
      </c>
      <c r="D376" t="str">
        <f>IFERROR(__xludf.DUMMYFUNCTION("""COMPUTED_VALUE"""),"Mr.")</f>
        <v>Mr.</v>
      </c>
      <c r="E376" t="str">
        <f>IFERROR(__xludf.DUMMYFUNCTION("""COMPUTED_VALUE"""),"Nolnapat")</f>
        <v>Nolnapat</v>
      </c>
      <c r="F376" t="str">
        <f>IFERROR(__xludf.DUMMYFUNCTION("""COMPUTED_VALUE"""),"Nitmanee")</f>
        <v>Nitmanee</v>
      </c>
      <c r="G376" t="str">
        <f>IFERROR(__xludf.DUMMYFUNCTION("""COMPUTED_VALUE"""),"Nolnapat Nitmanee")</f>
        <v>Nolnapat Nitmanee</v>
      </c>
    </row>
    <row r="377">
      <c r="A377" s="142">
        <f>IFERROR(__xludf.DUMMYFUNCTION("""COMPUTED_VALUE"""),54.0)</f>
        <v>54</v>
      </c>
      <c r="B377" t="str">
        <f>IFERROR(__xludf.DUMMYFUNCTION("""COMPUTED_VALUE"""),"TAA4004")</f>
        <v>TAA4004</v>
      </c>
      <c r="C377">
        <f>IFERROR(__xludf.DUMMYFUNCTION("""COMPUTED_VALUE"""),1007152.0)</f>
        <v>1007152</v>
      </c>
      <c r="D377" t="str">
        <f>IFERROR(__xludf.DUMMYFUNCTION("""COMPUTED_VALUE"""),"Ms.")</f>
        <v>Ms.</v>
      </c>
      <c r="E377" t="str">
        <f>IFERROR(__xludf.DUMMYFUNCTION("""COMPUTED_VALUE"""),"Pakamas")</f>
        <v>Pakamas</v>
      </c>
      <c r="F377" t="str">
        <f>IFERROR(__xludf.DUMMYFUNCTION("""COMPUTED_VALUE"""),"Molchaisawad (Monchaisawad)")</f>
        <v>Molchaisawad (Monchaisawad)</v>
      </c>
      <c r="G377" t="str">
        <f>IFERROR(__xludf.DUMMYFUNCTION("""COMPUTED_VALUE"""),"Pakamas Molchaisawad")</f>
        <v>Pakamas Molchaisawad</v>
      </c>
    </row>
    <row r="378">
      <c r="A378" s="142">
        <f>IFERROR(__xludf.DUMMYFUNCTION("""COMPUTED_VALUE"""),54.0)</f>
        <v>54</v>
      </c>
      <c r="B378" t="str">
        <f>IFERROR(__xludf.DUMMYFUNCTION("""COMPUTED_VALUE"""),"TAA4005")</f>
        <v>TAA4005</v>
      </c>
      <c r="C378">
        <f>IFERROR(__xludf.DUMMYFUNCTION("""COMPUTED_VALUE"""),1007153.0)</f>
        <v>1007153</v>
      </c>
      <c r="D378" t="str">
        <f>IFERROR(__xludf.DUMMYFUNCTION("""COMPUTED_VALUE"""),"Mr.")</f>
        <v>Mr.</v>
      </c>
      <c r="E378" t="str">
        <f>IFERROR(__xludf.DUMMYFUNCTION("""COMPUTED_VALUE"""),"Pannathat")</f>
        <v>Pannathat</v>
      </c>
      <c r="F378" t="str">
        <f>IFERROR(__xludf.DUMMYFUNCTION("""COMPUTED_VALUE"""),"Chuchuaisuwan")</f>
        <v>Chuchuaisuwan</v>
      </c>
      <c r="G378" t="str">
        <f>IFERROR(__xludf.DUMMYFUNCTION("""COMPUTED_VALUE"""),"Pannathat Chuchuaisuwan")</f>
        <v>Pannathat Chuchuaisuwan</v>
      </c>
    </row>
    <row r="379">
      <c r="A379" s="142">
        <f>IFERROR(__xludf.DUMMYFUNCTION("""COMPUTED_VALUE"""),54.0)</f>
        <v>54</v>
      </c>
      <c r="B379" t="str">
        <f>IFERROR(__xludf.DUMMYFUNCTION("""COMPUTED_VALUE"""),"TAA4023")</f>
        <v>TAA4023</v>
      </c>
      <c r="C379">
        <f>IFERROR(__xludf.DUMMYFUNCTION("""COMPUTED_VALUE"""),1007154.0)</f>
        <v>1007154</v>
      </c>
      <c r="D379" t="str">
        <f>IFERROR(__xludf.DUMMYFUNCTION("""COMPUTED_VALUE"""),"Ms.")</f>
        <v>Ms.</v>
      </c>
      <c r="E379" t="str">
        <f>IFERROR(__xludf.DUMMYFUNCTION("""COMPUTED_VALUE"""),"Pannee")</f>
        <v>Pannee</v>
      </c>
      <c r="F379" t="str">
        <f>IFERROR(__xludf.DUMMYFUNCTION("""COMPUTED_VALUE"""),"Soitanasirikul")</f>
        <v>Soitanasirikul</v>
      </c>
      <c r="G379" t="str">
        <f>IFERROR(__xludf.DUMMYFUNCTION("""COMPUTED_VALUE"""),"Pannee Soitanasirikul")</f>
        <v>Pannee Soitanasirikul</v>
      </c>
    </row>
    <row r="380">
      <c r="A380" s="142">
        <f>IFERROR(__xludf.DUMMYFUNCTION("""COMPUTED_VALUE"""),54.0)</f>
        <v>54</v>
      </c>
      <c r="B380" t="str">
        <f>IFERROR(__xludf.DUMMYFUNCTION("""COMPUTED_VALUE"""),"TAA4008")</f>
        <v>TAA4008</v>
      </c>
      <c r="C380">
        <f>IFERROR(__xludf.DUMMYFUNCTION("""COMPUTED_VALUE"""),1007156.0)</f>
        <v>1007156</v>
      </c>
      <c r="D380" t="str">
        <f>IFERROR(__xludf.DUMMYFUNCTION("""COMPUTED_VALUE"""),"Mrs.")</f>
        <v>Mrs.</v>
      </c>
      <c r="E380" t="str">
        <f>IFERROR(__xludf.DUMMYFUNCTION("""COMPUTED_VALUE"""),"Patthama")</f>
        <v>Patthama</v>
      </c>
      <c r="F380" t="str">
        <f>IFERROR(__xludf.DUMMYFUNCTION("""COMPUTED_VALUE"""),"Aryarug (Pathumthong)")</f>
        <v>Aryarug (Pathumthong)</v>
      </c>
      <c r="G380" t="str">
        <f>IFERROR(__xludf.DUMMYFUNCTION("""COMPUTED_VALUE"""),"Patthama Aryarug")</f>
        <v>Patthama Aryarug</v>
      </c>
    </row>
    <row r="381">
      <c r="A381" s="142">
        <f>IFERROR(__xludf.DUMMYFUNCTION("""COMPUTED_VALUE"""),54.0)</f>
        <v>54</v>
      </c>
      <c r="B381" t="str">
        <f>IFERROR(__xludf.DUMMYFUNCTION("""COMPUTED_VALUE"""),"TAA4000")</f>
        <v>TAA4000</v>
      </c>
      <c r="C381">
        <f>IFERROR(__xludf.DUMMYFUNCTION("""COMPUTED_VALUE"""),1007157.0)</f>
        <v>1007157</v>
      </c>
      <c r="D381" t="str">
        <f>IFERROR(__xludf.DUMMYFUNCTION("""COMPUTED_VALUE"""),"Ms.")</f>
        <v>Ms.</v>
      </c>
      <c r="E381" t="str">
        <f>IFERROR(__xludf.DUMMYFUNCTION("""COMPUTED_VALUE"""),"Pichanun")</f>
        <v>Pichanun</v>
      </c>
      <c r="F381" t="str">
        <f>IFERROR(__xludf.DUMMYFUNCTION("""COMPUTED_VALUE"""),"Seneetantikul")</f>
        <v>Seneetantikul</v>
      </c>
      <c r="G381" t="str">
        <f>IFERROR(__xludf.DUMMYFUNCTION("""COMPUTED_VALUE"""),"Pichanun Seneetantikul")</f>
        <v>Pichanun Seneetantikul</v>
      </c>
    </row>
    <row r="382">
      <c r="A382" s="142">
        <f>IFERROR(__xludf.DUMMYFUNCTION("""COMPUTED_VALUE"""),54.0)</f>
        <v>54</v>
      </c>
      <c r="B382" t="str">
        <f>IFERROR(__xludf.DUMMYFUNCTION("""COMPUTED_VALUE"""),"TAA4024")</f>
        <v>TAA4024</v>
      </c>
      <c r="C382">
        <f>IFERROR(__xludf.DUMMYFUNCTION("""COMPUTED_VALUE"""),1007159.0)</f>
        <v>1007159</v>
      </c>
      <c r="D382" t="str">
        <f>IFERROR(__xludf.DUMMYFUNCTION("""COMPUTED_VALUE"""),"Ms.")</f>
        <v>Ms.</v>
      </c>
      <c r="E382" t="str">
        <f>IFERROR(__xludf.DUMMYFUNCTION("""COMPUTED_VALUE"""),"Piyawadee")</f>
        <v>Piyawadee</v>
      </c>
      <c r="F382" t="str">
        <f>IFERROR(__xludf.DUMMYFUNCTION("""COMPUTED_VALUE"""),"Sitdhilaw")</f>
        <v>Sitdhilaw</v>
      </c>
      <c r="G382" t="str">
        <f>IFERROR(__xludf.DUMMYFUNCTION("""COMPUTED_VALUE"""),"Piyawadee Sitdhilaw")</f>
        <v>Piyawadee Sitdhilaw</v>
      </c>
    </row>
    <row r="383">
      <c r="A383" s="142">
        <f>IFERROR(__xludf.DUMMYFUNCTION("""COMPUTED_VALUE"""),54.0)</f>
        <v>54</v>
      </c>
      <c r="B383" t="str">
        <f>IFERROR(__xludf.DUMMYFUNCTION("""COMPUTED_VALUE"""),"TAA4017")</f>
        <v>TAA4017</v>
      </c>
      <c r="C383">
        <f>IFERROR(__xludf.DUMMYFUNCTION("""COMPUTED_VALUE"""),1007161.0)</f>
        <v>1007161</v>
      </c>
      <c r="D383" t="str">
        <f>IFERROR(__xludf.DUMMYFUNCTION("""COMPUTED_VALUE"""),"Ms.")</f>
        <v>Ms.</v>
      </c>
      <c r="E383" t="str">
        <f>IFERROR(__xludf.DUMMYFUNCTION("""COMPUTED_VALUE"""),"Prangnaree")</f>
        <v>Prangnaree</v>
      </c>
      <c r="F383" t="str">
        <f>IFERROR(__xludf.DUMMYFUNCTION("""COMPUTED_VALUE"""),"Sahawatcharin")</f>
        <v>Sahawatcharin</v>
      </c>
      <c r="G383" t="str">
        <f>IFERROR(__xludf.DUMMYFUNCTION("""COMPUTED_VALUE"""),"Prangnaree Sahawatcharin")</f>
        <v>Prangnaree Sahawatcharin</v>
      </c>
    </row>
    <row r="384">
      <c r="A384" s="142">
        <f>IFERROR(__xludf.DUMMYFUNCTION("""COMPUTED_VALUE"""),54.0)</f>
        <v>54</v>
      </c>
      <c r="B384" t="str">
        <f>IFERROR(__xludf.DUMMYFUNCTION("""COMPUTED_VALUE"""),"TAA4007")</f>
        <v>TAA4007</v>
      </c>
      <c r="C384">
        <f>IFERROR(__xludf.DUMMYFUNCTION("""COMPUTED_VALUE"""),1007164.0)</f>
        <v>1007164</v>
      </c>
      <c r="D384" t="str">
        <f>IFERROR(__xludf.DUMMYFUNCTION("""COMPUTED_VALUE"""),"Ms.")</f>
        <v>Ms.</v>
      </c>
      <c r="E384" t="str">
        <f>IFERROR(__xludf.DUMMYFUNCTION("""COMPUTED_VALUE"""),"Saowanee")</f>
        <v>Saowanee</v>
      </c>
      <c r="F384" t="str">
        <f>IFERROR(__xludf.DUMMYFUNCTION("""COMPUTED_VALUE"""),"Paweenwich")</f>
        <v>Paweenwich</v>
      </c>
      <c r="G384" t="str">
        <f>IFERROR(__xludf.DUMMYFUNCTION("""COMPUTED_VALUE"""),"Saowanee Paweenwich")</f>
        <v>Saowanee Paweenwich</v>
      </c>
    </row>
    <row r="385">
      <c r="A385" s="142">
        <f>IFERROR(__xludf.DUMMYFUNCTION("""COMPUTED_VALUE"""),54.0)</f>
        <v>54</v>
      </c>
      <c r="B385" t="str">
        <f>IFERROR(__xludf.DUMMYFUNCTION("""COMPUTED_VALUE"""),"TAA4014")</f>
        <v>TAA4014</v>
      </c>
      <c r="C385">
        <f>IFERROR(__xludf.DUMMYFUNCTION("""COMPUTED_VALUE"""),1007170.0)</f>
        <v>1007170</v>
      </c>
      <c r="D385" t="str">
        <f>IFERROR(__xludf.DUMMYFUNCTION("""COMPUTED_VALUE"""),"Ms.")</f>
        <v>Ms.</v>
      </c>
      <c r="E385" t="str">
        <f>IFERROR(__xludf.DUMMYFUNCTION("""COMPUTED_VALUE"""),"Supaporn")</f>
        <v>Supaporn</v>
      </c>
      <c r="F385" t="str">
        <f>IFERROR(__xludf.DUMMYFUNCTION("""COMPUTED_VALUE"""),"Rungroch")</f>
        <v>Rungroch</v>
      </c>
      <c r="G385" t="str">
        <f>IFERROR(__xludf.DUMMYFUNCTION("""COMPUTED_VALUE"""),"Supaporn Rungroch")</f>
        <v>Supaporn Rungroch</v>
      </c>
    </row>
    <row r="386">
      <c r="A386" s="142">
        <f>IFERROR(__xludf.DUMMYFUNCTION("""COMPUTED_VALUE"""),54.0)</f>
        <v>54</v>
      </c>
      <c r="B386" t="str">
        <f>IFERROR(__xludf.DUMMYFUNCTION("""COMPUTED_VALUE"""),"TAA4016")</f>
        <v>TAA4016</v>
      </c>
      <c r="C386">
        <f>IFERROR(__xludf.DUMMYFUNCTION("""COMPUTED_VALUE"""),1007176.0)</f>
        <v>1007176</v>
      </c>
      <c r="D386" t="str">
        <f>IFERROR(__xludf.DUMMYFUNCTION("""COMPUTED_VALUE"""),"Ms.")</f>
        <v>Ms.</v>
      </c>
      <c r="E386" t="str">
        <f>IFERROR(__xludf.DUMMYFUNCTION("""COMPUTED_VALUE"""),"Thanrada")</f>
        <v>Thanrada</v>
      </c>
      <c r="F386" t="str">
        <f>IFERROR(__xludf.DUMMYFUNCTION("""COMPUTED_VALUE"""),"Phattaratharnwanit (Phetloet)")</f>
        <v>Phattaratharnwanit (Phetloet)</v>
      </c>
      <c r="G386" t="str">
        <f>IFERROR(__xludf.DUMMYFUNCTION("""COMPUTED_VALUE"""),"Thanrada Phattaratharnwanit ")</f>
        <v>Thanrada Phattaratharnwanit </v>
      </c>
    </row>
    <row r="387">
      <c r="A387" s="142">
        <f>IFERROR(__xludf.DUMMYFUNCTION("""COMPUTED_VALUE"""),54.0)</f>
        <v>54</v>
      </c>
      <c r="B387" t="str">
        <f>IFERROR(__xludf.DUMMYFUNCTION("""COMPUTED_VALUE"""),"TAA4012")</f>
        <v>TAA4012</v>
      </c>
      <c r="C387">
        <f>IFERROR(__xludf.DUMMYFUNCTION("""COMPUTED_VALUE"""),1007177.0)</f>
        <v>1007177</v>
      </c>
      <c r="D387" t="str">
        <f>IFERROR(__xludf.DUMMYFUNCTION("""COMPUTED_VALUE"""),"Ms.")</f>
        <v>Ms.</v>
      </c>
      <c r="E387" t="str">
        <f>IFERROR(__xludf.DUMMYFUNCTION("""COMPUTED_VALUE"""),"Kandalin (Thattakarn)")</f>
        <v>Kandalin (Thattakarn)</v>
      </c>
      <c r="F387" t="str">
        <f>IFERROR(__xludf.DUMMYFUNCTION("""COMPUTED_VALUE"""),"Koonkaew")</f>
        <v>Koonkaew</v>
      </c>
      <c r="G387" t="str">
        <f>IFERROR(__xludf.DUMMYFUNCTION("""COMPUTED_VALUE"""),"Kandalin Koonkaew")</f>
        <v>Kandalin Koonkaew</v>
      </c>
    </row>
    <row r="389">
      <c r="A389" s="142">
        <f>IFERROR(__xludf.DUMMYFUNCTION("""COMPUTED_VALUE"""),55.0)</f>
        <v>55</v>
      </c>
      <c r="B389" t="str">
        <f>IFERROR(__xludf.DUMMYFUNCTION("""COMPUTED_VALUE"""),"TAA4042")</f>
        <v>TAA4042</v>
      </c>
      <c r="C389">
        <f>IFERROR(__xludf.DUMMYFUNCTION("""COMPUTED_VALUE"""),1007194.0)</f>
        <v>1007194</v>
      </c>
      <c r="D389" t="str">
        <f>IFERROR(__xludf.DUMMYFUNCTION("""COMPUTED_VALUE"""),"Ms.")</f>
        <v>Ms.</v>
      </c>
      <c r="E389" t="str">
        <f>IFERROR(__xludf.DUMMYFUNCTION("""COMPUTED_VALUE"""),"Arparatt")</f>
        <v>Arparatt</v>
      </c>
      <c r="F389" t="str">
        <f>IFERROR(__xludf.DUMMYFUNCTION("""COMPUTED_VALUE"""),"Pengya")</f>
        <v>Pengya</v>
      </c>
      <c r="G389" t="str">
        <f>IFERROR(__xludf.DUMMYFUNCTION("""COMPUTED_VALUE"""),"Arparatt Pengya")</f>
        <v>Arparatt Pengya</v>
      </c>
    </row>
    <row r="390">
      <c r="A390" s="142">
        <f>IFERROR(__xludf.DUMMYFUNCTION("""COMPUTED_VALUE"""),55.0)</f>
        <v>55</v>
      </c>
      <c r="B390" t="str">
        <f>IFERROR(__xludf.DUMMYFUNCTION("""COMPUTED_VALUE"""),"TAA4031")</f>
        <v>TAA4031</v>
      </c>
      <c r="C390">
        <f>IFERROR(__xludf.DUMMYFUNCTION("""COMPUTED_VALUE"""),1007196.0)</f>
        <v>1007196</v>
      </c>
      <c r="D390" t="str">
        <f>IFERROR(__xludf.DUMMYFUNCTION("""COMPUTED_VALUE"""),"Ms.")</f>
        <v>Ms.</v>
      </c>
      <c r="E390" t="str">
        <f>IFERROR(__xludf.DUMMYFUNCTION("""COMPUTED_VALUE"""),"Chanyakorn")</f>
        <v>Chanyakorn</v>
      </c>
      <c r="F390" t="str">
        <f>IFERROR(__xludf.DUMMYFUNCTION("""COMPUTED_VALUE"""),"Amornkitvikai")</f>
        <v>Amornkitvikai</v>
      </c>
      <c r="G390" t="str">
        <f>IFERROR(__xludf.DUMMYFUNCTION("""COMPUTED_VALUE"""),"Chanyakorn Amornkitvikai")</f>
        <v>Chanyakorn Amornkitvikai</v>
      </c>
    </row>
    <row r="391">
      <c r="A391" s="142">
        <f>IFERROR(__xludf.DUMMYFUNCTION("""COMPUTED_VALUE"""),55.0)</f>
        <v>55</v>
      </c>
      <c r="B391" t="str">
        <f>IFERROR(__xludf.DUMMYFUNCTION("""COMPUTED_VALUE"""),"TAA4027")</f>
        <v>TAA4027</v>
      </c>
      <c r="C391">
        <f>IFERROR(__xludf.DUMMYFUNCTION("""COMPUTED_VALUE"""),1007198.0)</f>
        <v>1007198</v>
      </c>
      <c r="D391" t="str">
        <f>IFERROR(__xludf.DUMMYFUNCTION("""COMPUTED_VALUE"""),"Mr.")</f>
        <v>Mr.</v>
      </c>
      <c r="E391" t="str">
        <f>IFERROR(__xludf.DUMMYFUNCTION("""COMPUTED_VALUE"""),"Danny Richmond")</f>
        <v>Danny Richmond</v>
      </c>
      <c r="F391" t="str">
        <f>IFERROR(__xludf.DUMMYFUNCTION("""COMPUTED_VALUE"""),"Beaver")</f>
        <v>Beaver</v>
      </c>
      <c r="G391" t="str">
        <f>IFERROR(__xludf.DUMMYFUNCTION("""COMPUTED_VALUE"""),"Danny Richmond Beaver")</f>
        <v>Danny Richmond Beaver</v>
      </c>
    </row>
    <row r="392">
      <c r="A392" s="142">
        <f>IFERROR(__xludf.DUMMYFUNCTION("""COMPUTED_VALUE"""),55.0)</f>
        <v>55</v>
      </c>
      <c r="B392" t="str">
        <f>IFERROR(__xludf.DUMMYFUNCTION("""COMPUTED_VALUE"""),"TAA4038")</f>
        <v>TAA4038</v>
      </c>
      <c r="C392">
        <f>IFERROR(__xludf.DUMMYFUNCTION("""COMPUTED_VALUE"""),1007201.0)</f>
        <v>1007201</v>
      </c>
      <c r="D392" t="str">
        <f>IFERROR(__xludf.DUMMYFUNCTION("""COMPUTED_VALUE"""),"Ms.")</f>
        <v>Ms.</v>
      </c>
      <c r="E392" t="str">
        <f>IFERROR(__xludf.DUMMYFUNCTION("""COMPUTED_VALUE"""),"Juthaporn")</f>
        <v>Juthaporn</v>
      </c>
      <c r="F392" t="str">
        <f>IFERROR(__xludf.DUMMYFUNCTION("""COMPUTED_VALUE"""),"Ratanavaraporn")</f>
        <v>Ratanavaraporn</v>
      </c>
      <c r="G392" t="str">
        <f>IFERROR(__xludf.DUMMYFUNCTION("""COMPUTED_VALUE"""),"Juthaporn Ratanavaraporn")</f>
        <v>Juthaporn Ratanavaraporn</v>
      </c>
    </row>
    <row r="393">
      <c r="A393" s="142">
        <f>IFERROR(__xludf.DUMMYFUNCTION("""COMPUTED_VALUE"""),55.0)</f>
        <v>55</v>
      </c>
      <c r="B393" t="str">
        <f>IFERROR(__xludf.DUMMYFUNCTION("""COMPUTED_VALUE"""),"TAA4033")</f>
        <v>TAA4033</v>
      </c>
      <c r="C393">
        <f>IFERROR(__xludf.DUMMYFUNCTION("""COMPUTED_VALUE"""),1007202.0)</f>
        <v>1007202</v>
      </c>
      <c r="D393" t="str">
        <f>IFERROR(__xludf.DUMMYFUNCTION("""COMPUTED_VALUE"""),"Mr.")</f>
        <v>Mr.</v>
      </c>
      <c r="E393" t="str">
        <f>IFERROR(__xludf.DUMMYFUNCTION("""COMPUTED_VALUE"""),"Kritsada")</f>
        <v>Kritsada</v>
      </c>
      <c r="F393" t="str">
        <f>IFERROR(__xludf.DUMMYFUNCTION("""COMPUTED_VALUE"""),"Prachanuchit")</f>
        <v>Prachanuchit</v>
      </c>
      <c r="G393" t="str">
        <f>IFERROR(__xludf.DUMMYFUNCTION("""COMPUTED_VALUE"""),"Kritsada Prachanuchit")</f>
        <v>Kritsada Prachanuchit</v>
      </c>
    </row>
    <row r="394">
      <c r="A394" s="142">
        <f>IFERROR(__xludf.DUMMYFUNCTION("""COMPUTED_VALUE"""),55.0)</f>
        <v>55</v>
      </c>
      <c r="B394" t="str">
        <f>IFERROR(__xludf.DUMMYFUNCTION("""COMPUTED_VALUE"""),"TAA4028")</f>
        <v>TAA4028</v>
      </c>
      <c r="C394">
        <f>IFERROR(__xludf.DUMMYFUNCTION("""COMPUTED_VALUE"""),1007204.0)</f>
        <v>1007204</v>
      </c>
      <c r="D394" t="str">
        <f>IFERROR(__xludf.DUMMYFUNCTION("""COMPUTED_VALUE"""),"Ms.")</f>
        <v>Ms.</v>
      </c>
      <c r="E394" t="str">
        <f>IFERROR(__xludf.DUMMYFUNCTION("""COMPUTED_VALUE"""),"Neeranuch")</f>
        <v>Neeranuch</v>
      </c>
      <c r="F394" t="str">
        <f>IFERROR(__xludf.DUMMYFUNCTION("""COMPUTED_VALUE"""),"Chaveevorn")</f>
        <v>Chaveevorn</v>
      </c>
      <c r="G394" t="str">
        <f>IFERROR(__xludf.DUMMYFUNCTION("""COMPUTED_VALUE"""),"Neeranuch Chaveevorn")</f>
        <v>Neeranuch Chaveevorn</v>
      </c>
    </row>
    <row r="395">
      <c r="A395" s="142">
        <f>IFERROR(__xludf.DUMMYFUNCTION("""COMPUTED_VALUE"""),55.0)</f>
        <v>55</v>
      </c>
      <c r="B395" t="str">
        <f>IFERROR(__xludf.DUMMYFUNCTION("""COMPUTED_VALUE"""),"TAA4037")</f>
        <v>TAA4037</v>
      </c>
      <c r="C395">
        <f>IFERROR(__xludf.DUMMYFUNCTION("""COMPUTED_VALUE"""),1007206.0)</f>
        <v>1007206</v>
      </c>
      <c r="D395" t="str">
        <f>IFERROR(__xludf.DUMMYFUNCTION("""COMPUTED_VALUE"""),"Ms.")</f>
        <v>Ms.</v>
      </c>
      <c r="E395" t="str">
        <f>IFERROR(__xludf.DUMMYFUNCTION("""COMPUTED_VALUE"""),"Patcharida")</f>
        <v>Patcharida</v>
      </c>
      <c r="F395" t="str">
        <f>IFERROR(__xludf.DUMMYFUNCTION("""COMPUTED_VALUE"""),"Thanasarndechachai")</f>
        <v>Thanasarndechachai</v>
      </c>
      <c r="G395" t="str">
        <f>IFERROR(__xludf.DUMMYFUNCTION("""COMPUTED_VALUE"""),"Patcharida Thanasarndechachai")</f>
        <v>Patcharida Thanasarndechachai</v>
      </c>
    </row>
    <row r="396">
      <c r="A396" s="142">
        <f>IFERROR(__xludf.DUMMYFUNCTION("""COMPUTED_VALUE"""),55.0)</f>
        <v>55</v>
      </c>
      <c r="B396" t="str">
        <f>IFERROR(__xludf.DUMMYFUNCTION("""COMPUTED_VALUE"""),"TAA4044")</f>
        <v>TAA4044</v>
      </c>
      <c r="C396">
        <f>IFERROR(__xludf.DUMMYFUNCTION("""COMPUTED_VALUE"""),1007207.0)</f>
        <v>1007207</v>
      </c>
      <c r="D396" t="str">
        <f>IFERROR(__xludf.DUMMYFUNCTION("""COMPUTED_VALUE"""),"Ms.")</f>
        <v>Ms.</v>
      </c>
      <c r="E396" t="str">
        <f>IFERROR(__xludf.DUMMYFUNCTION("""COMPUTED_VALUE"""),"Sasiwan")</f>
        <v>Sasiwan</v>
      </c>
      <c r="F396" t="str">
        <f>IFERROR(__xludf.DUMMYFUNCTION("""COMPUTED_VALUE"""),"Nakate")</f>
        <v>Nakate</v>
      </c>
      <c r="G396" t="str">
        <f>IFERROR(__xludf.DUMMYFUNCTION("""COMPUTED_VALUE"""),"Sasiwan Nakate")</f>
        <v>Sasiwan Nakate</v>
      </c>
    </row>
    <row r="397">
      <c r="A397" s="142">
        <f>IFERROR(__xludf.DUMMYFUNCTION("""COMPUTED_VALUE"""),55.0)</f>
        <v>55</v>
      </c>
      <c r="B397" t="str">
        <f>IFERROR(__xludf.DUMMYFUNCTION("""COMPUTED_VALUE"""),"TAA4041")</f>
        <v>TAA4041</v>
      </c>
      <c r="C397">
        <f>IFERROR(__xludf.DUMMYFUNCTION("""COMPUTED_VALUE"""),1007208.0)</f>
        <v>1007208</v>
      </c>
      <c r="D397" t="str">
        <f>IFERROR(__xludf.DUMMYFUNCTION("""COMPUTED_VALUE"""),"Ms.")</f>
        <v>Ms.</v>
      </c>
      <c r="E397" t="str">
        <f>IFERROR(__xludf.DUMMYFUNCTION("""COMPUTED_VALUE"""),"Tamonwan")</f>
        <v>Tamonwan</v>
      </c>
      <c r="F397" t="str">
        <f>IFERROR(__xludf.DUMMYFUNCTION("""COMPUTED_VALUE"""),"Deesrisak")</f>
        <v>Deesrisak</v>
      </c>
      <c r="G397" t="str">
        <f>IFERROR(__xludf.DUMMYFUNCTION("""COMPUTED_VALUE"""),"Tamonwan Deesrisak")</f>
        <v>Tamonwan Deesrisak</v>
      </c>
    </row>
    <row r="398">
      <c r="A398" s="142">
        <f>IFERROR(__xludf.DUMMYFUNCTION("""COMPUTED_VALUE"""),55.0)</f>
        <v>55</v>
      </c>
      <c r="B398" t="str">
        <f>IFERROR(__xludf.DUMMYFUNCTION("""COMPUTED_VALUE"""),"TAA4032")</f>
        <v>TAA4032</v>
      </c>
      <c r="C398">
        <f>IFERROR(__xludf.DUMMYFUNCTION("""COMPUTED_VALUE"""),1007209.0)</f>
        <v>1007209</v>
      </c>
      <c r="D398" t="str">
        <f>IFERROR(__xludf.DUMMYFUNCTION("""COMPUTED_VALUE"""),"Ms.")</f>
        <v>Ms.</v>
      </c>
      <c r="E398" t="str">
        <f>IFERROR(__xludf.DUMMYFUNCTION("""COMPUTED_VALUE"""),"Varangkana")</f>
        <v>Varangkana</v>
      </c>
      <c r="F398" t="str">
        <f>IFERROR(__xludf.DUMMYFUNCTION("""COMPUTED_VALUE"""),"Seanglai (Nokkaew)")</f>
        <v>Seanglai (Nokkaew)</v>
      </c>
      <c r="G398" t="str">
        <f>IFERROR(__xludf.DUMMYFUNCTION("""COMPUTED_VALUE"""),"Varangkana Seanglai")</f>
        <v>Varangkana Seanglai</v>
      </c>
    </row>
    <row r="399">
      <c r="A399" s="142">
        <f>IFERROR(__xludf.DUMMYFUNCTION("""COMPUTED_VALUE"""),55.0)</f>
        <v>55</v>
      </c>
      <c r="B399" t="str">
        <f>IFERROR(__xludf.DUMMYFUNCTION("""COMPUTED_VALUE"""),"TAA4030")</f>
        <v>TAA4030</v>
      </c>
      <c r="C399">
        <f>IFERROR(__xludf.DUMMYFUNCTION("""COMPUTED_VALUE"""),1007210.0)</f>
        <v>1007210</v>
      </c>
      <c r="D399" t="str">
        <f>IFERROR(__xludf.DUMMYFUNCTION("""COMPUTED_VALUE"""),"Mr.")</f>
        <v>Mr.</v>
      </c>
      <c r="E399" t="str">
        <f>IFERROR(__xludf.DUMMYFUNCTION("""COMPUTED_VALUE"""),"Wongsakorn")</f>
        <v>Wongsakorn</v>
      </c>
      <c r="F399" t="str">
        <f>IFERROR(__xludf.DUMMYFUNCTION("""COMPUTED_VALUE"""),"Chalerm")</f>
        <v>Chalerm</v>
      </c>
      <c r="G399" t="str">
        <f>IFERROR(__xludf.DUMMYFUNCTION("""COMPUTED_VALUE"""),"Wongsakorn Chalerm")</f>
        <v>Wongsakorn Chalerm</v>
      </c>
    </row>
    <row r="401">
      <c r="A401" s="142">
        <f>IFERROR(__xludf.DUMMYFUNCTION("""COMPUTED_VALUE"""),56.0)</f>
        <v>56</v>
      </c>
      <c r="B401" t="str">
        <f>IFERROR(__xludf.DUMMYFUNCTION("""COMPUTED_VALUE"""),"TAA1679")</f>
        <v>TAA1679</v>
      </c>
      <c r="C401">
        <f>IFERROR(__xludf.DUMMYFUNCTION("""COMPUTED_VALUE"""),1001273.0)</f>
        <v>1001273</v>
      </c>
      <c r="D401" t="str">
        <f>IFERROR(__xludf.DUMMYFUNCTION("""COMPUTED_VALUE"""),"Ms.")</f>
        <v>Ms.</v>
      </c>
      <c r="E401" t="str">
        <f>IFERROR(__xludf.DUMMYFUNCTION("""COMPUTED_VALUE"""),"Chidchanok")</f>
        <v>Chidchanok</v>
      </c>
      <c r="F401" t="str">
        <f>IFERROR(__xludf.DUMMYFUNCTION("""COMPUTED_VALUE"""),"Seesorn")</f>
        <v>Seesorn</v>
      </c>
      <c r="G401" t="str">
        <f>IFERROR(__xludf.DUMMYFUNCTION("""COMPUTED_VALUE"""),"Chidchanok Seesorn")</f>
        <v>Chidchanok Seesorn</v>
      </c>
    </row>
    <row r="402">
      <c r="A402" s="142">
        <f>IFERROR(__xludf.DUMMYFUNCTION("""COMPUTED_VALUE"""),56.0)</f>
        <v>56</v>
      </c>
      <c r="B402" t="str">
        <f>IFERROR(__xludf.DUMMYFUNCTION("""COMPUTED_VALUE"""),"TAA2455")</f>
        <v>TAA2455</v>
      </c>
      <c r="C402">
        <f>IFERROR(__xludf.DUMMYFUNCTION("""COMPUTED_VALUE"""),1003135.0)</f>
        <v>1003135</v>
      </c>
      <c r="D402" t="str">
        <f>IFERROR(__xludf.DUMMYFUNCTION("""COMPUTED_VALUE"""),"Mrs.")</f>
        <v>Mrs.</v>
      </c>
      <c r="E402" t="str">
        <f>IFERROR(__xludf.DUMMYFUNCTION("""COMPUTED_VALUE"""),"Kantina")</f>
        <v>Kantina</v>
      </c>
      <c r="F402" t="str">
        <f>IFERROR(__xludf.DUMMYFUNCTION("""COMPUTED_VALUE"""),"Dittapan (O-Kela)")</f>
        <v>Dittapan (O-Kela)</v>
      </c>
      <c r="G402" t="str">
        <f>IFERROR(__xludf.DUMMYFUNCTION("""COMPUTED_VALUE"""),"Kantina Dittapan")</f>
        <v>Kantina Dittapan</v>
      </c>
    </row>
    <row r="403">
      <c r="A403" s="142">
        <f>IFERROR(__xludf.DUMMYFUNCTION("""COMPUTED_VALUE"""),56.0)</f>
        <v>56</v>
      </c>
      <c r="B403" t="str">
        <f>IFERROR(__xludf.DUMMYFUNCTION("""COMPUTED_VALUE"""),"TAA2430")</f>
        <v>TAA2430</v>
      </c>
      <c r="C403">
        <f>IFERROR(__xludf.DUMMYFUNCTION("""COMPUTED_VALUE"""),1003418.0)</f>
        <v>1003418</v>
      </c>
      <c r="D403" t="str">
        <f>IFERROR(__xludf.DUMMYFUNCTION("""COMPUTED_VALUE"""),"Mr.")</f>
        <v>Mr.</v>
      </c>
      <c r="E403" t="str">
        <f>IFERROR(__xludf.DUMMYFUNCTION("""COMPUTED_VALUE"""),"Chiravitch")</f>
        <v>Chiravitch</v>
      </c>
      <c r="F403" t="str">
        <f>IFERROR(__xludf.DUMMYFUNCTION("""COMPUTED_VALUE"""),"Kittiphongsathaporn")</f>
        <v>Kittiphongsathaporn</v>
      </c>
      <c r="G403" t="str">
        <f>IFERROR(__xludf.DUMMYFUNCTION("""COMPUTED_VALUE"""),"Chiravitch Kittiphongsathaporn")</f>
        <v>Chiravitch Kittiphongsathaporn</v>
      </c>
    </row>
    <row r="404">
      <c r="A404" s="142">
        <f>IFERROR(__xludf.DUMMYFUNCTION("""COMPUTED_VALUE"""),56.0)</f>
        <v>56</v>
      </c>
      <c r="B404" t="str">
        <f>IFERROR(__xludf.DUMMYFUNCTION("""COMPUTED_VALUE"""),"TAA2433")</f>
        <v>TAA2433</v>
      </c>
      <c r="C404">
        <f>IFERROR(__xludf.DUMMYFUNCTION("""COMPUTED_VALUE"""),1003420.0)</f>
        <v>1003420</v>
      </c>
      <c r="D404" t="str">
        <f>IFERROR(__xludf.DUMMYFUNCTION("""COMPUTED_VALUE"""),"Mrs.")</f>
        <v>Mrs.</v>
      </c>
      <c r="E404" t="str">
        <f>IFERROR(__xludf.DUMMYFUNCTION("""COMPUTED_VALUE"""),"Kewalin")</f>
        <v>Kewalin</v>
      </c>
      <c r="F404" t="str">
        <f>IFERROR(__xludf.DUMMYFUNCTION("""COMPUTED_VALUE"""),"Leksuksomboon (Chobthum)")</f>
        <v>Leksuksomboon (Chobthum)</v>
      </c>
      <c r="G404" t="str">
        <f>IFERROR(__xludf.DUMMYFUNCTION("""COMPUTED_VALUE"""),"Kewalin Leksuksomboon")</f>
        <v>Kewalin Leksuksomboon</v>
      </c>
    </row>
    <row r="405">
      <c r="A405" s="142">
        <f>IFERROR(__xludf.DUMMYFUNCTION("""COMPUTED_VALUE"""),56.0)</f>
        <v>56</v>
      </c>
      <c r="B405" t="str">
        <f>IFERROR(__xludf.DUMMYFUNCTION("""COMPUTED_VALUE"""),"TAA2986")</f>
        <v>TAA2986</v>
      </c>
      <c r="C405">
        <f>IFERROR(__xludf.DUMMYFUNCTION("""COMPUTED_VALUE"""),1004292.0)</f>
        <v>1004292</v>
      </c>
      <c r="D405" t="str">
        <f>IFERROR(__xludf.DUMMYFUNCTION("""COMPUTED_VALUE"""),"Ms.")</f>
        <v>Ms.</v>
      </c>
      <c r="E405" t="str">
        <f>IFERROR(__xludf.DUMMYFUNCTION("""COMPUTED_VALUE"""),"Darunee")</f>
        <v>Darunee</v>
      </c>
      <c r="F405" t="str">
        <f>IFERROR(__xludf.DUMMYFUNCTION("""COMPUTED_VALUE"""),"Anumat")</f>
        <v>Anumat</v>
      </c>
      <c r="G405" t="str">
        <f>IFERROR(__xludf.DUMMYFUNCTION("""COMPUTED_VALUE"""),"Darunee Anumat")</f>
        <v>Darunee Anumat</v>
      </c>
    </row>
    <row r="406">
      <c r="A406" s="142">
        <f>IFERROR(__xludf.DUMMYFUNCTION("""COMPUTED_VALUE"""),56.0)</f>
        <v>56</v>
      </c>
      <c r="B406" t="str">
        <f>IFERROR(__xludf.DUMMYFUNCTION("""COMPUTED_VALUE"""),"TAA2778")</f>
        <v>TAA2778</v>
      </c>
      <c r="C406">
        <f>IFERROR(__xludf.DUMMYFUNCTION("""COMPUTED_VALUE"""),1004375.0)</f>
        <v>1004375</v>
      </c>
      <c r="D406" t="str">
        <f>IFERROR(__xludf.DUMMYFUNCTION("""COMPUTED_VALUE"""),"Ms.")</f>
        <v>Ms.</v>
      </c>
      <c r="E406" t="str">
        <f>IFERROR(__xludf.DUMMYFUNCTION("""COMPUTED_VALUE"""),"Arpakorn")</f>
        <v>Arpakorn</v>
      </c>
      <c r="F406" t="str">
        <f>IFERROR(__xludf.DUMMYFUNCTION("""COMPUTED_VALUE"""),"Kultangwattana (Suksaeng)")</f>
        <v>Kultangwattana (Suksaeng)</v>
      </c>
      <c r="G406" t="str">
        <f>IFERROR(__xludf.DUMMYFUNCTION("""COMPUTED_VALUE"""),"Arpakorn Kultangwattana")</f>
        <v>Arpakorn Kultangwattana</v>
      </c>
    </row>
    <row r="407">
      <c r="A407" s="142">
        <f>IFERROR(__xludf.DUMMYFUNCTION("""COMPUTED_VALUE"""),56.0)</f>
        <v>56</v>
      </c>
      <c r="B407" t="str">
        <f>IFERROR(__xludf.DUMMYFUNCTION("""COMPUTED_VALUE"""),"TAA4056")</f>
        <v>TAA4056</v>
      </c>
      <c r="C407">
        <f>IFERROR(__xludf.DUMMYFUNCTION("""COMPUTED_VALUE"""),1007338.0)</f>
        <v>1007338</v>
      </c>
      <c r="D407" t="str">
        <f>IFERROR(__xludf.DUMMYFUNCTION("""COMPUTED_VALUE"""),"Mr.")</f>
        <v>Mr.</v>
      </c>
      <c r="E407" t="str">
        <f>IFERROR(__xludf.DUMMYFUNCTION("""COMPUTED_VALUE"""),"Chanawut")</f>
        <v>Chanawut</v>
      </c>
      <c r="F407" t="str">
        <f>IFERROR(__xludf.DUMMYFUNCTION("""COMPUTED_VALUE"""),"Nutakom")</f>
        <v>Nutakom</v>
      </c>
      <c r="G407" t="str">
        <f>IFERROR(__xludf.DUMMYFUNCTION("""COMPUTED_VALUE"""),"Chanawut Nutakom")</f>
        <v>Chanawut Nutakom</v>
      </c>
    </row>
    <row r="408">
      <c r="A408" s="142">
        <f>IFERROR(__xludf.DUMMYFUNCTION("""COMPUTED_VALUE"""),56.0)</f>
        <v>56</v>
      </c>
      <c r="B408" t="str">
        <f>IFERROR(__xludf.DUMMYFUNCTION("""COMPUTED_VALUE"""),"TAA4062")</f>
        <v>TAA4062</v>
      </c>
      <c r="C408">
        <f>IFERROR(__xludf.DUMMYFUNCTION("""COMPUTED_VALUE"""),1007339.0)</f>
        <v>1007339</v>
      </c>
      <c r="D408" t="str">
        <f>IFERROR(__xludf.DUMMYFUNCTION("""COMPUTED_VALUE"""),"Ms.")</f>
        <v>Ms.</v>
      </c>
      <c r="E408" t="str">
        <f>IFERROR(__xludf.DUMMYFUNCTION("""COMPUTED_VALUE"""),"Chanicha")</f>
        <v>Chanicha</v>
      </c>
      <c r="F408" t="str">
        <f>IFERROR(__xludf.DUMMYFUNCTION("""COMPUTED_VALUE"""),"Songkrit")</f>
        <v>Songkrit</v>
      </c>
      <c r="G408" t="str">
        <f>IFERROR(__xludf.DUMMYFUNCTION("""COMPUTED_VALUE"""),"Chanicha Songkrit")</f>
        <v>Chanicha Songkrit</v>
      </c>
    </row>
    <row r="409">
      <c r="A409" s="142">
        <f>IFERROR(__xludf.DUMMYFUNCTION("""COMPUTED_VALUE"""),56.0)</f>
        <v>56</v>
      </c>
      <c r="B409" t="str">
        <f>IFERROR(__xludf.DUMMYFUNCTION("""COMPUTED_VALUE"""),"TAA4061")</f>
        <v>TAA4061</v>
      </c>
      <c r="C409">
        <f>IFERROR(__xludf.DUMMYFUNCTION("""COMPUTED_VALUE"""),1007340.0)</f>
        <v>1007340</v>
      </c>
      <c r="D409" t="str">
        <f>IFERROR(__xludf.DUMMYFUNCTION("""COMPUTED_VALUE"""),"Ms.")</f>
        <v>Ms.</v>
      </c>
      <c r="E409" t="str">
        <f>IFERROR(__xludf.DUMMYFUNCTION("""COMPUTED_VALUE"""),"Patpapada (Natwajee)")</f>
        <v>Patpapada (Natwajee)</v>
      </c>
      <c r="F409" t="str">
        <f>IFERROR(__xludf.DUMMYFUNCTION("""COMPUTED_VALUE"""),"Vadtanawat (Sawacaphan)")</f>
        <v>Vadtanawat (Sawacaphan)</v>
      </c>
      <c r="G409" t="str">
        <f>IFERROR(__xludf.DUMMYFUNCTION("""COMPUTED_VALUE"""),"Patpapada Vadtanawat")</f>
        <v>Patpapada Vadtanawat</v>
      </c>
    </row>
    <row r="410">
      <c r="A410" s="142">
        <f>IFERROR(__xludf.DUMMYFUNCTION("""COMPUTED_VALUE"""),56.0)</f>
        <v>56</v>
      </c>
      <c r="B410" t="str">
        <f>IFERROR(__xludf.DUMMYFUNCTION("""COMPUTED_VALUE"""),"TAA4063")</f>
        <v>TAA4063</v>
      </c>
      <c r="C410">
        <f>IFERROR(__xludf.DUMMYFUNCTION("""COMPUTED_VALUE"""),1007341.0)</f>
        <v>1007341</v>
      </c>
      <c r="D410" t="str">
        <f>IFERROR(__xludf.DUMMYFUNCTION("""COMPUTED_VALUE"""),"Mrs.")</f>
        <v>Mrs.</v>
      </c>
      <c r="E410" t="str">
        <f>IFERROR(__xludf.DUMMYFUNCTION("""COMPUTED_VALUE"""),"Phatrada")</f>
        <v>Phatrada</v>
      </c>
      <c r="F410" t="str">
        <f>IFERROR(__xludf.DUMMYFUNCTION("""COMPUTED_VALUE"""),"Treesuwan (Pumam)")</f>
        <v>Treesuwan (Pumam)</v>
      </c>
      <c r="G410" t="str">
        <f>IFERROR(__xludf.DUMMYFUNCTION("""COMPUTED_VALUE"""),"Phatrada Treesuwan")</f>
        <v>Phatrada Treesuwan</v>
      </c>
    </row>
    <row r="411">
      <c r="A411" s="142">
        <f>IFERROR(__xludf.DUMMYFUNCTION("""COMPUTED_VALUE"""),56.0)</f>
        <v>56</v>
      </c>
      <c r="B411" t="str">
        <f>IFERROR(__xludf.DUMMYFUNCTION("""COMPUTED_VALUE"""),"TAA4059")</f>
        <v>TAA4059</v>
      </c>
      <c r="C411">
        <f>IFERROR(__xludf.DUMMYFUNCTION("""COMPUTED_VALUE"""),1007342.0)</f>
        <v>1007342</v>
      </c>
      <c r="D411" t="str">
        <f>IFERROR(__xludf.DUMMYFUNCTION("""COMPUTED_VALUE"""),"Mrs.")</f>
        <v>Mrs.</v>
      </c>
      <c r="E411" t="str">
        <f>IFERROR(__xludf.DUMMYFUNCTION("""COMPUTED_VALUE"""),"Supitchaya")</f>
        <v>Supitchaya</v>
      </c>
      <c r="F411" t="str">
        <f>IFERROR(__xludf.DUMMYFUNCTION("""COMPUTED_VALUE"""),"Hongkajorn (Pornpitaktepkit)")</f>
        <v>Hongkajorn (Pornpitaktepkit)</v>
      </c>
      <c r="G411" t="str">
        <f>IFERROR(__xludf.DUMMYFUNCTION("""COMPUTED_VALUE"""),"Supitchaya Hongkajorn")</f>
        <v>Supitchaya Hongkajorn</v>
      </c>
    </row>
    <row r="413">
      <c r="A413" s="142">
        <f>IFERROR(__xludf.DUMMYFUNCTION("""COMPUTED_VALUE"""),57.0)</f>
        <v>57</v>
      </c>
      <c r="B413" t="str">
        <f>IFERROR(__xludf.DUMMYFUNCTION("""COMPUTED_VALUE"""),"TAA4068")</f>
        <v>TAA4068</v>
      </c>
      <c r="C413">
        <f>IFERROR(__xludf.DUMMYFUNCTION("""COMPUTED_VALUE"""),1007406.0)</f>
        <v>1007406</v>
      </c>
      <c r="D413" t="str">
        <f>IFERROR(__xludf.DUMMYFUNCTION("""COMPUTED_VALUE"""),"Mr.")</f>
        <v>Mr.</v>
      </c>
      <c r="E413" t="str">
        <f>IFERROR(__xludf.DUMMYFUNCTION("""COMPUTED_VALUE"""),"Chanapon")</f>
        <v>Chanapon</v>
      </c>
      <c r="F413" t="str">
        <f>IFERROR(__xludf.DUMMYFUNCTION("""COMPUTED_VALUE"""),"Phorungruang")</f>
        <v>Phorungruang</v>
      </c>
      <c r="G413" t="str">
        <f>IFERROR(__xludf.DUMMYFUNCTION("""COMPUTED_VALUE"""),"Chanapon Phorungruang")</f>
        <v>Chanapon Phorungruang</v>
      </c>
    </row>
    <row r="414">
      <c r="A414" s="142">
        <f>IFERROR(__xludf.DUMMYFUNCTION("""COMPUTED_VALUE"""),57.0)</f>
        <v>57</v>
      </c>
      <c r="B414" t="str">
        <f>IFERROR(__xludf.DUMMYFUNCTION("""COMPUTED_VALUE"""),"TAA4066")</f>
        <v>TAA4066</v>
      </c>
      <c r="C414">
        <f>IFERROR(__xludf.DUMMYFUNCTION("""COMPUTED_VALUE"""),1007410.0)</f>
        <v>1007410</v>
      </c>
      <c r="D414" t="str">
        <f>IFERROR(__xludf.DUMMYFUNCTION("""COMPUTED_VALUE"""),"Ms.")</f>
        <v>Ms.</v>
      </c>
      <c r="E414" t="str">
        <f>IFERROR(__xludf.DUMMYFUNCTION("""COMPUTED_VALUE"""),"Hathairat")</f>
        <v>Hathairat</v>
      </c>
      <c r="F414" t="str">
        <f>IFERROR(__xludf.DUMMYFUNCTION("""COMPUTED_VALUE"""),"Turongtanakul")</f>
        <v>Turongtanakul</v>
      </c>
      <c r="G414" t="str">
        <f>IFERROR(__xludf.DUMMYFUNCTION("""COMPUTED_VALUE"""),"Hathairat Turongtanakul")</f>
        <v>Hathairat Turongtanakul</v>
      </c>
    </row>
    <row r="415">
      <c r="A415" s="142">
        <f>IFERROR(__xludf.DUMMYFUNCTION("""COMPUTED_VALUE"""),57.0)</f>
        <v>57</v>
      </c>
      <c r="B415" t="str">
        <f>IFERROR(__xludf.DUMMYFUNCTION("""COMPUTED_VALUE"""),"TAA4079")</f>
        <v>TAA4079</v>
      </c>
      <c r="C415">
        <f>IFERROR(__xludf.DUMMYFUNCTION("""COMPUTED_VALUE"""),1007412.0)</f>
        <v>1007412</v>
      </c>
      <c r="D415" t="str">
        <f>IFERROR(__xludf.DUMMYFUNCTION("""COMPUTED_VALUE"""),"Ms.")</f>
        <v>Ms.</v>
      </c>
      <c r="E415" t="str">
        <f>IFERROR(__xludf.DUMMYFUNCTION("""COMPUTED_VALUE"""),"Jutaporn")</f>
        <v>Jutaporn</v>
      </c>
      <c r="F415" t="str">
        <f>IFERROR(__xludf.DUMMYFUNCTION("""COMPUTED_VALUE"""),"Jutarattanakul")</f>
        <v>Jutarattanakul</v>
      </c>
      <c r="G415" t="str">
        <f>IFERROR(__xludf.DUMMYFUNCTION("""COMPUTED_VALUE"""),"Jutaporn Jutarattanakul")</f>
        <v>Jutaporn Jutarattanakul</v>
      </c>
    </row>
    <row r="416">
      <c r="A416" s="142">
        <f>IFERROR(__xludf.DUMMYFUNCTION("""COMPUTED_VALUE"""),57.0)</f>
        <v>57</v>
      </c>
      <c r="B416" t="str">
        <f>IFERROR(__xludf.DUMMYFUNCTION("""COMPUTED_VALUE"""),"TAA4067")</f>
        <v>TAA4067</v>
      </c>
      <c r="C416">
        <f>IFERROR(__xludf.DUMMYFUNCTION("""COMPUTED_VALUE"""),1007416.0)</f>
        <v>1007416</v>
      </c>
      <c r="D416" t="str">
        <f>IFERROR(__xludf.DUMMYFUNCTION("""COMPUTED_VALUE"""),"Mr.")</f>
        <v>Mr.</v>
      </c>
      <c r="E416" t="str">
        <f>IFERROR(__xludf.DUMMYFUNCTION("""COMPUTED_VALUE"""),"Metus")</f>
        <v>Metus</v>
      </c>
      <c r="F416" t="str">
        <f>IFERROR(__xludf.DUMMYFUNCTION("""COMPUTED_VALUE"""),"Leearporn")</f>
        <v>Leearporn</v>
      </c>
      <c r="G416" t="str">
        <f>IFERROR(__xludf.DUMMYFUNCTION("""COMPUTED_VALUE"""),"Metus Leearporn")</f>
        <v>Metus Leearporn</v>
      </c>
    </row>
    <row r="417">
      <c r="A417" s="142">
        <f>IFERROR(__xludf.DUMMYFUNCTION("""COMPUTED_VALUE"""),57.0)</f>
        <v>57</v>
      </c>
      <c r="B417" t="str">
        <f>IFERROR(__xludf.DUMMYFUNCTION("""COMPUTED_VALUE"""),"TAA4070")</f>
        <v>TAA4070</v>
      </c>
      <c r="C417">
        <f>IFERROR(__xludf.DUMMYFUNCTION("""COMPUTED_VALUE"""),1007418.0)</f>
        <v>1007418</v>
      </c>
      <c r="D417" t="str">
        <f>IFERROR(__xludf.DUMMYFUNCTION("""COMPUTED_VALUE"""),"Ms.")</f>
        <v>Ms.</v>
      </c>
      <c r="E417" t="str">
        <f>IFERROR(__xludf.DUMMYFUNCTION("""COMPUTED_VALUE"""),"Nattaphat")</f>
        <v>Nattaphat</v>
      </c>
      <c r="F417" t="str">
        <f>IFERROR(__xludf.DUMMYFUNCTION("""COMPUTED_VALUE"""),"Boonprasit")</f>
        <v>Boonprasit</v>
      </c>
      <c r="G417" t="str">
        <f>IFERROR(__xludf.DUMMYFUNCTION("""COMPUTED_VALUE"""),"Nattaphat Boonprasit")</f>
        <v>Nattaphat Boonprasit</v>
      </c>
    </row>
    <row r="418">
      <c r="A418" s="142">
        <f>IFERROR(__xludf.DUMMYFUNCTION("""COMPUTED_VALUE"""),57.0)</f>
        <v>57</v>
      </c>
      <c r="B418" t="str">
        <f>IFERROR(__xludf.DUMMYFUNCTION("""COMPUTED_VALUE"""),"TAA4077")</f>
        <v>TAA4077</v>
      </c>
      <c r="C418">
        <f>IFERROR(__xludf.DUMMYFUNCTION("""COMPUTED_VALUE"""),1007419.0)</f>
        <v>1007419</v>
      </c>
      <c r="D418" t="str">
        <f>IFERROR(__xludf.DUMMYFUNCTION("""COMPUTED_VALUE"""),"Ms.")</f>
        <v>Ms.</v>
      </c>
      <c r="E418" t="str">
        <f>IFERROR(__xludf.DUMMYFUNCTION("""COMPUTED_VALUE"""),"Onwara")</f>
        <v>Onwara</v>
      </c>
      <c r="F418" t="str">
        <f>IFERROR(__xludf.DUMMYFUNCTION("""COMPUTED_VALUE"""),"Chongwijitkul")</f>
        <v>Chongwijitkul</v>
      </c>
      <c r="G418" t="str">
        <f>IFERROR(__xludf.DUMMYFUNCTION("""COMPUTED_VALUE"""),"Onwara Chongwijitkul")</f>
        <v>Onwara Chongwijitkul</v>
      </c>
    </row>
    <row r="419">
      <c r="A419" s="142">
        <f>IFERROR(__xludf.DUMMYFUNCTION("""COMPUTED_VALUE"""),57.0)</f>
        <v>57</v>
      </c>
      <c r="B419" t="str">
        <f>IFERROR(__xludf.DUMMYFUNCTION("""COMPUTED_VALUE"""),"TAA4078")</f>
        <v>TAA4078</v>
      </c>
      <c r="C419">
        <f>IFERROR(__xludf.DUMMYFUNCTION("""COMPUTED_VALUE"""),1007420.0)</f>
        <v>1007420</v>
      </c>
      <c r="D419" t="str">
        <f>IFERROR(__xludf.DUMMYFUNCTION("""COMPUTED_VALUE"""),"Ms.")</f>
        <v>Ms.</v>
      </c>
      <c r="E419" t="str">
        <f>IFERROR(__xludf.DUMMYFUNCTION("""COMPUTED_VALUE"""),"Parissara")</f>
        <v>Parissara</v>
      </c>
      <c r="F419" t="str">
        <f>IFERROR(__xludf.DUMMYFUNCTION("""COMPUTED_VALUE"""),"Visessmit")</f>
        <v>Visessmit</v>
      </c>
      <c r="G419" t="str">
        <f>IFERROR(__xludf.DUMMYFUNCTION("""COMPUTED_VALUE"""),"Parissara Visessmit")</f>
        <v>Parissara Visessmit</v>
      </c>
    </row>
    <row r="420">
      <c r="A420" s="142">
        <f>IFERROR(__xludf.DUMMYFUNCTION("""COMPUTED_VALUE"""),57.0)</f>
        <v>57</v>
      </c>
      <c r="B420" t="str">
        <f>IFERROR(__xludf.DUMMYFUNCTION("""COMPUTED_VALUE"""),"TAA4082")</f>
        <v>TAA4082</v>
      </c>
      <c r="C420">
        <f>IFERROR(__xludf.DUMMYFUNCTION("""COMPUTED_VALUE"""),1007423.0)</f>
        <v>1007423</v>
      </c>
      <c r="D420" t="str">
        <f>IFERROR(__xludf.DUMMYFUNCTION("""COMPUTED_VALUE"""),"Mr.")</f>
        <v>Mr.</v>
      </c>
      <c r="E420" t="str">
        <f>IFERROR(__xludf.DUMMYFUNCTION("""COMPUTED_VALUE"""),"Satawat")</f>
        <v>Satawat</v>
      </c>
      <c r="F420" t="str">
        <f>IFERROR(__xludf.DUMMYFUNCTION("""COMPUTED_VALUE"""),"Laohasereekul")</f>
        <v>Laohasereekul</v>
      </c>
      <c r="G420" t="str">
        <f>IFERROR(__xludf.DUMMYFUNCTION("""COMPUTED_VALUE"""),"Satawat Laohasereekul")</f>
        <v>Satawat Laohasereekul</v>
      </c>
    </row>
    <row r="421">
      <c r="A421" s="142">
        <f>IFERROR(__xludf.DUMMYFUNCTION("""COMPUTED_VALUE"""),57.0)</f>
        <v>57</v>
      </c>
      <c r="B421" t="str">
        <f>IFERROR(__xludf.DUMMYFUNCTION("""COMPUTED_VALUE"""),"TAA4083")</f>
        <v>TAA4083</v>
      </c>
      <c r="C421">
        <f>IFERROR(__xludf.DUMMYFUNCTION("""COMPUTED_VALUE"""),1007426.0)</f>
        <v>1007426</v>
      </c>
      <c r="D421" t="str">
        <f>IFERROR(__xludf.DUMMYFUNCTION("""COMPUTED_VALUE"""),"Ms.")</f>
        <v>Ms.</v>
      </c>
      <c r="E421" t="str">
        <f>IFERROR(__xludf.DUMMYFUNCTION("""COMPUTED_VALUE"""),"Tullaya")</f>
        <v>Tullaya</v>
      </c>
      <c r="F421" t="str">
        <f>IFERROR(__xludf.DUMMYFUNCTION("""COMPUTED_VALUE"""),"Bunnag")</f>
        <v>Bunnag</v>
      </c>
      <c r="G421" t="str">
        <f>IFERROR(__xludf.DUMMYFUNCTION("""COMPUTED_VALUE"""),"Tullaya Bunnag")</f>
        <v>Tullaya Bunnag</v>
      </c>
    </row>
    <row r="422">
      <c r="A422" s="142">
        <f>IFERROR(__xludf.DUMMYFUNCTION("""COMPUTED_VALUE"""),57.0)</f>
        <v>57</v>
      </c>
      <c r="B422" t="str">
        <f>IFERROR(__xludf.DUMMYFUNCTION("""COMPUTED_VALUE"""),"TAA4071")</f>
        <v>TAA4071</v>
      </c>
      <c r="C422">
        <f>IFERROR(__xludf.DUMMYFUNCTION("""COMPUTED_VALUE"""),1007427.0)</f>
        <v>1007427</v>
      </c>
      <c r="D422" t="str">
        <f>IFERROR(__xludf.DUMMYFUNCTION("""COMPUTED_VALUE"""),"Mr.")</f>
        <v>Mr.</v>
      </c>
      <c r="E422" t="str">
        <f>IFERROR(__xludf.DUMMYFUNCTION("""COMPUTED_VALUE"""),"Warasit")</f>
        <v>Warasit</v>
      </c>
      <c r="F422" t="str">
        <f>IFERROR(__xludf.DUMMYFUNCTION("""COMPUTED_VALUE"""),"Rittiruechaikul")</f>
        <v>Rittiruechaikul</v>
      </c>
      <c r="G422" t="str">
        <f>IFERROR(__xludf.DUMMYFUNCTION("""COMPUTED_VALUE"""),"Warasit Rittiruechaikul")</f>
        <v>Warasit Rittiruechaikul</v>
      </c>
    </row>
    <row r="423">
      <c r="A423" s="142">
        <f>IFERROR(__xludf.DUMMYFUNCTION("""COMPUTED_VALUE"""),57.0)</f>
        <v>57</v>
      </c>
      <c r="B423" t="str">
        <f>IFERROR(__xludf.DUMMYFUNCTION("""COMPUTED_VALUE"""),"TAA4069")</f>
        <v>TAA4069</v>
      </c>
      <c r="C423">
        <f>IFERROR(__xludf.DUMMYFUNCTION("""COMPUTED_VALUE"""),1007428.0)</f>
        <v>1007428</v>
      </c>
      <c r="D423" t="str">
        <f>IFERROR(__xludf.DUMMYFUNCTION("""COMPUTED_VALUE"""),"Ms.")</f>
        <v>Ms.</v>
      </c>
      <c r="E423" t="str">
        <f>IFERROR(__xludf.DUMMYFUNCTION("""COMPUTED_VALUE"""),"Watcharaporn")</f>
        <v>Watcharaporn</v>
      </c>
      <c r="F423" t="str">
        <f>IFERROR(__xludf.DUMMYFUNCTION("""COMPUTED_VALUE"""),"Chancharoen")</f>
        <v>Chancharoen</v>
      </c>
      <c r="G423" t="str">
        <f>IFERROR(__xludf.DUMMYFUNCTION("""COMPUTED_VALUE"""),"Watcharaporn Chancharoen")</f>
        <v>Watcharaporn Chancharoen</v>
      </c>
    </row>
    <row r="425">
      <c r="A425" s="142">
        <f>IFERROR(__xludf.DUMMYFUNCTION("""COMPUTED_VALUE"""),58.0)</f>
        <v>58</v>
      </c>
      <c r="B425" t="str">
        <f>IFERROR(__xludf.DUMMYFUNCTION("""COMPUTED_VALUE"""),"TAA4192")</f>
        <v>TAA4192</v>
      </c>
      <c r="C425">
        <f>IFERROR(__xludf.DUMMYFUNCTION("""COMPUTED_VALUE"""),1007260.0)</f>
        <v>1007260</v>
      </c>
      <c r="D425" t="str">
        <f>IFERROR(__xludf.DUMMYFUNCTION("""COMPUTED_VALUE"""),"Mr.")</f>
        <v>Mr.</v>
      </c>
      <c r="E425" t="str">
        <f>IFERROR(__xludf.DUMMYFUNCTION("""COMPUTED_VALUE"""),"Lunchakorn")</f>
        <v>Lunchakorn</v>
      </c>
      <c r="F425" t="str">
        <f>IFERROR(__xludf.DUMMYFUNCTION("""COMPUTED_VALUE"""),"Saengsiri")</f>
        <v>Saengsiri</v>
      </c>
      <c r="G425" t="str">
        <f>IFERROR(__xludf.DUMMYFUNCTION("""COMPUTED_VALUE"""),"Lunchakorn Saengsiri")</f>
        <v>Lunchakorn Saengsiri</v>
      </c>
    </row>
    <row r="426">
      <c r="A426" s="142">
        <f>IFERROR(__xludf.DUMMYFUNCTION("""COMPUTED_VALUE"""),58.0)</f>
        <v>58</v>
      </c>
      <c r="B426" t="str">
        <f>IFERROR(__xludf.DUMMYFUNCTION("""COMPUTED_VALUE"""),"TAA4107")</f>
        <v>TAA4107</v>
      </c>
      <c r="C426">
        <f>IFERROR(__xludf.DUMMYFUNCTION("""COMPUTED_VALUE"""),1007262.0)</f>
        <v>1007262</v>
      </c>
      <c r="D426" t="str">
        <f>IFERROR(__xludf.DUMMYFUNCTION("""COMPUTED_VALUE"""),"Ms.")</f>
        <v>Ms.</v>
      </c>
      <c r="F426" t="str">
        <f>IFERROR(__xludf.DUMMYFUNCTION("""COMPUTED_VALUE"""),"Kaeokumchai")</f>
        <v>Kaeokumchai</v>
      </c>
      <c r="G426" t="str">
        <f>IFERROR(__xludf.DUMMYFUNCTION("""COMPUTED_VALUE""")," Kaeokumchai")</f>
        <v> Kaeokumchai</v>
      </c>
    </row>
    <row r="427">
      <c r="A427" s="142">
        <f>IFERROR(__xludf.DUMMYFUNCTION("""COMPUTED_VALUE"""),58.0)</f>
        <v>58</v>
      </c>
      <c r="B427" t="str">
        <f>IFERROR(__xludf.DUMMYFUNCTION("""COMPUTED_VALUE"""),"TAA4109")</f>
        <v>TAA4109</v>
      </c>
      <c r="C427">
        <f>IFERROR(__xludf.DUMMYFUNCTION("""COMPUTED_VALUE"""),1007265.0)</f>
        <v>1007265</v>
      </c>
      <c r="D427" t="str">
        <f>IFERROR(__xludf.DUMMYFUNCTION("""COMPUTED_VALUE"""),"Ms.")</f>
        <v>Ms.</v>
      </c>
      <c r="E427" t="str">
        <f>IFERROR(__xludf.DUMMYFUNCTION("""COMPUTED_VALUE"""),"Nattaporn")</f>
        <v>Nattaporn</v>
      </c>
      <c r="F427" t="str">
        <f>IFERROR(__xludf.DUMMYFUNCTION("""COMPUTED_VALUE"""),"Poomgate")</f>
        <v>Poomgate</v>
      </c>
      <c r="G427" t="str">
        <f>IFERROR(__xludf.DUMMYFUNCTION("""COMPUTED_VALUE"""),"Nattaporn Poomgate")</f>
        <v>Nattaporn Poomgate</v>
      </c>
    </row>
    <row r="428">
      <c r="A428" s="142">
        <f>IFERROR(__xludf.DUMMYFUNCTION("""COMPUTED_VALUE"""),58.0)</f>
        <v>58</v>
      </c>
      <c r="B428" t="str">
        <f>IFERROR(__xludf.DUMMYFUNCTION("""COMPUTED_VALUE"""),"TAA4098")</f>
        <v>TAA4098</v>
      </c>
      <c r="C428">
        <f>IFERROR(__xludf.DUMMYFUNCTION("""COMPUTED_VALUE"""),1007266.0)</f>
        <v>1007266</v>
      </c>
      <c r="D428" t="str">
        <f>IFERROR(__xludf.DUMMYFUNCTION("""COMPUTED_VALUE"""),"Ms.")</f>
        <v>Ms.</v>
      </c>
      <c r="E428" t="str">
        <f>IFERROR(__xludf.DUMMYFUNCTION("""COMPUTED_VALUE"""),"Nattayanee")</f>
        <v>Nattayanee</v>
      </c>
      <c r="F428" t="str">
        <f>IFERROR(__xludf.DUMMYFUNCTION("""COMPUTED_VALUE"""),"Junnont")</f>
        <v>Junnont</v>
      </c>
      <c r="G428" t="str">
        <f>IFERROR(__xludf.DUMMYFUNCTION("""COMPUTED_VALUE"""),"Nattayanee Junnont")</f>
        <v>Nattayanee Junnont</v>
      </c>
    </row>
    <row r="429">
      <c r="A429" s="142">
        <f>IFERROR(__xludf.DUMMYFUNCTION("""COMPUTED_VALUE"""),58.0)</f>
        <v>58</v>
      </c>
      <c r="B429" t="str">
        <f>IFERROR(__xludf.DUMMYFUNCTION("""COMPUTED_VALUE"""),"TAA4096")</f>
        <v>TAA4096</v>
      </c>
      <c r="C429">
        <f>IFERROR(__xludf.DUMMYFUNCTION("""COMPUTED_VALUE"""),1007267.0)</f>
        <v>1007267</v>
      </c>
      <c r="D429" t="str">
        <f>IFERROR(__xludf.DUMMYFUNCTION("""COMPUTED_VALUE"""),"Ms.")</f>
        <v>Ms.</v>
      </c>
      <c r="E429" t="str">
        <f>IFERROR(__xludf.DUMMYFUNCTION("""COMPUTED_VALUE"""),"Navarat")</f>
        <v>Navarat</v>
      </c>
      <c r="F429" t="str">
        <f>IFERROR(__xludf.DUMMYFUNCTION("""COMPUTED_VALUE"""),"Chokbamrungcharoenkul")</f>
        <v>Chokbamrungcharoenkul</v>
      </c>
      <c r="G429" t="str">
        <f>IFERROR(__xludf.DUMMYFUNCTION("""COMPUTED_VALUE"""),"Navarat Chokbamrungcharoenkul")</f>
        <v>Navarat Chokbamrungcharoenkul</v>
      </c>
    </row>
    <row r="430">
      <c r="A430" s="142">
        <f>IFERROR(__xludf.DUMMYFUNCTION("""COMPUTED_VALUE"""),58.0)</f>
        <v>58</v>
      </c>
      <c r="B430" t="str">
        <f>IFERROR(__xludf.DUMMYFUNCTION("""COMPUTED_VALUE"""),"TAA4106")</f>
        <v>TAA4106</v>
      </c>
      <c r="C430">
        <f>IFERROR(__xludf.DUMMYFUNCTION("""COMPUTED_VALUE"""),1007268.0)</f>
        <v>1007268</v>
      </c>
      <c r="D430" t="str">
        <f>IFERROR(__xludf.DUMMYFUNCTION("""COMPUTED_VALUE"""),"Ms.")</f>
        <v>Ms.</v>
      </c>
      <c r="E430" t="str">
        <f>IFERROR(__xludf.DUMMYFUNCTION("""COMPUTED_VALUE"""),"Nujira")</f>
        <v>Nujira</v>
      </c>
      <c r="F430" t="str">
        <f>IFERROR(__xludf.DUMMYFUNCTION("""COMPUTED_VALUE"""),"Suwanasang")</f>
        <v>Suwanasang</v>
      </c>
      <c r="G430" t="str">
        <f>IFERROR(__xludf.DUMMYFUNCTION("""COMPUTED_VALUE"""),"Nujira Suwanasang")</f>
        <v>Nujira Suwanasang</v>
      </c>
    </row>
    <row r="431">
      <c r="A431" s="142">
        <f>IFERROR(__xludf.DUMMYFUNCTION("""COMPUTED_VALUE"""),58.0)</f>
        <v>58</v>
      </c>
      <c r="B431" t="str">
        <f>IFERROR(__xludf.DUMMYFUNCTION("""COMPUTED_VALUE"""),"TAA4092")</f>
        <v>TAA4092</v>
      </c>
      <c r="C431">
        <f>IFERROR(__xludf.DUMMYFUNCTION("""COMPUTED_VALUE"""),1007269.0)</f>
        <v>1007269</v>
      </c>
      <c r="D431" t="str">
        <f>IFERROR(__xludf.DUMMYFUNCTION("""COMPUTED_VALUE"""),"Mr.")</f>
        <v>Mr.</v>
      </c>
      <c r="E431" t="str">
        <f>IFERROR(__xludf.DUMMYFUNCTION("""COMPUTED_VALUE"""),"Pattarapoom")</f>
        <v>Pattarapoom</v>
      </c>
      <c r="F431" t="str">
        <f>IFERROR(__xludf.DUMMYFUNCTION("""COMPUTED_VALUE"""),"Settaprasert")</f>
        <v>Settaprasert</v>
      </c>
      <c r="G431" t="str">
        <f>IFERROR(__xludf.DUMMYFUNCTION("""COMPUTED_VALUE"""),"Pattarapoom Settaprasert")</f>
        <v>Pattarapoom Settaprasert</v>
      </c>
    </row>
    <row r="432">
      <c r="A432" s="142">
        <f>IFERROR(__xludf.DUMMYFUNCTION("""COMPUTED_VALUE"""),58.0)</f>
        <v>58</v>
      </c>
      <c r="B432" t="str">
        <f>IFERROR(__xludf.DUMMYFUNCTION("""COMPUTED_VALUE"""),"TAA4103")</f>
        <v>TAA4103</v>
      </c>
      <c r="C432">
        <f>IFERROR(__xludf.DUMMYFUNCTION("""COMPUTED_VALUE"""),1007270.0)</f>
        <v>1007270</v>
      </c>
      <c r="D432" t="str">
        <f>IFERROR(__xludf.DUMMYFUNCTION("""COMPUTED_VALUE"""),"Ms.")</f>
        <v>Ms.</v>
      </c>
      <c r="E432" t="str">
        <f>IFERROR(__xludf.DUMMYFUNCTION("""COMPUTED_VALUE"""),"Radarom")</f>
        <v>Radarom</v>
      </c>
      <c r="F432" t="str">
        <f>IFERROR(__xludf.DUMMYFUNCTION("""COMPUTED_VALUE"""),"Sunakorn")</f>
        <v>Sunakorn</v>
      </c>
      <c r="G432" t="str">
        <f>IFERROR(__xludf.DUMMYFUNCTION("""COMPUTED_VALUE"""),"Radarom Sunakorn")</f>
        <v>Radarom Sunakorn</v>
      </c>
    </row>
    <row r="433">
      <c r="A433" s="142">
        <f>IFERROR(__xludf.DUMMYFUNCTION("""COMPUTED_VALUE"""),58.0)</f>
        <v>58</v>
      </c>
      <c r="B433" t="str">
        <f>IFERROR(__xludf.DUMMYFUNCTION("""COMPUTED_VALUE"""),"TAA4104")</f>
        <v>TAA4104</v>
      </c>
      <c r="C433">
        <f>IFERROR(__xludf.DUMMYFUNCTION("""COMPUTED_VALUE"""),1007271.0)</f>
        <v>1007271</v>
      </c>
      <c r="D433" t="str">
        <f>IFERROR(__xludf.DUMMYFUNCTION("""COMPUTED_VALUE"""),"Ms.")</f>
        <v>Ms.</v>
      </c>
      <c r="E433" t="str">
        <f>IFERROR(__xludf.DUMMYFUNCTION("""COMPUTED_VALUE"""),"Ruchdaporn")</f>
        <v>Ruchdaporn</v>
      </c>
      <c r="F433" t="str">
        <f>IFERROR(__xludf.DUMMYFUNCTION("""COMPUTED_VALUE"""),"Niratch")</f>
        <v>Niratch</v>
      </c>
      <c r="G433" t="str">
        <f>IFERROR(__xludf.DUMMYFUNCTION("""COMPUTED_VALUE"""),"Ruchdaporn Niratch")</f>
        <v>Ruchdaporn Niratch</v>
      </c>
    </row>
    <row r="434">
      <c r="A434" s="142">
        <f>IFERROR(__xludf.DUMMYFUNCTION("""COMPUTED_VALUE"""),58.0)</f>
        <v>58</v>
      </c>
      <c r="B434" t="str">
        <f>IFERROR(__xludf.DUMMYFUNCTION("""COMPUTED_VALUE"""),"TAA4111")</f>
        <v>TAA4111</v>
      </c>
      <c r="C434">
        <f>IFERROR(__xludf.DUMMYFUNCTION("""COMPUTED_VALUE"""),1007272.0)</f>
        <v>1007272</v>
      </c>
      <c r="D434" t="str">
        <f>IFERROR(__xludf.DUMMYFUNCTION("""COMPUTED_VALUE"""),"Ms.")</f>
        <v>Ms.</v>
      </c>
      <c r="E434" t="str">
        <f>IFERROR(__xludf.DUMMYFUNCTION("""COMPUTED_VALUE"""),"Sadchakarn")</f>
        <v>Sadchakarn</v>
      </c>
      <c r="F434" t="str">
        <f>IFERROR(__xludf.DUMMYFUNCTION("""COMPUTED_VALUE"""),"Choochomchuen")</f>
        <v>Choochomchuen</v>
      </c>
      <c r="G434" t="str">
        <f>IFERROR(__xludf.DUMMYFUNCTION("""COMPUTED_VALUE"""),"Sadchakarn Choochomchuen")</f>
        <v>Sadchakarn Choochomchuen</v>
      </c>
    </row>
    <row r="435">
      <c r="A435" s="142">
        <f>IFERROR(__xludf.DUMMYFUNCTION("""COMPUTED_VALUE"""),58.0)</f>
        <v>58</v>
      </c>
      <c r="B435" t="str">
        <f>IFERROR(__xludf.DUMMYFUNCTION("""COMPUTED_VALUE"""),"TAA4089")</f>
        <v>TAA4089</v>
      </c>
      <c r="C435">
        <f>IFERROR(__xludf.DUMMYFUNCTION("""COMPUTED_VALUE"""),1007273.0)</f>
        <v>1007273</v>
      </c>
      <c r="D435" t="str">
        <f>IFERROR(__xludf.DUMMYFUNCTION("""COMPUTED_VALUE"""),"Ms.")</f>
        <v>Ms.</v>
      </c>
      <c r="E435" t="str">
        <f>IFERROR(__xludf.DUMMYFUNCTION("""COMPUTED_VALUE"""),"Sarinya")</f>
        <v>Sarinya</v>
      </c>
      <c r="F435" t="str">
        <f>IFERROR(__xludf.DUMMYFUNCTION("""COMPUTED_VALUE"""),"Phontong")</f>
        <v>Phontong</v>
      </c>
      <c r="G435" t="str">
        <f>IFERROR(__xludf.DUMMYFUNCTION("""COMPUTED_VALUE"""),"Sarinya Phontong")</f>
        <v>Sarinya Phontong</v>
      </c>
    </row>
    <row r="436">
      <c r="A436" s="142">
        <f>IFERROR(__xludf.DUMMYFUNCTION("""COMPUTED_VALUE"""),58.0)</f>
        <v>58</v>
      </c>
      <c r="B436" t="str">
        <f>IFERROR(__xludf.DUMMYFUNCTION("""COMPUTED_VALUE"""),"TAA4091")</f>
        <v>TAA4091</v>
      </c>
      <c r="C436">
        <f>IFERROR(__xludf.DUMMYFUNCTION("""COMPUTED_VALUE"""),1007274.0)</f>
        <v>1007274</v>
      </c>
      <c r="D436" t="str">
        <f>IFERROR(__xludf.DUMMYFUNCTION("""COMPUTED_VALUE"""),"Ms.")</f>
        <v>Ms.</v>
      </c>
      <c r="E436" t="str">
        <f>IFERROR(__xludf.DUMMYFUNCTION("""COMPUTED_VALUE"""),"Sirapa")</f>
        <v>Sirapa</v>
      </c>
      <c r="F436" t="str">
        <f>IFERROR(__xludf.DUMMYFUNCTION("""COMPUTED_VALUE"""),"Luesut")</f>
        <v>Luesut</v>
      </c>
      <c r="G436" t="str">
        <f>IFERROR(__xludf.DUMMYFUNCTION("""COMPUTED_VALUE"""),"Sirapa Luesut")</f>
        <v>Sirapa Luesut</v>
      </c>
    </row>
    <row r="437">
      <c r="A437" s="142">
        <f>IFERROR(__xludf.DUMMYFUNCTION("""COMPUTED_VALUE"""),58.0)</f>
        <v>58</v>
      </c>
      <c r="B437" t="str">
        <f>IFERROR(__xludf.DUMMYFUNCTION("""COMPUTED_VALUE"""),"TAA4101")</f>
        <v>TAA4101</v>
      </c>
      <c r="C437">
        <f>IFERROR(__xludf.DUMMYFUNCTION("""COMPUTED_VALUE"""),1007275.0)</f>
        <v>1007275</v>
      </c>
      <c r="D437" t="str">
        <f>IFERROR(__xludf.DUMMYFUNCTION("""COMPUTED_VALUE"""),"Ms.")</f>
        <v>Ms.</v>
      </c>
      <c r="E437" t="str">
        <f>IFERROR(__xludf.DUMMYFUNCTION("""COMPUTED_VALUE"""),"Teeraporn")</f>
        <v>Teeraporn</v>
      </c>
      <c r="F437" t="str">
        <f>IFERROR(__xludf.DUMMYFUNCTION("""COMPUTED_VALUE"""),"Sutthumvilai")</f>
        <v>Sutthumvilai</v>
      </c>
      <c r="G437" t="str">
        <f>IFERROR(__xludf.DUMMYFUNCTION("""COMPUTED_VALUE"""),"Teeraporn Sutthumvilai")</f>
        <v>Teeraporn Sutthumvilai</v>
      </c>
    </row>
    <row r="438">
      <c r="A438" s="142">
        <f>IFERROR(__xludf.DUMMYFUNCTION("""COMPUTED_VALUE"""),58.0)</f>
        <v>58</v>
      </c>
      <c r="B438" t="str">
        <f>IFERROR(__xludf.DUMMYFUNCTION("""COMPUTED_VALUE"""),"TAA4099")</f>
        <v>TAA4099</v>
      </c>
      <c r="C438">
        <f>IFERROR(__xludf.DUMMYFUNCTION("""COMPUTED_VALUE"""),1007276.0)</f>
        <v>1007276</v>
      </c>
      <c r="D438" t="str">
        <f>IFERROR(__xludf.DUMMYFUNCTION("""COMPUTED_VALUE"""),"Mr.")</f>
        <v>Mr.</v>
      </c>
      <c r="E438" t="str">
        <f>IFERROR(__xludf.DUMMYFUNCTION("""COMPUTED_VALUE"""),"Teerayut")</f>
        <v>Teerayut</v>
      </c>
      <c r="F438" t="str">
        <f>IFERROR(__xludf.DUMMYFUNCTION("""COMPUTED_VALUE"""),"Worawejwisarn")</f>
        <v>Worawejwisarn</v>
      </c>
      <c r="G438" t="str">
        <f>IFERROR(__xludf.DUMMYFUNCTION("""COMPUTED_VALUE"""),"Teerayut Worawejwisarn")</f>
        <v>Teerayut Worawejwisarn</v>
      </c>
    </row>
    <row r="439">
      <c r="A439" s="142">
        <f>IFERROR(__xludf.DUMMYFUNCTION("""COMPUTED_VALUE"""),58.0)</f>
        <v>58</v>
      </c>
      <c r="B439" t="str">
        <f>IFERROR(__xludf.DUMMYFUNCTION("""COMPUTED_VALUE"""),"TAA4094")</f>
        <v>TAA4094</v>
      </c>
      <c r="C439">
        <f>IFERROR(__xludf.DUMMYFUNCTION("""COMPUTED_VALUE"""),1007277.0)</f>
        <v>1007277</v>
      </c>
      <c r="D439" t="str">
        <f>IFERROR(__xludf.DUMMYFUNCTION("""COMPUTED_VALUE"""),"Mr.")</f>
        <v>Mr.</v>
      </c>
      <c r="E439" t="str">
        <f>IFERROR(__xludf.DUMMYFUNCTION("""COMPUTED_VALUE"""),"Theerapat")</f>
        <v>Theerapat</v>
      </c>
      <c r="F439" t="str">
        <f>IFERROR(__xludf.DUMMYFUNCTION("""COMPUTED_VALUE"""),"Sudsawas")</f>
        <v>Sudsawas</v>
      </c>
      <c r="G439" t="str">
        <f>IFERROR(__xludf.DUMMYFUNCTION("""COMPUTED_VALUE"""),"Theerapat Sudsawas")</f>
        <v>Theerapat Sudsawas</v>
      </c>
    </row>
    <row r="440">
      <c r="A440" s="142">
        <f>IFERROR(__xludf.DUMMYFUNCTION("""COMPUTED_VALUE"""),58.0)</f>
        <v>58</v>
      </c>
      <c r="B440" t="str">
        <f>IFERROR(__xludf.DUMMYFUNCTION("""COMPUTED_VALUE"""),"TAA4100")</f>
        <v>TAA4100</v>
      </c>
      <c r="C440">
        <f>IFERROR(__xludf.DUMMYFUNCTION("""COMPUTED_VALUE"""),1007279.0)</f>
        <v>1007279</v>
      </c>
      <c r="D440" t="str">
        <f>IFERROR(__xludf.DUMMYFUNCTION("""COMPUTED_VALUE"""),"Ms.")</f>
        <v>Ms.</v>
      </c>
      <c r="E440" t="str">
        <f>IFERROR(__xludf.DUMMYFUNCTION("""COMPUTED_VALUE"""),"Tulaya")</f>
        <v>Tulaya</v>
      </c>
      <c r="F440" t="str">
        <f>IFERROR(__xludf.DUMMYFUNCTION("""COMPUTED_VALUE"""),"Arayapisutigoon")</f>
        <v>Arayapisutigoon</v>
      </c>
      <c r="G440" t="str">
        <f>IFERROR(__xludf.DUMMYFUNCTION("""COMPUTED_VALUE"""),"Tulaya Arayapisutigoon")</f>
        <v>Tulaya Arayapisutigoon</v>
      </c>
    </row>
    <row r="441">
      <c r="A441" s="142">
        <f>IFERROR(__xludf.DUMMYFUNCTION("""COMPUTED_VALUE"""),58.0)</f>
        <v>58</v>
      </c>
      <c r="B441" t="str">
        <f>IFERROR(__xludf.DUMMYFUNCTION("""COMPUTED_VALUE"""),"TAA4105")</f>
        <v>TAA4105</v>
      </c>
      <c r="C441">
        <f>IFERROR(__xludf.DUMMYFUNCTION("""COMPUTED_VALUE"""),1007280.0)</f>
        <v>1007280</v>
      </c>
      <c r="D441" t="str">
        <f>IFERROR(__xludf.DUMMYFUNCTION("""COMPUTED_VALUE"""),"Ms.")</f>
        <v>Ms.</v>
      </c>
      <c r="E441" t="str">
        <f>IFERROR(__xludf.DUMMYFUNCTION("""COMPUTED_VALUE"""),"Warittha")</f>
        <v>Warittha</v>
      </c>
      <c r="F441" t="str">
        <f>IFERROR(__xludf.DUMMYFUNCTION("""COMPUTED_VALUE"""),"Pinthong")</f>
        <v>Pinthong</v>
      </c>
      <c r="G441" t="str">
        <f>IFERROR(__xludf.DUMMYFUNCTION("""COMPUTED_VALUE"""),"Warittha Pinthong")</f>
        <v>Warittha Pinthong</v>
      </c>
    </row>
    <row r="442">
      <c r="A442" s="142">
        <f>IFERROR(__xludf.DUMMYFUNCTION("""COMPUTED_VALUE"""),58.0)</f>
        <v>58</v>
      </c>
      <c r="B442" t="str">
        <f>IFERROR(__xludf.DUMMYFUNCTION("""COMPUTED_VALUE"""),"TAA4110")</f>
        <v>TAA4110</v>
      </c>
      <c r="C442">
        <f>IFERROR(__xludf.DUMMYFUNCTION("""COMPUTED_VALUE"""),1007281.0)</f>
        <v>1007281</v>
      </c>
      <c r="D442" t="str">
        <f>IFERROR(__xludf.DUMMYFUNCTION("""COMPUTED_VALUE"""),"Ms.")</f>
        <v>Ms.</v>
      </c>
      <c r="E442" t="str">
        <f>IFERROR(__xludf.DUMMYFUNCTION("""COMPUTED_VALUE"""),"Warodom")</f>
        <v>Warodom</v>
      </c>
      <c r="F442" t="str">
        <f>IFERROR(__xludf.DUMMYFUNCTION("""COMPUTED_VALUE"""),"Wongswasdi")</f>
        <v>Wongswasdi</v>
      </c>
      <c r="G442" t="str">
        <f>IFERROR(__xludf.DUMMYFUNCTION("""COMPUTED_VALUE"""),"Warodom Wongswasdi")</f>
        <v>Warodom Wongswasdi</v>
      </c>
    </row>
    <row r="444">
      <c r="A444" s="142">
        <f>IFERROR(__xludf.DUMMYFUNCTION("""COMPUTED_VALUE"""),59.0)</f>
        <v>59</v>
      </c>
      <c r="B444" t="str">
        <f>IFERROR(__xludf.DUMMYFUNCTION("""COMPUTED_VALUE"""),"TAA2095")</f>
        <v>TAA2095</v>
      </c>
      <c r="C444">
        <f>IFERROR(__xludf.DUMMYFUNCTION("""COMPUTED_VALUE"""),1002348.0)</f>
        <v>1002348</v>
      </c>
      <c r="D444" t="str">
        <f>IFERROR(__xludf.DUMMYFUNCTION("""COMPUTED_VALUE"""),"Ms.")</f>
        <v>Ms.</v>
      </c>
      <c r="E444" t="str">
        <f>IFERROR(__xludf.DUMMYFUNCTION("""COMPUTED_VALUE"""),"Warisa")</f>
        <v>Warisa</v>
      </c>
      <c r="F444" t="str">
        <f>IFERROR(__xludf.DUMMYFUNCTION("""COMPUTED_VALUE"""),"Ployruengrussamee")</f>
        <v>Ployruengrussamee</v>
      </c>
      <c r="G444" t="str">
        <f>IFERROR(__xludf.DUMMYFUNCTION("""COMPUTED_VALUE"""),"Warisa Ployruengrussamee")</f>
        <v>Warisa Ployruengrussamee</v>
      </c>
    </row>
    <row r="445">
      <c r="A445" s="142">
        <f>IFERROR(__xludf.DUMMYFUNCTION("""COMPUTED_VALUE"""),59.0)</f>
        <v>59</v>
      </c>
      <c r="B445" t="str">
        <f>IFERROR(__xludf.DUMMYFUNCTION("""COMPUTED_VALUE"""),"TAA2544")</f>
        <v>TAA2544</v>
      </c>
      <c r="C445">
        <f>IFERROR(__xludf.DUMMYFUNCTION("""COMPUTED_VALUE"""),1003373.0)</f>
        <v>1003373</v>
      </c>
      <c r="D445" t="str">
        <f>IFERROR(__xludf.DUMMYFUNCTION("""COMPUTED_VALUE"""),"Mr.")</f>
        <v>Mr.</v>
      </c>
      <c r="E445" t="str">
        <f>IFERROR(__xludf.DUMMYFUNCTION("""COMPUTED_VALUE"""),"Sarawut")</f>
        <v>Sarawut</v>
      </c>
      <c r="F445" t="str">
        <f>IFERROR(__xludf.DUMMYFUNCTION("""COMPUTED_VALUE"""),"Rakdee")</f>
        <v>Rakdee</v>
      </c>
      <c r="G445" t="str">
        <f>IFERROR(__xludf.DUMMYFUNCTION("""COMPUTED_VALUE"""),"Sarawut Rakdee")</f>
        <v>Sarawut Rakdee</v>
      </c>
    </row>
    <row r="446">
      <c r="A446" s="142">
        <f>IFERROR(__xludf.DUMMYFUNCTION("""COMPUTED_VALUE"""),59.0)</f>
        <v>59</v>
      </c>
      <c r="B446" t="str">
        <f>IFERROR(__xludf.DUMMYFUNCTION("""COMPUTED_VALUE"""),"TAA2618")</f>
        <v>TAA2618</v>
      </c>
      <c r="C446">
        <f>IFERROR(__xludf.DUMMYFUNCTION("""COMPUTED_VALUE"""),1003425.0)</f>
        <v>1003425</v>
      </c>
      <c r="D446" t="str">
        <f>IFERROR(__xludf.DUMMYFUNCTION("""COMPUTED_VALUE"""),"Mr.")</f>
        <v>Mr.</v>
      </c>
      <c r="E446" t="str">
        <f>IFERROR(__xludf.DUMMYFUNCTION("""COMPUTED_VALUE"""),"Ake")</f>
        <v>Ake</v>
      </c>
      <c r="F446" t="str">
        <f>IFERROR(__xludf.DUMMYFUNCTION("""COMPUTED_VALUE"""),"Choetsobhon")</f>
        <v>Choetsobhon</v>
      </c>
      <c r="G446" t="str">
        <f>IFERROR(__xludf.DUMMYFUNCTION("""COMPUTED_VALUE"""),"Ake Choetsobhon")</f>
        <v>Ake Choetsobhon</v>
      </c>
    </row>
    <row r="447">
      <c r="A447" s="142">
        <f>IFERROR(__xludf.DUMMYFUNCTION("""COMPUTED_VALUE"""),59.0)</f>
        <v>59</v>
      </c>
      <c r="B447" t="str">
        <f>IFERROR(__xludf.DUMMYFUNCTION("""COMPUTED_VALUE"""),"TAA2769")</f>
        <v>TAA2769</v>
      </c>
      <c r="C447">
        <f>IFERROR(__xludf.DUMMYFUNCTION("""COMPUTED_VALUE"""),1003942.0)</f>
        <v>1003942</v>
      </c>
      <c r="D447" t="str">
        <f>IFERROR(__xludf.DUMMYFUNCTION("""COMPUTED_VALUE"""),"Ms.")</f>
        <v>Ms.</v>
      </c>
      <c r="E447" t="str">
        <f>IFERROR(__xludf.DUMMYFUNCTION("""COMPUTED_VALUE"""),"Wilawan")</f>
        <v>Wilawan</v>
      </c>
      <c r="F447" t="str">
        <f>IFERROR(__xludf.DUMMYFUNCTION("""COMPUTED_VALUE"""),"Auttamaphan")</f>
        <v>Auttamaphan</v>
      </c>
      <c r="G447" t="str">
        <f>IFERROR(__xludf.DUMMYFUNCTION("""COMPUTED_VALUE"""),"Wilawan Auttamaphan")</f>
        <v>Wilawan Auttamaphan</v>
      </c>
    </row>
    <row r="448">
      <c r="A448" s="142">
        <f>IFERROR(__xludf.DUMMYFUNCTION("""COMPUTED_VALUE"""),59.0)</f>
        <v>59</v>
      </c>
      <c r="B448" t="str">
        <f>IFERROR(__xludf.DUMMYFUNCTION("""COMPUTED_VALUE"""),"TAA2580")</f>
        <v>TAA2580</v>
      </c>
      <c r="C448">
        <f>IFERROR(__xludf.DUMMYFUNCTION("""COMPUTED_VALUE"""),1004016.0)</f>
        <v>1004016</v>
      </c>
      <c r="D448" t="str">
        <f>IFERROR(__xludf.DUMMYFUNCTION("""COMPUTED_VALUE"""),"Mr.")</f>
        <v>Mr.</v>
      </c>
      <c r="E448" t="str">
        <f>IFERROR(__xludf.DUMMYFUNCTION("""COMPUTED_VALUE"""),"Khamkhun (Aphichat)")</f>
        <v>Khamkhun (Aphichat)</v>
      </c>
      <c r="F448" t="str">
        <f>IFERROR(__xludf.DUMMYFUNCTION("""COMPUTED_VALUE"""),"Thapnoo")</f>
        <v>Thapnoo</v>
      </c>
      <c r="G448" t="str">
        <f>IFERROR(__xludf.DUMMYFUNCTION("""COMPUTED_VALUE"""),"Khamkhun Thapnoo")</f>
        <v>Khamkhun Thapnoo</v>
      </c>
    </row>
    <row r="449">
      <c r="A449" s="142">
        <f>IFERROR(__xludf.DUMMYFUNCTION("""COMPUTED_VALUE"""),59.0)</f>
        <v>59</v>
      </c>
      <c r="B449" t="str">
        <f>IFERROR(__xludf.DUMMYFUNCTION("""COMPUTED_VALUE"""),"TAA2835")</f>
        <v>TAA2835</v>
      </c>
      <c r="C449">
        <f>IFERROR(__xludf.DUMMYFUNCTION("""COMPUTED_VALUE"""),1004069.0)</f>
        <v>1004069</v>
      </c>
      <c r="D449" t="str">
        <f>IFERROR(__xludf.DUMMYFUNCTION("""COMPUTED_VALUE"""),"Ms.")</f>
        <v>Ms.</v>
      </c>
      <c r="E449" t="str">
        <f>IFERROR(__xludf.DUMMYFUNCTION("""COMPUTED_VALUE"""),"Pimnicha")</f>
        <v>Pimnicha</v>
      </c>
      <c r="F449" t="str">
        <f>IFERROR(__xludf.DUMMYFUNCTION("""COMPUTED_VALUE"""),"Boriromyawong")</f>
        <v>Boriromyawong</v>
      </c>
      <c r="G449" t="str">
        <f>IFERROR(__xludf.DUMMYFUNCTION("""COMPUTED_VALUE"""),"Pimnicha Boriromyawong")</f>
        <v>Pimnicha Boriromyawong</v>
      </c>
    </row>
    <row r="450">
      <c r="A450" s="142">
        <f>IFERROR(__xludf.DUMMYFUNCTION("""COMPUTED_VALUE"""),59.0)</f>
        <v>59</v>
      </c>
      <c r="B450" t="str">
        <f>IFERROR(__xludf.DUMMYFUNCTION("""COMPUTED_VALUE"""),"TAA2937")</f>
        <v>TAA2937</v>
      </c>
      <c r="C450">
        <f>IFERROR(__xludf.DUMMYFUNCTION("""COMPUTED_VALUE"""),1004294.0)</f>
        <v>1004294</v>
      </c>
      <c r="D450" t="str">
        <f>IFERROR(__xludf.DUMMYFUNCTION("""COMPUTED_VALUE"""),"Mr.")</f>
        <v>Mr.</v>
      </c>
      <c r="E450" t="str">
        <f>IFERROR(__xludf.DUMMYFUNCTION("""COMPUTED_VALUE"""),"Kawinwat")</f>
        <v>Kawinwat</v>
      </c>
      <c r="F450" t="str">
        <f>IFERROR(__xludf.DUMMYFUNCTION("""COMPUTED_VALUE"""),"Pringplert")</f>
        <v>Pringplert</v>
      </c>
      <c r="G450" t="str">
        <f>IFERROR(__xludf.DUMMYFUNCTION("""COMPUTED_VALUE"""),"Kawinwat Pringplert")</f>
        <v>Kawinwat Pringplert</v>
      </c>
    </row>
    <row r="451">
      <c r="A451" s="142">
        <f>IFERROR(__xludf.DUMMYFUNCTION("""COMPUTED_VALUE"""),59.0)</f>
        <v>59</v>
      </c>
      <c r="B451" t="str">
        <f>IFERROR(__xludf.DUMMYFUNCTION("""COMPUTED_VALUE"""),"TAA2938")</f>
        <v>TAA2938</v>
      </c>
      <c r="C451">
        <f>IFERROR(__xludf.DUMMYFUNCTION("""COMPUTED_VALUE"""),1004297.0)</f>
        <v>1004297</v>
      </c>
      <c r="D451" t="str">
        <f>IFERROR(__xludf.DUMMYFUNCTION("""COMPUTED_VALUE"""),"Ms.")</f>
        <v>Ms.</v>
      </c>
      <c r="E451" t="str">
        <f>IFERROR(__xludf.DUMMYFUNCTION("""COMPUTED_VALUE"""),"Palil")</f>
        <v>Palil</v>
      </c>
      <c r="F451" t="str">
        <f>IFERROR(__xludf.DUMMYFUNCTION("""COMPUTED_VALUE"""),"Borisutsuwan")</f>
        <v>Borisutsuwan</v>
      </c>
      <c r="G451" t="str">
        <f>IFERROR(__xludf.DUMMYFUNCTION("""COMPUTED_VALUE"""),"Palil Borisutsuwan")</f>
        <v>Palil Borisutsuwan</v>
      </c>
    </row>
    <row r="452">
      <c r="A452" s="142">
        <f>IFERROR(__xludf.DUMMYFUNCTION("""COMPUTED_VALUE"""),59.0)</f>
        <v>59</v>
      </c>
      <c r="B452" t="str">
        <f>IFERROR(__xludf.DUMMYFUNCTION("""COMPUTED_VALUE"""),"TAA2942")</f>
        <v>TAA2942</v>
      </c>
      <c r="C452">
        <f>IFERROR(__xludf.DUMMYFUNCTION("""COMPUTED_VALUE"""),1004298.0)</f>
        <v>1004298</v>
      </c>
      <c r="D452" t="str">
        <f>IFERROR(__xludf.DUMMYFUNCTION("""COMPUTED_VALUE"""),"Mr.")</f>
        <v>Mr.</v>
      </c>
      <c r="E452" t="str">
        <f>IFERROR(__xludf.DUMMYFUNCTION("""COMPUTED_VALUE"""),"Teerapat")</f>
        <v>Teerapat</v>
      </c>
      <c r="F452" t="str">
        <f>IFERROR(__xludf.DUMMYFUNCTION("""COMPUTED_VALUE"""),"Kasemphongsakorn")</f>
        <v>Kasemphongsakorn</v>
      </c>
      <c r="G452" t="str">
        <f>IFERROR(__xludf.DUMMYFUNCTION("""COMPUTED_VALUE"""),"Teerapat Kasemphongsakorn")</f>
        <v>Teerapat Kasemphongsakorn</v>
      </c>
    </row>
    <row r="453">
      <c r="A453" s="142">
        <f>IFERROR(__xludf.DUMMYFUNCTION("""COMPUTED_VALUE"""),59.0)</f>
        <v>59</v>
      </c>
      <c r="B453" t="str">
        <f>IFERROR(__xludf.DUMMYFUNCTION("""COMPUTED_VALUE"""),"TAA2992")</f>
        <v>TAA2992</v>
      </c>
      <c r="C453">
        <f>IFERROR(__xludf.DUMMYFUNCTION("""COMPUTED_VALUE"""),1004308.0)</f>
        <v>1004308</v>
      </c>
      <c r="D453" t="str">
        <f>IFERROR(__xludf.DUMMYFUNCTION("""COMPUTED_VALUE"""),"Ms.")</f>
        <v>Ms.</v>
      </c>
      <c r="E453" t="str">
        <f>IFERROR(__xludf.DUMMYFUNCTION("""COMPUTED_VALUE"""),"Kamalas")</f>
        <v>Kamalas</v>
      </c>
      <c r="F453" t="str">
        <f>IFERROR(__xludf.DUMMYFUNCTION("""COMPUTED_VALUE"""),"Wittayametakul")</f>
        <v>Wittayametakul</v>
      </c>
      <c r="G453" t="str">
        <f>IFERROR(__xludf.DUMMYFUNCTION("""COMPUTED_VALUE"""),"Kamalas Wittayametakul")</f>
        <v>Kamalas Wittayametakul</v>
      </c>
    </row>
    <row r="454">
      <c r="A454" s="142">
        <f>IFERROR(__xludf.DUMMYFUNCTION("""COMPUTED_VALUE"""),59.0)</f>
        <v>59</v>
      </c>
      <c r="B454" t="str">
        <f>IFERROR(__xludf.DUMMYFUNCTION("""COMPUTED_VALUE"""),"TAA2950")</f>
        <v>TAA2950</v>
      </c>
      <c r="C454">
        <f>IFERROR(__xludf.DUMMYFUNCTION("""COMPUTED_VALUE"""),1004317.0)</f>
        <v>1004317</v>
      </c>
      <c r="D454" t="str">
        <f>IFERROR(__xludf.DUMMYFUNCTION("""COMPUTED_VALUE"""),"Mr.")</f>
        <v>Mr.</v>
      </c>
      <c r="E454" t="str">
        <f>IFERROR(__xludf.DUMMYFUNCTION("""COMPUTED_VALUE"""),"Narit")</f>
        <v>Narit</v>
      </c>
      <c r="F454" t="str">
        <f>IFERROR(__xludf.DUMMYFUNCTION("""COMPUTED_VALUE"""),"Aimwat (Islam)")</f>
        <v>Aimwat (Islam)</v>
      </c>
      <c r="G454" t="str">
        <f>IFERROR(__xludf.DUMMYFUNCTION("""COMPUTED_VALUE"""),"Narit Aimwat")</f>
        <v>Narit Aimwat</v>
      </c>
    </row>
    <row r="455">
      <c r="A455" s="142">
        <f>IFERROR(__xludf.DUMMYFUNCTION("""COMPUTED_VALUE"""),59.0)</f>
        <v>59</v>
      </c>
      <c r="B455" t="str">
        <f>IFERROR(__xludf.DUMMYFUNCTION("""COMPUTED_VALUE"""),"TAA2953")</f>
        <v>TAA2953</v>
      </c>
      <c r="C455">
        <f>IFERROR(__xludf.DUMMYFUNCTION("""COMPUTED_VALUE"""),1004318.0)</f>
        <v>1004318</v>
      </c>
      <c r="D455" t="str">
        <f>IFERROR(__xludf.DUMMYFUNCTION("""COMPUTED_VALUE"""),"Mr.")</f>
        <v>Mr.</v>
      </c>
      <c r="E455" t="str">
        <f>IFERROR(__xludf.DUMMYFUNCTION("""COMPUTED_VALUE"""),"Nattapong")</f>
        <v>Nattapong</v>
      </c>
      <c r="F455" t="str">
        <f>IFERROR(__xludf.DUMMYFUNCTION("""COMPUTED_VALUE"""),"Kao-Ngampanich")</f>
        <v>Kao-Ngampanich</v>
      </c>
      <c r="G455" t="str">
        <f>IFERROR(__xludf.DUMMYFUNCTION("""COMPUTED_VALUE"""),"Nattapong Kao-Ngampanich")</f>
        <v>Nattapong Kao-Ngampanich</v>
      </c>
    </row>
    <row r="456">
      <c r="A456" s="142">
        <f>IFERROR(__xludf.DUMMYFUNCTION("""COMPUTED_VALUE"""),59.0)</f>
        <v>59</v>
      </c>
      <c r="B456" t="str">
        <f>IFERROR(__xludf.DUMMYFUNCTION("""COMPUTED_VALUE"""),"TAA2949")</f>
        <v>TAA2949</v>
      </c>
      <c r="C456">
        <f>IFERROR(__xludf.DUMMYFUNCTION("""COMPUTED_VALUE"""),1004329.0)</f>
        <v>1004329</v>
      </c>
      <c r="D456" t="str">
        <f>IFERROR(__xludf.DUMMYFUNCTION("""COMPUTED_VALUE"""),"Ms.")</f>
        <v>Ms.</v>
      </c>
      <c r="E456" t="str">
        <f>IFERROR(__xludf.DUMMYFUNCTION("""COMPUTED_VALUE"""),"Supattra")</f>
        <v>Supattra</v>
      </c>
      <c r="F456" t="str">
        <f>IFERROR(__xludf.DUMMYFUNCTION("""COMPUTED_VALUE"""),"Narattaraksa")</f>
        <v>Narattaraksa</v>
      </c>
      <c r="G456" t="str">
        <f>IFERROR(__xludf.DUMMYFUNCTION("""COMPUTED_VALUE"""),"Supattra Narattaraksa")</f>
        <v>Supattra Narattaraksa</v>
      </c>
    </row>
    <row r="457">
      <c r="A457" s="142">
        <f>IFERROR(__xludf.DUMMYFUNCTION("""COMPUTED_VALUE"""),59.0)</f>
        <v>59</v>
      </c>
      <c r="B457" t="str">
        <f>IFERROR(__xludf.DUMMYFUNCTION("""COMPUTED_VALUE"""),"TAA2987")</f>
        <v>TAA2987</v>
      </c>
      <c r="C457">
        <f>IFERROR(__xludf.DUMMYFUNCTION("""COMPUTED_VALUE"""),1004381.0)</f>
        <v>1004381</v>
      </c>
      <c r="D457" t="str">
        <f>IFERROR(__xludf.DUMMYFUNCTION("""COMPUTED_VALUE"""),"Ms.")</f>
        <v>Ms.</v>
      </c>
      <c r="E457" t="str">
        <f>IFERROR(__xludf.DUMMYFUNCTION("""COMPUTED_VALUE"""),"Nawaporn")</f>
        <v>Nawaporn</v>
      </c>
      <c r="F457" t="str">
        <f>IFERROR(__xludf.DUMMYFUNCTION("""COMPUTED_VALUE"""),"Ratianan")</f>
        <v>Ratianan</v>
      </c>
      <c r="G457" t="str">
        <f>IFERROR(__xludf.DUMMYFUNCTION("""COMPUTED_VALUE"""),"Nawaporn Ratianan")</f>
        <v>Nawaporn Ratianan</v>
      </c>
    </row>
    <row r="458">
      <c r="A458" s="142">
        <f>IFERROR(__xludf.DUMMYFUNCTION("""COMPUTED_VALUE"""),59.0)</f>
        <v>59</v>
      </c>
      <c r="B458" t="str">
        <f>IFERROR(__xludf.DUMMYFUNCTION("""COMPUTED_VALUE"""),"TAA3085")</f>
        <v>TAA3085</v>
      </c>
      <c r="C458">
        <f>IFERROR(__xludf.DUMMYFUNCTION("""COMPUTED_VALUE"""),1004489.0)</f>
        <v>1004489</v>
      </c>
      <c r="D458" t="str">
        <f>IFERROR(__xludf.DUMMYFUNCTION("""COMPUTED_VALUE"""),"Ms.")</f>
        <v>Ms.</v>
      </c>
      <c r="E458" t="str">
        <f>IFERROR(__xludf.DUMMYFUNCTION("""COMPUTED_VALUE"""),"Sunisa")</f>
        <v>Sunisa</v>
      </c>
      <c r="F458" t="str">
        <f>IFERROR(__xludf.DUMMYFUNCTION("""COMPUTED_VALUE"""),"Vanavit (Sukrungruang)")</f>
        <v>Vanavit (Sukrungruang)</v>
      </c>
      <c r="G458" t="str">
        <f>IFERROR(__xludf.DUMMYFUNCTION("""COMPUTED_VALUE"""),"Sunisa Vanavit")</f>
        <v>Sunisa Vanavit</v>
      </c>
    </row>
    <row r="459">
      <c r="A459" s="142">
        <f>IFERROR(__xludf.DUMMYFUNCTION("""COMPUTED_VALUE"""),59.0)</f>
        <v>59</v>
      </c>
      <c r="B459" t="str">
        <f>IFERROR(__xludf.DUMMYFUNCTION("""COMPUTED_VALUE"""),"TAA3084")</f>
        <v>TAA3084</v>
      </c>
      <c r="C459">
        <f>IFERROR(__xludf.DUMMYFUNCTION("""COMPUTED_VALUE"""),1004502.0)</f>
        <v>1004502</v>
      </c>
      <c r="D459" t="str">
        <f>IFERROR(__xludf.DUMMYFUNCTION("""COMPUTED_VALUE"""),"Ms.")</f>
        <v>Ms.</v>
      </c>
      <c r="E459" t="str">
        <f>IFERROR(__xludf.DUMMYFUNCTION("""COMPUTED_VALUE"""),"Pichaya")</f>
        <v>Pichaya</v>
      </c>
      <c r="F459" t="str">
        <f>IFERROR(__xludf.DUMMYFUNCTION("""COMPUTED_VALUE"""),"Kristisiri")</f>
        <v>Kristisiri</v>
      </c>
      <c r="G459" t="str">
        <f>IFERROR(__xludf.DUMMYFUNCTION("""COMPUTED_VALUE"""),"Pichaya Kristisiri")</f>
        <v>Pichaya Kristisiri</v>
      </c>
    </row>
    <row r="461">
      <c r="A461" s="142">
        <f>IFERROR(__xludf.DUMMYFUNCTION("""COMPUTED_VALUE"""),60.0)</f>
        <v>60</v>
      </c>
      <c r="B461" t="str">
        <f>IFERROR(__xludf.DUMMYFUNCTION("""COMPUTED_VALUE"""),"TAA4751")</f>
        <v>TAA4751</v>
      </c>
      <c r="C461">
        <f>IFERROR(__xludf.DUMMYFUNCTION("""COMPUTED_VALUE"""),1008754.0)</f>
        <v>1008754</v>
      </c>
      <c r="D461" t="str">
        <f>IFERROR(__xludf.DUMMYFUNCTION("""COMPUTED_VALUE"""),"Ms.")</f>
        <v>Ms.</v>
      </c>
      <c r="E461" t="str">
        <f>IFERROR(__xludf.DUMMYFUNCTION("""COMPUTED_VALUE"""),"Pimlapas")</f>
        <v>Pimlapas</v>
      </c>
      <c r="F461" t="str">
        <f>IFERROR(__xludf.DUMMYFUNCTION("""COMPUTED_VALUE"""),"Tanapatpongsapas")</f>
        <v>Tanapatpongsapas</v>
      </c>
      <c r="G461" t="str">
        <f>IFERROR(__xludf.DUMMYFUNCTION("""COMPUTED_VALUE"""),"Pimlapas Tanapatpongsapas")</f>
        <v>Pimlapas Tanapatpongsapas</v>
      </c>
    </row>
    <row r="462">
      <c r="A462" s="142">
        <f>IFERROR(__xludf.DUMMYFUNCTION("""COMPUTED_VALUE"""),60.0)</f>
        <v>60</v>
      </c>
      <c r="B462" t="str">
        <f>IFERROR(__xludf.DUMMYFUNCTION("""COMPUTED_VALUE"""),"TAA4905")</f>
        <v>TAA4905</v>
      </c>
      <c r="C462">
        <f>IFERROR(__xludf.DUMMYFUNCTION("""COMPUTED_VALUE"""),1009156.0)</f>
        <v>1009156</v>
      </c>
      <c r="D462" t="str">
        <f>IFERROR(__xludf.DUMMYFUNCTION("""COMPUTED_VALUE"""),"Mr.")</f>
        <v>Mr.</v>
      </c>
      <c r="E462" t="str">
        <f>IFERROR(__xludf.DUMMYFUNCTION("""COMPUTED_VALUE"""),"Peamkate")</f>
        <v>Peamkate</v>
      </c>
      <c r="F462" t="str">
        <f>IFERROR(__xludf.DUMMYFUNCTION("""COMPUTED_VALUE"""),"Kullasit")</f>
        <v>Kullasit</v>
      </c>
      <c r="G462" t="str">
        <f>IFERROR(__xludf.DUMMYFUNCTION("""COMPUTED_VALUE"""),"Peamkate Kullasit")</f>
        <v>Peamkate Kullasit</v>
      </c>
    </row>
    <row r="464">
      <c r="A464" s="142">
        <f>IFERROR(__xludf.DUMMYFUNCTION("""COMPUTED_VALUE"""),61.0)</f>
        <v>61</v>
      </c>
      <c r="B464" t="str">
        <f>IFERROR(__xludf.DUMMYFUNCTION("""COMPUTED_VALUE"""),"TAA3378")</f>
        <v>TAA3378</v>
      </c>
      <c r="C464">
        <f>IFERROR(__xludf.DUMMYFUNCTION("""COMPUTED_VALUE"""),1005119.0)</f>
        <v>1005119</v>
      </c>
      <c r="D464" t="str">
        <f>IFERROR(__xludf.DUMMYFUNCTION("""COMPUTED_VALUE"""),"Ms.")</f>
        <v>Ms.</v>
      </c>
      <c r="E464" t="str">
        <f>IFERROR(__xludf.DUMMYFUNCTION("""COMPUTED_VALUE"""),"Supharee")</f>
        <v>Supharee</v>
      </c>
      <c r="F464" t="str">
        <f>IFERROR(__xludf.DUMMYFUNCTION("""COMPUTED_VALUE"""),"Mutthaputthipong")</f>
        <v>Mutthaputthipong</v>
      </c>
      <c r="G464" t="str">
        <f>IFERROR(__xludf.DUMMYFUNCTION("""COMPUTED_VALUE"""),"Supharee Mutthaputthipong")</f>
        <v>Supharee Mutthaputthipong</v>
      </c>
    </row>
    <row r="465">
      <c r="A465" s="142">
        <f>IFERROR(__xludf.DUMMYFUNCTION("""COMPUTED_VALUE"""),61.0)</f>
        <v>61</v>
      </c>
      <c r="B465" t="str">
        <f>IFERROR(__xludf.DUMMYFUNCTION("""COMPUTED_VALUE"""),"TAA4745")</f>
        <v>TAA4745</v>
      </c>
      <c r="C465">
        <f>IFERROR(__xludf.DUMMYFUNCTION("""COMPUTED_VALUE"""),1008952.0)</f>
        <v>1008952</v>
      </c>
      <c r="D465" t="str">
        <f>IFERROR(__xludf.DUMMYFUNCTION("""COMPUTED_VALUE"""),"Mr.")</f>
        <v>Mr.</v>
      </c>
      <c r="E465" t="str">
        <f>IFERROR(__xludf.DUMMYFUNCTION("""COMPUTED_VALUE"""),"Chatdanai")</f>
        <v>Chatdanai</v>
      </c>
      <c r="F465" t="str">
        <f>IFERROR(__xludf.DUMMYFUNCTION("""COMPUTED_VALUE"""),"Insawang")</f>
        <v>Insawang</v>
      </c>
      <c r="G465" t="str">
        <f>IFERROR(__xludf.DUMMYFUNCTION("""COMPUTED_VALUE"""),"Chatdanai Insawang")</f>
        <v>Chatdanai Insawang</v>
      </c>
    </row>
    <row r="466">
      <c r="A466" s="142">
        <f>IFERROR(__xludf.DUMMYFUNCTION("""COMPUTED_VALUE"""),61.0)</f>
        <v>61</v>
      </c>
      <c r="B466" t="str">
        <f>IFERROR(__xludf.DUMMYFUNCTION("""COMPUTED_VALUE"""),"TAA4732")</f>
        <v>TAA4732</v>
      </c>
      <c r="C466">
        <f>IFERROR(__xludf.DUMMYFUNCTION("""COMPUTED_VALUE"""),1008956.0)</f>
        <v>1008956</v>
      </c>
      <c r="D466" t="str">
        <f>IFERROR(__xludf.DUMMYFUNCTION("""COMPUTED_VALUE"""),"Ms.")</f>
        <v>Ms.</v>
      </c>
      <c r="E466" t="str">
        <f>IFERROR(__xludf.DUMMYFUNCTION("""COMPUTED_VALUE"""),"Duangkamon")</f>
        <v>Duangkamon</v>
      </c>
      <c r="F466" t="str">
        <f>IFERROR(__xludf.DUMMYFUNCTION("""COMPUTED_VALUE"""),"Thongfuang")</f>
        <v>Thongfuang</v>
      </c>
      <c r="G466" t="str">
        <f>IFERROR(__xludf.DUMMYFUNCTION("""COMPUTED_VALUE"""),"Duangkamon Thongfuang")</f>
        <v>Duangkamon Thongfuang</v>
      </c>
    </row>
    <row r="467">
      <c r="A467" s="142">
        <f>IFERROR(__xludf.DUMMYFUNCTION("""COMPUTED_VALUE"""),61.0)</f>
        <v>61</v>
      </c>
      <c r="B467" t="str">
        <f>IFERROR(__xludf.DUMMYFUNCTION("""COMPUTED_VALUE"""),"TAA4741")</f>
        <v>TAA4741</v>
      </c>
      <c r="C467">
        <f>IFERROR(__xludf.DUMMYFUNCTION("""COMPUTED_VALUE"""),1008963.0)</f>
        <v>1008963</v>
      </c>
      <c r="D467" t="str">
        <f>IFERROR(__xludf.DUMMYFUNCTION("""COMPUTED_VALUE"""),"Ms.")</f>
        <v>Ms.</v>
      </c>
      <c r="E467" t="str">
        <f>IFERROR(__xludf.DUMMYFUNCTION("""COMPUTED_VALUE"""),"Jirawan")</f>
        <v>Jirawan</v>
      </c>
      <c r="F467" t="str">
        <f>IFERROR(__xludf.DUMMYFUNCTION("""COMPUTED_VALUE"""),"Hansajaroonroj")</f>
        <v>Hansajaroonroj</v>
      </c>
      <c r="G467" t="str">
        <f>IFERROR(__xludf.DUMMYFUNCTION("""COMPUTED_VALUE"""),"Jirawan Hansajaroonroj")</f>
        <v>Jirawan Hansajaroonroj</v>
      </c>
    </row>
    <row r="468">
      <c r="A468" s="142">
        <f>IFERROR(__xludf.DUMMYFUNCTION("""COMPUTED_VALUE"""),61.0)</f>
        <v>61</v>
      </c>
      <c r="B468" t="str">
        <f>IFERROR(__xludf.DUMMYFUNCTION("""COMPUTED_VALUE"""),"TAA4747")</f>
        <v>TAA4747</v>
      </c>
      <c r="C468">
        <f>IFERROR(__xludf.DUMMYFUNCTION("""COMPUTED_VALUE"""),1008968.0)</f>
        <v>1008968</v>
      </c>
      <c r="D468" t="str">
        <f>IFERROR(__xludf.DUMMYFUNCTION("""COMPUTED_VALUE"""),"Ms.")</f>
        <v>Ms.</v>
      </c>
      <c r="E468" t="str">
        <f>IFERROR(__xludf.DUMMYFUNCTION("""COMPUTED_VALUE"""),"Lalita")</f>
        <v>Lalita</v>
      </c>
      <c r="F468" t="str">
        <f>IFERROR(__xludf.DUMMYFUNCTION("""COMPUTED_VALUE"""),"Chaichanapoonpol")</f>
        <v>Chaichanapoonpol</v>
      </c>
      <c r="G468" t="str">
        <f>IFERROR(__xludf.DUMMYFUNCTION("""COMPUTED_VALUE"""),"Lalita Chaichanapoonpol")</f>
        <v>Lalita Chaichanapoonpol</v>
      </c>
    </row>
    <row r="469">
      <c r="A469" s="142">
        <f>IFERROR(__xludf.DUMMYFUNCTION("""COMPUTED_VALUE"""),61.0)</f>
        <v>61</v>
      </c>
      <c r="B469" t="str">
        <f>IFERROR(__xludf.DUMMYFUNCTION("""COMPUTED_VALUE"""),"TAA4734")</f>
        <v>TAA4734</v>
      </c>
      <c r="C469">
        <f>IFERROR(__xludf.DUMMYFUNCTION("""COMPUTED_VALUE"""),1008981.0)</f>
        <v>1008981</v>
      </c>
      <c r="D469" t="str">
        <f>IFERROR(__xludf.DUMMYFUNCTION("""COMPUTED_VALUE"""),"Ms.")</f>
        <v>Ms.</v>
      </c>
      <c r="E469" t="str">
        <f>IFERROR(__xludf.DUMMYFUNCTION("""COMPUTED_VALUE"""),"Nichanan")</f>
        <v>Nichanan</v>
      </c>
      <c r="F469" t="str">
        <f>IFERROR(__xludf.DUMMYFUNCTION("""COMPUTED_VALUE"""),"Soonthornpanyawut")</f>
        <v>Soonthornpanyawut</v>
      </c>
      <c r="G469" t="str">
        <f>IFERROR(__xludf.DUMMYFUNCTION("""COMPUTED_VALUE"""),"Nichanan Soonthornpanyawut")</f>
        <v>Nichanan Soonthornpanyawut</v>
      </c>
    </row>
    <row r="470">
      <c r="A470" s="142">
        <f>IFERROR(__xludf.DUMMYFUNCTION("""COMPUTED_VALUE"""),61.0)</f>
        <v>61</v>
      </c>
      <c r="B470" t="str">
        <f>IFERROR(__xludf.DUMMYFUNCTION("""COMPUTED_VALUE"""),"TAA4746")</f>
        <v>TAA4746</v>
      </c>
      <c r="C470">
        <f>IFERROR(__xludf.DUMMYFUNCTION("""COMPUTED_VALUE"""),1008984.0)</f>
        <v>1008984</v>
      </c>
      <c r="D470" t="str">
        <f>IFERROR(__xludf.DUMMYFUNCTION("""COMPUTED_VALUE"""),"Ms.")</f>
        <v>Ms.</v>
      </c>
      <c r="E470" t="str">
        <f>IFERROR(__xludf.DUMMYFUNCTION("""COMPUTED_VALUE"""),"Orapan")</f>
        <v>Orapan</v>
      </c>
      <c r="F470" t="str">
        <f>IFERROR(__xludf.DUMMYFUNCTION("""COMPUTED_VALUE"""),"Bangprapakorn")</f>
        <v>Bangprapakorn</v>
      </c>
      <c r="G470" t="str">
        <f>IFERROR(__xludf.DUMMYFUNCTION("""COMPUTED_VALUE"""),"Orapan Bangprapakorn")</f>
        <v>Orapan Bangprapakorn</v>
      </c>
    </row>
    <row r="471">
      <c r="A471" s="142">
        <f>IFERROR(__xludf.DUMMYFUNCTION("""COMPUTED_VALUE"""),61.0)</f>
        <v>61</v>
      </c>
      <c r="B471" t="str">
        <f>IFERROR(__xludf.DUMMYFUNCTION("""COMPUTED_VALUE"""),"TAA4748")</f>
        <v>TAA4748</v>
      </c>
      <c r="C471">
        <f>IFERROR(__xludf.DUMMYFUNCTION("""COMPUTED_VALUE"""),1008987.0)</f>
        <v>1008987</v>
      </c>
      <c r="D471" t="str">
        <f>IFERROR(__xludf.DUMMYFUNCTION("""COMPUTED_VALUE"""),"Mr.")</f>
        <v>Mr.</v>
      </c>
      <c r="E471" t="str">
        <f>IFERROR(__xludf.DUMMYFUNCTION("""COMPUTED_VALUE"""),"Punnasisth (Phasin)")</f>
        <v>Punnasisth (Phasin)</v>
      </c>
      <c r="F471" t="str">
        <f>IFERROR(__xludf.DUMMYFUNCTION("""COMPUTED_VALUE"""),"Rangshirinanthakorn (Jirapattanatad)")</f>
        <v>Rangshirinanthakorn (Jirapattanatad)</v>
      </c>
      <c r="G471" t="str">
        <f>IFERROR(__xludf.DUMMYFUNCTION("""COMPUTED_VALUE"""),"Punnasisth Rangshirinanthakorn")</f>
        <v>Punnasisth Rangshirinanthakorn</v>
      </c>
    </row>
    <row r="472">
      <c r="A472" s="142">
        <f>IFERROR(__xludf.DUMMYFUNCTION("""COMPUTED_VALUE"""),61.0)</f>
        <v>61</v>
      </c>
      <c r="B472" t="str">
        <f>IFERROR(__xludf.DUMMYFUNCTION("""COMPUTED_VALUE"""),"TAA4749")</f>
        <v>TAA4749</v>
      </c>
      <c r="C472">
        <f>IFERROR(__xludf.DUMMYFUNCTION("""COMPUTED_VALUE"""),1008989.0)</f>
        <v>1008989</v>
      </c>
      <c r="D472" t="str">
        <f>IFERROR(__xludf.DUMMYFUNCTION("""COMPUTED_VALUE"""),"Ms.")</f>
        <v>Ms.</v>
      </c>
      <c r="E472" t="str">
        <f>IFERROR(__xludf.DUMMYFUNCTION("""COMPUTED_VALUE"""),"Pornpimon")</f>
        <v>Pornpimon</v>
      </c>
      <c r="F472" t="str">
        <f>IFERROR(__xludf.DUMMYFUNCTION("""COMPUTED_VALUE"""),"Booranawattanakul")</f>
        <v>Booranawattanakul</v>
      </c>
      <c r="G472" t="str">
        <f>IFERROR(__xludf.DUMMYFUNCTION("""COMPUTED_VALUE"""),"Pornpimon Booranawattanakul")</f>
        <v>Pornpimon Booranawattanakul</v>
      </c>
    </row>
    <row r="473">
      <c r="A473" s="142">
        <f>IFERROR(__xludf.DUMMYFUNCTION("""COMPUTED_VALUE"""),61.0)</f>
        <v>61</v>
      </c>
      <c r="B473" t="str">
        <f>IFERROR(__xludf.DUMMYFUNCTION("""COMPUTED_VALUE"""),"TAA4736")</f>
        <v>TAA4736</v>
      </c>
      <c r="C473">
        <f>IFERROR(__xludf.DUMMYFUNCTION("""COMPUTED_VALUE"""),1008991.0)</f>
        <v>1008991</v>
      </c>
      <c r="D473" t="str">
        <f>IFERROR(__xludf.DUMMYFUNCTION("""COMPUTED_VALUE"""),"Ms.")</f>
        <v>Ms.</v>
      </c>
      <c r="E473" t="str">
        <f>IFERROR(__xludf.DUMMYFUNCTION("""COMPUTED_VALUE"""),"Premkamon")</f>
        <v>Premkamon</v>
      </c>
      <c r="F473" t="str">
        <f>IFERROR(__xludf.DUMMYFUNCTION("""COMPUTED_VALUE"""),"Changsuwan")</f>
        <v>Changsuwan</v>
      </c>
      <c r="G473" t="str">
        <f>IFERROR(__xludf.DUMMYFUNCTION("""COMPUTED_VALUE"""),"Premkamon Changsuwan")</f>
        <v>Premkamon Changsuwan</v>
      </c>
    </row>
    <row r="474">
      <c r="A474" s="142">
        <f>IFERROR(__xludf.DUMMYFUNCTION("""COMPUTED_VALUE"""),61.0)</f>
        <v>61</v>
      </c>
      <c r="B474" t="str">
        <f>IFERROR(__xludf.DUMMYFUNCTION("""COMPUTED_VALUE"""),"TAA4744")</f>
        <v>TAA4744</v>
      </c>
      <c r="C474">
        <f>IFERROR(__xludf.DUMMYFUNCTION("""COMPUTED_VALUE"""),1008992.0)</f>
        <v>1008992</v>
      </c>
      <c r="D474" t="str">
        <f>IFERROR(__xludf.DUMMYFUNCTION("""COMPUTED_VALUE"""),"Ms.")</f>
        <v>Ms.</v>
      </c>
      <c r="E474" t="str">
        <f>IFERROR(__xludf.DUMMYFUNCTION("""COMPUTED_VALUE"""),"Pundharee")</f>
        <v>Pundharee</v>
      </c>
      <c r="F474" t="str">
        <f>IFERROR(__xludf.DUMMYFUNCTION("""COMPUTED_VALUE"""),"Manosirinukul")</f>
        <v>Manosirinukul</v>
      </c>
      <c r="G474" t="str">
        <f>IFERROR(__xludf.DUMMYFUNCTION("""COMPUTED_VALUE"""),"Pundharee Manosirinukul")</f>
        <v>Pundharee Manosirinukul</v>
      </c>
    </row>
    <row r="475">
      <c r="A475" s="142">
        <f>IFERROR(__xludf.DUMMYFUNCTION("""COMPUTED_VALUE"""),61.0)</f>
        <v>61</v>
      </c>
      <c r="B475" t="str">
        <f>IFERROR(__xludf.DUMMYFUNCTION("""COMPUTED_VALUE"""),"TAA4750")</f>
        <v>TAA4750</v>
      </c>
      <c r="C475">
        <f>IFERROR(__xludf.DUMMYFUNCTION("""COMPUTED_VALUE"""),1008997.0)</f>
        <v>1008997</v>
      </c>
      <c r="D475" t="str">
        <f>IFERROR(__xludf.DUMMYFUNCTION("""COMPUTED_VALUE"""),"Ms.")</f>
        <v>Ms.</v>
      </c>
      <c r="E475" t="str">
        <f>IFERROR(__xludf.DUMMYFUNCTION("""COMPUTED_VALUE"""),"Sirikarn")</f>
        <v>Sirikarn</v>
      </c>
      <c r="F475" t="str">
        <f>IFERROR(__xludf.DUMMYFUNCTION("""COMPUTED_VALUE"""),"Thipakarnkul")</f>
        <v>Thipakarnkul</v>
      </c>
      <c r="G475" t="str">
        <f>IFERROR(__xludf.DUMMYFUNCTION("""COMPUTED_VALUE"""),"Sirikarn Thipakarnkul")</f>
        <v>Sirikarn Thipakarnkul</v>
      </c>
    </row>
    <row r="476">
      <c r="A476" s="142">
        <f>IFERROR(__xludf.DUMMYFUNCTION("""COMPUTED_VALUE"""),61.0)</f>
        <v>61</v>
      </c>
      <c r="B476" t="str">
        <f>IFERROR(__xludf.DUMMYFUNCTION("""COMPUTED_VALUE"""),"TAA4740")</f>
        <v>TAA4740</v>
      </c>
      <c r="C476">
        <f>IFERROR(__xludf.DUMMYFUNCTION("""COMPUTED_VALUE"""),1008998.0)</f>
        <v>1008998</v>
      </c>
      <c r="D476" t="str">
        <f>IFERROR(__xludf.DUMMYFUNCTION("""COMPUTED_VALUE"""),"Mr.")</f>
        <v>Mr.</v>
      </c>
      <c r="E476" t="str">
        <f>IFERROR(__xludf.DUMMYFUNCTION("""COMPUTED_VALUE"""),"Sitsutporn")</f>
        <v>Sitsutporn</v>
      </c>
      <c r="F476" t="str">
        <f>IFERROR(__xludf.DUMMYFUNCTION("""COMPUTED_VALUE"""),"Amornthatri")</f>
        <v>Amornthatri</v>
      </c>
      <c r="G476" t="str">
        <f>IFERROR(__xludf.DUMMYFUNCTION("""COMPUTED_VALUE"""),"Sitsutporn Amornthatri")</f>
        <v>Sitsutporn Amornthatri</v>
      </c>
    </row>
    <row r="477">
      <c r="A477" s="142">
        <f>IFERROR(__xludf.DUMMYFUNCTION("""COMPUTED_VALUE"""),61.0)</f>
        <v>61</v>
      </c>
      <c r="B477" t="str">
        <f>IFERROR(__xludf.DUMMYFUNCTION("""COMPUTED_VALUE"""),"TAA4739")</f>
        <v>TAA4739</v>
      </c>
      <c r="C477">
        <f>IFERROR(__xludf.DUMMYFUNCTION("""COMPUTED_VALUE"""),1009001.0)</f>
        <v>1009001</v>
      </c>
      <c r="D477" t="str">
        <f>IFERROR(__xludf.DUMMYFUNCTION("""COMPUTED_VALUE"""),"Mr.")</f>
        <v>Mr.</v>
      </c>
      <c r="E477" t="str">
        <f>IFERROR(__xludf.DUMMYFUNCTION("""COMPUTED_VALUE"""),"Suphachok")</f>
        <v>Suphachok</v>
      </c>
      <c r="F477" t="str">
        <f>IFERROR(__xludf.DUMMYFUNCTION("""COMPUTED_VALUE"""),"Pannakitchakul")</f>
        <v>Pannakitchakul</v>
      </c>
      <c r="G477" t="str">
        <f>IFERROR(__xludf.DUMMYFUNCTION("""COMPUTED_VALUE"""),"Suphachok Pannakitchakul")</f>
        <v>Suphachok Pannakitchakul</v>
      </c>
    </row>
    <row r="478">
      <c r="A478" s="142">
        <f>IFERROR(__xludf.DUMMYFUNCTION("""COMPUTED_VALUE"""),61.0)</f>
        <v>61</v>
      </c>
      <c r="B478" t="str">
        <f>IFERROR(__xludf.DUMMYFUNCTION("""COMPUTED_VALUE"""),"TAA4730")</f>
        <v>TAA4730</v>
      </c>
      <c r="C478">
        <f>IFERROR(__xludf.DUMMYFUNCTION("""COMPUTED_VALUE"""),1009011.0)</f>
        <v>1009011</v>
      </c>
      <c r="D478" t="str">
        <f>IFERROR(__xludf.DUMMYFUNCTION("""COMPUTED_VALUE"""),"Mr.")</f>
        <v>Mr.</v>
      </c>
      <c r="E478" t="str">
        <f>IFERROR(__xludf.DUMMYFUNCTION("""COMPUTED_VALUE"""),"Weerayos")</f>
        <v>Weerayos</v>
      </c>
      <c r="F478" t="str">
        <f>IFERROR(__xludf.DUMMYFUNCTION("""COMPUTED_VALUE"""),"Rungudomsinsakul")</f>
        <v>Rungudomsinsakul</v>
      </c>
      <c r="G478" t="str">
        <f>IFERROR(__xludf.DUMMYFUNCTION("""COMPUTED_VALUE"""),"Weerayos Rungudomsinsakul")</f>
        <v>Weerayos Rungudomsinsakul</v>
      </c>
    </row>
    <row r="480">
      <c r="A480" s="142">
        <f>IFERROR(__xludf.DUMMYFUNCTION("""COMPUTED_VALUE"""),62.0)</f>
        <v>62</v>
      </c>
      <c r="B480" t="str">
        <f>IFERROR(__xludf.DUMMYFUNCTION("""COMPUTED_VALUE"""),"TAA4826")</f>
        <v>TAA4826</v>
      </c>
      <c r="C480">
        <f>IFERROR(__xludf.DUMMYFUNCTION("""COMPUTED_VALUE"""),1008966.0)</f>
        <v>1008966</v>
      </c>
      <c r="D480" t="str">
        <f>IFERROR(__xludf.DUMMYFUNCTION("""COMPUTED_VALUE"""),"Ms.")</f>
        <v>Ms.</v>
      </c>
      <c r="E480" t="str">
        <f>IFERROR(__xludf.DUMMYFUNCTION("""COMPUTED_VALUE"""),"Krittaya")</f>
        <v>Krittaya</v>
      </c>
      <c r="F480" t="str">
        <f>IFERROR(__xludf.DUMMYFUNCTION("""COMPUTED_VALUE"""),"Panyalee")</f>
        <v>Panyalee</v>
      </c>
      <c r="G480" t="str">
        <f>IFERROR(__xludf.DUMMYFUNCTION("""COMPUTED_VALUE"""),"Krittaya Panyalee")</f>
        <v>Krittaya Panyalee</v>
      </c>
    </row>
    <row r="481">
      <c r="A481" s="142">
        <f>IFERROR(__xludf.DUMMYFUNCTION("""COMPUTED_VALUE"""),62.0)</f>
        <v>62</v>
      </c>
      <c r="B481" t="str">
        <f>IFERROR(__xludf.DUMMYFUNCTION("""COMPUTED_VALUE"""),"TAA4829")</f>
        <v>TAA4829</v>
      </c>
      <c r="C481">
        <f>IFERROR(__xludf.DUMMYFUNCTION("""COMPUTED_VALUE"""),1008977.0)</f>
        <v>1008977</v>
      </c>
      <c r="D481" t="str">
        <f>IFERROR(__xludf.DUMMYFUNCTION("""COMPUTED_VALUE"""),"Mrs.")</f>
        <v>Mrs.</v>
      </c>
      <c r="E481" t="str">
        <f>IFERROR(__xludf.DUMMYFUNCTION("""COMPUTED_VALUE"""),"Nalaphan")</f>
        <v>Nalaphan</v>
      </c>
      <c r="F481" t="str">
        <f>IFERROR(__xludf.DUMMYFUNCTION("""COMPUTED_VALUE"""),"Suppaboriwat (Suwannasit)")</f>
        <v>Suppaboriwat (Suwannasit)</v>
      </c>
      <c r="G481" t="str">
        <f>IFERROR(__xludf.DUMMYFUNCTION("""COMPUTED_VALUE"""),"Nalaphan Suppaboriwat")</f>
        <v>Nalaphan Suppaboriwat</v>
      </c>
    </row>
    <row r="482">
      <c r="A482" s="142">
        <f>IFERROR(__xludf.DUMMYFUNCTION("""COMPUTED_VALUE"""),62.0)</f>
        <v>62</v>
      </c>
      <c r="B482" t="str">
        <f>IFERROR(__xludf.DUMMYFUNCTION("""COMPUTED_VALUE"""),"TAA4828")</f>
        <v>TAA4828</v>
      </c>
      <c r="C482">
        <f>IFERROR(__xludf.DUMMYFUNCTION("""COMPUTED_VALUE"""),1008985.0)</f>
        <v>1008985</v>
      </c>
      <c r="D482" t="str">
        <f>IFERROR(__xludf.DUMMYFUNCTION("""COMPUTED_VALUE"""),"Ms.")</f>
        <v>Ms.</v>
      </c>
      <c r="E482" t="str">
        <f>IFERROR(__xludf.DUMMYFUNCTION("""COMPUTED_VALUE"""),"Pangphet")</f>
        <v>Pangphet</v>
      </c>
      <c r="F482" t="str">
        <f>IFERROR(__xludf.DUMMYFUNCTION("""COMPUTED_VALUE"""),"Nannar (Ruankampa)")</f>
        <v>Nannar (Ruankampa)</v>
      </c>
      <c r="G482" t="str">
        <f>IFERROR(__xludf.DUMMYFUNCTION("""COMPUTED_VALUE"""),"Pangphet Nannar")</f>
        <v>Pangphet Nannar</v>
      </c>
    </row>
    <row r="484">
      <c r="A484" s="142">
        <f>IFERROR(__xludf.DUMMYFUNCTION("""COMPUTED_VALUE"""),63.0)</f>
        <v>63</v>
      </c>
      <c r="B484" t="str">
        <f>IFERROR(__xludf.DUMMYFUNCTION("""COMPUTED_VALUE"""),"TAA5158")</f>
        <v>TAA5158</v>
      </c>
      <c r="C484">
        <f>IFERROR(__xludf.DUMMYFUNCTION("""COMPUTED_VALUE"""),1009670.0)</f>
        <v>1009670</v>
      </c>
      <c r="D484" t="str">
        <f>IFERROR(__xludf.DUMMYFUNCTION("""COMPUTED_VALUE"""),"Ms.")</f>
        <v>Ms.</v>
      </c>
      <c r="E484" t="str">
        <f>IFERROR(__xludf.DUMMYFUNCTION("""COMPUTED_VALUE"""),"Sasima")</f>
        <v>Sasima</v>
      </c>
      <c r="F484" t="str">
        <f>IFERROR(__xludf.DUMMYFUNCTION("""COMPUTED_VALUE"""),"Rattanasumrit")</f>
        <v>Rattanasumrit</v>
      </c>
      <c r="G484" t="str">
        <f>IFERROR(__xludf.DUMMYFUNCTION("""COMPUTED_VALUE"""),"Sasima Rattanasumrit")</f>
        <v>Sasima Rattanasumrit</v>
      </c>
    </row>
    <row r="485">
      <c r="A485" s="142">
        <f>IFERROR(__xludf.DUMMYFUNCTION("""COMPUTED_VALUE"""),63.0)</f>
        <v>63</v>
      </c>
      <c r="B485" t="str">
        <f>IFERROR(__xludf.DUMMYFUNCTION("""COMPUTED_VALUE"""),"TAA5125")</f>
        <v>TAA5125</v>
      </c>
      <c r="C485">
        <f>IFERROR(__xludf.DUMMYFUNCTION("""COMPUTED_VALUE"""),1009741.0)</f>
        <v>1009741</v>
      </c>
      <c r="D485" t="str">
        <f>IFERROR(__xludf.DUMMYFUNCTION("""COMPUTED_VALUE"""),"Ms.")</f>
        <v>Ms.</v>
      </c>
      <c r="E485" t="str">
        <f>IFERROR(__xludf.DUMMYFUNCTION("""COMPUTED_VALUE"""),"Amika")</f>
        <v>Amika</v>
      </c>
      <c r="F485" t="str">
        <f>IFERROR(__xludf.DUMMYFUNCTION("""COMPUTED_VALUE"""),"Katchapanan")</f>
        <v>Katchapanan</v>
      </c>
      <c r="G485" t="str">
        <f>IFERROR(__xludf.DUMMYFUNCTION("""COMPUTED_VALUE"""),"Amika Katchapanan")</f>
        <v>Amika Katchapanan</v>
      </c>
    </row>
    <row r="486">
      <c r="A486" s="142">
        <f>IFERROR(__xludf.DUMMYFUNCTION("""COMPUTED_VALUE"""),63.0)</f>
        <v>63</v>
      </c>
      <c r="B486" t="str">
        <f>IFERROR(__xludf.DUMMYFUNCTION("""COMPUTED_VALUE"""),"TAA5128")</f>
        <v>TAA5128</v>
      </c>
      <c r="C486">
        <f>IFERROR(__xludf.DUMMYFUNCTION("""COMPUTED_VALUE"""),1009756.0)</f>
        <v>1009756</v>
      </c>
      <c r="D486" t="str">
        <f>IFERROR(__xludf.DUMMYFUNCTION("""COMPUTED_VALUE"""),"Ms.")</f>
        <v>Ms.</v>
      </c>
      <c r="E486" t="str">
        <f>IFERROR(__xludf.DUMMYFUNCTION("""COMPUTED_VALUE"""),"Panisara")</f>
        <v>Panisara</v>
      </c>
      <c r="F486" t="str">
        <f>IFERROR(__xludf.DUMMYFUNCTION("""COMPUTED_VALUE"""),"Purintraphiban")</f>
        <v>Purintraphiban</v>
      </c>
      <c r="G486" t="str">
        <f>IFERROR(__xludf.DUMMYFUNCTION("""COMPUTED_VALUE"""),"Panisara Purintraphiban")</f>
        <v>Panisara Purintraphiban</v>
      </c>
    </row>
    <row r="487">
      <c r="A487" s="142">
        <f>IFERROR(__xludf.DUMMYFUNCTION("""COMPUTED_VALUE"""),63.0)</f>
        <v>63</v>
      </c>
      <c r="B487" t="str">
        <f>IFERROR(__xludf.DUMMYFUNCTION("""COMPUTED_VALUE"""),"TAA5127")</f>
        <v>TAA5127</v>
      </c>
      <c r="C487">
        <f>IFERROR(__xludf.DUMMYFUNCTION("""COMPUTED_VALUE"""),1009757.0)</f>
        <v>1009757</v>
      </c>
      <c r="D487" t="str">
        <f>IFERROR(__xludf.DUMMYFUNCTION("""COMPUTED_VALUE"""),"Ms.")</f>
        <v>Ms.</v>
      </c>
      <c r="E487" t="str">
        <f>IFERROR(__xludf.DUMMYFUNCTION("""COMPUTED_VALUE"""),"Pattrawan")</f>
        <v>Pattrawan</v>
      </c>
      <c r="F487" t="str">
        <f>IFERROR(__xludf.DUMMYFUNCTION("""COMPUTED_VALUE"""),"Wongchirawat")</f>
        <v>Wongchirawat</v>
      </c>
      <c r="G487" t="str">
        <f>IFERROR(__xludf.DUMMYFUNCTION("""COMPUTED_VALUE"""),"Pattrawan Wongchirawat")</f>
        <v>Pattrawan Wongchirawat</v>
      </c>
    </row>
    <row r="488">
      <c r="A488" s="142">
        <f>IFERROR(__xludf.DUMMYFUNCTION("""COMPUTED_VALUE"""),63.0)</f>
        <v>63</v>
      </c>
      <c r="B488" t="str">
        <f>IFERROR(__xludf.DUMMYFUNCTION("""COMPUTED_VALUE"""),"TAA5121")</f>
        <v>TAA5121</v>
      </c>
      <c r="C488">
        <f>IFERROR(__xludf.DUMMYFUNCTION("""COMPUTED_VALUE"""),1009759.0)</f>
        <v>1009759</v>
      </c>
      <c r="D488" t="str">
        <f>IFERROR(__xludf.DUMMYFUNCTION("""COMPUTED_VALUE"""),"Ms.")</f>
        <v>Ms.</v>
      </c>
      <c r="E488" t="str">
        <f>IFERROR(__xludf.DUMMYFUNCTION("""COMPUTED_VALUE"""),"Rattanaporn")</f>
        <v>Rattanaporn</v>
      </c>
      <c r="F488" t="str">
        <f>IFERROR(__xludf.DUMMYFUNCTION("""COMPUTED_VALUE"""),"Boonin")</f>
        <v>Boonin</v>
      </c>
      <c r="G488" t="str">
        <f>IFERROR(__xludf.DUMMYFUNCTION("""COMPUTED_VALUE"""),"Rattanaporn Boonin")</f>
        <v>Rattanaporn Boonin</v>
      </c>
    </row>
    <row r="489">
      <c r="A489" s="142">
        <f>IFERROR(__xludf.DUMMYFUNCTION("""COMPUTED_VALUE"""),63.0)</f>
        <v>63</v>
      </c>
      <c r="B489" t="str">
        <f>IFERROR(__xludf.DUMMYFUNCTION("""COMPUTED_VALUE"""),"TAA5136")</f>
        <v>TAA5136</v>
      </c>
      <c r="C489">
        <f>IFERROR(__xludf.DUMMYFUNCTION("""COMPUTED_VALUE"""),1009764.0)</f>
        <v>1009764</v>
      </c>
      <c r="D489" t="str">
        <f>IFERROR(__xludf.DUMMYFUNCTION("""COMPUTED_VALUE"""),"Mr.")</f>
        <v>Mr.</v>
      </c>
      <c r="E489" t="str">
        <f>IFERROR(__xludf.DUMMYFUNCTION("""COMPUTED_VALUE"""),"Sittichai")</f>
        <v>Sittichai</v>
      </c>
      <c r="F489" t="str">
        <f>IFERROR(__xludf.DUMMYFUNCTION("""COMPUTED_VALUE"""),"Kaewsuriyan")</f>
        <v>Kaewsuriyan</v>
      </c>
      <c r="G489" t="str">
        <f>IFERROR(__xludf.DUMMYFUNCTION("""COMPUTED_VALUE"""),"Sittichai Kaewsuriyan")</f>
        <v>Sittichai Kaewsuriyan</v>
      </c>
    </row>
    <row r="490">
      <c r="A490" s="142">
        <f>IFERROR(__xludf.DUMMYFUNCTION("""COMPUTED_VALUE"""),63.0)</f>
        <v>63</v>
      </c>
      <c r="B490" t="str">
        <f>IFERROR(__xludf.DUMMYFUNCTION("""COMPUTED_VALUE"""),"TAA5123")</f>
        <v>TAA5123</v>
      </c>
      <c r="C490">
        <f>IFERROR(__xludf.DUMMYFUNCTION("""COMPUTED_VALUE"""),1009765.0)</f>
        <v>1009765</v>
      </c>
      <c r="D490" t="str">
        <f>IFERROR(__xludf.DUMMYFUNCTION("""COMPUTED_VALUE"""),"Ms.")</f>
        <v>Ms.</v>
      </c>
      <c r="E490" t="str">
        <f>IFERROR(__xludf.DUMMYFUNCTION("""COMPUTED_VALUE"""),"Sumitra")</f>
        <v>Sumitra</v>
      </c>
      <c r="F490" t="str">
        <f>IFERROR(__xludf.DUMMYFUNCTION("""COMPUTED_VALUE"""),"Nipanutiyan")</f>
        <v>Nipanutiyan</v>
      </c>
      <c r="G490" t="str">
        <f>IFERROR(__xludf.DUMMYFUNCTION("""COMPUTED_VALUE"""),"Sumitra Nipanutiyan")</f>
        <v>Sumitra Nipanutiyan</v>
      </c>
    </row>
    <row r="491">
      <c r="A491" s="142">
        <f>IFERROR(__xludf.DUMMYFUNCTION("""COMPUTED_VALUE"""),63.0)</f>
        <v>63</v>
      </c>
      <c r="B491" t="str">
        <f>IFERROR(__xludf.DUMMYFUNCTION("""COMPUTED_VALUE"""),"TAA5135")</f>
        <v>TAA5135</v>
      </c>
      <c r="C491">
        <f>IFERROR(__xludf.DUMMYFUNCTION("""COMPUTED_VALUE"""),1009768.0)</f>
        <v>1009768</v>
      </c>
      <c r="D491" t="str">
        <f>IFERROR(__xludf.DUMMYFUNCTION("""COMPUTED_VALUE"""),"Mr.")</f>
        <v>Mr.</v>
      </c>
      <c r="E491" t="str">
        <f>IFERROR(__xludf.DUMMYFUNCTION("""COMPUTED_VALUE"""),"Thidech")</f>
        <v>Thidech</v>
      </c>
      <c r="F491" t="str">
        <f>IFERROR(__xludf.DUMMYFUNCTION("""COMPUTED_VALUE"""),"Eakmongkollert")</f>
        <v>Eakmongkollert</v>
      </c>
      <c r="G491" t="str">
        <f>IFERROR(__xludf.DUMMYFUNCTION("""COMPUTED_VALUE"""),"Thidech Eakmongkollert")</f>
        <v>Thidech Eakmongkollert</v>
      </c>
    </row>
    <row r="492">
      <c r="A492" s="142">
        <f>IFERROR(__xludf.DUMMYFUNCTION("""COMPUTED_VALUE"""),63.0)</f>
        <v>63</v>
      </c>
      <c r="B492" t="str">
        <f>IFERROR(__xludf.DUMMYFUNCTION("""COMPUTED_VALUE"""),"TAA5133")</f>
        <v>TAA5133</v>
      </c>
      <c r="C492">
        <f>IFERROR(__xludf.DUMMYFUNCTION("""COMPUTED_VALUE"""),1009770.0)</f>
        <v>1009770</v>
      </c>
      <c r="D492" t="str">
        <f>IFERROR(__xludf.DUMMYFUNCTION("""COMPUTED_VALUE"""),"Mr.")</f>
        <v>Mr.</v>
      </c>
      <c r="E492" t="str">
        <f>IFERROR(__xludf.DUMMYFUNCTION("""COMPUTED_VALUE"""),"Wuttiphat")</f>
        <v>Wuttiphat</v>
      </c>
      <c r="F492" t="str">
        <f>IFERROR(__xludf.DUMMYFUNCTION("""COMPUTED_VALUE"""),"Akenoot")</f>
        <v>Akenoot</v>
      </c>
      <c r="G492" t="str">
        <f>IFERROR(__xludf.DUMMYFUNCTION("""COMPUTED_VALUE"""),"Wuttiphat Akenoot")</f>
        <v>Wuttiphat Akenoot</v>
      </c>
    </row>
    <row r="494">
      <c r="A494" s="142">
        <f>IFERROR(__xludf.DUMMYFUNCTION("""COMPUTED_VALUE"""),64.0)</f>
        <v>64</v>
      </c>
      <c r="B494" t="str">
        <f>IFERROR(__xludf.DUMMYFUNCTION("""COMPUTED_VALUE"""),"TAA5131")</f>
        <v>TAA5131</v>
      </c>
      <c r="C494">
        <f>IFERROR(__xludf.DUMMYFUNCTION("""COMPUTED_VALUE"""),1009799.0)</f>
        <v>1009799</v>
      </c>
      <c r="D494" t="str">
        <f>IFERROR(__xludf.DUMMYFUNCTION("""COMPUTED_VALUE"""),"Mr.")</f>
        <v>Mr.</v>
      </c>
      <c r="E494" t="str">
        <f>IFERROR(__xludf.DUMMYFUNCTION("""COMPUTED_VALUE"""),"Kittirat")</f>
        <v>Kittirat</v>
      </c>
      <c r="F494" t="str">
        <f>IFERROR(__xludf.DUMMYFUNCTION("""COMPUTED_VALUE"""),"Aujsri")</f>
        <v>Aujsri</v>
      </c>
      <c r="G494" t="str">
        <f>IFERROR(__xludf.DUMMYFUNCTION("""COMPUTED_VALUE"""),"Kittirat Aujsri")</f>
        <v>Kittirat Aujsri</v>
      </c>
    </row>
    <row r="495">
      <c r="A495" s="142">
        <f>IFERROR(__xludf.DUMMYFUNCTION("""COMPUTED_VALUE"""),64.0)</f>
        <v>64</v>
      </c>
      <c r="B495" t="str">
        <f>IFERROR(__xludf.DUMMYFUNCTION("""COMPUTED_VALUE"""),"TAA5154")</f>
        <v>TAA5154</v>
      </c>
      <c r="C495">
        <f>IFERROR(__xludf.DUMMYFUNCTION("""COMPUTED_VALUE"""),1009809.0)</f>
        <v>1009809</v>
      </c>
      <c r="D495" t="str">
        <f>IFERROR(__xludf.DUMMYFUNCTION("""COMPUTED_VALUE"""),"Mr.")</f>
        <v>Mr.</v>
      </c>
      <c r="E495" t="str">
        <f>IFERROR(__xludf.DUMMYFUNCTION("""COMPUTED_VALUE"""),"Naphat")</f>
        <v>Naphat</v>
      </c>
      <c r="F495" t="str">
        <f>IFERROR(__xludf.DUMMYFUNCTION("""COMPUTED_VALUE"""),"Yantaragorn")</f>
        <v>Yantaragorn</v>
      </c>
      <c r="G495" t="str">
        <f>IFERROR(__xludf.DUMMYFUNCTION("""COMPUTED_VALUE"""),"Naphat Yantaragorn")</f>
        <v>Naphat Yantaragorn</v>
      </c>
    </row>
    <row r="496">
      <c r="A496" s="142">
        <f>IFERROR(__xludf.DUMMYFUNCTION("""COMPUTED_VALUE"""),64.0)</f>
        <v>64</v>
      </c>
      <c r="B496" t="str">
        <f>IFERROR(__xludf.DUMMYFUNCTION("""COMPUTED_VALUE"""),"TAA5140")</f>
        <v>TAA5140</v>
      </c>
      <c r="C496">
        <f>IFERROR(__xludf.DUMMYFUNCTION("""COMPUTED_VALUE"""),1009811.0)</f>
        <v>1009811</v>
      </c>
      <c r="D496" t="str">
        <f>IFERROR(__xludf.DUMMYFUNCTION("""COMPUTED_VALUE"""),"Ms.")</f>
        <v>Ms.</v>
      </c>
      <c r="E496" t="str">
        <f>IFERROR(__xludf.DUMMYFUNCTION("""COMPUTED_VALUE"""),"Natchanan")</f>
        <v>Natchanan</v>
      </c>
      <c r="F496" t="str">
        <f>IFERROR(__xludf.DUMMYFUNCTION("""COMPUTED_VALUE"""),"Pena Viegas ")</f>
        <v>Pena Viegas </v>
      </c>
      <c r="G496" t="str">
        <f>IFERROR(__xludf.DUMMYFUNCTION("""COMPUTED_VALUE"""),"Natchanan Pena Viegas")</f>
        <v>Natchanan Pena Viegas</v>
      </c>
    </row>
    <row r="497">
      <c r="A497" s="142">
        <f>IFERROR(__xludf.DUMMYFUNCTION("""COMPUTED_VALUE"""),64.0)</f>
        <v>64</v>
      </c>
      <c r="B497" t="str">
        <f>IFERROR(__xludf.DUMMYFUNCTION("""COMPUTED_VALUE"""),"TAA5146")</f>
        <v>TAA5146</v>
      </c>
      <c r="C497">
        <f>IFERROR(__xludf.DUMMYFUNCTION("""COMPUTED_VALUE"""),1009816.0)</f>
        <v>1009816</v>
      </c>
      <c r="D497" t="str">
        <f>IFERROR(__xludf.DUMMYFUNCTION("""COMPUTED_VALUE"""),"Ms.")</f>
        <v>Ms.</v>
      </c>
      <c r="E497" t="str">
        <f>IFERROR(__xludf.DUMMYFUNCTION("""COMPUTED_VALUE"""),"Patteya")</f>
        <v>Patteya</v>
      </c>
      <c r="F497" t="str">
        <f>IFERROR(__xludf.DUMMYFUNCTION("""COMPUTED_VALUE"""),"Nukong")</f>
        <v>Nukong</v>
      </c>
      <c r="G497" t="str">
        <f>IFERROR(__xludf.DUMMYFUNCTION("""COMPUTED_VALUE"""),"Patteya Nukong")</f>
        <v>Patteya Nukong</v>
      </c>
    </row>
    <row r="498">
      <c r="A498" s="142">
        <f>IFERROR(__xludf.DUMMYFUNCTION("""COMPUTED_VALUE"""),64.0)</f>
        <v>64</v>
      </c>
      <c r="B498" t="str">
        <f>IFERROR(__xludf.DUMMYFUNCTION("""COMPUTED_VALUE"""),"TAA5145")</f>
        <v>TAA5145</v>
      </c>
      <c r="C498">
        <f>IFERROR(__xludf.DUMMYFUNCTION("""COMPUTED_VALUE"""),1009837.0)</f>
        <v>1009837</v>
      </c>
      <c r="D498" t="str">
        <f>IFERROR(__xludf.DUMMYFUNCTION("""COMPUTED_VALUE"""),"Ms.")</f>
        <v>Ms.</v>
      </c>
      <c r="E498" t="str">
        <f>IFERROR(__xludf.DUMMYFUNCTION("""COMPUTED_VALUE"""),"Toonkeawo")</f>
        <v>Toonkeawo</v>
      </c>
      <c r="F498" t="str">
        <f>IFERROR(__xludf.DUMMYFUNCTION("""COMPUTED_VALUE"""),"Shimada")</f>
        <v>Shimada</v>
      </c>
      <c r="G498" t="str">
        <f>IFERROR(__xludf.DUMMYFUNCTION("""COMPUTED_VALUE"""),"Toonkeawo Shimada")</f>
        <v>Toonkeawo Shimada</v>
      </c>
    </row>
    <row r="499">
      <c r="A499" s="142">
        <f>IFERROR(__xludf.DUMMYFUNCTION("""COMPUTED_VALUE"""),64.0)</f>
        <v>64</v>
      </c>
      <c r="B499" t="str">
        <f>IFERROR(__xludf.DUMMYFUNCTION("""COMPUTED_VALUE"""),"TAA5288")</f>
        <v>TAA5288</v>
      </c>
      <c r="C499">
        <f>IFERROR(__xludf.DUMMYFUNCTION("""COMPUTED_VALUE"""),1010430.0)</f>
        <v>1010430</v>
      </c>
      <c r="D499" t="str">
        <f>IFERROR(__xludf.DUMMYFUNCTION("""COMPUTED_VALUE"""),"Ms.")</f>
        <v>Ms.</v>
      </c>
      <c r="E499" t="str">
        <f>IFERROR(__xludf.DUMMYFUNCTION("""COMPUTED_VALUE"""),"Yamintar (Thapachcha)")</f>
        <v>Yamintar (Thapachcha)</v>
      </c>
      <c r="F499" t="str">
        <f>IFERROR(__xludf.DUMMYFUNCTION("""COMPUTED_VALUE"""),"Khanpimool")</f>
        <v>Khanpimool</v>
      </c>
      <c r="G499" t="str">
        <f>IFERROR(__xludf.DUMMYFUNCTION("""COMPUTED_VALUE"""),"Yamintar Khanpimool")</f>
        <v>Yamintar Khanpimool</v>
      </c>
    </row>
    <row r="500">
      <c r="A500" s="142">
        <f>IFERROR(__xludf.DUMMYFUNCTION("""COMPUTED_VALUE"""),64.0)</f>
        <v>64</v>
      </c>
      <c r="B500" t="str">
        <f>IFERROR(__xludf.DUMMYFUNCTION("""COMPUTED_VALUE"""),"TAA5546")</f>
        <v>TAA5546</v>
      </c>
      <c r="C500">
        <f>IFERROR(__xludf.DUMMYFUNCTION("""COMPUTED_VALUE"""),1010700.0)</f>
        <v>1010700</v>
      </c>
      <c r="D500" t="str">
        <f>IFERROR(__xludf.DUMMYFUNCTION("""COMPUTED_VALUE"""),"Ms.")</f>
        <v>Ms.</v>
      </c>
      <c r="E500" t="str">
        <f>IFERROR(__xludf.DUMMYFUNCTION("""COMPUTED_VALUE"""),"Buntika")</f>
        <v>Buntika</v>
      </c>
      <c r="F500" t="str">
        <f>IFERROR(__xludf.DUMMYFUNCTION("""COMPUTED_VALUE"""),"Wongkham")</f>
        <v>Wongkham</v>
      </c>
      <c r="G500" t="str">
        <f>IFERROR(__xludf.DUMMYFUNCTION("""COMPUTED_VALUE"""),"Buntika Wongkham")</f>
        <v>Buntika Wongkham</v>
      </c>
    </row>
    <row r="501">
      <c r="A501" s="142">
        <f>IFERROR(__xludf.DUMMYFUNCTION("""COMPUTED_VALUE"""),64.0)</f>
        <v>64</v>
      </c>
      <c r="B501" t="str">
        <f>IFERROR(__xludf.DUMMYFUNCTION("""COMPUTED_VALUE"""),"TAA5548")</f>
        <v>TAA5548</v>
      </c>
      <c r="C501">
        <f>IFERROR(__xludf.DUMMYFUNCTION("""COMPUTED_VALUE"""),1010731.0)</f>
        <v>1010731</v>
      </c>
      <c r="D501" t="str">
        <f>IFERROR(__xludf.DUMMYFUNCTION("""COMPUTED_VALUE"""),"Ms.")</f>
        <v>Ms.</v>
      </c>
      <c r="E501" t="str">
        <f>IFERROR(__xludf.DUMMYFUNCTION("""COMPUTED_VALUE"""),"Samatikan")</f>
        <v>Samatikan</v>
      </c>
      <c r="F501" t="str">
        <f>IFERROR(__xludf.DUMMYFUNCTION("""COMPUTED_VALUE"""),"Boonket")</f>
        <v>Boonket</v>
      </c>
      <c r="G501" t="str">
        <f>IFERROR(__xludf.DUMMYFUNCTION("""COMPUTED_VALUE"""),"Samatikan Boonket")</f>
        <v>Samatikan Boonket</v>
      </c>
    </row>
    <row r="503">
      <c r="A503" s="142">
        <f>IFERROR(__xludf.DUMMYFUNCTION("""COMPUTED_VALUE"""),65.0)</f>
        <v>65</v>
      </c>
      <c r="B503" t="str">
        <f>IFERROR(__xludf.DUMMYFUNCTION("""COMPUTED_VALUE"""),"TAA5506")</f>
        <v>TAA5506</v>
      </c>
      <c r="C503">
        <f>IFERROR(__xludf.DUMMYFUNCTION("""COMPUTED_VALUE"""),1010884.0)</f>
        <v>1010884</v>
      </c>
      <c r="D503" t="str">
        <f>IFERROR(__xludf.DUMMYFUNCTION("""COMPUTED_VALUE"""),"Mr.")</f>
        <v>Mr.</v>
      </c>
      <c r="E503" t="str">
        <f>IFERROR(__xludf.DUMMYFUNCTION("""COMPUTED_VALUE"""),"Gridsapol")</f>
        <v>Gridsapol</v>
      </c>
      <c r="F503" t="str">
        <f>IFERROR(__xludf.DUMMYFUNCTION("""COMPUTED_VALUE"""),"Kittipakorn")</f>
        <v>Kittipakorn</v>
      </c>
      <c r="G503" t="str">
        <f>IFERROR(__xludf.DUMMYFUNCTION("""COMPUTED_VALUE"""),"Gridsapol Kittipakorn")</f>
        <v>Gridsapol Kittipakorn</v>
      </c>
    </row>
    <row r="504">
      <c r="A504" s="142">
        <f>IFERROR(__xludf.DUMMYFUNCTION("""COMPUTED_VALUE"""),65.0)</f>
        <v>65</v>
      </c>
      <c r="B504" t="str">
        <f>IFERROR(__xludf.DUMMYFUNCTION("""COMPUTED_VALUE"""),"TAA5509")</f>
        <v>TAA5509</v>
      </c>
      <c r="C504">
        <f>IFERROR(__xludf.DUMMYFUNCTION("""COMPUTED_VALUE"""),1010904.0)</f>
        <v>1010904</v>
      </c>
      <c r="D504" t="str">
        <f>IFERROR(__xludf.DUMMYFUNCTION("""COMPUTED_VALUE"""),"Mr.")</f>
        <v>Mr.</v>
      </c>
      <c r="E504" t="str">
        <f>IFERROR(__xludf.DUMMYFUNCTION("""COMPUTED_VALUE"""),"Phadoongkiat")</f>
        <v>Phadoongkiat</v>
      </c>
      <c r="F504" t="str">
        <f>IFERROR(__xludf.DUMMYFUNCTION("""COMPUTED_VALUE"""),"Phanwilai")</f>
        <v>Phanwilai</v>
      </c>
      <c r="G504" t="str">
        <f>IFERROR(__xludf.DUMMYFUNCTION("""COMPUTED_VALUE"""),"Phadoongkiat Phanwilai")</f>
        <v>Phadoongkiat Phanwilai</v>
      </c>
    </row>
    <row r="505">
      <c r="A505" s="142">
        <f>IFERROR(__xludf.DUMMYFUNCTION("""COMPUTED_VALUE"""),65.0)</f>
        <v>65</v>
      </c>
      <c r="B505" t="str">
        <f>IFERROR(__xludf.DUMMYFUNCTION("""COMPUTED_VALUE"""),"TAA5510")</f>
        <v>TAA5510</v>
      </c>
      <c r="C505">
        <f>IFERROR(__xludf.DUMMYFUNCTION("""COMPUTED_VALUE"""),1010916.0)</f>
        <v>1010916</v>
      </c>
      <c r="D505" t="str">
        <f>IFERROR(__xludf.DUMMYFUNCTION("""COMPUTED_VALUE"""),"Mr.")</f>
        <v>Mr.</v>
      </c>
      <c r="E505" t="str">
        <f>IFERROR(__xludf.DUMMYFUNCTION("""COMPUTED_VALUE"""),"Sivakorn")</f>
        <v>Sivakorn</v>
      </c>
      <c r="F505" t="str">
        <f>IFERROR(__xludf.DUMMYFUNCTION("""COMPUTED_VALUE"""),"Sangsukiam")</f>
        <v>Sangsukiam</v>
      </c>
      <c r="G505" t="str">
        <f>IFERROR(__xludf.DUMMYFUNCTION("""COMPUTED_VALUE"""),"Sivakorn Sangsukiam")</f>
        <v>Sivakorn Sangsukiam</v>
      </c>
    </row>
    <row r="506">
      <c r="A506" s="142">
        <f>IFERROR(__xludf.DUMMYFUNCTION("""COMPUTED_VALUE"""),65.0)</f>
        <v>65</v>
      </c>
      <c r="B506" t="str">
        <f>IFERROR(__xludf.DUMMYFUNCTION("""COMPUTED_VALUE"""),"TAA5547")</f>
        <v>TAA5547</v>
      </c>
      <c r="C506">
        <f>IFERROR(__xludf.DUMMYFUNCTION("""COMPUTED_VALUE"""),1010934.0)</f>
        <v>1010934</v>
      </c>
      <c r="D506" t="str">
        <f>IFERROR(__xludf.DUMMYFUNCTION("""COMPUTED_VALUE"""),"Mr.")</f>
        <v>Mr.</v>
      </c>
      <c r="E506" t="str">
        <f>IFERROR(__xludf.DUMMYFUNCTION("""COMPUTED_VALUE"""),"Werawat")</f>
        <v>Werawat</v>
      </c>
      <c r="F506" t="str">
        <f>IFERROR(__xludf.DUMMYFUNCTION("""COMPUTED_VALUE"""),"Sittipachaikul")</f>
        <v>Sittipachaikul</v>
      </c>
      <c r="G506" t="str">
        <f>IFERROR(__xludf.DUMMYFUNCTION("""COMPUTED_VALUE"""),"Werawat Sittipachaikul")</f>
        <v>Werawat Sittipachaikul</v>
      </c>
    </row>
    <row r="507">
      <c r="A507" s="142">
        <f>IFERROR(__xludf.DUMMYFUNCTION("""COMPUTED_VALUE"""),65.0)</f>
        <v>65</v>
      </c>
      <c r="B507" t="str">
        <f>IFERROR(__xludf.DUMMYFUNCTION("""COMPUTED_VALUE"""),"TAA5508")</f>
        <v>TAA5508</v>
      </c>
      <c r="C507">
        <f>IFERROR(__xludf.DUMMYFUNCTION("""COMPUTED_VALUE"""),1010939.0)</f>
        <v>1010939</v>
      </c>
      <c r="D507" t="str">
        <f>IFERROR(__xludf.DUMMYFUNCTION("""COMPUTED_VALUE"""),"Mr.")</f>
        <v>Mr.</v>
      </c>
      <c r="E507" t="str">
        <f>IFERROR(__xludf.DUMMYFUNCTION("""COMPUTED_VALUE"""),"Yuwarat")</f>
        <v>Yuwarat</v>
      </c>
      <c r="F507" t="str">
        <f>IFERROR(__xludf.DUMMYFUNCTION("""COMPUTED_VALUE"""),"Meesap")</f>
        <v>Meesap</v>
      </c>
      <c r="G507" t="str">
        <f>IFERROR(__xludf.DUMMYFUNCTION("""COMPUTED_VALUE"""),"Yuwarat Meesap")</f>
        <v>Yuwarat Meesap</v>
      </c>
    </row>
    <row r="509">
      <c r="A509" s="142">
        <f>IFERROR(__xludf.DUMMYFUNCTION("""COMPUTED_VALUE"""),66.0)</f>
        <v>66</v>
      </c>
      <c r="B509" t="str">
        <f>IFERROR(__xludf.DUMMYFUNCTION("""COMPUTED_VALUE"""),"TAA5527")</f>
        <v>TAA5527</v>
      </c>
      <c r="C509">
        <f>IFERROR(__xludf.DUMMYFUNCTION("""COMPUTED_VALUE"""),1010879.0)</f>
        <v>1010879</v>
      </c>
      <c r="D509" t="str">
        <f>IFERROR(__xludf.DUMMYFUNCTION("""COMPUTED_VALUE"""),"Ms.")</f>
        <v>Ms.</v>
      </c>
      <c r="E509" t="str">
        <f>IFERROR(__xludf.DUMMYFUNCTION("""COMPUTED_VALUE"""),"Bhasana")</f>
        <v>Bhasana</v>
      </c>
      <c r="F509" t="str">
        <f>IFERROR(__xludf.DUMMYFUNCTION("""COMPUTED_VALUE"""),"Chindalat")</f>
        <v>Chindalat</v>
      </c>
      <c r="G509" t="str">
        <f>IFERROR(__xludf.DUMMYFUNCTION("""COMPUTED_VALUE"""),"Bhasana Chindalat")</f>
        <v>Bhasana Chindalat</v>
      </c>
    </row>
    <row r="510">
      <c r="A510" s="142">
        <f>IFERROR(__xludf.DUMMYFUNCTION("""COMPUTED_VALUE"""),66.0)</f>
        <v>66</v>
      </c>
      <c r="B510" t="str">
        <f>IFERROR(__xludf.DUMMYFUNCTION("""COMPUTED_VALUE"""),"TAA5520")</f>
        <v>TAA5520</v>
      </c>
      <c r="C510">
        <f>IFERROR(__xludf.DUMMYFUNCTION("""COMPUTED_VALUE"""),1010880.0)</f>
        <v>1010880</v>
      </c>
      <c r="D510" t="str">
        <f>IFERROR(__xludf.DUMMYFUNCTION("""COMPUTED_VALUE"""),"Ms.")</f>
        <v>Ms.</v>
      </c>
      <c r="E510" t="str">
        <f>IFERROR(__xludf.DUMMYFUNCTION("""COMPUTED_VALUE"""),"Chutima")</f>
        <v>Chutima</v>
      </c>
      <c r="F510" t="str">
        <f>IFERROR(__xludf.DUMMYFUNCTION("""COMPUTED_VALUE"""),"Thitisantikhun")</f>
        <v>Thitisantikhun</v>
      </c>
      <c r="G510" t="str">
        <f>IFERROR(__xludf.DUMMYFUNCTION("""COMPUTED_VALUE"""),"Chutima Thitisantikhun")</f>
        <v>Chutima Thitisantikhun</v>
      </c>
    </row>
    <row r="511">
      <c r="A511" s="142">
        <f>IFERROR(__xludf.DUMMYFUNCTION("""COMPUTED_VALUE"""),66.0)</f>
        <v>66</v>
      </c>
      <c r="B511" t="str">
        <f>IFERROR(__xludf.DUMMYFUNCTION("""COMPUTED_VALUE"""),"TAA5512")</f>
        <v>TAA5512</v>
      </c>
      <c r="C511">
        <f>IFERROR(__xludf.DUMMYFUNCTION("""COMPUTED_VALUE"""),1010890.0)</f>
        <v>1010890</v>
      </c>
      <c r="D511" t="str">
        <f>IFERROR(__xludf.DUMMYFUNCTION("""COMPUTED_VALUE"""),"Ms.")</f>
        <v>Ms.</v>
      </c>
      <c r="E511" t="str">
        <f>IFERROR(__xludf.DUMMYFUNCTION("""COMPUTED_VALUE"""),"Keetawan")</f>
        <v>Keetawan</v>
      </c>
      <c r="F511" t="str">
        <f>IFERROR(__xludf.DUMMYFUNCTION("""COMPUTED_VALUE"""),"Udomkiattikul (Pansomboon)")</f>
        <v>Udomkiattikul (Pansomboon)</v>
      </c>
      <c r="G511" t="str">
        <f>IFERROR(__xludf.DUMMYFUNCTION("""COMPUTED_VALUE"""),"Keetawan Udomkiattikul")</f>
        <v>Keetawan Udomkiattikul</v>
      </c>
    </row>
    <row r="512">
      <c r="A512" s="142">
        <f>IFERROR(__xludf.DUMMYFUNCTION("""COMPUTED_VALUE"""),66.0)</f>
        <v>66</v>
      </c>
      <c r="B512" t="str">
        <f>IFERROR(__xludf.DUMMYFUNCTION("""COMPUTED_VALUE"""),"TAA5524")</f>
        <v>TAA5524</v>
      </c>
      <c r="C512">
        <f>IFERROR(__xludf.DUMMYFUNCTION("""COMPUTED_VALUE"""),1010897.0)</f>
        <v>1010897</v>
      </c>
      <c r="D512" t="str">
        <f>IFERROR(__xludf.DUMMYFUNCTION("""COMPUTED_VALUE"""),"Ms.")</f>
        <v>Ms.</v>
      </c>
      <c r="E512" t="str">
        <f>IFERROR(__xludf.DUMMYFUNCTION("""COMPUTED_VALUE"""),"Natcharee")</f>
        <v>Natcharee</v>
      </c>
      <c r="F512" t="str">
        <f>IFERROR(__xludf.DUMMYFUNCTION("""COMPUTED_VALUE"""),"Wisespun")</f>
        <v>Wisespun</v>
      </c>
      <c r="G512" t="str">
        <f>IFERROR(__xludf.DUMMYFUNCTION("""COMPUTED_VALUE"""),"Natcharee Wisespun")</f>
        <v>Natcharee Wisespun</v>
      </c>
    </row>
    <row r="513">
      <c r="A513" s="142">
        <f>IFERROR(__xludf.DUMMYFUNCTION("""COMPUTED_VALUE"""),66.0)</f>
        <v>66</v>
      </c>
      <c r="B513" t="str">
        <f>IFERROR(__xludf.DUMMYFUNCTION("""COMPUTED_VALUE"""),"TAA5525")</f>
        <v>TAA5525</v>
      </c>
      <c r="C513">
        <f>IFERROR(__xludf.DUMMYFUNCTION("""COMPUTED_VALUE"""),1010905.0)</f>
        <v>1010905</v>
      </c>
      <c r="D513" t="str">
        <f>IFERROR(__xludf.DUMMYFUNCTION("""COMPUTED_VALUE"""),"Ms.")</f>
        <v>Ms.</v>
      </c>
      <c r="E513" t="str">
        <f>IFERROR(__xludf.DUMMYFUNCTION("""COMPUTED_VALUE"""),"Phiraya")</f>
        <v>Phiraya</v>
      </c>
      <c r="F513" t="str">
        <f>IFERROR(__xludf.DUMMYFUNCTION("""COMPUTED_VALUE"""),"Panthongkum")</f>
        <v>Panthongkum</v>
      </c>
      <c r="G513" t="str">
        <f>IFERROR(__xludf.DUMMYFUNCTION("""COMPUTED_VALUE"""),"Phiraya Panthongkum")</f>
        <v>Phiraya Panthongkum</v>
      </c>
    </row>
    <row r="514">
      <c r="A514" s="142">
        <f>IFERROR(__xludf.DUMMYFUNCTION("""COMPUTED_VALUE"""),66.0)</f>
        <v>66</v>
      </c>
      <c r="B514" t="str">
        <f>IFERROR(__xludf.DUMMYFUNCTION("""COMPUTED_VALUE"""),"TAA5532")</f>
        <v>TAA5532</v>
      </c>
      <c r="C514">
        <f>IFERROR(__xludf.DUMMYFUNCTION("""COMPUTED_VALUE"""),1010906.0)</f>
        <v>1010906</v>
      </c>
      <c r="D514" t="str">
        <f>IFERROR(__xludf.DUMMYFUNCTION("""COMPUTED_VALUE"""),"Mr.")</f>
        <v>Mr.</v>
      </c>
      <c r="E514" t="str">
        <f>IFERROR(__xludf.DUMMYFUNCTION("""COMPUTED_VALUE"""),"Pirathat")</f>
        <v>Pirathat</v>
      </c>
      <c r="F514" t="str">
        <f>IFERROR(__xludf.DUMMYFUNCTION("""COMPUTED_VALUE"""),"Tima")</f>
        <v>Tima</v>
      </c>
      <c r="G514" t="str">
        <f>IFERROR(__xludf.DUMMYFUNCTION("""COMPUTED_VALUE"""),"Pirathat Tima")</f>
        <v>Pirathat Tima</v>
      </c>
    </row>
    <row r="515">
      <c r="A515" s="142">
        <f>IFERROR(__xludf.DUMMYFUNCTION("""COMPUTED_VALUE"""),66.0)</f>
        <v>66</v>
      </c>
      <c r="B515" t="str">
        <f>IFERROR(__xludf.DUMMYFUNCTION("""COMPUTED_VALUE"""),"TAA5516")</f>
        <v>TAA5516</v>
      </c>
      <c r="C515">
        <f>IFERROR(__xludf.DUMMYFUNCTION("""COMPUTED_VALUE"""),1010915.0)</f>
        <v>1010915</v>
      </c>
      <c r="D515" t="str">
        <f>IFERROR(__xludf.DUMMYFUNCTION("""COMPUTED_VALUE"""),"Ms.")</f>
        <v>Ms.</v>
      </c>
      <c r="E515" t="str">
        <f>IFERROR(__xludf.DUMMYFUNCTION("""COMPUTED_VALUE"""),"Sirirut")</f>
        <v>Sirirut</v>
      </c>
      <c r="F515" t="str">
        <f>IFERROR(__xludf.DUMMYFUNCTION("""COMPUTED_VALUE"""),"Ruasomboon")</f>
        <v>Ruasomboon</v>
      </c>
      <c r="G515" t="str">
        <f>IFERROR(__xludf.DUMMYFUNCTION("""COMPUTED_VALUE"""),"Sirirut Ruasomboon")</f>
        <v>Sirirut Ruasomboon</v>
      </c>
    </row>
    <row r="516">
      <c r="A516" s="142">
        <f>IFERROR(__xludf.DUMMYFUNCTION("""COMPUTED_VALUE"""),66.0)</f>
        <v>66</v>
      </c>
      <c r="B516" t="str">
        <f>IFERROR(__xludf.DUMMYFUNCTION("""COMPUTED_VALUE"""),"TAA5521")</f>
        <v>TAA5521</v>
      </c>
      <c r="C516">
        <f>IFERROR(__xludf.DUMMYFUNCTION("""COMPUTED_VALUE"""),1010919.0)</f>
        <v>1010919</v>
      </c>
      <c r="D516" t="str">
        <f>IFERROR(__xludf.DUMMYFUNCTION("""COMPUTED_VALUE"""),"Mr.")</f>
        <v>Mr.</v>
      </c>
      <c r="E516" t="str">
        <f>IFERROR(__xludf.DUMMYFUNCTION("""COMPUTED_VALUE"""),"Suntorn")</f>
        <v>Suntorn</v>
      </c>
      <c r="F516" t="str">
        <f>IFERROR(__xludf.DUMMYFUNCTION("""COMPUTED_VALUE"""),"Srimasongserm")</f>
        <v>Srimasongserm</v>
      </c>
      <c r="G516" t="str">
        <f>IFERROR(__xludf.DUMMYFUNCTION("""COMPUTED_VALUE"""),"Suntorn Srimasongserm")</f>
        <v>Suntorn Srimasongserm</v>
      </c>
    </row>
    <row r="517">
      <c r="A517" s="142">
        <f>IFERROR(__xludf.DUMMYFUNCTION("""COMPUTED_VALUE"""),66.0)</f>
        <v>66</v>
      </c>
      <c r="B517" t="str">
        <f>IFERROR(__xludf.DUMMYFUNCTION("""COMPUTED_VALUE"""),"TAA5529")</f>
        <v>TAA5529</v>
      </c>
      <c r="C517">
        <f>IFERROR(__xludf.DUMMYFUNCTION("""COMPUTED_VALUE"""),1010922.0)</f>
        <v>1010922</v>
      </c>
      <c r="D517" t="str">
        <f>IFERROR(__xludf.DUMMYFUNCTION("""COMPUTED_VALUE"""),"Mr.")</f>
        <v>Mr.</v>
      </c>
      <c r="E517" t="str">
        <f>IFERROR(__xludf.DUMMYFUNCTION("""COMPUTED_VALUE"""),"Taks")</f>
        <v>Taks</v>
      </c>
      <c r="F517" t="str">
        <f>IFERROR(__xludf.DUMMYFUNCTION("""COMPUTED_VALUE"""),"Boonpradit")</f>
        <v>Boonpradit</v>
      </c>
      <c r="G517" t="str">
        <f>IFERROR(__xludf.DUMMYFUNCTION("""COMPUTED_VALUE"""),"Taks Boonpradit")</f>
        <v>Taks Boonpradit</v>
      </c>
    </row>
    <row r="518">
      <c r="A518" s="142">
        <f>IFERROR(__xludf.DUMMYFUNCTION("""COMPUTED_VALUE"""),66.0)</f>
        <v>66</v>
      </c>
      <c r="B518" t="str">
        <f>IFERROR(__xludf.DUMMYFUNCTION("""COMPUTED_VALUE"""),"TAA5513")</f>
        <v>TAA5513</v>
      </c>
      <c r="C518">
        <f>IFERROR(__xludf.DUMMYFUNCTION("""COMPUTED_VALUE"""),1010924.0)</f>
        <v>1010924</v>
      </c>
      <c r="D518" t="str">
        <f>IFERROR(__xludf.DUMMYFUNCTION("""COMPUTED_VALUE"""),"Ms.")</f>
        <v>Ms.</v>
      </c>
      <c r="E518" t="str">
        <f>IFERROR(__xludf.DUMMYFUNCTION("""COMPUTED_VALUE"""),"Thanarat")</f>
        <v>Thanarat</v>
      </c>
      <c r="F518" t="str">
        <f>IFERROR(__xludf.DUMMYFUNCTION("""COMPUTED_VALUE"""),"Juangpanich")</f>
        <v>Juangpanich</v>
      </c>
      <c r="G518" t="str">
        <f>IFERROR(__xludf.DUMMYFUNCTION("""COMPUTED_VALUE"""),"Thanarat Juangpanich")</f>
        <v>Thanarat Juangpanich</v>
      </c>
    </row>
    <row r="519">
      <c r="A519" s="142">
        <f>IFERROR(__xludf.DUMMYFUNCTION("""COMPUTED_VALUE"""),66.0)</f>
        <v>66</v>
      </c>
      <c r="B519" t="str">
        <f>IFERROR(__xludf.DUMMYFUNCTION("""COMPUTED_VALUE"""),"TAA5522")</f>
        <v>TAA5522</v>
      </c>
      <c r="C519">
        <f>IFERROR(__xludf.DUMMYFUNCTION("""COMPUTED_VALUE"""),1010925.0)</f>
        <v>1010925</v>
      </c>
      <c r="D519" t="str">
        <f>IFERROR(__xludf.DUMMYFUNCTION("""COMPUTED_VALUE"""),"Mr.")</f>
        <v>Mr.</v>
      </c>
      <c r="E519" t="str">
        <f>IFERROR(__xludf.DUMMYFUNCTION("""COMPUTED_VALUE"""),"Thanatdanai")</f>
        <v>Thanatdanai</v>
      </c>
      <c r="F519" t="str">
        <f>IFERROR(__xludf.DUMMYFUNCTION("""COMPUTED_VALUE"""),"Kaewchusen")</f>
        <v>Kaewchusen</v>
      </c>
      <c r="G519" t="str">
        <f>IFERROR(__xludf.DUMMYFUNCTION("""COMPUTED_VALUE"""),"Thanatdanai Kaewchusen")</f>
        <v>Thanatdanai Kaewchusen</v>
      </c>
    </row>
    <row r="520">
      <c r="A520" s="142">
        <f>IFERROR(__xludf.DUMMYFUNCTION("""COMPUTED_VALUE"""),66.0)</f>
        <v>66</v>
      </c>
      <c r="B520" t="str">
        <f>IFERROR(__xludf.DUMMYFUNCTION("""COMPUTED_VALUE"""),"TAA5528")</f>
        <v>TAA5528</v>
      </c>
      <c r="C520">
        <f>IFERROR(__xludf.DUMMYFUNCTION("""COMPUTED_VALUE"""),1010926.0)</f>
        <v>1010926</v>
      </c>
      <c r="D520" t="str">
        <f>IFERROR(__xludf.DUMMYFUNCTION("""COMPUTED_VALUE"""),"Mr.")</f>
        <v>Mr.</v>
      </c>
      <c r="E520" t="str">
        <f>IFERROR(__xludf.DUMMYFUNCTION("""COMPUTED_VALUE"""),"Thanchanoth")</f>
        <v>Thanchanoth</v>
      </c>
      <c r="F520" t="str">
        <f>IFERROR(__xludf.DUMMYFUNCTION("""COMPUTED_VALUE"""),"Chiwnarupai")</f>
        <v>Chiwnarupai</v>
      </c>
      <c r="G520" t="str">
        <f>IFERROR(__xludf.DUMMYFUNCTION("""COMPUTED_VALUE"""),"Thanchanoth Chiwnarupai")</f>
        <v>Thanchanoth Chiwnarupai</v>
      </c>
    </row>
    <row r="521">
      <c r="A521" s="142">
        <f>IFERROR(__xludf.DUMMYFUNCTION("""COMPUTED_VALUE"""),66.0)</f>
        <v>66</v>
      </c>
      <c r="B521" t="str">
        <f>IFERROR(__xludf.DUMMYFUNCTION("""COMPUTED_VALUE"""),"TAA5511")</f>
        <v>TAA5511</v>
      </c>
      <c r="C521">
        <f>IFERROR(__xludf.DUMMYFUNCTION("""COMPUTED_VALUE"""),1010932.0)</f>
        <v>1010932</v>
      </c>
      <c r="D521" t="str">
        <f>IFERROR(__xludf.DUMMYFUNCTION("""COMPUTED_VALUE"""),"Ms.")</f>
        <v>Ms.</v>
      </c>
      <c r="E521" t="str">
        <f>IFERROR(__xludf.DUMMYFUNCTION("""COMPUTED_VALUE"""),"Wanunyapat")</f>
        <v>Wanunyapat</v>
      </c>
      <c r="F521" t="str">
        <f>IFERROR(__xludf.DUMMYFUNCTION("""COMPUTED_VALUE"""),"Wongvichien")</f>
        <v>Wongvichien</v>
      </c>
      <c r="G521" t="str">
        <f>IFERROR(__xludf.DUMMYFUNCTION("""COMPUTED_VALUE"""),"Wanunyapat Wongvichien")</f>
        <v>Wanunyapat Wongvichien</v>
      </c>
    </row>
    <row r="523">
      <c r="A523" s="142">
        <f>IFERROR(__xludf.DUMMYFUNCTION("""COMPUTED_VALUE"""),67.0)</f>
        <v>67</v>
      </c>
      <c r="B523" t="str">
        <f>IFERROR(__xludf.DUMMYFUNCTION("""COMPUTED_VALUE"""),"TAA5584")</f>
        <v>TAA5584</v>
      </c>
      <c r="C523">
        <f>IFERROR(__xludf.DUMMYFUNCTION("""COMPUTED_VALUE"""),1011303.0)</f>
        <v>1011303</v>
      </c>
      <c r="D523" t="str">
        <f>IFERROR(__xludf.DUMMYFUNCTION("""COMPUTED_VALUE"""),"Ms.")</f>
        <v>Ms.</v>
      </c>
      <c r="E523" t="str">
        <f>IFERROR(__xludf.DUMMYFUNCTION("""COMPUTED_VALUE"""),"Awassada")</f>
        <v>Awassada</v>
      </c>
      <c r="F523" t="str">
        <f>IFERROR(__xludf.DUMMYFUNCTION("""COMPUTED_VALUE"""),"Somprasertsri")</f>
        <v>Somprasertsri</v>
      </c>
      <c r="G523" t="str">
        <f>IFERROR(__xludf.DUMMYFUNCTION("""COMPUTED_VALUE"""),"Awassada Somprasertsri")</f>
        <v>Awassada Somprasertsri</v>
      </c>
    </row>
    <row r="524">
      <c r="A524" s="142">
        <f>IFERROR(__xludf.DUMMYFUNCTION("""COMPUTED_VALUE"""),67.0)</f>
        <v>67</v>
      </c>
      <c r="B524" t="str">
        <f>IFERROR(__xludf.DUMMYFUNCTION("""COMPUTED_VALUE"""),"TAA5585")</f>
        <v>TAA5585</v>
      </c>
      <c r="C524">
        <f>IFERROR(__xludf.DUMMYFUNCTION("""COMPUTED_VALUE"""),1011306.0)</f>
        <v>1011306</v>
      </c>
      <c r="D524" t="str">
        <f>IFERROR(__xludf.DUMMYFUNCTION("""COMPUTED_VALUE"""),"Ms.")</f>
        <v>Ms.</v>
      </c>
      <c r="E524" t="str">
        <f>IFERROR(__xludf.DUMMYFUNCTION("""COMPUTED_VALUE"""),"Kanthanuch")</f>
        <v>Kanthanuch</v>
      </c>
      <c r="F524" t="str">
        <f>IFERROR(__xludf.DUMMYFUNCTION("""COMPUTED_VALUE"""),"Boonlor")</f>
        <v>Boonlor</v>
      </c>
      <c r="G524" t="str">
        <f>IFERROR(__xludf.DUMMYFUNCTION("""COMPUTED_VALUE"""),"Kanthanuch Boonlor")</f>
        <v>Kanthanuch Boonlor</v>
      </c>
    </row>
    <row r="525">
      <c r="A525" s="142">
        <f>IFERROR(__xludf.DUMMYFUNCTION("""COMPUTED_VALUE"""),67.0)</f>
        <v>67</v>
      </c>
      <c r="B525" t="str">
        <f>IFERROR(__xludf.DUMMYFUNCTION("""COMPUTED_VALUE"""),"TAA5578")</f>
        <v>TAA5578</v>
      </c>
      <c r="C525">
        <f>IFERROR(__xludf.DUMMYFUNCTION("""COMPUTED_VALUE"""),1011307.0)</f>
        <v>1011307</v>
      </c>
      <c r="D525" t="str">
        <f>IFERROR(__xludf.DUMMYFUNCTION("""COMPUTED_VALUE"""),"Ms.")</f>
        <v>Ms.</v>
      </c>
      <c r="E525" t="str">
        <f>IFERROR(__xludf.DUMMYFUNCTION("""COMPUTED_VALUE"""),"Munnanicha")</f>
        <v>Munnanicha</v>
      </c>
      <c r="F525" t="str">
        <f>IFERROR(__xludf.DUMMYFUNCTION("""COMPUTED_VALUE"""),"Sarakong")</f>
        <v>Sarakong</v>
      </c>
      <c r="G525" t="str">
        <f>IFERROR(__xludf.DUMMYFUNCTION("""COMPUTED_VALUE"""),"Munnanicha Sarakong")</f>
        <v>Munnanicha Sarakong</v>
      </c>
    </row>
    <row r="526">
      <c r="A526" s="142">
        <f>IFERROR(__xludf.DUMMYFUNCTION("""COMPUTED_VALUE"""),67.0)</f>
        <v>67</v>
      </c>
      <c r="B526" t="str">
        <f>IFERROR(__xludf.DUMMYFUNCTION("""COMPUTED_VALUE"""),"TAA5573")</f>
        <v>TAA5573</v>
      </c>
      <c r="C526">
        <f>IFERROR(__xludf.DUMMYFUNCTION("""COMPUTED_VALUE"""),1011308.0)</f>
        <v>1011308</v>
      </c>
      <c r="D526" t="str">
        <f>IFERROR(__xludf.DUMMYFUNCTION("""COMPUTED_VALUE"""),"Ms.")</f>
        <v>Ms.</v>
      </c>
      <c r="E526" t="str">
        <f>IFERROR(__xludf.DUMMYFUNCTION("""COMPUTED_VALUE"""),"Narisa")</f>
        <v>Narisa</v>
      </c>
      <c r="F526" t="str">
        <f>IFERROR(__xludf.DUMMYFUNCTION("""COMPUTED_VALUE"""),"Jotikasathira")</f>
        <v>Jotikasathira</v>
      </c>
      <c r="G526" t="str">
        <f>IFERROR(__xludf.DUMMYFUNCTION("""COMPUTED_VALUE"""),"Narisa Jotikasathira")</f>
        <v>Narisa Jotikasathira</v>
      </c>
    </row>
    <row r="527">
      <c r="A527" s="142">
        <f>IFERROR(__xludf.DUMMYFUNCTION("""COMPUTED_VALUE"""),67.0)</f>
        <v>67</v>
      </c>
      <c r="B527" t="str">
        <f>IFERROR(__xludf.DUMMYFUNCTION("""COMPUTED_VALUE"""),"TAA5586")</f>
        <v>TAA5586</v>
      </c>
      <c r="C527">
        <f>IFERROR(__xludf.DUMMYFUNCTION("""COMPUTED_VALUE"""),1011310.0)</f>
        <v>1011310</v>
      </c>
      <c r="D527" t="str">
        <f>IFERROR(__xludf.DUMMYFUNCTION("""COMPUTED_VALUE"""),"Ms.")</f>
        <v>Ms.</v>
      </c>
      <c r="E527" t="str">
        <f>IFERROR(__xludf.DUMMYFUNCTION("""COMPUTED_VALUE"""),"Nicha")</f>
        <v>Nicha</v>
      </c>
      <c r="F527" t="str">
        <f>IFERROR(__xludf.DUMMYFUNCTION("""COMPUTED_VALUE"""),"Manapradit")</f>
        <v>Manapradit</v>
      </c>
      <c r="G527" t="str">
        <f>IFERROR(__xludf.DUMMYFUNCTION("""COMPUTED_VALUE"""),"Nicha Manapradit")</f>
        <v>Nicha Manapradit</v>
      </c>
    </row>
    <row r="528">
      <c r="A528" s="142">
        <f>IFERROR(__xludf.DUMMYFUNCTION("""COMPUTED_VALUE"""),67.0)</f>
        <v>67</v>
      </c>
      <c r="B528" t="str">
        <f>IFERROR(__xludf.DUMMYFUNCTION("""COMPUTED_VALUE"""),"TAA5589")</f>
        <v>TAA5589</v>
      </c>
      <c r="C528">
        <f>IFERROR(__xludf.DUMMYFUNCTION("""COMPUTED_VALUE"""),1011312.0)</f>
        <v>1011312</v>
      </c>
      <c r="D528" t="str">
        <f>IFERROR(__xludf.DUMMYFUNCTION("""COMPUTED_VALUE"""),"Ms.")</f>
        <v>Ms.</v>
      </c>
      <c r="E528" t="str">
        <f>IFERROR(__xludf.DUMMYFUNCTION("""COMPUTED_VALUE"""),"Patchara")</f>
        <v>Patchara</v>
      </c>
      <c r="F528" t="str">
        <f>IFERROR(__xludf.DUMMYFUNCTION("""COMPUTED_VALUE"""),"Penpaijit")</f>
        <v>Penpaijit</v>
      </c>
      <c r="G528" t="str">
        <f>IFERROR(__xludf.DUMMYFUNCTION("""COMPUTED_VALUE"""),"Patchara Penpaijit")</f>
        <v>Patchara Penpaijit</v>
      </c>
    </row>
    <row r="529">
      <c r="A529" s="142">
        <f>IFERROR(__xludf.DUMMYFUNCTION("""COMPUTED_VALUE"""),67.0)</f>
        <v>67</v>
      </c>
      <c r="B529" t="str">
        <f>IFERROR(__xludf.DUMMYFUNCTION("""COMPUTED_VALUE"""),"TAA5583")</f>
        <v>TAA5583</v>
      </c>
      <c r="C529">
        <f>IFERROR(__xludf.DUMMYFUNCTION("""COMPUTED_VALUE"""),1011314.0)</f>
        <v>1011314</v>
      </c>
      <c r="D529" t="str">
        <f>IFERROR(__xludf.DUMMYFUNCTION("""COMPUTED_VALUE"""),"Mr.")</f>
        <v>Mr.</v>
      </c>
      <c r="E529" t="str">
        <f>IFERROR(__xludf.DUMMYFUNCTION("""COMPUTED_VALUE"""),"Pichayapich")</f>
        <v>Pichayapich</v>
      </c>
      <c r="F529" t="str">
        <f>IFERROR(__xludf.DUMMYFUNCTION("""COMPUTED_VALUE"""),"Nimphya")</f>
        <v>Nimphya</v>
      </c>
      <c r="G529" t="str">
        <f>IFERROR(__xludf.DUMMYFUNCTION("""COMPUTED_VALUE"""),"Pichayapich Nimphya")</f>
        <v>Pichayapich Nimphya</v>
      </c>
    </row>
    <row r="530">
      <c r="A530" s="142">
        <f>IFERROR(__xludf.DUMMYFUNCTION("""COMPUTED_VALUE"""),67.0)</f>
        <v>67</v>
      </c>
      <c r="B530" t="str">
        <f>IFERROR(__xludf.DUMMYFUNCTION("""COMPUTED_VALUE"""),"TAA5580")</f>
        <v>TAA5580</v>
      </c>
      <c r="C530">
        <f>IFERROR(__xludf.DUMMYFUNCTION("""COMPUTED_VALUE"""),1011315.0)</f>
        <v>1011315</v>
      </c>
      <c r="D530" t="str">
        <f>IFERROR(__xludf.DUMMYFUNCTION("""COMPUTED_VALUE"""),"Ms.")</f>
        <v>Ms.</v>
      </c>
      <c r="E530" t="str">
        <f>IFERROR(__xludf.DUMMYFUNCTION("""COMPUTED_VALUE"""),"Pranapan")</f>
        <v>Pranapan</v>
      </c>
      <c r="F530" t="str">
        <f>IFERROR(__xludf.DUMMYFUNCTION("""COMPUTED_VALUE"""),"Songsuk (Kongprasert)")</f>
        <v>Songsuk (Kongprasert)</v>
      </c>
      <c r="G530" t="str">
        <f>IFERROR(__xludf.DUMMYFUNCTION("""COMPUTED_VALUE"""),"Pranapan Songsuk")</f>
        <v>Pranapan Songsuk</v>
      </c>
    </row>
    <row r="531">
      <c r="A531" s="142">
        <f>IFERROR(__xludf.DUMMYFUNCTION("""COMPUTED_VALUE"""),67.0)</f>
        <v>67</v>
      </c>
      <c r="B531" t="str">
        <f>IFERROR(__xludf.DUMMYFUNCTION("""COMPUTED_VALUE"""),"TAA5570")</f>
        <v>TAA5570</v>
      </c>
      <c r="C531">
        <f>IFERROR(__xludf.DUMMYFUNCTION("""COMPUTED_VALUE"""),1011318.0)</f>
        <v>1011318</v>
      </c>
      <c r="D531" t="str">
        <f>IFERROR(__xludf.DUMMYFUNCTION("""COMPUTED_VALUE"""),"Ms.")</f>
        <v>Ms.</v>
      </c>
      <c r="E531" t="str">
        <f>IFERROR(__xludf.DUMMYFUNCTION("""COMPUTED_VALUE"""),"Rudeemas")</f>
        <v>Rudeemas</v>
      </c>
      <c r="F531" t="str">
        <f>IFERROR(__xludf.DUMMYFUNCTION("""COMPUTED_VALUE"""),"Thiangthat")</f>
        <v>Thiangthat</v>
      </c>
      <c r="G531" t="str">
        <f>IFERROR(__xludf.DUMMYFUNCTION("""COMPUTED_VALUE"""),"Rudeemas Thiangthat")</f>
        <v>Rudeemas Thiangthat</v>
      </c>
    </row>
    <row r="532">
      <c r="A532" s="142">
        <f>IFERROR(__xludf.DUMMYFUNCTION("""COMPUTED_VALUE"""),67.0)</f>
        <v>67</v>
      </c>
      <c r="B532" t="str">
        <f>IFERROR(__xludf.DUMMYFUNCTION("""COMPUTED_VALUE"""),"TAA5574")</f>
        <v>TAA5574</v>
      </c>
      <c r="C532">
        <f>IFERROR(__xludf.DUMMYFUNCTION("""COMPUTED_VALUE"""),1011319.0)</f>
        <v>1011319</v>
      </c>
      <c r="D532" t="str">
        <f>IFERROR(__xludf.DUMMYFUNCTION("""COMPUTED_VALUE"""),"Ms.")</f>
        <v>Ms.</v>
      </c>
      <c r="E532" t="str">
        <f>IFERROR(__xludf.DUMMYFUNCTION("""COMPUTED_VALUE"""),"Sakaow")</f>
        <v>Sakaow</v>
      </c>
      <c r="F532" t="str">
        <f>IFERROR(__xludf.DUMMYFUNCTION("""COMPUTED_VALUE"""),"Homtrakul (Ruaksasarn)")</f>
        <v>Homtrakul (Ruaksasarn)</v>
      </c>
      <c r="G532" t="str">
        <f>IFERROR(__xludf.DUMMYFUNCTION("""COMPUTED_VALUE"""),"Sakaow Homtrakul")</f>
        <v>Sakaow Homtrakul</v>
      </c>
    </row>
    <row r="533">
      <c r="A533" s="142">
        <f>IFERROR(__xludf.DUMMYFUNCTION("""COMPUTED_VALUE"""),67.0)</f>
        <v>67</v>
      </c>
      <c r="B533" t="str">
        <f>IFERROR(__xludf.DUMMYFUNCTION("""COMPUTED_VALUE"""),"TAA5576")</f>
        <v>TAA5576</v>
      </c>
      <c r="C533">
        <f>IFERROR(__xludf.DUMMYFUNCTION("""COMPUTED_VALUE"""),1011320.0)</f>
        <v>1011320</v>
      </c>
      <c r="D533" t="str">
        <f>IFERROR(__xludf.DUMMYFUNCTION("""COMPUTED_VALUE"""),"Mr.")</f>
        <v>Mr.</v>
      </c>
      <c r="E533" t="str">
        <f>IFERROR(__xludf.DUMMYFUNCTION("""COMPUTED_VALUE"""),"Sudhat")</f>
        <v>Sudhat</v>
      </c>
      <c r="F533" t="str">
        <f>IFERROR(__xludf.DUMMYFUNCTION("""COMPUTED_VALUE"""),"Bunnag")</f>
        <v>Bunnag</v>
      </c>
      <c r="G533" t="str">
        <f>IFERROR(__xludf.DUMMYFUNCTION("""COMPUTED_VALUE"""),"Sudhat Bunnag")</f>
        <v>Sudhat Bunnag</v>
      </c>
    </row>
    <row r="534">
      <c r="A534" s="142">
        <f>IFERROR(__xludf.DUMMYFUNCTION("""COMPUTED_VALUE"""),67.0)</f>
        <v>67</v>
      </c>
      <c r="B534" t="str">
        <f>IFERROR(__xludf.DUMMYFUNCTION("""COMPUTED_VALUE"""),"TAA5569")</f>
        <v>TAA5569</v>
      </c>
      <c r="C534">
        <f>IFERROR(__xludf.DUMMYFUNCTION("""COMPUTED_VALUE"""),1011321.0)</f>
        <v>1011321</v>
      </c>
      <c r="D534" t="str">
        <f>IFERROR(__xludf.DUMMYFUNCTION("""COMPUTED_VALUE"""),"Ms.")</f>
        <v>Ms.</v>
      </c>
      <c r="E534" t="str">
        <f>IFERROR(__xludf.DUMMYFUNCTION("""COMPUTED_VALUE"""),"Tasaneewan")</f>
        <v>Tasaneewan</v>
      </c>
      <c r="F534" t="str">
        <f>IFERROR(__xludf.DUMMYFUNCTION("""COMPUTED_VALUE"""),"Buri")</f>
        <v>Buri</v>
      </c>
      <c r="G534" t="str">
        <f>IFERROR(__xludf.DUMMYFUNCTION("""COMPUTED_VALUE"""),"Tasaneewan Buri")</f>
        <v>Tasaneewan Buri</v>
      </c>
    </row>
    <row r="535">
      <c r="A535" s="142">
        <f>IFERROR(__xludf.DUMMYFUNCTION("""COMPUTED_VALUE"""),67.0)</f>
        <v>67</v>
      </c>
      <c r="B535" t="str">
        <f>IFERROR(__xludf.DUMMYFUNCTION("""COMPUTED_VALUE"""),"TAA5587")</f>
        <v>TAA5587</v>
      </c>
      <c r="C535">
        <f>IFERROR(__xludf.DUMMYFUNCTION("""COMPUTED_VALUE"""),1011322.0)</f>
        <v>1011322</v>
      </c>
      <c r="D535" t="str">
        <f>IFERROR(__xludf.DUMMYFUNCTION("""COMPUTED_VALUE"""),"Ms.")</f>
        <v>Ms.</v>
      </c>
      <c r="E535" t="str">
        <f>IFERROR(__xludf.DUMMYFUNCTION("""COMPUTED_VALUE"""),"Thanaporn")</f>
        <v>Thanaporn</v>
      </c>
      <c r="F535" t="str">
        <f>IFERROR(__xludf.DUMMYFUNCTION("""COMPUTED_VALUE"""),"Thong-In")</f>
        <v>Thong-In</v>
      </c>
      <c r="G535" t="str">
        <f>IFERROR(__xludf.DUMMYFUNCTION("""COMPUTED_VALUE"""),"Thanaporn Thong-In")</f>
        <v>Thanaporn Thong-In</v>
      </c>
    </row>
    <row r="536">
      <c r="A536" s="142">
        <f>IFERROR(__xludf.DUMMYFUNCTION("""COMPUTED_VALUE"""),67.0)</f>
        <v>67</v>
      </c>
      <c r="B536" t="str">
        <f>IFERROR(__xludf.DUMMYFUNCTION("""COMPUTED_VALUE"""),"TAA5571")</f>
        <v>TAA5571</v>
      </c>
      <c r="C536">
        <f>IFERROR(__xludf.DUMMYFUNCTION("""COMPUTED_VALUE"""),1011323.0)</f>
        <v>1011323</v>
      </c>
      <c r="D536" t="str">
        <f>IFERROR(__xludf.DUMMYFUNCTION("""COMPUTED_VALUE"""),"Mr.")</f>
        <v>Mr.</v>
      </c>
      <c r="E536" t="str">
        <f>IFERROR(__xludf.DUMMYFUNCTION("""COMPUTED_VALUE"""),"Yommana")</f>
        <v>Yommana</v>
      </c>
      <c r="F536" t="str">
        <f>IFERROR(__xludf.DUMMYFUNCTION("""COMPUTED_VALUE"""),"Arunrat")</f>
        <v>Arunrat</v>
      </c>
      <c r="G536" t="str">
        <f>IFERROR(__xludf.DUMMYFUNCTION("""COMPUTED_VALUE"""),"Yommana Arunrat")</f>
        <v>Yommana Arunrat</v>
      </c>
    </row>
    <row r="538">
      <c r="A538" s="142">
        <f>IFERROR(__xludf.DUMMYFUNCTION("""COMPUTED_VALUE"""),68.0)</f>
        <v>68</v>
      </c>
      <c r="B538" t="str">
        <f>IFERROR(__xludf.DUMMYFUNCTION("""COMPUTED_VALUE"""),"TAA3082")</f>
        <v>TAA3082</v>
      </c>
      <c r="C538">
        <f>IFERROR(__xludf.DUMMYFUNCTION("""COMPUTED_VALUE"""),1004526.0)</f>
        <v>1004526</v>
      </c>
      <c r="D538" t="str">
        <f>IFERROR(__xludf.DUMMYFUNCTION("""COMPUTED_VALUE"""),"Ms.")</f>
        <v>Ms.</v>
      </c>
      <c r="E538" t="str">
        <f>IFERROR(__xludf.DUMMYFUNCTION("""COMPUTED_VALUE"""),"Karita")</f>
        <v>Karita</v>
      </c>
      <c r="F538" t="str">
        <f>IFERROR(__xludf.DUMMYFUNCTION("""COMPUTED_VALUE"""),"Champaphan ")</f>
        <v>Champaphan </v>
      </c>
      <c r="G538" t="str">
        <f>IFERROR(__xludf.DUMMYFUNCTION("""COMPUTED_VALUE"""),"Karita Champaphan")</f>
        <v>Karita Champaphan</v>
      </c>
    </row>
    <row r="539">
      <c r="A539" s="142">
        <f>IFERROR(__xludf.DUMMYFUNCTION("""COMPUTED_VALUE"""),68.0)</f>
        <v>68</v>
      </c>
      <c r="B539" t="str">
        <f>IFERROR(__xludf.DUMMYFUNCTION("""COMPUTED_VALUE"""),"TAA3123")</f>
        <v>TAA3123</v>
      </c>
      <c r="C539">
        <f>IFERROR(__xludf.DUMMYFUNCTION("""COMPUTED_VALUE"""),1004683.0)</f>
        <v>1004683</v>
      </c>
      <c r="D539" t="str">
        <f>IFERROR(__xludf.DUMMYFUNCTION("""COMPUTED_VALUE"""),"Mr.")</f>
        <v>Mr.</v>
      </c>
      <c r="E539" t="str">
        <f>IFERROR(__xludf.DUMMYFUNCTION("""COMPUTED_VALUE"""),"Prok")</f>
        <v>Prok</v>
      </c>
      <c r="F539" t="str">
        <f>IFERROR(__xludf.DUMMYFUNCTION("""COMPUTED_VALUE"""),"Lartham")</f>
        <v>Lartham</v>
      </c>
      <c r="G539" t="str">
        <f>IFERROR(__xludf.DUMMYFUNCTION("""COMPUTED_VALUE"""),"Prok Lartham")</f>
        <v>Prok Lartham</v>
      </c>
    </row>
    <row r="540">
      <c r="A540" s="142">
        <f>IFERROR(__xludf.DUMMYFUNCTION("""COMPUTED_VALUE"""),68.0)</f>
        <v>68</v>
      </c>
      <c r="B540" t="str">
        <f>IFERROR(__xludf.DUMMYFUNCTION("""COMPUTED_VALUE"""),"TAA5734")</f>
        <v>TAA5734</v>
      </c>
      <c r="C540">
        <f>IFERROR(__xludf.DUMMYFUNCTION("""COMPUTED_VALUE"""),1011507.0)</f>
        <v>1011507</v>
      </c>
      <c r="D540" t="str">
        <f>IFERROR(__xludf.DUMMYFUNCTION("""COMPUTED_VALUE"""),"Ms.")</f>
        <v>Ms.</v>
      </c>
      <c r="E540" t="str">
        <f>IFERROR(__xludf.DUMMYFUNCTION("""COMPUTED_VALUE"""),"Weerinpimon (Isarapha)")</f>
        <v>Weerinpimon (Isarapha)</v>
      </c>
      <c r="F540" t="str">
        <f>IFERROR(__xludf.DUMMYFUNCTION("""COMPUTED_VALUE"""),"Rhuecharoen (Srimontrivegin)")</f>
        <v>Rhuecharoen (Srimontrivegin)</v>
      </c>
      <c r="G540" t="str">
        <f>IFERROR(__xludf.DUMMYFUNCTION("""COMPUTED_VALUE"""),"Weerinpimon Rhuecharoen")</f>
        <v>Weerinpimon Rhuecharoen</v>
      </c>
    </row>
    <row r="541">
      <c r="A541" s="142">
        <f>IFERROR(__xludf.DUMMYFUNCTION("""COMPUTED_VALUE"""),68.0)</f>
        <v>68</v>
      </c>
      <c r="B541" t="str">
        <f>IFERROR(__xludf.DUMMYFUNCTION("""COMPUTED_VALUE"""),"TAA5733")</f>
        <v>TAA5733</v>
      </c>
      <c r="C541">
        <f>IFERROR(__xludf.DUMMYFUNCTION("""COMPUTED_VALUE"""),1011509.0)</f>
        <v>1011509</v>
      </c>
      <c r="D541" t="str">
        <f>IFERROR(__xludf.DUMMYFUNCTION("""COMPUTED_VALUE"""),"Ms.")</f>
        <v>Ms.</v>
      </c>
      <c r="E541" t="str">
        <f>IFERROR(__xludf.DUMMYFUNCTION("""COMPUTED_VALUE"""),"Natcha")</f>
        <v>Natcha</v>
      </c>
      <c r="F541" t="str">
        <f>IFERROR(__xludf.DUMMYFUNCTION("""COMPUTED_VALUE"""),"Supakhong")</f>
        <v>Supakhong</v>
      </c>
      <c r="G541" t="str">
        <f>IFERROR(__xludf.DUMMYFUNCTION("""COMPUTED_VALUE"""),"Natcha Supakhong")</f>
        <v>Natcha Supakhong</v>
      </c>
    </row>
    <row r="542">
      <c r="A542" s="142">
        <f>IFERROR(__xludf.DUMMYFUNCTION("""COMPUTED_VALUE"""),68.0)</f>
        <v>68</v>
      </c>
      <c r="B542" t="str">
        <f>IFERROR(__xludf.DUMMYFUNCTION("""COMPUTED_VALUE"""),"TAA5743")</f>
        <v>TAA5743</v>
      </c>
      <c r="C542">
        <f>IFERROR(__xludf.DUMMYFUNCTION("""COMPUTED_VALUE"""),1011510.0)</f>
        <v>1011510</v>
      </c>
      <c r="D542" t="str">
        <f>IFERROR(__xludf.DUMMYFUNCTION("""COMPUTED_VALUE"""),"Mr.")</f>
        <v>Mr.</v>
      </c>
      <c r="E542" t="str">
        <f>IFERROR(__xludf.DUMMYFUNCTION("""COMPUTED_VALUE"""),"Nitinai")</f>
        <v>Nitinai</v>
      </c>
      <c r="F542" t="str">
        <f>IFERROR(__xludf.DUMMYFUNCTION("""COMPUTED_VALUE"""),"Chalongtrakul")</f>
        <v>Chalongtrakul</v>
      </c>
      <c r="G542" t="str">
        <f>IFERROR(__xludf.DUMMYFUNCTION("""COMPUTED_VALUE"""),"Nitinai Chalongtrakul")</f>
        <v>Nitinai Chalongtrakul</v>
      </c>
    </row>
    <row r="543">
      <c r="A543" s="142">
        <f>IFERROR(__xludf.DUMMYFUNCTION("""COMPUTED_VALUE"""),68.0)</f>
        <v>68</v>
      </c>
      <c r="B543" t="str">
        <f>IFERROR(__xludf.DUMMYFUNCTION("""COMPUTED_VALUE"""),"TAA5735")</f>
        <v>TAA5735</v>
      </c>
      <c r="C543">
        <f>IFERROR(__xludf.DUMMYFUNCTION("""COMPUTED_VALUE"""),1011513.0)</f>
        <v>1011513</v>
      </c>
      <c r="D543" t="str">
        <f>IFERROR(__xludf.DUMMYFUNCTION("""COMPUTED_VALUE"""),"Mr.")</f>
        <v>Mr.</v>
      </c>
      <c r="E543" t="str">
        <f>IFERROR(__xludf.DUMMYFUNCTION("""COMPUTED_VALUE"""),"Rawitnat")</f>
        <v>Rawitnat</v>
      </c>
      <c r="F543" t="str">
        <f>IFERROR(__xludf.DUMMYFUNCTION("""COMPUTED_VALUE"""),"Marayat")</f>
        <v>Marayat</v>
      </c>
      <c r="G543" t="str">
        <f>IFERROR(__xludf.DUMMYFUNCTION("""COMPUTED_VALUE"""),"Rawitnat Marayat")</f>
        <v>Rawitnat Marayat</v>
      </c>
    </row>
    <row r="544">
      <c r="A544" s="142">
        <f>IFERROR(__xludf.DUMMYFUNCTION("""COMPUTED_VALUE"""),68.0)</f>
        <v>68</v>
      </c>
      <c r="B544" t="str">
        <f>IFERROR(__xludf.DUMMYFUNCTION("""COMPUTED_VALUE"""),"TAA5744")</f>
        <v>TAA5744</v>
      </c>
      <c r="C544">
        <f>IFERROR(__xludf.DUMMYFUNCTION("""COMPUTED_VALUE"""),1011514.0)</f>
        <v>1011514</v>
      </c>
      <c r="D544" t="str">
        <f>IFERROR(__xludf.DUMMYFUNCTION("""COMPUTED_VALUE"""),"Ms.")</f>
        <v>Ms.</v>
      </c>
      <c r="E544" t="str">
        <f>IFERROR(__xludf.DUMMYFUNCTION("""COMPUTED_VALUE"""),"Phapada (Siriporn)")</f>
        <v>Phapada (Siriporn)</v>
      </c>
      <c r="F544" t="str">
        <f>IFERROR(__xludf.DUMMYFUNCTION("""COMPUTED_VALUE"""),"Chukavirote")</f>
        <v>Chukavirote</v>
      </c>
      <c r="G544" t="str">
        <f>IFERROR(__xludf.DUMMYFUNCTION("""COMPUTED_VALUE"""),"Phapada Chukavirote")</f>
        <v>Phapada Chukavirote</v>
      </c>
    </row>
    <row r="545">
      <c r="A545" s="142">
        <f>IFERROR(__xludf.DUMMYFUNCTION("""COMPUTED_VALUE"""),68.0)</f>
        <v>68</v>
      </c>
      <c r="B545" t="str">
        <f>IFERROR(__xludf.DUMMYFUNCTION("""COMPUTED_VALUE"""),"TAA5738")</f>
        <v>TAA5738</v>
      </c>
      <c r="C545">
        <f>IFERROR(__xludf.DUMMYFUNCTION("""COMPUTED_VALUE"""),1011515.0)</f>
        <v>1011515</v>
      </c>
      <c r="D545" t="str">
        <f>IFERROR(__xludf.DUMMYFUNCTION("""COMPUTED_VALUE"""),"Mr.")</f>
        <v>Mr.</v>
      </c>
      <c r="E545" t="str">
        <f>IFERROR(__xludf.DUMMYFUNCTION("""COMPUTED_VALUE"""),"Sopark")</f>
        <v>Sopark</v>
      </c>
      <c r="F545" t="str">
        <f>IFERROR(__xludf.DUMMYFUNCTION("""COMPUTED_VALUE"""),"Phosiri")</f>
        <v>Phosiri</v>
      </c>
      <c r="G545" t="str">
        <f>IFERROR(__xludf.DUMMYFUNCTION("""COMPUTED_VALUE"""),"Sopark Phosiri")</f>
        <v>Sopark Phosiri</v>
      </c>
    </row>
    <row r="546">
      <c r="A546" s="142">
        <f>IFERROR(__xludf.DUMMYFUNCTION("""COMPUTED_VALUE"""),68.0)</f>
        <v>68</v>
      </c>
      <c r="B546" t="str">
        <f>IFERROR(__xludf.DUMMYFUNCTION("""COMPUTED_VALUE"""),"TAA5741")</f>
        <v>TAA5741</v>
      </c>
      <c r="C546">
        <f>IFERROR(__xludf.DUMMYFUNCTION("""COMPUTED_VALUE"""),1011516.0)</f>
        <v>1011516</v>
      </c>
      <c r="D546" t="str">
        <f>IFERROR(__xludf.DUMMYFUNCTION("""COMPUTED_VALUE"""),"Mr.")</f>
        <v>Mr.</v>
      </c>
      <c r="E546" t="str">
        <f>IFERROR(__xludf.DUMMYFUNCTION("""COMPUTED_VALUE"""),"Thitipol")</f>
        <v>Thitipol</v>
      </c>
      <c r="F546" t="str">
        <f>IFERROR(__xludf.DUMMYFUNCTION("""COMPUTED_VALUE"""),"Soontorn-Anantakul")</f>
        <v>Soontorn-Anantakul</v>
      </c>
      <c r="G546" t="str">
        <f>IFERROR(__xludf.DUMMYFUNCTION("""COMPUTED_VALUE"""),"Thitipol Soontorn-Anantakul")</f>
        <v>Thitipol Soontorn-Anantakul</v>
      </c>
    </row>
    <row r="548">
      <c r="A548" s="142">
        <f>IFERROR(__xludf.DUMMYFUNCTION("""COMPUTED_VALUE"""),69.0)</f>
        <v>69</v>
      </c>
      <c r="B548" t="str">
        <f>IFERROR(__xludf.DUMMYFUNCTION("""COMPUTED_VALUE"""),"TAA3229")</f>
        <v>TAA3229</v>
      </c>
      <c r="C548">
        <f>IFERROR(__xludf.DUMMYFUNCTION("""COMPUTED_VALUE"""),1004950.0)</f>
        <v>1004950</v>
      </c>
      <c r="D548" t="str">
        <f>IFERROR(__xludf.DUMMYFUNCTION("""COMPUTED_VALUE"""),"Ms.")</f>
        <v>Ms.</v>
      </c>
      <c r="E548" t="str">
        <f>IFERROR(__xludf.DUMMYFUNCTION("""COMPUTED_VALUE"""),"Sirirat")</f>
        <v>Sirirat</v>
      </c>
      <c r="F548" t="str">
        <f>IFERROR(__xludf.DUMMYFUNCTION("""COMPUTED_VALUE"""),"Phummarin")</f>
        <v>Phummarin</v>
      </c>
      <c r="G548" t="str">
        <f>IFERROR(__xludf.DUMMYFUNCTION("""COMPUTED_VALUE"""),"Sirirat Phummarin")</f>
        <v>Sirirat Phummarin</v>
      </c>
    </row>
    <row r="549">
      <c r="A549" s="142">
        <f>IFERROR(__xludf.DUMMYFUNCTION("""COMPUTED_VALUE"""),69.0)</f>
        <v>69</v>
      </c>
      <c r="B549" t="str">
        <f>IFERROR(__xludf.DUMMYFUNCTION("""COMPUTED_VALUE"""),"TAA3479")</f>
        <v>TAA3479</v>
      </c>
      <c r="C549">
        <f>IFERROR(__xludf.DUMMYFUNCTION("""COMPUTED_VALUE"""),1005326.0)</f>
        <v>1005326</v>
      </c>
      <c r="D549" t="str">
        <f>IFERROR(__xludf.DUMMYFUNCTION("""COMPUTED_VALUE"""),"Mr.")</f>
        <v>Mr.</v>
      </c>
      <c r="E549" t="str">
        <f>IFERROR(__xludf.DUMMYFUNCTION("""COMPUTED_VALUE"""),"Pakornpoj")</f>
        <v>Pakornpoj</v>
      </c>
      <c r="F549" t="str">
        <f>IFERROR(__xludf.DUMMYFUNCTION("""COMPUTED_VALUE"""),"Lertsmitivant")</f>
        <v>Lertsmitivant</v>
      </c>
      <c r="G549" t="str">
        <f>IFERROR(__xludf.DUMMYFUNCTION("""COMPUTED_VALUE"""),"Pakornpoj Lertsmitivant")</f>
        <v>Pakornpoj Lertsmitivant</v>
      </c>
    </row>
    <row r="550">
      <c r="A550" s="142">
        <f>IFERROR(__xludf.DUMMYFUNCTION("""COMPUTED_VALUE"""),69.0)</f>
        <v>69</v>
      </c>
      <c r="B550" t="str">
        <f>IFERROR(__xludf.DUMMYFUNCTION("""COMPUTED_VALUE"""),"TAA5818")</f>
        <v>TAA5818</v>
      </c>
      <c r="C550">
        <f>IFERROR(__xludf.DUMMYFUNCTION("""COMPUTED_VALUE"""),1011716.0)</f>
        <v>1011716</v>
      </c>
      <c r="D550" t="str">
        <f>IFERROR(__xludf.DUMMYFUNCTION("""COMPUTED_VALUE"""),"Ms.")</f>
        <v>Ms.</v>
      </c>
      <c r="E550" t="str">
        <f>IFERROR(__xludf.DUMMYFUNCTION("""COMPUTED_VALUE"""),"Arjarree")</f>
        <v>Arjarree</v>
      </c>
      <c r="F550" t="str">
        <f>IFERROR(__xludf.DUMMYFUNCTION("""COMPUTED_VALUE"""),"Intharapaijit")</f>
        <v>Intharapaijit</v>
      </c>
      <c r="G550" t="str">
        <f>IFERROR(__xludf.DUMMYFUNCTION("""COMPUTED_VALUE"""),"Arjarree Intharapaijit")</f>
        <v>Arjarree Intharapaijit</v>
      </c>
    </row>
    <row r="551">
      <c r="A551" s="142">
        <f>IFERROR(__xludf.DUMMYFUNCTION("""COMPUTED_VALUE"""),69.0)</f>
        <v>69</v>
      </c>
      <c r="B551" t="str">
        <f>IFERROR(__xludf.DUMMYFUNCTION("""COMPUTED_VALUE"""),"TAA5810")</f>
        <v>TAA5810</v>
      </c>
      <c r="C551">
        <f>IFERROR(__xludf.DUMMYFUNCTION("""COMPUTED_VALUE"""),1011719.0)</f>
        <v>1011719</v>
      </c>
      <c r="D551" t="str">
        <f>IFERROR(__xludf.DUMMYFUNCTION("""COMPUTED_VALUE"""),"Ms.")</f>
        <v>Ms.</v>
      </c>
      <c r="E551" t="str">
        <f>IFERROR(__xludf.DUMMYFUNCTION("""COMPUTED_VALUE"""),"Chiraporn")</f>
        <v>Chiraporn</v>
      </c>
      <c r="F551" t="str">
        <f>IFERROR(__xludf.DUMMYFUNCTION("""COMPUTED_VALUE"""),"Suriwan")</f>
        <v>Suriwan</v>
      </c>
      <c r="G551" t="str">
        <f>IFERROR(__xludf.DUMMYFUNCTION("""COMPUTED_VALUE"""),"Chiraporn Suriwan")</f>
        <v>Chiraporn Suriwan</v>
      </c>
    </row>
    <row r="552">
      <c r="A552" s="142">
        <f>IFERROR(__xludf.DUMMYFUNCTION("""COMPUTED_VALUE"""),69.0)</f>
        <v>69</v>
      </c>
      <c r="B552" t="str">
        <f>IFERROR(__xludf.DUMMYFUNCTION("""COMPUTED_VALUE"""),"TAA5812")</f>
        <v>TAA5812</v>
      </c>
      <c r="C552">
        <f>IFERROR(__xludf.DUMMYFUNCTION("""COMPUTED_VALUE"""),1011720.0)</f>
        <v>1011720</v>
      </c>
      <c r="D552" t="str">
        <f>IFERROR(__xludf.DUMMYFUNCTION("""COMPUTED_VALUE"""),"Ms.")</f>
        <v>Ms.</v>
      </c>
      <c r="E552" t="str">
        <f>IFERROR(__xludf.DUMMYFUNCTION("""COMPUTED_VALUE"""),"Chomsorn")</f>
        <v>Chomsorn</v>
      </c>
      <c r="F552" t="str">
        <f>IFERROR(__xludf.DUMMYFUNCTION("""COMPUTED_VALUE"""),"Kongwiroj")</f>
        <v>Kongwiroj</v>
      </c>
      <c r="G552" t="str">
        <f>IFERROR(__xludf.DUMMYFUNCTION("""COMPUTED_VALUE"""),"Chomsorn Kongwiroj")</f>
        <v>Chomsorn Kongwiroj</v>
      </c>
    </row>
    <row r="553">
      <c r="A553" s="142">
        <f>IFERROR(__xludf.DUMMYFUNCTION("""COMPUTED_VALUE"""),69.0)</f>
        <v>69</v>
      </c>
      <c r="B553" t="str">
        <f>IFERROR(__xludf.DUMMYFUNCTION("""COMPUTED_VALUE"""),"TAA5814")</f>
        <v>TAA5814</v>
      </c>
      <c r="C553">
        <f>IFERROR(__xludf.DUMMYFUNCTION("""COMPUTED_VALUE"""),1011730.0)</f>
        <v>1011730</v>
      </c>
      <c r="D553" t="str">
        <f>IFERROR(__xludf.DUMMYFUNCTION("""COMPUTED_VALUE"""),"Mr.")</f>
        <v>Mr.</v>
      </c>
      <c r="E553" t="str">
        <f>IFERROR(__xludf.DUMMYFUNCTION("""COMPUTED_VALUE"""),"Keitiyot")</f>
        <v>Keitiyot</v>
      </c>
      <c r="F553" t="str">
        <f>IFERROR(__xludf.DUMMYFUNCTION("""COMPUTED_VALUE"""),"Chaisurisri")</f>
        <v>Chaisurisri</v>
      </c>
      <c r="G553" t="str">
        <f>IFERROR(__xludf.DUMMYFUNCTION("""COMPUTED_VALUE"""),"Keitiyot Chaisurisri")</f>
        <v>Keitiyot Chaisurisri</v>
      </c>
    </row>
    <row r="554">
      <c r="A554" s="142">
        <f>IFERROR(__xludf.DUMMYFUNCTION("""COMPUTED_VALUE"""),69.0)</f>
        <v>69</v>
      </c>
      <c r="B554" t="str">
        <f>IFERROR(__xludf.DUMMYFUNCTION("""COMPUTED_VALUE"""),"TAA5816")</f>
        <v>TAA5816</v>
      </c>
      <c r="C554">
        <f>IFERROR(__xludf.DUMMYFUNCTION("""COMPUTED_VALUE"""),1011741.0)</f>
        <v>1011741</v>
      </c>
      <c r="D554" t="str">
        <f>IFERROR(__xludf.DUMMYFUNCTION("""COMPUTED_VALUE"""),"Ms.")</f>
        <v>Ms.</v>
      </c>
      <c r="E554" t="str">
        <f>IFERROR(__xludf.DUMMYFUNCTION("""COMPUTED_VALUE"""),"Naphak (Niyawan)")</f>
        <v>Naphak (Niyawan)</v>
      </c>
      <c r="F554" t="str">
        <f>IFERROR(__xludf.DUMMYFUNCTION("""COMPUTED_VALUE"""),"Aussanon (Kitvorawuth)")</f>
        <v>Aussanon (Kitvorawuth)</v>
      </c>
      <c r="G554" t="str">
        <f>IFERROR(__xludf.DUMMYFUNCTION("""COMPUTED_VALUE"""),"Naphak Aussanon")</f>
        <v>Naphak Aussanon</v>
      </c>
    </row>
    <row r="555">
      <c r="A555" s="142">
        <f>IFERROR(__xludf.DUMMYFUNCTION("""COMPUTED_VALUE"""),69.0)</f>
        <v>69</v>
      </c>
      <c r="B555" t="str">
        <f>IFERROR(__xludf.DUMMYFUNCTION("""COMPUTED_VALUE"""),"TAA5822")</f>
        <v>TAA5822</v>
      </c>
      <c r="C555">
        <f>IFERROR(__xludf.DUMMYFUNCTION("""COMPUTED_VALUE"""),1011743.0)</f>
        <v>1011743</v>
      </c>
      <c r="D555" t="str">
        <f>IFERROR(__xludf.DUMMYFUNCTION("""COMPUTED_VALUE"""),"Ms.")</f>
        <v>Ms.</v>
      </c>
      <c r="E555" t="str">
        <f>IFERROR(__xludf.DUMMYFUNCTION("""COMPUTED_VALUE"""),"Praditchaya")</f>
        <v>Praditchaya</v>
      </c>
      <c r="F555" t="str">
        <f>IFERROR(__xludf.DUMMYFUNCTION("""COMPUTED_VALUE"""),"La-ongpraw")</f>
        <v>La-ongpraw</v>
      </c>
      <c r="G555" t="str">
        <f>IFERROR(__xludf.DUMMYFUNCTION("""COMPUTED_VALUE"""),"Praditchaya La-ongpraw")</f>
        <v>Praditchaya La-ongpraw</v>
      </c>
    </row>
    <row r="556">
      <c r="A556" s="142">
        <f>IFERROR(__xludf.DUMMYFUNCTION("""COMPUTED_VALUE"""),69.0)</f>
        <v>69</v>
      </c>
      <c r="B556" t="str">
        <f>IFERROR(__xludf.DUMMYFUNCTION("""COMPUTED_VALUE"""),"TAA5821")</f>
        <v>TAA5821</v>
      </c>
      <c r="C556">
        <f>IFERROR(__xludf.DUMMYFUNCTION("""COMPUTED_VALUE"""),1011758.0)</f>
        <v>1011758</v>
      </c>
      <c r="D556" t="str">
        <f>IFERROR(__xludf.DUMMYFUNCTION("""COMPUTED_VALUE"""),"Ms.")</f>
        <v>Ms.</v>
      </c>
      <c r="E556" t="str">
        <f>IFERROR(__xludf.DUMMYFUNCTION("""COMPUTED_VALUE"""),"Suwannee")</f>
        <v>Suwannee</v>
      </c>
      <c r="F556" t="str">
        <f>IFERROR(__xludf.DUMMYFUNCTION("""COMPUTED_VALUE"""),"Phrueksachiwa")</f>
        <v>Phrueksachiwa</v>
      </c>
      <c r="G556" t="str">
        <f>IFERROR(__xludf.DUMMYFUNCTION("""COMPUTED_VALUE"""),"Suwannee Phrueksachiwa")</f>
        <v>Suwannee Phrueksachiwa</v>
      </c>
    </row>
    <row r="557">
      <c r="A557" s="142">
        <f>IFERROR(__xludf.DUMMYFUNCTION("""COMPUTED_VALUE"""),69.0)</f>
        <v>69</v>
      </c>
      <c r="B557" t="str">
        <f>IFERROR(__xludf.DUMMYFUNCTION("""COMPUTED_VALUE"""),"TAA5815")</f>
        <v>TAA5815</v>
      </c>
      <c r="C557">
        <f>IFERROR(__xludf.DUMMYFUNCTION("""COMPUTED_VALUE"""),1011759.0)</f>
        <v>1011759</v>
      </c>
      <c r="D557" t="str">
        <f>IFERROR(__xludf.DUMMYFUNCTION("""COMPUTED_VALUE"""),"Mr.")</f>
        <v>Mr.</v>
      </c>
      <c r="E557" t="str">
        <f>IFERROR(__xludf.DUMMYFUNCTION("""COMPUTED_VALUE"""),"Thanawat")</f>
        <v>Thanawat</v>
      </c>
      <c r="F557" t="str">
        <f>IFERROR(__xludf.DUMMYFUNCTION("""COMPUTED_VALUE"""),"Suphitukkul")</f>
        <v>Suphitukkul</v>
      </c>
      <c r="G557" t="str">
        <f>IFERROR(__xludf.DUMMYFUNCTION("""COMPUTED_VALUE"""),"Thanawat Suphitukkul")</f>
        <v>Thanawat Suphitukkul</v>
      </c>
    </row>
    <row r="558">
      <c r="A558" s="142">
        <f>IFERROR(__xludf.DUMMYFUNCTION("""COMPUTED_VALUE"""),69.0)</f>
        <v>69</v>
      </c>
      <c r="B558" t="str">
        <f>IFERROR(__xludf.DUMMYFUNCTION("""COMPUTED_VALUE"""),"TAA5820")</f>
        <v>TAA5820</v>
      </c>
      <c r="C558">
        <f>IFERROR(__xludf.DUMMYFUNCTION("""COMPUTED_VALUE"""),1011762.0)</f>
        <v>1011762</v>
      </c>
      <c r="D558" t="str">
        <f>IFERROR(__xludf.DUMMYFUNCTION("""COMPUTED_VALUE"""),"Mr.")</f>
        <v>Mr.</v>
      </c>
      <c r="E558" t="str">
        <f>IFERROR(__xludf.DUMMYFUNCTION("""COMPUTED_VALUE"""),"Tritotsaporn")</f>
        <v>Tritotsaporn</v>
      </c>
      <c r="F558" t="str">
        <f>IFERROR(__xludf.DUMMYFUNCTION("""COMPUTED_VALUE"""),"Ketudat")</f>
        <v>Ketudat</v>
      </c>
      <c r="G558" t="str">
        <f>IFERROR(__xludf.DUMMYFUNCTION("""COMPUTED_VALUE"""),"Tritotsaporn Ketudat")</f>
        <v>Tritotsaporn Ketudat</v>
      </c>
    </row>
    <row r="560">
      <c r="A560" s="142">
        <f>IFERROR(__xludf.DUMMYFUNCTION("""COMPUTED_VALUE"""),70.0)</f>
        <v>70</v>
      </c>
      <c r="B560" t="str">
        <f>IFERROR(__xludf.DUMMYFUNCTION("""COMPUTED_VALUE"""),"TAA3901")</f>
        <v>TAA3901</v>
      </c>
      <c r="C560">
        <f>IFERROR(__xludf.DUMMYFUNCTION("""COMPUTED_VALUE"""),1005824.0)</f>
        <v>1005824</v>
      </c>
      <c r="D560" t="str">
        <f>IFERROR(__xludf.DUMMYFUNCTION("""COMPUTED_VALUE"""),"Ms.")</f>
        <v>Ms.</v>
      </c>
      <c r="E560" t="str">
        <f>IFERROR(__xludf.DUMMYFUNCTION("""COMPUTED_VALUE"""),"Panchita")</f>
        <v>Panchita</v>
      </c>
      <c r="F560" t="str">
        <f>IFERROR(__xludf.DUMMYFUNCTION("""COMPUTED_VALUE"""),"Swangarom")</f>
        <v>Swangarom</v>
      </c>
      <c r="G560" t="str">
        <f>IFERROR(__xludf.DUMMYFUNCTION("""COMPUTED_VALUE"""),"Panchita Swangarom")</f>
        <v>Panchita Swangarom</v>
      </c>
    </row>
    <row r="561">
      <c r="A561" s="142">
        <f>IFERROR(__xludf.DUMMYFUNCTION("""COMPUTED_VALUE"""),70.0)</f>
        <v>70</v>
      </c>
      <c r="B561" t="str">
        <f>IFERROR(__xludf.DUMMYFUNCTION("""COMPUTED_VALUE"""),"TAA3924")</f>
        <v>TAA3924</v>
      </c>
      <c r="C561">
        <f>IFERROR(__xludf.DUMMYFUNCTION("""COMPUTED_VALUE"""),1005906.0)</f>
        <v>1005906</v>
      </c>
      <c r="D561" t="str">
        <f>IFERROR(__xludf.DUMMYFUNCTION("""COMPUTED_VALUE"""),"Ms.")</f>
        <v>Ms.</v>
      </c>
      <c r="E561" t="str">
        <f>IFERROR(__xludf.DUMMYFUNCTION("""COMPUTED_VALUE"""),"Supatra")</f>
        <v>Supatra</v>
      </c>
      <c r="F561" t="str">
        <f>IFERROR(__xludf.DUMMYFUNCTION("""COMPUTED_VALUE"""),"Pokkhabut")</f>
        <v>Pokkhabut</v>
      </c>
      <c r="G561" t="str">
        <f>IFERROR(__xludf.DUMMYFUNCTION("""COMPUTED_VALUE"""),"Supatra Pokkhabut")</f>
        <v>Supatra Pokkhabut</v>
      </c>
    </row>
    <row r="562">
      <c r="A562" s="142">
        <f>IFERROR(__xludf.DUMMYFUNCTION("""COMPUTED_VALUE"""),70.0)</f>
        <v>70</v>
      </c>
      <c r="B562" t="str">
        <f>IFERROR(__xludf.DUMMYFUNCTION("""COMPUTED_VALUE"""),"TAA5988")</f>
        <v>TAA5988</v>
      </c>
      <c r="C562">
        <f>IFERROR(__xludf.DUMMYFUNCTION("""COMPUTED_VALUE"""),1012155.0)</f>
        <v>1012155</v>
      </c>
      <c r="D562" t="str">
        <f>IFERROR(__xludf.DUMMYFUNCTION("""COMPUTED_VALUE"""),"Ms.")</f>
        <v>Ms.</v>
      </c>
      <c r="E562" t="str">
        <f>IFERROR(__xludf.DUMMYFUNCTION("""COMPUTED_VALUE"""),"Duangsuree")</f>
        <v>Duangsuree</v>
      </c>
      <c r="F562" t="str">
        <f>IFERROR(__xludf.DUMMYFUNCTION("""COMPUTED_VALUE"""),"Krairatanalerk")</f>
        <v>Krairatanalerk</v>
      </c>
      <c r="G562" t="str">
        <f>IFERROR(__xludf.DUMMYFUNCTION("""COMPUTED_VALUE"""),"Duangsuree Krairatanalerk")</f>
        <v>Duangsuree Krairatanalerk</v>
      </c>
    </row>
    <row r="563">
      <c r="A563" s="142">
        <f>IFERROR(__xludf.DUMMYFUNCTION("""COMPUTED_VALUE"""),70.0)</f>
        <v>70</v>
      </c>
      <c r="B563" t="str">
        <f>IFERROR(__xludf.DUMMYFUNCTION("""COMPUTED_VALUE"""),"TAA5986")</f>
        <v>TAA5986</v>
      </c>
      <c r="C563">
        <f>IFERROR(__xludf.DUMMYFUNCTION("""COMPUTED_VALUE"""),1012158.0)</f>
        <v>1012158</v>
      </c>
      <c r="D563" t="str">
        <f>IFERROR(__xludf.DUMMYFUNCTION("""COMPUTED_VALUE"""),"Mr.")</f>
        <v>Mr.</v>
      </c>
      <c r="E563" t="str">
        <f>IFERROR(__xludf.DUMMYFUNCTION("""COMPUTED_VALUE"""),"Itthipong")</f>
        <v>Itthipong</v>
      </c>
      <c r="F563" t="str">
        <f>IFERROR(__xludf.DUMMYFUNCTION("""COMPUTED_VALUE"""),"Itthipong")</f>
        <v>Itthipong</v>
      </c>
      <c r="G563" t="str">
        <f>IFERROR(__xludf.DUMMYFUNCTION("""COMPUTED_VALUE"""),"Itthipong Khanthonglor")</f>
        <v>Itthipong Khanthonglor</v>
      </c>
    </row>
    <row r="564">
      <c r="A564" s="142">
        <f>IFERROR(__xludf.DUMMYFUNCTION("""COMPUTED_VALUE"""),70.0)</f>
        <v>70</v>
      </c>
      <c r="B564" t="str">
        <f>IFERROR(__xludf.DUMMYFUNCTION("""COMPUTED_VALUE"""),"TAA5978")</f>
        <v>TAA5978</v>
      </c>
      <c r="C564">
        <f>IFERROR(__xludf.DUMMYFUNCTION("""COMPUTED_VALUE"""),1012166.0)</f>
        <v>1012166</v>
      </c>
      <c r="D564" t="str">
        <f>IFERROR(__xludf.DUMMYFUNCTION("""COMPUTED_VALUE"""),"Ms.")</f>
        <v>Ms.</v>
      </c>
      <c r="E564" t="str">
        <f>IFERROR(__xludf.DUMMYFUNCTION("""COMPUTED_VALUE"""),"Monthira")</f>
        <v>Monthira</v>
      </c>
      <c r="F564" t="str">
        <f>IFERROR(__xludf.DUMMYFUNCTION("""COMPUTED_VALUE"""),"Modesanga")</f>
        <v>Modesanga</v>
      </c>
      <c r="G564" t="str">
        <f>IFERROR(__xludf.DUMMYFUNCTION("""COMPUTED_VALUE"""),"Monthira Modesanga")</f>
        <v>Monthira Modesanga</v>
      </c>
    </row>
    <row r="565">
      <c r="A565" s="142">
        <f>IFERROR(__xludf.DUMMYFUNCTION("""COMPUTED_VALUE"""),70.0)</f>
        <v>70</v>
      </c>
      <c r="B565" t="str">
        <f>IFERROR(__xludf.DUMMYFUNCTION("""COMPUTED_VALUE"""),"TAA5982")</f>
        <v>TAA5982</v>
      </c>
      <c r="C565">
        <f>IFERROR(__xludf.DUMMYFUNCTION("""COMPUTED_VALUE"""),1012170.0)</f>
        <v>1012170</v>
      </c>
      <c r="D565" t="str">
        <f>IFERROR(__xludf.DUMMYFUNCTION("""COMPUTED_VALUE"""),"Ms.")</f>
        <v>Ms.</v>
      </c>
      <c r="E565" t="str">
        <f>IFERROR(__xludf.DUMMYFUNCTION("""COMPUTED_VALUE"""),"Natchanapatch")</f>
        <v>Natchanapatch</v>
      </c>
      <c r="F565" t="str">
        <f>IFERROR(__xludf.DUMMYFUNCTION("""COMPUTED_VALUE"""),"Sakunsmithikorn (Phalapruek)")</f>
        <v>Sakunsmithikorn (Phalapruek)</v>
      </c>
      <c r="G565" t="str">
        <f>IFERROR(__xludf.DUMMYFUNCTION("""COMPUTED_VALUE"""),"Natchanapatch Sakunsmithikorn ")</f>
        <v>Natchanapatch Sakunsmithikorn </v>
      </c>
    </row>
    <row r="566">
      <c r="A566" s="142">
        <f>IFERROR(__xludf.DUMMYFUNCTION("""COMPUTED_VALUE"""),70.0)</f>
        <v>70</v>
      </c>
      <c r="B566" t="str">
        <f>IFERROR(__xludf.DUMMYFUNCTION("""COMPUTED_VALUE"""),"TAA5985")</f>
        <v>TAA5985</v>
      </c>
      <c r="C566">
        <f>IFERROR(__xludf.DUMMYFUNCTION("""COMPUTED_VALUE"""),1012174.0)</f>
        <v>1012174</v>
      </c>
      <c r="D566" t="str">
        <f>IFERROR(__xludf.DUMMYFUNCTION("""COMPUTED_VALUE"""),"Mr.")</f>
        <v>Mr.</v>
      </c>
      <c r="E566" t="str">
        <f>IFERROR(__xludf.DUMMYFUNCTION("""COMPUTED_VALUE"""),"Parnnachai")</f>
        <v>Parnnachai</v>
      </c>
      <c r="F566" t="str">
        <f>IFERROR(__xludf.DUMMYFUNCTION("""COMPUTED_VALUE"""),"Srirat")</f>
        <v>Srirat</v>
      </c>
      <c r="G566" t="str">
        <f>IFERROR(__xludf.DUMMYFUNCTION("""COMPUTED_VALUE"""),"Parnnachai Srirat")</f>
        <v>Parnnachai Srirat</v>
      </c>
    </row>
    <row r="567">
      <c r="A567" s="142">
        <f>IFERROR(__xludf.DUMMYFUNCTION("""COMPUTED_VALUE"""),70.0)</f>
        <v>70</v>
      </c>
      <c r="B567" t="str">
        <f>IFERROR(__xludf.DUMMYFUNCTION("""COMPUTED_VALUE"""),"TAA5984")</f>
        <v>TAA5984</v>
      </c>
      <c r="C567">
        <f>IFERROR(__xludf.DUMMYFUNCTION("""COMPUTED_VALUE"""),1012182.0)</f>
        <v>1012182</v>
      </c>
      <c r="D567" t="str">
        <f>IFERROR(__xludf.DUMMYFUNCTION("""COMPUTED_VALUE"""),"Ms.")</f>
        <v>Ms.</v>
      </c>
      <c r="E567" t="str">
        <f>IFERROR(__xludf.DUMMYFUNCTION("""COMPUTED_VALUE"""),"Soikamol")</f>
        <v>Soikamol</v>
      </c>
      <c r="F567" t="str">
        <f>IFERROR(__xludf.DUMMYFUNCTION("""COMPUTED_VALUE"""),"Phonakhon")</f>
        <v>Phonakhon</v>
      </c>
      <c r="G567" t="str">
        <f>IFERROR(__xludf.DUMMYFUNCTION("""COMPUTED_VALUE"""),"Soikamol Phonakhon")</f>
        <v>Soikamol Phonakhon</v>
      </c>
    </row>
    <row r="568">
      <c r="A568" s="142">
        <f>IFERROR(__xludf.DUMMYFUNCTION("""COMPUTED_VALUE"""),70.0)</f>
        <v>70</v>
      </c>
      <c r="B568" t="str">
        <f>IFERROR(__xludf.DUMMYFUNCTION("""COMPUTED_VALUE"""),"TAA5983")</f>
        <v>TAA5983</v>
      </c>
      <c r="C568">
        <f>IFERROR(__xludf.DUMMYFUNCTION("""COMPUTED_VALUE"""),1012183.0)</f>
        <v>1012183</v>
      </c>
      <c r="D568" t="str">
        <f>IFERROR(__xludf.DUMMYFUNCTION("""COMPUTED_VALUE"""),"Mr.")</f>
        <v>Mr.</v>
      </c>
      <c r="E568" t="str">
        <f>IFERROR(__xludf.DUMMYFUNCTION("""COMPUTED_VALUE"""),"Tatree")</f>
        <v>Tatree</v>
      </c>
      <c r="F568" t="str">
        <f>IFERROR(__xludf.DUMMYFUNCTION("""COMPUTED_VALUE"""),"Phakaew")</f>
        <v>Phakaew</v>
      </c>
      <c r="G568" t="str">
        <f>IFERROR(__xludf.DUMMYFUNCTION("""COMPUTED_VALUE"""),"Tatree Phakaew")</f>
        <v>Tatree Phakaew</v>
      </c>
    </row>
    <row r="569">
      <c r="A569" s="142">
        <f>IFERROR(__xludf.DUMMYFUNCTION("""COMPUTED_VALUE"""),70.0)</f>
        <v>70</v>
      </c>
      <c r="B569" t="str">
        <f>IFERROR(__xludf.DUMMYFUNCTION("""COMPUTED_VALUE"""),"TAA5981")</f>
        <v>TAA5981</v>
      </c>
      <c r="C569">
        <f>IFERROR(__xludf.DUMMYFUNCTION("""COMPUTED_VALUE"""),1012186.0)</f>
        <v>1012186</v>
      </c>
      <c r="D569" t="str">
        <f>IFERROR(__xludf.DUMMYFUNCTION("""COMPUTED_VALUE"""),"Ms.")</f>
        <v>Ms.</v>
      </c>
      <c r="E569" t="str">
        <f>IFERROR(__xludf.DUMMYFUNCTION("""COMPUTED_VALUE"""),"Tulaporn")</f>
        <v>Tulaporn</v>
      </c>
      <c r="F569" t="str">
        <f>IFERROR(__xludf.DUMMYFUNCTION("""COMPUTED_VALUE"""),"Treetasent")</f>
        <v>Treetasent</v>
      </c>
      <c r="G569" t="str">
        <f>IFERROR(__xludf.DUMMYFUNCTION("""COMPUTED_VALUE"""),"Tulaporn Treetasent")</f>
        <v>Tulaporn Treetasent</v>
      </c>
    </row>
    <row r="570">
      <c r="A570" s="142">
        <f>IFERROR(__xludf.DUMMYFUNCTION("""COMPUTED_VALUE"""),70.0)</f>
        <v>70</v>
      </c>
      <c r="B570" t="str">
        <f>IFERROR(__xludf.DUMMYFUNCTION("""COMPUTED_VALUE"""),"TAA5980")</f>
        <v>TAA5980</v>
      </c>
      <c r="C570">
        <f>IFERROR(__xludf.DUMMYFUNCTION("""COMPUTED_VALUE"""),1012187.0)</f>
        <v>1012187</v>
      </c>
      <c r="D570" t="str">
        <f>IFERROR(__xludf.DUMMYFUNCTION("""COMPUTED_VALUE"""),"Ms.")</f>
        <v>Ms.</v>
      </c>
      <c r="E570" t="str">
        <f>IFERROR(__xludf.DUMMYFUNCTION("""COMPUTED_VALUE"""),"Warangkana")</f>
        <v>Warangkana</v>
      </c>
      <c r="F570" t="str">
        <f>IFERROR(__xludf.DUMMYFUNCTION("""COMPUTED_VALUE"""),"Mattaweewong")</f>
        <v>Mattaweewong</v>
      </c>
      <c r="G570" t="str">
        <f>IFERROR(__xludf.DUMMYFUNCTION("""COMPUTED_VALUE"""),"Warangkana Mattaweewong")</f>
        <v>Warangkana Mattaweewong</v>
      </c>
    </row>
    <row r="571">
      <c r="A571" s="142">
        <f>IFERROR(__xludf.DUMMYFUNCTION("""COMPUTED_VALUE"""),70.0)</f>
        <v>70</v>
      </c>
      <c r="B571" t="str">
        <f>IFERROR(__xludf.DUMMYFUNCTION("""COMPUTED_VALUE"""),"TAA6172")</f>
        <v>TAA6172</v>
      </c>
      <c r="C571">
        <f>IFERROR(__xludf.DUMMYFUNCTION("""COMPUTED_VALUE"""),1012188.0)</f>
        <v>1012188</v>
      </c>
      <c r="D571" t="str">
        <f>IFERROR(__xludf.DUMMYFUNCTION("""COMPUTED_VALUE"""),"Mr.")</f>
        <v>Mr.</v>
      </c>
      <c r="E571" t="str">
        <f>IFERROR(__xludf.DUMMYFUNCTION("""COMPUTED_VALUE"""),"Warut")</f>
        <v>Warut</v>
      </c>
      <c r="F571" t="str">
        <f>IFERROR(__xludf.DUMMYFUNCTION("""COMPUTED_VALUE"""),"Sritham")</f>
        <v>Sritham</v>
      </c>
      <c r="G571" t="str">
        <f>IFERROR(__xludf.DUMMYFUNCTION("""COMPUTED_VALUE"""),"Warut Sritham")</f>
        <v>Warut Sritham</v>
      </c>
    </row>
    <row r="573">
      <c r="A573" s="142">
        <f>IFERROR(__xludf.DUMMYFUNCTION("""COMPUTED_VALUE"""),71.0)</f>
        <v>71</v>
      </c>
      <c r="B573" t="str">
        <f>IFERROR(__xludf.DUMMYFUNCTION("""COMPUTED_VALUE"""),"TAA5671")</f>
        <v>TAA5671</v>
      </c>
      <c r="C573">
        <f>IFERROR(__xludf.DUMMYFUNCTION("""COMPUTED_VALUE"""),1011053.0)</f>
        <v>1011053</v>
      </c>
      <c r="D573" t="str">
        <f>IFERROR(__xludf.DUMMYFUNCTION("""COMPUTED_VALUE"""),"Mr.")</f>
        <v>Mr.</v>
      </c>
      <c r="E573" t="str">
        <f>IFERROR(__xludf.DUMMYFUNCTION("""COMPUTED_VALUE"""),"Athit")</f>
        <v>Athit</v>
      </c>
      <c r="F573" t="str">
        <f>IFERROR(__xludf.DUMMYFUNCTION("""COMPUTED_VALUE"""),"Sornsiriwong")</f>
        <v>Sornsiriwong</v>
      </c>
      <c r="G573" t="str">
        <f>IFERROR(__xludf.DUMMYFUNCTION("""COMPUTED_VALUE"""),"Athit Sornsiriwong")</f>
        <v>Athit Sornsiriwong</v>
      </c>
    </row>
    <row r="574">
      <c r="A574" s="142">
        <f>IFERROR(__xludf.DUMMYFUNCTION("""COMPUTED_VALUE"""),71.0)</f>
        <v>71</v>
      </c>
      <c r="B574" t="str">
        <f>IFERROR(__xludf.DUMMYFUNCTION("""COMPUTED_VALUE"""),"TAA5581")</f>
        <v>TAA5581</v>
      </c>
      <c r="C574">
        <f>IFERROR(__xludf.DUMMYFUNCTION("""COMPUTED_VALUE"""),1011058.0)</f>
        <v>1011058</v>
      </c>
      <c r="D574" t="str">
        <f>IFERROR(__xludf.DUMMYFUNCTION("""COMPUTED_VALUE"""),"Ms.")</f>
        <v>Ms.</v>
      </c>
      <c r="E574" t="str">
        <f>IFERROR(__xludf.DUMMYFUNCTION("""COMPUTED_VALUE"""),"Hunsa")</f>
        <v>Hunsa</v>
      </c>
      <c r="F574" t="str">
        <f>IFERROR(__xludf.DUMMYFUNCTION("""COMPUTED_VALUE"""),"Dechthanaphaisan")</f>
        <v>Dechthanaphaisan</v>
      </c>
      <c r="G574" t="str">
        <f>IFERROR(__xludf.DUMMYFUNCTION("""COMPUTED_VALUE"""),"Hunsa Dechthanaphaisan")</f>
        <v>Hunsa Dechthanaphaisan</v>
      </c>
    </row>
    <row r="575">
      <c r="A575" s="142">
        <f>IFERROR(__xludf.DUMMYFUNCTION("""COMPUTED_VALUE"""),71.0)</f>
        <v>71</v>
      </c>
      <c r="B575" t="str">
        <f>IFERROR(__xludf.DUMMYFUNCTION("""COMPUTED_VALUE"""),"TAA5668")</f>
        <v>TAA5668</v>
      </c>
      <c r="C575">
        <f>IFERROR(__xludf.DUMMYFUNCTION("""COMPUTED_VALUE"""),1011059.0)</f>
        <v>1011059</v>
      </c>
      <c r="D575" t="str">
        <f>IFERROR(__xludf.DUMMYFUNCTION("""COMPUTED_VALUE"""),"Ms.")</f>
        <v>Ms.</v>
      </c>
      <c r="E575" t="str">
        <f>IFERROR(__xludf.DUMMYFUNCTION("""COMPUTED_VALUE"""),"Janejira")</f>
        <v>Janejira</v>
      </c>
      <c r="F575" t="str">
        <f>IFERROR(__xludf.DUMMYFUNCTION("""COMPUTED_VALUE"""),"Kavetreerawat")</f>
        <v>Kavetreerawat</v>
      </c>
      <c r="G575" t="str">
        <f>IFERROR(__xludf.DUMMYFUNCTION("""COMPUTED_VALUE"""),"Janejira Kavetreerawat")</f>
        <v>Janejira Kavetreerawat</v>
      </c>
    </row>
    <row r="576">
      <c r="A576" s="142">
        <f>IFERROR(__xludf.DUMMYFUNCTION("""COMPUTED_VALUE"""),71.0)</f>
        <v>71</v>
      </c>
      <c r="B576" t="str">
        <f>IFERROR(__xludf.DUMMYFUNCTION("""COMPUTED_VALUE"""),"TAA5664")</f>
        <v>TAA5664</v>
      </c>
      <c r="C576">
        <f>IFERROR(__xludf.DUMMYFUNCTION("""COMPUTED_VALUE"""),1011060.0)</f>
        <v>1011060</v>
      </c>
      <c r="D576" t="str">
        <f>IFERROR(__xludf.DUMMYFUNCTION("""COMPUTED_VALUE"""),"Ms.")</f>
        <v>Ms.</v>
      </c>
      <c r="E576" t="str">
        <f>IFERROR(__xludf.DUMMYFUNCTION("""COMPUTED_VALUE"""),"Jariya")</f>
        <v>Jariya</v>
      </c>
      <c r="F576" t="str">
        <f>IFERROR(__xludf.DUMMYFUNCTION("""COMPUTED_VALUE"""),"Paopan")</f>
        <v>Paopan</v>
      </c>
      <c r="G576" t="str">
        <f>IFERROR(__xludf.DUMMYFUNCTION("""COMPUTED_VALUE"""),"Jariya Paopan")</f>
        <v>Jariya Paopan</v>
      </c>
    </row>
    <row r="577">
      <c r="A577" s="142">
        <f>IFERROR(__xludf.DUMMYFUNCTION("""COMPUTED_VALUE"""),71.0)</f>
        <v>71</v>
      </c>
      <c r="B577" t="str">
        <f>IFERROR(__xludf.DUMMYFUNCTION("""COMPUTED_VALUE"""),"TAA5661")</f>
        <v>TAA5661</v>
      </c>
      <c r="C577">
        <f>IFERROR(__xludf.DUMMYFUNCTION("""COMPUTED_VALUE"""),1011061.0)</f>
        <v>1011061</v>
      </c>
      <c r="D577" t="str">
        <f>IFERROR(__xludf.DUMMYFUNCTION("""COMPUTED_VALUE"""),"Ms.")</f>
        <v>Ms.</v>
      </c>
      <c r="E577" t="str">
        <f>IFERROR(__xludf.DUMMYFUNCTION("""COMPUTED_VALUE"""),"Jatuporn")</f>
        <v>Jatuporn</v>
      </c>
      <c r="F577" t="str">
        <f>IFERROR(__xludf.DUMMYFUNCTION("""COMPUTED_VALUE"""),"Samanchunt")</f>
        <v>Samanchunt</v>
      </c>
      <c r="G577" t="str">
        <f>IFERROR(__xludf.DUMMYFUNCTION("""COMPUTED_VALUE"""),"Jatuporn Samanchunt")</f>
        <v>Jatuporn Samanchunt</v>
      </c>
    </row>
    <row r="578">
      <c r="A578" s="142">
        <f>IFERROR(__xludf.DUMMYFUNCTION("""COMPUTED_VALUE"""),71.0)</f>
        <v>71</v>
      </c>
      <c r="B578" t="str">
        <f>IFERROR(__xludf.DUMMYFUNCTION("""COMPUTED_VALUE"""),"TAA5663")</f>
        <v>TAA5663</v>
      </c>
      <c r="C578">
        <f>IFERROR(__xludf.DUMMYFUNCTION("""COMPUTED_VALUE"""),1011062.0)</f>
        <v>1011062</v>
      </c>
      <c r="D578" t="str">
        <f>IFERROR(__xludf.DUMMYFUNCTION("""COMPUTED_VALUE"""),"Mr.")</f>
        <v>Mr.</v>
      </c>
      <c r="E578" t="str">
        <f>IFERROR(__xludf.DUMMYFUNCTION("""COMPUTED_VALUE"""),"Jutapong")</f>
        <v>Jutapong</v>
      </c>
      <c r="F578" t="str">
        <f>IFERROR(__xludf.DUMMYFUNCTION("""COMPUTED_VALUE"""),"Un-On")</f>
        <v>Un-On</v>
      </c>
      <c r="G578" t="str">
        <f>IFERROR(__xludf.DUMMYFUNCTION("""COMPUTED_VALUE"""),"Jutapong Un-On")</f>
        <v>Jutapong Un-On</v>
      </c>
    </row>
    <row r="579">
      <c r="A579" s="142">
        <f>IFERROR(__xludf.DUMMYFUNCTION("""COMPUTED_VALUE"""),71.0)</f>
        <v>71</v>
      </c>
      <c r="B579" t="str">
        <f>IFERROR(__xludf.DUMMYFUNCTION("""COMPUTED_VALUE"""),"TAA5666")</f>
        <v>TAA5666</v>
      </c>
      <c r="C579">
        <f>IFERROR(__xludf.DUMMYFUNCTION("""COMPUTED_VALUE"""),1011065.0)</f>
        <v>1011065</v>
      </c>
      <c r="D579" t="str">
        <f>IFERROR(__xludf.DUMMYFUNCTION("""COMPUTED_VALUE"""),"Mr.")</f>
        <v>Mr.</v>
      </c>
      <c r="E579" t="str">
        <f>IFERROR(__xludf.DUMMYFUNCTION("""COMPUTED_VALUE"""),"krittapak")</f>
        <v>krittapak</v>
      </c>
      <c r="F579" t="str">
        <f>IFERROR(__xludf.DUMMYFUNCTION("""COMPUTED_VALUE"""),"Chuchuaisuwan")</f>
        <v>Chuchuaisuwan</v>
      </c>
      <c r="G579" t="str">
        <f>IFERROR(__xludf.DUMMYFUNCTION("""COMPUTED_VALUE"""),"Krittapak Chuchuaisuwan")</f>
        <v>Krittapak Chuchuaisuwan</v>
      </c>
    </row>
    <row r="580">
      <c r="A580" s="142">
        <f>IFERROR(__xludf.DUMMYFUNCTION("""COMPUTED_VALUE"""),71.0)</f>
        <v>71</v>
      </c>
      <c r="B580" t="str">
        <f>IFERROR(__xludf.DUMMYFUNCTION("""COMPUTED_VALUE"""),"TAA5674")</f>
        <v>TAA5674</v>
      </c>
      <c r="C580">
        <f>IFERROR(__xludf.DUMMYFUNCTION("""COMPUTED_VALUE"""),1011071.0)</f>
        <v>1011071</v>
      </c>
      <c r="D580" t="str">
        <f>IFERROR(__xludf.DUMMYFUNCTION("""COMPUTED_VALUE"""),"Ms.")</f>
        <v>Ms.</v>
      </c>
      <c r="E580" t="str">
        <f>IFERROR(__xludf.DUMMYFUNCTION("""COMPUTED_VALUE"""),"Puttinee")</f>
        <v>Puttinee</v>
      </c>
      <c r="F580" t="str">
        <f>IFERROR(__xludf.DUMMYFUNCTION("""COMPUTED_VALUE"""),"Satjapanpong (Kichpechr)")</f>
        <v>Satjapanpong (Kichpechr)</v>
      </c>
      <c r="G580" t="str">
        <f>IFERROR(__xludf.DUMMYFUNCTION("""COMPUTED_VALUE"""),"Puttinee Satjapanpong ")</f>
        <v>Puttinee Satjapanpong </v>
      </c>
    </row>
    <row r="581">
      <c r="A581" s="142">
        <f>IFERROR(__xludf.DUMMYFUNCTION("""COMPUTED_VALUE"""),71.0)</f>
        <v>71</v>
      </c>
      <c r="B581" t="str">
        <f>IFERROR(__xludf.DUMMYFUNCTION("""COMPUTED_VALUE"""),"TAA5665")</f>
        <v>TAA5665</v>
      </c>
      <c r="C581">
        <f>IFERROR(__xludf.DUMMYFUNCTION("""COMPUTED_VALUE"""),1011075.0)</f>
        <v>1011075</v>
      </c>
      <c r="D581" t="str">
        <f>IFERROR(__xludf.DUMMYFUNCTION("""COMPUTED_VALUE"""),"Ms.")</f>
        <v>Ms.</v>
      </c>
      <c r="E581" t="str">
        <f>IFERROR(__xludf.DUMMYFUNCTION("""COMPUTED_VALUE"""),"Sasisomapa")</f>
        <v>Sasisomapa</v>
      </c>
      <c r="F581" t="str">
        <f>IFERROR(__xludf.DUMMYFUNCTION("""COMPUTED_VALUE"""),"Vatchareewong Na Ayudthaya")</f>
        <v>Vatchareewong Na Ayudthaya</v>
      </c>
      <c r="G581" t="str">
        <f>IFERROR(__xludf.DUMMYFUNCTION("""COMPUTED_VALUE"""),"Sasisomapa Vatchareewong Na Ayudthaya")</f>
        <v>Sasisomapa Vatchareewong Na Ayudthaya</v>
      </c>
    </row>
    <row r="582">
      <c r="A582" s="142">
        <f>IFERROR(__xludf.DUMMYFUNCTION("""COMPUTED_VALUE"""),71.0)</f>
        <v>71</v>
      </c>
      <c r="B582" t="str">
        <f>IFERROR(__xludf.DUMMYFUNCTION("""COMPUTED_VALUE"""),"TAA5669")</f>
        <v>TAA5669</v>
      </c>
      <c r="C582">
        <f>IFERROR(__xludf.DUMMYFUNCTION("""COMPUTED_VALUE"""),1011082.0)</f>
        <v>1011082</v>
      </c>
      <c r="D582" t="str">
        <f>IFERROR(__xludf.DUMMYFUNCTION("""COMPUTED_VALUE"""),"Ms.")</f>
        <v>Ms.</v>
      </c>
      <c r="E582" t="str">
        <f>IFERROR(__xludf.DUMMYFUNCTION("""COMPUTED_VALUE"""),"Tida")</f>
        <v>Tida</v>
      </c>
      <c r="F582" t="str">
        <f>IFERROR(__xludf.DUMMYFUNCTION("""COMPUTED_VALUE"""),"Pheechapand")</f>
        <v>Pheechapand</v>
      </c>
      <c r="G582" t="str">
        <f>IFERROR(__xludf.DUMMYFUNCTION("""COMPUTED_VALUE"""),"Tida Pheechapand")</f>
        <v>Tida Pheechapand</v>
      </c>
    </row>
    <row r="583">
      <c r="A583" s="142">
        <f>IFERROR(__xludf.DUMMYFUNCTION("""COMPUTED_VALUE"""),71.0)</f>
        <v>71</v>
      </c>
      <c r="B583" t="str">
        <f>IFERROR(__xludf.DUMMYFUNCTION("""COMPUTED_VALUE"""),"TAA5662")</f>
        <v>TAA5662</v>
      </c>
      <c r="C583">
        <f>IFERROR(__xludf.DUMMYFUNCTION("""COMPUTED_VALUE"""),1011083.0)</f>
        <v>1011083</v>
      </c>
      <c r="D583" t="str">
        <f>IFERROR(__xludf.DUMMYFUNCTION("""COMPUTED_VALUE"""),"Ms.")</f>
        <v>Ms.</v>
      </c>
      <c r="E583" t="str">
        <f>IFERROR(__xludf.DUMMYFUNCTION("""COMPUTED_VALUE"""),"Wanliya")</f>
        <v>Wanliya</v>
      </c>
      <c r="F583" t="str">
        <f>IFERROR(__xludf.DUMMYFUNCTION("""COMPUTED_VALUE"""),"Choosiri")</f>
        <v>Choosiri</v>
      </c>
      <c r="G583" t="str">
        <f>IFERROR(__xludf.DUMMYFUNCTION("""COMPUTED_VALUE"""),"Wanliya Choosiri")</f>
        <v>Wanliya Choosiri</v>
      </c>
    </row>
    <row r="584">
      <c r="A584" s="142">
        <f>IFERROR(__xludf.DUMMYFUNCTION("""COMPUTED_VALUE"""),71.0)</f>
        <v>71</v>
      </c>
      <c r="B584" t="str">
        <f>IFERROR(__xludf.DUMMYFUNCTION("""COMPUTED_VALUE"""),"TAA5672")</f>
        <v>TAA5672</v>
      </c>
      <c r="C584">
        <f>IFERROR(__xludf.DUMMYFUNCTION("""COMPUTED_VALUE"""),1011084.0)</f>
        <v>1011084</v>
      </c>
      <c r="D584" t="str">
        <f>IFERROR(__xludf.DUMMYFUNCTION("""COMPUTED_VALUE"""),"Mr.")</f>
        <v>Mr.</v>
      </c>
      <c r="E584" t="str">
        <f>IFERROR(__xludf.DUMMYFUNCTION("""COMPUTED_VALUE"""),"Warich")</f>
        <v>Warich</v>
      </c>
      <c r="F584" t="str">
        <f>IFERROR(__xludf.DUMMYFUNCTION("""COMPUTED_VALUE"""),"Nathtigoon")</f>
        <v>Nathtigoon</v>
      </c>
      <c r="G584" t="str">
        <f>IFERROR(__xludf.DUMMYFUNCTION("""COMPUTED_VALUE"""),"Warich Nathtigoon")</f>
        <v>Warich Nathtigoon</v>
      </c>
    </row>
    <row r="586">
      <c r="A586" s="142">
        <f>IFERROR(__xludf.DUMMYFUNCTION("""COMPUTED_VALUE"""),72.0)</f>
        <v>72</v>
      </c>
      <c r="B586" t="str">
        <f>IFERROR(__xludf.DUMMYFUNCTION("""COMPUTED_VALUE"""),"TAA5877")</f>
        <v>TAA5877</v>
      </c>
      <c r="C586">
        <f>IFERROR(__xludf.DUMMYFUNCTION("""COMPUTED_VALUE"""),1011500.0)</f>
        <v>1011500</v>
      </c>
      <c r="D586" t="str">
        <f>IFERROR(__xludf.DUMMYFUNCTION("""COMPUTED_VALUE"""),"Ms.")</f>
        <v>Ms.</v>
      </c>
      <c r="E586" t="str">
        <f>IFERROR(__xludf.DUMMYFUNCTION("""COMPUTED_VALUE"""),"Chonlada")</f>
        <v>Chonlada</v>
      </c>
      <c r="F586" t="str">
        <f>IFERROR(__xludf.DUMMYFUNCTION("""COMPUTED_VALUE"""),"Vongjun")</f>
        <v>Vongjun</v>
      </c>
      <c r="G586" t="str">
        <f>IFERROR(__xludf.DUMMYFUNCTION("""COMPUTED_VALUE"""),"Chonlada Vongjun")</f>
        <v>Chonlada Vongjun</v>
      </c>
    </row>
    <row r="587">
      <c r="A587" s="142">
        <f>IFERROR(__xludf.DUMMYFUNCTION("""COMPUTED_VALUE"""),72.0)</f>
        <v>72</v>
      </c>
      <c r="B587" t="str">
        <f>IFERROR(__xludf.DUMMYFUNCTION("""COMPUTED_VALUE"""),"TAA5879")</f>
        <v>TAA5879</v>
      </c>
      <c r="C587">
        <f>IFERROR(__xludf.DUMMYFUNCTION("""COMPUTED_VALUE"""),1011501.0)</f>
        <v>1011501</v>
      </c>
      <c r="D587" t="str">
        <f>IFERROR(__xludf.DUMMYFUNCTION("""COMPUTED_VALUE"""),"Ms.")</f>
        <v>Ms.</v>
      </c>
      <c r="E587" t="str">
        <f>IFERROR(__xludf.DUMMYFUNCTION("""COMPUTED_VALUE"""),"Jinbulla")</f>
        <v>Jinbulla</v>
      </c>
      <c r="F587" t="str">
        <f>IFERROR(__xludf.DUMMYFUNCTION("""COMPUTED_VALUE"""),"Pranom")</f>
        <v>Pranom</v>
      </c>
      <c r="G587" t="str">
        <f>IFERROR(__xludf.DUMMYFUNCTION("""COMPUTED_VALUE"""),"Jinbulla Pranom")</f>
        <v>Jinbulla Pranom</v>
      </c>
    </row>
    <row r="588">
      <c r="A588" s="142">
        <f>IFERROR(__xludf.DUMMYFUNCTION("""COMPUTED_VALUE"""),72.0)</f>
        <v>72</v>
      </c>
      <c r="B588" t="str">
        <f>IFERROR(__xludf.DUMMYFUNCTION("""COMPUTED_VALUE"""),"TAA5881")</f>
        <v>TAA5881</v>
      </c>
      <c r="C588">
        <f>IFERROR(__xludf.DUMMYFUNCTION("""COMPUTED_VALUE"""),1011502.0)</f>
        <v>1011502</v>
      </c>
      <c r="D588" t="str">
        <f>IFERROR(__xludf.DUMMYFUNCTION("""COMPUTED_VALUE"""),"Mr.")</f>
        <v>Mr.</v>
      </c>
      <c r="E588" t="str">
        <f>IFERROR(__xludf.DUMMYFUNCTION("""COMPUTED_VALUE"""),"Kritskorn (Kritsana)")</f>
        <v>Kritskorn (Kritsana)</v>
      </c>
      <c r="F588" t="str">
        <f>IFERROR(__xludf.DUMMYFUNCTION("""COMPUTED_VALUE"""),"Kathinthong")</f>
        <v>Kathinthong</v>
      </c>
      <c r="G588" t="str">
        <f>IFERROR(__xludf.DUMMYFUNCTION("""COMPUTED_VALUE"""),"Kritskorn Kathinthong")</f>
        <v>Kritskorn Kathinthong</v>
      </c>
    </row>
    <row r="589">
      <c r="A589" s="142">
        <f>IFERROR(__xludf.DUMMYFUNCTION("""COMPUTED_VALUE"""),72.0)</f>
        <v>72</v>
      </c>
      <c r="B589" t="str">
        <f>IFERROR(__xludf.DUMMYFUNCTION("""COMPUTED_VALUE"""),"TAA5878")</f>
        <v>TAA5878</v>
      </c>
      <c r="C589">
        <f>IFERROR(__xludf.DUMMYFUNCTION("""COMPUTED_VALUE"""),1011504.0)</f>
        <v>1011504</v>
      </c>
      <c r="D589" t="str">
        <f>IFERROR(__xludf.DUMMYFUNCTION("""COMPUTED_VALUE"""),"Ms.")</f>
        <v>Ms.</v>
      </c>
      <c r="E589" t="str">
        <f>IFERROR(__xludf.DUMMYFUNCTION("""COMPUTED_VALUE"""),"Punyanuch (Panthira)")</f>
        <v>Punyanuch (Panthira)</v>
      </c>
      <c r="F589" t="str">
        <f>IFERROR(__xludf.DUMMYFUNCTION("""COMPUTED_VALUE"""),"Skulnukulkit( Nukulkit)")</f>
        <v>Skulnukulkit( Nukulkit)</v>
      </c>
      <c r="G589" t="str">
        <f>IFERROR(__xludf.DUMMYFUNCTION("""COMPUTED_VALUE"""),"Punyanuch Skulnukulkit")</f>
        <v>Punyanuch Skulnukulkit</v>
      </c>
    </row>
    <row r="591">
      <c r="A591" s="142">
        <f>IFERROR(__xludf.DUMMYFUNCTION("""COMPUTED_VALUE"""),73.0)</f>
        <v>73</v>
      </c>
      <c r="B591" t="str">
        <f>IFERROR(__xludf.DUMMYFUNCTION("""COMPUTED_VALUE"""),"TAA6102")</f>
        <v>TAA6102</v>
      </c>
      <c r="C591">
        <f>IFERROR(__xludf.DUMMYFUNCTION("""COMPUTED_VALUE"""),1011800.0)</f>
        <v>1011800</v>
      </c>
      <c r="D591" t="str">
        <f>IFERROR(__xludf.DUMMYFUNCTION("""COMPUTED_VALUE"""),"Ms.")</f>
        <v>Ms.</v>
      </c>
      <c r="E591" t="str">
        <f>IFERROR(__xludf.DUMMYFUNCTION("""COMPUTED_VALUE"""),"Arisa")</f>
        <v>Arisa</v>
      </c>
      <c r="F591" t="str">
        <f>IFERROR(__xludf.DUMMYFUNCTION("""COMPUTED_VALUE"""),"Witthawaskul")</f>
        <v>Witthawaskul</v>
      </c>
      <c r="G591" t="str">
        <f>IFERROR(__xludf.DUMMYFUNCTION("""COMPUTED_VALUE"""),"Arisa Witthawaskul")</f>
        <v>Arisa Witthawaskul</v>
      </c>
    </row>
    <row r="592">
      <c r="A592" s="142">
        <f>IFERROR(__xludf.DUMMYFUNCTION("""COMPUTED_VALUE"""),73.0)</f>
        <v>73</v>
      </c>
      <c r="B592" t="str">
        <f>IFERROR(__xludf.DUMMYFUNCTION("""COMPUTED_VALUE"""),"TAA6119")</f>
        <v>TAA6119</v>
      </c>
      <c r="C592">
        <f>IFERROR(__xludf.DUMMYFUNCTION("""COMPUTED_VALUE"""),1011806.0)</f>
        <v>1011806</v>
      </c>
      <c r="D592" t="str">
        <f>IFERROR(__xludf.DUMMYFUNCTION("""COMPUTED_VALUE"""),"Ms.")</f>
        <v>Ms.</v>
      </c>
      <c r="E592" t="str">
        <f>IFERROR(__xludf.DUMMYFUNCTION("""COMPUTED_VALUE"""),"Chonthicha")</f>
        <v>Chonthicha</v>
      </c>
      <c r="F592" t="str">
        <f>IFERROR(__xludf.DUMMYFUNCTION("""COMPUTED_VALUE"""),"Chanpanitkitchot")</f>
        <v>Chanpanitkitchot</v>
      </c>
      <c r="G592" t="str">
        <f>IFERROR(__xludf.DUMMYFUNCTION("""COMPUTED_VALUE"""),"Chonthicha Chanpanitkitchot")</f>
        <v>Chonthicha Chanpanitkitchot</v>
      </c>
    </row>
    <row r="593">
      <c r="A593" s="142">
        <f>IFERROR(__xludf.DUMMYFUNCTION("""COMPUTED_VALUE"""),73.0)</f>
        <v>73</v>
      </c>
      <c r="B593" t="str">
        <f>IFERROR(__xludf.DUMMYFUNCTION("""COMPUTED_VALUE"""),"TAA6100")</f>
        <v>TAA6100</v>
      </c>
      <c r="C593">
        <f>IFERROR(__xludf.DUMMYFUNCTION("""COMPUTED_VALUE"""),1011807.0)</f>
        <v>1011807</v>
      </c>
      <c r="D593" t="str">
        <f>IFERROR(__xludf.DUMMYFUNCTION("""COMPUTED_VALUE"""),"Ms.")</f>
        <v>Ms.</v>
      </c>
      <c r="E593" t="str">
        <f>IFERROR(__xludf.DUMMYFUNCTION("""COMPUTED_VALUE"""),"Chulalak")</f>
        <v>Chulalak</v>
      </c>
      <c r="F593" t="str">
        <f>IFERROR(__xludf.DUMMYFUNCTION("""COMPUTED_VALUE"""),"Raksafoongchon")</f>
        <v>Raksafoongchon</v>
      </c>
      <c r="G593" t="str">
        <f>IFERROR(__xludf.DUMMYFUNCTION("""COMPUTED_VALUE"""),"Chulalak Raksafoongchon")</f>
        <v>Chulalak Raksafoongchon</v>
      </c>
    </row>
    <row r="594">
      <c r="A594" s="142">
        <f>IFERROR(__xludf.DUMMYFUNCTION("""COMPUTED_VALUE"""),73.0)</f>
        <v>73</v>
      </c>
      <c r="B594" t="str">
        <f>IFERROR(__xludf.DUMMYFUNCTION("""COMPUTED_VALUE"""),"TAA6112")</f>
        <v>TAA6112</v>
      </c>
      <c r="C594">
        <f>IFERROR(__xludf.DUMMYFUNCTION("""COMPUTED_VALUE"""),1011811.0)</f>
        <v>1011811</v>
      </c>
      <c r="D594" t="str">
        <f>IFERROR(__xludf.DUMMYFUNCTION("""COMPUTED_VALUE"""),"Ms.")</f>
        <v>Ms.</v>
      </c>
      <c r="E594" t="str">
        <f>IFERROR(__xludf.DUMMYFUNCTION("""COMPUTED_VALUE"""),"Jinnapitch")</f>
        <v>Jinnapitch</v>
      </c>
      <c r="F594" t="str">
        <f>IFERROR(__xludf.DUMMYFUNCTION("""COMPUTED_VALUE"""),"Napisitsopa (Watanabe)")</f>
        <v>Napisitsopa (Watanabe)</v>
      </c>
      <c r="G594" t="str">
        <f>IFERROR(__xludf.DUMMYFUNCTION("""COMPUTED_VALUE"""),"Jinnapitch Napisitsopa")</f>
        <v>Jinnapitch Napisitsopa</v>
      </c>
    </row>
    <row r="595">
      <c r="A595" s="142">
        <f>IFERROR(__xludf.DUMMYFUNCTION("""COMPUTED_VALUE"""),73.0)</f>
        <v>73</v>
      </c>
      <c r="B595" t="str">
        <f>IFERROR(__xludf.DUMMYFUNCTION("""COMPUTED_VALUE"""),"TAA6118")</f>
        <v>TAA6118</v>
      </c>
      <c r="C595">
        <f>IFERROR(__xludf.DUMMYFUNCTION("""COMPUTED_VALUE"""),1011813.0)</f>
        <v>1011813</v>
      </c>
      <c r="D595" t="str">
        <f>IFERROR(__xludf.DUMMYFUNCTION("""COMPUTED_VALUE"""),"Ms.")</f>
        <v>Ms.</v>
      </c>
      <c r="E595" t="str">
        <f>IFERROR(__xludf.DUMMYFUNCTION("""COMPUTED_VALUE"""),"Kathaleeya")</f>
        <v>Kathaleeya</v>
      </c>
      <c r="F595" t="str">
        <f>IFERROR(__xludf.DUMMYFUNCTION("""COMPUTED_VALUE"""),"Jaroensuk")</f>
        <v>Jaroensuk</v>
      </c>
      <c r="G595" t="str">
        <f>IFERROR(__xludf.DUMMYFUNCTION("""COMPUTED_VALUE"""),"Kathaleeya Jaroensuk")</f>
        <v>Kathaleeya Jaroensuk</v>
      </c>
    </row>
    <row r="596">
      <c r="A596" s="142">
        <f>IFERROR(__xludf.DUMMYFUNCTION("""COMPUTED_VALUE"""),73.0)</f>
        <v>73</v>
      </c>
      <c r="B596" t="str">
        <f>IFERROR(__xludf.DUMMYFUNCTION("""COMPUTED_VALUE"""),"TAA6096")</f>
        <v>TAA6096</v>
      </c>
      <c r="C596">
        <f>IFERROR(__xludf.DUMMYFUNCTION("""COMPUTED_VALUE"""),1011816.0)</f>
        <v>1011816</v>
      </c>
      <c r="D596" t="str">
        <f>IFERROR(__xludf.DUMMYFUNCTION("""COMPUTED_VALUE"""),"Ms.")</f>
        <v>Ms.</v>
      </c>
      <c r="E596" t="str">
        <f>IFERROR(__xludf.DUMMYFUNCTION("""COMPUTED_VALUE"""),"Michelle")</f>
        <v>Michelle</v>
      </c>
      <c r="F596" t="str">
        <f>IFERROR(__xludf.DUMMYFUNCTION("""COMPUTED_VALUE"""),"Potaya")</f>
        <v>Potaya</v>
      </c>
      <c r="G596" t="str">
        <f>IFERROR(__xludf.DUMMYFUNCTION("""COMPUTED_VALUE"""),"Michelle Potaya")</f>
        <v>Michelle Potaya</v>
      </c>
    </row>
    <row r="597">
      <c r="A597" s="142">
        <f>IFERROR(__xludf.DUMMYFUNCTION("""COMPUTED_VALUE"""),73.0)</f>
        <v>73</v>
      </c>
      <c r="B597" t="str">
        <f>IFERROR(__xludf.DUMMYFUNCTION("""COMPUTED_VALUE"""),"TAA6097")</f>
        <v>TAA6097</v>
      </c>
      <c r="C597">
        <f>IFERROR(__xludf.DUMMYFUNCTION("""COMPUTED_VALUE"""),1011820.0)</f>
        <v>1011820</v>
      </c>
      <c r="D597" t="str">
        <f>IFERROR(__xludf.DUMMYFUNCTION("""COMPUTED_VALUE"""),"Mr.")</f>
        <v>Mr.</v>
      </c>
      <c r="E597" t="str">
        <f>IFERROR(__xludf.DUMMYFUNCTION("""COMPUTED_VALUE"""),"Nitithorn")</f>
        <v>Nitithorn</v>
      </c>
      <c r="F597" t="str">
        <f>IFERROR(__xludf.DUMMYFUNCTION("""COMPUTED_VALUE"""),"Chiangpradit")</f>
        <v>Chiangpradit</v>
      </c>
      <c r="G597" t="str">
        <f>IFERROR(__xludf.DUMMYFUNCTION("""COMPUTED_VALUE"""),"Nitithorn Chiangpradit")</f>
        <v>Nitithorn Chiangpradit</v>
      </c>
    </row>
    <row r="598">
      <c r="A598" s="142">
        <f>IFERROR(__xludf.DUMMYFUNCTION("""COMPUTED_VALUE"""),73.0)</f>
        <v>73</v>
      </c>
      <c r="B598" t="str">
        <f>IFERROR(__xludf.DUMMYFUNCTION("""COMPUTED_VALUE"""),"TAA6106")</f>
        <v>TAA6106</v>
      </c>
      <c r="C598">
        <f>IFERROR(__xludf.DUMMYFUNCTION("""COMPUTED_VALUE"""),1011824.0)</f>
        <v>1011824</v>
      </c>
      <c r="D598" t="str">
        <f>IFERROR(__xludf.DUMMYFUNCTION("""COMPUTED_VALUE"""),"Ms.")</f>
        <v>Ms.</v>
      </c>
      <c r="E598" t="str">
        <f>IFERROR(__xludf.DUMMYFUNCTION("""COMPUTED_VALUE"""),"Pimnipa")</f>
        <v>Pimnipa</v>
      </c>
      <c r="F598" t="str">
        <f>IFERROR(__xludf.DUMMYFUNCTION("""COMPUTED_VALUE"""),"Limpatawonpong")</f>
        <v>Limpatawonpong</v>
      </c>
      <c r="G598" t="str">
        <f>IFERROR(__xludf.DUMMYFUNCTION("""COMPUTED_VALUE"""),"Pimnipa Limpatawonpong")</f>
        <v>Pimnipa Limpatawonpong</v>
      </c>
    </row>
    <row r="599">
      <c r="A599" s="142">
        <f>IFERROR(__xludf.DUMMYFUNCTION("""COMPUTED_VALUE"""),73.0)</f>
        <v>73</v>
      </c>
      <c r="B599" t="str">
        <f>IFERROR(__xludf.DUMMYFUNCTION("""COMPUTED_VALUE"""),"TAA6116")</f>
        <v>TAA6116</v>
      </c>
      <c r="C599">
        <f>IFERROR(__xludf.DUMMYFUNCTION("""COMPUTED_VALUE"""),1011825.0)</f>
        <v>1011825</v>
      </c>
      <c r="D599" t="str">
        <f>IFERROR(__xludf.DUMMYFUNCTION("""COMPUTED_VALUE"""),"Mr.")</f>
        <v>Mr.</v>
      </c>
      <c r="E599" t="str">
        <f>IFERROR(__xludf.DUMMYFUNCTION("""COMPUTED_VALUE"""),"Pinu")</f>
        <v>Pinu</v>
      </c>
      <c r="F599" t="str">
        <f>IFERROR(__xludf.DUMMYFUNCTION("""COMPUTED_VALUE"""),"Saiseenopakun")</f>
        <v>Saiseenopakun</v>
      </c>
      <c r="G599" t="str">
        <f>IFERROR(__xludf.DUMMYFUNCTION("""COMPUTED_VALUE"""),"Pinu Saiseenopakun")</f>
        <v>Pinu Saiseenopakun</v>
      </c>
    </row>
    <row r="600">
      <c r="A600" s="142">
        <f>IFERROR(__xludf.DUMMYFUNCTION("""COMPUTED_VALUE"""),73.0)</f>
        <v>73</v>
      </c>
      <c r="B600" t="str">
        <f>IFERROR(__xludf.DUMMYFUNCTION("""COMPUTED_VALUE"""),"TAA6093")</f>
        <v>TAA6093</v>
      </c>
      <c r="C600">
        <f>IFERROR(__xludf.DUMMYFUNCTION("""COMPUTED_VALUE"""),1011829.0)</f>
        <v>1011829</v>
      </c>
      <c r="D600" t="str">
        <f>IFERROR(__xludf.DUMMYFUNCTION("""COMPUTED_VALUE"""),"Ms.")</f>
        <v>Ms.</v>
      </c>
      <c r="E600" t="str">
        <f>IFERROR(__xludf.DUMMYFUNCTION("""COMPUTED_VALUE"""),"Primlisa")</f>
        <v>Primlisa</v>
      </c>
      <c r="F600" t="str">
        <f>IFERROR(__xludf.DUMMYFUNCTION("""COMPUTED_VALUE"""),"Tatha")</f>
        <v>Tatha</v>
      </c>
      <c r="G600" t="str">
        <f>IFERROR(__xludf.DUMMYFUNCTION("""COMPUTED_VALUE"""),"Primlisa Tatha")</f>
        <v>Primlisa Tatha</v>
      </c>
    </row>
    <row r="601">
      <c r="A601" s="142">
        <f>IFERROR(__xludf.DUMMYFUNCTION("""COMPUTED_VALUE"""),73.0)</f>
        <v>73</v>
      </c>
      <c r="B601" t="str">
        <f>IFERROR(__xludf.DUMMYFUNCTION("""COMPUTED_VALUE"""),"TAA6108")</f>
        <v>TAA6108</v>
      </c>
      <c r="C601">
        <f>IFERROR(__xludf.DUMMYFUNCTION("""COMPUTED_VALUE"""),1011830.0)</f>
        <v>1011830</v>
      </c>
      <c r="D601" t="str">
        <f>IFERROR(__xludf.DUMMYFUNCTION("""COMPUTED_VALUE"""),"Mr.")</f>
        <v>Mr.</v>
      </c>
      <c r="E601" t="str">
        <f>IFERROR(__xludf.DUMMYFUNCTION("""COMPUTED_VALUE"""),"Rathaphon")</f>
        <v>Rathaphon</v>
      </c>
      <c r="F601" t="str">
        <f>IFERROR(__xludf.DUMMYFUNCTION("""COMPUTED_VALUE"""),"Pratheappornsak")</f>
        <v>Pratheappornsak</v>
      </c>
      <c r="G601" t="str">
        <f>IFERROR(__xludf.DUMMYFUNCTION("""COMPUTED_VALUE"""),"Rathaphon Pratheappornsak")</f>
        <v>Rathaphon Pratheappornsak</v>
      </c>
    </row>
    <row r="602">
      <c r="A602" s="142">
        <f>IFERROR(__xludf.DUMMYFUNCTION("""COMPUTED_VALUE"""),73.0)</f>
        <v>73</v>
      </c>
      <c r="B602" t="str">
        <f>IFERROR(__xludf.DUMMYFUNCTION("""COMPUTED_VALUE"""),"TAA6092")</f>
        <v>TAA6092</v>
      </c>
      <c r="C602">
        <f>IFERROR(__xludf.DUMMYFUNCTION("""COMPUTED_VALUE"""),1011836.0)</f>
        <v>1011836</v>
      </c>
      <c r="D602" t="str">
        <f>IFERROR(__xludf.DUMMYFUNCTION("""COMPUTED_VALUE"""),"Mr.")</f>
        <v>Mr.</v>
      </c>
      <c r="E602" t="str">
        <f>IFERROR(__xludf.DUMMYFUNCTION("""COMPUTED_VALUE"""),"Sirapong (Natthanon)")</f>
        <v>Sirapong (Natthanon)</v>
      </c>
      <c r="F602" t="str">
        <f>IFERROR(__xludf.DUMMYFUNCTION("""COMPUTED_VALUE"""),"Charoenwutbhawonrat")</f>
        <v>Charoenwutbhawonrat</v>
      </c>
      <c r="G602" t="str">
        <f>IFERROR(__xludf.DUMMYFUNCTION("""COMPUTED_VALUE"""),"Sirapong Charoenwutbhawonrat")</f>
        <v>Sirapong Charoenwutbhawonrat</v>
      </c>
    </row>
    <row r="603">
      <c r="A603" s="142">
        <f>IFERROR(__xludf.DUMMYFUNCTION("""COMPUTED_VALUE"""),73.0)</f>
        <v>73</v>
      </c>
      <c r="B603" t="str">
        <f>IFERROR(__xludf.DUMMYFUNCTION("""COMPUTED_VALUE"""),"TAA6104")</f>
        <v>TAA6104</v>
      </c>
      <c r="C603">
        <f>IFERROR(__xludf.DUMMYFUNCTION("""COMPUTED_VALUE"""),1011838.0)</f>
        <v>1011838</v>
      </c>
      <c r="D603" t="str">
        <f>IFERROR(__xludf.DUMMYFUNCTION("""COMPUTED_VALUE"""),"Ms.")</f>
        <v>Ms.</v>
      </c>
      <c r="E603" t="str">
        <f>IFERROR(__xludf.DUMMYFUNCTION("""COMPUTED_VALUE"""),"Supichaya")</f>
        <v>Supichaya</v>
      </c>
      <c r="F603" t="str">
        <f>IFERROR(__xludf.DUMMYFUNCTION("""COMPUTED_VALUE"""),"Tongthip")</f>
        <v>Tongthip</v>
      </c>
      <c r="G603" t="str">
        <f>IFERROR(__xludf.DUMMYFUNCTION("""COMPUTED_VALUE"""),"Supichaya Tongthip")</f>
        <v>Supichaya Tongthip</v>
      </c>
    </row>
    <row r="604">
      <c r="A604" s="142">
        <f>IFERROR(__xludf.DUMMYFUNCTION("""COMPUTED_VALUE"""),73.0)</f>
        <v>73</v>
      </c>
      <c r="B604" t="str">
        <f>IFERROR(__xludf.DUMMYFUNCTION("""COMPUTED_VALUE"""),"TAA6111")</f>
        <v>TAA6111</v>
      </c>
      <c r="C604">
        <f>IFERROR(__xludf.DUMMYFUNCTION("""COMPUTED_VALUE"""),1011843.0)</f>
        <v>1011843</v>
      </c>
      <c r="D604" t="str">
        <f>IFERROR(__xludf.DUMMYFUNCTION("""COMPUTED_VALUE"""),"Mr.")</f>
        <v>Mr.</v>
      </c>
      <c r="E604" t="str">
        <f>IFERROR(__xludf.DUMMYFUNCTION("""COMPUTED_VALUE"""),"Teetawat")</f>
        <v>Teetawat</v>
      </c>
      <c r="F604" t="str">
        <f>IFERROR(__xludf.DUMMYFUNCTION("""COMPUTED_VALUE"""),"Vanaphuti")</f>
        <v>Vanaphuti</v>
      </c>
      <c r="G604" t="str">
        <f>IFERROR(__xludf.DUMMYFUNCTION("""COMPUTED_VALUE"""),"Teetawat Vanaphuti")</f>
        <v>Teetawat Vanaphuti</v>
      </c>
    </row>
    <row r="605">
      <c r="A605" s="142">
        <f>IFERROR(__xludf.DUMMYFUNCTION("""COMPUTED_VALUE"""),73.0)</f>
        <v>73</v>
      </c>
      <c r="B605" t="str">
        <f>IFERROR(__xludf.DUMMYFUNCTION("""COMPUTED_VALUE"""),"TAA6094")</f>
        <v>TAA6094</v>
      </c>
      <c r="C605">
        <f>IFERROR(__xludf.DUMMYFUNCTION("""COMPUTED_VALUE"""),1011844.0)</f>
        <v>1011844</v>
      </c>
      <c r="D605" t="str">
        <f>IFERROR(__xludf.DUMMYFUNCTION("""COMPUTED_VALUE"""),"Ms.")</f>
        <v>Ms.</v>
      </c>
      <c r="E605" t="str">
        <f>IFERROR(__xludf.DUMMYFUNCTION("""COMPUTED_VALUE"""),"Thanyaporn")</f>
        <v>Thanyaporn</v>
      </c>
      <c r="F605" t="str">
        <f>IFERROR(__xludf.DUMMYFUNCTION("""COMPUTED_VALUE"""),"Vaivattana")</f>
        <v>Vaivattana</v>
      </c>
      <c r="G605" t="str">
        <f>IFERROR(__xludf.DUMMYFUNCTION("""COMPUTED_VALUE"""),"Thanyaporn Vaivattana")</f>
        <v>Thanyaporn Vaivattana</v>
      </c>
    </row>
    <row r="606">
      <c r="A606" s="142">
        <f>IFERROR(__xludf.DUMMYFUNCTION("""COMPUTED_VALUE"""),73.0)</f>
        <v>73</v>
      </c>
      <c r="B606" t="str">
        <f>IFERROR(__xludf.DUMMYFUNCTION("""COMPUTED_VALUE"""),"TAA6114")</f>
        <v>TAA6114</v>
      </c>
      <c r="C606">
        <f>IFERROR(__xludf.DUMMYFUNCTION("""COMPUTED_VALUE"""),1011845.0)</f>
        <v>1011845</v>
      </c>
      <c r="D606" t="str">
        <f>IFERROR(__xludf.DUMMYFUNCTION("""COMPUTED_VALUE"""),"Ms.")</f>
        <v>Ms.</v>
      </c>
      <c r="E606" t="str">
        <f>IFERROR(__xludf.DUMMYFUNCTION("""COMPUTED_VALUE"""),"Thitima")</f>
        <v>Thitima</v>
      </c>
      <c r="F606" t="str">
        <f>IFERROR(__xludf.DUMMYFUNCTION("""COMPUTED_VALUE"""),"Yoosaeng")</f>
        <v>Yoosaeng</v>
      </c>
      <c r="G606" t="str">
        <f>IFERROR(__xludf.DUMMYFUNCTION("""COMPUTED_VALUE"""),"Thitima Yoosaeng")</f>
        <v>Thitima Yoosaeng</v>
      </c>
    </row>
    <row r="607">
      <c r="A607" s="142">
        <f>IFERROR(__xludf.DUMMYFUNCTION("""COMPUTED_VALUE"""),73.0)</f>
        <v>73</v>
      </c>
      <c r="B607" t="str">
        <f>IFERROR(__xludf.DUMMYFUNCTION("""COMPUTED_VALUE"""),"TAA6098")</f>
        <v>TAA6098</v>
      </c>
      <c r="C607">
        <f>IFERROR(__xludf.DUMMYFUNCTION("""COMPUTED_VALUE"""),1011846.0)</f>
        <v>1011846</v>
      </c>
      <c r="D607" t="str">
        <f>IFERROR(__xludf.DUMMYFUNCTION("""COMPUTED_VALUE"""),"Ms.")</f>
        <v>Ms.</v>
      </c>
      <c r="E607" t="str">
        <f>IFERROR(__xludf.DUMMYFUNCTION("""COMPUTED_VALUE"""),"Waleeporn")</f>
        <v>Waleeporn</v>
      </c>
      <c r="F607" t="str">
        <f>IFERROR(__xludf.DUMMYFUNCTION("""COMPUTED_VALUE"""),"Jongkaewwattana")</f>
        <v>Jongkaewwattana</v>
      </c>
      <c r="G607" t="str">
        <f>IFERROR(__xludf.DUMMYFUNCTION("""COMPUTED_VALUE"""),"Waleeporn Jongkaewwattana")</f>
        <v>Waleeporn Jongkaewwattana</v>
      </c>
    </row>
    <row r="608">
      <c r="A608" s="142">
        <f>IFERROR(__xludf.DUMMYFUNCTION("""COMPUTED_VALUE"""),73.0)</f>
        <v>73</v>
      </c>
      <c r="B608" t="str">
        <f>IFERROR(__xludf.DUMMYFUNCTION("""COMPUTED_VALUE"""),"TAA6113")</f>
        <v>TAA6113</v>
      </c>
      <c r="C608">
        <f>IFERROR(__xludf.DUMMYFUNCTION("""COMPUTED_VALUE"""),1011848.0)</f>
        <v>1011848</v>
      </c>
      <c r="D608" t="str">
        <f>IFERROR(__xludf.DUMMYFUNCTION("""COMPUTED_VALUE"""),"Mr.")</f>
        <v>Mr.</v>
      </c>
      <c r="E608" t="str">
        <f>IFERROR(__xludf.DUMMYFUNCTION("""COMPUTED_VALUE"""),"Wiput")</f>
        <v>Wiput</v>
      </c>
      <c r="F608" t="str">
        <f>IFERROR(__xludf.DUMMYFUNCTION("""COMPUTED_VALUE"""),"Janvanichstaporn")</f>
        <v>Janvanichstaporn</v>
      </c>
      <c r="G608" t="str">
        <f>IFERROR(__xludf.DUMMYFUNCTION("""COMPUTED_VALUE"""),"Wiput Janvanichstaporn")</f>
        <v>Wiput Janvanichstaporn</v>
      </c>
    </row>
    <row r="610">
      <c r="A610" s="142">
        <f>IFERROR(__xludf.DUMMYFUNCTION("""COMPUTED_VALUE"""),74.0)</f>
        <v>74</v>
      </c>
      <c r="B610" t="str">
        <f>IFERROR(__xludf.DUMMYFUNCTION("""COMPUTED_VALUE"""),"TAA6126")</f>
        <v>TAA6126</v>
      </c>
      <c r="C610">
        <f>IFERROR(__xludf.DUMMYFUNCTION("""COMPUTED_VALUE"""),1012355.0)</f>
        <v>1012355</v>
      </c>
      <c r="D610" t="str">
        <f>IFERROR(__xludf.DUMMYFUNCTION("""COMPUTED_VALUE"""),"Mr.")</f>
        <v>Mr.</v>
      </c>
      <c r="E610" t="str">
        <f>IFERROR(__xludf.DUMMYFUNCTION("""COMPUTED_VALUE"""),"Benjapol")</f>
        <v>Benjapol</v>
      </c>
      <c r="F610" t="str">
        <f>IFERROR(__xludf.DUMMYFUNCTION("""COMPUTED_VALUE"""),"Boriruklert")</f>
        <v>Boriruklert</v>
      </c>
      <c r="G610" t="str">
        <f>IFERROR(__xludf.DUMMYFUNCTION("""COMPUTED_VALUE"""),"Benjapol Boriruklert")</f>
        <v>Benjapol Boriruklert</v>
      </c>
    </row>
    <row r="611">
      <c r="A611" s="142">
        <f>IFERROR(__xludf.DUMMYFUNCTION("""COMPUTED_VALUE"""),74.0)</f>
        <v>74</v>
      </c>
      <c r="B611" t="str">
        <f>IFERROR(__xludf.DUMMYFUNCTION("""COMPUTED_VALUE"""),"TAA6135")</f>
        <v>TAA6135</v>
      </c>
      <c r="C611">
        <f>IFERROR(__xludf.DUMMYFUNCTION("""COMPUTED_VALUE"""),1012357.0)</f>
        <v>1012357</v>
      </c>
      <c r="D611" t="str">
        <f>IFERROR(__xludf.DUMMYFUNCTION("""COMPUTED_VALUE"""),"Mr.")</f>
        <v>Mr.</v>
      </c>
      <c r="E611" t="str">
        <f>IFERROR(__xludf.DUMMYFUNCTION("""COMPUTED_VALUE"""),"Ekkaphon")</f>
        <v>Ekkaphon</v>
      </c>
      <c r="F611" t="str">
        <f>IFERROR(__xludf.DUMMYFUNCTION("""COMPUTED_VALUE"""),"Mengchuai")</f>
        <v>Mengchuai</v>
      </c>
      <c r="G611" t="str">
        <f>IFERROR(__xludf.DUMMYFUNCTION("""COMPUTED_VALUE"""),"Ekkaphon Mengchuai")</f>
        <v>Ekkaphon Mengchuai</v>
      </c>
    </row>
    <row r="612">
      <c r="A612" s="142">
        <f>IFERROR(__xludf.DUMMYFUNCTION("""COMPUTED_VALUE"""),74.0)</f>
        <v>74</v>
      </c>
      <c r="B612" t="str">
        <f>IFERROR(__xludf.DUMMYFUNCTION("""COMPUTED_VALUE"""),"TAA6140")</f>
        <v>TAA6140</v>
      </c>
      <c r="C612">
        <f>IFERROR(__xludf.DUMMYFUNCTION("""COMPUTED_VALUE"""),1012358.0)</f>
        <v>1012358</v>
      </c>
      <c r="D612" t="str">
        <f>IFERROR(__xludf.DUMMYFUNCTION("""COMPUTED_VALUE"""),"Ms.")</f>
        <v>Ms.</v>
      </c>
      <c r="E612" t="str">
        <f>IFERROR(__xludf.DUMMYFUNCTION("""COMPUTED_VALUE"""),"Kohchamon")</f>
        <v>Kohchamon</v>
      </c>
      <c r="F612" t="str">
        <f>IFERROR(__xludf.DUMMYFUNCTION("""COMPUTED_VALUE"""),"Pithayapitpat")</f>
        <v>Pithayapitpat</v>
      </c>
      <c r="G612" t="str">
        <f>IFERROR(__xludf.DUMMYFUNCTION("""COMPUTED_VALUE"""),"Kohchamon Pithayapitpat")</f>
        <v>Kohchamon Pithayapitpat</v>
      </c>
    </row>
    <row r="613">
      <c r="A613" s="142">
        <f>IFERROR(__xludf.DUMMYFUNCTION("""COMPUTED_VALUE"""),74.0)</f>
        <v>74</v>
      </c>
      <c r="B613" t="str">
        <f>IFERROR(__xludf.DUMMYFUNCTION("""COMPUTED_VALUE"""),"TAA6123")</f>
        <v>TAA6123</v>
      </c>
      <c r="C613">
        <f>IFERROR(__xludf.DUMMYFUNCTION("""COMPUTED_VALUE"""),1012359.0)</f>
        <v>1012359</v>
      </c>
      <c r="D613" t="str">
        <f>IFERROR(__xludf.DUMMYFUNCTION("""COMPUTED_VALUE"""),"Ms.")</f>
        <v>Ms.</v>
      </c>
      <c r="E613" t="str">
        <f>IFERROR(__xludf.DUMMYFUNCTION("""COMPUTED_VALUE"""),"Kotchakon")</f>
        <v>Kotchakon</v>
      </c>
      <c r="F613" t="str">
        <f>IFERROR(__xludf.DUMMYFUNCTION("""COMPUTED_VALUE"""),"Kanchanamethakul")</f>
        <v>Kanchanamethakul</v>
      </c>
      <c r="G613" t="str">
        <f>IFERROR(__xludf.DUMMYFUNCTION("""COMPUTED_VALUE"""),"Kotchakon Kanchanamethakul")</f>
        <v>Kotchakon Kanchanamethakul</v>
      </c>
    </row>
    <row r="614">
      <c r="A614" s="142">
        <f>IFERROR(__xludf.DUMMYFUNCTION("""COMPUTED_VALUE"""),74.0)</f>
        <v>74</v>
      </c>
      <c r="B614" t="str">
        <f>IFERROR(__xludf.DUMMYFUNCTION("""COMPUTED_VALUE"""),"TAA6125")</f>
        <v>TAA6125</v>
      </c>
      <c r="C614">
        <f>IFERROR(__xludf.DUMMYFUNCTION("""COMPUTED_VALUE"""),1012360.0)</f>
        <v>1012360</v>
      </c>
      <c r="D614" t="str">
        <f>IFERROR(__xludf.DUMMYFUNCTION("""COMPUTED_VALUE"""),"Ms.")</f>
        <v>Ms.</v>
      </c>
      <c r="E614" t="str">
        <f>IFERROR(__xludf.DUMMYFUNCTION("""COMPUTED_VALUE"""),"Mintra")</f>
        <v>Mintra</v>
      </c>
      <c r="F614" t="str">
        <f>IFERROR(__xludf.DUMMYFUNCTION("""COMPUTED_VALUE"""),"Tunta-A-Riya")</f>
        <v>Tunta-A-Riya</v>
      </c>
      <c r="G614" t="str">
        <f>IFERROR(__xludf.DUMMYFUNCTION("""COMPUTED_VALUE"""),"Mintra Tunta-A-Riya")</f>
        <v>Mintra Tunta-A-Riya</v>
      </c>
    </row>
    <row r="615">
      <c r="A615" s="142">
        <f>IFERROR(__xludf.DUMMYFUNCTION("""COMPUTED_VALUE"""),74.0)</f>
        <v>74</v>
      </c>
      <c r="B615" t="str">
        <f>IFERROR(__xludf.DUMMYFUNCTION("""COMPUTED_VALUE"""),"TAA6136")</f>
        <v>TAA6136</v>
      </c>
      <c r="C615">
        <f>IFERROR(__xludf.DUMMYFUNCTION("""COMPUTED_VALUE"""),1012361.0)</f>
        <v>1012361</v>
      </c>
      <c r="D615" t="str">
        <f>IFERROR(__xludf.DUMMYFUNCTION("""COMPUTED_VALUE"""),"Ms.")</f>
        <v>Ms.</v>
      </c>
      <c r="E615" t="str">
        <f>IFERROR(__xludf.DUMMYFUNCTION("""COMPUTED_VALUE"""),"Natcha")</f>
        <v>Natcha</v>
      </c>
      <c r="F615" t="str">
        <f>IFERROR(__xludf.DUMMYFUNCTION("""COMPUTED_VALUE"""),"Poopong")</f>
        <v>Poopong</v>
      </c>
      <c r="G615" t="str">
        <f>IFERROR(__xludf.DUMMYFUNCTION("""COMPUTED_VALUE"""),"Natcha Poopong")</f>
        <v>Natcha Poopong</v>
      </c>
    </row>
    <row r="616">
      <c r="A616" s="142">
        <f>IFERROR(__xludf.DUMMYFUNCTION("""COMPUTED_VALUE"""),74.0)</f>
        <v>74</v>
      </c>
      <c r="B616" t="str">
        <f>IFERROR(__xludf.DUMMYFUNCTION("""COMPUTED_VALUE"""),"TAA6131")</f>
        <v>TAA6131</v>
      </c>
      <c r="C616">
        <f>IFERROR(__xludf.DUMMYFUNCTION("""COMPUTED_VALUE"""),1012362.0)</f>
        <v>1012362</v>
      </c>
      <c r="D616" t="str">
        <f>IFERROR(__xludf.DUMMYFUNCTION("""COMPUTED_VALUE"""),"Ms.")</f>
        <v>Ms.</v>
      </c>
      <c r="E616" t="str">
        <f>IFERROR(__xludf.DUMMYFUNCTION("""COMPUTED_VALUE"""),"Patcharagorn")</f>
        <v>Patcharagorn</v>
      </c>
      <c r="F616" t="str">
        <f>IFERROR(__xludf.DUMMYFUNCTION("""COMPUTED_VALUE"""),"Chankhong")</f>
        <v>Chankhong</v>
      </c>
      <c r="G616" t="str">
        <f>IFERROR(__xludf.DUMMYFUNCTION("""COMPUTED_VALUE"""),"Patcharagorn Chankhong")</f>
        <v>Patcharagorn Chankhong</v>
      </c>
    </row>
    <row r="617">
      <c r="A617" s="142">
        <f>IFERROR(__xludf.DUMMYFUNCTION("""COMPUTED_VALUE"""),74.0)</f>
        <v>74</v>
      </c>
      <c r="B617" t="str">
        <f>IFERROR(__xludf.DUMMYFUNCTION("""COMPUTED_VALUE"""),"TAA6137")</f>
        <v>TAA6137</v>
      </c>
      <c r="C617">
        <f>IFERROR(__xludf.DUMMYFUNCTION("""COMPUTED_VALUE"""),1012365.0)</f>
        <v>1012365</v>
      </c>
      <c r="D617" t="str">
        <f>IFERROR(__xludf.DUMMYFUNCTION("""COMPUTED_VALUE"""),"Ms.")</f>
        <v>Ms.</v>
      </c>
      <c r="E617" t="str">
        <f>IFERROR(__xludf.DUMMYFUNCTION("""COMPUTED_VALUE"""),"Manassaphorn (Ployphan)")</f>
        <v>Manassaphorn (Ployphan)</v>
      </c>
      <c r="F617" t="str">
        <f>IFERROR(__xludf.DUMMYFUNCTION("""COMPUTED_VALUE"""),"Boonprasertwattana")</f>
        <v>Boonprasertwattana</v>
      </c>
      <c r="G617" t="str">
        <f>IFERROR(__xludf.DUMMYFUNCTION("""COMPUTED_VALUE"""),"Manassaphorn Boonprasertwattana")</f>
        <v>Manassaphorn Boonprasertwattana</v>
      </c>
    </row>
    <row r="618">
      <c r="A618" s="142">
        <f>IFERROR(__xludf.DUMMYFUNCTION("""COMPUTED_VALUE"""),74.0)</f>
        <v>74</v>
      </c>
      <c r="B618" t="str">
        <f>IFERROR(__xludf.DUMMYFUNCTION("""COMPUTED_VALUE"""),"TAA6127")</f>
        <v>TAA6127</v>
      </c>
      <c r="C618">
        <f>IFERROR(__xludf.DUMMYFUNCTION("""COMPUTED_VALUE"""),1012366.0)</f>
        <v>1012366</v>
      </c>
      <c r="D618" t="str">
        <f>IFERROR(__xludf.DUMMYFUNCTION("""COMPUTED_VALUE"""),"Mr.")</f>
        <v>Mr.</v>
      </c>
      <c r="E618" t="str">
        <f>IFERROR(__xludf.DUMMYFUNCTION("""COMPUTED_VALUE"""),"Ronnachai")</f>
        <v>Ronnachai</v>
      </c>
      <c r="F618" t="str">
        <f>IFERROR(__xludf.DUMMYFUNCTION("""COMPUTED_VALUE"""),"Wannarat")</f>
        <v>Wannarat</v>
      </c>
      <c r="G618" t="str">
        <f>IFERROR(__xludf.DUMMYFUNCTION("""COMPUTED_VALUE"""),"Ronnachai Wannarat")</f>
        <v>Ronnachai Wannarat</v>
      </c>
    </row>
    <row r="619">
      <c r="A619" s="142">
        <f>IFERROR(__xludf.DUMMYFUNCTION("""COMPUTED_VALUE"""),74.0)</f>
        <v>74</v>
      </c>
      <c r="B619" t="str">
        <f>IFERROR(__xludf.DUMMYFUNCTION("""COMPUTED_VALUE"""),"TAA6121")</f>
        <v>TAA6121</v>
      </c>
      <c r="C619">
        <f>IFERROR(__xludf.DUMMYFUNCTION("""COMPUTED_VALUE"""),1012369.0)</f>
        <v>1012369</v>
      </c>
      <c r="D619" t="str">
        <f>IFERROR(__xludf.DUMMYFUNCTION("""COMPUTED_VALUE"""),"Ms.")</f>
        <v>Ms.</v>
      </c>
      <c r="E619" t="str">
        <f>IFERROR(__xludf.DUMMYFUNCTION("""COMPUTED_VALUE"""),"Savitree")</f>
        <v>Savitree</v>
      </c>
      <c r="F619" t="str">
        <f>IFERROR(__xludf.DUMMYFUNCTION("""COMPUTED_VALUE"""),"Sukprakop (Sukprakob)")</f>
        <v>Sukprakop (Sukprakob)</v>
      </c>
      <c r="G619" t="str">
        <f>IFERROR(__xludf.DUMMYFUNCTION("""COMPUTED_VALUE"""),"Savitree Sukprakop")</f>
        <v>Savitree Sukprakop</v>
      </c>
    </row>
    <row r="620">
      <c r="A620" s="142">
        <f>IFERROR(__xludf.DUMMYFUNCTION("""COMPUTED_VALUE"""),74.0)</f>
        <v>74</v>
      </c>
      <c r="B620" t="str">
        <f>IFERROR(__xludf.DUMMYFUNCTION("""COMPUTED_VALUE"""),"TAA6124")</f>
        <v>TAA6124</v>
      </c>
      <c r="C620">
        <f>IFERROR(__xludf.DUMMYFUNCTION("""COMPUTED_VALUE"""),1012370.0)</f>
        <v>1012370</v>
      </c>
      <c r="D620" t="str">
        <f>IFERROR(__xludf.DUMMYFUNCTION("""COMPUTED_VALUE"""),"Mr.")</f>
        <v>Mr.</v>
      </c>
      <c r="E620" t="str">
        <f>IFERROR(__xludf.DUMMYFUNCTION("""COMPUTED_VALUE"""),"Thanapiphat (Toranin)")</f>
        <v>Thanapiphat (Toranin)</v>
      </c>
      <c r="F620" t="str">
        <f>IFERROR(__xludf.DUMMYFUNCTION("""COMPUTED_VALUE"""),"Kasempitirat (Kasempiti)")</f>
        <v>Kasempitirat (Kasempiti)</v>
      </c>
      <c r="G620" t="str">
        <f>IFERROR(__xludf.DUMMYFUNCTION("""COMPUTED_VALUE"""),"Thanapiphat Kasempitirat")</f>
        <v>Thanapiphat Kasempitirat</v>
      </c>
    </row>
    <row r="621">
      <c r="A621" s="142">
        <f>IFERROR(__xludf.DUMMYFUNCTION("""COMPUTED_VALUE"""),74.0)</f>
        <v>74</v>
      </c>
      <c r="B621" t="str">
        <f>IFERROR(__xludf.DUMMYFUNCTION("""COMPUTED_VALUE"""),"TAA6133")</f>
        <v>TAA6133</v>
      </c>
      <c r="C621">
        <f>IFERROR(__xludf.DUMMYFUNCTION("""COMPUTED_VALUE"""),1012371.0)</f>
        <v>1012371</v>
      </c>
      <c r="D621" t="str">
        <f>IFERROR(__xludf.DUMMYFUNCTION("""COMPUTED_VALUE"""),"Ms.")</f>
        <v>Ms.</v>
      </c>
      <c r="E621" t="str">
        <f>IFERROR(__xludf.DUMMYFUNCTION("""COMPUTED_VALUE"""),"Tunyakarn")</f>
        <v>Tunyakarn</v>
      </c>
      <c r="F621" t="str">
        <f>IFERROR(__xludf.DUMMYFUNCTION("""COMPUTED_VALUE"""),"Boonchuay")</f>
        <v>Boonchuay</v>
      </c>
      <c r="G621" t="str">
        <f>IFERROR(__xludf.DUMMYFUNCTION("""COMPUTED_VALUE"""),"Tunyakarn Boonchuay")</f>
        <v>Tunyakarn Boonchuay</v>
      </c>
    </row>
    <row r="622">
      <c r="A622" s="142">
        <f>IFERROR(__xludf.DUMMYFUNCTION("""COMPUTED_VALUE"""),74.0)</f>
        <v>74</v>
      </c>
      <c r="B622" t="str">
        <f>IFERROR(__xludf.DUMMYFUNCTION("""COMPUTED_VALUE"""),"TAA6138")</f>
        <v>TAA6138</v>
      </c>
      <c r="C622">
        <f>IFERROR(__xludf.DUMMYFUNCTION("""COMPUTED_VALUE"""),1012372.0)</f>
        <v>1012372</v>
      </c>
      <c r="D622" t="str">
        <f>IFERROR(__xludf.DUMMYFUNCTION("""COMPUTED_VALUE"""),"Ms.")</f>
        <v>Ms.</v>
      </c>
      <c r="E622" t="str">
        <f>IFERROR(__xludf.DUMMYFUNCTION("""COMPUTED_VALUE"""),"Vinida")</f>
        <v>Vinida</v>
      </c>
      <c r="F622" t="str">
        <f>IFERROR(__xludf.DUMMYFUNCTION("""COMPUTED_VALUE"""),"Ma")</f>
        <v>Ma</v>
      </c>
      <c r="G622" t="str">
        <f>IFERROR(__xludf.DUMMYFUNCTION("""COMPUTED_VALUE"""),"Vinida Ma")</f>
        <v>Vinida Ma</v>
      </c>
    </row>
    <row r="624">
      <c r="A624" s="142">
        <f>IFERROR(__xludf.DUMMYFUNCTION("""COMPUTED_VALUE"""),75.0)</f>
        <v>75</v>
      </c>
      <c r="B624" t="str">
        <f>IFERROR(__xludf.DUMMYFUNCTION("""COMPUTED_VALUE"""),"TAA6496")</f>
        <v>TAA6496</v>
      </c>
      <c r="C624">
        <f>IFERROR(__xludf.DUMMYFUNCTION("""COMPUTED_VALUE"""),1012970.0)</f>
        <v>1012970</v>
      </c>
      <c r="D624" t="str">
        <f>IFERROR(__xludf.DUMMYFUNCTION("""COMPUTED_VALUE"""),"Mr.")</f>
        <v>Mr.</v>
      </c>
      <c r="E624" t="str">
        <f>IFERROR(__xludf.DUMMYFUNCTION("""COMPUTED_VALUE"""),"Amornwech")</f>
        <v>Amornwech</v>
      </c>
      <c r="F624" t="str">
        <f>IFERROR(__xludf.DUMMYFUNCTION("""COMPUTED_VALUE"""),"Jullanate")</f>
        <v>Jullanate</v>
      </c>
      <c r="G624" t="str">
        <f>IFERROR(__xludf.DUMMYFUNCTION("""COMPUTED_VALUE"""),"Amornwech Jullanate")</f>
        <v>Amornwech Jullanate</v>
      </c>
    </row>
    <row r="625">
      <c r="A625" s="142">
        <f>IFERROR(__xludf.DUMMYFUNCTION("""COMPUTED_VALUE"""),75.0)</f>
        <v>75</v>
      </c>
      <c r="B625" t="str">
        <f>IFERROR(__xludf.DUMMYFUNCTION("""COMPUTED_VALUE"""),"TAA6497")</f>
        <v>TAA6497</v>
      </c>
      <c r="C625">
        <f>IFERROR(__xludf.DUMMYFUNCTION("""COMPUTED_VALUE"""),1012975.0)</f>
        <v>1012975</v>
      </c>
      <c r="D625" t="str">
        <f>IFERROR(__xludf.DUMMYFUNCTION("""COMPUTED_VALUE"""),"Ms.")</f>
        <v>Ms.</v>
      </c>
      <c r="E625" t="str">
        <f>IFERROR(__xludf.DUMMYFUNCTION("""COMPUTED_VALUE"""),"Chalintara")</f>
        <v>Chalintara</v>
      </c>
      <c r="F625" t="str">
        <f>IFERROR(__xludf.DUMMYFUNCTION("""COMPUTED_VALUE"""),"Chinaratana")</f>
        <v>Chinaratana</v>
      </c>
      <c r="G625" t="str">
        <f>IFERROR(__xludf.DUMMYFUNCTION("""COMPUTED_VALUE"""),"Chalintara Chinaratana")</f>
        <v>Chalintara Chinaratana</v>
      </c>
    </row>
    <row r="626">
      <c r="A626" s="142">
        <f>IFERROR(__xludf.DUMMYFUNCTION("""COMPUTED_VALUE"""),75.0)</f>
        <v>75</v>
      </c>
      <c r="B626" t="str">
        <f>IFERROR(__xludf.DUMMYFUNCTION("""COMPUTED_VALUE"""),"TAA6494")</f>
        <v>TAA6494</v>
      </c>
      <c r="C626">
        <f>IFERROR(__xludf.DUMMYFUNCTION("""COMPUTED_VALUE"""),1012981.0)</f>
        <v>1012981</v>
      </c>
      <c r="D626" t="str">
        <f>IFERROR(__xludf.DUMMYFUNCTION("""COMPUTED_VALUE"""),"Mr.")</f>
        <v>Mr.</v>
      </c>
      <c r="E626" t="str">
        <f>IFERROR(__xludf.DUMMYFUNCTION("""COMPUTED_VALUE"""),"Chinakrit")</f>
        <v>Chinakrit</v>
      </c>
      <c r="F626" t="str">
        <f>IFERROR(__xludf.DUMMYFUNCTION("""COMPUTED_VALUE"""),"Boonyapiwat")</f>
        <v>Boonyapiwat</v>
      </c>
      <c r="G626" t="str">
        <f>IFERROR(__xludf.DUMMYFUNCTION("""COMPUTED_VALUE"""),"Chinakrit Boonyapiwat")</f>
        <v>Chinakrit Boonyapiwat</v>
      </c>
    </row>
    <row r="627">
      <c r="A627" s="142">
        <f>IFERROR(__xludf.DUMMYFUNCTION("""COMPUTED_VALUE"""),75.0)</f>
        <v>75</v>
      </c>
      <c r="B627" t="str">
        <f>IFERROR(__xludf.DUMMYFUNCTION("""COMPUTED_VALUE"""),"TAA6498")</f>
        <v>TAA6498</v>
      </c>
      <c r="C627">
        <f>IFERROR(__xludf.DUMMYFUNCTION("""COMPUTED_VALUE"""),1012984.0)</f>
        <v>1012984</v>
      </c>
      <c r="D627" t="str">
        <f>IFERROR(__xludf.DUMMYFUNCTION("""COMPUTED_VALUE"""),"Ms.")</f>
        <v>Ms.</v>
      </c>
      <c r="E627" t="str">
        <f>IFERROR(__xludf.DUMMYFUNCTION("""COMPUTED_VALUE"""),"Issaree")</f>
        <v>Issaree</v>
      </c>
      <c r="F627" t="str">
        <f>IFERROR(__xludf.DUMMYFUNCTION("""COMPUTED_VALUE"""),"Opasvimud")</f>
        <v>Opasvimud</v>
      </c>
      <c r="G627" t="str">
        <f>IFERROR(__xludf.DUMMYFUNCTION("""COMPUTED_VALUE"""),"Issaree Opasvimud")</f>
        <v>Issaree Opasvimud</v>
      </c>
    </row>
    <row r="628">
      <c r="A628" s="142">
        <f>IFERROR(__xludf.DUMMYFUNCTION("""COMPUTED_VALUE"""),75.0)</f>
        <v>75</v>
      </c>
      <c r="B628" t="str">
        <f>IFERROR(__xludf.DUMMYFUNCTION("""COMPUTED_VALUE"""),"TAA6502")</f>
        <v>TAA6502</v>
      </c>
      <c r="C628">
        <f>IFERROR(__xludf.DUMMYFUNCTION("""COMPUTED_VALUE"""),1012989.0)</f>
        <v>1012989</v>
      </c>
      <c r="D628" t="str">
        <f>IFERROR(__xludf.DUMMYFUNCTION("""COMPUTED_VALUE"""),"Mr.")</f>
        <v>Mr.</v>
      </c>
      <c r="E628" t="str">
        <f>IFERROR(__xludf.DUMMYFUNCTION("""COMPUTED_VALUE"""),"Kitibodee")</f>
        <v>Kitibodee</v>
      </c>
      <c r="F628" t="str">
        <f>IFERROR(__xludf.DUMMYFUNCTION("""COMPUTED_VALUE"""),"Harnkunthamart")</f>
        <v>Harnkunthamart</v>
      </c>
      <c r="G628" t="str">
        <f>IFERROR(__xludf.DUMMYFUNCTION("""COMPUTED_VALUE"""),"Kitibodee Harnkunthamart")</f>
        <v>Kitibodee Harnkunthamart</v>
      </c>
    </row>
    <row r="629">
      <c r="A629" s="142">
        <f>IFERROR(__xludf.DUMMYFUNCTION("""COMPUTED_VALUE"""),75.0)</f>
        <v>75</v>
      </c>
      <c r="B629" t="str">
        <f>IFERROR(__xludf.DUMMYFUNCTION("""COMPUTED_VALUE"""),"TAA6501")</f>
        <v>TAA6501</v>
      </c>
      <c r="C629">
        <f>IFERROR(__xludf.DUMMYFUNCTION("""COMPUTED_VALUE"""),1013000.0)</f>
        <v>1013000</v>
      </c>
      <c r="D629" t="str">
        <f>IFERROR(__xludf.DUMMYFUNCTION("""COMPUTED_VALUE"""),"Ms.")</f>
        <v>Ms.</v>
      </c>
      <c r="E629" t="str">
        <f>IFERROR(__xludf.DUMMYFUNCTION("""COMPUTED_VALUE"""),"Matsarin")</f>
        <v>Matsarin</v>
      </c>
      <c r="F629" t="str">
        <f>IFERROR(__xludf.DUMMYFUNCTION("""COMPUTED_VALUE"""),"Kaprasob")</f>
        <v>Kaprasob</v>
      </c>
      <c r="G629" t="str">
        <f>IFERROR(__xludf.DUMMYFUNCTION("""COMPUTED_VALUE"""),"Matsarin Kaprasob")</f>
        <v>Matsarin Kaprasob</v>
      </c>
    </row>
    <row r="630">
      <c r="A630" s="142">
        <f>IFERROR(__xludf.DUMMYFUNCTION("""COMPUTED_VALUE"""),75.0)</f>
        <v>75</v>
      </c>
      <c r="B630" t="str">
        <f>IFERROR(__xludf.DUMMYFUNCTION("""COMPUTED_VALUE"""),"TAA6513")</f>
        <v>TAA6513</v>
      </c>
      <c r="C630">
        <f>IFERROR(__xludf.DUMMYFUNCTION("""COMPUTED_VALUE"""),1013018.0)</f>
        <v>1013018</v>
      </c>
      <c r="D630" t="str">
        <f>IFERROR(__xludf.DUMMYFUNCTION("""COMPUTED_VALUE"""),"Mr.")</f>
        <v>Mr.</v>
      </c>
      <c r="E630" t="str">
        <f>IFERROR(__xludf.DUMMYFUNCTION("""COMPUTED_VALUE"""),"Panuwat")</f>
        <v>Panuwat</v>
      </c>
      <c r="F630" t="str">
        <f>IFERROR(__xludf.DUMMYFUNCTION("""COMPUTED_VALUE"""),"Warunyaporn")</f>
        <v>Warunyaporn</v>
      </c>
      <c r="G630" t="str">
        <f>IFERROR(__xludf.DUMMYFUNCTION("""COMPUTED_VALUE"""),"Panuwat Warunyaporn")</f>
        <v>Panuwat Warunyaporn</v>
      </c>
    </row>
    <row r="631">
      <c r="A631" s="142">
        <f>IFERROR(__xludf.DUMMYFUNCTION("""COMPUTED_VALUE"""),75.0)</f>
        <v>75</v>
      </c>
      <c r="B631" t="str">
        <f>IFERROR(__xludf.DUMMYFUNCTION("""COMPUTED_VALUE"""),"TAA6511")</f>
        <v>TAA6511</v>
      </c>
      <c r="C631">
        <f>IFERROR(__xludf.DUMMYFUNCTION("""COMPUTED_VALUE"""),1013019.0)</f>
        <v>1013019</v>
      </c>
      <c r="D631" t="str">
        <f>IFERROR(__xludf.DUMMYFUNCTION("""COMPUTED_VALUE"""),"Ms.")</f>
        <v>Ms.</v>
      </c>
      <c r="E631" t="str">
        <f>IFERROR(__xludf.DUMMYFUNCTION("""COMPUTED_VALUE"""),"Parujee")</f>
        <v>Parujee</v>
      </c>
      <c r="F631" t="str">
        <f>IFERROR(__xludf.DUMMYFUNCTION("""COMPUTED_VALUE"""),"Charoensook")</f>
        <v>Charoensook</v>
      </c>
      <c r="G631" t="str">
        <f>IFERROR(__xludf.DUMMYFUNCTION("""COMPUTED_VALUE"""),"Parujee Charoensook")</f>
        <v>Parujee Charoensook</v>
      </c>
    </row>
    <row r="632">
      <c r="A632" s="142">
        <f>IFERROR(__xludf.DUMMYFUNCTION("""COMPUTED_VALUE"""),75.0)</f>
        <v>75</v>
      </c>
      <c r="B632" t="str">
        <f>IFERROR(__xludf.DUMMYFUNCTION("""COMPUTED_VALUE"""),"TAA6499")</f>
        <v>TAA6499</v>
      </c>
      <c r="C632">
        <f>IFERROR(__xludf.DUMMYFUNCTION("""COMPUTED_VALUE"""),1013023.0)</f>
        <v>1013023</v>
      </c>
      <c r="D632" t="str">
        <f>IFERROR(__xludf.DUMMYFUNCTION("""COMPUTED_VALUE"""),"Ms.")</f>
        <v>Ms.</v>
      </c>
      <c r="E632" t="str">
        <f>IFERROR(__xludf.DUMMYFUNCTION("""COMPUTED_VALUE"""),"Pinyapat")</f>
        <v>Pinyapat</v>
      </c>
      <c r="F632" t="str">
        <f>IFERROR(__xludf.DUMMYFUNCTION("""COMPUTED_VALUE"""),"Methawatthanasin")</f>
        <v>Methawatthanasin</v>
      </c>
      <c r="G632" t="str">
        <f>IFERROR(__xludf.DUMMYFUNCTION("""COMPUTED_VALUE"""),"Pinyapat Methawatthanasin")</f>
        <v>Pinyapat Methawatthanasin</v>
      </c>
    </row>
    <row r="633">
      <c r="A633" s="142">
        <f>IFERROR(__xludf.DUMMYFUNCTION("""COMPUTED_VALUE"""),75.0)</f>
        <v>75</v>
      </c>
      <c r="B633" t="str">
        <f>IFERROR(__xludf.DUMMYFUNCTION("""COMPUTED_VALUE"""),"TAA6508")</f>
        <v>TAA6508</v>
      </c>
      <c r="C633">
        <f>IFERROR(__xludf.DUMMYFUNCTION("""COMPUTED_VALUE"""),1013025.0)</f>
        <v>1013025</v>
      </c>
      <c r="D633" t="str">
        <f>IFERROR(__xludf.DUMMYFUNCTION("""COMPUTED_VALUE"""),"Ms.")</f>
        <v>Ms.</v>
      </c>
      <c r="E633" t="str">
        <f>IFERROR(__xludf.DUMMYFUNCTION("""COMPUTED_VALUE"""),"Pirawan")</f>
        <v>Pirawan</v>
      </c>
      <c r="F633" t="str">
        <f>IFERROR(__xludf.DUMMYFUNCTION("""COMPUTED_VALUE"""),"Sarobol")</f>
        <v>Sarobol</v>
      </c>
      <c r="G633" t="str">
        <f>IFERROR(__xludf.DUMMYFUNCTION("""COMPUTED_VALUE"""),"Pirawan Sarobol")</f>
        <v>Pirawan Sarobol</v>
      </c>
    </row>
    <row r="634">
      <c r="A634" s="142">
        <f>IFERROR(__xludf.DUMMYFUNCTION("""COMPUTED_VALUE"""),75.0)</f>
        <v>75</v>
      </c>
      <c r="B634" t="str">
        <f>IFERROR(__xludf.DUMMYFUNCTION("""COMPUTED_VALUE"""),"TAA6510")</f>
        <v>TAA6510</v>
      </c>
      <c r="C634">
        <f>IFERROR(__xludf.DUMMYFUNCTION("""COMPUTED_VALUE"""),1013028.0)</f>
        <v>1013028</v>
      </c>
      <c r="D634" t="str">
        <f>IFERROR(__xludf.DUMMYFUNCTION("""COMPUTED_VALUE"""),"Ms.")</f>
        <v>Ms.</v>
      </c>
      <c r="E634" t="str">
        <f>IFERROR(__xludf.DUMMYFUNCTION("""COMPUTED_VALUE"""),"Premaporn")</f>
        <v>Premaporn</v>
      </c>
      <c r="F634" t="str">
        <f>IFERROR(__xludf.DUMMYFUNCTION("""COMPUTED_VALUE"""),"Preechanonda")</f>
        <v>Preechanonda</v>
      </c>
      <c r="G634" t="str">
        <f>IFERROR(__xludf.DUMMYFUNCTION("""COMPUTED_VALUE"""),"Premaporn Preechanonda")</f>
        <v>Premaporn Preechanonda</v>
      </c>
    </row>
    <row r="635">
      <c r="A635" s="142">
        <f>IFERROR(__xludf.DUMMYFUNCTION("""COMPUTED_VALUE"""),75.0)</f>
        <v>75</v>
      </c>
      <c r="B635" t="str">
        <f>IFERROR(__xludf.DUMMYFUNCTION("""COMPUTED_VALUE"""),"TAA6500")</f>
        <v>TAA6500</v>
      </c>
      <c r="C635">
        <f>IFERROR(__xludf.DUMMYFUNCTION("""COMPUTED_VALUE"""),1013031.0)</f>
        <v>1013031</v>
      </c>
      <c r="D635" t="str">
        <f>IFERROR(__xludf.DUMMYFUNCTION("""COMPUTED_VALUE"""),"Ms.")</f>
        <v>Ms.</v>
      </c>
      <c r="E635" t="str">
        <f>IFERROR(__xludf.DUMMYFUNCTION("""COMPUTED_VALUE"""),"Sasima")</f>
        <v>Sasima</v>
      </c>
      <c r="F635" t="str">
        <f>IFERROR(__xludf.DUMMYFUNCTION("""COMPUTED_VALUE"""),"Boonthanakorn")</f>
        <v>Boonthanakorn</v>
      </c>
      <c r="G635" t="str">
        <f>IFERROR(__xludf.DUMMYFUNCTION("""COMPUTED_VALUE"""),"Sasima Boonthanakorn")</f>
        <v>Sasima Boonthanakorn</v>
      </c>
    </row>
    <row r="636">
      <c r="A636" s="142">
        <f>IFERROR(__xludf.DUMMYFUNCTION("""COMPUTED_VALUE"""),75.0)</f>
        <v>75</v>
      </c>
      <c r="B636" t="str">
        <f>IFERROR(__xludf.DUMMYFUNCTION("""COMPUTED_VALUE"""),"TAA6493")</f>
        <v>TAA6493</v>
      </c>
      <c r="C636">
        <f>IFERROR(__xludf.DUMMYFUNCTION("""COMPUTED_VALUE"""),1013033.0)</f>
        <v>1013033</v>
      </c>
      <c r="D636" t="str">
        <f>IFERROR(__xludf.DUMMYFUNCTION("""COMPUTED_VALUE"""),"Ms.")</f>
        <v>Ms.</v>
      </c>
      <c r="E636" t="str">
        <f>IFERROR(__xludf.DUMMYFUNCTION("""COMPUTED_VALUE"""),"Sirirat")</f>
        <v>Sirirat</v>
      </c>
      <c r="F636" t="str">
        <f>IFERROR(__xludf.DUMMYFUNCTION("""COMPUTED_VALUE"""),"Thampipat")</f>
        <v>Thampipat</v>
      </c>
      <c r="G636" t="str">
        <f>IFERROR(__xludf.DUMMYFUNCTION("""COMPUTED_VALUE"""),"Sirirat Thampipat")</f>
        <v>Sirirat Thampipat</v>
      </c>
    </row>
    <row r="637">
      <c r="A637" s="142">
        <f>IFERROR(__xludf.DUMMYFUNCTION("""COMPUTED_VALUE"""),75.0)</f>
        <v>75</v>
      </c>
      <c r="B637" t="str">
        <f>IFERROR(__xludf.DUMMYFUNCTION("""COMPUTED_VALUE"""),"TAA6509")</f>
        <v>TAA6509</v>
      </c>
      <c r="C637">
        <f>IFERROR(__xludf.DUMMYFUNCTION("""COMPUTED_VALUE"""),1013034.0)</f>
        <v>1013034</v>
      </c>
      <c r="D637" t="str">
        <f>IFERROR(__xludf.DUMMYFUNCTION("""COMPUTED_VALUE"""),"Mr.")</f>
        <v>Mr.</v>
      </c>
      <c r="E637" t="str">
        <f>IFERROR(__xludf.DUMMYFUNCTION("""COMPUTED_VALUE"""),"Sitthiphan")</f>
        <v>Sitthiphan</v>
      </c>
      <c r="F637" t="str">
        <f>IFERROR(__xludf.DUMMYFUNCTION("""COMPUTED_VALUE"""),"Chansawang")</f>
        <v>Chansawang</v>
      </c>
      <c r="G637" t="str">
        <f>IFERROR(__xludf.DUMMYFUNCTION("""COMPUTED_VALUE"""),"Sitthiphan Chansawang")</f>
        <v>Sitthiphan Chansawang</v>
      </c>
    </row>
    <row r="638">
      <c r="A638" s="142">
        <f>IFERROR(__xludf.DUMMYFUNCTION("""COMPUTED_VALUE"""),75.0)</f>
        <v>75</v>
      </c>
      <c r="B638" t="str">
        <f>IFERROR(__xludf.DUMMYFUNCTION("""COMPUTED_VALUE"""),"TAA6506")</f>
        <v>TAA6506</v>
      </c>
      <c r="C638">
        <f>IFERROR(__xludf.DUMMYFUNCTION("""COMPUTED_VALUE"""),1013048.0)</f>
        <v>1013048</v>
      </c>
      <c r="D638" t="str">
        <f>IFERROR(__xludf.DUMMYFUNCTION("""COMPUTED_VALUE"""),"Ms.")</f>
        <v>Ms.</v>
      </c>
      <c r="E638" t="str">
        <f>IFERROR(__xludf.DUMMYFUNCTION("""COMPUTED_VALUE"""),"Thanchanok")</f>
        <v>Thanchanok</v>
      </c>
      <c r="F638" t="str">
        <f>IFERROR(__xludf.DUMMYFUNCTION("""COMPUTED_VALUE"""),"Srisawang")</f>
        <v>Srisawang</v>
      </c>
      <c r="G638" t="str">
        <f>IFERROR(__xludf.DUMMYFUNCTION("""COMPUTED_VALUE"""),"Thanchanok Srisawang")</f>
        <v>Thanchanok Srisawang</v>
      </c>
    </row>
    <row r="640">
      <c r="A640" s="142">
        <f>IFERROR(__xludf.DUMMYFUNCTION("""COMPUTED_VALUE"""),76.0)</f>
        <v>76</v>
      </c>
      <c r="B640" t="str">
        <f>IFERROR(__xludf.DUMMYFUNCTION("""COMPUTED_VALUE"""),"TAA6371")</f>
        <v>TAA6371</v>
      </c>
      <c r="C640">
        <f>IFERROR(__xludf.DUMMYFUNCTION("""COMPUTED_VALUE"""),1012892.0)</f>
        <v>1012892</v>
      </c>
      <c r="D640" t="str">
        <f>IFERROR(__xludf.DUMMYFUNCTION("""COMPUTED_VALUE"""),"Ms.")</f>
        <v>Ms.</v>
      </c>
      <c r="E640" t="str">
        <f>IFERROR(__xludf.DUMMYFUNCTION("""COMPUTED_VALUE"""),"Apinya")</f>
        <v>Apinya</v>
      </c>
      <c r="F640" t="str">
        <f>IFERROR(__xludf.DUMMYFUNCTION("""COMPUTED_VALUE"""),"Phiphatwatanarkul")</f>
        <v>Phiphatwatanarkul</v>
      </c>
      <c r="G640" t="str">
        <f>IFERROR(__xludf.DUMMYFUNCTION("""COMPUTED_VALUE"""),"Apinya Phiphatwatanarkul")</f>
        <v>Apinya Phiphatwatanarkul</v>
      </c>
    </row>
    <row r="641">
      <c r="A641" s="142">
        <f>IFERROR(__xludf.DUMMYFUNCTION("""COMPUTED_VALUE"""),76.0)</f>
        <v>76</v>
      </c>
      <c r="B641" t="str">
        <f>IFERROR(__xludf.DUMMYFUNCTION("""COMPUTED_VALUE"""),"TAA6359")</f>
        <v>TAA6359</v>
      </c>
      <c r="C641">
        <f>IFERROR(__xludf.DUMMYFUNCTION("""COMPUTED_VALUE"""),1012893.0)</f>
        <v>1012893</v>
      </c>
      <c r="D641" t="str">
        <f>IFERROR(__xludf.DUMMYFUNCTION("""COMPUTED_VALUE"""),"Ms.")</f>
        <v>Ms.</v>
      </c>
      <c r="E641" t="str">
        <f>IFERROR(__xludf.DUMMYFUNCTION("""COMPUTED_VALUE"""),"Areeya")</f>
        <v>Areeya</v>
      </c>
      <c r="F641" t="str">
        <f>IFERROR(__xludf.DUMMYFUNCTION("""COMPUTED_VALUE"""),"Payap")</f>
        <v>Payap</v>
      </c>
      <c r="G641" t="str">
        <f>IFERROR(__xludf.DUMMYFUNCTION("""COMPUTED_VALUE"""),"Areeya Payap")</f>
        <v>Areeya Payap</v>
      </c>
    </row>
    <row r="642">
      <c r="A642" s="142">
        <f>IFERROR(__xludf.DUMMYFUNCTION("""COMPUTED_VALUE"""),76.0)</f>
        <v>76</v>
      </c>
      <c r="B642" t="str">
        <f>IFERROR(__xludf.DUMMYFUNCTION("""COMPUTED_VALUE"""),"TAA6362")</f>
        <v>TAA6362</v>
      </c>
      <c r="C642">
        <f>IFERROR(__xludf.DUMMYFUNCTION("""COMPUTED_VALUE"""),1012894.0)</f>
        <v>1012894</v>
      </c>
      <c r="D642" t="str">
        <f>IFERROR(__xludf.DUMMYFUNCTION("""COMPUTED_VALUE"""),"Ms.")</f>
        <v>Ms.</v>
      </c>
      <c r="E642" t="str">
        <f>IFERROR(__xludf.DUMMYFUNCTION("""COMPUTED_VALUE"""),"Issarawadee")</f>
        <v>Issarawadee</v>
      </c>
      <c r="F642" t="str">
        <f>IFERROR(__xludf.DUMMYFUNCTION("""COMPUTED_VALUE"""),"Chaihan")</f>
        <v>Chaihan</v>
      </c>
      <c r="G642" t="str">
        <f>IFERROR(__xludf.DUMMYFUNCTION("""COMPUTED_VALUE"""),"Issarawadee Chaihan")</f>
        <v>Issarawadee Chaihan</v>
      </c>
    </row>
    <row r="643">
      <c r="A643" s="142">
        <f>IFERROR(__xludf.DUMMYFUNCTION("""COMPUTED_VALUE"""),76.0)</f>
        <v>76</v>
      </c>
      <c r="B643" t="str">
        <f>IFERROR(__xludf.DUMMYFUNCTION("""COMPUTED_VALUE"""),"TAA6363")</f>
        <v>TAA6363</v>
      </c>
      <c r="C643">
        <f>IFERROR(__xludf.DUMMYFUNCTION("""COMPUTED_VALUE"""),1012895.0)</f>
        <v>1012895</v>
      </c>
      <c r="D643" t="str">
        <f>IFERROR(__xludf.DUMMYFUNCTION("""COMPUTED_VALUE"""),"Mr.")</f>
        <v>Mr.</v>
      </c>
      <c r="E643" t="str">
        <f>IFERROR(__xludf.DUMMYFUNCTION("""COMPUTED_VALUE"""),"Pannawach (Nutchanon)")</f>
        <v>Pannawach (Nutchanon)</v>
      </c>
      <c r="F643" t="str">
        <f>IFERROR(__xludf.DUMMYFUNCTION("""COMPUTED_VALUE"""),"Kiatmethinpol (Wattanalee)")</f>
        <v>Kiatmethinpol (Wattanalee)</v>
      </c>
      <c r="G643" t="str">
        <f>IFERROR(__xludf.DUMMYFUNCTION("""COMPUTED_VALUE"""),"Pannawach Kiatmethinpol")</f>
        <v>Pannawach Kiatmethinpol</v>
      </c>
    </row>
    <row r="644">
      <c r="A644" s="142">
        <f>IFERROR(__xludf.DUMMYFUNCTION("""COMPUTED_VALUE"""),76.0)</f>
        <v>76</v>
      </c>
      <c r="B644" t="str">
        <f>IFERROR(__xludf.DUMMYFUNCTION("""COMPUTED_VALUE"""),"TAA6366")</f>
        <v>TAA6366</v>
      </c>
      <c r="C644">
        <f>IFERROR(__xludf.DUMMYFUNCTION("""COMPUTED_VALUE"""),1012896.0)</f>
        <v>1012896</v>
      </c>
      <c r="D644" t="str">
        <f>IFERROR(__xludf.DUMMYFUNCTION("""COMPUTED_VALUE"""),"Mr.")</f>
        <v>Mr.</v>
      </c>
      <c r="E644" t="str">
        <f>IFERROR(__xludf.DUMMYFUNCTION("""COMPUTED_VALUE"""),"Nuttawut")</f>
        <v>Nuttawut</v>
      </c>
      <c r="F644" t="str">
        <f>IFERROR(__xludf.DUMMYFUNCTION("""COMPUTED_VALUE"""),"Choonam")</f>
        <v>Choonam</v>
      </c>
      <c r="G644" t="str">
        <f>IFERROR(__xludf.DUMMYFUNCTION("""COMPUTED_VALUE"""),"Nuttawut Choonam")</f>
        <v>Nuttawut Choonam</v>
      </c>
    </row>
    <row r="645">
      <c r="A645" s="142">
        <f>IFERROR(__xludf.DUMMYFUNCTION("""COMPUTED_VALUE"""),76.0)</f>
        <v>76</v>
      </c>
      <c r="B645" t="str">
        <f>IFERROR(__xludf.DUMMYFUNCTION("""COMPUTED_VALUE"""),"TAA6364")</f>
        <v>TAA6364</v>
      </c>
      <c r="C645">
        <f>IFERROR(__xludf.DUMMYFUNCTION("""COMPUTED_VALUE"""),1012898.0)</f>
        <v>1012898</v>
      </c>
      <c r="D645" t="str">
        <f>IFERROR(__xludf.DUMMYFUNCTION("""COMPUTED_VALUE"""),"Mr.")</f>
        <v>Mr.</v>
      </c>
      <c r="E645" t="str">
        <f>IFERROR(__xludf.DUMMYFUNCTION("""COMPUTED_VALUE"""),"Paranyu")</f>
        <v>Paranyu</v>
      </c>
      <c r="F645" t="str">
        <f>IFERROR(__xludf.DUMMYFUNCTION("""COMPUTED_VALUE"""),"Sukthanakij")</f>
        <v>Sukthanakij</v>
      </c>
      <c r="G645" t="str">
        <f>IFERROR(__xludf.DUMMYFUNCTION("""COMPUTED_VALUE"""),"Paranyu Sukthanakij")</f>
        <v>Paranyu Sukthanakij</v>
      </c>
    </row>
    <row r="646">
      <c r="A646" s="142">
        <f>IFERROR(__xludf.DUMMYFUNCTION("""COMPUTED_VALUE"""),76.0)</f>
        <v>76</v>
      </c>
      <c r="B646" t="str">
        <f>IFERROR(__xludf.DUMMYFUNCTION("""COMPUTED_VALUE"""),"TAA6369")</f>
        <v>TAA6369</v>
      </c>
      <c r="C646">
        <f>IFERROR(__xludf.DUMMYFUNCTION("""COMPUTED_VALUE"""),1012899.0)</f>
        <v>1012899</v>
      </c>
      <c r="D646" t="str">
        <f>IFERROR(__xludf.DUMMYFUNCTION("""COMPUTED_VALUE"""),"Mr.")</f>
        <v>Mr.</v>
      </c>
      <c r="E646" t="str">
        <f>IFERROR(__xludf.DUMMYFUNCTION("""COMPUTED_VALUE"""),"Pichaya")</f>
        <v>Pichaya</v>
      </c>
      <c r="F646" t="str">
        <f>IFERROR(__xludf.DUMMYFUNCTION("""COMPUTED_VALUE"""),"Sonthigorn")</f>
        <v>Sonthigorn</v>
      </c>
      <c r="G646" t="str">
        <f>IFERROR(__xludf.DUMMYFUNCTION("""COMPUTED_VALUE"""),"Pichaya Sonthigorn")</f>
        <v>Pichaya Sonthigorn</v>
      </c>
    </row>
    <row r="647">
      <c r="A647" s="142">
        <f>IFERROR(__xludf.DUMMYFUNCTION("""COMPUTED_VALUE"""),76.0)</f>
        <v>76</v>
      </c>
      <c r="B647" t="str">
        <f>IFERROR(__xludf.DUMMYFUNCTION("""COMPUTED_VALUE"""),"TAA6379")</f>
        <v>TAA6379</v>
      </c>
      <c r="C647">
        <f>IFERROR(__xludf.DUMMYFUNCTION("""COMPUTED_VALUE"""),1012900.0)</f>
        <v>1012900</v>
      </c>
      <c r="D647" t="str">
        <f>IFERROR(__xludf.DUMMYFUNCTION("""COMPUTED_VALUE"""),"Ms.")</f>
        <v>Ms.</v>
      </c>
      <c r="E647" t="str">
        <f>IFERROR(__xludf.DUMMYFUNCTION("""COMPUTED_VALUE"""),"Ratchadaporn")</f>
        <v>Ratchadaporn</v>
      </c>
      <c r="F647" t="str">
        <f>IFERROR(__xludf.DUMMYFUNCTION("""COMPUTED_VALUE"""),"Trakoolchai (Nongkarn)")</f>
        <v>Trakoolchai (Nongkarn)</v>
      </c>
      <c r="G647" t="str">
        <f>IFERROR(__xludf.DUMMYFUNCTION("""COMPUTED_VALUE"""),"Ratchadaporn Trakoolchai ")</f>
        <v>Ratchadaporn Trakoolchai </v>
      </c>
    </row>
    <row r="648">
      <c r="A648" s="142">
        <f>IFERROR(__xludf.DUMMYFUNCTION("""COMPUTED_VALUE"""),76.0)</f>
        <v>76</v>
      </c>
      <c r="B648" t="str">
        <f>IFERROR(__xludf.DUMMYFUNCTION("""COMPUTED_VALUE"""),"TAA6367")</f>
        <v>TAA6367</v>
      </c>
      <c r="C648">
        <f>IFERROR(__xludf.DUMMYFUNCTION("""COMPUTED_VALUE"""),1012901.0)</f>
        <v>1012901</v>
      </c>
      <c r="D648" t="str">
        <f>IFERROR(__xludf.DUMMYFUNCTION("""COMPUTED_VALUE"""),"Ms.")</f>
        <v>Ms.</v>
      </c>
      <c r="E648" t="str">
        <f>IFERROR(__xludf.DUMMYFUNCTION("""COMPUTED_VALUE"""),"Sandao")</f>
        <v>Sandao</v>
      </c>
      <c r="F648" t="str">
        <f>IFERROR(__xludf.DUMMYFUNCTION("""COMPUTED_VALUE"""),"Siriwarunrak")</f>
        <v>Siriwarunrak</v>
      </c>
      <c r="G648" t="str">
        <f>IFERROR(__xludf.DUMMYFUNCTION("""COMPUTED_VALUE"""),"Sandao Siriwarunrak")</f>
        <v>Sandao Siriwarunrak</v>
      </c>
    </row>
    <row r="649">
      <c r="A649" s="142">
        <f>IFERROR(__xludf.DUMMYFUNCTION("""COMPUTED_VALUE"""),76.0)</f>
        <v>76</v>
      </c>
      <c r="B649" t="str">
        <f>IFERROR(__xludf.DUMMYFUNCTION("""COMPUTED_VALUE"""),"TAA6361")</f>
        <v>TAA6361</v>
      </c>
      <c r="C649">
        <f>IFERROR(__xludf.DUMMYFUNCTION("""COMPUTED_VALUE"""),1012902.0)</f>
        <v>1012902</v>
      </c>
      <c r="D649" t="str">
        <f>IFERROR(__xludf.DUMMYFUNCTION("""COMPUTED_VALUE"""),"Ms.")</f>
        <v>Ms.</v>
      </c>
      <c r="E649" t="str">
        <f>IFERROR(__xludf.DUMMYFUNCTION("""COMPUTED_VALUE"""),"Saowarat")</f>
        <v>Saowarat</v>
      </c>
      <c r="F649" t="str">
        <f>IFERROR(__xludf.DUMMYFUNCTION("""COMPUTED_VALUE"""),"Sowa")</f>
        <v>Sowa</v>
      </c>
      <c r="G649" t="str">
        <f>IFERROR(__xludf.DUMMYFUNCTION("""COMPUTED_VALUE"""),"Saowarat Sowa")</f>
        <v>Saowarat Sowa</v>
      </c>
    </row>
    <row r="650">
      <c r="A650" s="142">
        <f>IFERROR(__xludf.DUMMYFUNCTION("""COMPUTED_VALUE"""),76.0)</f>
        <v>76</v>
      </c>
      <c r="B650" t="str">
        <f>IFERROR(__xludf.DUMMYFUNCTION("""COMPUTED_VALUE"""),"TAA6378")</f>
        <v>TAA6378</v>
      </c>
      <c r="C650">
        <f>IFERROR(__xludf.DUMMYFUNCTION("""COMPUTED_VALUE"""),1012904.0)</f>
        <v>1012904</v>
      </c>
      <c r="D650" t="str">
        <f>IFERROR(__xludf.DUMMYFUNCTION("""COMPUTED_VALUE"""),"Mr.")</f>
        <v>Mr.</v>
      </c>
      <c r="E650" t="str">
        <f>IFERROR(__xludf.DUMMYFUNCTION("""COMPUTED_VALUE"""),"Suteerapong")</f>
        <v>Suteerapong</v>
      </c>
      <c r="F650" t="str">
        <f>IFERROR(__xludf.DUMMYFUNCTION("""COMPUTED_VALUE"""),"Sawangwong")</f>
        <v>Sawangwong</v>
      </c>
      <c r="G650" t="str">
        <f>IFERROR(__xludf.DUMMYFUNCTION("""COMPUTED_VALUE"""),"Suteerapong Sawangwong")</f>
        <v>Suteerapong Sawangwong</v>
      </c>
    </row>
    <row r="651">
      <c r="A651" s="142">
        <f>IFERROR(__xludf.DUMMYFUNCTION("""COMPUTED_VALUE"""),76.0)</f>
        <v>76</v>
      </c>
      <c r="B651" t="str">
        <f>IFERROR(__xludf.DUMMYFUNCTION("""COMPUTED_VALUE"""),"TAA6377")</f>
        <v>TAA6377</v>
      </c>
      <c r="C651">
        <f>IFERROR(__xludf.DUMMYFUNCTION("""COMPUTED_VALUE"""),1012905.0)</f>
        <v>1012905</v>
      </c>
      <c r="D651" t="str">
        <f>IFERROR(__xludf.DUMMYFUNCTION("""COMPUTED_VALUE"""),"Ms.")</f>
        <v>Ms.</v>
      </c>
      <c r="E651" t="str">
        <f>IFERROR(__xludf.DUMMYFUNCTION("""COMPUTED_VALUE"""),"Paweerisa (Taratikal)")</f>
        <v>Paweerisa (Taratikal)</v>
      </c>
      <c r="F651" t="str">
        <f>IFERROR(__xludf.DUMMYFUNCTION("""COMPUTED_VALUE"""),"Tantijaratchai (Saiwan)")</f>
        <v>Tantijaratchai (Saiwan)</v>
      </c>
      <c r="G651" t="str">
        <f>IFERROR(__xludf.DUMMYFUNCTION("""COMPUTED_VALUE"""),"Paweerisa Tantijaratchai")</f>
        <v>Paweerisa Tantijaratchai</v>
      </c>
    </row>
    <row r="652">
      <c r="A652" s="142">
        <f>IFERROR(__xludf.DUMMYFUNCTION("""COMPUTED_VALUE"""),76.0)</f>
        <v>76</v>
      </c>
      <c r="B652" t="str">
        <f>IFERROR(__xludf.DUMMYFUNCTION("""COMPUTED_VALUE"""),"TAA6376")</f>
        <v>TAA6376</v>
      </c>
      <c r="C652">
        <f>IFERROR(__xludf.DUMMYFUNCTION("""COMPUTED_VALUE"""),1012906.0)</f>
        <v>1012906</v>
      </c>
      <c r="D652" t="str">
        <f>IFERROR(__xludf.DUMMYFUNCTION("""COMPUTED_VALUE"""),"Mr.")</f>
        <v>Mr.</v>
      </c>
      <c r="E652" t="str">
        <f>IFERROR(__xludf.DUMMYFUNCTION("""COMPUTED_VALUE"""),"Thanametth")</f>
        <v>Thanametth</v>
      </c>
      <c r="F652" t="str">
        <f>IFERROR(__xludf.DUMMYFUNCTION("""COMPUTED_VALUE"""),"Wachiradatsathien")</f>
        <v>Wachiradatsathien</v>
      </c>
      <c r="G652" t="str">
        <f>IFERROR(__xludf.DUMMYFUNCTION("""COMPUTED_VALUE"""),"Thanametth Wachiradatsathien")</f>
        <v>Thanametth Wachiradatsathien</v>
      </c>
    </row>
    <row r="653">
      <c r="A653" s="142">
        <f>IFERROR(__xludf.DUMMYFUNCTION("""COMPUTED_VALUE"""),76.0)</f>
        <v>76</v>
      </c>
      <c r="B653" t="str">
        <f>IFERROR(__xludf.DUMMYFUNCTION("""COMPUTED_VALUE"""),"TAA6374")</f>
        <v>TAA6374</v>
      </c>
      <c r="C653">
        <f>IFERROR(__xludf.DUMMYFUNCTION("""COMPUTED_VALUE"""),1012907.0)</f>
        <v>1012907</v>
      </c>
      <c r="D653" t="str">
        <f>IFERROR(__xludf.DUMMYFUNCTION("""COMPUTED_VALUE"""),"Ms.")</f>
        <v>Ms.</v>
      </c>
      <c r="E653" t="str">
        <f>IFERROR(__xludf.DUMMYFUNCTION("""COMPUTED_VALUE"""),"Thiranuch")</f>
        <v>Thiranuch</v>
      </c>
      <c r="F653" t="str">
        <f>IFERROR(__xludf.DUMMYFUNCTION("""COMPUTED_VALUE"""),"Chantavarin")</f>
        <v>Chantavarin</v>
      </c>
      <c r="G653" t="str">
        <f>IFERROR(__xludf.DUMMYFUNCTION("""COMPUTED_VALUE"""),"Thiranuch Chantavarin")</f>
        <v>Thiranuch Chantavarin</v>
      </c>
    </row>
    <row r="654">
      <c r="A654" s="142">
        <f>IFERROR(__xludf.DUMMYFUNCTION("""COMPUTED_VALUE"""),76.0)</f>
        <v>76</v>
      </c>
      <c r="B654" t="str">
        <f>IFERROR(__xludf.DUMMYFUNCTION("""COMPUTED_VALUE"""),"TAA6368")</f>
        <v>TAA6368</v>
      </c>
      <c r="C654">
        <f>IFERROR(__xludf.DUMMYFUNCTION("""COMPUTED_VALUE"""),1012908.0)</f>
        <v>1012908</v>
      </c>
      <c r="D654" t="str">
        <f>IFERROR(__xludf.DUMMYFUNCTION("""COMPUTED_VALUE"""),"Ms.")</f>
        <v>Ms.</v>
      </c>
      <c r="E654" t="str">
        <f>IFERROR(__xludf.DUMMYFUNCTION("""COMPUTED_VALUE"""),"Worakamol")</f>
        <v>Worakamol</v>
      </c>
      <c r="F654" t="str">
        <f>IFERROR(__xludf.DUMMYFUNCTION("""COMPUTED_VALUE"""),"Tiamboonprasert")</f>
        <v>Tiamboonprasert</v>
      </c>
      <c r="G654" t="str">
        <f>IFERROR(__xludf.DUMMYFUNCTION("""COMPUTED_VALUE"""),"Worakamol Tiamboonprasert")</f>
        <v>Worakamol Tiamboonprasert</v>
      </c>
    </row>
    <row r="656">
      <c r="A656" s="142">
        <f>IFERROR(__xludf.DUMMYFUNCTION("""COMPUTED_VALUE"""),77.0)</f>
        <v>77</v>
      </c>
      <c r="B656" t="str">
        <f>IFERROR(__xludf.DUMMYFUNCTION("""COMPUTED_VALUE"""),"TAA7112")</f>
        <v>TAA7112</v>
      </c>
      <c r="C656">
        <f>IFERROR(__xludf.DUMMYFUNCTION("""COMPUTED_VALUE"""),1005329.0)</f>
        <v>1005329</v>
      </c>
      <c r="D656" t="str">
        <f>IFERROR(__xludf.DUMMYFUNCTION("""COMPUTED_VALUE"""),"Ms.")</f>
        <v>Ms.</v>
      </c>
      <c r="E656" t="str">
        <f>IFERROR(__xludf.DUMMYFUNCTION("""COMPUTED_VALUE"""),"Thunchanok")</f>
        <v>Thunchanok</v>
      </c>
      <c r="F656" t="str">
        <f>IFERROR(__xludf.DUMMYFUNCTION("""COMPUTED_VALUE"""),"Phasukcharoen")</f>
        <v>Phasukcharoen</v>
      </c>
      <c r="G656" t="str">
        <f>IFERROR(__xludf.DUMMYFUNCTION("""COMPUTED_VALUE"""),"Thunchanok Phasukcharoen")</f>
        <v>Thunchanok Phasukcharoen</v>
      </c>
    </row>
    <row r="657">
      <c r="A657" s="142">
        <f>IFERROR(__xludf.DUMMYFUNCTION("""COMPUTED_VALUE"""),77.0)</f>
        <v>77</v>
      </c>
      <c r="B657" t="str">
        <f>IFERROR(__xludf.DUMMYFUNCTION("""COMPUTED_VALUE"""),"TAA6395")</f>
        <v>TAA6395</v>
      </c>
      <c r="C657">
        <f>IFERROR(__xludf.DUMMYFUNCTION("""COMPUTED_VALUE"""),1013168.0)</f>
        <v>1013168</v>
      </c>
      <c r="D657" t="str">
        <f>IFERROR(__xludf.DUMMYFUNCTION("""COMPUTED_VALUE"""),"Mr.")</f>
        <v>Mr.</v>
      </c>
      <c r="E657" t="str">
        <f>IFERROR(__xludf.DUMMYFUNCTION("""COMPUTED_VALUE"""),"Anun")</f>
        <v>Anun</v>
      </c>
      <c r="F657" t="str">
        <f>IFERROR(__xludf.DUMMYFUNCTION("""COMPUTED_VALUE"""),"Sumethanonthasak")</f>
        <v>Sumethanonthasak</v>
      </c>
      <c r="G657" t="str">
        <f>IFERROR(__xludf.DUMMYFUNCTION("""COMPUTED_VALUE"""),"Anun Sumethanonthasak")</f>
        <v>Anun Sumethanonthasak</v>
      </c>
    </row>
    <row r="658">
      <c r="A658" s="142">
        <f>IFERROR(__xludf.DUMMYFUNCTION("""COMPUTED_VALUE"""),77.0)</f>
        <v>77</v>
      </c>
      <c r="B658" t="str">
        <f>IFERROR(__xludf.DUMMYFUNCTION("""COMPUTED_VALUE"""),"TAA6388")</f>
        <v>TAA6388</v>
      </c>
      <c r="C658">
        <f>IFERROR(__xludf.DUMMYFUNCTION("""COMPUTED_VALUE"""),1013173.0)</f>
        <v>1013173</v>
      </c>
      <c r="D658" t="str">
        <f>IFERROR(__xludf.DUMMYFUNCTION("""COMPUTED_VALUE"""),"Ms.")</f>
        <v>Ms.</v>
      </c>
      <c r="E658" t="str">
        <f>IFERROR(__xludf.DUMMYFUNCTION("""COMPUTED_VALUE"""),"Juthatip")</f>
        <v>Juthatip</v>
      </c>
      <c r="F658" t="str">
        <f>IFERROR(__xludf.DUMMYFUNCTION("""COMPUTED_VALUE"""),"Narin")</f>
        <v>Narin</v>
      </c>
      <c r="G658" t="str">
        <f>IFERROR(__xludf.DUMMYFUNCTION("""COMPUTED_VALUE"""),"Juthatip Narin")</f>
        <v>Juthatip Narin</v>
      </c>
    </row>
    <row r="659">
      <c r="A659" s="142">
        <f>IFERROR(__xludf.DUMMYFUNCTION("""COMPUTED_VALUE"""),77.0)</f>
        <v>77</v>
      </c>
      <c r="B659" t="str">
        <f>IFERROR(__xludf.DUMMYFUNCTION("""COMPUTED_VALUE"""),"TAA6400")</f>
        <v>TAA6400</v>
      </c>
      <c r="C659">
        <f>IFERROR(__xludf.DUMMYFUNCTION("""COMPUTED_VALUE"""),1013174.0)</f>
        <v>1013174</v>
      </c>
      <c r="D659" t="str">
        <f>IFERROR(__xludf.DUMMYFUNCTION("""COMPUTED_VALUE"""),"Ms.")</f>
        <v>Ms.</v>
      </c>
      <c r="E659" t="str">
        <f>IFERROR(__xludf.DUMMYFUNCTION("""COMPUTED_VALUE"""),"Kanthida")</f>
        <v>Kanthida</v>
      </c>
      <c r="F659" t="str">
        <f>IFERROR(__xludf.DUMMYFUNCTION("""COMPUTED_VALUE"""),"Srisupawadee")</f>
        <v>Srisupawadee</v>
      </c>
      <c r="G659" t="str">
        <f>IFERROR(__xludf.DUMMYFUNCTION("""COMPUTED_VALUE"""),"Kanthida Srisupawadee")</f>
        <v>Kanthida Srisupawadee</v>
      </c>
    </row>
    <row r="660">
      <c r="A660" s="142">
        <f>IFERROR(__xludf.DUMMYFUNCTION("""COMPUTED_VALUE"""),77.0)</f>
        <v>77</v>
      </c>
      <c r="B660" t="str">
        <f>IFERROR(__xludf.DUMMYFUNCTION("""COMPUTED_VALUE"""),"TAA6386")</f>
        <v>TAA6386</v>
      </c>
      <c r="C660">
        <f>IFERROR(__xludf.DUMMYFUNCTION("""COMPUTED_VALUE"""),1013177.0)</f>
        <v>1013177</v>
      </c>
      <c r="D660" t="str">
        <f>IFERROR(__xludf.DUMMYFUNCTION("""COMPUTED_VALUE"""),"Ms.")</f>
        <v>Ms.</v>
      </c>
      <c r="E660" t="str">
        <f>IFERROR(__xludf.DUMMYFUNCTION("""COMPUTED_VALUE"""),"Chayanit (Sariyaphat)")</f>
        <v>Chayanit (Sariyaphat)</v>
      </c>
      <c r="F660" t="str">
        <f>IFERROR(__xludf.DUMMYFUNCTION("""COMPUTED_VALUE"""),"Panichphuwaset (Thanatthanaset)")</f>
        <v>Panichphuwaset (Thanatthanaset)</v>
      </c>
      <c r="G660" t="str">
        <f>IFERROR(__xludf.DUMMYFUNCTION("""COMPUTED_VALUE"""),"Chayanit Panichphuwaset")</f>
        <v>Chayanit Panichphuwaset</v>
      </c>
    </row>
    <row r="661">
      <c r="A661" s="142">
        <f>IFERROR(__xludf.DUMMYFUNCTION("""COMPUTED_VALUE"""),77.0)</f>
        <v>77</v>
      </c>
      <c r="B661" t="str">
        <f>IFERROR(__xludf.DUMMYFUNCTION("""COMPUTED_VALUE"""),"TAA6393")</f>
        <v>TAA6393</v>
      </c>
      <c r="C661">
        <f>IFERROR(__xludf.DUMMYFUNCTION("""COMPUTED_VALUE"""),1013178.0)</f>
        <v>1013178</v>
      </c>
      <c r="D661" t="str">
        <f>IFERROR(__xludf.DUMMYFUNCTION("""COMPUTED_VALUE"""),"Mr.")</f>
        <v>Mr.</v>
      </c>
      <c r="E661" t="str">
        <f>IFERROR(__xludf.DUMMYFUNCTION("""COMPUTED_VALUE"""),"Niharoon")</f>
        <v>Niharoon</v>
      </c>
      <c r="F661" t="str">
        <f>IFERROR(__xludf.DUMMYFUNCTION("""COMPUTED_VALUE"""),"Sulaiman")</f>
        <v>Sulaiman</v>
      </c>
      <c r="G661" t="str">
        <f>IFERROR(__xludf.DUMMYFUNCTION("""COMPUTED_VALUE"""),"Niharoon Sulaiman")</f>
        <v>Niharoon Sulaiman</v>
      </c>
    </row>
    <row r="662">
      <c r="A662" s="142">
        <f>IFERROR(__xludf.DUMMYFUNCTION("""COMPUTED_VALUE"""),77.0)</f>
        <v>77</v>
      </c>
      <c r="B662" t="str">
        <f>IFERROR(__xludf.DUMMYFUNCTION("""COMPUTED_VALUE"""),"TAA6398")</f>
        <v>TAA6398</v>
      </c>
      <c r="C662">
        <f>IFERROR(__xludf.DUMMYFUNCTION("""COMPUTED_VALUE"""),1013179.0)</f>
        <v>1013179</v>
      </c>
      <c r="D662" t="str">
        <f>IFERROR(__xludf.DUMMYFUNCTION("""COMPUTED_VALUE"""),"Ms.")</f>
        <v>Ms.</v>
      </c>
      <c r="E662" t="str">
        <f>IFERROR(__xludf.DUMMYFUNCTION("""COMPUTED_VALUE"""),"Nunapat")</f>
        <v>Nunapat</v>
      </c>
      <c r="F662" t="str">
        <f>IFERROR(__xludf.DUMMYFUNCTION("""COMPUTED_VALUE"""),"Towakul")</f>
        <v>Towakul</v>
      </c>
      <c r="G662" t="str">
        <f>IFERROR(__xludf.DUMMYFUNCTION("""COMPUTED_VALUE"""),"Nunapat Towakul")</f>
        <v>Nunapat Towakul</v>
      </c>
    </row>
    <row r="663">
      <c r="A663" s="142">
        <f>IFERROR(__xludf.DUMMYFUNCTION("""COMPUTED_VALUE"""),77.0)</f>
        <v>77</v>
      </c>
      <c r="B663" t="str">
        <f>IFERROR(__xludf.DUMMYFUNCTION("""COMPUTED_VALUE"""),"TAA6390")</f>
        <v>TAA6390</v>
      </c>
      <c r="C663">
        <f>IFERROR(__xludf.DUMMYFUNCTION("""COMPUTED_VALUE"""),1013180.0)</f>
        <v>1013180</v>
      </c>
      <c r="D663" t="str">
        <f>IFERROR(__xludf.DUMMYFUNCTION("""COMPUTED_VALUE"""),"Ms.")</f>
        <v>Ms.</v>
      </c>
      <c r="E663" t="str">
        <f>IFERROR(__xludf.DUMMYFUNCTION("""COMPUTED_VALUE"""),"Nuttinee")</f>
        <v>Nuttinee</v>
      </c>
      <c r="F663" t="str">
        <f>IFERROR(__xludf.DUMMYFUNCTION("""COMPUTED_VALUE"""),"Rattana-u-dom (Kwanduan)")</f>
        <v>Rattana-u-dom (Kwanduan)</v>
      </c>
      <c r="G663" t="str">
        <f>IFERROR(__xludf.DUMMYFUNCTION("""COMPUTED_VALUE"""),"Nuttinee Rattana-u-dom")</f>
        <v>Nuttinee Rattana-u-dom</v>
      </c>
    </row>
    <row r="664">
      <c r="A664" s="142">
        <f>IFERROR(__xludf.DUMMYFUNCTION("""COMPUTED_VALUE"""),77.0)</f>
        <v>77</v>
      </c>
      <c r="B664" t="str">
        <f>IFERROR(__xludf.DUMMYFUNCTION("""COMPUTED_VALUE"""),"TAA6391")</f>
        <v>TAA6391</v>
      </c>
      <c r="C664">
        <f>IFERROR(__xludf.DUMMYFUNCTION("""COMPUTED_VALUE"""),1013181.0)</f>
        <v>1013181</v>
      </c>
      <c r="D664" t="str">
        <f>IFERROR(__xludf.DUMMYFUNCTION("""COMPUTED_VALUE"""),"Ms.")</f>
        <v>Ms.</v>
      </c>
      <c r="E664" t="str">
        <f>IFERROR(__xludf.DUMMYFUNCTION("""COMPUTED_VALUE"""),"Pattorn")</f>
        <v>Pattorn</v>
      </c>
      <c r="F664" t="str">
        <f>IFERROR(__xludf.DUMMYFUNCTION("""COMPUTED_VALUE"""),"Kitthathamrong")</f>
        <v>Kitthathamrong</v>
      </c>
      <c r="G664" t="str">
        <f>IFERROR(__xludf.DUMMYFUNCTION("""COMPUTED_VALUE"""),"Pattorn Kitthathamrong")</f>
        <v>Pattorn Kitthathamrong</v>
      </c>
    </row>
    <row r="665">
      <c r="A665" s="142">
        <f>IFERROR(__xludf.DUMMYFUNCTION("""COMPUTED_VALUE"""),77.0)</f>
        <v>77</v>
      </c>
      <c r="B665" t="str">
        <f>IFERROR(__xludf.DUMMYFUNCTION("""COMPUTED_VALUE"""),"TAA6384")</f>
        <v>TAA6384</v>
      </c>
      <c r="C665">
        <f>IFERROR(__xludf.DUMMYFUNCTION("""COMPUTED_VALUE"""),1013184.0)</f>
        <v>1013184</v>
      </c>
      <c r="D665" t="str">
        <f>IFERROR(__xludf.DUMMYFUNCTION("""COMPUTED_VALUE"""),"Ms.")</f>
        <v>Ms.</v>
      </c>
      <c r="E665" t="str">
        <f>IFERROR(__xludf.DUMMYFUNCTION("""COMPUTED_VALUE"""),"Pinnarat")</f>
        <v>Pinnarat</v>
      </c>
      <c r="F665" t="str">
        <f>IFERROR(__xludf.DUMMYFUNCTION("""COMPUTED_VALUE"""),"Mawinthon")</f>
        <v>Mawinthon</v>
      </c>
      <c r="G665" t="str">
        <f>IFERROR(__xludf.DUMMYFUNCTION("""COMPUTED_VALUE"""),"Pinnarat Mawinthon")</f>
        <v>Pinnarat Mawinthon</v>
      </c>
    </row>
    <row r="666">
      <c r="A666" s="142">
        <f>IFERROR(__xludf.DUMMYFUNCTION("""COMPUTED_VALUE"""),77.0)</f>
        <v>77</v>
      </c>
      <c r="B666" t="str">
        <f>IFERROR(__xludf.DUMMYFUNCTION("""COMPUTED_VALUE"""),"TAA6397")</f>
        <v>TAA6397</v>
      </c>
      <c r="C666">
        <f>IFERROR(__xludf.DUMMYFUNCTION("""COMPUTED_VALUE"""),1013185.0)</f>
        <v>1013185</v>
      </c>
      <c r="D666" t="str">
        <f>IFERROR(__xludf.DUMMYFUNCTION("""COMPUTED_VALUE"""),"Mr.")</f>
        <v>Mr.</v>
      </c>
      <c r="E666" t="str">
        <f>IFERROR(__xludf.DUMMYFUNCTION("""COMPUTED_VALUE"""),"Pongsak")</f>
        <v>Pongsak</v>
      </c>
      <c r="F666" t="str">
        <f>IFERROR(__xludf.DUMMYFUNCTION("""COMPUTED_VALUE"""),"Sangdee")</f>
        <v>Sangdee</v>
      </c>
      <c r="G666" t="str">
        <f>IFERROR(__xludf.DUMMYFUNCTION("""COMPUTED_VALUE"""),"Pongsak Sangdee")</f>
        <v>Pongsak Sangdee</v>
      </c>
    </row>
    <row r="667">
      <c r="A667" s="142">
        <f>IFERROR(__xludf.DUMMYFUNCTION("""COMPUTED_VALUE"""),77.0)</f>
        <v>77</v>
      </c>
      <c r="B667" t="str">
        <f>IFERROR(__xludf.DUMMYFUNCTION("""COMPUTED_VALUE"""),"TAA6392")</f>
        <v>TAA6392</v>
      </c>
      <c r="C667">
        <f>IFERROR(__xludf.DUMMYFUNCTION("""COMPUTED_VALUE"""),1013186.0)</f>
        <v>1013186</v>
      </c>
      <c r="D667" t="str">
        <f>IFERROR(__xludf.DUMMYFUNCTION("""COMPUTED_VALUE"""),"Ms.")</f>
        <v>Ms.</v>
      </c>
      <c r="E667" t="str">
        <f>IFERROR(__xludf.DUMMYFUNCTION("""COMPUTED_VALUE"""),"Pornthiwa")</f>
        <v>Pornthiwa</v>
      </c>
      <c r="F667" t="str">
        <f>IFERROR(__xludf.DUMMYFUNCTION("""COMPUTED_VALUE"""),"Promthong")</f>
        <v>Promthong</v>
      </c>
      <c r="G667" t="str">
        <f>IFERROR(__xludf.DUMMYFUNCTION("""COMPUTED_VALUE"""),"Pornthiwa Promthong")</f>
        <v>Pornthiwa Promthong</v>
      </c>
    </row>
    <row r="668">
      <c r="A668" s="142">
        <f>IFERROR(__xludf.DUMMYFUNCTION("""COMPUTED_VALUE"""),77.0)</f>
        <v>77</v>
      </c>
      <c r="B668" t="str">
        <f>IFERROR(__xludf.DUMMYFUNCTION("""COMPUTED_VALUE"""),"TAA6387")</f>
        <v>TAA6387</v>
      </c>
      <c r="C668">
        <f>IFERROR(__xludf.DUMMYFUNCTION("""COMPUTED_VALUE"""),1013187.0)</f>
        <v>1013187</v>
      </c>
      <c r="D668" t="str">
        <f>IFERROR(__xludf.DUMMYFUNCTION("""COMPUTED_VALUE"""),"Ms.")</f>
        <v>Ms.</v>
      </c>
      <c r="E668" t="str">
        <f>IFERROR(__xludf.DUMMYFUNCTION("""COMPUTED_VALUE"""),"Sirilak")</f>
        <v>Sirilak</v>
      </c>
      <c r="F668" t="str">
        <f>IFERROR(__xludf.DUMMYFUNCTION("""COMPUTED_VALUE"""),"Chaiwisut")</f>
        <v>Chaiwisut</v>
      </c>
      <c r="G668" t="str">
        <f>IFERROR(__xludf.DUMMYFUNCTION("""COMPUTED_VALUE"""),"Sirilak Chaiwisut")</f>
        <v>Sirilak Chaiwisut</v>
      </c>
    </row>
    <row r="669">
      <c r="A669" s="142">
        <f>IFERROR(__xludf.DUMMYFUNCTION("""COMPUTED_VALUE"""),77.0)</f>
        <v>77</v>
      </c>
      <c r="B669" t="str">
        <f>IFERROR(__xludf.DUMMYFUNCTION("""COMPUTED_VALUE"""),"TAA6385")</f>
        <v>TAA6385</v>
      </c>
      <c r="C669">
        <f>IFERROR(__xludf.DUMMYFUNCTION("""COMPUTED_VALUE"""),1013188.0)</f>
        <v>1013188</v>
      </c>
      <c r="D669" t="str">
        <f>IFERROR(__xludf.DUMMYFUNCTION("""COMPUTED_VALUE"""),"Ms.")</f>
        <v>Ms.</v>
      </c>
      <c r="E669" t="str">
        <f>IFERROR(__xludf.DUMMYFUNCTION("""COMPUTED_VALUE"""),"Sunisa")</f>
        <v>Sunisa</v>
      </c>
      <c r="F669" t="str">
        <f>IFERROR(__xludf.DUMMYFUNCTION("""COMPUTED_VALUE"""),"Graiwong")</f>
        <v>Graiwong</v>
      </c>
      <c r="G669" t="str">
        <f>IFERROR(__xludf.DUMMYFUNCTION("""COMPUTED_VALUE"""),"Sunisa Graiwong")</f>
        <v>Sunisa Graiwong</v>
      </c>
    </row>
    <row r="670">
      <c r="A670" s="142">
        <f>IFERROR(__xludf.DUMMYFUNCTION("""COMPUTED_VALUE"""),77.0)</f>
        <v>77</v>
      </c>
      <c r="B670" t="str">
        <f>IFERROR(__xludf.DUMMYFUNCTION("""COMPUTED_VALUE"""),"TAA6380")</f>
        <v>TAA6380</v>
      </c>
      <c r="C670">
        <f>IFERROR(__xludf.DUMMYFUNCTION("""COMPUTED_VALUE"""),1013189.0)</f>
        <v>1013189</v>
      </c>
      <c r="D670" t="str">
        <f>IFERROR(__xludf.DUMMYFUNCTION("""COMPUTED_VALUE"""),"Mr.")</f>
        <v>Mr.</v>
      </c>
      <c r="E670" t="str">
        <f>IFERROR(__xludf.DUMMYFUNCTION("""COMPUTED_VALUE"""),"Supakrit")</f>
        <v>Supakrit</v>
      </c>
      <c r="F670" t="str">
        <f>IFERROR(__xludf.DUMMYFUNCTION("""COMPUTED_VALUE"""),"Khongvittaya")</f>
        <v>Khongvittaya</v>
      </c>
      <c r="G670" t="str">
        <f>IFERROR(__xludf.DUMMYFUNCTION("""COMPUTED_VALUE"""),"Supakrit Khongvittaya")</f>
        <v>Supakrit Khongvittaya</v>
      </c>
    </row>
    <row r="671">
      <c r="A671" s="142">
        <f>IFERROR(__xludf.DUMMYFUNCTION("""COMPUTED_VALUE"""),77.0)</f>
        <v>77</v>
      </c>
      <c r="B671" t="str">
        <f>IFERROR(__xludf.DUMMYFUNCTION("""COMPUTED_VALUE"""),"TAA6381")</f>
        <v>TAA6381</v>
      </c>
      <c r="C671">
        <f>IFERROR(__xludf.DUMMYFUNCTION("""COMPUTED_VALUE"""),1013190.0)</f>
        <v>1013190</v>
      </c>
      <c r="D671" t="str">
        <f>IFERROR(__xludf.DUMMYFUNCTION("""COMPUTED_VALUE"""),"Ms.")</f>
        <v>Ms.</v>
      </c>
      <c r="E671" t="str">
        <f>IFERROR(__xludf.DUMMYFUNCTION("""COMPUTED_VALUE"""),"Thamonwan")</f>
        <v>Thamonwan</v>
      </c>
      <c r="F671" t="str">
        <f>IFERROR(__xludf.DUMMYFUNCTION("""COMPUTED_VALUE"""),"Chokumpornpan")</f>
        <v>Chokumpornpan</v>
      </c>
      <c r="G671" t="str">
        <f>IFERROR(__xludf.DUMMYFUNCTION("""COMPUTED_VALUE"""),"Thamonwan Chokumpornpan")</f>
        <v>Thamonwan Chokumpornpan</v>
      </c>
    </row>
    <row r="672">
      <c r="A672" s="142">
        <f>IFERROR(__xludf.DUMMYFUNCTION("""COMPUTED_VALUE"""),77.0)</f>
        <v>77</v>
      </c>
      <c r="B672" t="str">
        <f>IFERROR(__xludf.DUMMYFUNCTION("""COMPUTED_VALUE"""),"TAA6382")</f>
        <v>TAA6382</v>
      </c>
      <c r="C672">
        <f>IFERROR(__xludf.DUMMYFUNCTION("""COMPUTED_VALUE"""),1013192.0)</f>
        <v>1013192</v>
      </c>
      <c r="D672" t="str">
        <f>IFERROR(__xludf.DUMMYFUNCTION("""COMPUTED_VALUE"""),"Ms.")</f>
        <v>Ms.</v>
      </c>
      <c r="E672" t="str">
        <f>IFERROR(__xludf.DUMMYFUNCTION("""COMPUTED_VALUE"""),"Thiptanya")</f>
        <v>Thiptanya</v>
      </c>
      <c r="F672" t="str">
        <f>IFERROR(__xludf.DUMMYFUNCTION("""COMPUTED_VALUE"""),"Phosri")</f>
        <v>Phosri</v>
      </c>
      <c r="G672" t="str">
        <f>IFERROR(__xludf.DUMMYFUNCTION("""COMPUTED_VALUE"""),"Thiptanya Phosri")</f>
        <v>Thiptanya Phosri</v>
      </c>
    </row>
    <row r="673">
      <c r="A673" s="142">
        <f>IFERROR(__xludf.DUMMYFUNCTION("""COMPUTED_VALUE"""),77.0)</f>
        <v>77</v>
      </c>
      <c r="B673" t="str">
        <f>IFERROR(__xludf.DUMMYFUNCTION("""COMPUTED_VALUE"""),"TAA6389")</f>
        <v>TAA6389</v>
      </c>
      <c r="C673">
        <f>IFERROR(__xludf.DUMMYFUNCTION("""COMPUTED_VALUE"""),1013194.0)</f>
        <v>1013194</v>
      </c>
      <c r="D673" t="str">
        <f>IFERROR(__xludf.DUMMYFUNCTION("""COMPUTED_VALUE"""),"Mr.")</f>
        <v>Mr.</v>
      </c>
      <c r="E673" t="str">
        <f>IFERROR(__xludf.DUMMYFUNCTION("""COMPUTED_VALUE"""),"Touch")</f>
        <v>Touch</v>
      </c>
      <c r="F673" t="str">
        <f>IFERROR(__xludf.DUMMYFUNCTION("""COMPUTED_VALUE"""),"Meechamnan")</f>
        <v>Meechamnan</v>
      </c>
      <c r="G673" t="str">
        <f>IFERROR(__xludf.DUMMYFUNCTION("""COMPUTED_VALUE"""),"Touch Meechamnan")</f>
        <v>Touch Meechamnan</v>
      </c>
    </row>
    <row r="675">
      <c r="A675" s="142">
        <f>IFERROR(__xludf.DUMMYFUNCTION("""COMPUTED_VALUE"""),78.0)</f>
        <v>78</v>
      </c>
      <c r="B675" t="str">
        <f>IFERROR(__xludf.DUMMYFUNCTION("""COMPUTED_VALUE"""),"TAA6718")</f>
        <v>TAA6718</v>
      </c>
      <c r="C675">
        <f>IFERROR(__xludf.DUMMYFUNCTION("""COMPUTED_VALUE"""),1014058.0)</f>
        <v>1014058</v>
      </c>
      <c r="D675" t="str">
        <f>IFERROR(__xludf.DUMMYFUNCTION("""COMPUTED_VALUE"""),"Ms.")</f>
        <v>Ms.</v>
      </c>
      <c r="E675" t="str">
        <f>IFERROR(__xludf.DUMMYFUNCTION("""COMPUTED_VALUE"""),"Budfa")</f>
        <v>Budfa</v>
      </c>
      <c r="F675" t="str">
        <f>IFERROR(__xludf.DUMMYFUNCTION("""COMPUTED_VALUE"""),"Morasuk")</f>
        <v>Morasuk</v>
      </c>
      <c r="G675" t="str">
        <f>IFERROR(__xludf.DUMMYFUNCTION("""COMPUTED_VALUE"""),"Budfa Morasuk")</f>
        <v>Budfa Morasuk</v>
      </c>
    </row>
    <row r="676">
      <c r="A676" s="142">
        <f>IFERROR(__xludf.DUMMYFUNCTION("""COMPUTED_VALUE"""),78.0)</f>
        <v>78</v>
      </c>
      <c r="B676" t="str">
        <f>IFERROR(__xludf.DUMMYFUNCTION("""COMPUTED_VALUE"""),"TAA6721")</f>
        <v>TAA6721</v>
      </c>
      <c r="C676">
        <f>IFERROR(__xludf.DUMMYFUNCTION("""COMPUTED_VALUE"""),1014064.0)</f>
        <v>1014064</v>
      </c>
      <c r="D676" t="str">
        <f>IFERROR(__xludf.DUMMYFUNCTION("""COMPUTED_VALUE"""),"Ms.")</f>
        <v>Ms.</v>
      </c>
      <c r="E676" t="str">
        <f>IFERROR(__xludf.DUMMYFUNCTION("""COMPUTED_VALUE"""),"Jaraspak")</f>
        <v>Jaraspak</v>
      </c>
      <c r="F676" t="str">
        <f>IFERROR(__xludf.DUMMYFUNCTION("""COMPUTED_VALUE"""),"Plengkhum")</f>
        <v>Plengkhum</v>
      </c>
      <c r="G676" t="str">
        <f>IFERROR(__xludf.DUMMYFUNCTION("""COMPUTED_VALUE"""),"Jaraspak Plengkhum")</f>
        <v>Jaraspak Plengkhum</v>
      </c>
    </row>
    <row r="677">
      <c r="A677" s="142">
        <f>IFERROR(__xludf.DUMMYFUNCTION("""COMPUTED_VALUE"""),78.0)</f>
        <v>78</v>
      </c>
      <c r="B677" t="str">
        <f>IFERROR(__xludf.DUMMYFUNCTION("""COMPUTED_VALUE"""),"TAA6715")</f>
        <v>TAA6715</v>
      </c>
      <c r="C677">
        <f>IFERROR(__xludf.DUMMYFUNCTION("""COMPUTED_VALUE"""),1014067.0)</f>
        <v>1014067</v>
      </c>
      <c r="D677" t="str">
        <f>IFERROR(__xludf.DUMMYFUNCTION("""COMPUTED_VALUE"""),"Ms.")</f>
        <v>Ms.</v>
      </c>
      <c r="E677" t="str">
        <f>IFERROR(__xludf.DUMMYFUNCTION("""COMPUTED_VALUE"""),"Kedvarang")</f>
        <v>Kedvarang</v>
      </c>
      <c r="F677" t="str">
        <f>IFERROR(__xludf.DUMMYFUNCTION("""COMPUTED_VALUE"""),"Pikoonted")</f>
        <v>Pikoonted</v>
      </c>
      <c r="G677" t="str">
        <f>IFERROR(__xludf.DUMMYFUNCTION("""COMPUTED_VALUE"""),"Kedvarang Pikoonted")</f>
        <v>Kedvarang Pikoonted</v>
      </c>
    </row>
    <row r="678">
      <c r="A678" s="142">
        <f>IFERROR(__xludf.DUMMYFUNCTION("""COMPUTED_VALUE"""),78.0)</f>
        <v>78</v>
      </c>
      <c r="B678" t="str">
        <f>IFERROR(__xludf.DUMMYFUNCTION("""COMPUTED_VALUE"""),"TAA6712")</f>
        <v>TAA6712</v>
      </c>
      <c r="C678">
        <f>IFERROR(__xludf.DUMMYFUNCTION("""COMPUTED_VALUE"""),1014078.0)</f>
        <v>1014078</v>
      </c>
      <c r="D678" t="str">
        <f>IFERROR(__xludf.DUMMYFUNCTION("""COMPUTED_VALUE"""),"Ms.")</f>
        <v>Ms.</v>
      </c>
      <c r="E678" t="str">
        <f>IFERROR(__xludf.DUMMYFUNCTION("""COMPUTED_VALUE"""),"Ornphicha")</f>
        <v>Ornphicha</v>
      </c>
      <c r="F678" t="str">
        <f>IFERROR(__xludf.DUMMYFUNCTION("""COMPUTED_VALUE"""),"Phisanbanjerdkul")</f>
        <v>Phisanbanjerdkul</v>
      </c>
      <c r="G678" t="str">
        <f>IFERROR(__xludf.DUMMYFUNCTION("""COMPUTED_VALUE"""),"Ornphicha Phisanbanjerdkul")</f>
        <v>Ornphicha Phisanbanjerdkul</v>
      </c>
    </row>
    <row r="679">
      <c r="A679" s="142">
        <f>IFERROR(__xludf.DUMMYFUNCTION("""COMPUTED_VALUE"""),78.0)</f>
        <v>78</v>
      </c>
      <c r="B679" t="str">
        <f>IFERROR(__xludf.DUMMYFUNCTION("""COMPUTED_VALUE"""),"TAA6726")</f>
        <v>TAA6726</v>
      </c>
      <c r="C679">
        <f>IFERROR(__xludf.DUMMYFUNCTION("""COMPUTED_VALUE"""),1014080.0)</f>
        <v>1014080</v>
      </c>
      <c r="D679" t="str">
        <f>IFERROR(__xludf.DUMMYFUNCTION("""COMPUTED_VALUE"""),"Ms.")</f>
        <v>Ms.</v>
      </c>
      <c r="E679" t="str">
        <f>IFERROR(__xludf.DUMMYFUNCTION("""COMPUTED_VALUE"""),"Phalinsu")</f>
        <v>Phalinsu</v>
      </c>
      <c r="F679" t="str">
        <f>IFERROR(__xludf.DUMMYFUNCTION("""COMPUTED_VALUE"""),"Angsunakul")</f>
        <v>Angsunakul</v>
      </c>
      <c r="G679" t="str">
        <f>IFERROR(__xludf.DUMMYFUNCTION("""COMPUTED_VALUE"""),"Phalinsu Angsunakul")</f>
        <v>Phalinsu Angsunakul</v>
      </c>
    </row>
    <row r="680">
      <c r="A680" s="142">
        <f>IFERROR(__xludf.DUMMYFUNCTION("""COMPUTED_VALUE"""),78.0)</f>
        <v>78</v>
      </c>
      <c r="B680" t="str">
        <f>IFERROR(__xludf.DUMMYFUNCTION("""COMPUTED_VALUE"""),"TAA6713")</f>
        <v>TAA6713</v>
      </c>
      <c r="C680">
        <f>IFERROR(__xludf.DUMMYFUNCTION("""COMPUTED_VALUE"""),1014083.0)</f>
        <v>1014083</v>
      </c>
      <c r="D680" t="str">
        <f>IFERROR(__xludf.DUMMYFUNCTION("""COMPUTED_VALUE"""),"Mrs.")</f>
        <v>Mrs.</v>
      </c>
      <c r="E680" t="str">
        <f>IFERROR(__xludf.DUMMYFUNCTION("""COMPUTED_VALUE"""),"Pimarthorn")</f>
        <v>Pimarthorn</v>
      </c>
      <c r="F680" t="str">
        <f>IFERROR(__xludf.DUMMYFUNCTION("""COMPUTED_VALUE"""),"Martin (Charuwana)")</f>
        <v>Martin (Charuwana)</v>
      </c>
      <c r="G680" t="str">
        <f>IFERROR(__xludf.DUMMYFUNCTION("""COMPUTED_VALUE"""),"Pimarthorn Martin")</f>
        <v>Pimarthorn Martin</v>
      </c>
    </row>
    <row r="681">
      <c r="A681" s="142">
        <f>IFERROR(__xludf.DUMMYFUNCTION("""COMPUTED_VALUE"""),78.0)</f>
        <v>78</v>
      </c>
      <c r="B681" t="str">
        <f>IFERROR(__xludf.DUMMYFUNCTION("""COMPUTED_VALUE"""),"TAA6727")</f>
        <v>TAA6727</v>
      </c>
      <c r="C681">
        <f>IFERROR(__xludf.DUMMYFUNCTION("""COMPUTED_VALUE"""),1014086.0)</f>
        <v>1014086</v>
      </c>
      <c r="D681" t="str">
        <f>IFERROR(__xludf.DUMMYFUNCTION("""COMPUTED_VALUE"""),"Ms.")</f>
        <v>Ms.</v>
      </c>
      <c r="E681" t="str">
        <f>IFERROR(__xludf.DUMMYFUNCTION("""COMPUTED_VALUE"""),"Shutimon")</f>
        <v>Shutimon</v>
      </c>
      <c r="F681" t="str">
        <f>IFERROR(__xludf.DUMMYFUNCTION("""COMPUTED_VALUE"""),"Srisanguansakul")</f>
        <v>Srisanguansakul</v>
      </c>
      <c r="G681" t="str">
        <f>IFERROR(__xludf.DUMMYFUNCTION("""COMPUTED_VALUE"""),"Shutimon Srisanguansakul")</f>
        <v>Shutimon Srisanguansakul</v>
      </c>
    </row>
    <row r="682">
      <c r="A682" s="142">
        <f>IFERROR(__xludf.DUMMYFUNCTION("""COMPUTED_VALUE"""),78.0)</f>
        <v>78</v>
      </c>
      <c r="B682" t="str">
        <f>IFERROR(__xludf.DUMMYFUNCTION("""COMPUTED_VALUE"""),"TAA6708")</f>
        <v>TAA6708</v>
      </c>
      <c r="C682">
        <f>IFERROR(__xludf.DUMMYFUNCTION("""COMPUTED_VALUE"""),1014087.0)</f>
        <v>1014087</v>
      </c>
      <c r="D682" t="str">
        <f>IFERROR(__xludf.DUMMYFUNCTION("""COMPUTED_VALUE"""),"Mr.")</f>
        <v>Mr.</v>
      </c>
      <c r="E682" t="str">
        <f>IFERROR(__xludf.DUMMYFUNCTION("""COMPUTED_VALUE"""),"Sirawit")</f>
        <v>Sirawit</v>
      </c>
      <c r="F682" t="str">
        <f>IFERROR(__xludf.DUMMYFUNCTION("""COMPUTED_VALUE"""),"Kamrapit")</f>
        <v>Kamrapit</v>
      </c>
      <c r="G682" t="str">
        <f>IFERROR(__xludf.DUMMYFUNCTION("""COMPUTED_VALUE"""),"Sirawit Kamrapit")</f>
        <v>Sirawit Kamrapit</v>
      </c>
    </row>
    <row r="683">
      <c r="A683" s="142">
        <f>IFERROR(__xludf.DUMMYFUNCTION("""COMPUTED_VALUE"""),78.0)</f>
        <v>78</v>
      </c>
      <c r="B683" t="str">
        <f>IFERROR(__xludf.DUMMYFUNCTION("""COMPUTED_VALUE"""),"TAA6720")</f>
        <v>TAA6720</v>
      </c>
      <c r="C683">
        <f>IFERROR(__xludf.DUMMYFUNCTION("""COMPUTED_VALUE"""),1014088.0)</f>
        <v>1014088</v>
      </c>
      <c r="D683" t="str">
        <f>IFERROR(__xludf.DUMMYFUNCTION("""COMPUTED_VALUE"""),"Ms.")</f>
        <v>Ms.</v>
      </c>
      <c r="E683" t="str">
        <f>IFERROR(__xludf.DUMMYFUNCTION("""COMPUTED_VALUE"""),"Supatchaya")</f>
        <v>Supatchaya</v>
      </c>
      <c r="F683" t="str">
        <f>IFERROR(__xludf.DUMMYFUNCTION("""COMPUTED_VALUE"""),"Buaprasertying")</f>
        <v>Buaprasertying</v>
      </c>
      <c r="G683" t="str">
        <f>IFERROR(__xludf.DUMMYFUNCTION("""COMPUTED_VALUE"""),"Supatchaya Buaprasertying")</f>
        <v>Supatchaya Buaprasertying</v>
      </c>
    </row>
    <row r="684">
      <c r="A684" s="142">
        <f>IFERROR(__xludf.DUMMYFUNCTION("""COMPUTED_VALUE"""),78.0)</f>
        <v>78</v>
      </c>
      <c r="B684" t="str">
        <f>IFERROR(__xludf.DUMMYFUNCTION("""COMPUTED_VALUE"""),"TAA6723")</f>
        <v>TAA6723</v>
      </c>
      <c r="C684">
        <f>IFERROR(__xludf.DUMMYFUNCTION("""COMPUTED_VALUE"""),1014092.0)</f>
        <v>1014092</v>
      </c>
      <c r="D684" t="str">
        <f>IFERROR(__xludf.DUMMYFUNCTION("""COMPUTED_VALUE"""),"Ms.")</f>
        <v>Ms.</v>
      </c>
      <c r="E684" t="str">
        <f>IFERROR(__xludf.DUMMYFUNCTION("""COMPUTED_VALUE"""),"Varatorn")</f>
        <v>Varatorn</v>
      </c>
      <c r="F684" t="str">
        <f>IFERROR(__xludf.DUMMYFUNCTION("""COMPUTED_VALUE"""),"Sitisarn")</f>
        <v>Sitisarn</v>
      </c>
      <c r="G684" t="str">
        <f>IFERROR(__xludf.DUMMYFUNCTION("""COMPUTED_VALUE"""),"Varatorn Sitisarn")</f>
        <v>Varatorn Sitisarn</v>
      </c>
    </row>
    <row r="686">
      <c r="A686" s="142">
        <f>IFERROR(__xludf.DUMMYFUNCTION("""COMPUTED_VALUE"""),79.0)</f>
        <v>79</v>
      </c>
      <c r="B686" t="str">
        <f>IFERROR(__xludf.DUMMYFUNCTION("""COMPUTED_VALUE"""),"TAA3602")</f>
        <v>TAA3602</v>
      </c>
      <c r="C686">
        <f>IFERROR(__xludf.DUMMYFUNCTION("""COMPUTED_VALUE"""),1005434.0)</f>
        <v>1005434</v>
      </c>
      <c r="D686" t="str">
        <f>IFERROR(__xludf.DUMMYFUNCTION("""COMPUTED_VALUE"""),"Ms.")</f>
        <v>Ms.</v>
      </c>
      <c r="E686" t="str">
        <f>IFERROR(__xludf.DUMMYFUNCTION("""COMPUTED_VALUE"""),"Kesinee")</f>
        <v>Kesinee</v>
      </c>
      <c r="F686" t="str">
        <f>IFERROR(__xludf.DUMMYFUNCTION("""COMPUTED_VALUE"""),"Kaewbut")</f>
        <v>Kaewbut</v>
      </c>
      <c r="G686" t="str">
        <f>IFERROR(__xludf.DUMMYFUNCTION("""COMPUTED_VALUE"""),"Kesinee Kaewbut")</f>
        <v>Kesinee Kaewbut</v>
      </c>
    </row>
    <row r="687">
      <c r="A687" s="142">
        <f>IFERROR(__xludf.DUMMYFUNCTION("""COMPUTED_VALUE"""),79.0)</f>
        <v>79</v>
      </c>
      <c r="B687" t="str">
        <f>IFERROR(__xludf.DUMMYFUNCTION("""COMPUTED_VALUE"""),"TAA4429")</f>
        <v>TAA4429</v>
      </c>
      <c r="C687">
        <f>IFERROR(__xludf.DUMMYFUNCTION("""COMPUTED_VALUE"""),1006960.0)</f>
        <v>1006960</v>
      </c>
      <c r="D687" t="str">
        <f>IFERROR(__xludf.DUMMYFUNCTION("""COMPUTED_VALUE"""),"Ms.")</f>
        <v>Ms.</v>
      </c>
      <c r="E687" t="str">
        <f>IFERROR(__xludf.DUMMYFUNCTION("""COMPUTED_VALUE"""),"Natnicha")</f>
        <v>Natnicha</v>
      </c>
      <c r="F687" t="str">
        <f>IFERROR(__xludf.DUMMYFUNCTION("""COMPUTED_VALUE"""),"Chumnuan")</f>
        <v>Chumnuan</v>
      </c>
      <c r="G687" t="str">
        <f>IFERROR(__xludf.DUMMYFUNCTION("""COMPUTED_VALUE"""),"Natnicha Chumnuan")</f>
        <v>Natnicha Chumnuan</v>
      </c>
    </row>
    <row r="688">
      <c r="A688" s="142">
        <f>IFERROR(__xludf.DUMMYFUNCTION("""COMPUTED_VALUE"""),79.0)</f>
        <v>79</v>
      </c>
      <c r="B688" t="str">
        <f>IFERROR(__xludf.DUMMYFUNCTION("""COMPUTED_VALUE"""),"TAA4659")</f>
        <v>TAA4659</v>
      </c>
      <c r="C688">
        <f>IFERROR(__xludf.DUMMYFUNCTION("""COMPUTED_VALUE"""),1007181.0)</f>
        <v>1007181</v>
      </c>
      <c r="D688" t="str">
        <f>IFERROR(__xludf.DUMMYFUNCTION("""COMPUTED_VALUE"""),"Ms.")</f>
        <v>Ms.</v>
      </c>
      <c r="E688" t="str">
        <f>IFERROR(__xludf.DUMMYFUNCTION("""COMPUTED_VALUE"""),"Warisara")</f>
        <v>Warisara</v>
      </c>
      <c r="F688" t="str">
        <f>IFERROR(__xludf.DUMMYFUNCTION("""COMPUTED_VALUE"""),"Sutta")</f>
        <v>Sutta</v>
      </c>
      <c r="G688" t="str">
        <f>IFERROR(__xludf.DUMMYFUNCTION("""COMPUTED_VALUE"""),"Warisara Sutta")</f>
        <v>Warisara Sutta</v>
      </c>
    </row>
    <row r="689">
      <c r="A689" s="142">
        <f>IFERROR(__xludf.DUMMYFUNCTION("""COMPUTED_VALUE"""),79.0)</f>
        <v>79</v>
      </c>
      <c r="B689" t="str">
        <f>IFERROR(__xludf.DUMMYFUNCTION("""COMPUTED_VALUE"""),"TAA6871")</f>
        <v>TAA6871</v>
      </c>
      <c r="C689">
        <f>IFERROR(__xludf.DUMMYFUNCTION("""COMPUTED_VALUE"""),1014308.0)</f>
        <v>1014308</v>
      </c>
      <c r="D689" t="str">
        <f>IFERROR(__xludf.DUMMYFUNCTION("""COMPUTED_VALUE"""),"Ms.")</f>
        <v>Ms.</v>
      </c>
      <c r="E689" t="str">
        <f>IFERROR(__xludf.DUMMYFUNCTION("""COMPUTED_VALUE"""),"Asama")</f>
        <v>Asama</v>
      </c>
      <c r="F689" t="str">
        <f>IFERROR(__xludf.DUMMYFUNCTION("""COMPUTED_VALUE"""),"Thunyavacharakul")</f>
        <v>Thunyavacharakul</v>
      </c>
      <c r="G689" t="str">
        <f>IFERROR(__xludf.DUMMYFUNCTION("""COMPUTED_VALUE"""),"Asama Thunyavacharakul")</f>
        <v>Asama Thunyavacharakul</v>
      </c>
    </row>
    <row r="690">
      <c r="A690" s="142">
        <f>IFERROR(__xludf.DUMMYFUNCTION("""COMPUTED_VALUE"""),79.0)</f>
        <v>79</v>
      </c>
      <c r="B690" t="str">
        <f>IFERROR(__xludf.DUMMYFUNCTION("""COMPUTED_VALUE"""),"TAA6867")</f>
        <v>TAA6867</v>
      </c>
      <c r="C690">
        <f>IFERROR(__xludf.DUMMYFUNCTION("""COMPUTED_VALUE"""),1014312.0)</f>
        <v>1014312</v>
      </c>
      <c r="D690" t="str">
        <f>IFERROR(__xludf.DUMMYFUNCTION("""COMPUTED_VALUE"""),"Ms.")</f>
        <v>Ms.</v>
      </c>
      <c r="E690" t="str">
        <f>IFERROR(__xludf.DUMMYFUNCTION("""COMPUTED_VALUE"""),"Chadaporn")</f>
        <v>Chadaporn</v>
      </c>
      <c r="F690" t="str">
        <f>IFERROR(__xludf.DUMMYFUNCTION("""COMPUTED_VALUE"""),"Pliankham")</f>
        <v>Pliankham</v>
      </c>
      <c r="G690" t="str">
        <f>IFERROR(__xludf.DUMMYFUNCTION("""COMPUTED_VALUE"""),"Chadaporn Pliankham")</f>
        <v>Chadaporn Pliankham</v>
      </c>
    </row>
    <row r="691">
      <c r="A691" s="142">
        <f>IFERROR(__xludf.DUMMYFUNCTION("""COMPUTED_VALUE"""),79.0)</f>
        <v>79</v>
      </c>
      <c r="B691" t="str">
        <f>IFERROR(__xludf.DUMMYFUNCTION("""COMPUTED_VALUE"""),"TAA6864")</f>
        <v>TAA6864</v>
      </c>
      <c r="C691">
        <f>IFERROR(__xludf.DUMMYFUNCTION("""COMPUTED_VALUE"""),1014313.0)</f>
        <v>1014313</v>
      </c>
      <c r="D691" t="str">
        <f>IFERROR(__xludf.DUMMYFUNCTION("""COMPUTED_VALUE"""),"Mr.")</f>
        <v>Mr.</v>
      </c>
      <c r="E691" t="str">
        <f>IFERROR(__xludf.DUMMYFUNCTION("""COMPUTED_VALUE"""),"Chatchon")</f>
        <v>Chatchon</v>
      </c>
      <c r="F691" t="str">
        <f>IFERROR(__xludf.DUMMYFUNCTION("""COMPUTED_VALUE"""),"Kawinkul")</f>
        <v>Kawinkul</v>
      </c>
      <c r="G691" t="str">
        <f>IFERROR(__xludf.DUMMYFUNCTION("""COMPUTED_VALUE"""),"Chatchon Kawinkul")</f>
        <v>Chatchon Kawinkul</v>
      </c>
    </row>
    <row r="692">
      <c r="A692" s="142">
        <f>IFERROR(__xludf.DUMMYFUNCTION("""COMPUTED_VALUE"""),79.0)</f>
        <v>79</v>
      </c>
      <c r="B692" t="str">
        <f>IFERROR(__xludf.DUMMYFUNCTION("""COMPUTED_VALUE"""),"TAA6858")</f>
        <v>TAA6858</v>
      </c>
      <c r="C692">
        <f>IFERROR(__xludf.DUMMYFUNCTION("""COMPUTED_VALUE"""),1014316.0)</f>
        <v>1014316</v>
      </c>
      <c r="D692" t="str">
        <f>IFERROR(__xludf.DUMMYFUNCTION("""COMPUTED_VALUE"""),"Mr.")</f>
        <v>Mr.</v>
      </c>
      <c r="E692" t="str">
        <f>IFERROR(__xludf.DUMMYFUNCTION("""COMPUTED_VALUE"""),"Eakapol")</f>
        <v>Eakapol</v>
      </c>
      <c r="F692" t="str">
        <f>IFERROR(__xludf.DUMMYFUNCTION("""COMPUTED_VALUE"""),"Tuncharoen")</f>
        <v>Tuncharoen</v>
      </c>
      <c r="G692" t="str">
        <f>IFERROR(__xludf.DUMMYFUNCTION("""COMPUTED_VALUE"""),"Eakapol Tuncharoen")</f>
        <v>Eakapol Tuncharoen</v>
      </c>
    </row>
    <row r="693">
      <c r="A693" s="142">
        <f>IFERROR(__xludf.DUMMYFUNCTION("""COMPUTED_VALUE"""),79.0)</f>
        <v>79</v>
      </c>
      <c r="B693" t="str">
        <f>IFERROR(__xludf.DUMMYFUNCTION("""COMPUTED_VALUE"""),"TAA6866")</f>
        <v>TAA6866</v>
      </c>
      <c r="C693">
        <f>IFERROR(__xludf.DUMMYFUNCTION("""COMPUTED_VALUE"""),1014327.0)</f>
        <v>1014327</v>
      </c>
      <c r="D693" t="str">
        <f>IFERROR(__xludf.DUMMYFUNCTION("""COMPUTED_VALUE"""),"Mr.")</f>
        <v>Mr.</v>
      </c>
      <c r="E693" t="str">
        <f>IFERROR(__xludf.DUMMYFUNCTION("""COMPUTED_VALUE"""),"Jirapong")</f>
        <v>Jirapong</v>
      </c>
      <c r="F693" t="str">
        <f>IFERROR(__xludf.DUMMYFUNCTION("""COMPUTED_VALUE"""),"Paisarnsupakit")</f>
        <v>Paisarnsupakit</v>
      </c>
      <c r="G693" t="str">
        <f>IFERROR(__xludf.DUMMYFUNCTION("""COMPUTED_VALUE"""),"Jirapong Paisarnsupakit")</f>
        <v>Jirapong Paisarnsupakit</v>
      </c>
    </row>
    <row r="694">
      <c r="A694" s="142">
        <f>IFERROR(__xludf.DUMMYFUNCTION("""COMPUTED_VALUE"""),79.0)</f>
        <v>79</v>
      </c>
      <c r="B694" t="str">
        <f>IFERROR(__xludf.DUMMYFUNCTION("""COMPUTED_VALUE"""),"TAA6870")</f>
        <v>TAA6870</v>
      </c>
      <c r="C694">
        <f>IFERROR(__xludf.DUMMYFUNCTION("""COMPUTED_VALUE"""),1014329.0)</f>
        <v>1014329</v>
      </c>
      <c r="D694" t="str">
        <f>IFERROR(__xludf.DUMMYFUNCTION("""COMPUTED_VALUE"""),"Ms.")</f>
        <v>Ms.</v>
      </c>
      <c r="E694" t="str">
        <f>IFERROR(__xludf.DUMMYFUNCTION("""COMPUTED_VALUE"""),"Kanicha")</f>
        <v>Kanicha</v>
      </c>
      <c r="F694" t="str">
        <f>IFERROR(__xludf.DUMMYFUNCTION("""COMPUTED_VALUE"""),"Sae-toen")</f>
        <v>Sae-toen</v>
      </c>
      <c r="G694" t="str">
        <f>IFERROR(__xludf.DUMMYFUNCTION("""COMPUTED_VALUE"""),"Kanicha Sae-toen")</f>
        <v>Kanicha Sae-toen</v>
      </c>
    </row>
    <row r="695">
      <c r="A695" s="142">
        <f>IFERROR(__xludf.DUMMYFUNCTION("""COMPUTED_VALUE"""),79.0)</f>
        <v>79</v>
      </c>
      <c r="B695" t="str">
        <f>IFERROR(__xludf.DUMMYFUNCTION("""COMPUTED_VALUE"""),"TAA6860")</f>
        <v>TAA6860</v>
      </c>
      <c r="C695">
        <f>IFERROR(__xludf.DUMMYFUNCTION("""COMPUTED_VALUE"""),1014346.0)</f>
        <v>1014346</v>
      </c>
      <c r="D695" t="str">
        <f>IFERROR(__xludf.DUMMYFUNCTION("""COMPUTED_VALUE"""),"Mr.")</f>
        <v>Mr.</v>
      </c>
      <c r="E695" t="str">
        <f>IFERROR(__xludf.DUMMYFUNCTION("""COMPUTED_VALUE"""),"Narongchai")</f>
        <v>Narongchai</v>
      </c>
      <c r="F695" t="str">
        <f>IFERROR(__xludf.DUMMYFUNCTION("""COMPUTED_VALUE"""),"Mongkolchartthai")</f>
        <v>Mongkolchartthai</v>
      </c>
      <c r="G695" t="str">
        <f>IFERROR(__xludf.DUMMYFUNCTION("""COMPUTED_VALUE"""),"Narongchai Mongkolchartthai")</f>
        <v>Narongchai Mongkolchartthai</v>
      </c>
    </row>
    <row r="696">
      <c r="A696" s="142">
        <f>IFERROR(__xludf.DUMMYFUNCTION("""COMPUTED_VALUE"""),79.0)</f>
        <v>79</v>
      </c>
      <c r="B696" t="str">
        <f>IFERROR(__xludf.DUMMYFUNCTION("""COMPUTED_VALUE"""),"TAA6862")</f>
        <v>TAA6862</v>
      </c>
      <c r="C696">
        <f>IFERROR(__xludf.DUMMYFUNCTION("""COMPUTED_VALUE"""),1014353.0)</f>
        <v>1014353</v>
      </c>
      <c r="D696" t="str">
        <f>IFERROR(__xludf.DUMMYFUNCTION("""COMPUTED_VALUE"""),"Ms.")</f>
        <v>Ms.</v>
      </c>
      <c r="E696" t="str">
        <f>IFERROR(__xludf.DUMMYFUNCTION("""COMPUTED_VALUE"""),"Pornnapat")</f>
        <v>Pornnapat</v>
      </c>
      <c r="F696" t="str">
        <f>IFERROR(__xludf.DUMMYFUNCTION("""COMPUTED_VALUE"""),"Kittimontreechai")</f>
        <v>Kittimontreechai</v>
      </c>
      <c r="G696" t="str">
        <f>IFERROR(__xludf.DUMMYFUNCTION("""COMPUTED_VALUE"""),"Pornnapat Kittimontreechai")</f>
        <v>Pornnapat Kittimontreechai</v>
      </c>
    </row>
    <row r="697">
      <c r="A697" s="142">
        <f>IFERROR(__xludf.DUMMYFUNCTION("""COMPUTED_VALUE"""),79.0)</f>
        <v>79</v>
      </c>
      <c r="B697" t="str">
        <f>IFERROR(__xludf.DUMMYFUNCTION("""COMPUTED_VALUE"""),"TAA6863")</f>
        <v>TAA6863</v>
      </c>
      <c r="C697">
        <f>IFERROR(__xludf.DUMMYFUNCTION("""COMPUTED_VALUE"""),1014359.0)</f>
        <v>1014359</v>
      </c>
      <c r="D697" t="str">
        <f>IFERROR(__xludf.DUMMYFUNCTION("""COMPUTED_VALUE"""),"Ms.")</f>
        <v>Ms.</v>
      </c>
      <c r="E697" t="str">
        <f>IFERROR(__xludf.DUMMYFUNCTION("""COMPUTED_VALUE"""),"Rattiporn")</f>
        <v>Rattiporn</v>
      </c>
      <c r="F697" t="str">
        <f>IFERROR(__xludf.DUMMYFUNCTION("""COMPUTED_VALUE"""),"Thongarch")</f>
        <v>Thongarch</v>
      </c>
      <c r="G697" t="str">
        <f>IFERROR(__xludf.DUMMYFUNCTION("""COMPUTED_VALUE"""),"Rattiporn Thongarch")</f>
        <v>Rattiporn Thongarch</v>
      </c>
    </row>
    <row r="698">
      <c r="A698" s="142">
        <f>IFERROR(__xludf.DUMMYFUNCTION("""COMPUTED_VALUE"""),79.0)</f>
        <v>79</v>
      </c>
      <c r="B698" t="str">
        <f>IFERROR(__xludf.DUMMYFUNCTION("""COMPUTED_VALUE"""),"TAA6859")</f>
        <v>TAA6859</v>
      </c>
      <c r="C698">
        <f>IFERROR(__xludf.DUMMYFUNCTION("""COMPUTED_VALUE"""),1014369.0)</f>
        <v>1014369</v>
      </c>
      <c r="D698" t="str">
        <f>IFERROR(__xludf.DUMMYFUNCTION("""COMPUTED_VALUE"""),"Ms.")</f>
        <v>Ms.</v>
      </c>
      <c r="E698" t="str">
        <f>IFERROR(__xludf.DUMMYFUNCTION("""COMPUTED_VALUE"""),"Tanednit")</f>
        <v>Tanednit</v>
      </c>
      <c r="F698" t="str">
        <f>IFERROR(__xludf.DUMMYFUNCTION("""COMPUTED_VALUE"""),"Thitipichakul")</f>
        <v>Thitipichakul</v>
      </c>
      <c r="G698" t="str">
        <f>IFERROR(__xludf.DUMMYFUNCTION("""COMPUTED_VALUE"""),"Tanednit Thitipichakul")</f>
        <v>Tanednit Thitipichakul</v>
      </c>
    </row>
    <row r="700">
      <c r="A700" s="142">
        <f>IFERROR(__xludf.DUMMYFUNCTION("""COMPUTED_VALUE"""),80.0)</f>
        <v>80</v>
      </c>
      <c r="B700" t="str">
        <f>IFERROR(__xludf.DUMMYFUNCTION("""COMPUTED_VALUE"""),"TAA4168")</f>
        <v>TAA4168</v>
      </c>
      <c r="C700">
        <f>IFERROR(__xludf.DUMMYFUNCTION("""COMPUTED_VALUE"""),1006318.0)</f>
        <v>1006318</v>
      </c>
      <c r="D700" t="str">
        <f>IFERROR(__xludf.DUMMYFUNCTION("""COMPUTED_VALUE"""),"Mr.")</f>
        <v>Mr.</v>
      </c>
      <c r="E700" t="str">
        <f>IFERROR(__xludf.DUMMYFUNCTION("""COMPUTED_VALUE"""),"Kritsada")</f>
        <v>Kritsada</v>
      </c>
      <c r="F700" t="str">
        <f>IFERROR(__xludf.DUMMYFUNCTION("""COMPUTED_VALUE"""),"Tangpriyarak")</f>
        <v>Tangpriyarak</v>
      </c>
      <c r="G700" t="str">
        <f>IFERROR(__xludf.DUMMYFUNCTION("""COMPUTED_VALUE"""),"Kritsada Tangpriyarak")</f>
        <v>Kritsada Tangpriyarak</v>
      </c>
    </row>
    <row r="701">
      <c r="A701" s="142">
        <f>IFERROR(__xludf.DUMMYFUNCTION("""COMPUTED_VALUE"""),80.0)</f>
        <v>80</v>
      </c>
      <c r="B701" t="str">
        <f>IFERROR(__xludf.DUMMYFUNCTION("""COMPUTED_VALUE"""),"TAA7003")</f>
        <v>TAA7003</v>
      </c>
      <c r="C701">
        <f>IFERROR(__xludf.DUMMYFUNCTION("""COMPUTED_VALUE"""),1015083.0)</f>
        <v>1015083</v>
      </c>
      <c r="D701" t="str">
        <f>IFERROR(__xludf.DUMMYFUNCTION("""COMPUTED_VALUE"""),"Ms.")</f>
        <v>Ms.</v>
      </c>
      <c r="E701" t="str">
        <f>IFERROR(__xludf.DUMMYFUNCTION("""COMPUTED_VALUE"""),"Kunyanutt")</f>
        <v>Kunyanutt</v>
      </c>
      <c r="F701" t="str">
        <f>IFERROR(__xludf.DUMMYFUNCTION("""COMPUTED_VALUE"""),"Pongthong")</f>
        <v>Pongthong</v>
      </c>
      <c r="G701" t="str">
        <f>IFERROR(__xludf.DUMMYFUNCTION("""COMPUTED_VALUE"""),"Kunyanutt Pongthong")</f>
        <v>Kunyanutt Pongthong</v>
      </c>
    </row>
    <row r="702">
      <c r="A702" s="142">
        <f>IFERROR(__xludf.DUMMYFUNCTION("""COMPUTED_VALUE"""),80.0)</f>
        <v>80</v>
      </c>
      <c r="B702" t="str">
        <f>IFERROR(__xludf.DUMMYFUNCTION("""COMPUTED_VALUE"""),"TAA7018")</f>
        <v>TAA7018</v>
      </c>
      <c r="C702">
        <f>IFERROR(__xludf.DUMMYFUNCTION("""COMPUTED_VALUE"""),1015087.0)</f>
        <v>1015087</v>
      </c>
      <c r="D702" t="str">
        <f>IFERROR(__xludf.DUMMYFUNCTION("""COMPUTED_VALUE"""),"Ms.")</f>
        <v>Ms.</v>
      </c>
      <c r="E702" t="str">
        <f>IFERROR(__xludf.DUMMYFUNCTION("""COMPUTED_VALUE"""),"Narumon")</f>
        <v>Narumon</v>
      </c>
      <c r="F702" t="str">
        <f>IFERROR(__xludf.DUMMYFUNCTION("""COMPUTED_VALUE"""),"Paungtam")</f>
        <v>Paungtam</v>
      </c>
      <c r="G702" t="str">
        <f>IFERROR(__xludf.DUMMYFUNCTION("""COMPUTED_VALUE"""),"Narumon Paungtam")</f>
        <v>Narumon Paungtam</v>
      </c>
    </row>
    <row r="703">
      <c r="A703" s="142">
        <f>IFERROR(__xludf.DUMMYFUNCTION("""COMPUTED_VALUE"""),80.0)</f>
        <v>80</v>
      </c>
      <c r="B703" t="str">
        <f>IFERROR(__xludf.DUMMYFUNCTION("""COMPUTED_VALUE"""),"TAA7016")</f>
        <v>TAA7016</v>
      </c>
      <c r="C703">
        <f>IFERROR(__xludf.DUMMYFUNCTION("""COMPUTED_VALUE"""),1015091.0)</f>
        <v>1015091</v>
      </c>
      <c r="D703" t="str">
        <f>IFERROR(__xludf.DUMMYFUNCTION("""COMPUTED_VALUE"""),"Ms.")</f>
        <v>Ms.</v>
      </c>
      <c r="E703" t="str">
        <f>IFERROR(__xludf.DUMMYFUNCTION("""COMPUTED_VALUE"""),"Nutpattra")</f>
        <v>Nutpattra</v>
      </c>
      <c r="F703" t="str">
        <f>IFERROR(__xludf.DUMMYFUNCTION("""COMPUTED_VALUE"""),"Kokanutaporn (Thongkaimuk)")</f>
        <v>Kokanutaporn (Thongkaimuk)</v>
      </c>
      <c r="G703" t="str">
        <f>IFERROR(__xludf.DUMMYFUNCTION("""COMPUTED_VALUE"""),"Nutpattra Kokanutaporn ")</f>
        <v>Nutpattra Kokanutaporn </v>
      </c>
    </row>
    <row r="704">
      <c r="A704" s="142">
        <f>IFERROR(__xludf.DUMMYFUNCTION("""COMPUTED_VALUE"""),80.0)</f>
        <v>80</v>
      </c>
      <c r="B704" t="str">
        <f>IFERROR(__xludf.DUMMYFUNCTION("""COMPUTED_VALUE"""),"TAA7011")</f>
        <v>TAA7011</v>
      </c>
      <c r="C704">
        <f>IFERROR(__xludf.DUMMYFUNCTION("""COMPUTED_VALUE"""),1015092.0)</f>
        <v>1015092</v>
      </c>
      <c r="D704" t="str">
        <f>IFERROR(__xludf.DUMMYFUNCTION("""COMPUTED_VALUE"""),"Ms.")</f>
        <v>Ms.</v>
      </c>
      <c r="E704" t="str">
        <f>IFERROR(__xludf.DUMMYFUNCTION("""COMPUTED_VALUE"""),"Phavinee")</f>
        <v>Phavinee</v>
      </c>
      <c r="F704" t="str">
        <f>IFERROR(__xludf.DUMMYFUNCTION("""COMPUTED_VALUE"""),"Sripablhom")</f>
        <v>Sripablhom</v>
      </c>
      <c r="G704" t="str">
        <f>IFERROR(__xludf.DUMMYFUNCTION("""COMPUTED_VALUE"""),"Phavinee Sripablhom")</f>
        <v>Phavinee Sripablhom</v>
      </c>
    </row>
    <row r="705">
      <c r="A705" s="142">
        <f>IFERROR(__xludf.DUMMYFUNCTION("""COMPUTED_VALUE"""),80.0)</f>
        <v>80</v>
      </c>
      <c r="B705" t="str">
        <f>IFERROR(__xludf.DUMMYFUNCTION("""COMPUTED_VALUE"""),"TAA7000")</f>
        <v>TAA7000</v>
      </c>
      <c r="C705">
        <f>IFERROR(__xludf.DUMMYFUNCTION("""COMPUTED_VALUE"""),1015093.0)</f>
        <v>1015093</v>
      </c>
      <c r="D705" t="str">
        <f>IFERROR(__xludf.DUMMYFUNCTION("""COMPUTED_VALUE"""),"Mr.")</f>
        <v>Mr.</v>
      </c>
      <c r="E705" t="str">
        <f>IFERROR(__xludf.DUMMYFUNCTION("""COMPUTED_VALUE"""),"Sampan")</f>
        <v>Sampan</v>
      </c>
      <c r="F705" t="str">
        <f>IFERROR(__xludf.DUMMYFUNCTION("""COMPUTED_VALUE"""),"Simpalipan")</f>
        <v>Simpalipan</v>
      </c>
      <c r="G705" t="str">
        <f>IFERROR(__xludf.DUMMYFUNCTION("""COMPUTED_VALUE"""),"Sampan Simpalipan")</f>
        <v>Sampan Simpalipan</v>
      </c>
    </row>
    <row r="706">
      <c r="A706" s="142">
        <f>IFERROR(__xludf.DUMMYFUNCTION("""COMPUTED_VALUE"""),80.0)</f>
        <v>80</v>
      </c>
      <c r="B706" t="str">
        <f>IFERROR(__xludf.DUMMYFUNCTION("""COMPUTED_VALUE"""),"TAA7008")</f>
        <v>TAA7008</v>
      </c>
      <c r="C706">
        <f>IFERROR(__xludf.DUMMYFUNCTION("""COMPUTED_VALUE"""),1015094.0)</f>
        <v>1015094</v>
      </c>
      <c r="D706" t="str">
        <f>IFERROR(__xludf.DUMMYFUNCTION("""COMPUTED_VALUE"""),"Mr.")</f>
        <v>Mr.</v>
      </c>
      <c r="E706" t="str">
        <f>IFERROR(__xludf.DUMMYFUNCTION("""COMPUTED_VALUE"""),"Thanachai (Pheephat)")</f>
        <v>Thanachai (Pheephat)</v>
      </c>
      <c r="F706" t="str">
        <f>IFERROR(__xludf.DUMMYFUNCTION("""COMPUTED_VALUE"""),"Janjamras")</f>
        <v>Janjamras</v>
      </c>
      <c r="G706" t="str">
        <f>IFERROR(__xludf.DUMMYFUNCTION("""COMPUTED_VALUE"""),"Pheephat Janjamras")</f>
        <v>Pheephat Janjamras</v>
      </c>
    </row>
    <row r="707">
      <c r="A707" s="142">
        <f>IFERROR(__xludf.DUMMYFUNCTION("""COMPUTED_VALUE"""),80.0)</f>
        <v>80</v>
      </c>
      <c r="B707" t="str">
        <f>IFERROR(__xludf.DUMMYFUNCTION("""COMPUTED_VALUE"""),"TAA7019")</f>
        <v>TAA7019</v>
      </c>
      <c r="C707">
        <f>IFERROR(__xludf.DUMMYFUNCTION("""COMPUTED_VALUE"""),1015096.0)</f>
        <v>1015096</v>
      </c>
      <c r="D707" t="str">
        <f>IFERROR(__xludf.DUMMYFUNCTION("""COMPUTED_VALUE"""),"Ms.")</f>
        <v>Ms.</v>
      </c>
      <c r="E707" t="str">
        <f>IFERROR(__xludf.DUMMYFUNCTION("""COMPUTED_VALUE"""),"Thiranart")</f>
        <v>Thiranart</v>
      </c>
      <c r="F707" t="str">
        <f>IFERROR(__xludf.DUMMYFUNCTION("""COMPUTED_VALUE"""),"Ponglongkhum")</f>
        <v>Ponglongkhum</v>
      </c>
      <c r="G707" t="str">
        <f>IFERROR(__xludf.DUMMYFUNCTION("""COMPUTED_VALUE"""),"Thiranart Ponglongkhum")</f>
        <v>Thiranart Ponglongkhum</v>
      </c>
    </row>
    <row r="709">
      <c r="A709" s="142">
        <f>IFERROR(__xludf.DUMMYFUNCTION("""COMPUTED_VALUE"""),81.0)</f>
        <v>81</v>
      </c>
      <c r="B709" t="str">
        <f>IFERROR(__xludf.DUMMYFUNCTION("""COMPUTED_VALUE"""),"TAA7065")</f>
        <v>TAA7065</v>
      </c>
      <c r="C709">
        <f>IFERROR(__xludf.DUMMYFUNCTION("""COMPUTED_VALUE"""),1015391.0)</f>
        <v>1015391</v>
      </c>
      <c r="D709" t="str">
        <f>IFERROR(__xludf.DUMMYFUNCTION("""COMPUTED_VALUE"""),"Ms.")</f>
        <v>Ms.</v>
      </c>
      <c r="E709" t="str">
        <f>IFERROR(__xludf.DUMMYFUNCTION("""COMPUTED_VALUE"""),"CHINTAPA")</f>
        <v>CHINTAPA</v>
      </c>
      <c r="F709" t="str">
        <f>IFERROR(__xludf.DUMMYFUNCTION("""COMPUTED_VALUE"""),"SUKHARN")</f>
        <v>SUKHARN</v>
      </c>
      <c r="G709" t="str">
        <f>IFERROR(__xludf.DUMMYFUNCTION("""COMPUTED_VALUE"""),"Chintapa Sukharn")</f>
        <v>Chintapa Sukharn</v>
      </c>
    </row>
    <row r="710">
      <c r="A710" s="142">
        <f>IFERROR(__xludf.DUMMYFUNCTION("""COMPUTED_VALUE"""),81.0)</f>
        <v>81</v>
      </c>
      <c r="B710" t="str">
        <f>IFERROR(__xludf.DUMMYFUNCTION("""COMPUTED_VALUE"""),"TAA7055")</f>
        <v>TAA7055</v>
      </c>
      <c r="C710">
        <f>IFERROR(__xludf.DUMMYFUNCTION("""COMPUTED_VALUE"""),1015394.0)</f>
        <v>1015394</v>
      </c>
      <c r="D710" t="str">
        <f>IFERROR(__xludf.DUMMYFUNCTION("""COMPUTED_VALUE"""),"Mr.")</f>
        <v>Mr.</v>
      </c>
      <c r="E710" t="str">
        <f>IFERROR(__xludf.DUMMYFUNCTION("""COMPUTED_VALUE"""),"Kawin")</f>
        <v>Kawin</v>
      </c>
      <c r="F710" t="str">
        <f>IFERROR(__xludf.DUMMYFUNCTION("""COMPUTED_VALUE"""),"Panpipat")</f>
        <v>Panpipat</v>
      </c>
      <c r="G710" t="str">
        <f>IFERROR(__xludf.DUMMYFUNCTION("""COMPUTED_VALUE"""),"Kawin Panpipat")</f>
        <v>Kawin Panpipat</v>
      </c>
    </row>
    <row r="711">
      <c r="A711" s="142">
        <f>IFERROR(__xludf.DUMMYFUNCTION("""COMPUTED_VALUE"""),81.0)</f>
        <v>81</v>
      </c>
      <c r="B711" t="str">
        <f>IFERROR(__xludf.DUMMYFUNCTION("""COMPUTED_VALUE"""),"TAA7058")</f>
        <v>TAA7058</v>
      </c>
      <c r="C711">
        <f>IFERROR(__xludf.DUMMYFUNCTION("""COMPUTED_VALUE"""),1015404.0)</f>
        <v>1015404</v>
      </c>
      <c r="D711" t="str">
        <f>IFERROR(__xludf.DUMMYFUNCTION("""COMPUTED_VALUE"""),"Ms.")</f>
        <v>Ms.</v>
      </c>
      <c r="E711" t="str">
        <f>IFERROR(__xludf.DUMMYFUNCTION("""COMPUTED_VALUE"""),"Nutchanart")</f>
        <v>Nutchanart</v>
      </c>
      <c r="F711" t="str">
        <f>IFERROR(__xludf.DUMMYFUNCTION("""COMPUTED_VALUE"""),"Wanmasae")</f>
        <v>Wanmasae</v>
      </c>
      <c r="G711" t="str">
        <f>IFERROR(__xludf.DUMMYFUNCTION("""COMPUTED_VALUE"""),"Nutchanart Wanmasae")</f>
        <v>Nutchanart Wanmasae</v>
      </c>
    </row>
    <row r="712">
      <c r="A712" s="142">
        <f>IFERROR(__xludf.DUMMYFUNCTION("""COMPUTED_VALUE"""),81.0)</f>
        <v>81</v>
      </c>
      <c r="B712" t="str">
        <f>IFERROR(__xludf.DUMMYFUNCTION("""COMPUTED_VALUE"""),"TAA7070")</f>
        <v>TAA7070</v>
      </c>
      <c r="C712">
        <f>IFERROR(__xludf.DUMMYFUNCTION("""COMPUTED_VALUE"""),1015405.0)</f>
        <v>1015405</v>
      </c>
      <c r="D712" t="str">
        <f>IFERROR(__xludf.DUMMYFUNCTION("""COMPUTED_VALUE"""),"Mr.")</f>
        <v>Mr.</v>
      </c>
      <c r="E712" t="str">
        <f>IFERROR(__xludf.DUMMYFUNCTION("""COMPUTED_VALUE"""),"Nuttapon")</f>
        <v>Nuttapon</v>
      </c>
      <c r="F712" t="str">
        <f>IFERROR(__xludf.DUMMYFUNCTION("""COMPUTED_VALUE"""),"Pungjun")</f>
        <v>Pungjun</v>
      </c>
      <c r="G712" t="str">
        <f>IFERROR(__xludf.DUMMYFUNCTION("""COMPUTED_VALUE"""),"Nuttapon Pungjun")</f>
        <v>Nuttapon Pungjun</v>
      </c>
    </row>
    <row r="713">
      <c r="A713" s="142">
        <f>IFERROR(__xludf.DUMMYFUNCTION("""COMPUTED_VALUE"""),81.0)</f>
        <v>81</v>
      </c>
      <c r="B713" t="str">
        <f>IFERROR(__xludf.DUMMYFUNCTION("""COMPUTED_VALUE"""),"TAA7064")</f>
        <v>TAA7064</v>
      </c>
      <c r="C713">
        <f>IFERROR(__xludf.DUMMYFUNCTION("""COMPUTED_VALUE"""),1015406.0)</f>
        <v>1015406</v>
      </c>
      <c r="D713" t="str">
        <f>IFERROR(__xludf.DUMMYFUNCTION("""COMPUTED_VALUE"""),"Mr.")</f>
        <v>Mr.</v>
      </c>
      <c r="E713" t="str">
        <f>IFERROR(__xludf.DUMMYFUNCTION("""COMPUTED_VALUE"""),"Perati")</f>
        <v>Perati</v>
      </c>
      <c r="F713" t="str">
        <f>IFERROR(__xludf.DUMMYFUNCTION("""COMPUTED_VALUE"""),"Ardwong")</f>
        <v>Ardwong</v>
      </c>
      <c r="G713" t="str">
        <f>IFERROR(__xludf.DUMMYFUNCTION("""COMPUTED_VALUE"""),"Perati Ardwong")</f>
        <v>Perati Ardwong</v>
      </c>
    </row>
    <row r="714">
      <c r="A714" s="142">
        <f>IFERROR(__xludf.DUMMYFUNCTION("""COMPUTED_VALUE"""),81.0)</f>
        <v>81</v>
      </c>
      <c r="B714" t="str">
        <f>IFERROR(__xludf.DUMMYFUNCTION("""COMPUTED_VALUE"""),"TAA7057")</f>
        <v>TAA7057</v>
      </c>
      <c r="C714">
        <f>IFERROR(__xludf.DUMMYFUNCTION("""COMPUTED_VALUE"""),1015408.0)</f>
        <v>1015408</v>
      </c>
      <c r="D714" t="str">
        <f>IFERROR(__xludf.DUMMYFUNCTION("""COMPUTED_VALUE"""),"Ms.")</f>
        <v>Ms.</v>
      </c>
      <c r="E714" t="str">
        <f>IFERROR(__xludf.DUMMYFUNCTION("""COMPUTED_VALUE"""),"Pornpimol")</f>
        <v>Pornpimol</v>
      </c>
      <c r="F714" t="str">
        <f>IFERROR(__xludf.DUMMYFUNCTION("""COMPUTED_VALUE"""),"Chorruengsak")</f>
        <v>Chorruengsak</v>
      </c>
      <c r="G714" t="str">
        <f>IFERROR(__xludf.DUMMYFUNCTION("""COMPUTED_VALUE"""),"Pornpimol Chorruengsak")</f>
        <v>Pornpimol Chorruengsak</v>
      </c>
    </row>
    <row r="715">
      <c r="A715" s="142">
        <f>IFERROR(__xludf.DUMMYFUNCTION("""COMPUTED_VALUE"""),81.0)</f>
        <v>81</v>
      </c>
      <c r="B715" t="str">
        <f>IFERROR(__xludf.DUMMYFUNCTION("""COMPUTED_VALUE"""),"TAA7056")</f>
        <v>TAA7056</v>
      </c>
      <c r="C715">
        <f>IFERROR(__xludf.DUMMYFUNCTION("""COMPUTED_VALUE"""),1015412.0)</f>
        <v>1015412</v>
      </c>
      <c r="D715" t="str">
        <f>IFERROR(__xludf.DUMMYFUNCTION("""COMPUTED_VALUE"""),"Mr.")</f>
        <v>Mr.</v>
      </c>
      <c r="E715" t="str">
        <f>IFERROR(__xludf.DUMMYFUNCTION("""COMPUTED_VALUE"""),"Sitthiphath")</f>
        <v>Sitthiphath</v>
      </c>
      <c r="F715" t="str">
        <f>IFERROR(__xludf.DUMMYFUNCTION("""COMPUTED_VALUE"""),"Ratanaborvornsethi")</f>
        <v>Ratanaborvornsethi</v>
      </c>
      <c r="G715" t="str">
        <f>IFERROR(__xludf.DUMMYFUNCTION("""COMPUTED_VALUE"""),"Sitthiphath Ratanaborvornsethi")</f>
        <v>Sitthiphath Ratanaborvornsethi</v>
      </c>
    </row>
    <row r="716">
      <c r="A716" s="142">
        <f>IFERROR(__xludf.DUMMYFUNCTION("""COMPUTED_VALUE"""),81.0)</f>
        <v>81</v>
      </c>
      <c r="B716" t="str">
        <f>IFERROR(__xludf.DUMMYFUNCTION("""COMPUTED_VALUE"""),"TAA7071")</f>
        <v>TAA7071</v>
      </c>
      <c r="C716">
        <f>IFERROR(__xludf.DUMMYFUNCTION("""COMPUTED_VALUE"""),1015414.0)</f>
        <v>1015414</v>
      </c>
      <c r="D716" t="str">
        <f>IFERROR(__xludf.DUMMYFUNCTION("""COMPUTED_VALUE"""),"Mr.")</f>
        <v>Mr.</v>
      </c>
      <c r="E716" t="str">
        <f>IFERROR(__xludf.DUMMYFUNCTION("""COMPUTED_VALUE"""),"TARADOL")</f>
        <v>TARADOL</v>
      </c>
      <c r="F716" t="str">
        <f>IFERROR(__xludf.DUMMYFUNCTION("""COMPUTED_VALUE"""),"POOMSAWANG")</f>
        <v>POOMSAWANG</v>
      </c>
      <c r="G716" t="str">
        <f>IFERROR(__xludf.DUMMYFUNCTION("""COMPUTED_VALUE"""),"TARADOL POOMSAWANG")</f>
        <v>TARADOL POOMSAWANG</v>
      </c>
    </row>
    <row r="718">
      <c r="A718" s="142">
        <f>IFERROR(__xludf.DUMMYFUNCTION("""COMPUTED_VALUE"""),82.0)</f>
        <v>82</v>
      </c>
      <c r="B718" t="str">
        <f>IFERROR(__xludf.DUMMYFUNCTION("""COMPUTED_VALUE"""),"TAA7089")</f>
        <v>TAA7089</v>
      </c>
      <c r="C718">
        <f>IFERROR(__xludf.DUMMYFUNCTION("""COMPUTED_VALUE"""),1014656.0)</f>
        <v>1014656</v>
      </c>
      <c r="D718" t="str">
        <f>IFERROR(__xludf.DUMMYFUNCTION("""COMPUTED_VALUE"""),"Ms.")</f>
        <v>Ms.</v>
      </c>
      <c r="E718" t="str">
        <f>IFERROR(__xludf.DUMMYFUNCTION("""COMPUTED_VALUE"""),"Chanisa")</f>
        <v>Chanisa</v>
      </c>
      <c r="F718" t="str">
        <f>IFERROR(__xludf.DUMMYFUNCTION("""COMPUTED_VALUE"""),"Kongthaisereekul")</f>
        <v>Kongthaisereekul</v>
      </c>
      <c r="G718" t="str">
        <f>IFERROR(__xludf.DUMMYFUNCTION("""COMPUTED_VALUE"""),"Chanisa Kongthaisereekul")</f>
        <v>Chanisa Kongthaisereekul</v>
      </c>
    </row>
    <row r="719">
      <c r="A719" s="142">
        <f>IFERROR(__xludf.DUMMYFUNCTION("""COMPUTED_VALUE"""),82.0)</f>
        <v>82</v>
      </c>
      <c r="B719" t="str">
        <f>IFERROR(__xludf.DUMMYFUNCTION("""COMPUTED_VALUE"""),"TAA7084")</f>
        <v>TAA7084</v>
      </c>
      <c r="C719">
        <f>IFERROR(__xludf.DUMMYFUNCTION("""COMPUTED_VALUE"""),1014662.0)</f>
        <v>1014662</v>
      </c>
      <c r="D719" t="str">
        <f>IFERROR(__xludf.DUMMYFUNCTION("""COMPUTED_VALUE"""),"Ms.")</f>
        <v>Ms.</v>
      </c>
      <c r="E719" t="str">
        <f>IFERROR(__xludf.DUMMYFUNCTION("""COMPUTED_VALUE"""),"Duangkamon")</f>
        <v>Duangkamon</v>
      </c>
      <c r="F719" t="str">
        <f>IFERROR(__xludf.DUMMYFUNCTION("""COMPUTED_VALUE"""),"Wongjareanyong")</f>
        <v>Wongjareanyong</v>
      </c>
      <c r="G719" t="str">
        <f>IFERROR(__xludf.DUMMYFUNCTION("""COMPUTED_VALUE"""),"Duangkamon Wongjareanyong")</f>
        <v>Duangkamon Wongjareanyong</v>
      </c>
    </row>
    <row r="720">
      <c r="A720" s="142">
        <f>IFERROR(__xludf.DUMMYFUNCTION("""COMPUTED_VALUE"""),82.0)</f>
        <v>82</v>
      </c>
      <c r="B720" t="str">
        <f>IFERROR(__xludf.DUMMYFUNCTION("""COMPUTED_VALUE"""),"TAA7093")</f>
        <v>TAA7093</v>
      </c>
      <c r="C720">
        <f>IFERROR(__xludf.DUMMYFUNCTION("""COMPUTED_VALUE"""),1014664.0)</f>
        <v>1014664</v>
      </c>
      <c r="D720" t="str">
        <f>IFERROR(__xludf.DUMMYFUNCTION("""COMPUTED_VALUE"""),"Ms.")</f>
        <v>Ms.</v>
      </c>
      <c r="E720" t="str">
        <f>IFERROR(__xludf.DUMMYFUNCTION("""COMPUTED_VALUE"""),"Grittaya")</f>
        <v>Grittaya</v>
      </c>
      <c r="F720" t="str">
        <f>IFERROR(__xludf.DUMMYFUNCTION("""COMPUTED_VALUE"""),"Yotharos")</f>
        <v>Yotharos</v>
      </c>
      <c r="G720" t="str">
        <f>IFERROR(__xludf.DUMMYFUNCTION("""COMPUTED_VALUE"""),"Grittaya Yotharos")</f>
        <v>Grittaya Yotharos</v>
      </c>
    </row>
    <row r="721">
      <c r="A721" s="142">
        <f>IFERROR(__xludf.DUMMYFUNCTION("""COMPUTED_VALUE"""),82.0)</f>
        <v>82</v>
      </c>
      <c r="B721" t="str">
        <f>IFERROR(__xludf.DUMMYFUNCTION("""COMPUTED_VALUE"""),"TAA7098")</f>
        <v>TAA7098</v>
      </c>
      <c r="C721">
        <f>IFERROR(__xludf.DUMMYFUNCTION("""COMPUTED_VALUE"""),1014665.0)</f>
        <v>1014665</v>
      </c>
      <c r="D721" t="str">
        <f>IFERROR(__xludf.DUMMYFUNCTION("""COMPUTED_VALUE"""),"Ms.")</f>
        <v>Ms.</v>
      </c>
      <c r="E721" t="str">
        <f>IFERROR(__xludf.DUMMYFUNCTION("""COMPUTED_VALUE"""),"Jaruwan")</f>
        <v>Jaruwan</v>
      </c>
      <c r="F721" t="str">
        <f>IFERROR(__xludf.DUMMYFUNCTION("""COMPUTED_VALUE"""),"Charoenratanapirom")</f>
        <v>Charoenratanapirom</v>
      </c>
      <c r="G721" t="str">
        <f>IFERROR(__xludf.DUMMYFUNCTION("""COMPUTED_VALUE"""),"Jaruwan Charoenratanapirom")</f>
        <v>Jaruwan Charoenratanapirom</v>
      </c>
    </row>
    <row r="722">
      <c r="A722" s="142">
        <f>IFERROR(__xludf.DUMMYFUNCTION("""COMPUTED_VALUE"""),82.0)</f>
        <v>82</v>
      </c>
      <c r="B722" t="str">
        <f>IFERROR(__xludf.DUMMYFUNCTION("""COMPUTED_VALUE"""),"TAA7078")</f>
        <v>TAA7078</v>
      </c>
      <c r="C722">
        <f>IFERROR(__xludf.DUMMYFUNCTION("""COMPUTED_VALUE"""),1014666.0)</f>
        <v>1014666</v>
      </c>
      <c r="D722" t="str">
        <f>IFERROR(__xludf.DUMMYFUNCTION("""COMPUTED_VALUE"""),"Mr.")</f>
        <v>Mr.</v>
      </c>
      <c r="E722" t="str">
        <f>IFERROR(__xludf.DUMMYFUNCTION("""COMPUTED_VALUE"""),"Kanatsanan")</f>
        <v>Kanatsanan</v>
      </c>
      <c r="F722" t="str">
        <f>IFERROR(__xludf.DUMMYFUNCTION("""COMPUTED_VALUE"""),"Wichitthararak")</f>
        <v>Wichitthararak</v>
      </c>
      <c r="G722" t="str">
        <f>IFERROR(__xludf.DUMMYFUNCTION("""COMPUTED_VALUE"""),"Kanatsanan Wichitthararak")</f>
        <v>Kanatsanan Wichitthararak</v>
      </c>
    </row>
    <row r="723">
      <c r="A723" s="142">
        <f>IFERROR(__xludf.DUMMYFUNCTION("""COMPUTED_VALUE"""),82.0)</f>
        <v>82</v>
      </c>
      <c r="B723" t="str">
        <f>IFERROR(__xludf.DUMMYFUNCTION("""COMPUTED_VALUE"""),"TAA7095")</f>
        <v>TAA7095</v>
      </c>
      <c r="C723">
        <f>IFERROR(__xludf.DUMMYFUNCTION("""COMPUTED_VALUE"""),1014669.0)</f>
        <v>1014669</v>
      </c>
      <c r="D723" t="str">
        <f>IFERROR(__xludf.DUMMYFUNCTION("""COMPUTED_VALUE"""),"Ms.")</f>
        <v>Ms.</v>
      </c>
      <c r="E723" t="str">
        <f>IFERROR(__xludf.DUMMYFUNCTION("""COMPUTED_VALUE"""),"Kodchaporn")</f>
        <v>Kodchaporn</v>
      </c>
      <c r="F723" t="str">
        <f>IFERROR(__xludf.DUMMYFUNCTION("""COMPUTED_VALUE"""),"Thanpaisan")</f>
        <v>Thanpaisan</v>
      </c>
      <c r="G723" t="str">
        <f>IFERROR(__xludf.DUMMYFUNCTION("""COMPUTED_VALUE"""),"Kodchaporn Thanpaisan")</f>
        <v>Kodchaporn Thanpaisan</v>
      </c>
    </row>
    <row r="724">
      <c r="A724" s="142">
        <f>IFERROR(__xludf.DUMMYFUNCTION("""COMPUTED_VALUE"""),82.0)</f>
        <v>82</v>
      </c>
      <c r="B724" t="str">
        <f>IFERROR(__xludf.DUMMYFUNCTION("""COMPUTED_VALUE"""),"TAA7086")</f>
        <v>TAA7086</v>
      </c>
      <c r="C724">
        <f>IFERROR(__xludf.DUMMYFUNCTION("""COMPUTED_VALUE"""),1014670.0)</f>
        <v>1014670</v>
      </c>
      <c r="D724" t="str">
        <f>IFERROR(__xludf.DUMMYFUNCTION("""COMPUTED_VALUE"""),"Ms.")</f>
        <v>Ms.</v>
      </c>
      <c r="E724" t="str">
        <f>IFERROR(__xludf.DUMMYFUNCTION("""COMPUTED_VALUE"""),"Napapat (Chalupat)")</f>
        <v>Napapat (Chalupat)</v>
      </c>
      <c r="F724" t="str">
        <f>IFERROR(__xludf.DUMMYFUNCTION("""COMPUTED_VALUE"""),"Suwannawong")</f>
        <v>Suwannawong</v>
      </c>
      <c r="G724" t="str">
        <f>IFERROR(__xludf.DUMMYFUNCTION("""COMPUTED_VALUE"""),"Napapat Suwannawong")</f>
        <v>Napapat Suwannawong</v>
      </c>
    </row>
    <row r="725">
      <c r="A725" s="142">
        <f>IFERROR(__xludf.DUMMYFUNCTION("""COMPUTED_VALUE"""),82.0)</f>
        <v>82</v>
      </c>
      <c r="B725" t="str">
        <f>IFERROR(__xludf.DUMMYFUNCTION("""COMPUTED_VALUE"""),"TAA7087")</f>
        <v>TAA7087</v>
      </c>
      <c r="C725">
        <f>IFERROR(__xludf.DUMMYFUNCTION("""COMPUTED_VALUE"""),1014671.0)</f>
        <v>1014671</v>
      </c>
      <c r="D725" t="str">
        <f>IFERROR(__xludf.DUMMYFUNCTION("""COMPUTED_VALUE"""),"Ms.")</f>
        <v>Ms.</v>
      </c>
      <c r="E725" t="str">
        <f>IFERROR(__xludf.DUMMYFUNCTION("""COMPUTED_VALUE"""),"Nattawalai")</f>
        <v>Nattawalai</v>
      </c>
      <c r="F725" t="str">
        <f>IFERROR(__xludf.DUMMYFUNCTION("""COMPUTED_VALUE"""),"Buranaphatthana")</f>
        <v>Buranaphatthana</v>
      </c>
      <c r="G725" t="str">
        <f>IFERROR(__xludf.DUMMYFUNCTION("""COMPUTED_VALUE"""),"Nattawalai Buranaphatthana")</f>
        <v>Nattawalai Buranaphatthana</v>
      </c>
    </row>
    <row r="726">
      <c r="A726" s="142">
        <f>IFERROR(__xludf.DUMMYFUNCTION("""COMPUTED_VALUE"""),82.0)</f>
        <v>82</v>
      </c>
      <c r="B726" t="str">
        <f>IFERROR(__xludf.DUMMYFUNCTION("""COMPUTED_VALUE"""),"TAA7083")</f>
        <v>TAA7083</v>
      </c>
      <c r="C726">
        <f>IFERROR(__xludf.DUMMYFUNCTION("""COMPUTED_VALUE"""),1014672.0)</f>
        <v>1014672</v>
      </c>
      <c r="D726" t="str">
        <f>IFERROR(__xludf.DUMMYFUNCTION("""COMPUTED_VALUE"""),"Mr.")</f>
        <v>Mr.</v>
      </c>
      <c r="E726" t="str">
        <f>IFERROR(__xludf.DUMMYFUNCTION("""COMPUTED_VALUE"""),"Parinya")</f>
        <v>Parinya</v>
      </c>
      <c r="F726" t="str">
        <f>IFERROR(__xludf.DUMMYFUNCTION("""COMPUTED_VALUE"""),"Khumruk")</f>
        <v>Khumruk</v>
      </c>
      <c r="G726" t="str">
        <f>IFERROR(__xludf.DUMMYFUNCTION("""COMPUTED_VALUE"""),"Parinya Khumruk")</f>
        <v>Parinya Khumruk</v>
      </c>
    </row>
    <row r="727">
      <c r="A727" s="142">
        <f>IFERROR(__xludf.DUMMYFUNCTION("""COMPUTED_VALUE"""),82.0)</f>
        <v>82</v>
      </c>
      <c r="B727" t="str">
        <f>IFERROR(__xludf.DUMMYFUNCTION("""COMPUTED_VALUE"""),"TAA7081")</f>
        <v>TAA7081</v>
      </c>
      <c r="C727">
        <f>IFERROR(__xludf.DUMMYFUNCTION("""COMPUTED_VALUE"""),1014673.0)</f>
        <v>1014673</v>
      </c>
      <c r="D727" t="str">
        <f>IFERROR(__xludf.DUMMYFUNCTION("""COMPUTED_VALUE"""),"Ms.")</f>
        <v>Ms.</v>
      </c>
      <c r="E727" t="str">
        <f>IFERROR(__xludf.DUMMYFUNCTION("""COMPUTED_VALUE"""),"Pim")</f>
        <v>Pim</v>
      </c>
      <c r="F727" t="str">
        <f>IFERROR(__xludf.DUMMYFUNCTION("""COMPUTED_VALUE"""),"Thitichaitawat")</f>
        <v>Thitichaitawat</v>
      </c>
      <c r="G727" t="str">
        <f>IFERROR(__xludf.DUMMYFUNCTION("""COMPUTED_VALUE"""),"Pim Thitichaitawat")</f>
        <v>Pim Thitichaitawat</v>
      </c>
    </row>
    <row r="728">
      <c r="A728" s="142">
        <f>IFERROR(__xludf.DUMMYFUNCTION("""COMPUTED_VALUE"""),82.0)</f>
        <v>82</v>
      </c>
      <c r="B728" t="str">
        <f>IFERROR(__xludf.DUMMYFUNCTION("""COMPUTED_VALUE"""),"TAA7077")</f>
        <v>TAA7077</v>
      </c>
      <c r="C728">
        <f>IFERROR(__xludf.DUMMYFUNCTION("""COMPUTED_VALUE"""),1014675.0)</f>
        <v>1014675</v>
      </c>
      <c r="D728" t="str">
        <f>IFERROR(__xludf.DUMMYFUNCTION("""COMPUTED_VALUE"""),"Ms.")</f>
        <v>Ms.</v>
      </c>
      <c r="E728" t="str">
        <f>IFERROR(__xludf.DUMMYFUNCTION("""COMPUTED_VALUE"""),"SARANYA")</f>
        <v>SARANYA</v>
      </c>
      <c r="F728" t="str">
        <f>IFERROR(__xludf.DUMMYFUNCTION("""COMPUTED_VALUE"""),"AMLEE")</f>
        <v>AMLEE</v>
      </c>
      <c r="G728" t="str">
        <f>IFERROR(__xludf.DUMMYFUNCTION("""COMPUTED_VALUE"""),"Saranya Amlee")</f>
        <v>Saranya Amlee</v>
      </c>
    </row>
    <row r="729">
      <c r="A729" s="142">
        <f>IFERROR(__xludf.DUMMYFUNCTION("""COMPUTED_VALUE"""),82.0)</f>
        <v>82</v>
      </c>
      <c r="B729" t="str">
        <f>IFERROR(__xludf.DUMMYFUNCTION("""COMPUTED_VALUE"""),"TAA7092")</f>
        <v>TAA7092</v>
      </c>
      <c r="C729">
        <f>IFERROR(__xludf.DUMMYFUNCTION("""COMPUTED_VALUE"""),1014676.0)</f>
        <v>1014676</v>
      </c>
      <c r="D729" t="str">
        <f>IFERROR(__xludf.DUMMYFUNCTION("""COMPUTED_VALUE"""),"Ms.")</f>
        <v>Ms.</v>
      </c>
      <c r="E729" t="str">
        <f>IFERROR(__xludf.DUMMYFUNCTION("""COMPUTED_VALUE"""),"Sowikorn")</f>
        <v>Sowikorn</v>
      </c>
      <c r="F729" t="str">
        <f>IFERROR(__xludf.DUMMYFUNCTION("""COMPUTED_VALUE"""),"Chomchuen")</f>
        <v>Chomchuen</v>
      </c>
      <c r="G729" t="str">
        <f>IFERROR(__xludf.DUMMYFUNCTION("""COMPUTED_VALUE"""),"Sowikorn Chomchuen")</f>
        <v>Sowikorn Chomchuen</v>
      </c>
    </row>
    <row r="730">
      <c r="A730" s="142">
        <f>IFERROR(__xludf.DUMMYFUNCTION("""COMPUTED_VALUE"""),82.0)</f>
        <v>82</v>
      </c>
      <c r="B730" t="str">
        <f>IFERROR(__xludf.DUMMYFUNCTION("""COMPUTED_VALUE"""),"TAA7079")</f>
        <v>TAA7079</v>
      </c>
      <c r="C730">
        <f>IFERROR(__xludf.DUMMYFUNCTION("""COMPUTED_VALUE"""),1014678.0)</f>
        <v>1014678</v>
      </c>
      <c r="D730" t="str">
        <f>IFERROR(__xludf.DUMMYFUNCTION("""COMPUTED_VALUE"""),"Mr.")</f>
        <v>Mr.</v>
      </c>
      <c r="E730" t="str">
        <f>IFERROR(__xludf.DUMMYFUNCTION("""COMPUTED_VALUE"""),"supapong")</f>
        <v>supapong</v>
      </c>
      <c r="F730" t="str">
        <f>IFERROR(__xludf.DUMMYFUNCTION("""COMPUTED_VALUE"""),"kwanon")</f>
        <v>kwanon</v>
      </c>
      <c r="G730" t="str">
        <f>IFERROR(__xludf.DUMMYFUNCTION("""COMPUTED_VALUE"""),"Supapong Kwanon")</f>
        <v>Supapong Kwanon</v>
      </c>
    </row>
    <row r="731">
      <c r="A731" s="142">
        <f>IFERROR(__xludf.DUMMYFUNCTION("""COMPUTED_VALUE"""),82.0)</f>
        <v>82</v>
      </c>
      <c r="B731" t="str">
        <f>IFERROR(__xludf.DUMMYFUNCTION("""COMPUTED_VALUE"""),"TAA7100")</f>
        <v>TAA7100</v>
      </c>
      <c r="C731">
        <f>IFERROR(__xludf.DUMMYFUNCTION("""COMPUTED_VALUE"""),1014679.0)</f>
        <v>1014679</v>
      </c>
      <c r="D731" t="str">
        <f>IFERROR(__xludf.DUMMYFUNCTION("""COMPUTED_VALUE"""),"Ms.")</f>
        <v>Ms.</v>
      </c>
      <c r="E731" t="str">
        <f>IFERROR(__xludf.DUMMYFUNCTION("""COMPUTED_VALUE"""),"Raiya (Suraiya)")</f>
        <v>Raiya (Suraiya)</v>
      </c>
      <c r="F731" t="str">
        <f>IFERROR(__xludf.DUMMYFUNCTION("""COMPUTED_VALUE"""),"Wattanapong (Wanprarat)")</f>
        <v>Wattanapong (Wanprarat)</v>
      </c>
      <c r="G731" t="str">
        <f>IFERROR(__xludf.DUMMYFUNCTION("""COMPUTED_VALUE"""),"Raiya Wattanapong")</f>
        <v>Raiya Wattanapong</v>
      </c>
    </row>
    <row r="732">
      <c r="A732" s="142">
        <f>IFERROR(__xludf.DUMMYFUNCTION("""COMPUTED_VALUE"""),82.0)</f>
        <v>82</v>
      </c>
      <c r="B732" t="str">
        <f>IFERROR(__xludf.DUMMYFUNCTION("""COMPUTED_VALUE"""),"TAA7096")</f>
        <v>TAA7096</v>
      </c>
      <c r="C732">
        <f>IFERROR(__xludf.DUMMYFUNCTION("""COMPUTED_VALUE"""),1014680.0)</f>
        <v>1014680</v>
      </c>
      <c r="D732" t="str">
        <f>IFERROR(__xludf.DUMMYFUNCTION("""COMPUTED_VALUE"""),"Ms.")</f>
        <v>Ms.</v>
      </c>
      <c r="E732" t="str">
        <f>IFERROR(__xludf.DUMMYFUNCTION("""COMPUTED_VALUE"""),"Sutaros")</f>
        <v>Sutaros</v>
      </c>
      <c r="F732" t="str">
        <f>IFERROR(__xludf.DUMMYFUNCTION("""COMPUTED_VALUE"""),"Lompoonsuk")</f>
        <v>Lompoonsuk</v>
      </c>
      <c r="G732" t="str">
        <f>IFERROR(__xludf.DUMMYFUNCTION("""COMPUTED_VALUE"""),"Sutaros Lompoonsuk")</f>
        <v>Sutaros Lompoonsuk</v>
      </c>
    </row>
    <row r="733">
      <c r="A733" s="142">
        <f>IFERROR(__xludf.DUMMYFUNCTION("""COMPUTED_VALUE"""),82.0)</f>
        <v>82</v>
      </c>
      <c r="B733" t="str">
        <f>IFERROR(__xludf.DUMMYFUNCTION("""COMPUTED_VALUE"""),"TAA7091")</f>
        <v>TAA7091</v>
      </c>
      <c r="C733">
        <f>IFERROR(__xludf.DUMMYFUNCTION("""COMPUTED_VALUE"""),1014682.0)</f>
        <v>1014682</v>
      </c>
      <c r="D733" t="str">
        <f>IFERROR(__xludf.DUMMYFUNCTION("""COMPUTED_VALUE"""),"Mr.")</f>
        <v>Mr.</v>
      </c>
      <c r="E733" t="str">
        <f>IFERROR(__xludf.DUMMYFUNCTION("""COMPUTED_VALUE"""),"Thakorn")</f>
        <v>Thakorn</v>
      </c>
      <c r="F733" t="str">
        <f>IFERROR(__xludf.DUMMYFUNCTION("""COMPUTED_VALUE"""),"Angkananuchat")</f>
        <v>Angkananuchat</v>
      </c>
      <c r="G733" t="str">
        <f>IFERROR(__xludf.DUMMYFUNCTION("""COMPUTED_VALUE"""),"Thakorn Angkananuchat")</f>
        <v>Thakorn Angkananuchat</v>
      </c>
    </row>
    <row r="734">
      <c r="A734" s="142">
        <f>IFERROR(__xludf.DUMMYFUNCTION("""COMPUTED_VALUE"""),82.0)</f>
        <v>82</v>
      </c>
      <c r="B734" t="str">
        <f>IFERROR(__xludf.DUMMYFUNCTION("""COMPUTED_VALUE"""),"TAA7080")</f>
        <v>TAA7080</v>
      </c>
      <c r="C734">
        <f>IFERROR(__xludf.DUMMYFUNCTION("""COMPUTED_VALUE"""),1014683.0)</f>
        <v>1014683</v>
      </c>
      <c r="D734" t="str">
        <f>IFERROR(__xludf.DUMMYFUNCTION("""COMPUTED_VALUE"""),"Mr.")</f>
        <v>Mr.</v>
      </c>
      <c r="E734" t="str">
        <f>IFERROR(__xludf.DUMMYFUNCTION("""COMPUTED_VALUE"""),"Trin")</f>
        <v>Trin</v>
      </c>
      <c r="F734" t="str">
        <f>IFERROR(__xludf.DUMMYFUNCTION("""COMPUTED_VALUE"""),"Supredanuwat")</f>
        <v>Supredanuwat</v>
      </c>
      <c r="G734" t="str">
        <f>IFERROR(__xludf.DUMMYFUNCTION("""COMPUTED_VALUE"""),"Trin Supredanuwat")</f>
        <v>Trin Supredanuwat</v>
      </c>
    </row>
    <row r="735">
      <c r="A735" s="142">
        <f>IFERROR(__xludf.DUMMYFUNCTION("""COMPUTED_VALUE"""),82.0)</f>
        <v>82</v>
      </c>
      <c r="B735" t="str">
        <f>IFERROR(__xludf.DUMMYFUNCTION("""COMPUTED_VALUE"""),"TAA7076")</f>
        <v>TAA7076</v>
      </c>
      <c r="C735">
        <f>IFERROR(__xludf.DUMMYFUNCTION("""COMPUTED_VALUE"""),1014684.0)</f>
        <v>1014684</v>
      </c>
      <c r="D735" t="str">
        <f>IFERROR(__xludf.DUMMYFUNCTION("""COMPUTED_VALUE"""),"Ms.")</f>
        <v>Ms.</v>
      </c>
      <c r="E735" t="str">
        <f>IFERROR(__xludf.DUMMYFUNCTION("""COMPUTED_VALUE"""),"Vanprae")</f>
        <v>Vanprae</v>
      </c>
      <c r="F735" t="str">
        <f>IFERROR(__xludf.DUMMYFUNCTION("""COMPUTED_VALUE"""),"Thipmanee")</f>
        <v>Thipmanee</v>
      </c>
      <c r="G735" t="str">
        <f>IFERROR(__xludf.DUMMYFUNCTION("""COMPUTED_VALUE"""),"Vanprae Thipmanee")</f>
        <v>Vanprae Thipmanee</v>
      </c>
    </row>
    <row r="736">
      <c r="A736" s="142">
        <f>IFERROR(__xludf.DUMMYFUNCTION("""COMPUTED_VALUE"""),82.0)</f>
        <v>82</v>
      </c>
      <c r="B736" t="str">
        <f>IFERROR(__xludf.DUMMYFUNCTION("""COMPUTED_VALUE"""),"TAA7073")</f>
        <v>TAA7073</v>
      </c>
      <c r="C736">
        <f>IFERROR(__xludf.DUMMYFUNCTION("""COMPUTED_VALUE"""),1014685.0)</f>
        <v>1014685</v>
      </c>
      <c r="D736" t="str">
        <f>IFERROR(__xludf.DUMMYFUNCTION("""COMPUTED_VALUE"""),"Ms.")</f>
        <v>Ms.</v>
      </c>
      <c r="E736" t="str">
        <f>IFERROR(__xludf.DUMMYFUNCTION("""COMPUTED_VALUE"""),"Varalak")</f>
        <v>Varalak</v>
      </c>
      <c r="F736" t="str">
        <f>IFERROR(__xludf.DUMMYFUNCTION("""COMPUTED_VALUE"""),"Sriyaranya (Pattaveedanan)")</f>
        <v>Sriyaranya (Pattaveedanan)</v>
      </c>
      <c r="G736" t="str">
        <f>IFERROR(__xludf.DUMMYFUNCTION("""COMPUTED_VALUE"""),"Varalak Sriyaranya")</f>
        <v>Varalak Sriyaranya</v>
      </c>
    </row>
    <row r="737">
      <c r="A737" s="142">
        <f>IFERROR(__xludf.DUMMYFUNCTION("""COMPUTED_VALUE"""),82.0)</f>
        <v>82</v>
      </c>
      <c r="B737" t="str">
        <f>IFERROR(__xludf.DUMMYFUNCTION("""COMPUTED_VALUE"""),"TAA7094")</f>
        <v>TAA7094</v>
      </c>
      <c r="C737">
        <f>IFERROR(__xludf.DUMMYFUNCTION("""COMPUTED_VALUE"""),1014686.0)</f>
        <v>1014686</v>
      </c>
      <c r="D737" t="str">
        <f>IFERROR(__xludf.DUMMYFUNCTION("""COMPUTED_VALUE"""),"Ms.")</f>
        <v>Ms.</v>
      </c>
      <c r="E737" t="str">
        <f>IFERROR(__xludf.DUMMYFUNCTION("""COMPUTED_VALUE"""),"Varissara")</f>
        <v>Varissara</v>
      </c>
      <c r="F737" t="str">
        <f>IFERROR(__xludf.DUMMYFUNCTION("""COMPUTED_VALUE"""),"Rattana")</f>
        <v>Rattana</v>
      </c>
      <c r="G737" t="str">
        <f>IFERROR(__xludf.DUMMYFUNCTION("""COMPUTED_VALUE"""),"Varissara Rattana")</f>
        <v>Varissara Rattana</v>
      </c>
    </row>
    <row r="738">
      <c r="A738" s="142">
        <f>IFERROR(__xludf.DUMMYFUNCTION("""COMPUTED_VALUE"""),82.0)</f>
        <v>82</v>
      </c>
      <c r="B738" t="str">
        <f>IFERROR(__xludf.DUMMYFUNCTION("""COMPUTED_VALUE"""),"TAA7088")</f>
        <v>TAA7088</v>
      </c>
      <c r="C738">
        <f>IFERROR(__xludf.DUMMYFUNCTION("""COMPUTED_VALUE"""),1014687.0)</f>
        <v>1014687</v>
      </c>
      <c r="D738" t="str">
        <f>IFERROR(__xludf.DUMMYFUNCTION("""COMPUTED_VALUE"""),"Mr.")</f>
        <v>Mr.</v>
      </c>
      <c r="E738" t="str">
        <f>IFERROR(__xludf.DUMMYFUNCTION("""COMPUTED_VALUE"""),"Witpapon")</f>
        <v>Witpapon</v>
      </c>
      <c r="F738" t="str">
        <f>IFERROR(__xludf.DUMMYFUNCTION("""COMPUTED_VALUE"""),"Thaingamsilp")</f>
        <v>Thaingamsilp</v>
      </c>
      <c r="G738" t="str">
        <f>IFERROR(__xludf.DUMMYFUNCTION("""COMPUTED_VALUE"""),"Witpapon Thaingamsilp")</f>
        <v>Witpapon Thaingamsilp</v>
      </c>
    </row>
    <row r="740">
      <c r="A740" s="142">
        <f>IFERROR(__xludf.DUMMYFUNCTION("""COMPUTED_VALUE"""),83.0)</f>
        <v>83</v>
      </c>
      <c r="B740" t="str">
        <f>IFERROR(__xludf.DUMMYFUNCTION("""COMPUTED_VALUE"""),"TAA3162")</f>
        <v>TAA3162</v>
      </c>
      <c r="C740">
        <f>IFERROR(__xludf.DUMMYFUNCTION("""COMPUTED_VALUE"""),1004729.0)</f>
        <v>1004729</v>
      </c>
      <c r="D740" t="str">
        <f>IFERROR(__xludf.DUMMYFUNCTION("""COMPUTED_VALUE"""),"Ms.")</f>
        <v>Ms.</v>
      </c>
      <c r="E740" t="str">
        <f>IFERROR(__xludf.DUMMYFUNCTION("""COMPUTED_VALUE"""),"Sasimon")</f>
        <v>Sasimon</v>
      </c>
      <c r="F740" t="str">
        <f>IFERROR(__xludf.DUMMYFUNCTION("""COMPUTED_VALUE"""),"Chamnansarn")</f>
        <v>Chamnansarn</v>
      </c>
      <c r="G740" t="str">
        <f>IFERROR(__xludf.DUMMYFUNCTION("""COMPUTED_VALUE"""),"Sasimon Chamnansarn")</f>
        <v>Sasimon Chamnansarn</v>
      </c>
    </row>
    <row r="741">
      <c r="A741" s="142">
        <f>IFERROR(__xludf.DUMMYFUNCTION("""COMPUTED_VALUE"""),83.0)</f>
        <v>83</v>
      </c>
      <c r="B741" t="str">
        <f>IFERROR(__xludf.DUMMYFUNCTION("""COMPUTED_VALUE"""),"TAA3696")</f>
        <v>TAA3696</v>
      </c>
      <c r="C741">
        <f>IFERROR(__xludf.DUMMYFUNCTION("""COMPUTED_VALUE"""),1005618.0)</f>
        <v>1005618</v>
      </c>
      <c r="D741" t="str">
        <f>IFERROR(__xludf.DUMMYFUNCTION("""COMPUTED_VALUE"""),"Mr.")</f>
        <v>Mr.</v>
      </c>
      <c r="E741" t="str">
        <f>IFERROR(__xludf.DUMMYFUNCTION("""COMPUTED_VALUE"""),"Anutapong")</f>
        <v>Anutapong</v>
      </c>
      <c r="F741" t="str">
        <f>IFERROR(__xludf.DUMMYFUNCTION("""COMPUTED_VALUE"""),"Saengchot")</f>
        <v>Saengchot</v>
      </c>
      <c r="G741" t="str">
        <f>IFERROR(__xludf.DUMMYFUNCTION("""COMPUTED_VALUE"""),"Anutapong Saengchot")</f>
        <v>Anutapong Saengchot</v>
      </c>
    </row>
    <row r="742">
      <c r="A742" s="142">
        <f>IFERROR(__xludf.DUMMYFUNCTION("""COMPUTED_VALUE"""),83.0)</f>
        <v>83</v>
      </c>
      <c r="B742" t="str">
        <f>IFERROR(__xludf.DUMMYFUNCTION("""COMPUTED_VALUE"""),"TAA3779")</f>
        <v>TAA3779</v>
      </c>
      <c r="C742">
        <f>IFERROR(__xludf.DUMMYFUNCTION("""COMPUTED_VALUE"""),1005776.0)</f>
        <v>1005776</v>
      </c>
      <c r="D742" t="str">
        <f>IFERROR(__xludf.DUMMYFUNCTION("""COMPUTED_VALUE"""),"Ms.")</f>
        <v>Ms.</v>
      </c>
      <c r="E742" t="str">
        <f>IFERROR(__xludf.DUMMYFUNCTION("""COMPUTED_VALUE"""),"Konkamon")</f>
        <v>Konkamon</v>
      </c>
      <c r="F742" t="str">
        <f>IFERROR(__xludf.DUMMYFUNCTION("""COMPUTED_VALUE"""),"Saengwanloi")</f>
        <v>Saengwanloi</v>
      </c>
      <c r="G742" t="str">
        <f>IFERROR(__xludf.DUMMYFUNCTION("""COMPUTED_VALUE"""),"Konkamon Saengwanloi")</f>
        <v>Konkamon Saengwanloi</v>
      </c>
    </row>
    <row r="743">
      <c r="A743" s="142">
        <f>IFERROR(__xludf.DUMMYFUNCTION("""COMPUTED_VALUE"""),83.0)</f>
        <v>83</v>
      </c>
      <c r="B743" t="str">
        <f>IFERROR(__xludf.DUMMYFUNCTION("""COMPUTED_VALUE"""),"TAA4448")</f>
        <v>TAA4448</v>
      </c>
      <c r="C743">
        <f>IFERROR(__xludf.DUMMYFUNCTION("""COMPUTED_VALUE"""),1006846.0)</f>
        <v>1006846</v>
      </c>
      <c r="D743" t="str">
        <f>IFERROR(__xludf.DUMMYFUNCTION("""COMPUTED_VALUE"""),"Ms.")</f>
        <v>Ms.</v>
      </c>
      <c r="E743" t="str">
        <f>IFERROR(__xludf.DUMMYFUNCTION("""COMPUTED_VALUE"""),"Sasikarn")</f>
        <v>Sasikarn</v>
      </c>
      <c r="F743" t="str">
        <f>IFERROR(__xludf.DUMMYFUNCTION("""COMPUTED_VALUE"""),"Khampan")</f>
        <v>Khampan</v>
      </c>
      <c r="G743" t="str">
        <f>IFERROR(__xludf.DUMMYFUNCTION("""COMPUTED_VALUE"""),"Sasikarn Khampan")</f>
        <v>Sasikarn Khampan</v>
      </c>
    </row>
    <row r="744">
      <c r="A744" s="142">
        <f>IFERROR(__xludf.DUMMYFUNCTION("""COMPUTED_VALUE"""),83.0)</f>
        <v>83</v>
      </c>
      <c r="B744" t="str">
        <f>IFERROR(__xludf.DUMMYFUNCTION("""COMPUTED_VALUE"""),"TAA4655")</f>
        <v>TAA4655</v>
      </c>
      <c r="C744">
        <f>IFERROR(__xludf.DUMMYFUNCTION("""COMPUTED_VALUE"""),1007308.0)</f>
        <v>1007308</v>
      </c>
      <c r="D744" t="str">
        <f>IFERROR(__xludf.DUMMYFUNCTION("""COMPUTED_VALUE"""),"Mr.")</f>
        <v>Mr.</v>
      </c>
      <c r="E744" t="str">
        <f>IFERROR(__xludf.DUMMYFUNCTION("""COMPUTED_VALUE"""),"Pichai")</f>
        <v>Pichai</v>
      </c>
      <c r="F744" t="str">
        <f>IFERROR(__xludf.DUMMYFUNCTION("""COMPUTED_VALUE"""),"Jareerattanachart")</f>
        <v>Jareerattanachart</v>
      </c>
      <c r="G744" t="str">
        <f>IFERROR(__xludf.DUMMYFUNCTION("""COMPUTED_VALUE"""),"Pichai Jareerattanachart")</f>
        <v>Pichai Jareerattanachart</v>
      </c>
    </row>
    <row r="745">
      <c r="A745" s="142">
        <f>IFERROR(__xludf.DUMMYFUNCTION("""COMPUTED_VALUE"""),83.0)</f>
        <v>83</v>
      </c>
      <c r="B745" t="str">
        <f>IFERROR(__xludf.DUMMYFUNCTION("""COMPUTED_VALUE"""),"TAA4787")</f>
        <v>TAA4787</v>
      </c>
      <c r="C745">
        <f>IFERROR(__xludf.DUMMYFUNCTION("""COMPUTED_VALUE"""),1007641.0)</f>
        <v>1007641</v>
      </c>
      <c r="D745" t="str">
        <f>IFERROR(__xludf.DUMMYFUNCTION("""COMPUTED_VALUE"""),"Ms.")</f>
        <v>Ms.</v>
      </c>
      <c r="E745" t="str">
        <f>IFERROR(__xludf.DUMMYFUNCTION("""COMPUTED_VALUE"""),"Chontisa")</f>
        <v>Chontisa</v>
      </c>
      <c r="F745" t="str">
        <f>IFERROR(__xludf.DUMMYFUNCTION("""COMPUTED_VALUE"""),"Supasri")</f>
        <v>Supasri</v>
      </c>
      <c r="G745" t="str">
        <f>IFERROR(__xludf.DUMMYFUNCTION("""COMPUTED_VALUE"""),"Chontisa Supasri")</f>
        <v>Chontisa Supasri</v>
      </c>
    </row>
    <row r="746">
      <c r="A746" s="142">
        <f>IFERROR(__xludf.DUMMYFUNCTION("""COMPUTED_VALUE"""),83.0)</f>
        <v>83</v>
      </c>
      <c r="B746" t="str">
        <f>IFERROR(__xludf.DUMMYFUNCTION("""COMPUTED_VALUE"""),"TAA4785")</f>
        <v>TAA4785</v>
      </c>
      <c r="C746">
        <f>IFERROR(__xludf.DUMMYFUNCTION("""COMPUTED_VALUE"""),1007646.0)</f>
        <v>1007646</v>
      </c>
      <c r="D746" t="str">
        <f>IFERROR(__xludf.DUMMYFUNCTION("""COMPUTED_VALUE"""),"Ms.")</f>
        <v>Ms.</v>
      </c>
      <c r="E746" t="str">
        <f>IFERROR(__xludf.DUMMYFUNCTION("""COMPUTED_VALUE"""),"Lalita")</f>
        <v>Lalita</v>
      </c>
      <c r="F746" t="str">
        <f>IFERROR(__xludf.DUMMYFUNCTION("""COMPUTED_VALUE"""),"Sakolcholchawalit")</f>
        <v>Sakolcholchawalit</v>
      </c>
      <c r="G746" t="str">
        <f>IFERROR(__xludf.DUMMYFUNCTION("""COMPUTED_VALUE"""),"Lalita Sakolcholchawalit")</f>
        <v>Lalita Sakolcholchawalit</v>
      </c>
    </row>
    <row r="747">
      <c r="A747" s="142">
        <f>IFERROR(__xludf.DUMMYFUNCTION("""COMPUTED_VALUE"""),83.0)</f>
        <v>83</v>
      </c>
      <c r="B747" t="str">
        <f>IFERROR(__xludf.DUMMYFUNCTION("""COMPUTED_VALUE"""),"TAA7291")</f>
        <v>TAA7291</v>
      </c>
      <c r="C747">
        <f>IFERROR(__xludf.DUMMYFUNCTION("""COMPUTED_VALUE"""),1016176.0)</f>
        <v>1016176</v>
      </c>
      <c r="D747" t="str">
        <f>IFERROR(__xludf.DUMMYFUNCTION("""COMPUTED_VALUE"""),"Ms.")</f>
        <v>Ms.</v>
      </c>
      <c r="E747" t="str">
        <f>IFERROR(__xludf.DUMMYFUNCTION("""COMPUTED_VALUE"""),"Boontarika")</f>
        <v>Boontarika</v>
      </c>
      <c r="F747" t="str">
        <f>IFERROR(__xludf.DUMMYFUNCTION("""COMPUTED_VALUE"""),"Charoenpong")</f>
        <v>Charoenpong</v>
      </c>
      <c r="G747" t="str">
        <f>IFERROR(__xludf.DUMMYFUNCTION("""COMPUTED_VALUE"""),"Boontarika Charoenpong")</f>
        <v>Boontarika Charoenpong</v>
      </c>
    </row>
    <row r="748">
      <c r="A748" s="142">
        <f>IFERROR(__xludf.DUMMYFUNCTION("""COMPUTED_VALUE"""),83.0)</f>
        <v>83</v>
      </c>
      <c r="B748" t="str">
        <f>IFERROR(__xludf.DUMMYFUNCTION("""COMPUTED_VALUE"""),"TAA7286")</f>
        <v>TAA7286</v>
      </c>
      <c r="C748">
        <f>IFERROR(__xludf.DUMMYFUNCTION("""COMPUTED_VALUE"""),1016195.0)</f>
        <v>1016195</v>
      </c>
      <c r="D748" t="str">
        <f>IFERROR(__xludf.DUMMYFUNCTION("""COMPUTED_VALUE"""),"Ms.")</f>
        <v>Ms.</v>
      </c>
      <c r="E748" t="str">
        <f>IFERROR(__xludf.DUMMYFUNCTION("""COMPUTED_VALUE"""),"Keerati")</f>
        <v>Keerati</v>
      </c>
      <c r="F748" t="str">
        <f>IFERROR(__xludf.DUMMYFUNCTION("""COMPUTED_VALUE"""),"Sooksai")</f>
        <v>Sooksai</v>
      </c>
      <c r="G748" t="str">
        <f>IFERROR(__xludf.DUMMYFUNCTION("""COMPUTED_VALUE"""),"Keerati Sooksai")</f>
        <v>Keerati Sooksai</v>
      </c>
    </row>
    <row r="749">
      <c r="A749" s="142">
        <f>IFERROR(__xludf.DUMMYFUNCTION("""COMPUTED_VALUE"""),83.0)</f>
        <v>83</v>
      </c>
      <c r="B749" t="str">
        <f>IFERROR(__xludf.DUMMYFUNCTION("""COMPUTED_VALUE"""),"TAA7284")</f>
        <v>TAA7284</v>
      </c>
      <c r="C749">
        <f>IFERROR(__xludf.DUMMYFUNCTION("""COMPUTED_VALUE"""),1016197.0)</f>
        <v>1016197</v>
      </c>
      <c r="D749" t="str">
        <f>IFERROR(__xludf.DUMMYFUNCTION("""COMPUTED_VALUE"""),"Ms.")</f>
        <v>Ms.</v>
      </c>
      <c r="E749" t="str">
        <f>IFERROR(__xludf.DUMMYFUNCTION("""COMPUTED_VALUE"""),"Kornchanok")</f>
        <v>Kornchanok</v>
      </c>
      <c r="F749" t="str">
        <f>IFERROR(__xludf.DUMMYFUNCTION("""COMPUTED_VALUE"""),"Ruamsanit")</f>
        <v>Ruamsanit</v>
      </c>
      <c r="G749" t="str">
        <f>IFERROR(__xludf.DUMMYFUNCTION("""COMPUTED_VALUE"""),"Kornchanok Ruamsanit")</f>
        <v>Kornchanok Ruamsanit</v>
      </c>
    </row>
    <row r="750">
      <c r="A750" s="142">
        <f>IFERROR(__xludf.DUMMYFUNCTION("""COMPUTED_VALUE"""),83.0)</f>
        <v>83</v>
      </c>
      <c r="B750" t="str">
        <f>IFERROR(__xludf.DUMMYFUNCTION("""COMPUTED_VALUE"""),"TAA7282")</f>
        <v>TAA7282</v>
      </c>
      <c r="C750">
        <f>IFERROR(__xludf.DUMMYFUNCTION("""COMPUTED_VALUE"""),1016206.0)</f>
        <v>1016206</v>
      </c>
      <c r="D750" t="str">
        <f>IFERROR(__xludf.DUMMYFUNCTION("""COMPUTED_VALUE"""),"Ms.")</f>
        <v>Ms.</v>
      </c>
      <c r="E750" t="str">
        <f>IFERROR(__xludf.DUMMYFUNCTION("""COMPUTED_VALUE"""),"Nisara")</f>
        <v>Nisara</v>
      </c>
      <c r="F750" t="str">
        <f>IFERROR(__xludf.DUMMYFUNCTION("""COMPUTED_VALUE"""),"Aimwong")</f>
        <v>Aimwong</v>
      </c>
      <c r="G750" t="str">
        <f>IFERROR(__xludf.DUMMYFUNCTION("""COMPUTED_VALUE"""),"Nisara Aimwong")</f>
        <v>Nisara Aimwong</v>
      </c>
    </row>
    <row r="751">
      <c r="A751" s="142">
        <f>IFERROR(__xludf.DUMMYFUNCTION("""COMPUTED_VALUE"""),83.0)</f>
        <v>83</v>
      </c>
      <c r="B751" t="str">
        <f>IFERROR(__xludf.DUMMYFUNCTION("""COMPUTED_VALUE"""),"TAA7288")</f>
        <v>TAA7288</v>
      </c>
      <c r="C751">
        <f>IFERROR(__xludf.DUMMYFUNCTION("""COMPUTED_VALUE"""),1016214.0)</f>
        <v>1016214</v>
      </c>
      <c r="D751" t="str">
        <f>IFERROR(__xludf.DUMMYFUNCTION("""COMPUTED_VALUE"""),"Mr.")</f>
        <v>Mr.</v>
      </c>
      <c r="E751" t="str">
        <f>IFERROR(__xludf.DUMMYFUNCTION("""COMPUTED_VALUE"""),"Passakorn")</f>
        <v>Passakorn</v>
      </c>
      <c r="F751" t="str">
        <f>IFERROR(__xludf.DUMMYFUNCTION("""COMPUTED_VALUE"""),"Porncharoon")</f>
        <v>Porncharoon</v>
      </c>
      <c r="G751" t="str">
        <f>IFERROR(__xludf.DUMMYFUNCTION("""COMPUTED_VALUE"""),"Passakorn Porncharoon")</f>
        <v>Passakorn Porncharoon</v>
      </c>
    </row>
    <row r="752">
      <c r="A752" s="142">
        <f>IFERROR(__xludf.DUMMYFUNCTION("""COMPUTED_VALUE"""),83.0)</f>
        <v>83</v>
      </c>
      <c r="B752" t="str">
        <f>IFERROR(__xludf.DUMMYFUNCTION("""COMPUTED_VALUE"""),"TAA7289")</f>
        <v>TAA7289</v>
      </c>
      <c r="C752">
        <f>IFERROR(__xludf.DUMMYFUNCTION("""COMPUTED_VALUE"""),1016229.0)</f>
        <v>1016229</v>
      </c>
      <c r="D752" t="str">
        <f>IFERROR(__xludf.DUMMYFUNCTION("""COMPUTED_VALUE"""),"Ms.")</f>
        <v>Ms.</v>
      </c>
      <c r="E752" t="str">
        <f>IFERROR(__xludf.DUMMYFUNCTION("""COMPUTED_VALUE"""),"Sutharat")</f>
        <v>Sutharat</v>
      </c>
      <c r="F752" t="str">
        <f>IFERROR(__xludf.DUMMYFUNCTION("""COMPUTED_VALUE"""),"Chimdid")</f>
        <v>Chimdid</v>
      </c>
      <c r="G752" t="str">
        <f>IFERROR(__xludf.DUMMYFUNCTION("""COMPUTED_VALUE"""),"Sutharat Chimdid")</f>
        <v>Sutharat Chimdid</v>
      </c>
    </row>
    <row r="753">
      <c r="A753" s="142">
        <f>IFERROR(__xludf.DUMMYFUNCTION("""COMPUTED_VALUE"""),83.0)</f>
        <v>83</v>
      </c>
      <c r="B753" t="str">
        <f>IFERROR(__xludf.DUMMYFUNCTION("""COMPUTED_VALUE"""),"TAA7283")</f>
        <v>TAA7283</v>
      </c>
      <c r="C753">
        <f>IFERROR(__xludf.DUMMYFUNCTION("""COMPUTED_VALUE"""),1016232.0)</f>
        <v>1016232</v>
      </c>
      <c r="D753" t="str">
        <f>IFERROR(__xludf.DUMMYFUNCTION("""COMPUTED_VALUE"""),"Ms.")</f>
        <v>Ms.</v>
      </c>
      <c r="E753" t="str">
        <f>IFERROR(__xludf.DUMMYFUNCTION("""COMPUTED_VALUE"""),"Thanyachatchanok")</f>
        <v>Thanyachatchanok</v>
      </c>
      <c r="F753" t="str">
        <f>IFERROR(__xludf.DUMMYFUNCTION("""COMPUTED_VALUE"""),"Bamrungsapsakul")</f>
        <v>Bamrungsapsakul</v>
      </c>
      <c r="G753" t="str">
        <f>IFERROR(__xludf.DUMMYFUNCTION("""COMPUTED_VALUE"""),"Thanyachatchanok Bamrungsapsakul")</f>
        <v>Thanyachatchanok Bamrungsapsakul</v>
      </c>
    </row>
    <row r="755">
      <c r="A755" s="142">
        <f>IFERROR(__xludf.DUMMYFUNCTION("""COMPUTED_VALUE"""),84.0)</f>
        <v>84</v>
      </c>
      <c r="B755" t="str">
        <f>IFERROR(__xludf.DUMMYFUNCTION("""COMPUTED_VALUE"""),"TAA2062")</f>
        <v>TAA2062</v>
      </c>
      <c r="C755">
        <f>IFERROR(__xludf.DUMMYFUNCTION("""COMPUTED_VALUE"""),1002299.0)</f>
        <v>1002299</v>
      </c>
      <c r="D755" t="str">
        <f>IFERROR(__xludf.DUMMYFUNCTION("""COMPUTED_VALUE"""),"Ms.")</f>
        <v>Ms.</v>
      </c>
      <c r="E755" t="str">
        <f>IFERROR(__xludf.DUMMYFUNCTION("""COMPUTED_VALUE"""),"Arisara")</f>
        <v>Arisara</v>
      </c>
      <c r="F755" t="str">
        <f>IFERROR(__xludf.DUMMYFUNCTION("""COMPUTED_VALUE"""),"Wongsatitsathein")</f>
        <v>Wongsatitsathein</v>
      </c>
      <c r="G755" t="str">
        <f>IFERROR(__xludf.DUMMYFUNCTION("""COMPUTED_VALUE"""),"Arisara Wongsatitsathein")</f>
        <v>Arisara Wongsatitsathein</v>
      </c>
    </row>
    <row r="756">
      <c r="A756" s="142">
        <f>IFERROR(__xludf.DUMMYFUNCTION("""COMPUTED_VALUE"""),84.0)</f>
        <v>84</v>
      </c>
      <c r="B756" t="str">
        <f>IFERROR(__xludf.DUMMYFUNCTION("""COMPUTED_VALUE"""),"TAA2789")</f>
        <v>TAA2789</v>
      </c>
      <c r="C756">
        <f>IFERROR(__xludf.DUMMYFUNCTION("""COMPUTED_VALUE"""),1003957.0)</f>
        <v>1003957</v>
      </c>
      <c r="D756" t="str">
        <f>IFERROR(__xludf.DUMMYFUNCTION("""COMPUTED_VALUE"""),"Ms.")</f>
        <v>Ms.</v>
      </c>
      <c r="E756" t="str">
        <f>IFERROR(__xludf.DUMMYFUNCTION("""COMPUTED_VALUE"""),"Benjawan")</f>
        <v>Benjawan</v>
      </c>
      <c r="F756" t="str">
        <f>IFERROR(__xludf.DUMMYFUNCTION("""COMPUTED_VALUE"""),"Kongrod")</f>
        <v>Kongrod</v>
      </c>
      <c r="G756" t="str">
        <f>IFERROR(__xludf.DUMMYFUNCTION("""COMPUTED_VALUE"""),"Benjawan Kongrod")</f>
        <v>Benjawan Kongrod</v>
      </c>
    </row>
    <row r="757">
      <c r="A757" s="142">
        <f>IFERROR(__xludf.DUMMYFUNCTION("""COMPUTED_VALUE"""),84.0)</f>
        <v>84</v>
      </c>
      <c r="B757" t="str">
        <f>IFERROR(__xludf.DUMMYFUNCTION("""COMPUTED_VALUE"""),"TAA3312")</f>
        <v>TAA3312</v>
      </c>
      <c r="C757">
        <f>IFERROR(__xludf.DUMMYFUNCTION("""COMPUTED_VALUE"""),1005051.0)</f>
        <v>1005051</v>
      </c>
      <c r="D757" t="str">
        <f>IFERROR(__xludf.DUMMYFUNCTION("""COMPUTED_VALUE"""),"Mr.")</f>
        <v>Mr.</v>
      </c>
      <c r="E757" t="str">
        <f>IFERROR(__xludf.DUMMYFUNCTION("""COMPUTED_VALUE"""),"Upatcha")</f>
        <v>Upatcha</v>
      </c>
      <c r="F757" t="str">
        <f>IFERROR(__xludf.DUMMYFUNCTION("""COMPUTED_VALUE"""),"Chaikaew")</f>
        <v>Chaikaew</v>
      </c>
      <c r="G757" t="str">
        <f>IFERROR(__xludf.DUMMYFUNCTION("""COMPUTED_VALUE"""),"Upatcha Chaikaew")</f>
        <v>Upatcha Chaikaew</v>
      </c>
    </row>
    <row r="758">
      <c r="A758" s="142">
        <f>IFERROR(__xludf.DUMMYFUNCTION("""COMPUTED_VALUE"""),84.0)</f>
        <v>84</v>
      </c>
      <c r="B758" t="str">
        <f>IFERROR(__xludf.DUMMYFUNCTION("""COMPUTED_VALUE"""),"TAA3485")</f>
        <v>TAA3485</v>
      </c>
      <c r="C758">
        <f>IFERROR(__xludf.DUMMYFUNCTION("""COMPUTED_VALUE"""),1005365.0)</f>
        <v>1005365</v>
      </c>
      <c r="D758" t="str">
        <f>IFERROR(__xludf.DUMMYFUNCTION("""COMPUTED_VALUE"""),"Ms.")</f>
        <v>Ms.</v>
      </c>
      <c r="E758" t="str">
        <f>IFERROR(__xludf.DUMMYFUNCTION("""COMPUTED_VALUE"""),"Nattida")</f>
        <v>Nattida</v>
      </c>
      <c r="F758" t="str">
        <f>IFERROR(__xludf.DUMMYFUNCTION("""COMPUTED_VALUE"""),"Nakkaree")</f>
        <v>Nakkaree</v>
      </c>
      <c r="G758" t="str">
        <f>IFERROR(__xludf.DUMMYFUNCTION("""COMPUTED_VALUE"""),"Nattida Nakkaree")</f>
        <v>Nattida Nakkaree</v>
      </c>
    </row>
    <row r="759">
      <c r="A759" s="142">
        <f>IFERROR(__xludf.DUMMYFUNCTION("""COMPUTED_VALUE"""),84.0)</f>
        <v>84</v>
      </c>
      <c r="B759" t="str">
        <f>IFERROR(__xludf.DUMMYFUNCTION("""COMPUTED_VALUE"""),"TAA3292")</f>
        <v>TAA3292</v>
      </c>
      <c r="C759">
        <f>IFERROR(__xludf.DUMMYFUNCTION("""COMPUTED_VALUE"""),1005415.0)</f>
        <v>1005415</v>
      </c>
      <c r="D759" t="str">
        <f>IFERROR(__xludf.DUMMYFUNCTION("""COMPUTED_VALUE"""),"Mr.")</f>
        <v>Mr.</v>
      </c>
      <c r="E759" t="str">
        <f>IFERROR(__xludf.DUMMYFUNCTION("""COMPUTED_VALUE"""),"Ati")</f>
        <v>Ati</v>
      </c>
      <c r="F759" t="str">
        <f>IFERROR(__xludf.DUMMYFUNCTION("""COMPUTED_VALUE"""),"Sa-ngiamjit")</f>
        <v>Sa-ngiamjit</v>
      </c>
      <c r="G759" t="str">
        <f>IFERROR(__xludf.DUMMYFUNCTION("""COMPUTED_VALUE"""),"Ati Sa-ngiamjit")</f>
        <v>Ati Sa-ngiamjit</v>
      </c>
    </row>
    <row r="760">
      <c r="A760" s="142">
        <f>IFERROR(__xludf.DUMMYFUNCTION("""COMPUTED_VALUE"""),84.0)</f>
        <v>84</v>
      </c>
      <c r="B760" t="str">
        <f>IFERROR(__xludf.DUMMYFUNCTION("""COMPUTED_VALUE"""),"TAA4279")</f>
        <v>TAA4279</v>
      </c>
      <c r="C760">
        <f>IFERROR(__xludf.DUMMYFUNCTION("""COMPUTED_VALUE"""),1006593.0)</f>
        <v>1006593</v>
      </c>
      <c r="D760" t="str">
        <f>IFERROR(__xludf.DUMMYFUNCTION("""COMPUTED_VALUE"""),"Ms.")</f>
        <v>Ms.</v>
      </c>
      <c r="E760" t="str">
        <f>IFERROR(__xludf.DUMMYFUNCTION("""COMPUTED_VALUE"""),"Bhataranan")</f>
        <v>Bhataranan</v>
      </c>
      <c r="F760" t="str">
        <f>IFERROR(__xludf.DUMMYFUNCTION("""COMPUTED_VALUE"""),"Tanaree")</f>
        <v>Tanaree</v>
      </c>
      <c r="G760" t="str">
        <f>IFERROR(__xludf.DUMMYFUNCTION("""COMPUTED_VALUE"""),"Bhataranan Tanaree")</f>
        <v>Bhataranan Tanaree</v>
      </c>
    </row>
    <row r="761">
      <c r="A761" s="142">
        <f>IFERROR(__xludf.DUMMYFUNCTION("""COMPUTED_VALUE"""),84.0)</f>
        <v>84</v>
      </c>
      <c r="B761" t="str">
        <f>IFERROR(__xludf.DUMMYFUNCTION("""COMPUTED_VALUE"""),"TAA4446")</f>
        <v>TAA4446</v>
      </c>
      <c r="C761">
        <f>IFERROR(__xludf.DUMMYFUNCTION("""COMPUTED_VALUE"""),1006850.0)</f>
        <v>1006850</v>
      </c>
      <c r="D761" t="str">
        <f>IFERROR(__xludf.DUMMYFUNCTION("""COMPUTED_VALUE"""),"Ms.")</f>
        <v>Ms.</v>
      </c>
      <c r="E761" t="str">
        <f>IFERROR(__xludf.DUMMYFUNCTION("""COMPUTED_VALUE"""),"Tanapat")</f>
        <v>Tanapat</v>
      </c>
      <c r="F761" t="str">
        <f>IFERROR(__xludf.DUMMYFUNCTION("""COMPUTED_VALUE"""),"Srimuang")</f>
        <v>Srimuang</v>
      </c>
      <c r="G761" t="str">
        <f>IFERROR(__xludf.DUMMYFUNCTION("""COMPUTED_VALUE"""),"Tanapat Srimuang")</f>
        <v>Tanapat Srimuang</v>
      </c>
    </row>
    <row r="762">
      <c r="A762" s="142">
        <f>IFERROR(__xludf.DUMMYFUNCTION("""COMPUTED_VALUE"""),84.0)</f>
        <v>84</v>
      </c>
      <c r="B762" t="str">
        <f>IFERROR(__xludf.DUMMYFUNCTION("""COMPUTED_VALUE"""),"TAA4649")</f>
        <v>TAA4649</v>
      </c>
      <c r="C762">
        <f>IFERROR(__xludf.DUMMYFUNCTION("""COMPUTED_VALUE"""),1007286.0)</f>
        <v>1007286</v>
      </c>
      <c r="D762" t="str">
        <f>IFERROR(__xludf.DUMMYFUNCTION("""COMPUTED_VALUE"""),"Ms.")</f>
        <v>Ms.</v>
      </c>
      <c r="E762" t="str">
        <f>IFERROR(__xludf.DUMMYFUNCTION("""COMPUTED_VALUE"""),"Benyathip")</f>
        <v>Benyathip</v>
      </c>
      <c r="F762" t="str">
        <f>IFERROR(__xludf.DUMMYFUNCTION("""COMPUTED_VALUE"""),"Eiamchai")</f>
        <v>Eiamchai</v>
      </c>
      <c r="G762" t="str">
        <f>IFERROR(__xludf.DUMMYFUNCTION("""COMPUTED_VALUE"""),"Benyathip Eiamchai")</f>
        <v>Benyathip Eiamchai</v>
      </c>
    </row>
    <row r="763">
      <c r="A763" s="142">
        <f>IFERROR(__xludf.DUMMYFUNCTION("""COMPUTED_VALUE"""),84.0)</f>
        <v>84</v>
      </c>
      <c r="B763" t="str">
        <f>IFERROR(__xludf.DUMMYFUNCTION("""COMPUTED_VALUE"""),"TAA4645")</f>
        <v>TAA4645</v>
      </c>
      <c r="C763">
        <f>IFERROR(__xludf.DUMMYFUNCTION("""COMPUTED_VALUE"""),1007319.0)</f>
        <v>1007319</v>
      </c>
      <c r="D763" t="str">
        <f>IFERROR(__xludf.DUMMYFUNCTION("""COMPUTED_VALUE"""),"Mr.")</f>
        <v>Mr.</v>
      </c>
      <c r="E763" t="str">
        <f>IFERROR(__xludf.DUMMYFUNCTION("""COMPUTED_VALUE"""),"Setthachart")</f>
        <v>Setthachart</v>
      </c>
      <c r="F763" t="str">
        <f>IFERROR(__xludf.DUMMYFUNCTION("""COMPUTED_VALUE"""),"Kittithanakorn")</f>
        <v>Kittithanakorn</v>
      </c>
      <c r="G763" t="str">
        <f>IFERROR(__xludf.DUMMYFUNCTION("""COMPUTED_VALUE"""),"Setthachart Kittithanakorn")</f>
        <v>Setthachart Kittithanakorn</v>
      </c>
    </row>
    <row r="764">
      <c r="A764" s="142">
        <f>IFERROR(__xludf.DUMMYFUNCTION("""COMPUTED_VALUE"""),84.0)</f>
        <v>84</v>
      </c>
      <c r="B764" t="str">
        <f>IFERROR(__xludf.DUMMYFUNCTION("""COMPUTED_VALUE"""),"TAA4783")</f>
        <v>TAA4783</v>
      </c>
      <c r="C764">
        <f>IFERROR(__xludf.DUMMYFUNCTION("""COMPUTED_VALUE"""),1007728.0)</f>
        <v>1007728</v>
      </c>
      <c r="D764" t="str">
        <f>IFERROR(__xludf.DUMMYFUNCTION("""COMPUTED_VALUE"""),"Ms.")</f>
        <v>Ms.</v>
      </c>
      <c r="E764" t="str">
        <f>IFERROR(__xludf.DUMMYFUNCTION("""COMPUTED_VALUE"""),"Suthasinee")</f>
        <v>Suthasinee</v>
      </c>
      <c r="F764" t="str">
        <f>IFERROR(__xludf.DUMMYFUNCTION("""COMPUTED_VALUE"""),"Thaeothaisong")</f>
        <v>Thaeothaisong</v>
      </c>
      <c r="G764" t="str">
        <f>IFERROR(__xludf.DUMMYFUNCTION("""COMPUTED_VALUE"""),"Suthasinee Thaeothaisong")</f>
        <v>Suthasinee Thaeothaisong</v>
      </c>
    </row>
    <row r="765">
      <c r="A765" s="142">
        <f>IFERROR(__xludf.DUMMYFUNCTION("""COMPUTED_VALUE"""),84.0)</f>
        <v>84</v>
      </c>
      <c r="B765" t="str">
        <f>IFERROR(__xludf.DUMMYFUNCTION("""COMPUTED_VALUE"""),"TAA5042")</f>
        <v>TAA5042</v>
      </c>
      <c r="C765">
        <f>IFERROR(__xludf.DUMMYFUNCTION("""COMPUTED_VALUE"""),1008227.0)</f>
        <v>1008227</v>
      </c>
      <c r="D765" t="str">
        <f>IFERROR(__xludf.DUMMYFUNCTION("""COMPUTED_VALUE"""),"Ms.")</f>
        <v>Ms.</v>
      </c>
      <c r="E765" t="str">
        <f>IFERROR(__xludf.DUMMYFUNCTION("""COMPUTED_VALUE"""),"Preeyakorn")</f>
        <v>Preeyakorn</v>
      </c>
      <c r="F765" t="str">
        <f>IFERROR(__xludf.DUMMYFUNCTION("""COMPUTED_VALUE"""),"Rojanadumrong")</f>
        <v>Rojanadumrong</v>
      </c>
      <c r="G765" t="str">
        <f>IFERROR(__xludf.DUMMYFUNCTION("""COMPUTED_VALUE"""),"Preeyakorn Rojanadumrong")</f>
        <v>Preeyakorn Rojanadumrong</v>
      </c>
    </row>
    <row r="766">
      <c r="A766" s="142">
        <f>IFERROR(__xludf.DUMMYFUNCTION("""COMPUTED_VALUE"""),84.0)</f>
        <v>84</v>
      </c>
      <c r="B766" t="str">
        <f>IFERROR(__xludf.DUMMYFUNCTION("""COMPUTED_VALUE"""),"TAA5274")</f>
        <v>TAA5274</v>
      </c>
      <c r="C766">
        <f>IFERROR(__xludf.DUMMYFUNCTION("""COMPUTED_VALUE"""),1008359.0)</f>
        <v>1008359</v>
      </c>
      <c r="D766" t="str">
        <f>IFERROR(__xludf.DUMMYFUNCTION("""COMPUTED_VALUE"""),"Mr.")</f>
        <v>Mr.</v>
      </c>
      <c r="E766" t="str">
        <f>IFERROR(__xludf.DUMMYFUNCTION("""COMPUTED_VALUE"""),"Peerapol")</f>
        <v>Peerapol</v>
      </c>
      <c r="F766" t="str">
        <f>IFERROR(__xludf.DUMMYFUNCTION("""COMPUTED_VALUE"""),"Umpawan")</f>
        <v>Umpawan</v>
      </c>
      <c r="G766" t="str">
        <f>IFERROR(__xludf.DUMMYFUNCTION("""COMPUTED_VALUE"""),"Peerapol Umpawan")</f>
        <v>Peerapol Umpawan</v>
      </c>
    </row>
    <row r="767">
      <c r="A767" s="142">
        <f>IFERROR(__xludf.DUMMYFUNCTION("""COMPUTED_VALUE"""),84.0)</f>
        <v>84</v>
      </c>
      <c r="B767" t="str">
        <f>IFERROR(__xludf.DUMMYFUNCTION("""COMPUTED_VALUE"""),"TAA5273")</f>
        <v>TAA5273</v>
      </c>
      <c r="C767">
        <f>IFERROR(__xludf.DUMMYFUNCTION("""COMPUTED_VALUE"""),1008372.0)</f>
        <v>1008372</v>
      </c>
      <c r="D767" t="str">
        <f>IFERROR(__xludf.DUMMYFUNCTION("""COMPUTED_VALUE"""),"Ms.")</f>
        <v>Ms.</v>
      </c>
      <c r="E767" t="str">
        <f>IFERROR(__xludf.DUMMYFUNCTION("""COMPUTED_VALUE"""),"Sirinya")</f>
        <v>Sirinya</v>
      </c>
      <c r="F767" t="str">
        <f>IFERROR(__xludf.DUMMYFUNCTION("""COMPUTED_VALUE"""),"Maydan")</f>
        <v>Maydan</v>
      </c>
      <c r="G767" t="str">
        <f>IFERROR(__xludf.DUMMYFUNCTION("""COMPUTED_VALUE"""),"Sirinya Maydan")</f>
        <v>Sirinya Maydan</v>
      </c>
    </row>
    <row r="768">
      <c r="A768" s="142">
        <f>IFERROR(__xludf.DUMMYFUNCTION("""COMPUTED_VALUE"""),84.0)</f>
        <v>84</v>
      </c>
      <c r="B768" t="str">
        <f>IFERROR(__xludf.DUMMYFUNCTION("""COMPUTED_VALUE"""),"TAA5808")</f>
        <v>TAA5808</v>
      </c>
      <c r="C768">
        <f>IFERROR(__xludf.DUMMYFUNCTION("""COMPUTED_VALUE"""),1009081.0)</f>
        <v>1009081</v>
      </c>
      <c r="D768" t="str">
        <f>IFERROR(__xludf.DUMMYFUNCTION("""COMPUTED_VALUE"""),"Ms.")</f>
        <v>Ms.</v>
      </c>
      <c r="E768" t="str">
        <f>IFERROR(__xludf.DUMMYFUNCTION("""COMPUTED_VALUE"""),"Tunchanok")</f>
        <v>Tunchanok</v>
      </c>
      <c r="F768" t="str">
        <f>IFERROR(__xludf.DUMMYFUNCTION("""COMPUTED_VALUE"""),"Pingmuang")</f>
        <v>Pingmuang</v>
      </c>
      <c r="G768" t="str">
        <f>IFERROR(__xludf.DUMMYFUNCTION("""COMPUTED_VALUE"""),"Tunchanok Pingmuang")</f>
        <v>Tunchanok Pingmuang</v>
      </c>
    </row>
    <row r="769">
      <c r="A769" s="142">
        <f>IFERROR(__xludf.DUMMYFUNCTION("""COMPUTED_VALUE"""),84.0)</f>
        <v>84</v>
      </c>
      <c r="B769" t="str">
        <f>IFERROR(__xludf.DUMMYFUNCTION("""COMPUTED_VALUE"""),"TAA5464")</f>
        <v>TAA5464</v>
      </c>
      <c r="C769">
        <f>IFERROR(__xludf.DUMMYFUNCTION("""COMPUTED_VALUE"""),1009306.0)</f>
        <v>1009306</v>
      </c>
      <c r="D769" t="str">
        <f>IFERROR(__xludf.DUMMYFUNCTION("""COMPUTED_VALUE"""),"Ms.")</f>
        <v>Ms.</v>
      </c>
      <c r="E769" t="str">
        <f>IFERROR(__xludf.DUMMYFUNCTION("""COMPUTED_VALUE"""),"Noppawan")</f>
        <v>Noppawan</v>
      </c>
      <c r="F769" t="str">
        <f>IFERROR(__xludf.DUMMYFUNCTION("""COMPUTED_VALUE"""),"Yoosamran")</f>
        <v>Yoosamran</v>
      </c>
      <c r="G769" t="str">
        <f>IFERROR(__xludf.DUMMYFUNCTION("""COMPUTED_VALUE"""),"Noppawan Yoosamran")</f>
        <v>Noppawan Yoosamran</v>
      </c>
    </row>
    <row r="770">
      <c r="A770" s="142">
        <f>IFERROR(__xludf.DUMMYFUNCTION("""COMPUTED_VALUE"""),84.0)</f>
        <v>84</v>
      </c>
      <c r="B770" t="str">
        <f>IFERROR(__xludf.DUMMYFUNCTION("""COMPUTED_VALUE"""),"TAA5604")</f>
        <v>TAA5604</v>
      </c>
      <c r="C770">
        <f>IFERROR(__xludf.DUMMYFUNCTION("""COMPUTED_VALUE"""),1009608.0)</f>
        <v>1009608</v>
      </c>
      <c r="D770" t="str">
        <f>IFERROR(__xludf.DUMMYFUNCTION("""COMPUTED_VALUE"""),"Ms.")</f>
        <v>Ms.</v>
      </c>
      <c r="E770" t="str">
        <f>IFERROR(__xludf.DUMMYFUNCTION("""COMPUTED_VALUE"""),"Nattira")</f>
        <v>Nattira</v>
      </c>
      <c r="F770" t="str">
        <f>IFERROR(__xludf.DUMMYFUNCTION("""COMPUTED_VALUE"""),"Modthong")</f>
        <v>Modthong</v>
      </c>
      <c r="G770" t="str">
        <f>IFERROR(__xludf.DUMMYFUNCTION("""COMPUTED_VALUE"""),"Nattira Modthong")</f>
        <v>Nattira Modthong</v>
      </c>
    </row>
    <row r="772">
      <c r="A772" s="142">
        <f>IFERROR(__xludf.DUMMYFUNCTION("""COMPUTED_VALUE"""),85.0)</f>
        <v>85</v>
      </c>
      <c r="B772" t="str">
        <f>IFERROR(__xludf.DUMMYFUNCTION("""COMPUTED_VALUE"""),"TAA7514")</f>
        <v>TAA7514</v>
      </c>
      <c r="C772">
        <f>IFERROR(__xludf.DUMMYFUNCTION("""COMPUTED_VALUE"""),1017639.0)</f>
        <v>1017639</v>
      </c>
      <c r="D772" t="str">
        <f>IFERROR(__xludf.DUMMYFUNCTION("""COMPUTED_VALUE"""),"Mr.")</f>
        <v>Mr.</v>
      </c>
      <c r="E772" t="str">
        <f>IFERROR(__xludf.DUMMYFUNCTION("""COMPUTED_VALUE"""),"DHANUPOL")</f>
        <v>DHANUPOL</v>
      </c>
      <c r="F772" t="str">
        <f>IFERROR(__xludf.DUMMYFUNCTION("""COMPUTED_VALUE"""),"SAGULSUKHMONGKOL")</f>
        <v>SAGULSUKHMONGKOL</v>
      </c>
      <c r="G772" t="str">
        <f>IFERROR(__xludf.DUMMYFUNCTION("""COMPUTED_VALUE"""),"Dhanupol Sagulsukhmongkol")</f>
        <v>Dhanupol Sagulsukhmongkol</v>
      </c>
    </row>
    <row r="773">
      <c r="A773" s="142">
        <f>IFERROR(__xludf.DUMMYFUNCTION("""COMPUTED_VALUE"""),85.0)</f>
        <v>85</v>
      </c>
      <c r="B773" t="str">
        <f>IFERROR(__xludf.DUMMYFUNCTION("""COMPUTED_VALUE"""),"TAA7515")</f>
        <v>TAA7515</v>
      </c>
      <c r="C773">
        <f>IFERROR(__xludf.DUMMYFUNCTION("""COMPUTED_VALUE"""),1017644.0)</f>
        <v>1017644</v>
      </c>
      <c r="D773" t="str">
        <f>IFERROR(__xludf.DUMMYFUNCTION("""COMPUTED_VALUE"""),"Mr.")</f>
        <v>Mr.</v>
      </c>
      <c r="E773" t="str">
        <f>IFERROR(__xludf.DUMMYFUNCTION("""COMPUTED_VALUE"""),"Natthaphon")</f>
        <v>Natthaphon</v>
      </c>
      <c r="F773" t="str">
        <f>IFERROR(__xludf.DUMMYFUNCTION("""COMPUTED_VALUE"""),"Kattachan")</f>
        <v>Kattachan</v>
      </c>
      <c r="G773" t="str">
        <f>IFERROR(__xludf.DUMMYFUNCTION("""COMPUTED_VALUE"""),"Natthaphon Kattachan")</f>
        <v>Natthaphon Kattachan</v>
      </c>
    </row>
    <row r="774">
      <c r="A774" s="142">
        <f>IFERROR(__xludf.DUMMYFUNCTION("""COMPUTED_VALUE"""),85.0)</f>
        <v>85</v>
      </c>
      <c r="B774" t="str">
        <f>IFERROR(__xludf.DUMMYFUNCTION("""COMPUTED_VALUE"""),"TAA7516")</f>
        <v>TAA7516</v>
      </c>
      <c r="C774">
        <f>IFERROR(__xludf.DUMMYFUNCTION("""COMPUTED_VALUE"""),1017645.0)</f>
        <v>1017645</v>
      </c>
      <c r="D774" t="str">
        <f>IFERROR(__xludf.DUMMYFUNCTION("""COMPUTED_VALUE"""),"Ms.")</f>
        <v>Ms.</v>
      </c>
      <c r="E774" t="str">
        <f>IFERROR(__xludf.DUMMYFUNCTION("""COMPUTED_VALUE"""),"Nattida")</f>
        <v>Nattida</v>
      </c>
      <c r="F774" t="str">
        <f>IFERROR(__xludf.DUMMYFUNCTION("""COMPUTED_VALUE"""),"Palasak")</f>
        <v>Palasak</v>
      </c>
      <c r="G774" t="str">
        <f>IFERROR(__xludf.DUMMYFUNCTION("""COMPUTED_VALUE"""),"Nattida Palasak")</f>
        <v>Nattida Palasak</v>
      </c>
    </row>
    <row r="775">
      <c r="A775" s="142">
        <f>IFERROR(__xludf.DUMMYFUNCTION("""COMPUTED_VALUE"""),85.0)</f>
        <v>85</v>
      </c>
      <c r="B775" t="str">
        <f>IFERROR(__xludf.DUMMYFUNCTION("""COMPUTED_VALUE"""),"TAA7508")</f>
        <v>TAA7508</v>
      </c>
      <c r="C775">
        <f>IFERROR(__xludf.DUMMYFUNCTION("""COMPUTED_VALUE"""),1017646.0)</f>
        <v>1017646</v>
      </c>
      <c r="D775" t="str">
        <f>IFERROR(__xludf.DUMMYFUNCTION("""COMPUTED_VALUE"""),"Ms.")</f>
        <v>Ms.</v>
      </c>
      <c r="E775" t="str">
        <f>IFERROR(__xludf.DUMMYFUNCTION("""COMPUTED_VALUE"""),"Panisara")</f>
        <v>Panisara</v>
      </c>
      <c r="F775" t="str">
        <f>IFERROR(__xludf.DUMMYFUNCTION("""COMPUTED_VALUE"""),"Pratoomchat")</f>
        <v>Pratoomchat</v>
      </c>
      <c r="G775" t="str">
        <f>IFERROR(__xludf.DUMMYFUNCTION("""COMPUTED_VALUE"""),"Panisara Pratoomchat")</f>
        <v>Panisara Pratoomchat</v>
      </c>
    </row>
    <row r="776">
      <c r="A776" s="142">
        <f>IFERROR(__xludf.DUMMYFUNCTION("""COMPUTED_VALUE"""),85.0)</f>
        <v>85</v>
      </c>
      <c r="B776" t="str">
        <f>IFERROR(__xludf.DUMMYFUNCTION("""COMPUTED_VALUE"""),"TAA7524")</f>
        <v>TAA7524</v>
      </c>
      <c r="C776">
        <f>IFERROR(__xludf.DUMMYFUNCTION("""COMPUTED_VALUE"""),1017647.0)</f>
        <v>1017647</v>
      </c>
      <c r="D776" t="str">
        <f>IFERROR(__xludf.DUMMYFUNCTION("""COMPUTED_VALUE"""),"Mr.")</f>
        <v>Mr.</v>
      </c>
      <c r="E776" t="str">
        <f>IFERROR(__xludf.DUMMYFUNCTION("""COMPUTED_VALUE"""),"Papopvit")</f>
        <v>Papopvit</v>
      </c>
      <c r="F776" t="str">
        <f>IFERROR(__xludf.DUMMYFUNCTION("""COMPUTED_VALUE"""),"Pungposop")</f>
        <v>Pungposop</v>
      </c>
      <c r="G776" t="str">
        <f>IFERROR(__xludf.DUMMYFUNCTION("""COMPUTED_VALUE"""),"Papopvit Pungposop")</f>
        <v>Papopvit Pungposop</v>
      </c>
    </row>
    <row r="777">
      <c r="A777" s="142">
        <f>IFERROR(__xludf.DUMMYFUNCTION("""COMPUTED_VALUE"""),85.0)</f>
        <v>85</v>
      </c>
      <c r="B777" t="str">
        <f>IFERROR(__xludf.DUMMYFUNCTION("""COMPUTED_VALUE"""),"TAA7517")</f>
        <v>TAA7517</v>
      </c>
      <c r="C777">
        <f>IFERROR(__xludf.DUMMYFUNCTION("""COMPUTED_VALUE"""),1017648.0)</f>
        <v>1017648</v>
      </c>
      <c r="D777" t="str">
        <f>IFERROR(__xludf.DUMMYFUNCTION("""COMPUTED_VALUE"""),"Mr.")</f>
        <v>Mr.</v>
      </c>
      <c r="E777" t="str">
        <f>IFERROR(__xludf.DUMMYFUNCTION("""COMPUTED_VALUE"""),"Sangkas")</f>
        <v>Sangkas</v>
      </c>
      <c r="F777" t="str">
        <f>IFERROR(__xludf.DUMMYFUNCTION("""COMPUTED_VALUE"""),"Phetchai")</f>
        <v>Phetchai</v>
      </c>
      <c r="G777" t="str">
        <f>IFERROR(__xludf.DUMMYFUNCTION("""COMPUTED_VALUE"""),"Sangkas Phetchai")</f>
        <v>Sangkas Phetchai</v>
      </c>
    </row>
    <row r="778">
      <c r="A778" s="142">
        <f>IFERROR(__xludf.DUMMYFUNCTION("""COMPUTED_VALUE"""),85.0)</f>
        <v>85</v>
      </c>
      <c r="B778" t="str">
        <f>IFERROR(__xludf.DUMMYFUNCTION("""COMPUTED_VALUE"""),"TAA7674")</f>
        <v>TAA7674</v>
      </c>
      <c r="C778">
        <f>IFERROR(__xludf.DUMMYFUNCTION("""COMPUTED_VALUE"""),1017650.0)</f>
        <v>1017650</v>
      </c>
      <c r="D778" t="str">
        <f>IFERROR(__xludf.DUMMYFUNCTION("""COMPUTED_VALUE"""),"Ms.")</f>
        <v>Ms.</v>
      </c>
      <c r="E778" t="str">
        <f>IFERROR(__xludf.DUMMYFUNCTION("""COMPUTED_VALUE"""),"Sirikorn")</f>
        <v>Sirikorn</v>
      </c>
      <c r="F778" t="str">
        <f>IFERROR(__xludf.DUMMYFUNCTION("""COMPUTED_VALUE"""),"Saengnak")</f>
        <v>Saengnak</v>
      </c>
      <c r="G778" t="str">
        <f>IFERROR(__xludf.DUMMYFUNCTION("""COMPUTED_VALUE"""),"Sirikorn Saengnak")</f>
        <v>Sirikorn Saengnak</v>
      </c>
    </row>
    <row r="779">
      <c r="A779" s="142">
        <f>IFERROR(__xludf.DUMMYFUNCTION("""COMPUTED_VALUE"""),85.0)</f>
        <v>85</v>
      </c>
      <c r="B779" t="str">
        <f>IFERROR(__xludf.DUMMYFUNCTION("""COMPUTED_VALUE"""),"TAA7509")</f>
        <v>TAA7509</v>
      </c>
      <c r="C779">
        <f>IFERROR(__xludf.DUMMYFUNCTION("""COMPUTED_VALUE"""),1017651.0)</f>
        <v>1017651</v>
      </c>
      <c r="D779" t="str">
        <f>IFERROR(__xludf.DUMMYFUNCTION("""COMPUTED_VALUE"""),"Ms.")</f>
        <v>Ms.</v>
      </c>
      <c r="E779" t="str">
        <f>IFERROR(__xludf.DUMMYFUNCTION("""COMPUTED_VALUE"""),"Usana")</f>
        <v>Usana</v>
      </c>
      <c r="F779" t="str">
        <f>IFERROR(__xludf.DUMMYFUNCTION("""COMPUTED_VALUE"""),"Saepua")</f>
        <v>Saepua</v>
      </c>
      <c r="G779" t="str">
        <f>IFERROR(__xludf.DUMMYFUNCTION("""COMPUTED_VALUE"""),"Usana Saepua")</f>
        <v>Usana Saepua</v>
      </c>
    </row>
    <row r="780">
      <c r="A780" s="142">
        <f>IFERROR(__xludf.DUMMYFUNCTION("""COMPUTED_VALUE"""),85.0)</f>
        <v>85</v>
      </c>
      <c r="B780" t="str">
        <f>IFERROR(__xludf.DUMMYFUNCTION("""COMPUTED_VALUE"""),"TAA7521")</f>
        <v>TAA7521</v>
      </c>
      <c r="C780">
        <f>IFERROR(__xludf.DUMMYFUNCTION("""COMPUTED_VALUE"""),1017653.0)</f>
        <v>1017653</v>
      </c>
      <c r="D780" t="str">
        <f>IFERROR(__xludf.DUMMYFUNCTION("""COMPUTED_VALUE"""),"Mr.")</f>
        <v>Mr.</v>
      </c>
      <c r="E780" t="str">
        <f>IFERROR(__xludf.DUMMYFUNCTION("""COMPUTED_VALUE"""),"Wachiraphon")</f>
        <v>Wachiraphon</v>
      </c>
      <c r="F780" t="str">
        <f>IFERROR(__xludf.DUMMYFUNCTION("""COMPUTED_VALUE"""),"Lakbun")</f>
        <v>Lakbun</v>
      </c>
      <c r="G780" t="str">
        <f>IFERROR(__xludf.DUMMYFUNCTION("""COMPUTED_VALUE"""),"Wachiraphon Lakbun")</f>
        <v>Wachiraphon Lakbun</v>
      </c>
    </row>
    <row r="781">
      <c r="A781" s="142">
        <f>IFERROR(__xludf.DUMMYFUNCTION("""COMPUTED_VALUE"""),85.0)</f>
        <v>85</v>
      </c>
      <c r="B781" t="str">
        <f>IFERROR(__xludf.DUMMYFUNCTION("""COMPUTED_VALUE"""),"TAA7522")</f>
        <v>TAA7522</v>
      </c>
      <c r="C781">
        <f>IFERROR(__xludf.DUMMYFUNCTION("""COMPUTED_VALUE"""),1017655.0)</f>
        <v>1017655</v>
      </c>
      <c r="D781" t="str">
        <f>IFERROR(__xludf.DUMMYFUNCTION("""COMPUTED_VALUE"""),"Mr.")</f>
        <v>Mr.</v>
      </c>
      <c r="E781" t="str">
        <f>IFERROR(__xludf.DUMMYFUNCTION("""COMPUTED_VALUE"""),"Waris")</f>
        <v>Waris</v>
      </c>
      <c r="F781" t="str">
        <f>IFERROR(__xludf.DUMMYFUNCTION("""COMPUTED_VALUE"""),"Suaprasert")</f>
        <v>Suaprasert</v>
      </c>
      <c r="G781" t="str">
        <f>IFERROR(__xludf.DUMMYFUNCTION("""COMPUTED_VALUE"""),"Waris Suaprasert")</f>
        <v>Waris Suaprasert</v>
      </c>
    </row>
    <row r="782">
      <c r="A782" s="142">
        <f>IFERROR(__xludf.DUMMYFUNCTION("""COMPUTED_VALUE"""),85.0)</f>
        <v>85</v>
      </c>
      <c r="B782" t="str">
        <f>IFERROR(__xludf.DUMMYFUNCTION("""COMPUTED_VALUE"""),"TAA7518")</f>
        <v>TAA7518</v>
      </c>
      <c r="C782">
        <f>IFERROR(__xludf.DUMMYFUNCTION("""COMPUTED_VALUE"""),1017657.0)</f>
        <v>1017657</v>
      </c>
      <c r="D782" t="str">
        <f>IFERROR(__xludf.DUMMYFUNCTION("""COMPUTED_VALUE"""),"Mr.")</f>
        <v>Mr.</v>
      </c>
      <c r="E782" t="str">
        <f>IFERROR(__xludf.DUMMYFUNCTION("""COMPUTED_VALUE"""),"YANAKORN")</f>
        <v>YANAKORN</v>
      </c>
      <c r="F782" t="str">
        <f>IFERROR(__xludf.DUMMYFUNCTION("""COMPUTED_VALUE"""),"CHARNFUN")</f>
        <v>CHARNFUN</v>
      </c>
      <c r="G782" t="str">
        <f>IFERROR(__xludf.DUMMYFUNCTION("""COMPUTED_VALUE"""),"Yanakorn Charnfun")</f>
        <v>Yanakorn Charnfun</v>
      </c>
    </row>
    <row r="784">
      <c r="A784" s="142">
        <f>IFERROR(__xludf.DUMMYFUNCTION("""COMPUTED_VALUE"""),86.0)</f>
        <v>86</v>
      </c>
      <c r="B784" t="str">
        <f>IFERROR(__xludf.DUMMYFUNCTION("""COMPUTED_VALUE"""),"TAA7531")</f>
        <v>TAA7531</v>
      </c>
      <c r="C784">
        <f>IFERROR(__xludf.DUMMYFUNCTION("""COMPUTED_VALUE"""),1017919.0)</f>
        <v>1017919</v>
      </c>
      <c r="D784" t="str">
        <f>IFERROR(__xludf.DUMMYFUNCTION("""COMPUTED_VALUE"""),"Ms.")</f>
        <v>Ms.</v>
      </c>
      <c r="E784" t="str">
        <f>IFERROR(__xludf.DUMMYFUNCTION("""COMPUTED_VALUE"""),"Asanlaya")</f>
        <v>Asanlaya</v>
      </c>
      <c r="F784" t="str">
        <f>IFERROR(__xludf.DUMMYFUNCTION("""COMPUTED_VALUE"""),"Choomit")</f>
        <v>Choomit</v>
      </c>
      <c r="G784" t="str">
        <f>IFERROR(__xludf.DUMMYFUNCTION("""COMPUTED_VALUE"""),"Asanlaya Choomit")</f>
        <v>Asanlaya Choomit</v>
      </c>
    </row>
    <row r="785">
      <c r="A785" s="142">
        <f>IFERROR(__xludf.DUMMYFUNCTION("""COMPUTED_VALUE"""),86.0)</f>
        <v>86</v>
      </c>
      <c r="B785" t="str">
        <f>IFERROR(__xludf.DUMMYFUNCTION("""COMPUTED_VALUE"""),"TAA7536")</f>
        <v>TAA7536</v>
      </c>
      <c r="C785">
        <f>IFERROR(__xludf.DUMMYFUNCTION("""COMPUTED_VALUE"""),1017921.0)</f>
        <v>1017921</v>
      </c>
      <c r="D785" t="str">
        <f>IFERROR(__xludf.DUMMYFUNCTION("""COMPUTED_VALUE"""),"Ms.")</f>
        <v>Ms.</v>
      </c>
      <c r="E785" t="str">
        <f>IFERROR(__xludf.DUMMYFUNCTION("""COMPUTED_VALUE"""),"Chantakan")</f>
        <v>Chantakan</v>
      </c>
      <c r="F785" t="str">
        <f>IFERROR(__xludf.DUMMYFUNCTION("""COMPUTED_VALUE"""),"Choktapra")</f>
        <v>Choktapra</v>
      </c>
      <c r="G785" t="str">
        <f>IFERROR(__xludf.DUMMYFUNCTION("""COMPUTED_VALUE"""),"Chantakan Choktapra")</f>
        <v>Chantakan Choktapra</v>
      </c>
    </row>
    <row r="786">
      <c r="A786" s="142">
        <f>IFERROR(__xludf.DUMMYFUNCTION("""COMPUTED_VALUE"""),86.0)</f>
        <v>86</v>
      </c>
      <c r="B786" t="str">
        <f>IFERROR(__xludf.DUMMYFUNCTION("""COMPUTED_VALUE"""),"TAA7527")</f>
        <v>TAA7527</v>
      </c>
      <c r="C786">
        <f>IFERROR(__xludf.DUMMYFUNCTION("""COMPUTED_VALUE"""),1017922.0)</f>
        <v>1017922</v>
      </c>
      <c r="D786" t="str">
        <f>IFERROR(__xludf.DUMMYFUNCTION("""COMPUTED_VALUE"""),"Ms.")</f>
        <v>Ms.</v>
      </c>
      <c r="E786" t="str">
        <f>IFERROR(__xludf.DUMMYFUNCTION("""COMPUTED_VALUE"""),"Hathairat")</f>
        <v>Hathairat</v>
      </c>
      <c r="F786" t="str">
        <f>IFERROR(__xludf.DUMMYFUNCTION("""COMPUTED_VALUE"""),"Pongsavang")</f>
        <v>Pongsavang</v>
      </c>
      <c r="G786" t="str">
        <f>IFERROR(__xludf.DUMMYFUNCTION("""COMPUTED_VALUE"""),"Hathairat Pongsavang")</f>
        <v>Hathairat Pongsavang</v>
      </c>
    </row>
    <row r="787">
      <c r="A787" s="142">
        <f>IFERROR(__xludf.DUMMYFUNCTION("""COMPUTED_VALUE"""),86.0)</f>
        <v>86</v>
      </c>
      <c r="B787" t="str">
        <f>IFERROR(__xludf.DUMMYFUNCTION("""COMPUTED_VALUE"""),"TAA7532")</f>
        <v>TAA7532</v>
      </c>
      <c r="C787">
        <f>IFERROR(__xludf.DUMMYFUNCTION("""COMPUTED_VALUE"""),1017924.0)</f>
        <v>1017924</v>
      </c>
      <c r="D787" t="str">
        <f>IFERROR(__xludf.DUMMYFUNCTION("""COMPUTED_VALUE"""),"Ms.")</f>
        <v>Ms.</v>
      </c>
      <c r="E787" t="str">
        <f>IFERROR(__xludf.DUMMYFUNCTION("""COMPUTED_VALUE"""),"Natlada")</f>
        <v>Natlada</v>
      </c>
      <c r="F787" t="str">
        <f>IFERROR(__xludf.DUMMYFUNCTION("""COMPUTED_VALUE"""),"Jamnuch")</f>
        <v>Jamnuch</v>
      </c>
      <c r="G787" t="str">
        <f>IFERROR(__xludf.DUMMYFUNCTION("""COMPUTED_VALUE"""),"Natlada Jamnuch")</f>
        <v>Natlada Jamnuch</v>
      </c>
    </row>
    <row r="788">
      <c r="A788" s="142">
        <f>IFERROR(__xludf.DUMMYFUNCTION("""COMPUTED_VALUE"""),86.0)</f>
        <v>86</v>
      </c>
      <c r="B788" t="str">
        <f>IFERROR(__xludf.DUMMYFUNCTION("""COMPUTED_VALUE"""),"TAA7535")</f>
        <v>TAA7535</v>
      </c>
      <c r="C788">
        <f>IFERROR(__xludf.DUMMYFUNCTION("""COMPUTED_VALUE"""),1017926.0)</f>
        <v>1017926</v>
      </c>
      <c r="D788" t="str">
        <f>IFERROR(__xludf.DUMMYFUNCTION("""COMPUTED_VALUE"""),"Ms.")</f>
        <v>Ms.</v>
      </c>
      <c r="E788" t="str">
        <f>IFERROR(__xludf.DUMMYFUNCTION("""COMPUTED_VALUE"""),"Noppamanee")</f>
        <v>Noppamanee</v>
      </c>
      <c r="F788" t="str">
        <f>IFERROR(__xludf.DUMMYFUNCTION("""COMPUTED_VALUE"""),"Samranrat")</f>
        <v>Samranrat</v>
      </c>
      <c r="G788" t="str">
        <f>IFERROR(__xludf.DUMMYFUNCTION("""COMPUTED_VALUE"""),"Noppamanee Samranrat")</f>
        <v>Noppamanee Samranrat</v>
      </c>
    </row>
    <row r="789">
      <c r="A789" s="142">
        <f>IFERROR(__xludf.DUMMYFUNCTION("""COMPUTED_VALUE"""),86.0)</f>
        <v>86</v>
      </c>
      <c r="B789" t="str">
        <f>IFERROR(__xludf.DUMMYFUNCTION("""COMPUTED_VALUE"""),"TAA7542")</f>
        <v>TAA7542</v>
      </c>
      <c r="C789">
        <f>IFERROR(__xludf.DUMMYFUNCTION("""COMPUTED_VALUE"""),1017927.0)</f>
        <v>1017927</v>
      </c>
      <c r="D789" t="str">
        <f>IFERROR(__xludf.DUMMYFUNCTION("""COMPUTED_VALUE"""),"Ms.")</f>
        <v>Ms.</v>
      </c>
      <c r="E789" t="str">
        <f>IFERROR(__xludf.DUMMYFUNCTION("""COMPUTED_VALUE"""),"Ornusa")</f>
        <v>Ornusa</v>
      </c>
      <c r="F789" t="str">
        <f>IFERROR(__xludf.DUMMYFUNCTION("""COMPUTED_VALUE"""),"Ongsuwan")</f>
        <v>Ongsuwan</v>
      </c>
      <c r="G789" t="str">
        <f>IFERROR(__xludf.DUMMYFUNCTION("""COMPUTED_VALUE"""),"Ornusa Ongsuwan")</f>
        <v>Ornusa Ongsuwan</v>
      </c>
    </row>
    <row r="790">
      <c r="A790" s="142">
        <f>IFERROR(__xludf.DUMMYFUNCTION("""COMPUTED_VALUE"""),86.0)</f>
        <v>86</v>
      </c>
      <c r="B790" t="str">
        <f>IFERROR(__xludf.DUMMYFUNCTION("""COMPUTED_VALUE"""),"TAA7547")</f>
        <v>TAA7547</v>
      </c>
      <c r="C790">
        <f>IFERROR(__xludf.DUMMYFUNCTION("""COMPUTED_VALUE"""),1017931.0)</f>
        <v>1017931</v>
      </c>
      <c r="D790" t="str">
        <f>IFERROR(__xludf.DUMMYFUNCTION("""COMPUTED_VALUE"""),"Ms.")</f>
        <v>Ms.</v>
      </c>
      <c r="E790" t="str">
        <f>IFERROR(__xludf.DUMMYFUNCTION("""COMPUTED_VALUE"""),"Ploynisa")</f>
        <v>Ploynisa</v>
      </c>
      <c r="F790" t="str">
        <f>IFERROR(__xludf.DUMMYFUNCTION("""COMPUTED_VALUE"""),"Siriobmalee")</f>
        <v>Siriobmalee</v>
      </c>
      <c r="G790" t="str">
        <f>IFERROR(__xludf.DUMMYFUNCTION("""COMPUTED_VALUE"""),"Ploynisa Siriobmalee")</f>
        <v>Ploynisa Siriobmalee</v>
      </c>
    </row>
    <row r="791">
      <c r="A791" s="142">
        <f>IFERROR(__xludf.DUMMYFUNCTION("""COMPUTED_VALUE"""),86.0)</f>
        <v>86</v>
      </c>
      <c r="B791" t="str">
        <f>IFERROR(__xludf.DUMMYFUNCTION("""COMPUTED_VALUE"""),"TAA7530")</f>
        <v>TAA7530</v>
      </c>
      <c r="C791">
        <f>IFERROR(__xludf.DUMMYFUNCTION("""COMPUTED_VALUE"""),1017935.0)</f>
        <v>1017935</v>
      </c>
      <c r="D791" t="str">
        <f>IFERROR(__xludf.DUMMYFUNCTION("""COMPUTED_VALUE"""),"Ms.")</f>
        <v>Ms.</v>
      </c>
      <c r="E791" t="str">
        <f>IFERROR(__xludf.DUMMYFUNCTION("""COMPUTED_VALUE"""),"Supitcha")</f>
        <v>Supitcha</v>
      </c>
      <c r="F791" t="str">
        <f>IFERROR(__xludf.DUMMYFUNCTION("""COMPUTED_VALUE"""),"Chansiri")</f>
        <v>Chansiri</v>
      </c>
      <c r="G791" t="str">
        <f>IFERROR(__xludf.DUMMYFUNCTION("""COMPUTED_VALUE"""),"Supitcha Chansiri")</f>
        <v>Supitcha Chansiri</v>
      </c>
    </row>
    <row r="793">
      <c r="A793" s="142">
        <f>IFERROR(__xludf.DUMMYFUNCTION("""COMPUTED_VALUE"""),87.0)</f>
        <v>87</v>
      </c>
      <c r="B793" t="str">
        <f>IFERROR(__xludf.DUMMYFUNCTION("""COMPUTED_VALUE"""),"TAA5405")</f>
        <v>TAA5405</v>
      </c>
      <c r="C793">
        <f>IFERROR(__xludf.DUMMYFUNCTION("""COMPUTED_VALUE"""),1008690.0)</f>
        <v>1008690</v>
      </c>
      <c r="D793" t="str">
        <f>IFERROR(__xludf.DUMMYFUNCTION("""COMPUTED_VALUE"""),"Mr.")</f>
        <v>Mr.</v>
      </c>
      <c r="E793" t="str">
        <f>IFERROR(__xludf.DUMMYFUNCTION("""COMPUTED_VALUE"""),"Pongsathorn")</f>
        <v>Pongsathorn</v>
      </c>
      <c r="F793" t="str">
        <f>IFERROR(__xludf.DUMMYFUNCTION("""COMPUTED_VALUE"""),"Khampangsri")</f>
        <v>Khampangsri</v>
      </c>
      <c r="G793" t="str">
        <f>IFERROR(__xludf.DUMMYFUNCTION("""COMPUTED_VALUE"""),"Pongsathorn Khampangsri")</f>
        <v>Pongsathorn Khampangsri</v>
      </c>
    </row>
    <row r="794">
      <c r="A794" s="142">
        <f>IFERROR(__xludf.DUMMYFUNCTION("""COMPUTED_VALUE"""),87.0)</f>
        <v>87</v>
      </c>
      <c r="B794" t="str">
        <f>IFERROR(__xludf.DUMMYFUNCTION("""COMPUTED_VALUE"""),"TAA5805")</f>
        <v>TAA5805</v>
      </c>
      <c r="C794">
        <f>IFERROR(__xludf.DUMMYFUNCTION("""COMPUTED_VALUE"""),1009510.0)</f>
        <v>1009510</v>
      </c>
      <c r="D794" t="str">
        <f>IFERROR(__xludf.DUMMYFUNCTION("""COMPUTED_VALUE"""),"Mr.")</f>
        <v>Mr.</v>
      </c>
      <c r="E794" t="str">
        <f>IFERROR(__xludf.DUMMYFUNCTION("""COMPUTED_VALUE"""),"Kitti")</f>
        <v>Kitti</v>
      </c>
      <c r="F794" t="str">
        <f>IFERROR(__xludf.DUMMYFUNCTION("""COMPUTED_VALUE"""),"Mangkalad")</f>
        <v>Mangkalad</v>
      </c>
      <c r="G794" t="str">
        <f>IFERROR(__xludf.DUMMYFUNCTION("""COMPUTED_VALUE"""),"Kitti Mangkalad")</f>
        <v>Kitti Mangkalad</v>
      </c>
    </row>
    <row r="795">
      <c r="A795" s="142">
        <f>IFERROR(__xludf.DUMMYFUNCTION("""COMPUTED_VALUE"""),87.0)</f>
        <v>87</v>
      </c>
      <c r="B795" t="str">
        <f>IFERROR(__xludf.DUMMYFUNCTION("""COMPUTED_VALUE"""),"TAA7769")</f>
        <v>TAA7769</v>
      </c>
      <c r="C795">
        <f>IFERROR(__xludf.DUMMYFUNCTION("""COMPUTED_VALUE"""),1018529.0)</f>
        <v>1018529</v>
      </c>
      <c r="D795" t="str">
        <f>IFERROR(__xludf.DUMMYFUNCTION("""COMPUTED_VALUE"""),"Ms.")</f>
        <v>Ms.</v>
      </c>
      <c r="E795" t="str">
        <f>IFERROR(__xludf.DUMMYFUNCTION("""COMPUTED_VALUE"""),"Apichaya")</f>
        <v>Apichaya</v>
      </c>
      <c r="F795" t="str">
        <f>IFERROR(__xludf.DUMMYFUNCTION("""COMPUTED_VALUE"""),"Bureesri")</f>
        <v>Bureesri</v>
      </c>
      <c r="G795" t="str">
        <f>IFERROR(__xludf.DUMMYFUNCTION("""COMPUTED_VALUE"""),"Apichaya Bureesri")</f>
        <v>Apichaya Bureesri</v>
      </c>
    </row>
    <row r="796">
      <c r="A796" s="142">
        <f>IFERROR(__xludf.DUMMYFUNCTION("""COMPUTED_VALUE"""),87.0)</f>
        <v>87</v>
      </c>
      <c r="B796" t="str">
        <f>IFERROR(__xludf.DUMMYFUNCTION("""COMPUTED_VALUE"""),"TAA7750")</f>
        <v>TAA7750</v>
      </c>
      <c r="C796">
        <f>IFERROR(__xludf.DUMMYFUNCTION("""COMPUTED_VALUE"""),1018530.0)</f>
        <v>1018530</v>
      </c>
      <c r="D796" t="str">
        <f>IFERROR(__xludf.DUMMYFUNCTION("""COMPUTED_VALUE"""),"Ms.")</f>
        <v>Ms.</v>
      </c>
      <c r="E796" t="str">
        <f>IFERROR(__xludf.DUMMYFUNCTION("""COMPUTED_VALUE"""),"Chaniporn")</f>
        <v>Chaniporn</v>
      </c>
      <c r="F796" t="str">
        <f>IFERROR(__xludf.DUMMYFUNCTION("""COMPUTED_VALUE"""),"Thanaworrapak")</f>
        <v>Thanaworrapak</v>
      </c>
      <c r="G796" t="str">
        <f>IFERROR(__xludf.DUMMYFUNCTION("""COMPUTED_VALUE"""),"Chaniporn Thanaworrapak")</f>
        <v>Chaniporn Thanaworrapak</v>
      </c>
    </row>
    <row r="797">
      <c r="A797" s="142">
        <f>IFERROR(__xludf.DUMMYFUNCTION("""COMPUTED_VALUE"""),87.0)</f>
        <v>87</v>
      </c>
      <c r="B797" t="str">
        <f>IFERROR(__xludf.DUMMYFUNCTION("""COMPUTED_VALUE"""),"TAA7752")</f>
        <v>TAA7752</v>
      </c>
      <c r="C797">
        <f>IFERROR(__xludf.DUMMYFUNCTION("""COMPUTED_VALUE"""),1018531.0)</f>
        <v>1018531</v>
      </c>
      <c r="D797" t="str">
        <f>IFERROR(__xludf.DUMMYFUNCTION("""COMPUTED_VALUE"""),"Mr.")</f>
        <v>Mr.</v>
      </c>
      <c r="E797" t="str">
        <f>IFERROR(__xludf.DUMMYFUNCTION("""COMPUTED_VALUE"""),"Chawit")</f>
        <v>Chawit</v>
      </c>
      <c r="F797" t="str">
        <f>IFERROR(__xludf.DUMMYFUNCTION("""COMPUTED_VALUE"""),"Donsawee")</f>
        <v>Donsawee</v>
      </c>
      <c r="G797" t="str">
        <f>IFERROR(__xludf.DUMMYFUNCTION("""COMPUTED_VALUE"""),"Chawit Donsawee")</f>
        <v>Chawit Donsawee</v>
      </c>
    </row>
    <row r="798">
      <c r="A798" s="142">
        <f>IFERROR(__xludf.DUMMYFUNCTION("""COMPUTED_VALUE"""),87.0)</f>
        <v>87</v>
      </c>
      <c r="B798" t="str">
        <f>IFERROR(__xludf.DUMMYFUNCTION("""COMPUTED_VALUE"""),"TAA7753")</f>
        <v>TAA7753</v>
      </c>
      <c r="C798">
        <f>IFERROR(__xludf.DUMMYFUNCTION("""COMPUTED_VALUE"""),1018532.0)</f>
        <v>1018532</v>
      </c>
      <c r="D798" t="str">
        <f>IFERROR(__xludf.DUMMYFUNCTION("""COMPUTED_VALUE"""),"Mr.")</f>
        <v>Mr.</v>
      </c>
      <c r="E798" t="str">
        <f>IFERROR(__xludf.DUMMYFUNCTION("""COMPUTED_VALUE"""),"Kantachet")</f>
        <v>Kantachet</v>
      </c>
      <c r="F798" t="str">
        <f>IFERROR(__xludf.DUMMYFUNCTION("""COMPUTED_VALUE"""),"Boonserm")</f>
        <v>Boonserm</v>
      </c>
      <c r="G798" t="str">
        <f>IFERROR(__xludf.DUMMYFUNCTION("""COMPUTED_VALUE"""),"Kantachet Boonserm")</f>
        <v>Kantachet Boonserm</v>
      </c>
    </row>
    <row r="799">
      <c r="A799" s="142">
        <f>IFERROR(__xludf.DUMMYFUNCTION("""COMPUTED_VALUE"""),87.0)</f>
        <v>87</v>
      </c>
      <c r="B799" t="str">
        <f>IFERROR(__xludf.DUMMYFUNCTION("""COMPUTED_VALUE"""),"TAA7773")</f>
        <v>TAA7773</v>
      </c>
      <c r="C799">
        <f>IFERROR(__xludf.DUMMYFUNCTION("""COMPUTED_VALUE"""),1018533.0)</f>
        <v>1018533</v>
      </c>
      <c r="D799" t="str">
        <f>IFERROR(__xludf.DUMMYFUNCTION("""COMPUTED_VALUE"""),"Ms.")</f>
        <v>Ms.</v>
      </c>
      <c r="E799" t="str">
        <f>IFERROR(__xludf.DUMMYFUNCTION("""COMPUTED_VALUE"""),"Kunjira")</f>
        <v>Kunjira</v>
      </c>
      <c r="F799" t="str">
        <f>IFERROR(__xludf.DUMMYFUNCTION("""COMPUTED_VALUE"""),"Jirawarodom")</f>
        <v>Jirawarodom</v>
      </c>
      <c r="G799" t="str">
        <f>IFERROR(__xludf.DUMMYFUNCTION("""COMPUTED_VALUE"""),"Kunjira Jirawarodom")</f>
        <v>Kunjira Jirawarodom</v>
      </c>
    </row>
    <row r="800">
      <c r="A800" s="142">
        <f>IFERROR(__xludf.DUMMYFUNCTION("""COMPUTED_VALUE"""),87.0)</f>
        <v>87</v>
      </c>
      <c r="B800" t="str">
        <f>IFERROR(__xludf.DUMMYFUNCTION("""COMPUTED_VALUE"""),"TAA7767")</f>
        <v>TAA7767</v>
      </c>
      <c r="C800">
        <f>IFERROR(__xludf.DUMMYFUNCTION("""COMPUTED_VALUE"""),1018535.0)</f>
        <v>1018535</v>
      </c>
      <c r="D800" t="str">
        <f>IFERROR(__xludf.DUMMYFUNCTION("""COMPUTED_VALUE"""),"Mr.")</f>
        <v>Mr.</v>
      </c>
      <c r="E800" t="str">
        <f>IFERROR(__xludf.DUMMYFUNCTION("""COMPUTED_VALUE"""),"Nawapu ")</f>
        <v>Nawapu </v>
      </c>
      <c r="F800" t="str">
        <f>IFERROR(__xludf.DUMMYFUNCTION("""COMPUTED_VALUE"""),"Dontaolek")</f>
        <v>Dontaolek</v>
      </c>
      <c r="G800" t="str">
        <f>IFERROR(__xludf.DUMMYFUNCTION("""COMPUTED_VALUE"""),"Nawapu Dontaolek")</f>
        <v>Nawapu Dontaolek</v>
      </c>
    </row>
    <row r="801">
      <c r="A801" s="142">
        <f>IFERROR(__xludf.DUMMYFUNCTION("""COMPUTED_VALUE"""),87.0)</f>
        <v>87</v>
      </c>
      <c r="B801" t="str">
        <f>IFERROR(__xludf.DUMMYFUNCTION("""COMPUTED_VALUE"""),"TAA7768")</f>
        <v>TAA7768</v>
      </c>
      <c r="C801">
        <f>IFERROR(__xludf.DUMMYFUNCTION("""COMPUTED_VALUE"""),1018536.0)</f>
        <v>1018536</v>
      </c>
      <c r="D801" t="str">
        <f>IFERROR(__xludf.DUMMYFUNCTION("""COMPUTED_VALUE"""),"Mr.")</f>
        <v>Mr.</v>
      </c>
      <c r="E801" t="str">
        <f>IFERROR(__xludf.DUMMYFUNCTION("""COMPUTED_VALUE"""),"Prakobchai")</f>
        <v>Prakobchai</v>
      </c>
      <c r="F801" t="str">
        <f>IFERROR(__xludf.DUMMYFUNCTION("""COMPUTED_VALUE"""),"Kwansri")</f>
        <v>Kwansri</v>
      </c>
      <c r="G801" t="str">
        <f>IFERROR(__xludf.DUMMYFUNCTION("""COMPUTED_VALUE"""),"Prakobchai Kwansri")</f>
        <v>Prakobchai Kwansri</v>
      </c>
    </row>
    <row r="802">
      <c r="A802" s="142">
        <f>IFERROR(__xludf.DUMMYFUNCTION("""COMPUTED_VALUE"""),87.0)</f>
        <v>87</v>
      </c>
      <c r="B802" t="str">
        <f>IFERROR(__xludf.DUMMYFUNCTION("""COMPUTED_VALUE"""),"TAA7539")</f>
        <v>TAA7539</v>
      </c>
      <c r="C802">
        <f>IFERROR(__xludf.DUMMYFUNCTION("""COMPUTED_VALUE"""),1018541.0)</f>
        <v>1018541</v>
      </c>
      <c r="D802" t="str">
        <f>IFERROR(__xludf.DUMMYFUNCTION("""COMPUTED_VALUE"""),"Ms.")</f>
        <v>Ms.</v>
      </c>
      <c r="E802" t="str">
        <f>IFERROR(__xludf.DUMMYFUNCTION("""COMPUTED_VALUE"""),"Suwisa")</f>
        <v>Suwisa</v>
      </c>
      <c r="F802" t="str">
        <f>IFERROR(__xludf.DUMMYFUNCTION("""COMPUTED_VALUE"""),"Panyanual")</f>
        <v>Panyanual</v>
      </c>
      <c r="G802" t="str">
        <f>IFERROR(__xludf.DUMMYFUNCTION("""COMPUTED_VALUE"""),"Suwisa Panyanual")</f>
        <v>Suwisa Panyanual</v>
      </c>
    </row>
    <row r="803">
      <c r="A803" s="142">
        <f>IFERROR(__xludf.DUMMYFUNCTION("""COMPUTED_VALUE"""),87.0)</f>
        <v>87</v>
      </c>
      <c r="B803" t="str">
        <f>IFERROR(__xludf.DUMMYFUNCTION("""COMPUTED_VALUE"""),"TAA7771")</f>
        <v>TAA7771</v>
      </c>
      <c r="C803">
        <f>IFERROR(__xludf.DUMMYFUNCTION("""COMPUTED_VALUE"""),1018534.0)</f>
        <v>1018534</v>
      </c>
      <c r="D803" t="str">
        <f>IFERROR(__xludf.DUMMYFUNCTION("""COMPUTED_VALUE"""),"Mr.")</f>
        <v>Mr.</v>
      </c>
      <c r="E803" t="str">
        <f>IFERROR(__xludf.DUMMYFUNCTION("""COMPUTED_VALUE"""),"Naphop")</f>
        <v>Naphop</v>
      </c>
      <c r="F803" t="str">
        <f>IFERROR(__xludf.DUMMYFUNCTION("""COMPUTED_VALUE"""),"Khoonphonsiri")</f>
        <v>Khoonphonsiri</v>
      </c>
      <c r="G803" t="str">
        <f>IFERROR(__xludf.DUMMYFUNCTION("""COMPUTED_VALUE"""),"Naphop Khoonphonsiri")</f>
        <v>Naphop Khoonphonsiri</v>
      </c>
    </row>
    <row r="804">
      <c r="A804" s="142">
        <f>IFERROR(__xludf.DUMMYFUNCTION("""COMPUTED_VALUE"""),87.0)</f>
        <v>87</v>
      </c>
      <c r="B804" t="str">
        <f>IFERROR(__xludf.DUMMYFUNCTION("""COMPUTED_VALUE"""),"TAA7541")</f>
        <v>TAA7541</v>
      </c>
      <c r="C804">
        <f>IFERROR(__xludf.DUMMYFUNCTION("""COMPUTED_VALUE"""),1018543.0)</f>
        <v>1018543</v>
      </c>
      <c r="D804" t="str">
        <f>IFERROR(__xludf.DUMMYFUNCTION("""COMPUTED_VALUE"""),"Mr.")</f>
        <v>Mr.</v>
      </c>
      <c r="E804" t="str">
        <f>IFERROR(__xludf.DUMMYFUNCTION("""COMPUTED_VALUE"""),"Tanawat")</f>
        <v>Tanawat</v>
      </c>
      <c r="F804" t="str">
        <f>IFERROR(__xludf.DUMMYFUNCTION("""COMPUTED_VALUE"""),"Prasansuk")</f>
        <v>Prasansuk</v>
      </c>
      <c r="G804" t="str">
        <f>IFERROR(__xludf.DUMMYFUNCTION("""COMPUTED_VALUE"""),"Tanawat Prasansuk")</f>
        <v>Tanawat Prasansuk</v>
      </c>
    </row>
    <row r="806">
      <c r="A806" s="142">
        <f>IFERROR(__xludf.DUMMYFUNCTION("""COMPUTED_VALUE"""),88.0)</f>
        <v>88</v>
      </c>
      <c r="B806" t="str">
        <f>IFERROR(__xludf.DUMMYFUNCTION("""COMPUTED_VALUE"""),"TAA7763")</f>
        <v>TAA7763</v>
      </c>
      <c r="C806">
        <f>IFERROR(__xludf.DUMMYFUNCTION("""COMPUTED_VALUE"""),1018784.0)</f>
        <v>1018784</v>
      </c>
      <c r="D806" t="str">
        <f>IFERROR(__xludf.DUMMYFUNCTION("""COMPUTED_VALUE"""),"Mr.")</f>
        <v>Mr.</v>
      </c>
      <c r="E806" t="str">
        <f>IFERROR(__xludf.DUMMYFUNCTION("""COMPUTED_VALUE"""),"Apirak")</f>
        <v>Apirak</v>
      </c>
      <c r="F806" t="str">
        <f>IFERROR(__xludf.DUMMYFUNCTION("""COMPUTED_VALUE"""),"Thongpiyaphoom")</f>
        <v>Thongpiyaphoom</v>
      </c>
      <c r="G806" t="str">
        <f>IFERROR(__xludf.DUMMYFUNCTION("""COMPUTED_VALUE"""),"Apirak Thongpiyaphoom")</f>
        <v>Apirak Thongpiyaphoom</v>
      </c>
    </row>
    <row r="807">
      <c r="A807" s="142">
        <f>IFERROR(__xludf.DUMMYFUNCTION("""COMPUTED_VALUE"""),88.0)</f>
        <v>88</v>
      </c>
      <c r="B807" t="str">
        <f>IFERROR(__xludf.DUMMYFUNCTION("""COMPUTED_VALUE"""),"TAA7755")</f>
        <v>TAA7755</v>
      </c>
      <c r="C807">
        <f>IFERROR(__xludf.DUMMYFUNCTION("""COMPUTED_VALUE"""),1018789.0)</f>
        <v>1018789</v>
      </c>
      <c r="D807" t="str">
        <f>IFERROR(__xludf.DUMMYFUNCTION("""COMPUTED_VALUE"""),"Ms.")</f>
        <v>Ms.</v>
      </c>
      <c r="E807" t="str">
        <f>IFERROR(__xludf.DUMMYFUNCTION("""COMPUTED_VALUE"""),"Jaruwan")</f>
        <v>Jaruwan</v>
      </c>
      <c r="F807" t="str">
        <f>IFERROR(__xludf.DUMMYFUNCTION("""COMPUTED_VALUE"""),"Junjitjingjai")</f>
        <v>Junjitjingjai</v>
      </c>
      <c r="G807" t="str">
        <f>IFERROR(__xludf.DUMMYFUNCTION("""COMPUTED_VALUE"""),"Jaruwan Junjitjingjai")</f>
        <v>Jaruwan Junjitjingjai</v>
      </c>
    </row>
    <row r="808">
      <c r="A808" s="142">
        <f>IFERROR(__xludf.DUMMYFUNCTION("""COMPUTED_VALUE"""),88.0)</f>
        <v>88</v>
      </c>
      <c r="B808" t="str">
        <f>IFERROR(__xludf.DUMMYFUNCTION("""COMPUTED_VALUE"""),"TAA7762")</f>
        <v>TAA7762</v>
      </c>
      <c r="C808">
        <f>IFERROR(__xludf.DUMMYFUNCTION("""COMPUTED_VALUE"""),1018790.0)</f>
        <v>1018790</v>
      </c>
      <c r="D808" t="str">
        <f>IFERROR(__xludf.DUMMYFUNCTION("""COMPUTED_VALUE"""),"Ms.")</f>
        <v>Ms.</v>
      </c>
      <c r="E808" t="str">
        <f>IFERROR(__xludf.DUMMYFUNCTION("""COMPUTED_VALUE"""),"Julalak")</f>
        <v>Julalak</v>
      </c>
      <c r="F808" t="str">
        <f>IFERROR(__xludf.DUMMYFUNCTION("""COMPUTED_VALUE"""),"Tansakul")</f>
        <v>Tansakul</v>
      </c>
      <c r="G808" t="str">
        <f>IFERROR(__xludf.DUMMYFUNCTION("""COMPUTED_VALUE"""),"Julalak Tansakul")</f>
        <v>Julalak Tansakul</v>
      </c>
    </row>
    <row r="809">
      <c r="A809" s="142">
        <f>IFERROR(__xludf.DUMMYFUNCTION("""COMPUTED_VALUE"""),88.0)</f>
        <v>88</v>
      </c>
      <c r="B809" t="str">
        <f>IFERROR(__xludf.DUMMYFUNCTION("""COMPUTED_VALUE"""),"TAA7828")</f>
        <v>TAA7828</v>
      </c>
      <c r="C809">
        <f>IFERROR(__xludf.DUMMYFUNCTION("""COMPUTED_VALUE"""),1018791.0)</f>
        <v>1018791</v>
      </c>
      <c r="D809" t="str">
        <f>IFERROR(__xludf.DUMMYFUNCTION("""COMPUTED_VALUE"""),"Mr.")</f>
        <v>Mr.</v>
      </c>
      <c r="E809" t="str">
        <f>IFERROR(__xludf.DUMMYFUNCTION("""COMPUTED_VALUE"""),"Kitdanai")</f>
        <v>Kitdanai</v>
      </c>
      <c r="F809" t="str">
        <f>IFERROR(__xludf.DUMMYFUNCTION("""COMPUTED_VALUE"""),"Tiantanawit")</f>
        <v>Tiantanawit</v>
      </c>
      <c r="G809" t="str">
        <f>IFERROR(__xludf.DUMMYFUNCTION("""COMPUTED_VALUE"""),"Kitdanai Tiantanawit")</f>
        <v>Kitdanai Tiantanawit</v>
      </c>
    </row>
    <row r="810">
      <c r="A810" s="142">
        <f>IFERROR(__xludf.DUMMYFUNCTION("""COMPUTED_VALUE"""),88.0)</f>
        <v>88</v>
      </c>
      <c r="B810" t="str">
        <f>IFERROR(__xludf.DUMMYFUNCTION("""COMPUTED_VALUE"""),"TAA7761")</f>
        <v>TAA7761</v>
      </c>
      <c r="C810">
        <f>IFERROR(__xludf.DUMMYFUNCTION("""COMPUTED_VALUE"""),1018793.0)</f>
        <v>1018793</v>
      </c>
      <c r="D810" t="str">
        <f>IFERROR(__xludf.DUMMYFUNCTION("""COMPUTED_VALUE"""),"Ms.")</f>
        <v>Ms.</v>
      </c>
      <c r="E810" t="str">
        <f>IFERROR(__xludf.DUMMYFUNCTION("""COMPUTED_VALUE"""),"Papassarin(Korrachat)")</f>
        <v>Papassarin(Korrachat)</v>
      </c>
      <c r="F810" t="str">
        <f>IFERROR(__xludf.DUMMYFUNCTION("""COMPUTED_VALUE"""),"Lertbussarasit(Koytaranon)")</f>
        <v>Lertbussarasit(Koytaranon)</v>
      </c>
      <c r="G810" t="str">
        <f>IFERROR(__xludf.DUMMYFUNCTION("""COMPUTED_VALUE"""),"Papassarin Lertbussarasit")</f>
        <v>Papassarin Lertbussarasit</v>
      </c>
    </row>
    <row r="811">
      <c r="A811" s="142">
        <f>IFERROR(__xludf.DUMMYFUNCTION("""COMPUTED_VALUE"""),88.0)</f>
        <v>88</v>
      </c>
      <c r="B811" t="str">
        <f>IFERROR(__xludf.DUMMYFUNCTION("""COMPUTED_VALUE"""),"TAA7758")</f>
        <v>TAA7758</v>
      </c>
      <c r="C811">
        <f>IFERROR(__xludf.DUMMYFUNCTION("""COMPUTED_VALUE"""),1018794.0)</f>
        <v>1018794</v>
      </c>
      <c r="D811" t="str">
        <f>IFERROR(__xludf.DUMMYFUNCTION("""COMPUTED_VALUE"""),"Ms.")</f>
        <v>Ms.</v>
      </c>
      <c r="E811" t="str">
        <f>IFERROR(__xludf.DUMMYFUNCTION("""COMPUTED_VALUE"""),"Kotchakron")</f>
        <v>Kotchakron</v>
      </c>
      <c r="F811" t="str">
        <f>IFERROR(__xludf.DUMMYFUNCTION("""COMPUTED_VALUE"""),"Chimnoi")</f>
        <v>Chimnoi</v>
      </c>
      <c r="G811" t="str">
        <f>IFERROR(__xludf.DUMMYFUNCTION("""COMPUTED_VALUE"""),"Kotchakron Chimnoi")</f>
        <v>Kotchakron Chimnoi</v>
      </c>
    </row>
    <row r="812">
      <c r="A812" s="142">
        <f>IFERROR(__xludf.DUMMYFUNCTION("""COMPUTED_VALUE"""),88.0)</f>
        <v>88</v>
      </c>
      <c r="B812" t="str">
        <f>IFERROR(__xludf.DUMMYFUNCTION("""COMPUTED_VALUE"""),"TAA7759")</f>
        <v>TAA7759</v>
      </c>
      <c r="C812">
        <f>IFERROR(__xludf.DUMMYFUNCTION("""COMPUTED_VALUE"""),1018801.0)</f>
        <v>1018801</v>
      </c>
      <c r="D812" t="str">
        <f>IFERROR(__xludf.DUMMYFUNCTION("""COMPUTED_VALUE"""),"Mr.")</f>
        <v>Mr.</v>
      </c>
      <c r="E812" t="str">
        <f>IFERROR(__xludf.DUMMYFUNCTION("""COMPUTED_VALUE"""),"Nattapong")</f>
        <v>Nattapong</v>
      </c>
      <c r="F812" t="str">
        <f>IFERROR(__xludf.DUMMYFUNCTION("""COMPUTED_VALUE"""),"Lekkhum")</f>
        <v>Lekkhum</v>
      </c>
      <c r="G812" t="str">
        <f>IFERROR(__xludf.DUMMYFUNCTION("""COMPUTED_VALUE"""),"Nattapong Lekkhum")</f>
        <v>Nattapong Lekkhum</v>
      </c>
    </row>
    <row r="813">
      <c r="A813" s="142">
        <f>IFERROR(__xludf.DUMMYFUNCTION("""COMPUTED_VALUE"""),88.0)</f>
        <v>88</v>
      </c>
      <c r="B813" t="str">
        <f>IFERROR(__xludf.DUMMYFUNCTION("""COMPUTED_VALUE"""),"TAA7833")</f>
        <v>TAA7833</v>
      </c>
      <c r="C813">
        <f>IFERROR(__xludf.DUMMYFUNCTION("""COMPUTED_VALUE"""),1018803.0)</f>
        <v>1018803</v>
      </c>
      <c r="D813" t="str">
        <f>IFERROR(__xludf.DUMMYFUNCTION("""COMPUTED_VALUE"""),"Ms.")</f>
        <v>Ms.</v>
      </c>
      <c r="E813" t="str">
        <f>IFERROR(__xludf.DUMMYFUNCTION("""COMPUTED_VALUE"""),"Natthaphon")</f>
        <v>Natthaphon</v>
      </c>
      <c r="F813" t="str">
        <f>IFERROR(__xludf.DUMMYFUNCTION("""COMPUTED_VALUE"""),"Poosomchit")</f>
        <v>Poosomchit</v>
      </c>
      <c r="G813" t="str">
        <f>IFERROR(__xludf.DUMMYFUNCTION("""COMPUTED_VALUE"""),"Natthaphon Poosomchit")</f>
        <v>Natthaphon Poosomchit</v>
      </c>
    </row>
    <row r="814">
      <c r="A814" s="142">
        <f>IFERROR(__xludf.DUMMYFUNCTION("""COMPUTED_VALUE"""),88.0)</f>
        <v>88</v>
      </c>
      <c r="B814" t="str">
        <f>IFERROR(__xludf.DUMMYFUNCTION("""COMPUTED_VALUE"""),"TAA7831")</f>
        <v>TAA7831</v>
      </c>
      <c r="C814">
        <f>IFERROR(__xludf.DUMMYFUNCTION("""COMPUTED_VALUE"""),1018804.0)</f>
        <v>1018804</v>
      </c>
      <c r="D814" t="str">
        <f>IFERROR(__xludf.DUMMYFUNCTION("""COMPUTED_VALUE"""),"Mr.")</f>
        <v>Mr.</v>
      </c>
      <c r="E814" t="str">
        <f>IFERROR(__xludf.DUMMYFUNCTION("""COMPUTED_VALUE"""),"Noppadol")</f>
        <v>Noppadol</v>
      </c>
      <c r="F814" t="str">
        <f>IFERROR(__xludf.DUMMYFUNCTION("""COMPUTED_VALUE"""),"Utthiya")</f>
        <v>Utthiya</v>
      </c>
      <c r="G814" t="str">
        <f>IFERROR(__xludf.DUMMYFUNCTION("""COMPUTED_VALUE"""),"Noppadol Utthiya")</f>
        <v>Noppadol Utthiya</v>
      </c>
    </row>
    <row r="815">
      <c r="A815" s="142">
        <f>IFERROR(__xludf.DUMMYFUNCTION("""COMPUTED_VALUE"""),88.0)</f>
        <v>88</v>
      </c>
      <c r="B815" t="str">
        <f>IFERROR(__xludf.DUMMYFUNCTION("""COMPUTED_VALUE"""),"TAA7827")</f>
        <v>TAA7827</v>
      </c>
      <c r="C815">
        <f>IFERROR(__xludf.DUMMYFUNCTION("""COMPUTED_VALUE"""),1018806.0)</f>
        <v>1018806</v>
      </c>
      <c r="D815" t="str">
        <f>IFERROR(__xludf.DUMMYFUNCTION("""COMPUTED_VALUE"""),"Ms.")</f>
        <v>Ms.</v>
      </c>
      <c r="E815" t="str">
        <f>IFERROR(__xludf.DUMMYFUNCTION("""COMPUTED_VALUE"""),"Penrat")</f>
        <v>Penrat</v>
      </c>
      <c r="F815" t="str">
        <f>IFERROR(__xludf.DUMMYFUNCTION("""COMPUTED_VALUE"""),"Srinawakul")</f>
        <v>Srinawakul</v>
      </c>
      <c r="G815" t="str">
        <f>IFERROR(__xludf.DUMMYFUNCTION("""COMPUTED_VALUE"""),"Penrat Srinawakul")</f>
        <v>Penrat Srinawakul</v>
      </c>
    </row>
    <row r="816">
      <c r="A816" s="142">
        <f>IFERROR(__xludf.DUMMYFUNCTION("""COMPUTED_VALUE"""),88.0)</f>
        <v>88</v>
      </c>
      <c r="B816" t="str">
        <f>IFERROR(__xludf.DUMMYFUNCTION("""COMPUTED_VALUE"""),"TAA7772")</f>
        <v>TAA7772</v>
      </c>
      <c r="C816">
        <f>IFERROR(__xludf.DUMMYFUNCTION("""COMPUTED_VALUE"""),1018807.0)</f>
        <v>1018807</v>
      </c>
      <c r="D816" t="str">
        <f>IFERROR(__xludf.DUMMYFUNCTION("""COMPUTED_VALUE"""),"Ms.")</f>
        <v>Ms.</v>
      </c>
      <c r="E816" t="str">
        <f>IFERROR(__xludf.DUMMYFUNCTION("""COMPUTED_VALUE"""),"Prapassorn")</f>
        <v>Prapassorn</v>
      </c>
      <c r="F816" t="str">
        <f>IFERROR(__xludf.DUMMYFUNCTION("""COMPUTED_VALUE"""),"Soonsorn")</f>
        <v>Soonsorn</v>
      </c>
      <c r="G816" t="str">
        <f>IFERROR(__xludf.DUMMYFUNCTION("""COMPUTED_VALUE"""),"Prapassorn Soonsorn")</f>
        <v>Prapassorn Soonsorn</v>
      </c>
    </row>
    <row r="817">
      <c r="A817" s="142">
        <f>IFERROR(__xludf.DUMMYFUNCTION("""COMPUTED_VALUE"""),88.0)</f>
        <v>88</v>
      </c>
      <c r="B817" t="str">
        <f>IFERROR(__xludf.DUMMYFUNCTION("""COMPUTED_VALUE"""),"TAA7754")</f>
        <v>TAA7754</v>
      </c>
      <c r="C817">
        <f>IFERROR(__xludf.DUMMYFUNCTION("""COMPUTED_VALUE"""),1018813.0)</f>
        <v>1018813</v>
      </c>
      <c r="D817" t="str">
        <f>IFERROR(__xludf.DUMMYFUNCTION("""COMPUTED_VALUE"""),"Mr.")</f>
        <v>Mr.</v>
      </c>
      <c r="E817" t="str">
        <f>IFERROR(__xludf.DUMMYFUNCTION("""COMPUTED_VALUE"""),"Takwa")</f>
        <v>Takwa</v>
      </c>
      <c r="F817" t="str">
        <f>IFERROR(__xludf.DUMMYFUNCTION("""COMPUTED_VALUE"""),"Binlateh")</f>
        <v>Binlateh</v>
      </c>
      <c r="G817" t="str">
        <f>IFERROR(__xludf.DUMMYFUNCTION("""COMPUTED_VALUE"""),"Takwa Binlateh")</f>
        <v>Takwa Binlateh</v>
      </c>
    </row>
    <row r="818">
      <c r="A818" s="142">
        <f>IFERROR(__xludf.DUMMYFUNCTION("""COMPUTED_VALUE"""),88.0)</f>
        <v>88</v>
      </c>
      <c r="B818" t="str">
        <f>IFERROR(__xludf.DUMMYFUNCTION("""COMPUTED_VALUE"""),"TAA7829")</f>
        <v>TAA7829</v>
      </c>
      <c r="C818">
        <f>IFERROR(__xludf.DUMMYFUNCTION("""COMPUTED_VALUE"""),1018817.0)</f>
        <v>1018817</v>
      </c>
      <c r="D818" t="str">
        <f>IFERROR(__xludf.DUMMYFUNCTION("""COMPUTED_VALUE"""),"Mr.")</f>
        <v>Mr.</v>
      </c>
      <c r="E818" t="str">
        <f>IFERROR(__xludf.DUMMYFUNCTION("""COMPUTED_VALUE"""),"Witittorn")</f>
        <v>Witittorn</v>
      </c>
      <c r="F818" t="str">
        <f>IFERROR(__xludf.DUMMYFUNCTION("""COMPUTED_VALUE"""),"Onkhaw")</f>
        <v>Onkhaw</v>
      </c>
      <c r="G818" t="str">
        <f>IFERROR(__xludf.DUMMYFUNCTION("""COMPUTED_VALUE"""),"Witittorn Onkhaw")</f>
        <v>Witittorn Onkhaw</v>
      </c>
    </row>
    <row r="820">
      <c r="A820" s="142">
        <f>IFERROR(__xludf.DUMMYFUNCTION("""COMPUTED_VALUE"""),89.0)</f>
        <v>89</v>
      </c>
      <c r="B820" t="str">
        <f>IFERROR(__xludf.DUMMYFUNCTION("""COMPUTED_VALUE"""),"TAA7841")</f>
        <v>TAA7841</v>
      </c>
      <c r="C820">
        <f>IFERROR(__xludf.DUMMYFUNCTION("""COMPUTED_VALUE"""),1018970.0)</f>
        <v>1018970</v>
      </c>
      <c r="D820" t="str">
        <f>IFERROR(__xludf.DUMMYFUNCTION("""COMPUTED_VALUE"""),"Mr.")</f>
        <v>Mr.</v>
      </c>
      <c r="E820" t="str">
        <f>IFERROR(__xludf.DUMMYFUNCTION("""COMPUTED_VALUE"""),"Krittachai (Kantatorn)")</f>
        <v>Krittachai (Kantatorn)</v>
      </c>
      <c r="F820" t="str">
        <f>IFERROR(__xludf.DUMMYFUNCTION("""COMPUTED_VALUE"""),"Jantawong")</f>
        <v>Jantawong</v>
      </c>
      <c r="G820" t="str">
        <f>IFERROR(__xludf.DUMMYFUNCTION("""COMPUTED_VALUE"""),"Krittachai Jantawong")</f>
        <v>Krittachai Jantawong</v>
      </c>
    </row>
    <row r="821">
      <c r="A821" s="142">
        <f>IFERROR(__xludf.DUMMYFUNCTION("""COMPUTED_VALUE"""),89.0)</f>
        <v>89</v>
      </c>
      <c r="B821" t="str">
        <f>IFERROR(__xludf.DUMMYFUNCTION("""COMPUTED_VALUE"""),"TAA7846")</f>
        <v>TAA7846</v>
      </c>
      <c r="C821">
        <f>IFERROR(__xludf.DUMMYFUNCTION("""COMPUTED_VALUE"""),1018974.0)</f>
        <v>1018974</v>
      </c>
      <c r="D821" t="str">
        <f>IFERROR(__xludf.DUMMYFUNCTION("""COMPUTED_VALUE"""),"Ms.")</f>
        <v>Ms.</v>
      </c>
      <c r="E821" t="str">
        <f>IFERROR(__xludf.DUMMYFUNCTION("""COMPUTED_VALUE"""),"Nakharin")</f>
        <v>Nakharin</v>
      </c>
      <c r="F821" t="str">
        <f>IFERROR(__xludf.DUMMYFUNCTION("""COMPUTED_VALUE"""),"Preediyanon")</f>
        <v>Preediyanon</v>
      </c>
      <c r="G821" t="str">
        <f>IFERROR(__xludf.DUMMYFUNCTION("""COMPUTED_VALUE"""),"Nakharin Preediyanon")</f>
        <v>Nakharin Preediyanon</v>
      </c>
    </row>
    <row r="822">
      <c r="A822" s="142">
        <f>IFERROR(__xludf.DUMMYFUNCTION("""COMPUTED_VALUE"""),89.0)</f>
        <v>89</v>
      </c>
      <c r="B822" t="str">
        <f>IFERROR(__xludf.DUMMYFUNCTION("""COMPUTED_VALUE"""),"TAA7836")</f>
        <v>TAA7836</v>
      </c>
      <c r="C822">
        <f>IFERROR(__xludf.DUMMYFUNCTION("""COMPUTED_VALUE"""),1018975.0)</f>
        <v>1018975</v>
      </c>
      <c r="D822" t="str">
        <f>IFERROR(__xludf.DUMMYFUNCTION("""COMPUTED_VALUE"""),"Ms.")</f>
        <v>Ms.</v>
      </c>
      <c r="E822" t="str">
        <f>IFERROR(__xludf.DUMMYFUNCTION("""COMPUTED_VALUE"""),"Nakkamon")</f>
        <v>Nakkamon</v>
      </c>
      <c r="F822" t="str">
        <f>IFERROR(__xludf.DUMMYFUNCTION("""COMPUTED_VALUE"""),"Savigamin")</f>
        <v>Savigamin</v>
      </c>
      <c r="G822" t="str">
        <f>IFERROR(__xludf.DUMMYFUNCTION("""COMPUTED_VALUE"""),"Nakkamon Savigamin")</f>
        <v>Nakkamon Savigamin</v>
      </c>
    </row>
    <row r="823">
      <c r="A823" s="142">
        <f>IFERROR(__xludf.DUMMYFUNCTION("""COMPUTED_VALUE"""),89.0)</f>
        <v>89</v>
      </c>
      <c r="B823" t="str">
        <f>IFERROR(__xludf.DUMMYFUNCTION("""COMPUTED_VALUE"""),"TAA7835")</f>
        <v>TAA7835</v>
      </c>
      <c r="C823">
        <f>IFERROR(__xludf.DUMMYFUNCTION("""COMPUTED_VALUE"""),1018977.0)</f>
        <v>1018977</v>
      </c>
      <c r="D823" t="str">
        <f>IFERROR(__xludf.DUMMYFUNCTION("""COMPUTED_VALUE"""),"Ms.")</f>
        <v>Ms.</v>
      </c>
      <c r="E823" t="str">
        <f>IFERROR(__xludf.DUMMYFUNCTION("""COMPUTED_VALUE"""),"Ploypailin")</f>
        <v>Ploypailin</v>
      </c>
      <c r="F823" t="str">
        <f>IFERROR(__xludf.DUMMYFUNCTION("""COMPUTED_VALUE"""),"Chuntawong")</f>
        <v>Chuntawong</v>
      </c>
      <c r="G823" t="str">
        <f>IFERROR(__xludf.DUMMYFUNCTION("""COMPUTED_VALUE"""),"Ploypailin Chuntawong")</f>
        <v>Ploypailin Chuntawong</v>
      </c>
    </row>
    <row r="824">
      <c r="A824" s="142">
        <f>IFERROR(__xludf.DUMMYFUNCTION("""COMPUTED_VALUE"""),89.0)</f>
        <v>89</v>
      </c>
      <c r="B824" t="str">
        <f>IFERROR(__xludf.DUMMYFUNCTION("""COMPUTED_VALUE"""),"TAA7844")</f>
        <v>TAA7844</v>
      </c>
      <c r="C824">
        <f>IFERROR(__xludf.DUMMYFUNCTION("""COMPUTED_VALUE"""),1018978.0)</f>
        <v>1018978</v>
      </c>
      <c r="D824" t="str">
        <f>IFERROR(__xludf.DUMMYFUNCTION("""COMPUTED_VALUE"""),"Mr.")</f>
        <v>Mr.</v>
      </c>
      <c r="E824" t="str">
        <f>IFERROR(__xludf.DUMMYFUNCTION("""COMPUTED_VALUE"""),"Sakun")</f>
        <v>Sakun</v>
      </c>
      <c r="F824" t="str">
        <f>IFERROR(__xludf.DUMMYFUNCTION("""COMPUTED_VALUE"""),"Sakdavuth")</f>
        <v>Sakdavuth</v>
      </c>
      <c r="G824" t="str">
        <f>IFERROR(__xludf.DUMMYFUNCTION("""COMPUTED_VALUE"""),"Sakun Sakdavuth")</f>
        <v>Sakun Sakdavuth</v>
      </c>
    </row>
    <row r="825">
      <c r="A825" s="142">
        <f>IFERROR(__xludf.DUMMYFUNCTION("""COMPUTED_VALUE"""),89.0)</f>
        <v>89</v>
      </c>
      <c r="B825" t="str">
        <f>IFERROR(__xludf.DUMMYFUNCTION("""COMPUTED_VALUE"""),"TAA7843")</f>
        <v>TAA7843</v>
      </c>
      <c r="C825">
        <f>IFERROR(__xludf.DUMMYFUNCTION("""COMPUTED_VALUE"""),1018981.0)</f>
        <v>1018981</v>
      </c>
      <c r="D825" t="str">
        <f>IFERROR(__xludf.DUMMYFUNCTION("""COMPUTED_VALUE"""),"Mr.")</f>
        <v>Mr.</v>
      </c>
      <c r="E825" t="str">
        <f>IFERROR(__xludf.DUMMYFUNCTION("""COMPUTED_VALUE"""),"Thossaphol")</f>
        <v>Thossaphol</v>
      </c>
      <c r="F825" t="str">
        <f>IFERROR(__xludf.DUMMYFUNCTION("""COMPUTED_VALUE"""),"Sattabanmongkol")</f>
        <v>Sattabanmongkol</v>
      </c>
      <c r="G825" t="str">
        <f>IFERROR(__xludf.DUMMYFUNCTION("""COMPUTED_VALUE"""),"Thossaphol Sattabanmongkol")</f>
        <v>Thossaphol Sattabanmongkol</v>
      </c>
    </row>
    <row r="826">
      <c r="A826" s="142">
        <f>IFERROR(__xludf.DUMMYFUNCTION("""COMPUTED_VALUE"""),89.0)</f>
        <v>89</v>
      </c>
      <c r="B826" t="str">
        <f>IFERROR(__xludf.DUMMYFUNCTION("""COMPUTED_VALUE"""),"TAA7840")</f>
        <v>TAA7840</v>
      </c>
      <c r="C826">
        <f>IFERROR(__xludf.DUMMYFUNCTION("""COMPUTED_VALUE"""),1018982.0)</f>
        <v>1018982</v>
      </c>
      <c r="D826" t="str">
        <f>IFERROR(__xludf.DUMMYFUNCTION("""COMPUTED_VALUE"""),"Ms.")</f>
        <v>Ms.</v>
      </c>
      <c r="E826" t="str">
        <f>IFERROR(__xludf.DUMMYFUNCTION("""COMPUTED_VALUE"""),"Unyamanee")</f>
        <v>Unyamanee</v>
      </c>
      <c r="F826" t="str">
        <f>IFERROR(__xludf.DUMMYFUNCTION("""COMPUTED_VALUE"""),"Chinapan")</f>
        <v>Chinapan</v>
      </c>
      <c r="G826" t="str">
        <f>IFERROR(__xludf.DUMMYFUNCTION("""COMPUTED_VALUE"""),"Unyamanee Chinapan")</f>
        <v>Unyamanee Chinapan</v>
      </c>
    </row>
    <row r="828">
      <c r="A828" s="142">
        <f>IFERROR(__xludf.DUMMYFUNCTION("""COMPUTED_VALUE"""),90.0)</f>
        <v>90</v>
      </c>
      <c r="B828" t="str">
        <f>IFERROR(__xludf.DUMMYFUNCTION("""COMPUTED_VALUE"""),"TAA7888")</f>
        <v>TAA7888</v>
      </c>
      <c r="C828">
        <f>IFERROR(__xludf.DUMMYFUNCTION("""COMPUTED_VALUE"""),1019191.0)</f>
        <v>1019191</v>
      </c>
      <c r="D828" t="str">
        <f>IFERROR(__xludf.DUMMYFUNCTION("""COMPUTED_VALUE"""),"Ms.")</f>
        <v>Ms.</v>
      </c>
      <c r="E828" t="str">
        <f>IFERROR(__xludf.DUMMYFUNCTION("""COMPUTED_VALUE"""),"Nathamonphan")</f>
        <v>Nathamonphan</v>
      </c>
      <c r="F828" t="str">
        <f>IFERROR(__xludf.DUMMYFUNCTION("""COMPUTED_VALUE"""),"Boonyakiat")</f>
        <v>Boonyakiat</v>
      </c>
      <c r="G828" t="str">
        <f>IFERROR(__xludf.DUMMYFUNCTION("""COMPUTED_VALUE"""),"Nathamonphan Boonyakiat")</f>
        <v>Nathamonphan Boonyakiat</v>
      </c>
    </row>
    <row r="829">
      <c r="A829" s="142">
        <f>IFERROR(__xludf.DUMMYFUNCTION("""COMPUTED_VALUE"""),90.0)</f>
        <v>90</v>
      </c>
      <c r="B829" t="str">
        <f>IFERROR(__xludf.DUMMYFUNCTION("""COMPUTED_VALUE"""),"TAA7883")</f>
        <v>TAA7883</v>
      </c>
      <c r="C829">
        <f>IFERROR(__xludf.DUMMYFUNCTION("""COMPUTED_VALUE"""),1019193.0)</f>
        <v>1019193</v>
      </c>
      <c r="D829" t="str">
        <f>IFERROR(__xludf.DUMMYFUNCTION("""COMPUTED_VALUE"""),"Ms.")</f>
        <v>Ms.</v>
      </c>
      <c r="E829" t="str">
        <f>IFERROR(__xludf.DUMMYFUNCTION("""COMPUTED_VALUE"""),"Nattaporn")</f>
        <v>Nattaporn</v>
      </c>
      <c r="F829" t="str">
        <f>IFERROR(__xludf.DUMMYFUNCTION("""COMPUTED_VALUE"""),"Pattarasiriwong")</f>
        <v>Pattarasiriwong</v>
      </c>
      <c r="G829" t="str">
        <f>IFERROR(__xludf.DUMMYFUNCTION("""COMPUTED_VALUE"""),"Nattaporn Pattarasiriwong")</f>
        <v>Nattaporn Pattarasiriwong</v>
      </c>
    </row>
    <row r="830">
      <c r="A830" s="142">
        <f>IFERROR(__xludf.DUMMYFUNCTION("""COMPUTED_VALUE"""),90.0)</f>
        <v>90</v>
      </c>
      <c r="B830" t="str">
        <f>IFERROR(__xludf.DUMMYFUNCTION("""COMPUTED_VALUE"""),"TAA7897")</f>
        <v>TAA7897</v>
      </c>
      <c r="C830">
        <f>IFERROR(__xludf.DUMMYFUNCTION("""COMPUTED_VALUE"""),1019195.0)</f>
        <v>1019195</v>
      </c>
      <c r="D830" t="str">
        <f>IFERROR(__xludf.DUMMYFUNCTION("""COMPUTED_VALUE"""),"Ms.")</f>
        <v>Ms.</v>
      </c>
      <c r="E830" t="str">
        <f>IFERROR(__xludf.DUMMYFUNCTION("""COMPUTED_VALUE"""),"Nattharicha")</f>
        <v>Nattharicha</v>
      </c>
      <c r="F830" t="str">
        <f>IFERROR(__xludf.DUMMYFUNCTION("""COMPUTED_VALUE"""),"Chantraram")</f>
        <v>Chantraram</v>
      </c>
      <c r="G830" t="str">
        <f>IFERROR(__xludf.DUMMYFUNCTION("""COMPUTED_VALUE"""),"Nattharicha Chantraram")</f>
        <v>Nattharicha Chantraram</v>
      </c>
    </row>
    <row r="831">
      <c r="A831" s="142">
        <f>IFERROR(__xludf.DUMMYFUNCTION("""COMPUTED_VALUE"""),90.0)</f>
        <v>90</v>
      </c>
      <c r="B831" t="str">
        <f>IFERROR(__xludf.DUMMYFUNCTION("""COMPUTED_VALUE"""),"TAA7896")</f>
        <v>TAA7896</v>
      </c>
      <c r="C831">
        <f>IFERROR(__xludf.DUMMYFUNCTION("""COMPUTED_VALUE"""),1019199.0)</f>
        <v>1019199</v>
      </c>
      <c r="D831" t="str">
        <f>IFERROR(__xludf.DUMMYFUNCTION("""COMPUTED_VALUE"""),"Ms.")</f>
        <v>Ms.</v>
      </c>
      <c r="E831" t="str">
        <f>IFERROR(__xludf.DUMMYFUNCTION("""COMPUTED_VALUE"""),"Nutpawee")</f>
        <v>Nutpawee</v>
      </c>
      <c r="F831" t="str">
        <f>IFERROR(__xludf.DUMMYFUNCTION("""COMPUTED_VALUE"""),"Thawanthalerngrit")</f>
        <v>Thawanthalerngrit</v>
      </c>
      <c r="G831" t="str">
        <f>IFERROR(__xludf.DUMMYFUNCTION("""COMPUTED_VALUE"""),"Nutpawee Thawanthalerngrit")</f>
        <v>Nutpawee Thawanthalerngrit</v>
      </c>
    </row>
    <row r="832">
      <c r="A832" s="142">
        <f>IFERROR(__xludf.DUMMYFUNCTION("""COMPUTED_VALUE"""),90.0)</f>
        <v>90</v>
      </c>
      <c r="B832" t="str">
        <f>IFERROR(__xludf.DUMMYFUNCTION("""COMPUTED_VALUE"""),"TAA7884")</f>
        <v>TAA7884</v>
      </c>
      <c r="C832">
        <f>IFERROR(__xludf.DUMMYFUNCTION("""COMPUTED_VALUE"""),1019204.0)</f>
        <v>1019204</v>
      </c>
      <c r="D832" t="str">
        <f>IFERROR(__xludf.DUMMYFUNCTION("""COMPUTED_VALUE"""),"Ms.")</f>
        <v>Ms.</v>
      </c>
      <c r="E832" t="str">
        <f>IFERROR(__xludf.DUMMYFUNCTION("""COMPUTED_VALUE"""),"Pawika")</f>
        <v>Pawika</v>
      </c>
      <c r="F832" t="str">
        <f>IFERROR(__xludf.DUMMYFUNCTION("""COMPUTED_VALUE"""),"Mingmanee (Boonrak)")</f>
        <v>Mingmanee (Boonrak)</v>
      </c>
      <c r="G832" t="str">
        <f>IFERROR(__xludf.DUMMYFUNCTION("""COMPUTED_VALUE"""),"Pawika Mingmanee")</f>
        <v>Pawika Mingmanee</v>
      </c>
    </row>
    <row r="833">
      <c r="A833" s="142">
        <f>IFERROR(__xludf.DUMMYFUNCTION("""COMPUTED_VALUE"""),90.0)</f>
        <v>90</v>
      </c>
      <c r="B833" t="str">
        <f>IFERROR(__xludf.DUMMYFUNCTION("""COMPUTED_VALUE"""),"TAA7894")</f>
        <v>TAA7894</v>
      </c>
      <c r="C833">
        <f>IFERROR(__xludf.DUMMYFUNCTION("""COMPUTED_VALUE"""),1019207.0)</f>
        <v>1019207</v>
      </c>
      <c r="D833" t="str">
        <f>IFERROR(__xludf.DUMMYFUNCTION("""COMPUTED_VALUE"""),"Mrs.")</f>
        <v>Mrs.</v>
      </c>
      <c r="E833" t="str">
        <f>IFERROR(__xludf.DUMMYFUNCTION("""COMPUTED_VALUE"""),"Phakamas")</f>
        <v>Phakamas</v>
      </c>
      <c r="F833" t="str">
        <f>IFERROR(__xludf.DUMMYFUNCTION("""COMPUTED_VALUE"""),"Broughton (Rachakrom)")</f>
        <v>Broughton (Rachakrom)</v>
      </c>
      <c r="G833" t="str">
        <f>IFERROR(__xludf.DUMMYFUNCTION("""COMPUTED_VALUE"""),"Phakamas Broughton")</f>
        <v>Phakamas Broughton</v>
      </c>
    </row>
    <row r="834">
      <c r="A834" s="142">
        <f>IFERROR(__xludf.DUMMYFUNCTION("""COMPUTED_VALUE"""),90.0)</f>
        <v>90</v>
      </c>
      <c r="B834" t="str">
        <f>IFERROR(__xludf.DUMMYFUNCTION("""COMPUTED_VALUE"""),"TAA7889")</f>
        <v>TAA7889</v>
      </c>
      <c r="C834">
        <f>IFERROR(__xludf.DUMMYFUNCTION("""COMPUTED_VALUE"""),1019208.0)</f>
        <v>1019208</v>
      </c>
      <c r="D834" t="str">
        <f>IFERROR(__xludf.DUMMYFUNCTION("""COMPUTED_VALUE"""),"Mr.")</f>
        <v>Mr.</v>
      </c>
      <c r="E834" t="str">
        <f>IFERROR(__xludf.DUMMYFUNCTION("""COMPUTED_VALUE"""),"Pakin")</f>
        <v>Pakin</v>
      </c>
      <c r="F834" t="str">
        <f>IFERROR(__xludf.DUMMYFUNCTION("""COMPUTED_VALUE"""),"Pithakthawikun")</f>
        <v>Pithakthawikun</v>
      </c>
      <c r="G834" t="str">
        <f>IFERROR(__xludf.DUMMYFUNCTION("""COMPUTED_VALUE"""),"Pakin Pithakthawikun")</f>
        <v>Pakin Pithakthawikun</v>
      </c>
    </row>
    <row r="835">
      <c r="A835" s="142">
        <f>IFERROR(__xludf.DUMMYFUNCTION("""COMPUTED_VALUE"""),90.0)</f>
        <v>90</v>
      </c>
      <c r="B835" t="str">
        <f>IFERROR(__xludf.DUMMYFUNCTION("""COMPUTED_VALUE"""),"TAA7899")</f>
        <v>TAA7899</v>
      </c>
      <c r="C835">
        <f>IFERROR(__xludf.DUMMYFUNCTION("""COMPUTED_VALUE"""),1019209.0)</f>
        <v>1019209</v>
      </c>
      <c r="D835" t="str">
        <f>IFERROR(__xludf.DUMMYFUNCTION("""COMPUTED_VALUE"""),"Ms.")</f>
        <v>Ms.</v>
      </c>
      <c r="E835" t="str">
        <f>IFERROR(__xludf.DUMMYFUNCTION("""COMPUTED_VALUE"""),"Ployputchara")</f>
        <v>Ployputchara</v>
      </c>
      <c r="F835" t="str">
        <f>IFERROR(__xludf.DUMMYFUNCTION("""COMPUTED_VALUE"""),"Sridara")</f>
        <v>Sridara</v>
      </c>
      <c r="G835" t="str">
        <f>IFERROR(__xludf.DUMMYFUNCTION("""COMPUTED_VALUE"""),"Ployputchara Sridara")</f>
        <v>Ployputchara Sridara</v>
      </c>
    </row>
    <row r="836">
      <c r="A836" s="142">
        <f>IFERROR(__xludf.DUMMYFUNCTION("""COMPUTED_VALUE"""),90.0)</f>
        <v>90</v>
      </c>
      <c r="B836" t="str">
        <f>IFERROR(__xludf.DUMMYFUNCTION("""COMPUTED_VALUE"""),"TAA7898")</f>
        <v>TAA7898</v>
      </c>
      <c r="C836">
        <f>IFERROR(__xludf.DUMMYFUNCTION("""COMPUTED_VALUE"""),1019215.0)</f>
        <v>1019215</v>
      </c>
      <c r="D836" t="str">
        <f>IFERROR(__xludf.DUMMYFUNCTION("""COMPUTED_VALUE"""),"Ms.")</f>
        <v>Ms.</v>
      </c>
      <c r="E836" t="str">
        <f>IFERROR(__xludf.DUMMYFUNCTION("""COMPUTED_VALUE"""),"Puttida")</f>
        <v>Puttida</v>
      </c>
      <c r="F836" t="str">
        <f>IFERROR(__xludf.DUMMYFUNCTION("""COMPUTED_VALUE"""),"Hirunyatrakul")</f>
        <v>Hirunyatrakul</v>
      </c>
      <c r="G836" t="str">
        <f>IFERROR(__xludf.DUMMYFUNCTION("""COMPUTED_VALUE"""),"Puttida Hirunyatrakul")</f>
        <v>Puttida Hirunyatrakul</v>
      </c>
    </row>
    <row r="837">
      <c r="A837" s="142">
        <f>IFERROR(__xludf.DUMMYFUNCTION("""COMPUTED_VALUE"""),90.0)</f>
        <v>90</v>
      </c>
      <c r="B837" t="str">
        <f>IFERROR(__xludf.DUMMYFUNCTION("""COMPUTED_VALUE"""),"TAA7893")</f>
        <v>TAA7893</v>
      </c>
      <c r="C837">
        <f>IFERROR(__xludf.DUMMYFUNCTION("""COMPUTED_VALUE"""),1019222.0)</f>
        <v>1019222</v>
      </c>
      <c r="D837" t="str">
        <f>IFERROR(__xludf.DUMMYFUNCTION("""COMPUTED_VALUE"""),"Ms.")</f>
        <v>Ms.</v>
      </c>
      <c r="E837" t="str">
        <f>IFERROR(__xludf.DUMMYFUNCTION("""COMPUTED_VALUE"""),"Supitcha")</f>
        <v>Supitcha</v>
      </c>
      <c r="F837" t="str">
        <f>IFERROR(__xludf.DUMMYFUNCTION("""COMPUTED_VALUE"""),"Thepgul")</f>
        <v>Thepgul</v>
      </c>
      <c r="G837" t="str">
        <f>IFERROR(__xludf.DUMMYFUNCTION("""COMPUTED_VALUE"""),"Supitcha Thepgul")</f>
        <v>Supitcha Thepgul</v>
      </c>
    </row>
    <row r="838">
      <c r="A838" s="142">
        <f>IFERROR(__xludf.DUMMYFUNCTION("""COMPUTED_VALUE"""),90.0)</f>
        <v>90</v>
      </c>
      <c r="B838" t="str">
        <f>IFERROR(__xludf.DUMMYFUNCTION("""COMPUTED_VALUE"""),"TAA7901")</f>
        <v>TAA7901</v>
      </c>
      <c r="C838">
        <f>IFERROR(__xludf.DUMMYFUNCTION("""COMPUTED_VALUE"""),1019223.0)</f>
        <v>1019223</v>
      </c>
      <c r="D838" t="str">
        <f>IFERROR(__xludf.DUMMYFUNCTION("""COMPUTED_VALUE"""),"Ms.")</f>
        <v>Ms.</v>
      </c>
      <c r="E838" t="str">
        <f>IFERROR(__xludf.DUMMYFUNCTION("""COMPUTED_VALUE"""),"Sutatta")</f>
        <v>Sutatta</v>
      </c>
      <c r="F838" t="str">
        <f>IFERROR(__xludf.DUMMYFUNCTION("""COMPUTED_VALUE"""),"Jongsirisathaporn")</f>
        <v>Jongsirisathaporn</v>
      </c>
      <c r="G838" t="str">
        <f>IFERROR(__xludf.DUMMYFUNCTION("""COMPUTED_VALUE"""),"Sutatta Jongsirisathaporn")</f>
        <v>Sutatta Jongsirisathaporn</v>
      </c>
    </row>
    <row r="839">
      <c r="A839" s="142">
        <f>IFERROR(__xludf.DUMMYFUNCTION("""COMPUTED_VALUE"""),90.0)</f>
        <v>90</v>
      </c>
      <c r="B839" t="str">
        <f>IFERROR(__xludf.DUMMYFUNCTION("""COMPUTED_VALUE"""),"TAA7895")</f>
        <v>TAA7895</v>
      </c>
      <c r="C839">
        <f>IFERROR(__xludf.DUMMYFUNCTION("""COMPUTED_VALUE"""),1019224.0)</f>
        <v>1019224</v>
      </c>
      <c r="D839" t="str">
        <f>IFERROR(__xludf.DUMMYFUNCTION("""COMPUTED_VALUE"""),"Ms.")</f>
        <v>Ms.</v>
      </c>
      <c r="E839" t="str">
        <f>IFERROR(__xludf.DUMMYFUNCTION("""COMPUTED_VALUE"""),"Suwapit")</f>
        <v>Suwapit</v>
      </c>
      <c r="F839" t="str">
        <f>IFERROR(__xludf.DUMMYFUNCTION("""COMPUTED_VALUE"""),"Rapipong")</f>
        <v>Rapipong</v>
      </c>
      <c r="G839" t="str">
        <f>IFERROR(__xludf.DUMMYFUNCTION("""COMPUTED_VALUE"""),"Suwapit Rapipong")</f>
        <v>Suwapit Rapipong</v>
      </c>
    </row>
    <row r="840">
      <c r="A840" s="142">
        <f>IFERROR(__xludf.DUMMYFUNCTION("""COMPUTED_VALUE"""),90.0)</f>
        <v>90</v>
      </c>
      <c r="B840" t="str">
        <f>IFERROR(__xludf.DUMMYFUNCTION("""COMPUTED_VALUE"""),"TAA7885")</f>
        <v>TAA7885</v>
      </c>
      <c r="C840">
        <f>IFERROR(__xludf.DUMMYFUNCTION("""COMPUTED_VALUE"""),1019230.0)</f>
        <v>1019230</v>
      </c>
      <c r="D840" t="str">
        <f>IFERROR(__xludf.DUMMYFUNCTION("""COMPUTED_VALUE"""),"Ms.")</f>
        <v>Ms.</v>
      </c>
      <c r="E840" t="str">
        <f>IFERROR(__xludf.DUMMYFUNCTION("""COMPUTED_VALUE"""),"Thun")</f>
        <v>Thun</v>
      </c>
      <c r="F840" t="str">
        <f>IFERROR(__xludf.DUMMYFUNCTION("""COMPUTED_VALUE"""),"Anunchanin")</f>
        <v>Anunchanin</v>
      </c>
      <c r="G840" t="str">
        <f>IFERROR(__xludf.DUMMYFUNCTION("""COMPUTED_VALUE"""),"Thun Anunchanin")</f>
        <v>Thun Anunchanin</v>
      </c>
    </row>
    <row r="842">
      <c r="A842" s="142">
        <f>IFERROR(__xludf.DUMMYFUNCTION("""COMPUTED_VALUE"""),91.0)</f>
        <v>91</v>
      </c>
      <c r="B842" t="str">
        <f>IFERROR(__xludf.DUMMYFUNCTION("""COMPUTED_VALUE"""),"TAA7915")</f>
        <v>TAA7915</v>
      </c>
      <c r="C842">
        <f>IFERROR(__xludf.DUMMYFUNCTION("""COMPUTED_VALUE"""),1019293.0)</f>
        <v>1019293</v>
      </c>
      <c r="D842" t="str">
        <f>IFERROR(__xludf.DUMMYFUNCTION("""COMPUTED_VALUE"""),"Mr.")</f>
        <v>Mr.</v>
      </c>
      <c r="E842" t="str">
        <f>IFERROR(__xludf.DUMMYFUNCTION("""COMPUTED_VALUE"""),"Ittiphol")</f>
        <v>Ittiphol</v>
      </c>
      <c r="F842" t="str">
        <f>IFERROR(__xludf.DUMMYFUNCTION("""COMPUTED_VALUE"""),"Boontan")</f>
        <v>Boontan</v>
      </c>
      <c r="G842" t="str">
        <f>IFERROR(__xludf.DUMMYFUNCTION("""COMPUTED_VALUE"""),"Ittiphol Boontan")</f>
        <v>Ittiphol Boontan</v>
      </c>
    </row>
    <row r="843">
      <c r="A843" s="142">
        <f>IFERROR(__xludf.DUMMYFUNCTION("""COMPUTED_VALUE"""),91.0)</f>
        <v>91</v>
      </c>
      <c r="B843" t="str">
        <f>IFERROR(__xludf.DUMMYFUNCTION("""COMPUTED_VALUE"""),"TAA7916")</f>
        <v>TAA7916</v>
      </c>
      <c r="C843">
        <f>IFERROR(__xludf.DUMMYFUNCTION("""COMPUTED_VALUE"""),1019294.0)</f>
        <v>1019294</v>
      </c>
      <c r="D843" t="str">
        <f>IFERROR(__xludf.DUMMYFUNCTION("""COMPUTED_VALUE"""),"Mr.")</f>
        <v>Mr.</v>
      </c>
      <c r="E843" t="str">
        <f>IFERROR(__xludf.DUMMYFUNCTION("""COMPUTED_VALUE"""),"Kritsada")</f>
        <v>Kritsada</v>
      </c>
      <c r="F843" t="str">
        <f>IFERROR(__xludf.DUMMYFUNCTION("""COMPUTED_VALUE"""),"Atsawaphonsakun")</f>
        <v>Atsawaphonsakun</v>
      </c>
      <c r="G843" t="str">
        <f>IFERROR(__xludf.DUMMYFUNCTION("""COMPUTED_VALUE"""),"Kritsada Atsawaphonsakun")</f>
        <v>Kritsada Atsawaphonsakun</v>
      </c>
    </row>
    <row r="844">
      <c r="A844" s="142">
        <f>IFERROR(__xludf.DUMMYFUNCTION("""COMPUTED_VALUE"""),91.0)</f>
        <v>91</v>
      </c>
      <c r="B844" t="str">
        <f>IFERROR(__xludf.DUMMYFUNCTION("""COMPUTED_VALUE"""),"TAA7904")</f>
        <v>TAA7904</v>
      </c>
      <c r="C844">
        <f>IFERROR(__xludf.DUMMYFUNCTION("""COMPUTED_VALUE"""),1019295.0)</f>
        <v>1019295</v>
      </c>
      <c r="D844" t="str">
        <f>IFERROR(__xludf.DUMMYFUNCTION("""COMPUTED_VALUE"""),"Ms.")</f>
        <v>Ms.</v>
      </c>
      <c r="E844" t="str">
        <f>IFERROR(__xludf.DUMMYFUNCTION("""COMPUTED_VALUE"""),"Methawee")</f>
        <v>Methawee</v>
      </c>
      <c r="F844" t="str">
        <f>IFERROR(__xludf.DUMMYFUNCTION("""COMPUTED_VALUE"""),"Yos-in")</f>
        <v>Yos-in</v>
      </c>
      <c r="G844" t="str">
        <f>IFERROR(__xludf.DUMMYFUNCTION("""COMPUTED_VALUE"""),"Methawee Yos-in")</f>
        <v>Methawee Yos-in</v>
      </c>
    </row>
    <row r="845">
      <c r="A845" s="142">
        <f>IFERROR(__xludf.DUMMYFUNCTION("""COMPUTED_VALUE"""),91.0)</f>
        <v>91</v>
      </c>
      <c r="B845" t="str">
        <f>IFERROR(__xludf.DUMMYFUNCTION("""COMPUTED_VALUE"""),"TAA7908")</f>
        <v>TAA7908</v>
      </c>
      <c r="C845">
        <f>IFERROR(__xludf.DUMMYFUNCTION("""COMPUTED_VALUE"""),1019297.0)</f>
        <v>1019297</v>
      </c>
      <c r="D845" t="str">
        <f>IFERROR(__xludf.DUMMYFUNCTION("""COMPUTED_VALUE"""),"Ms.")</f>
        <v>Ms.</v>
      </c>
      <c r="E845" t="str">
        <f>IFERROR(__xludf.DUMMYFUNCTION("""COMPUTED_VALUE"""),"Norramon")</f>
        <v>Norramon</v>
      </c>
      <c r="F845" t="str">
        <f>IFERROR(__xludf.DUMMYFUNCTION("""COMPUTED_VALUE"""),"Nakkara")</f>
        <v>Nakkara</v>
      </c>
      <c r="G845" t="str">
        <f>IFERROR(__xludf.DUMMYFUNCTION("""COMPUTED_VALUE"""),"Norramon Nakkara")</f>
        <v>Norramon Nakkara</v>
      </c>
    </row>
    <row r="846">
      <c r="A846" s="142">
        <f>IFERROR(__xludf.DUMMYFUNCTION("""COMPUTED_VALUE"""),91.0)</f>
        <v>91</v>
      </c>
      <c r="B846" t="str">
        <f>IFERROR(__xludf.DUMMYFUNCTION("""COMPUTED_VALUE"""),"TAA7905")</f>
        <v>TAA7905</v>
      </c>
      <c r="C846">
        <f>IFERROR(__xludf.DUMMYFUNCTION("""COMPUTED_VALUE"""),1019299.0)</f>
        <v>1019299</v>
      </c>
      <c r="D846" t="str">
        <f>IFERROR(__xludf.DUMMYFUNCTION("""COMPUTED_VALUE"""),"Ms.")</f>
        <v>Ms.</v>
      </c>
      <c r="E846" t="str">
        <f>IFERROR(__xludf.DUMMYFUNCTION("""COMPUTED_VALUE"""),"Phattaraporn")</f>
        <v>Phattaraporn</v>
      </c>
      <c r="F846" t="str">
        <f>IFERROR(__xludf.DUMMYFUNCTION("""COMPUTED_VALUE"""),"Jindapol")</f>
        <v>Jindapol</v>
      </c>
      <c r="G846" t="str">
        <f>IFERROR(__xludf.DUMMYFUNCTION("""COMPUTED_VALUE"""),"Phattaraporn Jindapol")</f>
        <v>Phattaraporn Jindapol</v>
      </c>
    </row>
    <row r="847">
      <c r="A847" s="142">
        <f>IFERROR(__xludf.DUMMYFUNCTION("""COMPUTED_VALUE"""),91.0)</f>
        <v>91</v>
      </c>
      <c r="B847" t="str">
        <f>IFERROR(__xludf.DUMMYFUNCTION("""COMPUTED_VALUE"""),"TAA7913")</f>
        <v>TAA7913</v>
      </c>
      <c r="C847">
        <f>IFERROR(__xludf.DUMMYFUNCTION("""COMPUTED_VALUE"""),1019300.0)</f>
        <v>1019300</v>
      </c>
      <c r="D847" t="str">
        <f>IFERROR(__xludf.DUMMYFUNCTION("""COMPUTED_VALUE"""),"Ms.")</f>
        <v>Ms.</v>
      </c>
      <c r="E847" t="str">
        <f>IFERROR(__xludf.DUMMYFUNCTION("""COMPUTED_VALUE"""),"Piyaporn")</f>
        <v>Piyaporn</v>
      </c>
      <c r="F847" t="str">
        <f>IFERROR(__xludf.DUMMYFUNCTION("""COMPUTED_VALUE"""),"Mogchai")</f>
        <v>Mogchai</v>
      </c>
      <c r="G847" t="str">
        <f>IFERROR(__xludf.DUMMYFUNCTION("""COMPUTED_VALUE"""),"Piyaporn Mogchai")</f>
        <v>Piyaporn Mogchai</v>
      </c>
    </row>
    <row r="848">
      <c r="A848" s="142">
        <f>IFERROR(__xludf.DUMMYFUNCTION("""COMPUTED_VALUE"""),91.0)</f>
        <v>91</v>
      </c>
      <c r="B848" t="str">
        <f>IFERROR(__xludf.DUMMYFUNCTION("""COMPUTED_VALUE"""),"TAA7902")</f>
        <v>TAA7902</v>
      </c>
      <c r="C848">
        <f>IFERROR(__xludf.DUMMYFUNCTION("""COMPUTED_VALUE"""),1019302.0)</f>
        <v>1019302</v>
      </c>
      <c r="D848" t="str">
        <f>IFERROR(__xludf.DUMMYFUNCTION("""COMPUTED_VALUE"""),"Mr.")</f>
        <v>Mr.</v>
      </c>
      <c r="E848" t="str">
        <f>IFERROR(__xludf.DUMMYFUNCTION("""COMPUTED_VALUE"""),"Pornpaloach")</f>
        <v>Pornpaloach</v>
      </c>
      <c r="F848" t="str">
        <f>IFERROR(__xludf.DUMMYFUNCTION("""COMPUTED_VALUE"""),"Toklom")</f>
        <v>Toklom</v>
      </c>
      <c r="G848" t="str">
        <f>IFERROR(__xludf.DUMMYFUNCTION("""COMPUTED_VALUE"""),"Pornpaloach Toklom")</f>
        <v>Pornpaloach Toklom</v>
      </c>
    </row>
    <row r="849">
      <c r="A849" s="142">
        <f>IFERROR(__xludf.DUMMYFUNCTION("""COMPUTED_VALUE"""),91.0)</f>
        <v>91</v>
      </c>
      <c r="B849" t="str">
        <f>IFERROR(__xludf.DUMMYFUNCTION("""COMPUTED_VALUE"""),"TAA7917")</f>
        <v>TAA7917</v>
      </c>
      <c r="C849">
        <f>IFERROR(__xludf.DUMMYFUNCTION("""COMPUTED_VALUE"""),1019304.0)</f>
        <v>1019304</v>
      </c>
      <c r="D849" t="str">
        <f>IFERROR(__xludf.DUMMYFUNCTION("""COMPUTED_VALUE"""),"Mr.")</f>
        <v>Mr.</v>
      </c>
      <c r="E849" t="str">
        <f>IFERROR(__xludf.DUMMYFUNCTION("""COMPUTED_VALUE"""),"Sutthirak")</f>
        <v>Sutthirak</v>
      </c>
      <c r="F849" t="str">
        <f>IFERROR(__xludf.DUMMYFUNCTION("""COMPUTED_VALUE"""),"Tangsutthichai")</f>
        <v>Tangsutthichai</v>
      </c>
      <c r="G849" t="str">
        <f>IFERROR(__xludf.DUMMYFUNCTION("""COMPUTED_VALUE"""),"Sutthirak Tangsutthichai")</f>
        <v>Sutthirak Tangsutthichai</v>
      </c>
    </row>
    <row r="850">
      <c r="A850" s="142">
        <f>IFERROR(__xludf.DUMMYFUNCTION("""COMPUTED_VALUE"""),91.0)</f>
        <v>91</v>
      </c>
      <c r="B850" t="str">
        <f>IFERROR(__xludf.DUMMYFUNCTION("""COMPUTED_VALUE"""),"TAA7903")</f>
        <v>TAA7903</v>
      </c>
      <c r="C850">
        <f>IFERROR(__xludf.DUMMYFUNCTION("""COMPUTED_VALUE"""),1019306.0)</f>
        <v>1019306</v>
      </c>
      <c r="D850" t="str">
        <f>IFERROR(__xludf.DUMMYFUNCTION("""COMPUTED_VALUE"""),"Ms.")</f>
        <v>Ms.</v>
      </c>
      <c r="E850" t="str">
        <f>IFERROR(__xludf.DUMMYFUNCTION("""COMPUTED_VALUE"""),"Tanyatorn")</f>
        <v>Tanyatorn</v>
      </c>
      <c r="F850" t="str">
        <f>IFERROR(__xludf.DUMMYFUNCTION("""COMPUTED_VALUE"""),"Leenawong")</f>
        <v>Leenawong</v>
      </c>
      <c r="G850" t="str">
        <f>IFERROR(__xludf.DUMMYFUNCTION("""COMPUTED_VALUE"""),"Tanyatorn Leenawong")</f>
        <v>Tanyatorn Leenawong</v>
      </c>
    </row>
    <row r="851">
      <c r="A851" s="142">
        <f>IFERROR(__xludf.DUMMYFUNCTION("""COMPUTED_VALUE"""),91.0)</f>
        <v>91</v>
      </c>
      <c r="B851" t="str">
        <f>IFERROR(__xludf.DUMMYFUNCTION("""COMPUTED_VALUE"""),"TAA7912")</f>
        <v>TAA7912</v>
      </c>
      <c r="C851">
        <f>IFERROR(__xludf.DUMMYFUNCTION("""COMPUTED_VALUE"""),1019307.0)</f>
        <v>1019307</v>
      </c>
      <c r="D851" t="str">
        <f>IFERROR(__xludf.DUMMYFUNCTION("""COMPUTED_VALUE"""),"Ms.")</f>
        <v>Ms.</v>
      </c>
      <c r="E851" t="str">
        <f>IFERROR(__xludf.DUMMYFUNCTION("""COMPUTED_VALUE"""),"Thanyathorn")</f>
        <v>Thanyathorn</v>
      </c>
      <c r="F851" t="str">
        <f>IFERROR(__xludf.DUMMYFUNCTION("""COMPUTED_VALUE"""),"Krisanayanyong")</f>
        <v>Krisanayanyong</v>
      </c>
      <c r="G851" t="str">
        <f>IFERROR(__xludf.DUMMYFUNCTION("""COMPUTED_VALUE"""),"Thanyathorn Krisanayanyong")</f>
        <v>Thanyathorn Krisanayanyong</v>
      </c>
    </row>
    <row r="852">
      <c r="A852" s="142">
        <f>IFERROR(__xludf.DUMMYFUNCTION("""COMPUTED_VALUE"""),91.0)</f>
        <v>91</v>
      </c>
      <c r="B852" t="str">
        <f>IFERROR(__xludf.DUMMYFUNCTION("""COMPUTED_VALUE"""),"TAA7909")</f>
        <v>TAA7909</v>
      </c>
      <c r="C852">
        <f>IFERROR(__xludf.DUMMYFUNCTION("""COMPUTED_VALUE"""),1019308.0)</f>
        <v>1019308</v>
      </c>
      <c r="D852" t="str">
        <f>IFERROR(__xludf.DUMMYFUNCTION("""COMPUTED_VALUE"""),"Ms.")</f>
        <v>Ms.</v>
      </c>
      <c r="E852" t="str">
        <f>IFERROR(__xludf.DUMMYFUNCTION("""COMPUTED_VALUE"""),"Thanyathorn")</f>
        <v>Thanyathorn</v>
      </c>
      <c r="F852" t="str">
        <f>IFERROR(__xludf.DUMMYFUNCTION("""COMPUTED_VALUE"""),"Prueksasilp")</f>
        <v>Prueksasilp</v>
      </c>
      <c r="G852" t="str">
        <f>IFERROR(__xludf.DUMMYFUNCTION("""COMPUTED_VALUE"""),"Thanyathorn Prueksasilp")</f>
        <v>Thanyathorn Prueksasilp</v>
      </c>
    </row>
    <row r="853">
      <c r="A853" s="142">
        <f>IFERROR(__xludf.DUMMYFUNCTION("""COMPUTED_VALUE"""),91.0)</f>
        <v>91</v>
      </c>
      <c r="B853" t="str">
        <f>IFERROR(__xludf.DUMMYFUNCTION("""COMPUTED_VALUE"""),"TAA7920")</f>
        <v>TAA7920</v>
      </c>
      <c r="C853">
        <f>IFERROR(__xludf.DUMMYFUNCTION("""COMPUTED_VALUE"""),1019310.0)</f>
        <v>1019310</v>
      </c>
      <c r="D853" t="str">
        <f>IFERROR(__xludf.DUMMYFUNCTION("""COMPUTED_VALUE"""),"Mr.")</f>
        <v>Mr.</v>
      </c>
      <c r="E853" t="str">
        <f>IFERROR(__xludf.DUMMYFUNCTION("""COMPUTED_VALUE"""),"Vincent Pakpoom")</f>
        <v>Vincent Pakpoom</v>
      </c>
      <c r="F853" t="str">
        <f>IFERROR(__xludf.DUMMYFUNCTION("""COMPUTED_VALUE"""),"Prache")</f>
        <v>Prache</v>
      </c>
      <c r="G853" t="str">
        <f>IFERROR(__xludf.DUMMYFUNCTION("""COMPUTED_VALUE"""),"Vincent Pakpoom Prache")</f>
        <v>Vincent Pakpoom Prache</v>
      </c>
    </row>
    <row r="855">
      <c r="A855" s="142">
        <f>IFERROR(__xludf.DUMMYFUNCTION("""COMPUTED_VALUE"""),92.0)</f>
        <v>92</v>
      </c>
      <c r="B855" t="str">
        <f>IFERROR(__xludf.DUMMYFUNCTION("""COMPUTED_VALUE"""),"TAA7933")</f>
        <v>TAA7933</v>
      </c>
      <c r="C855">
        <f>IFERROR(__xludf.DUMMYFUNCTION("""COMPUTED_VALUE"""),1019395.0)</f>
        <v>1019395</v>
      </c>
      <c r="D855" t="str">
        <f>IFERROR(__xludf.DUMMYFUNCTION("""COMPUTED_VALUE"""),"Ms.")</f>
        <v>Ms.</v>
      </c>
      <c r="E855" t="str">
        <f>IFERROR(__xludf.DUMMYFUNCTION("""COMPUTED_VALUE"""),"Dalika")</f>
        <v>Dalika</v>
      </c>
      <c r="F855" t="str">
        <f>IFERROR(__xludf.DUMMYFUNCTION("""COMPUTED_VALUE"""),"Sayanprasert")</f>
        <v>Sayanprasert</v>
      </c>
      <c r="G855" t="str">
        <f>IFERROR(__xludf.DUMMYFUNCTION("""COMPUTED_VALUE"""),"Dalika Sayanprasert")</f>
        <v>Dalika Sayanprasert</v>
      </c>
    </row>
    <row r="856">
      <c r="A856" s="142">
        <f>IFERROR(__xludf.DUMMYFUNCTION("""COMPUTED_VALUE"""),92.0)</f>
        <v>92</v>
      </c>
      <c r="B856" t="str">
        <f>IFERROR(__xludf.DUMMYFUNCTION("""COMPUTED_VALUE"""),"TAA7922")</f>
        <v>TAA7922</v>
      </c>
      <c r="C856">
        <f>IFERROR(__xludf.DUMMYFUNCTION("""COMPUTED_VALUE"""),1019397.0)</f>
        <v>1019397</v>
      </c>
      <c r="D856" t="str">
        <f>IFERROR(__xludf.DUMMYFUNCTION("""COMPUTED_VALUE"""),"Ms.")</f>
        <v>Ms.</v>
      </c>
      <c r="E856" t="str">
        <f>IFERROR(__xludf.DUMMYFUNCTION("""COMPUTED_VALUE"""),"Jutaporn")</f>
        <v>Jutaporn</v>
      </c>
      <c r="F856" t="str">
        <f>IFERROR(__xludf.DUMMYFUNCTION("""COMPUTED_VALUE"""),"Gongkam")</f>
        <v>Gongkam</v>
      </c>
      <c r="G856" t="str">
        <f>IFERROR(__xludf.DUMMYFUNCTION("""COMPUTED_VALUE"""),"Jutaporn Gongkam")</f>
        <v>Jutaporn Gongkam</v>
      </c>
    </row>
    <row r="857">
      <c r="A857" s="142">
        <f>IFERROR(__xludf.DUMMYFUNCTION("""COMPUTED_VALUE"""),92.0)</f>
        <v>92</v>
      </c>
      <c r="B857" t="str">
        <f>IFERROR(__xludf.DUMMYFUNCTION("""COMPUTED_VALUE"""),"TAA7923")</f>
        <v>TAA7923</v>
      </c>
      <c r="C857">
        <f>IFERROR(__xludf.DUMMYFUNCTION("""COMPUTED_VALUE"""),1019398.0)</f>
        <v>1019398</v>
      </c>
      <c r="D857" t="str">
        <f>IFERROR(__xludf.DUMMYFUNCTION("""COMPUTED_VALUE"""),"Ms.")</f>
        <v>Ms.</v>
      </c>
      <c r="E857" t="str">
        <f>IFERROR(__xludf.DUMMYFUNCTION("""COMPUTED_VALUE"""),"Kamonjun")</f>
        <v>Kamonjun</v>
      </c>
      <c r="F857" t="str">
        <f>IFERROR(__xludf.DUMMYFUNCTION("""COMPUTED_VALUE"""),"Phookphun")</f>
        <v>Phookphun</v>
      </c>
      <c r="G857" t="str">
        <f>IFERROR(__xludf.DUMMYFUNCTION("""COMPUTED_VALUE"""),"Kamonjun Phookphun")</f>
        <v>Kamonjun Phookphun</v>
      </c>
    </row>
    <row r="858">
      <c r="A858" s="142">
        <f>IFERROR(__xludf.DUMMYFUNCTION("""COMPUTED_VALUE"""),92.0)</f>
        <v>92</v>
      </c>
      <c r="B858" t="str">
        <f>IFERROR(__xludf.DUMMYFUNCTION("""COMPUTED_VALUE"""),"TAA7925")</f>
        <v>TAA7925</v>
      </c>
      <c r="C858">
        <f>IFERROR(__xludf.DUMMYFUNCTION("""COMPUTED_VALUE"""),1019401.0)</f>
        <v>1019401</v>
      </c>
      <c r="D858" t="str">
        <f>IFERROR(__xludf.DUMMYFUNCTION("""COMPUTED_VALUE"""),"Mr.")</f>
        <v>Mr.</v>
      </c>
      <c r="E858" t="str">
        <f>IFERROR(__xludf.DUMMYFUNCTION("""COMPUTED_VALUE"""),"Kunlachat")</f>
        <v>Kunlachat</v>
      </c>
      <c r="F858" t="str">
        <f>IFERROR(__xludf.DUMMYFUNCTION("""COMPUTED_VALUE"""),"Cheythong")</f>
        <v>Cheythong</v>
      </c>
      <c r="G858" t="str">
        <f>IFERROR(__xludf.DUMMYFUNCTION("""COMPUTED_VALUE"""),"Kunlachat Cheythong")</f>
        <v>Kunlachat Cheythong</v>
      </c>
    </row>
    <row r="859">
      <c r="A859" s="142">
        <f>IFERROR(__xludf.DUMMYFUNCTION("""COMPUTED_VALUE"""),92.0)</f>
        <v>92</v>
      </c>
      <c r="B859" t="str">
        <f>IFERROR(__xludf.DUMMYFUNCTION("""COMPUTED_VALUE"""),"TAA7928")</f>
        <v>TAA7928</v>
      </c>
      <c r="C859">
        <f>IFERROR(__xludf.DUMMYFUNCTION("""COMPUTED_VALUE"""),1019402.0)</f>
        <v>1019402</v>
      </c>
      <c r="D859" t="str">
        <f>IFERROR(__xludf.DUMMYFUNCTION("""COMPUTED_VALUE"""),"Mr.")</f>
        <v>Mr.</v>
      </c>
      <c r="E859" t="str">
        <f>IFERROR(__xludf.DUMMYFUNCTION("""COMPUTED_VALUE"""),"Methawat")</f>
        <v>Methawat</v>
      </c>
      <c r="F859" t="str">
        <f>IFERROR(__xludf.DUMMYFUNCTION("""COMPUTED_VALUE"""),"Thitinawasup")</f>
        <v>Thitinawasup</v>
      </c>
      <c r="G859" t="str">
        <f>IFERROR(__xludf.DUMMYFUNCTION("""COMPUTED_VALUE"""),"Methawat Thitinawasup")</f>
        <v>Methawat Thitinawasup</v>
      </c>
    </row>
    <row r="860">
      <c r="A860" s="142">
        <f>IFERROR(__xludf.DUMMYFUNCTION("""COMPUTED_VALUE"""),92.0)</f>
        <v>92</v>
      </c>
      <c r="B860" t="str">
        <f>IFERROR(__xludf.DUMMYFUNCTION("""COMPUTED_VALUE"""),"TAA7937")</f>
        <v>TAA7937</v>
      </c>
      <c r="C860">
        <f>IFERROR(__xludf.DUMMYFUNCTION("""COMPUTED_VALUE"""),1019404.0)</f>
        <v>1019404</v>
      </c>
      <c r="D860" t="str">
        <f>IFERROR(__xludf.DUMMYFUNCTION("""COMPUTED_VALUE"""),"Ms.")</f>
        <v>Ms.</v>
      </c>
      <c r="E860" t="str">
        <f>IFERROR(__xludf.DUMMYFUNCTION("""COMPUTED_VALUE"""),"Ninlaya")</f>
        <v>Ninlaya</v>
      </c>
      <c r="F860" t="str">
        <f>IFERROR(__xludf.DUMMYFUNCTION("""COMPUTED_VALUE"""),"Tangmongkhongkon")</f>
        <v>Tangmongkhongkon</v>
      </c>
      <c r="G860" t="str">
        <f>IFERROR(__xludf.DUMMYFUNCTION("""COMPUTED_VALUE"""),"Ninlaya Tangmongkhongkon")</f>
        <v>Ninlaya Tangmongkhongkon</v>
      </c>
    </row>
    <row r="861">
      <c r="A861" s="142">
        <f>IFERROR(__xludf.DUMMYFUNCTION("""COMPUTED_VALUE"""),92.0)</f>
        <v>92</v>
      </c>
      <c r="B861" t="str">
        <f>IFERROR(__xludf.DUMMYFUNCTION("""COMPUTED_VALUE"""),"TAA7930")</f>
        <v>TAA7930</v>
      </c>
      <c r="C861">
        <f>IFERROR(__xludf.DUMMYFUNCTION("""COMPUTED_VALUE"""),1019405.0)</f>
        <v>1019405</v>
      </c>
      <c r="D861" t="str">
        <f>IFERROR(__xludf.DUMMYFUNCTION("""COMPUTED_VALUE"""),"Mr.")</f>
        <v>Mr.</v>
      </c>
      <c r="E861" t="str">
        <f>IFERROR(__xludf.DUMMYFUNCTION("""COMPUTED_VALUE"""),"Nithi")</f>
        <v>Nithi</v>
      </c>
      <c r="F861" t="str">
        <f>IFERROR(__xludf.DUMMYFUNCTION("""COMPUTED_VALUE"""),"Chalongtrakul")</f>
        <v>Chalongtrakul</v>
      </c>
      <c r="G861" t="str">
        <f>IFERROR(__xludf.DUMMYFUNCTION("""COMPUTED_VALUE"""),"Nithi Chalongtrakul")</f>
        <v>Nithi Chalongtrakul</v>
      </c>
    </row>
    <row r="862">
      <c r="A862" s="142">
        <f>IFERROR(__xludf.DUMMYFUNCTION("""COMPUTED_VALUE"""),92.0)</f>
        <v>92</v>
      </c>
      <c r="B862" t="str">
        <f>IFERROR(__xludf.DUMMYFUNCTION("""COMPUTED_VALUE"""),"TAA7934")</f>
        <v>TAA7934</v>
      </c>
      <c r="C862">
        <f>IFERROR(__xludf.DUMMYFUNCTION("""COMPUTED_VALUE"""),1019406.0)</f>
        <v>1019406</v>
      </c>
      <c r="D862" t="str">
        <f>IFERROR(__xludf.DUMMYFUNCTION("""COMPUTED_VALUE"""),"Ms.")</f>
        <v>Ms.</v>
      </c>
      <c r="E862" t="str">
        <f>IFERROR(__xludf.DUMMYFUNCTION("""COMPUTED_VALUE"""),"Purichaya")</f>
        <v>Purichaya</v>
      </c>
      <c r="F862" t="str">
        <f>IFERROR(__xludf.DUMMYFUNCTION("""COMPUTED_VALUE"""),"Pongpeerachork")</f>
        <v>Pongpeerachork</v>
      </c>
      <c r="G862" t="str">
        <f>IFERROR(__xludf.DUMMYFUNCTION("""COMPUTED_VALUE"""),"Purichaya Pongpeerachork")</f>
        <v>Purichaya Pongpeerachork</v>
      </c>
    </row>
    <row r="863">
      <c r="A863" s="142">
        <f>IFERROR(__xludf.DUMMYFUNCTION("""COMPUTED_VALUE"""),92.0)</f>
        <v>92</v>
      </c>
      <c r="B863" t="str">
        <f>IFERROR(__xludf.DUMMYFUNCTION("""COMPUTED_VALUE"""),"TAA7932")</f>
        <v>TAA7932</v>
      </c>
      <c r="C863">
        <f>IFERROR(__xludf.DUMMYFUNCTION("""COMPUTED_VALUE"""),1019407.0)</f>
        <v>1019407</v>
      </c>
      <c r="D863" t="str">
        <f>IFERROR(__xludf.DUMMYFUNCTION("""COMPUTED_VALUE"""),"Ms.")</f>
        <v>Ms.</v>
      </c>
      <c r="E863" t="str">
        <f>IFERROR(__xludf.DUMMYFUNCTION("""COMPUTED_VALUE"""),"Saowapak")</f>
        <v>Saowapak</v>
      </c>
      <c r="F863" t="str">
        <f>IFERROR(__xludf.DUMMYFUNCTION("""COMPUTED_VALUE"""),"Siri-athikhom")</f>
        <v>Siri-athikhom</v>
      </c>
      <c r="G863" t="str">
        <f>IFERROR(__xludf.DUMMYFUNCTION("""COMPUTED_VALUE"""),"Saowapak Siri-athikhom")</f>
        <v>Saowapak Siri-athikhom</v>
      </c>
    </row>
    <row r="864">
      <c r="A864" s="142">
        <f>IFERROR(__xludf.DUMMYFUNCTION("""COMPUTED_VALUE"""),92.0)</f>
        <v>92</v>
      </c>
      <c r="B864" t="str">
        <f>IFERROR(__xludf.DUMMYFUNCTION("""COMPUTED_VALUE"""),"TAA7938")</f>
        <v>TAA7938</v>
      </c>
      <c r="C864">
        <f>IFERROR(__xludf.DUMMYFUNCTION("""COMPUTED_VALUE"""),1019408.0)</f>
        <v>1019408</v>
      </c>
      <c r="D864" t="str">
        <f>IFERROR(__xludf.DUMMYFUNCTION("""COMPUTED_VALUE"""),"Ms.")</f>
        <v>Ms.</v>
      </c>
      <c r="E864" t="str">
        <f>IFERROR(__xludf.DUMMYFUNCTION("""COMPUTED_VALUE"""),"Sarocha")</f>
        <v>Sarocha</v>
      </c>
      <c r="F864" t="str">
        <f>IFERROR(__xludf.DUMMYFUNCTION("""COMPUTED_VALUE"""),"Kienvichit (Sukkathong)")</f>
        <v>Kienvichit (Sukkathong)</v>
      </c>
      <c r="G864" t="str">
        <f>IFERROR(__xludf.DUMMYFUNCTION("""COMPUTED_VALUE"""),"Sarocha Kienvichit")</f>
        <v>Sarocha Kienvichit</v>
      </c>
    </row>
    <row r="865">
      <c r="A865" s="142">
        <f>IFERROR(__xludf.DUMMYFUNCTION("""COMPUTED_VALUE"""),92.0)</f>
        <v>92</v>
      </c>
      <c r="B865" t="str">
        <f>IFERROR(__xludf.DUMMYFUNCTION("""COMPUTED_VALUE"""),"TAA7926")</f>
        <v>TAA7926</v>
      </c>
      <c r="C865">
        <f>IFERROR(__xludf.DUMMYFUNCTION("""COMPUTED_VALUE"""),1019409.0)</f>
        <v>1019409</v>
      </c>
      <c r="D865" t="str">
        <f>IFERROR(__xludf.DUMMYFUNCTION("""COMPUTED_VALUE"""),"Mr.")</f>
        <v>Mr.</v>
      </c>
      <c r="E865" t="str">
        <f>IFERROR(__xludf.DUMMYFUNCTION("""COMPUTED_VALUE"""),"Chitipat (Tanawat)")</f>
        <v>Chitipat (Tanawat)</v>
      </c>
      <c r="F865" t="str">
        <f>IFERROR(__xludf.DUMMYFUNCTION("""COMPUTED_VALUE"""),"Thananitdullayaphak (Lommahadthai)")</f>
        <v>Thananitdullayaphak (Lommahadthai)</v>
      </c>
      <c r="G865" t="str">
        <f>IFERROR(__xludf.DUMMYFUNCTION("""COMPUTED_VALUE"""),"Chitipat Thananitdullayaphak")</f>
        <v>Chitipat Thananitdullayaphak</v>
      </c>
    </row>
    <row r="866">
      <c r="A866" s="142">
        <f>IFERROR(__xludf.DUMMYFUNCTION("""COMPUTED_VALUE"""),92.0)</f>
        <v>92</v>
      </c>
      <c r="B866" t="str">
        <f>IFERROR(__xludf.DUMMYFUNCTION("""COMPUTED_VALUE"""),"TAA7936")</f>
        <v>TAA7936</v>
      </c>
      <c r="C866">
        <f>IFERROR(__xludf.DUMMYFUNCTION("""COMPUTED_VALUE"""),1019410.0)</f>
        <v>1019410</v>
      </c>
      <c r="D866" t="str">
        <f>IFERROR(__xludf.DUMMYFUNCTION("""COMPUTED_VALUE"""),"Ms.")</f>
        <v>Ms.</v>
      </c>
      <c r="E866" t="str">
        <f>IFERROR(__xludf.DUMMYFUNCTION("""COMPUTED_VALUE"""),"Thachaporn")</f>
        <v>Thachaporn</v>
      </c>
      <c r="F866" t="str">
        <f>IFERROR(__xludf.DUMMYFUNCTION("""COMPUTED_VALUE"""),"Lertwichitsilp")</f>
        <v>Lertwichitsilp</v>
      </c>
      <c r="G866" t="str">
        <f>IFERROR(__xludf.DUMMYFUNCTION("""COMPUTED_VALUE"""),"Thachaporn Lertwichitsilp")</f>
        <v>Thachaporn Lertwichitsilp</v>
      </c>
    </row>
    <row r="867">
      <c r="A867" s="142">
        <f>IFERROR(__xludf.DUMMYFUNCTION("""COMPUTED_VALUE"""),92.0)</f>
        <v>92</v>
      </c>
      <c r="B867" t="str">
        <f>IFERROR(__xludf.DUMMYFUNCTION("""COMPUTED_VALUE"""),"TAA7939")</f>
        <v>TAA7939</v>
      </c>
      <c r="C867">
        <f>IFERROR(__xludf.DUMMYFUNCTION("""COMPUTED_VALUE"""),1019411.0)</f>
        <v>1019411</v>
      </c>
      <c r="D867" t="str">
        <f>IFERROR(__xludf.DUMMYFUNCTION("""COMPUTED_VALUE"""),"Ms.")</f>
        <v>Ms.</v>
      </c>
      <c r="E867" t="str">
        <f>IFERROR(__xludf.DUMMYFUNCTION("""COMPUTED_VALUE"""),"Waratthamol")</f>
        <v>Waratthamol</v>
      </c>
      <c r="F867" t="str">
        <f>IFERROR(__xludf.DUMMYFUNCTION("""COMPUTED_VALUE"""),"Sirinthamart")</f>
        <v>Sirinthamart</v>
      </c>
      <c r="G867" t="str">
        <f>IFERROR(__xludf.DUMMYFUNCTION("""COMPUTED_VALUE"""),"Waratthamol Sirinthamart")</f>
        <v>Waratthamol Sirinthamart</v>
      </c>
    </row>
    <row r="868">
      <c r="A868" s="142">
        <f>IFERROR(__xludf.DUMMYFUNCTION("""COMPUTED_VALUE"""),92.0)</f>
        <v>92</v>
      </c>
      <c r="B868" t="str">
        <f>IFERROR(__xludf.DUMMYFUNCTION("""COMPUTED_VALUE"""),"TAA7924")</f>
        <v>TAA7924</v>
      </c>
      <c r="C868">
        <f>IFERROR(__xludf.DUMMYFUNCTION("""COMPUTED_VALUE"""),1019412.0)</f>
        <v>1019412</v>
      </c>
      <c r="D868" t="str">
        <f>IFERROR(__xludf.DUMMYFUNCTION("""COMPUTED_VALUE"""),"Mr.")</f>
        <v>Mr.</v>
      </c>
      <c r="E868" t="str">
        <f>IFERROR(__xludf.DUMMYFUNCTION("""COMPUTED_VALUE"""),"Werapat")</f>
        <v>Werapat</v>
      </c>
      <c r="F868" t="str">
        <f>IFERROR(__xludf.DUMMYFUNCTION("""COMPUTED_VALUE"""),"Thitirojnopparat")</f>
        <v>Thitirojnopparat</v>
      </c>
      <c r="G868" t="str">
        <f>IFERROR(__xludf.DUMMYFUNCTION("""COMPUTED_VALUE"""),"Werapat Thitirojnopparat")</f>
        <v>Werapat Thitirojnopparat</v>
      </c>
    </row>
    <row r="870">
      <c r="A870" s="142">
        <f>IFERROR(__xludf.DUMMYFUNCTION("""COMPUTED_VALUE"""),93.0)</f>
        <v>93</v>
      </c>
      <c r="B870" t="str">
        <f>IFERROR(__xludf.DUMMYFUNCTION("""COMPUTED_VALUE"""),"TAA4395")</f>
        <v>TAA4395</v>
      </c>
      <c r="C870">
        <f>IFERROR(__xludf.DUMMYFUNCTION("""COMPUTED_VALUE"""),1006796.0)</f>
        <v>1006796</v>
      </c>
      <c r="D870" t="str">
        <f>IFERROR(__xludf.DUMMYFUNCTION("""COMPUTED_VALUE"""),"Ms.")</f>
        <v>Ms.</v>
      </c>
      <c r="E870" t="str">
        <f>IFERROR(__xludf.DUMMYFUNCTION("""COMPUTED_VALUE"""),"Phonpimon")</f>
        <v>Phonpimon</v>
      </c>
      <c r="F870" t="str">
        <f>IFERROR(__xludf.DUMMYFUNCTION("""COMPUTED_VALUE"""),"Nakhiranwiriya")</f>
        <v>Nakhiranwiriya</v>
      </c>
      <c r="G870" t="str">
        <f>IFERROR(__xludf.DUMMYFUNCTION("""COMPUTED_VALUE"""),"Phonpimon Nakhiranwiriya")</f>
        <v>Phonpimon Nakhiranwiriya</v>
      </c>
    </row>
    <row r="871">
      <c r="A871" s="142">
        <f>IFERROR(__xludf.DUMMYFUNCTION("""COMPUTED_VALUE"""),93.0)</f>
        <v>93</v>
      </c>
      <c r="B871" t="str">
        <f>IFERROR(__xludf.DUMMYFUNCTION("""COMPUTED_VALUE"""),"TAA5035")</f>
        <v>TAA5035</v>
      </c>
      <c r="C871">
        <f>IFERROR(__xludf.DUMMYFUNCTION("""COMPUTED_VALUE"""),1008111.0)</f>
        <v>1008111</v>
      </c>
      <c r="D871" t="str">
        <f>IFERROR(__xludf.DUMMYFUNCTION("""COMPUTED_VALUE"""),"Ms.")</f>
        <v>Ms.</v>
      </c>
      <c r="E871" t="str">
        <f>IFERROR(__xludf.DUMMYFUNCTION("""COMPUTED_VALUE"""),"Parawee")</f>
        <v>Parawee</v>
      </c>
      <c r="F871" t="str">
        <f>IFERROR(__xludf.DUMMYFUNCTION("""COMPUTED_VALUE"""),"Sutthiphan")</f>
        <v>Sutthiphan</v>
      </c>
      <c r="G871" t="str">
        <f>IFERROR(__xludf.DUMMYFUNCTION("""COMPUTED_VALUE"""),"Parawee Sutthiphan")</f>
        <v>Parawee Sutthiphan</v>
      </c>
    </row>
    <row r="872">
      <c r="A872" s="142">
        <f>IFERROR(__xludf.DUMMYFUNCTION("""COMPUTED_VALUE"""),93.0)</f>
        <v>93</v>
      </c>
      <c r="B872" t="str">
        <f>IFERROR(__xludf.DUMMYFUNCTION("""COMPUTED_VALUE"""),"TAA8006")</f>
        <v>TAA8006</v>
      </c>
      <c r="C872">
        <f>IFERROR(__xludf.DUMMYFUNCTION("""COMPUTED_VALUE"""),1010851.0)</f>
        <v>1010851</v>
      </c>
      <c r="D872" t="str">
        <f>IFERROR(__xludf.DUMMYFUNCTION("""COMPUTED_VALUE"""),"Ms.")</f>
        <v>Ms.</v>
      </c>
      <c r="E872" t="str">
        <f>IFERROR(__xludf.DUMMYFUNCTION("""COMPUTED_VALUE"""),"Tanyathorn")</f>
        <v>Tanyathorn</v>
      </c>
      <c r="F872" t="str">
        <f>IFERROR(__xludf.DUMMYFUNCTION("""COMPUTED_VALUE"""),"Wilaisaranan")</f>
        <v>Wilaisaranan</v>
      </c>
      <c r="G872" t="str">
        <f>IFERROR(__xludf.DUMMYFUNCTION("""COMPUTED_VALUE"""),"Tanyathorn Wilaisaranan")</f>
        <v>Tanyathorn Wilaisaranan</v>
      </c>
    </row>
    <row r="873">
      <c r="A873" s="142">
        <f>IFERROR(__xludf.DUMMYFUNCTION("""COMPUTED_VALUE"""),93.0)</f>
        <v>93</v>
      </c>
      <c r="B873" t="str">
        <f>IFERROR(__xludf.DUMMYFUNCTION("""COMPUTED_VALUE"""),"TAA7994")</f>
        <v>TAA7994</v>
      </c>
      <c r="C873">
        <f>IFERROR(__xludf.DUMMYFUNCTION("""COMPUTED_VALUE"""),1019515.0)</f>
        <v>1019515</v>
      </c>
      <c r="D873" t="str">
        <f>IFERROR(__xludf.DUMMYFUNCTION("""COMPUTED_VALUE"""),"Ms.")</f>
        <v>Ms.</v>
      </c>
      <c r="E873" t="str">
        <f>IFERROR(__xludf.DUMMYFUNCTION("""COMPUTED_VALUE"""),"Kittaporn")</f>
        <v>Kittaporn</v>
      </c>
      <c r="F873" t="str">
        <f>IFERROR(__xludf.DUMMYFUNCTION("""COMPUTED_VALUE"""),"Boonya-Amornrat (Pootana)")</f>
        <v>Boonya-Amornrat (Pootana)</v>
      </c>
      <c r="G873" t="str">
        <f>IFERROR(__xludf.DUMMYFUNCTION("""COMPUTED_VALUE"""),"Kittaporn Boonya-Amornrat ")</f>
        <v>Kittaporn Boonya-Amornrat </v>
      </c>
    </row>
    <row r="874">
      <c r="A874" s="142">
        <f>IFERROR(__xludf.DUMMYFUNCTION("""COMPUTED_VALUE"""),93.0)</f>
        <v>93</v>
      </c>
      <c r="B874" t="str">
        <f>IFERROR(__xludf.DUMMYFUNCTION("""COMPUTED_VALUE"""),"TAA8002")</f>
        <v>TAA8002</v>
      </c>
      <c r="C874">
        <f>IFERROR(__xludf.DUMMYFUNCTION("""COMPUTED_VALUE"""),1019518.0)</f>
        <v>1019518</v>
      </c>
      <c r="D874" t="str">
        <f>IFERROR(__xludf.DUMMYFUNCTION("""COMPUTED_VALUE"""),"Mr.")</f>
        <v>Mr.</v>
      </c>
      <c r="E874" t="str">
        <f>IFERROR(__xludf.DUMMYFUNCTION("""COMPUTED_VALUE"""),"Naratip")</f>
        <v>Naratip</v>
      </c>
      <c r="F874" t="str">
        <f>IFERROR(__xludf.DUMMYFUNCTION("""COMPUTED_VALUE"""),"Dumrongthai")</f>
        <v>Dumrongthai</v>
      </c>
      <c r="G874" t="str">
        <f>IFERROR(__xludf.DUMMYFUNCTION("""COMPUTED_VALUE"""),"Naratip Dumrongthai")</f>
        <v>Naratip Dumrongthai</v>
      </c>
    </row>
    <row r="875">
      <c r="A875" s="142">
        <f>IFERROR(__xludf.DUMMYFUNCTION("""COMPUTED_VALUE"""),93.0)</f>
        <v>93</v>
      </c>
      <c r="B875" t="str">
        <f>IFERROR(__xludf.DUMMYFUNCTION("""COMPUTED_VALUE"""),"TAA8003")</f>
        <v>TAA8003</v>
      </c>
      <c r="C875">
        <f>IFERROR(__xludf.DUMMYFUNCTION("""COMPUTED_VALUE"""),1019525.0)</f>
        <v>1019525</v>
      </c>
      <c r="D875" t="str">
        <f>IFERROR(__xludf.DUMMYFUNCTION("""COMPUTED_VALUE"""),"Mr.")</f>
        <v>Mr.</v>
      </c>
      <c r="E875" t="str">
        <f>IFERROR(__xludf.DUMMYFUNCTION("""COMPUTED_VALUE"""),"Nithikarn")</f>
        <v>Nithikarn</v>
      </c>
      <c r="F875" t="str">
        <f>IFERROR(__xludf.DUMMYFUNCTION("""COMPUTED_VALUE"""),"Saiyukhet")</f>
        <v>Saiyukhet</v>
      </c>
      <c r="G875" t="str">
        <f>IFERROR(__xludf.DUMMYFUNCTION("""COMPUTED_VALUE"""),"Nithikarn Saiyukhet")</f>
        <v>Nithikarn Saiyukhet</v>
      </c>
    </row>
    <row r="876">
      <c r="A876" s="142">
        <f>IFERROR(__xludf.DUMMYFUNCTION("""COMPUTED_VALUE"""),93.0)</f>
        <v>93</v>
      </c>
      <c r="B876" t="str">
        <f>IFERROR(__xludf.DUMMYFUNCTION("""COMPUTED_VALUE"""),"TAA7997")</f>
        <v>TAA7997</v>
      </c>
      <c r="C876">
        <f>IFERROR(__xludf.DUMMYFUNCTION("""COMPUTED_VALUE"""),1019526.0)</f>
        <v>1019526</v>
      </c>
      <c r="D876" t="str">
        <f>IFERROR(__xludf.DUMMYFUNCTION("""COMPUTED_VALUE"""),"Mr.")</f>
        <v>Mr.</v>
      </c>
      <c r="E876" t="str">
        <f>IFERROR(__xludf.DUMMYFUNCTION("""COMPUTED_VALUE"""),"Nontapat")</f>
        <v>Nontapat</v>
      </c>
      <c r="F876" t="str">
        <f>IFERROR(__xludf.DUMMYFUNCTION("""COMPUTED_VALUE"""),"Karasu")</f>
        <v>Karasu</v>
      </c>
      <c r="G876" t="str">
        <f>IFERROR(__xludf.DUMMYFUNCTION("""COMPUTED_VALUE"""),"Nontapat Karasu")</f>
        <v>Nontapat Karasu</v>
      </c>
    </row>
    <row r="877">
      <c r="A877" s="142">
        <f>IFERROR(__xludf.DUMMYFUNCTION("""COMPUTED_VALUE"""),93.0)</f>
        <v>93</v>
      </c>
      <c r="B877" t="str">
        <f>IFERROR(__xludf.DUMMYFUNCTION("""COMPUTED_VALUE"""),"TAA7993")</f>
        <v>TAA7993</v>
      </c>
      <c r="C877">
        <f>IFERROR(__xludf.DUMMYFUNCTION("""COMPUTED_VALUE"""),1019528.0)</f>
        <v>1019528</v>
      </c>
      <c r="D877" t="str">
        <f>IFERROR(__xludf.DUMMYFUNCTION("""COMPUTED_VALUE"""),"Ms.")</f>
        <v>Ms.</v>
      </c>
      <c r="E877" t="str">
        <f>IFERROR(__xludf.DUMMYFUNCTION("""COMPUTED_VALUE"""),"Panida")</f>
        <v>Panida</v>
      </c>
      <c r="F877" t="str">
        <f>IFERROR(__xludf.DUMMYFUNCTION("""COMPUTED_VALUE"""),"Wannaying")</f>
        <v>Wannaying</v>
      </c>
      <c r="G877" t="str">
        <f>IFERROR(__xludf.DUMMYFUNCTION("""COMPUTED_VALUE"""),"Panida Wannaying")</f>
        <v>Panida Wannaying</v>
      </c>
    </row>
    <row r="878">
      <c r="A878" s="142">
        <f>IFERROR(__xludf.DUMMYFUNCTION("""COMPUTED_VALUE"""),93.0)</f>
        <v>93</v>
      </c>
      <c r="B878" t="str">
        <f>IFERROR(__xludf.DUMMYFUNCTION("""COMPUTED_VALUE"""),"TAA7990")</f>
        <v>TAA7990</v>
      </c>
      <c r="C878">
        <f>IFERROR(__xludf.DUMMYFUNCTION("""COMPUTED_VALUE"""),1019535.0)</f>
        <v>1019535</v>
      </c>
      <c r="D878" t="str">
        <f>IFERROR(__xludf.DUMMYFUNCTION("""COMPUTED_VALUE"""),"Ms.")</f>
        <v>Ms.</v>
      </c>
      <c r="E878" t="str">
        <f>IFERROR(__xludf.DUMMYFUNCTION("""COMPUTED_VALUE"""),"Primwipa")</f>
        <v>Primwipa</v>
      </c>
      <c r="F878" t="str">
        <f>IFERROR(__xludf.DUMMYFUNCTION("""COMPUTED_VALUE"""),"Klinkachorn")</f>
        <v>Klinkachorn</v>
      </c>
      <c r="G878" t="str">
        <f>IFERROR(__xludf.DUMMYFUNCTION("""COMPUTED_VALUE"""),"Primwipa Klinkachorn")</f>
        <v>Primwipa Klinkachorn</v>
      </c>
    </row>
    <row r="879">
      <c r="A879" s="142">
        <f>IFERROR(__xludf.DUMMYFUNCTION("""COMPUTED_VALUE"""),93.0)</f>
        <v>93</v>
      </c>
      <c r="B879" t="str">
        <f>IFERROR(__xludf.DUMMYFUNCTION("""COMPUTED_VALUE"""),"TAA8004")</f>
        <v>TAA8004</v>
      </c>
      <c r="C879">
        <f>IFERROR(__xludf.DUMMYFUNCTION("""COMPUTED_VALUE"""),1019542.0)</f>
        <v>1019542</v>
      </c>
      <c r="D879" t="str">
        <f>IFERROR(__xludf.DUMMYFUNCTION("""COMPUTED_VALUE"""),"Mr.")</f>
        <v>Mr.</v>
      </c>
      <c r="E879" t="str">
        <f>IFERROR(__xludf.DUMMYFUNCTION("""COMPUTED_VALUE"""),"Siravich")</f>
        <v>Siravich</v>
      </c>
      <c r="F879" t="str">
        <f>IFERROR(__xludf.DUMMYFUNCTION("""COMPUTED_VALUE"""),"Prathompatama")</f>
        <v>Prathompatama</v>
      </c>
      <c r="G879" t="str">
        <f>IFERROR(__xludf.DUMMYFUNCTION("""COMPUTED_VALUE"""),"Siravich Prathompatama")</f>
        <v>Siravich Prathompatama</v>
      </c>
    </row>
    <row r="880">
      <c r="A880" s="142">
        <f>IFERROR(__xludf.DUMMYFUNCTION("""COMPUTED_VALUE"""),93.0)</f>
        <v>93</v>
      </c>
      <c r="B880" t="str">
        <f>IFERROR(__xludf.DUMMYFUNCTION("""COMPUTED_VALUE"""),"TAA7996")</f>
        <v>TAA7996</v>
      </c>
      <c r="C880">
        <f>IFERROR(__xludf.DUMMYFUNCTION("""COMPUTED_VALUE"""),1019545.0)</f>
        <v>1019545</v>
      </c>
      <c r="D880" t="str">
        <f>IFERROR(__xludf.DUMMYFUNCTION("""COMPUTED_VALUE"""),"Mr.")</f>
        <v>Mr.</v>
      </c>
      <c r="E880" t="str">
        <f>IFERROR(__xludf.DUMMYFUNCTION("""COMPUTED_VALUE"""),"Sorawich")</f>
        <v>Sorawich</v>
      </c>
      <c r="F880" t="str">
        <f>IFERROR(__xludf.DUMMYFUNCTION("""COMPUTED_VALUE"""),"Kaosumang")</f>
        <v>Kaosumang</v>
      </c>
      <c r="G880" t="str">
        <f>IFERROR(__xludf.DUMMYFUNCTION("""COMPUTED_VALUE"""),"Sorawich Kaosumang")</f>
        <v>Sorawich Kaosumang</v>
      </c>
    </row>
    <row r="881">
      <c r="A881" s="142">
        <f>IFERROR(__xludf.DUMMYFUNCTION("""COMPUTED_VALUE"""),93.0)</f>
        <v>93</v>
      </c>
      <c r="B881" t="str">
        <f>IFERROR(__xludf.DUMMYFUNCTION("""COMPUTED_VALUE"""),"TAA7998")</f>
        <v>TAA7998</v>
      </c>
      <c r="C881">
        <f>IFERROR(__xludf.DUMMYFUNCTION("""COMPUTED_VALUE"""),1019549.0)</f>
        <v>1019549</v>
      </c>
      <c r="D881" t="str">
        <f>IFERROR(__xludf.DUMMYFUNCTION("""COMPUTED_VALUE"""),"Mr.")</f>
        <v>Mr.</v>
      </c>
      <c r="E881" t="str">
        <f>IFERROR(__xludf.DUMMYFUNCTION("""COMPUTED_VALUE"""),"Phuriwat (Teerapong)")</f>
        <v>Phuriwat (Teerapong)</v>
      </c>
      <c r="F881" t="str">
        <f>IFERROR(__xludf.DUMMYFUNCTION("""COMPUTED_VALUE"""),"Chaitulyavate (Krangklang)")</f>
        <v>Chaitulyavate (Krangklang)</v>
      </c>
      <c r="G881" t="str">
        <f>IFERROR(__xludf.DUMMYFUNCTION("""COMPUTED_VALUE"""),"Phuriwat Chaitulyavate ")</f>
        <v>Phuriwat Chaitulyavate </v>
      </c>
    </row>
    <row r="882">
      <c r="A882" s="142">
        <f>IFERROR(__xludf.DUMMYFUNCTION("""COMPUTED_VALUE"""),93.0)</f>
        <v>93</v>
      </c>
      <c r="B882" t="str">
        <f>IFERROR(__xludf.DUMMYFUNCTION("""COMPUTED_VALUE"""),"TAA7991")</f>
        <v>TAA7991</v>
      </c>
      <c r="C882">
        <f>IFERROR(__xludf.DUMMYFUNCTION("""COMPUTED_VALUE"""),1019550.0)</f>
        <v>1019550</v>
      </c>
      <c r="D882" t="str">
        <f>IFERROR(__xludf.DUMMYFUNCTION("""COMPUTED_VALUE"""),"Ms.")</f>
        <v>Ms.</v>
      </c>
      <c r="E882" t="str">
        <f>IFERROR(__xludf.DUMMYFUNCTION("""COMPUTED_VALUE"""),"Thansaya")</f>
        <v>Thansaya</v>
      </c>
      <c r="F882" t="str">
        <f>IFERROR(__xludf.DUMMYFUNCTION("""COMPUTED_VALUE"""),"Gerdnavy")</f>
        <v>Gerdnavy</v>
      </c>
      <c r="G882" t="str">
        <f>IFERROR(__xludf.DUMMYFUNCTION("""COMPUTED_VALUE"""),"Thansaya Gerdnavy")</f>
        <v>Thansaya Gerdnavy</v>
      </c>
    </row>
    <row r="883">
      <c r="A883" s="142">
        <f>IFERROR(__xludf.DUMMYFUNCTION("""COMPUTED_VALUE"""),93.0)</f>
        <v>93</v>
      </c>
      <c r="B883" t="str">
        <f>IFERROR(__xludf.DUMMYFUNCTION("""COMPUTED_VALUE"""),"TAA8000")</f>
        <v>TAA8000</v>
      </c>
      <c r="C883">
        <f>IFERROR(__xludf.DUMMYFUNCTION("""COMPUTED_VALUE"""),1019551.0)</f>
        <v>1019551</v>
      </c>
      <c r="D883" t="str">
        <f>IFERROR(__xludf.DUMMYFUNCTION("""COMPUTED_VALUE"""),"Mr.")</f>
        <v>Mr.</v>
      </c>
      <c r="E883" t="str">
        <f>IFERROR(__xludf.DUMMYFUNCTION("""COMPUTED_VALUE"""),"Thanyatorn")</f>
        <v>Thanyatorn</v>
      </c>
      <c r="F883" t="str">
        <f>IFERROR(__xludf.DUMMYFUNCTION("""COMPUTED_VALUE"""),"Panyanonwat")</f>
        <v>Panyanonwat</v>
      </c>
      <c r="G883" t="str">
        <f>IFERROR(__xludf.DUMMYFUNCTION("""COMPUTED_VALUE"""),"Thanyatorn Panyanonwat")</f>
        <v>Thanyatorn Panyanonwat</v>
      </c>
    </row>
    <row r="884">
      <c r="A884" s="142">
        <f>IFERROR(__xludf.DUMMYFUNCTION("""COMPUTED_VALUE"""),93.0)</f>
        <v>93</v>
      </c>
      <c r="B884" t="str">
        <f>IFERROR(__xludf.DUMMYFUNCTION("""COMPUTED_VALUE"""),"TAA8001")</f>
        <v>TAA8001</v>
      </c>
      <c r="C884">
        <f>IFERROR(__xludf.DUMMYFUNCTION("""COMPUTED_VALUE"""),1019556.0)</f>
        <v>1019556</v>
      </c>
      <c r="D884" t="str">
        <f>IFERROR(__xludf.DUMMYFUNCTION("""COMPUTED_VALUE"""),"Mr.")</f>
        <v>Mr.</v>
      </c>
      <c r="E884" t="str">
        <f>IFERROR(__xludf.DUMMYFUNCTION("""COMPUTED_VALUE"""),"Warintorn")</f>
        <v>Warintorn</v>
      </c>
      <c r="F884" t="str">
        <f>IFERROR(__xludf.DUMMYFUNCTION("""COMPUTED_VALUE"""),"Rachanikorn")</f>
        <v>Rachanikorn</v>
      </c>
      <c r="G884" t="str">
        <f>IFERROR(__xludf.DUMMYFUNCTION("""COMPUTED_VALUE"""),"Warintorn Rachanikorn")</f>
        <v>Warintorn Rachanikorn</v>
      </c>
    </row>
    <row r="885">
      <c r="A885" s="142">
        <f>IFERROR(__xludf.DUMMYFUNCTION("""COMPUTED_VALUE"""),93.0)</f>
        <v>93</v>
      </c>
      <c r="B885" t="str">
        <f>IFERROR(__xludf.DUMMYFUNCTION("""COMPUTED_VALUE"""),"TAA7999")</f>
        <v>TAA7999</v>
      </c>
      <c r="C885">
        <f>IFERROR(__xludf.DUMMYFUNCTION("""COMPUTED_VALUE"""),1019557.0)</f>
        <v>1019557</v>
      </c>
      <c r="D885" t="str">
        <f>IFERROR(__xludf.DUMMYFUNCTION("""COMPUTED_VALUE"""),"Mr.")</f>
        <v>Mr.</v>
      </c>
      <c r="E885" t="str">
        <f>IFERROR(__xludf.DUMMYFUNCTION("""COMPUTED_VALUE"""),"Yossavarid")</f>
        <v>Yossavarid</v>
      </c>
      <c r="F885" t="str">
        <f>IFERROR(__xludf.DUMMYFUNCTION("""COMPUTED_VALUE"""),"Tien")</f>
        <v>Tien</v>
      </c>
      <c r="G885" t="str">
        <f>IFERROR(__xludf.DUMMYFUNCTION("""COMPUTED_VALUE"""),"Yossavarid Tien")</f>
        <v>Yossavarid Tien</v>
      </c>
    </row>
    <row r="887">
      <c r="A887" s="142">
        <f>IFERROR(__xludf.DUMMYFUNCTION("""COMPUTED_VALUE"""),94.0)</f>
        <v>94</v>
      </c>
      <c r="B887" t="str">
        <f>IFERROR(__xludf.DUMMYFUNCTION("""COMPUTED_VALUE"""),"TAA3783")</f>
        <v>TAA3783</v>
      </c>
      <c r="C887">
        <f>IFERROR(__xludf.DUMMYFUNCTION("""COMPUTED_VALUE"""),1005817.0)</f>
        <v>1005817</v>
      </c>
      <c r="D887" t="str">
        <f>IFERROR(__xludf.DUMMYFUNCTION("""COMPUTED_VALUE"""),"Mr.")</f>
        <v>Mr.</v>
      </c>
      <c r="E887" t="str">
        <f>IFERROR(__xludf.DUMMYFUNCTION("""COMPUTED_VALUE"""),"Natdanai")</f>
        <v>Natdanai</v>
      </c>
      <c r="F887" t="str">
        <f>IFERROR(__xludf.DUMMYFUNCTION("""COMPUTED_VALUE"""),"Kingsawat")</f>
        <v>Kingsawat</v>
      </c>
      <c r="G887" t="str">
        <f>IFERROR(__xludf.DUMMYFUNCTION("""COMPUTED_VALUE"""),"Natdanai Kingsawat")</f>
        <v>Natdanai Kingsawat</v>
      </c>
    </row>
    <row r="888">
      <c r="A888" s="142">
        <f>IFERROR(__xludf.DUMMYFUNCTION("""COMPUTED_VALUE"""),94.0)</f>
        <v>94</v>
      </c>
      <c r="B888" t="str">
        <f>IFERROR(__xludf.DUMMYFUNCTION("""COMPUTED_VALUE"""),"TAA5068")</f>
        <v>TAA5068</v>
      </c>
      <c r="C888">
        <f>IFERROR(__xludf.DUMMYFUNCTION("""COMPUTED_VALUE"""),1008230.0)</f>
        <v>1008230</v>
      </c>
      <c r="D888" t="str">
        <f>IFERROR(__xludf.DUMMYFUNCTION("""COMPUTED_VALUE"""),"Mrs.")</f>
        <v>Mrs.</v>
      </c>
      <c r="E888" t="str">
        <f>IFERROR(__xludf.DUMMYFUNCTION("""COMPUTED_VALUE"""),"Narinrat (Saranphon)")</f>
        <v>Narinrat (Saranphon)</v>
      </c>
      <c r="F888" t="str">
        <f>IFERROR(__xludf.DUMMYFUNCTION("""COMPUTED_VALUE"""),"Khoojaroenpaisan (Sripattana)")</f>
        <v>Khoojaroenpaisan (Sripattana)</v>
      </c>
      <c r="G888" t="str">
        <f>IFERROR(__xludf.DUMMYFUNCTION("""COMPUTED_VALUE"""),"Narinrat Khoojaroenpaisan")</f>
        <v>Narinrat Khoojaroenpaisan</v>
      </c>
    </row>
    <row r="889">
      <c r="A889" s="142">
        <f>IFERROR(__xludf.DUMMYFUNCTION("""COMPUTED_VALUE"""),94.0)</f>
        <v>94</v>
      </c>
      <c r="B889" t="str">
        <f>IFERROR(__xludf.DUMMYFUNCTION("""COMPUTED_VALUE"""),"TAA5552")</f>
        <v>TAA5552</v>
      </c>
      <c r="C889">
        <f>IFERROR(__xludf.DUMMYFUNCTION("""COMPUTED_VALUE"""),1010721.0)</f>
        <v>1010721</v>
      </c>
      <c r="D889" t="str">
        <f>IFERROR(__xludf.DUMMYFUNCTION("""COMPUTED_VALUE"""),"Ms.")</f>
        <v>Ms.</v>
      </c>
      <c r="E889" t="str">
        <f>IFERROR(__xludf.DUMMYFUNCTION("""COMPUTED_VALUE"""),"Papitchaya")</f>
        <v>Papitchaya</v>
      </c>
      <c r="F889" t="str">
        <f>IFERROR(__xludf.DUMMYFUNCTION("""COMPUTED_VALUE"""),"Saytasuhat")</f>
        <v>Saytasuhat</v>
      </c>
      <c r="G889" t="str">
        <f>IFERROR(__xludf.DUMMYFUNCTION("""COMPUTED_VALUE"""),"Papitchaya Saytasuhat")</f>
        <v>Papitchaya Saytasuhat</v>
      </c>
    </row>
    <row r="890">
      <c r="A890" s="142">
        <f>IFERROR(__xludf.DUMMYFUNCTION("""COMPUTED_VALUE"""),94.0)</f>
        <v>94</v>
      </c>
      <c r="B890" t="str">
        <f>IFERROR(__xludf.DUMMYFUNCTION("""COMPUTED_VALUE"""),"TAA6146")</f>
        <v>TAA6146</v>
      </c>
      <c r="C890">
        <f>IFERROR(__xludf.DUMMYFUNCTION("""COMPUTED_VALUE"""),1011710.0)</f>
        <v>1011710</v>
      </c>
      <c r="D890" t="str">
        <f>IFERROR(__xludf.DUMMYFUNCTION("""COMPUTED_VALUE"""),"Ms.")</f>
        <v>Ms.</v>
      </c>
      <c r="E890" t="str">
        <f>IFERROR(__xludf.DUMMYFUNCTION("""COMPUTED_VALUE"""),"Satchaporn")</f>
        <v>Satchaporn</v>
      </c>
      <c r="F890" t="str">
        <f>IFERROR(__xludf.DUMMYFUNCTION("""COMPUTED_VALUE"""),"Sriroy")</f>
        <v>Sriroy</v>
      </c>
      <c r="G890" t="str">
        <f>IFERROR(__xludf.DUMMYFUNCTION("""COMPUTED_VALUE"""),"Satchaporn Sriroy")</f>
        <v>Satchaporn Sriroy</v>
      </c>
    </row>
    <row r="891">
      <c r="A891" s="142">
        <f>IFERROR(__xludf.DUMMYFUNCTION("""COMPUTED_VALUE"""),94.0)</f>
        <v>94</v>
      </c>
      <c r="C891">
        <f>IFERROR(__xludf.DUMMYFUNCTION("""COMPUTED_VALUE"""),1022212.0)</f>
        <v>1022212</v>
      </c>
      <c r="D891" t="str">
        <f>IFERROR(__xludf.DUMMYFUNCTION("""COMPUTED_VALUE"""),"Ms.")</f>
        <v>Ms.</v>
      </c>
      <c r="E891" t="str">
        <f>IFERROR(__xludf.DUMMYFUNCTION("""COMPUTED_VALUE"""),"Patcharamon")</f>
        <v>Patcharamon</v>
      </c>
      <c r="F891" t="str">
        <f>IFERROR(__xludf.DUMMYFUNCTION("""COMPUTED_VALUE"""),"Vipatanawin")</f>
        <v>Vipatanawin</v>
      </c>
      <c r="G891" t="str">
        <f>IFERROR(__xludf.DUMMYFUNCTION("""COMPUTED_VALUE"""),"Patcharamon Vipatanawin")</f>
        <v>Patcharamon Vipatanawin</v>
      </c>
    </row>
    <row r="892">
      <c r="A892" s="142">
        <f>IFERROR(__xludf.DUMMYFUNCTION("""COMPUTED_VALUE"""),94.0)</f>
        <v>94</v>
      </c>
      <c r="C892">
        <f>IFERROR(__xludf.DUMMYFUNCTION("""COMPUTED_VALUE"""),1022214.0)</f>
        <v>1022214</v>
      </c>
      <c r="D892" t="str">
        <f>IFERROR(__xludf.DUMMYFUNCTION("""COMPUTED_VALUE"""),"Mrs.")</f>
        <v>Mrs.</v>
      </c>
      <c r="E892" t="str">
        <f>IFERROR(__xludf.DUMMYFUNCTION("""COMPUTED_VALUE"""),"Siripassorn")</f>
        <v>Siripassorn</v>
      </c>
      <c r="F892" t="str">
        <f>IFERROR(__xludf.DUMMYFUNCTION("""COMPUTED_VALUE"""),"Lerdnitirungrit (Liangpanit)")</f>
        <v>Lerdnitirungrit (Liangpanit)</v>
      </c>
      <c r="G892" t="str">
        <f>IFERROR(__xludf.DUMMYFUNCTION("""COMPUTED_VALUE"""),"Siripassorn Lerdnitirungrit")</f>
        <v>Siripassorn Lerdnitirungrit</v>
      </c>
    </row>
    <row r="893">
      <c r="A893" s="142">
        <f>IFERROR(__xludf.DUMMYFUNCTION("""COMPUTED_VALUE"""),94.0)</f>
        <v>94</v>
      </c>
      <c r="C893">
        <f>IFERROR(__xludf.DUMMYFUNCTION("""COMPUTED_VALUE"""),1022215.0)</f>
        <v>1022215</v>
      </c>
      <c r="D893" t="str">
        <f>IFERROR(__xludf.DUMMYFUNCTION("""COMPUTED_VALUE"""),"Ms.")</f>
        <v>Ms.</v>
      </c>
      <c r="E893" t="str">
        <f>IFERROR(__xludf.DUMMYFUNCTION("""COMPUTED_VALUE"""),"Porntida")</f>
        <v>Porntida</v>
      </c>
      <c r="F893" t="str">
        <f>IFERROR(__xludf.DUMMYFUNCTION("""COMPUTED_VALUE"""),"Yuttimi")</f>
        <v>Yuttimi</v>
      </c>
      <c r="G893" t="str">
        <f>IFERROR(__xludf.DUMMYFUNCTION("""COMPUTED_VALUE"""),"Porntida Yuttimi")</f>
        <v>Porntida Yuttimi</v>
      </c>
    </row>
    <row r="894">
      <c r="A894" s="142">
        <f>IFERROR(__xludf.DUMMYFUNCTION("""COMPUTED_VALUE"""),94.0)</f>
        <v>94</v>
      </c>
      <c r="C894">
        <f>IFERROR(__xludf.DUMMYFUNCTION("""COMPUTED_VALUE"""),1022218.0)</f>
        <v>1022218</v>
      </c>
      <c r="D894" t="str">
        <f>IFERROR(__xludf.DUMMYFUNCTION("""COMPUTED_VALUE"""),"Ms.")</f>
        <v>Ms.</v>
      </c>
      <c r="E894" t="str">
        <f>IFERROR(__xludf.DUMMYFUNCTION("""COMPUTED_VALUE"""),"Pimchai")</f>
        <v>Pimchai</v>
      </c>
      <c r="F894" t="str">
        <f>IFERROR(__xludf.DUMMYFUNCTION("""COMPUTED_VALUE"""),"Supachaiyakij")</f>
        <v>Supachaiyakij</v>
      </c>
      <c r="G894" t="str">
        <f>IFERROR(__xludf.DUMMYFUNCTION("""COMPUTED_VALUE"""),"Pimchai Supachaiyakij")</f>
        <v>Pimchai Supachaiyakij</v>
      </c>
    </row>
    <row r="895">
      <c r="A895" s="142">
        <f>IFERROR(__xludf.DUMMYFUNCTION("""COMPUTED_VALUE"""),94.0)</f>
        <v>94</v>
      </c>
      <c r="C895">
        <f>IFERROR(__xludf.DUMMYFUNCTION("""COMPUTED_VALUE"""),1022221.0)</f>
        <v>1022221</v>
      </c>
      <c r="D895" t="str">
        <f>IFERROR(__xludf.DUMMYFUNCTION("""COMPUTED_VALUE"""),"Mr.")</f>
        <v>Mr.</v>
      </c>
      <c r="E895" t="str">
        <f>IFERROR(__xludf.DUMMYFUNCTION("""COMPUTED_VALUE"""),"Itsara")</f>
        <v>Itsara</v>
      </c>
      <c r="F895" t="str">
        <f>IFERROR(__xludf.DUMMYFUNCTION("""COMPUTED_VALUE"""),"Indrasuta")</f>
        <v>Indrasuta</v>
      </c>
      <c r="G895" t="str">
        <f>IFERROR(__xludf.DUMMYFUNCTION("""COMPUTED_VALUE"""),"Itsara Indrasuta")</f>
        <v>Itsara Indrasuta</v>
      </c>
    </row>
    <row r="896">
      <c r="A896" s="142">
        <f>IFERROR(__xludf.DUMMYFUNCTION("""COMPUTED_VALUE"""),94.0)</f>
        <v>94</v>
      </c>
      <c r="C896">
        <f>IFERROR(__xludf.DUMMYFUNCTION("""COMPUTED_VALUE"""),1022222.0)</f>
        <v>1022222</v>
      </c>
      <c r="D896" t="str">
        <f>IFERROR(__xludf.DUMMYFUNCTION("""COMPUTED_VALUE"""),"Mr.")</f>
        <v>Mr.</v>
      </c>
      <c r="E896" t="str">
        <f>IFERROR(__xludf.DUMMYFUNCTION("""COMPUTED_VALUE"""),"Songboon")</f>
        <v>Songboon</v>
      </c>
      <c r="F896" t="str">
        <f>IFERROR(__xludf.DUMMYFUNCTION("""COMPUTED_VALUE"""),"Kiatchaweepan")</f>
        <v>Kiatchaweepan</v>
      </c>
      <c r="G896" t="str">
        <f>IFERROR(__xludf.DUMMYFUNCTION("""COMPUTED_VALUE"""),"Songboon Kiatchaweepan")</f>
        <v>Songboon Kiatchaweepan</v>
      </c>
    </row>
    <row r="897">
      <c r="A897" s="142">
        <f>IFERROR(__xludf.DUMMYFUNCTION("""COMPUTED_VALUE"""),94.0)</f>
        <v>94</v>
      </c>
      <c r="C897">
        <f>IFERROR(__xludf.DUMMYFUNCTION("""COMPUTED_VALUE"""),1022223.0)</f>
        <v>1022223</v>
      </c>
      <c r="D897" t="str">
        <f>IFERROR(__xludf.DUMMYFUNCTION("""COMPUTED_VALUE"""),"Ms.")</f>
        <v>Ms.</v>
      </c>
      <c r="E897" t="str">
        <f>IFERROR(__xludf.DUMMYFUNCTION("""COMPUTED_VALUE"""),"Nantapak")</f>
        <v>Nantapak</v>
      </c>
      <c r="F897" t="str">
        <f>IFERROR(__xludf.DUMMYFUNCTION("""COMPUTED_VALUE"""),"Benjasiriporn")</f>
        <v>Benjasiriporn</v>
      </c>
      <c r="G897" t="str">
        <f>IFERROR(__xludf.DUMMYFUNCTION("""COMPUTED_VALUE"""),"Nantapak Benjasiriporn")</f>
        <v>Nantapak Benjasiriporn</v>
      </c>
    </row>
    <row r="898">
      <c r="A898" s="142">
        <f>IFERROR(__xludf.DUMMYFUNCTION("""COMPUTED_VALUE"""),94.0)</f>
        <v>94</v>
      </c>
      <c r="C898">
        <f>IFERROR(__xludf.DUMMYFUNCTION("""COMPUTED_VALUE"""),1022226.0)</f>
        <v>1022226</v>
      </c>
      <c r="D898" t="str">
        <f>IFERROR(__xludf.DUMMYFUNCTION("""COMPUTED_VALUE"""),"Ms.")</f>
        <v>Ms.</v>
      </c>
      <c r="E898" t="str">
        <f>IFERROR(__xludf.DUMMYFUNCTION("""COMPUTED_VALUE"""),"Janrawee")</f>
        <v>Janrawee</v>
      </c>
      <c r="F898" t="str">
        <f>IFERROR(__xludf.DUMMYFUNCTION("""COMPUTED_VALUE"""),"Peerapand")</f>
        <v>Peerapand</v>
      </c>
      <c r="G898" t="str">
        <f>IFERROR(__xludf.DUMMYFUNCTION("""COMPUTED_VALUE"""),"Janrawee Peerapand")</f>
        <v>Janrawee Peerapand</v>
      </c>
    </row>
    <row r="899">
      <c r="A899" s="142">
        <f>IFERROR(__xludf.DUMMYFUNCTION("""COMPUTED_VALUE"""),94.0)</f>
        <v>94</v>
      </c>
      <c r="C899">
        <f>IFERROR(__xludf.DUMMYFUNCTION("""COMPUTED_VALUE"""),1022228.0)</f>
        <v>1022228</v>
      </c>
      <c r="D899" t="str">
        <f>IFERROR(__xludf.DUMMYFUNCTION("""COMPUTED_VALUE"""),"Ms.")</f>
        <v>Ms.</v>
      </c>
      <c r="E899" t="str">
        <f>IFERROR(__xludf.DUMMYFUNCTION("""COMPUTED_VALUE"""),"Nawaporn")</f>
        <v>Nawaporn</v>
      </c>
      <c r="F899" t="str">
        <f>IFERROR(__xludf.DUMMYFUNCTION("""COMPUTED_VALUE"""),"Phruksaraj")</f>
        <v>Phruksaraj</v>
      </c>
      <c r="G899" t="str">
        <f>IFERROR(__xludf.DUMMYFUNCTION("""COMPUTED_VALUE"""),"Nawaporn Phruksaraj")</f>
        <v>Nawaporn Phruksaraj</v>
      </c>
    </row>
    <row r="901">
      <c r="A901" s="142">
        <f>IFERROR(__xludf.DUMMYFUNCTION("""COMPUTED_VALUE"""),95.0)</f>
        <v>95</v>
      </c>
      <c r="B901" t="str">
        <f>IFERROR(__xludf.DUMMYFUNCTION("""COMPUTED_VALUE"""),"TAA4758")</f>
        <v>TAA4758</v>
      </c>
      <c r="C901">
        <f>IFERROR(__xludf.DUMMYFUNCTION("""COMPUTED_VALUE"""),1007525.0)</f>
        <v>1007525</v>
      </c>
      <c r="D901" t="str">
        <f>IFERROR(__xludf.DUMMYFUNCTION("""COMPUTED_VALUE"""),"Ms.")</f>
        <v>Ms.</v>
      </c>
      <c r="E901" t="str">
        <f>IFERROR(__xludf.DUMMYFUNCTION("""COMPUTED_VALUE"""),"Matharapoj")</f>
        <v>Matharapoj</v>
      </c>
      <c r="F901" t="str">
        <f>IFERROR(__xludf.DUMMYFUNCTION("""COMPUTED_VALUE"""),"Daungkull")</f>
        <v>Daungkull</v>
      </c>
      <c r="G901" t="str">
        <f>IFERROR(__xludf.DUMMYFUNCTION("""COMPUTED_VALUE"""),"Matharapoj Daungkull")</f>
        <v>Matharapoj Daungkull</v>
      </c>
    </row>
    <row r="902">
      <c r="A902" s="142">
        <f>IFERROR(__xludf.DUMMYFUNCTION("""COMPUTED_VALUE"""),95.0)</f>
        <v>95</v>
      </c>
      <c r="B902" t="str">
        <f>IFERROR(__xludf.DUMMYFUNCTION("""COMPUTED_VALUE"""),"TAA5262")</f>
        <v>TAA5262</v>
      </c>
      <c r="C902">
        <f>IFERROR(__xludf.DUMMYFUNCTION("""COMPUTED_VALUE"""),1008689.0)</f>
        <v>1008689</v>
      </c>
      <c r="D902" t="str">
        <f>IFERROR(__xludf.DUMMYFUNCTION("""COMPUTED_VALUE"""),"Ms.")</f>
        <v>Ms.</v>
      </c>
      <c r="E902" t="str">
        <f>IFERROR(__xludf.DUMMYFUNCTION("""COMPUTED_VALUE"""),"Patcharee")</f>
        <v>Patcharee</v>
      </c>
      <c r="F902" t="str">
        <f>IFERROR(__xludf.DUMMYFUNCTION("""COMPUTED_VALUE"""),"Sornnuan")</f>
        <v>Sornnuan</v>
      </c>
      <c r="G902" t="str">
        <f>IFERROR(__xludf.DUMMYFUNCTION("""COMPUTED_VALUE"""),"Patcharee Sornnuan")</f>
        <v>Patcharee Sornnuan</v>
      </c>
    </row>
    <row r="903">
      <c r="A903" s="142">
        <f>IFERROR(__xludf.DUMMYFUNCTION("""COMPUTED_VALUE"""),95.0)</f>
        <v>95</v>
      </c>
      <c r="B903" t="str">
        <f>IFERROR(__xludf.DUMMYFUNCTION("""COMPUTED_VALUE"""),"TAA5466")</f>
        <v>TAA5466</v>
      </c>
      <c r="C903">
        <f>IFERROR(__xludf.DUMMYFUNCTION("""COMPUTED_VALUE"""),1009131.0)</f>
        <v>1009131</v>
      </c>
      <c r="D903" t="str">
        <f>IFERROR(__xludf.DUMMYFUNCTION("""COMPUTED_VALUE"""),"Mr.")</f>
        <v>Mr.</v>
      </c>
      <c r="E903" t="str">
        <f>IFERROR(__xludf.DUMMYFUNCTION("""COMPUTED_VALUE"""),"Burin")</f>
        <v>Burin</v>
      </c>
      <c r="F903" t="str">
        <f>IFERROR(__xludf.DUMMYFUNCTION("""COMPUTED_VALUE"""),"Sornnuan")</f>
        <v>Sornnuan</v>
      </c>
      <c r="G903" t="str">
        <f>IFERROR(__xludf.DUMMYFUNCTION("""COMPUTED_VALUE"""),"Burin Wongdithai")</f>
        <v>Burin Wongdithai</v>
      </c>
    </row>
    <row r="904">
      <c r="A904" s="142">
        <f>IFERROR(__xludf.DUMMYFUNCTION("""COMPUTED_VALUE"""),95.0)</f>
        <v>95</v>
      </c>
      <c r="C904">
        <f>IFERROR(__xludf.DUMMYFUNCTION("""COMPUTED_VALUE"""),1022213.0)</f>
        <v>1022213</v>
      </c>
      <c r="D904" t="str">
        <f>IFERROR(__xludf.DUMMYFUNCTION("""COMPUTED_VALUE"""),"Mr.")</f>
        <v>Mr.</v>
      </c>
      <c r="E904" t="str">
        <f>IFERROR(__xludf.DUMMYFUNCTION("""COMPUTED_VALUE"""),"Puripak")</f>
        <v>Puripak</v>
      </c>
      <c r="F904" t="str">
        <f>IFERROR(__xludf.DUMMYFUNCTION("""COMPUTED_VALUE"""),"Pensawat")</f>
        <v>Pensawat</v>
      </c>
      <c r="G904" t="str">
        <f>IFERROR(__xludf.DUMMYFUNCTION("""COMPUTED_VALUE"""),"Puripak Pensawat")</f>
        <v>Puripak Pensawat</v>
      </c>
    </row>
    <row r="905">
      <c r="A905" s="142">
        <f>IFERROR(__xludf.DUMMYFUNCTION("""COMPUTED_VALUE"""),95.0)</f>
        <v>95</v>
      </c>
      <c r="C905">
        <f>IFERROR(__xludf.DUMMYFUNCTION("""COMPUTED_VALUE"""),1022658.0)</f>
        <v>1022658</v>
      </c>
      <c r="D905" t="str">
        <f>IFERROR(__xludf.DUMMYFUNCTION("""COMPUTED_VALUE"""),"Ms.")</f>
        <v>Ms.</v>
      </c>
      <c r="E905" t="str">
        <f>IFERROR(__xludf.DUMMYFUNCTION("""COMPUTED_VALUE"""),"Hariphat")</f>
        <v>Hariphat</v>
      </c>
      <c r="F905" t="str">
        <f>IFERROR(__xludf.DUMMYFUNCTION("""COMPUTED_VALUE"""),"Suphangcharus")</f>
        <v>Suphangcharus</v>
      </c>
      <c r="G905" t="str">
        <f>IFERROR(__xludf.DUMMYFUNCTION("""COMPUTED_VALUE"""),"Hariphat Suphangcharus")</f>
        <v>Hariphat Suphangcharus</v>
      </c>
    </row>
    <row r="906">
      <c r="A906" s="142">
        <f>IFERROR(__xludf.DUMMYFUNCTION("""COMPUTED_VALUE"""),95.0)</f>
        <v>95</v>
      </c>
      <c r="C906">
        <f>IFERROR(__xludf.DUMMYFUNCTION("""COMPUTED_VALUE"""),1022660.0)</f>
        <v>1022660</v>
      </c>
      <c r="D906" t="str">
        <f>IFERROR(__xludf.DUMMYFUNCTION("""COMPUTED_VALUE"""),"Ms.")</f>
        <v>Ms.</v>
      </c>
      <c r="E906" t="str">
        <f>IFERROR(__xludf.DUMMYFUNCTION("""COMPUTED_VALUE"""),"Ketjiya")</f>
        <v>Ketjiya</v>
      </c>
      <c r="F906" t="str">
        <f>IFERROR(__xludf.DUMMYFUNCTION("""COMPUTED_VALUE"""),"Sriamonsak")</f>
        <v>Sriamonsak</v>
      </c>
      <c r="G906" t="str">
        <f>IFERROR(__xludf.DUMMYFUNCTION("""COMPUTED_VALUE"""),"Ketjiya Sriamonsak")</f>
        <v>Ketjiya Sriamonsak</v>
      </c>
    </row>
    <row r="907">
      <c r="A907" s="142">
        <f>IFERROR(__xludf.DUMMYFUNCTION("""COMPUTED_VALUE"""),95.0)</f>
        <v>95</v>
      </c>
      <c r="C907">
        <f>IFERROR(__xludf.DUMMYFUNCTION("""COMPUTED_VALUE"""),1022662.0)</f>
        <v>1022662</v>
      </c>
      <c r="D907" t="str">
        <f>IFERROR(__xludf.DUMMYFUNCTION("""COMPUTED_VALUE"""),"Ms.")</f>
        <v>Ms.</v>
      </c>
      <c r="E907" t="str">
        <f>IFERROR(__xludf.DUMMYFUNCTION("""COMPUTED_VALUE"""),"Wachiraporn")</f>
        <v>Wachiraporn</v>
      </c>
      <c r="F907" t="str">
        <f>IFERROR(__xludf.DUMMYFUNCTION("""COMPUTED_VALUE"""),"Songkram")</f>
        <v>Songkram</v>
      </c>
      <c r="G907" t="str">
        <f>IFERROR(__xludf.DUMMYFUNCTION("""COMPUTED_VALUE"""),"Wachiraporn Songkram")</f>
        <v>Wachiraporn Songkram</v>
      </c>
    </row>
    <row r="908">
      <c r="A908" s="142">
        <f>IFERROR(__xludf.DUMMYFUNCTION("""COMPUTED_VALUE"""),95.0)</f>
        <v>95</v>
      </c>
      <c r="C908">
        <f>IFERROR(__xludf.DUMMYFUNCTION("""COMPUTED_VALUE"""),1022663.0)</f>
        <v>1022663</v>
      </c>
      <c r="D908" t="str">
        <f>IFERROR(__xludf.DUMMYFUNCTION("""COMPUTED_VALUE"""),"Ms.")</f>
        <v>Ms.</v>
      </c>
      <c r="E908" t="str">
        <f>IFERROR(__xludf.DUMMYFUNCTION("""COMPUTED_VALUE"""),"Parunya")</f>
        <v>Parunya</v>
      </c>
      <c r="F908" t="str">
        <f>IFERROR(__xludf.DUMMYFUNCTION("""COMPUTED_VALUE"""),"Poonsuk")</f>
        <v>Poonsuk</v>
      </c>
      <c r="G908" t="str">
        <f>IFERROR(__xludf.DUMMYFUNCTION("""COMPUTED_VALUE"""),"Parunya Poonsuk")</f>
        <v>Parunya Poonsuk</v>
      </c>
    </row>
    <row r="909">
      <c r="A909" s="142">
        <f>IFERROR(__xludf.DUMMYFUNCTION("""COMPUTED_VALUE"""),95.0)</f>
        <v>95</v>
      </c>
      <c r="C909">
        <f>IFERROR(__xludf.DUMMYFUNCTION("""COMPUTED_VALUE"""),1022666.0)</f>
        <v>1022666</v>
      </c>
      <c r="D909" t="str">
        <f>IFERROR(__xludf.DUMMYFUNCTION("""COMPUTED_VALUE"""),"Ms.")</f>
        <v>Ms.</v>
      </c>
      <c r="E909" t="str">
        <f>IFERROR(__xludf.DUMMYFUNCTION("""COMPUTED_VALUE"""),"Suchanart")</f>
        <v>Suchanart</v>
      </c>
      <c r="F909" t="str">
        <f>IFERROR(__xludf.DUMMYFUNCTION("""COMPUTED_VALUE"""),"Thongsongsom")</f>
        <v>Thongsongsom</v>
      </c>
      <c r="G909" t="str">
        <f>IFERROR(__xludf.DUMMYFUNCTION("""COMPUTED_VALUE"""),"Suchanart Thongsongsom")</f>
        <v>Suchanart Thongsongsom</v>
      </c>
    </row>
    <row r="910">
      <c r="A910" s="142">
        <f>IFERROR(__xludf.DUMMYFUNCTION("""COMPUTED_VALUE"""),95.0)</f>
        <v>95</v>
      </c>
      <c r="C910">
        <f>IFERROR(__xludf.DUMMYFUNCTION("""COMPUTED_VALUE"""),1022667.0)</f>
        <v>1022667</v>
      </c>
      <c r="D910" t="str">
        <f>IFERROR(__xludf.DUMMYFUNCTION("""COMPUTED_VALUE"""),"Ms.")</f>
        <v>Ms.</v>
      </c>
      <c r="E910" t="str">
        <f>IFERROR(__xludf.DUMMYFUNCTION("""COMPUTED_VALUE"""),"Natasa")</f>
        <v>Natasa</v>
      </c>
      <c r="F910" t="str">
        <f>IFERROR(__xludf.DUMMYFUNCTION("""COMPUTED_VALUE"""),"Tharasak")</f>
        <v>Tharasak</v>
      </c>
      <c r="G910" t="str">
        <f>IFERROR(__xludf.DUMMYFUNCTION("""COMPUTED_VALUE"""),"Natasa Tharasak")</f>
        <v>Natasa Tharasak</v>
      </c>
    </row>
    <row r="911">
      <c r="A911" s="142">
        <f>IFERROR(__xludf.DUMMYFUNCTION("""COMPUTED_VALUE"""),95.0)</f>
        <v>95</v>
      </c>
      <c r="C911">
        <f>IFERROR(__xludf.DUMMYFUNCTION("""COMPUTED_VALUE"""),1022668.0)</f>
        <v>1022668</v>
      </c>
      <c r="D911" t="str">
        <f>IFERROR(__xludf.DUMMYFUNCTION("""COMPUTED_VALUE"""),"Ms.")</f>
        <v>Ms.</v>
      </c>
      <c r="E911" t="str">
        <f>IFERROR(__xludf.DUMMYFUNCTION("""COMPUTED_VALUE"""),"Chatchaya")</f>
        <v>Chatchaya</v>
      </c>
      <c r="F911" t="str">
        <f>IFERROR(__xludf.DUMMYFUNCTION("""COMPUTED_VALUE"""),"Laohasurayotin")</f>
        <v>Laohasurayotin</v>
      </c>
      <c r="G911" t="str">
        <f>IFERROR(__xludf.DUMMYFUNCTION("""COMPUTED_VALUE"""),"Chatchaya Laohasurayotin")</f>
        <v>Chatchaya Laohasurayotin</v>
      </c>
    </row>
    <row r="912">
      <c r="A912" s="142">
        <f>IFERROR(__xludf.DUMMYFUNCTION("""COMPUTED_VALUE"""),95.0)</f>
        <v>95</v>
      </c>
      <c r="C912">
        <f>IFERROR(__xludf.DUMMYFUNCTION("""COMPUTED_VALUE"""),1022779.0)</f>
        <v>1022779</v>
      </c>
      <c r="D912" t="str">
        <f>IFERROR(__xludf.DUMMYFUNCTION("""COMPUTED_VALUE"""),"Ms.")</f>
        <v>Ms.</v>
      </c>
      <c r="E912" t="str">
        <f>IFERROR(__xludf.DUMMYFUNCTION("""COMPUTED_VALUE"""),"Thipwadee")</f>
        <v>Thipwadee</v>
      </c>
      <c r="F912" t="str">
        <f>IFERROR(__xludf.DUMMYFUNCTION("""COMPUTED_VALUE"""),"Ing-Anannat")</f>
        <v>Ing-Anannat</v>
      </c>
      <c r="G912" t="str">
        <f>IFERROR(__xludf.DUMMYFUNCTION("""COMPUTED_VALUE"""),"Thipwadee Ing-Anannat")</f>
        <v>Thipwadee Ing-Anannat</v>
      </c>
    </row>
    <row r="913">
      <c r="A913" s="142">
        <f>IFERROR(__xludf.DUMMYFUNCTION("""COMPUTED_VALUE"""),95.0)</f>
        <v>95</v>
      </c>
      <c r="C913">
        <f>IFERROR(__xludf.DUMMYFUNCTION("""COMPUTED_VALUE"""),1022841.0)</f>
        <v>1022841</v>
      </c>
      <c r="D913" t="str">
        <f>IFERROR(__xludf.DUMMYFUNCTION("""COMPUTED_VALUE"""),"Ms.")</f>
        <v>Ms.</v>
      </c>
      <c r="E913" t="str">
        <f>IFERROR(__xludf.DUMMYFUNCTION("""COMPUTED_VALUE"""),"Apinya")</f>
        <v>Apinya</v>
      </c>
      <c r="F913" t="str">
        <f>IFERROR(__xludf.DUMMYFUNCTION("""COMPUTED_VALUE"""),"Chaisaeng")</f>
        <v>Chaisaeng</v>
      </c>
      <c r="G913" t="str">
        <f>IFERROR(__xludf.DUMMYFUNCTION("""COMPUTED_VALUE"""),"Apinya Chaisaeng")</f>
        <v>Apinya Chaisaeng</v>
      </c>
    </row>
    <row r="915">
      <c r="A915" s="142">
        <f>IFERROR(__xludf.DUMMYFUNCTION("""COMPUTED_VALUE"""),96.0)</f>
        <v>96</v>
      </c>
      <c r="B915" t="str">
        <f>IFERROR(__xludf.DUMMYFUNCTION("""COMPUTED_VALUE"""),"TAA5047")</f>
        <v>TAA5047</v>
      </c>
      <c r="C915">
        <f>IFERROR(__xludf.DUMMYFUNCTION("""COMPUTED_VALUE"""),1008211.0)</f>
        <v>1008211</v>
      </c>
      <c r="D915" t="str">
        <f>IFERROR(__xludf.DUMMYFUNCTION("""COMPUTED_VALUE"""),"Ms.")</f>
        <v>Ms.</v>
      </c>
      <c r="E915" t="str">
        <f>IFERROR(__xludf.DUMMYFUNCTION("""COMPUTED_VALUE"""),"Jinnanat")</f>
        <v>Jinnanat</v>
      </c>
      <c r="F915" t="str">
        <f>IFERROR(__xludf.DUMMYFUNCTION("""COMPUTED_VALUE"""),"Buree")</f>
        <v>Buree</v>
      </c>
      <c r="G915" t="str">
        <f>IFERROR(__xludf.DUMMYFUNCTION("""COMPUTED_VALUE"""),"Jinnanat Buree")</f>
        <v>Jinnanat Buree</v>
      </c>
    </row>
    <row r="916">
      <c r="A916" s="142">
        <f>IFERROR(__xludf.DUMMYFUNCTION("""COMPUTED_VALUE"""),96.0)</f>
        <v>96</v>
      </c>
      <c r="B916" t="str">
        <f>IFERROR(__xludf.DUMMYFUNCTION("""COMPUTED_VALUE"""),"TAA5335")</f>
        <v>TAA5335</v>
      </c>
      <c r="C916">
        <f>IFERROR(__xludf.DUMMYFUNCTION("""COMPUTED_VALUE"""),1008894.0)</f>
        <v>1008894</v>
      </c>
      <c r="D916" t="str">
        <f>IFERROR(__xludf.DUMMYFUNCTION("""COMPUTED_VALUE"""),"Mr.")</f>
        <v>Mr.</v>
      </c>
      <c r="E916" t="str">
        <f>IFERROR(__xludf.DUMMYFUNCTION("""COMPUTED_VALUE"""),"Piyaphong")</f>
        <v>Piyaphong</v>
      </c>
      <c r="F916" t="str">
        <f>IFERROR(__xludf.DUMMYFUNCTION("""COMPUTED_VALUE"""),"Hongsiri")</f>
        <v>Hongsiri</v>
      </c>
      <c r="G916" t="str">
        <f>IFERROR(__xludf.DUMMYFUNCTION("""COMPUTED_VALUE"""),"Piyaphong Hongsiri")</f>
        <v>Piyaphong Hongsiri</v>
      </c>
    </row>
    <row r="917">
      <c r="A917" s="142">
        <f>IFERROR(__xludf.DUMMYFUNCTION("""COMPUTED_VALUE"""),96.0)</f>
        <v>96</v>
      </c>
      <c r="C917">
        <f>IFERROR(__xludf.DUMMYFUNCTION("""COMPUTED_VALUE"""),1022754.0)</f>
        <v>1022754</v>
      </c>
      <c r="D917" t="str">
        <f>IFERROR(__xludf.DUMMYFUNCTION("""COMPUTED_VALUE"""),"Ms.")</f>
        <v>Ms.</v>
      </c>
      <c r="E917" t="str">
        <f>IFERROR(__xludf.DUMMYFUNCTION("""COMPUTED_VALUE"""),"Pawina")</f>
        <v>Pawina</v>
      </c>
      <c r="F917" t="str">
        <f>IFERROR(__xludf.DUMMYFUNCTION("""COMPUTED_VALUE"""),"Jiradilokporn")</f>
        <v>Jiradilokporn</v>
      </c>
      <c r="G917" t="str">
        <f>IFERROR(__xludf.DUMMYFUNCTION("""COMPUTED_VALUE"""),"Pawina Jiradilokporn")</f>
        <v>Pawina Jiradilokporn</v>
      </c>
    </row>
    <row r="918">
      <c r="A918" s="142">
        <f>IFERROR(__xludf.DUMMYFUNCTION("""COMPUTED_VALUE"""),96.0)</f>
        <v>96</v>
      </c>
      <c r="C918">
        <f>IFERROR(__xludf.DUMMYFUNCTION("""COMPUTED_VALUE"""),1022839.0)</f>
        <v>1022839</v>
      </c>
      <c r="D918" t="str">
        <f>IFERROR(__xludf.DUMMYFUNCTION("""COMPUTED_VALUE"""),"Ms.")</f>
        <v>Ms.</v>
      </c>
      <c r="E918" t="str">
        <f>IFERROR(__xludf.DUMMYFUNCTION("""COMPUTED_VALUE"""),"Apichaya")</f>
        <v>Apichaya</v>
      </c>
      <c r="F918" t="str">
        <f>IFERROR(__xludf.DUMMYFUNCTION("""COMPUTED_VALUE"""),"Wijitr")</f>
        <v>Wijitr</v>
      </c>
      <c r="G918" t="str">
        <f>IFERROR(__xludf.DUMMYFUNCTION("""COMPUTED_VALUE"""),"Apichaya Wijitr")</f>
        <v>Apichaya Wijitr</v>
      </c>
    </row>
    <row r="919">
      <c r="A919" s="142">
        <f>IFERROR(__xludf.DUMMYFUNCTION("""COMPUTED_VALUE"""),96.0)</f>
        <v>96</v>
      </c>
      <c r="C919">
        <f>IFERROR(__xludf.DUMMYFUNCTION("""COMPUTED_VALUE"""),1022845.0)</f>
        <v>1022845</v>
      </c>
      <c r="D919" t="str">
        <f>IFERROR(__xludf.DUMMYFUNCTION("""COMPUTED_VALUE"""),"Ms.")</f>
        <v>Ms.</v>
      </c>
      <c r="E919" t="str">
        <f>IFERROR(__xludf.DUMMYFUNCTION("""COMPUTED_VALUE"""),"Phattharasiri")</f>
        <v>Phattharasiri</v>
      </c>
      <c r="F919" t="str">
        <f>IFERROR(__xludf.DUMMYFUNCTION("""COMPUTED_VALUE"""),"Kamkhow")</f>
        <v>Kamkhow</v>
      </c>
      <c r="G919" t="str">
        <f>IFERROR(__xludf.DUMMYFUNCTION("""COMPUTED_VALUE"""),"Phattharasiri Kamkhow")</f>
        <v>Phattharasiri Kamkhow</v>
      </c>
    </row>
    <row r="920">
      <c r="A920" s="142">
        <f>IFERROR(__xludf.DUMMYFUNCTION("""COMPUTED_VALUE"""),96.0)</f>
        <v>96</v>
      </c>
      <c r="C920">
        <f>IFERROR(__xludf.DUMMYFUNCTION("""COMPUTED_VALUE"""),1022846.0)</f>
        <v>1022846</v>
      </c>
      <c r="D920" t="str">
        <f>IFERROR(__xludf.DUMMYFUNCTION("""COMPUTED_VALUE"""),"Ms.")</f>
        <v>Ms.</v>
      </c>
      <c r="E920" t="str">
        <f>IFERROR(__xludf.DUMMYFUNCTION("""COMPUTED_VALUE"""),"Tattiya")</f>
        <v>Tattiya</v>
      </c>
      <c r="F920" t="str">
        <f>IFERROR(__xludf.DUMMYFUNCTION("""COMPUTED_VALUE"""),"Supannabut")</f>
        <v>Supannabut</v>
      </c>
      <c r="G920" t="str">
        <f>IFERROR(__xludf.DUMMYFUNCTION("""COMPUTED_VALUE"""),"Tattiya Supannabut")</f>
        <v>Tattiya Supannabut</v>
      </c>
    </row>
    <row r="921">
      <c r="A921" s="142">
        <f>IFERROR(__xludf.DUMMYFUNCTION("""COMPUTED_VALUE"""),96.0)</f>
        <v>96</v>
      </c>
      <c r="C921">
        <f>IFERROR(__xludf.DUMMYFUNCTION("""COMPUTED_VALUE"""),1022847.0)</f>
        <v>1022847</v>
      </c>
      <c r="D921" t="str">
        <f>IFERROR(__xludf.DUMMYFUNCTION("""COMPUTED_VALUE"""),"Ms.")</f>
        <v>Ms.</v>
      </c>
      <c r="E921" t="str">
        <f>IFERROR(__xludf.DUMMYFUNCTION("""COMPUTED_VALUE"""),"Natchapapha")</f>
        <v>Natchapapha</v>
      </c>
      <c r="F921" t="str">
        <f>IFERROR(__xludf.DUMMYFUNCTION("""COMPUTED_VALUE"""),"Surakhunthod")</f>
        <v>Surakhunthod</v>
      </c>
      <c r="G921" t="str">
        <f>IFERROR(__xludf.DUMMYFUNCTION("""COMPUTED_VALUE"""),"Natchapapha Surakhunthod")</f>
        <v>Natchapapha Surakhunthod</v>
      </c>
    </row>
    <row r="922">
      <c r="A922" s="142">
        <f>IFERROR(__xludf.DUMMYFUNCTION("""COMPUTED_VALUE"""),96.0)</f>
        <v>96</v>
      </c>
      <c r="C922">
        <f>IFERROR(__xludf.DUMMYFUNCTION("""COMPUTED_VALUE"""),1022848.0)</f>
        <v>1022848</v>
      </c>
      <c r="D922" t="str">
        <f>IFERROR(__xludf.DUMMYFUNCTION("""COMPUTED_VALUE"""),"Ms.")</f>
        <v>Ms.</v>
      </c>
      <c r="E922" t="str">
        <f>IFERROR(__xludf.DUMMYFUNCTION("""COMPUTED_VALUE"""),"Danita")</f>
        <v>Danita</v>
      </c>
      <c r="F922" t="str">
        <f>IFERROR(__xludf.DUMMYFUNCTION("""COMPUTED_VALUE"""),"Prakrittipong")</f>
        <v>Prakrittipong</v>
      </c>
      <c r="G922" t="str">
        <f>IFERROR(__xludf.DUMMYFUNCTION("""COMPUTED_VALUE"""),"Danita Prakrittipong")</f>
        <v>Danita Prakrittipong</v>
      </c>
    </row>
    <row r="923">
      <c r="A923" s="142">
        <f>IFERROR(__xludf.DUMMYFUNCTION("""COMPUTED_VALUE"""),96.0)</f>
        <v>96</v>
      </c>
      <c r="C923">
        <f>IFERROR(__xludf.DUMMYFUNCTION("""COMPUTED_VALUE"""),1022858.0)</f>
        <v>1022858</v>
      </c>
      <c r="D923" t="str">
        <f>IFERROR(__xludf.DUMMYFUNCTION("""COMPUTED_VALUE"""),"Ms.")</f>
        <v>Ms.</v>
      </c>
      <c r="E923" t="str">
        <f>IFERROR(__xludf.DUMMYFUNCTION("""COMPUTED_VALUE"""),"Methakarn")</f>
        <v>Methakarn</v>
      </c>
      <c r="F923" t="str">
        <f>IFERROR(__xludf.DUMMYFUNCTION("""COMPUTED_VALUE"""),"Ratanamalaya")</f>
        <v>Ratanamalaya</v>
      </c>
      <c r="G923" t="str">
        <f>IFERROR(__xludf.DUMMYFUNCTION("""COMPUTED_VALUE"""),"Methakarn Ratanamalaya")</f>
        <v>Methakarn Ratanamalaya</v>
      </c>
    </row>
    <row r="924">
      <c r="A924" s="142">
        <f>IFERROR(__xludf.DUMMYFUNCTION("""COMPUTED_VALUE"""),96.0)</f>
        <v>96</v>
      </c>
      <c r="C924">
        <f>IFERROR(__xludf.DUMMYFUNCTION("""COMPUTED_VALUE"""),1022983.0)</f>
        <v>1022983</v>
      </c>
      <c r="D924" t="str">
        <f>IFERROR(__xludf.DUMMYFUNCTION("""COMPUTED_VALUE"""),"Mr.")</f>
        <v>Mr.</v>
      </c>
      <c r="E924" t="str">
        <f>IFERROR(__xludf.DUMMYFUNCTION("""COMPUTED_VALUE"""),"Surapong")</f>
        <v>Surapong</v>
      </c>
      <c r="F924" t="str">
        <f>IFERROR(__xludf.DUMMYFUNCTION("""COMPUTED_VALUE"""),"Thongchinnawat")</f>
        <v>Thongchinnawat</v>
      </c>
      <c r="G924" t="str">
        <f>IFERROR(__xludf.DUMMYFUNCTION("""COMPUTED_VALUE"""),"Surapong Thongchinnawat")</f>
        <v>Surapong Thongchinnawat</v>
      </c>
    </row>
    <row r="925">
      <c r="A925" s="142">
        <f>IFERROR(__xludf.DUMMYFUNCTION("""COMPUTED_VALUE"""),96.0)</f>
        <v>96</v>
      </c>
      <c r="C925">
        <f>IFERROR(__xludf.DUMMYFUNCTION("""COMPUTED_VALUE"""),1022984.0)</f>
        <v>1022984</v>
      </c>
      <c r="D925" t="str">
        <f>IFERROR(__xludf.DUMMYFUNCTION("""COMPUTED_VALUE"""),"Ms.")</f>
        <v>Ms.</v>
      </c>
      <c r="E925" t="str">
        <f>IFERROR(__xludf.DUMMYFUNCTION("""COMPUTED_VALUE"""),"Pitsinee")</f>
        <v>Pitsinee</v>
      </c>
      <c r="F925" t="str">
        <f>IFERROR(__xludf.DUMMYFUNCTION("""COMPUTED_VALUE"""),"Diowvilai")</f>
        <v>Diowvilai</v>
      </c>
      <c r="G925" t="str">
        <f>IFERROR(__xludf.DUMMYFUNCTION("""COMPUTED_VALUE"""),"Pitsinee Diowvilai")</f>
        <v>Pitsinee Diowvilai</v>
      </c>
    </row>
    <row r="926">
      <c r="A926" s="142">
        <f>IFERROR(__xludf.DUMMYFUNCTION("""COMPUTED_VALUE"""),96.0)</f>
        <v>96</v>
      </c>
      <c r="C926">
        <f>IFERROR(__xludf.DUMMYFUNCTION("""COMPUTED_VALUE"""),1022989.0)</f>
        <v>1022989</v>
      </c>
      <c r="D926" t="str">
        <f>IFERROR(__xludf.DUMMYFUNCTION("""COMPUTED_VALUE"""),"Mr.")</f>
        <v>Mr.</v>
      </c>
      <c r="E926" t="str">
        <f>IFERROR(__xludf.DUMMYFUNCTION("""COMPUTED_VALUE"""),"Peeranat")</f>
        <v>Peeranat</v>
      </c>
      <c r="F926" t="str">
        <f>IFERROR(__xludf.DUMMYFUNCTION("""COMPUTED_VALUE"""),"Chavitranurak")</f>
        <v>Chavitranurak</v>
      </c>
      <c r="G926" t="str">
        <f>IFERROR(__xludf.DUMMYFUNCTION("""COMPUTED_VALUE"""),"Peeranat Chavitranurak")</f>
        <v>Peeranat Chavitranurak</v>
      </c>
    </row>
    <row r="927">
      <c r="A927" s="142">
        <f>IFERROR(__xludf.DUMMYFUNCTION("""COMPUTED_VALUE"""),96.0)</f>
        <v>96</v>
      </c>
      <c r="C927">
        <f>IFERROR(__xludf.DUMMYFUNCTION("""COMPUTED_VALUE"""),1022990.0)</f>
        <v>1022990</v>
      </c>
      <c r="D927" t="str">
        <f>IFERROR(__xludf.DUMMYFUNCTION("""COMPUTED_VALUE"""),"Ms.")</f>
        <v>Ms.</v>
      </c>
      <c r="E927" t="str">
        <f>IFERROR(__xludf.DUMMYFUNCTION("""COMPUTED_VALUE"""),"Vichaya")</f>
        <v>Vichaya</v>
      </c>
      <c r="F927" t="str">
        <f>IFERROR(__xludf.DUMMYFUNCTION("""COMPUTED_VALUE"""),"Tunpichart")</f>
        <v>Tunpichart</v>
      </c>
      <c r="G927" t="str">
        <f>IFERROR(__xludf.DUMMYFUNCTION("""COMPUTED_VALUE"""),"Vichaya Tunpichart")</f>
        <v>Vichaya Tunpichart</v>
      </c>
    </row>
    <row r="929">
      <c r="A929" s="142">
        <f>IFERROR(__xludf.DUMMYFUNCTION("""COMPUTED_VALUE"""),97.0)</f>
        <v>97</v>
      </c>
      <c r="B929" t="str">
        <f>IFERROR(__xludf.DUMMYFUNCTION("""COMPUTED_VALUE"""),"TAA3239")</f>
        <v>TAA3239</v>
      </c>
      <c r="C929">
        <f>IFERROR(__xludf.DUMMYFUNCTION("""COMPUTED_VALUE"""),1004951.0)</f>
        <v>1004951</v>
      </c>
      <c r="D929" t="str">
        <f>IFERROR(__xludf.DUMMYFUNCTION("""COMPUTED_VALUE"""),"Ms.")</f>
        <v>Ms.</v>
      </c>
      <c r="E929" t="str">
        <f>IFERROR(__xludf.DUMMYFUNCTION("""COMPUTED_VALUE"""),"Tharathip")</f>
        <v>Tharathip</v>
      </c>
      <c r="F929" t="str">
        <f>IFERROR(__xludf.DUMMYFUNCTION("""COMPUTED_VALUE"""),"Phakdeemeechai")</f>
        <v>Phakdeemeechai</v>
      </c>
      <c r="G929" t="str">
        <f>IFERROR(__xludf.DUMMYFUNCTION("""COMPUTED_VALUE"""),"Tharathip Phakdeemeechai")</f>
        <v>Tharathip Phakdeemeechai</v>
      </c>
    </row>
    <row r="930">
      <c r="A930" s="142">
        <f>IFERROR(__xludf.DUMMYFUNCTION("""COMPUTED_VALUE"""),97.0)</f>
        <v>97</v>
      </c>
      <c r="B930" t="str">
        <f>IFERROR(__xludf.DUMMYFUNCTION("""COMPUTED_VALUE"""),"TAA6150")</f>
        <v>TAA6150</v>
      </c>
      <c r="C930">
        <f>IFERROR(__xludf.DUMMYFUNCTION("""COMPUTED_VALUE"""),1011705.0)</f>
        <v>1011705</v>
      </c>
      <c r="D930" t="str">
        <f>IFERROR(__xludf.DUMMYFUNCTION("""COMPUTED_VALUE"""),"Ms.")</f>
        <v>Ms.</v>
      </c>
      <c r="E930" t="str">
        <f>IFERROR(__xludf.DUMMYFUNCTION("""COMPUTED_VALUE"""),"Nattika")</f>
        <v>Nattika</v>
      </c>
      <c r="F930" t="str">
        <f>IFERROR(__xludf.DUMMYFUNCTION("""COMPUTED_VALUE"""),"Naephimai")</f>
        <v>Naephimai</v>
      </c>
      <c r="G930" t="str">
        <f>IFERROR(__xludf.DUMMYFUNCTION("""COMPUTED_VALUE"""),"Nattika Naephimai")</f>
        <v>Nattika Naephimai</v>
      </c>
    </row>
    <row r="931">
      <c r="A931" s="142">
        <f>IFERROR(__xludf.DUMMYFUNCTION("""COMPUTED_VALUE"""),97.0)</f>
        <v>97</v>
      </c>
      <c r="C931">
        <f>IFERROR(__xludf.DUMMYFUNCTION("""COMPUTED_VALUE"""),1022699.0)</f>
        <v>1022699</v>
      </c>
      <c r="D931" t="str">
        <f>IFERROR(__xludf.DUMMYFUNCTION("""COMPUTED_VALUE"""),"Mr.")</f>
        <v>Mr.</v>
      </c>
      <c r="E931" t="str">
        <f>IFERROR(__xludf.DUMMYFUNCTION("""COMPUTED_VALUE"""),"Pawin")</f>
        <v>Pawin</v>
      </c>
      <c r="F931" t="str">
        <f>IFERROR(__xludf.DUMMYFUNCTION("""COMPUTED_VALUE"""),"Tiajae")</f>
        <v>Tiajae</v>
      </c>
      <c r="G931" t="str">
        <f>IFERROR(__xludf.DUMMYFUNCTION("""COMPUTED_VALUE"""),"Pawin Tiajae")</f>
        <v>Pawin Tiajae</v>
      </c>
    </row>
    <row r="932">
      <c r="A932" s="142">
        <f>IFERROR(__xludf.DUMMYFUNCTION("""COMPUTED_VALUE"""),97.0)</f>
        <v>97</v>
      </c>
      <c r="C932">
        <f>IFERROR(__xludf.DUMMYFUNCTION("""COMPUTED_VALUE"""),1022700.0)</f>
        <v>1022700</v>
      </c>
      <c r="D932" t="str">
        <f>IFERROR(__xludf.DUMMYFUNCTION("""COMPUTED_VALUE"""),"Mr.")</f>
        <v>Mr.</v>
      </c>
      <c r="E932" t="str">
        <f>IFERROR(__xludf.DUMMYFUNCTION("""COMPUTED_VALUE"""),"Chayanun")</f>
        <v>Chayanun</v>
      </c>
      <c r="F932" t="str">
        <f>IFERROR(__xludf.DUMMYFUNCTION("""COMPUTED_VALUE"""),"Kittiwarapol")</f>
        <v>Kittiwarapol</v>
      </c>
      <c r="G932" t="str">
        <f>IFERROR(__xludf.DUMMYFUNCTION("""COMPUTED_VALUE"""),"Chayanun Kittiwarapol")</f>
        <v>Chayanun Kittiwarapol</v>
      </c>
    </row>
    <row r="933">
      <c r="A933" s="142">
        <f>IFERROR(__xludf.DUMMYFUNCTION("""COMPUTED_VALUE"""),97.0)</f>
        <v>97</v>
      </c>
      <c r="C933">
        <f>IFERROR(__xludf.DUMMYFUNCTION("""COMPUTED_VALUE"""),1022701.0)</f>
        <v>1022701</v>
      </c>
      <c r="D933" t="str">
        <f>IFERROR(__xludf.DUMMYFUNCTION("""COMPUTED_VALUE"""),"Ms.")</f>
        <v>Ms.</v>
      </c>
      <c r="E933" t="str">
        <f>IFERROR(__xludf.DUMMYFUNCTION("""COMPUTED_VALUE"""),"Janyarak")</f>
        <v>Janyarak</v>
      </c>
      <c r="F933" t="str">
        <f>IFERROR(__xludf.DUMMYFUNCTION("""COMPUTED_VALUE"""),"Khundilokbovorn")</f>
        <v>Khundilokbovorn</v>
      </c>
      <c r="G933" t="str">
        <f>IFERROR(__xludf.DUMMYFUNCTION("""COMPUTED_VALUE"""),"Janyarak Khundilokbovorn")</f>
        <v>Janyarak Khundilokbovorn</v>
      </c>
    </row>
    <row r="934">
      <c r="A934" s="142">
        <f>IFERROR(__xludf.DUMMYFUNCTION("""COMPUTED_VALUE"""),97.0)</f>
        <v>97</v>
      </c>
      <c r="C934">
        <f>IFERROR(__xludf.DUMMYFUNCTION("""COMPUTED_VALUE"""),1022705.0)</f>
        <v>1022705</v>
      </c>
      <c r="D934" t="str">
        <f>IFERROR(__xludf.DUMMYFUNCTION("""COMPUTED_VALUE"""),"Ms.")</f>
        <v>Ms.</v>
      </c>
      <c r="E934" t="str">
        <f>IFERROR(__xludf.DUMMYFUNCTION("""COMPUTED_VALUE"""),"Pattaranan")</f>
        <v>Pattaranan</v>
      </c>
      <c r="F934" t="str">
        <f>IFERROR(__xludf.DUMMYFUNCTION("""COMPUTED_VALUE"""),"Thamsuchit")</f>
        <v>Thamsuchit</v>
      </c>
      <c r="G934" t="str">
        <f>IFERROR(__xludf.DUMMYFUNCTION("""COMPUTED_VALUE"""),"Pattaranan Thamsuchit")</f>
        <v>Pattaranan Thamsuchit</v>
      </c>
    </row>
    <row r="935">
      <c r="A935" s="142">
        <f>IFERROR(__xludf.DUMMYFUNCTION("""COMPUTED_VALUE"""),97.0)</f>
        <v>97</v>
      </c>
      <c r="C935">
        <f>IFERROR(__xludf.DUMMYFUNCTION("""COMPUTED_VALUE"""),1022706.0)</f>
        <v>1022706</v>
      </c>
      <c r="D935" t="str">
        <f>IFERROR(__xludf.DUMMYFUNCTION("""COMPUTED_VALUE"""),"Ms.")</f>
        <v>Ms.</v>
      </c>
      <c r="E935" t="str">
        <f>IFERROR(__xludf.DUMMYFUNCTION("""COMPUTED_VALUE"""),"Nutpimon")</f>
        <v>Nutpimon</v>
      </c>
      <c r="F935" t="str">
        <f>IFERROR(__xludf.DUMMYFUNCTION("""COMPUTED_VALUE"""),"Taain")</f>
        <v>Taain</v>
      </c>
      <c r="G935" t="str">
        <f>IFERROR(__xludf.DUMMYFUNCTION("""COMPUTED_VALUE"""),"Nutpimon Taain")</f>
        <v>Nutpimon Taain</v>
      </c>
    </row>
    <row r="936">
      <c r="A936" s="142">
        <f>IFERROR(__xludf.DUMMYFUNCTION("""COMPUTED_VALUE"""),97.0)</f>
        <v>97</v>
      </c>
      <c r="C936">
        <f>IFERROR(__xludf.DUMMYFUNCTION("""COMPUTED_VALUE"""),1022708.0)</f>
        <v>1022708</v>
      </c>
      <c r="D936" t="str">
        <f>IFERROR(__xludf.DUMMYFUNCTION("""COMPUTED_VALUE"""),"Ms.")</f>
        <v>Ms.</v>
      </c>
      <c r="E936" t="str">
        <f>IFERROR(__xludf.DUMMYFUNCTION("""COMPUTED_VALUE"""),"Sirilak")</f>
        <v>Sirilak</v>
      </c>
      <c r="F936" t="str">
        <f>IFERROR(__xludf.DUMMYFUNCTION("""COMPUTED_VALUE"""),"Phanphipat")</f>
        <v>Phanphipat</v>
      </c>
      <c r="G936" t="str">
        <f>IFERROR(__xludf.DUMMYFUNCTION("""COMPUTED_VALUE"""),"Sirilak Phanphipat")</f>
        <v>Sirilak Phanphipat</v>
      </c>
    </row>
    <row r="937">
      <c r="A937" s="142">
        <f>IFERROR(__xludf.DUMMYFUNCTION("""COMPUTED_VALUE"""),97.0)</f>
        <v>97</v>
      </c>
      <c r="C937">
        <f>IFERROR(__xludf.DUMMYFUNCTION("""COMPUTED_VALUE"""),1022719.0)</f>
        <v>1022719</v>
      </c>
      <c r="D937" t="str">
        <f>IFERROR(__xludf.DUMMYFUNCTION("""COMPUTED_VALUE"""),"Ms.")</f>
        <v>Ms.</v>
      </c>
      <c r="E937" t="str">
        <f>IFERROR(__xludf.DUMMYFUNCTION("""COMPUTED_VALUE"""),"Ploypapat")</f>
        <v>Ploypapat</v>
      </c>
      <c r="F937" t="str">
        <f>IFERROR(__xludf.DUMMYFUNCTION("""COMPUTED_VALUE"""),"Ariyakamolrat")</f>
        <v>Ariyakamolrat</v>
      </c>
      <c r="G937" t="str">
        <f>IFERROR(__xludf.DUMMYFUNCTION("""COMPUTED_VALUE"""),"Ploypapat Ariyakamolrat")</f>
        <v>Ploypapat Ariyakamolrat</v>
      </c>
    </row>
    <row r="938">
      <c r="A938" s="142">
        <f>IFERROR(__xludf.DUMMYFUNCTION("""COMPUTED_VALUE"""),97.0)</f>
        <v>97</v>
      </c>
      <c r="C938">
        <f>IFERROR(__xludf.DUMMYFUNCTION("""COMPUTED_VALUE"""),1022720.0)</f>
        <v>1022720</v>
      </c>
      <c r="D938" t="str">
        <f>IFERROR(__xludf.DUMMYFUNCTION("""COMPUTED_VALUE"""),"Ms.")</f>
        <v>Ms.</v>
      </c>
      <c r="E938" t="str">
        <f>IFERROR(__xludf.DUMMYFUNCTION("""COMPUTED_VALUE"""),"Aileen")</f>
        <v>Aileen</v>
      </c>
      <c r="F938" t="str">
        <f>IFERROR(__xludf.DUMMYFUNCTION("""COMPUTED_VALUE"""),"Sowprasertsuk")</f>
        <v>Sowprasertsuk</v>
      </c>
      <c r="G938" t="str">
        <f>IFERROR(__xludf.DUMMYFUNCTION("""COMPUTED_VALUE"""),"Aileen Sowprasertsuk")</f>
        <v>Aileen Sowprasertsuk</v>
      </c>
    </row>
    <row r="939">
      <c r="A939" s="142">
        <f>IFERROR(__xludf.DUMMYFUNCTION("""COMPUTED_VALUE"""),97.0)</f>
        <v>97</v>
      </c>
      <c r="C939">
        <f>IFERROR(__xludf.DUMMYFUNCTION("""COMPUTED_VALUE"""),1022721.0)</f>
        <v>1022721</v>
      </c>
      <c r="D939" t="str">
        <f>IFERROR(__xludf.DUMMYFUNCTION("""COMPUTED_VALUE"""),"Ms.")</f>
        <v>Ms.</v>
      </c>
      <c r="E939" t="str">
        <f>IFERROR(__xludf.DUMMYFUNCTION("""COMPUTED_VALUE"""),"Siwaporn")</f>
        <v>Siwaporn</v>
      </c>
      <c r="F939" t="str">
        <f>IFERROR(__xludf.DUMMYFUNCTION("""COMPUTED_VALUE"""),"Lertthaharn")</f>
        <v>Lertthaharn</v>
      </c>
      <c r="G939" t="str">
        <f>IFERROR(__xludf.DUMMYFUNCTION("""COMPUTED_VALUE"""),"Siwaporn Lertthaharn")</f>
        <v>Siwaporn Lertthaharn</v>
      </c>
    </row>
    <row r="941">
      <c r="A941" s="142">
        <f>IFERROR(__xludf.DUMMYFUNCTION("""COMPUTED_VALUE"""),98.0)</f>
        <v>98</v>
      </c>
      <c r="C941">
        <f>IFERROR(__xludf.DUMMYFUNCTION("""COMPUTED_VALUE"""),1023561.0)</f>
        <v>1023561</v>
      </c>
      <c r="D941" t="str">
        <f>IFERROR(__xludf.DUMMYFUNCTION("""COMPUTED_VALUE"""),"Ms.")</f>
        <v>Ms.</v>
      </c>
      <c r="E941" t="str">
        <f>IFERROR(__xludf.DUMMYFUNCTION("""COMPUTED_VALUE"""),"Nutcha")</f>
        <v>Nutcha</v>
      </c>
      <c r="F941" t="str">
        <f>IFERROR(__xludf.DUMMYFUNCTION("""COMPUTED_VALUE"""),"Vasuvantaka")</f>
        <v>Vasuvantaka</v>
      </c>
      <c r="G941" t="str">
        <f>IFERROR(__xludf.DUMMYFUNCTION("""COMPUTED_VALUE"""),"Nutcha Vasuvantaka")</f>
        <v>Nutcha Vasuvantaka</v>
      </c>
    </row>
    <row r="942">
      <c r="A942" s="142">
        <f>IFERROR(__xludf.DUMMYFUNCTION("""COMPUTED_VALUE"""),98.0)</f>
        <v>98</v>
      </c>
      <c r="C942">
        <f>IFERROR(__xludf.DUMMYFUNCTION("""COMPUTED_VALUE"""),1023562.0)</f>
        <v>1023562</v>
      </c>
      <c r="D942" t="str">
        <f>IFERROR(__xludf.DUMMYFUNCTION("""COMPUTED_VALUE"""),"Mr.")</f>
        <v>Mr.</v>
      </c>
      <c r="E942" t="str">
        <f>IFERROR(__xludf.DUMMYFUNCTION("""COMPUTED_VALUE"""),"Nawaphat")</f>
        <v>Nawaphat</v>
      </c>
      <c r="F942" t="str">
        <f>IFERROR(__xludf.DUMMYFUNCTION("""COMPUTED_VALUE"""),"Kingkaew")</f>
        <v>Kingkaew</v>
      </c>
      <c r="G942" t="str">
        <f>IFERROR(__xludf.DUMMYFUNCTION("""COMPUTED_VALUE"""),"Nawaphat Kingkaew")</f>
        <v>Nawaphat Kingkaew</v>
      </c>
    </row>
    <row r="943">
      <c r="A943" s="142">
        <f>IFERROR(__xludf.DUMMYFUNCTION("""COMPUTED_VALUE"""),98.0)</f>
        <v>98</v>
      </c>
      <c r="C943">
        <f>IFERROR(__xludf.DUMMYFUNCTION("""COMPUTED_VALUE"""),1023564.0)</f>
        <v>1023564</v>
      </c>
      <c r="D943" t="str">
        <f>IFERROR(__xludf.DUMMYFUNCTION("""COMPUTED_VALUE"""),"Ms.")</f>
        <v>Ms.</v>
      </c>
      <c r="E943" t="str">
        <f>IFERROR(__xludf.DUMMYFUNCTION("""COMPUTED_VALUE"""),"Suparada (Pitchaon)")</f>
        <v>Suparada (Pitchaon)</v>
      </c>
      <c r="F943" t="str">
        <f>IFERROR(__xludf.DUMMYFUNCTION("""COMPUTED_VALUE"""),"Suksirisamphan")</f>
        <v>Suksirisamphan</v>
      </c>
      <c r="G943" t="str">
        <f>IFERROR(__xludf.DUMMYFUNCTION("""COMPUTED_VALUE"""),"Suparada Suksirisamphan")</f>
        <v>Suparada Suksirisamphan</v>
      </c>
    </row>
    <row r="944">
      <c r="A944" s="142">
        <f>IFERROR(__xludf.DUMMYFUNCTION("""COMPUTED_VALUE"""),98.0)</f>
        <v>98</v>
      </c>
      <c r="C944">
        <f>IFERROR(__xludf.DUMMYFUNCTION("""COMPUTED_VALUE"""),1023581.0)</f>
        <v>1023581</v>
      </c>
      <c r="D944" t="str">
        <f>IFERROR(__xludf.DUMMYFUNCTION("""COMPUTED_VALUE"""),"Ms.")</f>
        <v>Ms.</v>
      </c>
      <c r="E944" t="str">
        <f>IFERROR(__xludf.DUMMYFUNCTION("""COMPUTED_VALUE"""),"Pavitra")</f>
        <v>Pavitra</v>
      </c>
      <c r="F944" t="str">
        <f>IFERROR(__xludf.DUMMYFUNCTION("""COMPUTED_VALUE"""),"Chaosrithong")</f>
        <v>Chaosrithong</v>
      </c>
      <c r="G944" t="str">
        <f>IFERROR(__xludf.DUMMYFUNCTION("""COMPUTED_VALUE"""),"Pavitra Chaosrithong")</f>
        <v>Pavitra Chaosrithong</v>
      </c>
    </row>
    <row r="945">
      <c r="A945" s="142">
        <f>IFERROR(__xludf.DUMMYFUNCTION("""COMPUTED_VALUE"""),98.0)</f>
        <v>98</v>
      </c>
      <c r="C945">
        <f>IFERROR(__xludf.DUMMYFUNCTION("""COMPUTED_VALUE"""),1023582.0)</f>
        <v>1023582</v>
      </c>
      <c r="D945" t="str">
        <f>IFERROR(__xludf.DUMMYFUNCTION("""COMPUTED_VALUE"""),"Ms.")</f>
        <v>Ms.</v>
      </c>
      <c r="E945" t="str">
        <f>IFERROR(__xludf.DUMMYFUNCTION("""COMPUTED_VALUE"""),"Rawiwan")</f>
        <v>Rawiwan</v>
      </c>
      <c r="F945" t="str">
        <f>IFERROR(__xludf.DUMMYFUNCTION("""COMPUTED_VALUE"""),"Chailerst")</f>
        <v>Chailerst</v>
      </c>
      <c r="G945" t="str">
        <f>IFERROR(__xludf.DUMMYFUNCTION("""COMPUTED_VALUE"""),"Rawiwan Chailerst")</f>
        <v>Rawiwan Chailerst</v>
      </c>
    </row>
    <row r="946">
      <c r="A946" s="142">
        <f>IFERROR(__xludf.DUMMYFUNCTION("""COMPUTED_VALUE"""),98.0)</f>
        <v>98</v>
      </c>
      <c r="C946">
        <f>IFERROR(__xludf.DUMMYFUNCTION("""COMPUTED_VALUE"""),1023585.0)</f>
        <v>1023585</v>
      </c>
      <c r="D946" t="str">
        <f>IFERROR(__xludf.DUMMYFUNCTION("""COMPUTED_VALUE"""),"Ms.")</f>
        <v>Ms.</v>
      </c>
      <c r="E946" t="str">
        <f>IFERROR(__xludf.DUMMYFUNCTION("""COMPUTED_VALUE"""),"Chayanee")</f>
        <v>Chayanee</v>
      </c>
      <c r="F946" t="str">
        <f>IFERROR(__xludf.DUMMYFUNCTION("""COMPUTED_VALUE"""),"Sittisak")</f>
        <v>Sittisak</v>
      </c>
      <c r="G946" t="str">
        <f>IFERROR(__xludf.DUMMYFUNCTION("""COMPUTED_VALUE"""),"Chayanee Sittisak")</f>
        <v>Chayanee Sittisak</v>
      </c>
    </row>
    <row r="947">
      <c r="A947" s="142">
        <f>IFERROR(__xludf.DUMMYFUNCTION("""COMPUTED_VALUE"""),98.0)</f>
        <v>98</v>
      </c>
      <c r="C947">
        <f>IFERROR(__xludf.DUMMYFUNCTION("""COMPUTED_VALUE"""),1023589.0)</f>
        <v>1023589</v>
      </c>
      <c r="D947" t="str">
        <f>IFERROR(__xludf.DUMMYFUNCTION("""COMPUTED_VALUE"""),"Ms.")</f>
        <v>Ms.</v>
      </c>
      <c r="E947" t="str">
        <f>IFERROR(__xludf.DUMMYFUNCTION("""COMPUTED_VALUE"""),"Pattanee")</f>
        <v>Pattanee</v>
      </c>
      <c r="F947" t="str">
        <f>IFERROR(__xludf.DUMMYFUNCTION("""COMPUTED_VALUE"""),"Nopparat")</f>
        <v>Nopparat</v>
      </c>
      <c r="G947" t="str">
        <f>IFERROR(__xludf.DUMMYFUNCTION("""COMPUTED_VALUE"""),"Pattanee Nopparat")</f>
        <v>Pattanee Nopparat</v>
      </c>
    </row>
    <row r="948">
      <c r="A948" s="142">
        <f>IFERROR(__xludf.DUMMYFUNCTION("""COMPUTED_VALUE"""),98.0)</f>
        <v>98</v>
      </c>
      <c r="B948" t="str">
        <f>IFERROR(__xludf.DUMMYFUNCTION("""COMPUTED_VALUE"""),"Move from B.97")</f>
        <v>Move from B.97</v>
      </c>
      <c r="C948">
        <f>IFERROR(__xludf.DUMMYFUNCTION("""COMPUTED_VALUE"""),1023590.0)</f>
        <v>1023590</v>
      </c>
      <c r="D948" t="str">
        <f>IFERROR(__xludf.DUMMYFUNCTION("""COMPUTED_VALUE"""),"Ms.")</f>
        <v>Ms.</v>
      </c>
      <c r="E948" t="str">
        <f>IFERROR(__xludf.DUMMYFUNCTION("""COMPUTED_VALUE"""),"Supatsorn")</f>
        <v>Supatsorn</v>
      </c>
      <c r="F948" t="str">
        <f>IFERROR(__xludf.DUMMYFUNCTION("""COMPUTED_VALUE"""),"Awtansakun")</f>
        <v>Awtansakun</v>
      </c>
      <c r="G948" t="str">
        <f>IFERROR(__xludf.DUMMYFUNCTION("""COMPUTED_VALUE"""),"Supatsorn Awtansakun")</f>
        <v>Supatsorn Awtansakun</v>
      </c>
    </row>
    <row r="949">
      <c r="A949" s="142">
        <f>IFERROR(__xludf.DUMMYFUNCTION("""COMPUTED_VALUE"""),98.0)</f>
        <v>98</v>
      </c>
      <c r="C949">
        <f>IFERROR(__xludf.DUMMYFUNCTION("""COMPUTED_VALUE"""),1023591.0)</f>
        <v>1023591</v>
      </c>
      <c r="D949" t="str">
        <f>IFERROR(__xludf.DUMMYFUNCTION("""COMPUTED_VALUE"""),"Ms.")</f>
        <v>Ms.</v>
      </c>
      <c r="E949" t="str">
        <f>IFERROR(__xludf.DUMMYFUNCTION("""COMPUTED_VALUE"""),"Jittanan")</f>
        <v>Jittanan</v>
      </c>
      <c r="F949" t="str">
        <f>IFERROR(__xludf.DUMMYFUNCTION("""COMPUTED_VALUE"""),"Piromsri")</f>
        <v>Piromsri</v>
      </c>
      <c r="G949" t="str">
        <f>IFERROR(__xludf.DUMMYFUNCTION("""COMPUTED_VALUE"""),"Jittanan Piromsri")</f>
        <v>Jittanan Piromsri</v>
      </c>
    </row>
    <row r="950">
      <c r="A950" s="142">
        <f>IFERROR(__xludf.DUMMYFUNCTION("""COMPUTED_VALUE"""),98.0)</f>
        <v>98</v>
      </c>
      <c r="C950">
        <f>IFERROR(__xludf.DUMMYFUNCTION("""COMPUTED_VALUE"""),1023594.0)</f>
        <v>1023594</v>
      </c>
      <c r="D950" t="str">
        <f>IFERROR(__xludf.DUMMYFUNCTION("""COMPUTED_VALUE"""),"Ms.")</f>
        <v>Ms.</v>
      </c>
      <c r="E950" t="str">
        <f>IFERROR(__xludf.DUMMYFUNCTION("""COMPUTED_VALUE"""),"Teerada")</f>
        <v>Teerada</v>
      </c>
      <c r="F950" t="str">
        <f>IFERROR(__xludf.DUMMYFUNCTION("""COMPUTED_VALUE"""),"Sripochsomboon")</f>
        <v>Sripochsomboon</v>
      </c>
      <c r="G950" t="str">
        <f>IFERROR(__xludf.DUMMYFUNCTION("""COMPUTED_VALUE"""),"Teerada Sripochsomboon")</f>
        <v>Teerada Sripochsomboon</v>
      </c>
    </row>
    <row r="951">
      <c r="A951" s="142">
        <f>IFERROR(__xludf.DUMMYFUNCTION("""COMPUTED_VALUE"""),98.0)</f>
        <v>98</v>
      </c>
      <c r="C951">
        <f>IFERROR(__xludf.DUMMYFUNCTION("""COMPUTED_VALUE"""),1023595.0)</f>
        <v>1023595</v>
      </c>
      <c r="D951" t="str">
        <f>IFERROR(__xludf.DUMMYFUNCTION("""COMPUTED_VALUE"""),"Ms.")</f>
        <v>Ms.</v>
      </c>
      <c r="E951" t="str">
        <f>IFERROR(__xludf.DUMMYFUNCTION("""COMPUTED_VALUE"""),"Kanokpan")</f>
        <v>Kanokpan</v>
      </c>
      <c r="F951" t="str">
        <f>IFERROR(__xludf.DUMMYFUNCTION("""COMPUTED_VALUE"""),"Tongnu")</f>
        <v>Tongnu</v>
      </c>
      <c r="G951" t="str">
        <f>IFERROR(__xludf.DUMMYFUNCTION("""COMPUTED_VALUE"""),"Kanokpan Tongnu")</f>
        <v>Kanokpan Tongnu</v>
      </c>
    </row>
    <row r="952">
      <c r="A952" s="142">
        <f>IFERROR(__xludf.DUMMYFUNCTION("""COMPUTED_VALUE"""),98.0)</f>
        <v>98</v>
      </c>
      <c r="C952">
        <f>IFERROR(__xludf.DUMMYFUNCTION("""COMPUTED_VALUE"""),1023607.0)</f>
        <v>1023607</v>
      </c>
      <c r="D952" t="str">
        <f>IFERROR(__xludf.DUMMYFUNCTION("""COMPUTED_VALUE"""),"Mr.")</f>
        <v>Mr.</v>
      </c>
      <c r="E952" t="str">
        <f>IFERROR(__xludf.DUMMYFUNCTION("""COMPUTED_VALUE"""),"Kanes")</f>
        <v>Kanes</v>
      </c>
      <c r="F952" t="str">
        <f>IFERROR(__xludf.DUMMYFUNCTION("""COMPUTED_VALUE"""),"Boonyapanachoti")</f>
        <v>Boonyapanachoti</v>
      </c>
      <c r="G952" t="str">
        <f>IFERROR(__xludf.DUMMYFUNCTION("""COMPUTED_VALUE"""),"Kanes Boonyapanachoti")</f>
        <v>Kanes Boonyapanachoti</v>
      </c>
    </row>
    <row r="953">
      <c r="A953" s="142">
        <f>IFERROR(__xludf.DUMMYFUNCTION("""COMPUTED_VALUE"""),98.0)</f>
        <v>98</v>
      </c>
      <c r="C953">
        <f>IFERROR(__xludf.DUMMYFUNCTION("""COMPUTED_VALUE"""),1023775.0)</f>
        <v>1023775</v>
      </c>
      <c r="D953" t="str">
        <f>IFERROR(__xludf.DUMMYFUNCTION("""COMPUTED_VALUE"""),"Ms.")</f>
        <v>Ms.</v>
      </c>
      <c r="E953" t="str">
        <f>IFERROR(__xludf.DUMMYFUNCTION("""COMPUTED_VALUE"""),"Apichaya")</f>
        <v>Apichaya</v>
      </c>
      <c r="F953" t="str">
        <f>IFERROR(__xludf.DUMMYFUNCTION("""COMPUTED_VALUE"""),"Intaraudom")</f>
        <v>Intaraudom</v>
      </c>
      <c r="G953" t="str">
        <f>IFERROR(__xludf.DUMMYFUNCTION("""COMPUTED_VALUE"""),"Apichaya Intaraudom")</f>
        <v>Apichaya Intaraudom</v>
      </c>
    </row>
    <row r="955">
      <c r="A955" s="142">
        <f>IFERROR(__xludf.DUMMYFUNCTION("""COMPUTED_VALUE"""),99.0)</f>
        <v>99</v>
      </c>
      <c r="C955">
        <f>IFERROR(__xludf.DUMMYFUNCTION("""COMPUTED_VALUE"""),1025302.0)</f>
        <v>1025302</v>
      </c>
      <c r="D955" t="str">
        <f>IFERROR(__xludf.DUMMYFUNCTION("""COMPUTED_VALUE"""),"Ms.")</f>
        <v>Ms.</v>
      </c>
      <c r="E955" t="str">
        <f>IFERROR(__xludf.DUMMYFUNCTION("""COMPUTED_VALUE"""),"Krisana")</f>
        <v>Krisana</v>
      </c>
      <c r="F955" t="str">
        <f>IFERROR(__xludf.DUMMYFUNCTION("""COMPUTED_VALUE"""),"Sae-yang")</f>
        <v>Sae-yang</v>
      </c>
      <c r="G955" t="str">
        <f>IFERROR(__xludf.DUMMYFUNCTION("""COMPUTED_VALUE"""),"Krisana Sae-yang")</f>
        <v>Krisana Sae-yang</v>
      </c>
    </row>
    <row r="956">
      <c r="A956" s="142">
        <f>IFERROR(__xludf.DUMMYFUNCTION("""COMPUTED_VALUE"""),99.0)</f>
        <v>99</v>
      </c>
      <c r="C956">
        <f>IFERROR(__xludf.DUMMYFUNCTION("""COMPUTED_VALUE"""),1025304.0)</f>
        <v>1025304</v>
      </c>
      <c r="D956" t="str">
        <f>IFERROR(__xludf.DUMMYFUNCTION("""COMPUTED_VALUE"""),"Mr.")</f>
        <v>Mr.</v>
      </c>
      <c r="E956" t="str">
        <f>IFERROR(__xludf.DUMMYFUNCTION("""COMPUTED_VALUE"""),"Nuthapat")</f>
        <v>Nuthapat</v>
      </c>
      <c r="F956" t="str">
        <f>IFERROR(__xludf.DUMMYFUNCTION("""COMPUTED_VALUE"""),"Thisa")</f>
        <v>Thisa</v>
      </c>
      <c r="G956" t="str">
        <f>IFERROR(__xludf.DUMMYFUNCTION("""COMPUTED_VALUE"""),"Nuthapat Thisa")</f>
        <v>Nuthapat Thisa</v>
      </c>
    </row>
    <row r="957">
      <c r="A957" s="142">
        <f>IFERROR(__xludf.DUMMYFUNCTION("""COMPUTED_VALUE"""),99.0)</f>
        <v>99</v>
      </c>
      <c r="C957">
        <f>IFERROR(__xludf.DUMMYFUNCTION("""COMPUTED_VALUE"""),1025306.0)</f>
        <v>1025306</v>
      </c>
      <c r="D957" t="str">
        <f>IFERROR(__xludf.DUMMYFUNCTION("""COMPUTED_VALUE"""),"Mr.")</f>
        <v>Mr.</v>
      </c>
      <c r="E957" t="str">
        <f>IFERROR(__xludf.DUMMYFUNCTION("""COMPUTED_VALUE"""),"Soravis")</f>
        <v>Soravis</v>
      </c>
      <c r="F957" t="str">
        <f>IFERROR(__xludf.DUMMYFUNCTION("""COMPUTED_VALUE"""),"Kissanaviparkporn")</f>
        <v>Kissanaviparkporn</v>
      </c>
      <c r="G957" t="str">
        <f>IFERROR(__xludf.DUMMYFUNCTION("""COMPUTED_VALUE"""),"Soravis Kissanaviparkporn")</f>
        <v>Soravis Kissanaviparkporn</v>
      </c>
    </row>
    <row r="958">
      <c r="A958" s="142">
        <f>IFERROR(__xludf.DUMMYFUNCTION("""COMPUTED_VALUE"""),99.0)</f>
        <v>99</v>
      </c>
      <c r="C958">
        <f>IFERROR(__xludf.DUMMYFUNCTION("""COMPUTED_VALUE"""),1025307.0)</f>
        <v>1025307</v>
      </c>
      <c r="D958" t="str">
        <f>IFERROR(__xludf.DUMMYFUNCTION("""COMPUTED_VALUE"""),"Mr.")</f>
        <v>Mr.</v>
      </c>
      <c r="E958" t="str">
        <f>IFERROR(__xludf.DUMMYFUNCTION("""COMPUTED_VALUE"""),"Krisada")</f>
        <v>Krisada</v>
      </c>
      <c r="F958" t="str">
        <f>IFERROR(__xludf.DUMMYFUNCTION("""COMPUTED_VALUE"""),"Kerdsuwan")</f>
        <v>Kerdsuwan</v>
      </c>
      <c r="G958" t="str">
        <f>IFERROR(__xludf.DUMMYFUNCTION("""COMPUTED_VALUE"""),"Krisada Kerdsuwan")</f>
        <v>Krisada Kerdsuwan</v>
      </c>
    </row>
    <row r="959">
      <c r="A959" s="142">
        <f>IFERROR(__xludf.DUMMYFUNCTION("""COMPUTED_VALUE"""),99.0)</f>
        <v>99</v>
      </c>
      <c r="C959">
        <f>IFERROR(__xludf.DUMMYFUNCTION("""COMPUTED_VALUE"""),1025308.0)</f>
        <v>1025308</v>
      </c>
      <c r="D959" t="str">
        <f>IFERROR(__xludf.DUMMYFUNCTION("""COMPUTED_VALUE"""),"Ms.")</f>
        <v>Ms.</v>
      </c>
      <c r="E959" t="str">
        <f>IFERROR(__xludf.DUMMYFUNCTION("""COMPUTED_VALUE"""),"Matawee")</f>
        <v>Matawee</v>
      </c>
      <c r="F959" t="str">
        <f>IFERROR(__xludf.DUMMYFUNCTION("""COMPUTED_VALUE"""),"Jongjarrulak")</f>
        <v>Jongjarrulak</v>
      </c>
      <c r="G959" t="str">
        <f>IFERROR(__xludf.DUMMYFUNCTION("""COMPUTED_VALUE"""),"Matawee Jongjarrulak")</f>
        <v>Matawee Jongjarrulak</v>
      </c>
    </row>
    <row r="960">
      <c r="A960" s="142">
        <f>IFERROR(__xludf.DUMMYFUNCTION("""COMPUTED_VALUE"""),99.0)</f>
        <v>99</v>
      </c>
      <c r="C960">
        <f>IFERROR(__xludf.DUMMYFUNCTION("""COMPUTED_VALUE"""),1025309.0)</f>
        <v>1025309</v>
      </c>
      <c r="D960" t="str">
        <f>IFERROR(__xludf.DUMMYFUNCTION("""COMPUTED_VALUE"""),"Mr.")</f>
        <v>Mr.</v>
      </c>
      <c r="E960" t="str">
        <f>IFERROR(__xludf.DUMMYFUNCTION("""COMPUTED_VALUE"""),"Nonthapat")</f>
        <v>Nonthapat</v>
      </c>
      <c r="F960" t="str">
        <f>IFERROR(__xludf.DUMMYFUNCTION("""COMPUTED_VALUE"""),"Mansamak")</f>
        <v>Mansamak</v>
      </c>
      <c r="G960" t="str">
        <f>IFERROR(__xludf.DUMMYFUNCTION("""COMPUTED_VALUE"""),"Nonthapat Mansamak")</f>
        <v>Nonthapat Mansamak</v>
      </c>
    </row>
    <row r="961">
      <c r="A961" s="142">
        <f>IFERROR(__xludf.DUMMYFUNCTION("""COMPUTED_VALUE"""),99.0)</f>
        <v>99</v>
      </c>
      <c r="C961">
        <f>IFERROR(__xludf.DUMMYFUNCTION("""COMPUTED_VALUE"""),1025310.0)</f>
        <v>1025310</v>
      </c>
      <c r="D961" t="str">
        <f>IFERROR(__xludf.DUMMYFUNCTION("""COMPUTED_VALUE"""),"Mr.")</f>
        <v>Mr.</v>
      </c>
      <c r="E961" t="str">
        <f>IFERROR(__xludf.DUMMYFUNCTION("""COMPUTED_VALUE"""),"Nitinan")</f>
        <v>Nitinan</v>
      </c>
      <c r="F961" t="str">
        <f>IFERROR(__xludf.DUMMYFUNCTION("""COMPUTED_VALUE"""),"Sakunchokjaroen")</f>
        <v>Sakunchokjaroen</v>
      </c>
      <c r="G961" t="str">
        <f>IFERROR(__xludf.DUMMYFUNCTION("""COMPUTED_VALUE"""),"Nitinan Sakunchokjaroen")</f>
        <v>Nitinan Sakunchokjaroen</v>
      </c>
    </row>
    <row r="962">
      <c r="A962" s="142">
        <f>IFERROR(__xludf.DUMMYFUNCTION("""COMPUTED_VALUE"""),99.0)</f>
        <v>99</v>
      </c>
      <c r="C962">
        <f>IFERROR(__xludf.DUMMYFUNCTION("""COMPUTED_VALUE"""),1025318.0)</f>
        <v>1025318</v>
      </c>
      <c r="D962" t="str">
        <f>IFERROR(__xludf.DUMMYFUNCTION("""COMPUTED_VALUE"""),"Mr.")</f>
        <v>Mr.</v>
      </c>
      <c r="E962" t="str">
        <f>IFERROR(__xludf.DUMMYFUNCTION("""COMPUTED_VALUE"""),"Jetsada")</f>
        <v>Jetsada</v>
      </c>
      <c r="F962" t="str">
        <f>IFERROR(__xludf.DUMMYFUNCTION("""COMPUTED_VALUE"""),"Sutthiniam")</f>
        <v>Sutthiniam</v>
      </c>
      <c r="G962" t="str">
        <f>IFERROR(__xludf.DUMMYFUNCTION("""COMPUTED_VALUE"""),"Jetsada Sutthiniam")</f>
        <v>Jetsada Sutthiniam</v>
      </c>
    </row>
    <row r="963">
      <c r="A963" s="142">
        <f>IFERROR(__xludf.DUMMYFUNCTION("""COMPUTED_VALUE"""),99.0)</f>
        <v>99</v>
      </c>
      <c r="C963">
        <f>IFERROR(__xludf.DUMMYFUNCTION("""COMPUTED_VALUE"""),1025319.0)</f>
        <v>1025319</v>
      </c>
      <c r="D963" t="str">
        <f>IFERROR(__xludf.DUMMYFUNCTION("""COMPUTED_VALUE"""),"Mr.")</f>
        <v>Mr.</v>
      </c>
      <c r="E963" t="str">
        <f>IFERROR(__xludf.DUMMYFUNCTION("""COMPUTED_VALUE"""),"Phongsakron")</f>
        <v>Phongsakron</v>
      </c>
      <c r="F963" t="str">
        <f>IFERROR(__xludf.DUMMYFUNCTION("""COMPUTED_VALUE"""),"Saepan")</f>
        <v>Saepan</v>
      </c>
      <c r="G963" t="str">
        <f>IFERROR(__xludf.DUMMYFUNCTION("""COMPUTED_VALUE"""),"Phongsakron Saepan")</f>
        <v>Phongsakron Saepan</v>
      </c>
    </row>
    <row r="964">
      <c r="A964" s="142">
        <f>IFERROR(__xludf.DUMMYFUNCTION("""COMPUTED_VALUE"""),99.0)</f>
        <v>99</v>
      </c>
      <c r="C964">
        <f>IFERROR(__xludf.DUMMYFUNCTION("""COMPUTED_VALUE"""),1025320.0)</f>
        <v>1025320</v>
      </c>
      <c r="D964" t="str">
        <f>IFERROR(__xludf.DUMMYFUNCTION("""COMPUTED_VALUE"""),"Mr.")</f>
        <v>Mr.</v>
      </c>
      <c r="E964" t="str">
        <f>IFERROR(__xludf.DUMMYFUNCTION("""COMPUTED_VALUE"""),"Tianyot")</f>
        <v>Tianyot</v>
      </c>
      <c r="F964" t="str">
        <f>IFERROR(__xludf.DUMMYFUNCTION("""COMPUTED_VALUE"""),"Kongkaew")</f>
        <v>Kongkaew</v>
      </c>
      <c r="G964" t="str">
        <f>IFERROR(__xludf.DUMMYFUNCTION("""COMPUTED_VALUE"""),"Tianyot Kongkaew")</f>
        <v>Tianyot Kongkaew</v>
      </c>
    </row>
    <row r="965">
      <c r="A965" s="142">
        <f>IFERROR(__xludf.DUMMYFUNCTION("""COMPUTED_VALUE"""),99.0)</f>
        <v>99</v>
      </c>
      <c r="C965">
        <f>IFERROR(__xludf.DUMMYFUNCTION("""COMPUTED_VALUE"""),1025321.0)</f>
        <v>1025321</v>
      </c>
      <c r="D965" t="str">
        <f>IFERROR(__xludf.DUMMYFUNCTION("""COMPUTED_VALUE"""),"Ms.")</f>
        <v>Ms.</v>
      </c>
      <c r="E965" t="str">
        <f>IFERROR(__xludf.DUMMYFUNCTION("""COMPUTED_VALUE"""),"Sasiphak")</f>
        <v>Sasiphak</v>
      </c>
      <c r="F965" t="str">
        <f>IFERROR(__xludf.DUMMYFUNCTION("""COMPUTED_VALUE"""),"Bupphapho")</f>
        <v>Bupphapho</v>
      </c>
      <c r="G965" t="str">
        <f>IFERROR(__xludf.DUMMYFUNCTION("""COMPUTED_VALUE"""),"Sasiphak Bupphapho")</f>
        <v>Sasiphak Bupphapho</v>
      </c>
    </row>
    <row r="966">
      <c r="A966" s="142">
        <f>IFERROR(__xludf.DUMMYFUNCTION("""COMPUTED_VALUE"""),99.0)</f>
        <v>99</v>
      </c>
      <c r="C966">
        <f>IFERROR(__xludf.DUMMYFUNCTION("""COMPUTED_VALUE"""),1025322.0)</f>
        <v>1025322</v>
      </c>
      <c r="D966" t="str">
        <f>IFERROR(__xludf.DUMMYFUNCTION("""COMPUTED_VALUE"""),"Ms.")</f>
        <v>Ms.</v>
      </c>
      <c r="E966" t="str">
        <f>IFERROR(__xludf.DUMMYFUNCTION("""COMPUTED_VALUE"""),"Nathathai")</f>
        <v>Nathathai</v>
      </c>
      <c r="F966" t="str">
        <f>IFERROR(__xludf.DUMMYFUNCTION("""COMPUTED_VALUE"""),"Sornthawee")</f>
        <v>Sornthawee</v>
      </c>
      <c r="G966" t="str">
        <f>IFERROR(__xludf.DUMMYFUNCTION("""COMPUTED_VALUE"""),"Nathathai Sornthawee")</f>
        <v>Nathathai Sornthawee</v>
      </c>
    </row>
    <row r="967">
      <c r="A967" s="142">
        <f>IFERROR(__xludf.DUMMYFUNCTION("""COMPUTED_VALUE"""),99.0)</f>
        <v>99</v>
      </c>
      <c r="C967">
        <f>IFERROR(__xludf.DUMMYFUNCTION("""COMPUTED_VALUE"""),1025323.0)</f>
        <v>1025323</v>
      </c>
      <c r="D967" t="str">
        <f>IFERROR(__xludf.DUMMYFUNCTION("""COMPUTED_VALUE"""),"Ms.")</f>
        <v>Ms.</v>
      </c>
      <c r="E967" t="str">
        <f>IFERROR(__xludf.DUMMYFUNCTION("""COMPUTED_VALUE"""),"Jariya")</f>
        <v>Jariya</v>
      </c>
      <c r="F967" t="str">
        <f>IFERROR(__xludf.DUMMYFUNCTION("""COMPUTED_VALUE"""),"Tangmahamek")</f>
        <v>Tangmahamek</v>
      </c>
      <c r="G967" t="str">
        <f>IFERROR(__xludf.DUMMYFUNCTION("""COMPUTED_VALUE"""),"Jariya Tangmahamek")</f>
        <v>Jariya Tangmahamek</v>
      </c>
    </row>
    <row r="968">
      <c r="A968" s="142">
        <f>IFERROR(__xludf.DUMMYFUNCTION("""COMPUTED_VALUE"""),99.0)</f>
        <v>99</v>
      </c>
      <c r="C968">
        <f>IFERROR(__xludf.DUMMYFUNCTION("""COMPUTED_VALUE"""),1025329.0)</f>
        <v>1025329</v>
      </c>
      <c r="D968" t="str">
        <f>IFERROR(__xludf.DUMMYFUNCTION("""COMPUTED_VALUE"""),"Ms.")</f>
        <v>Ms.</v>
      </c>
      <c r="E968" t="str">
        <f>IFERROR(__xludf.DUMMYFUNCTION("""COMPUTED_VALUE"""),"Jintana")</f>
        <v>Jintana</v>
      </c>
      <c r="F968" t="str">
        <f>IFERROR(__xludf.DUMMYFUNCTION("""COMPUTED_VALUE"""),"Cheng")</f>
        <v>Cheng</v>
      </c>
      <c r="G968" t="str">
        <f>IFERROR(__xludf.DUMMYFUNCTION("""COMPUTED_VALUE"""),"Jintana Cheng")</f>
        <v>Jintana Cheng</v>
      </c>
    </row>
    <row r="970">
      <c r="A970" s="142">
        <f>IFERROR(__xludf.DUMMYFUNCTION("""COMPUTED_VALUE"""),100.0)</f>
        <v>100</v>
      </c>
      <c r="C970">
        <f>IFERROR(__xludf.DUMMYFUNCTION("""COMPUTED_VALUE"""),1038750.0)</f>
        <v>1038750</v>
      </c>
      <c r="D970" t="str">
        <f>IFERROR(__xludf.DUMMYFUNCTION("""COMPUTED_VALUE"""),"Ms.")</f>
        <v>Ms.</v>
      </c>
      <c r="E970" t="str">
        <f>IFERROR(__xludf.DUMMYFUNCTION("""COMPUTED_VALUE"""),"Achiraya")</f>
        <v>Achiraya</v>
      </c>
      <c r="F970" t="str">
        <f>IFERROR(__xludf.DUMMYFUNCTION("""COMPUTED_VALUE"""),"Phutthachanyawong")</f>
        <v>Phutthachanyawong</v>
      </c>
      <c r="G970" t="str">
        <f>IFERROR(__xludf.DUMMYFUNCTION("""COMPUTED_VALUE"""),"Achiraya Phutthachanyawong")</f>
        <v>Achiraya Phutthachanyawong</v>
      </c>
    </row>
    <row r="971">
      <c r="A971" s="142">
        <f>IFERROR(__xludf.DUMMYFUNCTION("""COMPUTED_VALUE"""),100.0)</f>
        <v>100</v>
      </c>
      <c r="C971">
        <f>IFERROR(__xludf.DUMMYFUNCTION("""COMPUTED_VALUE"""),1038751.0)</f>
        <v>1038751</v>
      </c>
      <c r="D971" t="str">
        <f>IFERROR(__xludf.DUMMYFUNCTION("""COMPUTED_VALUE"""),"Ms.")</f>
        <v>Ms.</v>
      </c>
      <c r="E971" t="str">
        <f>IFERROR(__xludf.DUMMYFUNCTION("""COMPUTED_VALUE"""),"Donlaya")</f>
        <v>Donlaya</v>
      </c>
      <c r="F971" t="str">
        <f>IFERROR(__xludf.DUMMYFUNCTION("""COMPUTED_VALUE"""),"Promthep")</f>
        <v>Promthep</v>
      </c>
      <c r="G971" t="str">
        <f>IFERROR(__xludf.DUMMYFUNCTION("""COMPUTED_VALUE"""),"Donlaya Promthep")</f>
        <v>Donlaya Promthep</v>
      </c>
    </row>
    <row r="972">
      <c r="A972" s="142">
        <f>IFERROR(__xludf.DUMMYFUNCTION("""COMPUTED_VALUE"""),100.0)</f>
        <v>100</v>
      </c>
      <c r="C972">
        <f>IFERROR(__xludf.DUMMYFUNCTION("""COMPUTED_VALUE"""),1038748.0)</f>
        <v>1038748</v>
      </c>
      <c r="D972" t="str">
        <f>IFERROR(__xludf.DUMMYFUNCTION("""COMPUTED_VALUE"""),"Ms.")</f>
        <v>Ms.</v>
      </c>
      <c r="E972" t="str">
        <f>IFERROR(__xludf.DUMMYFUNCTION("""COMPUTED_VALUE"""),"Napasakorn")</f>
        <v>Napasakorn</v>
      </c>
      <c r="F972" t="str">
        <f>IFERROR(__xludf.DUMMYFUNCTION("""COMPUTED_VALUE"""),"Phaspipatkul")</f>
        <v>Phaspipatkul</v>
      </c>
      <c r="G972" t="str">
        <f>IFERROR(__xludf.DUMMYFUNCTION("""COMPUTED_VALUE"""),"Napasakorn Phaspipatkul")</f>
        <v>Napasakorn Phaspipatkul</v>
      </c>
    </row>
    <row r="973">
      <c r="A973" s="142">
        <f>IFERROR(__xludf.DUMMYFUNCTION("""COMPUTED_VALUE"""),100.0)</f>
        <v>100</v>
      </c>
      <c r="C973">
        <f>IFERROR(__xludf.DUMMYFUNCTION("""COMPUTED_VALUE"""),1038749.0)</f>
        <v>1038749</v>
      </c>
      <c r="D973" t="str">
        <f>IFERROR(__xludf.DUMMYFUNCTION("""COMPUTED_VALUE"""),"Ms.")</f>
        <v>Ms.</v>
      </c>
      <c r="E973" t="str">
        <f>IFERROR(__xludf.DUMMYFUNCTION("""COMPUTED_VALUE"""),"Sirapat")</f>
        <v>Sirapat</v>
      </c>
      <c r="F973" t="str">
        <f>IFERROR(__xludf.DUMMYFUNCTION("""COMPUTED_VALUE"""),"Subpiboonphon")</f>
        <v>Subpiboonphon</v>
      </c>
      <c r="G973" t="str">
        <f>IFERROR(__xludf.DUMMYFUNCTION("""COMPUTED_VALUE"""),"Sirapat Subpiboonphon")</f>
        <v>Sirapat Subpiboonphon</v>
      </c>
    </row>
    <row r="974">
      <c r="A974" s="142">
        <f>IFERROR(__xludf.DUMMYFUNCTION("""COMPUTED_VALUE"""),100.0)</f>
        <v>100</v>
      </c>
      <c r="C974">
        <f>IFERROR(__xludf.DUMMYFUNCTION("""COMPUTED_VALUE"""),1038747.0)</f>
        <v>1038747</v>
      </c>
      <c r="D974" t="str">
        <f>IFERROR(__xludf.DUMMYFUNCTION("""COMPUTED_VALUE"""),"Ms.")</f>
        <v>Ms.</v>
      </c>
      <c r="E974" t="str">
        <f>IFERROR(__xludf.DUMMYFUNCTION("""COMPUTED_VALUE"""),"Sunun")</f>
        <v>Sunun</v>
      </c>
      <c r="F974" t="str">
        <f>IFERROR(__xludf.DUMMYFUNCTION("""COMPUTED_VALUE"""),"Susereedumrong")</f>
        <v>Susereedumrong</v>
      </c>
      <c r="G974" t="str">
        <f>IFERROR(__xludf.DUMMYFUNCTION("""COMPUTED_VALUE"""),"Sunun Susereedumrong")</f>
        <v>Sunun Susereedumrong</v>
      </c>
    </row>
    <row r="975">
      <c r="A975" s="142">
        <f>IFERROR(__xludf.DUMMYFUNCTION("""COMPUTED_VALUE"""),100.0)</f>
        <v>100</v>
      </c>
      <c r="C975">
        <f>IFERROR(__xludf.DUMMYFUNCTION("""COMPUTED_VALUE"""),1038746.0)</f>
        <v>1038746</v>
      </c>
      <c r="D975" t="str">
        <f>IFERROR(__xludf.DUMMYFUNCTION("""COMPUTED_VALUE"""),"Ms.")</f>
        <v>Ms.</v>
      </c>
      <c r="E975" t="str">
        <f>IFERROR(__xludf.DUMMYFUNCTION("""COMPUTED_VALUE"""),"Supakorn")</f>
        <v>Supakorn</v>
      </c>
      <c r="F975" t="str">
        <f>IFERROR(__xludf.DUMMYFUNCTION("""COMPUTED_VALUE"""),"Ekataksin")</f>
        <v>Ekataksin</v>
      </c>
      <c r="G975" t="str">
        <f>IFERROR(__xludf.DUMMYFUNCTION("""COMPUTED_VALUE"""),"Supakorn Ekataksin")</f>
        <v>Supakorn Ekataksin</v>
      </c>
    </row>
    <row r="976">
      <c r="A976" s="142">
        <f>IFERROR(__xludf.DUMMYFUNCTION("""COMPUTED_VALUE"""),100.0)</f>
        <v>100</v>
      </c>
      <c r="C976">
        <f>IFERROR(__xludf.DUMMYFUNCTION("""COMPUTED_VALUE"""),1038744.0)</f>
        <v>1038744</v>
      </c>
      <c r="D976" t="str">
        <f>IFERROR(__xludf.DUMMYFUNCTION("""COMPUTED_VALUE"""),"Ms.")</f>
        <v>Ms.</v>
      </c>
      <c r="E976" t="str">
        <f>IFERROR(__xludf.DUMMYFUNCTION("""COMPUTED_VALUE"""),"Panatda")</f>
        <v>Panatda</v>
      </c>
      <c r="F976" t="str">
        <f>IFERROR(__xludf.DUMMYFUNCTION("""COMPUTED_VALUE"""),"Sukkhum")</f>
        <v>Sukkhum</v>
      </c>
      <c r="G976" t="str">
        <f>IFERROR(__xludf.DUMMYFUNCTION("""COMPUTED_VALUE"""),"Panatda Sukkhum")</f>
        <v>Panatda Sukkhum</v>
      </c>
    </row>
    <row r="977">
      <c r="A977" s="142">
        <f>IFERROR(__xludf.DUMMYFUNCTION("""COMPUTED_VALUE"""),100.0)</f>
        <v>100</v>
      </c>
      <c r="C977">
        <f>IFERROR(__xludf.DUMMYFUNCTION("""COMPUTED_VALUE"""),1038743.0)</f>
        <v>1038743</v>
      </c>
      <c r="D977" t="str">
        <f>IFERROR(__xludf.DUMMYFUNCTION("""COMPUTED_VALUE"""),"Ms.")</f>
        <v>Ms.</v>
      </c>
      <c r="E977" t="str">
        <f>IFERROR(__xludf.DUMMYFUNCTION("""COMPUTED_VALUE"""),"Patsara")</f>
        <v>Patsara</v>
      </c>
      <c r="F977" t="str">
        <f>IFERROR(__xludf.DUMMYFUNCTION("""COMPUTED_VALUE"""),"Panlers")</f>
        <v>Panlers</v>
      </c>
      <c r="G977" t="str">
        <f>IFERROR(__xludf.DUMMYFUNCTION("""COMPUTED_VALUE"""),"Patsara Panlers")</f>
        <v>Patsara Panlers</v>
      </c>
    </row>
    <row r="978">
      <c r="A978" s="142">
        <f>IFERROR(__xludf.DUMMYFUNCTION("""COMPUTED_VALUE"""),100.0)</f>
        <v>100</v>
      </c>
      <c r="C978">
        <f>IFERROR(__xludf.DUMMYFUNCTION("""COMPUTED_VALUE"""),1038742.0)</f>
        <v>1038742</v>
      </c>
      <c r="D978" t="str">
        <f>IFERROR(__xludf.DUMMYFUNCTION("""COMPUTED_VALUE"""),"Ms.")</f>
        <v>Ms.</v>
      </c>
      <c r="E978" t="str">
        <f>IFERROR(__xludf.DUMMYFUNCTION("""COMPUTED_VALUE"""),"Sudarat")</f>
        <v>Sudarat</v>
      </c>
      <c r="F978" t="str">
        <f>IFERROR(__xludf.DUMMYFUNCTION("""COMPUTED_VALUE"""),"Saktawin")</f>
        <v>Saktawin</v>
      </c>
      <c r="G978" t="str">
        <f>IFERROR(__xludf.DUMMYFUNCTION("""COMPUTED_VALUE"""),"Sudarat Saktawin")</f>
        <v>Sudarat Saktawin</v>
      </c>
    </row>
    <row r="979">
      <c r="A979" s="142">
        <f>IFERROR(__xludf.DUMMYFUNCTION("""COMPUTED_VALUE"""),100.0)</f>
        <v>100</v>
      </c>
      <c r="C979">
        <f>IFERROR(__xludf.DUMMYFUNCTION("""COMPUTED_VALUE"""),1038741.0)</f>
        <v>1038741</v>
      </c>
      <c r="D979" t="str">
        <f>IFERROR(__xludf.DUMMYFUNCTION("""COMPUTED_VALUE"""),"Ms.")</f>
        <v>Ms.</v>
      </c>
      <c r="E979" t="str">
        <f>IFERROR(__xludf.DUMMYFUNCTION("""COMPUTED_VALUE"""),"Sureerat")</f>
        <v>Sureerat</v>
      </c>
      <c r="F979" t="str">
        <f>IFERROR(__xludf.DUMMYFUNCTION("""COMPUTED_VALUE"""),"Supsomran")</f>
        <v>Supsomran</v>
      </c>
      <c r="G979" t="str">
        <f>IFERROR(__xludf.DUMMYFUNCTION("""COMPUTED_VALUE"""),"Sureerat Supsomran")</f>
        <v>Sureerat Supsomran</v>
      </c>
    </row>
    <row r="980">
      <c r="A980" s="142">
        <f>IFERROR(__xludf.DUMMYFUNCTION("""COMPUTED_VALUE"""),100.0)</f>
        <v>100</v>
      </c>
      <c r="B980" t="str">
        <f>IFERROR(__xludf.DUMMYFUNCTION("""COMPUTED_VALUE"""),"Rejion from Inactive // Change new ID (1038812)")</f>
        <v>Rejion from Inactive // Change new ID (1038812)</v>
      </c>
      <c r="C980">
        <f>IFERROR(__xludf.DUMMYFUNCTION("""COMPUTED_VALUE"""),1011505.0)</f>
        <v>1011505</v>
      </c>
      <c r="D980" t="str">
        <f>IFERROR(__xludf.DUMMYFUNCTION("""COMPUTED_VALUE"""),"Ms.")</f>
        <v>Ms.</v>
      </c>
      <c r="E980" t="str">
        <f>IFERROR(__xludf.DUMMYFUNCTION("""COMPUTED_VALUE"""),"Unyamanee")</f>
        <v>Unyamanee</v>
      </c>
      <c r="F980" t="str">
        <f>IFERROR(__xludf.DUMMYFUNCTION("""COMPUTED_VALUE"""),"Tammawirat")</f>
        <v>Tammawirat</v>
      </c>
      <c r="G980" t="str">
        <f>IFERROR(__xludf.DUMMYFUNCTION("""COMPUTED_VALUE"""),"Unyamanee Tammawirat")</f>
        <v>Unyamanee Tammawirat</v>
      </c>
    </row>
    <row r="981">
      <c r="A981" s="142">
        <f>IFERROR(__xludf.DUMMYFUNCTION("""COMPUTED_VALUE"""),100.0)</f>
        <v>100</v>
      </c>
      <c r="B981" t="str">
        <f>IFERROR(__xludf.DUMMYFUNCTION("""COMPUTED_VALUE"""),"Rejion from Inactive // Change new ID (1038813)")</f>
        <v>Rejion from Inactive // Change new ID (1038813)</v>
      </c>
      <c r="C981">
        <f>IFERROR(__xludf.DUMMYFUNCTION("""COMPUTED_VALUE"""),1004855.0)</f>
        <v>1004855</v>
      </c>
      <c r="D981" t="str">
        <f>IFERROR(__xludf.DUMMYFUNCTION("""COMPUTED_VALUE"""),"Mr.")</f>
        <v>Mr.</v>
      </c>
      <c r="E981" t="str">
        <f>IFERROR(__xludf.DUMMYFUNCTION("""COMPUTED_VALUE"""),"Phornchai")</f>
        <v>Phornchai</v>
      </c>
      <c r="F981" t="str">
        <f>IFERROR(__xludf.DUMMYFUNCTION("""COMPUTED_VALUE"""),"Thirawadee")</f>
        <v>Thirawadee</v>
      </c>
      <c r="G981" t="str">
        <f>IFERROR(__xludf.DUMMYFUNCTION("""COMPUTED_VALUE"""),"Phornchai Thirawadee")</f>
        <v>Phornchai Thirawadee</v>
      </c>
    </row>
    <row r="982">
      <c r="A982" s="142">
        <f>IFERROR(__xludf.DUMMYFUNCTION("""COMPUTED_VALUE"""),100.0)</f>
        <v>100</v>
      </c>
      <c r="B982" t="str">
        <f>IFERROR(__xludf.DUMMYFUNCTION("""COMPUTED_VALUE"""),"Rejion from Inactive // Change new ID (1038814)")</f>
        <v>Rejion from Inactive // Change new ID (1038814)</v>
      </c>
      <c r="C982">
        <f>IFERROR(__xludf.DUMMYFUNCTION("""COMPUTED_VALUE"""),1006858.0)</f>
        <v>1006858</v>
      </c>
      <c r="D982" t="str">
        <f>IFERROR(__xludf.DUMMYFUNCTION("""COMPUTED_VALUE"""),"Mr.")</f>
        <v>Mr.</v>
      </c>
      <c r="E982" t="str">
        <f>IFERROR(__xludf.DUMMYFUNCTION("""COMPUTED_VALUE"""),"Wachiraphong")</f>
        <v>Wachiraphong</v>
      </c>
      <c r="F982" t="str">
        <f>IFERROR(__xludf.DUMMYFUNCTION("""COMPUTED_VALUE"""),"Wangphisit")</f>
        <v>Wangphisit</v>
      </c>
      <c r="G982" t="str">
        <f>IFERROR(__xludf.DUMMYFUNCTION("""COMPUTED_VALUE"""),"Wachiraphong Wangphisit")</f>
        <v>Wachiraphong Wangphisit</v>
      </c>
    </row>
    <row r="983">
      <c r="A983" s="142">
        <f>IFERROR(__xludf.DUMMYFUNCTION("""COMPUTED_VALUE"""),100.0)</f>
        <v>100</v>
      </c>
      <c r="B983" t="str">
        <f>IFERROR(__xludf.DUMMYFUNCTION("""COMPUTED_VALUE"""),"Rejion from Inactive // Change new ID (1038815)")</f>
        <v>Rejion from Inactive // Change new ID (1038815)</v>
      </c>
      <c r="C983">
        <f>IFERROR(__xludf.DUMMYFUNCTION("""COMPUTED_VALUE"""),1001738.0)</f>
        <v>1001738</v>
      </c>
      <c r="D983" t="str">
        <f>IFERROR(__xludf.DUMMYFUNCTION("""COMPUTED_VALUE"""),"Ms.")</f>
        <v>Ms.</v>
      </c>
      <c r="E983" t="str">
        <f>IFERROR(__xludf.DUMMYFUNCTION("""COMPUTED_VALUE"""),"Nannaphat")</f>
        <v>Nannaphat</v>
      </c>
      <c r="F983" t="str">
        <f>IFERROR(__xludf.DUMMYFUNCTION("""COMPUTED_VALUE"""),"Poolklai")</f>
        <v>Poolklai</v>
      </c>
      <c r="G983" t="str">
        <f>IFERROR(__xludf.DUMMYFUNCTION("""COMPUTED_VALUE"""),"Nannaphat Poolklai")</f>
        <v>Nannaphat Poolklai</v>
      </c>
    </row>
    <row r="984">
      <c r="A984" s="142">
        <f>IFERROR(__xludf.DUMMYFUNCTION("""COMPUTED_VALUE"""),100.0)</f>
        <v>100</v>
      </c>
      <c r="B984" t="str">
        <f>IFERROR(__xludf.DUMMYFUNCTION("""COMPUTED_VALUE"""),"Rejion from Inactive // Change new ID (1038816)")</f>
        <v>Rejion from Inactive // Change new ID (1038816)</v>
      </c>
      <c r="C984">
        <f>IFERROR(__xludf.DUMMYFUNCTION("""COMPUTED_VALUE"""),1004447.0)</f>
        <v>1004447</v>
      </c>
      <c r="D984" t="str">
        <f>IFERROR(__xludf.DUMMYFUNCTION("""COMPUTED_VALUE"""),"Ms.")</f>
        <v>Ms.</v>
      </c>
      <c r="E984" t="str">
        <f>IFERROR(__xludf.DUMMYFUNCTION("""COMPUTED_VALUE"""),"Phanwalux")</f>
        <v>Phanwalux</v>
      </c>
      <c r="F984" t="str">
        <f>IFERROR(__xludf.DUMMYFUNCTION("""COMPUTED_VALUE"""),"Sunthornwiphat")</f>
        <v>Sunthornwiphat</v>
      </c>
      <c r="G984" t="str">
        <f>IFERROR(__xludf.DUMMYFUNCTION("""COMPUTED_VALUE"""),"Phanwalux Sunthornwiphat")</f>
        <v>Phanwalux Sunthornwiphat</v>
      </c>
    </row>
    <row r="985">
      <c r="A985" s="142">
        <f>IFERROR(__xludf.DUMMYFUNCTION("""COMPUTED_VALUE"""),100.0)</f>
        <v>100</v>
      </c>
      <c r="C985">
        <f>IFERROR(__xludf.DUMMYFUNCTION("""COMPUTED_VALUE"""),1005035.0)</f>
        <v>1005035</v>
      </c>
      <c r="D985" t="str">
        <f>IFERROR(__xludf.DUMMYFUNCTION("""COMPUTED_VALUE"""),"Ms.")</f>
        <v>Ms.</v>
      </c>
      <c r="E985" t="str">
        <f>IFERROR(__xludf.DUMMYFUNCTION("""COMPUTED_VALUE"""),"Alisa")</f>
        <v>Alisa</v>
      </c>
      <c r="F985" t="str">
        <f>IFERROR(__xludf.DUMMYFUNCTION("""COMPUTED_VALUE"""),"Watthanachinda")</f>
        <v>Watthanachinda</v>
      </c>
      <c r="G985" t="str">
        <f>IFERROR(__xludf.DUMMYFUNCTION("""COMPUTED_VALUE"""),"Alisa Watthanachinda")</f>
        <v>Alisa Watthanachinda</v>
      </c>
    </row>
    <row r="986">
      <c r="A986" s="142">
        <f>IFERROR(__xludf.DUMMYFUNCTION("""COMPUTED_VALUE"""),100.0)</f>
        <v>100</v>
      </c>
      <c r="C986">
        <f>IFERROR(__xludf.DUMMYFUNCTION("""COMPUTED_VALUE"""),1024693.0)</f>
        <v>1024693</v>
      </c>
      <c r="D986" t="str">
        <f>IFERROR(__xludf.DUMMYFUNCTION("""COMPUTED_VALUE"""),"Ms.")</f>
        <v>Ms.</v>
      </c>
      <c r="E986" t="str">
        <f>IFERROR(__xludf.DUMMYFUNCTION("""COMPUTED_VALUE"""),"Chanakarn")</f>
        <v>Chanakarn</v>
      </c>
      <c r="F986" t="str">
        <f>IFERROR(__xludf.DUMMYFUNCTION("""COMPUTED_VALUE"""),"Ritwanit")</f>
        <v>Ritwanit</v>
      </c>
      <c r="G986" t="str">
        <f>IFERROR(__xludf.DUMMYFUNCTION("""COMPUTED_VALUE"""),"Chanakarn Ritwanit")</f>
        <v>Chanakarn Ritwanit</v>
      </c>
    </row>
    <row r="987">
      <c r="A987" s="142">
        <f>IFERROR(__xludf.DUMMYFUNCTION("""COMPUTED_VALUE"""),100.0)</f>
        <v>100</v>
      </c>
      <c r="C987">
        <f>IFERROR(__xludf.DUMMYFUNCTION("""COMPUTED_VALUE"""),1025570.0)</f>
        <v>1025570</v>
      </c>
      <c r="D987" t="str">
        <f>IFERROR(__xludf.DUMMYFUNCTION("""COMPUTED_VALUE"""),"Ms.")</f>
        <v>Ms.</v>
      </c>
      <c r="E987" t="str">
        <f>IFERROR(__xludf.DUMMYFUNCTION("""COMPUTED_VALUE"""),"Chutima")</f>
        <v>Chutima</v>
      </c>
      <c r="F987" t="str">
        <f>IFERROR(__xludf.DUMMYFUNCTION("""COMPUTED_VALUE"""),"Pornitchayanon")</f>
        <v>Pornitchayanon</v>
      </c>
      <c r="G987" t="str">
        <f>IFERROR(__xludf.DUMMYFUNCTION("""COMPUTED_VALUE"""),"Chutima Pornitchayanon")</f>
        <v>Chutima Pornitchayanon</v>
      </c>
    </row>
    <row r="988">
      <c r="A988" s="142">
        <f>IFERROR(__xludf.DUMMYFUNCTION("""COMPUTED_VALUE"""),100.0)</f>
        <v>100</v>
      </c>
      <c r="C988">
        <f>IFERROR(__xludf.DUMMYFUNCTION("""COMPUTED_VALUE"""),1025547.0)</f>
        <v>1025547</v>
      </c>
      <c r="D988" t="str">
        <f>IFERROR(__xludf.DUMMYFUNCTION("""COMPUTED_VALUE"""),"Ms.")</f>
        <v>Ms.</v>
      </c>
      <c r="E988" t="str">
        <f>IFERROR(__xludf.DUMMYFUNCTION("""COMPUTED_VALUE"""),"Jarumon")</f>
        <v>Jarumon</v>
      </c>
      <c r="F988" t="str">
        <f>IFERROR(__xludf.DUMMYFUNCTION("""COMPUTED_VALUE"""),"Iamkanthong")</f>
        <v>Iamkanthong</v>
      </c>
      <c r="G988" t="str">
        <f>IFERROR(__xludf.DUMMYFUNCTION("""COMPUTED_VALUE"""),"Jarumon Iamkanthong")</f>
        <v>Jarumon Iamkanthong</v>
      </c>
    </row>
    <row r="989">
      <c r="A989" s="142">
        <f>IFERROR(__xludf.DUMMYFUNCTION("""COMPUTED_VALUE"""),100.0)</f>
        <v>100</v>
      </c>
      <c r="C989">
        <f>IFERROR(__xludf.DUMMYFUNCTION("""COMPUTED_VALUE"""),1025202.0)</f>
        <v>1025202</v>
      </c>
      <c r="D989" t="str">
        <f>IFERROR(__xludf.DUMMYFUNCTION("""COMPUTED_VALUE"""),"Ms.")</f>
        <v>Ms.</v>
      </c>
      <c r="E989" t="str">
        <f>IFERROR(__xludf.DUMMYFUNCTION("""COMPUTED_VALUE"""),"Kamonnut")</f>
        <v>Kamonnut</v>
      </c>
      <c r="F989" t="str">
        <f>IFERROR(__xludf.DUMMYFUNCTION("""COMPUTED_VALUE"""),"Kucharoenphisan")</f>
        <v>Kucharoenphisan</v>
      </c>
      <c r="G989" t="str">
        <f>IFERROR(__xludf.DUMMYFUNCTION("""COMPUTED_VALUE"""),"Kamonnut Kucharoenphisan")</f>
        <v>Kamonnut Kucharoenphisan</v>
      </c>
    </row>
    <row r="990">
      <c r="A990" s="142">
        <f>IFERROR(__xludf.DUMMYFUNCTION("""COMPUTED_VALUE"""),100.0)</f>
        <v>100</v>
      </c>
      <c r="C990">
        <f>IFERROR(__xludf.DUMMYFUNCTION("""COMPUTED_VALUE"""),1025550.0)</f>
        <v>1025550</v>
      </c>
      <c r="D990" t="str">
        <f>IFERROR(__xludf.DUMMYFUNCTION("""COMPUTED_VALUE"""),"Mr.")</f>
        <v>Mr.</v>
      </c>
      <c r="E990" t="str">
        <f>IFERROR(__xludf.DUMMYFUNCTION("""COMPUTED_VALUE"""),"Kathabhon")</f>
        <v>Kathabhon</v>
      </c>
      <c r="F990" t="str">
        <f>IFERROR(__xludf.DUMMYFUNCTION("""COMPUTED_VALUE"""),"Thanalerdsobhon")</f>
        <v>Thanalerdsobhon</v>
      </c>
      <c r="G990" t="str">
        <f>IFERROR(__xludf.DUMMYFUNCTION("""COMPUTED_VALUE"""),"Kathabhon Thanalerdsobhon")</f>
        <v>Kathabhon Thanalerdsobhon</v>
      </c>
    </row>
    <row r="991">
      <c r="A991" s="142">
        <f>IFERROR(__xludf.DUMMYFUNCTION("""COMPUTED_VALUE"""),100.0)</f>
        <v>100</v>
      </c>
      <c r="C991">
        <f>IFERROR(__xludf.DUMMYFUNCTION("""COMPUTED_VALUE"""),1025575.0)</f>
        <v>1025575</v>
      </c>
      <c r="D991" t="str">
        <f>IFERROR(__xludf.DUMMYFUNCTION("""COMPUTED_VALUE"""),"Ms.")</f>
        <v>Ms.</v>
      </c>
      <c r="E991" t="str">
        <f>IFERROR(__xludf.DUMMYFUNCTION("""COMPUTED_VALUE"""),"Krissana")</f>
        <v>Krissana</v>
      </c>
      <c r="F991" t="str">
        <f>IFERROR(__xludf.DUMMYFUNCTION("""COMPUTED_VALUE"""),"Thanumas")</f>
        <v>Thanumas</v>
      </c>
      <c r="G991" t="str">
        <f>IFERROR(__xludf.DUMMYFUNCTION("""COMPUTED_VALUE"""),"Krissana Thanumas")</f>
        <v>Krissana Thanumas</v>
      </c>
    </row>
    <row r="992">
      <c r="A992" s="142">
        <f>IFERROR(__xludf.DUMMYFUNCTION("""COMPUTED_VALUE"""),100.0)</f>
        <v>100</v>
      </c>
      <c r="C992">
        <f>IFERROR(__xludf.DUMMYFUNCTION("""COMPUTED_VALUE"""),1025554.0)</f>
        <v>1025554</v>
      </c>
      <c r="D992" t="str">
        <f>IFERROR(__xludf.DUMMYFUNCTION("""COMPUTED_VALUE"""),"Ms.")</f>
        <v>Ms.</v>
      </c>
      <c r="E992" t="str">
        <f>IFERROR(__xludf.DUMMYFUNCTION("""COMPUTED_VALUE"""),"Nidchapa")</f>
        <v>Nidchapa</v>
      </c>
      <c r="F992" t="str">
        <f>IFERROR(__xludf.DUMMYFUNCTION("""COMPUTED_VALUE"""),"Vichaidist")</f>
        <v>Vichaidist</v>
      </c>
      <c r="G992" t="str">
        <f>IFERROR(__xludf.DUMMYFUNCTION("""COMPUTED_VALUE"""),"Nidchapa Vichaidist")</f>
        <v>Nidchapa Vichaidist</v>
      </c>
    </row>
    <row r="993">
      <c r="A993" s="142">
        <f>IFERROR(__xludf.DUMMYFUNCTION("""COMPUTED_VALUE"""),100.0)</f>
        <v>100</v>
      </c>
      <c r="C993">
        <f>IFERROR(__xludf.DUMMYFUNCTION("""COMPUTED_VALUE"""),1014079.0)</f>
        <v>1014079</v>
      </c>
      <c r="D993" t="str">
        <f>IFERROR(__xludf.DUMMYFUNCTION("""COMPUTED_VALUE"""),"Ms.")</f>
        <v>Ms.</v>
      </c>
      <c r="E993" t="str">
        <f>IFERROR(__xludf.DUMMYFUNCTION("""COMPUTED_VALUE"""),"Patcharin")</f>
        <v>Patcharin</v>
      </c>
      <c r="F993" t="str">
        <f>IFERROR(__xludf.DUMMYFUNCTION("""COMPUTED_VALUE"""),"Yenkaew")</f>
        <v>Yenkaew</v>
      </c>
      <c r="G993" t="str">
        <f>IFERROR(__xludf.DUMMYFUNCTION("""COMPUTED_VALUE"""),"Patcharin Yenkaew")</f>
        <v>Patcharin Yenkaew</v>
      </c>
    </row>
    <row r="994">
      <c r="A994" s="142">
        <f>IFERROR(__xludf.DUMMYFUNCTION("""COMPUTED_VALUE"""),100.0)</f>
        <v>100</v>
      </c>
      <c r="C994">
        <f>IFERROR(__xludf.DUMMYFUNCTION("""COMPUTED_VALUE"""),1025545.0)</f>
        <v>1025545</v>
      </c>
      <c r="D994" t="str">
        <f>IFERROR(__xludf.DUMMYFUNCTION("""COMPUTED_VALUE"""),"Ms.")</f>
        <v>Ms.</v>
      </c>
      <c r="E994" t="str">
        <f>IFERROR(__xludf.DUMMYFUNCTION("""COMPUTED_VALUE"""),"Pattanan")</f>
        <v>Pattanan</v>
      </c>
      <c r="F994" t="str">
        <f>IFERROR(__xludf.DUMMYFUNCTION("""COMPUTED_VALUE"""),"Joompadong")</f>
        <v>Joompadong</v>
      </c>
      <c r="G994" t="str">
        <f>IFERROR(__xludf.DUMMYFUNCTION("""COMPUTED_VALUE"""),"Pattanan Joompadong")</f>
        <v>Pattanan Joompadong</v>
      </c>
    </row>
    <row r="995">
      <c r="A995" s="142">
        <f>IFERROR(__xludf.DUMMYFUNCTION("""COMPUTED_VALUE"""),100.0)</f>
        <v>100</v>
      </c>
      <c r="C995">
        <f>IFERROR(__xludf.DUMMYFUNCTION("""COMPUTED_VALUE"""),1025204.0)</f>
        <v>1025204</v>
      </c>
      <c r="D995" t="str">
        <f>IFERROR(__xludf.DUMMYFUNCTION("""COMPUTED_VALUE"""),"Mr.")</f>
        <v>Mr.</v>
      </c>
      <c r="E995" t="str">
        <f>IFERROR(__xludf.DUMMYFUNCTION("""COMPUTED_VALUE"""),"Pavich")</f>
        <v>Pavich</v>
      </c>
      <c r="F995" t="str">
        <f>IFERROR(__xludf.DUMMYFUNCTION("""COMPUTED_VALUE"""),"Saprungroj")</f>
        <v>Saprungroj</v>
      </c>
      <c r="G995" t="str">
        <f>IFERROR(__xludf.DUMMYFUNCTION("""COMPUTED_VALUE"""),"Pavich Saprungroj")</f>
        <v>Pavich Saprungroj</v>
      </c>
    </row>
    <row r="996">
      <c r="A996" s="142">
        <f>IFERROR(__xludf.DUMMYFUNCTION("""COMPUTED_VALUE"""),100.0)</f>
        <v>100</v>
      </c>
      <c r="C996">
        <f>IFERROR(__xludf.DUMMYFUNCTION("""COMPUTED_VALUE"""),1009260.0)</f>
        <v>1009260</v>
      </c>
      <c r="D996" t="str">
        <f>IFERROR(__xludf.DUMMYFUNCTION("""COMPUTED_VALUE"""),"Ms.")</f>
        <v>Ms.</v>
      </c>
      <c r="E996" t="str">
        <f>IFERROR(__xludf.DUMMYFUNCTION("""COMPUTED_VALUE"""),"Wilasinee")</f>
        <v>Wilasinee</v>
      </c>
      <c r="F996" t="str">
        <f>IFERROR(__xludf.DUMMYFUNCTION("""COMPUTED_VALUE"""),"Tirapanumpai")</f>
        <v>Tirapanumpai</v>
      </c>
      <c r="G996" t="str">
        <f>IFERROR(__xludf.DUMMYFUNCTION("""COMPUTED_VALUE"""),"Wilasinee Tirapanumpai")</f>
        <v>Wilasinee Tirapanumpai</v>
      </c>
    </row>
    <row r="997">
      <c r="A997" s="142">
        <f>IFERROR(__xludf.DUMMYFUNCTION("""COMPUTED_VALUE"""),100.0)</f>
        <v>100</v>
      </c>
      <c r="C997">
        <f>IFERROR(__xludf.DUMMYFUNCTION("""COMPUTED_VALUE"""),1012053.0)</f>
        <v>1012053</v>
      </c>
      <c r="D997" t="str">
        <f>IFERROR(__xludf.DUMMYFUNCTION("""COMPUTED_VALUE"""),"Mr.")</f>
        <v>Mr.</v>
      </c>
      <c r="E997" t="str">
        <f>IFERROR(__xludf.DUMMYFUNCTION("""COMPUTED_VALUE"""),"Nawapol")</f>
        <v>Nawapol</v>
      </c>
      <c r="F997" t="str">
        <f>IFERROR(__xludf.DUMMYFUNCTION("""COMPUTED_VALUE"""),"Songpool")</f>
        <v>Songpool</v>
      </c>
      <c r="G997" t="str">
        <f>IFERROR(__xludf.DUMMYFUNCTION("""COMPUTED_VALUE"""),"Nawapol Songpool")</f>
        <v>Nawapol Songpool</v>
      </c>
    </row>
    <row r="998">
      <c r="A998" s="142">
        <f>IFERROR(__xludf.DUMMYFUNCTION("""COMPUTED_VALUE"""),100.0)</f>
        <v>100</v>
      </c>
      <c r="C998">
        <f>IFERROR(__xludf.DUMMYFUNCTION("""COMPUTED_VALUE"""),1013576.0)</f>
        <v>1013576</v>
      </c>
      <c r="D998" t="str">
        <f>IFERROR(__xludf.DUMMYFUNCTION("""COMPUTED_VALUE"""),"Ms.")</f>
        <v>Ms.</v>
      </c>
      <c r="E998" t="str">
        <f>IFERROR(__xludf.DUMMYFUNCTION("""COMPUTED_VALUE"""),"Pawarisar")</f>
        <v>Pawarisar</v>
      </c>
      <c r="F998" t="str">
        <f>IFERROR(__xludf.DUMMYFUNCTION("""COMPUTED_VALUE"""),"Samanthong")</f>
        <v>Samanthong</v>
      </c>
      <c r="G998" t="str">
        <f>IFERROR(__xludf.DUMMYFUNCTION("""COMPUTED_VALUE"""),"Pawarisar Samanthong")</f>
        <v>Pawarisar Samanthong</v>
      </c>
    </row>
    <row r="1000">
      <c r="A1000" s="142">
        <f>IFERROR(__xludf.DUMMYFUNCTION("""COMPUTED_VALUE"""),101.0)</f>
        <v>101</v>
      </c>
      <c r="C1000">
        <f>IFERROR(__xludf.DUMMYFUNCTION("""COMPUTED_VALUE"""),1025574.0)</f>
        <v>1025574</v>
      </c>
      <c r="D1000" t="str">
        <f>IFERROR(__xludf.DUMMYFUNCTION("""COMPUTED_VALUE"""),"Ms.")</f>
        <v>Ms.</v>
      </c>
      <c r="E1000" t="str">
        <f>IFERROR(__xludf.DUMMYFUNCTION("""COMPUTED_VALUE"""),"Ravinnipa")</f>
        <v>Ravinnipa</v>
      </c>
      <c r="F1000" t="str">
        <f>IFERROR(__xludf.DUMMYFUNCTION("""COMPUTED_VALUE"""),"Hamid")</f>
        <v>Hamid</v>
      </c>
      <c r="G1000" t="str">
        <f>IFERROR(__xludf.DUMMYFUNCTION("""COMPUTED_VALUE"""),"Ravinnipa Hamid")</f>
        <v>Ravinnipa Hamid</v>
      </c>
    </row>
    <row r="1001">
      <c r="A1001" s="142">
        <f>IFERROR(__xludf.DUMMYFUNCTION("""COMPUTED_VALUE"""),101.0)</f>
        <v>101</v>
      </c>
      <c r="C1001">
        <f>IFERROR(__xludf.DUMMYFUNCTION("""COMPUTED_VALUE"""),1026015.0)</f>
        <v>1026015</v>
      </c>
      <c r="D1001" t="str">
        <f>IFERROR(__xludf.DUMMYFUNCTION("""COMPUTED_VALUE"""),"Ms.")</f>
        <v>Ms.</v>
      </c>
      <c r="E1001" t="str">
        <f>IFERROR(__xludf.DUMMYFUNCTION("""COMPUTED_VALUE"""),"Thanissa")</f>
        <v>Thanissa</v>
      </c>
      <c r="F1001" t="str">
        <f>IFERROR(__xludf.DUMMYFUNCTION("""COMPUTED_VALUE"""),"Intharit")</f>
        <v>Intharit</v>
      </c>
      <c r="G1001" t="str">
        <f>IFERROR(__xludf.DUMMYFUNCTION("""COMPUTED_VALUE"""),"Thanissa Intharit")</f>
        <v>Thanissa Intharit</v>
      </c>
    </row>
    <row r="1002">
      <c r="A1002" s="142">
        <f>IFERROR(__xludf.DUMMYFUNCTION("""COMPUTED_VALUE"""),101.0)</f>
        <v>101</v>
      </c>
      <c r="C1002">
        <f>IFERROR(__xludf.DUMMYFUNCTION("""COMPUTED_VALUE"""),1025579.0)</f>
        <v>1025579</v>
      </c>
      <c r="D1002" t="str">
        <f>IFERROR(__xludf.DUMMYFUNCTION("""COMPUTED_VALUE"""),"Ms.")</f>
        <v>Ms.</v>
      </c>
      <c r="E1002" t="str">
        <f>IFERROR(__xludf.DUMMYFUNCTION("""COMPUTED_VALUE"""),"Wasinee")</f>
        <v>Wasinee</v>
      </c>
      <c r="F1002" t="str">
        <f>IFERROR(__xludf.DUMMYFUNCTION("""COMPUTED_VALUE"""),"Eiampongpaitoun")</f>
        <v>Eiampongpaitoun</v>
      </c>
      <c r="G1002" t="str">
        <f>IFERROR(__xludf.DUMMYFUNCTION("""COMPUTED_VALUE"""),"Wasinee Eiampongpaitoun")</f>
        <v>Wasinee Eiampongpaitoun</v>
      </c>
    </row>
    <row r="1003">
      <c r="A1003" s="142">
        <f>IFERROR(__xludf.DUMMYFUNCTION("""COMPUTED_VALUE"""),101.0)</f>
        <v>101</v>
      </c>
      <c r="C1003">
        <f>IFERROR(__xludf.DUMMYFUNCTION("""COMPUTED_VALUE"""),1025120.0)</f>
        <v>1025120</v>
      </c>
      <c r="D1003" t="str">
        <f>IFERROR(__xludf.DUMMYFUNCTION("""COMPUTED_VALUE"""),"Ms.")</f>
        <v>Ms.</v>
      </c>
      <c r="E1003" t="str">
        <f>IFERROR(__xludf.DUMMYFUNCTION("""COMPUTED_VALUE"""),"Weawpaka")</f>
        <v>Weawpaka</v>
      </c>
      <c r="F1003" t="str">
        <f>IFERROR(__xludf.DUMMYFUNCTION("""COMPUTED_VALUE"""),"Chatrattichai")</f>
        <v>Chatrattichai</v>
      </c>
      <c r="G1003" t="str">
        <f>IFERROR(__xludf.DUMMYFUNCTION("""COMPUTED_VALUE"""),"Weawpaka Chatrattichai")</f>
        <v>Weawpaka Chatrattichai</v>
      </c>
    </row>
    <row r="1004">
      <c r="A1004" s="142">
        <f>IFERROR(__xludf.DUMMYFUNCTION("""COMPUTED_VALUE"""),101.0)</f>
        <v>101</v>
      </c>
      <c r="C1004">
        <f>IFERROR(__xludf.DUMMYFUNCTION("""COMPUTED_VALUE"""),1028029.0)</f>
        <v>1028029</v>
      </c>
      <c r="D1004" t="str">
        <f>IFERROR(__xludf.DUMMYFUNCTION("""COMPUTED_VALUE"""),"Ms.")</f>
        <v>Ms.</v>
      </c>
      <c r="E1004" t="str">
        <f>IFERROR(__xludf.DUMMYFUNCTION("""COMPUTED_VALUE"""),"Atima")</f>
        <v>Atima</v>
      </c>
      <c r="F1004" t="str">
        <f>IFERROR(__xludf.DUMMYFUNCTION("""COMPUTED_VALUE"""),"Tanapat")</f>
        <v>Tanapat</v>
      </c>
      <c r="G1004" t="str">
        <f>IFERROR(__xludf.DUMMYFUNCTION("""COMPUTED_VALUE"""),"Atima Tanapat")</f>
        <v>Atima Tanapat</v>
      </c>
    </row>
    <row r="1005">
      <c r="A1005" s="142">
        <f>IFERROR(__xludf.DUMMYFUNCTION("""COMPUTED_VALUE"""),101.0)</f>
        <v>101</v>
      </c>
      <c r="C1005">
        <f>IFERROR(__xludf.DUMMYFUNCTION("""COMPUTED_VALUE"""),1013563.0)</f>
        <v>1013563</v>
      </c>
      <c r="D1005" t="str">
        <f>IFERROR(__xludf.DUMMYFUNCTION("""COMPUTED_VALUE"""),"Mr.")</f>
        <v>Mr.</v>
      </c>
      <c r="E1005" t="str">
        <f>IFERROR(__xludf.DUMMYFUNCTION("""COMPUTED_VALUE"""),"Josiah")</f>
        <v>Josiah</v>
      </c>
      <c r="F1005" t="str">
        <f>IFERROR(__xludf.DUMMYFUNCTION("""COMPUTED_VALUE"""),"Taylor")</f>
        <v>Taylor</v>
      </c>
      <c r="G1005" t="str">
        <f>IFERROR(__xludf.DUMMYFUNCTION("""COMPUTED_VALUE"""),"Josiah Taylor")</f>
        <v>Josiah Taylor</v>
      </c>
    </row>
    <row r="1006">
      <c r="A1006" s="142">
        <f>IFERROR(__xludf.DUMMYFUNCTION("""COMPUTED_VALUE"""),101.0)</f>
        <v>101</v>
      </c>
      <c r="C1006">
        <f>IFERROR(__xludf.DUMMYFUNCTION("""COMPUTED_VALUE"""),1027118.0)</f>
        <v>1027118</v>
      </c>
      <c r="D1006" t="str">
        <f>IFERROR(__xludf.DUMMYFUNCTION("""COMPUTED_VALUE"""),"Ms.")</f>
        <v>Ms.</v>
      </c>
      <c r="E1006" t="str">
        <f>IFERROR(__xludf.DUMMYFUNCTION("""COMPUTED_VALUE"""),"Kamonkarn")</f>
        <v>Kamonkarn</v>
      </c>
      <c r="F1006" t="str">
        <f>IFERROR(__xludf.DUMMYFUNCTION("""COMPUTED_VALUE"""),"Chuengoen")</f>
        <v>Chuengoen</v>
      </c>
      <c r="G1006" t="str">
        <f>IFERROR(__xludf.DUMMYFUNCTION("""COMPUTED_VALUE"""),"Kamonkarn Chuengoen")</f>
        <v>Kamonkarn Chuengoen</v>
      </c>
    </row>
    <row r="1007">
      <c r="A1007" s="142">
        <f>IFERROR(__xludf.DUMMYFUNCTION("""COMPUTED_VALUE"""),101.0)</f>
        <v>101</v>
      </c>
      <c r="C1007">
        <f>IFERROR(__xludf.DUMMYFUNCTION("""COMPUTED_VALUE"""),1005312.0)</f>
        <v>1005312</v>
      </c>
      <c r="D1007" t="str">
        <f>IFERROR(__xludf.DUMMYFUNCTION("""COMPUTED_VALUE"""),"Ms.")</f>
        <v>Ms.</v>
      </c>
      <c r="E1007" t="str">
        <f>IFERROR(__xludf.DUMMYFUNCTION("""COMPUTED_VALUE"""),"Khemika")</f>
        <v>Khemika</v>
      </c>
      <c r="F1007" t="str">
        <f>IFERROR(__xludf.DUMMYFUNCTION("""COMPUTED_VALUE"""),"Thnonchaikul")</f>
        <v>Thnonchaikul</v>
      </c>
      <c r="G1007" t="str">
        <f>IFERROR(__xludf.DUMMYFUNCTION("""COMPUTED_VALUE"""),"Khemika Thnonchaikul")</f>
        <v>Khemika Thnonchaikul</v>
      </c>
    </row>
    <row r="1008">
      <c r="A1008" s="142">
        <f>IFERROR(__xludf.DUMMYFUNCTION("""COMPUTED_VALUE"""),101.0)</f>
        <v>101</v>
      </c>
      <c r="C1008">
        <f>IFERROR(__xludf.DUMMYFUNCTION("""COMPUTED_VALUE"""),1026841.0)</f>
        <v>1026841</v>
      </c>
      <c r="D1008" t="str">
        <f>IFERROR(__xludf.DUMMYFUNCTION("""COMPUTED_VALUE"""),"Ms.")</f>
        <v>Ms.</v>
      </c>
      <c r="E1008" t="str">
        <f>IFERROR(__xludf.DUMMYFUNCTION("""COMPUTED_VALUE"""),"Natjaree")</f>
        <v>Natjaree</v>
      </c>
      <c r="F1008" t="str">
        <f>IFERROR(__xludf.DUMMYFUNCTION("""COMPUTED_VALUE"""),"Phanitwaranan")</f>
        <v>Phanitwaranan</v>
      </c>
      <c r="G1008" t="str">
        <f>IFERROR(__xludf.DUMMYFUNCTION("""COMPUTED_VALUE"""),"Natjaree Phanitwaranan")</f>
        <v>Natjaree Phanitwaranan</v>
      </c>
    </row>
    <row r="1009">
      <c r="A1009" s="142">
        <f>IFERROR(__xludf.DUMMYFUNCTION("""COMPUTED_VALUE"""),101.0)</f>
        <v>101</v>
      </c>
      <c r="C1009">
        <f>IFERROR(__xludf.DUMMYFUNCTION("""COMPUTED_VALUE"""),1027538.0)</f>
        <v>1027538</v>
      </c>
      <c r="D1009" t="str">
        <f>IFERROR(__xludf.DUMMYFUNCTION("""COMPUTED_VALUE"""),"Mr.")</f>
        <v>Mr.</v>
      </c>
      <c r="E1009" t="str">
        <f>IFERROR(__xludf.DUMMYFUNCTION("""COMPUTED_VALUE"""),"Opal")</f>
        <v>Opal</v>
      </c>
      <c r="F1009" t="str">
        <f>IFERROR(__xludf.DUMMYFUNCTION("""COMPUTED_VALUE"""),"Nitipon")</f>
        <v>Nitipon</v>
      </c>
      <c r="G1009" t="str">
        <f>IFERROR(__xludf.DUMMYFUNCTION("""COMPUTED_VALUE"""),"Opal Nitipon")</f>
        <v>Opal Nitipon</v>
      </c>
    </row>
    <row r="1010">
      <c r="A1010" s="142">
        <f>IFERROR(__xludf.DUMMYFUNCTION("""COMPUTED_VALUE"""),101.0)</f>
        <v>101</v>
      </c>
      <c r="C1010">
        <f>IFERROR(__xludf.DUMMYFUNCTION("""COMPUTED_VALUE"""),1027495.0)</f>
        <v>1027495</v>
      </c>
      <c r="D1010" t="str">
        <f>IFERROR(__xludf.DUMMYFUNCTION("""COMPUTED_VALUE"""),"Ms.")</f>
        <v>Ms.</v>
      </c>
      <c r="E1010" t="str">
        <f>IFERROR(__xludf.DUMMYFUNCTION("""COMPUTED_VALUE"""),"Poosita")</f>
        <v>Poosita</v>
      </c>
      <c r="F1010" t="str">
        <f>IFERROR(__xludf.DUMMYFUNCTION("""COMPUTED_VALUE"""),"Wongtong")</f>
        <v>Wongtong</v>
      </c>
      <c r="G1010" t="str">
        <f>IFERROR(__xludf.DUMMYFUNCTION("""COMPUTED_VALUE"""),"Poosita Wongtong")</f>
        <v>Poosita Wongtong</v>
      </c>
    </row>
    <row r="1011">
      <c r="A1011" s="142">
        <f>IFERROR(__xludf.DUMMYFUNCTION("""COMPUTED_VALUE"""),101.0)</f>
        <v>101</v>
      </c>
      <c r="C1011">
        <f>IFERROR(__xludf.DUMMYFUNCTION("""COMPUTED_VALUE"""),1026840.0)</f>
        <v>1026840</v>
      </c>
      <c r="D1011" t="str">
        <f>IFERROR(__xludf.DUMMYFUNCTION("""COMPUTED_VALUE"""),"Mr.")</f>
        <v>Mr.</v>
      </c>
      <c r="E1011" t="str">
        <f>IFERROR(__xludf.DUMMYFUNCTION("""COMPUTED_VALUE"""),"Preampiti")</f>
        <v>Preampiti</v>
      </c>
      <c r="F1011" t="str">
        <f>IFERROR(__xludf.DUMMYFUNCTION("""COMPUTED_VALUE"""),"Umprasirt")</f>
        <v>Umprasirt</v>
      </c>
      <c r="G1011" t="str">
        <f>IFERROR(__xludf.DUMMYFUNCTION("""COMPUTED_VALUE"""),"Preampiti Umprasirt")</f>
        <v>Preampiti Umprasirt</v>
      </c>
    </row>
    <row r="1012">
      <c r="A1012" s="142">
        <f>IFERROR(__xludf.DUMMYFUNCTION("""COMPUTED_VALUE"""),101.0)</f>
        <v>101</v>
      </c>
      <c r="C1012">
        <f>IFERROR(__xludf.DUMMYFUNCTION("""COMPUTED_VALUE"""),1026026.0)</f>
        <v>1026026</v>
      </c>
      <c r="D1012" t="str">
        <f>IFERROR(__xludf.DUMMYFUNCTION("""COMPUTED_VALUE"""),"Ms.")</f>
        <v>Ms.</v>
      </c>
      <c r="E1012" t="str">
        <f>IFERROR(__xludf.DUMMYFUNCTION("""COMPUTED_VALUE"""),"Punyisa")</f>
        <v>Punyisa</v>
      </c>
      <c r="F1012" t="str">
        <f>IFERROR(__xludf.DUMMYFUNCTION("""COMPUTED_VALUE"""),"Wongsawan")</f>
        <v>Wongsawan</v>
      </c>
      <c r="G1012" t="str">
        <f>IFERROR(__xludf.DUMMYFUNCTION("""COMPUTED_VALUE"""),"Punyisa Wongsawan")</f>
        <v>Punyisa Wongsawan</v>
      </c>
    </row>
    <row r="1013">
      <c r="A1013" s="142">
        <f>IFERROR(__xludf.DUMMYFUNCTION("""COMPUTED_VALUE"""),101.0)</f>
        <v>101</v>
      </c>
      <c r="C1013">
        <f>IFERROR(__xludf.DUMMYFUNCTION("""COMPUTED_VALUE"""),1027519.0)</f>
        <v>1027519</v>
      </c>
      <c r="D1013" t="str">
        <f>IFERROR(__xludf.DUMMYFUNCTION("""COMPUTED_VALUE"""),"Mr.")</f>
        <v>Mr.</v>
      </c>
      <c r="E1013" t="str">
        <f>IFERROR(__xludf.DUMMYFUNCTION("""COMPUTED_VALUE"""),"Puttipat")</f>
        <v>Puttipat</v>
      </c>
      <c r="F1013" t="str">
        <f>IFERROR(__xludf.DUMMYFUNCTION("""COMPUTED_VALUE"""),"Ongrojanakul")</f>
        <v>Ongrojanakul</v>
      </c>
      <c r="G1013" t="str">
        <f>IFERROR(__xludf.DUMMYFUNCTION("""COMPUTED_VALUE"""),"Puttipat Ongrojanakul")</f>
        <v>Puttipat Ongrojanakul</v>
      </c>
    </row>
    <row r="1014">
      <c r="A1014" s="142">
        <f>IFERROR(__xludf.DUMMYFUNCTION("""COMPUTED_VALUE"""),101.0)</f>
        <v>101</v>
      </c>
      <c r="C1014">
        <f>IFERROR(__xludf.DUMMYFUNCTION("""COMPUTED_VALUE"""),1011749.0)</f>
        <v>1011749</v>
      </c>
      <c r="D1014" t="str">
        <f>IFERROR(__xludf.DUMMYFUNCTION("""COMPUTED_VALUE"""),"Ms.")</f>
        <v>Ms.</v>
      </c>
      <c r="E1014" t="str">
        <f>IFERROR(__xludf.DUMMYFUNCTION("""COMPUTED_VALUE"""),"Ruedeemas")</f>
        <v>Ruedeemas</v>
      </c>
      <c r="F1014" t="str">
        <f>IFERROR(__xludf.DUMMYFUNCTION("""COMPUTED_VALUE"""),"Wachirawutthichai")</f>
        <v>Wachirawutthichai</v>
      </c>
      <c r="G1014" t="str">
        <f>IFERROR(__xludf.DUMMYFUNCTION("""COMPUTED_VALUE"""),"Ruedeemas Wachirawutthichai")</f>
        <v>Ruedeemas Wachirawutthichai</v>
      </c>
    </row>
    <row r="1015">
      <c r="A1015" s="142">
        <f>IFERROR(__xludf.DUMMYFUNCTION("""COMPUTED_VALUE"""),101.0)</f>
        <v>101</v>
      </c>
      <c r="C1015">
        <f>IFERROR(__xludf.DUMMYFUNCTION("""COMPUTED_VALUE"""),1026034.0)</f>
        <v>1026034</v>
      </c>
      <c r="D1015" t="str">
        <f>IFERROR(__xludf.DUMMYFUNCTION("""COMPUTED_VALUE"""),"Mr.")</f>
        <v>Mr.</v>
      </c>
      <c r="E1015" t="str">
        <f>IFERROR(__xludf.DUMMYFUNCTION("""COMPUTED_VALUE"""),"Siwapong")</f>
        <v>Siwapong</v>
      </c>
      <c r="F1015" t="str">
        <f>IFERROR(__xludf.DUMMYFUNCTION("""COMPUTED_VALUE"""),"Pongchampa")</f>
        <v>Pongchampa</v>
      </c>
      <c r="G1015" t="str">
        <f>IFERROR(__xludf.DUMMYFUNCTION("""COMPUTED_VALUE"""),"Siwapong Pongchampa")</f>
        <v>Siwapong Pongchampa</v>
      </c>
    </row>
    <row r="1016">
      <c r="A1016" s="142">
        <f>IFERROR(__xludf.DUMMYFUNCTION("""COMPUTED_VALUE"""),101.0)</f>
        <v>101</v>
      </c>
      <c r="C1016">
        <f>IFERROR(__xludf.DUMMYFUNCTION("""COMPUTED_VALUE"""),1010850.0)</f>
        <v>1010850</v>
      </c>
      <c r="D1016" t="str">
        <f>IFERROR(__xludf.DUMMYFUNCTION("""COMPUTED_VALUE"""),"Ms.")</f>
        <v>Ms.</v>
      </c>
      <c r="E1016" t="str">
        <f>IFERROR(__xludf.DUMMYFUNCTION("""COMPUTED_VALUE"""),"Tanaporn")</f>
        <v>Tanaporn</v>
      </c>
      <c r="F1016" t="str">
        <f>IFERROR(__xludf.DUMMYFUNCTION("""COMPUTED_VALUE"""),"Musikapun")</f>
        <v>Musikapun</v>
      </c>
      <c r="G1016" t="str">
        <f>IFERROR(__xludf.DUMMYFUNCTION("""COMPUTED_VALUE"""),"Tanaporn Musikapun")</f>
        <v>Tanaporn Musikapun</v>
      </c>
    </row>
    <row r="1017">
      <c r="A1017" s="142">
        <f>IFERROR(__xludf.DUMMYFUNCTION("""COMPUTED_VALUE"""),101.0)</f>
        <v>101</v>
      </c>
      <c r="B1017" t="str">
        <f>IFERROR(__xludf.DUMMYFUNCTION("""COMPUTED_VALUE"""),"Cheeptee")</f>
        <v>Cheeptee</v>
      </c>
      <c r="C1017">
        <f>IFERROR(__xludf.DUMMYFUNCTION("""COMPUTED_VALUE"""),1027120.0)</f>
        <v>1027120</v>
      </c>
      <c r="D1017" t="str">
        <f>IFERROR(__xludf.DUMMYFUNCTION("""COMPUTED_VALUE"""),"Ms.")</f>
        <v>Ms.</v>
      </c>
      <c r="E1017" t="str">
        <f>IFERROR(__xludf.DUMMYFUNCTION("""COMPUTED_VALUE"""),"Tanchanok")</f>
        <v>Tanchanok</v>
      </c>
      <c r="F1017" t="str">
        <f>IFERROR(__xludf.DUMMYFUNCTION("""COMPUTED_VALUE"""),"Muangwattanakun")</f>
        <v>Muangwattanakun</v>
      </c>
      <c r="G1017" t="str">
        <f>IFERROR(__xludf.DUMMYFUNCTION("""COMPUTED_VALUE"""),"Tanchanok Muangwattanakun")</f>
        <v>Tanchanok Muangwattanakun</v>
      </c>
    </row>
    <row r="1018">
      <c r="A1018" s="142">
        <f>IFERROR(__xludf.DUMMYFUNCTION("""COMPUTED_VALUE"""),101.0)</f>
        <v>101</v>
      </c>
      <c r="C1018">
        <f>IFERROR(__xludf.DUMMYFUNCTION("""COMPUTED_VALUE"""),1038952.0)</f>
        <v>1038952</v>
      </c>
      <c r="D1018" t="str">
        <f>IFERROR(__xludf.DUMMYFUNCTION("""COMPUTED_VALUE"""),"Ms.")</f>
        <v>Ms.</v>
      </c>
      <c r="E1018" t="str">
        <f>IFERROR(__xludf.DUMMYFUNCTION("""COMPUTED_VALUE"""),"Arnnuta")</f>
        <v>Arnnuta</v>
      </c>
      <c r="F1018" t="str">
        <f>IFERROR(__xludf.DUMMYFUNCTION("""COMPUTED_VALUE"""),"Dutiyabodhi")</f>
        <v>Dutiyabodhi</v>
      </c>
      <c r="G1018" t="str">
        <f>IFERROR(__xludf.DUMMYFUNCTION("""COMPUTED_VALUE"""),"Arnnuta Dutiyabodhi")</f>
        <v>Arnnuta Dutiyabodhi</v>
      </c>
    </row>
    <row r="1019">
      <c r="A1019" s="142">
        <f>IFERROR(__xludf.DUMMYFUNCTION("""COMPUTED_VALUE"""),101.0)</f>
        <v>101</v>
      </c>
      <c r="C1019">
        <f>IFERROR(__xludf.DUMMYFUNCTION("""COMPUTED_VALUE"""),1038944.0)</f>
        <v>1038944</v>
      </c>
      <c r="D1019" t="str">
        <f>IFERROR(__xludf.DUMMYFUNCTION("""COMPUTED_VALUE"""),"Ms.")</f>
        <v>Ms.</v>
      </c>
      <c r="E1019" t="str">
        <f>IFERROR(__xludf.DUMMYFUNCTION("""COMPUTED_VALUE"""),"Kullanit")</f>
        <v>Kullanit</v>
      </c>
      <c r="F1019" t="str">
        <f>IFERROR(__xludf.DUMMYFUNCTION("""COMPUTED_VALUE"""),"Adireglarpwong")</f>
        <v>Adireglarpwong</v>
      </c>
      <c r="G1019" t="str">
        <f>IFERROR(__xludf.DUMMYFUNCTION("""COMPUTED_VALUE"""),"Kullanit Adireglarpwong")</f>
        <v>Kullanit Adireglarpwong</v>
      </c>
    </row>
    <row r="1020">
      <c r="A1020" s="142">
        <f>IFERROR(__xludf.DUMMYFUNCTION("""COMPUTED_VALUE"""),101.0)</f>
        <v>101</v>
      </c>
      <c r="B1020" t="str">
        <f>IFERROR(__xludf.DUMMYFUNCTION("""COMPUTED_VALUE"""),"Rejion  // Change new ID (1038940)")</f>
        <v>Rejion  // Change new ID (1038940)</v>
      </c>
      <c r="C1020">
        <f>IFERROR(__xludf.DUMMYFUNCTION("""COMPUTED_VALUE"""),1019399.0)</f>
        <v>1019399</v>
      </c>
      <c r="D1020" t="str">
        <f>IFERROR(__xludf.DUMMYFUNCTION("""COMPUTED_VALUE"""),"Ms.")</f>
        <v>Ms.</v>
      </c>
      <c r="E1020" t="str">
        <f>IFERROR(__xludf.DUMMYFUNCTION("""COMPUTED_VALUE"""),"Kantida")</f>
        <v>Kantida</v>
      </c>
      <c r="F1020" t="str">
        <f>IFERROR(__xludf.DUMMYFUNCTION("""COMPUTED_VALUE"""),"Tangpradid")</f>
        <v>Tangpradid</v>
      </c>
      <c r="G1020" t="str">
        <f>IFERROR(__xludf.DUMMYFUNCTION("""COMPUTED_VALUE"""),"Kantida Tangpradid")</f>
        <v>Kantida Tangpradid</v>
      </c>
    </row>
    <row r="1021">
      <c r="A1021" s="142">
        <f>IFERROR(__xludf.DUMMYFUNCTION("""COMPUTED_VALUE"""),101.0)</f>
        <v>101</v>
      </c>
      <c r="C1021">
        <f>IFERROR(__xludf.DUMMYFUNCTION("""COMPUTED_VALUE"""),1038949.0)</f>
        <v>1038949</v>
      </c>
      <c r="D1021" t="str">
        <f>IFERROR(__xludf.DUMMYFUNCTION("""COMPUTED_VALUE"""),"Ms.")</f>
        <v>Ms.</v>
      </c>
      <c r="E1021" t="str">
        <f>IFERROR(__xludf.DUMMYFUNCTION("""COMPUTED_VALUE"""),"Kanyapon")</f>
        <v>Kanyapon</v>
      </c>
      <c r="F1021" t="str">
        <f>IFERROR(__xludf.DUMMYFUNCTION("""COMPUTED_VALUE"""),"Klinprean")</f>
        <v>Klinprean</v>
      </c>
      <c r="G1021" t="str">
        <f>IFERROR(__xludf.DUMMYFUNCTION("""COMPUTED_VALUE"""),"Kanyapon Klinprean")</f>
        <v>Kanyapon Klinprean</v>
      </c>
    </row>
    <row r="1022">
      <c r="A1022" s="142">
        <f>IFERROR(__xludf.DUMMYFUNCTION("""COMPUTED_VALUE"""),101.0)</f>
        <v>101</v>
      </c>
      <c r="C1022">
        <f>IFERROR(__xludf.DUMMYFUNCTION("""COMPUTED_VALUE"""),1038948.0)</f>
        <v>1038948</v>
      </c>
      <c r="D1022" t="str">
        <f>IFERROR(__xludf.DUMMYFUNCTION("""COMPUTED_VALUE"""),"Ms.")</f>
        <v>Ms.</v>
      </c>
      <c r="E1022" t="str">
        <f>IFERROR(__xludf.DUMMYFUNCTION("""COMPUTED_VALUE"""),"Pastatorn")</f>
        <v>Pastatorn</v>
      </c>
      <c r="F1022" t="str">
        <f>IFERROR(__xludf.DUMMYFUNCTION("""COMPUTED_VALUE"""),"Juengpanich")</f>
        <v>Juengpanich</v>
      </c>
      <c r="G1022" t="str">
        <f>IFERROR(__xludf.DUMMYFUNCTION("""COMPUTED_VALUE"""),"Pastatorn Juengpanich")</f>
        <v>Pastatorn Juengpanich</v>
      </c>
    </row>
    <row r="1023">
      <c r="A1023" s="142">
        <f>IFERROR(__xludf.DUMMYFUNCTION("""COMPUTED_VALUE"""),101.0)</f>
        <v>101</v>
      </c>
      <c r="C1023">
        <f>IFERROR(__xludf.DUMMYFUNCTION("""COMPUTED_VALUE"""),1038950.0)</f>
        <v>1038950</v>
      </c>
      <c r="D1023" t="str">
        <f>IFERROR(__xludf.DUMMYFUNCTION("""COMPUTED_VALUE"""),"Mr.")</f>
        <v>Mr.</v>
      </c>
      <c r="E1023" t="str">
        <f>IFERROR(__xludf.DUMMYFUNCTION("""COMPUTED_VALUE"""),"Parinya")</f>
        <v>Parinya</v>
      </c>
      <c r="F1023" t="str">
        <f>IFERROR(__xludf.DUMMYFUNCTION("""COMPUTED_VALUE"""),"Silasak")</f>
        <v>Silasak</v>
      </c>
      <c r="G1023" t="str">
        <f>IFERROR(__xludf.DUMMYFUNCTION("""COMPUTED_VALUE"""),"Parinya Silasak")</f>
        <v>Parinya Silasak</v>
      </c>
    </row>
    <row r="1024">
      <c r="A1024" s="142">
        <f>IFERROR(__xludf.DUMMYFUNCTION("""COMPUTED_VALUE"""),101.0)</f>
        <v>101</v>
      </c>
      <c r="C1024">
        <f>IFERROR(__xludf.DUMMYFUNCTION("""COMPUTED_VALUE"""),1038947.0)</f>
        <v>1038947</v>
      </c>
      <c r="D1024" t="str">
        <f>IFERROR(__xludf.DUMMYFUNCTION("""COMPUTED_VALUE"""),"Ms.")</f>
        <v>Ms.</v>
      </c>
      <c r="E1024" t="str">
        <f>IFERROR(__xludf.DUMMYFUNCTION("""COMPUTED_VALUE"""),"Phacharamon")</f>
        <v>Phacharamon</v>
      </c>
      <c r="F1024" t="str">
        <f>IFERROR(__xludf.DUMMYFUNCTION("""COMPUTED_VALUE"""),"Polrat")</f>
        <v>Polrat</v>
      </c>
      <c r="G1024" t="str">
        <f>IFERROR(__xludf.DUMMYFUNCTION("""COMPUTED_VALUE"""),"Phacharamon Polrat")</f>
        <v>Phacharamon Polrat</v>
      </c>
    </row>
    <row r="1026">
      <c r="A1026" s="142">
        <f>IFERROR(__xludf.DUMMYFUNCTION("""COMPUTED_VALUE"""),102.0)</f>
        <v>102</v>
      </c>
      <c r="C1026">
        <f>IFERROR(__xludf.DUMMYFUNCTION("""COMPUTED_VALUE"""),1027465.0)</f>
        <v>1027465</v>
      </c>
      <c r="D1026" t="str">
        <f>IFERROR(__xludf.DUMMYFUNCTION("""COMPUTED_VALUE"""),"Ms.")</f>
        <v>Ms.</v>
      </c>
      <c r="E1026" t="str">
        <f>IFERROR(__xludf.DUMMYFUNCTION("""COMPUTED_VALUE"""),"Jiraporn")</f>
        <v>Jiraporn</v>
      </c>
      <c r="F1026" t="str">
        <f>IFERROR(__xludf.DUMMYFUNCTION("""COMPUTED_VALUE"""),"Khongpan")</f>
        <v>Khongpan</v>
      </c>
      <c r="G1026" t="str">
        <f>IFERROR(__xludf.DUMMYFUNCTION("""COMPUTED_VALUE"""),"Jiraporn Khongpan")</f>
        <v>Jiraporn Khongpan</v>
      </c>
    </row>
    <row r="1027">
      <c r="A1027" s="142">
        <f>IFERROR(__xludf.DUMMYFUNCTION("""COMPUTED_VALUE"""),102.0)</f>
        <v>102</v>
      </c>
      <c r="B1027" t="str">
        <f>IFERROR(__xludf.DUMMYFUNCTION("""COMPUTED_VALUE"""),"ไม่สามารถ Promote ได้ 2 ปี
จาก 22 มีนาคม 2567")</f>
        <v>ไม่สามารถ Promote ได้ 2 ปี
จาก 22 มีนาคม 2567</v>
      </c>
      <c r="C1027">
        <f>IFERROR(__xludf.DUMMYFUNCTION("""COMPUTED_VALUE"""),1025186.0)</f>
        <v>1025186</v>
      </c>
      <c r="D1027" t="str">
        <f>IFERROR(__xludf.DUMMYFUNCTION("""COMPUTED_VALUE"""),"Ms.")</f>
        <v>Ms.</v>
      </c>
      <c r="E1027" t="str">
        <f>IFERROR(__xludf.DUMMYFUNCTION("""COMPUTED_VALUE"""),"Pawaran")</f>
        <v>Pawaran</v>
      </c>
      <c r="F1027" t="str">
        <f>IFERROR(__xludf.DUMMYFUNCTION("""COMPUTED_VALUE"""),"Modsuwan (Thapwongsakorn)")</f>
        <v>Modsuwan (Thapwongsakorn)</v>
      </c>
      <c r="G1027" t="str">
        <f>IFERROR(__xludf.DUMMYFUNCTION("""COMPUTED_VALUE"""),"Pawaran Modsuwan")</f>
        <v>Pawaran Modsuwan</v>
      </c>
    </row>
    <row r="1028">
      <c r="A1028" s="142">
        <f>IFERROR(__xludf.DUMMYFUNCTION("""COMPUTED_VALUE"""),102.0)</f>
        <v>102</v>
      </c>
      <c r="C1028">
        <f>IFERROR(__xludf.DUMMYFUNCTION("""COMPUTED_VALUE"""),1013689.0)</f>
        <v>1013689</v>
      </c>
      <c r="D1028" t="str">
        <f>IFERROR(__xludf.DUMMYFUNCTION("""COMPUTED_VALUE"""),"Ms.")</f>
        <v>Ms.</v>
      </c>
      <c r="E1028" t="str">
        <f>IFERROR(__xludf.DUMMYFUNCTION("""COMPUTED_VALUE"""),"Sutthida")</f>
        <v>Sutthida</v>
      </c>
      <c r="F1028" t="str">
        <f>IFERROR(__xludf.DUMMYFUNCTION("""COMPUTED_VALUE"""),"Taprab")</f>
        <v>Taprab</v>
      </c>
      <c r="G1028" t="str">
        <f>IFERROR(__xludf.DUMMYFUNCTION("""COMPUTED_VALUE"""),"Sutthida Taprab")</f>
        <v>Sutthida Taprab</v>
      </c>
    </row>
    <row r="1029">
      <c r="A1029" s="142">
        <f>IFERROR(__xludf.DUMMYFUNCTION("""COMPUTED_VALUE"""),102.0)</f>
        <v>102</v>
      </c>
      <c r="C1029">
        <f>IFERROR(__xludf.DUMMYFUNCTION("""COMPUTED_VALUE"""),1022201.0)</f>
        <v>1022201</v>
      </c>
      <c r="D1029" t="str">
        <f>IFERROR(__xludf.DUMMYFUNCTION("""COMPUTED_VALUE"""),"Ms.")</f>
        <v>Ms.</v>
      </c>
      <c r="E1029" t="str">
        <f>IFERROR(__xludf.DUMMYFUNCTION("""COMPUTED_VALUE"""),"Chompunut")</f>
        <v>Chompunut</v>
      </c>
      <c r="F1029" t="str">
        <f>IFERROR(__xludf.DUMMYFUNCTION("""COMPUTED_VALUE"""),"Kueankanjaroen")</f>
        <v>Kueankanjaroen</v>
      </c>
      <c r="G1029" t="str">
        <f>IFERROR(__xludf.DUMMYFUNCTION("""COMPUTED_VALUE"""),"Chompunut Kueankanjaroen")</f>
        <v>Chompunut Kueankanjaroen</v>
      </c>
    </row>
    <row r="1030">
      <c r="A1030" s="142">
        <f>IFERROR(__xludf.DUMMYFUNCTION("""COMPUTED_VALUE"""),102.0)</f>
        <v>102</v>
      </c>
      <c r="C1030">
        <f>IFERROR(__xludf.DUMMYFUNCTION("""COMPUTED_VALUE"""),1022348.0)</f>
        <v>1022348</v>
      </c>
      <c r="D1030" t="str">
        <f>IFERROR(__xludf.DUMMYFUNCTION("""COMPUTED_VALUE"""),"Ms.")</f>
        <v>Ms.</v>
      </c>
      <c r="E1030" t="str">
        <f>IFERROR(__xludf.DUMMYFUNCTION("""COMPUTED_VALUE"""),"Korakanjana")</f>
        <v>Korakanjana</v>
      </c>
      <c r="F1030" t="str">
        <f>IFERROR(__xludf.DUMMYFUNCTION("""COMPUTED_VALUE"""),"Punpeng")</f>
        <v>Punpeng</v>
      </c>
      <c r="G1030" t="str">
        <f>IFERROR(__xludf.DUMMYFUNCTION("""COMPUTED_VALUE"""),"Korakanjana Punpeng")</f>
        <v>Korakanjana Punpeng</v>
      </c>
    </row>
    <row r="1031">
      <c r="A1031" s="142">
        <f>IFERROR(__xludf.DUMMYFUNCTION("""COMPUTED_VALUE"""),102.0)</f>
        <v>102</v>
      </c>
      <c r="C1031">
        <f>IFERROR(__xludf.DUMMYFUNCTION("""COMPUTED_VALUE"""),1011748.0)</f>
        <v>1011748</v>
      </c>
      <c r="D1031" t="str">
        <f>IFERROR(__xludf.DUMMYFUNCTION("""COMPUTED_VALUE"""),"Ms.")</f>
        <v>Ms.</v>
      </c>
      <c r="E1031" t="str">
        <f>IFERROR(__xludf.DUMMYFUNCTION("""COMPUTED_VALUE"""),"Rattrawee")</f>
        <v>Rattrawee</v>
      </c>
      <c r="F1031" t="str">
        <f>IFERROR(__xludf.DUMMYFUNCTION("""COMPUTED_VALUE"""),"Jirawaree")</f>
        <v>Jirawaree</v>
      </c>
      <c r="G1031" t="str">
        <f>IFERROR(__xludf.DUMMYFUNCTION("""COMPUTED_VALUE"""),"Rattrawee Jirawaree")</f>
        <v>Rattrawee Jirawaree</v>
      </c>
    </row>
    <row r="1032">
      <c r="A1032" s="142">
        <f>IFERROR(__xludf.DUMMYFUNCTION("""COMPUTED_VALUE"""),102.0)</f>
        <v>102</v>
      </c>
      <c r="C1032">
        <f>IFERROR(__xludf.DUMMYFUNCTION("""COMPUTED_VALUE"""),1010805.0)</f>
        <v>1010805</v>
      </c>
      <c r="D1032" t="str">
        <f>IFERROR(__xludf.DUMMYFUNCTION("""COMPUTED_VALUE"""),"Ms.")</f>
        <v>Ms.</v>
      </c>
      <c r="E1032" t="str">
        <f>IFERROR(__xludf.DUMMYFUNCTION("""COMPUTED_VALUE"""),"Tipparada")</f>
        <v>Tipparada</v>
      </c>
      <c r="F1032" t="str">
        <f>IFERROR(__xludf.DUMMYFUNCTION("""COMPUTED_VALUE"""),"Chiewsamran")</f>
        <v>Chiewsamran</v>
      </c>
      <c r="G1032" t="str">
        <f>IFERROR(__xludf.DUMMYFUNCTION("""COMPUTED_VALUE"""),"Tipparada Chiewsamran")</f>
        <v>Tipparada Chiewsamran</v>
      </c>
    </row>
    <row r="1033">
      <c r="A1033" s="142">
        <f>IFERROR(__xludf.DUMMYFUNCTION("""COMPUTED_VALUE"""),102.0)</f>
        <v>102</v>
      </c>
      <c r="C1033">
        <f>IFERROR(__xludf.DUMMYFUNCTION("""COMPUTED_VALUE"""),1012193.0)</f>
        <v>1012193</v>
      </c>
      <c r="D1033" t="str">
        <f>IFERROR(__xludf.DUMMYFUNCTION("""COMPUTED_VALUE"""),"Mr.")</f>
        <v>Mr.</v>
      </c>
      <c r="E1033" t="str">
        <f>IFERROR(__xludf.DUMMYFUNCTION("""COMPUTED_VALUE"""),"Phoemsakun")</f>
        <v>Phoemsakun</v>
      </c>
      <c r="F1033" t="str">
        <f>IFERROR(__xludf.DUMMYFUNCTION("""COMPUTED_VALUE"""),"Phongpradist")</f>
        <v>Phongpradist</v>
      </c>
      <c r="G1033" t="str">
        <f>IFERROR(__xludf.DUMMYFUNCTION("""COMPUTED_VALUE"""),"Phoemsakun Phongpradist")</f>
        <v>Phoemsakun Phongpradist</v>
      </c>
    </row>
    <row r="1034">
      <c r="A1034" s="142">
        <f>IFERROR(__xludf.DUMMYFUNCTION("""COMPUTED_VALUE"""),102.0)</f>
        <v>102</v>
      </c>
      <c r="C1034">
        <f>IFERROR(__xludf.DUMMYFUNCTION("""COMPUTED_VALUE"""),1039102.0)</f>
        <v>1039102</v>
      </c>
      <c r="D1034" t="str">
        <f>IFERROR(__xludf.DUMMYFUNCTION("""COMPUTED_VALUE"""),"Ms.")</f>
        <v>Ms.</v>
      </c>
      <c r="E1034" t="str">
        <f>IFERROR(__xludf.DUMMYFUNCTION("""COMPUTED_VALUE"""),"Raviphan")</f>
        <v>Raviphan</v>
      </c>
      <c r="F1034" t="str">
        <f>IFERROR(__xludf.DUMMYFUNCTION("""COMPUTED_VALUE"""),"Medej")</f>
        <v>Medej</v>
      </c>
      <c r="G1034" t="str">
        <f>IFERROR(__xludf.DUMMYFUNCTION("""COMPUTED_VALUE"""),"Raviphan Medej")</f>
        <v>Raviphan Medej</v>
      </c>
    </row>
    <row r="1035">
      <c r="A1035" s="142">
        <f>IFERROR(__xludf.DUMMYFUNCTION("""COMPUTED_VALUE"""),102.0)</f>
        <v>102</v>
      </c>
      <c r="C1035">
        <f>IFERROR(__xludf.DUMMYFUNCTION("""COMPUTED_VALUE"""),1039103.0)</f>
        <v>1039103</v>
      </c>
      <c r="D1035" t="str">
        <f>IFERROR(__xludf.DUMMYFUNCTION("""COMPUTED_VALUE"""),"Mr.")</f>
        <v>Mr.</v>
      </c>
      <c r="E1035" t="str">
        <f>IFERROR(__xludf.DUMMYFUNCTION("""COMPUTED_VALUE"""),"Thaweechai")</f>
        <v>Thaweechai</v>
      </c>
      <c r="F1035" t="str">
        <f>IFERROR(__xludf.DUMMYFUNCTION("""COMPUTED_VALUE"""),"Pruthisart")</f>
        <v>Pruthisart</v>
      </c>
      <c r="G1035" t="str">
        <f>IFERROR(__xludf.DUMMYFUNCTION("""COMPUTED_VALUE"""),"Thaweechai Pruthisart")</f>
        <v>Thaweechai Pruthisart</v>
      </c>
    </row>
    <row r="1036">
      <c r="A1036" s="142">
        <f>IFERROR(__xludf.DUMMYFUNCTION("""COMPUTED_VALUE"""),102.0)</f>
        <v>102</v>
      </c>
      <c r="C1036">
        <f>IFERROR(__xludf.DUMMYFUNCTION("""COMPUTED_VALUE"""),1039129.0)</f>
        <v>1039129</v>
      </c>
      <c r="D1036" t="str">
        <f>IFERROR(__xludf.DUMMYFUNCTION("""COMPUTED_VALUE"""),"Ms.")</f>
        <v>Ms.</v>
      </c>
      <c r="E1036" t="str">
        <f>IFERROR(__xludf.DUMMYFUNCTION("""COMPUTED_VALUE"""),"Thitikan")</f>
        <v>Thitikan</v>
      </c>
      <c r="F1036" t="str">
        <f>IFERROR(__xludf.DUMMYFUNCTION("""COMPUTED_VALUE"""),"Bubphachuen")</f>
        <v>Bubphachuen</v>
      </c>
      <c r="G1036" t="str">
        <f>IFERROR(__xludf.DUMMYFUNCTION("""COMPUTED_VALUE"""),"Thitikan Bubphachuen")</f>
        <v>Thitikan Bubphachuen</v>
      </c>
    </row>
    <row r="1037">
      <c r="A1037" s="142">
        <f>IFERROR(__xludf.DUMMYFUNCTION("""COMPUTED_VALUE"""),102.0)</f>
        <v>102</v>
      </c>
      <c r="C1037">
        <f>IFERROR(__xludf.DUMMYFUNCTION("""COMPUTED_VALUE"""),1039104.0)</f>
        <v>1039104</v>
      </c>
      <c r="D1037" t="str">
        <f>IFERROR(__xludf.DUMMYFUNCTION("""COMPUTED_VALUE"""),"Ms.")</f>
        <v>Ms.</v>
      </c>
      <c r="E1037" t="str">
        <f>IFERROR(__xludf.DUMMYFUNCTION("""COMPUTED_VALUE"""),"Dusitta")</f>
        <v>Dusitta</v>
      </c>
      <c r="F1037" t="str">
        <f>IFERROR(__xludf.DUMMYFUNCTION("""COMPUTED_VALUE"""),"Porananon")</f>
        <v>Porananon</v>
      </c>
      <c r="G1037" t="str">
        <f>IFERROR(__xludf.DUMMYFUNCTION("""COMPUTED_VALUE"""),"Dusitta Porananon")</f>
        <v>Dusitta Porananon</v>
      </c>
    </row>
    <row r="1038">
      <c r="A1038" s="142">
        <f>IFERROR(__xludf.DUMMYFUNCTION("""COMPUTED_VALUE"""),102.0)</f>
        <v>102</v>
      </c>
      <c r="C1038">
        <f>IFERROR(__xludf.DUMMYFUNCTION("""COMPUTED_VALUE"""),1039106.0)</f>
        <v>1039106</v>
      </c>
      <c r="D1038" t="str">
        <f>IFERROR(__xludf.DUMMYFUNCTION("""COMPUTED_VALUE"""),"Ms.")</f>
        <v>Ms.</v>
      </c>
      <c r="E1038" t="str">
        <f>IFERROR(__xludf.DUMMYFUNCTION("""COMPUTED_VALUE"""),"Thunyalak")</f>
        <v>Thunyalak</v>
      </c>
      <c r="F1038" t="str">
        <f>IFERROR(__xludf.DUMMYFUNCTION("""COMPUTED_VALUE"""),"Kaewchiangwang")</f>
        <v>Kaewchiangwang</v>
      </c>
      <c r="G1038" t="str">
        <f>IFERROR(__xludf.DUMMYFUNCTION("""COMPUTED_VALUE"""),"Thunyalak Kaewchiangwang")</f>
        <v>Thunyalak Kaewchiangwang</v>
      </c>
    </row>
    <row r="1039">
      <c r="A1039" s="142">
        <f>IFERROR(__xludf.DUMMYFUNCTION("""COMPUTED_VALUE"""),102.0)</f>
        <v>102</v>
      </c>
      <c r="C1039">
        <f>IFERROR(__xludf.DUMMYFUNCTION("""COMPUTED_VALUE"""),1039105.0)</f>
        <v>1039105</v>
      </c>
      <c r="D1039" t="str">
        <f>IFERROR(__xludf.DUMMYFUNCTION("""COMPUTED_VALUE"""),"Ms.")</f>
        <v>Ms.</v>
      </c>
      <c r="E1039" t="str">
        <f>IFERROR(__xludf.DUMMYFUNCTION("""COMPUTED_VALUE"""),"Nutarika")</f>
        <v>Nutarika</v>
      </c>
      <c r="F1039" t="str">
        <f>IFERROR(__xludf.DUMMYFUNCTION("""COMPUTED_VALUE"""),"Muangpho")</f>
        <v>Muangpho</v>
      </c>
      <c r="G1039" t="str">
        <f>IFERROR(__xludf.DUMMYFUNCTION("""COMPUTED_VALUE"""),"Nutarika Muangpho")</f>
        <v>Nutarika Muangpho</v>
      </c>
    </row>
    <row r="1040">
      <c r="A1040" s="142">
        <f>IFERROR(__xludf.DUMMYFUNCTION("""COMPUTED_VALUE"""),102.0)</f>
        <v>102</v>
      </c>
      <c r="C1040">
        <f>IFERROR(__xludf.DUMMYFUNCTION("""COMPUTED_VALUE"""),1039107.0)</f>
        <v>1039107</v>
      </c>
      <c r="D1040" t="str">
        <f>IFERROR(__xludf.DUMMYFUNCTION("""COMPUTED_VALUE"""),"Ms.")</f>
        <v>Ms.</v>
      </c>
      <c r="E1040" t="str">
        <f>IFERROR(__xludf.DUMMYFUNCTION("""COMPUTED_VALUE"""),"Sirada")</f>
        <v>Sirada</v>
      </c>
      <c r="F1040" t="str">
        <f>IFERROR(__xludf.DUMMYFUNCTION("""COMPUTED_VALUE"""),"Taveekitrat")</f>
        <v>Taveekitrat</v>
      </c>
      <c r="G1040" t="str">
        <f>IFERROR(__xludf.DUMMYFUNCTION("""COMPUTED_VALUE"""),"Sirada Taveekitrat")</f>
        <v>Sirada Taveekitrat</v>
      </c>
    </row>
    <row r="1041">
      <c r="A1041" s="142">
        <f>IFERROR(__xludf.DUMMYFUNCTION("""COMPUTED_VALUE"""),102.0)</f>
        <v>102</v>
      </c>
      <c r="C1041">
        <f>IFERROR(__xludf.DUMMYFUNCTION("""COMPUTED_VALUE"""),1039130.0)</f>
        <v>1039130</v>
      </c>
      <c r="D1041" t="str">
        <f>IFERROR(__xludf.DUMMYFUNCTION("""COMPUTED_VALUE"""),"Ms.")</f>
        <v>Ms.</v>
      </c>
      <c r="E1041" t="str">
        <f>IFERROR(__xludf.DUMMYFUNCTION("""COMPUTED_VALUE"""),"Narisara")</f>
        <v>Narisara</v>
      </c>
      <c r="F1041" t="str">
        <f>IFERROR(__xludf.DUMMYFUNCTION("""COMPUTED_VALUE"""),"Phumsawarng")</f>
        <v>Phumsawarng</v>
      </c>
      <c r="G1041" t="str">
        <f>IFERROR(__xludf.DUMMYFUNCTION("""COMPUTED_VALUE"""),"Narisara Phumsawarng")</f>
        <v>Narisara Phumsawarng</v>
      </c>
    </row>
    <row r="1042">
      <c r="A1042" s="142">
        <f>IFERROR(__xludf.DUMMYFUNCTION("""COMPUTED_VALUE"""),102.0)</f>
        <v>102</v>
      </c>
      <c r="C1042">
        <f>IFERROR(__xludf.DUMMYFUNCTION("""COMPUTED_VALUE"""),1039128.0)</f>
        <v>1039128</v>
      </c>
      <c r="D1042" t="str">
        <f>IFERROR(__xludf.DUMMYFUNCTION("""COMPUTED_VALUE"""),"Ms.")</f>
        <v>Ms.</v>
      </c>
      <c r="E1042" t="str">
        <f>IFERROR(__xludf.DUMMYFUNCTION("""COMPUTED_VALUE"""),"Jiratip")</f>
        <v>Jiratip</v>
      </c>
      <c r="F1042" t="str">
        <f>IFERROR(__xludf.DUMMYFUNCTION("""COMPUTED_VALUE"""),"Pimpa")</f>
        <v>Pimpa</v>
      </c>
      <c r="G1042" t="str">
        <f>IFERROR(__xludf.DUMMYFUNCTION("""COMPUTED_VALUE"""),"Jiratip Pimpa")</f>
        <v>Jiratip Pimpa</v>
      </c>
    </row>
    <row r="1043">
      <c r="A1043" s="142">
        <f>IFERROR(__xludf.DUMMYFUNCTION("""COMPUTED_VALUE"""),102.0)</f>
        <v>102</v>
      </c>
      <c r="C1043">
        <f>IFERROR(__xludf.DUMMYFUNCTION("""COMPUTED_VALUE"""),1039131.0)</f>
        <v>1039131</v>
      </c>
      <c r="D1043" t="str">
        <f>IFERROR(__xludf.DUMMYFUNCTION("""COMPUTED_VALUE"""),"Ms.")</f>
        <v>Ms.</v>
      </c>
      <c r="E1043" t="str">
        <f>IFERROR(__xludf.DUMMYFUNCTION("""COMPUTED_VALUE"""),"Sawarin")</f>
        <v>Sawarin</v>
      </c>
      <c r="F1043" t="str">
        <f>IFERROR(__xludf.DUMMYFUNCTION("""COMPUTED_VALUE"""),"Charoenpak")</f>
        <v>Charoenpak</v>
      </c>
      <c r="G1043" t="str">
        <f>IFERROR(__xludf.DUMMYFUNCTION("""COMPUTED_VALUE"""),"Sawarin Charoenpak")</f>
        <v>Sawarin Charoenpak</v>
      </c>
    </row>
    <row r="1044">
      <c r="A1044" s="142">
        <f>IFERROR(__xludf.DUMMYFUNCTION("""COMPUTED_VALUE"""),102.0)</f>
        <v>102</v>
      </c>
      <c r="C1044">
        <f>IFERROR(__xludf.DUMMYFUNCTION("""COMPUTED_VALUE"""),1039132.0)</f>
        <v>1039132</v>
      </c>
      <c r="D1044" t="str">
        <f>IFERROR(__xludf.DUMMYFUNCTION("""COMPUTED_VALUE"""),"Mr.")</f>
        <v>Mr.</v>
      </c>
      <c r="E1044" t="str">
        <f>IFERROR(__xludf.DUMMYFUNCTION("""COMPUTED_VALUE"""),"Intuch")</f>
        <v>Intuch</v>
      </c>
      <c r="F1044" t="str">
        <f>IFERROR(__xludf.DUMMYFUNCTION("""COMPUTED_VALUE"""),"Khanyou")</f>
        <v>Khanyou</v>
      </c>
      <c r="G1044" t="str">
        <f>IFERROR(__xludf.DUMMYFUNCTION("""COMPUTED_VALUE"""),"Intuch Khanyou")</f>
        <v>Intuch Khanyou</v>
      </c>
    </row>
    <row r="1045">
      <c r="A1045" s="142">
        <f>IFERROR(__xludf.DUMMYFUNCTION("""COMPUTED_VALUE"""),102.0)</f>
        <v>102</v>
      </c>
      <c r="B1045" t="str">
        <f>IFERROR(__xludf.DUMMYFUNCTION("""COMPUTED_VALUE"""),"Rejion  // Change new ID (1039060)
Other department")</f>
        <v>Rejion  // Change new ID (1039060)
Other department</v>
      </c>
      <c r="C1045">
        <f>IFERROR(__xludf.DUMMYFUNCTION("""COMPUTED_VALUE"""),1013605.0)</f>
        <v>1013605</v>
      </c>
      <c r="D1045" t="str">
        <f>IFERROR(__xludf.DUMMYFUNCTION("""COMPUTED_VALUE"""),"Mr.")</f>
        <v>Mr.</v>
      </c>
      <c r="E1045" t="str">
        <f>IFERROR(__xludf.DUMMYFUNCTION("""COMPUTED_VALUE"""),"Atiluk")</f>
        <v>Atiluk</v>
      </c>
      <c r="F1045" t="str">
        <f>IFERROR(__xludf.DUMMYFUNCTION("""COMPUTED_VALUE"""),"Apiwong")</f>
        <v>Apiwong</v>
      </c>
      <c r="G1045" t="str">
        <f>IFERROR(__xludf.DUMMYFUNCTION("""COMPUTED_VALUE"""),"Atiluk Apiwong")</f>
        <v>Atiluk Apiwong</v>
      </c>
    </row>
    <row r="1046">
      <c r="A1046" s="142">
        <f>IFERROR(__xludf.DUMMYFUNCTION("""COMPUTED_VALUE"""),102.0)</f>
        <v>102</v>
      </c>
      <c r="B1046" t="str">
        <f>IFERROR(__xludf.DUMMYFUNCTION("""COMPUTED_VALUE"""),"Rejion  // Change new ID (1039061)")</f>
        <v>Rejion  // Change new ID (1039061)</v>
      </c>
      <c r="C1046">
        <f>IFERROR(__xludf.DUMMYFUNCTION("""COMPUTED_VALUE"""),1014054.0)</f>
        <v>1014054</v>
      </c>
      <c r="D1046" t="str">
        <f>IFERROR(__xludf.DUMMYFUNCTION("""COMPUTED_VALUE"""),"Mr.")</f>
        <v>Mr.</v>
      </c>
      <c r="E1046" t="str">
        <f>IFERROR(__xludf.DUMMYFUNCTION("""COMPUTED_VALUE"""),"Arnon")</f>
        <v>Arnon</v>
      </c>
      <c r="F1046" t="str">
        <f>IFERROR(__xludf.DUMMYFUNCTION("""COMPUTED_VALUE"""),"Pattanaanunsuk")</f>
        <v>Pattanaanunsuk</v>
      </c>
      <c r="G1046" t="str">
        <f>IFERROR(__xludf.DUMMYFUNCTION("""COMPUTED_VALUE"""),"Arnon Pattanaanunsuk")</f>
        <v>Arnon Pattanaanunsuk</v>
      </c>
    </row>
    <row r="1047">
      <c r="A1047" s="142">
        <f>IFERROR(__xludf.DUMMYFUNCTION("""COMPUTED_VALUE"""),102.0)</f>
        <v>102</v>
      </c>
      <c r="B1047" t="str">
        <f>IFERROR(__xludf.DUMMYFUNCTION("""COMPUTED_VALUE"""),"Rejion  // Change new ID (1039063)")</f>
        <v>Rejion  // Change new ID (1039063)</v>
      </c>
      <c r="C1047">
        <f>IFERROR(__xludf.DUMMYFUNCTION("""COMPUTED_VALUE"""),1003909.0)</f>
        <v>1003909</v>
      </c>
      <c r="D1047" t="str">
        <f>IFERROR(__xludf.DUMMYFUNCTION("""COMPUTED_VALUE"""),"Ms.")</f>
        <v>Ms.</v>
      </c>
      <c r="E1047" t="str">
        <f>IFERROR(__xludf.DUMMYFUNCTION("""COMPUTED_VALUE"""),"Phanlapha")</f>
        <v>Phanlapha</v>
      </c>
      <c r="F1047" t="str">
        <f>IFERROR(__xludf.DUMMYFUNCTION("""COMPUTED_VALUE"""),"Uaiphorn")</f>
        <v>Uaiphorn</v>
      </c>
      <c r="G1047" t="str">
        <f>IFERROR(__xludf.DUMMYFUNCTION("""COMPUTED_VALUE"""),"Phanlapha Uaiphorn")</f>
        <v>Phanlapha Uaiphorn</v>
      </c>
    </row>
    <row r="1048">
      <c r="A1048" s="142">
        <f>IFERROR(__xludf.DUMMYFUNCTION("""COMPUTED_VALUE"""),102.0)</f>
        <v>102</v>
      </c>
      <c r="B1048" t="str">
        <f>IFERROR(__xludf.DUMMYFUNCTION("""COMPUTED_VALUE"""),"Rejion  // Change new ID (1039064)
Other department")</f>
        <v>Rejion  // Change new ID (1039064)
Other department</v>
      </c>
      <c r="C1048">
        <f>IFERROR(__xludf.DUMMYFUNCTION("""COMPUTED_VALUE"""),1014262.0)</f>
        <v>1014262</v>
      </c>
      <c r="D1048" t="str">
        <f>IFERROR(__xludf.DUMMYFUNCTION("""COMPUTED_VALUE"""),"Mr.")</f>
        <v>Mr.</v>
      </c>
      <c r="E1048" t="str">
        <f>IFERROR(__xludf.DUMMYFUNCTION("""COMPUTED_VALUE"""),"Wongsakorn")</f>
        <v>Wongsakorn</v>
      </c>
      <c r="F1048" t="str">
        <f>IFERROR(__xludf.DUMMYFUNCTION("""COMPUTED_VALUE"""),"Chumniwatesa")</f>
        <v>Chumniwatesa</v>
      </c>
      <c r="G1048" t="str">
        <f>IFERROR(__xludf.DUMMYFUNCTION("""COMPUTED_VALUE"""),"Wongsakorn Chumniwatesa")</f>
        <v>Wongsakorn Chumniwatesa</v>
      </c>
    </row>
    <row r="1050">
      <c r="A1050" s="142">
        <f>IFERROR(__xludf.DUMMYFUNCTION("""COMPUTED_VALUE"""),103.0)</f>
        <v>103</v>
      </c>
      <c r="C1050">
        <f>IFERROR(__xludf.DUMMYFUNCTION("""COMPUTED_VALUE"""),1018720.0)</f>
        <v>1018720</v>
      </c>
      <c r="D1050" t="str">
        <f>IFERROR(__xludf.DUMMYFUNCTION("""COMPUTED_VALUE"""),"Ms.")</f>
        <v>Ms.</v>
      </c>
      <c r="E1050" t="str">
        <f>IFERROR(__xludf.DUMMYFUNCTION("""COMPUTED_VALUE"""),"Ratteera")</f>
        <v>Ratteera</v>
      </c>
      <c r="F1050" t="str">
        <f>IFERROR(__xludf.DUMMYFUNCTION("""COMPUTED_VALUE"""),"Dissamarn")</f>
        <v>Dissamarn</v>
      </c>
      <c r="G1050" t="str">
        <f>IFERROR(__xludf.DUMMYFUNCTION("""COMPUTED_VALUE"""),"Ratteera Dissamarn")</f>
        <v>Ratteera Dissamarn</v>
      </c>
    </row>
    <row r="1051">
      <c r="A1051" s="142">
        <f>IFERROR(__xludf.DUMMYFUNCTION("""COMPUTED_VALUE"""),103.0)</f>
        <v>103</v>
      </c>
      <c r="C1051">
        <f>IFERROR(__xludf.DUMMYFUNCTION("""COMPUTED_VALUE"""),1010843.0)</f>
        <v>1010843</v>
      </c>
      <c r="D1051" t="str">
        <f>IFERROR(__xludf.DUMMYFUNCTION("""COMPUTED_VALUE"""),"Ms.")</f>
        <v>Ms.</v>
      </c>
      <c r="E1051" t="str">
        <f>IFERROR(__xludf.DUMMYFUNCTION("""COMPUTED_VALUE"""),"Montakant")</f>
        <v>Montakant</v>
      </c>
      <c r="F1051" t="str">
        <f>IFERROR(__xludf.DUMMYFUNCTION("""COMPUTED_VALUE"""),"Jampathong")</f>
        <v>Jampathong</v>
      </c>
      <c r="G1051" t="str">
        <f>IFERROR(__xludf.DUMMYFUNCTION("""COMPUTED_VALUE"""),"Montakant Jampathong")</f>
        <v>Montakant Jampathong</v>
      </c>
    </row>
    <row r="1052">
      <c r="A1052" s="142">
        <f>IFERROR(__xludf.DUMMYFUNCTION("""COMPUTED_VALUE"""),103.0)</f>
        <v>103</v>
      </c>
      <c r="C1052">
        <f>IFERROR(__xludf.DUMMYFUNCTION("""COMPUTED_VALUE"""),1026187.0)</f>
        <v>1026187</v>
      </c>
      <c r="D1052" t="str">
        <f>IFERROR(__xludf.DUMMYFUNCTION("""COMPUTED_VALUE"""),"Ms.")</f>
        <v>Ms.</v>
      </c>
      <c r="E1052" t="str">
        <f>IFERROR(__xludf.DUMMYFUNCTION("""COMPUTED_VALUE"""),"Nutnicha")</f>
        <v>Nutnicha</v>
      </c>
      <c r="F1052" t="str">
        <f>IFERROR(__xludf.DUMMYFUNCTION("""COMPUTED_VALUE"""),"Pitsuwan")</f>
        <v>Pitsuwan</v>
      </c>
      <c r="G1052" t="str">
        <f>IFERROR(__xludf.DUMMYFUNCTION("""COMPUTED_VALUE"""),"Nutnicha Pitsuwan")</f>
        <v>Nutnicha Pitsuwan</v>
      </c>
    </row>
    <row r="1053">
      <c r="A1053" s="142">
        <f>IFERROR(__xludf.DUMMYFUNCTION("""COMPUTED_VALUE"""),103.0)</f>
        <v>103</v>
      </c>
      <c r="C1053">
        <f>IFERROR(__xludf.DUMMYFUNCTION("""COMPUTED_VALUE"""),1029036.0)</f>
        <v>1029036</v>
      </c>
      <c r="D1053" t="str">
        <f>IFERROR(__xludf.DUMMYFUNCTION("""COMPUTED_VALUE"""),"Ms.")</f>
        <v>Ms.</v>
      </c>
      <c r="E1053" t="str">
        <f>IFERROR(__xludf.DUMMYFUNCTION("""COMPUTED_VALUE"""),"Sornsawan")</f>
        <v>Sornsawan</v>
      </c>
      <c r="F1053" t="str">
        <f>IFERROR(__xludf.DUMMYFUNCTION("""COMPUTED_VALUE"""),"Meksung")</f>
        <v>Meksung</v>
      </c>
      <c r="G1053" t="str">
        <f>IFERROR(__xludf.DUMMYFUNCTION("""COMPUTED_VALUE"""),"Sornsawan Meksung")</f>
        <v>Sornsawan Meksung</v>
      </c>
    </row>
    <row r="1054">
      <c r="A1054" s="142">
        <f>IFERROR(__xludf.DUMMYFUNCTION("""COMPUTED_VALUE"""),103.0)</f>
        <v>103</v>
      </c>
      <c r="C1054">
        <f>IFERROR(__xludf.DUMMYFUNCTION("""COMPUTED_VALUE"""),1027515.0)</f>
        <v>1027515</v>
      </c>
      <c r="D1054" t="str">
        <f>IFERROR(__xludf.DUMMYFUNCTION("""COMPUTED_VALUE"""),"Ms.")</f>
        <v>Ms.</v>
      </c>
      <c r="E1054" t="str">
        <f>IFERROR(__xludf.DUMMYFUNCTION("""COMPUTED_VALUE"""),"Kantaporn")</f>
        <v>Kantaporn</v>
      </c>
      <c r="F1054" t="str">
        <f>IFERROR(__xludf.DUMMYFUNCTION("""COMPUTED_VALUE"""),"Dechchu")</f>
        <v>Dechchu</v>
      </c>
      <c r="G1054" t="str">
        <f>IFERROR(__xludf.DUMMYFUNCTION("""COMPUTED_VALUE"""),"Kantaporn Dechchu")</f>
        <v>Kantaporn Dechchu</v>
      </c>
    </row>
    <row r="1055">
      <c r="A1055" s="142">
        <f>IFERROR(__xludf.DUMMYFUNCTION("""COMPUTED_VALUE"""),103.0)</f>
        <v>103</v>
      </c>
      <c r="C1055">
        <f>IFERROR(__xludf.DUMMYFUNCTION("""COMPUTED_VALUE"""),1023140.0)</f>
        <v>1023140</v>
      </c>
      <c r="D1055" t="str">
        <f>IFERROR(__xludf.DUMMYFUNCTION("""COMPUTED_VALUE"""),"Mr.")</f>
        <v>Mr.</v>
      </c>
      <c r="E1055" t="str">
        <f>IFERROR(__xludf.DUMMYFUNCTION("""COMPUTED_VALUE"""),"Muhammadreeduan")</f>
        <v>Muhammadreeduan</v>
      </c>
      <c r="F1055" t="str">
        <f>IFERROR(__xludf.DUMMYFUNCTION("""COMPUTED_VALUE"""),"Madoromae")</f>
        <v>Madoromae</v>
      </c>
      <c r="G1055" t="str">
        <f>IFERROR(__xludf.DUMMYFUNCTION("""COMPUTED_VALUE"""),"Muhammadreeduan Madoromae")</f>
        <v>Muhammadreeduan Madoromae</v>
      </c>
    </row>
    <row r="1056">
      <c r="A1056" s="142">
        <f>IFERROR(__xludf.DUMMYFUNCTION("""COMPUTED_VALUE"""),103.0)</f>
        <v>103</v>
      </c>
      <c r="C1056">
        <f>IFERROR(__xludf.DUMMYFUNCTION("""COMPUTED_VALUE"""),1012236.0)</f>
        <v>1012236</v>
      </c>
      <c r="D1056" t="str">
        <f>IFERROR(__xludf.DUMMYFUNCTION("""COMPUTED_VALUE"""),"Mr.")</f>
        <v>Mr.</v>
      </c>
      <c r="E1056" t="str">
        <f>IFERROR(__xludf.DUMMYFUNCTION("""COMPUTED_VALUE"""),"Anucha")</f>
        <v>Anucha</v>
      </c>
      <c r="F1056" t="str">
        <f>IFERROR(__xludf.DUMMYFUNCTION("""COMPUTED_VALUE"""),"Panyachai")</f>
        <v>Panyachai</v>
      </c>
      <c r="G1056" t="str">
        <f>IFERROR(__xludf.DUMMYFUNCTION("""COMPUTED_VALUE"""),"Anucha Panyachai")</f>
        <v>Anucha Panyachai</v>
      </c>
    </row>
    <row r="1057">
      <c r="A1057" s="142">
        <f>IFERROR(__xludf.DUMMYFUNCTION("""COMPUTED_VALUE"""),103.0)</f>
        <v>103</v>
      </c>
      <c r="C1057">
        <f>IFERROR(__xludf.DUMMYFUNCTION("""COMPUTED_VALUE"""),1025144.0)</f>
        <v>1025144</v>
      </c>
      <c r="D1057" t="str">
        <f>IFERROR(__xludf.DUMMYFUNCTION("""COMPUTED_VALUE"""),"Ms.")</f>
        <v>Ms.</v>
      </c>
      <c r="E1057" t="str">
        <f>IFERROR(__xludf.DUMMYFUNCTION("""COMPUTED_VALUE"""),"Maythawee")</f>
        <v>Maythawee</v>
      </c>
      <c r="F1057" t="str">
        <f>IFERROR(__xludf.DUMMYFUNCTION("""COMPUTED_VALUE"""),"Krabuansri")</f>
        <v>Krabuansri</v>
      </c>
      <c r="G1057" t="str">
        <f>IFERROR(__xludf.DUMMYFUNCTION("""COMPUTED_VALUE"""),"Maythawee Krabuansri")</f>
        <v>Maythawee Krabuansri</v>
      </c>
    </row>
    <row r="1058">
      <c r="A1058" s="142">
        <f>IFERROR(__xludf.DUMMYFUNCTION("""COMPUTED_VALUE"""),103.0)</f>
        <v>103</v>
      </c>
      <c r="C1058">
        <f>IFERROR(__xludf.DUMMYFUNCTION("""COMPUTED_VALUE"""),1021432.0)</f>
        <v>1021432</v>
      </c>
      <c r="D1058" t="str">
        <f>IFERROR(__xludf.DUMMYFUNCTION("""COMPUTED_VALUE"""),"Mr.")</f>
        <v>Mr.</v>
      </c>
      <c r="E1058" t="str">
        <f>IFERROR(__xludf.DUMMYFUNCTION("""COMPUTED_VALUE"""),"Nuttapong")</f>
        <v>Nuttapong</v>
      </c>
      <c r="F1058" t="str">
        <f>IFERROR(__xludf.DUMMYFUNCTION("""COMPUTED_VALUE"""),"Pumcharoen")</f>
        <v>Pumcharoen</v>
      </c>
      <c r="G1058" t="str">
        <f>IFERROR(__xludf.DUMMYFUNCTION("""COMPUTED_VALUE"""),"Nuttapong Pumcharoen")</f>
        <v>Nuttapong Pumcharoen</v>
      </c>
    </row>
    <row r="1059">
      <c r="A1059" s="142">
        <f>IFERROR(__xludf.DUMMYFUNCTION("""COMPUTED_VALUE"""),103.0)</f>
        <v>103</v>
      </c>
      <c r="C1059">
        <f>IFERROR(__xludf.DUMMYFUNCTION("""COMPUTED_VALUE"""),1012847.0)</f>
        <v>1012847</v>
      </c>
      <c r="D1059" t="str">
        <f>IFERROR(__xludf.DUMMYFUNCTION("""COMPUTED_VALUE"""),"Ms.")</f>
        <v>Ms.</v>
      </c>
      <c r="E1059" t="str">
        <f>IFERROR(__xludf.DUMMYFUNCTION("""COMPUTED_VALUE"""),"Alisa")</f>
        <v>Alisa</v>
      </c>
      <c r="F1059" t="str">
        <f>IFERROR(__xludf.DUMMYFUNCTION("""COMPUTED_VALUE"""),"Khunta")</f>
        <v>Khunta</v>
      </c>
      <c r="G1059" t="str">
        <f>IFERROR(__xludf.DUMMYFUNCTION("""COMPUTED_VALUE"""),"Alisa Khunta")</f>
        <v>Alisa Khunta</v>
      </c>
    </row>
    <row r="1060">
      <c r="A1060" s="142">
        <f>IFERROR(__xludf.DUMMYFUNCTION("""COMPUTED_VALUE"""),103.0)</f>
        <v>103</v>
      </c>
      <c r="C1060">
        <f>IFERROR(__xludf.DUMMYFUNCTION("""COMPUTED_VALUE"""),1006109.0)</f>
        <v>1006109</v>
      </c>
      <c r="D1060" t="str">
        <f>IFERROR(__xludf.DUMMYFUNCTION("""COMPUTED_VALUE"""),"Ms.")</f>
        <v>Ms.</v>
      </c>
      <c r="E1060" t="str">
        <f>IFERROR(__xludf.DUMMYFUNCTION("""COMPUTED_VALUE"""),"Suthasinee")</f>
        <v>Suthasinee</v>
      </c>
      <c r="F1060" t="str">
        <f>IFERROR(__xludf.DUMMYFUNCTION("""COMPUTED_VALUE"""),"Kramsiri")</f>
        <v>Kramsiri</v>
      </c>
      <c r="G1060" t="str">
        <f>IFERROR(__xludf.DUMMYFUNCTION("""COMPUTED_VALUE"""),"Suthasinee Kramsiri")</f>
        <v>Suthasinee Kramsiri</v>
      </c>
    </row>
    <row r="1061">
      <c r="A1061" s="142">
        <f>IFERROR(__xludf.DUMMYFUNCTION("""COMPUTED_VALUE"""),103.0)</f>
        <v>103</v>
      </c>
      <c r="C1061">
        <f>IFERROR(__xludf.DUMMYFUNCTION("""COMPUTED_VALUE"""),1007325.0)</f>
        <v>1007325</v>
      </c>
      <c r="D1061" t="str">
        <f>IFERROR(__xludf.DUMMYFUNCTION("""COMPUTED_VALUE"""),"Ms.")</f>
        <v>Ms.</v>
      </c>
      <c r="E1061" t="str">
        <f>IFERROR(__xludf.DUMMYFUNCTION("""COMPUTED_VALUE"""),"Supattra")</f>
        <v>Supattra</v>
      </c>
      <c r="F1061" t="str">
        <f>IFERROR(__xludf.DUMMYFUNCTION("""COMPUTED_VALUE"""),"Waswilai")</f>
        <v>Waswilai</v>
      </c>
      <c r="G1061" t="str">
        <f>IFERROR(__xludf.DUMMYFUNCTION("""COMPUTED_VALUE"""),"Supattra Waswilai")</f>
        <v>Supattra Waswilai</v>
      </c>
    </row>
    <row r="1062">
      <c r="A1062" s="142">
        <f>IFERROR(__xludf.DUMMYFUNCTION("""COMPUTED_VALUE"""),103.0)</f>
        <v>103</v>
      </c>
      <c r="C1062">
        <f>IFERROR(__xludf.DUMMYFUNCTION("""COMPUTED_VALUE"""),1007841.0)</f>
        <v>1007841</v>
      </c>
      <c r="D1062" t="str">
        <f>IFERROR(__xludf.DUMMYFUNCTION("""COMPUTED_VALUE"""),"Ms.")</f>
        <v>Ms.</v>
      </c>
      <c r="E1062" t="str">
        <f>IFERROR(__xludf.DUMMYFUNCTION("""COMPUTED_VALUE"""),"Wisanee")</f>
        <v>Wisanee</v>
      </c>
      <c r="F1062" t="str">
        <f>IFERROR(__xludf.DUMMYFUNCTION("""COMPUTED_VALUE"""),"Nateeviriyaworakul")</f>
        <v>Nateeviriyaworakul</v>
      </c>
      <c r="G1062" t="str">
        <f>IFERROR(__xludf.DUMMYFUNCTION("""COMPUTED_VALUE"""),"Wisanee Nateeviriyaworakul")</f>
        <v>Wisanee Nateeviriyaworakul</v>
      </c>
    </row>
    <row r="1063">
      <c r="A1063" s="142">
        <f>IFERROR(__xludf.DUMMYFUNCTION("""COMPUTED_VALUE"""),103.0)</f>
        <v>103</v>
      </c>
      <c r="C1063">
        <f>IFERROR(__xludf.DUMMYFUNCTION("""COMPUTED_VALUE"""),1013700.0)</f>
        <v>1013700</v>
      </c>
      <c r="D1063" t="str">
        <f>IFERROR(__xludf.DUMMYFUNCTION("""COMPUTED_VALUE"""),"Mr.")</f>
        <v>Mr.</v>
      </c>
      <c r="E1063" t="str">
        <f>IFERROR(__xludf.DUMMYFUNCTION("""COMPUTED_VALUE"""),"Wittawat")</f>
        <v>Wittawat</v>
      </c>
      <c r="F1063" t="str">
        <f>IFERROR(__xludf.DUMMYFUNCTION("""COMPUTED_VALUE"""),"Indraram")</f>
        <v>Indraram</v>
      </c>
      <c r="G1063" t="str">
        <f>IFERROR(__xludf.DUMMYFUNCTION("""COMPUTED_VALUE"""),"Wittawat Indraram")</f>
        <v>Wittawat Indraram</v>
      </c>
    </row>
    <row r="1064">
      <c r="A1064" s="142">
        <f>IFERROR(__xludf.DUMMYFUNCTION("""COMPUTED_VALUE"""),103.0)</f>
        <v>103</v>
      </c>
      <c r="C1064">
        <f>IFERROR(__xludf.DUMMYFUNCTION("""COMPUTED_VALUE"""),1009255.0)</f>
        <v>1009255</v>
      </c>
      <c r="D1064" t="str">
        <f>IFERROR(__xludf.DUMMYFUNCTION("""COMPUTED_VALUE"""),"Mr.")</f>
        <v>Mr.</v>
      </c>
      <c r="E1064" t="str">
        <f>IFERROR(__xludf.DUMMYFUNCTION("""COMPUTED_VALUE"""),"Pirachat")</f>
        <v>Pirachat</v>
      </c>
      <c r="F1064" t="str">
        <f>IFERROR(__xludf.DUMMYFUNCTION("""COMPUTED_VALUE"""),"Benjanukorn")</f>
        <v>Benjanukorn</v>
      </c>
      <c r="G1064" t="str">
        <f>IFERROR(__xludf.DUMMYFUNCTION("""COMPUTED_VALUE"""),"Pirachat Benjanukorn")</f>
        <v>Pirachat Benjanukorn</v>
      </c>
    </row>
    <row r="1065">
      <c r="A1065" s="142">
        <f>IFERROR(__xludf.DUMMYFUNCTION("""COMPUTED_VALUE"""),103.0)</f>
        <v>103</v>
      </c>
      <c r="C1065">
        <f>IFERROR(__xludf.DUMMYFUNCTION("""COMPUTED_VALUE"""),1005575.0)</f>
        <v>1005575</v>
      </c>
      <c r="D1065" t="str">
        <f>IFERROR(__xludf.DUMMYFUNCTION("""COMPUTED_VALUE"""),"Ms.")</f>
        <v>Ms.</v>
      </c>
      <c r="E1065" t="str">
        <f>IFERROR(__xludf.DUMMYFUNCTION("""COMPUTED_VALUE"""),"Sopan")</f>
        <v>Sopan</v>
      </c>
      <c r="F1065" t="str">
        <f>IFERROR(__xludf.DUMMYFUNCTION("""COMPUTED_VALUE"""),"Srikaew")</f>
        <v>Srikaew</v>
      </c>
      <c r="G1065" t="str">
        <f>IFERROR(__xludf.DUMMYFUNCTION("""COMPUTED_VALUE"""),"Sopan Srikaew")</f>
        <v>Sopan Srikaew</v>
      </c>
    </row>
    <row r="1066">
      <c r="A1066" s="142">
        <f>IFERROR(__xludf.DUMMYFUNCTION("""COMPUTED_VALUE"""),103.0)</f>
        <v>103</v>
      </c>
      <c r="C1066">
        <f>IFERROR(__xludf.DUMMYFUNCTION("""COMPUTED_VALUE"""),1009326.0)</f>
        <v>1009326</v>
      </c>
      <c r="D1066" t="str">
        <f>IFERROR(__xludf.DUMMYFUNCTION("""COMPUTED_VALUE"""),"Mr.")</f>
        <v>Mr.</v>
      </c>
      <c r="E1066" t="str">
        <f>IFERROR(__xludf.DUMMYFUNCTION("""COMPUTED_VALUE"""),"Thanarat")</f>
        <v>Thanarat</v>
      </c>
      <c r="F1066" t="str">
        <f>IFERROR(__xludf.DUMMYFUNCTION("""COMPUTED_VALUE"""),"Wintachai")</f>
        <v>Wintachai</v>
      </c>
      <c r="G1066" t="str">
        <f>IFERROR(__xludf.DUMMYFUNCTION("""COMPUTED_VALUE"""),"Thanarat Wintachai")</f>
        <v>Thanarat Wintachai</v>
      </c>
    </row>
    <row r="1067">
      <c r="A1067" s="142">
        <f>IFERROR(__xludf.DUMMYFUNCTION("""COMPUTED_VALUE"""),103.0)</f>
        <v>103</v>
      </c>
      <c r="C1067">
        <f>IFERROR(__xludf.DUMMYFUNCTION("""COMPUTED_VALUE"""),1013988.0)</f>
        <v>1013988</v>
      </c>
      <c r="D1067" t="str">
        <f>IFERROR(__xludf.DUMMYFUNCTION("""COMPUTED_VALUE"""),"Ms.")</f>
        <v>Ms.</v>
      </c>
      <c r="E1067" t="str">
        <f>IFERROR(__xludf.DUMMYFUNCTION("""COMPUTED_VALUE"""),"Kritlada")</f>
        <v>Kritlada</v>
      </c>
      <c r="F1067" t="str">
        <f>IFERROR(__xludf.DUMMYFUNCTION("""COMPUTED_VALUE"""),"Thapanapark")</f>
        <v>Thapanapark</v>
      </c>
      <c r="G1067" t="str">
        <f>IFERROR(__xludf.DUMMYFUNCTION("""COMPUTED_VALUE"""),"Kritlada Thapanapark")</f>
        <v>Kritlada Thapanapark</v>
      </c>
    </row>
    <row r="1068">
      <c r="A1068" s="142">
        <f>IFERROR(__xludf.DUMMYFUNCTION("""COMPUTED_VALUE"""),103.0)</f>
        <v>103</v>
      </c>
      <c r="C1068">
        <f>IFERROR(__xludf.DUMMYFUNCTION("""COMPUTED_VALUE"""),1009659.0)</f>
        <v>1009659</v>
      </c>
      <c r="D1068" t="str">
        <f>IFERROR(__xludf.DUMMYFUNCTION("""COMPUTED_VALUE"""),"Ms.")</f>
        <v>Ms.</v>
      </c>
      <c r="E1068" t="str">
        <f>IFERROR(__xludf.DUMMYFUNCTION("""COMPUTED_VALUE"""),"Kanokkorn")</f>
        <v>Kanokkorn</v>
      </c>
      <c r="F1068" t="str">
        <f>IFERROR(__xludf.DUMMYFUNCTION("""COMPUTED_VALUE"""),"Pradit")</f>
        <v>Pradit</v>
      </c>
      <c r="G1068" t="str">
        <f>IFERROR(__xludf.DUMMYFUNCTION("""COMPUTED_VALUE"""),"Kanokkorn Pradit")</f>
        <v>Kanokkorn Pradit</v>
      </c>
    </row>
    <row r="1069">
      <c r="A1069" s="142">
        <f>IFERROR(__xludf.DUMMYFUNCTION("""COMPUTED_VALUE"""),103.0)</f>
        <v>103</v>
      </c>
      <c r="C1069">
        <f>IFERROR(__xludf.DUMMYFUNCTION("""COMPUTED_VALUE"""),1010703.0)</f>
        <v>1010703</v>
      </c>
      <c r="D1069" t="str">
        <f>IFERROR(__xludf.DUMMYFUNCTION("""COMPUTED_VALUE"""),"Mr.")</f>
        <v>Mr.</v>
      </c>
      <c r="E1069" t="str">
        <f>IFERROR(__xludf.DUMMYFUNCTION("""COMPUTED_VALUE"""),"Chayapon")</f>
        <v>Chayapon</v>
      </c>
      <c r="F1069" t="str">
        <f>IFERROR(__xludf.DUMMYFUNCTION("""COMPUTED_VALUE"""),"Singkiporn")</f>
        <v>Singkiporn</v>
      </c>
      <c r="G1069" t="str">
        <f>IFERROR(__xludf.DUMMYFUNCTION("""COMPUTED_VALUE"""),"Chayapon Singkiporn")</f>
        <v>Chayapon Singkiporn</v>
      </c>
    </row>
    <row r="1070">
      <c r="A1070" s="142">
        <f>IFERROR(__xludf.DUMMYFUNCTION("""COMPUTED_VALUE"""),103.0)</f>
        <v>103</v>
      </c>
      <c r="C1070">
        <f>IFERROR(__xludf.DUMMYFUNCTION("""COMPUTED_VALUE"""),1006548.0)</f>
        <v>1006548</v>
      </c>
      <c r="D1070" t="str">
        <f>IFERROR(__xludf.DUMMYFUNCTION("""COMPUTED_VALUE"""),"Ms.")</f>
        <v>Ms.</v>
      </c>
      <c r="E1070" t="str">
        <f>IFERROR(__xludf.DUMMYFUNCTION("""COMPUTED_VALUE"""),"Kanokrat")</f>
        <v>Kanokrat</v>
      </c>
      <c r="F1070" t="str">
        <f>IFERROR(__xludf.DUMMYFUNCTION("""COMPUTED_VALUE"""),"Worasuwat")</f>
        <v>Worasuwat</v>
      </c>
      <c r="G1070" t="str">
        <f>IFERROR(__xludf.DUMMYFUNCTION("""COMPUTED_VALUE"""),"Kanokrat Worasuwat")</f>
        <v>Kanokrat Worasuwat</v>
      </c>
    </row>
    <row r="1071">
      <c r="A1071" s="142">
        <f>IFERROR(__xludf.DUMMYFUNCTION("""COMPUTED_VALUE"""),103.0)</f>
        <v>103</v>
      </c>
      <c r="C1071">
        <f>IFERROR(__xludf.DUMMYFUNCTION("""COMPUTED_VALUE"""),1007147.0)</f>
        <v>1007147</v>
      </c>
      <c r="D1071" t="str">
        <f>IFERROR(__xludf.DUMMYFUNCTION("""COMPUTED_VALUE"""),"Ms.")</f>
        <v>Ms.</v>
      </c>
      <c r="E1071" t="str">
        <f>IFERROR(__xludf.DUMMYFUNCTION("""COMPUTED_VALUE"""),"Nongnaphat")</f>
        <v>Nongnaphat</v>
      </c>
      <c r="F1071" t="str">
        <f>IFERROR(__xludf.DUMMYFUNCTION("""COMPUTED_VALUE"""),"Ongetphon")</f>
        <v>Ongetphon</v>
      </c>
      <c r="G1071" t="str">
        <f>IFERROR(__xludf.DUMMYFUNCTION("""COMPUTED_VALUE"""),"Nongnaphat Ongetphon")</f>
        <v>Nongnaphat Ongetphon</v>
      </c>
    </row>
    <row r="1072">
      <c r="A1072" s="142">
        <f>IFERROR(__xludf.DUMMYFUNCTION("""COMPUTED_VALUE"""),103.0)</f>
        <v>103</v>
      </c>
      <c r="C1072">
        <f>IFERROR(__xludf.DUMMYFUNCTION("""COMPUTED_VALUE"""),1016381.0)</f>
        <v>1016381</v>
      </c>
      <c r="D1072" t="str">
        <f>IFERROR(__xludf.DUMMYFUNCTION("""COMPUTED_VALUE"""),"Mr.")</f>
        <v>Mr.</v>
      </c>
      <c r="E1072" t="str">
        <f>IFERROR(__xludf.DUMMYFUNCTION("""COMPUTED_VALUE"""),"Pongsathorn")</f>
        <v>Pongsathorn</v>
      </c>
      <c r="F1072" t="str">
        <f>IFERROR(__xludf.DUMMYFUNCTION("""COMPUTED_VALUE"""),"Petcharat")</f>
        <v>Petcharat</v>
      </c>
      <c r="G1072" t="str">
        <f>IFERROR(__xludf.DUMMYFUNCTION("""COMPUTED_VALUE"""),"Pongsathorn Petcharat")</f>
        <v>Pongsathorn Petcharat</v>
      </c>
    </row>
    <row r="1073">
      <c r="A1073" s="142">
        <f>IFERROR(__xludf.DUMMYFUNCTION("""COMPUTED_VALUE"""),103.0)</f>
        <v>103</v>
      </c>
      <c r="C1073">
        <f>IFERROR(__xludf.DUMMYFUNCTION("""COMPUTED_VALUE"""),1039924.0)</f>
        <v>1039924</v>
      </c>
      <c r="D1073" t="str">
        <f>IFERROR(__xludf.DUMMYFUNCTION("""COMPUTED_VALUE"""),"Ms.")</f>
        <v>Ms.</v>
      </c>
      <c r="E1073" t="str">
        <f>IFERROR(__xludf.DUMMYFUNCTION("""COMPUTED_VALUE"""),"Pornkamol")</f>
        <v>Pornkamol</v>
      </c>
      <c r="F1073" t="str">
        <f>IFERROR(__xludf.DUMMYFUNCTION("""COMPUTED_VALUE"""),"Tonsakulwong")</f>
        <v>Tonsakulwong</v>
      </c>
      <c r="G1073" t="str">
        <f>IFERROR(__xludf.DUMMYFUNCTION("""COMPUTED_VALUE"""),"Pornkamol Tonsakulwong")</f>
        <v>Pornkamol Tonsakulwong</v>
      </c>
    </row>
    <row r="1074">
      <c r="A1074" s="142">
        <f>IFERROR(__xludf.DUMMYFUNCTION("""COMPUTED_VALUE"""),103.0)</f>
        <v>103</v>
      </c>
      <c r="C1074">
        <f>IFERROR(__xludf.DUMMYFUNCTION("""COMPUTED_VALUE"""),1009672.0)</f>
        <v>1009672</v>
      </c>
      <c r="D1074" t="str">
        <f>IFERROR(__xludf.DUMMYFUNCTION("""COMPUTED_VALUE"""),"Ms.")</f>
        <v>Ms.</v>
      </c>
      <c r="E1074" t="str">
        <f>IFERROR(__xludf.DUMMYFUNCTION("""COMPUTED_VALUE"""),"Sujarinee")</f>
        <v>Sujarinee</v>
      </c>
      <c r="F1074" t="str">
        <f>IFERROR(__xludf.DUMMYFUNCTION("""COMPUTED_VALUE"""),"Sukhon")</f>
        <v>Sukhon</v>
      </c>
      <c r="G1074" t="str">
        <f>IFERROR(__xludf.DUMMYFUNCTION("""COMPUTED_VALUE"""),"Sujarinee Sukhon")</f>
        <v>Sujarinee Sukhon</v>
      </c>
    </row>
    <row r="1075">
      <c r="A1075" s="142">
        <f>IFERROR(__xludf.DUMMYFUNCTION("""COMPUTED_VALUE"""),103.0)</f>
        <v>103</v>
      </c>
      <c r="C1075">
        <f>IFERROR(__xludf.DUMMYFUNCTION("""COMPUTED_VALUE"""),1007543.0)</f>
        <v>1007543</v>
      </c>
      <c r="D1075" t="str">
        <f>IFERROR(__xludf.DUMMYFUNCTION("""COMPUTED_VALUE"""),"Ms.")</f>
        <v>Ms.</v>
      </c>
      <c r="E1075" t="str">
        <f>IFERROR(__xludf.DUMMYFUNCTION("""COMPUTED_VALUE"""),"Praewphan")</f>
        <v>Praewphan</v>
      </c>
      <c r="F1075" t="str">
        <f>IFERROR(__xludf.DUMMYFUNCTION("""COMPUTED_VALUE"""),"Jampradang")</f>
        <v>Jampradang</v>
      </c>
      <c r="G1075" t="str">
        <f>IFERROR(__xludf.DUMMYFUNCTION("""COMPUTED_VALUE"""),"Praewphan Jampradang")</f>
        <v>Praewphan Jampradang</v>
      </c>
    </row>
    <row r="1076">
      <c r="A1076" s="142">
        <f>IFERROR(__xludf.DUMMYFUNCTION("""COMPUTED_VALUE"""),103.0)</f>
        <v>103</v>
      </c>
      <c r="C1076">
        <f>IFERROR(__xludf.DUMMYFUNCTION("""COMPUTED_VALUE"""),1012850.0)</f>
        <v>1012850</v>
      </c>
      <c r="D1076" t="str">
        <f>IFERROR(__xludf.DUMMYFUNCTION("""COMPUTED_VALUE"""),"Mr.")</f>
        <v>Mr.</v>
      </c>
      <c r="E1076" t="str">
        <f>IFERROR(__xludf.DUMMYFUNCTION("""COMPUTED_VALUE"""),"Chanagun")</f>
        <v>Chanagun</v>
      </c>
      <c r="F1076" t="str">
        <f>IFERROR(__xludf.DUMMYFUNCTION("""COMPUTED_VALUE"""),"Phanturat")</f>
        <v>Phanturat</v>
      </c>
      <c r="G1076" t="str">
        <f>IFERROR(__xludf.DUMMYFUNCTION("""COMPUTED_VALUE"""),"Chanagun Phanturat")</f>
        <v>Chanagun Phanturat</v>
      </c>
    </row>
    <row r="1077">
      <c r="A1077" s="142">
        <f>IFERROR(__xludf.DUMMYFUNCTION("""COMPUTED_VALUE"""),103.0)</f>
        <v>103</v>
      </c>
      <c r="C1077">
        <f>IFERROR(__xludf.DUMMYFUNCTION("""COMPUTED_VALUE"""),1012256.0)</f>
        <v>1012256</v>
      </c>
      <c r="D1077" t="str">
        <f>IFERROR(__xludf.DUMMYFUNCTION("""COMPUTED_VALUE"""),"Mr.")</f>
        <v>Mr.</v>
      </c>
      <c r="E1077" t="str">
        <f>IFERROR(__xludf.DUMMYFUNCTION("""COMPUTED_VALUE"""),"Sarayut")</f>
        <v>Sarayut</v>
      </c>
      <c r="F1077" t="str">
        <f>IFERROR(__xludf.DUMMYFUNCTION("""COMPUTED_VALUE"""),"Ungsaichue")</f>
        <v>Ungsaichue</v>
      </c>
      <c r="G1077" t="str">
        <f>IFERROR(__xludf.DUMMYFUNCTION("""COMPUTED_VALUE"""),"Sarayut Ungsaichue")</f>
        <v>Sarayut Ungsaichue</v>
      </c>
    </row>
    <row r="1078">
      <c r="A1078" s="142">
        <f>IFERROR(__xludf.DUMMYFUNCTION("""COMPUTED_VALUE"""),103.0)</f>
        <v>103</v>
      </c>
      <c r="C1078">
        <f>IFERROR(__xludf.DUMMYFUNCTION("""COMPUTED_VALUE"""),1013600.0)</f>
        <v>1013600</v>
      </c>
      <c r="D1078" t="str">
        <f>IFERROR(__xludf.DUMMYFUNCTION("""COMPUTED_VALUE"""),"Ms.")</f>
        <v>Ms.</v>
      </c>
      <c r="E1078" t="str">
        <f>IFERROR(__xludf.DUMMYFUNCTION("""COMPUTED_VALUE"""),"Ammarawadee")</f>
        <v>Ammarawadee</v>
      </c>
      <c r="F1078" t="str">
        <f>IFERROR(__xludf.DUMMYFUNCTION("""COMPUTED_VALUE"""),"Sornsuphap")</f>
        <v>Sornsuphap</v>
      </c>
      <c r="G1078" t="str">
        <f>IFERROR(__xludf.DUMMYFUNCTION("""COMPUTED_VALUE"""),"Ammarawadee Sornsuphap")</f>
        <v>Ammarawadee Sornsuphap</v>
      </c>
    </row>
    <row r="1079">
      <c r="A1079" s="142">
        <f>IFERROR(__xludf.DUMMYFUNCTION("""COMPUTED_VALUE"""),103.0)</f>
        <v>103</v>
      </c>
      <c r="C1079">
        <f>IFERROR(__xludf.DUMMYFUNCTION("""COMPUTED_VALUE"""),1014241.0)</f>
        <v>1014241</v>
      </c>
      <c r="D1079" t="str">
        <f>IFERROR(__xludf.DUMMYFUNCTION("""COMPUTED_VALUE"""),"Ms.")</f>
        <v>Ms.</v>
      </c>
      <c r="E1079" t="str">
        <f>IFERROR(__xludf.DUMMYFUNCTION("""COMPUTED_VALUE"""),"Kittima")</f>
        <v>Kittima</v>
      </c>
      <c r="F1079" t="str">
        <f>IFERROR(__xludf.DUMMYFUNCTION("""COMPUTED_VALUE"""),"Khongnukool")</f>
        <v>Khongnukool</v>
      </c>
      <c r="G1079" t="str">
        <f>IFERROR(__xludf.DUMMYFUNCTION("""COMPUTED_VALUE"""),"Kittima Khongnukool")</f>
        <v>Kittima Khongnukool</v>
      </c>
    </row>
    <row r="1081">
      <c r="A1081" s="142">
        <f>IFERROR(__xludf.DUMMYFUNCTION("""COMPUTED_VALUE"""),104.0)</f>
        <v>104</v>
      </c>
      <c r="C1081" s="161">
        <f>IFERROR(__xludf.DUMMYFUNCTION("""COMPUTED_VALUE"""),1040171.0)</f>
        <v>1040171</v>
      </c>
      <c r="D1081" t="str">
        <f>IFERROR(__xludf.DUMMYFUNCTION("""COMPUTED_VALUE"""),"Mr.")</f>
        <v>Mr.</v>
      </c>
      <c r="E1081" t="str">
        <f>IFERROR(__xludf.DUMMYFUNCTION("""COMPUTED_VALUE"""),"Chaiyawat")</f>
        <v>Chaiyawat</v>
      </c>
      <c r="F1081" t="str">
        <f>IFERROR(__xludf.DUMMYFUNCTION("""COMPUTED_VALUE"""),"Sripornsawan")</f>
        <v>Sripornsawan</v>
      </c>
      <c r="G1081" t="str">
        <f>IFERROR(__xludf.DUMMYFUNCTION("""COMPUTED_VALUE"""),"Chaiyawat Sripornsawan")</f>
        <v>Chaiyawat Sripornsawan</v>
      </c>
    </row>
    <row r="1082">
      <c r="A1082" s="142">
        <f>IFERROR(__xludf.DUMMYFUNCTION("""COMPUTED_VALUE"""),104.0)</f>
        <v>104</v>
      </c>
      <c r="C1082" s="161">
        <f>IFERROR(__xludf.DUMMYFUNCTION("""COMPUTED_VALUE"""),1023519.0)</f>
        <v>1023519</v>
      </c>
      <c r="D1082" t="str">
        <f>IFERROR(__xludf.DUMMYFUNCTION("""COMPUTED_VALUE"""),"Ms.")</f>
        <v>Ms.</v>
      </c>
      <c r="E1082" t="str">
        <f>IFERROR(__xludf.DUMMYFUNCTION("""COMPUTED_VALUE"""),"Chuleepohn")</f>
        <v>Chuleepohn</v>
      </c>
      <c r="F1082" t="str">
        <f>IFERROR(__xludf.DUMMYFUNCTION("""COMPUTED_VALUE"""),"Saeiab")</f>
        <v>Saeiab</v>
      </c>
      <c r="G1082" t="str">
        <f>IFERROR(__xludf.DUMMYFUNCTION("""COMPUTED_VALUE"""),"Chuleepohn Saeiab")</f>
        <v>Chuleepohn Saeiab</v>
      </c>
    </row>
    <row r="1083">
      <c r="A1083" s="142">
        <f>IFERROR(__xludf.DUMMYFUNCTION("""COMPUTED_VALUE"""),104.0)</f>
        <v>104</v>
      </c>
      <c r="C1083" s="161">
        <f>IFERROR(__xludf.DUMMYFUNCTION("""COMPUTED_VALUE"""),1014254.0)</f>
        <v>1014254</v>
      </c>
      <c r="D1083" t="str">
        <f>IFERROR(__xludf.DUMMYFUNCTION("""COMPUTED_VALUE"""),"Mr.")</f>
        <v>Mr.</v>
      </c>
      <c r="E1083" t="str">
        <f>IFERROR(__xludf.DUMMYFUNCTION("""COMPUTED_VALUE"""),"Sivakron")</f>
        <v>Sivakron</v>
      </c>
      <c r="F1083" t="str">
        <f>IFERROR(__xludf.DUMMYFUNCTION("""COMPUTED_VALUE"""),"Montriwat")</f>
        <v>Montriwat</v>
      </c>
      <c r="G1083" t="str">
        <f>IFERROR(__xludf.DUMMYFUNCTION("""COMPUTED_VALUE"""),"Sivakron Montriwat")</f>
        <v>Sivakron Montriwat</v>
      </c>
    </row>
    <row r="1084">
      <c r="A1084" s="142">
        <f>IFERROR(__xludf.DUMMYFUNCTION("""COMPUTED_VALUE"""),104.0)</f>
        <v>104</v>
      </c>
      <c r="C1084" s="161">
        <f>IFERROR(__xludf.DUMMYFUNCTION("""COMPUTED_VALUE"""),1016385.0)</f>
        <v>1016385</v>
      </c>
      <c r="D1084" t="str">
        <f>IFERROR(__xludf.DUMMYFUNCTION("""COMPUTED_VALUE"""),"Ms.")</f>
        <v>Ms.</v>
      </c>
      <c r="E1084" t="str">
        <f>IFERROR(__xludf.DUMMYFUNCTION("""COMPUTED_VALUE"""),"Raweewan")</f>
        <v>Raweewan</v>
      </c>
      <c r="F1084" t="str">
        <f>IFERROR(__xludf.DUMMYFUNCTION("""COMPUTED_VALUE"""),"Sritong")</f>
        <v>Sritong</v>
      </c>
      <c r="G1084" t="str">
        <f>IFERROR(__xludf.DUMMYFUNCTION("""COMPUTED_VALUE"""),"Raweewan Sritong")</f>
        <v>Raweewan Sritong</v>
      </c>
    </row>
    <row r="1085">
      <c r="A1085" s="142">
        <f>IFERROR(__xludf.DUMMYFUNCTION("""COMPUTED_VALUE"""),104.0)</f>
        <v>104</v>
      </c>
      <c r="C1085" s="161">
        <f>IFERROR(__xludf.DUMMYFUNCTION("""COMPUTED_VALUE"""),1026213.0)</f>
        <v>1026213</v>
      </c>
      <c r="D1085" t="str">
        <f>IFERROR(__xludf.DUMMYFUNCTION("""COMPUTED_VALUE"""),"Mr.")</f>
        <v>Mr.</v>
      </c>
      <c r="E1085" t="str">
        <f>IFERROR(__xludf.DUMMYFUNCTION("""COMPUTED_VALUE"""),"Yossapon")</f>
        <v>Yossapon</v>
      </c>
      <c r="F1085" t="str">
        <f>IFERROR(__xludf.DUMMYFUNCTION("""COMPUTED_VALUE"""),"Pankham")</f>
        <v>Pankham</v>
      </c>
      <c r="G1085" t="str">
        <f>IFERROR(__xludf.DUMMYFUNCTION("""COMPUTED_VALUE"""),"Yossapon Pankham")</f>
        <v>Yossapon Pankham</v>
      </c>
    </row>
    <row r="1086">
      <c r="A1086" s="142">
        <f>IFERROR(__xludf.DUMMYFUNCTION("""COMPUTED_VALUE"""),104.0)</f>
        <v>104</v>
      </c>
      <c r="C1086" s="161">
        <f>IFERROR(__xludf.DUMMYFUNCTION("""COMPUTED_VALUE"""),1017564.0)</f>
        <v>1017564</v>
      </c>
      <c r="D1086" t="str">
        <f>IFERROR(__xludf.DUMMYFUNCTION("""COMPUTED_VALUE"""),"Ms.")</f>
        <v>Ms.</v>
      </c>
      <c r="E1086" t="str">
        <f>IFERROR(__xludf.DUMMYFUNCTION("""COMPUTED_VALUE"""),"Atchara")</f>
        <v>Atchara</v>
      </c>
      <c r="F1086" t="str">
        <f>IFERROR(__xludf.DUMMYFUNCTION("""COMPUTED_VALUE"""),"Rungrot")</f>
        <v>Rungrot</v>
      </c>
      <c r="G1086" t="str">
        <f>IFERROR(__xludf.DUMMYFUNCTION("""COMPUTED_VALUE"""),"Atchara Rungrot")</f>
        <v>Atchara Rungrot</v>
      </c>
    </row>
    <row r="1087">
      <c r="A1087" s="142">
        <f>IFERROR(__xludf.DUMMYFUNCTION("""COMPUTED_VALUE"""),104.0)</f>
        <v>104</v>
      </c>
      <c r="C1087" s="161">
        <f>IFERROR(__xludf.DUMMYFUNCTION("""COMPUTED_VALUE"""),1015472.0)</f>
        <v>1015472</v>
      </c>
      <c r="D1087" t="str">
        <f>IFERROR(__xludf.DUMMYFUNCTION("""COMPUTED_VALUE"""),"Mr.")</f>
        <v>Mr.</v>
      </c>
      <c r="E1087" t="str">
        <f>IFERROR(__xludf.DUMMYFUNCTION("""COMPUTED_VALUE"""),"Atchariya")</f>
        <v>Atchariya</v>
      </c>
      <c r="F1087" t="str">
        <f>IFERROR(__xludf.DUMMYFUNCTION("""COMPUTED_VALUE"""),"Jandawan")</f>
        <v>Jandawan</v>
      </c>
      <c r="G1087" t="str">
        <f>IFERROR(__xludf.DUMMYFUNCTION("""COMPUTED_VALUE"""),"Atchariya Jandawan")</f>
        <v>Atchariya Jandawan</v>
      </c>
    </row>
    <row r="1088">
      <c r="A1088" s="142">
        <f>IFERROR(__xludf.DUMMYFUNCTION("""COMPUTED_VALUE"""),104.0)</f>
        <v>104</v>
      </c>
      <c r="C1088" s="161">
        <f>IFERROR(__xludf.DUMMYFUNCTION("""COMPUTED_VALUE"""),1019949.0)</f>
        <v>1019949</v>
      </c>
      <c r="D1088" t="str">
        <f>IFERROR(__xludf.DUMMYFUNCTION("""COMPUTED_VALUE"""),"Mrs.")</f>
        <v>Mrs.</v>
      </c>
      <c r="E1088" t="str">
        <f>IFERROR(__xludf.DUMMYFUNCTION("""COMPUTED_VALUE"""),"Suphannikar")</f>
        <v>Suphannikar</v>
      </c>
      <c r="F1088" t="str">
        <f>IFERROR(__xludf.DUMMYFUNCTION("""COMPUTED_VALUE"""),"Teparatana (Kaenchan)")</f>
        <v>Teparatana (Kaenchan)</v>
      </c>
      <c r="G1088" t="str">
        <f>IFERROR(__xludf.DUMMYFUNCTION("""COMPUTED_VALUE"""),"Suphannikar Teparatana")</f>
        <v>Suphannikar Teparatana</v>
      </c>
    </row>
    <row r="1089">
      <c r="A1089" s="142">
        <f>IFERROR(__xludf.DUMMYFUNCTION("""COMPUTED_VALUE"""),104.0)</f>
        <v>104</v>
      </c>
      <c r="C1089" s="161">
        <f>IFERROR(__xludf.DUMMYFUNCTION("""COMPUTED_VALUE"""),1026704.0)</f>
        <v>1026704</v>
      </c>
      <c r="D1089" t="str">
        <f>IFERROR(__xludf.DUMMYFUNCTION("""COMPUTED_VALUE"""),"Ms.")</f>
        <v>Ms.</v>
      </c>
      <c r="E1089" t="str">
        <f>IFERROR(__xludf.DUMMYFUNCTION("""COMPUTED_VALUE"""),"Khemjira")</f>
        <v>Khemjira</v>
      </c>
      <c r="F1089" t="str">
        <f>IFERROR(__xludf.DUMMYFUNCTION("""COMPUTED_VALUE"""),"Weeradetch")</f>
        <v>Weeradetch</v>
      </c>
      <c r="G1089" t="str">
        <f>IFERROR(__xludf.DUMMYFUNCTION("""COMPUTED_VALUE"""),"Khemjira Weeradetch")</f>
        <v>Khemjira Weeradetch</v>
      </c>
    </row>
    <row r="1090">
      <c r="A1090" s="142">
        <f>IFERROR(__xludf.DUMMYFUNCTION("""COMPUTED_VALUE"""),104.0)</f>
        <v>104</v>
      </c>
      <c r="C1090" s="161">
        <f>IFERROR(__xludf.DUMMYFUNCTION("""COMPUTED_VALUE"""),1022690.0)</f>
        <v>1022690</v>
      </c>
      <c r="D1090" t="str">
        <f>IFERROR(__xludf.DUMMYFUNCTION("""COMPUTED_VALUE"""),"Mr.")</f>
        <v>Mr.</v>
      </c>
      <c r="E1090" t="str">
        <f>IFERROR(__xludf.DUMMYFUNCTION("""COMPUTED_VALUE"""),"Peerasin")</f>
        <v>Peerasin</v>
      </c>
      <c r="F1090" t="str">
        <f>IFERROR(__xludf.DUMMYFUNCTION("""COMPUTED_VALUE"""),"Yinharnmingmongkol")</f>
        <v>Yinharnmingmongkol</v>
      </c>
      <c r="G1090" t="str">
        <f>IFERROR(__xludf.DUMMYFUNCTION("""COMPUTED_VALUE"""),"Peerasin Yinharnmingmongkol")</f>
        <v>Peerasin Yinharnmingmongkol</v>
      </c>
    </row>
    <row r="1091">
      <c r="A1091" s="142">
        <f>IFERROR(__xludf.DUMMYFUNCTION("""COMPUTED_VALUE"""),104.0)</f>
        <v>104</v>
      </c>
      <c r="C1091" s="161">
        <f>IFERROR(__xludf.DUMMYFUNCTION("""COMPUTED_VALUE"""),1025338.0)</f>
        <v>1025338</v>
      </c>
      <c r="D1091" t="str">
        <f>IFERROR(__xludf.DUMMYFUNCTION("""COMPUTED_VALUE"""),"Ms.")</f>
        <v>Ms.</v>
      </c>
      <c r="E1091" t="str">
        <f>IFERROR(__xludf.DUMMYFUNCTION("""COMPUTED_VALUE"""),"Ampawan")</f>
        <v>Ampawan</v>
      </c>
      <c r="F1091" t="str">
        <f>IFERROR(__xludf.DUMMYFUNCTION("""COMPUTED_VALUE"""),"Chinsakchai")</f>
        <v>Chinsakchai</v>
      </c>
      <c r="G1091" t="str">
        <f>IFERROR(__xludf.DUMMYFUNCTION("""COMPUTED_VALUE"""),"Ampawan Chinsakchai")</f>
        <v>Ampawan Chinsakchai</v>
      </c>
    </row>
    <row r="1092">
      <c r="A1092" s="142">
        <f>IFERROR(__xludf.DUMMYFUNCTION("""COMPUTED_VALUE"""),104.0)</f>
        <v>104</v>
      </c>
      <c r="C1092" s="161">
        <f>IFERROR(__xludf.DUMMYFUNCTION("""COMPUTED_VALUE"""),1009006.0)</f>
        <v>1009006</v>
      </c>
      <c r="D1092" t="str">
        <f>IFERROR(__xludf.DUMMYFUNCTION("""COMPUTED_VALUE"""),"Mr.")</f>
        <v>Mr.</v>
      </c>
      <c r="E1092" t="str">
        <f>IFERROR(__xludf.DUMMYFUNCTION("""COMPUTED_VALUE"""),"Tuchteerasit")</f>
        <v>Tuchteerasit</v>
      </c>
      <c r="F1092" t="str">
        <f>IFERROR(__xludf.DUMMYFUNCTION("""COMPUTED_VALUE"""),"Saichittham")</f>
        <v>Saichittham</v>
      </c>
      <c r="G1092" t="str">
        <f>IFERROR(__xludf.DUMMYFUNCTION("""COMPUTED_VALUE"""),"Tuchteerasit Saichittham")</f>
        <v>Tuchteerasit Saichittham</v>
      </c>
    </row>
    <row r="1093">
      <c r="A1093" s="142">
        <f>IFERROR(__xludf.DUMMYFUNCTION("""COMPUTED_VALUE"""),104.0)</f>
        <v>104</v>
      </c>
      <c r="C1093" s="161">
        <f>IFERROR(__xludf.DUMMYFUNCTION("""COMPUTED_VALUE"""),1026210.0)</f>
        <v>1026210</v>
      </c>
      <c r="D1093" t="str">
        <f>IFERROR(__xludf.DUMMYFUNCTION("""COMPUTED_VALUE"""),"Ms.")</f>
        <v>Ms.</v>
      </c>
      <c r="E1093" t="str">
        <f>IFERROR(__xludf.DUMMYFUNCTION("""COMPUTED_VALUE"""),"Warissaraporn")</f>
        <v>Warissaraporn</v>
      </c>
      <c r="F1093" t="str">
        <f>IFERROR(__xludf.DUMMYFUNCTION("""COMPUTED_VALUE"""),"Srisathienkul")</f>
        <v>Srisathienkul</v>
      </c>
      <c r="G1093" t="str">
        <f>IFERROR(__xludf.DUMMYFUNCTION("""COMPUTED_VALUE"""),"Warissaraporn Srisathienkul")</f>
        <v>Warissaraporn Srisathienkul</v>
      </c>
    </row>
    <row r="1094">
      <c r="A1094" s="142">
        <f>IFERROR(__xludf.DUMMYFUNCTION("""COMPUTED_VALUE"""),104.0)</f>
        <v>104</v>
      </c>
      <c r="C1094" s="161">
        <f>IFERROR(__xludf.DUMMYFUNCTION("""COMPUTED_VALUE"""),1026705.0)</f>
        <v>1026705</v>
      </c>
      <c r="D1094" t="str">
        <f>IFERROR(__xludf.DUMMYFUNCTION("""COMPUTED_VALUE"""),"Ms.")</f>
        <v>Ms.</v>
      </c>
      <c r="E1094" t="str">
        <f>IFERROR(__xludf.DUMMYFUNCTION("""COMPUTED_VALUE"""),"Krittaya")</f>
        <v>Krittaya</v>
      </c>
      <c r="F1094" t="str">
        <f>IFERROR(__xludf.DUMMYFUNCTION("""COMPUTED_VALUE"""),"Tejawong")</f>
        <v>Tejawong</v>
      </c>
      <c r="G1094" t="str">
        <f>IFERROR(__xludf.DUMMYFUNCTION("""COMPUTED_VALUE"""),"Krittaya Tejawong")</f>
        <v>Krittaya Tejawong</v>
      </c>
    </row>
    <row r="1095">
      <c r="A1095" s="142">
        <f>IFERROR(__xludf.DUMMYFUNCTION("""COMPUTED_VALUE"""),104.0)</f>
        <v>104</v>
      </c>
      <c r="C1095" s="161">
        <f>IFERROR(__xludf.DUMMYFUNCTION("""COMPUTED_VALUE"""),1014554.0)</f>
        <v>1014554</v>
      </c>
      <c r="D1095" t="str">
        <f>IFERROR(__xludf.DUMMYFUNCTION("""COMPUTED_VALUE"""),"Ms.")</f>
        <v>Ms.</v>
      </c>
      <c r="E1095" t="str">
        <f>IFERROR(__xludf.DUMMYFUNCTION("""COMPUTED_VALUE"""),"Katthareeya")</f>
        <v>Katthareeya</v>
      </c>
      <c r="F1095" t="str">
        <f>IFERROR(__xludf.DUMMYFUNCTION("""COMPUTED_VALUE"""),"Trachoowanich")</f>
        <v>Trachoowanich</v>
      </c>
      <c r="G1095" t="str">
        <f>IFERROR(__xludf.DUMMYFUNCTION("""COMPUTED_VALUE"""),"Katthareeya Trachoowanich")</f>
        <v>Katthareeya Trachoowanich</v>
      </c>
    </row>
    <row r="1096">
      <c r="A1096" s="142">
        <f>IFERROR(__xludf.DUMMYFUNCTION("""COMPUTED_VALUE"""),104.0)</f>
        <v>104</v>
      </c>
      <c r="C1096" s="161">
        <f>IFERROR(__xludf.DUMMYFUNCTION("""COMPUTED_VALUE"""),1013468.0)</f>
        <v>1013468</v>
      </c>
      <c r="D1096" t="str">
        <f>IFERROR(__xludf.DUMMYFUNCTION("""COMPUTED_VALUE"""),"Ms.")</f>
        <v>Ms.</v>
      </c>
      <c r="E1096" t="str">
        <f>IFERROR(__xludf.DUMMYFUNCTION("""COMPUTED_VALUE"""),"Pim")</f>
        <v>Pim</v>
      </c>
      <c r="F1096" t="str">
        <f>IFERROR(__xludf.DUMMYFUNCTION("""COMPUTED_VALUE"""),"Piwasin")</f>
        <v>Piwasin</v>
      </c>
      <c r="G1096" t="str">
        <f>IFERROR(__xludf.DUMMYFUNCTION("""COMPUTED_VALUE"""),"Pim Piwasin")</f>
        <v>Pim Piwasin</v>
      </c>
    </row>
    <row r="1097">
      <c r="A1097" s="142">
        <f>IFERROR(__xludf.DUMMYFUNCTION("""COMPUTED_VALUE"""),104.0)</f>
        <v>104</v>
      </c>
      <c r="C1097">
        <f>IFERROR(__xludf.DUMMYFUNCTION("""COMPUTED_VALUE"""),1014143.0)</f>
        <v>1014143</v>
      </c>
      <c r="D1097" t="str">
        <f>IFERROR(__xludf.DUMMYFUNCTION("""COMPUTED_VALUE"""),"Ms.")</f>
        <v>Ms.</v>
      </c>
      <c r="E1097" t="str">
        <f>IFERROR(__xludf.DUMMYFUNCTION("""COMPUTED_VALUE"""),"Sudarat ")</f>
        <v>Sudarat </v>
      </c>
      <c r="F1097" t="str">
        <f>IFERROR(__xludf.DUMMYFUNCTION("""COMPUTED_VALUE"""),"Prosri")</f>
        <v>Prosri</v>
      </c>
      <c r="G1097" t="str">
        <f>IFERROR(__xludf.DUMMYFUNCTION("""COMPUTED_VALUE"""),"Sudarat  Prosri")</f>
        <v>Sudarat  Prosri</v>
      </c>
    </row>
    <row r="1098">
      <c r="A1098" s="142">
        <f>IFERROR(__xludf.DUMMYFUNCTION("""COMPUTED_VALUE"""),104.0)</f>
        <v>104</v>
      </c>
      <c r="C1098">
        <f>IFERROR(__xludf.DUMMYFUNCTION("""COMPUTED_VALUE"""),1009434.0)</f>
        <v>1009434</v>
      </c>
      <c r="D1098" t="str">
        <f>IFERROR(__xludf.DUMMYFUNCTION("""COMPUTED_VALUE"""),"Mr.")</f>
        <v>Mr.</v>
      </c>
      <c r="E1098" t="str">
        <f>IFERROR(__xludf.DUMMYFUNCTION("""COMPUTED_VALUE"""),"Wanpiya")</f>
        <v>Wanpiya</v>
      </c>
      <c r="F1098" t="str">
        <f>IFERROR(__xludf.DUMMYFUNCTION("""COMPUTED_VALUE"""),"Kaewyok")</f>
        <v>Kaewyok</v>
      </c>
      <c r="G1098" t="str">
        <f>IFERROR(__xludf.DUMMYFUNCTION("""COMPUTED_VALUE"""),"Wanpiya Kaewyok")</f>
        <v>Wanpiya Kaewyok</v>
      </c>
    </row>
    <row r="1099">
      <c r="A1099" s="142">
        <f>IFERROR(__xludf.DUMMYFUNCTION("""COMPUTED_VALUE"""),104.0)</f>
        <v>104</v>
      </c>
      <c r="C1099">
        <f>IFERROR(__xludf.DUMMYFUNCTION("""COMPUTED_VALUE"""),1007306.0)</f>
        <v>1007306</v>
      </c>
      <c r="D1099" t="str">
        <f>IFERROR(__xludf.DUMMYFUNCTION("""COMPUTED_VALUE"""),"Ms.")</f>
        <v>Ms.</v>
      </c>
      <c r="E1099" t="str">
        <f>IFERROR(__xludf.DUMMYFUNCTION("""COMPUTED_VALUE"""),"Theevipa")</f>
        <v>Theevipa</v>
      </c>
      <c r="F1099" t="str">
        <f>IFERROR(__xludf.DUMMYFUNCTION("""COMPUTED_VALUE"""),"Thanunjirabul")</f>
        <v>Thanunjirabul</v>
      </c>
      <c r="G1099" t="str">
        <f>IFERROR(__xludf.DUMMYFUNCTION("""COMPUTED_VALUE"""),"Theevipa Thanunjirabul")</f>
        <v>Theevipa Thanunjirabul</v>
      </c>
    </row>
    <row r="1100">
      <c r="A1100" s="142">
        <f>IFERROR(__xludf.DUMMYFUNCTION("""COMPUTED_VALUE"""),104.0)</f>
        <v>104</v>
      </c>
      <c r="C1100">
        <f>IFERROR(__xludf.DUMMYFUNCTION("""COMPUTED_VALUE"""),1008424.0)</f>
        <v>1008424</v>
      </c>
      <c r="D1100" t="str">
        <f>IFERROR(__xludf.DUMMYFUNCTION("""COMPUTED_VALUE"""),"Ms.")</f>
        <v>Ms.</v>
      </c>
      <c r="E1100" t="str">
        <f>IFERROR(__xludf.DUMMYFUNCTION("""COMPUTED_VALUE"""),"Sudsaiparn")</f>
        <v>Sudsaiparn</v>
      </c>
      <c r="F1100" t="str">
        <f>IFERROR(__xludf.DUMMYFUNCTION("""COMPUTED_VALUE"""),"Sasiwannapong")</f>
        <v>Sasiwannapong</v>
      </c>
      <c r="G1100" t="str">
        <f>IFERROR(__xludf.DUMMYFUNCTION("""COMPUTED_VALUE"""),"Sudsaiparn Sasiwannapong")</f>
        <v>Sudsaiparn Sasiwannapong</v>
      </c>
    </row>
    <row r="1101">
      <c r="A1101" s="142">
        <f>IFERROR(__xludf.DUMMYFUNCTION("""COMPUTED_VALUE"""),104.0)</f>
        <v>104</v>
      </c>
      <c r="C1101">
        <f>IFERROR(__xludf.DUMMYFUNCTION("""COMPUTED_VALUE"""),1012554.0)</f>
        <v>1012554</v>
      </c>
      <c r="D1101" t="str">
        <f>IFERROR(__xludf.DUMMYFUNCTION("""COMPUTED_VALUE"""),"Mr.")</f>
        <v>Mr.</v>
      </c>
      <c r="E1101" t="str">
        <f>IFERROR(__xludf.DUMMYFUNCTION("""COMPUTED_VALUE"""),"Bhuriwat")</f>
        <v>Bhuriwat</v>
      </c>
      <c r="F1101" t="str">
        <f>IFERROR(__xludf.DUMMYFUNCTION("""COMPUTED_VALUE"""),"Udomphol")</f>
        <v>Udomphol</v>
      </c>
      <c r="G1101" t="str">
        <f>IFERROR(__xludf.DUMMYFUNCTION("""COMPUTED_VALUE"""),"Bhuriwat Udomphol")</f>
        <v>Bhuriwat Udomphol</v>
      </c>
    </row>
    <row r="1102">
      <c r="A1102" s="142">
        <f>IFERROR(__xludf.DUMMYFUNCTION("""COMPUTED_VALUE"""),104.0)</f>
        <v>104</v>
      </c>
      <c r="C1102">
        <f>IFERROR(__xludf.DUMMYFUNCTION("""COMPUTED_VALUE"""),1017975.0)</f>
        <v>1017975</v>
      </c>
      <c r="D1102" t="str">
        <f>IFERROR(__xludf.DUMMYFUNCTION("""COMPUTED_VALUE"""),"Ms.")</f>
        <v>Ms.</v>
      </c>
      <c r="E1102" t="str">
        <f>IFERROR(__xludf.DUMMYFUNCTION("""COMPUTED_VALUE"""),"Nilin")</f>
        <v>Nilin</v>
      </c>
      <c r="F1102" t="str">
        <f>IFERROR(__xludf.DUMMYFUNCTION("""COMPUTED_VALUE"""),"Ngampuak")</f>
        <v>Ngampuak</v>
      </c>
      <c r="G1102" t="str">
        <f>IFERROR(__xludf.DUMMYFUNCTION("""COMPUTED_VALUE"""),"Nilin Ngampuak")</f>
        <v>Nilin Ngampuak</v>
      </c>
    </row>
    <row r="1103">
      <c r="A1103" s="142">
        <f>IFERROR(__xludf.DUMMYFUNCTION("""COMPUTED_VALUE"""),104.0)</f>
        <v>104</v>
      </c>
      <c r="C1103">
        <f>IFERROR(__xludf.DUMMYFUNCTION("""COMPUTED_VALUE"""),1024269.0)</f>
        <v>1024269</v>
      </c>
      <c r="D1103" t="str">
        <f>IFERROR(__xludf.DUMMYFUNCTION("""COMPUTED_VALUE"""),"Ms.")</f>
        <v>Ms.</v>
      </c>
      <c r="E1103" t="str">
        <f>IFERROR(__xludf.DUMMYFUNCTION("""COMPUTED_VALUE"""),"Amarita")</f>
        <v>Amarita</v>
      </c>
      <c r="F1103" t="str">
        <f>IFERROR(__xludf.DUMMYFUNCTION("""COMPUTED_VALUE"""),"Haithuk")</f>
        <v>Haithuk</v>
      </c>
      <c r="G1103" t="str">
        <f>IFERROR(__xludf.DUMMYFUNCTION("""COMPUTED_VALUE"""),"Amarita Haithuk")</f>
        <v>Amarita Haithuk</v>
      </c>
    </row>
    <row r="1104">
      <c r="A1104" s="142">
        <f>IFERROR(__xludf.DUMMYFUNCTION("""COMPUTED_VALUE"""),104.0)</f>
        <v>104</v>
      </c>
      <c r="C1104">
        <f>IFERROR(__xludf.DUMMYFUNCTION("""COMPUTED_VALUE"""),1012680.0)</f>
        <v>1012680</v>
      </c>
      <c r="D1104" t="str">
        <f>IFERROR(__xludf.DUMMYFUNCTION("""COMPUTED_VALUE"""),"Ms.")</f>
        <v>Ms.</v>
      </c>
      <c r="E1104" t="str">
        <f>IFERROR(__xludf.DUMMYFUNCTION("""COMPUTED_VALUE"""),"Wiracha")</f>
        <v>Wiracha</v>
      </c>
      <c r="F1104" t="str">
        <f>IFERROR(__xludf.DUMMYFUNCTION("""COMPUTED_VALUE"""),"Chamsoongnern")</f>
        <v>Chamsoongnern</v>
      </c>
      <c r="G1104" t="str">
        <f>IFERROR(__xludf.DUMMYFUNCTION("""COMPUTED_VALUE"""),"Wiracha Chamsoongnern")</f>
        <v>Wiracha Chamsoongnern</v>
      </c>
    </row>
    <row r="1105">
      <c r="A1105" s="142">
        <f>IFERROR(__xludf.DUMMYFUNCTION("""COMPUTED_VALUE"""),104.0)</f>
        <v>104</v>
      </c>
      <c r="C1105">
        <f>IFERROR(__xludf.DUMMYFUNCTION("""COMPUTED_VALUE"""),1022817.0)</f>
        <v>1022817</v>
      </c>
      <c r="D1105" t="str">
        <f>IFERROR(__xludf.DUMMYFUNCTION("""COMPUTED_VALUE"""),"Ms.")</f>
        <v>Ms.</v>
      </c>
      <c r="E1105" t="str">
        <f>IFERROR(__xludf.DUMMYFUNCTION("""COMPUTED_VALUE"""),"Paradee")</f>
        <v>Paradee</v>
      </c>
      <c r="F1105" t="str">
        <f>IFERROR(__xludf.DUMMYFUNCTION("""COMPUTED_VALUE"""),"Pupradid")</f>
        <v>Pupradid</v>
      </c>
      <c r="G1105" t="str">
        <f>IFERROR(__xludf.DUMMYFUNCTION("""COMPUTED_VALUE"""),"Paradee Pupradid")</f>
        <v>Paradee Pupradid</v>
      </c>
    </row>
    <row r="1106">
      <c r="A1106" s="142">
        <f>IFERROR(__xludf.DUMMYFUNCTION("""COMPUTED_VALUE"""),104.0)</f>
        <v>104</v>
      </c>
      <c r="C1106">
        <f>IFERROR(__xludf.DUMMYFUNCTION("""COMPUTED_VALUE"""),1021945.0)</f>
        <v>1021945</v>
      </c>
      <c r="D1106" t="str">
        <f>IFERROR(__xludf.DUMMYFUNCTION("""COMPUTED_VALUE"""),"Ms.")</f>
        <v>Ms.</v>
      </c>
      <c r="E1106" t="str">
        <f>IFERROR(__xludf.DUMMYFUNCTION("""COMPUTED_VALUE"""),"Pornpimon")</f>
        <v>Pornpimon</v>
      </c>
      <c r="F1106" t="str">
        <f>IFERROR(__xludf.DUMMYFUNCTION("""COMPUTED_VALUE"""),"Sakulpan")</f>
        <v>Sakulpan</v>
      </c>
      <c r="G1106" t="str">
        <f>IFERROR(__xludf.DUMMYFUNCTION("""COMPUTED_VALUE"""),"Pornpimon Sakulpan")</f>
        <v>Pornpimon Sakulpan</v>
      </c>
    </row>
    <row r="1107">
      <c r="A1107" s="142">
        <f>IFERROR(__xludf.DUMMYFUNCTION("""COMPUTED_VALUE"""),104.0)</f>
        <v>104</v>
      </c>
      <c r="C1107">
        <f>IFERROR(__xludf.DUMMYFUNCTION("""COMPUTED_VALUE"""),1014778.0)</f>
        <v>1014778</v>
      </c>
      <c r="D1107" t="str">
        <f>IFERROR(__xludf.DUMMYFUNCTION("""COMPUTED_VALUE"""),"Ms.")</f>
        <v>Ms.</v>
      </c>
      <c r="E1107" t="str">
        <f>IFERROR(__xludf.DUMMYFUNCTION("""COMPUTED_VALUE"""),"Parita")</f>
        <v>Parita</v>
      </c>
      <c r="F1107" t="str">
        <f>IFERROR(__xludf.DUMMYFUNCTION("""COMPUTED_VALUE"""),"Sutinanopas")</f>
        <v>Sutinanopas</v>
      </c>
      <c r="G1107" t="str">
        <f>IFERROR(__xludf.DUMMYFUNCTION("""COMPUTED_VALUE"""),"Parita Sutinanopas")</f>
        <v>Parita Sutinanopas</v>
      </c>
    </row>
    <row r="1108">
      <c r="A1108" s="142">
        <f>IFERROR(__xludf.DUMMYFUNCTION("""COMPUTED_VALUE"""),104.0)</f>
        <v>104</v>
      </c>
      <c r="C1108">
        <f>IFERROR(__xludf.DUMMYFUNCTION("""COMPUTED_VALUE"""),1018553.0)</f>
        <v>1018553</v>
      </c>
      <c r="D1108" t="str">
        <f>IFERROR(__xludf.DUMMYFUNCTION("""COMPUTED_VALUE"""),"Ms.")</f>
        <v>Ms.</v>
      </c>
      <c r="E1108" t="str">
        <f>IFERROR(__xludf.DUMMYFUNCTION("""COMPUTED_VALUE"""),"Kawisara")</f>
        <v>Kawisara</v>
      </c>
      <c r="F1108" t="str">
        <f>IFERROR(__xludf.DUMMYFUNCTION("""COMPUTED_VALUE"""),"Klinkesorn")</f>
        <v>Klinkesorn</v>
      </c>
      <c r="G1108" t="str">
        <f>IFERROR(__xludf.DUMMYFUNCTION("""COMPUTED_VALUE"""),"Kawisara Klinkesorn")</f>
        <v>Kawisara Klinkesorn</v>
      </c>
    </row>
    <row r="1110">
      <c r="A1110" s="142">
        <f>IFERROR(__xludf.DUMMYFUNCTION("""COMPUTED_VALUE"""),105.0)</f>
        <v>105</v>
      </c>
      <c r="C1110">
        <f>IFERROR(__xludf.DUMMYFUNCTION("""COMPUTED_VALUE"""),1040341.0)</f>
        <v>1040341</v>
      </c>
      <c r="D1110" t="str">
        <f>IFERROR(__xludf.DUMMYFUNCTION("""COMPUTED_VALUE"""),"Ms.")</f>
        <v>Ms.</v>
      </c>
      <c r="E1110" t="str">
        <f>IFERROR(__xludf.DUMMYFUNCTION("""COMPUTED_VALUE"""),"Adipa")</f>
        <v>Adipa</v>
      </c>
      <c r="F1110" t="str">
        <f>IFERROR(__xludf.DUMMYFUNCTION("""COMPUTED_VALUE"""),"Nilachart")</f>
        <v>Nilachart</v>
      </c>
      <c r="G1110" t="str">
        <f>IFERROR(__xludf.DUMMYFUNCTION("""COMPUTED_VALUE"""),"Adipa Nilachart")</f>
        <v>Adipa Nilachart</v>
      </c>
    </row>
    <row r="1111">
      <c r="A1111" s="142">
        <f>IFERROR(__xludf.DUMMYFUNCTION("""COMPUTED_VALUE"""),105.0)</f>
        <v>105</v>
      </c>
      <c r="C1111">
        <f>IFERROR(__xludf.DUMMYFUNCTION("""COMPUTED_VALUE"""),1040342.0)</f>
        <v>1040342</v>
      </c>
      <c r="D1111" t="str">
        <f>IFERROR(__xludf.DUMMYFUNCTION("""COMPUTED_VALUE"""),"Ms.")</f>
        <v>Ms.</v>
      </c>
      <c r="E1111" t="str">
        <f>IFERROR(__xludf.DUMMYFUNCTION("""COMPUTED_VALUE"""),"Areeya")</f>
        <v>Areeya</v>
      </c>
      <c r="F1111" t="str">
        <f>IFERROR(__xludf.DUMMYFUNCTION("""COMPUTED_VALUE"""),"Taleb")</f>
        <v>Taleb</v>
      </c>
      <c r="G1111" t="str">
        <f>IFERROR(__xludf.DUMMYFUNCTION("""COMPUTED_VALUE"""),"Areeya Taleb")</f>
        <v>Areeya Taleb</v>
      </c>
    </row>
    <row r="1112">
      <c r="A1112" s="142">
        <f>IFERROR(__xludf.DUMMYFUNCTION("""COMPUTED_VALUE"""),105.0)</f>
        <v>105</v>
      </c>
      <c r="C1112">
        <f>IFERROR(__xludf.DUMMYFUNCTION("""COMPUTED_VALUE"""),1040356.0)</f>
        <v>1040356</v>
      </c>
      <c r="D1112" t="str">
        <f>IFERROR(__xludf.DUMMYFUNCTION("""COMPUTED_VALUE"""),"Ms.")</f>
        <v>Ms.</v>
      </c>
      <c r="E1112" t="str">
        <f>IFERROR(__xludf.DUMMYFUNCTION("""COMPUTED_VALUE"""),"Benyapa")</f>
        <v>Benyapa</v>
      </c>
      <c r="F1112" t="str">
        <f>IFERROR(__xludf.DUMMYFUNCTION("""COMPUTED_VALUE"""),"Suyaai")</f>
        <v>Suyaai</v>
      </c>
      <c r="G1112" t="str">
        <f>IFERROR(__xludf.DUMMYFUNCTION("""COMPUTED_VALUE"""),"Benyapa Suyaai")</f>
        <v>Benyapa Suyaai</v>
      </c>
    </row>
    <row r="1113">
      <c r="A1113" s="142">
        <f>IFERROR(__xludf.DUMMYFUNCTION("""COMPUTED_VALUE"""),105.0)</f>
        <v>105</v>
      </c>
      <c r="C1113">
        <f>IFERROR(__xludf.DUMMYFUNCTION("""COMPUTED_VALUE"""),1040350.0)</f>
        <v>1040350</v>
      </c>
      <c r="D1113" t="str">
        <f>IFERROR(__xludf.DUMMYFUNCTION("""COMPUTED_VALUE"""),"Ms.")</f>
        <v>Ms.</v>
      </c>
      <c r="E1113" t="str">
        <f>IFERROR(__xludf.DUMMYFUNCTION("""COMPUTED_VALUE"""),"Busakorn")</f>
        <v>Busakorn</v>
      </c>
      <c r="F1113" t="str">
        <f>IFERROR(__xludf.DUMMYFUNCTION("""COMPUTED_VALUE"""),"Soonthonthaisri")</f>
        <v>Soonthonthaisri</v>
      </c>
      <c r="G1113" t="str">
        <f>IFERROR(__xludf.DUMMYFUNCTION("""COMPUTED_VALUE"""),"Busakorn Soonthonthaisri")</f>
        <v>Busakorn Soonthonthaisri</v>
      </c>
    </row>
    <row r="1114">
      <c r="A1114" s="142">
        <f>IFERROR(__xludf.DUMMYFUNCTION("""COMPUTED_VALUE"""),105.0)</f>
        <v>105</v>
      </c>
      <c r="C1114">
        <f>IFERROR(__xludf.DUMMYFUNCTION("""COMPUTED_VALUE"""),1040348.0)</f>
        <v>1040348</v>
      </c>
      <c r="D1114" t="str">
        <f>IFERROR(__xludf.DUMMYFUNCTION("""COMPUTED_VALUE"""),"Ms.")</f>
        <v>Ms.</v>
      </c>
      <c r="E1114" t="str">
        <f>IFERROR(__xludf.DUMMYFUNCTION("""COMPUTED_VALUE"""),"Chitsanucha")</f>
        <v>Chitsanucha</v>
      </c>
      <c r="F1114" t="str">
        <f>IFERROR(__xludf.DUMMYFUNCTION("""COMPUTED_VALUE"""),"Sanvanitpattana")</f>
        <v>Sanvanitpattana</v>
      </c>
      <c r="G1114" t="str">
        <f>IFERROR(__xludf.DUMMYFUNCTION("""COMPUTED_VALUE"""),"Chitsanucha Sanvanitpattana")</f>
        <v>Chitsanucha Sanvanitpattana</v>
      </c>
    </row>
    <row r="1115">
      <c r="A1115" s="142">
        <f>IFERROR(__xludf.DUMMYFUNCTION("""COMPUTED_VALUE"""),105.0)</f>
        <v>105</v>
      </c>
      <c r="C1115">
        <f>IFERROR(__xludf.DUMMYFUNCTION("""COMPUTED_VALUE"""),1040358.0)</f>
        <v>1040358</v>
      </c>
      <c r="D1115" t="str">
        <f>IFERROR(__xludf.DUMMYFUNCTION("""COMPUTED_VALUE"""),"Ms.")</f>
        <v>Ms.</v>
      </c>
      <c r="E1115" t="str">
        <f>IFERROR(__xludf.DUMMYFUNCTION("""COMPUTED_VALUE"""),"Dena")</f>
        <v>Dena</v>
      </c>
      <c r="F1115" t="str">
        <f>IFERROR(__xludf.DUMMYFUNCTION("""COMPUTED_VALUE"""),"Satthamanu")</f>
        <v>Satthamanu</v>
      </c>
      <c r="G1115" t="str">
        <f>IFERROR(__xludf.DUMMYFUNCTION("""COMPUTED_VALUE"""),"Dena Satthamanu")</f>
        <v>Dena Satthamanu</v>
      </c>
    </row>
    <row r="1116">
      <c r="A1116" s="142">
        <f>IFERROR(__xludf.DUMMYFUNCTION("""COMPUTED_VALUE"""),105.0)</f>
        <v>105</v>
      </c>
      <c r="C1116">
        <f>IFERROR(__xludf.DUMMYFUNCTION("""COMPUTED_VALUE"""),1040352.0)</f>
        <v>1040352</v>
      </c>
      <c r="D1116" t="str">
        <f>IFERROR(__xludf.DUMMYFUNCTION("""COMPUTED_VALUE"""),"Ms.")</f>
        <v>Ms.</v>
      </c>
      <c r="E1116" t="str">
        <f>IFERROR(__xludf.DUMMYFUNCTION("""COMPUTED_VALUE"""),"Jaksananapa")</f>
        <v>Jaksananapa</v>
      </c>
      <c r="F1116" t="str">
        <f>IFERROR(__xludf.DUMMYFUNCTION("""COMPUTED_VALUE"""),"Yingprayoon")</f>
        <v>Yingprayoon</v>
      </c>
      <c r="G1116" t="str">
        <f>IFERROR(__xludf.DUMMYFUNCTION("""COMPUTED_VALUE"""),"Jaksananapa Yingprayoon")</f>
        <v>Jaksananapa Yingprayoon</v>
      </c>
    </row>
    <row r="1117">
      <c r="A1117" s="142">
        <f>IFERROR(__xludf.DUMMYFUNCTION("""COMPUTED_VALUE"""),105.0)</f>
        <v>105</v>
      </c>
      <c r="C1117">
        <f>IFERROR(__xludf.DUMMYFUNCTION("""COMPUTED_VALUE"""),1040353.0)</f>
        <v>1040353</v>
      </c>
      <c r="D1117" t="str">
        <f>IFERROR(__xludf.DUMMYFUNCTION("""COMPUTED_VALUE"""),"Ms.")</f>
        <v>Ms.</v>
      </c>
      <c r="E1117" t="str">
        <f>IFERROR(__xludf.DUMMYFUNCTION("""COMPUTED_VALUE"""),"Khanthida")</f>
        <v>Khanthida</v>
      </c>
      <c r="F1117" t="str">
        <f>IFERROR(__xludf.DUMMYFUNCTION("""COMPUTED_VALUE"""),"Phethai")</f>
        <v>Phethai</v>
      </c>
      <c r="G1117" t="str">
        <f>IFERROR(__xludf.DUMMYFUNCTION("""COMPUTED_VALUE"""),"Khanthida Phethai")</f>
        <v>Khanthida Phethai</v>
      </c>
    </row>
    <row r="1118">
      <c r="A1118" s="142">
        <f>IFERROR(__xludf.DUMMYFUNCTION("""COMPUTED_VALUE"""),105.0)</f>
        <v>105</v>
      </c>
      <c r="C1118">
        <f>IFERROR(__xludf.DUMMYFUNCTION("""COMPUTED_VALUE"""),1040357.0)</f>
        <v>1040357</v>
      </c>
      <c r="D1118" t="str">
        <f>IFERROR(__xludf.DUMMYFUNCTION("""COMPUTED_VALUE"""),"Mr.")</f>
        <v>Mr.</v>
      </c>
      <c r="E1118" t="str">
        <f>IFERROR(__xludf.DUMMYFUNCTION("""COMPUTED_VALUE"""),"Korakot")</f>
        <v>Korakot</v>
      </c>
      <c r="F1118" t="str">
        <f>IFERROR(__xludf.DUMMYFUNCTION("""COMPUTED_VALUE"""),"Santisurat")</f>
        <v>Santisurat</v>
      </c>
      <c r="G1118" t="str">
        <f>IFERROR(__xludf.DUMMYFUNCTION("""COMPUTED_VALUE"""),"Korakot Santisurat")</f>
        <v>Korakot Santisurat</v>
      </c>
    </row>
    <row r="1119">
      <c r="A1119" s="142">
        <f>IFERROR(__xludf.DUMMYFUNCTION("""COMPUTED_VALUE"""),105.0)</f>
        <v>105</v>
      </c>
      <c r="C1119">
        <f>IFERROR(__xludf.DUMMYFUNCTION("""COMPUTED_VALUE"""),1040349.0)</f>
        <v>1040349</v>
      </c>
      <c r="D1119" t="str">
        <f>IFERROR(__xludf.DUMMYFUNCTION("""COMPUTED_VALUE"""),"Ms.")</f>
        <v>Ms.</v>
      </c>
      <c r="E1119" t="str">
        <f>IFERROR(__xludf.DUMMYFUNCTION("""COMPUTED_VALUE"""),"Kwanchanok")</f>
        <v>Kwanchanok</v>
      </c>
      <c r="F1119" t="str">
        <f>IFERROR(__xludf.DUMMYFUNCTION("""COMPUTED_VALUE"""),"Kositanont")</f>
        <v>Kositanont</v>
      </c>
      <c r="G1119" t="str">
        <f>IFERROR(__xludf.DUMMYFUNCTION("""COMPUTED_VALUE"""),"Kwanchanok Kositanont")</f>
        <v>Kwanchanok Kositanont</v>
      </c>
    </row>
    <row r="1120">
      <c r="A1120" s="142">
        <f>IFERROR(__xludf.DUMMYFUNCTION("""COMPUTED_VALUE"""),105.0)</f>
        <v>105</v>
      </c>
      <c r="C1120">
        <f>IFERROR(__xludf.DUMMYFUNCTION("""COMPUTED_VALUE"""),1040343.0)</f>
        <v>1040343</v>
      </c>
      <c r="D1120" t="str">
        <f>IFERROR(__xludf.DUMMYFUNCTION("""COMPUTED_VALUE"""),"Ms.")</f>
        <v>Ms.</v>
      </c>
      <c r="E1120" t="str">
        <f>IFERROR(__xludf.DUMMYFUNCTION("""COMPUTED_VALUE"""),"Sherlyn")</f>
        <v>Sherlyn</v>
      </c>
      <c r="F1120" t="str">
        <f>IFERROR(__xludf.DUMMYFUNCTION("""COMPUTED_VALUE"""),"Polmethakulluk")</f>
        <v>Polmethakulluk</v>
      </c>
      <c r="G1120" t="str">
        <f>IFERROR(__xludf.DUMMYFUNCTION("""COMPUTED_VALUE"""),"Sherlyn Polmethakulluk")</f>
        <v>Sherlyn Polmethakulluk</v>
      </c>
    </row>
    <row r="1121">
      <c r="A1121" s="142">
        <f>IFERROR(__xludf.DUMMYFUNCTION("""COMPUTED_VALUE"""),105.0)</f>
        <v>105</v>
      </c>
      <c r="C1121">
        <f>IFERROR(__xludf.DUMMYFUNCTION("""COMPUTED_VALUE"""),1040337.0)</f>
        <v>1040337</v>
      </c>
      <c r="D1121" t="str">
        <f>IFERROR(__xludf.DUMMYFUNCTION("""COMPUTED_VALUE"""),"Ms.")</f>
        <v>Ms.</v>
      </c>
      <c r="E1121" t="str">
        <f>IFERROR(__xludf.DUMMYFUNCTION("""COMPUTED_VALUE"""),"Monthicha")</f>
        <v>Monthicha</v>
      </c>
      <c r="F1121" t="str">
        <f>IFERROR(__xludf.DUMMYFUNCTION("""COMPUTED_VALUE"""),"Roschan")</f>
        <v>Roschan</v>
      </c>
      <c r="G1121" t="str">
        <f>IFERROR(__xludf.DUMMYFUNCTION("""COMPUTED_VALUE"""),"Monthicha Roschan")</f>
        <v>Monthicha Roschan</v>
      </c>
    </row>
    <row r="1122">
      <c r="A1122" s="142">
        <f>IFERROR(__xludf.DUMMYFUNCTION("""COMPUTED_VALUE"""),105.0)</f>
        <v>105</v>
      </c>
      <c r="C1122">
        <f>IFERROR(__xludf.DUMMYFUNCTION("""COMPUTED_VALUE"""),1040359.0)</f>
        <v>1040359</v>
      </c>
      <c r="D1122" t="str">
        <f>IFERROR(__xludf.DUMMYFUNCTION("""COMPUTED_VALUE"""),"Ms.")</f>
        <v>Ms.</v>
      </c>
      <c r="E1122" t="str">
        <f>IFERROR(__xludf.DUMMYFUNCTION("""COMPUTED_VALUE"""),"Naphaphon")</f>
        <v>Naphaphon</v>
      </c>
      <c r="F1122" t="str">
        <f>IFERROR(__xludf.DUMMYFUNCTION("""COMPUTED_VALUE"""),"Khakham")</f>
        <v>Khakham</v>
      </c>
      <c r="G1122" t="str">
        <f>IFERROR(__xludf.DUMMYFUNCTION("""COMPUTED_VALUE"""),"Naphaphon Khakham")</f>
        <v>Naphaphon Khakham</v>
      </c>
    </row>
    <row r="1123">
      <c r="A1123" s="142">
        <f>IFERROR(__xludf.DUMMYFUNCTION("""COMPUTED_VALUE"""),105.0)</f>
        <v>105</v>
      </c>
      <c r="C1123">
        <f>IFERROR(__xludf.DUMMYFUNCTION("""COMPUTED_VALUE"""),1040339.0)</f>
        <v>1040339</v>
      </c>
      <c r="D1123" t="str">
        <f>IFERROR(__xludf.DUMMYFUNCTION("""COMPUTED_VALUE"""),"Ms.")</f>
        <v>Ms.</v>
      </c>
      <c r="E1123" t="str">
        <f>IFERROR(__xludf.DUMMYFUNCTION("""COMPUTED_VALUE"""),"Nutthanita")</f>
        <v>Nutthanita</v>
      </c>
      <c r="F1123" t="str">
        <f>IFERROR(__xludf.DUMMYFUNCTION("""COMPUTED_VALUE"""),"Akarapasit")</f>
        <v>Akarapasit</v>
      </c>
      <c r="G1123" t="str">
        <f>IFERROR(__xludf.DUMMYFUNCTION("""COMPUTED_VALUE"""),"Nutthanita Akarapasit")</f>
        <v>Nutthanita Akarapasit</v>
      </c>
    </row>
    <row r="1124">
      <c r="A1124" s="142">
        <f>IFERROR(__xludf.DUMMYFUNCTION("""COMPUTED_VALUE"""),105.0)</f>
        <v>105</v>
      </c>
      <c r="C1124">
        <f>IFERROR(__xludf.DUMMYFUNCTION("""COMPUTED_VALUE"""),1040336.0)</f>
        <v>1040336</v>
      </c>
      <c r="D1124" t="str">
        <f>IFERROR(__xludf.DUMMYFUNCTION("""COMPUTED_VALUE"""),"Ms.")</f>
        <v>Ms.</v>
      </c>
      <c r="E1124" t="str">
        <f>IFERROR(__xludf.DUMMYFUNCTION("""COMPUTED_VALUE"""),"Patcharapan")</f>
        <v>Patcharapan</v>
      </c>
      <c r="F1124" t="str">
        <f>IFERROR(__xludf.DUMMYFUNCTION("""COMPUTED_VALUE"""),"Suwanmanee")</f>
        <v>Suwanmanee</v>
      </c>
      <c r="G1124" t="str">
        <f>IFERROR(__xludf.DUMMYFUNCTION("""COMPUTED_VALUE"""),"Patcharapan Suwanmanee")</f>
        <v>Patcharapan Suwanmanee</v>
      </c>
    </row>
    <row r="1125">
      <c r="A1125" s="142">
        <f>IFERROR(__xludf.DUMMYFUNCTION("""COMPUTED_VALUE"""),105.0)</f>
        <v>105</v>
      </c>
      <c r="C1125">
        <f>IFERROR(__xludf.DUMMYFUNCTION("""COMPUTED_VALUE"""),1040338.0)</f>
        <v>1040338</v>
      </c>
      <c r="D1125" t="str">
        <f>IFERROR(__xludf.DUMMYFUNCTION("""COMPUTED_VALUE"""),"Ms.")</f>
        <v>Ms.</v>
      </c>
      <c r="E1125" t="str">
        <f>IFERROR(__xludf.DUMMYFUNCTION("""COMPUTED_VALUE"""),"Piyakorn")</f>
        <v>Piyakorn</v>
      </c>
      <c r="F1125" t="str">
        <f>IFERROR(__xludf.DUMMYFUNCTION("""COMPUTED_VALUE"""),"Sripraphan")</f>
        <v>Sripraphan</v>
      </c>
      <c r="G1125" t="str">
        <f>IFERROR(__xludf.DUMMYFUNCTION("""COMPUTED_VALUE"""),"Piyakorn Sripraphan")</f>
        <v>Piyakorn Sripraphan</v>
      </c>
    </row>
    <row r="1126">
      <c r="A1126" s="142">
        <f>IFERROR(__xludf.DUMMYFUNCTION("""COMPUTED_VALUE"""),105.0)</f>
        <v>105</v>
      </c>
      <c r="C1126">
        <f>IFERROR(__xludf.DUMMYFUNCTION("""COMPUTED_VALUE"""),1040344.0)</f>
        <v>1040344</v>
      </c>
      <c r="D1126" t="str">
        <f>IFERROR(__xludf.DUMMYFUNCTION("""COMPUTED_VALUE"""),"Ms.")</f>
        <v>Ms.</v>
      </c>
      <c r="E1126" t="str">
        <f>IFERROR(__xludf.DUMMYFUNCTION("""COMPUTED_VALUE"""),"Rinlaphat")</f>
        <v>Rinlaphat</v>
      </c>
      <c r="F1126" t="str">
        <f>IFERROR(__xludf.DUMMYFUNCTION("""COMPUTED_VALUE"""),"Wattanadechrojkul")</f>
        <v>Wattanadechrojkul</v>
      </c>
      <c r="G1126" t="str">
        <f>IFERROR(__xludf.DUMMYFUNCTION("""COMPUTED_VALUE"""),"Rinlaphat Wattanadechrojkul")</f>
        <v>Rinlaphat Wattanadechrojkul</v>
      </c>
    </row>
    <row r="1127">
      <c r="A1127" s="142">
        <f>IFERROR(__xludf.DUMMYFUNCTION("""COMPUTED_VALUE"""),105.0)</f>
        <v>105</v>
      </c>
      <c r="C1127">
        <f>IFERROR(__xludf.DUMMYFUNCTION("""COMPUTED_VALUE"""),1040334.0)</f>
        <v>1040334</v>
      </c>
      <c r="D1127" t="str">
        <f>IFERROR(__xludf.DUMMYFUNCTION("""COMPUTED_VALUE"""),"Ms.")</f>
        <v>Ms.</v>
      </c>
      <c r="E1127" t="str">
        <f>IFERROR(__xludf.DUMMYFUNCTION("""COMPUTED_VALUE"""),"Switta")</f>
        <v>Switta</v>
      </c>
      <c r="F1127" t="str">
        <f>IFERROR(__xludf.DUMMYFUNCTION("""COMPUTED_VALUE"""),"Pongdontree")</f>
        <v>Pongdontree</v>
      </c>
      <c r="G1127" t="str">
        <f>IFERROR(__xludf.DUMMYFUNCTION("""COMPUTED_VALUE"""),"Switta Pongdontree")</f>
        <v>Switta Pongdontree</v>
      </c>
    </row>
    <row r="1128">
      <c r="A1128" s="142">
        <f>IFERROR(__xludf.DUMMYFUNCTION("""COMPUTED_VALUE"""),105.0)</f>
        <v>105</v>
      </c>
      <c r="B1128" t="str">
        <f>IFERROR(__xludf.DUMMYFUNCTION("""COMPUTED_VALUE"""),"MDIA")</f>
        <v>MDIA</v>
      </c>
      <c r="C1128">
        <f>IFERROR(__xludf.DUMMYFUNCTION("""COMPUTED_VALUE"""),1040347.0)</f>
        <v>1040347</v>
      </c>
      <c r="D1128" t="str">
        <f>IFERROR(__xludf.DUMMYFUNCTION("""COMPUTED_VALUE"""),"Ms.")</f>
        <v>Ms.</v>
      </c>
      <c r="E1128" t="str">
        <f>IFERROR(__xludf.DUMMYFUNCTION("""COMPUTED_VALUE"""),"Thatchanya")</f>
        <v>Thatchanya</v>
      </c>
      <c r="F1128" t="str">
        <f>IFERROR(__xludf.DUMMYFUNCTION("""COMPUTED_VALUE"""),"Wongsachayo")</f>
        <v>Wongsachayo</v>
      </c>
      <c r="G1128" t="str">
        <f>IFERROR(__xludf.DUMMYFUNCTION("""COMPUTED_VALUE"""),"Thatchanya Wongsachayo")</f>
        <v>Thatchanya Wongsachayo</v>
      </c>
    </row>
    <row r="1129">
      <c r="A1129" s="142">
        <f>IFERROR(__xludf.DUMMYFUNCTION("""COMPUTED_VALUE"""),105.0)</f>
        <v>105</v>
      </c>
      <c r="C1129">
        <f>IFERROR(__xludf.DUMMYFUNCTION("""COMPUTED_VALUE"""),1040333.0)</f>
        <v>1040333</v>
      </c>
      <c r="D1129" t="str">
        <f>IFERROR(__xludf.DUMMYFUNCTION("""COMPUTED_VALUE"""),"Ms.")</f>
        <v>Ms.</v>
      </c>
      <c r="E1129" t="str">
        <f>IFERROR(__xludf.DUMMYFUNCTION("""COMPUTED_VALUE"""),"Warisara")</f>
        <v>Warisara</v>
      </c>
      <c r="F1129" t="str">
        <f>IFERROR(__xludf.DUMMYFUNCTION("""COMPUTED_VALUE"""),"Chaoyut")</f>
        <v>Chaoyut</v>
      </c>
      <c r="G1129" t="str">
        <f>IFERROR(__xludf.DUMMYFUNCTION("""COMPUTED_VALUE"""),"Warisara Chaoyut")</f>
        <v>Warisara Chaoyut</v>
      </c>
    </row>
    <row r="1130">
      <c r="A1130" s="142">
        <f>IFERROR(__xludf.DUMMYFUNCTION("""COMPUTED_VALUE"""),105.0)</f>
        <v>105</v>
      </c>
      <c r="C1130">
        <f>IFERROR(__xludf.DUMMYFUNCTION("""COMPUTED_VALUE"""),1040332.0)</f>
        <v>1040332</v>
      </c>
      <c r="D1130" t="str">
        <f>IFERROR(__xludf.DUMMYFUNCTION("""COMPUTED_VALUE"""),"Ms.")</f>
        <v>Ms.</v>
      </c>
      <c r="E1130" t="str">
        <f>IFERROR(__xludf.DUMMYFUNCTION("""COMPUTED_VALUE"""),"Wijittra")</f>
        <v>Wijittra</v>
      </c>
      <c r="F1130" t="str">
        <f>IFERROR(__xludf.DUMMYFUNCTION("""COMPUTED_VALUE"""),"Asawasukhon")</f>
        <v>Asawasukhon</v>
      </c>
      <c r="G1130" t="str">
        <f>IFERROR(__xludf.DUMMYFUNCTION("""COMPUTED_VALUE"""),"Wijittra Asawasukhon")</f>
        <v>Wijittra Asawasukhon</v>
      </c>
    </row>
    <row r="1132">
      <c r="A1132" s="142">
        <f>IFERROR(__xludf.DUMMYFUNCTION("""COMPUTED_VALUE"""),106.0)</f>
        <v>106</v>
      </c>
      <c r="C1132">
        <f>IFERROR(__xludf.DUMMYFUNCTION("""COMPUTED_VALUE"""),1040505.0)</f>
        <v>1040505</v>
      </c>
      <c r="D1132" t="str">
        <f>IFERROR(__xludf.DUMMYFUNCTION("""COMPUTED_VALUE"""),"Ms.")</f>
        <v>Ms.</v>
      </c>
      <c r="E1132" t="str">
        <f>IFERROR(__xludf.DUMMYFUNCTION("""COMPUTED_VALUE"""),"Atchamaporn")</f>
        <v>Atchamaporn</v>
      </c>
      <c r="F1132" t="str">
        <f>IFERROR(__xludf.DUMMYFUNCTION("""COMPUTED_VALUE"""),"Pimrin")</f>
        <v>Pimrin</v>
      </c>
      <c r="G1132" t="str">
        <f>IFERROR(__xludf.DUMMYFUNCTION("""COMPUTED_VALUE"""),"Atchamaporn Pimrin")</f>
        <v>Atchamaporn Pimrin</v>
      </c>
    </row>
    <row r="1133">
      <c r="A1133" s="142">
        <f>IFERROR(__xludf.DUMMYFUNCTION("""COMPUTED_VALUE"""),106.0)</f>
        <v>106</v>
      </c>
      <c r="C1133">
        <f>IFERROR(__xludf.DUMMYFUNCTION("""COMPUTED_VALUE"""),1040506.0)</f>
        <v>1040506</v>
      </c>
      <c r="D1133" t="str">
        <f>IFERROR(__xludf.DUMMYFUNCTION("""COMPUTED_VALUE"""),"Ms.")</f>
        <v>Ms.</v>
      </c>
      <c r="E1133" t="str">
        <f>IFERROR(__xludf.DUMMYFUNCTION("""COMPUTED_VALUE"""),"Chomphunut")</f>
        <v>Chomphunut</v>
      </c>
      <c r="F1133" t="str">
        <f>IFERROR(__xludf.DUMMYFUNCTION("""COMPUTED_VALUE"""),"Detdutsadee")</f>
        <v>Detdutsadee</v>
      </c>
      <c r="G1133" t="str">
        <f>IFERROR(__xludf.DUMMYFUNCTION("""COMPUTED_VALUE"""),"Chomphunut Detdutsadee")</f>
        <v>Chomphunut Detdutsadee</v>
      </c>
    </row>
    <row r="1134">
      <c r="A1134" s="142">
        <f>IFERROR(__xludf.DUMMYFUNCTION("""COMPUTED_VALUE"""),106.0)</f>
        <v>106</v>
      </c>
      <c r="C1134">
        <f>IFERROR(__xludf.DUMMYFUNCTION("""COMPUTED_VALUE"""),1040507.0)</f>
        <v>1040507</v>
      </c>
      <c r="D1134" t="str">
        <f>IFERROR(__xludf.DUMMYFUNCTION("""COMPUTED_VALUE"""),"Ms.")</f>
        <v>Ms.</v>
      </c>
      <c r="E1134" t="str">
        <f>IFERROR(__xludf.DUMMYFUNCTION("""COMPUTED_VALUE"""),"Jenine")</f>
        <v>Jenine</v>
      </c>
      <c r="F1134" t="str">
        <f>IFERROR(__xludf.DUMMYFUNCTION("""COMPUTED_VALUE"""),"Satiranon")</f>
        <v>Satiranon</v>
      </c>
      <c r="G1134" t="str">
        <f>IFERROR(__xludf.DUMMYFUNCTION("""COMPUTED_VALUE"""),"Jenine Satiranon")</f>
        <v>Jenine Satiranon</v>
      </c>
    </row>
    <row r="1135">
      <c r="A1135" s="142">
        <f>IFERROR(__xludf.DUMMYFUNCTION("""COMPUTED_VALUE"""),106.0)</f>
        <v>106</v>
      </c>
      <c r="C1135">
        <f>IFERROR(__xludf.DUMMYFUNCTION("""COMPUTED_VALUE"""),1023167.0)</f>
        <v>1023167</v>
      </c>
      <c r="D1135" t="str">
        <f>IFERROR(__xludf.DUMMYFUNCTION("""COMPUTED_VALUE"""),"Ms.")</f>
        <v>Ms.</v>
      </c>
      <c r="E1135" t="str">
        <f>IFERROR(__xludf.DUMMYFUNCTION("""COMPUTED_VALUE"""),"Jiratchaya")</f>
        <v>Jiratchaya</v>
      </c>
      <c r="F1135" t="str">
        <f>IFERROR(__xludf.DUMMYFUNCTION("""COMPUTED_VALUE"""),"Ubonpitak")</f>
        <v>Ubonpitak</v>
      </c>
      <c r="G1135" t="str">
        <f>IFERROR(__xludf.DUMMYFUNCTION("""COMPUTED_VALUE"""),"Jiratchaya Ubonpitak")</f>
        <v>Jiratchaya Ubonpitak</v>
      </c>
    </row>
    <row r="1136">
      <c r="A1136" s="142">
        <f>IFERROR(__xludf.DUMMYFUNCTION("""COMPUTED_VALUE"""),106.0)</f>
        <v>106</v>
      </c>
      <c r="C1136">
        <f>IFERROR(__xludf.DUMMYFUNCTION("""COMPUTED_VALUE"""),1040508.0)</f>
        <v>1040508</v>
      </c>
      <c r="D1136" t="str">
        <f>IFERROR(__xludf.DUMMYFUNCTION("""COMPUTED_VALUE"""),"Ms.")</f>
        <v>Ms.</v>
      </c>
      <c r="E1136" t="str">
        <f>IFERROR(__xludf.DUMMYFUNCTION("""COMPUTED_VALUE"""),"Kittikan")</f>
        <v>Kittikan</v>
      </c>
      <c r="F1136" t="str">
        <f>IFERROR(__xludf.DUMMYFUNCTION("""COMPUTED_VALUE"""),"Wajanaruangthai")</f>
        <v>Wajanaruangthai</v>
      </c>
      <c r="G1136" t="str">
        <f>IFERROR(__xludf.DUMMYFUNCTION("""COMPUTED_VALUE"""),"Kittikan Wajanaruangthai")</f>
        <v>Kittikan Wajanaruangthai</v>
      </c>
    </row>
    <row r="1137">
      <c r="A1137" s="142">
        <f>IFERROR(__xludf.DUMMYFUNCTION("""COMPUTED_VALUE"""),106.0)</f>
        <v>106</v>
      </c>
      <c r="C1137">
        <f>IFERROR(__xludf.DUMMYFUNCTION("""COMPUTED_VALUE"""),1022986.0)</f>
        <v>1022986</v>
      </c>
      <c r="D1137" t="str">
        <f>IFERROR(__xludf.DUMMYFUNCTION("""COMPUTED_VALUE"""),"Ms.")</f>
        <v>Ms.</v>
      </c>
      <c r="E1137" t="str">
        <f>IFERROR(__xludf.DUMMYFUNCTION("""COMPUTED_VALUE"""),"Minthita")</f>
        <v>Minthita</v>
      </c>
      <c r="F1137" t="str">
        <f>IFERROR(__xludf.DUMMYFUNCTION("""COMPUTED_VALUE"""),"Kanchanapinpong")</f>
        <v>Kanchanapinpong</v>
      </c>
      <c r="G1137" t="str">
        <f>IFERROR(__xludf.DUMMYFUNCTION("""COMPUTED_VALUE"""),"Minthita Kanchanapinpong")</f>
        <v>Minthita Kanchanapinpong</v>
      </c>
    </row>
    <row r="1138">
      <c r="A1138" s="142">
        <f>IFERROR(__xludf.DUMMYFUNCTION("""COMPUTED_VALUE"""),106.0)</f>
        <v>106</v>
      </c>
      <c r="C1138">
        <f>IFERROR(__xludf.DUMMYFUNCTION("""COMPUTED_VALUE"""),1040509.0)</f>
        <v>1040509</v>
      </c>
      <c r="D1138" t="str">
        <f>IFERROR(__xludf.DUMMYFUNCTION("""COMPUTED_VALUE"""),"Ms.")</f>
        <v>Ms.</v>
      </c>
      <c r="E1138" t="str">
        <f>IFERROR(__xludf.DUMMYFUNCTION("""COMPUTED_VALUE"""),"Namita")</f>
        <v>Namita</v>
      </c>
      <c r="F1138" t="str">
        <f>IFERROR(__xludf.DUMMYFUNCTION("""COMPUTED_VALUE"""),"Sukanan")</f>
        <v>Sukanan</v>
      </c>
      <c r="G1138" t="str">
        <f>IFERROR(__xludf.DUMMYFUNCTION("""COMPUTED_VALUE"""),"Namita Sukanan")</f>
        <v>Namita Sukanan</v>
      </c>
    </row>
    <row r="1139">
      <c r="A1139" s="142">
        <f>IFERROR(__xludf.DUMMYFUNCTION("""COMPUTED_VALUE"""),106.0)</f>
        <v>106</v>
      </c>
      <c r="C1139">
        <f>IFERROR(__xludf.DUMMYFUNCTION("""COMPUTED_VALUE"""),1040510.0)</f>
        <v>1040510</v>
      </c>
      <c r="D1139" t="str">
        <f>IFERROR(__xludf.DUMMYFUNCTION("""COMPUTED_VALUE"""),"Ms.")</f>
        <v>Ms.</v>
      </c>
      <c r="E1139" t="str">
        <f>IFERROR(__xludf.DUMMYFUNCTION("""COMPUTED_VALUE"""),"Namwa")</f>
        <v>Namwa</v>
      </c>
      <c r="F1139" t="str">
        <f>IFERROR(__xludf.DUMMYFUNCTION("""COMPUTED_VALUE"""),"Paettrakul")</f>
        <v>Paettrakul</v>
      </c>
      <c r="G1139" t="str">
        <f>IFERROR(__xludf.DUMMYFUNCTION("""COMPUTED_VALUE"""),"Namwa Paettrakul")</f>
        <v>Namwa Paettrakul</v>
      </c>
    </row>
    <row r="1140">
      <c r="A1140" s="142">
        <f>IFERROR(__xludf.DUMMYFUNCTION("""COMPUTED_VALUE"""),106.0)</f>
        <v>106</v>
      </c>
      <c r="C1140">
        <f>IFERROR(__xludf.DUMMYFUNCTION("""COMPUTED_VALUE"""),1040512.0)</f>
        <v>1040512</v>
      </c>
      <c r="D1140" t="str">
        <f>IFERROR(__xludf.DUMMYFUNCTION("""COMPUTED_VALUE"""),"Ms.")</f>
        <v>Ms.</v>
      </c>
      <c r="E1140" t="str">
        <f>IFERROR(__xludf.DUMMYFUNCTION("""COMPUTED_VALUE"""),"Nichapa")</f>
        <v>Nichapa</v>
      </c>
      <c r="F1140" t="str">
        <f>IFERROR(__xludf.DUMMYFUNCTION("""COMPUTED_VALUE"""),"Punsuwan")</f>
        <v>Punsuwan</v>
      </c>
      <c r="G1140" t="str">
        <f>IFERROR(__xludf.DUMMYFUNCTION("""COMPUTED_VALUE"""),"Nichapa Punsuwan")</f>
        <v>Nichapa Punsuwan</v>
      </c>
    </row>
    <row r="1141">
      <c r="A1141" s="142">
        <f>IFERROR(__xludf.DUMMYFUNCTION("""COMPUTED_VALUE"""),106.0)</f>
        <v>106</v>
      </c>
      <c r="C1141">
        <f>IFERROR(__xludf.DUMMYFUNCTION("""COMPUTED_VALUE"""),1040514.0)</f>
        <v>1040514</v>
      </c>
      <c r="D1141" t="str">
        <f>IFERROR(__xludf.DUMMYFUNCTION("""COMPUTED_VALUE"""),"Ms.")</f>
        <v>Ms.</v>
      </c>
      <c r="E1141" t="str">
        <f>IFERROR(__xludf.DUMMYFUNCTION("""COMPUTED_VALUE"""),"Ploylada")</f>
        <v>Ploylada</v>
      </c>
      <c r="F1141" t="str">
        <f>IFERROR(__xludf.DUMMYFUNCTION("""COMPUTED_VALUE"""),"Phanitwaranan")</f>
        <v>Phanitwaranan</v>
      </c>
      <c r="G1141" t="str">
        <f>IFERROR(__xludf.DUMMYFUNCTION("""COMPUTED_VALUE"""),"Ploylada Phanitwaranan")</f>
        <v>Ploylada Phanitwaranan</v>
      </c>
    </row>
    <row r="1142">
      <c r="A1142" s="142">
        <f>IFERROR(__xludf.DUMMYFUNCTION("""COMPUTED_VALUE"""),106.0)</f>
        <v>106</v>
      </c>
      <c r="C1142">
        <f>IFERROR(__xludf.DUMMYFUNCTION("""COMPUTED_VALUE"""),1040516.0)</f>
        <v>1040516</v>
      </c>
      <c r="D1142" t="str">
        <f>IFERROR(__xludf.DUMMYFUNCTION("""COMPUTED_VALUE"""),"Ms.")</f>
        <v>Ms.</v>
      </c>
      <c r="E1142" t="str">
        <f>IFERROR(__xludf.DUMMYFUNCTION("""COMPUTED_VALUE"""),"Suchanan")</f>
        <v>Suchanan</v>
      </c>
      <c r="F1142" t="str">
        <f>IFERROR(__xludf.DUMMYFUNCTION("""COMPUTED_VALUE"""),"Chungsai")</f>
        <v>Chungsai</v>
      </c>
      <c r="G1142" t="str">
        <f>IFERROR(__xludf.DUMMYFUNCTION("""COMPUTED_VALUE"""),"Suchanan Chungsai")</f>
        <v>Suchanan Chungsai</v>
      </c>
    </row>
    <row r="1143">
      <c r="A1143" s="142">
        <f>IFERROR(__xludf.DUMMYFUNCTION("""COMPUTED_VALUE"""),106.0)</f>
        <v>106</v>
      </c>
      <c r="C1143">
        <f>IFERROR(__xludf.DUMMYFUNCTION("""COMPUTED_VALUE"""),1040518.0)</f>
        <v>1040518</v>
      </c>
      <c r="D1143" t="str">
        <f>IFERROR(__xludf.DUMMYFUNCTION("""COMPUTED_VALUE"""),"Ms.")</f>
        <v>Ms.</v>
      </c>
      <c r="E1143" t="str">
        <f>IFERROR(__xludf.DUMMYFUNCTION("""COMPUTED_VALUE"""),"Thanyarat")</f>
        <v>Thanyarat</v>
      </c>
      <c r="F1143" t="str">
        <f>IFERROR(__xludf.DUMMYFUNCTION("""COMPUTED_VALUE"""),"Kajornchaiyakul")</f>
        <v>Kajornchaiyakul</v>
      </c>
      <c r="G1143" t="str">
        <f>IFERROR(__xludf.DUMMYFUNCTION("""COMPUTED_VALUE"""),"Thanyarat Kajornchaiyakul")</f>
        <v>Thanyarat Kajornchaiyakul</v>
      </c>
    </row>
    <row r="1144">
      <c r="A1144" s="142">
        <f>IFERROR(__xludf.DUMMYFUNCTION("""COMPUTED_VALUE"""),106.0)</f>
        <v>106</v>
      </c>
      <c r="C1144">
        <f>IFERROR(__xludf.DUMMYFUNCTION("""COMPUTED_VALUE"""),1040519.0)</f>
        <v>1040519</v>
      </c>
      <c r="D1144" t="str">
        <f>IFERROR(__xludf.DUMMYFUNCTION("""COMPUTED_VALUE"""),"Ms.")</f>
        <v>Ms.</v>
      </c>
      <c r="E1144" t="str">
        <f>IFERROR(__xludf.DUMMYFUNCTION("""COMPUTED_VALUE"""),"Thatsani")</f>
        <v>Thatsani</v>
      </c>
      <c r="F1144" t="str">
        <f>IFERROR(__xludf.DUMMYFUNCTION("""COMPUTED_VALUE"""),"Saecai")</f>
        <v>Saecai</v>
      </c>
      <c r="G1144" t="str">
        <f>IFERROR(__xludf.DUMMYFUNCTION("""COMPUTED_VALUE"""),"Thatsani Saecai")</f>
        <v>Thatsani Saecai</v>
      </c>
    </row>
    <row r="1145">
      <c r="A1145" s="142">
        <f>IFERROR(__xludf.DUMMYFUNCTION("""COMPUTED_VALUE"""),106.0)</f>
        <v>106</v>
      </c>
      <c r="C1145">
        <f>IFERROR(__xludf.DUMMYFUNCTION("""COMPUTED_VALUE"""),1040520.0)</f>
        <v>1040520</v>
      </c>
      <c r="D1145" t="str">
        <f>IFERROR(__xludf.DUMMYFUNCTION("""COMPUTED_VALUE"""),"Ms.")</f>
        <v>Ms.</v>
      </c>
      <c r="E1145" t="str">
        <f>IFERROR(__xludf.DUMMYFUNCTION("""COMPUTED_VALUE"""),"Thitapron")</f>
        <v>Thitapron</v>
      </c>
      <c r="F1145" t="str">
        <f>IFERROR(__xludf.DUMMYFUNCTION("""COMPUTED_VALUE"""),"Rattanavichien")</f>
        <v>Rattanavichien</v>
      </c>
      <c r="G1145" t="str">
        <f>IFERROR(__xludf.DUMMYFUNCTION("""COMPUTED_VALUE"""),"Thitapron Rattanavichien")</f>
        <v>Thitapron Rattanavichien</v>
      </c>
    </row>
    <row r="1146">
      <c r="A1146" s="142">
        <f>IFERROR(__xludf.DUMMYFUNCTION("""COMPUTED_VALUE"""),106.0)</f>
        <v>106</v>
      </c>
      <c r="C1146">
        <f>IFERROR(__xludf.DUMMYFUNCTION("""COMPUTED_VALUE"""),1040521.0)</f>
        <v>1040521</v>
      </c>
      <c r="D1146" t="str">
        <f>IFERROR(__xludf.DUMMYFUNCTION("""COMPUTED_VALUE"""),"Ms.")</f>
        <v>Ms.</v>
      </c>
      <c r="E1146" t="str">
        <f>IFERROR(__xludf.DUMMYFUNCTION("""COMPUTED_VALUE"""),"Thunsuda")</f>
        <v>Thunsuda</v>
      </c>
      <c r="F1146" t="str">
        <f>IFERROR(__xludf.DUMMYFUNCTION("""COMPUTED_VALUE"""),"Kwawsibsam")</f>
        <v>Kwawsibsam</v>
      </c>
      <c r="G1146" t="str">
        <f>IFERROR(__xludf.DUMMYFUNCTION("""COMPUTED_VALUE"""),"Thunsuda Kwawsibsam")</f>
        <v>Thunsuda Kwawsibsam</v>
      </c>
    </row>
    <row r="1147">
      <c r="A1147" s="142">
        <f>IFERROR(__xludf.DUMMYFUNCTION("""COMPUTED_VALUE"""),106.0)</f>
        <v>106</v>
      </c>
      <c r="C1147">
        <f>IFERROR(__xludf.DUMMYFUNCTION("""COMPUTED_VALUE"""),1040522.0)</f>
        <v>1040522</v>
      </c>
      <c r="D1147" t="str">
        <f>IFERROR(__xludf.DUMMYFUNCTION("""COMPUTED_VALUE"""),"Ms.")</f>
        <v>Ms.</v>
      </c>
      <c r="E1147" t="str">
        <f>IFERROR(__xludf.DUMMYFUNCTION("""COMPUTED_VALUE"""),"Titapa")</f>
        <v>Titapa</v>
      </c>
      <c r="F1147" t="str">
        <f>IFERROR(__xludf.DUMMYFUNCTION("""COMPUTED_VALUE"""),"Tiyasoponjit")</f>
        <v>Tiyasoponjit</v>
      </c>
      <c r="G1147" t="str">
        <f>IFERROR(__xludf.DUMMYFUNCTION("""COMPUTED_VALUE"""),"Titapa Tiyasoponjit")</f>
        <v>Titapa Tiyasoponjit</v>
      </c>
    </row>
    <row r="1148">
      <c r="A1148" s="142">
        <f>IFERROR(__xludf.DUMMYFUNCTION("""COMPUTED_VALUE"""),106.0)</f>
        <v>106</v>
      </c>
      <c r="C1148">
        <f>IFERROR(__xludf.DUMMYFUNCTION("""COMPUTED_VALUE"""),1040524.0)</f>
        <v>1040524</v>
      </c>
      <c r="D1148" t="str">
        <f>IFERROR(__xludf.DUMMYFUNCTION("""COMPUTED_VALUE"""),"Ms.")</f>
        <v>Ms.</v>
      </c>
      <c r="E1148" t="str">
        <f>IFERROR(__xludf.DUMMYFUNCTION("""COMPUTED_VALUE"""),"Vipassara")</f>
        <v>Vipassara</v>
      </c>
      <c r="F1148" t="str">
        <f>IFERROR(__xludf.DUMMYFUNCTION("""COMPUTED_VALUE"""),"Cheepsaritdiphong")</f>
        <v>Cheepsaritdiphong</v>
      </c>
      <c r="G1148" t="str">
        <f>IFERROR(__xludf.DUMMYFUNCTION("""COMPUTED_VALUE"""),"Vipassara Cheepsaritdiphong")</f>
        <v>Vipassara Cheepsaritdiphong</v>
      </c>
    </row>
    <row r="1149">
      <c r="A1149" s="142">
        <f>IFERROR(__xludf.DUMMYFUNCTION("""COMPUTED_VALUE"""),106.0)</f>
        <v>106</v>
      </c>
      <c r="C1149">
        <f>IFERROR(__xludf.DUMMYFUNCTION("""COMPUTED_VALUE"""),1040525.0)</f>
        <v>1040525</v>
      </c>
      <c r="D1149" t="str">
        <f>IFERROR(__xludf.DUMMYFUNCTION("""COMPUTED_VALUE"""),"Ms.")</f>
        <v>Ms.</v>
      </c>
      <c r="E1149" t="str">
        <f>IFERROR(__xludf.DUMMYFUNCTION("""COMPUTED_VALUE"""),"Watsamon")</f>
        <v>Watsamon</v>
      </c>
      <c r="F1149" t="str">
        <f>IFERROR(__xludf.DUMMYFUNCTION("""COMPUTED_VALUE"""),"Buaphuean")</f>
        <v>Buaphuean</v>
      </c>
      <c r="G1149" t="str">
        <f>IFERROR(__xludf.DUMMYFUNCTION("""COMPUTED_VALUE"""),"Watsamon Buaphuean")</f>
        <v>Watsamon Buaphuean</v>
      </c>
    </row>
    <row r="1150">
      <c r="A1150" s="142">
        <f>IFERROR(__xludf.DUMMYFUNCTION("""COMPUTED_VALUE"""),106.0)</f>
        <v>106</v>
      </c>
      <c r="C1150">
        <f>IFERROR(__xludf.DUMMYFUNCTION("""COMPUTED_VALUE"""),1040526.0)</f>
        <v>1040526</v>
      </c>
      <c r="D1150" t="str">
        <f>IFERROR(__xludf.DUMMYFUNCTION("""COMPUTED_VALUE"""),"Ms.")</f>
        <v>Ms.</v>
      </c>
      <c r="E1150" t="str">
        <f>IFERROR(__xludf.DUMMYFUNCTION("""COMPUTED_VALUE"""),"Wichayakarn")</f>
        <v>Wichayakarn</v>
      </c>
      <c r="F1150" t="str">
        <f>IFERROR(__xludf.DUMMYFUNCTION("""COMPUTED_VALUE"""),"Wongsunthon")</f>
        <v>Wongsunthon</v>
      </c>
      <c r="G1150" t="str">
        <f>IFERROR(__xludf.DUMMYFUNCTION("""COMPUTED_VALUE"""),"Wichayakarn Wongsunthon")</f>
        <v>Wichayakarn Wongsunthon</v>
      </c>
    </row>
    <row r="1151">
      <c r="A1151" s="142">
        <f>IFERROR(__xludf.DUMMYFUNCTION("""COMPUTED_VALUE"""),106.0)</f>
        <v>106</v>
      </c>
      <c r="C1151">
        <f>IFERROR(__xludf.DUMMYFUNCTION("""COMPUTED_VALUE"""),1040527.0)</f>
        <v>1040527</v>
      </c>
      <c r="D1151" t="str">
        <f>IFERROR(__xludf.DUMMYFUNCTION("""COMPUTED_VALUE"""),"Ms.")</f>
        <v>Ms.</v>
      </c>
      <c r="E1151" t="str">
        <f>IFERROR(__xludf.DUMMYFUNCTION("""COMPUTED_VALUE"""),"Yasumin")</f>
        <v>Yasumin</v>
      </c>
      <c r="F1151" t="str">
        <f>IFERROR(__xludf.DUMMYFUNCTION("""COMPUTED_VALUE"""),"Yuenyong")</f>
        <v>Yuenyong</v>
      </c>
      <c r="G1151" t="str">
        <f>IFERROR(__xludf.DUMMYFUNCTION("""COMPUTED_VALUE"""),"Yasumin Yuenyong")</f>
        <v>Yasumin Yuenyong</v>
      </c>
    </row>
    <row r="1152">
      <c r="A1152" s="142">
        <f>IFERROR(__xludf.DUMMYFUNCTION("""COMPUTED_VALUE"""),106.0)</f>
        <v>106</v>
      </c>
      <c r="C1152">
        <f>IFERROR(__xludf.DUMMYFUNCTION("""COMPUTED_VALUE"""),1028736.0)</f>
        <v>1028736</v>
      </c>
      <c r="D1152" t="str">
        <f>IFERROR(__xludf.DUMMYFUNCTION("""COMPUTED_VALUE"""),"Ms.")</f>
        <v>Ms.</v>
      </c>
      <c r="E1152" t="str">
        <f>IFERROR(__xludf.DUMMYFUNCTION("""COMPUTED_VALUE"""),"Nutchanat")</f>
        <v>Nutchanat</v>
      </c>
      <c r="F1152" t="str">
        <f>IFERROR(__xludf.DUMMYFUNCTION("""COMPUTED_VALUE"""),"Tawong")</f>
        <v>Tawong</v>
      </c>
      <c r="G1152" t="str">
        <f>IFERROR(__xludf.DUMMYFUNCTION("""COMPUTED_VALUE"""),"Nutchanat Tawong")</f>
        <v>Nutchanat Tawong</v>
      </c>
    </row>
    <row r="1153">
      <c r="A1153" s="142">
        <f>IFERROR(__xludf.DUMMYFUNCTION("""COMPUTED_VALUE"""),106.0)</f>
        <v>106</v>
      </c>
      <c r="C1153">
        <f>IFERROR(__xludf.DUMMYFUNCTION("""COMPUTED_VALUE"""),1018573.0)</f>
        <v>1018573</v>
      </c>
      <c r="D1153" t="str">
        <f>IFERROR(__xludf.DUMMYFUNCTION("""COMPUTED_VALUE"""),"Mr.")</f>
        <v>Mr.</v>
      </c>
      <c r="E1153" t="str">
        <f>IFERROR(__xludf.DUMMYFUNCTION("""COMPUTED_VALUE"""),"Sutat")</f>
        <v>Sutat</v>
      </c>
      <c r="F1153" t="str">
        <f>IFERROR(__xludf.DUMMYFUNCTION("""COMPUTED_VALUE"""),"Chapchainai")</f>
        <v>Chapchainai</v>
      </c>
      <c r="G1153" t="str">
        <f>IFERROR(__xludf.DUMMYFUNCTION("""COMPUTED_VALUE"""),"Sutat Chapchainai")</f>
        <v>Sutat Chapchainai</v>
      </c>
    </row>
    <row r="1155">
      <c r="A1155" s="142">
        <f>IFERROR(__xludf.DUMMYFUNCTION("""COMPUTED_VALUE"""),107.0)</f>
        <v>107</v>
      </c>
      <c r="C1155">
        <f>IFERROR(__xludf.DUMMYFUNCTION("""COMPUTED_VALUE"""),1003199.0)</f>
        <v>1003199</v>
      </c>
      <c r="D1155" t="str">
        <f>IFERROR(__xludf.DUMMYFUNCTION("""COMPUTED_VALUE"""),"Ms.")</f>
        <v>Ms.</v>
      </c>
      <c r="E1155" t="str">
        <f>IFERROR(__xludf.DUMMYFUNCTION("""COMPUTED_VALUE"""),"Sumana")</f>
        <v>Sumana</v>
      </c>
      <c r="F1155" t="str">
        <f>IFERROR(__xludf.DUMMYFUNCTION("""COMPUTED_VALUE"""),"Chongkewtrakul")</f>
        <v>Chongkewtrakul</v>
      </c>
      <c r="G1155" t="str">
        <f>IFERROR(__xludf.DUMMYFUNCTION("""COMPUTED_VALUE"""),"Sumana Chongkewtrakul")</f>
        <v>Sumana Chongkewtrakul</v>
      </c>
    </row>
    <row r="1156">
      <c r="A1156" s="142">
        <f>IFERROR(__xludf.DUMMYFUNCTION("""COMPUTED_VALUE"""),107.0)</f>
        <v>107</v>
      </c>
      <c r="C1156">
        <f>IFERROR(__xludf.DUMMYFUNCTION("""COMPUTED_VALUE"""),1040813.0)</f>
        <v>1040813</v>
      </c>
      <c r="D1156" t="str">
        <f>IFERROR(__xludf.DUMMYFUNCTION("""COMPUTED_VALUE"""),"Ms.")</f>
        <v>Ms.</v>
      </c>
      <c r="E1156" t="str">
        <f>IFERROR(__xludf.DUMMYFUNCTION("""COMPUTED_VALUE"""),"Areeyaporn")</f>
        <v>Areeyaporn</v>
      </c>
      <c r="F1156" t="str">
        <f>IFERROR(__xludf.DUMMYFUNCTION("""COMPUTED_VALUE"""),"Korajak")</f>
        <v>Korajak</v>
      </c>
      <c r="G1156" t="str">
        <f>IFERROR(__xludf.DUMMYFUNCTION("""COMPUTED_VALUE"""),"Areeyaporn Korajak")</f>
        <v>Areeyaporn Korajak</v>
      </c>
    </row>
    <row r="1157">
      <c r="A1157" s="142">
        <f>IFERROR(__xludf.DUMMYFUNCTION("""COMPUTED_VALUE"""),107.0)</f>
        <v>107</v>
      </c>
      <c r="C1157">
        <f>IFERROR(__xludf.DUMMYFUNCTION("""COMPUTED_VALUE"""),1040860.0)</f>
        <v>1040860</v>
      </c>
      <c r="D1157" t="str">
        <f>IFERROR(__xludf.DUMMYFUNCTION("""COMPUTED_VALUE"""),"Ms.")</f>
        <v>Ms.</v>
      </c>
      <c r="E1157" t="str">
        <f>IFERROR(__xludf.DUMMYFUNCTION("""COMPUTED_VALUE"""),"Chananya")</f>
        <v>Chananya</v>
      </c>
      <c r="F1157" t="str">
        <f>IFERROR(__xludf.DUMMYFUNCTION("""COMPUTED_VALUE"""),"Srichamchoi")</f>
        <v>Srichamchoi</v>
      </c>
      <c r="G1157" t="str">
        <f>IFERROR(__xludf.DUMMYFUNCTION("""COMPUTED_VALUE"""),"Chananya Srichamchoi")</f>
        <v>Chananya Srichamchoi</v>
      </c>
    </row>
    <row r="1158">
      <c r="A1158" s="142">
        <f>IFERROR(__xludf.DUMMYFUNCTION("""COMPUTED_VALUE"""),107.0)</f>
        <v>107</v>
      </c>
      <c r="C1158">
        <f>IFERROR(__xludf.DUMMYFUNCTION("""COMPUTED_VALUE"""),1040861.0)</f>
        <v>1040861</v>
      </c>
      <c r="D1158" t="str">
        <f>IFERROR(__xludf.DUMMYFUNCTION("""COMPUTED_VALUE"""),"Ms.")</f>
        <v>Ms.</v>
      </c>
      <c r="E1158" t="str">
        <f>IFERROR(__xludf.DUMMYFUNCTION("""COMPUTED_VALUE"""),"Chanikan")</f>
        <v>Chanikan</v>
      </c>
      <c r="F1158" t="str">
        <f>IFERROR(__xludf.DUMMYFUNCTION("""COMPUTED_VALUE"""),"Naktongkaew")</f>
        <v>Naktongkaew</v>
      </c>
      <c r="G1158" t="str">
        <f>IFERROR(__xludf.DUMMYFUNCTION("""COMPUTED_VALUE"""),"Chanikan Naktongkaew")</f>
        <v>Chanikan Naktongkaew</v>
      </c>
    </row>
    <row r="1159">
      <c r="A1159" s="142">
        <f>IFERROR(__xludf.DUMMYFUNCTION("""COMPUTED_VALUE"""),107.0)</f>
        <v>107</v>
      </c>
      <c r="C1159">
        <f>IFERROR(__xludf.DUMMYFUNCTION("""COMPUTED_VALUE"""),1040862.0)</f>
        <v>1040862</v>
      </c>
      <c r="D1159" t="str">
        <f>IFERROR(__xludf.DUMMYFUNCTION("""COMPUTED_VALUE"""),"Ms.")</f>
        <v>Ms.</v>
      </c>
      <c r="E1159" t="str">
        <f>IFERROR(__xludf.DUMMYFUNCTION("""COMPUTED_VALUE"""),"Chatsita")</f>
        <v>Chatsita</v>
      </c>
      <c r="F1159" t="str">
        <f>IFERROR(__xludf.DUMMYFUNCTION("""COMPUTED_VALUE"""),"Kleekhajai")</f>
        <v>Kleekhajai</v>
      </c>
      <c r="G1159" t="str">
        <f>IFERROR(__xludf.DUMMYFUNCTION("""COMPUTED_VALUE"""),"Chatsita Kleekhajai")</f>
        <v>Chatsita Kleekhajai</v>
      </c>
    </row>
    <row r="1160">
      <c r="A1160" s="142">
        <f>IFERROR(__xludf.DUMMYFUNCTION("""COMPUTED_VALUE"""),107.0)</f>
        <v>107</v>
      </c>
      <c r="C1160">
        <f>IFERROR(__xludf.DUMMYFUNCTION("""COMPUTED_VALUE"""),1040863.0)</f>
        <v>1040863</v>
      </c>
      <c r="D1160" t="str">
        <f>IFERROR(__xludf.DUMMYFUNCTION("""COMPUTED_VALUE"""),"Ms.")</f>
        <v>Ms.</v>
      </c>
      <c r="E1160" t="str">
        <f>IFERROR(__xludf.DUMMYFUNCTION("""COMPUTED_VALUE"""),"Hathaithip")</f>
        <v>Hathaithip</v>
      </c>
      <c r="F1160" t="str">
        <f>IFERROR(__xludf.DUMMYFUNCTION("""COMPUTED_VALUE"""),"Tangwangmon")</f>
        <v>Tangwangmon</v>
      </c>
      <c r="G1160" t="str">
        <f>IFERROR(__xludf.DUMMYFUNCTION("""COMPUTED_VALUE"""),"Hathaithip Tangwangmon")</f>
        <v>Hathaithip Tangwangmon</v>
      </c>
    </row>
    <row r="1161">
      <c r="A1161" s="142">
        <f>IFERROR(__xludf.DUMMYFUNCTION("""COMPUTED_VALUE"""),107.0)</f>
        <v>107</v>
      </c>
      <c r="C1161">
        <f>IFERROR(__xludf.DUMMYFUNCTION("""COMPUTED_VALUE"""),1040864.0)</f>
        <v>1040864</v>
      </c>
      <c r="D1161" t="str">
        <f>IFERROR(__xludf.DUMMYFUNCTION("""COMPUTED_VALUE"""),"Ms.")</f>
        <v>Ms.</v>
      </c>
      <c r="E1161" t="str">
        <f>IFERROR(__xludf.DUMMYFUNCTION("""COMPUTED_VALUE"""),"Jaratpon")</f>
        <v>Jaratpon</v>
      </c>
      <c r="F1161" t="str">
        <f>IFERROR(__xludf.DUMMYFUNCTION("""COMPUTED_VALUE"""),"Saetong")</f>
        <v>Saetong</v>
      </c>
      <c r="G1161" t="str">
        <f>IFERROR(__xludf.DUMMYFUNCTION("""COMPUTED_VALUE"""),"Jaratpon Saetong")</f>
        <v>Jaratpon Saetong</v>
      </c>
    </row>
    <row r="1162">
      <c r="A1162" s="142">
        <f>IFERROR(__xludf.DUMMYFUNCTION("""COMPUTED_VALUE"""),107.0)</f>
        <v>107</v>
      </c>
      <c r="C1162">
        <f>IFERROR(__xludf.DUMMYFUNCTION("""COMPUTED_VALUE"""),1040865.0)</f>
        <v>1040865</v>
      </c>
      <c r="D1162" t="str">
        <f>IFERROR(__xludf.DUMMYFUNCTION("""COMPUTED_VALUE"""),"Ms.")</f>
        <v>Ms.</v>
      </c>
      <c r="E1162" t="str">
        <f>IFERROR(__xludf.DUMMYFUNCTION("""COMPUTED_VALUE"""),"Kantiya")</f>
        <v>Kantiya</v>
      </c>
      <c r="F1162" t="str">
        <f>IFERROR(__xludf.DUMMYFUNCTION("""COMPUTED_VALUE"""),"Hengprasert")</f>
        <v>Hengprasert</v>
      </c>
      <c r="G1162" t="str">
        <f>IFERROR(__xludf.DUMMYFUNCTION("""COMPUTED_VALUE"""),"Kantiya Hengprasert")</f>
        <v>Kantiya Hengprasert</v>
      </c>
    </row>
    <row r="1163">
      <c r="A1163" s="142">
        <f>IFERROR(__xludf.DUMMYFUNCTION("""COMPUTED_VALUE"""),107.0)</f>
        <v>107</v>
      </c>
      <c r="C1163">
        <f>IFERROR(__xludf.DUMMYFUNCTION("""COMPUTED_VALUE"""),1040866.0)</f>
        <v>1040866</v>
      </c>
      <c r="D1163" t="str">
        <f>IFERROR(__xludf.DUMMYFUNCTION("""COMPUTED_VALUE"""),"Ms.")</f>
        <v>Ms.</v>
      </c>
      <c r="E1163" t="str">
        <f>IFERROR(__xludf.DUMMYFUNCTION("""COMPUTED_VALUE"""),"Kesinee")</f>
        <v>Kesinee</v>
      </c>
      <c r="F1163" t="str">
        <f>IFERROR(__xludf.DUMMYFUNCTION("""COMPUTED_VALUE"""),"Kanha")</f>
        <v>Kanha</v>
      </c>
      <c r="G1163" t="str">
        <f>IFERROR(__xludf.DUMMYFUNCTION("""COMPUTED_VALUE"""),"Kesinee Kanha")</f>
        <v>Kesinee Kanha</v>
      </c>
    </row>
    <row r="1164">
      <c r="A1164" s="142">
        <f>IFERROR(__xludf.DUMMYFUNCTION("""COMPUTED_VALUE"""),107.0)</f>
        <v>107</v>
      </c>
      <c r="C1164">
        <f>IFERROR(__xludf.DUMMYFUNCTION("""COMPUTED_VALUE"""),1040868.0)</f>
        <v>1040868</v>
      </c>
      <c r="D1164" t="str">
        <f>IFERROR(__xludf.DUMMYFUNCTION("""COMPUTED_VALUE"""),"Ms.")</f>
        <v>Ms.</v>
      </c>
      <c r="E1164" t="str">
        <f>IFERROR(__xludf.DUMMYFUNCTION("""COMPUTED_VALUE"""),"Napatchakorn")</f>
        <v>Napatchakorn</v>
      </c>
      <c r="F1164" t="str">
        <f>IFERROR(__xludf.DUMMYFUNCTION("""COMPUTED_VALUE"""),"Khaminbut")</f>
        <v>Khaminbut</v>
      </c>
      <c r="G1164" t="str">
        <f>IFERROR(__xludf.DUMMYFUNCTION("""COMPUTED_VALUE"""),"Napatchakorn Khaminbut")</f>
        <v>Napatchakorn Khaminbut</v>
      </c>
    </row>
    <row r="1165">
      <c r="A1165" s="142">
        <f>IFERROR(__xludf.DUMMYFUNCTION("""COMPUTED_VALUE"""),107.0)</f>
        <v>107</v>
      </c>
      <c r="C1165">
        <f>IFERROR(__xludf.DUMMYFUNCTION("""COMPUTED_VALUE"""),1040869.0)</f>
        <v>1040869</v>
      </c>
      <c r="D1165" t="str">
        <f>IFERROR(__xludf.DUMMYFUNCTION("""COMPUTED_VALUE"""),"Ms.")</f>
        <v>Ms.</v>
      </c>
      <c r="E1165" t="str">
        <f>IFERROR(__xludf.DUMMYFUNCTION("""COMPUTED_VALUE"""),"Natachon")</f>
        <v>Natachon</v>
      </c>
      <c r="F1165" t="str">
        <f>IFERROR(__xludf.DUMMYFUNCTION("""COMPUTED_VALUE"""),"Boonpradit")</f>
        <v>Boonpradit</v>
      </c>
      <c r="G1165" t="str">
        <f>IFERROR(__xludf.DUMMYFUNCTION("""COMPUTED_VALUE"""),"Natachon Boonpradit")</f>
        <v>Natachon Boonpradit</v>
      </c>
    </row>
    <row r="1166">
      <c r="A1166" s="142">
        <f>IFERROR(__xludf.DUMMYFUNCTION("""COMPUTED_VALUE"""),107.0)</f>
        <v>107</v>
      </c>
      <c r="C1166">
        <f>IFERROR(__xludf.DUMMYFUNCTION("""COMPUTED_VALUE"""),1040870.0)</f>
        <v>1040870</v>
      </c>
      <c r="D1166" t="str">
        <f>IFERROR(__xludf.DUMMYFUNCTION("""COMPUTED_VALUE"""),"Ms.")</f>
        <v>Ms.</v>
      </c>
      <c r="E1166" t="str">
        <f>IFERROR(__xludf.DUMMYFUNCTION("""COMPUTED_VALUE"""),"Nipha")</f>
        <v>Nipha</v>
      </c>
      <c r="F1166" t="str">
        <f>IFERROR(__xludf.DUMMYFUNCTION("""COMPUTED_VALUE"""),"Thaveekijphokai")</f>
        <v>Thaveekijphokai</v>
      </c>
      <c r="G1166" t="str">
        <f>IFERROR(__xludf.DUMMYFUNCTION("""COMPUTED_VALUE"""),"Nipha Thaveekijphokai")</f>
        <v>Nipha Thaveekijphokai</v>
      </c>
    </row>
    <row r="1167">
      <c r="A1167" s="142">
        <f>IFERROR(__xludf.DUMMYFUNCTION("""COMPUTED_VALUE"""),107.0)</f>
        <v>107</v>
      </c>
      <c r="C1167">
        <f>IFERROR(__xludf.DUMMYFUNCTION("""COMPUTED_VALUE"""),1040871.0)</f>
        <v>1040871</v>
      </c>
      <c r="D1167" t="str">
        <f>IFERROR(__xludf.DUMMYFUNCTION("""COMPUTED_VALUE"""),"Ms.")</f>
        <v>Ms.</v>
      </c>
      <c r="E1167" t="str">
        <f>IFERROR(__xludf.DUMMYFUNCTION("""COMPUTED_VALUE"""),"Niraporn")</f>
        <v>Niraporn</v>
      </c>
      <c r="F1167" t="str">
        <f>IFERROR(__xludf.DUMMYFUNCTION("""COMPUTED_VALUE"""),"Soithong")</f>
        <v>Soithong</v>
      </c>
      <c r="G1167" t="str">
        <f>IFERROR(__xludf.DUMMYFUNCTION("""COMPUTED_VALUE"""),"Niraporn Soithong")</f>
        <v>Niraporn Soithong</v>
      </c>
    </row>
    <row r="1168">
      <c r="A1168" s="142">
        <f>IFERROR(__xludf.DUMMYFUNCTION("""COMPUTED_VALUE"""),107.0)</f>
        <v>107</v>
      </c>
      <c r="C1168">
        <f>IFERROR(__xludf.DUMMYFUNCTION("""COMPUTED_VALUE"""),1040874.0)</f>
        <v>1040874</v>
      </c>
      <c r="D1168" t="str">
        <f>IFERROR(__xludf.DUMMYFUNCTION("""COMPUTED_VALUE"""),"Ms.")</f>
        <v>Ms.</v>
      </c>
      <c r="E1168" t="str">
        <f>IFERROR(__xludf.DUMMYFUNCTION("""COMPUTED_VALUE"""),"Pairwa")</f>
        <v>Pairwa</v>
      </c>
      <c r="F1168" t="str">
        <f>IFERROR(__xludf.DUMMYFUNCTION("""COMPUTED_VALUE"""),"Suwan")</f>
        <v>Suwan</v>
      </c>
      <c r="G1168" t="str">
        <f>IFERROR(__xludf.DUMMYFUNCTION("""COMPUTED_VALUE"""),"Pairwa Suwan")</f>
        <v>Pairwa Suwan</v>
      </c>
    </row>
    <row r="1169">
      <c r="A1169" s="142">
        <f>IFERROR(__xludf.DUMMYFUNCTION("""COMPUTED_VALUE"""),107.0)</f>
        <v>107</v>
      </c>
      <c r="C1169">
        <f>IFERROR(__xludf.DUMMYFUNCTION("""COMPUTED_VALUE"""),1040875.0)</f>
        <v>1040875</v>
      </c>
      <c r="D1169" t="str">
        <f>IFERROR(__xludf.DUMMYFUNCTION("""COMPUTED_VALUE"""),"Ms.")</f>
        <v>Ms.</v>
      </c>
      <c r="E1169" t="str">
        <f>IFERROR(__xludf.DUMMYFUNCTION("""COMPUTED_VALUE"""),"Peerachaya")</f>
        <v>Peerachaya</v>
      </c>
      <c r="F1169" t="str">
        <f>IFERROR(__xludf.DUMMYFUNCTION("""COMPUTED_VALUE"""),"Wuttichonlapak")</f>
        <v>Wuttichonlapak</v>
      </c>
      <c r="G1169" t="str">
        <f>IFERROR(__xludf.DUMMYFUNCTION("""COMPUTED_VALUE"""),"Peerachaya Wuttichonlapak")</f>
        <v>Peerachaya Wuttichonlapak</v>
      </c>
    </row>
    <row r="1170">
      <c r="A1170" s="142">
        <f>IFERROR(__xludf.DUMMYFUNCTION("""COMPUTED_VALUE"""),107.0)</f>
        <v>107</v>
      </c>
      <c r="C1170">
        <f>IFERROR(__xludf.DUMMYFUNCTION("""COMPUTED_VALUE"""),1040876.0)</f>
        <v>1040876</v>
      </c>
      <c r="D1170" t="str">
        <f>IFERROR(__xludf.DUMMYFUNCTION("""COMPUTED_VALUE"""),"Ms.")</f>
        <v>Ms.</v>
      </c>
      <c r="E1170" t="str">
        <f>IFERROR(__xludf.DUMMYFUNCTION("""COMPUTED_VALUE"""),"Piangruethai")</f>
        <v>Piangruethai</v>
      </c>
      <c r="F1170" t="str">
        <f>IFERROR(__xludf.DUMMYFUNCTION("""COMPUTED_VALUE"""),"Prathumchompoo")</f>
        <v>Prathumchompoo</v>
      </c>
      <c r="G1170" t="str">
        <f>IFERROR(__xludf.DUMMYFUNCTION("""COMPUTED_VALUE"""),"Piangruethai Prathumchompoo")</f>
        <v>Piangruethai Prathumchompoo</v>
      </c>
    </row>
    <row r="1171">
      <c r="A1171" s="142">
        <f>IFERROR(__xludf.DUMMYFUNCTION("""COMPUTED_VALUE"""),107.0)</f>
        <v>107</v>
      </c>
      <c r="C1171">
        <f>IFERROR(__xludf.DUMMYFUNCTION("""COMPUTED_VALUE"""),1040877.0)</f>
        <v>1040877</v>
      </c>
      <c r="D1171" t="str">
        <f>IFERROR(__xludf.DUMMYFUNCTION("""COMPUTED_VALUE"""),"Ms.")</f>
        <v>Ms.</v>
      </c>
      <c r="E1171" t="str">
        <f>IFERROR(__xludf.DUMMYFUNCTION("""COMPUTED_VALUE"""),"Pitchayaporn")</f>
        <v>Pitchayaporn</v>
      </c>
      <c r="F1171" t="str">
        <f>IFERROR(__xludf.DUMMYFUNCTION("""COMPUTED_VALUE"""),"Uthaituraton")</f>
        <v>Uthaituraton</v>
      </c>
      <c r="G1171" t="str">
        <f>IFERROR(__xludf.DUMMYFUNCTION("""COMPUTED_VALUE"""),"Pitchayaporn Uthaituraton")</f>
        <v>Pitchayaporn Uthaituraton</v>
      </c>
    </row>
    <row r="1172">
      <c r="A1172" s="142">
        <f>IFERROR(__xludf.DUMMYFUNCTION("""COMPUTED_VALUE"""),107.0)</f>
        <v>107</v>
      </c>
      <c r="C1172">
        <f>IFERROR(__xludf.DUMMYFUNCTION("""COMPUTED_VALUE"""),1040879.0)</f>
        <v>1040879</v>
      </c>
      <c r="D1172" t="str">
        <f>IFERROR(__xludf.DUMMYFUNCTION("""COMPUTED_VALUE"""),"Ms.")</f>
        <v>Ms.</v>
      </c>
      <c r="E1172" t="str">
        <f>IFERROR(__xludf.DUMMYFUNCTION("""COMPUTED_VALUE"""),"Sirikorn")</f>
        <v>Sirikorn</v>
      </c>
      <c r="F1172" t="str">
        <f>IFERROR(__xludf.DUMMYFUNCTION("""COMPUTED_VALUE"""),"Phuakbangna")</f>
        <v>Phuakbangna</v>
      </c>
      <c r="G1172" t="str">
        <f>IFERROR(__xludf.DUMMYFUNCTION("""COMPUTED_VALUE"""),"Sirikorn Phuakbangna")</f>
        <v>Sirikorn Phuakbangna</v>
      </c>
    </row>
    <row r="1173">
      <c r="A1173" s="142">
        <f>IFERROR(__xludf.DUMMYFUNCTION("""COMPUTED_VALUE"""),107.0)</f>
        <v>107</v>
      </c>
      <c r="C1173">
        <f>IFERROR(__xludf.DUMMYFUNCTION("""COMPUTED_VALUE"""),1040911.0)</f>
        <v>1040911</v>
      </c>
      <c r="D1173" t="str">
        <f>IFERROR(__xludf.DUMMYFUNCTION("""COMPUTED_VALUE"""),"Ms.")</f>
        <v>Ms.</v>
      </c>
      <c r="E1173" t="str">
        <f>IFERROR(__xludf.DUMMYFUNCTION("""COMPUTED_VALUE"""),"Supanun")</f>
        <v>Supanun</v>
      </c>
      <c r="F1173" t="str">
        <f>IFERROR(__xludf.DUMMYFUNCTION("""COMPUTED_VALUE"""),"Suwanbongkot")</f>
        <v>Suwanbongkot</v>
      </c>
      <c r="G1173" t="str">
        <f>IFERROR(__xludf.DUMMYFUNCTION("""COMPUTED_VALUE"""),"Supanun Suwanbongkot")</f>
        <v>Supanun Suwanbongkot</v>
      </c>
    </row>
    <row r="1174">
      <c r="A1174" s="142">
        <f>IFERROR(__xludf.DUMMYFUNCTION("""COMPUTED_VALUE"""),107.0)</f>
        <v>107</v>
      </c>
      <c r="C1174">
        <f>IFERROR(__xludf.DUMMYFUNCTION("""COMPUTED_VALUE"""),1040912.0)</f>
        <v>1040912</v>
      </c>
      <c r="D1174" t="str">
        <f>IFERROR(__xludf.DUMMYFUNCTION("""COMPUTED_VALUE"""),"Ms.")</f>
        <v>Ms.</v>
      </c>
      <c r="E1174" t="str">
        <f>IFERROR(__xludf.DUMMYFUNCTION("""COMPUTED_VALUE"""),"Wesudanatcha")</f>
        <v>Wesudanatcha</v>
      </c>
      <c r="F1174" t="str">
        <f>IFERROR(__xludf.DUMMYFUNCTION("""COMPUTED_VALUE"""),"Hengsuwan")</f>
        <v>Hengsuwan</v>
      </c>
      <c r="G1174" t="str">
        <f>IFERROR(__xludf.DUMMYFUNCTION("""COMPUTED_VALUE"""),"Wesudanatcha Hengsuwan")</f>
        <v>Wesudanatcha Hengsuwan</v>
      </c>
    </row>
    <row r="1176">
      <c r="A1176" s="142">
        <f>IFERROR(__xludf.DUMMYFUNCTION("""COMPUTED_VALUE"""),108.0)</f>
        <v>108</v>
      </c>
      <c r="B1176" t="str">
        <f>IFERROR(__xludf.DUMMYFUNCTION("""COMPUTED_VALUE"""),"102 -&gt;108")</f>
        <v>102 -&gt;108</v>
      </c>
      <c r="C1176">
        <f>IFERROR(__xludf.DUMMYFUNCTION("""COMPUTED_VALUE"""),1010830.0)</f>
        <v>1010830</v>
      </c>
      <c r="D1176" t="str">
        <f>IFERROR(__xludf.DUMMYFUNCTION("""COMPUTED_VALUE"""),"Mrs.")</f>
        <v>Mrs.</v>
      </c>
      <c r="E1176" t="str">
        <f>IFERROR(__xludf.DUMMYFUNCTION("""COMPUTED_VALUE"""),"Maylada")</f>
        <v>Maylada</v>
      </c>
      <c r="F1176" t="str">
        <f>IFERROR(__xludf.DUMMYFUNCTION("""COMPUTED_VALUE"""),"Srithai")</f>
        <v>Srithai</v>
      </c>
      <c r="G1176" t="str">
        <f>IFERROR(__xludf.DUMMYFUNCTION("""COMPUTED_VALUE"""),"Maylada Srithai")</f>
        <v>Maylada Srithai</v>
      </c>
    </row>
    <row r="1177">
      <c r="A1177" s="142">
        <f>IFERROR(__xludf.DUMMYFUNCTION("""COMPUTED_VALUE"""),108.0)</f>
        <v>108</v>
      </c>
      <c r="B1177" t="str">
        <f>IFERROR(__xludf.DUMMYFUNCTION("""COMPUTED_VALUE"""),"22/11/2024")</f>
        <v>22/11/2024</v>
      </c>
      <c r="C1177">
        <f>IFERROR(__xludf.DUMMYFUNCTION("""COMPUTED_VALUE"""),1026025.0)</f>
        <v>1026025</v>
      </c>
      <c r="D1177" t="str">
        <f>IFERROR(__xludf.DUMMYFUNCTION("""COMPUTED_VALUE"""),"Ms.")</f>
        <v>Ms.</v>
      </c>
      <c r="E1177" t="str">
        <f>IFERROR(__xludf.DUMMYFUNCTION("""COMPUTED_VALUE"""),"Marisa")</f>
        <v>Marisa</v>
      </c>
      <c r="F1177" t="str">
        <f>IFERROR(__xludf.DUMMYFUNCTION("""COMPUTED_VALUE"""),"Homderm")</f>
        <v>Homderm</v>
      </c>
      <c r="G1177" t="str">
        <f>IFERROR(__xludf.DUMMYFUNCTION("""COMPUTED_VALUE"""),"Marisa Homderm")</f>
        <v>Marisa Homderm</v>
      </c>
    </row>
    <row r="1178">
      <c r="A1178" s="142">
        <f>IFERROR(__xludf.DUMMYFUNCTION("""COMPUTED_VALUE"""),108.0)</f>
        <v>108</v>
      </c>
      <c r="C1178">
        <f>IFERROR(__xludf.DUMMYFUNCTION("""COMPUTED_VALUE"""),1043860.0)</f>
        <v>1043860</v>
      </c>
      <c r="D1178" t="str">
        <f>IFERROR(__xludf.DUMMYFUNCTION("""COMPUTED_VALUE"""),"Ms.")</f>
        <v>Ms.</v>
      </c>
      <c r="E1178" t="str">
        <f>IFERROR(__xludf.DUMMYFUNCTION("""COMPUTED_VALUE"""),"Sunantarak")</f>
        <v>Sunantarak</v>
      </c>
      <c r="F1178" t="str">
        <f>IFERROR(__xludf.DUMMYFUNCTION("""COMPUTED_VALUE"""),"Borwornnantadej")</f>
        <v>Borwornnantadej</v>
      </c>
      <c r="G1178" t="str">
        <f>IFERROR(__xludf.DUMMYFUNCTION("""COMPUTED_VALUE"""),"Sunantarak Borwornnantadej")</f>
        <v>Sunantarak Borwornnantadej</v>
      </c>
    </row>
    <row r="1179">
      <c r="A1179" s="142">
        <f>IFERROR(__xludf.DUMMYFUNCTION("""COMPUTED_VALUE"""),108.0)</f>
        <v>108</v>
      </c>
      <c r="C1179">
        <f>IFERROR(__xludf.DUMMYFUNCTION("""COMPUTED_VALUE"""),1043861.0)</f>
        <v>1043861</v>
      </c>
      <c r="D1179" t="str">
        <f>IFERROR(__xludf.DUMMYFUNCTION("""COMPUTED_VALUE"""),"Mr.")</f>
        <v>Mr.</v>
      </c>
      <c r="E1179" t="str">
        <f>IFERROR(__xludf.DUMMYFUNCTION("""COMPUTED_VALUE"""),"Chonkaseam")</f>
        <v>Chonkaseam</v>
      </c>
      <c r="F1179" t="str">
        <f>IFERROR(__xludf.DUMMYFUNCTION("""COMPUTED_VALUE"""),"Borisuth")</f>
        <v>Borisuth</v>
      </c>
      <c r="G1179" t="str">
        <f>IFERROR(__xludf.DUMMYFUNCTION("""COMPUTED_VALUE"""),"Chonkaseam Borisuth")</f>
        <v>Chonkaseam Borisuth</v>
      </c>
    </row>
    <row r="1180">
      <c r="A1180" s="142">
        <f>IFERROR(__xludf.DUMMYFUNCTION("""COMPUTED_VALUE"""),108.0)</f>
        <v>108</v>
      </c>
      <c r="C1180">
        <f>IFERROR(__xludf.DUMMYFUNCTION("""COMPUTED_VALUE"""),1043862.0)</f>
        <v>1043862</v>
      </c>
      <c r="D1180" t="str">
        <f>IFERROR(__xludf.DUMMYFUNCTION("""COMPUTED_VALUE"""),"Ms.")</f>
        <v>Ms.</v>
      </c>
      <c r="E1180" t="str">
        <f>IFERROR(__xludf.DUMMYFUNCTION("""COMPUTED_VALUE"""),"Pansita")</f>
        <v>Pansita</v>
      </c>
      <c r="F1180" t="str">
        <f>IFERROR(__xludf.DUMMYFUNCTION("""COMPUTED_VALUE"""),"Jansavang")</f>
        <v>Jansavang</v>
      </c>
      <c r="G1180" t="str">
        <f>IFERROR(__xludf.DUMMYFUNCTION("""COMPUTED_VALUE"""),"Pansita Jansavang")</f>
        <v>Pansita Jansavang</v>
      </c>
    </row>
    <row r="1181">
      <c r="A1181" s="142">
        <f>IFERROR(__xludf.DUMMYFUNCTION("""COMPUTED_VALUE"""),108.0)</f>
        <v>108</v>
      </c>
      <c r="C1181">
        <f>IFERROR(__xludf.DUMMYFUNCTION("""COMPUTED_VALUE"""),1043863.0)</f>
        <v>1043863</v>
      </c>
      <c r="D1181" t="str">
        <f>IFERROR(__xludf.DUMMYFUNCTION("""COMPUTED_VALUE"""),"Ms.")</f>
        <v>Ms.</v>
      </c>
      <c r="E1181" t="str">
        <f>IFERROR(__xludf.DUMMYFUNCTION("""COMPUTED_VALUE"""),"Paritchamon")</f>
        <v>Paritchamon</v>
      </c>
      <c r="F1181" t="str">
        <f>IFERROR(__xludf.DUMMYFUNCTION("""COMPUTED_VALUE"""),"Seomphong")</f>
        <v>Seomphong</v>
      </c>
      <c r="G1181" t="str">
        <f>IFERROR(__xludf.DUMMYFUNCTION("""COMPUTED_VALUE"""),"Paritchamon Seomphong")</f>
        <v>Paritchamon Seomphong</v>
      </c>
    </row>
    <row r="1182">
      <c r="A1182" s="142">
        <f>IFERROR(__xludf.DUMMYFUNCTION("""COMPUTED_VALUE"""),108.0)</f>
        <v>108</v>
      </c>
      <c r="C1182">
        <f>IFERROR(__xludf.DUMMYFUNCTION("""COMPUTED_VALUE"""),1043864.0)</f>
        <v>1043864</v>
      </c>
      <c r="D1182" t="str">
        <f>IFERROR(__xludf.DUMMYFUNCTION("""COMPUTED_VALUE"""),"Ms.")</f>
        <v>Ms.</v>
      </c>
      <c r="E1182" t="str">
        <f>IFERROR(__xludf.DUMMYFUNCTION("""COMPUTED_VALUE"""),"Natnaree")</f>
        <v>Natnaree</v>
      </c>
      <c r="F1182" t="str">
        <f>IFERROR(__xludf.DUMMYFUNCTION("""COMPUTED_VALUE"""),"Phithakphakorn")</f>
        <v>Phithakphakorn</v>
      </c>
      <c r="G1182" t="str">
        <f>IFERROR(__xludf.DUMMYFUNCTION("""COMPUTED_VALUE"""),"Natnaree Phithakphakorn")</f>
        <v>Natnaree Phithakphakorn</v>
      </c>
    </row>
    <row r="1183">
      <c r="A1183" s="142">
        <f>IFERROR(__xludf.DUMMYFUNCTION("""COMPUTED_VALUE"""),108.0)</f>
        <v>108</v>
      </c>
      <c r="C1183">
        <f>IFERROR(__xludf.DUMMYFUNCTION("""COMPUTED_VALUE"""),1043865.0)</f>
        <v>1043865</v>
      </c>
      <c r="D1183" t="str">
        <f>IFERROR(__xludf.DUMMYFUNCTION("""COMPUTED_VALUE"""),"Ms.")</f>
        <v>Ms.</v>
      </c>
      <c r="E1183" t="str">
        <f>IFERROR(__xludf.DUMMYFUNCTION("""COMPUTED_VALUE"""),"Wiphada")</f>
        <v>Wiphada</v>
      </c>
      <c r="F1183" t="str">
        <f>IFERROR(__xludf.DUMMYFUNCTION("""COMPUTED_VALUE"""),"Kumraksa")</f>
        <v>Kumraksa</v>
      </c>
      <c r="G1183" t="str">
        <f>IFERROR(__xludf.DUMMYFUNCTION("""COMPUTED_VALUE"""),"Wiphada Kumraksa")</f>
        <v>Wiphada Kumraksa</v>
      </c>
    </row>
    <row r="1184">
      <c r="A1184" s="142">
        <f>IFERROR(__xludf.DUMMYFUNCTION("""COMPUTED_VALUE"""),108.0)</f>
        <v>108</v>
      </c>
      <c r="C1184">
        <f>IFERROR(__xludf.DUMMYFUNCTION("""COMPUTED_VALUE"""),1043866.0)</f>
        <v>1043866</v>
      </c>
      <c r="D1184" t="str">
        <f>IFERROR(__xludf.DUMMYFUNCTION("""COMPUTED_VALUE"""),"Ms.")</f>
        <v>Ms.</v>
      </c>
      <c r="E1184" t="str">
        <f>IFERROR(__xludf.DUMMYFUNCTION("""COMPUTED_VALUE"""),"Jiranan")</f>
        <v>Jiranan</v>
      </c>
      <c r="F1184" t="str">
        <f>IFERROR(__xludf.DUMMYFUNCTION("""COMPUTED_VALUE"""),"Lanjakornhielan")</f>
        <v>Lanjakornhielan</v>
      </c>
      <c r="G1184" t="str">
        <f>IFERROR(__xludf.DUMMYFUNCTION("""COMPUTED_VALUE"""),"Jiranan Lanjakornhielan")</f>
        <v>Jiranan Lanjakornhielan</v>
      </c>
    </row>
    <row r="1185">
      <c r="A1185" s="142">
        <f>IFERROR(__xludf.DUMMYFUNCTION("""COMPUTED_VALUE"""),108.0)</f>
        <v>108</v>
      </c>
      <c r="C1185">
        <f>IFERROR(__xludf.DUMMYFUNCTION("""COMPUTED_VALUE"""),1043867.0)</f>
        <v>1043867</v>
      </c>
      <c r="D1185" t="str">
        <f>IFERROR(__xludf.DUMMYFUNCTION("""COMPUTED_VALUE"""),"Ms.")</f>
        <v>Ms.</v>
      </c>
      <c r="E1185" t="str">
        <f>IFERROR(__xludf.DUMMYFUNCTION("""COMPUTED_VALUE"""),"Petcharat")</f>
        <v>Petcharat</v>
      </c>
      <c r="F1185" t="str">
        <f>IFERROR(__xludf.DUMMYFUNCTION("""COMPUTED_VALUE"""),"Jitnarong")</f>
        <v>Jitnarong</v>
      </c>
      <c r="G1185" t="str">
        <f>IFERROR(__xludf.DUMMYFUNCTION("""COMPUTED_VALUE"""),"Petcharat Jitnarong")</f>
        <v>Petcharat Jitnarong</v>
      </c>
    </row>
    <row r="1186">
      <c r="A1186" s="142">
        <f>IFERROR(__xludf.DUMMYFUNCTION("""COMPUTED_VALUE"""),108.0)</f>
        <v>108</v>
      </c>
      <c r="C1186">
        <f>IFERROR(__xludf.DUMMYFUNCTION("""COMPUTED_VALUE"""),1043868.0)</f>
        <v>1043868</v>
      </c>
      <c r="D1186" t="str">
        <f>IFERROR(__xludf.DUMMYFUNCTION("""COMPUTED_VALUE"""),"Ms.")</f>
        <v>Ms.</v>
      </c>
      <c r="E1186" t="str">
        <f>IFERROR(__xludf.DUMMYFUNCTION("""COMPUTED_VALUE"""),"Sutida")</f>
        <v>Sutida</v>
      </c>
      <c r="F1186" t="str">
        <f>IFERROR(__xludf.DUMMYFUNCTION("""COMPUTED_VALUE"""),"Srisuwantada")</f>
        <v>Srisuwantada</v>
      </c>
      <c r="G1186" t="str">
        <f>IFERROR(__xludf.DUMMYFUNCTION("""COMPUTED_VALUE"""),"Sutida Srisuwantada")</f>
        <v>Sutida Srisuwantada</v>
      </c>
    </row>
    <row r="1187">
      <c r="A1187" s="142">
        <f>IFERROR(__xludf.DUMMYFUNCTION("""COMPUTED_VALUE"""),108.0)</f>
        <v>108</v>
      </c>
      <c r="C1187">
        <f>IFERROR(__xludf.DUMMYFUNCTION("""COMPUTED_VALUE"""),1043869.0)</f>
        <v>1043869</v>
      </c>
      <c r="D1187" t="str">
        <f>IFERROR(__xludf.DUMMYFUNCTION("""COMPUTED_VALUE"""),"Mr.")</f>
        <v>Mr.</v>
      </c>
      <c r="E1187" t="str">
        <f>IFERROR(__xludf.DUMMYFUNCTION("""COMPUTED_VALUE"""),"Jaturong")</f>
        <v>Jaturong</v>
      </c>
      <c r="F1187" t="str">
        <f>IFERROR(__xludf.DUMMYFUNCTION("""COMPUTED_VALUE"""),"Phomhom")</f>
        <v>Phomhom</v>
      </c>
      <c r="G1187" t="str">
        <f>IFERROR(__xludf.DUMMYFUNCTION("""COMPUTED_VALUE"""),"Jaturong Phomhom")</f>
        <v>Jaturong Phomhom</v>
      </c>
    </row>
    <row r="1188">
      <c r="A1188" s="142">
        <f>IFERROR(__xludf.DUMMYFUNCTION("""COMPUTED_VALUE"""),108.0)</f>
        <v>108</v>
      </c>
      <c r="C1188">
        <f>IFERROR(__xludf.DUMMYFUNCTION("""COMPUTED_VALUE"""),1043870.0)</f>
        <v>1043870</v>
      </c>
      <c r="D1188" t="str">
        <f>IFERROR(__xludf.DUMMYFUNCTION("""COMPUTED_VALUE"""),"Ms.")</f>
        <v>Ms.</v>
      </c>
      <c r="E1188" t="str">
        <f>IFERROR(__xludf.DUMMYFUNCTION("""COMPUTED_VALUE"""),"Daranphon")</f>
        <v>Daranphon</v>
      </c>
      <c r="F1188" t="str">
        <f>IFERROR(__xludf.DUMMYFUNCTION("""COMPUTED_VALUE"""),"Chaikiatchanyaphon")</f>
        <v>Chaikiatchanyaphon</v>
      </c>
      <c r="G1188" t="str">
        <f>IFERROR(__xludf.DUMMYFUNCTION("""COMPUTED_VALUE"""),"Daranphon Chaikiatchanyaphon")</f>
        <v>Daranphon Chaikiatchanyaphon</v>
      </c>
    </row>
    <row r="1189">
      <c r="A1189" s="142">
        <f>IFERROR(__xludf.DUMMYFUNCTION("""COMPUTED_VALUE"""),108.0)</f>
        <v>108</v>
      </c>
      <c r="C1189">
        <f>IFERROR(__xludf.DUMMYFUNCTION("""COMPUTED_VALUE"""),1043871.0)</f>
        <v>1043871</v>
      </c>
      <c r="D1189" t="str">
        <f>IFERROR(__xludf.DUMMYFUNCTION("""COMPUTED_VALUE"""),"Ms.")</f>
        <v>Ms.</v>
      </c>
      <c r="E1189" t="str">
        <f>IFERROR(__xludf.DUMMYFUNCTION("""COMPUTED_VALUE"""),"Waleerat")</f>
        <v>Waleerat</v>
      </c>
      <c r="F1189" t="str">
        <f>IFERROR(__xludf.DUMMYFUNCTION("""COMPUTED_VALUE"""),"Thaworn")</f>
        <v>Thaworn</v>
      </c>
      <c r="G1189" t="str">
        <f>IFERROR(__xludf.DUMMYFUNCTION("""COMPUTED_VALUE"""),"Waleerat Thaworn")</f>
        <v>Waleerat Thaworn</v>
      </c>
    </row>
    <row r="1190">
      <c r="A1190" s="142">
        <f>IFERROR(__xludf.DUMMYFUNCTION("""COMPUTED_VALUE"""),108.0)</f>
        <v>108</v>
      </c>
      <c r="C1190">
        <f>IFERROR(__xludf.DUMMYFUNCTION("""COMPUTED_VALUE"""),1043872.0)</f>
        <v>1043872</v>
      </c>
      <c r="D1190" t="str">
        <f>IFERROR(__xludf.DUMMYFUNCTION("""COMPUTED_VALUE"""),"Ms.")</f>
        <v>Ms.</v>
      </c>
      <c r="E1190" t="str">
        <f>IFERROR(__xludf.DUMMYFUNCTION("""COMPUTED_VALUE"""),"Phatreeya")</f>
        <v>Phatreeya</v>
      </c>
      <c r="F1190" t="str">
        <f>IFERROR(__xludf.DUMMYFUNCTION("""COMPUTED_VALUE"""),"Chanurai")</f>
        <v>Chanurai</v>
      </c>
      <c r="G1190" t="str">
        <f>IFERROR(__xludf.DUMMYFUNCTION("""COMPUTED_VALUE"""),"Phatreeya Chanurai")</f>
        <v>Phatreeya Chanurai</v>
      </c>
    </row>
    <row r="1191">
      <c r="A1191" s="142">
        <f>IFERROR(__xludf.DUMMYFUNCTION("""COMPUTED_VALUE"""),108.0)</f>
        <v>108</v>
      </c>
      <c r="C1191">
        <f>IFERROR(__xludf.DUMMYFUNCTION("""COMPUTED_VALUE"""),1043873.0)</f>
        <v>1043873</v>
      </c>
      <c r="D1191" t="str">
        <f>IFERROR(__xludf.DUMMYFUNCTION("""COMPUTED_VALUE"""),"Ms.")</f>
        <v>Ms.</v>
      </c>
      <c r="E1191" t="str">
        <f>IFERROR(__xludf.DUMMYFUNCTION("""COMPUTED_VALUE"""),"Thansinee")</f>
        <v>Thansinee</v>
      </c>
      <c r="F1191" t="str">
        <f>IFERROR(__xludf.DUMMYFUNCTION("""COMPUTED_VALUE"""),"Pankaew")</f>
        <v>Pankaew</v>
      </c>
      <c r="G1191" t="str">
        <f>IFERROR(__xludf.DUMMYFUNCTION("""COMPUTED_VALUE"""),"Thansinee Pankaew")</f>
        <v>Thansinee Pankaew</v>
      </c>
    </row>
    <row r="1192">
      <c r="A1192" s="142">
        <f>IFERROR(__xludf.DUMMYFUNCTION("""COMPUTED_VALUE"""),108.0)</f>
        <v>108</v>
      </c>
      <c r="C1192">
        <f>IFERROR(__xludf.DUMMYFUNCTION("""COMPUTED_VALUE"""),1043874.0)</f>
        <v>1043874</v>
      </c>
      <c r="D1192" t="str">
        <f>IFERROR(__xludf.DUMMYFUNCTION("""COMPUTED_VALUE"""),"Ms.")</f>
        <v>Ms.</v>
      </c>
      <c r="E1192" t="str">
        <f>IFERROR(__xludf.DUMMYFUNCTION("""COMPUTED_VALUE"""),"Weerada")</f>
        <v>Weerada</v>
      </c>
      <c r="F1192" t="str">
        <f>IFERROR(__xludf.DUMMYFUNCTION("""COMPUTED_VALUE"""),"Tossaporn")</f>
        <v>Tossaporn</v>
      </c>
      <c r="G1192" t="str">
        <f>IFERROR(__xludf.DUMMYFUNCTION("""COMPUTED_VALUE"""),"Weerada Tossaporn")</f>
        <v>Weerada Tossaporn</v>
      </c>
    </row>
    <row r="1193">
      <c r="A1193" s="142">
        <f>IFERROR(__xludf.DUMMYFUNCTION("""COMPUTED_VALUE"""),108.0)</f>
        <v>108</v>
      </c>
      <c r="C1193">
        <f>IFERROR(__xludf.DUMMYFUNCTION("""COMPUTED_VALUE"""),1043875.0)</f>
        <v>1043875</v>
      </c>
      <c r="D1193" t="str">
        <f>IFERROR(__xludf.DUMMYFUNCTION("""COMPUTED_VALUE"""),"Ms.")</f>
        <v>Ms.</v>
      </c>
      <c r="E1193" t="str">
        <f>IFERROR(__xludf.DUMMYFUNCTION("""COMPUTED_VALUE"""),"Lalita")</f>
        <v>Lalita</v>
      </c>
      <c r="F1193" t="str">
        <f>IFERROR(__xludf.DUMMYFUNCTION("""COMPUTED_VALUE"""),"Inmongkol")</f>
        <v>Inmongkol</v>
      </c>
      <c r="G1193" t="str">
        <f>IFERROR(__xludf.DUMMYFUNCTION("""COMPUTED_VALUE"""),"Lalita Inmongkol")</f>
        <v>Lalita Inmongkol</v>
      </c>
    </row>
    <row r="1194">
      <c r="A1194" s="142">
        <f>IFERROR(__xludf.DUMMYFUNCTION("""COMPUTED_VALUE"""),108.0)</f>
        <v>108</v>
      </c>
      <c r="C1194">
        <f>IFERROR(__xludf.DUMMYFUNCTION("""COMPUTED_VALUE"""),1043876.0)</f>
        <v>1043876</v>
      </c>
      <c r="D1194" t="str">
        <f>IFERROR(__xludf.DUMMYFUNCTION("""COMPUTED_VALUE"""),"Ms.")</f>
        <v>Ms.</v>
      </c>
      <c r="E1194" t="str">
        <f>IFERROR(__xludf.DUMMYFUNCTION("""COMPUTED_VALUE"""),"phan")</f>
        <v>phan</v>
      </c>
      <c r="F1194" t="str">
        <f>IFERROR(__xludf.DUMMYFUNCTION("""COMPUTED_VALUE"""),"Kawashima")</f>
        <v>Kawashima</v>
      </c>
      <c r="G1194" t="str">
        <f>IFERROR(__xludf.DUMMYFUNCTION("""COMPUTED_VALUE"""),"phan Kawashima")</f>
        <v>phan Kawashima</v>
      </c>
    </row>
    <row r="1195">
      <c r="A1195" s="142">
        <f>IFERROR(__xludf.DUMMYFUNCTION("""COMPUTED_VALUE"""),108.0)</f>
        <v>108</v>
      </c>
      <c r="C1195">
        <f>IFERROR(__xludf.DUMMYFUNCTION("""COMPUTED_VALUE"""),1043877.0)</f>
        <v>1043877</v>
      </c>
      <c r="D1195" t="str">
        <f>IFERROR(__xludf.DUMMYFUNCTION("""COMPUTED_VALUE"""),"Mr.")</f>
        <v>Mr.</v>
      </c>
      <c r="E1195" t="str">
        <f>IFERROR(__xludf.DUMMYFUNCTION("""COMPUTED_VALUE"""),"Gwyn")</f>
        <v>Gwyn</v>
      </c>
      <c r="F1195" t="str">
        <f>IFERROR(__xludf.DUMMYFUNCTION("""COMPUTED_VALUE"""),"Pahonpipat")</f>
        <v>Pahonpipat</v>
      </c>
      <c r="G1195" t="str">
        <f>IFERROR(__xludf.DUMMYFUNCTION("""COMPUTED_VALUE"""),"Gwyn Pahonpipat")</f>
        <v>Gwyn Pahonpipat</v>
      </c>
    </row>
    <row r="1196">
      <c r="A1196" s="142">
        <f>IFERROR(__xludf.DUMMYFUNCTION("""COMPUTED_VALUE"""),108.0)</f>
        <v>108</v>
      </c>
      <c r="C1196">
        <f>IFERROR(__xludf.DUMMYFUNCTION("""COMPUTED_VALUE"""),1043878.0)</f>
        <v>1043878</v>
      </c>
      <c r="D1196" t="str">
        <f>IFERROR(__xludf.DUMMYFUNCTION("""COMPUTED_VALUE"""),"Mr.")</f>
        <v>Mr.</v>
      </c>
      <c r="E1196" t="str">
        <f>IFERROR(__xludf.DUMMYFUNCTION("""COMPUTED_VALUE"""),"Nakarin")</f>
        <v>Nakarin</v>
      </c>
      <c r="F1196" t="str">
        <f>IFERROR(__xludf.DUMMYFUNCTION("""COMPUTED_VALUE"""),"Chang")</f>
        <v>Chang</v>
      </c>
      <c r="G1196" t="str">
        <f>IFERROR(__xludf.DUMMYFUNCTION("""COMPUTED_VALUE"""),"Nakarin Chang")</f>
        <v>Nakarin Chang</v>
      </c>
    </row>
    <row r="1197">
      <c r="A1197" s="142">
        <f>IFERROR(__xludf.DUMMYFUNCTION("""COMPUTED_VALUE"""),108.0)</f>
        <v>108</v>
      </c>
      <c r="C1197">
        <f>IFERROR(__xludf.DUMMYFUNCTION("""COMPUTED_VALUE"""),1043879.0)</f>
        <v>1043879</v>
      </c>
      <c r="D1197" t="str">
        <f>IFERROR(__xludf.DUMMYFUNCTION("""COMPUTED_VALUE"""),"Ms.")</f>
        <v>Ms.</v>
      </c>
      <c r="E1197" t="str">
        <f>IFERROR(__xludf.DUMMYFUNCTION("""COMPUTED_VALUE"""),"Thanyaphon")</f>
        <v>Thanyaphon</v>
      </c>
      <c r="F1197" t="str">
        <f>IFERROR(__xludf.DUMMYFUNCTION("""COMPUTED_VALUE"""),"Chiraphatphokin")</f>
        <v>Chiraphatphokin</v>
      </c>
      <c r="G1197" t="str">
        <f>IFERROR(__xludf.DUMMYFUNCTION("""COMPUTED_VALUE"""),"Thanyaphon Chiraphatphokin")</f>
        <v>Thanyaphon Chiraphatphokin</v>
      </c>
    </row>
    <row r="1198">
      <c r="A1198" s="142">
        <f>IFERROR(__xludf.DUMMYFUNCTION("""COMPUTED_VALUE"""),108.0)</f>
        <v>108</v>
      </c>
      <c r="C1198">
        <f>IFERROR(__xludf.DUMMYFUNCTION("""COMPUTED_VALUE"""),1043880.0)</f>
        <v>1043880</v>
      </c>
      <c r="D1198" t="str">
        <f>IFERROR(__xludf.DUMMYFUNCTION("""COMPUTED_VALUE"""),"Mr.")</f>
        <v>Mr.</v>
      </c>
      <c r="E1198" t="str">
        <f>IFERROR(__xludf.DUMMYFUNCTION("""COMPUTED_VALUE"""),"Teeranantpat")</f>
        <v>Teeranantpat</v>
      </c>
      <c r="F1198" t="str">
        <f>IFERROR(__xludf.DUMMYFUNCTION("""COMPUTED_VALUE"""),"Joengklinjantana")</f>
        <v>Joengklinjantana</v>
      </c>
      <c r="G1198" t="str">
        <f>IFERROR(__xludf.DUMMYFUNCTION("""COMPUTED_VALUE"""),"Teeranantpat Joengklinjantana")</f>
        <v>Teeranantpat Joengklinjantana</v>
      </c>
    </row>
    <row r="1199">
      <c r="A1199" s="142">
        <f>IFERROR(__xludf.DUMMYFUNCTION("""COMPUTED_VALUE"""),108.0)</f>
        <v>108</v>
      </c>
      <c r="C1199">
        <f>IFERROR(__xludf.DUMMYFUNCTION("""COMPUTED_VALUE"""),1043881.0)</f>
        <v>1043881</v>
      </c>
      <c r="D1199" t="str">
        <f>IFERROR(__xludf.DUMMYFUNCTION("""COMPUTED_VALUE"""),"Ms.")</f>
        <v>Ms.</v>
      </c>
      <c r="E1199" t="str">
        <f>IFERROR(__xludf.DUMMYFUNCTION("""COMPUTED_VALUE"""),"Fuko")</f>
        <v>Fuko</v>
      </c>
      <c r="F1199" t="str">
        <f>IFERROR(__xludf.DUMMYFUNCTION("""COMPUTED_VALUE"""),"Sugawara")</f>
        <v>Sugawara</v>
      </c>
      <c r="G1199" t="str">
        <f>IFERROR(__xludf.DUMMYFUNCTION("""COMPUTED_VALUE"""),"Fuko Sugawara")</f>
        <v>Fuko Sugawara</v>
      </c>
    </row>
    <row r="1200">
      <c r="A1200" s="142">
        <f>IFERROR(__xludf.DUMMYFUNCTION("""COMPUTED_VALUE"""),108.0)</f>
        <v>108</v>
      </c>
      <c r="C1200">
        <f>IFERROR(__xludf.DUMMYFUNCTION("""COMPUTED_VALUE"""),1043882.0)</f>
        <v>1043882</v>
      </c>
      <c r="D1200" t="str">
        <f>IFERROR(__xludf.DUMMYFUNCTION("""COMPUTED_VALUE"""),"Ms.")</f>
        <v>Ms.</v>
      </c>
      <c r="E1200" t="str">
        <f>IFERROR(__xludf.DUMMYFUNCTION("""COMPUTED_VALUE"""),"Nannat")</f>
        <v>Nannat</v>
      </c>
      <c r="F1200" t="str">
        <f>IFERROR(__xludf.DUMMYFUNCTION("""COMPUTED_VALUE"""),"Wongset")</f>
        <v>Wongset</v>
      </c>
      <c r="G1200" t="str">
        <f>IFERROR(__xludf.DUMMYFUNCTION("""COMPUTED_VALUE"""),"Nannat Wongset")</f>
        <v>Nannat Wongset</v>
      </c>
    </row>
    <row r="1201">
      <c r="A1201" s="142">
        <f>IFERROR(__xludf.DUMMYFUNCTION("""COMPUTED_VALUE"""),108.0)</f>
        <v>108</v>
      </c>
      <c r="C1201">
        <f>IFERROR(__xludf.DUMMYFUNCTION("""COMPUTED_VALUE"""),1043891.0)</f>
        <v>1043891</v>
      </c>
      <c r="D1201" t="str">
        <f>IFERROR(__xludf.DUMMYFUNCTION("""COMPUTED_VALUE"""),"Ms.")</f>
        <v>Ms.</v>
      </c>
      <c r="E1201" t="str">
        <f>IFERROR(__xludf.DUMMYFUNCTION("""COMPUTED_VALUE"""),"Vannaporn")</f>
        <v>Vannaporn</v>
      </c>
      <c r="F1201" t="str">
        <f>IFERROR(__xludf.DUMMYFUNCTION("""COMPUTED_VALUE"""),"Chaiwatsittikul")</f>
        <v>Chaiwatsittikul</v>
      </c>
      <c r="G1201" t="str">
        <f>IFERROR(__xludf.DUMMYFUNCTION("""COMPUTED_VALUE"""),"Vannaporn Chaiwatsittikul")</f>
        <v>Vannaporn Chaiwatsittikul</v>
      </c>
    </row>
    <row r="1202">
      <c r="A1202" s="142">
        <f>IFERROR(__xludf.DUMMYFUNCTION("""COMPUTED_VALUE"""),108.0)</f>
        <v>108</v>
      </c>
      <c r="C1202">
        <f>IFERROR(__xludf.DUMMYFUNCTION("""COMPUTED_VALUE"""),1043894.0)</f>
        <v>1043894</v>
      </c>
      <c r="D1202" t="str">
        <f>IFERROR(__xludf.DUMMYFUNCTION("""COMPUTED_VALUE"""),"Ms.")</f>
        <v>Ms.</v>
      </c>
      <c r="E1202" t="str">
        <f>IFERROR(__xludf.DUMMYFUNCTION("""COMPUTED_VALUE"""),"Thantheera")</f>
        <v>Thantheera</v>
      </c>
      <c r="F1202" t="str">
        <f>IFERROR(__xludf.DUMMYFUNCTION("""COMPUTED_VALUE"""),"Prueksasilp")</f>
        <v>Prueksasilp</v>
      </c>
      <c r="G1202" t="str">
        <f>IFERROR(__xludf.DUMMYFUNCTION("""COMPUTED_VALUE"""),"Thantheera Prueksasilp")</f>
        <v>Thantheera Prueksasilp</v>
      </c>
    </row>
    <row r="1203">
      <c r="A1203" s="142">
        <f>IFERROR(__xludf.DUMMYFUNCTION("""COMPUTED_VALUE"""),108.0)</f>
        <v>108</v>
      </c>
      <c r="C1203">
        <f>IFERROR(__xludf.DUMMYFUNCTION("""COMPUTED_VALUE"""),1043895.0)</f>
        <v>1043895</v>
      </c>
      <c r="D1203" t="str">
        <f>IFERROR(__xludf.DUMMYFUNCTION("""COMPUTED_VALUE"""),"Ms.")</f>
        <v>Ms.</v>
      </c>
      <c r="E1203" t="str">
        <f>IFERROR(__xludf.DUMMYFUNCTION("""COMPUTED_VALUE"""),"Sawaros")</f>
        <v>Sawaros</v>
      </c>
      <c r="F1203" t="str">
        <f>IFERROR(__xludf.DUMMYFUNCTION("""COMPUTED_VALUE"""),"Phanichvibul")</f>
        <v>Phanichvibul</v>
      </c>
      <c r="G1203" t="str">
        <f>IFERROR(__xludf.DUMMYFUNCTION("""COMPUTED_VALUE"""),"Sawaros Phanichvibul")</f>
        <v>Sawaros Phanichvibul</v>
      </c>
    </row>
    <row r="1205">
      <c r="A1205" s="142">
        <f>IFERROR(__xludf.DUMMYFUNCTION("""COMPUTED_VALUE"""),109.0)</f>
        <v>109</v>
      </c>
      <c r="C1205">
        <f>IFERROR(__xludf.DUMMYFUNCTION("""COMPUTED_VALUE"""),1044217.0)</f>
        <v>1044217</v>
      </c>
      <c r="D1205" t="str">
        <f>IFERROR(__xludf.DUMMYFUNCTION("""COMPUTED_VALUE"""),"Ms.")</f>
        <v>Ms.</v>
      </c>
      <c r="E1205" t="str">
        <f>IFERROR(__xludf.DUMMYFUNCTION("""COMPUTED_VALUE"""),"Tanayaporn")</f>
        <v>Tanayaporn</v>
      </c>
      <c r="F1205" t="str">
        <f>IFERROR(__xludf.DUMMYFUNCTION("""COMPUTED_VALUE"""),"Sombatboriboon")</f>
        <v>Sombatboriboon</v>
      </c>
      <c r="G1205" t="str">
        <f>IFERROR(__xludf.DUMMYFUNCTION("""COMPUTED_VALUE"""),"Tanayaporn Sombatboriboon")</f>
        <v>Tanayaporn Sombatboriboon</v>
      </c>
    </row>
    <row r="1206">
      <c r="A1206" s="142">
        <f>IFERROR(__xludf.DUMMYFUNCTION("""COMPUTED_VALUE"""),109.0)</f>
        <v>109</v>
      </c>
      <c r="C1206">
        <f>IFERROR(__xludf.DUMMYFUNCTION("""COMPUTED_VALUE"""),1044218.0)</f>
        <v>1044218</v>
      </c>
      <c r="D1206" t="str">
        <f>IFERROR(__xludf.DUMMYFUNCTION("""COMPUTED_VALUE"""),"Mr.")</f>
        <v>Mr.</v>
      </c>
      <c r="E1206" t="str">
        <f>IFERROR(__xludf.DUMMYFUNCTION("""COMPUTED_VALUE"""),"Nopanon")</f>
        <v>Nopanon</v>
      </c>
      <c r="F1206" t="str">
        <f>IFERROR(__xludf.DUMMYFUNCTION("""COMPUTED_VALUE"""),"Amonchinviwat")</f>
        <v>Amonchinviwat</v>
      </c>
      <c r="G1206" t="str">
        <f>IFERROR(__xludf.DUMMYFUNCTION("""COMPUTED_VALUE"""),"Nopanon Amonchinviwat")</f>
        <v>Nopanon Amonchinviwat</v>
      </c>
    </row>
    <row r="1207">
      <c r="A1207" s="142">
        <f>IFERROR(__xludf.DUMMYFUNCTION("""COMPUTED_VALUE"""),109.0)</f>
        <v>109</v>
      </c>
      <c r="C1207">
        <f>IFERROR(__xludf.DUMMYFUNCTION("""COMPUTED_VALUE"""),1044219.0)</f>
        <v>1044219</v>
      </c>
      <c r="D1207" t="str">
        <f>IFERROR(__xludf.DUMMYFUNCTION("""COMPUTED_VALUE"""),"Mr.")</f>
        <v>Mr.</v>
      </c>
      <c r="E1207" t="str">
        <f>IFERROR(__xludf.DUMMYFUNCTION("""COMPUTED_VALUE"""),"Woranan")</f>
        <v>Woranan</v>
      </c>
      <c r="F1207" t="str">
        <f>IFERROR(__xludf.DUMMYFUNCTION("""COMPUTED_VALUE"""),"Duangngarm")</f>
        <v>Duangngarm</v>
      </c>
      <c r="G1207" t="str">
        <f>IFERROR(__xludf.DUMMYFUNCTION("""COMPUTED_VALUE"""),"Woranan Duangngarm")</f>
        <v>Woranan Duangngarm</v>
      </c>
    </row>
    <row r="1208">
      <c r="A1208" s="142">
        <f>IFERROR(__xludf.DUMMYFUNCTION("""COMPUTED_VALUE"""),109.0)</f>
        <v>109</v>
      </c>
      <c r="C1208">
        <f>IFERROR(__xludf.DUMMYFUNCTION("""COMPUTED_VALUE"""),1044220.0)</f>
        <v>1044220</v>
      </c>
      <c r="D1208" t="str">
        <f>IFERROR(__xludf.DUMMYFUNCTION("""COMPUTED_VALUE"""),"Ms.")</f>
        <v>Ms.</v>
      </c>
      <c r="E1208" t="str">
        <f>IFERROR(__xludf.DUMMYFUNCTION("""COMPUTED_VALUE"""),"Warissara")</f>
        <v>Warissara</v>
      </c>
      <c r="F1208" t="str">
        <f>IFERROR(__xludf.DUMMYFUNCTION("""COMPUTED_VALUE"""),"Klanbuds")</f>
        <v>Klanbuds</v>
      </c>
      <c r="G1208" t="str">
        <f>IFERROR(__xludf.DUMMYFUNCTION("""COMPUTED_VALUE"""),"Warissara Klanbuds")</f>
        <v>Warissara Klanbuds</v>
      </c>
    </row>
    <row r="1209">
      <c r="A1209" s="142">
        <f>IFERROR(__xludf.DUMMYFUNCTION("""COMPUTED_VALUE"""),109.0)</f>
        <v>109</v>
      </c>
      <c r="C1209">
        <f>IFERROR(__xludf.DUMMYFUNCTION("""COMPUTED_VALUE"""),1044221.0)</f>
        <v>1044221</v>
      </c>
      <c r="D1209" t="str">
        <f>IFERROR(__xludf.DUMMYFUNCTION("""COMPUTED_VALUE"""),"Ms.")</f>
        <v>Ms.</v>
      </c>
      <c r="E1209" t="str">
        <f>IFERROR(__xludf.DUMMYFUNCTION("""COMPUTED_VALUE"""),"Natthapond")</f>
        <v>Natthapond</v>
      </c>
      <c r="F1209" t="str">
        <f>IFERROR(__xludf.DUMMYFUNCTION("""COMPUTED_VALUE"""),"Pangpongma")</f>
        <v>Pangpongma</v>
      </c>
      <c r="G1209" t="str">
        <f>IFERROR(__xludf.DUMMYFUNCTION("""COMPUTED_VALUE"""),"Natthapond Pangpongma")</f>
        <v>Natthapond Pangpongma</v>
      </c>
    </row>
    <row r="1210">
      <c r="A1210" s="142">
        <f>IFERROR(__xludf.DUMMYFUNCTION("""COMPUTED_VALUE"""),109.0)</f>
        <v>109</v>
      </c>
      <c r="C1210">
        <f>IFERROR(__xludf.DUMMYFUNCTION("""COMPUTED_VALUE"""),1044222.0)</f>
        <v>1044222</v>
      </c>
      <c r="D1210" t="str">
        <f>IFERROR(__xludf.DUMMYFUNCTION("""COMPUTED_VALUE"""),"Mr.")</f>
        <v>Mr.</v>
      </c>
      <c r="E1210" t="str">
        <f>IFERROR(__xludf.DUMMYFUNCTION("""COMPUTED_VALUE"""),"Pichit")</f>
        <v>Pichit</v>
      </c>
      <c r="F1210" t="str">
        <f>IFERROR(__xludf.DUMMYFUNCTION("""COMPUTED_VALUE"""),"Jinakaew")</f>
        <v>Jinakaew</v>
      </c>
      <c r="G1210" t="str">
        <f>IFERROR(__xludf.DUMMYFUNCTION("""COMPUTED_VALUE"""),"Pichit Jinakaew")</f>
        <v>Pichit Jinakaew</v>
      </c>
    </row>
    <row r="1211">
      <c r="A1211" s="142">
        <f>IFERROR(__xludf.DUMMYFUNCTION("""COMPUTED_VALUE"""),109.0)</f>
        <v>109</v>
      </c>
      <c r="C1211">
        <f>IFERROR(__xludf.DUMMYFUNCTION("""COMPUTED_VALUE"""),1044223.0)</f>
        <v>1044223</v>
      </c>
      <c r="D1211" t="str">
        <f>IFERROR(__xludf.DUMMYFUNCTION("""COMPUTED_VALUE"""),"Ms.")</f>
        <v>Ms.</v>
      </c>
      <c r="E1211" t="str">
        <f>IFERROR(__xludf.DUMMYFUNCTION("""COMPUTED_VALUE"""),"Sujipa")</f>
        <v>Sujipa</v>
      </c>
      <c r="F1211" t="str">
        <f>IFERROR(__xludf.DUMMYFUNCTION("""COMPUTED_VALUE"""),"Prasitchairit")</f>
        <v>Prasitchairit</v>
      </c>
      <c r="G1211" t="str">
        <f>IFERROR(__xludf.DUMMYFUNCTION("""COMPUTED_VALUE"""),"Sujipa Prasitchairit")</f>
        <v>Sujipa Prasitchairit</v>
      </c>
    </row>
    <row r="1212">
      <c r="A1212" s="142">
        <f>IFERROR(__xludf.DUMMYFUNCTION("""COMPUTED_VALUE"""),109.0)</f>
        <v>109</v>
      </c>
      <c r="C1212">
        <f>IFERROR(__xludf.DUMMYFUNCTION("""COMPUTED_VALUE"""),1044224.0)</f>
        <v>1044224</v>
      </c>
      <c r="D1212" t="str">
        <f>IFERROR(__xludf.DUMMYFUNCTION("""COMPUTED_VALUE"""),"Ms.")</f>
        <v>Ms.</v>
      </c>
      <c r="E1212" t="str">
        <f>IFERROR(__xludf.DUMMYFUNCTION("""COMPUTED_VALUE"""),"Praew")</f>
        <v>Praew</v>
      </c>
      <c r="F1212" t="str">
        <f>IFERROR(__xludf.DUMMYFUNCTION("""COMPUTED_VALUE"""),"Tubtimtong")</f>
        <v>Tubtimtong</v>
      </c>
      <c r="G1212" t="str">
        <f>IFERROR(__xludf.DUMMYFUNCTION("""COMPUTED_VALUE"""),"Praew Tubtimtong")</f>
        <v>Praew Tubtimtong</v>
      </c>
    </row>
    <row r="1213">
      <c r="A1213" s="142">
        <f>IFERROR(__xludf.DUMMYFUNCTION("""COMPUTED_VALUE"""),109.0)</f>
        <v>109</v>
      </c>
      <c r="C1213">
        <f>IFERROR(__xludf.DUMMYFUNCTION("""COMPUTED_VALUE"""),1044226.0)</f>
        <v>1044226</v>
      </c>
      <c r="D1213" t="str">
        <f>IFERROR(__xludf.DUMMYFUNCTION("""COMPUTED_VALUE"""),"Ms.")</f>
        <v>Ms.</v>
      </c>
      <c r="E1213" t="str">
        <f>IFERROR(__xludf.DUMMYFUNCTION("""COMPUTED_VALUE"""),"Nongnapasorn")</f>
        <v>Nongnapasorn</v>
      </c>
      <c r="F1213" t="str">
        <f>IFERROR(__xludf.DUMMYFUNCTION("""COMPUTED_VALUE"""),"O-chawat")</f>
        <v>O-chawat</v>
      </c>
      <c r="G1213" t="str">
        <f>IFERROR(__xludf.DUMMYFUNCTION("""COMPUTED_VALUE"""),"Nongnapasorn O-chawat")</f>
        <v>Nongnapasorn O-chawat</v>
      </c>
    </row>
    <row r="1214">
      <c r="A1214" s="142">
        <f>IFERROR(__xludf.DUMMYFUNCTION("""COMPUTED_VALUE"""),109.0)</f>
        <v>109</v>
      </c>
      <c r="C1214">
        <f>IFERROR(__xludf.DUMMYFUNCTION("""COMPUTED_VALUE"""),1044227.0)</f>
        <v>1044227</v>
      </c>
      <c r="D1214" t="str">
        <f>IFERROR(__xludf.DUMMYFUNCTION("""COMPUTED_VALUE"""),"Ms.")</f>
        <v>Ms.</v>
      </c>
      <c r="E1214" t="str">
        <f>IFERROR(__xludf.DUMMYFUNCTION("""COMPUTED_VALUE"""),"Kasama")</f>
        <v>Kasama</v>
      </c>
      <c r="F1214" t="str">
        <f>IFERROR(__xludf.DUMMYFUNCTION("""COMPUTED_VALUE"""),"Guaynil")</f>
        <v>Guaynil</v>
      </c>
      <c r="G1214" t="str">
        <f>IFERROR(__xludf.DUMMYFUNCTION("""COMPUTED_VALUE"""),"Kasama Guaynil")</f>
        <v>Kasama Guaynil</v>
      </c>
    </row>
    <row r="1215">
      <c r="A1215" s="142">
        <f>IFERROR(__xludf.DUMMYFUNCTION("""COMPUTED_VALUE"""),109.0)</f>
        <v>109</v>
      </c>
      <c r="C1215">
        <f>IFERROR(__xludf.DUMMYFUNCTION("""COMPUTED_VALUE"""),1044229.0)</f>
        <v>1044229</v>
      </c>
      <c r="D1215" t="str">
        <f>IFERROR(__xludf.DUMMYFUNCTION("""COMPUTED_VALUE"""),"Ms.")</f>
        <v>Ms.</v>
      </c>
      <c r="E1215" t="str">
        <f>IFERROR(__xludf.DUMMYFUNCTION("""COMPUTED_VALUE"""),"Napaporn")</f>
        <v>Napaporn</v>
      </c>
      <c r="F1215" t="str">
        <f>IFERROR(__xludf.DUMMYFUNCTION("""COMPUTED_VALUE"""),"Pansamdaeng")</f>
        <v>Pansamdaeng</v>
      </c>
      <c r="G1215" t="str">
        <f>IFERROR(__xludf.DUMMYFUNCTION("""COMPUTED_VALUE"""),"Napaporn Pansamdaeng")</f>
        <v>Napaporn Pansamdaeng</v>
      </c>
    </row>
    <row r="1216">
      <c r="A1216" s="142">
        <f>IFERROR(__xludf.DUMMYFUNCTION("""COMPUTED_VALUE"""),109.0)</f>
        <v>109</v>
      </c>
      <c r="C1216">
        <f>IFERROR(__xludf.DUMMYFUNCTION("""COMPUTED_VALUE"""),1044230.0)</f>
        <v>1044230</v>
      </c>
      <c r="D1216" t="str">
        <f>IFERROR(__xludf.DUMMYFUNCTION("""COMPUTED_VALUE"""),"Ms.")</f>
        <v>Ms.</v>
      </c>
      <c r="E1216" t="str">
        <f>IFERROR(__xludf.DUMMYFUNCTION("""COMPUTED_VALUE"""),"Sujinut")</f>
        <v>Sujinut</v>
      </c>
      <c r="F1216" t="str">
        <f>IFERROR(__xludf.DUMMYFUNCTION("""COMPUTED_VALUE"""),"Ruangmalai")</f>
        <v>Ruangmalai</v>
      </c>
      <c r="G1216" t="str">
        <f>IFERROR(__xludf.DUMMYFUNCTION("""COMPUTED_VALUE"""),"Sujinut Ruangmalai")</f>
        <v>Sujinut Ruangmalai</v>
      </c>
    </row>
    <row r="1217">
      <c r="A1217" s="142">
        <f>IFERROR(__xludf.DUMMYFUNCTION("""COMPUTED_VALUE"""),109.0)</f>
        <v>109</v>
      </c>
      <c r="C1217">
        <f>IFERROR(__xludf.DUMMYFUNCTION("""COMPUTED_VALUE"""),1044231.0)</f>
        <v>1044231</v>
      </c>
      <c r="D1217" t="str">
        <f>IFERROR(__xludf.DUMMYFUNCTION("""COMPUTED_VALUE"""),"Ms.")</f>
        <v>Ms.</v>
      </c>
      <c r="E1217" t="str">
        <f>IFERROR(__xludf.DUMMYFUNCTION("""COMPUTED_VALUE"""),"Panitnant")</f>
        <v>Panitnant</v>
      </c>
      <c r="F1217" t="str">
        <f>IFERROR(__xludf.DUMMYFUNCTION("""COMPUTED_VALUE"""),"Suparadon")</f>
        <v>Suparadon</v>
      </c>
      <c r="G1217" t="str">
        <f>IFERROR(__xludf.DUMMYFUNCTION("""COMPUTED_VALUE"""),"Panitnant Suparadon")</f>
        <v>Panitnant Suparadon</v>
      </c>
    </row>
    <row r="1218">
      <c r="A1218" s="142">
        <f>IFERROR(__xludf.DUMMYFUNCTION("""COMPUTED_VALUE"""),109.0)</f>
        <v>109</v>
      </c>
      <c r="C1218">
        <f>IFERROR(__xludf.DUMMYFUNCTION("""COMPUTED_VALUE"""),1044232.0)</f>
        <v>1044232</v>
      </c>
      <c r="D1218" t="str">
        <f>IFERROR(__xludf.DUMMYFUNCTION("""COMPUTED_VALUE"""),"Ms.")</f>
        <v>Ms.</v>
      </c>
      <c r="E1218" t="str">
        <f>IFERROR(__xludf.DUMMYFUNCTION("""COMPUTED_VALUE"""),"Nisa")</f>
        <v>Nisa</v>
      </c>
      <c r="F1218" t="str">
        <f>IFERROR(__xludf.DUMMYFUNCTION("""COMPUTED_VALUE"""),"Tangkamolsuk")</f>
        <v>Tangkamolsuk</v>
      </c>
      <c r="G1218" t="str">
        <f>IFERROR(__xludf.DUMMYFUNCTION("""COMPUTED_VALUE"""),"Nisa Tangkamolsuk")</f>
        <v>Nisa Tangkamolsuk</v>
      </c>
    </row>
    <row r="1219">
      <c r="A1219" s="142">
        <f>IFERROR(__xludf.DUMMYFUNCTION("""COMPUTED_VALUE"""),109.0)</f>
        <v>109</v>
      </c>
      <c r="C1219">
        <f>IFERROR(__xludf.DUMMYFUNCTION("""COMPUTED_VALUE"""),1044233.0)</f>
        <v>1044233</v>
      </c>
      <c r="D1219" t="str">
        <f>IFERROR(__xludf.DUMMYFUNCTION("""COMPUTED_VALUE"""),"Ms.")</f>
        <v>Ms.</v>
      </c>
      <c r="E1219" t="str">
        <f>IFERROR(__xludf.DUMMYFUNCTION("""COMPUTED_VALUE"""),"Lalana")</f>
        <v>Lalana</v>
      </c>
      <c r="F1219" t="str">
        <f>IFERROR(__xludf.DUMMYFUNCTION("""COMPUTED_VALUE"""),"Lertussawachai")</f>
        <v>Lertussawachai</v>
      </c>
      <c r="G1219" t="str">
        <f>IFERROR(__xludf.DUMMYFUNCTION("""COMPUTED_VALUE"""),"Lalana Lertussawachai")</f>
        <v>Lalana Lertussawachai</v>
      </c>
    </row>
    <row r="1220">
      <c r="A1220" s="142">
        <f>IFERROR(__xludf.DUMMYFUNCTION("""COMPUTED_VALUE"""),109.0)</f>
        <v>109</v>
      </c>
      <c r="C1220">
        <f>IFERROR(__xludf.DUMMYFUNCTION("""COMPUTED_VALUE"""),1044234.0)</f>
        <v>1044234</v>
      </c>
      <c r="D1220" t="str">
        <f>IFERROR(__xludf.DUMMYFUNCTION("""COMPUTED_VALUE"""),"Ms.")</f>
        <v>Ms.</v>
      </c>
      <c r="E1220" t="str">
        <f>IFERROR(__xludf.DUMMYFUNCTION("""COMPUTED_VALUE"""),"Adipa")</f>
        <v>Adipa</v>
      </c>
      <c r="F1220" t="str">
        <f>IFERROR(__xludf.DUMMYFUNCTION("""COMPUTED_VALUE"""),"Charoenthongtrakul")</f>
        <v>Charoenthongtrakul</v>
      </c>
      <c r="G1220" t="str">
        <f>IFERROR(__xludf.DUMMYFUNCTION("""COMPUTED_VALUE"""),"Adipa Charoenthongtrakul")</f>
        <v>Adipa Charoenthongtrakul</v>
      </c>
    </row>
    <row r="1221">
      <c r="A1221" s="142">
        <f>IFERROR(__xludf.DUMMYFUNCTION("""COMPUTED_VALUE"""),109.0)</f>
        <v>109</v>
      </c>
      <c r="C1221">
        <f>IFERROR(__xludf.DUMMYFUNCTION("""COMPUTED_VALUE"""),1044235.0)</f>
        <v>1044235</v>
      </c>
      <c r="D1221" t="str">
        <f>IFERROR(__xludf.DUMMYFUNCTION("""COMPUTED_VALUE"""),"Ms.")</f>
        <v>Ms.</v>
      </c>
      <c r="E1221" t="str">
        <f>IFERROR(__xludf.DUMMYFUNCTION("""COMPUTED_VALUE"""),"Monthakarn")</f>
        <v>Monthakarn</v>
      </c>
      <c r="F1221" t="str">
        <f>IFERROR(__xludf.DUMMYFUNCTION("""COMPUTED_VALUE"""),"Panyaboot")</f>
        <v>Panyaboot</v>
      </c>
      <c r="G1221" t="str">
        <f>IFERROR(__xludf.DUMMYFUNCTION("""COMPUTED_VALUE"""),"Monthakarn Panyaboot")</f>
        <v>Monthakarn Panyaboot</v>
      </c>
    </row>
    <row r="1222">
      <c r="A1222" s="142">
        <f>IFERROR(__xludf.DUMMYFUNCTION("""COMPUTED_VALUE"""),109.0)</f>
        <v>109</v>
      </c>
      <c r="C1222">
        <f>IFERROR(__xludf.DUMMYFUNCTION("""COMPUTED_VALUE"""),1044236.0)</f>
        <v>1044236</v>
      </c>
      <c r="D1222" t="str">
        <f>IFERROR(__xludf.DUMMYFUNCTION("""COMPUTED_VALUE"""),"Ms.")</f>
        <v>Ms.</v>
      </c>
      <c r="E1222" t="str">
        <f>IFERROR(__xludf.DUMMYFUNCTION("""COMPUTED_VALUE"""),"Manthita")</f>
        <v>Manthita</v>
      </c>
      <c r="F1222" t="str">
        <f>IFERROR(__xludf.DUMMYFUNCTION("""COMPUTED_VALUE"""),"Banthoeng")</f>
        <v>Banthoeng</v>
      </c>
      <c r="G1222" t="str">
        <f>IFERROR(__xludf.DUMMYFUNCTION("""COMPUTED_VALUE"""),"Manthita Banthoeng")</f>
        <v>Manthita Banthoeng</v>
      </c>
    </row>
    <row r="1223">
      <c r="A1223" s="142">
        <f>IFERROR(__xludf.DUMMYFUNCTION("""COMPUTED_VALUE"""),109.0)</f>
        <v>109</v>
      </c>
      <c r="C1223">
        <f>IFERROR(__xludf.DUMMYFUNCTION("""COMPUTED_VALUE"""),1044237.0)</f>
        <v>1044237</v>
      </c>
      <c r="D1223" t="str">
        <f>IFERROR(__xludf.DUMMYFUNCTION("""COMPUTED_VALUE"""),"Ms.")</f>
        <v>Ms.</v>
      </c>
      <c r="E1223" t="str">
        <f>IFERROR(__xludf.DUMMYFUNCTION("""COMPUTED_VALUE"""),"Suyomi")</f>
        <v>Suyomi</v>
      </c>
      <c r="F1223" t="str">
        <f>IFERROR(__xludf.DUMMYFUNCTION("""COMPUTED_VALUE"""),"Setthamungkorn")</f>
        <v>Setthamungkorn</v>
      </c>
      <c r="G1223" t="str">
        <f>IFERROR(__xludf.DUMMYFUNCTION("""COMPUTED_VALUE"""),"Suyomi Setthamungkorn")</f>
        <v>Suyomi Setthamungkorn</v>
      </c>
    </row>
    <row r="1224">
      <c r="A1224" s="142">
        <f>IFERROR(__xludf.DUMMYFUNCTION("""COMPUTED_VALUE"""),109.0)</f>
        <v>109</v>
      </c>
      <c r="C1224">
        <f>IFERROR(__xludf.DUMMYFUNCTION("""COMPUTED_VALUE"""),1044238.0)</f>
        <v>1044238</v>
      </c>
      <c r="D1224" t="str">
        <f>IFERROR(__xludf.DUMMYFUNCTION("""COMPUTED_VALUE"""),"Ms.")</f>
        <v>Ms.</v>
      </c>
      <c r="E1224" t="str">
        <f>IFERROR(__xludf.DUMMYFUNCTION("""COMPUTED_VALUE"""),"Chayanin")</f>
        <v>Chayanin</v>
      </c>
      <c r="F1224" t="str">
        <f>IFERROR(__xludf.DUMMYFUNCTION("""COMPUTED_VALUE"""),"Prachayaporn")</f>
        <v>Prachayaporn</v>
      </c>
      <c r="G1224" t="str">
        <f>IFERROR(__xludf.DUMMYFUNCTION("""COMPUTED_VALUE"""),"Chayanin Prachayaporn")</f>
        <v>Chayanin Prachayaporn</v>
      </c>
    </row>
    <row r="1226">
      <c r="A1226" s="142">
        <f>IFERROR(__xludf.DUMMYFUNCTION("""COMPUTED_VALUE"""),110.0)</f>
        <v>110</v>
      </c>
      <c r="B1226" t="str">
        <f>IFERROR(__xludf.DUMMYFUNCTION("""COMPUTED_VALUE"""),"Tranfer from AK")</f>
        <v>Tranfer from AK</v>
      </c>
      <c r="C1226">
        <f>IFERROR(__xludf.DUMMYFUNCTION("""COMPUTED_VALUE"""),1008750.0)</f>
        <v>1008750</v>
      </c>
      <c r="D1226" t="str">
        <f>IFERROR(__xludf.DUMMYFUNCTION("""COMPUTED_VALUE"""),"Ms.")</f>
        <v>Ms.</v>
      </c>
      <c r="E1226" t="str">
        <f>IFERROR(__xludf.DUMMYFUNCTION("""COMPUTED_VALUE"""),"Nannaphat")</f>
        <v>Nannaphat</v>
      </c>
      <c r="F1226" t="str">
        <f>IFERROR(__xludf.DUMMYFUNCTION("""COMPUTED_VALUE"""),"Jitrungruangsuk")</f>
        <v>Jitrungruangsuk</v>
      </c>
      <c r="G1226" t="str">
        <f>IFERROR(__xludf.DUMMYFUNCTION("""COMPUTED_VALUE"""),"Nannaphat Jitrungruangsuk")</f>
        <v>Nannaphat Jitrungruangsuk</v>
      </c>
    </row>
    <row r="1227">
      <c r="A1227" s="142">
        <f>IFERROR(__xludf.DUMMYFUNCTION("""COMPUTED_VALUE"""),110.0)</f>
        <v>110</v>
      </c>
      <c r="B1227" t="str">
        <f>IFERROR(__xludf.DUMMYFUNCTION("""COMPUTED_VALUE"""),"Tranfer from AK")</f>
        <v>Tranfer from AK</v>
      </c>
      <c r="C1227">
        <f>IFERROR(__xludf.DUMMYFUNCTION("""COMPUTED_VALUE"""),1038177.0)</f>
        <v>1038177</v>
      </c>
      <c r="D1227" t="str">
        <f>IFERROR(__xludf.DUMMYFUNCTION("""COMPUTED_VALUE"""),"Ms.")</f>
        <v>Ms.</v>
      </c>
      <c r="E1227" t="str">
        <f>IFERROR(__xludf.DUMMYFUNCTION("""COMPUTED_VALUE"""),"Sujinun")</f>
        <v>Sujinun</v>
      </c>
      <c r="F1227" t="str">
        <f>IFERROR(__xludf.DUMMYFUNCTION("""COMPUTED_VALUE"""),"Singkarach")</f>
        <v>Singkarach</v>
      </c>
      <c r="G1227" t="str">
        <f>IFERROR(__xludf.DUMMYFUNCTION("""COMPUTED_VALUE"""),"Sujinun Singkarach")</f>
        <v>Sujinun Singkarach</v>
      </c>
    </row>
    <row r="1228">
      <c r="A1228" s="142">
        <f>IFERROR(__xludf.DUMMYFUNCTION("""COMPUTED_VALUE"""),110.0)</f>
        <v>110</v>
      </c>
      <c r="C1228">
        <f>IFERROR(__xludf.DUMMYFUNCTION("""COMPUTED_VALUE"""),1002800.0)</f>
        <v>1002800</v>
      </c>
      <c r="D1228" t="str">
        <f>IFERROR(__xludf.DUMMYFUNCTION("""COMPUTED_VALUE"""),"Mr.")</f>
        <v>Mr.</v>
      </c>
      <c r="E1228" t="str">
        <f>IFERROR(__xludf.DUMMYFUNCTION("""COMPUTED_VALUE"""),"San")</f>
        <v>San</v>
      </c>
      <c r="F1228" t="str">
        <f>IFERROR(__xludf.DUMMYFUNCTION("""COMPUTED_VALUE"""),"Pratanyos")</f>
        <v>Pratanyos</v>
      </c>
      <c r="G1228" t="str">
        <f>IFERROR(__xludf.DUMMYFUNCTION("""COMPUTED_VALUE"""),"San Pratanyos")</f>
        <v>San Pratanyos</v>
      </c>
    </row>
    <row r="1229">
      <c r="A1229" s="142">
        <f>IFERROR(__xludf.DUMMYFUNCTION("""COMPUTED_VALUE"""),110.0)</f>
        <v>110</v>
      </c>
      <c r="C1229">
        <f>IFERROR(__xludf.DUMMYFUNCTION("""COMPUTED_VALUE"""),1005766.0)</f>
        <v>1005766</v>
      </c>
      <c r="D1229" t="str">
        <f>IFERROR(__xludf.DUMMYFUNCTION("""COMPUTED_VALUE"""),"Ms.")</f>
        <v>Ms.</v>
      </c>
      <c r="E1229" t="str">
        <f>IFERROR(__xludf.DUMMYFUNCTION("""COMPUTED_VALUE"""),"Saleera")</f>
        <v>Saleera</v>
      </c>
      <c r="F1229" t="str">
        <f>IFERROR(__xludf.DUMMYFUNCTION("""COMPUTED_VALUE"""),"Wangphoka")</f>
        <v>Wangphoka</v>
      </c>
      <c r="G1229" t="str">
        <f>IFERROR(__xludf.DUMMYFUNCTION("""COMPUTED_VALUE"""),"Saleera Wangphoka")</f>
        <v>Saleera Wangphoka</v>
      </c>
    </row>
    <row r="1230">
      <c r="A1230" s="142">
        <f>IFERROR(__xludf.DUMMYFUNCTION("""COMPUTED_VALUE"""),110.0)</f>
        <v>110</v>
      </c>
      <c r="C1230">
        <f>IFERROR(__xludf.DUMMYFUNCTION("""COMPUTED_VALUE"""),1004443.0)</f>
        <v>1004443</v>
      </c>
      <c r="D1230" t="str">
        <f>IFERROR(__xludf.DUMMYFUNCTION("""COMPUTED_VALUE"""),"Mr.")</f>
        <v>Mr.</v>
      </c>
      <c r="E1230" t="str">
        <f>IFERROR(__xludf.DUMMYFUNCTION("""COMPUTED_VALUE"""),"Anantaporn")</f>
        <v>Anantaporn</v>
      </c>
      <c r="F1230" t="str">
        <f>IFERROR(__xludf.DUMMYFUNCTION("""COMPUTED_VALUE"""),"Intravisit")</f>
        <v>Intravisit</v>
      </c>
      <c r="G1230" t="str">
        <f>IFERROR(__xludf.DUMMYFUNCTION("""COMPUTED_VALUE"""),"Anantaporn Intravisit")</f>
        <v>Anantaporn Intravisit</v>
      </c>
    </row>
    <row r="1231">
      <c r="A1231" s="142">
        <f>IFERROR(__xludf.DUMMYFUNCTION("""COMPUTED_VALUE"""),110.0)</f>
        <v>110</v>
      </c>
      <c r="C1231">
        <f>IFERROR(__xludf.DUMMYFUNCTION("""COMPUTED_VALUE"""),1044858.0)</f>
        <v>1044858</v>
      </c>
      <c r="D1231" t="str">
        <f>IFERROR(__xludf.DUMMYFUNCTION("""COMPUTED_VALUE"""),"Ms.")</f>
        <v>Ms.</v>
      </c>
      <c r="E1231" t="str">
        <f>IFERROR(__xludf.DUMMYFUNCTION("""COMPUTED_VALUE"""),"Arunutcha")</f>
        <v>Arunutcha</v>
      </c>
      <c r="F1231" t="str">
        <f>IFERROR(__xludf.DUMMYFUNCTION("""COMPUTED_VALUE"""),"Bangviwat (Charachit)")</f>
        <v>Bangviwat (Charachit)</v>
      </c>
      <c r="G1231" t="str">
        <f>IFERROR(__xludf.DUMMYFUNCTION("""COMPUTED_VALUE"""),"Arunutcha Bangviwat")</f>
        <v>Arunutcha Bangviwat</v>
      </c>
    </row>
    <row r="1232">
      <c r="A1232" s="142">
        <f>IFERROR(__xludf.DUMMYFUNCTION("""COMPUTED_VALUE"""),110.0)</f>
        <v>110</v>
      </c>
      <c r="C1232">
        <f>IFERROR(__xludf.DUMMYFUNCTION("""COMPUTED_VALUE"""),1044859.0)</f>
        <v>1044859</v>
      </c>
      <c r="D1232" t="str">
        <f>IFERROR(__xludf.DUMMYFUNCTION("""COMPUTED_VALUE"""),"Ms.")</f>
        <v>Ms.</v>
      </c>
      <c r="E1232" t="str">
        <f>IFERROR(__xludf.DUMMYFUNCTION("""COMPUTED_VALUE"""),"Pitcha")</f>
        <v>Pitcha</v>
      </c>
      <c r="F1232" t="str">
        <f>IFERROR(__xludf.DUMMYFUNCTION("""COMPUTED_VALUE"""),"Klinporn")</f>
        <v>Klinporn</v>
      </c>
      <c r="G1232" t="str">
        <f>IFERROR(__xludf.DUMMYFUNCTION("""COMPUTED_VALUE"""),"Pitcha Klinporn")</f>
        <v>Pitcha Klinporn</v>
      </c>
    </row>
    <row r="1233">
      <c r="A1233" s="142">
        <f>IFERROR(__xludf.DUMMYFUNCTION("""COMPUTED_VALUE"""),110.0)</f>
        <v>110</v>
      </c>
      <c r="C1233">
        <f>IFERROR(__xludf.DUMMYFUNCTION("""COMPUTED_VALUE"""),1044860.0)</f>
        <v>1044860</v>
      </c>
      <c r="D1233" t="str">
        <f>IFERROR(__xludf.DUMMYFUNCTION("""COMPUTED_VALUE"""),"Ms.")</f>
        <v>Ms.</v>
      </c>
      <c r="E1233" t="str">
        <f>IFERROR(__xludf.DUMMYFUNCTION("""COMPUTED_VALUE"""),"Panidsara")</f>
        <v>Panidsara</v>
      </c>
      <c r="F1233" t="str">
        <f>IFERROR(__xludf.DUMMYFUNCTION("""COMPUTED_VALUE"""),"Tseng")</f>
        <v>Tseng</v>
      </c>
      <c r="G1233" t="str">
        <f>IFERROR(__xludf.DUMMYFUNCTION("""COMPUTED_VALUE"""),"Panidsara Tseng")</f>
        <v>Panidsara Tseng</v>
      </c>
    </row>
    <row r="1234">
      <c r="A1234" s="142">
        <f>IFERROR(__xludf.DUMMYFUNCTION("""COMPUTED_VALUE"""),110.0)</f>
        <v>110</v>
      </c>
      <c r="C1234">
        <f>IFERROR(__xludf.DUMMYFUNCTION("""COMPUTED_VALUE"""),1044861.0)</f>
        <v>1044861</v>
      </c>
      <c r="D1234" t="str">
        <f>IFERROR(__xludf.DUMMYFUNCTION("""COMPUTED_VALUE"""),"Ms.")</f>
        <v>Ms.</v>
      </c>
      <c r="E1234" t="str">
        <f>IFERROR(__xludf.DUMMYFUNCTION("""COMPUTED_VALUE"""),"Lisa")</f>
        <v>Lisa</v>
      </c>
      <c r="F1234" t="str">
        <f>IFERROR(__xludf.DUMMYFUNCTION("""COMPUTED_VALUE"""),"Chinnalai")</f>
        <v>Chinnalai</v>
      </c>
      <c r="G1234" t="str">
        <f>IFERROR(__xludf.DUMMYFUNCTION("""COMPUTED_VALUE"""),"Lisa Chinnalai")</f>
        <v>Lisa Chinnalai</v>
      </c>
    </row>
    <row r="1235">
      <c r="A1235" s="142">
        <f>IFERROR(__xludf.DUMMYFUNCTION("""COMPUTED_VALUE"""),110.0)</f>
        <v>110</v>
      </c>
      <c r="C1235">
        <f>IFERROR(__xludf.DUMMYFUNCTION("""COMPUTED_VALUE"""),1044862.0)</f>
        <v>1044862</v>
      </c>
      <c r="D1235" t="str">
        <f>IFERROR(__xludf.DUMMYFUNCTION("""COMPUTED_VALUE"""),"Ms.")</f>
        <v>Ms.</v>
      </c>
      <c r="E1235" t="str">
        <f>IFERROR(__xludf.DUMMYFUNCTION("""COMPUTED_VALUE"""),"Suriwassa")</f>
        <v>Suriwassa</v>
      </c>
      <c r="F1235" t="str">
        <f>IFERROR(__xludf.DUMMYFUNCTION("""COMPUTED_VALUE"""),"Sukphon")</f>
        <v>Sukphon</v>
      </c>
      <c r="G1235" t="str">
        <f>IFERROR(__xludf.DUMMYFUNCTION("""COMPUTED_VALUE"""),"Suriwassa Sukphon")</f>
        <v>Suriwassa Sukphon</v>
      </c>
    </row>
    <row r="1236">
      <c r="A1236" s="142">
        <f>IFERROR(__xludf.DUMMYFUNCTION("""COMPUTED_VALUE"""),110.0)</f>
        <v>110</v>
      </c>
      <c r="C1236">
        <f>IFERROR(__xludf.DUMMYFUNCTION("""COMPUTED_VALUE"""),1044863.0)</f>
        <v>1044863</v>
      </c>
      <c r="D1236" t="str">
        <f>IFERROR(__xludf.DUMMYFUNCTION("""COMPUTED_VALUE"""),"Ms.")</f>
        <v>Ms.</v>
      </c>
      <c r="E1236" t="str">
        <f>IFERROR(__xludf.DUMMYFUNCTION("""COMPUTED_VALUE"""),"Athicha")</f>
        <v>Athicha</v>
      </c>
      <c r="F1236" t="str">
        <f>IFERROR(__xludf.DUMMYFUNCTION("""COMPUTED_VALUE"""),"Mekjaroenwiwathana")</f>
        <v>Mekjaroenwiwathana</v>
      </c>
      <c r="G1236" t="str">
        <f>IFERROR(__xludf.DUMMYFUNCTION("""COMPUTED_VALUE"""),"Athicha Mekjaroenwiwathana")</f>
        <v>Athicha Mekjaroenwiwathana</v>
      </c>
    </row>
    <row r="1237">
      <c r="A1237" s="142">
        <f>IFERROR(__xludf.DUMMYFUNCTION("""COMPUTED_VALUE"""),110.0)</f>
        <v>110</v>
      </c>
      <c r="C1237">
        <f>IFERROR(__xludf.DUMMYFUNCTION("""COMPUTED_VALUE"""),1044864.0)</f>
        <v>1044864</v>
      </c>
      <c r="D1237" t="str">
        <f>IFERROR(__xludf.DUMMYFUNCTION("""COMPUTED_VALUE"""),"Ms.")</f>
        <v>Ms.</v>
      </c>
      <c r="E1237" t="str">
        <f>IFERROR(__xludf.DUMMYFUNCTION("""COMPUTED_VALUE"""),"Pitchapa")</f>
        <v>Pitchapa</v>
      </c>
      <c r="F1237" t="str">
        <f>IFERROR(__xludf.DUMMYFUNCTION("""COMPUTED_VALUE"""),"Didpan")</f>
        <v>Didpan</v>
      </c>
      <c r="G1237" t="str">
        <f>IFERROR(__xludf.DUMMYFUNCTION("""COMPUTED_VALUE"""),"Pitchapa Didpan")</f>
        <v>Pitchapa Didpan</v>
      </c>
    </row>
    <row r="1238">
      <c r="A1238" s="142">
        <f>IFERROR(__xludf.DUMMYFUNCTION("""COMPUTED_VALUE"""),110.0)</f>
        <v>110</v>
      </c>
      <c r="C1238">
        <f>IFERROR(__xludf.DUMMYFUNCTION("""COMPUTED_VALUE"""),1044881.0)</f>
        <v>1044881</v>
      </c>
      <c r="D1238" t="str">
        <f>IFERROR(__xludf.DUMMYFUNCTION("""COMPUTED_VALUE"""),"Ms.")</f>
        <v>Ms.</v>
      </c>
      <c r="E1238" t="str">
        <f>IFERROR(__xludf.DUMMYFUNCTION("""COMPUTED_VALUE"""),"Jalumon")</f>
        <v>Jalumon</v>
      </c>
      <c r="F1238" t="str">
        <f>IFERROR(__xludf.DUMMYFUNCTION("""COMPUTED_VALUE"""),"Suk-udom")</f>
        <v>Suk-udom</v>
      </c>
      <c r="G1238" t="str">
        <f>IFERROR(__xludf.DUMMYFUNCTION("""COMPUTED_VALUE"""),"Jalumon Suk-udom")</f>
        <v>Jalumon Suk-udom</v>
      </c>
    </row>
    <row r="1239">
      <c r="A1239" s="142">
        <f>IFERROR(__xludf.DUMMYFUNCTION("""COMPUTED_VALUE"""),110.0)</f>
        <v>110</v>
      </c>
      <c r="C1239">
        <f>IFERROR(__xludf.DUMMYFUNCTION("""COMPUTED_VALUE"""),1044865.0)</f>
        <v>1044865</v>
      </c>
      <c r="D1239" t="str">
        <f>IFERROR(__xludf.DUMMYFUNCTION("""COMPUTED_VALUE"""),"Ms.")</f>
        <v>Ms.</v>
      </c>
      <c r="E1239" t="str">
        <f>IFERROR(__xludf.DUMMYFUNCTION("""COMPUTED_VALUE"""),"Anantaya")</f>
        <v>Anantaya</v>
      </c>
      <c r="F1239" t="str">
        <f>IFERROR(__xludf.DUMMYFUNCTION("""COMPUTED_VALUE"""),"Makkhong")</f>
        <v>Makkhong</v>
      </c>
      <c r="G1239" t="str">
        <f>IFERROR(__xludf.DUMMYFUNCTION("""COMPUTED_VALUE"""),"Anantaya Makkhong")</f>
        <v>Anantaya Makkhong</v>
      </c>
    </row>
    <row r="1240">
      <c r="A1240" s="142">
        <f>IFERROR(__xludf.DUMMYFUNCTION("""COMPUTED_VALUE"""),110.0)</f>
        <v>110</v>
      </c>
      <c r="C1240">
        <f>IFERROR(__xludf.DUMMYFUNCTION("""COMPUTED_VALUE"""),1044866.0)</f>
        <v>1044866</v>
      </c>
      <c r="D1240" t="str">
        <f>IFERROR(__xludf.DUMMYFUNCTION("""COMPUTED_VALUE"""),"Ms.")</f>
        <v>Ms.</v>
      </c>
      <c r="E1240" t="str">
        <f>IFERROR(__xludf.DUMMYFUNCTION("""COMPUTED_VALUE"""),"Natrada")</f>
        <v>Natrada</v>
      </c>
      <c r="F1240" t="str">
        <f>IFERROR(__xludf.DUMMYFUNCTION("""COMPUTED_VALUE"""),"Phromsri")</f>
        <v>Phromsri</v>
      </c>
      <c r="G1240" t="str">
        <f>IFERROR(__xludf.DUMMYFUNCTION("""COMPUTED_VALUE"""),"Natrada Phromsri")</f>
        <v>Natrada Phromsri</v>
      </c>
    </row>
    <row r="1241">
      <c r="A1241" s="142">
        <f>IFERROR(__xludf.DUMMYFUNCTION("""COMPUTED_VALUE"""),110.0)</f>
        <v>110</v>
      </c>
      <c r="C1241">
        <f>IFERROR(__xludf.DUMMYFUNCTION("""COMPUTED_VALUE"""),1044882.0)</f>
        <v>1044882</v>
      </c>
      <c r="D1241" t="str">
        <f>IFERROR(__xludf.DUMMYFUNCTION("""COMPUTED_VALUE"""),"Mr.")</f>
        <v>Mr.</v>
      </c>
      <c r="E1241" t="str">
        <f>IFERROR(__xludf.DUMMYFUNCTION("""COMPUTED_VALUE"""),"Nattapong")</f>
        <v>Nattapong</v>
      </c>
      <c r="F1241" t="str">
        <f>IFERROR(__xludf.DUMMYFUNCTION("""COMPUTED_VALUE"""),"Noimor")</f>
        <v>Noimor</v>
      </c>
      <c r="G1241" t="str">
        <f>IFERROR(__xludf.DUMMYFUNCTION("""COMPUTED_VALUE"""),"Nattapong Noimor")</f>
        <v>Nattapong Noimor</v>
      </c>
    </row>
    <row r="1242">
      <c r="A1242" s="142">
        <f>IFERROR(__xludf.DUMMYFUNCTION("""COMPUTED_VALUE"""),110.0)</f>
        <v>110</v>
      </c>
      <c r="C1242">
        <f>IFERROR(__xludf.DUMMYFUNCTION("""COMPUTED_VALUE"""),1044867.0)</f>
        <v>1044867</v>
      </c>
      <c r="D1242" t="str">
        <f>IFERROR(__xludf.DUMMYFUNCTION("""COMPUTED_VALUE"""),"Ms.")</f>
        <v>Ms.</v>
      </c>
      <c r="E1242" t="str">
        <f>IFERROR(__xludf.DUMMYFUNCTION("""COMPUTED_VALUE"""),"Vachiraporn")</f>
        <v>Vachiraporn</v>
      </c>
      <c r="F1242" t="str">
        <f>IFERROR(__xludf.DUMMYFUNCTION("""COMPUTED_VALUE"""),"Tongtawan")</f>
        <v>Tongtawan</v>
      </c>
      <c r="G1242" t="str">
        <f>IFERROR(__xludf.DUMMYFUNCTION("""COMPUTED_VALUE"""),"Vachiraporn Tongtawan")</f>
        <v>Vachiraporn Tongtawan</v>
      </c>
    </row>
    <row r="1243">
      <c r="A1243" s="142">
        <f>IFERROR(__xludf.DUMMYFUNCTION("""COMPUTED_VALUE"""),110.0)</f>
        <v>110</v>
      </c>
      <c r="C1243">
        <f>IFERROR(__xludf.DUMMYFUNCTION("""COMPUTED_VALUE"""),1044868.0)</f>
        <v>1044868</v>
      </c>
      <c r="D1243" t="str">
        <f>IFERROR(__xludf.DUMMYFUNCTION("""COMPUTED_VALUE"""),"Ms.")</f>
        <v>Ms.</v>
      </c>
      <c r="E1243" t="str">
        <f>IFERROR(__xludf.DUMMYFUNCTION("""COMPUTED_VALUE"""),"Tussamon")</f>
        <v>Tussamon</v>
      </c>
      <c r="F1243" t="str">
        <f>IFERROR(__xludf.DUMMYFUNCTION("""COMPUTED_VALUE"""),"Autthakovit")</f>
        <v>Autthakovit</v>
      </c>
      <c r="G1243" t="str">
        <f>IFERROR(__xludf.DUMMYFUNCTION("""COMPUTED_VALUE"""),"Tussamon Autthakovit")</f>
        <v>Tussamon Autthakovit</v>
      </c>
    </row>
    <row r="1244">
      <c r="A1244" s="142">
        <f>IFERROR(__xludf.DUMMYFUNCTION("""COMPUTED_VALUE"""),110.0)</f>
        <v>110</v>
      </c>
      <c r="C1244">
        <f>IFERROR(__xludf.DUMMYFUNCTION("""COMPUTED_VALUE"""),1044869.0)</f>
        <v>1044869</v>
      </c>
      <c r="D1244" t="str">
        <f>IFERROR(__xludf.DUMMYFUNCTION("""COMPUTED_VALUE"""),"Ms.")</f>
        <v>Ms.</v>
      </c>
      <c r="E1244" t="str">
        <f>IFERROR(__xludf.DUMMYFUNCTION("""COMPUTED_VALUE"""),"Pear")</f>
        <v>Pear</v>
      </c>
      <c r="F1244" t="str">
        <f>IFERROR(__xludf.DUMMYFUNCTION("""COMPUTED_VALUE"""),"Inthrarak")</f>
        <v>Inthrarak</v>
      </c>
      <c r="G1244" t="str">
        <f>IFERROR(__xludf.DUMMYFUNCTION("""COMPUTED_VALUE"""),"Pear Inthrarak")</f>
        <v>Pear Inthrarak</v>
      </c>
    </row>
    <row r="1245">
      <c r="A1245" s="142">
        <f>IFERROR(__xludf.DUMMYFUNCTION("""COMPUTED_VALUE"""),110.0)</f>
        <v>110</v>
      </c>
      <c r="C1245">
        <f>IFERROR(__xludf.DUMMYFUNCTION("""COMPUTED_VALUE"""),1044870.0)</f>
        <v>1044870</v>
      </c>
      <c r="D1245" t="str">
        <f>IFERROR(__xludf.DUMMYFUNCTION("""COMPUTED_VALUE"""),"Mr.")</f>
        <v>Mr.</v>
      </c>
      <c r="E1245" t="str">
        <f>IFERROR(__xludf.DUMMYFUNCTION("""COMPUTED_VALUE"""),"Nitit")</f>
        <v>Nitit</v>
      </c>
      <c r="F1245" t="str">
        <f>IFERROR(__xludf.DUMMYFUNCTION("""COMPUTED_VALUE"""),"Kawinkul")</f>
        <v>Kawinkul</v>
      </c>
      <c r="G1245" t="str">
        <f>IFERROR(__xludf.DUMMYFUNCTION("""COMPUTED_VALUE"""),"Nitit Kawinkul")</f>
        <v>Nitit Kawinkul</v>
      </c>
    </row>
    <row r="1246">
      <c r="A1246" s="142">
        <f>IFERROR(__xludf.DUMMYFUNCTION("""COMPUTED_VALUE"""),110.0)</f>
        <v>110</v>
      </c>
      <c r="C1246">
        <f>IFERROR(__xludf.DUMMYFUNCTION("""COMPUTED_VALUE"""),1044871.0)</f>
        <v>1044871</v>
      </c>
      <c r="D1246" t="str">
        <f>IFERROR(__xludf.DUMMYFUNCTION("""COMPUTED_VALUE"""),"Mr.")</f>
        <v>Mr.</v>
      </c>
      <c r="E1246" t="str">
        <f>IFERROR(__xludf.DUMMYFUNCTION("""COMPUTED_VALUE"""),"Songporn")</f>
        <v>Songporn</v>
      </c>
      <c r="F1246" t="str">
        <f>IFERROR(__xludf.DUMMYFUNCTION("""COMPUTED_VALUE"""),"Surarit")</f>
        <v>Surarit</v>
      </c>
      <c r="G1246" t="str">
        <f>IFERROR(__xludf.DUMMYFUNCTION("""COMPUTED_VALUE"""),"Songporn Surarit")</f>
        <v>Songporn Surarit</v>
      </c>
    </row>
    <row r="1247">
      <c r="A1247" s="142">
        <f>IFERROR(__xludf.DUMMYFUNCTION("""COMPUTED_VALUE"""),110.0)</f>
        <v>110</v>
      </c>
      <c r="C1247">
        <f>IFERROR(__xludf.DUMMYFUNCTION("""COMPUTED_VALUE"""),1044872.0)</f>
        <v>1044872</v>
      </c>
      <c r="D1247" t="str">
        <f>IFERROR(__xludf.DUMMYFUNCTION("""COMPUTED_VALUE"""),"Ms.")</f>
        <v>Ms.</v>
      </c>
      <c r="E1247" t="str">
        <f>IFERROR(__xludf.DUMMYFUNCTION("""COMPUTED_VALUE"""),"Patitta")</f>
        <v>Patitta</v>
      </c>
      <c r="F1247" t="str">
        <f>IFERROR(__xludf.DUMMYFUNCTION("""COMPUTED_VALUE"""),"Saejang")</f>
        <v>Saejang</v>
      </c>
      <c r="G1247" t="str">
        <f>IFERROR(__xludf.DUMMYFUNCTION("""COMPUTED_VALUE"""),"Patitta Saejang")</f>
        <v>Patitta Saejang</v>
      </c>
    </row>
    <row r="1249">
      <c r="A1249">
        <f>IFERROR(__xludf.DUMMYFUNCTION("""COMPUTED_VALUE"""),111.0)</f>
        <v>111</v>
      </c>
      <c r="C1249">
        <f>IFERROR(__xludf.DUMMYFUNCTION("""COMPUTED_VALUE"""),1011518.0)</f>
        <v>1011518</v>
      </c>
      <c r="D1249" t="str">
        <f>IFERROR(__xludf.DUMMYFUNCTION("""COMPUTED_VALUE"""),"Mr.")</f>
        <v>Mr.</v>
      </c>
      <c r="E1249" t="str">
        <f>IFERROR(__xludf.DUMMYFUNCTION("""COMPUTED_VALUE"""),"Wongsakorn")</f>
        <v>Wongsakorn</v>
      </c>
      <c r="F1249" t="str">
        <f>IFERROR(__xludf.DUMMYFUNCTION("""COMPUTED_VALUE"""),"Naokaew")</f>
        <v>Naokaew</v>
      </c>
      <c r="G1249" t="str">
        <f>IFERROR(__xludf.DUMMYFUNCTION("""COMPUTED_VALUE"""),"Wongsakorn Naokaew")</f>
        <v>Wongsakorn Naokaew</v>
      </c>
    </row>
    <row r="1250">
      <c r="A1250">
        <f>IFERROR(__xludf.DUMMYFUNCTION("""COMPUTED_VALUE"""),111.0)</f>
        <v>111</v>
      </c>
      <c r="C1250">
        <f>IFERROR(__xludf.DUMMYFUNCTION("""COMPUTED_VALUE"""),1023565.0)</f>
        <v>1023565</v>
      </c>
      <c r="D1250" t="str">
        <f>IFERROR(__xludf.DUMMYFUNCTION("""COMPUTED_VALUE"""),"Mr.")</f>
        <v>Mr.</v>
      </c>
      <c r="E1250" t="str">
        <f>IFERROR(__xludf.DUMMYFUNCTION("""COMPUTED_VALUE"""),"Somchoke")</f>
        <v>Somchoke</v>
      </c>
      <c r="F1250" t="str">
        <f>IFERROR(__xludf.DUMMYFUNCTION("""COMPUTED_VALUE"""),"Direksathaphorn")</f>
        <v>Direksathaphorn</v>
      </c>
      <c r="G1250" t="str">
        <f>IFERROR(__xludf.DUMMYFUNCTION("""COMPUTED_VALUE"""),"Somchoke Direksathaphorn")</f>
        <v>Somchoke Direksathaphorn</v>
      </c>
    </row>
    <row r="1251">
      <c r="A1251">
        <f>IFERROR(__xludf.DUMMYFUNCTION("""COMPUTED_VALUE"""),111.0)</f>
        <v>111</v>
      </c>
      <c r="C1251">
        <f>IFERROR(__xludf.DUMMYFUNCTION("""COMPUTED_VALUE"""),1046087.0)</f>
        <v>1046087</v>
      </c>
      <c r="D1251" t="str">
        <f>IFERROR(__xludf.DUMMYFUNCTION("""COMPUTED_VALUE"""),"Mr.")</f>
        <v>Mr.</v>
      </c>
      <c r="E1251" t="str">
        <f>IFERROR(__xludf.DUMMYFUNCTION("""COMPUTED_VALUE"""),"Attawut")</f>
        <v>Attawut</v>
      </c>
      <c r="F1251" t="str">
        <f>IFERROR(__xludf.DUMMYFUNCTION("""COMPUTED_VALUE"""),"Assavanadda")</f>
        <v>Assavanadda</v>
      </c>
      <c r="G1251" t="str">
        <f>IFERROR(__xludf.DUMMYFUNCTION("""COMPUTED_VALUE"""),"Attawut Assavanadda")</f>
        <v>Attawut Assavanadda</v>
      </c>
    </row>
    <row r="1252">
      <c r="A1252">
        <f>IFERROR(__xludf.DUMMYFUNCTION("""COMPUTED_VALUE"""),111.0)</f>
        <v>111</v>
      </c>
      <c r="C1252">
        <f>IFERROR(__xludf.DUMMYFUNCTION("""COMPUTED_VALUE"""),1046088.0)</f>
        <v>1046088</v>
      </c>
      <c r="D1252" t="str">
        <f>IFERROR(__xludf.DUMMYFUNCTION("""COMPUTED_VALUE"""),"Ms.")</f>
        <v>Ms.</v>
      </c>
      <c r="E1252" t="str">
        <f>IFERROR(__xludf.DUMMYFUNCTION("""COMPUTED_VALUE"""),"Chatthipha")</f>
        <v>Chatthipha</v>
      </c>
      <c r="F1252" t="str">
        <f>IFERROR(__xludf.DUMMYFUNCTION("""COMPUTED_VALUE"""),"Tosuwan")</f>
        <v>Tosuwan</v>
      </c>
      <c r="G1252" t="str">
        <f>IFERROR(__xludf.DUMMYFUNCTION("""COMPUTED_VALUE"""),"Chatthipha Tosuwan")</f>
        <v>Chatthipha Tosuwan</v>
      </c>
    </row>
    <row r="1253">
      <c r="A1253">
        <f>IFERROR(__xludf.DUMMYFUNCTION("""COMPUTED_VALUE"""),111.0)</f>
        <v>111</v>
      </c>
      <c r="C1253">
        <f>IFERROR(__xludf.DUMMYFUNCTION("""COMPUTED_VALUE"""),1046089.0)</f>
        <v>1046089</v>
      </c>
      <c r="D1253" t="str">
        <f>IFERROR(__xludf.DUMMYFUNCTION("""COMPUTED_VALUE"""),"Ms.")</f>
        <v>Ms.</v>
      </c>
      <c r="E1253" t="str">
        <f>IFERROR(__xludf.DUMMYFUNCTION("""COMPUTED_VALUE"""),"Jiratthitikarn")</f>
        <v>Jiratthitikarn</v>
      </c>
      <c r="F1253" t="str">
        <f>IFERROR(__xludf.DUMMYFUNCTION("""COMPUTED_VALUE"""),"Supantana")</f>
        <v>Supantana</v>
      </c>
      <c r="G1253" t="str">
        <f>IFERROR(__xludf.DUMMYFUNCTION("""COMPUTED_VALUE"""),"Jiratthitikarn Supantana")</f>
        <v>Jiratthitikarn Supantana</v>
      </c>
    </row>
    <row r="1254">
      <c r="A1254">
        <f>IFERROR(__xludf.DUMMYFUNCTION("""COMPUTED_VALUE"""),111.0)</f>
        <v>111</v>
      </c>
      <c r="C1254">
        <f>IFERROR(__xludf.DUMMYFUNCTION("""COMPUTED_VALUE"""),1046090.0)</f>
        <v>1046090</v>
      </c>
      <c r="D1254" t="str">
        <f>IFERROR(__xludf.DUMMYFUNCTION("""COMPUTED_VALUE"""),"Ms.")</f>
        <v>Ms.</v>
      </c>
      <c r="E1254" t="str">
        <f>IFERROR(__xludf.DUMMYFUNCTION("""COMPUTED_VALUE"""),"Junjura")</f>
        <v>Junjura</v>
      </c>
      <c r="F1254" t="str">
        <f>IFERROR(__xludf.DUMMYFUNCTION("""COMPUTED_VALUE"""),"Kantharet")</f>
        <v>Kantharet</v>
      </c>
      <c r="G1254" t="str">
        <f>IFERROR(__xludf.DUMMYFUNCTION("""COMPUTED_VALUE"""),"Junjura Kantharet")</f>
        <v>Junjura Kantharet</v>
      </c>
    </row>
    <row r="1255">
      <c r="A1255">
        <f>IFERROR(__xludf.DUMMYFUNCTION("""COMPUTED_VALUE"""),111.0)</f>
        <v>111</v>
      </c>
      <c r="C1255">
        <f>IFERROR(__xludf.DUMMYFUNCTION("""COMPUTED_VALUE"""),1046091.0)</f>
        <v>1046091</v>
      </c>
      <c r="D1255" t="str">
        <f>IFERROR(__xludf.DUMMYFUNCTION("""COMPUTED_VALUE"""),"Ms.")</f>
        <v>Ms.</v>
      </c>
      <c r="E1255" t="str">
        <f>IFERROR(__xludf.DUMMYFUNCTION("""COMPUTED_VALUE"""),"Montisa")</f>
        <v>Montisa</v>
      </c>
      <c r="F1255" t="str">
        <f>IFERROR(__xludf.DUMMYFUNCTION("""COMPUTED_VALUE"""),"Rattanatrai")</f>
        <v>Rattanatrai</v>
      </c>
      <c r="G1255" t="str">
        <f>IFERROR(__xludf.DUMMYFUNCTION("""COMPUTED_VALUE"""),"Montisa Rattanatrai")</f>
        <v>Montisa Rattanatrai</v>
      </c>
    </row>
    <row r="1256">
      <c r="A1256">
        <f>IFERROR(__xludf.DUMMYFUNCTION("""COMPUTED_VALUE"""),111.0)</f>
        <v>111</v>
      </c>
      <c r="C1256">
        <f>IFERROR(__xludf.DUMMYFUNCTION("""COMPUTED_VALUE"""),1046092.0)</f>
        <v>1046092</v>
      </c>
      <c r="D1256" t="str">
        <f>IFERROR(__xludf.DUMMYFUNCTION("""COMPUTED_VALUE"""),"Ms.")</f>
        <v>Ms.</v>
      </c>
      <c r="E1256" t="str">
        <f>IFERROR(__xludf.DUMMYFUNCTION("""COMPUTED_VALUE"""),"Naphatcha")</f>
        <v>Naphatcha</v>
      </c>
      <c r="F1256" t="str">
        <f>IFERROR(__xludf.DUMMYFUNCTION("""COMPUTED_VALUE"""),"Wongpanich")</f>
        <v>Wongpanich</v>
      </c>
      <c r="G1256" t="str">
        <f>IFERROR(__xludf.DUMMYFUNCTION("""COMPUTED_VALUE"""),"Naphatcha Wongpanich")</f>
        <v>Naphatcha Wongpanich</v>
      </c>
    </row>
    <row r="1257">
      <c r="A1257">
        <f>IFERROR(__xludf.DUMMYFUNCTION("""COMPUTED_VALUE"""),111.0)</f>
        <v>111</v>
      </c>
      <c r="C1257">
        <f>IFERROR(__xludf.DUMMYFUNCTION("""COMPUTED_VALUE"""),1046093.0)</f>
        <v>1046093</v>
      </c>
      <c r="D1257" t="str">
        <f>IFERROR(__xludf.DUMMYFUNCTION("""COMPUTED_VALUE"""),"Ms.")</f>
        <v>Ms.</v>
      </c>
      <c r="E1257" t="str">
        <f>IFERROR(__xludf.DUMMYFUNCTION("""COMPUTED_VALUE"""),"Natchaya")</f>
        <v>Natchaya</v>
      </c>
      <c r="F1257" t="str">
        <f>IFERROR(__xludf.DUMMYFUNCTION("""COMPUTED_VALUE"""),"Thamboontop")</f>
        <v>Thamboontop</v>
      </c>
      <c r="G1257" t="str">
        <f>IFERROR(__xludf.DUMMYFUNCTION("""COMPUTED_VALUE"""),"Natchaya Thamboontop")</f>
        <v>Natchaya Thamboontop</v>
      </c>
    </row>
    <row r="1258">
      <c r="A1258">
        <f>IFERROR(__xludf.DUMMYFUNCTION("""COMPUTED_VALUE"""),111.0)</f>
        <v>111</v>
      </c>
      <c r="C1258">
        <f>IFERROR(__xludf.DUMMYFUNCTION("""COMPUTED_VALUE"""),1046094.0)</f>
        <v>1046094</v>
      </c>
      <c r="D1258" t="str">
        <f>IFERROR(__xludf.DUMMYFUNCTION("""COMPUTED_VALUE"""),"Ms.")</f>
        <v>Ms.</v>
      </c>
      <c r="E1258" t="str">
        <f>IFERROR(__xludf.DUMMYFUNCTION("""COMPUTED_VALUE"""),"Natphatsorn")</f>
        <v>Natphatsorn</v>
      </c>
      <c r="F1258" t="str">
        <f>IFERROR(__xludf.DUMMYFUNCTION("""COMPUTED_VALUE"""),"Namsap")</f>
        <v>Namsap</v>
      </c>
      <c r="G1258" t="str">
        <f>IFERROR(__xludf.DUMMYFUNCTION("""COMPUTED_VALUE"""),"Natphatsorn Namsap")</f>
        <v>Natphatsorn Namsap</v>
      </c>
    </row>
    <row r="1259">
      <c r="A1259">
        <f>IFERROR(__xludf.DUMMYFUNCTION("""COMPUTED_VALUE"""),111.0)</f>
        <v>111</v>
      </c>
      <c r="C1259">
        <f>IFERROR(__xludf.DUMMYFUNCTION("""COMPUTED_VALUE"""),1046095.0)</f>
        <v>1046095</v>
      </c>
      <c r="D1259" t="str">
        <f>IFERROR(__xludf.DUMMYFUNCTION("""COMPUTED_VALUE"""),"Ms.")</f>
        <v>Ms.</v>
      </c>
      <c r="E1259" t="str">
        <f>IFERROR(__xludf.DUMMYFUNCTION("""COMPUTED_VALUE"""),"Natthanisha")</f>
        <v>Natthanisha</v>
      </c>
      <c r="F1259" t="str">
        <f>IFERROR(__xludf.DUMMYFUNCTION("""COMPUTED_VALUE"""),"Sukmak")</f>
        <v>Sukmak</v>
      </c>
      <c r="G1259" t="str">
        <f>IFERROR(__xludf.DUMMYFUNCTION("""COMPUTED_VALUE"""),"Natthanisha Sukmak")</f>
        <v>Natthanisha Sukmak</v>
      </c>
    </row>
    <row r="1260">
      <c r="A1260">
        <f>IFERROR(__xludf.DUMMYFUNCTION("""COMPUTED_VALUE"""),111.0)</f>
        <v>111</v>
      </c>
      <c r="C1260">
        <f>IFERROR(__xludf.DUMMYFUNCTION("""COMPUTED_VALUE"""),1046096.0)</f>
        <v>1046096</v>
      </c>
      <c r="D1260" t="str">
        <f>IFERROR(__xludf.DUMMYFUNCTION("""COMPUTED_VALUE"""),"Ms.")</f>
        <v>Ms.</v>
      </c>
      <c r="E1260" t="str">
        <f>IFERROR(__xludf.DUMMYFUNCTION("""COMPUTED_VALUE"""),"Natthapat")</f>
        <v>Natthapat</v>
      </c>
      <c r="F1260" t="str">
        <f>IFERROR(__xludf.DUMMYFUNCTION("""COMPUTED_VALUE"""),"Ratiphromphong")</f>
        <v>Ratiphromphong</v>
      </c>
      <c r="G1260" t="str">
        <f>IFERROR(__xludf.DUMMYFUNCTION("""COMPUTED_VALUE"""),"Natthapat Ratiphromphong")</f>
        <v>Natthapat Ratiphromphong</v>
      </c>
    </row>
    <row r="1261">
      <c r="A1261">
        <f>IFERROR(__xludf.DUMMYFUNCTION("""COMPUTED_VALUE"""),111.0)</f>
        <v>111</v>
      </c>
      <c r="C1261">
        <f>IFERROR(__xludf.DUMMYFUNCTION("""COMPUTED_VALUE"""),1046097.0)</f>
        <v>1046097</v>
      </c>
      <c r="D1261" t="str">
        <f>IFERROR(__xludf.DUMMYFUNCTION("""COMPUTED_VALUE"""),"Ms.")</f>
        <v>Ms.</v>
      </c>
      <c r="E1261" t="str">
        <f>IFERROR(__xludf.DUMMYFUNCTION("""COMPUTED_VALUE"""),"Paweenut")</f>
        <v>Paweenut</v>
      </c>
      <c r="F1261" t="str">
        <f>IFERROR(__xludf.DUMMYFUNCTION("""COMPUTED_VALUE"""),"Rotjanaratthakorn")</f>
        <v>Rotjanaratthakorn</v>
      </c>
      <c r="G1261" t="str">
        <f>IFERROR(__xludf.DUMMYFUNCTION("""COMPUTED_VALUE"""),"Paweenut Rotjanaratthakorn")</f>
        <v>Paweenut Rotjanaratthakorn</v>
      </c>
    </row>
    <row r="1262">
      <c r="A1262">
        <f>IFERROR(__xludf.DUMMYFUNCTION("""COMPUTED_VALUE"""),111.0)</f>
        <v>111</v>
      </c>
      <c r="C1262">
        <f>IFERROR(__xludf.DUMMYFUNCTION("""COMPUTED_VALUE"""),1046098.0)</f>
        <v>1046098</v>
      </c>
      <c r="D1262" t="str">
        <f>IFERROR(__xludf.DUMMYFUNCTION("""COMPUTED_VALUE"""),"Ms.")</f>
        <v>Ms.</v>
      </c>
      <c r="E1262" t="str">
        <f>IFERROR(__xludf.DUMMYFUNCTION("""COMPUTED_VALUE"""),"Pemika")</f>
        <v>Pemika</v>
      </c>
      <c r="F1262" t="str">
        <f>IFERROR(__xludf.DUMMYFUNCTION("""COMPUTED_VALUE"""),"Krunprathum")</f>
        <v>Krunprathum</v>
      </c>
      <c r="G1262" t="str">
        <f>IFERROR(__xludf.DUMMYFUNCTION("""COMPUTED_VALUE"""),"Pemika Krunprathum")</f>
        <v>Pemika Krunprathum</v>
      </c>
    </row>
    <row r="1263">
      <c r="A1263">
        <f>IFERROR(__xludf.DUMMYFUNCTION("""COMPUTED_VALUE"""),111.0)</f>
        <v>111</v>
      </c>
      <c r="C1263">
        <f>IFERROR(__xludf.DUMMYFUNCTION("""COMPUTED_VALUE"""),1046099.0)</f>
        <v>1046099</v>
      </c>
      <c r="D1263" t="str">
        <f>IFERROR(__xludf.DUMMYFUNCTION("""COMPUTED_VALUE"""),"Ms.")</f>
        <v>Ms.</v>
      </c>
      <c r="E1263" t="str">
        <f>IFERROR(__xludf.DUMMYFUNCTION("""COMPUTED_VALUE"""),"Phanita")</f>
        <v>Phanita</v>
      </c>
      <c r="F1263" t="str">
        <f>IFERROR(__xludf.DUMMYFUNCTION("""COMPUTED_VALUE"""),"Thawitpakin")</f>
        <v>Thawitpakin</v>
      </c>
      <c r="G1263" t="str">
        <f>IFERROR(__xludf.DUMMYFUNCTION("""COMPUTED_VALUE"""),"Phanita Thawitpakin")</f>
        <v>Phanita Thawitpakin</v>
      </c>
    </row>
    <row r="1264">
      <c r="A1264">
        <f>IFERROR(__xludf.DUMMYFUNCTION("""COMPUTED_VALUE"""),111.0)</f>
        <v>111</v>
      </c>
      <c r="C1264">
        <f>IFERROR(__xludf.DUMMYFUNCTION("""COMPUTED_VALUE"""),1046101.0)</f>
        <v>1046101</v>
      </c>
      <c r="D1264" t="str">
        <f>IFERROR(__xludf.DUMMYFUNCTION("""COMPUTED_VALUE"""),"Ms.")</f>
        <v>Ms.</v>
      </c>
      <c r="E1264" t="str">
        <f>IFERROR(__xludf.DUMMYFUNCTION("""COMPUTED_VALUE"""),"Saowalak")</f>
        <v>Saowalak</v>
      </c>
      <c r="F1264" t="str">
        <f>IFERROR(__xludf.DUMMYFUNCTION("""COMPUTED_VALUE"""),"Phaesongphat")</f>
        <v>Phaesongphat</v>
      </c>
      <c r="G1264" t="str">
        <f>IFERROR(__xludf.DUMMYFUNCTION("""COMPUTED_VALUE"""),"Saowalak Phaesongphat")</f>
        <v>Saowalak Phaesongphat</v>
      </c>
    </row>
    <row r="1265">
      <c r="A1265">
        <f>IFERROR(__xludf.DUMMYFUNCTION("""COMPUTED_VALUE"""),111.0)</f>
        <v>111</v>
      </c>
      <c r="C1265">
        <f>IFERROR(__xludf.DUMMYFUNCTION("""COMPUTED_VALUE"""),1046102.0)</f>
        <v>1046102</v>
      </c>
      <c r="D1265" t="str">
        <f>IFERROR(__xludf.DUMMYFUNCTION("""COMPUTED_VALUE"""),"Ms.")</f>
        <v>Ms.</v>
      </c>
      <c r="E1265" t="str">
        <f>IFERROR(__xludf.DUMMYFUNCTION("""COMPUTED_VALUE"""),"Shawisa")</f>
        <v>Shawisa</v>
      </c>
      <c r="F1265" t="str">
        <f>IFERROR(__xludf.DUMMYFUNCTION("""COMPUTED_VALUE"""),"Nillers")</f>
        <v>Nillers</v>
      </c>
      <c r="G1265" t="str">
        <f>IFERROR(__xludf.DUMMYFUNCTION("""COMPUTED_VALUE"""),"Shawisa Nillers")</f>
        <v>Shawisa Nillers</v>
      </c>
    </row>
    <row r="1266">
      <c r="A1266">
        <f>IFERROR(__xludf.DUMMYFUNCTION("""COMPUTED_VALUE"""),111.0)</f>
        <v>111</v>
      </c>
      <c r="C1266">
        <f>IFERROR(__xludf.DUMMYFUNCTION("""COMPUTED_VALUE"""),1046103.0)</f>
        <v>1046103</v>
      </c>
      <c r="D1266" t="str">
        <f>IFERROR(__xludf.DUMMYFUNCTION("""COMPUTED_VALUE"""),"Mr.")</f>
        <v>Mr.</v>
      </c>
      <c r="E1266" t="str">
        <f>IFERROR(__xludf.DUMMYFUNCTION("""COMPUTED_VALUE"""),"Songpol")</f>
        <v>Songpol</v>
      </c>
      <c r="F1266" t="str">
        <f>IFERROR(__xludf.DUMMYFUNCTION("""COMPUTED_VALUE"""),"Puttabua")</f>
        <v>Puttabua</v>
      </c>
      <c r="G1266" t="str">
        <f>IFERROR(__xludf.DUMMYFUNCTION("""COMPUTED_VALUE"""),"Songpol Puttabua")</f>
        <v>Songpol Puttabua</v>
      </c>
    </row>
    <row r="1267">
      <c r="A1267">
        <f>IFERROR(__xludf.DUMMYFUNCTION("""COMPUTED_VALUE"""),111.0)</f>
        <v>111</v>
      </c>
      <c r="C1267">
        <f>IFERROR(__xludf.DUMMYFUNCTION("""COMPUTED_VALUE"""),1046104.0)</f>
        <v>1046104</v>
      </c>
      <c r="D1267" t="str">
        <f>IFERROR(__xludf.DUMMYFUNCTION("""COMPUTED_VALUE"""),"Ms.")</f>
        <v>Ms.</v>
      </c>
      <c r="E1267" t="str">
        <f>IFERROR(__xludf.DUMMYFUNCTION("""COMPUTED_VALUE"""),"Swiththame")</f>
        <v>Swiththame</v>
      </c>
      <c r="F1267" t="str">
        <f>IFERROR(__xludf.DUMMYFUNCTION("""COMPUTED_VALUE"""),"Wongwacharanon")</f>
        <v>Wongwacharanon</v>
      </c>
      <c r="G1267" t="str">
        <f>IFERROR(__xludf.DUMMYFUNCTION("""COMPUTED_VALUE"""),"Swiththame Wongwacharanon")</f>
        <v>Swiththame Wongwacharanon</v>
      </c>
    </row>
    <row r="1268">
      <c r="A1268">
        <f>IFERROR(__xludf.DUMMYFUNCTION("""COMPUTED_VALUE"""),111.0)</f>
        <v>111</v>
      </c>
      <c r="C1268">
        <f>IFERROR(__xludf.DUMMYFUNCTION("""COMPUTED_VALUE"""),1046105.0)</f>
        <v>1046105</v>
      </c>
      <c r="D1268" t="str">
        <f>IFERROR(__xludf.DUMMYFUNCTION("""COMPUTED_VALUE"""),"Ms.")</f>
        <v>Ms.</v>
      </c>
      <c r="E1268" t="str">
        <f>IFERROR(__xludf.DUMMYFUNCTION("""COMPUTED_VALUE"""),"Thanrada")</f>
        <v>Thanrada</v>
      </c>
      <c r="F1268" t="str">
        <f>IFERROR(__xludf.DUMMYFUNCTION("""COMPUTED_VALUE"""),"Onin")</f>
        <v>Onin</v>
      </c>
      <c r="G1268" t="str">
        <f>IFERROR(__xludf.DUMMYFUNCTION("""COMPUTED_VALUE"""),"Thanrada Onin")</f>
        <v>Thanrada Onin</v>
      </c>
    </row>
    <row r="1269">
      <c r="A1269">
        <f>IFERROR(__xludf.DUMMYFUNCTION("""COMPUTED_VALUE"""),111.0)</f>
        <v>111</v>
      </c>
      <c r="C1269">
        <f>IFERROR(__xludf.DUMMYFUNCTION("""COMPUTED_VALUE"""),1046106.0)</f>
        <v>1046106</v>
      </c>
      <c r="D1269" t="str">
        <f>IFERROR(__xludf.DUMMYFUNCTION("""COMPUTED_VALUE"""),"Ms.")</f>
        <v>Ms.</v>
      </c>
      <c r="E1269" t="str">
        <f>IFERROR(__xludf.DUMMYFUNCTION("""COMPUTED_VALUE"""),"Thanta")</f>
        <v>Thanta</v>
      </c>
      <c r="F1269" t="str">
        <f>IFERROR(__xludf.DUMMYFUNCTION("""COMPUTED_VALUE"""),"Sakulsathaporn")</f>
        <v>Sakulsathaporn</v>
      </c>
      <c r="G1269" t="str">
        <f>IFERROR(__xludf.DUMMYFUNCTION("""COMPUTED_VALUE"""),"Thanta Sakulsathaporn")</f>
        <v>Thanta Sakulsathaporn</v>
      </c>
    </row>
    <row r="1270">
      <c r="A1270">
        <f>IFERROR(__xludf.DUMMYFUNCTION("""COMPUTED_VALUE"""),111.0)</f>
        <v>111</v>
      </c>
      <c r="C1270">
        <f>IFERROR(__xludf.DUMMYFUNCTION("""COMPUTED_VALUE"""),1046107.0)</f>
        <v>1046107</v>
      </c>
      <c r="D1270" t="str">
        <f>IFERROR(__xludf.DUMMYFUNCTION("""COMPUTED_VALUE"""),"Ms.")</f>
        <v>Ms.</v>
      </c>
      <c r="E1270" t="str">
        <f>IFERROR(__xludf.DUMMYFUNCTION("""COMPUTED_VALUE"""),"Warantorn")</f>
        <v>Warantorn</v>
      </c>
      <c r="F1270" t="str">
        <f>IFERROR(__xludf.DUMMYFUNCTION("""COMPUTED_VALUE"""),"Sitthiyos")</f>
        <v>Sitthiyos</v>
      </c>
      <c r="G1270" t="str">
        <f>IFERROR(__xludf.DUMMYFUNCTION("""COMPUTED_VALUE"""),"Warantorn Sitthiyos")</f>
        <v>Warantorn Sitthiyos</v>
      </c>
    </row>
    <row r="1271">
      <c r="A1271">
        <f>IFERROR(__xludf.DUMMYFUNCTION("""COMPUTED_VALUE"""),111.0)</f>
        <v>111</v>
      </c>
      <c r="C1271">
        <f>IFERROR(__xludf.DUMMYFUNCTION("""COMPUTED_VALUE"""),1046108.0)</f>
        <v>1046108</v>
      </c>
      <c r="D1271" t="str">
        <f>IFERROR(__xludf.DUMMYFUNCTION("""COMPUTED_VALUE"""),"Mr.")</f>
        <v>Mr.</v>
      </c>
      <c r="E1271" t="str">
        <f>IFERROR(__xludf.DUMMYFUNCTION("""COMPUTED_VALUE"""),"Warrunwats")</f>
        <v>Warrunwats</v>
      </c>
      <c r="F1271" t="str">
        <f>IFERROR(__xludf.DUMMYFUNCTION("""COMPUTED_VALUE"""),"Jirachartworrakun")</f>
        <v>Jirachartworrakun</v>
      </c>
      <c r="G1271" t="str">
        <f>IFERROR(__xludf.DUMMYFUNCTION("""COMPUTED_VALUE"""),"Warrunwats Jirachartworrakun")</f>
        <v>Warrunwats Jirachartworrakun</v>
      </c>
    </row>
    <row r="1272">
      <c r="A1272">
        <f>IFERROR(__xludf.DUMMYFUNCTION("""COMPUTED_VALUE"""),111.0)</f>
        <v>111</v>
      </c>
      <c r="C1272">
        <f>IFERROR(__xludf.DUMMYFUNCTION("""COMPUTED_VALUE"""),1046109.0)</f>
        <v>1046109</v>
      </c>
      <c r="D1272" t="str">
        <f>IFERROR(__xludf.DUMMYFUNCTION("""COMPUTED_VALUE"""),"Ms.")</f>
        <v>Ms.</v>
      </c>
      <c r="E1272" t="str">
        <f>IFERROR(__xludf.DUMMYFUNCTION("""COMPUTED_VALUE"""),"Wirasuda")</f>
        <v>Wirasuda</v>
      </c>
      <c r="F1272" t="str">
        <f>IFERROR(__xludf.DUMMYFUNCTION("""COMPUTED_VALUE"""),"Chayutthanabun")</f>
        <v>Chayutthanabun</v>
      </c>
      <c r="G1272" t="str">
        <f>IFERROR(__xludf.DUMMYFUNCTION("""COMPUTED_VALUE"""),"Wirasuda Chayutthanabun")</f>
        <v>Wirasuda Chayutthanabun</v>
      </c>
    </row>
    <row r="1273">
      <c r="A1273">
        <f>IFERROR(__xludf.DUMMYFUNCTION("""COMPUTED_VALUE"""),111.0)</f>
        <v>111</v>
      </c>
      <c r="C1273">
        <f>IFERROR(__xludf.DUMMYFUNCTION("""COMPUTED_VALUE"""),1046110.0)</f>
        <v>1046110</v>
      </c>
      <c r="D1273" t="str">
        <f>IFERROR(__xludf.DUMMYFUNCTION("""COMPUTED_VALUE"""),"Ms.")</f>
        <v>Ms.</v>
      </c>
      <c r="E1273" t="str">
        <f>IFERROR(__xludf.DUMMYFUNCTION("""COMPUTED_VALUE"""),"Wirintorn")</f>
        <v>Wirintorn</v>
      </c>
      <c r="F1273" t="str">
        <f>IFERROR(__xludf.DUMMYFUNCTION("""COMPUTED_VALUE"""),"Saekhow")</f>
        <v>Saekhow</v>
      </c>
      <c r="G1273" t="str">
        <f>IFERROR(__xludf.DUMMYFUNCTION("""COMPUTED_VALUE"""),"Wirintorn Saekhow")</f>
        <v>Wirintorn Saekhow</v>
      </c>
    </row>
    <row r="1274">
      <c r="A1274">
        <f>IFERROR(__xludf.DUMMYFUNCTION("""COMPUTED_VALUE"""),111.0)</f>
        <v>111</v>
      </c>
      <c r="C1274">
        <f>IFERROR(__xludf.DUMMYFUNCTION("""COMPUTED_VALUE"""),1046111.0)</f>
        <v>1046111</v>
      </c>
      <c r="D1274" t="str">
        <f>IFERROR(__xludf.DUMMYFUNCTION("""COMPUTED_VALUE"""),"Ms.")</f>
        <v>Ms.</v>
      </c>
      <c r="E1274" t="str">
        <f>IFERROR(__xludf.DUMMYFUNCTION("""COMPUTED_VALUE"""),"Chayanin")</f>
        <v>Chayanin</v>
      </c>
      <c r="F1274" t="str">
        <f>IFERROR(__xludf.DUMMYFUNCTION("""COMPUTED_VALUE"""),"Ratchusanti")</f>
        <v>Ratchusanti</v>
      </c>
      <c r="G1274" t="str">
        <f>IFERROR(__xludf.DUMMYFUNCTION("""COMPUTED_VALUE"""),"Chayanin Ratchusanti")</f>
        <v>Chayanin Ratchusanti</v>
      </c>
    </row>
    <row r="1275">
      <c r="A1275">
        <f>IFERROR(__xludf.DUMMYFUNCTION("""COMPUTED_VALUE"""),111.0)</f>
        <v>111</v>
      </c>
      <c r="C1275">
        <f>IFERROR(__xludf.DUMMYFUNCTION("""COMPUTED_VALUE"""),1046112.0)</f>
        <v>1046112</v>
      </c>
      <c r="D1275" t="str">
        <f>IFERROR(__xludf.DUMMYFUNCTION("""COMPUTED_VALUE"""),"Mr.")</f>
        <v>Mr.</v>
      </c>
      <c r="E1275" t="str">
        <f>IFERROR(__xludf.DUMMYFUNCTION("""COMPUTED_VALUE"""),"Norachai")</f>
        <v>Norachai</v>
      </c>
      <c r="F1275" t="str">
        <f>IFERROR(__xludf.DUMMYFUNCTION("""COMPUTED_VALUE"""),"Sangketkit")</f>
        <v>Sangketkit</v>
      </c>
      <c r="G1275" t="str">
        <f>IFERROR(__xludf.DUMMYFUNCTION("""COMPUTED_VALUE"""),"Norachai Sangketkit")</f>
        <v>Norachai Sangketkit</v>
      </c>
    </row>
    <row r="1277">
      <c r="A1277">
        <f>IFERROR(__xludf.DUMMYFUNCTION("""COMPUTED_VALUE"""),112.0)</f>
        <v>112</v>
      </c>
      <c r="B1277" t="str">
        <f>IFERROR(__xludf.DUMMYFUNCTION("""COMPUTED_VALUE"""),"Initial Training 6 Jan 26")</f>
        <v>Initial Training 6 Jan 26</v>
      </c>
      <c r="C1277">
        <f>IFERROR(__xludf.DUMMYFUNCTION("""COMPUTED_VALUE"""),1046325.0)</f>
        <v>1046325</v>
      </c>
      <c r="D1277" t="str">
        <f>IFERROR(__xludf.DUMMYFUNCTION("""COMPUTED_VALUE"""),"Ms.")</f>
        <v>Ms.</v>
      </c>
      <c r="E1277" t="str">
        <f>IFERROR(__xludf.DUMMYFUNCTION("""COMPUTED_VALUE"""),"Aemnicha")</f>
        <v>Aemnicha</v>
      </c>
      <c r="F1277" t="str">
        <f>IFERROR(__xludf.DUMMYFUNCTION("""COMPUTED_VALUE"""),"Netharn")</f>
        <v>Netharn</v>
      </c>
      <c r="G1277" t="str">
        <f>IFERROR(__xludf.DUMMYFUNCTION("""COMPUTED_VALUE"""),"Aemnicha Netharn")</f>
        <v>Aemnicha Netharn</v>
      </c>
    </row>
    <row r="1278">
      <c r="A1278">
        <f>IFERROR(__xludf.DUMMYFUNCTION("""COMPUTED_VALUE"""),112.0)</f>
        <v>112</v>
      </c>
      <c r="B1278" t="str">
        <f>IFERROR(__xludf.DUMMYFUNCTION("""COMPUTED_VALUE"""),"Initial Training 6 Jan 26")</f>
        <v>Initial Training 6 Jan 26</v>
      </c>
      <c r="C1278">
        <f>IFERROR(__xludf.DUMMYFUNCTION("""COMPUTED_VALUE"""),1046326.0)</f>
        <v>1046326</v>
      </c>
      <c r="D1278" t="str">
        <f>IFERROR(__xludf.DUMMYFUNCTION("""COMPUTED_VALUE"""),"Ms.")</f>
        <v>Ms.</v>
      </c>
      <c r="E1278" t="str">
        <f>IFERROR(__xludf.DUMMYFUNCTION("""COMPUTED_VALUE"""),"Chalanthon")</f>
        <v>Chalanthon</v>
      </c>
      <c r="F1278" t="str">
        <f>IFERROR(__xludf.DUMMYFUNCTION("""COMPUTED_VALUE"""),"Kidlaied")</f>
        <v>Kidlaied</v>
      </c>
      <c r="G1278" t="str">
        <f>IFERROR(__xludf.DUMMYFUNCTION("""COMPUTED_VALUE"""),"Chalanthon Kidlaied")</f>
        <v>Chalanthon Kidlaied</v>
      </c>
    </row>
    <row r="1279">
      <c r="A1279">
        <f>IFERROR(__xludf.DUMMYFUNCTION("""COMPUTED_VALUE"""),112.0)</f>
        <v>112</v>
      </c>
      <c r="B1279" t="str">
        <f>IFERROR(__xludf.DUMMYFUNCTION("""COMPUTED_VALUE"""),"Initial Training 6 Jan 26")</f>
        <v>Initial Training 6 Jan 26</v>
      </c>
      <c r="C1279">
        <f>IFERROR(__xludf.DUMMYFUNCTION("""COMPUTED_VALUE"""),1046327.0)</f>
        <v>1046327</v>
      </c>
      <c r="D1279" t="str">
        <f>IFERROR(__xludf.DUMMYFUNCTION("""COMPUTED_VALUE"""),"Ms.")</f>
        <v>Ms.</v>
      </c>
      <c r="E1279" t="str">
        <f>IFERROR(__xludf.DUMMYFUNCTION("""COMPUTED_VALUE"""),"Chayapohn")</f>
        <v>Chayapohn</v>
      </c>
      <c r="F1279" t="str">
        <f>IFERROR(__xludf.DUMMYFUNCTION("""COMPUTED_VALUE"""),"Singsuwan")</f>
        <v>Singsuwan</v>
      </c>
      <c r="G1279" t="str">
        <f>IFERROR(__xludf.DUMMYFUNCTION("""COMPUTED_VALUE"""),"Chayapohn Singsuwan")</f>
        <v>Chayapohn Singsuwan</v>
      </c>
    </row>
    <row r="1280">
      <c r="A1280">
        <f>IFERROR(__xludf.DUMMYFUNCTION("""COMPUTED_VALUE"""),112.0)</f>
        <v>112</v>
      </c>
      <c r="B1280" t="str">
        <f>IFERROR(__xludf.DUMMYFUNCTION("""COMPUTED_VALUE"""),"Initial Training 6 Jan 26")</f>
        <v>Initial Training 6 Jan 26</v>
      </c>
      <c r="C1280">
        <f>IFERROR(__xludf.DUMMYFUNCTION("""COMPUTED_VALUE"""),1046328.0)</f>
        <v>1046328</v>
      </c>
      <c r="D1280" t="str">
        <f>IFERROR(__xludf.DUMMYFUNCTION("""COMPUTED_VALUE"""),"Mr.")</f>
        <v>Mr.</v>
      </c>
      <c r="E1280" t="str">
        <f>IFERROR(__xludf.DUMMYFUNCTION("""COMPUTED_VALUE"""),"Jirawat")</f>
        <v>Jirawat</v>
      </c>
      <c r="F1280" t="str">
        <f>IFERROR(__xludf.DUMMYFUNCTION("""COMPUTED_VALUE"""),"Bunyaratthaphan")</f>
        <v>Bunyaratthaphan</v>
      </c>
      <c r="G1280" t="str">
        <f>IFERROR(__xludf.DUMMYFUNCTION("""COMPUTED_VALUE"""),"Jirawat Bunyaratthaphan")</f>
        <v>Jirawat Bunyaratthaphan</v>
      </c>
    </row>
    <row r="1281">
      <c r="A1281">
        <f>IFERROR(__xludf.DUMMYFUNCTION("""COMPUTED_VALUE"""),112.0)</f>
        <v>112</v>
      </c>
      <c r="B1281" t="str">
        <f>IFERROR(__xludf.DUMMYFUNCTION("""COMPUTED_VALUE"""),"Initial Training 6 Jan 26")</f>
        <v>Initial Training 6 Jan 26</v>
      </c>
      <c r="C1281">
        <f>IFERROR(__xludf.DUMMYFUNCTION("""COMPUTED_VALUE"""),1046329.0)</f>
        <v>1046329</v>
      </c>
      <c r="D1281" t="str">
        <f>IFERROR(__xludf.DUMMYFUNCTION("""COMPUTED_VALUE"""),"Mr.")</f>
        <v>Mr.</v>
      </c>
      <c r="E1281" t="str">
        <f>IFERROR(__xludf.DUMMYFUNCTION("""COMPUTED_VALUE"""),"Kollawat")</f>
        <v>Kollawat</v>
      </c>
      <c r="F1281" t="str">
        <f>IFERROR(__xludf.DUMMYFUNCTION("""COMPUTED_VALUE"""),"Khoosuwan")</f>
        <v>Khoosuwan</v>
      </c>
      <c r="G1281" t="str">
        <f>IFERROR(__xludf.DUMMYFUNCTION("""COMPUTED_VALUE"""),"Kollawat Khoosuwan")</f>
        <v>Kollawat Khoosuwan</v>
      </c>
    </row>
    <row r="1282">
      <c r="A1282">
        <f>IFERROR(__xludf.DUMMYFUNCTION("""COMPUTED_VALUE"""),112.0)</f>
        <v>112</v>
      </c>
      <c r="B1282" t="str">
        <f>IFERROR(__xludf.DUMMYFUNCTION("""COMPUTED_VALUE"""),"Initial Training 6 Jan 26")</f>
        <v>Initial Training 6 Jan 26</v>
      </c>
      <c r="C1282">
        <f>IFERROR(__xludf.DUMMYFUNCTION("""COMPUTED_VALUE"""),1046330.0)</f>
        <v>1046330</v>
      </c>
      <c r="D1282" t="str">
        <f>IFERROR(__xludf.DUMMYFUNCTION("""COMPUTED_VALUE"""),"Ms.")</f>
        <v>Ms.</v>
      </c>
      <c r="E1282" t="str">
        <f>IFERROR(__xludf.DUMMYFUNCTION("""COMPUTED_VALUE"""),"Krittiyaporn")</f>
        <v>Krittiyaporn</v>
      </c>
      <c r="F1282" t="str">
        <f>IFERROR(__xludf.DUMMYFUNCTION("""COMPUTED_VALUE"""),"Khanngoen")</f>
        <v>Khanngoen</v>
      </c>
      <c r="G1282" t="str">
        <f>IFERROR(__xludf.DUMMYFUNCTION("""COMPUTED_VALUE"""),"Krittiyaporn Khanngoen")</f>
        <v>Krittiyaporn Khanngoen</v>
      </c>
    </row>
    <row r="1283">
      <c r="A1283">
        <f>IFERROR(__xludf.DUMMYFUNCTION("""COMPUTED_VALUE"""),112.0)</f>
        <v>112</v>
      </c>
      <c r="B1283" t="str">
        <f>IFERROR(__xludf.DUMMYFUNCTION("""COMPUTED_VALUE"""),"Initial Training 6 Jan 26")</f>
        <v>Initial Training 6 Jan 26</v>
      </c>
      <c r="C1283">
        <f>IFERROR(__xludf.DUMMYFUNCTION("""COMPUTED_VALUE"""),1046331.0)</f>
        <v>1046331</v>
      </c>
      <c r="D1283" t="str">
        <f>IFERROR(__xludf.DUMMYFUNCTION("""COMPUTED_VALUE"""),"Mr.")</f>
        <v>Mr.</v>
      </c>
      <c r="E1283" t="str">
        <f>IFERROR(__xludf.DUMMYFUNCTION("""COMPUTED_VALUE"""),"Nopparuj")</f>
        <v>Nopparuj</v>
      </c>
      <c r="F1283" t="str">
        <f>IFERROR(__xludf.DUMMYFUNCTION("""COMPUTED_VALUE"""),"Numphong")</f>
        <v>Numphong</v>
      </c>
      <c r="G1283" t="str">
        <f>IFERROR(__xludf.DUMMYFUNCTION("""COMPUTED_VALUE"""),"Nopparuj Numphong")</f>
        <v>Nopparuj Numphong</v>
      </c>
    </row>
    <row r="1284">
      <c r="A1284">
        <f>IFERROR(__xludf.DUMMYFUNCTION("""COMPUTED_VALUE"""),112.0)</f>
        <v>112</v>
      </c>
      <c r="B1284" t="str">
        <f>IFERROR(__xludf.DUMMYFUNCTION("""COMPUTED_VALUE"""),"Initial Training 6 Jan 26")</f>
        <v>Initial Training 6 Jan 26</v>
      </c>
      <c r="C1284">
        <f>IFERROR(__xludf.DUMMYFUNCTION("""COMPUTED_VALUE"""),1046332.0)</f>
        <v>1046332</v>
      </c>
      <c r="D1284" t="str">
        <f>IFERROR(__xludf.DUMMYFUNCTION("""COMPUTED_VALUE"""),"Ms.")</f>
        <v>Ms.</v>
      </c>
      <c r="E1284" t="str">
        <f>IFERROR(__xludf.DUMMYFUNCTION("""COMPUTED_VALUE"""),"Phirada")</f>
        <v>Phirada</v>
      </c>
      <c r="F1284" t="str">
        <f>IFERROR(__xludf.DUMMYFUNCTION("""COMPUTED_VALUE"""),"Pratt")</f>
        <v>Pratt</v>
      </c>
      <c r="G1284" t="str">
        <f>IFERROR(__xludf.DUMMYFUNCTION("""COMPUTED_VALUE"""),"Phirada Pratt")</f>
        <v>Phirada Pratt</v>
      </c>
    </row>
    <row r="1285">
      <c r="A1285">
        <f>IFERROR(__xludf.DUMMYFUNCTION("""COMPUTED_VALUE"""),112.0)</f>
        <v>112</v>
      </c>
      <c r="B1285" t="str">
        <f>IFERROR(__xludf.DUMMYFUNCTION("""COMPUTED_VALUE"""),"Initial Training 6 Jan 26")</f>
        <v>Initial Training 6 Jan 26</v>
      </c>
      <c r="C1285">
        <f>IFERROR(__xludf.DUMMYFUNCTION("""COMPUTED_VALUE"""),1046333.0)</f>
        <v>1046333</v>
      </c>
      <c r="D1285" t="str">
        <f>IFERROR(__xludf.DUMMYFUNCTION("""COMPUTED_VALUE"""),"Ms.")</f>
        <v>Ms.</v>
      </c>
      <c r="E1285" t="str">
        <f>IFERROR(__xludf.DUMMYFUNCTION("""COMPUTED_VALUE"""),"Pimpitcha")</f>
        <v>Pimpitcha</v>
      </c>
      <c r="F1285" t="str">
        <f>IFERROR(__xludf.DUMMYFUNCTION("""COMPUTED_VALUE"""),"Thaiyuenwong")</f>
        <v>Thaiyuenwong</v>
      </c>
      <c r="G1285" t="str">
        <f>IFERROR(__xludf.DUMMYFUNCTION("""COMPUTED_VALUE"""),"Pimpitcha Thaiyuenwong")</f>
        <v>Pimpitcha Thaiyuenwong</v>
      </c>
    </row>
    <row r="1286">
      <c r="A1286">
        <f>IFERROR(__xludf.DUMMYFUNCTION("""COMPUTED_VALUE"""),112.0)</f>
        <v>112</v>
      </c>
      <c r="B1286" t="str">
        <f>IFERROR(__xludf.DUMMYFUNCTION("""COMPUTED_VALUE"""),"Initial Training 6 Jan 26")</f>
        <v>Initial Training 6 Jan 26</v>
      </c>
      <c r="C1286">
        <f>IFERROR(__xludf.DUMMYFUNCTION("""COMPUTED_VALUE"""),1046335.0)</f>
        <v>1046335</v>
      </c>
      <c r="D1286" t="str">
        <f>IFERROR(__xludf.DUMMYFUNCTION("""COMPUTED_VALUE"""),"Ms.")</f>
        <v>Ms.</v>
      </c>
      <c r="E1286" t="str">
        <f>IFERROR(__xludf.DUMMYFUNCTION("""COMPUTED_VALUE"""),"Preeyapat")</f>
        <v>Preeyapat</v>
      </c>
      <c r="F1286" t="str">
        <f>IFERROR(__xludf.DUMMYFUNCTION("""COMPUTED_VALUE"""),"Rattanabuppa")</f>
        <v>Rattanabuppa</v>
      </c>
      <c r="G1286" t="str">
        <f>IFERROR(__xludf.DUMMYFUNCTION("""COMPUTED_VALUE"""),"Preeyapat Rattanabuppa")</f>
        <v>Preeyapat Rattanabuppa</v>
      </c>
    </row>
    <row r="1287">
      <c r="A1287">
        <f>IFERROR(__xludf.DUMMYFUNCTION("""COMPUTED_VALUE"""),112.0)</f>
        <v>112</v>
      </c>
      <c r="B1287" t="str">
        <f>IFERROR(__xludf.DUMMYFUNCTION("""COMPUTED_VALUE"""),"Initial Training 6 Jan 26")</f>
        <v>Initial Training 6 Jan 26</v>
      </c>
      <c r="C1287">
        <f>IFERROR(__xludf.DUMMYFUNCTION("""COMPUTED_VALUE"""),1046336.0)</f>
        <v>1046336</v>
      </c>
      <c r="D1287" t="str">
        <f>IFERROR(__xludf.DUMMYFUNCTION("""COMPUTED_VALUE"""),"Ms.")</f>
        <v>Ms.</v>
      </c>
      <c r="E1287" t="str">
        <f>IFERROR(__xludf.DUMMYFUNCTION("""COMPUTED_VALUE"""),"Rinlapat")</f>
        <v>Rinlapat</v>
      </c>
      <c r="F1287" t="str">
        <f>IFERROR(__xludf.DUMMYFUNCTION("""COMPUTED_VALUE"""),"Pathomkittirot")</f>
        <v>Pathomkittirot</v>
      </c>
      <c r="G1287" t="str">
        <f>IFERROR(__xludf.DUMMYFUNCTION("""COMPUTED_VALUE"""),"Rinlapat Pathomkittirot")</f>
        <v>Rinlapat Pathomkittirot</v>
      </c>
    </row>
    <row r="1288">
      <c r="A1288">
        <f>IFERROR(__xludf.DUMMYFUNCTION("""COMPUTED_VALUE"""),112.0)</f>
        <v>112</v>
      </c>
      <c r="B1288" t="str">
        <f>IFERROR(__xludf.DUMMYFUNCTION("""COMPUTED_VALUE"""),"Initial Training 6 Jan 26")</f>
        <v>Initial Training 6 Jan 26</v>
      </c>
      <c r="C1288">
        <f>IFERROR(__xludf.DUMMYFUNCTION("""COMPUTED_VALUE"""),1046337.0)</f>
        <v>1046337</v>
      </c>
      <c r="D1288" t="str">
        <f>IFERROR(__xludf.DUMMYFUNCTION("""COMPUTED_VALUE"""),"Ms.")</f>
        <v>Ms.</v>
      </c>
      <c r="E1288" t="str">
        <f>IFERROR(__xludf.DUMMYFUNCTION("""COMPUTED_VALUE"""),"Suchanun")</f>
        <v>Suchanun</v>
      </c>
      <c r="F1288" t="str">
        <f>IFERROR(__xludf.DUMMYFUNCTION("""COMPUTED_VALUE"""),"Khunboonchan")</f>
        <v>Khunboonchan</v>
      </c>
      <c r="G1288" t="str">
        <f>IFERROR(__xludf.DUMMYFUNCTION("""COMPUTED_VALUE"""),"Suchanun Khunboonchan")</f>
        <v>Suchanun Khunboonchan</v>
      </c>
    </row>
    <row r="1289">
      <c r="A1289">
        <f>IFERROR(__xludf.DUMMYFUNCTION("""COMPUTED_VALUE"""),112.0)</f>
        <v>112</v>
      </c>
      <c r="B1289" t="str">
        <f>IFERROR(__xludf.DUMMYFUNCTION("""COMPUTED_VALUE"""),"Initial Training 6 Jan 26")</f>
        <v>Initial Training 6 Jan 26</v>
      </c>
      <c r="C1289">
        <f>IFERROR(__xludf.DUMMYFUNCTION("""COMPUTED_VALUE"""),1046338.0)</f>
        <v>1046338</v>
      </c>
      <c r="D1289" t="str">
        <f>IFERROR(__xludf.DUMMYFUNCTION("""COMPUTED_VALUE"""),"Ms.")</f>
        <v>Ms.</v>
      </c>
      <c r="E1289" t="str">
        <f>IFERROR(__xludf.DUMMYFUNCTION("""COMPUTED_VALUE"""),"Suchanya")</f>
        <v>Suchanya</v>
      </c>
      <c r="F1289" t="str">
        <f>IFERROR(__xludf.DUMMYFUNCTION("""COMPUTED_VALUE"""),"Jantanarath")</f>
        <v>Jantanarath</v>
      </c>
      <c r="G1289" t="str">
        <f>IFERROR(__xludf.DUMMYFUNCTION("""COMPUTED_VALUE"""),"Suchanya Jantanarath")</f>
        <v>Suchanya Jantanarath</v>
      </c>
    </row>
    <row r="1290">
      <c r="A1290">
        <f>IFERROR(__xludf.DUMMYFUNCTION("""COMPUTED_VALUE"""),112.0)</f>
        <v>112</v>
      </c>
      <c r="B1290" t="str">
        <f>IFERROR(__xludf.DUMMYFUNCTION("""COMPUTED_VALUE"""),"Initial Training 6 Jan 26")</f>
        <v>Initial Training 6 Jan 26</v>
      </c>
      <c r="C1290">
        <f>IFERROR(__xludf.DUMMYFUNCTION("""COMPUTED_VALUE"""),1046340.0)</f>
        <v>1046340</v>
      </c>
      <c r="D1290" t="str">
        <f>IFERROR(__xludf.DUMMYFUNCTION("""COMPUTED_VALUE"""),"Ms.")</f>
        <v>Ms.</v>
      </c>
      <c r="E1290" t="str">
        <f>IFERROR(__xludf.DUMMYFUNCTION("""COMPUTED_VALUE"""),"Wachira")</f>
        <v>Wachira</v>
      </c>
      <c r="F1290" t="str">
        <f>IFERROR(__xludf.DUMMYFUNCTION("""COMPUTED_VALUE"""),"Thanasombut")</f>
        <v>Thanasombut</v>
      </c>
      <c r="G1290" t="str">
        <f>IFERROR(__xludf.DUMMYFUNCTION("""COMPUTED_VALUE"""),"Wachira Thanasombut")</f>
        <v>Wachira Thanasombut</v>
      </c>
    </row>
    <row r="1291">
      <c r="A1291">
        <f>IFERROR(__xludf.DUMMYFUNCTION("""COMPUTED_VALUE"""),112.0)</f>
        <v>112</v>
      </c>
      <c r="B1291" t="str">
        <f>IFERROR(__xludf.DUMMYFUNCTION("""COMPUTED_VALUE"""),"Initial Training 6 Jan 26")</f>
        <v>Initial Training 6 Jan 26</v>
      </c>
      <c r="C1291">
        <f>IFERROR(__xludf.DUMMYFUNCTION("""COMPUTED_VALUE"""),1046341.0)</f>
        <v>1046341</v>
      </c>
      <c r="D1291" t="str">
        <f>IFERROR(__xludf.DUMMYFUNCTION("""COMPUTED_VALUE"""),"Ms.")</f>
        <v>Ms.</v>
      </c>
      <c r="E1291" t="str">
        <f>IFERROR(__xludf.DUMMYFUNCTION("""COMPUTED_VALUE"""),"Wanatchaphon")</f>
        <v>Wanatchaphon</v>
      </c>
      <c r="F1291" t="str">
        <f>IFERROR(__xludf.DUMMYFUNCTION("""COMPUTED_VALUE"""),"Srisuwan")</f>
        <v>Srisuwan</v>
      </c>
      <c r="G1291" t="str">
        <f>IFERROR(__xludf.DUMMYFUNCTION("""COMPUTED_VALUE"""),"Wanatchaphon Srisuwan")</f>
        <v>Wanatchaphon Srisuwan</v>
      </c>
    </row>
    <row r="1292">
      <c r="A1292">
        <f>IFERROR(__xludf.DUMMYFUNCTION("""COMPUTED_VALUE"""),112.0)</f>
        <v>112</v>
      </c>
      <c r="B1292" t="str">
        <f>IFERROR(__xludf.DUMMYFUNCTION("""COMPUTED_VALUE"""),"Initial Training 6 Jan 26")</f>
        <v>Initial Training 6 Jan 26</v>
      </c>
      <c r="C1292">
        <f>IFERROR(__xludf.DUMMYFUNCTION("""COMPUTED_VALUE"""),1046365.0)</f>
        <v>1046365</v>
      </c>
      <c r="D1292" t="str">
        <f>IFERROR(__xludf.DUMMYFUNCTION("""COMPUTED_VALUE"""),"Ms.")</f>
        <v>Ms.</v>
      </c>
      <c r="E1292" t="str">
        <f>IFERROR(__xludf.DUMMYFUNCTION("""COMPUTED_VALUE"""),"Airada")</f>
        <v>Airada</v>
      </c>
      <c r="F1292" t="str">
        <f>IFERROR(__xludf.DUMMYFUNCTION("""COMPUTED_VALUE"""),"Anurak")</f>
        <v>Anurak</v>
      </c>
      <c r="G1292" t="str">
        <f>IFERROR(__xludf.DUMMYFUNCTION("""COMPUTED_VALUE"""),"Airada Anurak")</f>
        <v>Airada Anurak</v>
      </c>
    </row>
    <row r="1293">
      <c r="A1293">
        <f>IFERROR(__xludf.DUMMYFUNCTION("""COMPUTED_VALUE"""),112.0)</f>
        <v>112</v>
      </c>
      <c r="B1293" t="str">
        <f>IFERROR(__xludf.DUMMYFUNCTION("""COMPUTED_VALUE"""),"Initial Training 6 Jan 26")</f>
        <v>Initial Training 6 Jan 26</v>
      </c>
      <c r="C1293">
        <f>IFERROR(__xludf.DUMMYFUNCTION("""COMPUTED_VALUE"""),1046367.0)</f>
        <v>1046367</v>
      </c>
      <c r="D1293" t="str">
        <f>IFERROR(__xludf.DUMMYFUNCTION("""COMPUTED_VALUE"""),"Ms.")</f>
        <v>Ms.</v>
      </c>
      <c r="E1293" t="str">
        <f>IFERROR(__xludf.DUMMYFUNCTION("""COMPUTED_VALUE"""),"Laphatwarin")</f>
        <v>Laphatwarin</v>
      </c>
      <c r="F1293" t="str">
        <f>IFERROR(__xludf.DUMMYFUNCTION("""COMPUTED_VALUE"""),"Phaesongphat")</f>
        <v>Phaesongphat</v>
      </c>
      <c r="G1293" t="str">
        <f>IFERROR(__xludf.DUMMYFUNCTION("""COMPUTED_VALUE"""),"Laphatwarin Phaesongphat")</f>
        <v>Laphatwarin Phaesongphat</v>
      </c>
    </row>
    <row r="1294">
      <c r="A1294">
        <f>IFERROR(__xludf.DUMMYFUNCTION("""COMPUTED_VALUE"""),112.0)</f>
        <v>112</v>
      </c>
      <c r="B1294" t="str">
        <f>IFERROR(__xludf.DUMMYFUNCTION("""COMPUTED_VALUE"""),"Initial Training 6 Jan 26")</f>
        <v>Initial Training 6 Jan 26</v>
      </c>
      <c r="C1294">
        <f>IFERROR(__xludf.DUMMYFUNCTION("""COMPUTED_VALUE"""),1046368.0)</f>
        <v>1046368</v>
      </c>
      <c r="D1294" t="str">
        <f>IFERROR(__xludf.DUMMYFUNCTION("""COMPUTED_VALUE"""),"Ms.")</f>
        <v>Ms.</v>
      </c>
      <c r="E1294" t="str">
        <f>IFERROR(__xludf.DUMMYFUNCTION("""COMPUTED_VALUE"""),"Natrueja")</f>
        <v>Natrueja</v>
      </c>
      <c r="F1294" t="str">
        <f>IFERROR(__xludf.DUMMYFUNCTION("""COMPUTED_VALUE"""),"Pornpitaktepakit")</f>
        <v>Pornpitaktepakit</v>
      </c>
      <c r="G1294" t="str">
        <f>IFERROR(__xludf.DUMMYFUNCTION("""COMPUTED_VALUE"""),"Natrueja Pornpitaktepakit")</f>
        <v>Natrueja Pornpitaktepakit</v>
      </c>
    </row>
    <row r="1295">
      <c r="A1295">
        <f>IFERROR(__xludf.DUMMYFUNCTION("""COMPUTED_VALUE"""),112.0)</f>
        <v>112</v>
      </c>
      <c r="B1295" t="str">
        <f>IFERROR(__xludf.DUMMYFUNCTION("""COMPUTED_VALUE"""),"Initial Training 6 Jan 26")</f>
        <v>Initial Training 6 Jan 26</v>
      </c>
      <c r="C1295">
        <f>IFERROR(__xludf.DUMMYFUNCTION("""COMPUTED_VALUE"""),1046369.0)</f>
        <v>1046369</v>
      </c>
      <c r="D1295" t="str">
        <f>IFERROR(__xludf.DUMMYFUNCTION("""COMPUTED_VALUE"""),"Mr.")</f>
        <v>Mr.</v>
      </c>
      <c r="E1295" t="str">
        <f>IFERROR(__xludf.DUMMYFUNCTION("""COMPUTED_VALUE"""),"Nattapong")</f>
        <v>Nattapong</v>
      </c>
      <c r="F1295" t="str">
        <f>IFERROR(__xludf.DUMMYFUNCTION("""COMPUTED_VALUE"""),"Seeyuyang")</f>
        <v>Seeyuyang</v>
      </c>
      <c r="G1295" t="str">
        <f>IFERROR(__xludf.DUMMYFUNCTION("""COMPUTED_VALUE"""),"Nattapong  Seeyuyang")</f>
        <v>Nattapong  Seeyuyang</v>
      </c>
    </row>
    <row r="1297">
      <c r="A1297">
        <f>IFERROR(__xludf.DUMMYFUNCTION("""COMPUTED_VALUE"""),113.0)</f>
        <v>113</v>
      </c>
      <c r="B1297" t="str">
        <f>IFERROR(__xludf.DUMMYFUNCTION("""COMPUTED_VALUE"""),"LWP from B.111 to B.113")</f>
        <v>LWP from B.111 to B.113</v>
      </c>
      <c r="C1297">
        <f>IFERROR(__xludf.DUMMYFUNCTION("""COMPUTED_VALUE"""),1046100.0)</f>
        <v>1046100</v>
      </c>
      <c r="D1297" t="str">
        <f>IFERROR(__xludf.DUMMYFUNCTION("""COMPUTED_VALUE"""),"Ms.")</f>
        <v>Ms.</v>
      </c>
      <c r="E1297" t="str">
        <f>IFERROR(__xludf.DUMMYFUNCTION("""COMPUTED_VALUE"""),"Punnalak")</f>
        <v>Punnalak</v>
      </c>
      <c r="F1297" t="str">
        <f>IFERROR(__xludf.DUMMYFUNCTION("""COMPUTED_VALUE"""),"Pansakulwat")</f>
        <v>Pansakulwat</v>
      </c>
      <c r="G1297" t="str">
        <f>IFERROR(__xludf.DUMMYFUNCTION("""COMPUTED_VALUE"""),"Punnalak Pansakulwat")</f>
        <v>Punnalak Pansakulwat</v>
      </c>
    </row>
    <row r="1298">
      <c r="A1298">
        <f>IFERROR(__xludf.DUMMYFUNCTION("""COMPUTED_VALUE"""),113.0)</f>
        <v>113</v>
      </c>
      <c r="B1298" t="str">
        <f>IFERROR(__xludf.DUMMYFUNCTION("""COMPUTED_VALUE"""),"Initial Training 2 MAR 26")</f>
        <v>Initial Training 2 MAR 26</v>
      </c>
      <c r="C1298">
        <f>IFERROR(__xludf.DUMMYFUNCTION("""COMPUTED_VALUE"""),1046342.0)</f>
        <v>1046342</v>
      </c>
      <c r="D1298" t="str">
        <f>IFERROR(__xludf.DUMMYFUNCTION("""COMPUTED_VALUE"""),"Ms.")</f>
        <v>Ms.</v>
      </c>
      <c r="E1298" t="str">
        <f>IFERROR(__xludf.DUMMYFUNCTION("""COMPUTED_VALUE"""),"Achiraya")</f>
        <v>Achiraya</v>
      </c>
      <c r="F1298" t="str">
        <f>IFERROR(__xludf.DUMMYFUNCTION("""COMPUTED_VALUE"""),"Thipsombut")</f>
        <v>Thipsombut</v>
      </c>
      <c r="G1298" t="str">
        <f>IFERROR(__xludf.DUMMYFUNCTION("""COMPUTED_VALUE"""),"Achiraya Thipsombut")</f>
        <v>Achiraya Thipsombut</v>
      </c>
    </row>
    <row r="1299">
      <c r="A1299">
        <f>IFERROR(__xludf.DUMMYFUNCTION("""COMPUTED_VALUE"""),113.0)</f>
        <v>113</v>
      </c>
      <c r="B1299" t="str">
        <f>IFERROR(__xludf.DUMMYFUNCTION("""COMPUTED_VALUE"""),"Initial Training 2 MAR 26")</f>
        <v>Initial Training 2 MAR 26</v>
      </c>
      <c r="C1299">
        <f>IFERROR(__xludf.DUMMYFUNCTION("""COMPUTED_VALUE"""),1046343.0)</f>
        <v>1046343</v>
      </c>
      <c r="D1299" t="str">
        <f>IFERROR(__xludf.DUMMYFUNCTION("""COMPUTED_VALUE"""),"Mr.")</f>
        <v>Mr.</v>
      </c>
      <c r="E1299" t="str">
        <f>IFERROR(__xludf.DUMMYFUNCTION("""COMPUTED_VALUE"""),"Anon")</f>
        <v>Anon</v>
      </c>
      <c r="F1299" t="str">
        <f>IFERROR(__xludf.DUMMYFUNCTION("""COMPUTED_VALUE"""),"Sumethanontasak")</f>
        <v>Sumethanontasak</v>
      </c>
      <c r="G1299" t="str">
        <f>IFERROR(__xludf.DUMMYFUNCTION("""COMPUTED_VALUE"""),"Anon Sumethanontasak")</f>
        <v>Anon Sumethanontasak</v>
      </c>
    </row>
    <row r="1300">
      <c r="A1300">
        <f>IFERROR(__xludf.DUMMYFUNCTION("""COMPUTED_VALUE"""),113.0)</f>
        <v>113</v>
      </c>
      <c r="B1300" t="str">
        <f>IFERROR(__xludf.DUMMYFUNCTION("""COMPUTED_VALUE"""),"Initial Training 2 MAR 26")</f>
        <v>Initial Training 2 MAR 26</v>
      </c>
      <c r="C1300">
        <f>IFERROR(__xludf.DUMMYFUNCTION("""COMPUTED_VALUE"""),1046344.0)</f>
        <v>1046344</v>
      </c>
      <c r="D1300" t="str">
        <f>IFERROR(__xludf.DUMMYFUNCTION("""COMPUTED_VALUE"""),"Mr.")</f>
        <v>Mr.</v>
      </c>
      <c r="E1300" t="str">
        <f>IFERROR(__xludf.DUMMYFUNCTION("""COMPUTED_VALUE"""),"Apicha")</f>
        <v>Apicha</v>
      </c>
      <c r="F1300" t="str">
        <f>IFERROR(__xludf.DUMMYFUNCTION("""COMPUTED_VALUE"""),"Soontornchai")</f>
        <v>Soontornchai</v>
      </c>
      <c r="G1300" t="str">
        <f>IFERROR(__xludf.DUMMYFUNCTION("""COMPUTED_VALUE"""),"Apicha Soontornchai")</f>
        <v>Apicha Soontornchai</v>
      </c>
    </row>
    <row r="1301">
      <c r="A1301">
        <f>IFERROR(__xludf.DUMMYFUNCTION("""COMPUTED_VALUE"""),113.0)</f>
        <v>113</v>
      </c>
      <c r="B1301" t="str">
        <f>IFERROR(__xludf.DUMMYFUNCTION("""COMPUTED_VALUE"""),"Initial Training 2 MAR 26")</f>
        <v>Initial Training 2 MAR 26</v>
      </c>
      <c r="C1301">
        <f>IFERROR(__xludf.DUMMYFUNCTION("""COMPUTED_VALUE"""),1046345.0)</f>
        <v>1046345</v>
      </c>
      <c r="D1301" t="str">
        <f>IFERROR(__xludf.DUMMYFUNCTION("""COMPUTED_VALUE"""),"Ms.")</f>
        <v>Ms.</v>
      </c>
      <c r="E1301" t="str">
        <f>IFERROR(__xludf.DUMMYFUNCTION("""COMPUTED_VALUE"""),"Benyaporn")</f>
        <v>Benyaporn</v>
      </c>
      <c r="F1301" t="str">
        <f>IFERROR(__xludf.DUMMYFUNCTION("""COMPUTED_VALUE"""),"Kotcharerk")</f>
        <v>Kotcharerk</v>
      </c>
      <c r="G1301" t="str">
        <f>IFERROR(__xludf.DUMMYFUNCTION("""COMPUTED_VALUE"""),"Benyaporn Kotcharerk")</f>
        <v>Benyaporn Kotcharerk</v>
      </c>
    </row>
    <row r="1302">
      <c r="A1302">
        <f>IFERROR(__xludf.DUMMYFUNCTION("""COMPUTED_VALUE"""),113.0)</f>
        <v>113</v>
      </c>
      <c r="B1302" t="str">
        <f>IFERROR(__xludf.DUMMYFUNCTION("""COMPUTED_VALUE"""),"Initial Training 2 MAR 26")</f>
        <v>Initial Training 2 MAR 26</v>
      </c>
      <c r="C1302">
        <f>IFERROR(__xludf.DUMMYFUNCTION("""COMPUTED_VALUE"""),1046346.0)</f>
        <v>1046346</v>
      </c>
      <c r="D1302" t="str">
        <f>IFERROR(__xludf.DUMMYFUNCTION("""COMPUTED_VALUE"""),"Ms.")</f>
        <v>Ms.</v>
      </c>
      <c r="E1302" t="str">
        <f>IFERROR(__xludf.DUMMYFUNCTION("""COMPUTED_VALUE"""),"Haritchaya")</f>
        <v>Haritchaya</v>
      </c>
      <c r="F1302" t="str">
        <f>IFERROR(__xludf.DUMMYFUNCTION("""COMPUTED_VALUE"""),"Phanpruek")</f>
        <v>Phanpruek</v>
      </c>
      <c r="G1302" t="str">
        <f>IFERROR(__xludf.DUMMYFUNCTION("""COMPUTED_VALUE"""),"Haritchaya Phanpruek")</f>
        <v>Haritchaya Phanpruek</v>
      </c>
    </row>
    <row r="1303">
      <c r="A1303">
        <f>IFERROR(__xludf.DUMMYFUNCTION("""COMPUTED_VALUE"""),113.0)</f>
        <v>113</v>
      </c>
      <c r="B1303" t="str">
        <f>IFERROR(__xludf.DUMMYFUNCTION("""COMPUTED_VALUE"""),"Initial Training 2 MAR 26")</f>
        <v>Initial Training 2 MAR 26</v>
      </c>
      <c r="C1303">
        <f>IFERROR(__xludf.DUMMYFUNCTION("""COMPUTED_VALUE"""),1046347.0)</f>
        <v>1046347</v>
      </c>
      <c r="D1303" t="str">
        <f>IFERROR(__xludf.DUMMYFUNCTION("""COMPUTED_VALUE"""),"Ms.")</f>
        <v>Ms.</v>
      </c>
      <c r="E1303" t="str">
        <f>IFERROR(__xludf.DUMMYFUNCTION("""COMPUTED_VALUE"""),"Hussawan")</f>
        <v>Hussawan</v>
      </c>
      <c r="F1303" t="str">
        <f>IFERROR(__xludf.DUMMYFUNCTION("""COMPUTED_VALUE"""),"Poomsanguan")</f>
        <v>Poomsanguan</v>
      </c>
      <c r="G1303" t="str">
        <f>IFERROR(__xludf.DUMMYFUNCTION("""COMPUTED_VALUE"""),"Hussawan Poomsanguan")</f>
        <v>Hussawan Poomsanguan</v>
      </c>
    </row>
    <row r="1304">
      <c r="A1304">
        <f>IFERROR(__xludf.DUMMYFUNCTION("""COMPUTED_VALUE"""),113.0)</f>
        <v>113</v>
      </c>
      <c r="B1304" t="str">
        <f>IFERROR(__xludf.DUMMYFUNCTION("""COMPUTED_VALUE"""),"Initial Training 2 MAR 26")</f>
        <v>Initial Training 2 MAR 26</v>
      </c>
      <c r="C1304">
        <f>IFERROR(__xludf.DUMMYFUNCTION("""COMPUTED_VALUE"""),1046348.0)</f>
        <v>1046348</v>
      </c>
      <c r="D1304" t="str">
        <f>IFERROR(__xludf.DUMMYFUNCTION("""COMPUTED_VALUE"""),"Ms.")</f>
        <v>Ms.</v>
      </c>
      <c r="E1304" t="str">
        <f>IFERROR(__xludf.DUMMYFUNCTION("""COMPUTED_VALUE"""),"Idsarawan")</f>
        <v>Idsarawan</v>
      </c>
      <c r="F1304" t="str">
        <f>IFERROR(__xludf.DUMMYFUNCTION("""COMPUTED_VALUE"""),"Charoenchua")</f>
        <v>Charoenchua</v>
      </c>
      <c r="G1304" t="str">
        <f>IFERROR(__xludf.DUMMYFUNCTION("""COMPUTED_VALUE"""),"Idsarawan Charoenchua")</f>
        <v>Idsarawan Charoenchua</v>
      </c>
    </row>
    <row r="1305">
      <c r="A1305">
        <f>IFERROR(__xludf.DUMMYFUNCTION("""COMPUTED_VALUE"""),113.0)</f>
        <v>113</v>
      </c>
      <c r="B1305" t="str">
        <f>IFERROR(__xludf.DUMMYFUNCTION("""COMPUTED_VALUE"""),"Initial Training 2 MAR 26")</f>
        <v>Initial Training 2 MAR 26</v>
      </c>
      <c r="C1305">
        <f>IFERROR(__xludf.DUMMYFUNCTION("""COMPUTED_VALUE"""),1046349.0)</f>
        <v>1046349</v>
      </c>
      <c r="D1305" t="str">
        <f>IFERROR(__xludf.DUMMYFUNCTION("""COMPUTED_VALUE"""),"Mr.")</f>
        <v>Mr.</v>
      </c>
      <c r="E1305" t="str">
        <f>IFERROR(__xludf.DUMMYFUNCTION("""COMPUTED_VALUE"""),"Jiratthakiat")</f>
        <v>Jiratthakiat</v>
      </c>
      <c r="F1305" t="str">
        <f>IFERROR(__xludf.DUMMYFUNCTION("""COMPUTED_VALUE"""),"Jantaraphat")</f>
        <v>Jantaraphat</v>
      </c>
      <c r="G1305" t="str">
        <f>IFERROR(__xludf.DUMMYFUNCTION("""COMPUTED_VALUE"""),"Jiratthakiat Jantaraphat")</f>
        <v>Jiratthakiat Jantaraphat</v>
      </c>
    </row>
    <row r="1306">
      <c r="A1306">
        <f>IFERROR(__xludf.DUMMYFUNCTION("""COMPUTED_VALUE"""),113.0)</f>
        <v>113</v>
      </c>
      <c r="B1306" t="str">
        <f>IFERROR(__xludf.DUMMYFUNCTION("""COMPUTED_VALUE"""),"Initial Training 2 MAR 26")</f>
        <v>Initial Training 2 MAR 26</v>
      </c>
      <c r="C1306">
        <f>IFERROR(__xludf.DUMMYFUNCTION("""COMPUTED_VALUE"""),1046350.0)</f>
        <v>1046350</v>
      </c>
      <c r="D1306" t="str">
        <f>IFERROR(__xludf.DUMMYFUNCTION("""COMPUTED_VALUE"""),"Ms.")</f>
        <v>Ms.</v>
      </c>
      <c r="E1306" t="str">
        <f>IFERROR(__xludf.DUMMYFUNCTION("""COMPUTED_VALUE"""),"Jomsurang")</f>
        <v>Jomsurang</v>
      </c>
      <c r="F1306" t="str">
        <f>IFERROR(__xludf.DUMMYFUNCTION("""COMPUTED_VALUE"""),"Kaseamtanasathien")</f>
        <v>Kaseamtanasathien</v>
      </c>
      <c r="G1306" t="str">
        <f>IFERROR(__xludf.DUMMYFUNCTION("""COMPUTED_VALUE"""),"Jomsurang Kaseamtanasathien")</f>
        <v>Jomsurang Kaseamtanasathien</v>
      </c>
    </row>
    <row r="1307">
      <c r="A1307">
        <f>IFERROR(__xludf.DUMMYFUNCTION("""COMPUTED_VALUE"""),113.0)</f>
        <v>113</v>
      </c>
      <c r="B1307" t="str">
        <f>IFERROR(__xludf.DUMMYFUNCTION("""COMPUTED_VALUE"""),"Initial Training 2 MAR 26")</f>
        <v>Initial Training 2 MAR 26</v>
      </c>
      <c r="C1307">
        <f>IFERROR(__xludf.DUMMYFUNCTION("""COMPUTED_VALUE"""),1046351.0)</f>
        <v>1046351</v>
      </c>
      <c r="D1307" t="str">
        <f>IFERROR(__xludf.DUMMYFUNCTION("""COMPUTED_VALUE"""),"Mr.")</f>
        <v>Mr.</v>
      </c>
      <c r="E1307" t="str">
        <f>IFERROR(__xludf.DUMMYFUNCTION("""COMPUTED_VALUE"""),"Kittisak")</f>
        <v>Kittisak</v>
      </c>
      <c r="F1307" t="str">
        <f>IFERROR(__xludf.DUMMYFUNCTION("""COMPUTED_VALUE"""),"Rojsangrat")</f>
        <v>Rojsangrat</v>
      </c>
      <c r="G1307" t="str">
        <f>IFERROR(__xludf.DUMMYFUNCTION("""COMPUTED_VALUE"""),"Kittisak Rojsangrat")</f>
        <v>Kittisak Rojsangrat</v>
      </c>
    </row>
    <row r="1308">
      <c r="A1308">
        <f>IFERROR(__xludf.DUMMYFUNCTION("""COMPUTED_VALUE"""),113.0)</f>
        <v>113</v>
      </c>
      <c r="B1308" t="str">
        <f>IFERROR(__xludf.DUMMYFUNCTION("""COMPUTED_VALUE"""),"Initial Training 2 MAR 26")</f>
        <v>Initial Training 2 MAR 26</v>
      </c>
      <c r="C1308">
        <f>IFERROR(__xludf.DUMMYFUNCTION("""COMPUTED_VALUE"""),1046352.0)</f>
        <v>1046352</v>
      </c>
      <c r="D1308" t="str">
        <f>IFERROR(__xludf.DUMMYFUNCTION("""COMPUTED_VALUE"""),"Ms.")</f>
        <v>Ms.</v>
      </c>
      <c r="E1308" t="str">
        <f>IFERROR(__xludf.DUMMYFUNCTION("""COMPUTED_VALUE"""),"Natthida")</f>
        <v>Natthida</v>
      </c>
      <c r="F1308" t="str">
        <f>IFERROR(__xludf.DUMMYFUNCTION("""COMPUTED_VALUE"""),"Pitchumaethitanan")</f>
        <v>Pitchumaethitanan</v>
      </c>
      <c r="G1308" t="str">
        <f>IFERROR(__xludf.DUMMYFUNCTION("""COMPUTED_VALUE"""),"Natthida Pitchumaethitanan")</f>
        <v>Natthida Pitchumaethitanan</v>
      </c>
    </row>
    <row r="1309">
      <c r="A1309">
        <f>IFERROR(__xludf.DUMMYFUNCTION("""COMPUTED_VALUE"""),113.0)</f>
        <v>113</v>
      </c>
      <c r="B1309" t="str">
        <f>IFERROR(__xludf.DUMMYFUNCTION("""COMPUTED_VALUE"""),"Initial Training 2 MAR 26")</f>
        <v>Initial Training 2 MAR 26</v>
      </c>
      <c r="C1309">
        <f>IFERROR(__xludf.DUMMYFUNCTION("""COMPUTED_VALUE"""),1046353.0)</f>
        <v>1046353</v>
      </c>
      <c r="D1309" t="str">
        <f>IFERROR(__xludf.DUMMYFUNCTION("""COMPUTED_VALUE"""),"Mr.")</f>
        <v>Mr.</v>
      </c>
      <c r="E1309" t="str">
        <f>IFERROR(__xludf.DUMMYFUNCTION("""COMPUTED_VALUE"""),"Nutt")</f>
        <v>Nutt</v>
      </c>
      <c r="F1309" t="str">
        <f>IFERROR(__xludf.DUMMYFUNCTION("""COMPUTED_VALUE"""),"Athiboonsarun")</f>
        <v>Athiboonsarun</v>
      </c>
      <c r="G1309" t="str">
        <f>IFERROR(__xludf.DUMMYFUNCTION("""COMPUTED_VALUE"""),"Nutt Athiboonsarun")</f>
        <v>Nutt Athiboonsarun</v>
      </c>
    </row>
    <row r="1310">
      <c r="A1310">
        <f>IFERROR(__xludf.DUMMYFUNCTION("""COMPUTED_VALUE"""),113.0)</f>
        <v>113</v>
      </c>
      <c r="B1310" t="str">
        <f>IFERROR(__xludf.DUMMYFUNCTION("""COMPUTED_VALUE"""),"Initial Training 2 MAR 26")</f>
        <v>Initial Training 2 MAR 26</v>
      </c>
      <c r="C1310">
        <f>IFERROR(__xludf.DUMMYFUNCTION("""COMPUTED_VALUE"""),1046356.0)</f>
        <v>1046356</v>
      </c>
      <c r="D1310" t="str">
        <f>IFERROR(__xludf.DUMMYFUNCTION("""COMPUTED_VALUE"""),"Ms.")</f>
        <v>Ms.</v>
      </c>
      <c r="E1310" t="str">
        <f>IFERROR(__xludf.DUMMYFUNCTION("""COMPUTED_VALUE"""),"Pannakorn")</f>
        <v>Pannakorn</v>
      </c>
      <c r="F1310" t="str">
        <f>IFERROR(__xludf.DUMMYFUNCTION("""COMPUTED_VALUE"""),"Tanawan")</f>
        <v>Tanawan</v>
      </c>
      <c r="G1310" t="str">
        <f>IFERROR(__xludf.DUMMYFUNCTION("""COMPUTED_VALUE"""),"Pannakorn Tanawan")</f>
        <v>Pannakorn Tanawan</v>
      </c>
    </row>
    <row r="1311">
      <c r="A1311">
        <f>IFERROR(__xludf.DUMMYFUNCTION("""COMPUTED_VALUE"""),113.0)</f>
        <v>113</v>
      </c>
      <c r="B1311" t="str">
        <f>IFERROR(__xludf.DUMMYFUNCTION("""COMPUTED_VALUE"""),"Initial Training 2 MAR 26")</f>
        <v>Initial Training 2 MAR 26</v>
      </c>
      <c r="C1311">
        <f>IFERROR(__xludf.DUMMYFUNCTION("""COMPUTED_VALUE"""),1046357.0)</f>
        <v>1046357</v>
      </c>
      <c r="D1311" t="str">
        <f>IFERROR(__xludf.DUMMYFUNCTION("""COMPUTED_VALUE"""),"Mr.")</f>
        <v>Mr.</v>
      </c>
      <c r="E1311" t="str">
        <f>IFERROR(__xludf.DUMMYFUNCTION("""COMPUTED_VALUE"""),"Paramate")</f>
        <v>Paramate</v>
      </c>
      <c r="F1311" t="str">
        <f>IFERROR(__xludf.DUMMYFUNCTION("""COMPUTED_VALUE"""),"Puyati")</f>
        <v>Puyati</v>
      </c>
      <c r="G1311" t="str">
        <f>IFERROR(__xludf.DUMMYFUNCTION("""COMPUTED_VALUE"""),"Paramate Puyati")</f>
        <v>Paramate Puyati</v>
      </c>
    </row>
    <row r="1312">
      <c r="A1312">
        <f>IFERROR(__xludf.DUMMYFUNCTION("""COMPUTED_VALUE"""),113.0)</f>
        <v>113</v>
      </c>
      <c r="B1312" t="str">
        <f>IFERROR(__xludf.DUMMYFUNCTION("""COMPUTED_VALUE"""),"Initial Training 2 MAR 26")</f>
        <v>Initial Training 2 MAR 26</v>
      </c>
      <c r="C1312">
        <f>IFERROR(__xludf.DUMMYFUNCTION("""COMPUTED_VALUE"""),1046359.0)</f>
        <v>1046359</v>
      </c>
      <c r="D1312" t="str">
        <f>IFERROR(__xludf.DUMMYFUNCTION("""COMPUTED_VALUE"""),"Ms.")</f>
        <v>Ms.</v>
      </c>
      <c r="E1312" t="str">
        <f>IFERROR(__xludf.DUMMYFUNCTION("""COMPUTED_VALUE"""),"Rawikan")</f>
        <v>Rawikan</v>
      </c>
      <c r="F1312" t="str">
        <f>IFERROR(__xludf.DUMMYFUNCTION("""COMPUTED_VALUE"""),"Nilabut")</f>
        <v>Nilabut</v>
      </c>
      <c r="G1312" t="str">
        <f>IFERROR(__xludf.DUMMYFUNCTION("""COMPUTED_VALUE"""),"Rawikan Nilabut")</f>
        <v>Rawikan Nilabut</v>
      </c>
    </row>
    <row r="1313">
      <c r="A1313">
        <f>IFERROR(__xludf.DUMMYFUNCTION("""COMPUTED_VALUE"""),113.0)</f>
        <v>113</v>
      </c>
      <c r="B1313" t="str">
        <f>IFERROR(__xludf.DUMMYFUNCTION("""COMPUTED_VALUE"""),"Initial Training 2 MAR 26")</f>
        <v>Initial Training 2 MAR 26</v>
      </c>
      <c r="C1313">
        <f>IFERROR(__xludf.DUMMYFUNCTION("""COMPUTED_VALUE"""),1046360.0)</f>
        <v>1046360</v>
      </c>
      <c r="D1313" t="str">
        <f>IFERROR(__xludf.DUMMYFUNCTION("""COMPUTED_VALUE"""),"Ms.")</f>
        <v>Ms.</v>
      </c>
      <c r="E1313" t="str">
        <f>IFERROR(__xludf.DUMMYFUNCTION("""COMPUTED_VALUE"""),"Suthinee")</f>
        <v>Suthinee</v>
      </c>
      <c r="F1313" t="str">
        <f>IFERROR(__xludf.DUMMYFUNCTION("""COMPUTED_VALUE"""),"Umawongsakul")</f>
        <v>Umawongsakul</v>
      </c>
      <c r="G1313" t="str">
        <f>IFERROR(__xludf.DUMMYFUNCTION("""COMPUTED_VALUE"""),"Suthinee Umawongsakul")</f>
        <v>Suthinee Umawongsakul</v>
      </c>
    </row>
    <row r="1314">
      <c r="A1314">
        <f>IFERROR(__xludf.DUMMYFUNCTION("""COMPUTED_VALUE"""),113.0)</f>
        <v>113</v>
      </c>
      <c r="B1314" t="str">
        <f>IFERROR(__xludf.DUMMYFUNCTION("""COMPUTED_VALUE"""),"Initial Training 2 MAR 26")</f>
        <v>Initial Training 2 MAR 26</v>
      </c>
      <c r="C1314">
        <f>IFERROR(__xludf.DUMMYFUNCTION("""COMPUTED_VALUE"""),1046361.0)</f>
        <v>1046361</v>
      </c>
      <c r="D1314" t="str">
        <f>IFERROR(__xludf.DUMMYFUNCTION("""COMPUTED_VALUE"""),"Ms.")</f>
        <v>Ms.</v>
      </c>
      <c r="E1314" t="str">
        <f>IFERROR(__xludf.DUMMYFUNCTION("""COMPUTED_VALUE"""),"Taechinee")</f>
        <v>Taechinee</v>
      </c>
      <c r="F1314" t="str">
        <f>IFERROR(__xludf.DUMMYFUNCTION("""COMPUTED_VALUE"""),"Thanawutthikosit")</f>
        <v>Thanawutthikosit</v>
      </c>
      <c r="G1314" t="str">
        <f>IFERROR(__xludf.DUMMYFUNCTION("""COMPUTED_VALUE"""),"Taechinee Thanawutthikosit")</f>
        <v>Taechinee Thanawutthikosit</v>
      </c>
    </row>
    <row r="1315">
      <c r="A1315">
        <f>IFERROR(__xludf.DUMMYFUNCTION("""COMPUTED_VALUE"""),113.0)</f>
        <v>113</v>
      </c>
      <c r="B1315" t="str">
        <f>IFERROR(__xludf.DUMMYFUNCTION("""COMPUTED_VALUE"""),"Initial Training 2 MAR 26")</f>
        <v>Initial Training 2 MAR 26</v>
      </c>
      <c r="C1315">
        <f>IFERROR(__xludf.DUMMYFUNCTION("""COMPUTED_VALUE"""),1046362.0)</f>
        <v>1046362</v>
      </c>
      <c r="D1315" t="str">
        <f>IFERROR(__xludf.DUMMYFUNCTION("""COMPUTED_VALUE"""),"Ms.")</f>
        <v>Ms.</v>
      </c>
      <c r="E1315" t="str">
        <f>IFERROR(__xludf.DUMMYFUNCTION("""COMPUTED_VALUE"""),"Tanaporn")</f>
        <v>Tanaporn</v>
      </c>
      <c r="F1315" t="str">
        <f>IFERROR(__xludf.DUMMYFUNCTION("""COMPUTED_VALUE"""),"Teeranavanich")</f>
        <v>Teeranavanich</v>
      </c>
      <c r="G1315" t="str">
        <f>IFERROR(__xludf.DUMMYFUNCTION("""COMPUTED_VALUE"""),"Tanaporn Teeranavanich")</f>
        <v>Tanaporn Teeranavanich</v>
      </c>
    </row>
    <row r="1316">
      <c r="A1316">
        <f>IFERROR(__xludf.DUMMYFUNCTION("""COMPUTED_VALUE"""),113.0)</f>
        <v>113</v>
      </c>
      <c r="B1316" t="str">
        <f>IFERROR(__xludf.DUMMYFUNCTION("""COMPUTED_VALUE"""),"Initial Training 2 MAR 26")</f>
        <v>Initial Training 2 MAR 26</v>
      </c>
      <c r="C1316">
        <f>IFERROR(__xludf.DUMMYFUNCTION("""COMPUTED_VALUE"""),1046364.0)</f>
        <v>1046364</v>
      </c>
      <c r="D1316" t="str">
        <f>IFERROR(__xludf.DUMMYFUNCTION("""COMPUTED_VALUE"""),"Ms.")</f>
        <v>Ms.</v>
      </c>
      <c r="E1316" t="str">
        <f>IFERROR(__xludf.DUMMYFUNCTION("""COMPUTED_VALUE"""),"Thanchanok")</f>
        <v>Thanchanok</v>
      </c>
      <c r="F1316" t="str">
        <f>IFERROR(__xludf.DUMMYFUNCTION("""COMPUTED_VALUE"""),"Saleephon")</f>
        <v>Saleephon</v>
      </c>
      <c r="G1316" t="str">
        <f>IFERROR(__xludf.DUMMYFUNCTION("""COMPUTED_VALUE"""),"Thanchanok Saleephon")</f>
        <v>Thanchanok Saleephon</v>
      </c>
    </row>
    <row r="1317">
      <c r="A1317">
        <f>IFERROR(__xludf.DUMMYFUNCTION("""COMPUTED_VALUE"""),113.0)</f>
        <v>113</v>
      </c>
      <c r="B1317" t="str">
        <f>IFERROR(__xludf.DUMMYFUNCTION("""COMPUTED_VALUE"""),"Initial Training 2 MAR 26")</f>
        <v>Initial Training 2 MAR 26</v>
      </c>
      <c r="C1317">
        <f>IFERROR(__xludf.DUMMYFUNCTION("""COMPUTED_VALUE"""),1046371.0)</f>
        <v>1046371</v>
      </c>
      <c r="D1317" t="str">
        <f>IFERROR(__xludf.DUMMYFUNCTION("""COMPUTED_VALUE"""),"Ms.")</f>
        <v>Ms.</v>
      </c>
      <c r="E1317" t="str">
        <f>IFERROR(__xludf.DUMMYFUNCTION("""COMPUTED_VALUE"""),"Natcha")</f>
        <v>Natcha</v>
      </c>
      <c r="F1317" t="str">
        <f>IFERROR(__xludf.DUMMYFUNCTION("""COMPUTED_VALUE"""),"Sanongkhun")</f>
        <v>Sanongkhun</v>
      </c>
      <c r="G1317" t="str">
        <f>IFERROR(__xludf.DUMMYFUNCTION("""COMPUTED_VALUE"""),"Natcha Sanongkhun")</f>
        <v>Natcha Sanongkhun</v>
      </c>
    </row>
    <row r="1318">
      <c r="A1318">
        <f>IFERROR(__xludf.DUMMYFUNCTION("""COMPUTED_VALUE"""),113.0)</f>
        <v>113</v>
      </c>
      <c r="B1318" t="str">
        <f>IFERROR(__xludf.DUMMYFUNCTION("""COMPUTED_VALUE"""),"Initial Training 2 MAR 26")</f>
        <v>Initial Training 2 MAR 26</v>
      </c>
      <c r="C1318">
        <f>IFERROR(__xludf.DUMMYFUNCTION("""COMPUTED_VALUE"""),1046372.0)</f>
        <v>1046372</v>
      </c>
      <c r="D1318" t="str">
        <f>IFERROR(__xludf.DUMMYFUNCTION("""COMPUTED_VALUE"""),"Ms.")</f>
        <v>Ms.</v>
      </c>
      <c r="E1318" t="str">
        <f>IFERROR(__xludf.DUMMYFUNCTION("""COMPUTED_VALUE"""),"Sirinan")</f>
        <v>Sirinan</v>
      </c>
      <c r="F1318" t="str">
        <f>IFERROR(__xludf.DUMMYFUNCTION("""COMPUTED_VALUE"""),"Jabju")</f>
        <v>Jabju</v>
      </c>
      <c r="G1318" t="str">
        <f>IFERROR(__xludf.DUMMYFUNCTION("""COMPUTED_VALUE"""),"Sirinan Jabju")</f>
        <v>Sirinan Jabju</v>
      </c>
    </row>
    <row r="1319">
      <c r="A1319">
        <f>IFERROR(__xludf.DUMMYFUNCTION("""COMPUTED_VALUE"""),113.0)</f>
        <v>113</v>
      </c>
      <c r="C1319">
        <f>IFERROR(__xludf.DUMMYFUNCTION("""COMPUTED_VALUE"""),1047751.0)</f>
        <v>1047751</v>
      </c>
      <c r="D1319" t="str">
        <f>IFERROR(__xludf.DUMMYFUNCTION("""COMPUTED_VALUE"""),"Ms.")</f>
        <v>Ms.</v>
      </c>
      <c r="E1319" t="str">
        <f>IFERROR(__xludf.DUMMYFUNCTION("""COMPUTED_VALUE"""),"Tanyarat")</f>
        <v>Tanyarat</v>
      </c>
      <c r="F1319" t="str">
        <f>IFERROR(__xludf.DUMMYFUNCTION("""COMPUTED_VALUE"""),"Rairiang")</f>
        <v>Rairiang</v>
      </c>
      <c r="G1319" t="str">
        <f>IFERROR(__xludf.DUMMYFUNCTION("""COMPUTED_VALUE"""),"Tanyarat Rairiang")</f>
        <v>Tanyarat Rairiang</v>
      </c>
    </row>
    <row r="1320">
      <c r="A1320">
        <f>IFERROR(__xludf.DUMMYFUNCTION("""COMPUTED_VALUE"""),113.0)</f>
        <v>113</v>
      </c>
      <c r="C1320">
        <f>IFERROR(__xludf.DUMMYFUNCTION("""COMPUTED_VALUE"""),1047799.0)</f>
        <v>1047799</v>
      </c>
      <c r="D1320" t="str">
        <f>IFERROR(__xludf.DUMMYFUNCTION("""COMPUTED_VALUE"""),"Mr.")</f>
        <v>Mr.</v>
      </c>
      <c r="E1320" t="str">
        <f>IFERROR(__xludf.DUMMYFUNCTION("""COMPUTED_VALUE"""),"Erawat")</f>
        <v>Erawat</v>
      </c>
      <c r="F1320" t="str">
        <f>IFERROR(__xludf.DUMMYFUNCTION("""COMPUTED_VALUE"""),"Lorrattanachon")</f>
        <v>Lorrattanachon</v>
      </c>
      <c r="G1320" t="str">
        <f>IFERROR(__xludf.DUMMYFUNCTION("""COMPUTED_VALUE"""),"Erawat Lorrattanachon")</f>
        <v>Erawat Lorrattanachon</v>
      </c>
    </row>
    <row r="1321">
      <c r="A1321">
        <f>IFERROR(__xludf.DUMMYFUNCTION("""COMPUTED_VALUE"""),113.0)</f>
        <v>113</v>
      </c>
      <c r="C1321">
        <f>IFERROR(__xludf.DUMMYFUNCTION("""COMPUTED_VALUE"""),1047800.0)</f>
        <v>1047800</v>
      </c>
      <c r="D1321" t="str">
        <f>IFERROR(__xludf.DUMMYFUNCTION("""COMPUTED_VALUE"""),"Ms.")</f>
        <v>Ms.</v>
      </c>
      <c r="E1321" t="str">
        <f>IFERROR(__xludf.DUMMYFUNCTION("""COMPUTED_VALUE"""),"Thamonwan")</f>
        <v>Thamonwan</v>
      </c>
      <c r="F1321" t="str">
        <f>IFERROR(__xludf.DUMMYFUNCTION("""COMPUTED_VALUE"""),"Cheevakate")</f>
        <v>Cheevakate</v>
      </c>
      <c r="G1321" t="str">
        <f>IFERROR(__xludf.DUMMYFUNCTION("""COMPUTED_VALUE"""),"Thamonwan Cheevakate")</f>
        <v>Thamonwan Cheevakate</v>
      </c>
    </row>
  </sheetData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4" max="4" width="26.13"/>
    <col customWidth="1" min="5" max="5" width="40.5"/>
    <col customWidth="1" min="9" max="9" width="18.63"/>
    <col customWidth="1" min="10" max="10" width="21.63"/>
  </cols>
  <sheetData>
    <row r="1" ht="39.0" customHeight="1">
      <c r="A1" s="30" t="s">
        <v>1543</v>
      </c>
      <c r="H1" s="31"/>
      <c r="I1" s="32" t="s">
        <v>1544</v>
      </c>
      <c r="J1" s="33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ht="29.25" customHeight="1">
      <c r="A2" s="281" t="s">
        <v>1</v>
      </c>
      <c r="B2" s="266" t="s">
        <v>11</v>
      </c>
      <c r="C2" s="266" t="s">
        <v>1452</v>
      </c>
      <c r="D2" s="266" t="s">
        <v>12</v>
      </c>
      <c r="E2" s="287" t="s">
        <v>13</v>
      </c>
      <c r="F2" s="37" t="s">
        <v>14</v>
      </c>
      <c r="G2" s="38"/>
      <c r="H2" s="39"/>
      <c r="I2" s="40"/>
      <c r="J2" s="40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 ht="33.0" customHeight="1">
      <c r="A3" s="41"/>
      <c r="B3" s="38"/>
      <c r="C3" s="38"/>
      <c r="D3" s="38"/>
      <c r="E3" s="38"/>
      <c r="F3" s="42" t="s">
        <v>15</v>
      </c>
      <c r="G3" s="43" t="s">
        <v>5</v>
      </c>
      <c r="H3" s="39"/>
      <c r="I3" s="44" t="s">
        <v>6</v>
      </c>
      <c r="J3" s="45" t="s">
        <v>7</v>
      </c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 ht="25.5" customHeight="1">
      <c r="A4" s="282">
        <v>1.0</v>
      </c>
      <c r="B4" s="47">
        <v>1002273.0</v>
      </c>
      <c r="C4" s="283" t="str">
        <f>vlookup(B4,'Crew data for number'!B:C,2,0)</f>
        <v>TAA1934</v>
      </c>
      <c r="D4" s="284" t="str">
        <f>vlookup(B4,'Crew Data'!C:G,5,0)</f>
        <v>Sirion Kwanchai</v>
      </c>
      <c r="E4" s="267" t="s">
        <v>1545</v>
      </c>
      <c r="F4" s="47">
        <v>2.0</v>
      </c>
      <c r="G4" s="50">
        <f t="shared" ref="G4:G96" si="1">F4*400</f>
        <v>800</v>
      </c>
      <c r="H4" s="22">
        <f t="shared" ref="H4:H96" si="2">COUNTIF(B:B,B4)</f>
        <v>1</v>
      </c>
      <c r="I4" s="51" t="s">
        <v>20</v>
      </c>
      <c r="J4" s="40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</row>
    <row r="5" ht="25.5" customHeight="1">
      <c r="A5" s="54">
        <v>2.0</v>
      </c>
      <c r="B5" s="47">
        <v>1012174.0</v>
      </c>
      <c r="C5" s="283" t="str">
        <f>vlookup(B5,'Crew data for number'!B:C,2,0)</f>
        <v>TAA5985</v>
      </c>
      <c r="D5" s="284" t="str">
        <f>vlookup(B5,'Crew Data'!C:G,5,0)</f>
        <v>Parnnachai Srirat</v>
      </c>
      <c r="E5" s="267" t="s">
        <v>1546</v>
      </c>
      <c r="F5" s="47">
        <v>30.0</v>
      </c>
      <c r="G5" s="50">
        <f t="shared" si="1"/>
        <v>12000</v>
      </c>
      <c r="H5" s="22">
        <f t="shared" si="2"/>
        <v>1</v>
      </c>
      <c r="I5" s="51" t="s">
        <v>20</v>
      </c>
    </row>
    <row r="6" ht="25.5" customHeight="1">
      <c r="A6" s="282">
        <v>3.0</v>
      </c>
      <c r="B6" s="47">
        <v>1013179.0</v>
      </c>
      <c r="C6" s="283" t="str">
        <f>vlookup(B6,'Crew data for number'!B:C,2,0)</f>
        <v>TAA6398</v>
      </c>
      <c r="D6" s="284" t="str">
        <f>vlookup(B6,'Crew Data'!C:G,5,0)</f>
        <v>Nunapat Towakul</v>
      </c>
      <c r="E6" s="267" t="s">
        <v>1547</v>
      </c>
      <c r="F6" s="47">
        <v>55.0</v>
      </c>
      <c r="G6" s="50">
        <f t="shared" si="1"/>
        <v>22000</v>
      </c>
      <c r="H6" s="22">
        <f t="shared" si="2"/>
        <v>1</v>
      </c>
      <c r="I6" s="51" t="s">
        <v>20</v>
      </c>
    </row>
    <row r="7" ht="25.5" customHeight="1">
      <c r="A7" s="54">
        <v>4.0</v>
      </c>
      <c r="B7" s="47">
        <v>1011078.0</v>
      </c>
      <c r="C7" s="283" t="str">
        <f>vlookup(B7,'Crew data for number'!B:C,2,0)</f>
        <v>TAA5673</v>
      </c>
      <c r="D7" s="284" t="str">
        <f>vlookup(B7,'Crew Data'!C:G,5,0)</f>
        <v>#N/A</v>
      </c>
      <c r="E7" s="267" t="s">
        <v>1548</v>
      </c>
      <c r="F7" s="47">
        <v>59.0</v>
      </c>
      <c r="G7" s="50">
        <f t="shared" si="1"/>
        <v>23600</v>
      </c>
      <c r="H7" s="22">
        <f t="shared" si="2"/>
        <v>1</v>
      </c>
      <c r="I7" s="51" t="s">
        <v>20</v>
      </c>
    </row>
    <row r="8" ht="25.5" customHeight="1">
      <c r="A8" s="282">
        <v>5.0</v>
      </c>
      <c r="B8" s="47">
        <v>1012902.0</v>
      </c>
      <c r="C8" s="283" t="str">
        <f>vlookup(B8,'Crew data for number'!B:C,2,0)</f>
        <v>TAA6361</v>
      </c>
      <c r="D8" s="284" t="str">
        <f>vlookup(B8,'Crew Data'!C:G,5,0)</f>
        <v>Saowarat Sowa</v>
      </c>
      <c r="E8" s="288">
        <v>43678.0</v>
      </c>
      <c r="F8" s="47">
        <v>1.0</v>
      </c>
      <c r="G8" s="50">
        <f t="shared" si="1"/>
        <v>400</v>
      </c>
      <c r="H8" s="22">
        <f t="shared" si="2"/>
        <v>1</v>
      </c>
      <c r="I8" s="51" t="s">
        <v>20</v>
      </c>
    </row>
    <row r="9" ht="25.5" customHeight="1">
      <c r="A9" s="54">
        <v>6.0</v>
      </c>
      <c r="B9" s="47">
        <v>1001818.0</v>
      </c>
      <c r="C9" s="283" t="str">
        <f>vlookup(B9,'Crew data for number'!B:C,2,0)</f>
        <v>TAA1639</v>
      </c>
      <c r="D9" s="284" t="str">
        <f>vlookup(B9,'Crew Data'!C:G,5,0)</f>
        <v>Tanyapat Limthananat</v>
      </c>
      <c r="E9" s="267" t="s">
        <v>1549</v>
      </c>
      <c r="F9" s="47">
        <v>28.0</v>
      </c>
      <c r="G9" s="50">
        <f t="shared" si="1"/>
        <v>11200</v>
      </c>
      <c r="H9" s="22">
        <f t="shared" si="2"/>
        <v>1</v>
      </c>
      <c r="I9" s="51" t="s">
        <v>20</v>
      </c>
    </row>
    <row r="10" ht="25.5" customHeight="1">
      <c r="A10" s="282">
        <v>7.0</v>
      </c>
      <c r="B10" s="47">
        <v>1007418.0</v>
      </c>
      <c r="C10" s="283" t="str">
        <f>vlookup(B10,'Crew data for number'!B:C,2,0)</f>
        <v>TAA4070</v>
      </c>
      <c r="D10" s="284" t="str">
        <f>vlookup(B10,'Crew Data'!C:G,5,0)</f>
        <v>Nattaphat Boonprasit</v>
      </c>
      <c r="E10" s="267" t="s">
        <v>1550</v>
      </c>
      <c r="F10" s="47">
        <v>58.0</v>
      </c>
      <c r="G10" s="50">
        <f t="shared" si="1"/>
        <v>23200</v>
      </c>
      <c r="H10" s="22">
        <f t="shared" si="2"/>
        <v>1</v>
      </c>
      <c r="I10" s="51" t="s">
        <v>20</v>
      </c>
    </row>
    <row r="11" ht="25.5" customHeight="1">
      <c r="A11" s="54">
        <v>8.0</v>
      </c>
      <c r="B11" s="47">
        <v>1004030.0</v>
      </c>
      <c r="C11" s="283" t="str">
        <f>vlookup(B11,'Crew data for number'!B:C,2,0)</f>
        <v>TAA2560</v>
      </c>
      <c r="D11" s="284" t="str">
        <f>vlookup(B11,'Crew Data'!C:G,5,0)</f>
        <v>Kulpornpat Srikulchaipat</v>
      </c>
      <c r="E11" s="267" t="s">
        <v>1551</v>
      </c>
      <c r="F11" s="47">
        <v>29.0</v>
      </c>
      <c r="G11" s="50">
        <f t="shared" si="1"/>
        <v>11600</v>
      </c>
      <c r="H11" s="22">
        <f t="shared" si="2"/>
        <v>1</v>
      </c>
      <c r="I11" s="51" t="s">
        <v>20</v>
      </c>
    </row>
    <row r="12" ht="25.5" customHeight="1">
      <c r="A12" s="282">
        <v>9.0</v>
      </c>
      <c r="B12" s="47">
        <v>1007277.0</v>
      </c>
      <c r="C12" s="283" t="str">
        <f>vlookup(B12,'Crew data for number'!B:C,2,0)</f>
        <v>TAA4094</v>
      </c>
      <c r="D12" s="284" t="str">
        <f>vlookup(B12,'Crew Data'!C:G,5,0)</f>
        <v>Theerapat Sudsawas</v>
      </c>
      <c r="E12" s="267" t="s">
        <v>1552</v>
      </c>
      <c r="F12" s="47">
        <v>2.0</v>
      </c>
      <c r="G12" s="50">
        <f t="shared" si="1"/>
        <v>800</v>
      </c>
      <c r="H12" s="22">
        <f t="shared" si="2"/>
        <v>1</v>
      </c>
      <c r="I12" s="51" t="s">
        <v>20</v>
      </c>
    </row>
    <row r="13" ht="25.5" customHeight="1">
      <c r="A13" s="54">
        <v>10.0</v>
      </c>
      <c r="B13" s="47">
        <v>1001273.0</v>
      </c>
      <c r="C13" s="283" t="str">
        <f>vlookup(B13,'Crew data for number'!B:C,2,0)</f>
        <v>TAA1679</v>
      </c>
      <c r="D13" s="284" t="str">
        <f>vlookup(B13,'Crew Data'!C:G,5,0)</f>
        <v>Chidchanok Seesorn</v>
      </c>
      <c r="E13" s="267" t="s">
        <v>1552</v>
      </c>
      <c r="F13" s="47">
        <v>2.0</v>
      </c>
      <c r="G13" s="50">
        <f t="shared" si="1"/>
        <v>800</v>
      </c>
      <c r="H13" s="22">
        <f t="shared" si="2"/>
        <v>1</v>
      </c>
      <c r="I13" s="51" t="s">
        <v>20</v>
      </c>
    </row>
    <row r="14" ht="25.5" customHeight="1">
      <c r="A14" s="282">
        <v>11.0</v>
      </c>
      <c r="B14" s="47">
        <v>1025318.0</v>
      </c>
      <c r="C14" s="283" t="str">
        <f>vlookup(B14,'Crew data for number'!B:C,2,0)</f>
        <v>#N/A</v>
      </c>
      <c r="D14" s="284" t="str">
        <f>vlookup(B14,'Crew Data'!C:G,5,0)</f>
        <v>Jetsada Sutthiniam</v>
      </c>
      <c r="E14" s="267" t="s">
        <v>1553</v>
      </c>
      <c r="F14" s="47">
        <v>3.0</v>
      </c>
      <c r="G14" s="50">
        <f t="shared" si="1"/>
        <v>1200</v>
      </c>
      <c r="H14" s="22">
        <f t="shared" si="2"/>
        <v>1</v>
      </c>
      <c r="I14" s="51" t="s">
        <v>20</v>
      </c>
    </row>
    <row r="15" ht="25.5" customHeight="1">
      <c r="A15" s="282">
        <v>12.0</v>
      </c>
      <c r="B15" s="47">
        <v>1006847.0</v>
      </c>
      <c r="C15" s="283" t="str">
        <f>vlookup(B15,'Crew data for number'!B:C,2,0)</f>
        <v>TAA3869</v>
      </c>
      <c r="D15" s="284" t="str">
        <f>vlookup(B15,'Crew Data'!C:G,5,0)</f>
        <v>Siriluk Supkongyu</v>
      </c>
      <c r="E15" s="267" t="s">
        <v>1554</v>
      </c>
      <c r="F15" s="47">
        <v>4.0</v>
      </c>
      <c r="G15" s="50">
        <f t="shared" si="1"/>
        <v>1600</v>
      </c>
      <c r="H15" s="22">
        <f t="shared" si="2"/>
        <v>1</v>
      </c>
      <c r="I15" s="51" t="s">
        <v>20</v>
      </c>
    </row>
    <row r="16" ht="25.5" customHeight="1">
      <c r="A16" s="282">
        <v>13.0</v>
      </c>
      <c r="B16" s="47">
        <v>1015394.0</v>
      </c>
      <c r="C16" s="283" t="str">
        <f>vlookup(B16,'Crew data for number'!B:C,2,0)</f>
        <v>TAA7055</v>
      </c>
      <c r="D16" s="284" t="str">
        <f>vlookup(B16,'Crew Data'!C:G,5,0)</f>
        <v>Kawin Panpipat</v>
      </c>
      <c r="E16" s="269" t="s">
        <v>1555</v>
      </c>
      <c r="F16" s="47">
        <v>53.0</v>
      </c>
      <c r="G16" s="50">
        <f t="shared" si="1"/>
        <v>21200</v>
      </c>
      <c r="H16" s="22">
        <f t="shared" si="2"/>
        <v>1</v>
      </c>
      <c r="I16" s="51" t="s">
        <v>20</v>
      </c>
    </row>
    <row r="17" ht="25.5" customHeight="1">
      <c r="A17" s="54">
        <v>14.0</v>
      </c>
      <c r="B17" s="47">
        <v>1004858.0</v>
      </c>
      <c r="C17" s="283" t="str">
        <f>vlookup(B17,'Crew data for number'!B:C,2,0)</f>
        <v>TAA3020</v>
      </c>
      <c r="D17" s="284" t="str">
        <f>vlookup(B17,'Crew Data'!C:G,5,0)</f>
        <v>#N/A</v>
      </c>
      <c r="E17" s="267" t="s">
        <v>1556</v>
      </c>
      <c r="F17" s="47">
        <v>60.0</v>
      </c>
      <c r="G17" s="50">
        <f t="shared" si="1"/>
        <v>24000</v>
      </c>
      <c r="H17" s="22">
        <f t="shared" si="2"/>
        <v>1</v>
      </c>
      <c r="I17" s="51" t="s">
        <v>20</v>
      </c>
    </row>
    <row r="18" ht="25.5" customHeight="1">
      <c r="A18" s="282">
        <v>15.0</v>
      </c>
      <c r="B18" s="47">
        <v>1017656.0</v>
      </c>
      <c r="C18" s="283" t="str">
        <f>vlookup(B18,'Crew data for number'!B:C,2,0)</f>
        <v>TAA7525</v>
      </c>
      <c r="D18" s="284" t="str">
        <f>vlookup(B18,'Crew Data'!C:G,5,0)</f>
        <v>#N/A</v>
      </c>
      <c r="E18" s="267" t="s">
        <v>1557</v>
      </c>
      <c r="F18" s="47">
        <v>31.0</v>
      </c>
      <c r="G18" s="50">
        <f t="shared" si="1"/>
        <v>12400</v>
      </c>
      <c r="H18" s="22">
        <f t="shared" si="2"/>
        <v>1</v>
      </c>
      <c r="I18" s="51" t="s">
        <v>20</v>
      </c>
    </row>
    <row r="19" ht="25.5" customHeight="1">
      <c r="A19" s="282">
        <v>16.0</v>
      </c>
      <c r="B19" s="47">
        <v>1001227.0</v>
      </c>
      <c r="C19" s="283" t="str">
        <f>vlookup(B19,'Crew data for number'!B:C,2,0)</f>
        <v>TAA1244</v>
      </c>
      <c r="D19" s="284" t="str">
        <f>vlookup(B19,'Crew Data'!C:G,5,0)</f>
        <v>Dara Nomanee</v>
      </c>
      <c r="E19" s="267" t="s">
        <v>1558</v>
      </c>
      <c r="F19" s="47">
        <v>2.0</v>
      </c>
      <c r="G19" s="50">
        <f t="shared" si="1"/>
        <v>800</v>
      </c>
      <c r="H19" s="22">
        <f t="shared" si="2"/>
        <v>1</v>
      </c>
      <c r="I19" s="51" t="s">
        <v>20</v>
      </c>
    </row>
    <row r="20" ht="25.5" customHeight="1">
      <c r="A20" s="282">
        <v>17.0</v>
      </c>
      <c r="B20" s="47">
        <v>1005906.0</v>
      </c>
      <c r="C20" s="283" t="str">
        <f>vlookup(B20,'Crew data for number'!B:C,2,0)</f>
        <v>TAA3924</v>
      </c>
      <c r="D20" s="284" t="str">
        <f>vlookup(B20,'Crew Data'!C:G,5,0)</f>
        <v>Supatra Pokkhabut</v>
      </c>
      <c r="E20" s="267" t="s">
        <v>1559</v>
      </c>
      <c r="F20" s="47">
        <v>55.0</v>
      </c>
      <c r="G20" s="50">
        <f t="shared" si="1"/>
        <v>22000</v>
      </c>
      <c r="H20" s="22">
        <f t="shared" si="2"/>
        <v>1</v>
      </c>
      <c r="I20" s="51" t="s">
        <v>20</v>
      </c>
    </row>
    <row r="21" ht="25.5" customHeight="1">
      <c r="A21" s="54">
        <v>18.0</v>
      </c>
      <c r="B21" s="47">
        <v>1002264.0</v>
      </c>
      <c r="C21" s="283" t="str">
        <f>vlookup(B21,'Crew data for number'!B:C,2,0)</f>
        <v>TAA1928</v>
      </c>
      <c r="D21" s="284" t="str">
        <f>vlookup(B21,'Crew Data'!C:G,5,0)</f>
        <v>Anooradee Wilairot</v>
      </c>
      <c r="E21" s="267" t="s">
        <v>1560</v>
      </c>
      <c r="F21" s="47">
        <v>36.0</v>
      </c>
      <c r="G21" s="50">
        <f t="shared" si="1"/>
        <v>14400</v>
      </c>
      <c r="H21" s="22">
        <f t="shared" si="2"/>
        <v>1</v>
      </c>
      <c r="I21" s="51" t="s">
        <v>20</v>
      </c>
    </row>
    <row r="22" ht="25.5" customHeight="1">
      <c r="A22" s="282">
        <v>19.0</v>
      </c>
      <c r="B22" s="47">
        <v>1008991.0</v>
      </c>
      <c r="C22" s="283" t="str">
        <f>vlookup(B22,'Crew data for number'!B:C,2,0)</f>
        <v>TAA4736</v>
      </c>
      <c r="D22" s="284" t="str">
        <f>vlookup(B22,'Crew Data'!C:G,5,0)</f>
        <v>Premkamon Changsuwan</v>
      </c>
      <c r="E22" s="267" t="s">
        <v>1561</v>
      </c>
      <c r="F22" s="47">
        <v>32.0</v>
      </c>
      <c r="G22" s="50">
        <f t="shared" si="1"/>
        <v>12800</v>
      </c>
      <c r="H22" s="22">
        <f t="shared" si="2"/>
        <v>1</v>
      </c>
      <c r="I22" s="51" t="s">
        <v>20</v>
      </c>
    </row>
    <row r="23" ht="25.5" customHeight="1">
      <c r="A23" s="282">
        <v>20.0</v>
      </c>
      <c r="B23" s="47">
        <v>1019520.0</v>
      </c>
      <c r="C23" s="283" t="str">
        <f>vlookup(B23,'Crew data for number'!B:C,2,0)</f>
        <v>TAA8005</v>
      </c>
      <c r="D23" s="284" t="str">
        <f>vlookup(B23,'Crew Data'!C:G,5,0)</f>
        <v>#N/A</v>
      </c>
      <c r="E23" s="267" t="s">
        <v>1562</v>
      </c>
      <c r="F23" s="47">
        <v>55.0</v>
      </c>
      <c r="G23" s="50">
        <f t="shared" si="1"/>
        <v>22000</v>
      </c>
      <c r="H23" s="22">
        <f t="shared" si="2"/>
        <v>1</v>
      </c>
      <c r="I23" s="51" t="s">
        <v>20</v>
      </c>
    </row>
    <row r="24" ht="25.5" customHeight="1">
      <c r="A24" s="282">
        <v>21.0</v>
      </c>
      <c r="B24" s="47">
        <v>1006352.0</v>
      </c>
      <c r="C24" s="283" t="str">
        <f>vlookup(B24,'Crew data for number'!B:C,2,0)</f>
        <v>TAA3677</v>
      </c>
      <c r="D24" s="284" t="str">
        <f>vlookup(B24,'Crew Data'!C:G,5,0)</f>
        <v>Sirinthip Singhadecha</v>
      </c>
      <c r="E24" s="267" t="s">
        <v>1563</v>
      </c>
      <c r="F24" s="47">
        <v>28.0</v>
      </c>
      <c r="G24" s="50">
        <f t="shared" si="1"/>
        <v>11200</v>
      </c>
      <c r="H24" s="22">
        <f t="shared" si="2"/>
        <v>1</v>
      </c>
      <c r="I24" s="51" t="s">
        <v>20</v>
      </c>
    </row>
    <row r="25" ht="25.5" customHeight="1">
      <c r="A25" s="54">
        <v>22.0</v>
      </c>
      <c r="B25" s="47">
        <v>1022697.0</v>
      </c>
      <c r="C25" s="283" t="str">
        <f>vlookup(B25,'Crew data for number'!B:C,2,0)</f>
        <v/>
      </c>
      <c r="D25" s="284" t="str">
        <f>vlookup(B25,'Crew Data'!C:G,5,0)</f>
        <v>#N/A</v>
      </c>
      <c r="E25" s="268">
        <v>43678.0</v>
      </c>
      <c r="F25" s="47">
        <v>1.0</v>
      </c>
      <c r="G25" s="50">
        <f t="shared" si="1"/>
        <v>400</v>
      </c>
      <c r="H25" s="22">
        <f t="shared" si="2"/>
        <v>1</v>
      </c>
      <c r="I25" s="51" t="s">
        <v>20</v>
      </c>
    </row>
    <row r="26" ht="25.5" customHeight="1">
      <c r="A26" s="282">
        <v>23.0</v>
      </c>
      <c r="B26" s="47">
        <v>1015406.0</v>
      </c>
      <c r="C26" s="283" t="str">
        <f>vlookup(B26,'Crew data for number'!B:C,2,0)</f>
        <v>TAA7064</v>
      </c>
      <c r="D26" s="284" t="str">
        <f>vlookup(B26,'Crew Data'!C:G,5,0)</f>
        <v>Perati Ardwong</v>
      </c>
      <c r="E26" s="267" t="s">
        <v>1564</v>
      </c>
      <c r="F26" s="47">
        <v>2.0</v>
      </c>
      <c r="G26" s="50">
        <f t="shared" si="1"/>
        <v>800</v>
      </c>
      <c r="H26" s="22">
        <f t="shared" si="2"/>
        <v>1</v>
      </c>
      <c r="I26" s="51" t="s">
        <v>20</v>
      </c>
    </row>
    <row r="27" ht="25.5" customHeight="1">
      <c r="A27" s="282">
        <v>24.0</v>
      </c>
      <c r="B27" s="47">
        <v>1001934.0</v>
      </c>
      <c r="C27" s="283" t="str">
        <f>vlookup(B27,'Crew data for number'!B:C,2,0)</f>
        <v>TAA1949</v>
      </c>
      <c r="D27" s="284" t="str">
        <f>vlookup(B27,'Crew Data'!C:G,5,0)</f>
        <v>Komet Prasankan</v>
      </c>
      <c r="E27" s="267" t="s">
        <v>1565</v>
      </c>
      <c r="F27" s="47">
        <v>8.0</v>
      </c>
      <c r="G27" s="50">
        <f t="shared" si="1"/>
        <v>3200</v>
      </c>
      <c r="H27" s="22">
        <f t="shared" si="2"/>
        <v>1</v>
      </c>
      <c r="I27" s="51" t="s">
        <v>20</v>
      </c>
    </row>
    <row r="28" ht="25.5" customHeight="1">
      <c r="A28" s="282">
        <v>25.0</v>
      </c>
      <c r="B28" s="47">
        <v>1025306.0</v>
      </c>
      <c r="C28" s="283" t="str">
        <f>vlookup(B28,'Crew data for number'!B:C,2,0)</f>
        <v>#N/A</v>
      </c>
      <c r="D28" s="284" t="str">
        <f>vlookup(B28,'Crew Data'!C:G,5,0)</f>
        <v>Soravis Kissanaviparkporn</v>
      </c>
      <c r="E28" s="267" t="s">
        <v>1566</v>
      </c>
      <c r="F28" s="47">
        <v>2.0</v>
      </c>
      <c r="G28" s="50">
        <f t="shared" si="1"/>
        <v>800</v>
      </c>
      <c r="H28" s="22">
        <f t="shared" si="2"/>
        <v>1</v>
      </c>
      <c r="I28" s="51" t="s">
        <v>20</v>
      </c>
    </row>
    <row r="29" ht="25.5" customHeight="1">
      <c r="A29" s="54">
        <v>26.0</v>
      </c>
      <c r="B29" s="47">
        <v>1006363.0</v>
      </c>
      <c r="C29" s="283" t="str">
        <f>vlookup(B29,'Crew data for number'!B:C,2,0)</f>
        <v>TAA3684</v>
      </c>
      <c r="D29" s="284" t="str">
        <f>vlookup(B29,'Crew Data'!C:G,5,0)</f>
        <v>#N/A</v>
      </c>
      <c r="E29" s="268">
        <v>43678.0</v>
      </c>
      <c r="F29" s="47">
        <v>1.0</v>
      </c>
      <c r="G29" s="50">
        <f t="shared" si="1"/>
        <v>400</v>
      </c>
      <c r="H29" s="22">
        <f t="shared" si="2"/>
        <v>1</v>
      </c>
      <c r="I29" s="51" t="s">
        <v>20</v>
      </c>
    </row>
    <row r="30" ht="25.5" customHeight="1">
      <c r="A30" s="282">
        <v>27.0</v>
      </c>
      <c r="B30" s="47">
        <v>1017930.0</v>
      </c>
      <c r="C30" s="283" t="str">
        <f>vlookup(B30,'Crew data for number'!B:C,2,0)</f>
        <v>TAA7534</v>
      </c>
      <c r="D30" s="284" t="str">
        <f>vlookup(B30,'Crew Data'!C:G,5,0)</f>
        <v>#N/A</v>
      </c>
      <c r="E30" s="268">
        <v>43678.0</v>
      </c>
      <c r="F30" s="47">
        <v>1.0</v>
      </c>
      <c r="G30" s="50">
        <f t="shared" si="1"/>
        <v>400</v>
      </c>
      <c r="H30" s="22">
        <f t="shared" si="2"/>
        <v>1</v>
      </c>
      <c r="I30" s="51" t="s">
        <v>20</v>
      </c>
    </row>
    <row r="31" ht="25.5" customHeight="1">
      <c r="A31" s="282">
        <v>28.0</v>
      </c>
      <c r="B31" s="47">
        <v>1009843.0</v>
      </c>
      <c r="C31" s="283" t="str">
        <f>vlookup(B31,'Crew data for number'!B:C,2,0)</f>
        <v>TAA5139</v>
      </c>
      <c r="D31" s="284" t="str">
        <f>vlookup(B31,'Crew Data'!C:G,5,0)</f>
        <v>#N/A</v>
      </c>
      <c r="E31" s="267" t="s">
        <v>1567</v>
      </c>
      <c r="F31" s="47">
        <v>3.0</v>
      </c>
      <c r="G31" s="50">
        <f t="shared" si="1"/>
        <v>1200</v>
      </c>
      <c r="H31" s="22">
        <f t="shared" si="2"/>
        <v>1</v>
      </c>
      <c r="I31" s="51" t="s">
        <v>20</v>
      </c>
    </row>
    <row r="32" ht="25.5" customHeight="1">
      <c r="A32" s="282">
        <v>29.0</v>
      </c>
      <c r="B32" s="47">
        <v>1004127.0</v>
      </c>
      <c r="C32" s="283" t="str">
        <f>vlookup(B32,'Crew data for number'!B:C,2,0)</f>
        <v>TAA2655</v>
      </c>
      <c r="D32" s="284" t="str">
        <f>vlookup(B32,'Crew Data'!C:G,5,0)</f>
        <v>Thawinun Arunnuntapanich</v>
      </c>
      <c r="E32" s="268">
        <v>43678.0</v>
      </c>
      <c r="F32" s="47">
        <v>1.0</v>
      </c>
      <c r="G32" s="50">
        <f t="shared" si="1"/>
        <v>400</v>
      </c>
      <c r="H32" s="22">
        <f t="shared" si="2"/>
        <v>1</v>
      </c>
      <c r="I32" s="51" t="s">
        <v>20</v>
      </c>
    </row>
    <row r="33" ht="25.5" customHeight="1">
      <c r="A33" s="54">
        <v>30.0</v>
      </c>
      <c r="B33" s="47">
        <v>1012904.0</v>
      </c>
      <c r="C33" s="283" t="str">
        <f>vlookup(B33,'Crew data for number'!B:C,2,0)</f>
        <v>TAA6378</v>
      </c>
      <c r="D33" s="284" t="str">
        <f>vlookup(B33,'Crew Data'!C:G,5,0)</f>
        <v>Suteerapong Sawangwong</v>
      </c>
      <c r="E33" s="267" t="s">
        <v>1564</v>
      </c>
      <c r="F33" s="47">
        <v>2.0</v>
      </c>
      <c r="G33" s="50">
        <f t="shared" si="1"/>
        <v>800</v>
      </c>
      <c r="H33" s="22">
        <f t="shared" si="2"/>
        <v>1</v>
      </c>
      <c r="I33" s="51" t="s">
        <v>20</v>
      </c>
    </row>
    <row r="34" ht="25.5" customHeight="1">
      <c r="A34" s="282">
        <v>31.0</v>
      </c>
      <c r="B34" s="47">
        <v>1004040.0</v>
      </c>
      <c r="C34" s="283" t="str">
        <f>vlookup(B34,'Crew data for number'!B:C,2,0)</f>
        <v>TAA2584</v>
      </c>
      <c r="D34" s="284" t="str">
        <f>vlookup(B34,'Crew Data'!C:G,5,0)</f>
        <v>#N/A</v>
      </c>
      <c r="E34" s="267" t="s">
        <v>1568</v>
      </c>
      <c r="F34" s="47">
        <v>5.0</v>
      </c>
      <c r="G34" s="50">
        <f t="shared" si="1"/>
        <v>2000</v>
      </c>
      <c r="H34" s="22">
        <f t="shared" si="2"/>
        <v>1</v>
      </c>
      <c r="I34" s="51" t="s">
        <v>20</v>
      </c>
    </row>
    <row r="35" ht="25.5" customHeight="1">
      <c r="A35" s="282">
        <v>32.0</v>
      </c>
      <c r="B35" s="47">
        <v>1015391.0</v>
      </c>
      <c r="C35" s="283" t="str">
        <f>vlookup(B35,'Crew data for number'!B:C,2,0)</f>
        <v>TAA7065</v>
      </c>
      <c r="D35" s="284" t="str">
        <f>vlookup(B35,'Crew Data'!C:G,5,0)</f>
        <v>Chintapa Sukharn</v>
      </c>
      <c r="E35" s="267" t="s">
        <v>1569</v>
      </c>
      <c r="F35" s="47">
        <v>27.0</v>
      </c>
      <c r="G35" s="50">
        <f t="shared" si="1"/>
        <v>10800</v>
      </c>
      <c r="H35" s="22">
        <f t="shared" si="2"/>
        <v>1</v>
      </c>
      <c r="I35" s="51" t="s">
        <v>20</v>
      </c>
    </row>
    <row r="36" ht="25.5" customHeight="1">
      <c r="A36" s="282">
        <v>33.0</v>
      </c>
      <c r="B36" s="47">
        <v>1001622.0</v>
      </c>
      <c r="C36" s="283" t="str">
        <f>vlookup(B36,'Crew data for number'!B:C,2,0)</f>
        <v>TAA1450</v>
      </c>
      <c r="D36" s="284" t="str">
        <f>vlookup(B36,'Crew Data'!C:G,5,0)</f>
        <v>Waraluck Meksikarin</v>
      </c>
      <c r="E36" s="267" t="s">
        <v>1570</v>
      </c>
      <c r="F36" s="47">
        <v>29.0</v>
      </c>
      <c r="G36" s="50">
        <f t="shared" si="1"/>
        <v>11600</v>
      </c>
      <c r="H36" s="22">
        <f t="shared" si="2"/>
        <v>1</v>
      </c>
      <c r="I36" s="51" t="s">
        <v>20</v>
      </c>
    </row>
    <row r="37" ht="25.5" customHeight="1">
      <c r="A37" s="54">
        <v>34.0</v>
      </c>
      <c r="B37" s="47">
        <v>1006313.0</v>
      </c>
      <c r="C37" s="283" t="str">
        <f>vlookup(B37,'Crew data for number'!B:C,2,0)</f>
        <v>TAA3678</v>
      </c>
      <c r="D37" s="284" t="str">
        <f>vlookup(B37,'Crew Data'!C:G,5,0)</f>
        <v>Kanyarat Palasak</v>
      </c>
      <c r="E37" s="267" t="s">
        <v>1571</v>
      </c>
      <c r="F37" s="47">
        <v>28.0</v>
      </c>
      <c r="G37" s="50">
        <f t="shared" si="1"/>
        <v>11200</v>
      </c>
      <c r="H37" s="22">
        <f t="shared" si="2"/>
        <v>1</v>
      </c>
      <c r="I37" s="51" t="s">
        <v>20</v>
      </c>
    </row>
    <row r="38" ht="25.5" customHeight="1">
      <c r="A38" s="282">
        <v>35.0</v>
      </c>
      <c r="B38" s="47">
        <v>1011846.0</v>
      </c>
      <c r="C38" s="283" t="str">
        <f>vlookup(B38,'Crew data for number'!B:C,2,0)</f>
        <v>TAA6098</v>
      </c>
      <c r="D38" s="284" t="str">
        <f>vlookup(B38,'Crew Data'!C:G,5,0)</f>
        <v>Waleeporn Jongkaewwattana</v>
      </c>
      <c r="E38" s="267" t="s">
        <v>1572</v>
      </c>
      <c r="F38" s="47">
        <v>29.0</v>
      </c>
      <c r="G38" s="50">
        <f t="shared" si="1"/>
        <v>11600</v>
      </c>
      <c r="H38" s="22">
        <f t="shared" si="2"/>
        <v>1</v>
      </c>
      <c r="I38" s="51" t="s">
        <v>20</v>
      </c>
    </row>
    <row r="39" ht="25.5" customHeight="1">
      <c r="A39" s="282">
        <v>36.0</v>
      </c>
      <c r="B39" s="47">
        <v>1022215.0</v>
      </c>
      <c r="C39" s="283" t="str">
        <f>vlookup(B39,'Crew data for number'!B:C,2,0)</f>
        <v/>
      </c>
      <c r="D39" s="284" t="str">
        <f>vlookup(B39,'Crew Data'!C:G,5,0)</f>
        <v>Porntida Yuttimi</v>
      </c>
      <c r="E39" s="267" t="s">
        <v>1573</v>
      </c>
      <c r="F39" s="47">
        <v>29.0</v>
      </c>
      <c r="G39" s="50">
        <f t="shared" si="1"/>
        <v>11600</v>
      </c>
      <c r="H39" s="22">
        <f t="shared" si="2"/>
        <v>1</v>
      </c>
      <c r="I39" s="51" t="s">
        <v>20</v>
      </c>
    </row>
    <row r="40" ht="25.5" customHeight="1">
      <c r="A40" s="282">
        <v>37.0</v>
      </c>
      <c r="B40" s="47">
        <v>1001236.0</v>
      </c>
      <c r="C40" s="283" t="str">
        <f>vlookup(B40,'Crew data for number'!B:C,2,0)</f>
        <v>TAA1567</v>
      </c>
      <c r="D40" s="284" t="str">
        <f>vlookup(B40,'Crew Data'!C:G,5,0)</f>
        <v>Tananchakorn Nonthapak</v>
      </c>
      <c r="E40" s="267" t="s">
        <v>1574</v>
      </c>
      <c r="F40" s="47">
        <v>31.0</v>
      </c>
      <c r="G40" s="50">
        <f t="shared" si="1"/>
        <v>12400</v>
      </c>
      <c r="H40" s="22">
        <f t="shared" si="2"/>
        <v>1</v>
      </c>
      <c r="I40" s="51" t="s">
        <v>20</v>
      </c>
    </row>
    <row r="41" ht="25.5" customHeight="1">
      <c r="A41" s="54">
        <v>38.0</v>
      </c>
      <c r="B41" s="47">
        <v>1007416.0</v>
      </c>
      <c r="C41" s="283" t="str">
        <f>vlookup(B41,'Crew data for number'!B:C,2,0)</f>
        <v>TAA4067</v>
      </c>
      <c r="D41" s="284" t="str">
        <f>vlookup(B41,'Crew Data'!C:G,5,0)</f>
        <v>Metus Leearporn</v>
      </c>
      <c r="E41" s="267" t="s">
        <v>1575</v>
      </c>
      <c r="F41" s="47">
        <v>29.0</v>
      </c>
      <c r="G41" s="50">
        <f t="shared" si="1"/>
        <v>11600</v>
      </c>
      <c r="H41" s="22">
        <f t="shared" si="2"/>
        <v>1</v>
      </c>
      <c r="I41" s="51" t="s">
        <v>20</v>
      </c>
    </row>
    <row r="42" ht="25.5" customHeight="1">
      <c r="A42" s="282">
        <v>39.0</v>
      </c>
      <c r="B42" s="47">
        <v>1001301.0</v>
      </c>
      <c r="C42" s="283" t="str">
        <f>vlookup(B42,'Crew data for number'!B:C,2,0)</f>
        <v>TAA1310</v>
      </c>
      <c r="D42" s="284" t="str">
        <f>vlookup(B42,'Crew Data'!C:G,5,0)</f>
        <v>Burin Buarapha</v>
      </c>
      <c r="E42" s="267" t="s">
        <v>1576</v>
      </c>
      <c r="F42" s="47">
        <v>28.0</v>
      </c>
      <c r="G42" s="50">
        <f t="shared" si="1"/>
        <v>11200</v>
      </c>
      <c r="H42" s="22">
        <f t="shared" si="2"/>
        <v>1</v>
      </c>
      <c r="I42" s="51" t="s">
        <v>20</v>
      </c>
    </row>
    <row r="43" ht="25.5" customHeight="1">
      <c r="A43" s="282">
        <v>40.0</v>
      </c>
      <c r="B43" s="47">
        <v>1001233.0</v>
      </c>
      <c r="C43" s="283" t="str">
        <f>vlookup(B43,'Crew data for number'!B:C,2,0)</f>
        <v>TAA1562</v>
      </c>
      <c r="D43" s="284" t="str">
        <f>vlookup(B43,'Crew Data'!C:G,5,0)</f>
        <v>Sasithorn Wonglee</v>
      </c>
      <c r="E43" s="267" t="s">
        <v>1577</v>
      </c>
      <c r="F43" s="47">
        <v>28.0</v>
      </c>
      <c r="G43" s="50">
        <f t="shared" si="1"/>
        <v>11200</v>
      </c>
      <c r="H43" s="22">
        <f t="shared" si="2"/>
        <v>1</v>
      </c>
      <c r="I43" s="51" t="s">
        <v>20</v>
      </c>
    </row>
    <row r="44" ht="25.5" customHeight="1">
      <c r="A44" s="282">
        <v>41.0</v>
      </c>
      <c r="B44" s="47">
        <v>1022218.0</v>
      </c>
      <c r="C44" s="283" t="str">
        <f>vlookup(B44,'Crew data for number'!B:C,2,0)</f>
        <v/>
      </c>
      <c r="D44" s="284" t="str">
        <f>vlookup(B44,'Crew Data'!C:G,5,0)</f>
        <v>Pimchai Supachaiyakij</v>
      </c>
      <c r="E44" s="267" t="s">
        <v>1575</v>
      </c>
      <c r="F44" s="47">
        <v>29.0</v>
      </c>
      <c r="G44" s="50">
        <f t="shared" si="1"/>
        <v>11600</v>
      </c>
      <c r="H44" s="22">
        <f t="shared" si="2"/>
        <v>1</v>
      </c>
      <c r="I44" s="51" t="s">
        <v>20</v>
      </c>
    </row>
    <row r="45" ht="25.5" customHeight="1">
      <c r="A45" s="54">
        <v>42.0</v>
      </c>
      <c r="B45" s="47">
        <v>1007156.0</v>
      </c>
      <c r="C45" s="283" t="str">
        <f>vlookup(B45,'Crew data for number'!B:C,2,0)</f>
        <v>TAA4008</v>
      </c>
      <c r="D45" s="284" t="str">
        <f>vlookup(B45,'Crew Data'!C:G,5,0)</f>
        <v>Patthama Aryarug</v>
      </c>
      <c r="E45" s="267" t="s">
        <v>1578</v>
      </c>
      <c r="F45" s="47">
        <v>27.0</v>
      </c>
      <c r="G45" s="50">
        <f t="shared" si="1"/>
        <v>10800</v>
      </c>
      <c r="H45" s="22">
        <f t="shared" si="2"/>
        <v>1</v>
      </c>
      <c r="I45" s="51" t="s">
        <v>20</v>
      </c>
    </row>
    <row r="46" ht="25.5" customHeight="1">
      <c r="A46" s="282">
        <v>43.0</v>
      </c>
      <c r="B46" s="47">
        <v>1022839.0</v>
      </c>
      <c r="C46" s="283" t="str">
        <f>vlookup(B46,'Crew data for number'!B:C,2,0)</f>
        <v/>
      </c>
      <c r="D46" s="284" t="str">
        <f>vlookup(B46,'Crew Data'!C:G,5,0)</f>
        <v>Apichaya Wijitr</v>
      </c>
      <c r="E46" s="267" t="s">
        <v>1567</v>
      </c>
      <c r="F46" s="47">
        <v>3.0</v>
      </c>
      <c r="G46" s="50">
        <f t="shared" si="1"/>
        <v>1200</v>
      </c>
      <c r="H46" s="22">
        <f t="shared" si="2"/>
        <v>1</v>
      </c>
      <c r="I46" s="51" t="s">
        <v>20</v>
      </c>
    </row>
    <row r="47" ht="25.5" customHeight="1">
      <c r="A47" s="282">
        <v>44.0</v>
      </c>
      <c r="B47" s="47">
        <v>1012901.0</v>
      </c>
      <c r="C47" s="283" t="str">
        <f>vlookup(B47,'Crew data for number'!B:C,2,0)</f>
        <v>TAA6367</v>
      </c>
      <c r="D47" s="284" t="str">
        <f>vlookup(B47,'Crew Data'!C:G,5,0)</f>
        <v>Sandao Siriwarunrak</v>
      </c>
      <c r="E47" s="267" t="s">
        <v>1579</v>
      </c>
      <c r="F47" s="47">
        <v>30.0</v>
      </c>
      <c r="G47" s="50">
        <f t="shared" si="1"/>
        <v>12000</v>
      </c>
      <c r="H47" s="22">
        <f t="shared" si="2"/>
        <v>1</v>
      </c>
      <c r="I47" s="51" t="s">
        <v>20</v>
      </c>
    </row>
    <row r="48" ht="25.5" customHeight="1">
      <c r="A48" s="282">
        <v>45.0</v>
      </c>
      <c r="B48" s="47">
        <v>1014372.0</v>
      </c>
      <c r="C48" s="283" t="str">
        <f>vlookup(B48,'Crew data for number'!B:C,2,0)</f>
        <v>TAA6869</v>
      </c>
      <c r="D48" s="284" t="str">
        <f>vlookup(B48,'Crew Data'!C:G,5,0)</f>
        <v>#N/A</v>
      </c>
      <c r="E48" s="267" t="s">
        <v>1574</v>
      </c>
      <c r="F48" s="47">
        <v>31.0</v>
      </c>
      <c r="G48" s="50">
        <f t="shared" si="1"/>
        <v>12400</v>
      </c>
      <c r="H48" s="22">
        <f t="shared" si="2"/>
        <v>1</v>
      </c>
      <c r="I48" s="51" t="s">
        <v>20</v>
      </c>
    </row>
    <row r="49" ht="25.5" customHeight="1">
      <c r="A49" s="54">
        <v>46.0</v>
      </c>
      <c r="B49" s="47">
        <v>1003418.0</v>
      </c>
      <c r="C49" s="283" t="str">
        <f>vlookup(B49,'Crew data for number'!B:C,2,0)</f>
        <v>TAA2430</v>
      </c>
      <c r="D49" s="284" t="str">
        <f>vlookup(B49,'Crew Data'!C:G,5,0)</f>
        <v>Chiravitch Kittiphongsathaporn</v>
      </c>
      <c r="E49" s="267" t="s">
        <v>1580</v>
      </c>
      <c r="F49" s="47">
        <v>28.0</v>
      </c>
      <c r="G49" s="50">
        <f t="shared" si="1"/>
        <v>11200</v>
      </c>
      <c r="H49" s="22">
        <f t="shared" si="2"/>
        <v>1</v>
      </c>
      <c r="I49" s="51" t="s">
        <v>20</v>
      </c>
    </row>
    <row r="50" ht="25.5" customHeight="1">
      <c r="A50" s="282">
        <v>47.0</v>
      </c>
      <c r="B50" s="47">
        <v>1011705.0</v>
      </c>
      <c r="C50" s="283" t="str">
        <f>vlookup(B50,'Crew data for number'!B:C,2,0)</f>
        <v>TAA6150</v>
      </c>
      <c r="D50" s="284" t="str">
        <f>vlookup(B50,'Crew Data'!C:G,5,0)</f>
        <v>Nattika Naephimai</v>
      </c>
      <c r="E50" s="267" t="s">
        <v>1581</v>
      </c>
      <c r="F50" s="47">
        <v>17.0</v>
      </c>
      <c r="G50" s="50">
        <f t="shared" si="1"/>
        <v>6800</v>
      </c>
      <c r="H50" s="22">
        <f t="shared" si="2"/>
        <v>1</v>
      </c>
      <c r="I50" s="51" t="s">
        <v>20</v>
      </c>
    </row>
    <row r="51" ht="25.5" customHeight="1">
      <c r="A51" s="282">
        <v>48.0</v>
      </c>
      <c r="B51" s="47">
        <v>1007207.0</v>
      </c>
      <c r="C51" s="283" t="str">
        <f>vlookup(B51,'Crew data for number'!B:C,2,0)</f>
        <v>TAA4044</v>
      </c>
      <c r="D51" s="284" t="str">
        <f>vlookup(B51,'Crew Data'!C:G,5,0)</f>
        <v>Sasiwan Nakate</v>
      </c>
      <c r="E51" s="267" t="s">
        <v>1574</v>
      </c>
      <c r="F51" s="47">
        <v>31.0</v>
      </c>
      <c r="G51" s="50">
        <f t="shared" si="1"/>
        <v>12400</v>
      </c>
      <c r="H51" s="22">
        <f t="shared" si="2"/>
        <v>1</v>
      </c>
      <c r="I51" s="51" t="s">
        <v>20</v>
      </c>
    </row>
    <row r="52" ht="25.5" customHeight="1">
      <c r="A52" s="282">
        <v>49.0</v>
      </c>
      <c r="B52" s="47">
        <v>1011518.0</v>
      </c>
      <c r="C52" s="283" t="str">
        <f>vlookup(B52,'Crew data for number'!B:C,2,0)</f>
        <v>TAA5736</v>
      </c>
      <c r="D52" s="284" t="str">
        <f>vlookup(B52,'Crew Data'!C:G,5,0)</f>
        <v>Wongsakorn Naokaew</v>
      </c>
      <c r="E52" s="267" t="s">
        <v>1574</v>
      </c>
      <c r="F52" s="47">
        <v>31.0</v>
      </c>
      <c r="G52" s="50">
        <f t="shared" si="1"/>
        <v>12400</v>
      </c>
      <c r="H52" s="22">
        <f t="shared" si="2"/>
        <v>1</v>
      </c>
      <c r="I52" s="51" t="s">
        <v>20</v>
      </c>
    </row>
    <row r="53" ht="25.5" customHeight="1">
      <c r="A53" s="54">
        <v>50.0</v>
      </c>
      <c r="B53" s="47">
        <v>1018977.0</v>
      </c>
      <c r="C53" s="283" t="str">
        <f>vlookup(B53,'Crew data for number'!B:C,2,0)</f>
        <v>TAA7835</v>
      </c>
      <c r="D53" s="284" t="str">
        <f>vlookup(B53,'Crew Data'!C:G,5,0)</f>
        <v>Ploypailin Chuntawong</v>
      </c>
      <c r="E53" s="267" t="s">
        <v>1574</v>
      </c>
      <c r="F53" s="47">
        <v>31.0</v>
      </c>
      <c r="G53" s="50">
        <f t="shared" si="1"/>
        <v>12400</v>
      </c>
      <c r="H53" s="22">
        <f t="shared" si="2"/>
        <v>1</v>
      </c>
      <c r="I53" s="51" t="s">
        <v>20</v>
      </c>
    </row>
    <row r="54" ht="25.5" customHeight="1">
      <c r="A54" s="282">
        <v>51.0</v>
      </c>
      <c r="B54" s="47">
        <v>1007016.0</v>
      </c>
      <c r="C54" s="283" t="str">
        <f>vlookup(B54,'Crew data for number'!B:C,2,0)</f>
        <v>TAA3956</v>
      </c>
      <c r="D54" s="284" t="str">
        <f>vlookup(B54,'Crew Data'!C:G,5,0)</f>
        <v>Sathita Pongsomran</v>
      </c>
      <c r="E54" s="267" t="s">
        <v>1574</v>
      </c>
      <c r="F54" s="47">
        <v>31.0</v>
      </c>
      <c r="G54" s="50">
        <f t="shared" si="1"/>
        <v>12400</v>
      </c>
      <c r="H54" s="22">
        <f t="shared" si="2"/>
        <v>1</v>
      </c>
      <c r="I54" s="51" t="s">
        <v>20</v>
      </c>
    </row>
    <row r="55" ht="25.5" customHeight="1">
      <c r="A55" s="282">
        <v>52.0</v>
      </c>
      <c r="B55" s="47">
        <v>1013190.0</v>
      </c>
      <c r="C55" s="283" t="str">
        <f>vlookup(B55,'Crew data for number'!B:C,2,0)</f>
        <v>TAA6381</v>
      </c>
      <c r="D55" s="284" t="str">
        <f>vlookup(B55,'Crew Data'!C:G,5,0)</f>
        <v>Thamonwan Chokumpornpan</v>
      </c>
      <c r="E55" s="267" t="s">
        <v>1574</v>
      </c>
      <c r="F55" s="47">
        <v>31.0</v>
      </c>
      <c r="G55" s="50">
        <f t="shared" si="1"/>
        <v>12400</v>
      </c>
      <c r="H55" s="22">
        <f t="shared" si="2"/>
        <v>1</v>
      </c>
      <c r="I55" s="51" t="s">
        <v>20</v>
      </c>
    </row>
    <row r="56" ht="25.5" customHeight="1">
      <c r="A56" s="282">
        <v>53.0</v>
      </c>
      <c r="B56" s="47">
        <v>1001312.0</v>
      </c>
      <c r="C56" s="283" t="str">
        <f>vlookup(B56,'Crew data for number'!B:C,2,0)</f>
        <v>TAA1289</v>
      </c>
      <c r="D56" s="284" t="str">
        <f>vlookup(B56,'Crew Data'!C:G,5,0)</f>
        <v>Rattanapat Rattanaviroj</v>
      </c>
      <c r="E56" s="267" t="s">
        <v>1582</v>
      </c>
      <c r="F56" s="47">
        <v>30.0</v>
      </c>
      <c r="G56" s="50">
        <f t="shared" si="1"/>
        <v>12000</v>
      </c>
      <c r="H56" s="22">
        <f t="shared" si="2"/>
        <v>1</v>
      </c>
      <c r="I56" s="51" t="s">
        <v>20</v>
      </c>
    </row>
    <row r="57" ht="25.5" customHeight="1">
      <c r="A57" s="54">
        <v>54.0</v>
      </c>
      <c r="B57" s="47">
        <v>1018535.0</v>
      </c>
      <c r="C57" s="283" t="str">
        <f>vlookup(B57,'Crew data for number'!B:C,2,0)</f>
        <v>TAA7767</v>
      </c>
      <c r="D57" s="284" t="str">
        <f>vlookup(B57,'Crew Data'!C:G,5,0)</f>
        <v>Nawapu Dontaolek</v>
      </c>
      <c r="E57" s="267" t="s">
        <v>1574</v>
      </c>
      <c r="F57" s="47">
        <v>31.0</v>
      </c>
      <c r="G57" s="50">
        <f t="shared" si="1"/>
        <v>12400</v>
      </c>
      <c r="H57" s="22">
        <f t="shared" si="2"/>
        <v>1</v>
      </c>
      <c r="I57" s="51" t="s">
        <v>20</v>
      </c>
    </row>
    <row r="58" ht="25.5" customHeight="1">
      <c r="A58" s="282">
        <v>55.0</v>
      </c>
      <c r="B58" s="47">
        <v>1006348.0</v>
      </c>
      <c r="C58" s="283" t="str">
        <f>vlookup(B58,'Crew data for number'!B:C,2,0)</f>
        <v>TAA3674</v>
      </c>
      <c r="D58" s="284" t="str">
        <f>vlookup(B58,'Crew Data'!C:G,5,0)</f>
        <v>#N/A</v>
      </c>
      <c r="E58" s="267" t="s">
        <v>1574</v>
      </c>
      <c r="F58" s="47">
        <v>31.0</v>
      </c>
      <c r="G58" s="50">
        <f t="shared" si="1"/>
        <v>12400</v>
      </c>
      <c r="H58" s="22">
        <f t="shared" si="2"/>
        <v>1</v>
      </c>
      <c r="I58" s="51" t="s">
        <v>20</v>
      </c>
    </row>
    <row r="59" ht="25.5" customHeight="1">
      <c r="A59" s="282">
        <v>56.0</v>
      </c>
      <c r="B59" s="47">
        <v>1014359.0</v>
      </c>
      <c r="C59" s="283" t="str">
        <f>vlookup(B59,'Crew data for number'!B:C,2,0)</f>
        <v>TAA6863</v>
      </c>
      <c r="D59" s="284" t="str">
        <f>vlookup(B59,'Crew Data'!C:G,5,0)</f>
        <v>Rattiporn Thongarch</v>
      </c>
      <c r="E59" s="267" t="s">
        <v>1583</v>
      </c>
      <c r="F59" s="47">
        <v>28.0</v>
      </c>
      <c r="G59" s="50">
        <f t="shared" si="1"/>
        <v>11200</v>
      </c>
      <c r="H59" s="22">
        <f t="shared" si="2"/>
        <v>1</v>
      </c>
      <c r="I59" s="51" t="s">
        <v>20</v>
      </c>
    </row>
    <row r="60" ht="25.5" customHeight="1">
      <c r="A60" s="282">
        <v>57.0</v>
      </c>
      <c r="B60" s="47">
        <v>1017643.0</v>
      </c>
      <c r="C60" s="283" t="str">
        <f>vlookup(B60,'Crew data for number'!B:C,2,0)</f>
        <v>TAA7526</v>
      </c>
      <c r="D60" s="284" t="str">
        <f>vlookup(B60,'Crew Data'!C:G,5,0)</f>
        <v>#N/A</v>
      </c>
      <c r="E60" s="267" t="s">
        <v>1568</v>
      </c>
      <c r="F60" s="47">
        <v>5.0</v>
      </c>
      <c r="G60" s="50">
        <f t="shared" si="1"/>
        <v>2000</v>
      </c>
      <c r="H60" s="22">
        <f t="shared" si="2"/>
        <v>1</v>
      </c>
      <c r="I60" s="51" t="s">
        <v>20</v>
      </c>
    </row>
    <row r="61" ht="25.5" customHeight="1">
      <c r="A61" s="54">
        <v>58.0</v>
      </c>
      <c r="B61" s="47">
        <v>1003386.0</v>
      </c>
      <c r="C61" s="283" t="str">
        <f>vlookup(B61,'Crew data for number'!B:C,2,0)</f>
        <v>TAA2424</v>
      </c>
      <c r="D61" s="284" t="str">
        <f>vlookup(B61,'Crew Data'!C:G,5,0)</f>
        <v>#N/A</v>
      </c>
      <c r="E61" s="267" t="s">
        <v>1584</v>
      </c>
      <c r="F61" s="47">
        <v>5.0</v>
      </c>
      <c r="G61" s="50">
        <f t="shared" si="1"/>
        <v>2000</v>
      </c>
      <c r="H61" s="22">
        <f t="shared" si="2"/>
        <v>1</v>
      </c>
      <c r="I61" s="51" t="s">
        <v>20</v>
      </c>
    </row>
    <row r="62" ht="25.5" customHeight="1">
      <c r="A62" s="282">
        <v>59.0</v>
      </c>
      <c r="B62" s="47">
        <v>1001036.0</v>
      </c>
      <c r="C62" s="283" t="str">
        <f>vlookup(B62,'Crew data for number'!B:C,2,0)</f>
        <v>TAA1073</v>
      </c>
      <c r="D62" s="284" t="str">
        <f>vlookup(B62,'Crew Data'!C:G,5,0)</f>
        <v>#N/A</v>
      </c>
      <c r="E62" s="267" t="s">
        <v>1585</v>
      </c>
      <c r="F62" s="47">
        <v>27.0</v>
      </c>
      <c r="G62" s="50">
        <f t="shared" si="1"/>
        <v>10800</v>
      </c>
      <c r="H62" s="22">
        <f t="shared" si="2"/>
        <v>1</v>
      </c>
      <c r="I62" s="51" t="s">
        <v>20</v>
      </c>
    </row>
    <row r="63" ht="25.5" customHeight="1">
      <c r="A63" s="282">
        <v>60.0</v>
      </c>
      <c r="B63" s="47">
        <v>1000341.0</v>
      </c>
      <c r="C63" s="283" t="str">
        <f>vlookup(B63,'Crew data for number'!B:C,2,0)</f>
        <v>TAA0231</v>
      </c>
      <c r="D63" s="284" t="str">
        <f>vlookup(B63,'Crew Data'!C:G,5,0)</f>
        <v>Nawatthaphorn Meechai</v>
      </c>
      <c r="E63" s="267" t="s">
        <v>1586</v>
      </c>
      <c r="F63" s="47">
        <v>30.0</v>
      </c>
      <c r="G63" s="50">
        <f t="shared" si="1"/>
        <v>12000</v>
      </c>
      <c r="H63" s="22">
        <f t="shared" si="2"/>
        <v>1</v>
      </c>
      <c r="I63" s="51" t="s">
        <v>20</v>
      </c>
    </row>
    <row r="64" ht="25.5" customHeight="1">
      <c r="A64" s="282">
        <v>61.0</v>
      </c>
      <c r="B64" s="47">
        <v>1009818.0</v>
      </c>
      <c r="C64" s="283" t="str">
        <f>vlookup(B64,'Crew data for number'!B:C,2,0)</f>
        <v>TAA5147</v>
      </c>
      <c r="D64" s="284" t="str">
        <f>vlookup(B64,'Crew Data'!C:G,5,0)</f>
        <v>#N/A</v>
      </c>
      <c r="E64" s="267" t="s">
        <v>1587</v>
      </c>
      <c r="F64" s="47">
        <v>29.0</v>
      </c>
      <c r="G64" s="50">
        <f t="shared" si="1"/>
        <v>11600</v>
      </c>
      <c r="H64" s="22">
        <f t="shared" si="2"/>
        <v>1</v>
      </c>
      <c r="I64" s="51" t="s">
        <v>20</v>
      </c>
    </row>
    <row r="65" ht="25.5" customHeight="1">
      <c r="A65" s="54">
        <v>62.0</v>
      </c>
      <c r="B65" s="47">
        <v>1012981.0</v>
      </c>
      <c r="C65" s="283" t="str">
        <f>vlookup(B65,'Crew data for number'!B:C,2,0)</f>
        <v>TAA6494</v>
      </c>
      <c r="D65" s="284" t="str">
        <f>vlookup(B65,'Crew Data'!C:G,5,0)</f>
        <v>Chinakrit Boonyapiwat</v>
      </c>
      <c r="E65" s="267" t="s">
        <v>1588</v>
      </c>
      <c r="F65" s="47">
        <v>28.0</v>
      </c>
      <c r="G65" s="50">
        <f t="shared" si="1"/>
        <v>11200</v>
      </c>
      <c r="H65" s="22">
        <f t="shared" si="2"/>
        <v>1</v>
      </c>
      <c r="I65" s="51" t="s">
        <v>20</v>
      </c>
    </row>
    <row r="66" ht="25.5" customHeight="1">
      <c r="A66" s="282">
        <v>63.0</v>
      </c>
      <c r="B66" s="47">
        <v>1004212.0</v>
      </c>
      <c r="C66" s="283" t="str">
        <f>vlookup(B66,'Crew data for number'!B:C,2,0)</f>
        <v>TAA2678</v>
      </c>
      <c r="D66" s="284" t="str">
        <f>vlookup(B66,'Crew Data'!C:G,5,0)</f>
        <v>Varisa Nimkasai</v>
      </c>
      <c r="E66" s="267" t="s">
        <v>1574</v>
      </c>
      <c r="F66" s="47">
        <v>31.0</v>
      </c>
      <c r="G66" s="50">
        <f t="shared" si="1"/>
        <v>12400</v>
      </c>
      <c r="H66" s="22">
        <f t="shared" si="2"/>
        <v>1</v>
      </c>
      <c r="I66" s="51" t="s">
        <v>20</v>
      </c>
    </row>
    <row r="67" ht="25.5" customHeight="1">
      <c r="A67" s="282">
        <v>64.0</v>
      </c>
      <c r="B67" s="47">
        <v>1006835.0</v>
      </c>
      <c r="C67" s="283" t="str">
        <f>vlookup(B67,'Crew data for number'!B:C,2,0)</f>
        <v>TAA3877</v>
      </c>
      <c r="D67" s="284" t="str">
        <f>vlookup(B67,'Crew Data'!C:G,5,0)</f>
        <v>Ketsaraporn Borvornmongkolsak</v>
      </c>
      <c r="E67" s="267" t="s">
        <v>1589</v>
      </c>
      <c r="F67" s="47">
        <v>26.0</v>
      </c>
      <c r="G67" s="50">
        <f t="shared" si="1"/>
        <v>10400</v>
      </c>
      <c r="H67" s="22">
        <f t="shared" si="2"/>
        <v>1</v>
      </c>
      <c r="I67" s="51" t="s">
        <v>20</v>
      </c>
    </row>
    <row r="68" ht="25.5" customHeight="1">
      <c r="A68" s="282">
        <v>65.0</v>
      </c>
      <c r="B68" s="47">
        <v>1012158.0</v>
      </c>
      <c r="C68" s="283" t="str">
        <f>vlookup(B68,'Crew data for number'!B:C,2,0)</f>
        <v>TAA5986</v>
      </c>
      <c r="D68" s="284" t="str">
        <f>vlookup(B68,'Crew Data'!C:G,5,0)</f>
        <v>Itthipong Khanthonglor</v>
      </c>
      <c r="E68" s="267" t="s">
        <v>1590</v>
      </c>
      <c r="F68" s="47">
        <v>26.0</v>
      </c>
      <c r="G68" s="50">
        <f t="shared" si="1"/>
        <v>10400</v>
      </c>
      <c r="H68" s="22">
        <f t="shared" si="2"/>
        <v>1</v>
      </c>
      <c r="I68" s="51" t="s">
        <v>20</v>
      </c>
    </row>
    <row r="69" ht="25.5" customHeight="1">
      <c r="A69" s="54">
        <v>66.0</v>
      </c>
      <c r="B69" s="47">
        <v>1012183.0</v>
      </c>
      <c r="C69" s="283" t="str">
        <f>vlookup(B69,'Crew data for number'!B:C,2,0)</f>
        <v>TAA5983</v>
      </c>
      <c r="D69" s="284" t="str">
        <f>vlookup(B69,'Crew Data'!C:G,5,0)</f>
        <v>Tatree Phakaew</v>
      </c>
      <c r="E69" s="267" t="s">
        <v>1591</v>
      </c>
      <c r="F69" s="47">
        <v>27.0</v>
      </c>
      <c r="G69" s="50">
        <f t="shared" si="1"/>
        <v>10800</v>
      </c>
      <c r="H69" s="22">
        <f t="shared" si="2"/>
        <v>1</v>
      </c>
      <c r="I69" s="51" t="s">
        <v>20</v>
      </c>
    </row>
    <row r="70" ht="25.5" customHeight="1">
      <c r="A70" s="282">
        <v>67.0</v>
      </c>
      <c r="B70" s="47">
        <v>1005762.0</v>
      </c>
      <c r="C70" s="283" t="str">
        <f>vlookup(B70,'Crew data for number'!B:C,2,0)</f>
        <v>TAA3387</v>
      </c>
      <c r="D70" s="284" t="str">
        <f>vlookup(B70,'Crew Data'!C:G,5,0)</f>
        <v>Photchara Srisuk</v>
      </c>
      <c r="E70" s="267" t="s">
        <v>1592</v>
      </c>
      <c r="F70" s="47">
        <v>3.0</v>
      </c>
      <c r="G70" s="50">
        <f t="shared" si="1"/>
        <v>1200</v>
      </c>
      <c r="H70" s="22">
        <f t="shared" si="2"/>
        <v>1</v>
      </c>
      <c r="I70" s="51" t="s">
        <v>20</v>
      </c>
    </row>
    <row r="71" ht="25.5" customHeight="1">
      <c r="A71" s="282">
        <v>68.0</v>
      </c>
      <c r="B71" s="47">
        <v>1014353.0</v>
      </c>
      <c r="C71" s="283" t="str">
        <f>vlookup(B71,'Crew data for number'!B:C,2,0)</f>
        <v>TAA6862</v>
      </c>
      <c r="D71" s="284" t="str">
        <f>vlookup(B71,'Crew Data'!C:G,5,0)</f>
        <v>Pornnapat Kittimontreechai</v>
      </c>
      <c r="E71" s="267" t="s">
        <v>1593</v>
      </c>
      <c r="F71" s="47">
        <v>29.0</v>
      </c>
      <c r="G71" s="50">
        <f t="shared" si="1"/>
        <v>11600</v>
      </c>
      <c r="H71" s="22">
        <f t="shared" si="2"/>
        <v>1</v>
      </c>
      <c r="I71" s="51" t="s">
        <v>20</v>
      </c>
    </row>
    <row r="72" ht="25.5" customHeight="1">
      <c r="A72" s="282">
        <v>69.0</v>
      </c>
      <c r="B72" s="47">
        <v>1014670.0</v>
      </c>
      <c r="C72" s="283" t="str">
        <f>vlookup(B72,'Crew data for number'!B:C,2,0)</f>
        <v>TAA7086</v>
      </c>
      <c r="D72" s="284" t="str">
        <f>vlookup(B72,'Crew Data'!C:G,5,0)</f>
        <v>Napapat Suwannawong</v>
      </c>
      <c r="E72" s="267" t="s">
        <v>1574</v>
      </c>
      <c r="F72" s="47">
        <v>31.0</v>
      </c>
      <c r="G72" s="50">
        <f t="shared" si="1"/>
        <v>12400</v>
      </c>
      <c r="H72" s="22">
        <f t="shared" si="2"/>
        <v>1</v>
      </c>
      <c r="I72" s="51" t="s">
        <v>20</v>
      </c>
    </row>
    <row r="73" ht="25.5" customHeight="1">
      <c r="A73" s="54">
        <v>70.0</v>
      </c>
      <c r="B73" s="47">
        <v>1009768.0</v>
      </c>
      <c r="C73" s="283" t="str">
        <f>vlookup(B73,'Crew data for number'!B:C,2,0)</f>
        <v>TAA5135</v>
      </c>
      <c r="D73" s="284" t="str">
        <f>vlookup(B73,'Crew Data'!C:G,5,0)</f>
        <v>Thidech Eakmongkollert</v>
      </c>
      <c r="E73" s="267" t="s">
        <v>1583</v>
      </c>
      <c r="F73" s="47">
        <v>28.0</v>
      </c>
      <c r="G73" s="50">
        <f t="shared" si="1"/>
        <v>11200</v>
      </c>
      <c r="H73" s="22">
        <f t="shared" si="2"/>
        <v>1</v>
      </c>
      <c r="I73" s="51" t="s">
        <v>20</v>
      </c>
    </row>
    <row r="74" ht="25.5" customHeight="1">
      <c r="A74" s="282">
        <v>71.0</v>
      </c>
      <c r="B74" s="47">
        <v>1018530.0</v>
      </c>
      <c r="C74" s="283" t="str">
        <f>vlookup(B74,'Crew data for number'!B:C,2,0)</f>
        <v>TAA7750</v>
      </c>
      <c r="D74" s="284" t="str">
        <f>vlookup(B74,'Crew Data'!C:G,5,0)</f>
        <v>Chaniporn Thanaworrapak</v>
      </c>
      <c r="E74" s="267" t="s">
        <v>1574</v>
      </c>
      <c r="F74" s="47">
        <v>31.0</v>
      </c>
      <c r="G74" s="50">
        <f t="shared" si="1"/>
        <v>12400</v>
      </c>
      <c r="H74" s="22">
        <f t="shared" si="2"/>
        <v>1</v>
      </c>
      <c r="I74" s="51" t="s">
        <v>20</v>
      </c>
    </row>
    <row r="75" ht="25.5" customHeight="1">
      <c r="A75" s="282">
        <v>72.0</v>
      </c>
      <c r="B75" s="47">
        <v>1002370.0</v>
      </c>
      <c r="C75" s="283" t="str">
        <f>vlookup(B75,'Crew data for number'!B:C,2,0)</f>
        <v>TAA1963</v>
      </c>
      <c r="D75" s="284" t="str">
        <f>vlookup(B75,'Crew Data'!C:G,5,0)</f>
        <v>Napaphat Yuktanan</v>
      </c>
      <c r="E75" s="267" t="s">
        <v>1594</v>
      </c>
      <c r="F75" s="47">
        <v>26.0</v>
      </c>
      <c r="G75" s="50">
        <f t="shared" si="1"/>
        <v>10400</v>
      </c>
      <c r="H75" s="22">
        <f t="shared" si="2"/>
        <v>1</v>
      </c>
      <c r="I75" s="51" t="s">
        <v>20</v>
      </c>
    </row>
    <row r="76" ht="25.5" customHeight="1">
      <c r="A76" s="282">
        <v>73.0</v>
      </c>
      <c r="B76" s="47">
        <v>1010897.0</v>
      </c>
      <c r="C76" s="283" t="str">
        <f>vlookup(B76,'Crew data for number'!B:C,2,0)</f>
        <v>TAA5524</v>
      </c>
      <c r="D76" s="284" t="str">
        <f>vlookup(B76,'Crew Data'!C:G,5,0)</f>
        <v>Natcharee Wisespun</v>
      </c>
      <c r="E76" s="267" t="s">
        <v>1595</v>
      </c>
      <c r="F76" s="47">
        <v>29.0</v>
      </c>
      <c r="G76" s="50">
        <f t="shared" si="1"/>
        <v>11600</v>
      </c>
      <c r="H76" s="22">
        <f t="shared" si="2"/>
        <v>1</v>
      </c>
      <c r="I76" s="51" t="s">
        <v>20</v>
      </c>
    </row>
    <row r="77" ht="25.5" customHeight="1">
      <c r="A77" s="54">
        <v>74.0</v>
      </c>
      <c r="B77" s="47">
        <v>1014683.0</v>
      </c>
      <c r="C77" s="283" t="str">
        <f>vlookup(B77,'Crew data for number'!B:C,2,0)</f>
        <v>TAA7080</v>
      </c>
      <c r="D77" s="284" t="str">
        <f>vlookup(B77,'Crew Data'!C:G,5,0)</f>
        <v>Trin Supredanuwat</v>
      </c>
      <c r="E77" s="267" t="s">
        <v>1574</v>
      </c>
      <c r="F77" s="47">
        <v>31.0</v>
      </c>
      <c r="G77" s="50">
        <f t="shared" si="1"/>
        <v>12400</v>
      </c>
      <c r="H77" s="22">
        <f t="shared" si="2"/>
        <v>1</v>
      </c>
      <c r="I77" s="51" t="s">
        <v>20</v>
      </c>
    </row>
    <row r="78" ht="25.5" customHeight="1">
      <c r="A78" s="282">
        <v>75.0</v>
      </c>
      <c r="B78" s="47">
        <v>1012188.0</v>
      </c>
      <c r="C78" s="283" t="str">
        <f>vlookup(B78,'Crew data for number'!B:C,2,0)</f>
        <v>TAA6172</v>
      </c>
      <c r="D78" s="284" t="str">
        <f>vlookup(B78,'Crew Data'!C:G,5,0)</f>
        <v>Warut Sritham</v>
      </c>
      <c r="E78" s="267" t="s">
        <v>1564</v>
      </c>
      <c r="F78" s="47">
        <v>2.0</v>
      </c>
      <c r="G78" s="50">
        <f t="shared" si="1"/>
        <v>800</v>
      </c>
      <c r="H78" s="22">
        <f t="shared" si="2"/>
        <v>1</v>
      </c>
      <c r="I78" s="51" t="s">
        <v>20</v>
      </c>
    </row>
    <row r="79" ht="25.5" customHeight="1">
      <c r="A79" s="282">
        <v>76.0</v>
      </c>
      <c r="B79" s="47">
        <v>1003398.0</v>
      </c>
      <c r="C79" s="283" t="str">
        <f>vlookup(B79,'Crew data for number'!B:C,2,0)</f>
        <v>TAA2388</v>
      </c>
      <c r="D79" s="284" t="str">
        <f>vlookup(B79,'Crew Data'!C:G,5,0)</f>
        <v>Netchaya Namarsa</v>
      </c>
      <c r="E79" s="267" t="s">
        <v>1553</v>
      </c>
      <c r="F79" s="47">
        <v>3.0</v>
      </c>
      <c r="G79" s="50">
        <f t="shared" si="1"/>
        <v>1200</v>
      </c>
      <c r="H79" s="22">
        <f t="shared" si="2"/>
        <v>1</v>
      </c>
      <c r="I79" s="51" t="s">
        <v>20</v>
      </c>
    </row>
    <row r="80" ht="25.5" customHeight="1">
      <c r="A80" s="282">
        <v>77.0</v>
      </c>
      <c r="B80" s="47">
        <v>1015408.0</v>
      </c>
      <c r="C80" s="283" t="str">
        <f>vlookup(B80,'Crew data for number'!B:C,2,0)</f>
        <v>TAA7057</v>
      </c>
      <c r="D80" s="284" t="str">
        <f>vlookup(B80,'Crew Data'!C:G,5,0)</f>
        <v>Pornpimol Chorruengsak</v>
      </c>
      <c r="E80" s="267" t="s">
        <v>1596</v>
      </c>
      <c r="F80" s="47">
        <v>27.0</v>
      </c>
      <c r="G80" s="50">
        <f t="shared" si="1"/>
        <v>10800</v>
      </c>
      <c r="H80" s="22">
        <f t="shared" si="2"/>
        <v>1</v>
      </c>
      <c r="I80" s="51" t="s">
        <v>20</v>
      </c>
    </row>
    <row r="81" ht="25.5" customHeight="1">
      <c r="A81" s="54">
        <v>78.0</v>
      </c>
      <c r="B81" s="47">
        <v>1008754.0</v>
      </c>
      <c r="C81" s="283" t="str">
        <f>vlookup(B81,'Crew data for number'!B:C,2,0)</f>
        <v>TAA4751</v>
      </c>
      <c r="D81" s="284" t="str">
        <f>vlookup(B81,'Crew Data'!C:G,5,0)</f>
        <v>Pimlapas Tanapatpongsapas</v>
      </c>
      <c r="E81" s="267" t="s">
        <v>1597</v>
      </c>
      <c r="F81" s="47">
        <v>27.0</v>
      </c>
      <c r="G81" s="50">
        <f t="shared" si="1"/>
        <v>10800</v>
      </c>
      <c r="H81" s="22">
        <f t="shared" si="2"/>
        <v>1</v>
      </c>
      <c r="I81" s="51" t="s">
        <v>20</v>
      </c>
    </row>
    <row r="82" ht="25.5" customHeight="1">
      <c r="A82" s="282">
        <v>79.0</v>
      </c>
      <c r="B82" s="47">
        <v>1006593.0</v>
      </c>
      <c r="C82" s="283" t="str">
        <f>vlookup(B82,'Crew data for number'!B:C,2,0)</f>
        <v>TAA4279</v>
      </c>
      <c r="D82" s="284" t="str">
        <f>vlookup(B82,'Crew Data'!C:G,5,0)</f>
        <v>Bhataranan Tanaree</v>
      </c>
      <c r="E82" s="267" t="s">
        <v>1598</v>
      </c>
      <c r="F82" s="47">
        <v>30.0</v>
      </c>
      <c r="G82" s="50">
        <f t="shared" si="1"/>
        <v>12000</v>
      </c>
      <c r="H82" s="22">
        <f t="shared" si="2"/>
        <v>1</v>
      </c>
      <c r="I82" s="51" t="s">
        <v>20</v>
      </c>
    </row>
    <row r="83" ht="25.5" customHeight="1">
      <c r="A83" s="282">
        <v>80.0</v>
      </c>
      <c r="B83" s="47">
        <v>1018529.0</v>
      </c>
      <c r="C83" s="283" t="str">
        <f>vlookup(B83,'Crew data for number'!B:C,2,0)</f>
        <v>TAA7769</v>
      </c>
      <c r="D83" s="284" t="str">
        <f>vlookup(B83,'Crew Data'!C:G,5,0)</f>
        <v>Apichaya Bureesri</v>
      </c>
      <c r="E83" s="267" t="s">
        <v>1599</v>
      </c>
      <c r="F83" s="47">
        <v>26.0</v>
      </c>
      <c r="G83" s="50">
        <f t="shared" si="1"/>
        <v>10400</v>
      </c>
      <c r="H83" s="22">
        <f t="shared" si="2"/>
        <v>1</v>
      </c>
      <c r="I83" s="51" t="s">
        <v>20</v>
      </c>
    </row>
    <row r="84" ht="25.5" customHeight="1">
      <c r="A84" s="282">
        <v>81.0</v>
      </c>
      <c r="B84" s="47">
        <v>1015395.0</v>
      </c>
      <c r="C84" s="283" t="str">
        <f>vlookup(B84,'Crew data for number'!B:C,2,0)</f>
        <v>TAA7059</v>
      </c>
      <c r="D84" s="284" t="str">
        <f>vlookup(B84,'Crew Data'!C:G,5,0)</f>
        <v>#N/A</v>
      </c>
      <c r="E84" s="267" t="s">
        <v>1574</v>
      </c>
      <c r="F84" s="47">
        <v>31.0</v>
      </c>
      <c r="G84" s="50">
        <f t="shared" si="1"/>
        <v>12400</v>
      </c>
      <c r="H84" s="22">
        <f t="shared" si="2"/>
        <v>1</v>
      </c>
      <c r="I84" s="51" t="s">
        <v>20</v>
      </c>
    </row>
    <row r="85" ht="25.5" customHeight="1">
      <c r="A85" s="54">
        <v>82.0</v>
      </c>
      <c r="B85" s="47">
        <v>1023595.0</v>
      </c>
      <c r="C85" s="283" t="str">
        <f>vlookup(B85,'Crew data for number'!B:C,2,0)</f>
        <v/>
      </c>
      <c r="D85" s="284" t="str">
        <f>vlookup(B85,'Crew Data'!C:G,5,0)</f>
        <v>Kanokpan Tongnu</v>
      </c>
      <c r="E85" s="267" t="s">
        <v>1600</v>
      </c>
      <c r="F85" s="47">
        <v>26.0</v>
      </c>
      <c r="G85" s="50">
        <f t="shared" si="1"/>
        <v>10400</v>
      </c>
      <c r="H85" s="22">
        <f t="shared" si="2"/>
        <v>1</v>
      </c>
      <c r="I85" s="51" t="s">
        <v>20</v>
      </c>
    </row>
    <row r="86" ht="25.5" customHeight="1">
      <c r="A86" s="282">
        <v>83.0</v>
      </c>
      <c r="B86" s="47">
        <v>1016197.0</v>
      </c>
      <c r="C86" s="283" t="str">
        <f>vlookup(B86,'Crew data for number'!B:C,2,0)</f>
        <v>TAA7284</v>
      </c>
      <c r="D86" s="284" t="str">
        <f>vlookup(B86,'Crew Data'!C:G,5,0)</f>
        <v>Kornchanok Ruamsanit</v>
      </c>
      <c r="E86" s="267" t="s">
        <v>1601</v>
      </c>
      <c r="F86" s="47">
        <v>28.0</v>
      </c>
      <c r="G86" s="50">
        <f t="shared" si="1"/>
        <v>11200</v>
      </c>
      <c r="H86" s="22">
        <f t="shared" si="2"/>
        <v>1</v>
      </c>
      <c r="I86" s="51" t="s">
        <v>20</v>
      </c>
    </row>
    <row r="87" ht="25.5" customHeight="1">
      <c r="A87" s="282">
        <v>84.0</v>
      </c>
      <c r="B87" s="47">
        <v>1018532.0</v>
      </c>
      <c r="C87" s="283" t="str">
        <f>vlookup(B87,'Crew data for number'!B:C,2,0)</f>
        <v>TAA7753</v>
      </c>
      <c r="D87" s="284" t="str">
        <f>vlookup(B87,'Crew Data'!C:G,5,0)</f>
        <v>Kantachet Boonserm</v>
      </c>
      <c r="E87" s="267" t="s">
        <v>1574</v>
      </c>
      <c r="F87" s="47">
        <v>31.0</v>
      </c>
      <c r="G87" s="50">
        <f t="shared" si="1"/>
        <v>12400</v>
      </c>
      <c r="H87" s="22">
        <f t="shared" si="2"/>
        <v>1</v>
      </c>
      <c r="I87" s="51" t="s">
        <v>20</v>
      </c>
    </row>
    <row r="88" ht="25.5" customHeight="1">
      <c r="A88" s="282">
        <v>85.0</v>
      </c>
      <c r="B88" s="47">
        <v>1007013.0</v>
      </c>
      <c r="C88" s="283" t="str">
        <f>vlookup(B88,'Crew data for number'!B:C,2,0)</f>
        <v>TAA3972</v>
      </c>
      <c r="D88" s="284" t="str">
        <f>vlookup(B88,'Crew Data'!C:G,5,0)</f>
        <v>Pattamaporn Thamasathitporn</v>
      </c>
      <c r="E88" s="267" t="s">
        <v>1602</v>
      </c>
      <c r="F88" s="47">
        <v>29.0</v>
      </c>
      <c r="G88" s="50">
        <f t="shared" si="1"/>
        <v>11600</v>
      </c>
      <c r="H88" s="22">
        <f t="shared" si="2"/>
        <v>1</v>
      </c>
      <c r="I88" s="51" t="s">
        <v>20</v>
      </c>
    </row>
    <row r="89" ht="25.5" customHeight="1">
      <c r="A89" s="54">
        <v>86.0</v>
      </c>
      <c r="B89" s="47">
        <v>1014680.0</v>
      </c>
      <c r="C89" s="283" t="str">
        <f>vlookup(B89,'Crew data for number'!B:C,2,0)</f>
        <v>TAA7096</v>
      </c>
      <c r="D89" s="284" t="str">
        <f>vlookup(B89,'Crew Data'!C:G,5,0)</f>
        <v>Sutaros Lompoonsuk</v>
      </c>
      <c r="E89" s="267" t="s">
        <v>1603</v>
      </c>
      <c r="F89" s="47">
        <v>28.0</v>
      </c>
      <c r="G89" s="50">
        <f t="shared" si="1"/>
        <v>11200</v>
      </c>
      <c r="H89" s="22">
        <f t="shared" si="2"/>
        <v>1</v>
      </c>
      <c r="I89" s="51" t="s">
        <v>20</v>
      </c>
    </row>
    <row r="90" ht="25.5" customHeight="1">
      <c r="A90" s="282">
        <v>87.0</v>
      </c>
      <c r="B90" s="47">
        <v>1019403.0</v>
      </c>
      <c r="C90" s="283" t="str">
        <f>vlookup(B90,'Crew data for number'!B:C,2,0)</f>
        <v>TAA7927</v>
      </c>
      <c r="D90" s="284" t="str">
        <f>vlookup(B90,'Crew Data'!C:G,5,0)</f>
        <v>#N/A</v>
      </c>
      <c r="E90" s="267" t="s">
        <v>1574</v>
      </c>
      <c r="F90" s="47">
        <v>31.0</v>
      </c>
      <c r="G90" s="50">
        <f t="shared" si="1"/>
        <v>12400</v>
      </c>
      <c r="H90" s="22">
        <f t="shared" si="2"/>
        <v>1</v>
      </c>
      <c r="I90" s="51" t="s">
        <v>20</v>
      </c>
    </row>
    <row r="91" ht="25.5" customHeight="1">
      <c r="A91" s="282">
        <v>88.0</v>
      </c>
      <c r="B91" s="47">
        <v>1004757.0</v>
      </c>
      <c r="C91" s="283" t="str">
        <f>vlookup(B91,'Crew data for number'!B:C,2,0)</f>
        <v>TAA2967</v>
      </c>
      <c r="D91" s="284" t="str">
        <f>vlookup(B91,'Crew Data'!C:G,5,0)</f>
        <v>Pimwaree Makmee</v>
      </c>
      <c r="E91" s="267" t="s">
        <v>1598</v>
      </c>
      <c r="F91" s="47">
        <v>30.0</v>
      </c>
      <c r="G91" s="50">
        <f t="shared" si="1"/>
        <v>12000</v>
      </c>
      <c r="H91" s="22">
        <f t="shared" si="2"/>
        <v>1</v>
      </c>
      <c r="I91" s="51" t="s">
        <v>20</v>
      </c>
    </row>
    <row r="92" ht="25.5" customHeight="1">
      <c r="A92" s="282">
        <v>89.0</v>
      </c>
      <c r="B92" s="47">
        <v>1011307.0</v>
      </c>
      <c r="C92" s="283" t="str">
        <f>vlookup(B92,'Crew data for number'!B:C,2,0)</f>
        <v>TAA5578</v>
      </c>
      <c r="D92" s="284" t="str">
        <f>vlookup(B92,'Crew Data'!C:G,5,0)</f>
        <v>Munnanicha Sarakong</v>
      </c>
      <c r="E92" s="267" t="s">
        <v>1567</v>
      </c>
      <c r="F92" s="47">
        <v>3.0</v>
      </c>
      <c r="G92" s="50">
        <f t="shared" si="1"/>
        <v>1200</v>
      </c>
      <c r="H92" s="22">
        <f t="shared" si="2"/>
        <v>1</v>
      </c>
      <c r="I92" s="51" t="s">
        <v>20</v>
      </c>
    </row>
    <row r="93" ht="25.5" customHeight="1">
      <c r="A93" s="54">
        <v>90.0</v>
      </c>
      <c r="B93" s="47">
        <v>1012359.0</v>
      </c>
      <c r="C93" s="283" t="str">
        <f>vlookup(B93,'Crew data for number'!B:C,2,0)</f>
        <v>TAA6123</v>
      </c>
      <c r="D93" s="284" t="str">
        <f>vlookup(B93,'Crew Data'!C:G,5,0)</f>
        <v>Kotchakon Kanchanamethakul</v>
      </c>
      <c r="E93" s="267" t="s">
        <v>1604</v>
      </c>
      <c r="F93" s="47">
        <v>30.0</v>
      </c>
      <c r="G93" s="50">
        <f t="shared" si="1"/>
        <v>12000</v>
      </c>
      <c r="H93" s="22">
        <f t="shared" si="2"/>
        <v>1</v>
      </c>
      <c r="I93" s="51" t="s">
        <v>20</v>
      </c>
    </row>
    <row r="94" ht="25.5" customHeight="1">
      <c r="A94" s="282">
        <v>91.0</v>
      </c>
      <c r="B94" s="47">
        <v>1007336.0</v>
      </c>
      <c r="C94" s="283" t="str">
        <f>vlookup(B94,'Crew data for number'!B:C,2,0)</f>
        <v>TAA4060</v>
      </c>
      <c r="D94" s="284" t="str">
        <f>vlookup(B94,'Crew Data'!C:G,5,0)</f>
        <v>#N/A</v>
      </c>
      <c r="E94" s="267" t="s">
        <v>1605</v>
      </c>
      <c r="F94" s="47">
        <v>30.0</v>
      </c>
      <c r="G94" s="50">
        <f t="shared" si="1"/>
        <v>12000</v>
      </c>
      <c r="H94" s="22">
        <f t="shared" si="2"/>
        <v>1</v>
      </c>
      <c r="I94" s="51" t="s">
        <v>20</v>
      </c>
    </row>
    <row r="95" ht="25.5" customHeight="1">
      <c r="A95" s="282">
        <v>92.0</v>
      </c>
      <c r="B95" s="47">
        <v>1012908.0</v>
      </c>
      <c r="C95" s="283" t="str">
        <f>vlookup(B95,'Crew data for number'!B:C,2,0)</f>
        <v>TAA6368</v>
      </c>
      <c r="D95" s="284" t="str">
        <f>vlookup(B95,'Crew Data'!C:G,5,0)</f>
        <v>Worakamol Tiamboonprasert</v>
      </c>
      <c r="E95" s="267" t="s">
        <v>1598</v>
      </c>
      <c r="F95" s="47">
        <v>30.0</v>
      </c>
      <c r="G95" s="50">
        <f t="shared" si="1"/>
        <v>12000</v>
      </c>
      <c r="H95" s="22">
        <f t="shared" si="2"/>
        <v>1</v>
      </c>
      <c r="I95" s="51" t="s">
        <v>20</v>
      </c>
    </row>
    <row r="96" ht="25.5" customHeight="1">
      <c r="A96" s="282">
        <v>93.0</v>
      </c>
      <c r="B96" s="47">
        <v>1001308.0</v>
      </c>
      <c r="C96" s="283" t="str">
        <f>vlookup(B96,'Crew data for number'!B:C,2,0)</f>
        <v>TAA1309</v>
      </c>
      <c r="D96" s="284" t="str">
        <f>vlookup(B96,'Crew Data'!C:G,5,0)</f>
        <v>Kittisak Issaro</v>
      </c>
      <c r="E96" s="267" t="s">
        <v>1606</v>
      </c>
      <c r="F96" s="47">
        <v>8.0</v>
      </c>
      <c r="G96" s="50">
        <f t="shared" si="1"/>
        <v>3200</v>
      </c>
      <c r="H96" s="22">
        <f t="shared" si="2"/>
        <v>1</v>
      </c>
      <c r="I96" s="51" t="s">
        <v>20</v>
      </c>
    </row>
    <row r="97" ht="15.0" customHeight="1">
      <c r="A97" s="289"/>
      <c r="B97" s="289"/>
      <c r="C97" s="289"/>
      <c r="D97" s="289"/>
      <c r="E97" s="289"/>
      <c r="F97" s="289"/>
      <c r="G97" s="289"/>
      <c r="H97" s="289"/>
      <c r="I97" s="289"/>
      <c r="J97" s="289"/>
      <c r="K97" s="289"/>
      <c r="L97" s="289"/>
      <c r="M97" s="289"/>
      <c r="N97" s="289"/>
      <c r="O97" s="289"/>
      <c r="P97" s="289"/>
      <c r="Q97" s="289"/>
      <c r="R97" s="289"/>
      <c r="S97" s="289"/>
      <c r="T97" s="289"/>
      <c r="U97" s="289"/>
      <c r="V97" s="289"/>
      <c r="W97" s="289"/>
      <c r="X97" s="289"/>
      <c r="Y97" s="289"/>
      <c r="Z97" s="289"/>
      <c r="AA97" s="289"/>
    </row>
    <row r="98" ht="25.5" customHeight="1">
      <c r="A98" s="265" t="s">
        <v>1183</v>
      </c>
      <c r="B98" s="252"/>
      <c r="C98" s="253"/>
    </row>
    <row r="99" ht="25.5" customHeight="1">
      <c r="A99" s="254" t="s">
        <v>1153</v>
      </c>
      <c r="B99" s="255" t="s">
        <v>1154</v>
      </c>
      <c r="C99" s="256" t="s">
        <v>1155</v>
      </c>
    </row>
    <row r="100" ht="25.5" customHeight="1">
      <c r="A100" s="257" t="s">
        <v>1156</v>
      </c>
      <c r="B100" s="258" t="s">
        <v>1157</v>
      </c>
      <c r="C100" s="259" t="s">
        <v>1158</v>
      </c>
    </row>
    <row r="101" ht="25.5" customHeight="1">
      <c r="A101" s="257" t="s">
        <v>1159</v>
      </c>
      <c r="B101" s="258" t="s">
        <v>1157</v>
      </c>
      <c r="C101" s="259" t="s">
        <v>1158</v>
      </c>
    </row>
    <row r="102" ht="25.5" customHeight="1">
      <c r="A102" s="257" t="s">
        <v>1160</v>
      </c>
      <c r="B102" s="260" t="s">
        <v>1157</v>
      </c>
      <c r="C102" s="259" t="s">
        <v>1158</v>
      </c>
    </row>
    <row r="103" ht="25.5" customHeight="1">
      <c r="A103" s="31"/>
      <c r="B103" s="31"/>
      <c r="C103" s="31"/>
    </row>
    <row r="104" ht="25.5" customHeight="1">
      <c r="A104" s="261" t="s">
        <v>1607</v>
      </c>
      <c r="B104" s="262"/>
      <c r="C104" s="31"/>
    </row>
    <row r="105" ht="25.5" customHeight="1"/>
    <row r="106" ht="25.5" customHeight="1"/>
    <row r="107" ht="25.5" customHeight="1"/>
    <row r="108" ht="25.5" customHeight="1"/>
    <row r="109" ht="25.5" customHeight="1"/>
    <row r="110" ht="25.5" customHeight="1"/>
    <row r="111" ht="25.5" customHeight="1"/>
    <row r="112" ht="25.5" customHeight="1"/>
    <row r="113" ht="25.5" customHeight="1"/>
    <row r="114" ht="25.5" customHeight="1"/>
    <row r="115" ht="25.5" customHeight="1"/>
    <row r="116" ht="25.5" customHeight="1"/>
    <row r="117" ht="25.5" customHeight="1"/>
    <row r="118" ht="25.5" customHeight="1"/>
    <row r="119" ht="25.5" customHeight="1"/>
    <row r="120" ht="25.5" customHeight="1"/>
    <row r="121" ht="25.5" customHeight="1"/>
    <row r="122" ht="25.5" customHeight="1"/>
    <row r="123" ht="25.5" customHeight="1"/>
    <row r="124" ht="25.5" customHeight="1"/>
    <row r="125" ht="25.5" customHeight="1"/>
    <row r="126" ht="25.5" customHeight="1"/>
    <row r="127" ht="25.5" customHeight="1"/>
    <row r="128" ht="25.5" customHeight="1"/>
    <row r="129" ht="25.5" customHeight="1"/>
    <row r="130" ht="25.5" customHeight="1"/>
    <row r="131" ht="25.5" customHeight="1"/>
    <row r="132" ht="25.5" customHeight="1"/>
    <row r="133" ht="25.5" customHeight="1"/>
    <row r="134" ht="25.5" customHeight="1"/>
    <row r="135" ht="25.5" customHeight="1"/>
    <row r="136" ht="25.5" customHeight="1"/>
    <row r="137" ht="25.5" customHeight="1"/>
    <row r="138" ht="25.5" customHeight="1"/>
    <row r="139" ht="25.5" customHeight="1"/>
    <row r="140" ht="25.5" customHeight="1"/>
    <row r="141" ht="25.5" customHeight="1"/>
    <row r="142" ht="25.5" customHeight="1"/>
    <row r="143" ht="25.5" customHeight="1"/>
    <row r="144" ht="25.5" customHeight="1"/>
    <row r="145" ht="25.5" customHeight="1"/>
    <row r="146" ht="25.5" customHeight="1"/>
    <row r="147" ht="25.5" customHeight="1"/>
    <row r="148" ht="25.5" customHeight="1"/>
    <row r="149" ht="25.5" customHeight="1"/>
    <row r="150" ht="25.5" customHeight="1"/>
    <row r="151" ht="25.5" customHeight="1"/>
    <row r="152" ht="25.5" customHeight="1"/>
    <row r="153" ht="25.5" customHeight="1"/>
    <row r="154" ht="25.5" customHeight="1"/>
    <row r="155" ht="25.5" customHeight="1"/>
    <row r="156" ht="25.5" customHeight="1"/>
    <row r="157" ht="25.5" customHeight="1"/>
    <row r="158" ht="25.5" customHeight="1"/>
    <row r="159" ht="25.5" customHeight="1"/>
    <row r="160" ht="25.5" customHeight="1"/>
    <row r="161" ht="25.5" customHeight="1"/>
    <row r="162" ht="25.5" customHeight="1"/>
    <row r="163" ht="25.5" customHeight="1"/>
    <row r="164" ht="25.5" customHeight="1"/>
    <row r="165" ht="25.5" customHeight="1"/>
    <row r="166" ht="25.5" customHeight="1"/>
    <row r="167" ht="25.5" customHeight="1"/>
    <row r="168" ht="25.5" customHeight="1"/>
    <row r="169" ht="25.5" customHeight="1"/>
    <row r="170" ht="25.5" customHeight="1"/>
    <row r="171" ht="25.5" customHeight="1"/>
    <row r="172" ht="25.5" customHeight="1"/>
    <row r="173" ht="25.5" customHeight="1"/>
    <row r="174" ht="25.5" customHeight="1"/>
    <row r="175" ht="25.5" customHeight="1"/>
    <row r="176" ht="25.5" customHeight="1"/>
    <row r="177" ht="25.5" customHeight="1"/>
    <row r="178" ht="25.5" customHeight="1"/>
    <row r="179" ht="25.5" customHeight="1"/>
    <row r="180" ht="25.5" customHeight="1"/>
    <row r="181" ht="25.5" customHeight="1"/>
    <row r="182" ht="25.5" customHeight="1"/>
    <row r="183" ht="25.5" customHeight="1"/>
    <row r="184" ht="25.5" customHeight="1"/>
    <row r="185" ht="25.5" customHeight="1"/>
    <row r="186" ht="25.5" customHeight="1"/>
    <row r="187" ht="25.5" customHeight="1"/>
    <row r="188" ht="25.5" customHeight="1"/>
    <row r="189" ht="25.5" customHeight="1"/>
    <row r="190" ht="25.5" customHeight="1"/>
    <row r="191" ht="25.5" customHeight="1"/>
    <row r="192" ht="25.5" customHeight="1"/>
    <row r="193" ht="25.5" customHeight="1"/>
    <row r="194" ht="25.5" customHeight="1"/>
    <row r="195" ht="25.5" customHeight="1"/>
    <row r="196" ht="25.5" customHeight="1"/>
    <row r="197" ht="25.5" customHeight="1"/>
    <row r="198" ht="25.5" customHeight="1"/>
    <row r="199" ht="25.5" customHeight="1"/>
    <row r="200" ht="25.5" customHeight="1"/>
    <row r="201" ht="25.5" customHeight="1"/>
    <row r="202" ht="25.5" customHeight="1"/>
    <row r="203" ht="25.5" customHeight="1"/>
    <row r="204" ht="25.5" customHeight="1"/>
    <row r="205" ht="25.5" customHeight="1"/>
    <row r="206" ht="25.5" customHeight="1"/>
    <row r="207" ht="25.5" customHeight="1"/>
    <row r="208" ht="25.5" customHeight="1"/>
    <row r="209" ht="25.5" customHeight="1"/>
    <row r="210" ht="25.5" customHeight="1"/>
    <row r="211" ht="25.5" customHeight="1"/>
    <row r="212" ht="25.5" customHeight="1"/>
    <row r="213" ht="25.5" customHeight="1"/>
    <row r="214" ht="25.5" customHeight="1"/>
    <row r="215" ht="25.5" customHeight="1"/>
    <row r="216" ht="25.5" customHeight="1"/>
    <row r="217" ht="25.5" customHeight="1"/>
    <row r="218" ht="25.5" customHeight="1"/>
    <row r="219" ht="25.5" customHeight="1"/>
    <row r="220" ht="25.5" customHeight="1"/>
    <row r="221" ht="25.5" customHeight="1"/>
    <row r="222" ht="25.5" customHeight="1"/>
    <row r="223" ht="25.5" customHeight="1"/>
    <row r="224" ht="25.5" customHeight="1"/>
    <row r="225" ht="25.5" customHeight="1"/>
    <row r="226" ht="25.5" customHeight="1"/>
    <row r="227" ht="25.5" customHeight="1"/>
    <row r="228" ht="25.5" customHeight="1"/>
    <row r="229" ht="25.5" customHeight="1"/>
    <row r="230" ht="25.5" customHeight="1"/>
    <row r="231" ht="25.5" customHeight="1"/>
    <row r="232" ht="25.5" customHeight="1"/>
    <row r="233" ht="25.5" customHeight="1"/>
    <row r="234" ht="25.5" customHeight="1"/>
    <row r="235" ht="25.5" customHeight="1"/>
    <row r="236" ht="25.5" customHeight="1"/>
    <row r="237" ht="25.5" customHeight="1"/>
    <row r="238" ht="25.5" customHeight="1"/>
    <row r="239" ht="25.5" customHeight="1"/>
    <row r="240" ht="25.5" customHeight="1"/>
    <row r="241" ht="25.5" customHeight="1"/>
    <row r="242" ht="25.5" customHeight="1"/>
    <row r="243" ht="25.5" customHeight="1"/>
    <row r="244" ht="25.5" customHeight="1"/>
    <row r="245" ht="25.5" customHeight="1"/>
    <row r="246" ht="25.5" customHeight="1"/>
    <row r="247" ht="25.5" customHeight="1"/>
    <row r="248" ht="25.5" customHeight="1"/>
    <row r="249" ht="25.5" customHeight="1"/>
    <row r="250" ht="25.5" customHeight="1"/>
    <row r="251" ht="25.5" customHeight="1"/>
    <row r="252" ht="25.5" customHeight="1"/>
    <row r="253" ht="25.5" customHeight="1"/>
    <row r="254" ht="25.5" customHeight="1"/>
    <row r="255" ht="25.5" customHeight="1"/>
    <row r="256" ht="25.5" customHeight="1"/>
    <row r="257" ht="25.5" customHeight="1"/>
    <row r="258" ht="25.5" customHeight="1"/>
    <row r="259" ht="25.5" customHeight="1"/>
    <row r="260" ht="25.5" customHeight="1"/>
    <row r="261" ht="25.5" customHeight="1"/>
    <row r="262" ht="25.5" customHeight="1"/>
    <row r="263" ht="25.5" customHeight="1"/>
    <row r="264" ht="25.5" customHeight="1"/>
    <row r="265" ht="25.5" customHeight="1"/>
    <row r="266" ht="25.5" customHeight="1"/>
    <row r="267" ht="25.5" customHeight="1"/>
    <row r="268" ht="25.5" customHeight="1"/>
    <row r="269" ht="25.5" customHeight="1"/>
    <row r="270" ht="25.5" customHeight="1"/>
    <row r="271" ht="25.5" customHeight="1"/>
    <row r="272" ht="25.5" customHeight="1"/>
    <row r="273" ht="25.5" customHeight="1"/>
    <row r="274" ht="25.5" customHeight="1"/>
    <row r="275" ht="25.5" customHeight="1"/>
    <row r="276" ht="25.5" customHeight="1"/>
    <row r="277" ht="25.5" customHeight="1"/>
    <row r="278" ht="25.5" customHeight="1"/>
    <row r="279" ht="25.5" customHeight="1"/>
    <row r="280" ht="25.5" customHeight="1"/>
    <row r="281" ht="25.5" customHeight="1"/>
    <row r="282" ht="25.5" customHeight="1"/>
    <row r="283" ht="25.5" customHeight="1"/>
    <row r="284" ht="25.5" customHeight="1"/>
    <row r="285" ht="25.5" customHeight="1"/>
    <row r="286" ht="25.5" customHeight="1"/>
    <row r="287" ht="25.5" customHeight="1"/>
    <row r="288" ht="25.5" customHeight="1"/>
    <row r="289" ht="25.5" customHeight="1"/>
    <row r="290" ht="25.5" customHeight="1"/>
    <row r="291" ht="25.5" customHeight="1"/>
    <row r="292" ht="25.5" customHeight="1"/>
    <row r="293" ht="25.5" customHeight="1"/>
    <row r="294" ht="25.5" customHeight="1"/>
    <row r="295" ht="25.5" customHeight="1"/>
    <row r="296" ht="25.5" customHeight="1"/>
    <row r="297" ht="25.5" customHeight="1"/>
    <row r="298" ht="25.5" customHeight="1"/>
    <row r="299" ht="25.5" customHeight="1"/>
    <row r="300" ht="25.5" customHeight="1"/>
    <row r="301" ht="25.5" customHeight="1"/>
    <row r="302" ht="25.5" customHeight="1"/>
    <row r="303" ht="25.5" customHeight="1"/>
    <row r="304" ht="25.5" customHeight="1"/>
    <row r="305" ht="25.5" customHeight="1"/>
    <row r="306" ht="25.5" customHeight="1"/>
    <row r="307" ht="25.5" customHeight="1"/>
    <row r="308" ht="25.5" customHeight="1"/>
    <row r="309" ht="25.5" customHeight="1"/>
    <row r="310" ht="25.5" customHeight="1"/>
    <row r="311" ht="25.5" customHeight="1"/>
    <row r="312" ht="25.5" customHeight="1"/>
    <row r="313" ht="25.5" customHeight="1"/>
    <row r="314" ht="25.5" customHeight="1"/>
    <row r="315" ht="25.5" customHeight="1"/>
    <row r="316" ht="25.5" customHeight="1"/>
    <row r="317" ht="25.5" customHeight="1"/>
    <row r="318" ht="25.5" customHeight="1"/>
    <row r="319" ht="25.5" customHeight="1"/>
    <row r="320" ht="25.5" customHeight="1"/>
    <row r="321" ht="25.5" customHeight="1"/>
    <row r="322" ht="25.5" customHeight="1"/>
    <row r="323" ht="25.5" customHeight="1"/>
    <row r="324" ht="25.5" customHeight="1"/>
    <row r="325" ht="25.5" customHeight="1"/>
    <row r="326" ht="25.5" customHeight="1"/>
    <row r="327" ht="25.5" customHeight="1"/>
    <row r="328" ht="25.5" customHeight="1"/>
    <row r="329" ht="25.5" customHeight="1"/>
    <row r="330" ht="25.5" customHeight="1"/>
    <row r="331" ht="25.5" customHeight="1"/>
    <row r="332" ht="25.5" customHeight="1"/>
    <row r="333" ht="25.5" customHeight="1"/>
    <row r="334" ht="25.5" customHeight="1"/>
    <row r="335" ht="25.5" customHeight="1"/>
    <row r="336" ht="25.5" customHeight="1"/>
    <row r="337" ht="25.5" customHeight="1"/>
    <row r="338" ht="25.5" customHeight="1"/>
    <row r="339" ht="25.5" customHeight="1"/>
    <row r="340" ht="25.5" customHeight="1"/>
    <row r="341" ht="25.5" customHeight="1"/>
    <row r="342" ht="25.5" customHeight="1"/>
    <row r="343" ht="25.5" customHeight="1"/>
    <row r="344" ht="25.5" customHeight="1"/>
    <row r="345" ht="25.5" customHeight="1"/>
    <row r="346" ht="25.5" customHeight="1"/>
    <row r="347" ht="25.5" customHeight="1"/>
    <row r="348" ht="25.5" customHeight="1"/>
    <row r="349" ht="25.5" customHeight="1"/>
    <row r="350" ht="25.5" customHeight="1"/>
    <row r="351" ht="25.5" customHeight="1"/>
    <row r="352" ht="25.5" customHeight="1"/>
    <row r="353" ht="25.5" customHeight="1"/>
    <row r="354" ht="25.5" customHeight="1"/>
    <row r="355" ht="25.5" customHeight="1"/>
    <row r="356" ht="25.5" customHeight="1"/>
    <row r="357" ht="25.5" customHeight="1"/>
    <row r="358" ht="25.5" customHeight="1"/>
    <row r="359" ht="25.5" customHeight="1"/>
    <row r="360" ht="25.5" customHeight="1"/>
    <row r="361" ht="25.5" customHeight="1"/>
    <row r="362" ht="25.5" customHeight="1"/>
    <row r="363" ht="25.5" customHeight="1"/>
    <row r="364" ht="25.5" customHeight="1"/>
    <row r="365" ht="25.5" customHeight="1"/>
    <row r="366" ht="25.5" customHeight="1"/>
    <row r="367" ht="25.5" customHeight="1"/>
    <row r="368" ht="25.5" customHeight="1"/>
    <row r="369" ht="25.5" customHeight="1"/>
    <row r="370" ht="25.5" customHeight="1"/>
    <row r="371" ht="25.5" customHeight="1"/>
    <row r="372" ht="25.5" customHeight="1"/>
    <row r="373" ht="25.5" customHeight="1"/>
    <row r="374" ht="25.5" customHeight="1"/>
    <row r="375" ht="25.5" customHeight="1"/>
    <row r="376" ht="25.5" customHeight="1"/>
    <row r="377" ht="25.5" customHeight="1"/>
    <row r="378" ht="25.5" customHeight="1"/>
    <row r="379" ht="25.5" customHeight="1"/>
    <row r="380" ht="25.5" customHeight="1"/>
    <row r="381" ht="25.5" customHeight="1"/>
    <row r="382" ht="25.5" customHeight="1"/>
    <row r="383" ht="25.5" customHeight="1"/>
    <row r="384" ht="25.5" customHeight="1"/>
    <row r="385" ht="25.5" customHeight="1"/>
    <row r="386" ht="25.5" customHeight="1"/>
    <row r="387" ht="25.5" customHeight="1"/>
    <row r="388" ht="25.5" customHeight="1"/>
    <row r="389" ht="25.5" customHeight="1"/>
    <row r="390" ht="25.5" customHeight="1"/>
    <row r="391" ht="25.5" customHeight="1"/>
    <row r="392" ht="25.5" customHeight="1"/>
    <row r="393" ht="25.5" customHeight="1"/>
    <row r="394" ht="25.5" customHeight="1"/>
    <row r="395" ht="25.5" customHeight="1"/>
    <row r="396" ht="25.5" customHeight="1"/>
    <row r="397" ht="25.5" customHeight="1"/>
    <row r="398" ht="25.5" customHeight="1"/>
    <row r="399" ht="25.5" customHeight="1"/>
    <row r="400" ht="25.5" customHeight="1"/>
    <row r="401" ht="25.5" customHeight="1"/>
    <row r="402" ht="25.5" customHeight="1"/>
    <row r="403" ht="25.5" customHeight="1"/>
    <row r="404" ht="25.5" customHeight="1"/>
    <row r="405" ht="25.5" customHeight="1"/>
    <row r="406" ht="25.5" customHeight="1"/>
    <row r="407" ht="25.5" customHeight="1"/>
    <row r="408" ht="25.5" customHeight="1"/>
    <row r="409" ht="25.5" customHeight="1"/>
    <row r="410" ht="25.5" customHeight="1"/>
    <row r="411" ht="25.5" customHeight="1"/>
    <row r="412" ht="25.5" customHeight="1"/>
    <row r="413" ht="25.5" customHeight="1"/>
    <row r="414" ht="25.5" customHeight="1"/>
    <row r="415" ht="25.5" customHeight="1"/>
    <row r="416" ht="25.5" customHeight="1"/>
    <row r="417" ht="25.5" customHeight="1"/>
    <row r="418" ht="25.5" customHeight="1"/>
    <row r="419" ht="25.5" customHeight="1"/>
    <row r="420" ht="25.5" customHeight="1"/>
    <row r="421" ht="25.5" customHeight="1"/>
    <row r="422" ht="25.5" customHeight="1"/>
    <row r="423" ht="25.5" customHeight="1"/>
    <row r="424" ht="25.5" customHeight="1"/>
    <row r="425" ht="25.5" customHeight="1"/>
    <row r="426" ht="25.5" customHeight="1"/>
    <row r="427" ht="25.5" customHeight="1"/>
    <row r="428" ht="25.5" customHeight="1"/>
    <row r="429" ht="25.5" customHeight="1"/>
    <row r="430" ht="25.5" customHeight="1"/>
    <row r="431" ht="25.5" customHeight="1"/>
    <row r="432" ht="25.5" customHeight="1"/>
    <row r="433" ht="25.5" customHeight="1"/>
    <row r="434" ht="25.5" customHeight="1"/>
    <row r="435" ht="25.5" customHeight="1"/>
    <row r="436" ht="25.5" customHeight="1"/>
    <row r="437" ht="25.5" customHeight="1"/>
    <row r="438" ht="25.5" customHeight="1"/>
    <row r="439" ht="25.5" customHeight="1"/>
    <row r="440" ht="25.5" customHeight="1"/>
    <row r="441" ht="25.5" customHeight="1"/>
    <row r="442" ht="25.5" customHeight="1"/>
    <row r="443" ht="25.5" customHeight="1"/>
    <row r="444" ht="25.5" customHeight="1"/>
    <row r="445" ht="25.5" customHeight="1"/>
    <row r="446" ht="25.5" customHeight="1"/>
    <row r="447" ht="25.5" customHeight="1"/>
    <row r="448" ht="25.5" customHeight="1"/>
    <row r="449" ht="25.5" customHeight="1"/>
    <row r="450" ht="25.5" customHeight="1"/>
    <row r="451" ht="25.5" customHeight="1"/>
    <row r="452" ht="25.5" customHeight="1"/>
    <row r="453" ht="25.5" customHeight="1"/>
    <row r="454" ht="25.5" customHeight="1"/>
    <row r="455" ht="25.5" customHeight="1"/>
    <row r="456" ht="25.5" customHeight="1"/>
    <row r="457" ht="25.5" customHeight="1"/>
    <row r="458" ht="25.5" customHeight="1"/>
    <row r="459" ht="25.5" customHeight="1"/>
    <row r="460" ht="25.5" customHeight="1"/>
    <row r="461" ht="25.5" customHeight="1"/>
    <row r="462" ht="25.5" customHeight="1"/>
    <row r="463" ht="25.5" customHeight="1"/>
    <row r="464" ht="25.5" customHeight="1"/>
    <row r="465" ht="25.5" customHeight="1"/>
    <row r="466" ht="25.5" customHeight="1"/>
    <row r="467" ht="25.5" customHeight="1"/>
    <row r="468" ht="25.5" customHeight="1"/>
    <row r="469" ht="25.5" customHeight="1"/>
    <row r="470" ht="25.5" customHeight="1"/>
    <row r="471" ht="25.5" customHeight="1"/>
    <row r="472" ht="25.5" customHeight="1"/>
    <row r="473" ht="25.5" customHeight="1"/>
    <row r="474" ht="25.5" customHeight="1"/>
    <row r="475" ht="25.5" customHeight="1"/>
    <row r="476" ht="25.5" customHeight="1"/>
    <row r="477" ht="25.5" customHeight="1"/>
    <row r="478" ht="25.5" customHeight="1"/>
    <row r="479" ht="25.5" customHeight="1"/>
    <row r="480" ht="25.5" customHeight="1"/>
    <row r="481" ht="25.5" customHeight="1"/>
    <row r="482" ht="25.5" customHeight="1"/>
    <row r="483" ht="25.5" customHeight="1"/>
    <row r="484" ht="25.5" customHeight="1"/>
    <row r="485" ht="25.5" customHeight="1"/>
    <row r="486" ht="25.5" customHeight="1"/>
    <row r="487" ht="25.5" customHeight="1"/>
    <row r="488" ht="25.5" customHeight="1"/>
    <row r="489" ht="25.5" customHeight="1"/>
    <row r="490" ht="25.5" customHeight="1"/>
    <row r="491" ht="25.5" customHeight="1"/>
    <row r="492" ht="25.5" customHeight="1"/>
    <row r="493" ht="25.5" customHeight="1"/>
    <row r="494" ht="25.5" customHeight="1"/>
    <row r="495" ht="25.5" customHeight="1"/>
    <row r="496" ht="25.5" customHeight="1"/>
    <row r="497" ht="25.5" customHeight="1"/>
    <row r="498" ht="25.5" customHeight="1"/>
    <row r="499" ht="25.5" customHeight="1"/>
    <row r="500" ht="25.5" customHeight="1"/>
    <row r="501" ht="25.5" customHeight="1"/>
    <row r="502" ht="25.5" customHeight="1"/>
    <row r="503" ht="25.5" customHeight="1"/>
    <row r="504" ht="25.5" customHeight="1"/>
    <row r="505" ht="25.5" customHeight="1"/>
    <row r="506" ht="25.5" customHeight="1"/>
    <row r="507" ht="25.5" customHeight="1"/>
    <row r="508" ht="25.5" customHeight="1"/>
    <row r="509" ht="25.5" customHeight="1"/>
    <row r="510" ht="25.5" customHeight="1"/>
    <row r="511" ht="25.5" customHeight="1"/>
    <row r="512" ht="25.5" customHeight="1"/>
    <row r="513" ht="25.5" customHeight="1"/>
    <row r="514" ht="25.5" customHeight="1"/>
    <row r="515" ht="25.5" customHeight="1"/>
    <row r="516" ht="25.5" customHeight="1"/>
    <row r="517" ht="25.5" customHeight="1"/>
    <row r="518" ht="25.5" customHeight="1"/>
    <row r="519" ht="25.5" customHeight="1"/>
    <row r="520" ht="25.5" customHeight="1"/>
    <row r="521" ht="25.5" customHeight="1"/>
    <row r="522" ht="25.5" customHeight="1"/>
    <row r="523" ht="25.5" customHeight="1"/>
    <row r="524" ht="25.5" customHeight="1"/>
    <row r="525" ht="25.5" customHeight="1"/>
    <row r="526" ht="25.5" customHeight="1"/>
    <row r="527" ht="25.5" customHeight="1"/>
    <row r="528" ht="25.5" customHeight="1"/>
    <row r="529" ht="25.5" customHeight="1"/>
    <row r="530" ht="25.5" customHeight="1"/>
    <row r="531" ht="25.5" customHeight="1"/>
    <row r="532" ht="25.5" customHeight="1"/>
    <row r="533" ht="25.5" customHeight="1"/>
    <row r="534" ht="25.5" customHeight="1"/>
    <row r="535" ht="25.5" customHeight="1"/>
    <row r="536" ht="25.5" customHeight="1"/>
    <row r="537" ht="25.5" customHeight="1"/>
    <row r="538" ht="25.5" customHeight="1"/>
    <row r="539" ht="25.5" customHeight="1"/>
    <row r="540" ht="25.5" customHeight="1"/>
    <row r="541" ht="25.5" customHeight="1"/>
    <row r="542" ht="25.5" customHeight="1"/>
    <row r="543" ht="25.5" customHeight="1"/>
    <row r="544" ht="25.5" customHeight="1"/>
    <row r="545" ht="25.5" customHeight="1"/>
    <row r="546" ht="25.5" customHeight="1"/>
    <row r="547" ht="25.5" customHeight="1"/>
    <row r="548" ht="25.5" customHeight="1"/>
    <row r="549" ht="25.5" customHeight="1"/>
    <row r="550" ht="25.5" customHeight="1"/>
    <row r="551" ht="25.5" customHeight="1"/>
    <row r="552" ht="25.5" customHeight="1"/>
    <row r="553" ht="25.5" customHeight="1"/>
    <row r="554" ht="25.5" customHeight="1"/>
    <row r="555" ht="25.5" customHeight="1"/>
    <row r="556" ht="25.5" customHeight="1"/>
    <row r="557" ht="25.5" customHeight="1"/>
    <row r="558" ht="25.5" customHeight="1"/>
    <row r="559" ht="25.5" customHeight="1"/>
    <row r="560" ht="25.5" customHeight="1"/>
    <row r="561" ht="25.5" customHeight="1"/>
    <row r="562" ht="25.5" customHeight="1"/>
    <row r="563" ht="25.5" customHeight="1"/>
    <row r="564" ht="25.5" customHeight="1"/>
    <row r="565" ht="25.5" customHeight="1"/>
    <row r="566" ht="25.5" customHeight="1"/>
    <row r="567" ht="25.5" customHeight="1"/>
    <row r="568" ht="25.5" customHeight="1"/>
    <row r="569" ht="25.5" customHeight="1"/>
    <row r="570" ht="25.5" customHeight="1"/>
    <row r="571" ht="25.5" customHeight="1"/>
    <row r="572" ht="25.5" customHeight="1"/>
    <row r="573" ht="25.5" customHeight="1"/>
    <row r="574" ht="25.5" customHeight="1"/>
    <row r="575" ht="25.5" customHeight="1"/>
    <row r="576" ht="25.5" customHeight="1"/>
    <row r="577" ht="25.5" customHeight="1"/>
    <row r="578" ht="25.5" customHeight="1"/>
    <row r="579" ht="25.5" customHeight="1"/>
    <row r="580" ht="25.5" customHeight="1"/>
    <row r="581" ht="25.5" customHeight="1"/>
    <row r="582" ht="25.5" customHeight="1"/>
    <row r="583" ht="25.5" customHeight="1"/>
    <row r="584" ht="25.5" customHeight="1"/>
    <row r="585" ht="25.5" customHeight="1"/>
    <row r="586" ht="25.5" customHeight="1"/>
    <row r="587" ht="25.5" customHeight="1"/>
    <row r="588" ht="25.5" customHeight="1"/>
    <row r="589" ht="25.5" customHeight="1"/>
    <row r="590" ht="25.5" customHeight="1"/>
    <row r="591" ht="25.5" customHeight="1"/>
    <row r="592" ht="25.5" customHeight="1"/>
    <row r="593" ht="25.5" customHeight="1"/>
    <row r="594" ht="25.5" customHeight="1"/>
    <row r="595" ht="25.5" customHeight="1"/>
    <row r="596" ht="25.5" customHeight="1"/>
    <row r="597" ht="25.5" customHeight="1"/>
    <row r="598" ht="25.5" customHeight="1"/>
    <row r="599" ht="25.5" customHeight="1"/>
    <row r="600" ht="25.5" customHeight="1"/>
    <row r="601" ht="25.5" customHeight="1"/>
    <row r="602" ht="25.5" customHeight="1"/>
    <row r="603" ht="25.5" customHeight="1"/>
    <row r="604" ht="25.5" customHeight="1"/>
    <row r="605" ht="25.5" customHeight="1"/>
    <row r="606" ht="25.5" customHeight="1"/>
    <row r="607" ht="25.5" customHeight="1"/>
    <row r="608" ht="25.5" customHeight="1"/>
    <row r="609" ht="25.5" customHeight="1"/>
    <row r="610" ht="25.5" customHeight="1"/>
    <row r="611" ht="25.5" customHeight="1"/>
    <row r="612" ht="25.5" customHeight="1"/>
    <row r="613" ht="25.5" customHeight="1"/>
    <row r="614" ht="25.5" customHeight="1"/>
    <row r="615" ht="25.5" customHeight="1"/>
    <row r="616" ht="25.5" customHeight="1"/>
    <row r="617" ht="25.5" customHeight="1"/>
    <row r="618" ht="25.5" customHeight="1"/>
    <row r="619" ht="25.5" customHeight="1"/>
    <row r="620" ht="25.5" customHeight="1"/>
    <row r="621" ht="25.5" customHeight="1"/>
    <row r="622" ht="25.5" customHeight="1"/>
    <row r="623" ht="25.5" customHeight="1"/>
    <row r="624" ht="25.5" customHeight="1"/>
    <row r="625" ht="25.5" customHeight="1"/>
    <row r="626" ht="25.5" customHeight="1"/>
    <row r="627" ht="25.5" customHeight="1"/>
    <row r="628" ht="25.5" customHeight="1"/>
    <row r="629" ht="25.5" customHeight="1"/>
    <row r="630" ht="25.5" customHeight="1"/>
    <row r="631" ht="25.5" customHeight="1"/>
    <row r="632" ht="25.5" customHeight="1"/>
    <row r="633" ht="25.5" customHeight="1"/>
    <row r="634" ht="25.5" customHeight="1"/>
    <row r="635" ht="25.5" customHeight="1"/>
    <row r="636" ht="25.5" customHeight="1"/>
    <row r="637" ht="25.5" customHeight="1"/>
    <row r="638" ht="25.5" customHeight="1"/>
    <row r="639" ht="25.5" customHeight="1"/>
    <row r="640" ht="25.5" customHeight="1"/>
    <row r="641" ht="25.5" customHeight="1"/>
    <row r="642" ht="25.5" customHeight="1"/>
    <row r="643" ht="25.5" customHeight="1"/>
    <row r="644" ht="25.5" customHeight="1"/>
    <row r="645" ht="25.5" customHeight="1"/>
    <row r="646" ht="25.5" customHeight="1"/>
    <row r="647" ht="25.5" customHeight="1"/>
    <row r="648" ht="25.5" customHeight="1"/>
    <row r="649" ht="25.5" customHeight="1"/>
    <row r="650" ht="25.5" customHeight="1"/>
    <row r="651" ht="25.5" customHeight="1"/>
    <row r="652" ht="25.5" customHeight="1"/>
    <row r="653" ht="25.5" customHeight="1"/>
    <row r="654" ht="25.5" customHeight="1"/>
    <row r="655" ht="25.5" customHeight="1"/>
    <row r="656" ht="25.5" customHeight="1"/>
    <row r="657" ht="25.5" customHeight="1"/>
    <row r="658" ht="25.5" customHeight="1"/>
    <row r="659" ht="25.5" customHeight="1"/>
    <row r="660" ht="25.5" customHeight="1"/>
    <row r="661" ht="25.5" customHeight="1"/>
    <row r="662" ht="25.5" customHeight="1"/>
    <row r="663" ht="25.5" customHeight="1"/>
    <row r="664" ht="25.5" customHeight="1"/>
    <row r="665" ht="25.5" customHeight="1"/>
    <row r="666" ht="25.5" customHeight="1"/>
    <row r="667" ht="25.5" customHeight="1"/>
    <row r="668" ht="25.5" customHeight="1"/>
    <row r="669" ht="25.5" customHeight="1"/>
    <row r="670" ht="25.5" customHeight="1"/>
    <row r="671" ht="25.5" customHeight="1"/>
    <row r="672" ht="25.5" customHeight="1"/>
    <row r="673" ht="25.5" customHeight="1"/>
    <row r="674" ht="25.5" customHeight="1"/>
    <row r="675" ht="25.5" customHeight="1"/>
    <row r="676" ht="25.5" customHeight="1"/>
    <row r="677" ht="25.5" customHeight="1"/>
    <row r="678" ht="25.5" customHeight="1"/>
    <row r="679" ht="25.5" customHeight="1"/>
    <row r="680" ht="25.5" customHeight="1"/>
    <row r="681" ht="25.5" customHeight="1"/>
    <row r="682" ht="25.5" customHeight="1"/>
    <row r="683" ht="25.5" customHeight="1"/>
    <row r="684" ht="25.5" customHeight="1"/>
    <row r="685" ht="25.5" customHeight="1"/>
    <row r="686" ht="25.5" customHeight="1"/>
    <row r="687" ht="25.5" customHeight="1"/>
    <row r="688" ht="25.5" customHeight="1"/>
    <row r="689" ht="25.5" customHeight="1"/>
    <row r="690" ht="25.5" customHeight="1"/>
    <row r="691" ht="25.5" customHeight="1"/>
    <row r="692" ht="25.5" customHeight="1"/>
    <row r="693" ht="25.5" customHeight="1"/>
    <row r="694" ht="25.5" customHeight="1"/>
    <row r="695" ht="25.5" customHeight="1"/>
    <row r="696" ht="25.5" customHeight="1"/>
    <row r="697" ht="25.5" customHeight="1"/>
    <row r="698" ht="25.5" customHeight="1"/>
    <row r="699" ht="25.5" customHeight="1"/>
    <row r="700" ht="25.5" customHeight="1"/>
    <row r="701" ht="25.5" customHeight="1"/>
    <row r="702" ht="25.5" customHeight="1"/>
    <row r="703" ht="25.5" customHeight="1"/>
    <row r="704" ht="25.5" customHeight="1"/>
    <row r="705" ht="25.5" customHeight="1"/>
    <row r="706" ht="25.5" customHeight="1"/>
    <row r="707" ht="25.5" customHeight="1"/>
    <row r="708" ht="25.5" customHeight="1"/>
    <row r="709" ht="25.5" customHeight="1"/>
    <row r="710" ht="25.5" customHeight="1"/>
    <row r="711" ht="25.5" customHeight="1"/>
    <row r="712" ht="25.5" customHeight="1"/>
    <row r="713" ht="25.5" customHeight="1"/>
    <row r="714" ht="25.5" customHeight="1"/>
    <row r="715" ht="25.5" customHeight="1"/>
    <row r="716" ht="25.5" customHeight="1"/>
    <row r="717" ht="25.5" customHeight="1"/>
    <row r="718" ht="25.5" customHeight="1"/>
    <row r="719" ht="25.5" customHeight="1"/>
    <row r="720" ht="25.5" customHeight="1"/>
    <row r="721" ht="25.5" customHeight="1"/>
    <row r="722" ht="25.5" customHeight="1"/>
    <row r="723" ht="25.5" customHeight="1"/>
    <row r="724" ht="25.5" customHeight="1"/>
    <row r="725" ht="25.5" customHeight="1"/>
    <row r="726" ht="25.5" customHeight="1"/>
    <row r="727" ht="25.5" customHeight="1"/>
    <row r="728" ht="25.5" customHeight="1"/>
    <row r="729" ht="25.5" customHeight="1"/>
    <row r="730" ht="25.5" customHeight="1"/>
    <row r="731" ht="25.5" customHeight="1"/>
    <row r="732" ht="25.5" customHeight="1"/>
    <row r="733" ht="25.5" customHeight="1"/>
    <row r="734" ht="25.5" customHeight="1"/>
    <row r="735" ht="25.5" customHeight="1"/>
    <row r="736" ht="25.5" customHeight="1"/>
    <row r="737" ht="25.5" customHeight="1"/>
    <row r="738" ht="25.5" customHeight="1"/>
    <row r="739" ht="25.5" customHeight="1"/>
    <row r="740" ht="25.5" customHeight="1"/>
    <row r="741" ht="25.5" customHeight="1"/>
    <row r="742" ht="25.5" customHeight="1"/>
    <row r="743" ht="25.5" customHeight="1"/>
    <row r="744" ht="25.5" customHeight="1"/>
    <row r="745" ht="25.5" customHeight="1"/>
    <row r="746" ht="25.5" customHeight="1"/>
    <row r="747" ht="25.5" customHeight="1"/>
    <row r="748" ht="25.5" customHeight="1"/>
    <row r="749" ht="25.5" customHeight="1"/>
    <row r="750" ht="25.5" customHeight="1"/>
    <row r="751" ht="25.5" customHeight="1"/>
    <row r="752" ht="25.5" customHeight="1"/>
    <row r="753" ht="25.5" customHeight="1"/>
    <row r="754" ht="25.5" customHeight="1"/>
    <row r="755" ht="25.5" customHeight="1"/>
    <row r="756" ht="25.5" customHeight="1"/>
    <row r="757" ht="25.5" customHeight="1"/>
    <row r="758" ht="25.5" customHeight="1"/>
    <row r="759" ht="25.5" customHeight="1"/>
    <row r="760" ht="25.5" customHeight="1"/>
    <row r="761" ht="25.5" customHeight="1"/>
    <row r="762" ht="25.5" customHeight="1"/>
    <row r="763" ht="25.5" customHeight="1"/>
    <row r="764" ht="25.5" customHeight="1"/>
    <row r="765" ht="25.5" customHeight="1"/>
    <row r="766" ht="25.5" customHeight="1"/>
    <row r="767" ht="25.5" customHeight="1"/>
    <row r="768" ht="25.5" customHeight="1"/>
    <row r="769" ht="25.5" customHeight="1"/>
    <row r="770" ht="25.5" customHeight="1"/>
    <row r="771" ht="25.5" customHeight="1"/>
    <row r="772" ht="25.5" customHeight="1"/>
    <row r="773" ht="25.5" customHeight="1"/>
    <row r="774" ht="25.5" customHeight="1"/>
    <row r="775" ht="25.5" customHeight="1"/>
    <row r="776" ht="25.5" customHeight="1"/>
    <row r="777" ht="25.5" customHeight="1"/>
    <row r="778" ht="25.5" customHeight="1"/>
    <row r="779" ht="25.5" customHeight="1"/>
    <row r="780" ht="25.5" customHeight="1"/>
    <row r="781" ht="25.5" customHeight="1"/>
    <row r="782" ht="25.5" customHeight="1"/>
    <row r="783" ht="25.5" customHeight="1"/>
    <row r="784" ht="25.5" customHeight="1"/>
    <row r="785" ht="25.5" customHeight="1"/>
    <row r="786" ht="25.5" customHeight="1"/>
    <row r="787" ht="25.5" customHeight="1"/>
    <row r="788" ht="25.5" customHeight="1"/>
    <row r="789" ht="25.5" customHeight="1"/>
    <row r="790" ht="25.5" customHeight="1"/>
    <row r="791" ht="25.5" customHeight="1"/>
    <row r="792" ht="25.5" customHeight="1"/>
    <row r="793" ht="25.5" customHeight="1"/>
    <row r="794" ht="25.5" customHeight="1"/>
    <row r="795" ht="25.5" customHeight="1"/>
    <row r="796" ht="25.5" customHeight="1"/>
    <row r="797" ht="25.5" customHeight="1"/>
    <row r="798" ht="25.5" customHeight="1"/>
    <row r="799" ht="25.5" customHeight="1"/>
    <row r="800" ht="25.5" customHeight="1"/>
    <row r="801" ht="25.5" customHeight="1"/>
    <row r="802" ht="25.5" customHeight="1"/>
    <row r="803" ht="25.5" customHeight="1"/>
    <row r="804" ht="25.5" customHeight="1"/>
    <row r="805" ht="25.5" customHeight="1"/>
    <row r="806" ht="25.5" customHeight="1"/>
    <row r="807" ht="25.5" customHeight="1"/>
    <row r="808" ht="25.5" customHeight="1"/>
    <row r="809" ht="25.5" customHeight="1"/>
    <row r="810" ht="25.5" customHeight="1"/>
    <row r="811" ht="25.5" customHeight="1"/>
    <row r="812" ht="25.5" customHeight="1"/>
    <row r="813" ht="25.5" customHeight="1"/>
    <row r="814" ht="25.5" customHeight="1"/>
    <row r="815" ht="25.5" customHeight="1"/>
    <row r="816" ht="25.5" customHeight="1"/>
    <row r="817" ht="25.5" customHeight="1"/>
    <row r="818" ht="25.5" customHeight="1"/>
    <row r="819" ht="25.5" customHeight="1"/>
    <row r="820" ht="25.5" customHeight="1"/>
    <row r="821" ht="25.5" customHeight="1"/>
    <row r="822" ht="25.5" customHeight="1"/>
    <row r="823" ht="25.5" customHeight="1"/>
    <row r="824" ht="25.5" customHeight="1"/>
    <row r="825" ht="25.5" customHeight="1"/>
    <row r="826" ht="25.5" customHeight="1"/>
    <row r="827" ht="25.5" customHeight="1"/>
    <row r="828" ht="25.5" customHeight="1"/>
    <row r="829" ht="25.5" customHeight="1"/>
    <row r="830" ht="25.5" customHeight="1"/>
    <row r="831" ht="25.5" customHeight="1"/>
    <row r="832" ht="25.5" customHeight="1"/>
    <row r="833" ht="25.5" customHeight="1"/>
    <row r="834" ht="25.5" customHeight="1"/>
    <row r="835" ht="25.5" customHeight="1"/>
    <row r="836" ht="25.5" customHeight="1"/>
    <row r="837" ht="25.5" customHeight="1"/>
    <row r="838" ht="25.5" customHeight="1"/>
    <row r="839" ht="25.5" customHeight="1"/>
    <row r="840" ht="25.5" customHeight="1"/>
    <row r="841" ht="25.5" customHeight="1"/>
    <row r="842" ht="25.5" customHeight="1"/>
    <row r="843" ht="25.5" customHeight="1"/>
    <row r="844" ht="25.5" customHeight="1"/>
    <row r="845" ht="25.5" customHeight="1"/>
    <row r="846" ht="25.5" customHeight="1"/>
    <row r="847" ht="25.5" customHeight="1"/>
    <row r="848" ht="25.5" customHeight="1"/>
    <row r="849" ht="25.5" customHeight="1"/>
    <row r="850" ht="25.5" customHeight="1"/>
    <row r="851" ht="25.5" customHeight="1"/>
    <row r="852" ht="25.5" customHeight="1"/>
    <row r="853" ht="25.5" customHeight="1"/>
    <row r="854" ht="25.5" customHeight="1"/>
    <row r="855" ht="25.5" customHeight="1"/>
    <row r="856" ht="25.5" customHeight="1"/>
    <row r="857" ht="25.5" customHeight="1"/>
    <row r="858" ht="25.5" customHeight="1"/>
    <row r="859" ht="25.5" customHeight="1"/>
    <row r="860" ht="25.5" customHeight="1"/>
    <row r="861" ht="25.5" customHeight="1"/>
    <row r="862" ht="25.5" customHeight="1"/>
    <row r="863" ht="25.5" customHeight="1"/>
    <row r="864" ht="25.5" customHeight="1"/>
    <row r="865" ht="25.5" customHeight="1"/>
    <row r="866" ht="25.5" customHeight="1"/>
  </sheetData>
  <mergeCells count="8">
    <mergeCell ref="A1:G1"/>
    <mergeCell ref="A2:A3"/>
    <mergeCell ref="B2:B3"/>
    <mergeCell ref="C2:C3"/>
    <mergeCell ref="D2:D3"/>
    <mergeCell ref="E2:E3"/>
    <mergeCell ref="F2:G2"/>
    <mergeCell ref="A98:C98"/>
  </mergeCells>
  <dataValidations>
    <dataValidation type="list" allowBlank="1" sqref="I4:I96">
      <formula1>"CHECKED (OK),CHECKED  (NOT OK)"</formula1>
    </dataValidation>
  </dataValidations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4" max="4" width="26.13"/>
    <col customWidth="1" min="5" max="5" width="40.5"/>
    <col customWidth="1" min="9" max="9" width="18.63"/>
    <col customWidth="1" min="10" max="10" width="21.63"/>
  </cols>
  <sheetData>
    <row r="1" ht="39.0" customHeight="1">
      <c r="A1" s="30" t="s">
        <v>1608</v>
      </c>
      <c r="H1" s="31"/>
      <c r="I1" s="290" t="s">
        <v>1609</v>
      </c>
      <c r="J1" s="33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ht="29.25" customHeight="1">
      <c r="A2" s="281" t="s">
        <v>1</v>
      </c>
      <c r="B2" s="266" t="s">
        <v>11</v>
      </c>
      <c r="C2" s="266" t="s">
        <v>1452</v>
      </c>
      <c r="D2" s="266" t="s">
        <v>12</v>
      </c>
      <c r="E2" s="287" t="s">
        <v>13</v>
      </c>
      <c r="F2" s="37" t="s">
        <v>14</v>
      </c>
      <c r="G2" s="38"/>
      <c r="H2" s="39"/>
      <c r="I2" s="40"/>
      <c r="J2" s="40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 ht="33.0" customHeight="1">
      <c r="A3" s="41"/>
      <c r="B3" s="38"/>
      <c r="C3" s="38"/>
      <c r="D3" s="38"/>
      <c r="E3" s="38"/>
      <c r="F3" s="42" t="s">
        <v>15</v>
      </c>
      <c r="G3" s="43" t="s">
        <v>5</v>
      </c>
      <c r="H3" s="39"/>
      <c r="I3" s="44" t="s">
        <v>6</v>
      </c>
      <c r="J3" s="45" t="s">
        <v>7</v>
      </c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 ht="25.5" customHeight="1">
      <c r="A4" s="282">
        <v>1.0</v>
      </c>
      <c r="B4" s="47">
        <v>1018530.0</v>
      </c>
      <c r="C4" s="283" t="str">
        <f>vlookup(B4,'Crew data for number'!B:C,2,0)</f>
        <v>TAA7750</v>
      </c>
      <c r="D4" s="284" t="str">
        <f>vlookup(B4,'Crew Data'!C:G,5,0)</f>
        <v>Chaniporn Thanaworrapak</v>
      </c>
      <c r="E4" s="267" t="s">
        <v>1610</v>
      </c>
      <c r="F4" s="47">
        <v>3.0</v>
      </c>
      <c r="G4" s="50">
        <f t="shared" ref="G4:G87" si="1">F4*400</f>
        <v>1200</v>
      </c>
      <c r="H4" s="22">
        <f t="shared" ref="H4:H87" si="2">COUNTIF(B:B,B4)</f>
        <v>1</v>
      </c>
      <c r="I4" s="51" t="s">
        <v>20</v>
      </c>
      <c r="J4" s="40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</row>
    <row r="5" ht="25.5" customHeight="1">
      <c r="A5" s="54">
        <v>2.0</v>
      </c>
      <c r="B5" s="47">
        <v>1023584.0</v>
      </c>
      <c r="C5" s="283" t="str">
        <f>vlookup(B5,'Crew data for number'!B:C,2,0)</f>
        <v/>
      </c>
      <c r="D5" s="284" t="str">
        <f>vlookup(B5,'Crew Data'!C:G,5,0)</f>
        <v>#N/A</v>
      </c>
      <c r="E5" s="267" t="s">
        <v>1611</v>
      </c>
      <c r="F5" s="47">
        <v>31.0</v>
      </c>
      <c r="G5" s="50">
        <f t="shared" si="1"/>
        <v>12400</v>
      </c>
      <c r="H5" s="22">
        <f t="shared" si="2"/>
        <v>1</v>
      </c>
      <c r="I5" s="51" t="s">
        <v>20</v>
      </c>
    </row>
    <row r="6" ht="25.5" customHeight="1">
      <c r="A6" s="282">
        <v>3.0</v>
      </c>
      <c r="B6" s="47">
        <v>1006363.0</v>
      </c>
      <c r="C6" s="283" t="str">
        <f>vlookup(B6,'Crew data for number'!B:C,2,0)</f>
        <v>TAA3684</v>
      </c>
      <c r="D6" s="284" t="str">
        <f>vlookup(B6,'Crew Data'!C:G,5,0)</f>
        <v>#N/A</v>
      </c>
      <c r="E6" s="267" t="s">
        <v>1612</v>
      </c>
      <c r="F6" s="47">
        <v>55.0</v>
      </c>
      <c r="G6" s="50">
        <f t="shared" si="1"/>
        <v>22000</v>
      </c>
      <c r="H6" s="22">
        <f t="shared" si="2"/>
        <v>1</v>
      </c>
      <c r="I6" s="51" t="s">
        <v>20</v>
      </c>
    </row>
    <row r="7" ht="25.5" customHeight="1">
      <c r="A7" s="54">
        <v>4.0</v>
      </c>
      <c r="B7" s="47">
        <v>1014359.0</v>
      </c>
      <c r="C7" s="283" t="str">
        <f>vlookup(B7,'Crew data for number'!B:C,2,0)</f>
        <v>TAA6863</v>
      </c>
      <c r="D7" s="284" t="str">
        <f>vlookup(B7,'Crew Data'!C:G,5,0)</f>
        <v>Rattiporn Thongarch</v>
      </c>
      <c r="E7" s="267" t="s">
        <v>1613</v>
      </c>
      <c r="F7" s="47">
        <v>24.0</v>
      </c>
      <c r="G7" s="50">
        <f t="shared" si="1"/>
        <v>9600</v>
      </c>
      <c r="H7" s="22">
        <f t="shared" si="2"/>
        <v>1</v>
      </c>
      <c r="I7" s="51" t="s">
        <v>20</v>
      </c>
    </row>
    <row r="8" ht="25.5" customHeight="1">
      <c r="A8" s="282">
        <v>5.0</v>
      </c>
      <c r="B8" s="47">
        <v>1017647.0</v>
      </c>
      <c r="C8" s="283" t="str">
        <f>vlookup(B8,'Crew data for number'!B:C,2,0)</f>
        <v>TAA7524</v>
      </c>
      <c r="D8" s="284" t="str">
        <f>vlookup(B8,'Crew Data'!C:G,5,0)</f>
        <v>Papopvit Pungposop</v>
      </c>
      <c r="E8" s="267" t="s">
        <v>1614</v>
      </c>
      <c r="F8" s="47">
        <v>60.0</v>
      </c>
      <c r="G8" s="50">
        <f t="shared" si="1"/>
        <v>24000</v>
      </c>
      <c r="H8" s="22">
        <f t="shared" si="2"/>
        <v>1</v>
      </c>
      <c r="I8" s="51" t="s">
        <v>20</v>
      </c>
    </row>
    <row r="9" ht="25.5" customHeight="1">
      <c r="A9" s="54">
        <v>6.0</v>
      </c>
      <c r="B9" s="47">
        <v>1012368.0</v>
      </c>
      <c r="C9" s="283" t="str">
        <f>vlookup(B9,'Crew data for number'!B:C,2,0)</f>
        <v>TAA6130</v>
      </c>
      <c r="D9" s="284" t="str">
        <f>vlookup(B9,'Crew Data'!C:G,5,0)</f>
        <v>#N/A</v>
      </c>
      <c r="E9" s="267" t="s">
        <v>1615</v>
      </c>
      <c r="F9" s="47">
        <v>3.0</v>
      </c>
      <c r="G9" s="50">
        <f t="shared" si="1"/>
        <v>1200</v>
      </c>
      <c r="H9" s="22">
        <f t="shared" si="2"/>
        <v>1</v>
      </c>
      <c r="I9" s="51" t="s">
        <v>20</v>
      </c>
    </row>
    <row r="10" ht="25.5" customHeight="1">
      <c r="A10" s="282">
        <v>7.0</v>
      </c>
      <c r="B10" s="47">
        <v>1003220.0</v>
      </c>
      <c r="C10" s="283" t="str">
        <f>vlookup(B10,'Crew data for number'!B:C,2,0)</f>
        <v>TAA2344</v>
      </c>
      <c r="D10" s="284" t="str">
        <f>vlookup(B10,'Crew Data'!C:G,5,0)</f>
        <v>Pathita Leepeeravitit</v>
      </c>
      <c r="E10" s="267" t="s">
        <v>1616</v>
      </c>
      <c r="F10" s="47">
        <v>10.0</v>
      </c>
      <c r="G10" s="50">
        <f t="shared" si="1"/>
        <v>4000</v>
      </c>
      <c r="H10" s="22">
        <f t="shared" si="2"/>
        <v>1</v>
      </c>
      <c r="I10" s="51" t="s">
        <v>20</v>
      </c>
    </row>
    <row r="11" ht="25.5" customHeight="1">
      <c r="A11" s="54">
        <v>8.0</v>
      </c>
      <c r="B11" s="47">
        <v>1007153.0</v>
      </c>
      <c r="C11" s="283" t="str">
        <f>vlookup(B11,'Crew data for number'!B:C,2,0)</f>
        <v>TAA4005</v>
      </c>
      <c r="D11" s="284" t="str">
        <f>vlookup(B11,'Crew Data'!C:G,5,0)</f>
        <v>Pannathat Chuchuaisuwan</v>
      </c>
      <c r="E11" s="267" t="s">
        <v>1617</v>
      </c>
      <c r="F11" s="47">
        <v>4.0</v>
      </c>
      <c r="G11" s="50">
        <f t="shared" si="1"/>
        <v>1600</v>
      </c>
      <c r="H11" s="22">
        <f t="shared" si="2"/>
        <v>1</v>
      </c>
      <c r="I11" s="51" t="s">
        <v>20</v>
      </c>
    </row>
    <row r="12" ht="25.5" customHeight="1">
      <c r="A12" s="282">
        <v>9.0</v>
      </c>
      <c r="B12" s="47">
        <v>1011320.0</v>
      </c>
      <c r="C12" s="283" t="str">
        <f>vlookup(B12,'Crew data for number'!B:C,2,0)</f>
        <v>TAA5576</v>
      </c>
      <c r="D12" s="284" t="str">
        <f>vlookup(B12,'Crew Data'!C:G,5,0)</f>
        <v>Sudhat Bunnag</v>
      </c>
      <c r="E12" s="267" t="s">
        <v>1618</v>
      </c>
      <c r="F12" s="47">
        <v>32.0</v>
      </c>
      <c r="G12" s="50">
        <f t="shared" si="1"/>
        <v>12800</v>
      </c>
      <c r="H12" s="22">
        <f t="shared" si="2"/>
        <v>1</v>
      </c>
      <c r="I12" s="51" t="s">
        <v>20</v>
      </c>
    </row>
    <row r="13" ht="25.5" customHeight="1">
      <c r="A13" s="54">
        <v>10.0</v>
      </c>
      <c r="B13" s="47">
        <v>1005741.0</v>
      </c>
      <c r="C13" s="283" t="str">
        <f>vlookup(B13,'Crew data for number'!B:C,2,0)</f>
        <v>TAA3399</v>
      </c>
      <c r="D13" s="284" t="str">
        <f>vlookup(B13,'Crew Data'!C:G,5,0)</f>
        <v>Chanyawat Ruchiratheekhakul</v>
      </c>
      <c r="E13" s="267" t="s">
        <v>1619</v>
      </c>
      <c r="F13" s="47">
        <v>7.0</v>
      </c>
      <c r="G13" s="50">
        <f t="shared" si="1"/>
        <v>2800</v>
      </c>
      <c r="H13" s="22">
        <f t="shared" si="2"/>
        <v>1</v>
      </c>
      <c r="I13" s="51" t="s">
        <v>20</v>
      </c>
    </row>
    <row r="14" ht="25.5" customHeight="1">
      <c r="A14" s="282">
        <v>11.0</v>
      </c>
      <c r="B14" s="47">
        <v>1018976.0</v>
      </c>
      <c r="C14" s="283" t="str">
        <f>vlookup(B14,'Crew data for number'!B:C,2,0)</f>
        <v>TAA7849</v>
      </c>
      <c r="D14" s="284" t="str">
        <f>vlookup(B14,'Crew Data'!C:G,5,0)</f>
        <v>#N/A</v>
      </c>
      <c r="E14" s="267" t="s">
        <v>1620</v>
      </c>
      <c r="F14" s="47">
        <v>2.0</v>
      </c>
      <c r="G14" s="50">
        <f t="shared" si="1"/>
        <v>800</v>
      </c>
      <c r="H14" s="22">
        <f t="shared" si="2"/>
        <v>1</v>
      </c>
      <c r="I14" s="51" t="s">
        <v>20</v>
      </c>
    </row>
    <row r="15" ht="25.5" customHeight="1">
      <c r="A15" s="54">
        <v>12.0</v>
      </c>
      <c r="B15" s="47">
        <v>1010880.0</v>
      </c>
      <c r="C15" s="283" t="str">
        <f>vlookup(B15,'Crew data for number'!B:C,2,0)</f>
        <v>TAA5520</v>
      </c>
      <c r="D15" s="284" t="str">
        <f>vlookup(B15,'Crew Data'!C:G,5,0)</f>
        <v>Chutima Thitisantikhun</v>
      </c>
      <c r="E15" s="267" t="s">
        <v>1621</v>
      </c>
      <c r="F15" s="47">
        <v>21.0</v>
      </c>
      <c r="G15" s="50">
        <f t="shared" si="1"/>
        <v>8400</v>
      </c>
      <c r="H15" s="22">
        <f t="shared" si="2"/>
        <v>1</v>
      </c>
      <c r="I15" s="51" t="s">
        <v>20</v>
      </c>
    </row>
    <row r="16" ht="25.5" customHeight="1">
      <c r="A16" s="282">
        <v>13.0</v>
      </c>
      <c r="B16" s="47">
        <v>1022215.0</v>
      </c>
      <c r="C16" s="283" t="str">
        <f>vlookup(B16,'Crew data for number'!B:C,2,0)</f>
        <v/>
      </c>
      <c r="D16" s="284" t="str">
        <f>vlookup(B16,'Crew Data'!C:G,5,0)</f>
        <v>Porntida Yuttimi</v>
      </c>
      <c r="E16" s="269" t="s">
        <v>1622</v>
      </c>
      <c r="F16" s="47">
        <v>27.0</v>
      </c>
      <c r="G16" s="50">
        <f t="shared" si="1"/>
        <v>10800</v>
      </c>
      <c r="H16" s="22">
        <f t="shared" si="2"/>
        <v>1</v>
      </c>
      <c r="I16" s="51" t="s">
        <v>20</v>
      </c>
    </row>
    <row r="17" ht="25.5" customHeight="1">
      <c r="A17" s="54">
        <v>14.0</v>
      </c>
      <c r="B17" s="47">
        <v>1004213.0</v>
      </c>
      <c r="C17" s="283" t="str">
        <f>vlookup(B17,'Crew data for number'!B:C,2,0)</f>
        <v>TAA2674</v>
      </c>
      <c r="D17" s="284" t="str">
        <f>vlookup(B17,'Crew Data'!C:G,5,0)</f>
        <v>Worapada Suetrongmunkong</v>
      </c>
      <c r="E17" s="267" t="s">
        <v>1623</v>
      </c>
      <c r="F17" s="47">
        <v>35.0</v>
      </c>
      <c r="G17" s="50">
        <f t="shared" si="1"/>
        <v>14000</v>
      </c>
      <c r="H17" s="22">
        <f t="shared" si="2"/>
        <v>1</v>
      </c>
      <c r="I17" s="51" t="s">
        <v>20</v>
      </c>
    </row>
    <row r="18" ht="25.5" customHeight="1">
      <c r="A18" s="282">
        <v>15.0</v>
      </c>
      <c r="B18" s="47">
        <v>1004034.0</v>
      </c>
      <c r="C18" s="283" t="str">
        <f>vlookup(B18,'Crew data for number'!B:C,2,0)</f>
        <v>TAA2566</v>
      </c>
      <c r="D18" s="284" t="str">
        <f>vlookup(B18,'Crew Data'!C:G,5,0)</f>
        <v>Monthon Siribunnakul</v>
      </c>
      <c r="E18" s="267" t="s">
        <v>1615</v>
      </c>
      <c r="F18" s="47">
        <v>3.0</v>
      </c>
      <c r="G18" s="50">
        <f t="shared" si="1"/>
        <v>1200</v>
      </c>
      <c r="H18" s="22">
        <f t="shared" si="2"/>
        <v>1</v>
      </c>
      <c r="I18" s="51" t="s">
        <v>20</v>
      </c>
    </row>
    <row r="19" ht="25.5" customHeight="1">
      <c r="A19" s="54">
        <v>16.0</v>
      </c>
      <c r="B19" s="47">
        <v>1009757.0</v>
      </c>
      <c r="C19" s="283" t="str">
        <f>vlookup(B19,'Crew data for number'!B:C,2,0)</f>
        <v>TAA5127</v>
      </c>
      <c r="D19" s="284" t="str">
        <f>vlookup(B19,'Crew Data'!C:G,5,0)</f>
        <v>Pattrawan Wongchirawat</v>
      </c>
      <c r="E19" s="267" t="s">
        <v>1624</v>
      </c>
      <c r="F19" s="47">
        <v>4.0</v>
      </c>
      <c r="G19" s="50">
        <f t="shared" si="1"/>
        <v>1600</v>
      </c>
      <c r="H19" s="22">
        <f t="shared" si="2"/>
        <v>1</v>
      </c>
      <c r="I19" s="51" t="s">
        <v>20</v>
      </c>
    </row>
    <row r="20" ht="25.5" customHeight="1">
      <c r="A20" s="282">
        <v>17.0</v>
      </c>
      <c r="B20" s="47">
        <v>1001622.0</v>
      </c>
      <c r="C20" s="283" t="str">
        <f>vlookup(B20,'Crew data for number'!B:C,2,0)</f>
        <v>TAA1450</v>
      </c>
      <c r="D20" s="284" t="str">
        <f>vlookup(B20,'Crew Data'!C:G,5,0)</f>
        <v>Waraluck Meksikarin</v>
      </c>
      <c r="E20" s="268">
        <v>43647.0</v>
      </c>
      <c r="F20" s="47">
        <v>1.0</v>
      </c>
      <c r="G20" s="50">
        <f t="shared" si="1"/>
        <v>400</v>
      </c>
      <c r="H20" s="22">
        <f t="shared" si="2"/>
        <v>1</v>
      </c>
      <c r="I20" s="51" t="s">
        <v>20</v>
      </c>
    </row>
    <row r="21" ht="25.5" customHeight="1">
      <c r="A21" s="54">
        <v>18.0</v>
      </c>
      <c r="B21" s="47">
        <v>1012360.0</v>
      </c>
      <c r="C21" s="283" t="str">
        <f>vlookup(B21,'Crew data for number'!B:C,2,0)</f>
        <v>TAA6125</v>
      </c>
      <c r="D21" s="284" t="str">
        <f>vlookup(B21,'Crew Data'!C:G,5,0)</f>
        <v>Mintra Tunta-A-Riya</v>
      </c>
      <c r="E21" s="267" t="s">
        <v>1615</v>
      </c>
      <c r="F21" s="47">
        <v>3.0</v>
      </c>
      <c r="G21" s="50">
        <f t="shared" si="1"/>
        <v>1200</v>
      </c>
      <c r="H21" s="22">
        <f t="shared" si="2"/>
        <v>1</v>
      </c>
      <c r="I21" s="51" t="s">
        <v>20</v>
      </c>
    </row>
    <row r="22" ht="25.5" customHeight="1">
      <c r="A22" s="282">
        <v>19.0</v>
      </c>
      <c r="B22" s="47">
        <v>1009670.0</v>
      </c>
      <c r="C22" s="283" t="str">
        <f>vlookup(B22,'Crew data for number'!B:C,2,0)</f>
        <v>TAA5158</v>
      </c>
      <c r="D22" s="284" t="str">
        <f>vlookup(B22,'Crew Data'!C:G,5,0)</f>
        <v>Sasima Rattanasumrit</v>
      </c>
      <c r="E22" s="267" t="s">
        <v>1624</v>
      </c>
      <c r="F22" s="47">
        <v>4.0</v>
      </c>
      <c r="G22" s="50">
        <f t="shared" si="1"/>
        <v>1600</v>
      </c>
      <c r="H22" s="22">
        <f t="shared" si="2"/>
        <v>1</v>
      </c>
      <c r="I22" s="51" t="s">
        <v>20</v>
      </c>
    </row>
    <row r="23" ht="25.5" customHeight="1">
      <c r="A23" s="54">
        <v>20.0</v>
      </c>
      <c r="B23" s="47">
        <v>1007264.0</v>
      </c>
      <c r="C23" s="283" t="str">
        <f>vlookup(B23,'Crew data for number'!B:C,2,0)</f>
        <v>TAA4112</v>
      </c>
      <c r="D23" s="284" t="str">
        <f>vlookup(B23,'Crew Data'!C:G,5,0)</f>
        <v>#N/A</v>
      </c>
      <c r="E23" s="267" t="s">
        <v>1615</v>
      </c>
      <c r="F23" s="47">
        <v>3.0</v>
      </c>
      <c r="G23" s="50">
        <f t="shared" si="1"/>
        <v>1200</v>
      </c>
      <c r="H23" s="22">
        <f t="shared" si="2"/>
        <v>1</v>
      </c>
      <c r="I23" s="51" t="s">
        <v>20</v>
      </c>
    </row>
    <row r="24" ht="25.5" customHeight="1">
      <c r="A24" s="282">
        <v>21.0</v>
      </c>
      <c r="B24" s="47">
        <v>1013186.0</v>
      </c>
      <c r="C24" s="283" t="str">
        <f>vlookup(B24,'Crew data for number'!B:C,2,0)</f>
        <v>TAA6392</v>
      </c>
      <c r="D24" s="284" t="str">
        <f>vlookup(B24,'Crew Data'!C:G,5,0)</f>
        <v>Pornthiwa Promthong</v>
      </c>
      <c r="E24" s="267" t="s">
        <v>1615</v>
      </c>
      <c r="F24" s="47">
        <v>3.0</v>
      </c>
      <c r="G24" s="50">
        <f t="shared" si="1"/>
        <v>1200</v>
      </c>
      <c r="H24" s="22">
        <f t="shared" si="2"/>
        <v>1</v>
      </c>
      <c r="I24" s="51" t="s">
        <v>20</v>
      </c>
    </row>
    <row r="25" ht="25.5" customHeight="1">
      <c r="A25" s="282">
        <v>22.0</v>
      </c>
      <c r="B25" s="47">
        <v>1019204.0</v>
      </c>
      <c r="C25" s="283" t="str">
        <f>vlookup(B25,'Crew data for number'!B:C,2,0)</f>
        <v>TAA7884</v>
      </c>
      <c r="D25" s="284" t="str">
        <f>vlookup(B25,'Crew Data'!C:G,5,0)</f>
        <v>Pawika Mingmanee</v>
      </c>
      <c r="E25" s="267" t="s">
        <v>1625</v>
      </c>
      <c r="F25" s="47">
        <v>3.0</v>
      </c>
      <c r="G25" s="50">
        <f t="shared" si="1"/>
        <v>1200</v>
      </c>
      <c r="H25" s="22">
        <f t="shared" si="2"/>
        <v>1</v>
      </c>
      <c r="I25" s="51" t="s">
        <v>20</v>
      </c>
    </row>
    <row r="26" ht="25.5" customHeight="1">
      <c r="A26" s="54">
        <v>23.0</v>
      </c>
      <c r="B26" s="47">
        <v>1013188.0</v>
      </c>
      <c r="C26" s="283" t="str">
        <f>vlookup(B26,'Crew data for number'!B:C,2,0)</f>
        <v>TAA6385</v>
      </c>
      <c r="D26" s="284" t="str">
        <f>vlookup(B26,'Crew Data'!C:G,5,0)</f>
        <v>Sunisa Graiwong</v>
      </c>
      <c r="E26" s="267" t="s">
        <v>1626</v>
      </c>
      <c r="F26" s="47">
        <v>6.0</v>
      </c>
      <c r="G26" s="50">
        <f t="shared" si="1"/>
        <v>2400</v>
      </c>
      <c r="H26" s="22">
        <f t="shared" si="2"/>
        <v>1</v>
      </c>
      <c r="I26" s="51" t="s">
        <v>20</v>
      </c>
    </row>
    <row r="27" ht="25.5" customHeight="1">
      <c r="A27" s="282">
        <v>24.0</v>
      </c>
      <c r="B27" s="47">
        <v>1006858.0</v>
      </c>
      <c r="C27" s="283" t="str">
        <f>vlookup(B27,'Crew data for number'!B:C,2,0)</f>
        <v>TAA3873</v>
      </c>
      <c r="D27" s="284" t="str">
        <f>vlookup(B27,'Crew Data'!C:G,5,0)</f>
        <v>Wachiraphong Wangphisit</v>
      </c>
      <c r="E27" s="267" t="s">
        <v>1627</v>
      </c>
      <c r="F27" s="47">
        <v>8.0</v>
      </c>
      <c r="G27" s="50">
        <f t="shared" si="1"/>
        <v>3200</v>
      </c>
      <c r="H27" s="22">
        <f t="shared" si="2"/>
        <v>1</v>
      </c>
      <c r="I27" s="51" t="s">
        <v>20</v>
      </c>
    </row>
    <row r="28" ht="25.5" customHeight="1">
      <c r="A28" s="282">
        <v>25.0</v>
      </c>
      <c r="B28" s="47">
        <v>1007170.0</v>
      </c>
      <c r="C28" s="283" t="str">
        <f>vlookup(B28,'Crew data for number'!B:C,2,0)</f>
        <v>TAA4014</v>
      </c>
      <c r="D28" s="284" t="str">
        <f>vlookup(B28,'Crew Data'!C:G,5,0)</f>
        <v>Supaporn Rungroch</v>
      </c>
      <c r="E28" s="267" t="s">
        <v>1617</v>
      </c>
      <c r="F28" s="47">
        <v>4.0</v>
      </c>
      <c r="G28" s="50">
        <f t="shared" si="1"/>
        <v>1600</v>
      </c>
      <c r="H28" s="22">
        <f t="shared" si="2"/>
        <v>1</v>
      </c>
      <c r="I28" s="51" t="s">
        <v>20</v>
      </c>
    </row>
    <row r="29" ht="25.5" customHeight="1">
      <c r="A29" s="54">
        <v>26.0</v>
      </c>
      <c r="B29" s="47">
        <v>1004127.0</v>
      </c>
      <c r="C29" s="283" t="str">
        <f>vlookup(B29,'Crew data for number'!B:C,2,0)</f>
        <v>TAA2655</v>
      </c>
      <c r="D29" s="284" t="str">
        <f>vlookup(B29,'Crew Data'!C:G,5,0)</f>
        <v>Thawinun Arunnuntapanich</v>
      </c>
      <c r="E29" s="267" t="s">
        <v>1628</v>
      </c>
      <c r="F29" s="47">
        <v>58.0</v>
      </c>
      <c r="G29" s="50">
        <f t="shared" si="1"/>
        <v>23200</v>
      </c>
      <c r="H29" s="22">
        <f t="shared" si="2"/>
        <v>1</v>
      </c>
      <c r="I29" s="51" t="s">
        <v>20</v>
      </c>
    </row>
    <row r="30" ht="25.5" customHeight="1">
      <c r="A30" s="282">
        <v>27.0</v>
      </c>
      <c r="B30" s="47">
        <v>1006293.0</v>
      </c>
      <c r="C30" s="283" t="str">
        <f>vlookup(B30,'Crew data for number'!B:C,2,0)</f>
        <v>TAA3682</v>
      </c>
      <c r="D30" s="284" t="str">
        <f>vlookup(B30,'Crew Data'!C:G,5,0)</f>
        <v>Atchara Mettaraksa</v>
      </c>
      <c r="E30" s="267" t="s">
        <v>1615</v>
      </c>
      <c r="F30" s="47">
        <v>3.0</v>
      </c>
      <c r="G30" s="50">
        <f t="shared" si="1"/>
        <v>1200</v>
      </c>
      <c r="H30" s="22">
        <f t="shared" si="2"/>
        <v>1</v>
      </c>
      <c r="I30" s="51" t="s">
        <v>20</v>
      </c>
    </row>
    <row r="31" ht="25.5" customHeight="1">
      <c r="A31" s="282">
        <v>28.0</v>
      </c>
      <c r="B31" s="47">
        <v>1012155.0</v>
      </c>
      <c r="C31" s="283" t="str">
        <f>vlookup(B31,'Crew data for number'!B:C,2,0)</f>
        <v>TAA5988</v>
      </c>
      <c r="D31" s="284" t="str">
        <f>vlookup(B31,'Crew Data'!C:G,5,0)</f>
        <v>Duangsuree Krairatanalerk</v>
      </c>
      <c r="E31" s="267" t="s">
        <v>1629</v>
      </c>
      <c r="F31" s="47">
        <v>2.0</v>
      </c>
      <c r="G31" s="50">
        <f t="shared" si="1"/>
        <v>800</v>
      </c>
      <c r="H31" s="22">
        <f t="shared" si="2"/>
        <v>1</v>
      </c>
      <c r="I31" s="51" t="s">
        <v>20</v>
      </c>
    </row>
    <row r="32" ht="25.5" customHeight="1">
      <c r="A32" s="54">
        <v>29.0</v>
      </c>
      <c r="B32" s="47">
        <v>1019409.0</v>
      </c>
      <c r="C32" s="283" t="str">
        <f>vlookup(B32,'Crew data for number'!B:C,2,0)</f>
        <v>TAA7926</v>
      </c>
      <c r="D32" s="284" t="str">
        <f>vlookup(B32,'Crew Data'!C:G,5,0)</f>
        <v>Chitipat Thananitdullayaphak</v>
      </c>
      <c r="E32" s="267" t="s">
        <v>1615</v>
      </c>
      <c r="F32" s="47">
        <v>3.0</v>
      </c>
      <c r="G32" s="50">
        <f t="shared" si="1"/>
        <v>1200</v>
      </c>
      <c r="H32" s="22">
        <f t="shared" si="2"/>
        <v>1</v>
      </c>
      <c r="I32" s="51" t="s">
        <v>20</v>
      </c>
    </row>
    <row r="33" ht="25.5" customHeight="1">
      <c r="A33" s="282">
        <v>30.0</v>
      </c>
      <c r="B33" s="47">
        <v>1022697.0</v>
      </c>
      <c r="C33" s="283" t="str">
        <f>vlookup(B33,'Crew data for number'!B:C,2,0)</f>
        <v/>
      </c>
      <c r="D33" s="284" t="str">
        <f>vlookup(B33,'Crew Data'!C:G,5,0)</f>
        <v>#N/A</v>
      </c>
      <c r="E33" s="267" t="s">
        <v>1546</v>
      </c>
      <c r="F33" s="47">
        <v>30.0</v>
      </c>
      <c r="G33" s="50">
        <f t="shared" si="1"/>
        <v>12000</v>
      </c>
      <c r="H33" s="22">
        <f t="shared" si="2"/>
        <v>1</v>
      </c>
      <c r="I33" s="51" t="s">
        <v>20</v>
      </c>
    </row>
    <row r="34" ht="25.5" customHeight="1">
      <c r="A34" s="282">
        <v>31.0</v>
      </c>
      <c r="B34" s="47">
        <v>1019544.0</v>
      </c>
      <c r="C34" s="283" t="str">
        <f>vlookup(B34,'Crew data for number'!B:C,2,0)</f>
        <v>TAA7989</v>
      </c>
      <c r="D34" s="284" t="str">
        <f>vlookup(B34,'Crew Data'!C:G,5,0)</f>
        <v>#N/A</v>
      </c>
      <c r="E34" s="268">
        <v>43647.0</v>
      </c>
      <c r="F34" s="47">
        <v>1.0</v>
      </c>
      <c r="G34" s="50">
        <f t="shared" si="1"/>
        <v>400</v>
      </c>
      <c r="H34" s="22">
        <f t="shared" si="2"/>
        <v>1</v>
      </c>
      <c r="I34" s="51" t="s">
        <v>20</v>
      </c>
    </row>
    <row r="35" ht="25.5" customHeight="1">
      <c r="A35" s="54">
        <v>32.0</v>
      </c>
      <c r="B35" s="47">
        <v>1009797.0</v>
      </c>
      <c r="C35" s="283" t="str">
        <f>vlookup(B35,'Crew data for number'!B:C,2,0)</f>
        <v>TAA5149</v>
      </c>
      <c r="D35" s="284" t="str">
        <f>vlookup(B35,'Crew Data'!C:G,5,0)</f>
        <v>#N/A</v>
      </c>
      <c r="E35" s="268">
        <v>43647.0</v>
      </c>
      <c r="F35" s="47">
        <v>1.0</v>
      </c>
      <c r="G35" s="50">
        <f t="shared" si="1"/>
        <v>400</v>
      </c>
      <c r="H35" s="22">
        <f t="shared" si="2"/>
        <v>1</v>
      </c>
      <c r="I35" s="51" t="s">
        <v>20</v>
      </c>
    </row>
    <row r="36" ht="25.5" customHeight="1">
      <c r="A36" s="282">
        <v>33.0</v>
      </c>
      <c r="B36" s="47">
        <v>1015391.0</v>
      </c>
      <c r="C36" s="283" t="str">
        <f>vlookup(B36,'Crew data for number'!B:C,2,0)</f>
        <v>TAA7065</v>
      </c>
      <c r="D36" s="284" t="str">
        <f>vlookup(B36,'Crew Data'!C:G,5,0)</f>
        <v>Chintapa Sukharn</v>
      </c>
      <c r="E36" s="267" t="s">
        <v>1630</v>
      </c>
      <c r="F36" s="47">
        <v>30.0</v>
      </c>
      <c r="G36" s="50">
        <f t="shared" si="1"/>
        <v>12000</v>
      </c>
      <c r="H36" s="22">
        <f t="shared" si="2"/>
        <v>1</v>
      </c>
      <c r="I36" s="51" t="s">
        <v>20</v>
      </c>
    </row>
    <row r="37" ht="25.5" customHeight="1">
      <c r="A37" s="282">
        <v>34.0</v>
      </c>
      <c r="B37" s="47">
        <v>1006835.0</v>
      </c>
      <c r="C37" s="283" t="str">
        <f>vlookup(B37,'Crew data for number'!B:C,2,0)</f>
        <v>TAA3877</v>
      </c>
      <c r="D37" s="284" t="str">
        <f>vlookup(B37,'Crew Data'!C:G,5,0)</f>
        <v>Ketsaraporn Borvornmongkolsak</v>
      </c>
      <c r="E37" s="267" t="s">
        <v>1631</v>
      </c>
      <c r="F37" s="47">
        <v>27.0</v>
      </c>
      <c r="G37" s="50">
        <f t="shared" si="1"/>
        <v>10800</v>
      </c>
      <c r="H37" s="22">
        <f t="shared" si="2"/>
        <v>1</v>
      </c>
      <c r="I37" s="51" t="s">
        <v>20</v>
      </c>
    </row>
    <row r="38" ht="25.5" customHeight="1">
      <c r="A38" s="54">
        <v>35.0</v>
      </c>
      <c r="B38" s="47">
        <v>1012901.0</v>
      </c>
      <c r="C38" s="283" t="str">
        <f>vlookup(B38,'Crew data for number'!B:C,2,0)</f>
        <v>TAA6367</v>
      </c>
      <c r="D38" s="284" t="str">
        <f>vlookup(B38,'Crew Data'!C:G,5,0)</f>
        <v>Sandao Siriwarunrak</v>
      </c>
      <c r="E38" s="267" t="s">
        <v>1632</v>
      </c>
      <c r="F38" s="47">
        <v>31.0</v>
      </c>
      <c r="G38" s="50">
        <f t="shared" si="1"/>
        <v>12400</v>
      </c>
      <c r="H38" s="22">
        <f t="shared" si="2"/>
        <v>1</v>
      </c>
      <c r="I38" s="51" t="s">
        <v>20</v>
      </c>
    </row>
    <row r="39" ht="25.5" customHeight="1">
      <c r="A39" s="282">
        <v>36.0</v>
      </c>
      <c r="B39" s="47">
        <v>1019295.0</v>
      </c>
      <c r="C39" s="283" t="str">
        <f>vlookup(B39,'Crew data for number'!B:C,2,0)</f>
        <v>TAA7904</v>
      </c>
      <c r="D39" s="284" t="str">
        <f>vlookup(B39,'Crew Data'!C:G,5,0)</f>
        <v>Methawee Yos-in</v>
      </c>
      <c r="E39" s="267" t="s">
        <v>1558</v>
      </c>
      <c r="F39" s="47">
        <v>2.0</v>
      </c>
      <c r="G39" s="50">
        <f t="shared" si="1"/>
        <v>800</v>
      </c>
      <c r="H39" s="22">
        <f t="shared" si="2"/>
        <v>1</v>
      </c>
      <c r="I39" s="51" t="s">
        <v>20</v>
      </c>
    </row>
    <row r="40" ht="25.5" customHeight="1">
      <c r="A40" s="282">
        <v>37.0</v>
      </c>
      <c r="B40" s="47">
        <v>1012904.0</v>
      </c>
      <c r="C40" s="283" t="str">
        <f>vlookup(B40,'Crew data for number'!B:C,2,0)</f>
        <v>TAA6378</v>
      </c>
      <c r="D40" s="284" t="str">
        <f>vlookup(B40,'Crew Data'!C:G,5,0)</f>
        <v>Suteerapong Sawangwong</v>
      </c>
      <c r="E40" s="267" t="s">
        <v>1633</v>
      </c>
      <c r="F40" s="47">
        <v>29.0</v>
      </c>
      <c r="G40" s="50">
        <f t="shared" si="1"/>
        <v>11600</v>
      </c>
      <c r="H40" s="22">
        <f t="shared" si="2"/>
        <v>1</v>
      </c>
      <c r="I40" s="51" t="s">
        <v>20</v>
      </c>
    </row>
    <row r="41" ht="25.5" customHeight="1">
      <c r="A41" s="54">
        <v>38.0</v>
      </c>
      <c r="B41" s="47">
        <v>1012359.0</v>
      </c>
      <c r="C41" s="283" t="str">
        <f>vlookup(B41,'Crew data for number'!B:C,2,0)</f>
        <v>TAA6123</v>
      </c>
      <c r="D41" s="284" t="str">
        <f>vlookup(B41,'Crew Data'!C:G,5,0)</f>
        <v>Kotchakon Kanchanamethakul</v>
      </c>
      <c r="E41" s="267" t="s">
        <v>1634</v>
      </c>
      <c r="F41" s="47">
        <v>28.0</v>
      </c>
      <c r="G41" s="50">
        <f t="shared" si="1"/>
        <v>11200</v>
      </c>
      <c r="H41" s="22">
        <f t="shared" si="2"/>
        <v>1</v>
      </c>
      <c r="I41" s="51" t="s">
        <v>20</v>
      </c>
    </row>
    <row r="42" ht="25.5" customHeight="1">
      <c r="A42" s="282">
        <v>39.0</v>
      </c>
      <c r="B42" s="47">
        <v>1018977.0</v>
      </c>
      <c r="C42" s="283" t="str">
        <f>vlookup(B42,'Crew data for number'!B:C,2,0)</f>
        <v>TAA7835</v>
      </c>
      <c r="D42" s="284" t="str">
        <f>vlookup(B42,'Crew Data'!C:G,5,0)</f>
        <v>Ploypailin Chuntawong</v>
      </c>
      <c r="E42" s="267" t="s">
        <v>1635</v>
      </c>
      <c r="F42" s="47">
        <v>30.0</v>
      </c>
      <c r="G42" s="50">
        <f t="shared" si="1"/>
        <v>12000</v>
      </c>
      <c r="H42" s="22">
        <f t="shared" si="2"/>
        <v>1</v>
      </c>
      <c r="I42" s="51" t="s">
        <v>20</v>
      </c>
    </row>
    <row r="43" ht="25.5" customHeight="1">
      <c r="A43" s="282">
        <v>40.0</v>
      </c>
      <c r="B43" s="47">
        <v>1017930.0</v>
      </c>
      <c r="C43" s="283" t="str">
        <f>vlookup(B43,'Crew data for number'!B:C,2,0)</f>
        <v>TAA7534</v>
      </c>
      <c r="D43" s="284" t="str">
        <f>vlookup(B43,'Crew Data'!C:G,5,0)</f>
        <v>#N/A</v>
      </c>
      <c r="E43" s="267" t="s">
        <v>1636</v>
      </c>
      <c r="F43" s="47">
        <v>29.0</v>
      </c>
      <c r="G43" s="50">
        <f t="shared" si="1"/>
        <v>11600</v>
      </c>
      <c r="H43" s="22">
        <f t="shared" si="2"/>
        <v>1</v>
      </c>
      <c r="I43" s="51" t="s">
        <v>20</v>
      </c>
    </row>
    <row r="44" ht="25.5" customHeight="1">
      <c r="A44" s="54">
        <v>41.0</v>
      </c>
      <c r="B44" s="47">
        <v>1017932.0</v>
      </c>
      <c r="C44" s="283" t="str">
        <f>vlookup(B44,'Crew data for number'!B:C,2,0)</f>
        <v>TAA7545</v>
      </c>
      <c r="D44" s="284" t="str">
        <f>vlookup(B44,'Crew Data'!C:G,5,0)</f>
        <v>#N/A</v>
      </c>
      <c r="E44" s="267" t="s">
        <v>1632</v>
      </c>
      <c r="F44" s="47">
        <v>31.0</v>
      </c>
      <c r="G44" s="50">
        <f t="shared" si="1"/>
        <v>12400</v>
      </c>
      <c r="H44" s="22">
        <f t="shared" si="2"/>
        <v>1</v>
      </c>
      <c r="I44" s="51" t="s">
        <v>20</v>
      </c>
    </row>
    <row r="45" ht="25.5" customHeight="1">
      <c r="A45" s="282">
        <v>42.0</v>
      </c>
      <c r="B45" s="47">
        <v>1011730.0</v>
      </c>
      <c r="C45" s="283" t="str">
        <f>vlookup(B45,'Crew data for number'!B:C,2,0)</f>
        <v>TAA5814</v>
      </c>
      <c r="D45" s="284" t="str">
        <f>vlookup(B45,'Crew Data'!C:G,5,0)</f>
        <v>Keitiyot Chaisurisri</v>
      </c>
      <c r="E45" s="267" t="s">
        <v>1629</v>
      </c>
      <c r="F45" s="47">
        <v>2.0</v>
      </c>
      <c r="G45" s="50">
        <f t="shared" si="1"/>
        <v>800</v>
      </c>
      <c r="H45" s="22">
        <f t="shared" si="2"/>
        <v>1</v>
      </c>
      <c r="I45" s="51" t="s">
        <v>20</v>
      </c>
    </row>
    <row r="46" ht="25.5" customHeight="1">
      <c r="A46" s="282">
        <v>43.0</v>
      </c>
      <c r="B46" s="47">
        <v>1017653.0</v>
      </c>
      <c r="C46" s="283" t="str">
        <f>vlookup(B46,'Crew data for number'!B:C,2,0)</f>
        <v>TAA7521</v>
      </c>
      <c r="D46" s="284" t="str">
        <f>vlookup(B46,'Crew Data'!C:G,5,0)</f>
        <v>Wachiraphon Lakbun</v>
      </c>
      <c r="E46" s="267" t="s">
        <v>1637</v>
      </c>
      <c r="F46" s="47">
        <v>28.0</v>
      </c>
      <c r="G46" s="50">
        <f t="shared" si="1"/>
        <v>11200</v>
      </c>
      <c r="H46" s="22">
        <f t="shared" si="2"/>
        <v>1</v>
      </c>
      <c r="I46" s="51" t="s">
        <v>20</v>
      </c>
    </row>
    <row r="47" ht="25.5" customHeight="1">
      <c r="A47" s="54">
        <v>44.0</v>
      </c>
      <c r="B47" s="47">
        <v>1018535.0</v>
      </c>
      <c r="C47" s="283" t="str">
        <f>vlookup(B47,'Crew data for number'!B:C,2,0)</f>
        <v>TAA7767</v>
      </c>
      <c r="D47" s="284" t="str">
        <f>vlookup(B47,'Crew Data'!C:G,5,0)</f>
        <v>Nawapu Dontaolek</v>
      </c>
      <c r="E47" s="267" t="s">
        <v>1632</v>
      </c>
      <c r="F47" s="47">
        <v>31.0</v>
      </c>
      <c r="G47" s="50">
        <f t="shared" si="1"/>
        <v>12400</v>
      </c>
      <c r="H47" s="22">
        <f t="shared" si="2"/>
        <v>1</v>
      </c>
      <c r="I47" s="51" t="s">
        <v>20</v>
      </c>
    </row>
    <row r="48" ht="25.5" customHeight="1">
      <c r="A48" s="282">
        <v>45.0</v>
      </c>
      <c r="B48" s="47">
        <v>1013190.0</v>
      </c>
      <c r="C48" s="283" t="str">
        <f>vlookup(B48,'Crew data for number'!B:C,2,0)</f>
        <v>TAA6381</v>
      </c>
      <c r="D48" s="284" t="str">
        <f>vlookup(B48,'Crew Data'!C:G,5,0)</f>
        <v>Thamonwan Chokumpornpan</v>
      </c>
      <c r="E48" s="267" t="s">
        <v>1632</v>
      </c>
      <c r="F48" s="47">
        <v>31.0</v>
      </c>
      <c r="G48" s="50">
        <f t="shared" si="1"/>
        <v>12400</v>
      </c>
      <c r="H48" s="22">
        <f t="shared" si="2"/>
        <v>1</v>
      </c>
      <c r="I48" s="51" t="s">
        <v>20</v>
      </c>
    </row>
    <row r="49" ht="25.5" customHeight="1">
      <c r="A49" s="282">
        <v>46.0</v>
      </c>
      <c r="B49" s="47">
        <v>1008754.0</v>
      </c>
      <c r="C49" s="283" t="str">
        <f>vlookup(B49,'Crew data for number'!B:C,2,0)</f>
        <v>TAA4751</v>
      </c>
      <c r="D49" s="284" t="str">
        <f>vlookup(B49,'Crew Data'!C:G,5,0)</f>
        <v>Pimlapas Tanapatpongsapas</v>
      </c>
      <c r="E49" s="267" t="s">
        <v>1638</v>
      </c>
      <c r="F49" s="47">
        <v>28.0</v>
      </c>
      <c r="G49" s="50">
        <f t="shared" si="1"/>
        <v>11200</v>
      </c>
      <c r="H49" s="22">
        <f t="shared" si="2"/>
        <v>1</v>
      </c>
      <c r="I49" s="51" t="s">
        <v>20</v>
      </c>
    </row>
    <row r="50" ht="25.5" customHeight="1">
      <c r="A50" s="54">
        <v>47.0</v>
      </c>
      <c r="B50" s="47">
        <v>1018529.0</v>
      </c>
      <c r="C50" s="283" t="str">
        <f>vlookup(B50,'Crew data for number'!B:C,2,0)</f>
        <v>TAA7769</v>
      </c>
      <c r="D50" s="284" t="str">
        <f>vlookup(B50,'Crew Data'!C:G,5,0)</f>
        <v>Apichaya Bureesri</v>
      </c>
      <c r="E50" s="267" t="s">
        <v>1639</v>
      </c>
      <c r="F50" s="47">
        <v>24.0</v>
      </c>
      <c r="G50" s="50">
        <f t="shared" si="1"/>
        <v>9600</v>
      </c>
      <c r="H50" s="22">
        <f t="shared" si="2"/>
        <v>1</v>
      </c>
      <c r="I50" s="51" t="s">
        <v>20</v>
      </c>
    </row>
    <row r="51" ht="25.5" customHeight="1">
      <c r="A51" s="282">
        <v>48.0</v>
      </c>
      <c r="B51" s="47">
        <v>1015395.0</v>
      </c>
      <c r="C51" s="283" t="str">
        <f>vlookup(B51,'Crew data for number'!B:C,2,0)</f>
        <v>TAA7059</v>
      </c>
      <c r="D51" s="284" t="str">
        <f>vlookup(B51,'Crew Data'!C:G,5,0)</f>
        <v>#N/A</v>
      </c>
      <c r="E51" s="267" t="s">
        <v>1640</v>
      </c>
      <c r="F51" s="47">
        <v>28.0</v>
      </c>
      <c r="G51" s="50">
        <f t="shared" si="1"/>
        <v>11200</v>
      </c>
      <c r="H51" s="22">
        <f t="shared" si="2"/>
        <v>1</v>
      </c>
      <c r="I51" s="51" t="s">
        <v>20</v>
      </c>
    </row>
    <row r="52" ht="25.5" customHeight="1">
      <c r="A52" s="282">
        <v>49.0</v>
      </c>
      <c r="B52" s="47">
        <v>1023595.0</v>
      </c>
      <c r="C52" s="283" t="str">
        <f>vlookup(B52,'Crew data for number'!B:C,2,0)</f>
        <v/>
      </c>
      <c r="D52" s="284" t="str">
        <f>vlookup(B52,'Crew Data'!C:G,5,0)</f>
        <v>Kanokpan Tongnu</v>
      </c>
      <c r="E52" s="267" t="s">
        <v>1641</v>
      </c>
      <c r="F52" s="47">
        <v>27.0</v>
      </c>
      <c r="G52" s="50">
        <f t="shared" si="1"/>
        <v>10800</v>
      </c>
      <c r="H52" s="22">
        <f t="shared" si="2"/>
        <v>1</v>
      </c>
      <c r="I52" s="51" t="s">
        <v>20</v>
      </c>
    </row>
    <row r="53" ht="25.5" customHeight="1">
      <c r="A53" s="282">
        <v>50.0</v>
      </c>
      <c r="B53" s="47">
        <v>1015408.0</v>
      </c>
      <c r="C53" s="283" t="str">
        <f>vlookup(B53,'Crew data for number'!B:C,2,0)</f>
        <v>TAA7057</v>
      </c>
      <c r="D53" s="284" t="str">
        <f>vlookup(B53,'Crew Data'!C:G,5,0)</f>
        <v>Pornpimol Chorruengsak</v>
      </c>
      <c r="E53" s="267" t="s">
        <v>1642</v>
      </c>
      <c r="F53" s="47">
        <v>28.0</v>
      </c>
      <c r="G53" s="50">
        <f t="shared" si="1"/>
        <v>11200</v>
      </c>
      <c r="H53" s="22">
        <f t="shared" si="2"/>
        <v>1</v>
      </c>
      <c r="I53" s="51" t="s">
        <v>20</v>
      </c>
    </row>
    <row r="54" ht="25.5" customHeight="1">
      <c r="A54" s="54">
        <v>51.0</v>
      </c>
      <c r="B54" s="47">
        <v>1000341.0</v>
      </c>
      <c r="C54" s="283" t="str">
        <f>vlookup(B54,'Crew data for number'!B:C,2,0)</f>
        <v>TAA0231</v>
      </c>
      <c r="D54" s="284" t="str">
        <f>vlookup(B54,'Crew Data'!C:G,5,0)</f>
        <v>Nawatthaphorn Meechai</v>
      </c>
      <c r="E54" s="267" t="s">
        <v>1643</v>
      </c>
      <c r="F54" s="47">
        <v>26.0</v>
      </c>
      <c r="G54" s="50">
        <f t="shared" si="1"/>
        <v>10400</v>
      </c>
      <c r="H54" s="22">
        <f t="shared" si="2"/>
        <v>1</v>
      </c>
      <c r="I54" s="51" t="s">
        <v>20</v>
      </c>
    </row>
    <row r="55" ht="25.5" customHeight="1">
      <c r="A55" s="282">
        <v>52.0</v>
      </c>
      <c r="B55" s="47">
        <v>1009818.0</v>
      </c>
      <c r="C55" s="283" t="str">
        <f>vlookup(B55,'Crew data for number'!B:C,2,0)</f>
        <v>TAA5147</v>
      </c>
      <c r="D55" s="284" t="str">
        <f>vlookup(B55,'Crew Data'!C:G,5,0)</f>
        <v>#N/A</v>
      </c>
      <c r="E55" s="267" t="s">
        <v>1644</v>
      </c>
      <c r="F55" s="47">
        <v>23.0</v>
      </c>
      <c r="G55" s="50">
        <f t="shared" si="1"/>
        <v>9200</v>
      </c>
      <c r="H55" s="22">
        <f t="shared" si="2"/>
        <v>1</v>
      </c>
      <c r="I55" s="51" t="s">
        <v>20</v>
      </c>
    </row>
    <row r="56" ht="25.5" customHeight="1">
      <c r="A56" s="282">
        <v>53.0</v>
      </c>
      <c r="B56" s="47">
        <v>1012902.0</v>
      </c>
      <c r="C56" s="283" t="str">
        <f>vlookup(B56,'Crew data for number'!B:C,2,0)</f>
        <v>TAA6361</v>
      </c>
      <c r="D56" s="284" t="str">
        <f>vlookup(B56,'Crew Data'!C:G,5,0)</f>
        <v>Saowarat Sowa</v>
      </c>
      <c r="E56" s="267" t="s">
        <v>1546</v>
      </c>
      <c r="F56" s="47">
        <v>30.0</v>
      </c>
      <c r="G56" s="50">
        <f t="shared" si="1"/>
        <v>12000</v>
      </c>
      <c r="H56" s="22">
        <f t="shared" si="2"/>
        <v>1</v>
      </c>
      <c r="I56" s="51" t="s">
        <v>20</v>
      </c>
    </row>
    <row r="57" ht="25.5" customHeight="1">
      <c r="A57" s="54">
        <v>54.0</v>
      </c>
      <c r="B57" s="47">
        <v>1004206.0</v>
      </c>
      <c r="C57" s="283" t="str">
        <f>vlookup(B57,'Crew data for number'!B:C,2,0)</f>
        <v>TAA2692</v>
      </c>
      <c r="D57" s="284" t="str">
        <f>vlookup(B57,'Crew Data'!C:G,5,0)</f>
        <v>Pitikan Siwapathomchai</v>
      </c>
      <c r="E57" s="267" t="s">
        <v>1632</v>
      </c>
      <c r="F57" s="47">
        <v>31.0</v>
      </c>
      <c r="G57" s="50">
        <f t="shared" si="1"/>
        <v>12400</v>
      </c>
      <c r="H57" s="22">
        <f t="shared" si="2"/>
        <v>1</v>
      </c>
      <c r="I57" s="51" t="s">
        <v>20</v>
      </c>
    </row>
    <row r="58" ht="25.5" customHeight="1">
      <c r="A58" s="282">
        <v>55.0</v>
      </c>
      <c r="B58" s="47">
        <v>1001312.0</v>
      </c>
      <c r="C58" s="283" t="str">
        <f>vlookup(B58,'Crew data for number'!B:C,2,0)</f>
        <v>TAA1289</v>
      </c>
      <c r="D58" s="284" t="str">
        <f>vlookup(B58,'Crew Data'!C:G,5,0)</f>
        <v>Rattanapat Rattanaviroj</v>
      </c>
      <c r="E58" s="267" t="s">
        <v>1632</v>
      </c>
      <c r="F58" s="47">
        <v>31.0</v>
      </c>
      <c r="G58" s="50">
        <f t="shared" si="1"/>
        <v>12400</v>
      </c>
      <c r="H58" s="22">
        <f t="shared" si="2"/>
        <v>1</v>
      </c>
      <c r="I58" s="51" t="s">
        <v>20</v>
      </c>
    </row>
    <row r="59" ht="25.5" customHeight="1">
      <c r="A59" s="282">
        <v>56.0</v>
      </c>
      <c r="B59" s="47">
        <v>1015410.0</v>
      </c>
      <c r="C59" s="283" t="str">
        <f>vlookup(B59,'Crew data for number'!B:C,2,0)</f>
        <v>TAA7060</v>
      </c>
      <c r="D59" s="284" t="str">
        <f>vlookup(B59,'Crew Data'!C:G,5,0)</f>
        <v>#N/A</v>
      </c>
      <c r="E59" s="268">
        <v>43647.0</v>
      </c>
      <c r="F59" s="47">
        <v>1.0</v>
      </c>
      <c r="G59" s="50">
        <f t="shared" si="1"/>
        <v>400</v>
      </c>
      <c r="H59" s="22">
        <f t="shared" si="2"/>
        <v>1</v>
      </c>
      <c r="I59" s="51" t="s">
        <v>20</v>
      </c>
    </row>
    <row r="60" ht="25.5" customHeight="1">
      <c r="A60" s="282">
        <v>57.0</v>
      </c>
      <c r="B60" s="47">
        <v>1007013.0</v>
      </c>
      <c r="C60" s="283" t="str">
        <f>vlookup(B60,'Crew data for number'!B:C,2,0)</f>
        <v>TAA3972</v>
      </c>
      <c r="D60" s="284" t="str">
        <f>vlookup(B60,'Crew Data'!C:G,5,0)</f>
        <v>Pattamaporn Thamasathitporn</v>
      </c>
      <c r="E60" s="267" t="s">
        <v>1645</v>
      </c>
      <c r="F60" s="47">
        <v>23.0</v>
      </c>
      <c r="G60" s="50">
        <f t="shared" si="1"/>
        <v>9200</v>
      </c>
      <c r="H60" s="22">
        <f t="shared" si="2"/>
        <v>1</v>
      </c>
      <c r="I60" s="51" t="s">
        <v>20</v>
      </c>
    </row>
    <row r="61" ht="25.5" customHeight="1">
      <c r="A61" s="54">
        <v>58.0</v>
      </c>
      <c r="B61" s="47">
        <v>1012365.0</v>
      </c>
      <c r="C61" s="283" t="str">
        <f>vlookup(B61,'Crew data for number'!B:C,2,0)</f>
        <v>TAA6137</v>
      </c>
      <c r="D61" s="284" t="str">
        <f>vlookup(B61,'Crew Data'!C:G,5,0)</f>
        <v>Manassaphorn Boonprasertwattana</v>
      </c>
      <c r="E61" s="267" t="s">
        <v>1632</v>
      </c>
      <c r="F61" s="47">
        <v>31.0</v>
      </c>
      <c r="G61" s="50">
        <f t="shared" si="1"/>
        <v>12400</v>
      </c>
      <c r="H61" s="22">
        <f t="shared" si="2"/>
        <v>1</v>
      </c>
      <c r="I61" s="51" t="s">
        <v>20</v>
      </c>
    </row>
    <row r="62" ht="25.5" customHeight="1">
      <c r="A62" s="282">
        <v>59.0</v>
      </c>
      <c r="B62" s="47">
        <v>1007336.0</v>
      </c>
      <c r="C62" s="283" t="str">
        <f>vlookup(B62,'Crew data for number'!B:C,2,0)</f>
        <v>TAA4060</v>
      </c>
      <c r="D62" s="284" t="str">
        <f>vlookup(B62,'Crew Data'!C:G,5,0)</f>
        <v>#N/A</v>
      </c>
      <c r="E62" s="267" t="s">
        <v>1646</v>
      </c>
      <c r="F62" s="47">
        <v>19.0</v>
      </c>
      <c r="G62" s="50">
        <f t="shared" si="1"/>
        <v>7600</v>
      </c>
      <c r="H62" s="22">
        <f t="shared" si="2"/>
        <v>1</v>
      </c>
      <c r="I62" s="51" t="s">
        <v>20</v>
      </c>
    </row>
    <row r="63" ht="25.5" customHeight="1">
      <c r="A63" s="282">
        <v>60.0</v>
      </c>
      <c r="B63" s="47">
        <v>1009768.0</v>
      </c>
      <c r="C63" s="283" t="str">
        <f>vlookup(B63,'Crew data for number'!B:C,2,0)</f>
        <v>TAA5135</v>
      </c>
      <c r="D63" s="284" t="str">
        <f>vlookup(B63,'Crew Data'!C:G,5,0)</f>
        <v>Thidech Eakmongkollert</v>
      </c>
      <c r="E63" s="267" t="s">
        <v>1632</v>
      </c>
      <c r="F63" s="47">
        <v>31.0</v>
      </c>
      <c r="G63" s="50">
        <f t="shared" si="1"/>
        <v>12400</v>
      </c>
      <c r="H63" s="22">
        <f t="shared" si="2"/>
        <v>1</v>
      </c>
      <c r="I63" s="51" t="s">
        <v>20</v>
      </c>
    </row>
    <row r="64" ht="25.5" customHeight="1">
      <c r="A64" s="54">
        <v>61.0</v>
      </c>
      <c r="B64" s="47">
        <v>1006844.0</v>
      </c>
      <c r="C64" s="283" t="str">
        <f>vlookup(B64,'Crew data for number'!B:C,2,0)</f>
        <v>TAA3874</v>
      </c>
      <c r="D64" s="284" t="str">
        <f>vlookup(B64,'Crew Data'!C:G,5,0)</f>
        <v>Rada Nilyam</v>
      </c>
      <c r="E64" s="267" t="s">
        <v>1632</v>
      </c>
      <c r="F64" s="47">
        <v>31.0</v>
      </c>
      <c r="G64" s="50">
        <f t="shared" si="1"/>
        <v>12400</v>
      </c>
      <c r="H64" s="22">
        <f t="shared" si="2"/>
        <v>1</v>
      </c>
      <c r="I64" s="51" t="s">
        <v>20</v>
      </c>
    </row>
    <row r="65" ht="25.5" customHeight="1">
      <c r="A65" s="282">
        <v>62.0</v>
      </c>
      <c r="B65" s="47">
        <v>1005762.0</v>
      </c>
      <c r="C65" s="283" t="str">
        <f>vlookup(B65,'Crew data for number'!B:C,2,0)</f>
        <v>TAA3387</v>
      </c>
      <c r="D65" s="284" t="str">
        <f>vlookup(B65,'Crew Data'!C:G,5,0)</f>
        <v>Photchara Srisuk</v>
      </c>
      <c r="E65" s="267" t="s">
        <v>1647</v>
      </c>
      <c r="F65" s="47">
        <v>30.0</v>
      </c>
      <c r="G65" s="50">
        <f t="shared" si="1"/>
        <v>12000</v>
      </c>
      <c r="H65" s="22">
        <f t="shared" si="2"/>
        <v>1</v>
      </c>
      <c r="I65" s="51" t="s">
        <v>20</v>
      </c>
    </row>
    <row r="66" ht="25.5" customHeight="1">
      <c r="A66" s="282">
        <v>63.0</v>
      </c>
      <c r="B66" s="47">
        <v>1012188.0</v>
      </c>
      <c r="C66" s="283" t="str">
        <f>vlookup(B66,'Crew data for number'!B:C,2,0)</f>
        <v>TAA6172</v>
      </c>
      <c r="D66" s="284" t="str">
        <f>vlookup(B66,'Crew Data'!C:G,5,0)</f>
        <v>Warut Sritham</v>
      </c>
      <c r="E66" s="267" t="s">
        <v>1648</v>
      </c>
      <c r="F66" s="47">
        <v>27.0</v>
      </c>
      <c r="G66" s="50">
        <f t="shared" si="1"/>
        <v>10800</v>
      </c>
      <c r="H66" s="22">
        <f t="shared" si="2"/>
        <v>1</v>
      </c>
      <c r="I66" s="51" t="s">
        <v>20</v>
      </c>
    </row>
    <row r="67" ht="25.5" customHeight="1">
      <c r="A67" s="282">
        <v>64.0</v>
      </c>
      <c r="B67" s="47">
        <v>1015406.0</v>
      </c>
      <c r="C67" s="283" t="str">
        <f>vlookup(B67,'Crew data for number'!B:C,2,0)</f>
        <v>TAA7064</v>
      </c>
      <c r="D67" s="284" t="str">
        <f>vlookup(B67,'Crew Data'!C:G,5,0)</f>
        <v>Perati Ardwong</v>
      </c>
      <c r="E67" s="267" t="s">
        <v>1649</v>
      </c>
      <c r="F67" s="47">
        <v>29.0</v>
      </c>
      <c r="G67" s="50">
        <f t="shared" si="1"/>
        <v>11600</v>
      </c>
      <c r="H67" s="22">
        <f t="shared" si="2"/>
        <v>1</v>
      </c>
      <c r="I67" s="51" t="s">
        <v>20</v>
      </c>
    </row>
    <row r="68" ht="25.5" customHeight="1">
      <c r="A68" s="282">
        <v>65.0</v>
      </c>
      <c r="B68" s="47">
        <v>1018806.0</v>
      </c>
      <c r="C68" s="283" t="str">
        <f>vlookup(B68,'Crew data for number'!B:C,2,0)</f>
        <v>TAA7827</v>
      </c>
      <c r="D68" s="284" t="str">
        <f>vlookup(B68,'Crew Data'!C:G,5,0)</f>
        <v>Penrat Srinawakul</v>
      </c>
      <c r="E68" s="267" t="s">
        <v>1650</v>
      </c>
      <c r="F68" s="47">
        <v>29.0</v>
      </c>
      <c r="G68" s="50">
        <f t="shared" si="1"/>
        <v>11600</v>
      </c>
      <c r="H68" s="22">
        <f t="shared" si="2"/>
        <v>1</v>
      </c>
      <c r="I68" s="51" t="s">
        <v>20</v>
      </c>
    </row>
    <row r="69" ht="25.5" customHeight="1">
      <c r="A69" s="54">
        <v>66.0</v>
      </c>
      <c r="B69" s="47">
        <v>1019299.0</v>
      </c>
      <c r="C69" s="283" t="str">
        <f>vlookup(B69,'Crew data for number'!B:C,2,0)</f>
        <v>TAA7905</v>
      </c>
      <c r="D69" s="284" t="str">
        <f>vlookup(B69,'Crew Data'!C:G,5,0)</f>
        <v>Phattaraporn Jindapol</v>
      </c>
      <c r="E69" s="267" t="s">
        <v>1651</v>
      </c>
      <c r="F69" s="47">
        <v>28.0</v>
      </c>
      <c r="G69" s="50">
        <f t="shared" si="1"/>
        <v>11200</v>
      </c>
      <c r="H69" s="22">
        <f t="shared" si="2"/>
        <v>1</v>
      </c>
      <c r="I69" s="51" t="s">
        <v>20</v>
      </c>
    </row>
    <row r="70" ht="25.5" customHeight="1">
      <c r="A70" s="282">
        <v>67.0</v>
      </c>
      <c r="B70" s="47">
        <v>1011705.0</v>
      </c>
      <c r="C70" s="283" t="str">
        <f>vlookup(B70,'Crew data for number'!B:C,2,0)</f>
        <v>TAA6150</v>
      </c>
      <c r="D70" s="284" t="str">
        <f>vlookup(B70,'Crew Data'!C:G,5,0)</f>
        <v>Nattika Naephimai</v>
      </c>
      <c r="E70" s="267" t="s">
        <v>1652</v>
      </c>
      <c r="F70" s="47">
        <v>25.0</v>
      </c>
      <c r="G70" s="50">
        <f t="shared" si="1"/>
        <v>10000</v>
      </c>
      <c r="H70" s="22">
        <f t="shared" si="2"/>
        <v>1</v>
      </c>
      <c r="I70" s="51" t="s">
        <v>20</v>
      </c>
    </row>
    <row r="71" ht="25.5" customHeight="1">
      <c r="A71" s="282">
        <v>68.0</v>
      </c>
      <c r="B71" s="47">
        <v>1001036.0</v>
      </c>
      <c r="C71" s="283" t="str">
        <f>vlookup(B71,'Crew data for number'!B:C,2,0)</f>
        <v>TAA1073</v>
      </c>
      <c r="D71" s="284" t="str">
        <f>vlookup(B71,'Crew Data'!C:G,5,0)</f>
        <v>#N/A</v>
      </c>
      <c r="E71" s="267" t="s">
        <v>1653</v>
      </c>
      <c r="F71" s="47">
        <v>28.0</v>
      </c>
      <c r="G71" s="50">
        <f t="shared" si="1"/>
        <v>11200</v>
      </c>
      <c r="H71" s="22">
        <f t="shared" si="2"/>
        <v>1</v>
      </c>
      <c r="I71" s="51" t="s">
        <v>20</v>
      </c>
    </row>
    <row r="72" ht="25.5" customHeight="1">
      <c r="A72" s="54">
        <v>69.0</v>
      </c>
      <c r="B72" s="47">
        <v>1006850.0</v>
      </c>
      <c r="C72" s="283" t="str">
        <f>vlookup(B72,'Crew data for number'!B:C,2,0)</f>
        <v>TAA4446</v>
      </c>
      <c r="D72" s="284" t="str">
        <f>vlookup(B72,'Crew Data'!C:G,5,0)</f>
        <v>Tanapat Srimuang</v>
      </c>
      <c r="E72" s="267" t="s">
        <v>1632</v>
      </c>
      <c r="F72" s="47">
        <v>31.0</v>
      </c>
      <c r="G72" s="50">
        <f t="shared" si="1"/>
        <v>12400</v>
      </c>
      <c r="H72" s="22">
        <f t="shared" si="2"/>
        <v>1</v>
      </c>
      <c r="I72" s="51" t="s">
        <v>20</v>
      </c>
    </row>
    <row r="73" ht="25.5" customHeight="1">
      <c r="A73" s="282">
        <v>70.0</v>
      </c>
      <c r="B73" s="47">
        <v>1009306.0</v>
      </c>
      <c r="C73" s="283" t="str">
        <f>vlookup(B73,'Crew data for number'!B:C,2,0)</f>
        <v>TAA5464</v>
      </c>
      <c r="D73" s="284" t="str">
        <f>vlookup(B73,'Crew Data'!C:G,5,0)</f>
        <v>Noppawan Yoosamran</v>
      </c>
      <c r="E73" s="267" t="s">
        <v>1546</v>
      </c>
      <c r="F73" s="47">
        <v>30.0</v>
      </c>
      <c r="G73" s="50">
        <f t="shared" si="1"/>
        <v>12000</v>
      </c>
      <c r="H73" s="22">
        <f t="shared" si="2"/>
        <v>1</v>
      </c>
      <c r="I73" s="51" t="s">
        <v>20</v>
      </c>
    </row>
    <row r="74" ht="25.5" customHeight="1">
      <c r="A74" s="282">
        <v>71.0</v>
      </c>
      <c r="B74" s="47">
        <v>1005296.0</v>
      </c>
      <c r="C74" s="283" t="str">
        <f>vlookup(B74,'Crew data for number'!B:C,2,0)</f>
        <v>TAA3197</v>
      </c>
      <c r="D74" s="284" t="str">
        <f>vlookup(B74,'Crew Data'!C:G,5,0)</f>
        <v>#N/A</v>
      </c>
      <c r="E74" s="267" t="s">
        <v>1654</v>
      </c>
      <c r="F74" s="47">
        <v>5.0</v>
      </c>
      <c r="G74" s="50">
        <f t="shared" si="1"/>
        <v>2000</v>
      </c>
      <c r="H74" s="22">
        <f t="shared" si="2"/>
        <v>1</v>
      </c>
      <c r="I74" s="51" t="s">
        <v>20</v>
      </c>
    </row>
    <row r="75" ht="25.5" customHeight="1">
      <c r="A75" s="282">
        <v>72.0</v>
      </c>
      <c r="B75" s="47">
        <v>1012892.0</v>
      </c>
      <c r="C75" s="283" t="str">
        <f>vlookup(B75,'Crew data for number'!B:C,2,0)</f>
        <v>TAA6371</v>
      </c>
      <c r="D75" s="284" t="str">
        <f>vlookup(B75,'Crew Data'!C:G,5,0)</f>
        <v>Apinya Phiphatwatanarkul</v>
      </c>
      <c r="E75" s="267" t="s">
        <v>1655</v>
      </c>
      <c r="F75" s="47">
        <v>28.0</v>
      </c>
      <c r="G75" s="50">
        <f t="shared" si="1"/>
        <v>11200</v>
      </c>
      <c r="H75" s="22">
        <f t="shared" si="2"/>
        <v>1</v>
      </c>
      <c r="I75" s="51" t="s">
        <v>20</v>
      </c>
    </row>
    <row r="76" ht="25.5" customHeight="1">
      <c r="A76" s="54">
        <v>73.0</v>
      </c>
      <c r="B76" s="47">
        <v>1007556.0</v>
      </c>
      <c r="C76" s="283" t="str">
        <f>vlookup(B76,'Crew data for number'!B:C,2,0)</f>
        <v>TAA4757</v>
      </c>
      <c r="D76" s="284" t="str">
        <f>vlookup(B76,'Crew Data'!C:G,5,0)</f>
        <v>#N/A</v>
      </c>
      <c r="E76" s="267" t="s">
        <v>1656</v>
      </c>
      <c r="F76" s="47">
        <v>25.0</v>
      </c>
      <c r="G76" s="50">
        <f t="shared" si="1"/>
        <v>10000</v>
      </c>
      <c r="H76" s="22">
        <f t="shared" si="2"/>
        <v>1</v>
      </c>
      <c r="I76" s="51" t="s">
        <v>20</v>
      </c>
    </row>
    <row r="77" ht="25.5" customHeight="1">
      <c r="A77" s="282">
        <v>74.0</v>
      </c>
      <c r="B77" s="47">
        <v>1011518.0</v>
      </c>
      <c r="C77" s="283" t="str">
        <f>vlookup(B77,'Crew data for number'!B:C,2,0)</f>
        <v>TAA5736</v>
      </c>
      <c r="D77" s="284" t="str">
        <f>vlookup(B77,'Crew Data'!C:G,5,0)</f>
        <v>Wongsakorn Naokaew</v>
      </c>
      <c r="E77" s="267" t="s">
        <v>1632</v>
      </c>
      <c r="F77" s="47">
        <v>31.0</v>
      </c>
      <c r="G77" s="50">
        <f t="shared" si="1"/>
        <v>12400</v>
      </c>
      <c r="H77" s="22">
        <f t="shared" si="2"/>
        <v>1</v>
      </c>
      <c r="I77" s="51" t="s">
        <v>20</v>
      </c>
    </row>
    <row r="78" ht="25.5" customHeight="1">
      <c r="A78" s="282">
        <v>75.0</v>
      </c>
      <c r="B78" s="47">
        <v>1017655.0</v>
      </c>
      <c r="C78" s="283" t="str">
        <f>vlookup(B78,'Crew data for number'!B:C,2,0)</f>
        <v>TAA7522</v>
      </c>
      <c r="D78" s="284" t="str">
        <f>vlookup(B78,'Crew Data'!C:G,5,0)</f>
        <v>Waris Suaprasert</v>
      </c>
      <c r="E78" s="267" t="s">
        <v>1657</v>
      </c>
      <c r="F78" s="47">
        <v>26.0</v>
      </c>
      <c r="G78" s="50">
        <f t="shared" si="1"/>
        <v>10400</v>
      </c>
      <c r="H78" s="22">
        <f t="shared" si="2"/>
        <v>1</v>
      </c>
      <c r="I78" s="51" t="s">
        <v>20</v>
      </c>
    </row>
    <row r="79" ht="25.5" customHeight="1">
      <c r="A79" s="54">
        <v>76.0</v>
      </c>
      <c r="B79" s="47">
        <v>1014670.0</v>
      </c>
      <c r="C79" s="283" t="str">
        <f>vlookup(B79,'Crew data for number'!B:C,2,0)</f>
        <v>TAA7086</v>
      </c>
      <c r="D79" s="284" t="str">
        <f>vlookup(B79,'Crew Data'!C:G,5,0)</f>
        <v>Napapat Suwannawong</v>
      </c>
      <c r="E79" s="267" t="s">
        <v>1632</v>
      </c>
      <c r="F79" s="47">
        <v>31.0</v>
      </c>
      <c r="G79" s="50">
        <f t="shared" si="1"/>
        <v>12400</v>
      </c>
      <c r="H79" s="22">
        <f t="shared" si="2"/>
        <v>1</v>
      </c>
      <c r="I79" s="51" t="s">
        <v>20</v>
      </c>
    </row>
    <row r="80" ht="25.5" customHeight="1">
      <c r="A80" s="282">
        <v>77.0</v>
      </c>
      <c r="B80" s="47">
        <v>1001914.0</v>
      </c>
      <c r="C80" s="283" t="str">
        <f>vlookup(B80,'Crew data for number'!B:C,2,0)</f>
        <v>TAA1731</v>
      </c>
      <c r="D80" s="284" t="str">
        <f>vlookup(B80,'Crew Data'!C:G,5,0)</f>
        <v>Arthitaya Srisopon</v>
      </c>
      <c r="E80" s="267" t="s">
        <v>1658</v>
      </c>
      <c r="F80" s="47">
        <v>16.0</v>
      </c>
      <c r="G80" s="50">
        <f t="shared" si="1"/>
        <v>6400</v>
      </c>
      <c r="H80" s="22">
        <f t="shared" si="2"/>
        <v>1</v>
      </c>
      <c r="I80" s="51" t="s">
        <v>20</v>
      </c>
    </row>
    <row r="81" ht="25.5" customHeight="1">
      <c r="A81" s="282">
        <v>78.0</v>
      </c>
      <c r="B81" s="47">
        <v>1004764.0</v>
      </c>
      <c r="C81" s="283" t="str">
        <f>vlookup(B81,'Crew data for number'!B:C,2,0)</f>
        <v>TAA2965</v>
      </c>
      <c r="D81" s="284" t="str">
        <f>vlookup(B81,'Crew Data'!C:G,5,0)</f>
        <v>Wakulnatt Santipiyakul</v>
      </c>
      <c r="E81" s="267" t="s">
        <v>1659</v>
      </c>
      <c r="F81" s="47">
        <v>28.0</v>
      </c>
      <c r="G81" s="50">
        <f t="shared" si="1"/>
        <v>11200</v>
      </c>
      <c r="H81" s="22">
        <f t="shared" si="2"/>
        <v>1</v>
      </c>
      <c r="I81" s="51" t="s">
        <v>20</v>
      </c>
    </row>
    <row r="82" ht="25.5" customHeight="1">
      <c r="A82" s="282">
        <v>79.0</v>
      </c>
      <c r="B82" s="47">
        <v>1015090.0</v>
      </c>
      <c r="C82" s="283" t="str">
        <f>vlookup(B82,'Crew data for number'!B:C,2,0)</f>
        <v>TAA7007</v>
      </c>
      <c r="D82" s="284" t="str">
        <f>vlookup(B82,'Crew Data'!C:G,5,0)</f>
        <v>#N/A</v>
      </c>
      <c r="E82" s="267" t="s">
        <v>1660</v>
      </c>
      <c r="F82" s="47">
        <v>28.0</v>
      </c>
      <c r="G82" s="50">
        <f t="shared" si="1"/>
        <v>11200</v>
      </c>
      <c r="H82" s="22">
        <f t="shared" si="2"/>
        <v>1</v>
      </c>
      <c r="I82" s="51" t="s">
        <v>20</v>
      </c>
    </row>
    <row r="83" ht="25.5" customHeight="1">
      <c r="A83" s="54">
        <v>80.0</v>
      </c>
      <c r="B83" s="47">
        <v>1001837.0</v>
      </c>
      <c r="C83" s="283" t="str">
        <f>vlookup(B83,'Crew data for number'!B:C,2,0)</f>
        <v>TAA1953</v>
      </c>
      <c r="D83" s="284" t="str">
        <f>vlookup(B83,'Crew Data'!C:G,5,0)</f>
        <v>Taralan Jareemuk</v>
      </c>
      <c r="E83" s="267" t="s">
        <v>1661</v>
      </c>
      <c r="F83" s="47">
        <v>29.0</v>
      </c>
      <c r="G83" s="50">
        <f t="shared" si="1"/>
        <v>11600</v>
      </c>
      <c r="H83" s="22">
        <f t="shared" si="2"/>
        <v>1</v>
      </c>
      <c r="I83" s="51" t="s">
        <v>20</v>
      </c>
    </row>
    <row r="84" ht="25.5" customHeight="1">
      <c r="A84" s="282">
        <v>81.0</v>
      </c>
      <c r="B84" s="47">
        <v>1006860.0</v>
      </c>
      <c r="C84" s="283" t="str">
        <f>vlookup(B84,'Crew data for number'!B:C,2,0)</f>
        <v>TAA3883</v>
      </c>
      <c r="D84" s="284" t="str">
        <f>vlookup(B84,'Crew Data'!C:G,5,0)</f>
        <v>#N/A</v>
      </c>
      <c r="E84" s="267" t="s">
        <v>1662</v>
      </c>
      <c r="F84" s="47">
        <v>30.0</v>
      </c>
      <c r="G84" s="50">
        <f t="shared" si="1"/>
        <v>12000</v>
      </c>
      <c r="H84" s="22">
        <f t="shared" si="2"/>
        <v>1</v>
      </c>
      <c r="I84" s="51" t="s">
        <v>20</v>
      </c>
    </row>
    <row r="85" ht="25.5" customHeight="1">
      <c r="A85" s="282">
        <v>82.0</v>
      </c>
      <c r="B85" s="47">
        <v>1015097.0</v>
      </c>
      <c r="C85" s="283" t="str">
        <f>vlookup(B85,'Crew data for number'!B:C,2,0)</f>
        <v>TAA7013</v>
      </c>
      <c r="D85" s="284" t="str">
        <f>vlookup(B85,'Crew Data'!C:G,5,0)</f>
        <v>#N/A</v>
      </c>
      <c r="E85" s="267" t="s">
        <v>1546</v>
      </c>
      <c r="F85" s="47">
        <v>30.0</v>
      </c>
      <c r="G85" s="50">
        <f t="shared" si="1"/>
        <v>12000</v>
      </c>
      <c r="H85" s="22">
        <f t="shared" si="2"/>
        <v>1</v>
      </c>
      <c r="I85" s="51" t="s">
        <v>20</v>
      </c>
    </row>
    <row r="86" ht="25.5" customHeight="1">
      <c r="A86" s="54">
        <v>83.0</v>
      </c>
      <c r="B86" s="47">
        <v>1011501.0</v>
      </c>
      <c r="C86" s="283" t="str">
        <f>vlookup(B86,'Crew data for number'!B:C,2,0)</f>
        <v>TAA5879</v>
      </c>
      <c r="D86" s="284" t="str">
        <f>vlookup(B86,'Crew Data'!C:G,5,0)</f>
        <v>Jinbulla Pranom</v>
      </c>
      <c r="E86" s="267" t="s">
        <v>1663</v>
      </c>
      <c r="F86" s="47">
        <v>2.0</v>
      </c>
      <c r="G86" s="50">
        <f t="shared" si="1"/>
        <v>800</v>
      </c>
      <c r="H86" s="22">
        <f t="shared" si="2"/>
        <v>1</v>
      </c>
      <c r="I86" s="51" t="s">
        <v>20</v>
      </c>
    </row>
    <row r="87" ht="25.5" customHeight="1">
      <c r="A87" s="282">
        <v>84.0</v>
      </c>
      <c r="B87" s="47">
        <v>1001236.0</v>
      </c>
      <c r="C87" s="283" t="str">
        <f>vlookup(B87,'Crew data for number'!B:C,2,0)</f>
        <v>TAA1567</v>
      </c>
      <c r="D87" s="284" t="str">
        <f>vlookup(B87,'Crew Data'!C:G,5,0)</f>
        <v>Tananchakorn Nonthapak</v>
      </c>
      <c r="E87" s="267" t="s">
        <v>1662</v>
      </c>
      <c r="F87" s="47">
        <v>30.0</v>
      </c>
      <c r="G87" s="50">
        <f t="shared" si="1"/>
        <v>12000</v>
      </c>
      <c r="H87" s="22">
        <f t="shared" si="2"/>
        <v>1</v>
      </c>
      <c r="I87" s="51" t="s">
        <v>20</v>
      </c>
    </row>
    <row r="88" ht="15.0" customHeight="1">
      <c r="A88" s="289"/>
      <c r="B88" s="289"/>
      <c r="C88" s="289"/>
      <c r="D88" s="289"/>
      <c r="E88" s="289"/>
      <c r="F88" s="289"/>
      <c r="G88" s="289"/>
      <c r="H88" s="289"/>
      <c r="I88" s="289"/>
      <c r="J88" s="289"/>
      <c r="K88" s="289"/>
      <c r="L88" s="289"/>
      <c r="M88" s="289"/>
      <c r="N88" s="289"/>
      <c r="O88" s="289"/>
      <c r="P88" s="289"/>
      <c r="Q88" s="289"/>
      <c r="R88" s="289"/>
      <c r="S88" s="289"/>
      <c r="T88" s="289"/>
      <c r="U88" s="289"/>
      <c r="V88" s="289"/>
      <c r="W88" s="289"/>
      <c r="X88" s="289"/>
      <c r="Y88" s="289"/>
      <c r="Z88" s="289"/>
      <c r="AA88" s="289"/>
    </row>
    <row r="89" ht="25.5" customHeight="1">
      <c r="A89" s="265" t="s">
        <v>1183</v>
      </c>
      <c r="B89" s="252"/>
      <c r="C89" s="253"/>
    </row>
    <row r="90" ht="25.5" customHeight="1">
      <c r="A90" s="254" t="s">
        <v>1153</v>
      </c>
      <c r="B90" s="255" t="s">
        <v>1154</v>
      </c>
      <c r="C90" s="256" t="s">
        <v>1155</v>
      </c>
    </row>
    <row r="91" ht="25.5" customHeight="1">
      <c r="A91" s="257" t="s">
        <v>1156</v>
      </c>
      <c r="B91" s="258" t="s">
        <v>1157</v>
      </c>
      <c r="C91" s="259" t="s">
        <v>1158</v>
      </c>
    </row>
    <row r="92" ht="25.5" customHeight="1">
      <c r="A92" s="257" t="s">
        <v>1159</v>
      </c>
      <c r="B92" s="258" t="s">
        <v>1157</v>
      </c>
      <c r="C92" s="259" t="s">
        <v>1158</v>
      </c>
    </row>
    <row r="93" ht="25.5" customHeight="1">
      <c r="A93" s="257" t="s">
        <v>1160</v>
      </c>
      <c r="B93" s="260" t="s">
        <v>1157</v>
      </c>
      <c r="C93" s="259" t="s">
        <v>1158</v>
      </c>
    </row>
    <row r="94" ht="25.5" customHeight="1">
      <c r="A94" s="31"/>
      <c r="B94" s="31"/>
      <c r="C94" s="31"/>
    </row>
    <row r="95" ht="25.5" customHeight="1">
      <c r="A95" s="261" t="s">
        <v>1664</v>
      </c>
      <c r="B95" s="262"/>
      <c r="C95" s="31"/>
    </row>
    <row r="96" ht="25.5" customHeight="1"/>
    <row r="97" ht="25.5" customHeight="1"/>
    <row r="98" ht="25.5" customHeight="1"/>
    <row r="99" ht="25.5" customHeight="1"/>
    <row r="100" ht="25.5" customHeight="1"/>
    <row r="101" ht="25.5" customHeight="1"/>
    <row r="102" ht="25.5" customHeight="1"/>
    <row r="103" ht="25.5" customHeight="1"/>
    <row r="104" ht="25.5" customHeight="1"/>
    <row r="105" ht="25.5" customHeight="1"/>
    <row r="106" ht="25.5" customHeight="1"/>
    <row r="107" ht="25.5" customHeight="1"/>
    <row r="108" ht="25.5" customHeight="1"/>
    <row r="109" ht="25.5" customHeight="1"/>
    <row r="110" ht="25.5" customHeight="1"/>
    <row r="111" ht="25.5" customHeight="1"/>
    <row r="112" ht="25.5" customHeight="1"/>
    <row r="113" ht="25.5" customHeight="1"/>
    <row r="114" ht="25.5" customHeight="1"/>
    <row r="115" ht="25.5" customHeight="1"/>
    <row r="116" ht="25.5" customHeight="1"/>
    <row r="117" ht="25.5" customHeight="1"/>
    <row r="118" ht="25.5" customHeight="1"/>
    <row r="119" ht="25.5" customHeight="1"/>
    <row r="120" ht="25.5" customHeight="1"/>
    <row r="121" ht="25.5" customHeight="1"/>
    <row r="122" ht="25.5" customHeight="1"/>
    <row r="123" ht="25.5" customHeight="1"/>
    <row r="124" ht="25.5" customHeight="1"/>
    <row r="125" ht="25.5" customHeight="1"/>
    <row r="126" ht="25.5" customHeight="1"/>
    <row r="127" ht="25.5" customHeight="1"/>
    <row r="128" ht="25.5" customHeight="1"/>
    <row r="129" ht="25.5" customHeight="1"/>
    <row r="130" ht="25.5" customHeight="1"/>
    <row r="131" ht="25.5" customHeight="1"/>
    <row r="132" ht="25.5" customHeight="1"/>
    <row r="133" ht="25.5" customHeight="1"/>
    <row r="134" ht="25.5" customHeight="1"/>
    <row r="135" ht="25.5" customHeight="1"/>
    <row r="136" ht="25.5" customHeight="1"/>
    <row r="137" ht="25.5" customHeight="1"/>
    <row r="138" ht="25.5" customHeight="1"/>
    <row r="139" ht="25.5" customHeight="1"/>
    <row r="140" ht="25.5" customHeight="1"/>
    <row r="141" ht="25.5" customHeight="1"/>
    <row r="142" ht="25.5" customHeight="1"/>
    <row r="143" ht="25.5" customHeight="1"/>
    <row r="144" ht="25.5" customHeight="1"/>
    <row r="145" ht="25.5" customHeight="1"/>
    <row r="146" ht="25.5" customHeight="1"/>
    <row r="147" ht="25.5" customHeight="1"/>
    <row r="148" ht="25.5" customHeight="1"/>
    <row r="149" ht="25.5" customHeight="1"/>
    <row r="150" ht="25.5" customHeight="1"/>
    <row r="151" ht="25.5" customHeight="1"/>
    <row r="152" ht="25.5" customHeight="1"/>
    <row r="153" ht="25.5" customHeight="1"/>
    <row r="154" ht="25.5" customHeight="1"/>
    <row r="155" ht="25.5" customHeight="1"/>
    <row r="156" ht="25.5" customHeight="1"/>
    <row r="157" ht="25.5" customHeight="1"/>
    <row r="158" ht="25.5" customHeight="1"/>
    <row r="159" ht="25.5" customHeight="1"/>
    <row r="160" ht="25.5" customHeight="1"/>
    <row r="161" ht="25.5" customHeight="1"/>
    <row r="162" ht="25.5" customHeight="1"/>
    <row r="163" ht="25.5" customHeight="1"/>
    <row r="164" ht="25.5" customHeight="1"/>
    <row r="165" ht="25.5" customHeight="1"/>
    <row r="166" ht="25.5" customHeight="1"/>
    <row r="167" ht="25.5" customHeight="1"/>
    <row r="168" ht="25.5" customHeight="1"/>
    <row r="169" ht="25.5" customHeight="1"/>
    <row r="170" ht="25.5" customHeight="1"/>
    <row r="171" ht="25.5" customHeight="1"/>
    <row r="172" ht="25.5" customHeight="1"/>
    <row r="173" ht="25.5" customHeight="1"/>
    <row r="174" ht="25.5" customHeight="1"/>
    <row r="175" ht="25.5" customHeight="1"/>
    <row r="176" ht="25.5" customHeight="1"/>
    <row r="177" ht="25.5" customHeight="1"/>
    <row r="178" ht="25.5" customHeight="1"/>
    <row r="179" ht="25.5" customHeight="1"/>
    <row r="180" ht="25.5" customHeight="1"/>
    <row r="181" ht="25.5" customHeight="1"/>
    <row r="182" ht="25.5" customHeight="1"/>
    <row r="183" ht="25.5" customHeight="1"/>
    <row r="184" ht="25.5" customHeight="1"/>
    <row r="185" ht="25.5" customHeight="1"/>
    <row r="186" ht="25.5" customHeight="1"/>
    <row r="187" ht="25.5" customHeight="1"/>
    <row r="188" ht="25.5" customHeight="1"/>
    <row r="189" ht="25.5" customHeight="1"/>
    <row r="190" ht="25.5" customHeight="1"/>
    <row r="191" ht="25.5" customHeight="1"/>
    <row r="192" ht="25.5" customHeight="1"/>
    <row r="193" ht="25.5" customHeight="1"/>
    <row r="194" ht="25.5" customHeight="1"/>
    <row r="195" ht="25.5" customHeight="1"/>
    <row r="196" ht="25.5" customHeight="1"/>
    <row r="197" ht="25.5" customHeight="1"/>
    <row r="198" ht="25.5" customHeight="1"/>
    <row r="199" ht="25.5" customHeight="1"/>
    <row r="200" ht="25.5" customHeight="1"/>
    <row r="201" ht="25.5" customHeight="1"/>
    <row r="202" ht="25.5" customHeight="1"/>
    <row r="203" ht="25.5" customHeight="1"/>
    <row r="204" ht="25.5" customHeight="1"/>
    <row r="205" ht="25.5" customHeight="1"/>
    <row r="206" ht="25.5" customHeight="1"/>
    <row r="207" ht="25.5" customHeight="1"/>
    <row r="208" ht="25.5" customHeight="1"/>
    <row r="209" ht="25.5" customHeight="1"/>
    <row r="210" ht="25.5" customHeight="1"/>
    <row r="211" ht="25.5" customHeight="1"/>
    <row r="212" ht="25.5" customHeight="1"/>
    <row r="213" ht="25.5" customHeight="1"/>
    <row r="214" ht="25.5" customHeight="1"/>
    <row r="215" ht="25.5" customHeight="1"/>
    <row r="216" ht="25.5" customHeight="1"/>
    <row r="217" ht="25.5" customHeight="1"/>
    <row r="218" ht="25.5" customHeight="1"/>
    <row r="219" ht="25.5" customHeight="1"/>
    <row r="220" ht="25.5" customHeight="1"/>
    <row r="221" ht="25.5" customHeight="1"/>
    <row r="222" ht="25.5" customHeight="1"/>
    <row r="223" ht="25.5" customHeight="1"/>
    <row r="224" ht="25.5" customHeight="1"/>
    <row r="225" ht="25.5" customHeight="1"/>
    <row r="226" ht="25.5" customHeight="1"/>
    <row r="227" ht="25.5" customHeight="1"/>
    <row r="228" ht="25.5" customHeight="1"/>
    <row r="229" ht="25.5" customHeight="1"/>
    <row r="230" ht="25.5" customHeight="1"/>
    <row r="231" ht="25.5" customHeight="1"/>
    <row r="232" ht="25.5" customHeight="1"/>
    <row r="233" ht="25.5" customHeight="1"/>
    <row r="234" ht="25.5" customHeight="1"/>
    <row r="235" ht="25.5" customHeight="1"/>
    <row r="236" ht="25.5" customHeight="1"/>
    <row r="237" ht="25.5" customHeight="1"/>
    <row r="238" ht="25.5" customHeight="1"/>
    <row r="239" ht="25.5" customHeight="1"/>
    <row r="240" ht="25.5" customHeight="1"/>
    <row r="241" ht="25.5" customHeight="1"/>
    <row r="242" ht="25.5" customHeight="1"/>
    <row r="243" ht="25.5" customHeight="1"/>
    <row r="244" ht="25.5" customHeight="1"/>
    <row r="245" ht="25.5" customHeight="1"/>
    <row r="246" ht="25.5" customHeight="1"/>
    <row r="247" ht="25.5" customHeight="1"/>
    <row r="248" ht="25.5" customHeight="1"/>
    <row r="249" ht="25.5" customHeight="1"/>
    <row r="250" ht="25.5" customHeight="1"/>
    <row r="251" ht="25.5" customHeight="1"/>
    <row r="252" ht="25.5" customHeight="1"/>
    <row r="253" ht="25.5" customHeight="1"/>
    <row r="254" ht="25.5" customHeight="1"/>
    <row r="255" ht="25.5" customHeight="1"/>
    <row r="256" ht="25.5" customHeight="1"/>
    <row r="257" ht="25.5" customHeight="1"/>
    <row r="258" ht="25.5" customHeight="1"/>
    <row r="259" ht="25.5" customHeight="1"/>
    <row r="260" ht="25.5" customHeight="1"/>
    <row r="261" ht="25.5" customHeight="1"/>
    <row r="262" ht="25.5" customHeight="1"/>
    <row r="263" ht="25.5" customHeight="1"/>
    <row r="264" ht="25.5" customHeight="1"/>
    <row r="265" ht="25.5" customHeight="1"/>
    <row r="266" ht="25.5" customHeight="1"/>
    <row r="267" ht="25.5" customHeight="1"/>
    <row r="268" ht="25.5" customHeight="1"/>
    <row r="269" ht="25.5" customHeight="1"/>
    <row r="270" ht="25.5" customHeight="1"/>
    <row r="271" ht="25.5" customHeight="1"/>
    <row r="272" ht="25.5" customHeight="1"/>
    <row r="273" ht="25.5" customHeight="1"/>
    <row r="274" ht="25.5" customHeight="1"/>
    <row r="275" ht="25.5" customHeight="1"/>
    <row r="276" ht="25.5" customHeight="1"/>
    <row r="277" ht="25.5" customHeight="1"/>
    <row r="278" ht="25.5" customHeight="1"/>
    <row r="279" ht="25.5" customHeight="1"/>
    <row r="280" ht="25.5" customHeight="1"/>
    <row r="281" ht="25.5" customHeight="1"/>
    <row r="282" ht="25.5" customHeight="1"/>
    <row r="283" ht="25.5" customHeight="1"/>
    <row r="284" ht="25.5" customHeight="1"/>
    <row r="285" ht="25.5" customHeight="1"/>
    <row r="286" ht="25.5" customHeight="1"/>
    <row r="287" ht="25.5" customHeight="1"/>
    <row r="288" ht="25.5" customHeight="1"/>
    <row r="289" ht="25.5" customHeight="1"/>
    <row r="290" ht="25.5" customHeight="1"/>
    <row r="291" ht="25.5" customHeight="1"/>
    <row r="292" ht="25.5" customHeight="1"/>
    <row r="293" ht="25.5" customHeight="1"/>
    <row r="294" ht="25.5" customHeight="1"/>
    <row r="295" ht="25.5" customHeight="1"/>
    <row r="296" ht="25.5" customHeight="1"/>
    <row r="297" ht="25.5" customHeight="1"/>
    <row r="298" ht="25.5" customHeight="1"/>
    <row r="299" ht="25.5" customHeight="1"/>
    <row r="300" ht="25.5" customHeight="1"/>
    <row r="301" ht="25.5" customHeight="1"/>
    <row r="302" ht="25.5" customHeight="1"/>
    <row r="303" ht="25.5" customHeight="1"/>
    <row r="304" ht="25.5" customHeight="1"/>
    <row r="305" ht="25.5" customHeight="1"/>
    <row r="306" ht="25.5" customHeight="1"/>
    <row r="307" ht="25.5" customHeight="1"/>
    <row r="308" ht="25.5" customHeight="1"/>
    <row r="309" ht="25.5" customHeight="1"/>
    <row r="310" ht="25.5" customHeight="1"/>
    <row r="311" ht="25.5" customHeight="1"/>
    <row r="312" ht="25.5" customHeight="1"/>
    <row r="313" ht="25.5" customHeight="1"/>
    <row r="314" ht="25.5" customHeight="1"/>
    <row r="315" ht="25.5" customHeight="1"/>
    <row r="316" ht="25.5" customHeight="1"/>
    <row r="317" ht="25.5" customHeight="1"/>
    <row r="318" ht="25.5" customHeight="1"/>
    <row r="319" ht="25.5" customHeight="1"/>
    <row r="320" ht="25.5" customHeight="1"/>
    <row r="321" ht="25.5" customHeight="1"/>
    <row r="322" ht="25.5" customHeight="1"/>
    <row r="323" ht="25.5" customHeight="1"/>
    <row r="324" ht="25.5" customHeight="1"/>
    <row r="325" ht="25.5" customHeight="1"/>
    <row r="326" ht="25.5" customHeight="1"/>
    <row r="327" ht="25.5" customHeight="1"/>
    <row r="328" ht="25.5" customHeight="1"/>
    <row r="329" ht="25.5" customHeight="1"/>
    <row r="330" ht="25.5" customHeight="1"/>
    <row r="331" ht="25.5" customHeight="1"/>
    <row r="332" ht="25.5" customHeight="1"/>
    <row r="333" ht="25.5" customHeight="1"/>
    <row r="334" ht="25.5" customHeight="1"/>
    <row r="335" ht="25.5" customHeight="1"/>
    <row r="336" ht="25.5" customHeight="1"/>
    <row r="337" ht="25.5" customHeight="1"/>
    <row r="338" ht="25.5" customHeight="1"/>
    <row r="339" ht="25.5" customHeight="1"/>
    <row r="340" ht="25.5" customHeight="1"/>
    <row r="341" ht="25.5" customHeight="1"/>
    <row r="342" ht="25.5" customHeight="1"/>
    <row r="343" ht="25.5" customHeight="1"/>
    <row r="344" ht="25.5" customHeight="1"/>
    <row r="345" ht="25.5" customHeight="1"/>
    <row r="346" ht="25.5" customHeight="1"/>
    <row r="347" ht="25.5" customHeight="1"/>
    <row r="348" ht="25.5" customHeight="1"/>
    <row r="349" ht="25.5" customHeight="1"/>
    <row r="350" ht="25.5" customHeight="1"/>
    <row r="351" ht="25.5" customHeight="1"/>
    <row r="352" ht="25.5" customHeight="1"/>
    <row r="353" ht="25.5" customHeight="1"/>
    <row r="354" ht="25.5" customHeight="1"/>
    <row r="355" ht="25.5" customHeight="1"/>
    <row r="356" ht="25.5" customHeight="1"/>
    <row r="357" ht="25.5" customHeight="1"/>
    <row r="358" ht="25.5" customHeight="1"/>
    <row r="359" ht="25.5" customHeight="1"/>
    <row r="360" ht="25.5" customHeight="1"/>
    <row r="361" ht="25.5" customHeight="1"/>
    <row r="362" ht="25.5" customHeight="1"/>
    <row r="363" ht="25.5" customHeight="1"/>
    <row r="364" ht="25.5" customHeight="1"/>
    <row r="365" ht="25.5" customHeight="1"/>
    <row r="366" ht="25.5" customHeight="1"/>
    <row r="367" ht="25.5" customHeight="1"/>
    <row r="368" ht="25.5" customHeight="1"/>
    <row r="369" ht="25.5" customHeight="1"/>
    <row r="370" ht="25.5" customHeight="1"/>
    <row r="371" ht="25.5" customHeight="1"/>
    <row r="372" ht="25.5" customHeight="1"/>
    <row r="373" ht="25.5" customHeight="1"/>
    <row r="374" ht="25.5" customHeight="1"/>
    <row r="375" ht="25.5" customHeight="1"/>
    <row r="376" ht="25.5" customHeight="1"/>
    <row r="377" ht="25.5" customHeight="1"/>
    <row r="378" ht="25.5" customHeight="1"/>
    <row r="379" ht="25.5" customHeight="1"/>
    <row r="380" ht="25.5" customHeight="1"/>
    <row r="381" ht="25.5" customHeight="1"/>
    <row r="382" ht="25.5" customHeight="1"/>
    <row r="383" ht="25.5" customHeight="1"/>
    <row r="384" ht="25.5" customHeight="1"/>
    <row r="385" ht="25.5" customHeight="1"/>
    <row r="386" ht="25.5" customHeight="1"/>
    <row r="387" ht="25.5" customHeight="1"/>
    <row r="388" ht="25.5" customHeight="1"/>
    <row r="389" ht="25.5" customHeight="1"/>
    <row r="390" ht="25.5" customHeight="1"/>
    <row r="391" ht="25.5" customHeight="1"/>
    <row r="392" ht="25.5" customHeight="1"/>
    <row r="393" ht="25.5" customHeight="1"/>
    <row r="394" ht="25.5" customHeight="1"/>
    <row r="395" ht="25.5" customHeight="1"/>
    <row r="396" ht="25.5" customHeight="1"/>
    <row r="397" ht="25.5" customHeight="1"/>
    <row r="398" ht="25.5" customHeight="1"/>
    <row r="399" ht="25.5" customHeight="1"/>
    <row r="400" ht="25.5" customHeight="1"/>
    <row r="401" ht="25.5" customHeight="1"/>
    <row r="402" ht="25.5" customHeight="1"/>
    <row r="403" ht="25.5" customHeight="1"/>
    <row r="404" ht="25.5" customHeight="1"/>
    <row r="405" ht="25.5" customHeight="1"/>
    <row r="406" ht="25.5" customHeight="1"/>
    <row r="407" ht="25.5" customHeight="1"/>
    <row r="408" ht="25.5" customHeight="1"/>
    <row r="409" ht="25.5" customHeight="1"/>
    <row r="410" ht="25.5" customHeight="1"/>
    <row r="411" ht="25.5" customHeight="1"/>
    <row r="412" ht="25.5" customHeight="1"/>
    <row r="413" ht="25.5" customHeight="1"/>
    <row r="414" ht="25.5" customHeight="1"/>
    <row r="415" ht="25.5" customHeight="1"/>
    <row r="416" ht="25.5" customHeight="1"/>
    <row r="417" ht="25.5" customHeight="1"/>
    <row r="418" ht="25.5" customHeight="1"/>
    <row r="419" ht="25.5" customHeight="1"/>
    <row r="420" ht="25.5" customHeight="1"/>
    <row r="421" ht="25.5" customHeight="1"/>
    <row r="422" ht="25.5" customHeight="1"/>
    <row r="423" ht="25.5" customHeight="1"/>
    <row r="424" ht="25.5" customHeight="1"/>
    <row r="425" ht="25.5" customHeight="1"/>
    <row r="426" ht="25.5" customHeight="1"/>
    <row r="427" ht="25.5" customHeight="1"/>
    <row r="428" ht="25.5" customHeight="1"/>
    <row r="429" ht="25.5" customHeight="1"/>
    <row r="430" ht="25.5" customHeight="1"/>
    <row r="431" ht="25.5" customHeight="1"/>
    <row r="432" ht="25.5" customHeight="1"/>
    <row r="433" ht="25.5" customHeight="1"/>
    <row r="434" ht="25.5" customHeight="1"/>
    <row r="435" ht="25.5" customHeight="1"/>
    <row r="436" ht="25.5" customHeight="1"/>
    <row r="437" ht="25.5" customHeight="1"/>
    <row r="438" ht="25.5" customHeight="1"/>
    <row r="439" ht="25.5" customHeight="1"/>
    <row r="440" ht="25.5" customHeight="1"/>
    <row r="441" ht="25.5" customHeight="1"/>
    <row r="442" ht="25.5" customHeight="1"/>
    <row r="443" ht="25.5" customHeight="1"/>
    <row r="444" ht="25.5" customHeight="1"/>
    <row r="445" ht="25.5" customHeight="1"/>
    <row r="446" ht="25.5" customHeight="1"/>
    <row r="447" ht="25.5" customHeight="1"/>
    <row r="448" ht="25.5" customHeight="1"/>
    <row r="449" ht="25.5" customHeight="1"/>
    <row r="450" ht="25.5" customHeight="1"/>
    <row r="451" ht="25.5" customHeight="1"/>
    <row r="452" ht="25.5" customHeight="1"/>
    <row r="453" ht="25.5" customHeight="1"/>
    <row r="454" ht="25.5" customHeight="1"/>
    <row r="455" ht="25.5" customHeight="1"/>
    <row r="456" ht="25.5" customHeight="1"/>
    <row r="457" ht="25.5" customHeight="1"/>
    <row r="458" ht="25.5" customHeight="1"/>
    <row r="459" ht="25.5" customHeight="1"/>
    <row r="460" ht="25.5" customHeight="1"/>
    <row r="461" ht="25.5" customHeight="1"/>
    <row r="462" ht="25.5" customHeight="1"/>
    <row r="463" ht="25.5" customHeight="1"/>
    <row r="464" ht="25.5" customHeight="1"/>
    <row r="465" ht="25.5" customHeight="1"/>
    <row r="466" ht="25.5" customHeight="1"/>
    <row r="467" ht="25.5" customHeight="1"/>
    <row r="468" ht="25.5" customHeight="1"/>
    <row r="469" ht="25.5" customHeight="1"/>
    <row r="470" ht="25.5" customHeight="1"/>
    <row r="471" ht="25.5" customHeight="1"/>
    <row r="472" ht="25.5" customHeight="1"/>
    <row r="473" ht="25.5" customHeight="1"/>
    <row r="474" ht="25.5" customHeight="1"/>
    <row r="475" ht="25.5" customHeight="1"/>
    <row r="476" ht="25.5" customHeight="1"/>
    <row r="477" ht="25.5" customHeight="1"/>
    <row r="478" ht="25.5" customHeight="1"/>
    <row r="479" ht="25.5" customHeight="1"/>
    <row r="480" ht="25.5" customHeight="1"/>
    <row r="481" ht="25.5" customHeight="1"/>
    <row r="482" ht="25.5" customHeight="1"/>
    <row r="483" ht="25.5" customHeight="1"/>
    <row r="484" ht="25.5" customHeight="1"/>
    <row r="485" ht="25.5" customHeight="1"/>
    <row r="486" ht="25.5" customHeight="1"/>
    <row r="487" ht="25.5" customHeight="1"/>
    <row r="488" ht="25.5" customHeight="1"/>
    <row r="489" ht="25.5" customHeight="1"/>
    <row r="490" ht="25.5" customHeight="1"/>
    <row r="491" ht="25.5" customHeight="1"/>
    <row r="492" ht="25.5" customHeight="1"/>
    <row r="493" ht="25.5" customHeight="1"/>
    <row r="494" ht="25.5" customHeight="1"/>
    <row r="495" ht="25.5" customHeight="1"/>
    <row r="496" ht="25.5" customHeight="1"/>
    <row r="497" ht="25.5" customHeight="1"/>
    <row r="498" ht="25.5" customHeight="1"/>
    <row r="499" ht="25.5" customHeight="1"/>
    <row r="500" ht="25.5" customHeight="1"/>
    <row r="501" ht="25.5" customHeight="1"/>
    <row r="502" ht="25.5" customHeight="1"/>
    <row r="503" ht="25.5" customHeight="1"/>
    <row r="504" ht="25.5" customHeight="1"/>
    <row r="505" ht="25.5" customHeight="1"/>
    <row r="506" ht="25.5" customHeight="1"/>
    <row r="507" ht="25.5" customHeight="1"/>
    <row r="508" ht="25.5" customHeight="1"/>
    <row r="509" ht="25.5" customHeight="1"/>
    <row r="510" ht="25.5" customHeight="1"/>
    <row r="511" ht="25.5" customHeight="1"/>
    <row r="512" ht="25.5" customHeight="1"/>
    <row r="513" ht="25.5" customHeight="1"/>
    <row r="514" ht="25.5" customHeight="1"/>
    <row r="515" ht="25.5" customHeight="1"/>
    <row r="516" ht="25.5" customHeight="1"/>
    <row r="517" ht="25.5" customHeight="1"/>
    <row r="518" ht="25.5" customHeight="1"/>
    <row r="519" ht="25.5" customHeight="1"/>
    <row r="520" ht="25.5" customHeight="1"/>
    <row r="521" ht="25.5" customHeight="1"/>
    <row r="522" ht="25.5" customHeight="1"/>
    <row r="523" ht="25.5" customHeight="1"/>
    <row r="524" ht="25.5" customHeight="1"/>
    <row r="525" ht="25.5" customHeight="1"/>
    <row r="526" ht="25.5" customHeight="1"/>
    <row r="527" ht="25.5" customHeight="1"/>
    <row r="528" ht="25.5" customHeight="1"/>
    <row r="529" ht="25.5" customHeight="1"/>
    <row r="530" ht="25.5" customHeight="1"/>
    <row r="531" ht="25.5" customHeight="1"/>
    <row r="532" ht="25.5" customHeight="1"/>
    <row r="533" ht="25.5" customHeight="1"/>
    <row r="534" ht="25.5" customHeight="1"/>
    <row r="535" ht="25.5" customHeight="1"/>
    <row r="536" ht="25.5" customHeight="1"/>
    <row r="537" ht="25.5" customHeight="1"/>
    <row r="538" ht="25.5" customHeight="1"/>
    <row r="539" ht="25.5" customHeight="1"/>
    <row r="540" ht="25.5" customHeight="1"/>
    <row r="541" ht="25.5" customHeight="1"/>
    <row r="542" ht="25.5" customHeight="1"/>
    <row r="543" ht="25.5" customHeight="1"/>
    <row r="544" ht="25.5" customHeight="1"/>
    <row r="545" ht="25.5" customHeight="1"/>
    <row r="546" ht="25.5" customHeight="1"/>
    <row r="547" ht="25.5" customHeight="1"/>
    <row r="548" ht="25.5" customHeight="1"/>
    <row r="549" ht="25.5" customHeight="1"/>
    <row r="550" ht="25.5" customHeight="1"/>
    <row r="551" ht="25.5" customHeight="1"/>
    <row r="552" ht="25.5" customHeight="1"/>
    <row r="553" ht="25.5" customHeight="1"/>
    <row r="554" ht="25.5" customHeight="1"/>
    <row r="555" ht="25.5" customHeight="1"/>
    <row r="556" ht="25.5" customHeight="1"/>
    <row r="557" ht="25.5" customHeight="1"/>
    <row r="558" ht="25.5" customHeight="1"/>
    <row r="559" ht="25.5" customHeight="1"/>
    <row r="560" ht="25.5" customHeight="1"/>
    <row r="561" ht="25.5" customHeight="1"/>
    <row r="562" ht="25.5" customHeight="1"/>
    <row r="563" ht="25.5" customHeight="1"/>
    <row r="564" ht="25.5" customHeight="1"/>
    <row r="565" ht="25.5" customHeight="1"/>
    <row r="566" ht="25.5" customHeight="1"/>
    <row r="567" ht="25.5" customHeight="1"/>
    <row r="568" ht="25.5" customHeight="1"/>
    <row r="569" ht="25.5" customHeight="1"/>
    <row r="570" ht="25.5" customHeight="1"/>
    <row r="571" ht="25.5" customHeight="1"/>
    <row r="572" ht="25.5" customHeight="1"/>
    <row r="573" ht="25.5" customHeight="1"/>
    <row r="574" ht="25.5" customHeight="1"/>
    <row r="575" ht="25.5" customHeight="1"/>
    <row r="576" ht="25.5" customHeight="1"/>
    <row r="577" ht="25.5" customHeight="1"/>
    <row r="578" ht="25.5" customHeight="1"/>
    <row r="579" ht="25.5" customHeight="1"/>
    <row r="580" ht="25.5" customHeight="1"/>
    <row r="581" ht="25.5" customHeight="1"/>
    <row r="582" ht="25.5" customHeight="1"/>
    <row r="583" ht="25.5" customHeight="1"/>
    <row r="584" ht="25.5" customHeight="1"/>
    <row r="585" ht="25.5" customHeight="1"/>
    <row r="586" ht="25.5" customHeight="1"/>
    <row r="587" ht="25.5" customHeight="1"/>
    <row r="588" ht="25.5" customHeight="1"/>
    <row r="589" ht="25.5" customHeight="1"/>
    <row r="590" ht="25.5" customHeight="1"/>
    <row r="591" ht="25.5" customHeight="1"/>
    <row r="592" ht="25.5" customHeight="1"/>
    <row r="593" ht="25.5" customHeight="1"/>
    <row r="594" ht="25.5" customHeight="1"/>
    <row r="595" ht="25.5" customHeight="1"/>
    <row r="596" ht="25.5" customHeight="1"/>
    <row r="597" ht="25.5" customHeight="1"/>
    <row r="598" ht="25.5" customHeight="1"/>
    <row r="599" ht="25.5" customHeight="1"/>
    <row r="600" ht="25.5" customHeight="1"/>
    <row r="601" ht="25.5" customHeight="1"/>
    <row r="602" ht="25.5" customHeight="1"/>
    <row r="603" ht="25.5" customHeight="1"/>
    <row r="604" ht="25.5" customHeight="1"/>
    <row r="605" ht="25.5" customHeight="1"/>
    <row r="606" ht="25.5" customHeight="1"/>
    <row r="607" ht="25.5" customHeight="1"/>
    <row r="608" ht="25.5" customHeight="1"/>
    <row r="609" ht="25.5" customHeight="1"/>
    <row r="610" ht="25.5" customHeight="1"/>
    <row r="611" ht="25.5" customHeight="1"/>
    <row r="612" ht="25.5" customHeight="1"/>
    <row r="613" ht="25.5" customHeight="1"/>
    <row r="614" ht="25.5" customHeight="1"/>
    <row r="615" ht="25.5" customHeight="1"/>
    <row r="616" ht="25.5" customHeight="1"/>
    <row r="617" ht="25.5" customHeight="1"/>
    <row r="618" ht="25.5" customHeight="1"/>
    <row r="619" ht="25.5" customHeight="1"/>
    <row r="620" ht="25.5" customHeight="1"/>
    <row r="621" ht="25.5" customHeight="1"/>
    <row r="622" ht="25.5" customHeight="1"/>
    <row r="623" ht="25.5" customHeight="1"/>
    <row r="624" ht="25.5" customHeight="1"/>
    <row r="625" ht="25.5" customHeight="1"/>
    <row r="626" ht="25.5" customHeight="1"/>
    <row r="627" ht="25.5" customHeight="1"/>
    <row r="628" ht="25.5" customHeight="1"/>
    <row r="629" ht="25.5" customHeight="1"/>
    <row r="630" ht="25.5" customHeight="1"/>
    <row r="631" ht="25.5" customHeight="1"/>
    <row r="632" ht="25.5" customHeight="1"/>
    <row r="633" ht="25.5" customHeight="1"/>
    <row r="634" ht="25.5" customHeight="1"/>
    <row r="635" ht="25.5" customHeight="1"/>
    <row r="636" ht="25.5" customHeight="1"/>
    <row r="637" ht="25.5" customHeight="1"/>
    <row r="638" ht="25.5" customHeight="1"/>
    <row r="639" ht="25.5" customHeight="1"/>
    <row r="640" ht="25.5" customHeight="1"/>
    <row r="641" ht="25.5" customHeight="1"/>
    <row r="642" ht="25.5" customHeight="1"/>
    <row r="643" ht="25.5" customHeight="1"/>
    <row r="644" ht="25.5" customHeight="1"/>
    <row r="645" ht="25.5" customHeight="1"/>
    <row r="646" ht="25.5" customHeight="1"/>
    <row r="647" ht="25.5" customHeight="1"/>
    <row r="648" ht="25.5" customHeight="1"/>
    <row r="649" ht="25.5" customHeight="1"/>
    <row r="650" ht="25.5" customHeight="1"/>
    <row r="651" ht="25.5" customHeight="1"/>
    <row r="652" ht="25.5" customHeight="1"/>
    <row r="653" ht="25.5" customHeight="1"/>
    <row r="654" ht="25.5" customHeight="1"/>
    <row r="655" ht="25.5" customHeight="1"/>
    <row r="656" ht="25.5" customHeight="1"/>
    <row r="657" ht="25.5" customHeight="1"/>
    <row r="658" ht="25.5" customHeight="1"/>
    <row r="659" ht="25.5" customHeight="1"/>
    <row r="660" ht="25.5" customHeight="1"/>
    <row r="661" ht="25.5" customHeight="1"/>
    <row r="662" ht="25.5" customHeight="1"/>
    <row r="663" ht="25.5" customHeight="1"/>
    <row r="664" ht="25.5" customHeight="1"/>
    <row r="665" ht="25.5" customHeight="1"/>
    <row r="666" ht="25.5" customHeight="1"/>
    <row r="667" ht="25.5" customHeight="1"/>
    <row r="668" ht="25.5" customHeight="1"/>
    <row r="669" ht="25.5" customHeight="1"/>
    <row r="670" ht="25.5" customHeight="1"/>
    <row r="671" ht="25.5" customHeight="1"/>
    <row r="672" ht="25.5" customHeight="1"/>
    <row r="673" ht="25.5" customHeight="1"/>
    <row r="674" ht="25.5" customHeight="1"/>
    <row r="675" ht="25.5" customHeight="1"/>
    <row r="676" ht="25.5" customHeight="1"/>
    <row r="677" ht="25.5" customHeight="1"/>
    <row r="678" ht="25.5" customHeight="1"/>
    <row r="679" ht="25.5" customHeight="1"/>
    <row r="680" ht="25.5" customHeight="1"/>
    <row r="681" ht="25.5" customHeight="1"/>
    <row r="682" ht="25.5" customHeight="1"/>
    <row r="683" ht="25.5" customHeight="1"/>
    <row r="684" ht="25.5" customHeight="1"/>
    <row r="685" ht="25.5" customHeight="1"/>
    <row r="686" ht="25.5" customHeight="1"/>
    <row r="687" ht="25.5" customHeight="1"/>
    <row r="688" ht="25.5" customHeight="1"/>
    <row r="689" ht="25.5" customHeight="1"/>
    <row r="690" ht="25.5" customHeight="1"/>
    <row r="691" ht="25.5" customHeight="1"/>
    <row r="692" ht="25.5" customHeight="1"/>
    <row r="693" ht="25.5" customHeight="1"/>
    <row r="694" ht="25.5" customHeight="1"/>
    <row r="695" ht="25.5" customHeight="1"/>
    <row r="696" ht="25.5" customHeight="1"/>
    <row r="697" ht="25.5" customHeight="1"/>
    <row r="698" ht="25.5" customHeight="1"/>
    <row r="699" ht="25.5" customHeight="1"/>
    <row r="700" ht="25.5" customHeight="1"/>
    <row r="701" ht="25.5" customHeight="1"/>
    <row r="702" ht="25.5" customHeight="1"/>
    <row r="703" ht="25.5" customHeight="1"/>
    <row r="704" ht="25.5" customHeight="1"/>
    <row r="705" ht="25.5" customHeight="1"/>
    <row r="706" ht="25.5" customHeight="1"/>
    <row r="707" ht="25.5" customHeight="1"/>
    <row r="708" ht="25.5" customHeight="1"/>
    <row r="709" ht="25.5" customHeight="1"/>
    <row r="710" ht="25.5" customHeight="1"/>
    <row r="711" ht="25.5" customHeight="1"/>
    <row r="712" ht="25.5" customHeight="1"/>
    <row r="713" ht="25.5" customHeight="1"/>
    <row r="714" ht="25.5" customHeight="1"/>
    <row r="715" ht="25.5" customHeight="1"/>
    <row r="716" ht="25.5" customHeight="1"/>
    <row r="717" ht="25.5" customHeight="1"/>
    <row r="718" ht="25.5" customHeight="1"/>
    <row r="719" ht="25.5" customHeight="1"/>
    <row r="720" ht="25.5" customHeight="1"/>
    <row r="721" ht="25.5" customHeight="1"/>
    <row r="722" ht="25.5" customHeight="1"/>
    <row r="723" ht="25.5" customHeight="1"/>
    <row r="724" ht="25.5" customHeight="1"/>
    <row r="725" ht="25.5" customHeight="1"/>
    <row r="726" ht="25.5" customHeight="1"/>
    <row r="727" ht="25.5" customHeight="1"/>
    <row r="728" ht="25.5" customHeight="1"/>
    <row r="729" ht="25.5" customHeight="1"/>
    <row r="730" ht="25.5" customHeight="1"/>
    <row r="731" ht="25.5" customHeight="1"/>
    <row r="732" ht="25.5" customHeight="1"/>
    <row r="733" ht="25.5" customHeight="1"/>
    <row r="734" ht="25.5" customHeight="1"/>
    <row r="735" ht="25.5" customHeight="1"/>
    <row r="736" ht="25.5" customHeight="1"/>
    <row r="737" ht="25.5" customHeight="1"/>
    <row r="738" ht="25.5" customHeight="1"/>
    <row r="739" ht="25.5" customHeight="1"/>
    <row r="740" ht="25.5" customHeight="1"/>
    <row r="741" ht="25.5" customHeight="1"/>
    <row r="742" ht="25.5" customHeight="1"/>
    <row r="743" ht="25.5" customHeight="1"/>
    <row r="744" ht="25.5" customHeight="1"/>
    <row r="745" ht="25.5" customHeight="1"/>
    <row r="746" ht="25.5" customHeight="1"/>
    <row r="747" ht="25.5" customHeight="1"/>
    <row r="748" ht="25.5" customHeight="1"/>
    <row r="749" ht="25.5" customHeight="1"/>
    <row r="750" ht="25.5" customHeight="1"/>
    <row r="751" ht="25.5" customHeight="1"/>
    <row r="752" ht="25.5" customHeight="1"/>
    <row r="753" ht="25.5" customHeight="1"/>
    <row r="754" ht="25.5" customHeight="1"/>
    <row r="755" ht="25.5" customHeight="1"/>
    <row r="756" ht="25.5" customHeight="1"/>
    <row r="757" ht="25.5" customHeight="1"/>
    <row r="758" ht="25.5" customHeight="1"/>
    <row r="759" ht="25.5" customHeight="1"/>
    <row r="760" ht="25.5" customHeight="1"/>
    <row r="761" ht="25.5" customHeight="1"/>
    <row r="762" ht="25.5" customHeight="1"/>
    <row r="763" ht="25.5" customHeight="1"/>
    <row r="764" ht="25.5" customHeight="1"/>
    <row r="765" ht="25.5" customHeight="1"/>
    <row r="766" ht="25.5" customHeight="1"/>
    <row r="767" ht="25.5" customHeight="1"/>
    <row r="768" ht="25.5" customHeight="1"/>
    <row r="769" ht="25.5" customHeight="1"/>
    <row r="770" ht="25.5" customHeight="1"/>
    <row r="771" ht="25.5" customHeight="1"/>
    <row r="772" ht="25.5" customHeight="1"/>
    <row r="773" ht="25.5" customHeight="1"/>
    <row r="774" ht="25.5" customHeight="1"/>
    <row r="775" ht="25.5" customHeight="1"/>
    <row r="776" ht="25.5" customHeight="1"/>
    <row r="777" ht="25.5" customHeight="1"/>
    <row r="778" ht="25.5" customHeight="1"/>
    <row r="779" ht="25.5" customHeight="1"/>
    <row r="780" ht="25.5" customHeight="1"/>
    <row r="781" ht="25.5" customHeight="1"/>
    <row r="782" ht="25.5" customHeight="1"/>
    <row r="783" ht="25.5" customHeight="1"/>
    <row r="784" ht="25.5" customHeight="1"/>
    <row r="785" ht="25.5" customHeight="1"/>
    <row r="786" ht="25.5" customHeight="1"/>
    <row r="787" ht="25.5" customHeight="1"/>
    <row r="788" ht="25.5" customHeight="1"/>
    <row r="789" ht="25.5" customHeight="1"/>
    <row r="790" ht="25.5" customHeight="1"/>
    <row r="791" ht="25.5" customHeight="1"/>
    <row r="792" ht="25.5" customHeight="1"/>
    <row r="793" ht="25.5" customHeight="1"/>
    <row r="794" ht="25.5" customHeight="1"/>
    <row r="795" ht="25.5" customHeight="1"/>
    <row r="796" ht="25.5" customHeight="1"/>
    <row r="797" ht="25.5" customHeight="1"/>
    <row r="798" ht="25.5" customHeight="1"/>
    <row r="799" ht="25.5" customHeight="1"/>
    <row r="800" ht="25.5" customHeight="1"/>
    <row r="801" ht="25.5" customHeight="1"/>
    <row r="802" ht="25.5" customHeight="1"/>
    <row r="803" ht="25.5" customHeight="1"/>
    <row r="804" ht="25.5" customHeight="1"/>
    <row r="805" ht="25.5" customHeight="1"/>
    <row r="806" ht="25.5" customHeight="1"/>
    <row r="807" ht="25.5" customHeight="1"/>
    <row r="808" ht="25.5" customHeight="1"/>
    <row r="809" ht="25.5" customHeight="1"/>
    <row r="810" ht="25.5" customHeight="1"/>
    <row r="811" ht="25.5" customHeight="1"/>
    <row r="812" ht="25.5" customHeight="1"/>
    <row r="813" ht="25.5" customHeight="1"/>
    <row r="814" ht="25.5" customHeight="1"/>
    <row r="815" ht="25.5" customHeight="1"/>
    <row r="816" ht="25.5" customHeight="1"/>
    <row r="817" ht="25.5" customHeight="1"/>
    <row r="818" ht="25.5" customHeight="1"/>
    <row r="819" ht="25.5" customHeight="1"/>
    <row r="820" ht="25.5" customHeight="1"/>
    <row r="821" ht="25.5" customHeight="1"/>
    <row r="822" ht="25.5" customHeight="1"/>
    <row r="823" ht="25.5" customHeight="1"/>
    <row r="824" ht="25.5" customHeight="1"/>
    <row r="825" ht="25.5" customHeight="1"/>
    <row r="826" ht="25.5" customHeight="1"/>
    <row r="827" ht="25.5" customHeight="1"/>
    <row r="828" ht="25.5" customHeight="1"/>
    <row r="829" ht="25.5" customHeight="1"/>
    <row r="830" ht="25.5" customHeight="1"/>
    <row r="831" ht="25.5" customHeight="1"/>
    <row r="832" ht="25.5" customHeight="1"/>
    <row r="833" ht="25.5" customHeight="1"/>
    <row r="834" ht="25.5" customHeight="1"/>
    <row r="835" ht="25.5" customHeight="1"/>
    <row r="836" ht="25.5" customHeight="1"/>
    <row r="837" ht="25.5" customHeight="1"/>
  </sheetData>
  <mergeCells count="8">
    <mergeCell ref="A1:G1"/>
    <mergeCell ref="A2:A3"/>
    <mergeCell ref="B2:B3"/>
    <mergeCell ref="C2:C3"/>
    <mergeCell ref="D2:D3"/>
    <mergeCell ref="E2:E3"/>
    <mergeCell ref="F2:G2"/>
    <mergeCell ref="A89:C89"/>
  </mergeCells>
  <dataValidations>
    <dataValidation type="list" allowBlank="1" sqref="I4:I87">
      <formula1>"CHECKED (OK),CHECKED  (NOT OK)"</formula1>
    </dataValidation>
  </dataValidations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4" max="4" width="31.88"/>
    <col customWidth="1" min="5" max="5" width="40.5"/>
    <col customWidth="1" min="9" max="9" width="18.63"/>
    <col customWidth="1" min="10" max="10" width="21.63"/>
  </cols>
  <sheetData>
    <row r="1" ht="39.0" customHeight="1">
      <c r="A1" s="30" t="s">
        <v>1665</v>
      </c>
      <c r="H1" s="31"/>
      <c r="I1" s="290" t="s">
        <v>1666</v>
      </c>
      <c r="J1" s="33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ht="29.25" customHeight="1">
      <c r="A2" s="281" t="s">
        <v>1</v>
      </c>
      <c r="B2" s="266" t="s">
        <v>11</v>
      </c>
      <c r="C2" s="266" t="s">
        <v>1452</v>
      </c>
      <c r="D2" s="266" t="s">
        <v>12</v>
      </c>
      <c r="E2" s="287" t="s">
        <v>13</v>
      </c>
      <c r="F2" s="37" t="s">
        <v>14</v>
      </c>
      <c r="G2" s="38"/>
      <c r="H2" s="39"/>
      <c r="I2" s="40"/>
      <c r="J2" s="40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 ht="33.0" customHeight="1">
      <c r="A3" s="41"/>
      <c r="B3" s="38"/>
      <c r="C3" s="38"/>
      <c r="D3" s="38"/>
      <c r="E3" s="38"/>
      <c r="F3" s="42" t="s">
        <v>15</v>
      </c>
      <c r="G3" s="43" t="s">
        <v>5</v>
      </c>
      <c r="H3" s="39"/>
      <c r="I3" s="44" t="s">
        <v>6</v>
      </c>
      <c r="J3" s="45" t="s">
        <v>7</v>
      </c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 ht="25.5" customHeight="1">
      <c r="A4" s="282">
        <v>1.0</v>
      </c>
      <c r="B4" s="47">
        <v>1004213.0</v>
      </c>
      <c r="C4" s="283" t="str">
        <f>vlookup(B4,'Crew data for number'!B:C,2,0)</f>
        <v>TAA2674</v>
      </c>
      <c r="D4" s="284" t="str">
        <f>vlookup(B4,'Crew Data'!C:G,5,0)</f>
        <v>Worapada Suetrongmunkong</v>
      </c>
      <c r="E4" s="267" t="s">
        <v>1667</v>
      </c>
      <c r="F4" s="47">
        <v>31.0</v>
      </c>
      <c r="G4" s="50">
        <f t="shared" ref="G4:G141" si="1">F4*400</f>
        <v>12400</v>
      </c>
      <c r="H4" s="22">
        <f t="shared" ref="H4:H141" si="2">COUNTIF(B:B,B4)</f>
        <v>1</v>
      </c>
      <c r="I4" s="51" t="s">
        <v>20</v>
      </c>
      <c r="J4" s="40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</row>
    <row r="5" ht="25.5" customHeight="1">
      <c r="A5" s="54">
        <v>2.0</v>
      </c>
      <c r="B5" s="47">
        <v>1010880.0</v>
      </c>
      <c r="C5" s="283" t="str">
        <f>vlookup(B5,'Crew data for number'!B:C,2,0)</f>
        <v>TAA5520</v>
      </c>
      <c r="D5" s="284" t="str">
        <f>vlookup(B5,'Crew Data'!C:G,5,0)</f>
        <v>Chutima Thitisantikhun</v>
      </c>
      <c r="E5" s="267" t="s">
        <v>1668</v>
      </c>
      <c r="F5" s="47">
        <v>29.0</v>
      </c>
      <c r="G5" s="50">
        <f t="shared" si="1"/>
        <v>11600</v>
      </c>
      <c r="H5" s="22">
        <f t="shared" si="2"/>
        <v>1</v>
      </c>
      <c r="I5" s="51" t="s">
        <v>20</v>
      </c>
    </row>
    <row r="6" ht="25.5" customHeight="1">
      <c r="A6" s="282">
        <v>3.0</v>
      </c>
      <c r="B6" s="47">
        <v>1006844.0</v>
      </c>
      <c r="C6" s="283" t="str">
        <f>vlookup(B6,'Crew data for number'!B:C,2,0)</f>
        <v>TAA3874</v>
      </c>
      <c r="D6" s="284" t="str">
        <f>vlookup(B6,'Crew Data'!C:G,5,0)</f>
        <v>Rada Nilyam</v>
      </c>
      <c r="E6" s="267" t="s">
        <v>1669</v>
      </c>
      <c r="F6" s="47">
        <v>4.0</v>
      </c>
      <c r="G6" s="50">
        <f t="shared" si="1"/>
        <v>1600</v>
      </c>
      <c r="H6" s="22">
        <f t="shared" si="2"/>
        <v>1</v>
      </c>
      <c r="I6" s="51" t="s">
        <v>20</v>
      </c>
    </row>
    <row r="7" ht="25.5" customHeight="1">
      <c r="A7" s="54">
        <v>4.0</v>
      </c>
      <c r="B7" s="47">
        <v>1007013.0</v>
      </c>
      <c r="C7" s="283" t="str">
        <f>vlookup(B7,'Crew data for number'!B:C,2,0)</f>
        <v>TAA3972</v>
      </c>
      <c r="D7" s="284" t="str">
        <f>vlookup(B7,'Crew Data'!C:G,5,0)</f>
        <v>Pattamaporn Thamasathitporn</v>
      </c>
      <c r="E7" s="267" t="s">
        <v>1670</v>
      </c>
      <c r="F7" s="47">
        <v>14.0</v>
      </c>
      <c r="G7" s="50">
        <f t="shared" si="1"/>
        <v>5600</v>
      </c>
      <c r="H7" s="22">
        <f t="shared" si="2"/>
        <v>1</v>
      </c>
      <c r="I7" s="51" t="s">
        <v>20</v>
      </c>
    </row>
    <row r="8" ht="25.5" customHeight="1">
      <c r="A8" s="282">
        <v>5.0</v>
      </c>
      <c r="B8" s="47">
        <v>1011518.0</v>
      </c>
      <c r="C8" s="283" t="str">
        <f>vlookup(B8,'Crew data for number'!B:C,2,0)</f>
        <v>TAA5736</v>
      </c>
      <c r="D8" s="284" t="str">
        <f>vlookup(B8,'Crew Data'!C:G,5,0)</f>
        <v>Wongsakorn Naokaew</v>
      </c>
      <c r="E8" s="267" t="s">
        <v>1667</v>
      </c>
      <c r="F8" s="47">
        <v>31.0</v>
      </c>
      <c r="G8" s="50">
        <f t="shared" si="1"/>
        <v>12400</v>
      </c>
      <c r="H8" s="22">
        <f t="shared" si="2"/>
        <v>1</v>
      </c>
      <c r="I8" s="51" t="s">
        <v>20</v>
      </c>
    </row>
    <row r="9" ht="25.5" customHeight="1">
      <c r="A9" s="54">
        <v>6.0</v>
      </c>
      <c r="B9" s="47">
        <v>1012370.0</v>
      </c>
      <c r="C9" s="283" t="str">
        <f>vlookup(B9,'Crew data for number'!B:C,2,0)</f>
        <v>TAA6124</v>
      </c>
      <c r="D9" s="284" t="str">
        <f>vlookup(B9,'Crew Data'!C:G,5,0)</f>
        <v>Thanapiphat Kasempitirat</v>
      </c>
      <c r="E9" s="267" t="s">
        <v>1671</v>
      </c>
      <c r="F9" s="47">
        <v>6.0</v>
      </c>
      <c r="G9" s="50">
        <f t="shared" si="1"/>
        <v>2400</v>
      </c>
      <c r="H9" s="22">
        <f t="shared" si="2"/>
        <v>1</v>
      </c>
      <c r="I9" s="51" t="s">
        <v>20</v>
      </c>
    </row>
    <row r="10" ht="25.5" customHeight="1">
      <c r="A10" s="282">
        <v>7.0</v>
      </c>
      <c r="B10" s="47">
        <v>1012188.0</v>
      </c>
      <c r="C10" s="283" t="str">
        <f>vlookup(B10,'Crew data for number'!B:C,2,0)</f>
        <v>TAA6172</v>
      </c>
      <c r="D10" s="284" t="str">
        <f>vlookup(B10,'Crew Data'!C:G,5,0)</f>
        <v>Warut Sritham</v>
      </c>
      <c r="E10" s="267" t="s">
        <v>1667</v>
      </c>
      <c r="F10" s="47">
        <v>31.0</v>
      </c>
      <c r="G10" s="50">
        <f t="shared" si="1"/>
        <v>12400</v>
      </c>
      <c r="H10" s="22">
        <f t="shared" si="2"/>
        <v>1</v>
      </c>
      <c r="I10" s="51" t="s">
        <v>20</v>
      </c>
    </row>
    <row r="11" ht="25.5" customHeight="1">
      <c r="A11" s="54">
        <v>8.0</v>
      </c>
      <c r="B11" s="47">
        <v>1012362.0</v>
      </c>
      <c r="C11" s="283" t="str">
        <f>vlookup(B11,'Crew data for number'!B:C,2,0)</f>
        <v>TAA6131</v>
      </c>
      <c r="D11" s="284" t="str">
        <f>vlookup(B11,'Crew Data'!C:G,5,0)</f>
        <v>Patcharagorn Chankhong</v>
      </c>
      <c r="E11" s="267" t="s">
        <v>1672</v>
      </c>
      <c r="F11" s="47">
        <v>54.0</v>
      </c>
      <c r="G11" s="50">
        <f t="shared" si="1"/>
        <v>21600</v>
      </c>
      <c r="H11" s="22">
        <f t="shared" si="2"/>
        <v>1</v>
      </c>
      <c r="I11" s="51" t="s">
        <v>20</v>
      </c>
    </row>
    <row r="12" ht="25.5" customHeight="1">
      <c r="A12" s="282">
        <v>9.0</v>
      </c>
      <c r="B12" s="47">
        <v>1003386.0</v>
      </c>
      <c r="C12" s="283" t="str">
        <f>vlookup(B12,'Crew data for number'!B:C,2,0)</f>
        <v>TAA2424</v>
      </c>
      <c r="D12" s="284" t="str">
        <f>vlookup(B12,'Crew Data'!C:G,5,0)</f>
        <v>#N/A</v>
      </c>
      <c r="E12" s="267" t="s">
        <v>1673</v>
      </c>
      <c r="F12" s="47">
        <v>34.0</v>
      </c>
      <c r="G12" s="50">
        <f t="shared" si="1"/>
        <v>13600</v>
      </c>
      <c r="H12" s="22">
        <f t="shared" si="2"/>
        <v>1</v>
      </c>
      <c r="I12" s="51" t="s">
        <v>20</v>
      </c>
    </row>
    <row r="13" ht="25.5" customHeight="1">
      <c r="A13" s="54">
        <v>10.0</v>
      </c>
      <c r="B13" s="47">
        <v>1001393.0</v>
      </c>
      <c r="C13" s="283" t="str">
        <f>vlookup(B13,'Crew data for number'!B:C,2,0)</f>
        <v>TAA1357</v>
      </c>
      <c r="D13" s="284" t="str">
        <f>vlookup(B13,'Crew Data'!C:G,5,0)</f>
        <v>Natthima Dolchalermkiat</v>
      </c>
      <c r="E13" s="267" t="s">
        <v>1674</v>
      </c>
      <c r="F13" s="47">
        <v>3.0</v>
      </c>
      <c r="G13" s="50">
        <f t="shared" si="1"/>
        <v>1200</v>
      </c>
      <c r="H13" s="22">
        <f t="shared" si="2"/>
        <v>1</v>
      </c>
      <c r="I13" s="51" t="s">
        <v>20</v>
      </c>
    </row>
    <row r="14" ht="25.5" customHeight="1">
      <c r="A14" s="282">
        <v>11.0</v>
      </c>
      <c r="B14" s="47">
        <v>1010939.0</v>
      </c>
      <c r="C14" s="283" t="str">
        <f>vlookup(B14,'Crew data for number'!B:C,2,0)</f>
        <v>TAA5508</v>
      </c>
      <c r="D14" s="284" t="str">
        <f>vlookup(B14,'Crew Data'!C:G,5,0)</f>
        <v>Yuwarat Meesap</v>
      </c>
      <c r="E14" s="267" t="s">
        <v>1675</v>
      </c>
      <c r="F14" s="47">
        <v>8.0</v>
      </c>
      <c r="G14" s="50">
        <f t="shared" si="1"/>
        <v>3200</v>
      </c>
      <c r="H14" s="22">
        <f t="shared" si="2"/>
        <v>1</v>
      </c>
      <c r="I14" s="51" t="s">
        <v>20</v>
      </c>
    </row>
    <row r="15" ht="25.5" customHeight="1">
      <c r="A15" s="54">
        <v>12.0</v>
      </c>
      <c r="B15" s="47">
        <v>1006854.0</v>
      </c>
      <c r="C15" s="283" t="str">
        <f>vlookup(B15,'Crew data for number'!B:C,2,0)</f>
        <v>TAA3885</v>
      </c>
      <c r="D15" s="284" t="str">
        <f>vlookup(B15,'Crew Data'!C:G,5,0)</f>
        <v>Thanachai Wilai-ngam</v>
      </c>
      <c r="E15" s="267" t="s">
        <v>1676</v>
      </c>
      <c r="F15" s="47">
        <v>4.0</v>
      </c>
      <c r="G15" s="50">
        <f t="shared" si="1"/>
        <v>1600</v>
      </c>
      <c r="H15" s="22">
        <f t="shared" si="2"/>
        <v>1</v>
      </c>
      <c r="I15" s="51" t="s">
        <v>20</v>
      </c>
    </row>
    <row r="16" ht="25.5" customHeight="1">
      <c r="A16" s="282">
        <v>13.0</v>
      </c>
      <c r="B16" s="47">
        <v>1012356.0</v>
      </c>
      <c r="C16" s="283" t="str">
        <f>vlookup(B16,'Crew data for number'!B:C,2,0)</f>
        <v>TAA6122</v>
      </c>
      <c r="D16" s="284" t="str">
        <f>vlookup(B16,'Crew Data'!C:G,5,0)</f>
        <v>#N/A</v>
      </c>
      <c r="E16" s="269" t="s">
        <v>1677</v>
      </c>
      <c r="F16" s="47">
        <v>4.0</v>
      </c>
      <c r="G16" s="50">
        <f t="shared" si="1"/>
        <v>1600</v>
      </c>
      <c r="H16" s="22">
        <f t="shared" si="2"/>
        <v>1</v>
      </c>
      <c r="I16" s="51" t="s">
        <v>20</v>
      </c>
    </row>
    <row r="17" ht="25.5" customHeight="1">
      <c r="A17" s="54">
        <v>14.0</v>
      </c>
      <c r="B17" s="47">
        <v>1019295.0</v>
      </c>
      <c r="C17" s="283" t="str">
        <f>vlookup(B17,'Crew data for number'!B:C,2,0)</f>
        <v>TAA7904</v>
      </c>
      <c r="D17" s="284" t="str">
        <f>vlookup(B17,'Crew Data'!C:G,5,0)</f>
        <v>Methawee Yos-in</v>
      </c>
      <c r="E17" s="267" t="s">
        <v>1678</v>
      </c>
      <c r="F17" s="47">
        <v>28.0</v>
      </c>
      <c r="G17" s="50">
        <f t="shared" si="1"/>
        <v>11200</v>
      </c>
      <c r="H17" s="22">
        <f t="shared" si="2"/>
        <v>1</v>
      </c>
      <c r="I17" s="51" t="s">
        <v>20</v>
      </c>
    </row>
    <row r="18" ht="25.5" customHeight="1">
      <c r="A18" s="282">
        <v>15.0</v>
      </c>
      <c r="B18" s="47">
        <v>1015405.0</v>
      </c>
      <c r="C18" s="283" t="str">
        <f>vlookup(B18,'Crew data for number'!B:C,2,0)</f>
        <v>TAA7070</v>
      </c>
      <c r="D18" s="284" t="str">
        <f>vlookup(B18,'Crew Data'!C:G,5,0)</f>
        <v>Nuttapon Pungjun</v>
      </c>
      <c r="E18" s="267" t="s">
        <v>1679</v>
      </c>
      <c r="F18" s="47">
        <v>30.0</v>
      </c>
      <c r="G18" s="50">
        <f t="shared" si="1"/>
        <v>12000</v>
      </c>
      <c r="H18" s="22">
        <f t="shared" si="2"/>
        <v>1</v>
      </c>
      <c r="I18" s="51" t="s">
        <v>20</v>
      </c>
    </row>
    <row r="19" ht="25.5" customHeight="1">
      <c r="A19" s="54">
        <v>16.0</v>
      </c>
      <c r="B19" s="47">
        <v>1019556.0</v>
      </c>
      <c r="C19" s="283" t="str">
        <f>vlookup(B19,'Crew data for number'!B:C,2,0)</f>
        <v>TAA8001</v>
      </c>
      <c r="D19" s="284" t="str">
        <f>vlookup(B19,'Crew Data'!C:G,5,0)</f>
        <v>Warintorn Rachanikorn</v>
      </c>
      <c r="E19" s="267" t="s">
        <v>1617</v>
      </c>
      <c r="F19" s="47">
        <v>4.0</v>
      </c>
      <c r="G19" s="50">
        <f t="shared" si="1"/>
        <v>1600</v>
      </c>
      <c r="H19" s="22">
        <f t="shared" si="2"/>
        <v>1</v>
      </c>
      <c r="I19" s="51" t="s">
        <v>20</v>
      </c>
    </row>
    <row r="20" ht="25.5" customHeight="1">
      <c r="A20" s="282">
        <v>17.0</v>
      </c>
      <c r="B20" s="47">
        <v>1012174.0</v>
      </c>
      <c r="C20" s="283" t="str">
        <f>vlookup(B20,'Crew data for number'!B:C,2,0)</f>
        <v>TAA5985</v>
      </c>
      <c r="D20" s="284" t="str">
        <f>vlookup(B20,'Crew Data'!C:G,5,0)</f>
        <v>Parnnachai Srirat</v>
      </c>
      <c r="E20" s="267" t="s">
        <v>1667</v>
      </c>
      <c r="F20" s="47">
        <v>31.0</v>
      </c>
      <c r="G20" s="50">
        <f t="shared" si="1"/>
        <v>12400</v>
      </c>
      <c r="H20" s="22">
        <f t="shared" si="2"/>
        <v>1</v>
      </c>
      <c r="I20" s="51" t="s">
        <v>20</v>
      </c>
    </row>
    <row r="21" ht="25.5" customHeight="1">
      <c r="A21" s="54">
        <v>18.0</v>
      </c>
      <c r="B21" s="47">
        <v>1009306.0</v>
      </c>
      <c r="C21" s="283" t="str">
        <f>vlookup(B21,'Crew data for number'!B:C,2,0)</f>
        <v>TAA5464</v>
      </c>
      <c r="D21" s="284" t="str">
        <f>vlookup(B21,'Crew Data'!C:G,5,0)</f>
        <v>Noppawan Yoosamran</v>
      </c>
      <c r="E21" s="267" t="s">
        <v>1680</v>
      </c>
      <c r="F21" s="47">
        <v>7.0</v>
      </c>
      <c r="G21" s="50">
        <f t="shared" si="1"/>
        <v>2800</v>
      </c>
      <c r="H21" s="22">
        <f t="shared" si="2"/>
        <v>1</v>
      </c>
      <c r="I21" s="51" t="s">
        <v>20</v>
      </c>
    </row>
    <row r="22" ht="25.5" customHeight="1">
      <c r="A22" s="282">
        <v>19.0</v>
      </c>
      <c r="B22" s="47">
        <v>1003392.0</v>
      </c>
      <c r="C22" s="283" t="str">
        <f>vlookup(B22,'Crew data for number'!B:C,2,0)</f>
        <v>TAA2427</v>
      </c>
      <c r="D22" s="284" t="str">
        <f>vlookup(B22,'Crew Data'!C:G,5,0)</f>
        <v>Punnaphas Tawornpanmanee</v>
      </c>
      <c r="E22" s="267" t="s">
        <v>1681</v>
      </c>
      <c r="F22" s="47">
        <v>2.0</v>
      </c>
      <c r="G22" s="50">
        <f t="shared" si="1"/>
        <v>800</v>
      </c>
      <c r="H22" s="22">
        <f t="shared" si="2"/>
        <v>1</v>
      </c>
      <c r="I22" s="51" t="s">
        <v>20</v>
      </c>
    </row>
    <row r="23" ht="25.5" customHeight="1">
      <c r="A23" s="54">
        <v>20.0</v>
      </c>
      <c r="B23" s="47">
        <v>1011756.0</v>
      </c>
      <c r="C23" s="283" t="str">
        <f>vlookup(B23,'Crew data for number'!B:C,2,0)</f>
        <v>TAA5809</v>
      </c>
      <c r="D23" s="284" t="str">
        <f>vlookup(B23,'Crew Data'!C:G,5,0)</f>
        <v>#N/A</v>
      </c>
      <c r="E23" s="267" t="s">
        <v>1676</v>
      </c>
      <c r="F23" s="47">
        <v>4.0</v>
      </c>
      <c r="G23" s="50">
        <f t="shared" si="1"/>
        <v>1600</v>
      </c>
      <c r="H23" s="22">
        <f t="shared" si="2"/>
        <v>1</v>
      </c>
      <c r="I23" s="51" t="s">
        <v>20</v>
      </c>
    </row>
    <row r="24" ht="25.5" customHeight="1">
      <c r="A24" s="282">
        <v>21.0</v>
      </c>
      <c r="B24" s="47">
        <v>1006850.0</v>
      </c>
      <c r="C24" s="283" t="str">
        <f>vlookup(B24,'Crew data for number'!B:C,2,0)</f>
        <v>TAA4446</v>
      </c>
      <c r="D24" s="284" t="str">
        <f>vlookup(B24,'Crew Data'!C:G,5,0)</f>
        <v>Tanapat Srimuang</v>
      </c>
      <c r="E24" s="267" t="s">
        <v>1682</v>
      </c>
      <c r="F24" s="47">
        <v>4.0</v>
      </c>
      <c r="G24" s="50">
        <f t="shared" si="1"/>
        <v>1600</v>
      </c>
      <c r="H24" s="22">
        <f t="shared" si="2"/>
        <v>1</v>
      </c>
      <c r="I24" s="51" t="s">
        <v>20</v>
      </c>
    </row>
    <row r="25" ht="25.5" customHeight="1">
      <c r="A25" s="282">
        <v>22.0</v>
      </c>
      <c r="B25" s="47">
        <v>1007207.0</v>
      </c>
      <c r="C25" s="283" t="str">
        <f>vlookup(B25,'Crew data for number'!B:C,2,0)</f>
        <v>TAA4044</v>
      </c>
      <c r="D25" s="284" t="str">
        <f>vlookup(B25,'Crew Data'!C:G,5,0)</f>
        <v>Sasiwan Nakate</v>
      </c>
      <c r="E25" s="267" t="s">
        <v>1683</v>
      </c>
      <c r="F25" s="47">
        <v>8.0</v>
      </c>
      <c r="G25" s="50">
        <f t="shared" si="1"/>
        <v>3200</v>
      </c>
      <c r="H25" s="22">
        <f t="shared" si="2"/>
        <v>1</v>
      </c>
      <c r="I25" s="51" t="s">
        <v>20</v>
      </c>
    </row>
    <row r="26" ht="25.5" customHeight="1">
      <c r="A26" s="54">
        <v>23.0</v>
      </c>
      <c r="B26" s="47">
        <v>1014358.0</v>
      </c>
      <c r="C26" s="283" t="str">
        <f>vlookup(B26,'Crew data for number'!B:C,2,0)</f>
        <v>TAA6865</v>
      </c>
      <c r="D26" s="284" t="str">
        <f>vlookup(B26,'Crew Data'!C:G,5,0)</f>
        <v>#N/A</v>
      </c>
      <c r="E26" s="267" t="s">
        <v>1684</v>
      </c>
      <c r="F26" s="47">
        <v>3.0</v>
      </c>
      <c r="G26" s="50">
        <f t="shared" si="1"/>
        <v>1200</v>
      </c>
      <c r="H26" s="22">
        <f t="shared" si="2"/>
        <v>1</v>
      </c>
      <c r="I26" s="51" t="s">
        <v>20</v>
      </c>
    </row>
    <row r="27" ht="25.5" customHeight="1">
      <c r="A27" s="282">
        <v>24.0</v>
      </c>
      <c r="B27" s="47">
        <v>1005283.0</v>
      </c>
      <c r="C27" s="283" t="str">
        <f>vlookup(B27,'Crew data for number'!B:C,2,0)</f>
        <v>TAA3173</v>
      </c>
      <c r="D27" s="284" t="str">
        <f>vlookup(B27,'Crew Data'!C:G,5,0)</f>
        <v>#N/A</v>
      </c>
      <c r="E27" s="267" t="s">
        <v>1685</v>
      </c>
      <c r="F27" s="47">
        <v>4.0</v>
      </c>
      <c r="G27" s="50">
        <f t="shared" si="1"/>
        <v>1600</v>
      </c>
      <c r="H27" s="22">
        <f t="shared" si="2"/>
        <v>1</v>
      </c>
      <c r="I27" s="51" t="s">
        <v>20</v>
      </c>
    </row>
    <row r="28" ht="25.5" customHeight="1">
      <c r="A28" s="282">
        <v>25.0</v>
      </c>
      <c r="B28" s="47">
        <v>1003418.0</v>
      </c>
      <c r="C28" s="283" t="str">
        <f>vlookup(B28,'Crew data for number'!B:C,2,0)</f>
        <v>TAA2430</v>
      </c>
      <c r="D28" s="284" t="str">
        <f>vlookup(B28,'Crew Data'!C:G,5,0)</f>
        <v>Chiravitch Kittiphongsathaporn</v>
      </c>
      <c r="E28" s="267" t="s">
        <v>1686</v>
      </c>
      <c r="F28" s="47">
        <v>5.0</v>
      </c>
      <c r="G28" s="50">
        <f t="shared" si="1"/>
        <v>2000</v>
      </c>
      <c r="H28" s="22">
        <f t="shared" si="2"/>
        <v>1</v>
      </c>
      <c r="I28" s="51" t="s">
        <v>20</v>
      </c>
    </row>
    <row r="29" ht="25.5" customHeight="1">
      <c r="A29" s="54">
        <v>26.0</v>
      </c>
      <c r="B29" s="47">
        <v>1004851.0</v>
      </c>
      <c r="C29" s="283" t="str">
        <f>vlookup(B29,'Crew data for number'!B:C,2,0)</f>
        <v>TAA3005</v>
      </c>
      <c r="D29" s="284" t="str">
        <f>vlookup(B29,'Crew Data'!C:G,5,0)</f>
        <v>#N/A</v>
      </c>
      <c r="E29" s="267" t="s">
        <v>1687</v>
      </c>
      <c r="F29" s="47">
        <v>8.0</v>
      </c>
      <c r="G29" s="50">
        <f t="shared" si="1"/>
        <v>3200</v>
      </c>
      <c r="H29" s="22">
        <f t="shared" si="2"/>
        <v>1</v>
      </c>
      <c r="I29" s="51" t="s">
        <v>20</v>
      </c>
    </row>
    <row r="30" ht="25.5" customHeight="1">
      <c r="A30" s="282">
        <v>27.0</v>
      </c>
      <c r="B30" s="47">
        <v>1005945.0</v>
      </c>
      <c r="C30" s="283" t="str">
        <f>vlookup(B30,'Crew data for number'!B:C,2,0)</f>
        <v>TAA3503</v>
      </c>
      <c r="D30" s="284" t="str">
        <f>vlookup(B30,'Crew Data'!C:G,5,0)</f>
        <v>Laphatrada Saisuk</v>
      </c>
      <c r="E30" s="267" t="s">
        <v>1688</v>
      </c>
      <c r="F30" s="47">
        <v>6.0</v>
      </c>
      <c r="G30" s="50">
        <f t="shared" si="1"/>
        <v>2400</v>
      </c>
      <c r="H30" s="22">
        <f t="shared" si="2"/>
        <v>1</v>
      </c>
      <c r="I30" s="51" t="s">
        <v>20</v>
      </c>
    </row>
    <row r="31" ht="25.5" customHeight="1">
      <c r="A31" s="282">
        <v>28.0</v>
      </c>
      <c r="B31" s="47">
        <v>1022984.0</v>
      </c>
      <c r="C31" s="283" t="str">
        <f>vlookup(B31,'Crew data for number'!B:C,2,0)</f>
        <v/>
      </c>
      <c r="D31" s="284" t="str">
        <f>vlookup(B31,'Crew Data'!C:G,5,0)</f>
        <v>Pitsinee Diowvilai</v>
      </c>
      <c r="E31" s="267" t="s">
        <v>1689</v>
      </c>
      <c r="F31" s="47">
        <v>4.0</v>
      </c>
      <c r="G31" s="50">
        <f t="shared" si="1"/>
        <v>1600</v>
      </c>
      <c r="H31" s="22">
        <f t="shared" si="2"/>
        <v>1</v>
      </c>
      <c r="I31" s="51" t="s">
        <v>20</v>
      </c>
    </row>
    <row r="32" ht="25.5" customHeight="1">
      <c r="A32" s="54">
        <v>29.0</v>
      </c>
      <c r="B32" s="47">
        <v>1011517.0</v>
      </c>
      <c r="C32" s="283" t="str">
        <f>vlookup(B32,'Crew data for number'!B:C,2,0)</f>
        <v>TAA5739</v>
      </c>
      <c r="D32" s="284" t="str">
        <f>vlookup(B32,'Crew Data'!C:G,5,0)</f>
        <v>#N/A</v>
      </c>
      <c r="E32" s="267" t="s">
        <v>1690</v>
      </c>
      <c r="F32" s="47">
        <v>4.0</v>
      </c>
      <c r="G32" s="50">
        <f t="shared" si="1"/>
        <v>1600</v>
      </c>
      <c r="H32" s="22">
        <f t="shared" si="2"/>
        <v>1</v>
      </c>
      <c r="I32" s="51" t="s">
        <v>20</v>
      </c>
    </row>
    <row r="33" ht="25.5" customHeight="1">
      <c r="A33" s="282">
        <v>30.0</v>
      </c>
      <c r="B33" s="47">
        <v>1014081.0</v>
      </c>
      <c r="C33" s="283" t="str">
        <f>vlookup(B33,'Crew data for number'!B:C,2,0)</f>
        <v>TAA6722</v>
      </c>
      <c r="D33" s="284" t="str">
        <f>vlookup(B33,'Crew Data'!C:G,5,0)</f>
        <v>#N/A</v>
      </c>
      <c r="E33" s="267" t="s">
        <v>1691</v>
      </c>
      <c r="F33" s="47">
        <v>33.0</v>
      </c>
      <c r="G33" s="50">
        <f t="shared" si="1"/>
        <v>13200</v>
      </c>
      <c r="H33" s="22">
        <f t="shared" si="2"/>
        <v>1</v>
      </c>
      <c r="I33" s="51" t="s">
        <v>20</v>
      </c>
    </row>
    <row r="34" ht="25.5" customHeight="1">
      <c r="A34" s="282">
        <v>31.0</v>
      </c>
      <c r="B34" s="47">
        <v>1016214.0</v>
      </c>
      <c r="C34" s="283" t="str">
        <f>vlookup(B34,'Crew data for number'!B:C,2,0)</f>
        <v>TAA7288</v>
      </c>
      <c r="D34" s="284" t="str">
        <f>vlookup(B34,'Crew Data'!C:G,5,0)</f>
        <v>Passakorn Porncharoon</v>
      </c>
      <c r="E34" s="267" t="s">
        <v>1692</v>
      </c>
      <c r="F34" s="47">
        <v>5.0</v>
      </c>
      <c r="G34" s="50">
        <f t="shared" si="1"/>
        <v>2000</v>
      </c>
      <c r="H34" s="22">
        <f t="shared" si="2"/>
        <v>1</v>
      </c>
      <c r="I34" s="51" t="s">
        <v>20</v>
      </c>
    </row>
    <row r="35" ht="25.5" customHeight="1">
      <c r="A35" s="54">
        <v>32.0</v>
      </c>
      <c r="B35" s="47">
        <v>1007275.0</v>
      </c>
      <c r="C35" s="283" t="str">
        <f>vlookup(B35,'Crew data for number'!B:C,2,0)</f>
        <v>TAA4101</v>
      </c>
      <c r="D35" s="284" t="str">
        <f>vlookup(B35,'Crew Data'!C:G,5,0)</f>
        <v>Teeraporn Sutthumvilai</v>
      </c>
      <c r="E35" s="267" t="s">
        <v>1692</v>
      </c>
      <c r="F35" s="47">
        <v>5.0</v>
      </c>
      <c r="G35" s="50">
        <f t="shared" si="1"/>
        <v>2000</v>
      </c>
      <c r="H35" s="22">
        <f t="shared" si="2"/>
        <v>1</v>
      </c>
      <c r="I35" s="51" t="s">
        <v>20</v>
      </c>
    </row>
    <row r="36" ht="25.5" customHeight="1">
      <c r="A36" s="282">
        <v>33.0</v>
      </c>
      <c r="B36" s="47">
        <v>1016206.0</v>
      </c>
      <c r="C36" s="283" t="str">
        <f>vlookup(B36,'Crew data for number'!B:C,2,0)</f>
        <v>TAA7282</v>
      </c>
      <c r="D36" s="284" t="str">
        <f>vlookup(B36,'Crew Data'!C:G,5,0)</f>
        <v>Nisara Aimwong</v>
      </c>
      <c r="E36" s="267" t="s">
        <v>1693</v>
      </c>
      <c r="F36" s="47">
        <v>4.0</v>
      </c>
      <c r="G36" s="50">
        <f t="shared" si="1"/>
        <v>1600</v>
      </c>
      <c r="H36" s="22">
        <f t="shared" si="2"/>
        <v>1</v>
      </c>
      <c r="I36" s="51" t="s">
        <v>20</v>
      </c>
    </row>
    <row r="37" ht="25.5" customHeight="1">
      <c r="A37" s="282">
        <v>34.0</v>
      </c>
      <c r="B37" s="47">
        <v>1005301.0</v>
      </c>
      <c r="C37" s="283" t="str">
        <f>vlookup(B37,'Crew data for number'!B:C,2,0)</f>
        <v>TAA3206</v>
      </c>
      <c r="D37" s="284" t="str">
        <f>vlookup(B37,'Crew Data'!C:G,5,0)</f>
        <v>Pimpaporn Sittitanggoon</v>
      </c>
      <c r="E37" s="267" t="s">
        <v>1694</v>
      </c>
      <c r="F37" s="47">
        <v>4.0</v>
      </c>
      <c r="G37" s="50">
        <f t="shared" si="1"/>
        <v>1600</v>
      </c>
      <c r="H37" s="22">
        <f t="shared" si="2"/>
        <v>1</v>
      </c>
      <c r="I37" s="51" t="s">
        <v>20</v>
      </c>
    </row>
    <row r="38" ht="25.5" customHeight="1">
      <c r="A38" s="54">
        <v>35.0</v>
      </c>
      <c r="B38" s="47">
        <v>1018537.0</v>
      </c>
      <c r="C38" s="283" t="str">
        <f>vlookup(B38,'Crew data for number'!B:C,2,0)</f>
        <v>TAA7751</v>
      </c>
      <c r="D38" s="284" t="str">
        <f>vlookup(B38,'Crew Data'!C:G,5,0)</f>
        <v>#N/A</v>
      </c>
      <c r="E38" s="267" t="s">
        <v>1695</v>
      </c>
      <c r="F38" s="47">
        <v>7.0</v>
      </c>
      <c r="G38" s="50">
        <f t="shared" si="1"/>
        <v>2800</v>
      </c>
      <c r="H38" s="22">
        <f t="shared" si="2"/>
        <v>1</v>
      </c>
      <c r="I38" s="51" t="s">
        <v>20</v>
      </c>
    </row>
    <row r="39" ht="25.5" customHeight="1">
      <c r="A39" s="282">
        <v>36.0</v>
      </c>
      <c r="B39" s="47">
        <v>1022220.0</v>
      </c>
      <c r="C39" s="283" t="str">
        <f>vlookup(B39,'Crew data for number'!B:C,2,0)</f>
        <v/>
      </c>
      <c r="D39" s="284" t="str">
        <f>vlookup(B39,'Crew Data'!C:G,5,0)</f>
        <v>#N/A</v>
      </c>
      <c r="E39" s="267" t="s">
        <v>1667</v>
      </c>
      <c r="F39" s="47">
        <v>31.0</v>
      </c>
      <c r="G39" s="50">
        <f t="shared" si="1"/>
        <v>12400</v>
      </c>
      <c r="H39" s="22">
        <f t="shared" si="2"/>
        <v>1</v>
      </c>
      <c r="I39" s="51" t="s">
        <v>20</v>
      </c>
    </row>
    <row r="40" ht="25.5" customHeight="1">
      <c r="A40" s="282">
        <v>37.0</v>
      </c>
      <c r="B40" s="47">
        <v>1006900.0</v>
      </c>
      <c r="C40" s="283" t="str">
        <f>vlookup(B40,'Crew data for number'!B:C,2,0)</f>
        <v>TAA3890</v>
      </c>
      <c r="D40" s="284" t="str">
        <f>vlookup(B40,'Crew Data'!C:G,5,0)</f>
        <v>Ratha Aphiworaphakin</v>
      </c>
      <c r="E40" s="267" t="s">
        <v>1696</v>
      </c>
      <c r="F40" s="47">
        <v>4.0</v>
      </c>
      <c r="G40" s="50">
        <f t="shared" si="1"/>
        <v>1600</v>
      </c>
      <c r="H40" s="22">
        <f t="shared" si="2"/>
        <v>1</v>
      </c>
      <c r="I40" s="51" t="s">
        <v>20</v>
      </c>
    </row>
    <row r="41" ht="25.5" customHeight="1">
      <c r="A41" s="54">
        <v>38.0</v>
      </c>
      <c r="B41" s="47">
        <v>1018980.0</v>
      </c>
      <c r="C41" s="283" t="str">
        <f>vlookup(B41,'Crew data for number'!B:C,2,0)</f>
        <v>TAA7838</v>
      </c>
      <c r="D41" s="284" t="str">
        <f>vlookup(B41,'Crew Data'!C:G,5,0)</f>
        <v>#N/A</v>
      </c>
      <c r="E41" s="267" t="s">
        <v>1667</v>
      </c>
      <c r="F41" s="47">
        <v>31.0</v>
      </c>
      <c r="G41" s="50">
        <f t="shared" si="1"/>
        <v>12400</v>
      </c>
      <c r="H41" s="22">
        <f t="shared" si="2"/>
        <v>1</v>
      </c>
      <c r="I41" s="51" t="s">
        <v>20</v>
      </c>
    </row>
    <row r="42" ht="25.5" customHeight="1">
      <c r="A42" s="282">
        <v>39.0</v>
      </c>
      <c r="B42" s="47">
        <v>1019520.0</v>
      </c>
      <c r="C42" s="283" t="str">
        <f>vlookup(B42,'Crew data for number'!B:C,2,0)</f>
        <v>TAA8005</v>
      </c>
      <c r="D42" s="284" t="str">
        <f>vlookup(B42,'Crew Data'!C:G,5,0)</f>
        <v>#N/A</v>
      </c>
      <c r="E42" s="267" t="s">
        <v>1697</v>
      </c>
      <c r="F42" s="47">
        <v>26.0</v>
      </c>
      <c r="G42" s="50">
        <f t="shared" si="1"/>
        <v>10400</v>
      </c>
      <c r="H42" s="22">
        <f t="shared" si="2"/>
        <v>1</v>
      </c>
      <c r="I42" s="51" t="s">
        <v>20</v>
      </c>
    </row>
    <row r="43" ht="25.5" customHeight="1">
      <c r="A43" s="282">
        <v>40.0</v>
      </c>
      <c r="B43" s="47">
        <v>1003220.0</v>
      </c>
      <c r="C43" s="283" t="str">
        <f>vlookup(B43,'Crew data for number'!B:C,2,0)</f>
        <v>TAA2344</v>
      </c>
      <c r="D43" s="284" t="str">
        <f>vlookup(B43,'Crew Data'!C:G,5,0)</f>
        <v>Pathita Leepeeravitit</v>
      </c>
      <c r="E43" s="267" t="s">
        <v>1698</v>
      </c>
      <c r="F43" s="47">
        <v>25.0</v>
      </c>
      <c r="G43" s="50">
        <f t="shared" si="1"/>
        <v>10000</v>
      </c>
      <c r="H43" s="22">
        <f t="shared" si="2"/>
        <v>1</v>
      </c>
      <c r="I43" s="51" t="s">
        <v>20</v>
      </c>
    </row>
    <row r="44" ht="25.5" customHeight="1">
      <c r="A44" s="54">
        <v>41.0</v>
      </c>
      <c r="B44" s="47">
        <v>1001914.0</v>
      </c>
      <c r="C44" s="283" t="str">
        <f>vlookup(B44,'Crew data for number'!B:C,2,0)</f>
        <v>TAA1731</v>
      </c>
      <c r="D44" s="284" t="str">
        <f>vlookup(B44,'Crew Data'!C:G,5,0)</f>
        <v>Arthitaya Srisopon</v>
      </c>
      <c r="E44" s="267" t="s">
        <v>1699</v>
      </c>
      <c r="F44" s="47">
        <v>29.0</v>
      </c>
      <c r="G44" s="50">
        <f t="shared" si="1"/>
        <v>11600</v>
      </c>
      <c r="H44" s="22">
        <f t="shared" si="2"/>
        <v>1</v>
      </c>
      <c r="I44" s="51" t="s">
        <v>20</v>
      </c>
    </row>
    <row r="45" ht="25.5" customHeight="1">
      <c r="A45" s="282">
        <v>42.0</v>
      </c>
      <c r="B45" s="47">
        <v>1018531.0</v>
      </c>
      <c r="C45" s="283" t="str">
        <f>vlookup(B45,'Crew data for number'!B:C,2,0)</f>
        <v>TAA7752</v>
      </c>
      <c r="D45" s="284" t="str">
        <f>vlookup(B45,'Crew Data'!C:G,5,0)</f>
        <v>Chawit Donsawee</v>
      </c>
      <c r="E45" s="267" t="s">
        <v>1700</v>
      </c>
      <c r="F45" s="47">
        <v>5.0</v>
      </c>
      <c r="G45" s="50">
        <f t="shared" si="1"/>
        <v>2000</v>
      </c>
      <c r="H45" s="22">
        <f t="shared" si="2"/>
        <v>1</v>
      </c>
      <c r="I45" s="51" t="s">
        <v>20</v>
      </c>
    </row>
    <row r="46" ht="25.5" customHeight="1">
      <c r="A46" s="282">
        <v>43.0</v>
      </c>
      <c r="B46" s="47">
        <v>1004204.0</v>
      </c>
      <c r="C46" s="283" t="str">
        <f>vlookup(B46,'Crew data for number'!B:C,2,0)</f>
        <v>TAA2683</v>
      </c>
      <c r="D46" s="284" t="str">
        <f>vlookup(B46,'Crew Data'!C:G,5,0)</f>
        <v>Phasita Khomdech</v>
      </c>
      <c r="E46" s="267" t="s">
        <v>1696</v>
      </c>
      <c r="F46" s="47">
        <v>4.0</v>
      </c>
      <c r="G46" s="50">
        <f t="shared" si="1"/>
        <v>1600</v>
      </c>
      <c r="H46" s="22">
        <f t="shared" si="2"/>
        <v>1</v>
      </c>
      <c r="I46" s="51" t="s">
        <v>20</v>
      </c>
    </row>
    <row r="47" ht="25.5" customHeight="1">
      <c r="A47" s="54">
        <v>44.0</v>
      </c>
      <c r="B47" s="47">
        <v>1012989.0</v>
      </c>
      <c r="C47" s="283" t="str">
        <f>vlookup(B47,'Crew data for number'!B:C,2,0)</f>
        <v>TAA6502</v>
      </c>
      <c r="D47" s="284" t="str">
        <f>vlookup(B47,'Crew Data'!C:G,5,0)</f>
        <v>Kitibodee Harnkunthamart</v>
      </c>
      <c r="E47" s="267" t="s">
        <v>1701</v>
      </c>
      <c r="F47" s="47">
        <v>5.0</v>
      </c>
      <c r="G47" s="50">
        <f t="shared" si="1"/>
        <v>2000</v>
      </c>
      <c r="H47" s="22">
        <f t="shared" si="2"/>
        <v>1</v>
      </c>
      <c r="I47" s="51" t="s">
        <v>20</v>
      </c>
    </row>
    <row r="48" ht="25.5" customHeight="1">
      <c r="A48" s="282">
        <v>45.0</v>
      </c>
      <c r="B48" s="47">
        <v>1014372.0</v>
      </c>
      <c r="C48" s="283" t="str">
        <f>vlookup(B48,'Crew data for number'!B:C,2,0)</f>
        <v>TAA6869</v>
      </c>
      <c r="D48" s="284" t="str">
        <f>vlookup(B48,'Crew Data'!C:G,5,0)</f>
        <v>#N/A</v>
      </c>
      <c r="E48" s="267" t="s">
        <v>1674</v>
      </c>
      <c r="F48" s="47">
        <v>3.0</v>
      </c>
      <c r="G48" s="50">
        <f t="shared" si="1"/>
        <v>1200</v>
      </c>
      <c r="H48" s="22">
        <f t="shared" si="2"/>
        <v>1</v>
      </c>
      <c r="I48" s="51" t="s">
        <v>20</v>
      </c>
    </row>
    <row r="49" ht="25.5" customHeight="1">
      <c r="A49" s="282">
        <v>46.0</v>
      </c>
      <c r="B49" s="47">
        <v>1022697.0</v>
      </c>
      <c r="C49" s="283" t="str">
        <f>vlookup(B49,'Crew data for number'!B:C,2,0)</f>
        <v/>
      </c>
      <c r="D49" s="284" t="str">
        <f>vlookup(B49,'Crew Data'!C:G,5,0)</f>
        <v>#N/A</v>
      </c>
      <c r="E49" s="267" t="s">
        <v>1681</v>
      </c>
      <c r="F49" s="47">
        <v>2.0</v>
      </c>
      <c r="G49" s="50">
        <f t="shared" si="1"/>
        <v>800</v>
      </c>
      <c r="H49" s="22">
        <f t="shared" si="2"/>
        <v>1</v>
      </c>
      <c r="I49" s="51" t="s">
        <v>20</v>
      </c>
    </row>
    <row r="50" ht="25.5" customHeight="1">
      <c r="A50" s="54">
        <v>47.0</v>
      </c>
      <c r="B50" s="47">
        <v>1008211.0</v>
      </c>
      <c r="C50" s="283" t="str">
        <f>vlookup(B50,'Crew data for number'!B:C,2,0)</f>
        <v>TAA5047</v>
      </c>
      <c r="D50" s="284" t="str">
        <f>vlookup(B50,'Crew Data'!C:G,5,0)</f>
        <v>Jinnanat Buree</v>
      </c>
      <c r="E50" s="267" t="s">
        <v>1681</v>
      </c>
      <c r="F50" s="47">
        <v>2.0</v>
      </c>
      <c r="G50" s="50">
        <f t="shared" si="1"/>
        <v>800</v>
      </c>
      <c r="H50" s="22">
        <f t="shared" si="2"/>
        <v>1</v>
      </c>
      <c r="I50" s="51" t="s">
        <v>20</v>
      </c>
    </row>
    <row r="51" ht="25.5" customHeight="1">
      <c r="A51" s="282">
        <v>48.0</v>
      </c>
      <c r="B51" s="47">
        <v>1010700.0</v>
      </c>
      <c r="C51" s="283" t="str">
        <f>vlookup(B51,'Crew data for number'!B:C,2,0)</f>
        <v>TAA5546</v>
      </c>
      <c r="D51" s="284" t="str">
        <f>vlookup(B51,'Crew Data'!C:G,5,0)</f>
        <v>Buntika Wongkham</v>
      </c>
      <c r="E51" s="267" t="s">
        <v>1702</v>
      </c>
      <c r="F51" s="47">
        <v>4.0</v>
      </c>
      <c r="G51" s="50">
        <f t="shared" si="1"/>
        <v>1600</v>
      </c>
      <c r="H51" s="22">
        <f t="shared" si="2"/>
        <v>1</v>
      </c>
      <c r="I51" s="51" t="s">
        <v>20</v>
      </c>
    </row>
    <row r="52" ht="25.5" customHeight="1">
      <c r="A52" s="282">
        <v>49.0</v>
      </c>
      <c r="B52" s="47">
        <v>1006835.0</v>
      </c>
      <c r="C52" s="283" t="str">
        <f>vlookup(B52,'Crew data for number'!B:C,2,0)</f>
        <v>TAA3877</v>
      </c>
      <c r="D52" s="284" t="str">
        <f>vlookup(B52,'Crew Data'!C:G,5,0)</f>
        <v>Ketsaraporn Borvornmongkolsak</v>
      </c>
      <c r="E52" s="267" t="s">
        <v>1674</v>
      </c>
      <c r="F52" s="47">
        <v>3.0</v>
      </c>
      <c r="G52" s="50">
        <f t="shared" si="1"/>
        <v>1200</v>
      </c>
      <c r="H52" s="22">
        <f t="shared" si="2"/>
        <v>1</v>
      </c>
      <c r="I52" s="51" t="s">
        <v>20</v>
      </c>
    </row>
    <row r="53" ht="25.5" customHeight="1">
      <c r="A53" s="282">
        <v>50.0</v>
      </c>
      <c r="B53" s="47">
        <v>1005278.0</v>
      </c>
      <c r="C53" s="283" t="str">
        <f>vlookup(B53,'Crew data for number'!B:C,2,0)</f>
        <v>TAA3189</v>
      </c>
      <c r="D53" s="284" t="str">
        <f>vlookup(B53,'Crew Data'!C:G,5,0)</f>
        <v>Benjama Keyata</v>
      </c>
      <c r="E53" s="267" t="s">
        <v>1703</v>
      </c>
      <c r="F53" s="47">
        <v>2.0</v>
      </c>
      <c r="G53" s="50">
        <f t="shared" si="1"/>
        <v>800</v>
      </c>
      <c r="H53" s="22">
        <f t="shared" si="2"/>
        <v>1</v>
      </c>
      <c r="I53" s="51" t="s">
        <v>20</v>
      </c>
    </row>
    <row r="54" ht="25.5" customHeight="1">
      <c r="A54" s="54">
        <v>51.0</v>
      </c>
      <c r="B54" s="47">
        <v>1006313.0</v>
      </c>
      <c r="C54" s="283" t="str">
        <f>vlookup(B54,'Crew data for number'!B:C,2,0)</f>
        <v>TAA3678</v>
      </c>
      <c r="D54" s="284" t="str">
        <f>vlookup(B54,'Crew Data'!C:G,5,0)</f>
        <v>Kanyarat Palasak</v>
      </c>
      <c r="E54" s="267" t="s">
        <v>1674</v>
      </c>
      <c r="F54" s="47">
        <v>3.0</v>
      </c>
      <c r="G54" s="50">
        <f t="shared" si="1"/>
        <v>1200</v>
      </c>
      <c r="H54" s="22">
        <f t="shared" si="2"/>
        <v>1</v>
      </c>
      <c r="I54" s="51" t="s">
        <v>20</v>
      </c>
    </row>
    <row r="55" ht="25.5" customHeight="1">
      <c r="A55" s="282">
        <v>52.0</v>
      </c>
      <c r="B55" s="47">
        <v>1007408.0</v>
      </c>
      <c r="C55" s="283" t="str">
        <f>vlookup(B55,'Crew data for number'!B:C,2,0)</f>
        <v>TAA4072</v>
      </c>
      <c r="D55" s="284" t="str">
        <f>vlookup(B55,'Crew Data'!C:G,5,0)</f>
        <v>#N/A</v>
      </c>
      <c r="E55" s="267" t="s">
        <v>1704</v>
      </c>
      <c r="F55" s="47">
        <v>8.0</v>
      </c>
      <c r="G55" s="50">
        <f t="shared" si="1"/>
        <v>3200</v>
      </c>
      <c r="H55" s="22">
        <f t="shared" si="2"/>
        <v>1</v>
      </c>
      <c r="I55" s="51" t="s">
        <v>20</v>
      </c>
    </row>
    <row r="56" ht="25.5" customHeight="1">
      <c r="A56" s="282">
        <v>53.0</v>
      </c>
      <c r="B56" s="47">
        <v>1022989.0</v>
      </c>
      <c r="C56" s="283" t="str">
        <f>vlookup(B56,'Crew data for number'!B:C,2,0)</f>
        <v/>
      </c>
      <c r="D56" s="284" t="str">
        <f>vlookup(B56,'Crew Data'!C:G,5,0)</f>
        <v>Peeranat Chavitranurak</v>
      </c>
      <c r="E56" s="267" t="s">
        <v>1554</v>
      </c>
      <c r="F56" s="47">
        <v>4.0</v>
      </c>
      <c r="G56" s="50">
        <f t="shared" si="1"/>
        <v>1600</v>
      </c>
      <c r="H56" s="22">
        <f t="shared" si="2"/>
        <v>1</v>
      </c>
      <c r="I56" s="51" t="s">
        <v>20</v>
      </c>
    </row>
    <row r="57" ht="25.5" customHeight="1">
      <c r="A57" s="54">
        <v>54.0</v>
      </c>
      <c r="B57" s="47">
        <v>1006905.0</v>
      </c>
      <c r="C57" s="283" t="str">
        <f>vlookup(B57,'Crew data for number'!B:C,2,0)</f>
        <v>TAA3895</v>
      </c>
      <c r="D57" s="284" t="str">
        <f>vlookup(B57,'Crew Data'!C:G,5,0)</f>
        <v>Thanyaluck Wongkittivech</v>
      </c>
      <c r="E57" s="267" t="s">
        <v>1705</v>
      </c>
      <c r="F57" s="47">
        <v>3.0</v>
      </c>
      <c r="G57" s="50">
        <f t="shared" si="1"/>
        <v>1200</v>
      </c>
      <c r="H57" s="22">
        <f t="shared" si="2"/>
        <v>1</v>
      </c>
      <c r="I57" s="51" t="s">
        <v>20</v>
      </c>
    </row>
    <row r="58" ht="25.5" customHeight="1">
      <c r="A58" s="282">
        <v>55.0</v>
      </c>
      <c r="B58" s="47">
        <v>1004292.0</v>
      </c>
      <c r="C58" s="283" t="str">
        <f>vlookup(B58,'Crew data for number'!B:C,2,0)</f>
        <v>TAA2986</v>
      </c>
      <c r="D58" s="284" t="str">
        <f>vlookup(B58,'Crew Data'!C:G,5,0)</f>
        <v>Darunee Anumat</v>
      </c>
      <c r="E58" s="267" t="s">
        <v>1617</v>
      </c>
      <c r="F58" s="47">
        <v>4.0</v>
      </c>
      <c r="G58" s="50">
        <f t="shared" si="1"/>
        <v>1600</v>
      </c>
      <c r="H58" s="22">
        <f t="shared" si="2"/>
        <v>1</v>
      </c>
      <c r="I58" s="51" t="s">
        <v>20</v>
      </c>
    </row>
    <row r="59" ht="25.5" customHeight="1">
      <c r="A59" s="282">
        <v>56.0</v>
      </c>
      <c r="B59" s="47">
        <v>1011505.0</v>
      </c>
      <c r="C59" s="283" t="str">
        <f>vlookup(B59,'Crew data for number'!B:C,2,0)</f>
        <v>TAA5876</v>
      </c>
      <c r="D59" s="284" t="str">
        <f>vlookup(B59,'Crew Data'!C:G,5,0)</f>
        <v>Unyamanee Tammawirat</v>
      </c>
      <c r="E59" s="267" t="s">
        <v>1625</v>
      </c>
      <c r="F59" s="47">
        <v>3.0</v>
      </c>
      <c r="G59" s="50">
        <f t="shared" si="1"/>
        <v>1200</v>
      </c>
      <c r="H59" s="22">
        <f t="shared" si="2"/>
        <v>1</v>
      </c>
      <c r="I59" s="51" t="s">
        <v>20</v>
      </c>
    </row>
    <row r="60" ht="25.5" customHeight="1">
      <c r="A60" s="282">
        <v>57.0</v>
      </c>
      <c r="B60" s="47">
        <v>1003373.0</v>
      </c>
      <c r="C60" s="283" t="str">
        <f>vlookup(B60,'Crew data for number'!B:C,2,0)</f>
        <v>TAA2544</v>
      </c>
      <c r="D60" s="284" t="str">
        <f>vlookup(B60,'Crew Data'!C:G,5,0)</f>
        <v>Sarawut Rakdee</v>
      </c>
      <c r="E60" s="267" t="s">
        <v>1674</v>
      </c>
      <c r="F60" s="47">
        <v>3.0</v>
      </c>
      <c r="G60" s="50">
        <f t="shared" si="1"/>
        <v>1200</v>
      </c>
      <c r="H60" s="22">
        <f t="shared" si="2"/>
        <v>1</v>
      </c>
      <c r="I60" s="51" t="s">
        <v>20</v>
      </c>
    </row>
    <row r="61" ht="25.5" customHeight="1">
      <c r="A61" s="54">
        <v>58.0</v>
      </c>
      <c r="B61" s="47">
        <v>1006843.0</v>
      </c>
      <c r="C61" s="283" t="str">
        <f>vlookup(B61,'Crew data for number'!B:C,2,0)</f>
        <v>TAA3878</v>
      </c>
      <c r="D61" s="284" t="str">
        <f>vlookup(B61,'Crew Data'!C:G,5,0)</f>
        <v>#N/A</v>
      </c>
      <c r="E61" s="267" t="s">
        <v>1706</v>
      </c>
      <c r="F61" s="47">
        <v>6.0</v>
      </c>
      <c r="G61" s="50">
        <f t="shared" si="1"/>
        <v>2400</v>
      </c>
      <c r="H61" s="22">
        <f t="shared" si="2"/>
        <v>1</v>
      </c>
      <c r="I61" s="51" t="s">
        <v>20</v>
      </c>
    </row>
    <row r="62" ht="25.5" customHeight="1">
      <c r="A62" s="282">
        <v>59.0</v>
      </c>
      <c r="B62" s="47">
        <v>1005440.0</v>
      </c>
      <c r="C62" s="283" t="str">
        <f>vlookup(B62,'Crew data for number'!B:C,2,0)</f>
        <v>TAA3253</v>
      </c>
      <c r="D62" s="284" t="str">
        <f>vlookup(B62,'Crew Data'!C:G,5,0)</f>
        <v>Parinda Vidhecharoengul</v>
      </c>
      <c r="E62" s="268">
        <v>43617.0</v>
      </c>
      <c r="F62" s="47">
        <v>1.0</v>
      </c>
      <c r="G62" s="50">
        <f t="shared" si="1"/>
        <v>400</v>
      </c>
      <c r="H62" s="22">
        <f t="shared" si="2"/>
        <v>1</v>
      </c>
      <c r="I62" s="51" t="s">
        <v>20</v>
      </c>
    </row>
    <row r="63" ht="25.5" customHeight="1">
      <c r="A63" s="282">
        <v>60.0</v>
      </c>
      <c r="B63" s="47">
        <v>1022846.0</v>
      </c>
      <c r="C63" s="283" t="str">
        <f>vlookup(B63,'Crew data for number'!B:C,2,0)</f>
        <v/>
      </c>
      <c r="D63" s="284" t="str">
        <f>vlookup(B63,'Crew Data'!C:G,5,0)</f>
        <v>Tattiya Supannabut</v>
      </c>
      <c r="E63" s="267" t="s">
        <v>1689</v>
      </c>
      <c r="F63" s="47">
        <v>4.0</v>
      </c>
      <c r="G63" s="50">
        <f t="shared" si="1"/>
        <v>1600</v>
      </c>
      <c r="H63" s="22">
        <f t="shared" si="2"/>
        <v>1</v>
      </c>
      <c r="I63" s="51" t="s">
        <v>20</v>
      </c>
    </row>
    <row r="64" ht="25.5" customHeight="1">
      <c r="A64" s="54">
        <v>61.0</v>
      </c>
      <c r="B64" s="47">
        <v>1010919.0</v>
      </c>
      <c r="C64" s="283" t="str">
        <f>vlookup(B64,'Crew data for number'!B:C,2,0)</f>
        <v>TAA5521</v>
      </c>
      <c r="D64" s="284" t="str">
        <f>vlookup(B64,'Crew Data'!C:G,5,0)</f>
        <v>Suntorn Srimasongserm</v>
      </c>
      <c r="E64" s="268">
        <v>43640.0</v>
      </c>
      <c r="F64" s="47">
        <v>1.0</v>
      </c>
      <c r="G64" s="50">
        <f t="shared" si="1"/>
        <v>400</v>
      </c>
      <c r="H64" s="22">
        <f t="shared" si="2"/>
        <v>1</v>
      </c>
      <c r="I64" s="51" t="s">
        <v>20</v>
      </c>
    </row>
    <row r="65" ht="25.5" customHeight="1">
      <c r="A65" s="282">
        <v>62.0</v>
      </c>
      <c r="B65" s="47">
        <v>1004298.0</v>
      </c>
      <c r="C65" s="283" t="str">
        <f>vlookup(B65,'Crew data for number'!B:C,2,0)</f>
        <v>TAA2942</v>
      </c>
      <c r="D65" s="284" t="str">
        <f>vlookup(B65,'Crew Data'!C:G,5,0)</f>
        <v>Teerapat Kasemphongsakorn</v>
      </c>
      <c r="E65" s="268">
        <v>43625.0</v>
      </c>
      <c r="F65" s="47">
        <v>1.0</v>
      </c>
      <c r="G65" s="50">
        <f t="shared" si="1"/>
        <v>400</v>
      </c>
      <c r="H65" s="22">
        <f t="shared" si="2"/>
        <v>1</v>
      </c>
      <c r="I65" s="51" t="s">
        <v>20</v>
      </c>
    </row>
    <row r="66" ht="25.5" customHeight="1">
      <c r="A66" s="282">
        <v>63.0</v>
      </c>
      <c r="B66" s="47">
        <v>1017930.0</v>
      </c>
      <c r="C66" s="283" t="str">
        <f>vlookup(B66,'Crew data for number'!B:C,2,0)</f>
        <v>TAA7534</v>
      </c>
      <c r="D66" s="284" t="str">
        <f>vlookup(B66,'Crew Data'!C:G,5,0)</f>
        <v>#N/A</v>
      </c>
      <c r="E66" s="267" t="s">
        <v>1707</v>
      </c>
      <c r="F66" s="47">
        <v>3.0</v>
      </c>
      <c r="G66" s="50">
        <f t="shared" si="1"/>
        <v>1200</v>
      </c>
      <c r="H66" s="22">
        <f t="shared" si="2"/>
        <v>1</v>
      </c>
      <c r="I66" s="51" t="s">
        <v>20</v>
      </c>
    </row>
    <row r="67" ht="25.5" customHeight="1">
      <c r="A67" s="282">
        <v>64.0</v>
      </c>
      <c r="B67" s="47">
        <v>1002478.0</v>
      </c>
      <c r="C67" s="283" t="str">
        <f>vlookup(B67,'Crew data for number'!B:C,2,0)</f>
        <v>TAA2051</v>
      </c>
      <c r="D67" s="284" t="str">
        <f>vlookup(B67,'Crew Data'!C:G,5,0)</f>
        <v>Kamonwan Kalsook</v>
      </c>
      <c r="E67" s="267" t="s">
        <v>1677</v>
      </c>
      <c r="F67" s="47">
        <v>4.0</v>
      </c>
      <c r="G67" s="50">
        <f t="shared" si="1"/>
        <v>1600</v>
      </c>
      <c r="H67" s="22">
        <f t="shared" si="2"/>
        <v>1</v>
      </c>
      <c r="I67" s="51" t="s">
        <v>20</v>
      </c>
    </row>
    <row r="68" ht="25.5" customHeight="1">
      <c r="A68" s="282">
        <v>65.0</v>
      </c>
      <c r="B68" s="47">
        <v>1005824.0</v>
      </c>
      <c r="C68" s="283" t="str">
        <f>vlookup(B68,'Crew data for number'!B:C,2,0)</f>
        <v>TAA3901</v>
      </c>
      <c r="D68" s="284" t="str">
        <f>vlookup(B68,'Crew Data'!C:G,5,0)</f>
        <v>Panchita Swangarom</v>
      </c>
      <c r="E68" s="267" t="s">
        <v>1708</v>
      </c>
      <c r="F68" s="47">
        <v>2.0</v>
      </c>
      <c r="G68" s="50">
        <f t="shared" si="1"/>
        <v>800</v>
      </c>
      <c r="H68" s="22">
        <f t="shared" si="2"/>
        <v>1</v>
      </c>
      <c r="I68" s="51" t="s">
        <v>20</v>
      </c>
    </row>
    <row r="69" ht="25.5" customHeight="1">
      <c r="A69" s="54">
        <v>66.0</v>
      </c>
      <c r="B69" s="47">
        <v>1003398.0</v>
      </c>
      <c r="C69" s="283" t="str">
        <f>vlookup(B69,'Crew data for number'!B:C,2,0)</f>
        <v>TAA2388</v>
      </c>
      <c r="D69" s="284" t="str">
        <f>vlookup(B69,'Crew Data'!C:G,5,0)</f>
        <v>Netchaya Namarsa</v>
      </c>
      <c r="E69" s="267" t="s">
        <v>1694</v>
      </c>
      <c r="F69" s="47">
        <v>4.0</v>
      </c>
      <c r="G69" s="50">
        <f t="shared" si="1"/>
        <v>1600</v>
      </c>
      <c r="H69" s="22">
        <f t="shared" si="2"/>
        <v>1</v>
      </c>
      <c r="I69" s="51" t="s">
        <v>20</v>
      </c>
    </row>
    <row r="70" ht="25.5" customHeight="1">
      <c r="A70" s="282">
        <v>67.0</v>
      </c>
      <c r="B70" s="47">
        <v>1010897.0</v>
      </c>
      <c r="C70" s="283" t="str">
        <f>vlookup(B70,'Crew data for number'!B:C,2,0)</f>
        <v>TAA5524</v>
      </c>
      <c r="D70" s="284" t="str">
        <f>vlookup(B70,'Crew Data'!C:G,5,0)</f>
        <v>Natcharee Wisespun</v>
      </c>
      <c r="E70" s="267" t="s">
        <v>1709</v>
      </c>
      <c r="F70" s="47">
        <v>32.0</v>
      </c>
      <c r="G70" s="50">
        <f t="shared" si="1"/>
        <v>12800</v>
      </c>
      <c r="H70" s="22">
        <f t="shared" si="2"/>
        <v>1</v>
      </c>
      <c r="I70" s="51" t="s">
        <v>20</v>
      </c>
    </row>
    <row r="71" ht="25.5" customHeight="1">
      <c r="A71" s="282">
        <v>68.0</v>
      </c>
      <c r="B71" s="47">
        <v>1006897.0</v>
      </c>
      <c r="C71" s="283" t="str">
        <f>vlookup(B71,'Crew data for number'!B:C,2,0)</f>
        <v>TAA3893</v>
      </c>
      <c r="D71" s="284" t="str">
        <f>vlookup(B71,'Crew Data'!C:G,5,0)</f>
        <v>Padejkarn Hanta</v>
      </c>
      <c r="E71" s="267" t="s">
        <v>1710</v>
      </c>
      <c r="F71" s="47">
        <v>30.0</v>
      </c>
      <c r="G71" s="50">
        <f t="shared" si="1"/>
        <v>12000</v>
      </c>
      <c r="H71" s="22">
        <f t="shared" si="2"/>
        <v>1</v>
      </c>
      <c r="I71" s="51" t="s">
        <v>20</v>
      </c>
    </row>
    <row r="72" ht="25.5" customHeight="1">
      <c r="A72" s="54">
        <v>69.0</v>
      </c>
      <c r="B72" s="47">
        <v>1004729.0</v>
      </c>
      <c r="C72" s="283" t="str">
        <f>vlookup(B72,'Crew data for number'!B:C,2,0)</f>
        <v>TAA3162</v>
      </c>
      <c r="D72" s="284" t="str">
        <f>vlookup(B72,'Crew Data'!C:G,5,0)</f>
        <v>Sasimon Chamnansarn</v>
      </c>
      <c r="E72" s="267" t="s">
        <v>1711</v>
      </c>
      <c r="F72" s="47">
        <v>33.0</v>
      </c>
      <c r="G72" s="50">
        <f t="shared" si="1"/>
        <v>13200</v>
      </c>
      <c r="H72" s="22">
        <f t="shared" si="2"/>
        <v>1</v>
      </c>
      <c r="I72" s="51" t="s">
        <v>20</v>
      </c>
    </row>
    <row r="73" ht="25.5" customHeight="1">
      <c r="A73" s="282">
        <v>70.0</v>
      </c>
      <c r="B73" s="47">
        <v>1007406.0</v>
      </c>
      <c r="C73" s="283" t="str">
        <f>vlookup(B73,'Crew data for number'!B:C,2,0)</f>
        <v>TAA4068</v>
      </c>
      <c r="D73" s="284" t="str">
        <f>vlookup(B73,'Crew Data'!C:G,5,0)</f>
        <v>Chanapon Phorungruang</v>
      </c>
      <c r="E73" s="267" t="s">
        <v>1712</v>
      </c>
      <c r="F73" s="47">
        <v>4.0</v>
      </c>
      <c r="G73" s="50">
        <f t="shared" si="1"/>
        <v>1600</v>
      </c>
      <c r="H73" s="22">
        <f t="shared" si="2"/>
        <v>1</v>
      </c>
      <c r="I73" s="51" t="s">
        <v>20</v>
      </c>
    </row>
    <row r="74" ht="25.5" customHeight="1">
      <c r="A74" s="282">
        <v>71.0</v>
      </c>
      <c r="B74" s="47">
        <v>1006352.0</v>
      </c>
      <c r="C74" s="283" t="str">
        <f>vlookup(B74,'Crew data for number'!B:C,2,0)</f>
        <v>TAA3677</v>
      </c>
      <c r="D74" s="284" t="str">
        <f>vlookup(B74,'Crew Data'!C:G,5,0)</f>
        <v>Sirinthip Singhadecha</v>
      </c>
      <c r="E74" s="267" t="s">
        <v>1713</v>
      </c>
      <c r="F74" s="47">
        <v>5.0</v>
      </c>
      <c r="G74" s="50">
        <f t="shared" si="1"/>
        <v>2000</v>
      </c>
      <c r="H74" s="22">
        <f t="shared" si="2"/>
        <v>1</v>
      </c>
      <c r="I74" s="51" t="s">
        <v>20</v>
      </c>
    </row>
    <row r="75" ht="25.5" customHeight="1">
      <c r="A75" s="282">
        <v>72.0</v>
      </c>
      <c r="B75" s="47">
        <v>1007424.0</v>
      </c>
      <c r="C75" s="283" t="str">
        <f>vlookup(B75,'Crew data for number'!B:C,2,0)</f>
        <v>TAA4074</v>
      </c>
      <c r="D75" s="284" t="str">
        <f>vlookup(B75,'Crew Data'!C:G,5,0)</f>
        <v>#N/A</v>
      </c>
      <c r="E75" s="267" t="s">
        <v>1714</v>
      </c>
      <c r="F75" s="47">
        <v>10.0</v>
      </c>
      <c r="G75" s="50">
        <f t="shared" si="1"/>
        <v>4000</v>
      </c>
      <c r="H75" s="22">
        <f t="shared" si="2"/>
        <v>1</v>
      </c>
      <c r="I75" s="51" t="s">
        <v>20</v>
      </c>
    </row>
    <row r="76" ht="25.5" customHeight="1">
      <c r="A76" s="54">
        <v>73.0</v>
      </c>
      <c r="B76" s="47">
        <v>1004040.0</v>
      </c>
      <c r="C76" s="283" t="str">
        <f>vlookup(B76,'Crew data for number'!B:C,2,0)</f>
        <v>TAA2584</v>
      </c>
      <c r="D76" s="284" t="str">
        <f>vlookup(B76,'Crew Data'!C:G,5,0)</f>
        <v>#N/A</v>
      </c>
      <c r="E76" s="267" t="s">
        <v>1715</v>
      </c>
      <c r="F76" s="47">
        <v>7.0</v>
      </c>
      <c r="G76" s="50">
        <f t="shared" si="1"/>
        <v>2800</v>
      </c>
      <c r="H76" s="22">
        <f t="shared" si="2"/>
        <v>1</v>
      </c>
      <c r="I76" s="51" t="s">
        <v>20</v>
      </c>
    </row>
    <row r="77" ht="25.5" customHeight="1">
      <c r="A77" s="282">
        <v>74.0</v>
      </c>
      <c r="B77" s="47">
        <v>1017935.0</v>
      </c>
      <c r="C77" s="283" t="str">
        <f>vlookup(B77,'Crew data for number'!B:C,2,0)</f>
        <v>TAA7530</v>
      </c>
      <c r="D77" s="284" t="str">
        <f>vlookup(B77,'Crew Data'!C:G,5,0)</f>
        <v>Supitcha Chansiri</v>
      </c>
      <c r="E77" s="267" t="s">
        <v>1716</v>
      </c>
      <c r="F77" s="47">
        <v>3.0</v>
      </c>
      <c r="G77" s="50">
        <f t="shared" si="1"/>
        <v>1200</v>
      </c>
      <c r="H77" s="22">
        <f t="shared" si="2"/>
        <v>1</v>
      </c>
      <c r="I77" s="51" t="s">
        <v>20</v>
      </c>
    </row>
    <row r="78" ht="25.5" customHeight="1">
      <c r="A78" s="282">
        <v>75.0</v>
      </c>
      <c r="B78" s="47">
        <v>1003172.0</v>
      </c>
      <c r="C78" s="283" t="str">
        <f>vlookup(B78,'Crew data for number'!B:C,2,0)</f>
        <v>TAA2472</v>
      </c>
      <c r="D78" s="284" t="str">
        <f>vlookup(B78,'Crew Data'!C:G,5,0)</f>
        <v>Natthanit Kaewchoochuen</v>
      </c>
      <c r="E78" s="267" t="s">
        <v>1717</v>
      </c>
      <c r="F78" s="47">
        <v>26.0</v>
      </c>
      <c r="G78" s="50">
        <f t="shared" si="1"/>
        <v>10400</v>
      </c>
      <c r="H78" s="22">
        <f t="shared" si="2"/>
        <v>1</v>
      </c>
      <c r="I78" s="51" t="s">
        <v>20</v>
      </c>
    </row>
    <row r="79" ht="25.5" customHeight="1">
      <c r="A79" s="54">
        <v>76.0</v>
      </c>
      <c r="B79" s="47">
        <v>1018981.0</v>
      </c>
      <c r="C79" s="283" t="str">
        <f>vlookup(B79,'Crew data for number'!B:C,2,0)</f>
        <v>TAA7843</v>
      </c>
      <c r="D79" s="284" t="str">
        <f>vlookup(B79,'Crew Data'!C:G,5,0)</f>
        <v>Thossaphol Sattabanmongkol</v>
      </c>
      <c r="E79" s="267" t="s">
        <v>1681</v>
      </c>
      <c r="F79" s="47">
        <v>2.0</v>
      </c>
      <c r="G79" s="50">
        <f t="shared" si="1"/>
        <v>800</v>
      </c>
      <c r="H79" s="22">
        <f t="shared" si="2"/>
        <v>1</v>
      </c>
      <c r="I79" s="51" t="s">
        <v>20</v>
      </c>
    </row>
    <row r="80" ht="25.5" customHeight="1">
      <c r="A80" s="282">
        <v>77.0</v>
      </c>
      <c r="B80" s="47">
        <v>1019407.0</v>
      </c>
      <c r="C80" s="283" t="str">
        <f>vlookup(B80,'Crew data for number'!B:C,2,0)</f>
        <v>TAA7932</v>
      </c>
      <c r="D80" s="284" t="str">
        <f>vlookup(B80,'Crew Data'!C:G,5,0)</f>
        <v>Saowapak Siri-athikhom</v>
      </c>
      <c r="E80" s="267" t="s">
        <v>1674</v>
      </c>
      <c r="F80" s="47">
        <v>3.0</v>
      </c>
      <c r="G80" s="50">
        <f t="shared" si="1"/>
        <v>1200</v>
      </c>
      <c r="H80" s="22">
        <f t="shared" si="2"/>
        <v>1</v>
      </c>
      <c r="I80" s="51" t="s">
        <v>20</v>
      </c>
    </row>
    <row r="81" ht="25.5" customHeight="1">
      <c r="A81" s="282">
        <v>78.0</v>
      </c>
      <c r="B81" s="47">
        <v>1007416.0</v>
      </c>
      <c r="C81" s="283" t="str">
        <f>vlookup(B81,'Crew data for number'!B:C,2,0)</f>
        <v>TAA4067</v>
      </c>
      <c r="D81" s="284" t="str">
        <f>vlookup(B81,'Crew Data'!C:G,5,0)</f>
        <v>Metus Leearporn</v>
      </c>
      <c r="E81" s="267" t="s">
        <v>1718</v>
      </c>
      <c r="F81" s="47">
        <v>2.0</v>
      </c>
      <c r="G81" s="50">
        <f t="shared" si="1"/>
        <v>800</v>
      </c>
      <c r="H81" s="22">
        <f t="shared" si="2"/>
        <v>1</v>
      </c>
      <c r="I81" s="51" t="s">
        <v>20</v>
      </c>
    </row>
    <row r="82" ht="25.5" customHeight="1">
      <c r="A82" s="282">
        <v>79.0</v>
      </c>
      <c r="B82" s="47">
        <v>1014353.0</v>
      </c>
      <c r="C82" s="283" t="str">
        <f>vlookup(B82,'Crew data for number'!B:C,2,0)</f>
        <v>TAA6862</v>
      </c>
      <c r="D82" s="284" t="str">
        <f>vlookup(B82,'Crew Data'!C:G,5,0)</f>
        <v>Pornnapat Kittimontreechai</v>
      </c>
      <c r="E82" s="267" t="s">
        <v>1719</v>
      </c>
      <c r="F82" s="47">
        <v>28.0</v>
      </c>
      <c r="G82" s="50">
        <f t="shared" si="1"/>
        <v>11200</v>
      </c>
      <c r="H82" s="22">
        <f t="shared" si="2"/>
        <v>1</v>
      </c>
      <c r="I82" s="51" t="s">
        <v>20</v>
      </c>
    </row>
    <row r="83" ht="25.5" customHeight="1">
      <c r="A83" s="54">
        <v>80.0</v>
      </c>
      <c r="B83" s="47">
        <v>1004444.0</v>
      </c>
      <c r="C83" s="283" t="str">
        <f>vlookup(B83,'Crew data for number'!B:C,2,0)</f>
        <v>TAA2804</v>
      </c>
      <c r="D83" s="284" t="str">
        <f>vlookup(B83,'Crew Data'!C:G,5,0)</f>
        <v>Arisara Nenchatee</v>
      </c>
      <c r="E83" s="267" t="s">
        <v>1685</v>
      </c>
      <c r="F83" s="47">
        <v>4.0</v>
      </c>
      <c r="G83" s="50">
        <f t="shared" si="1"/>
        <v>1600</v>
      </c>
      <c r="H83" s="22">
        <f t="shared" si="2"/>
        <v>1</v>
      </c>
      <c r="I83" s="51" t="s">
        <v>20</v>
      </c>
    </row>
    <row r="84" ht="25.5" customHeight="1">
      <c r="A84" s="282">
        <v>81.0</v>
      </c>
      <c r="B84" s="47">
        <v>1001622.0</v>
      </c>
      <c r="C84" s="283" t="str">
        <f>vlookup(B84,'Crew data for number'!B:C,2,0)</f>
        <v>TAA1450</v>
      </c>
      <c r="D84" s="284" t="str">
        <f>vlookup(B84,'Crew Data'!C:G,5,0)</f>
        <v>Waraluck Meksikarin</v>
      </c>
      <c r="E84" s="267" t="s">
        <v>1720</v>
      </c>
      <c r="F84" s="47">
        <v>26.0</v>
      </c>
      <c r="G84" s="50">
        <f t="shared" si="1"/>
        <v>10400</v>
      </c>
      <c r="H84" s="22">
        <f t="shared" si="2"/>
        <v>1</v>
      </c>
      <c r="I84" s="51" t="s">
        <v>20</v>
      </c>
    </row>
    <row r="85" ht="25.5" customHeight="1">
      <c r="A85" s="282">
        <v>82.0</v>
      </c>
      <c r="B85" s="47">
        <v>1012901.0</v>
      </c>
      <c r="C85" s="283" t="str">
        <f>vlookup(B85,'Crew data for number'!B:C,2,0)</f>
        <v>TAA6367</v>
      </c>
      <c r="D85" s="284" t="str">
        <f>vlookup(B85,'Crew Data'!C:G,5,0)</f>
        <v>Sandao Siriwarunrak</v>
      </c>
      <c r="E85" s="267" t="s">
        <v>1721</v>
      </c>
      <c r="F85" s="47">
        <v>29.0</v>
      </c>
      <c r="G85" s="50">
        <f t="shared" si="1"/>
        <v>11600</v>
      </c>
      <c r="H85" s="22">
        <f t="shared" si="2"/>
        <v>1</v>
      </c>
      <c r="I85" s="51" t="s">
        <v>20</v>
      </c>
    </row>
    <row r="86" ht="25.5" customHeight="1">
      <c r="A86" s="54">
        <v>83.0</v>
      </c>
      <c r="B86" s="47">
        <v>1005834.0</v>
      </c>
      <c r="C86" s="283" t="str">
        <f>vlookup(B86,'Crew data for number'!B:C,2,0)</f>
        <v>TAA3402</v>
      </c>
      <c r="D86" s="284" t="str">
        <f>vlookup(B86,'Crew Data'!C:G,5,0)</f>
        <v>Ratchaneewan Tipyod</v>
      </c>
      <c r="E86" s="267" t="s">
        <v>1722</v>
      </c>
      <c r="F86" s="47">
        <v>29.0</v>
      </c>
      <c r="G86" s="50">
        <f t="shared" si="1"/>
        <v>11600</v>
      </c>
      <c r="H86" s="22">
        <f t="shared" si="2"/>
        <v>1</v>
      </c>
      <c r="I86" s="51" t="s">
        <v>20</v>
      </c>
    </row>
    <row r="87" ht="25.5" customHeight="1">
      <c r="A87" s="282">
        <v>84.0</v>
      </c>
      <c r="B87" s="47">
        <v>1009670.0</v>
      </c>
      <c r="C87" s="283" t="str">
        <f>vlookup(B87,'Crew data for number'!B:C,2,0)</f>
        <v>TAA5158</v>
      </c>
      <c r="D87" s="284" t="str">
        <f>vlookup(B87,'Crew Data'!C:G,5,0)</f>
        <v>Sasima Rattanasumrit</v>
      </c>
      <c r="E87" s="267" t="s">
        <v>1723</v>
      </c>
      <c r="F87" s="47">
        <v>28.0</v>
      </c>
      <c r="G87" s="50">
        <f t="shared" si="1"/>
        <v>11200</v>
      </c>
      <c r="H87" s="22">
        <f t="shared" si="2"/>
        <v>1</v>
      </c>
      <c r="I87" s="51" t="s">
        <v>20</v>
      </c>
    </row>
    <row r="88" ht="25.5" customHeight="1">
      <c r="A88" s="282">
        <v>85.0</v>
      </c>
      <c r="B88" s="47">
        <v>1002370.0</v>
      </c>
      <c r="C88" s="283" t="str">
        <f>vlookup(B88,'Crew data for number'!B:C,2,0)</f>
        <v>TAA1963</v>
      </c>
      <c r="D88" s="284" t="str">
        <f>vlookup(B88,'Crew Data'!C:G,5,0)</f>
        <v>Napaphat Yuktanan</v>
      </c>
      <c r="E88" s="267" t="s">
        <v>1724</v>
      </c>
      <c r="F88" s="47">
        <v>18.0</v>
      </c>
      <c r="G88" s="50">
        <f t="shared" si="1"/>
        <v>7200</v>
      </c>
      <c r="H88" s="22">
        <f t="shared" si="2"/>
        <v>1</v>
      </c>
      <c r="I88" s="51" t="s">
        <v>20</v>
      </c>
    </row>
    <row r="89" ht="25.5" customHeight="1">
      <c r="A89" s="282">
        <v>86.0</v>
      </c>
      <c r="B89" s="47">
        <v>1014346.0</v>
      </c>
      <c r="C89" s="283" t="str">
        <f>vlookup(B89,'Crew data for number'!B:C,2,0)</f>
        <v>TAA6860</v>
      </c>
      <c r="D89" s="284" t="str">
        <f>vlookup(B89,'Crew Data'!C:G,5,0)</f>
        <v>Narongchai Mongkolchartthai</v>
      </c>
      <c r="E89" s="267" t="s">
        <v>1725</v>
      </c>
      <c r="F89" s="47">
        <v>7.0</v>
      </c>
      <c r="G89" s="50">
        <f t="shared" si="1"/>
        <v>2800</v>
      </c>
      <c r="H89" s="22">
        <f t="shared" si="2"/>
        <v>1</v>
      </c>
      <c r="I89" s="51" t="s">
        <v>20</v>
      </c>
    </row>
    <row r="90" ht="25.5" customHeight="1">
      <c r="A90" s="282">
        <v>87.0</v>
      </c>
      <c r="B90" s="47">
        <v>1015410.0</v>
      </c>
      <c r="C90" s="283" t="str">
        <f>vlookup(B90,'Crew data for number'!B:C,2,0)</f>
        <v>TAA7060</v>
      </c>
      <c r="D90" s="284" t="str">
        <f>vlookup(B90,'Crew Data'!C:G,5,0)</f>
        <v>#N/A</v>
      </c>
      <c r="E90" s="267" t="s">
        <v>1726</v>
      </c>
      <c r="F90" s="47">
        <v>28.0</v>
      </c>
      <c r="G90" s="50">
        <f t="shared" si="1"/>
        <v>11200</v>
      </c>
      <c r="H90" s="22">
        <f t="shared" si="2"/>
        <v>1</v>
      </c>
      <c r="I90" s="51" t="s">
        <v>20</v>
      </c>
    </row>
    <row r="91" ht="25.5" customHeight="1">
      <c r="A91" s="54">
        <v>88.0</v>
      </c>
      <c r="B91" s="47">
        <v>1012359.0</v>
      </c>
      <c r="C91" s="283" t="str">
        <f>vlookup(B91,'Crew data for number'!B:C,2,0)</f>
        <v>TAA6123</v>
      </c>
      <c r="D91" s="284" t="str">
        <f>vlookup(B91,'Crew Data'!C:G,5,0)</f>
        <v>Kotchakon Kanchanamethakul</v>
      </c>
      <c r="E91" s="267" t="s">
        <v>1727</v>
      </c>
      <c r="F91" s="47">
        <v>28.0</v>
      </c>
      <c r="G91" s="50">
        <f t="shared" si="1"/>
        <v>11200</v>
      </c>
      <c r="H91" s="22">
        <f t="shared" si="2"/>
        <v>1</v>
      </c>
      <c r="I91" s="51" t="s">
        <v>20</v>
      </c>
    </row>
    <row r="92" ht="25.5" customHeight="1">
      <c r="A92" s="282">
        <v>89.0</v>
      </c>
      <c r="B92" s="47">
        <v>1006293.0</v>
      </c>
      <c r="C92" s="283" t="str">
        <f>vlookup(B92,'Crew data for number'!B:C,2,0)</f>
        <v>TAA3682</v>
      </c>
      <c r="D92" s="284" t="str">
        <f>vlookup(B92,'Crew Data'!C:G,5,0)</f>
        <v>Atchara Mettaraksa</v>
      </c>
      <c r="E92" s="267" t="s">
        <v>1728</v>
      </c>
      <c r="F92" s="47">
        <v>29.0</v>
      </c>
      <c r="G92" s="50">
        <f t="shared" si="1"/>
        <v>11600</v>
      </c>
      <c r="H92" s="22">
        <f t="shared" si="2"/>
        <v>1</v>
      </c>
      <c r="I92" s="51" t="s">
        <v>20</v>
      </c>
    </row>
    <row r="93" ht="25.5" customHeight="1">
      <c r="A93" s="282">
        <v>90.0</v>
      </c>
      <c r="B93" s="47">
        <v>1013179.0</v>
      </c>
      <c r="C93" s="283" t="str">
        <f>vlookup(B93,'Crew data for number'!B:C,2,0)</f>
        <v>TAA6398</v>
      </c>
      <c r="D93" s="284" t="str">
        <f>vlookup(B93,'Crew Data'!C:G,5,0)</f>
        <v>Nunapat Towakul</v>
      </c>
      <c r="E93" s="267" t="s">
        <v>1729</v>
      </c>
      <c r="F93" s="47">
        <v>29.0</v>
      </c>
      <c r="G93" s="50">
        <f t="shared" si="1"/>
        <v>11600</v>
      </c>
      <c r="H93" s="22">
        <f t="shared" si="2"/>
        <v>1</v>
      </c>
      <c r="I93" s="51" t="s">
        <v>20</v>
      </c>
    </row>
    <row r="94" ht="25.5" customHeight="1">
      <c r="A94" s="282">
        <v>91.0</v>
      </c>
      <c r="B94" s="47">
        <v>1007418.0</v>
      </c>
      <c r="C94" s="283" t="str">
        <f>vlookup(B94,'Crew data for number'!B:C,2,0)</f>
        <v>TAA4070</v>
      </c>
      <c r="D94" s="284" t="str">
        <f>vlookup(B94,'Crew Data'!C:G,5,0)</f>
        <v>Nattaphat Boonprasit</v>
      </c>
      <c r="E94" s="267" t="s">
        <v>1730</v>
      </c>
      <c r="F94" s="47">
        <v>29.0</v>
      </c>
      <c r="G94" s="50">
        <f t="shared" si="1"/>
        <v>11600</v>
      </c>
      <c r="H94" s="22">
        <f t="shared" si="2"/>
        <v>1</v>
      </c>
      <c r="I94" s="51" t="s">
        <v>20</v>
      </c>
    </row>
    <row r="95" ht="25.5" customHeight="1">
      <c r="A95" s="282">
        <v>92.0</v>
      </c>
      <c r="B95" s="47">
        <v>1012363.0</v>
      </c>
      <c r="C95" s="283" t="str">
        <f>vlookup(B95,'Crew data for number'!B:C,2,0)</f>
        <v>TAA6129</v>
      </c>
      <c r="D95" s="284" t="str">
        <f>vlookup(B95,'Crew Data'!C:G,5,0)</f>
        <v>#N/A</v>
      </c>
      <c r="E95" s="267" t="s">
        <v>1731</v>
      </c>
      <c r="F95" s="47">
        <v>28.0</v>
      </c>
      <c r="G95" s="50">
        <f t="shared" si="1"/>
        <v>11200</v>
      </c>
      <c r="H95" s="22">
        <f t="shared" si="2"/>
        <v>1</v>
      </c>
      <c r="I95" s="51" t="s">
        <v>20</v>
      </c>
    </row>
    <row r="96" ht="25.5" customHeight="1">
      <c r="A96" s="54">
        <v>93.0</v>
      </c>
      <c r="B96" s="47">
        <v>1005765.0</v>
      </c>
      <c r="C96" s="283" t="str">
        <f>vlookup(B96,'Crew data for number'!B:C,2,0)</f>
        <v>TAA3392</v>
      </c>
      <c r="D96" s="284" t="str">
        <f>vlookup(B96,'Crew Data'!C:G,5,0)</f>
        <v>Rapeepan Ariyakul</v>
      </c>
      <c r="E96" s="267" t="s">
        <v>1732</v>
      </c>
      <c r="F96" s="47">
        <v>30.0</v>
      </c>
      <c r="G96" s="50">
        <f t="shared" si="1"/>
        <v>12000</v>
      </c>
      <c r="H96" s="22">
        <f t="shared" si="2"/>
        <v>1</v>
      </c>
      <c r="I96" s="51" t="s">
        <v>20</v>
      </c>
    </row>
    <row r="97" ht="25.5" customHeight="1">
      <c r="A97" s="282">
        <v>94.0</v>
      </c>
      <c r="B97" s="47">
        <v>1007427.0</v>
      </c>
      <c r="C97" s="283" t="str">
        <f>vlookup(B97,'Crew data for number'!B:C,2,0)</f>
        <v>TAA4071</v>
      </c>
      <c r="D97" s="284" t="str">
        <f>vlookup(B97,'Crew Data'!C:G,5,0)</f>
        <v>Warasit Rittiruechaikul</v>
      </c>
      <c r="E97" s="267" t="s">
        <v>1712</v>
      </c>
      <c r="F97" s="47">
        <v>4.0</v>
      </c>
      <c r="G97" s="50">
        <f t="shared" si="1"/>
        <v>1600</v>
      </c>
      <c r="H97" s="22">
        <f t="shared" si="2"/>
        <v>1</v>
      </c>
      <c r="I97" s="51" t="s">
        <v>20</v>
      </c>
    </row>
    <row r="98" ht="25.5" customHeight="1">
      <c r="A98" s="282">
        <v>95.0</v>
      </c>
      <c r="B98" s="47">
        <v>1007159.0</v>
      </c>
      <c r="C98" s="283" t="str">
        <f>vlookup(B98,'Crew data for number'!B:C,2,0)</f>
        <v>TAA4024</v>
      </c>
      <c r="D98" s="284" t="str">
        <f>vlookup(B98,'Crew Data'!C:G,5,0)</f>
        <v>Piyawadee Sitdhilaw</v>
      </c>
      <c r="E98" s="268">
        <v>43617.0</v>
      </c>
      <c r="F98" s="47">
        <v>1.0</v>
      </c>
      <c r="G98" s="50">
        <f t="shared" si="1"/>
        <v>400</v>
      </c>
      <c r="H98" s="22">
        <f t="shared" si="2"/>
        <v>1</v>
      </c>
      <c r="I98" s="51" t="s">
        <v>20</v>
      </c>
    </row>
    <row r="99" ht="25.5" customHeight="1">
      <c r="A99" s="282">
        <v>96.0</v>
      </c>
      <c r="B99" s="47">
        <v>1022720.0</v>
      </c>
      <c r="C99" s="283" t="str">
        <f>vlookup(B99,'Crew data for number'!B:C,2,0)</f>
        <v/>
      </c>
      <c r="D99" s="284" t="str">
        <f>vlookup(B99,'Crew Data'!C:G,5,0)</f>
        <v>Aileen Sowprasertsuk</v>
      </c>
      <c r="E99" s="267" t="s">
        <v>1677</v>
      </c>
      <c r="F99" s="47">
        <v>4.0</v>
      </c>
      <c r="G99" s="50">
        <f t="shared" si="1"/>
        <v>1600</v>
      </c>
      <c r="H99" s="22">
        <f t="shared" si="2"/>
        <v>1</v>
      </c>
      <c r="I99" s="51" t="s">
        <v>20</v>
      </c>
    </row>
    <row r="100" ht="25.5" customHeight="1">
      <c r="A100" s="282">
        <v>97.0</v>
      </c>
      <c r="B100" s="47">
        <v>1007146.0</v>
      </c>
      <c r="C100" s="283" t="str">
        <f>vlookup(B100,'Crew data for number'!B:C,2,0)</f>
        <v>TAA3999</v>
      </c>
      <c r="D100" s="284" t="str">
        <f>vlookup(B100,'Crew Data'!C:G,5,0)</f>
        <v>Nolnapat Nitmanee</v>
      </c>
      <c r="E100" s="267" t="s">
        <v>1733</v>
      </c>
      <c r="F100" s="47">
        <v>27.0</v>
      </c>
      <c r="G100" s="50">
        <f t="shared" si="1"/>
        <v>10800</v>
      </c>
      <c r="H100" s="22">
        <f t="shared" si="2"/>
        <v>1</v>
      </c>
      <c r="I100" s="51" t="s">
        <v>20</v>
      </c>
    </row>
    <row r="101" ht="25.5" customHeight="1">
      <c r="A101" s="54">
        <v>98.0</v>
      </c>
      <c r="B101" s="47">
        <v>1017653.0</v>
      </c>
      <c r="C101" s="283" t="str">
        <f>vlookup(B101,'Crew data for number'!B:C,2,0)</f>
        <v>TAA7521</v>
      </c>
      <c r="D101" s="284" t="str">
        <f>vlookup(B101,'Crew Data'!C:G,5,0)</f>
        <v>Wachiraphon Lakbun</v>
      </c>
      <c r="E101" s="267" t="s">
        <v>1734</v>
      </c>
      <c r="F101" s="47">
        <v>28.0</v>
      </c>
      <c r="G101" s="50">
        <f t="shared" si="1"/>
        <v>11200</v>
      </c>
      <c r="H101" s="22">
        <f t="shared" si="2"/>
        <v>1</v>
      </c>
      <c r="I101" s="51" t="s">
        <v>20</v>
      </c>
    </row>
    <row r="102" ht="25.5" customHeight="1">
      <c r="A102" s="282">
        <v>99.0</v>
      </c>
      <c r="B102" s="47">
        <v>1001036.0</v>
      </c>
      <c r="C102" s="283" t="str">
        <f>vlookup(B102,'Crew data for number'!B:C,2,0)</f>
        <v>TAA1073</v>
      </c>
      <c r="D102" s="284" t="str">
        <f>vlookup(B102,'Crew Data'!C:G,5,0)</f>
        <v>#N/A</v>
      </c>
      <c r="E102" s="267" t="s">
        <v>1735</v>
      </c>
      <c r="F102" s="47">
        <v>25.0</v>
      </c>
      <c r="G102" s="50">
        <f t="shared" si="1"/>
        <v>10000</v>
      </c>
      <c r="H102" s="22">
        <f t="shared" si="2"/>
        <v>1</v>
      </c>
      <c r="I102" s="51" t="s">
        <v>20</v>
      </c>
    </row>
    <row r="103" ht="25.5" customHeight="1">
      <c r="A103" s="282">
        <v>100.0</v>
      </c>
      <c r="B103" s="47">
        <v>1012158.0</v>
      </c>
      <c r="C103" s="283" t="str">
        <f>vlookup(B103,'Crew data for number'!B:C,2,0)</f>
        <v>TAA5986</v>
      </c>
      <c r="D103" s="284" t="str">
        <f>vlookup(B103,'Crew Data'!C:G,5,0)</f>
        <v>Itthipong Khanthonglor</v>
      </c>
      <c r="E103" s="267" t="s">
        <v>1678</v>
      </c>
      <c r="F103" s="47">
        <v>28.0</v>
      </c>
      <c r="G103" s="50">
        <f t="shared" si="1"/>
        <v>11200</v>
      </c>
      <c r="H103" s="22">
        <f t="shared" si="2"/>
        <v>1</v>
      </c>
      <c r="I103" s="51" t="s">
        <v>20</v>
      </c>
    </row>
    <row r="104" ht="25.5" customHeight="1">
      <c r="A104" s="282">
        <v>101.0</v>
      </c>
      <c r="B104" s="47">
        <v>1009757.0</v>
      </c>
      <c r="C104" s="283" t="str">
        <f>vlookup(B104,'Crew data for number'!B:C,2,0)</f>
        <v>TAA5127</v>
      </c>
      <c r="D104" s="284" t="str">
        <f>vlookup(B104,'Crew Data'!C:G,5,0)</f>
        <v>Pattrawan Wongchirawat</v>
      </c>
      <c r="E104" s="267" t="s">
        <v>1732</v>
      </c>
      <c r="F104" s="47">
        <v>30.0</v>
      </c>
      <c r="G104" s="50">
        <f t="shared" si="1"/>
        <v>12000</v>
      </c>
      <c r="H104" s="22">
        <f t="shared" si="2"/>
        <v>1</v>
      </c>
      <c r="I104" s="51" t="s">
        <v>20</v>
      </c>
    </row>
    <row r="105" ht="25.5" customHeight="1">
      <c r="A105" s="54">
        <v>102.0</v>
      </c>
      <c r="B105" s="47">
        <v>1004206.0</v>
      </c>
      <c r="C105" s="283" t="str">
        <f>vlookup(B105,'Crew data for number'!B:C,2,0)</f>
        <v>TAA2692</v>
      </c>
      <c r="D105" s="284" t="str">
        <f>vlookup(B105,'Crew Data'!C:G,5,0)</f>
        <v>Pitikan Siwapathomchai</v>
      </c>
      <c r="E105" s="267" t="s">
        <v>1736</v>
      </c>
      <c r="F105" s="47">
        <v>29.0</v>
      </c>
      <c r="G105" s="50">
        <f t="shared" si="1"/>
        <v>11600</v>
      </c>
      <c r="H105" s="22">
        <f t="shared" si="2"/>
        <v>1</v>
      </c>
      <c r="I105" s="51" t="s">
        <v>20</v>
      </c>
    </row>
    <row r="106" ht="25.5" customHeight="1">
      <c r="A106" s="282">
        <v>103.0</v>
      </c>
      <c r="B106" s="47">
        <v>1006860.0</v>
      </c>
      <c r="C106" s="283" t="str">
        <f>vlookup(B106,'Crew data for number'!B:C,2,0)</f>
        <v>TAA3883</v>
      </c>
      <c r="D106" s="284" t="str">
        <f>vlookup(B106,'Crew Data'!C:G,5,0)</f>
        <v>#N/A</v>
      </c>
      <c r="E106" s="267" t="s">
        <v>1732</v>
      </c>
      <c r="F106" s="47">
        <v>30.0</v>
      </c>
      <c r="G106" s="50">
        <f t="shared" si="1"/>
        <v>12000</v>
      </c>
      <c r="H106" s="22">
        <f t="shared" si="2"/>
        <v>1</v>
      </c>
      <c r="I106" s="51" t="s">
        <v>20</v>
      </c>
    </row>
    <row r="107" ht="25.5" customHeight="1">
      <c r="A107" s="282">
        <v>104.0</v>
      </c>
      <c r="B107" s="47">
        <v>1017656.0</v>
      </c>
      <c r="C107" s="283" t="str">
        <f>vlookup(B107,'Crew data for number'!B:C,2,0)</f>
        <v>TAA7525</v>
      </c>
      <c r="D107" s="284" t="str">
        <f>vlookup(B107,'Crew Data'!C:G,5,0)</f>
        <v>#N/A</v>
      </c>
      <c r="E107" s="267" t="s">
        <v>1737</v>
      </c>
      <c r="F107" s="47">
        <v>27.0</v>
      </c>
      <c r="G107" s="50">
        <f t="shared" si="1"/>
        <v>10800</v>
      </c>
      <c r="H107" s="22">
        <f t="shared" si="2"/>
        <v>1</v>
      </c>
      <c r="I107" s="51" t="s">
        <v>20</v>
      </c>
    </row>
    <row r="108" ht="25.5" customHeight="1">
      <c r="A108" s="282">
        <v>105.0</v>
      </c>
      <c r="B108" s="47">
        <v>1013190.0</v>
      </c>
      <c r="C108" s="283" t="str">
        <f>vlookup(B108,'Crew data for number'!B:C,2,0)</f>
        <v>TAA6381</v>
      </c>
      <c r="D108" s="284" t="str">
        <f>vlookup(B108,'Crew Data'!C:G,5,0)</f>
        <v>Thamonwan Chokumpornpan</v>
      </c>
      <c r="E108" s="267" t="s">
        <v>1732</v>
      </c>
      <c r="F108" s="47">
        <v>30.0</v>
      </c>
      <c r="G108" s="50">
        <f t="shared" si="1"/>
        <v>12000</v>
      </c>
      <c r="H108" s="22">
        <f t="shared" si="2"/>
        <v>1</v>
      </c>
      <c r="I108" s="51" t="s">
        <v>20</v>
      </c>
    </row>
    <row r="109" ht="25.5" customHeight="1">
      <c r="A109" s="282">
        <v>106.0</v>
      </c>
      <c r="B109" s="47">
        <v>1012892.0</v>
      </c>
      <c r="C109" s="283" t="str">
        <f>vlookup(B109,'Crew data for number'!B:C,2,0)</f>
        <v>TAA6371</v>
      </c>
      <c r="D109" s="284" t="str">
        <f>vlookup(B109,'Crew Data'!C:G,5,0)</f>
        <v>Apinya Phiphatwatanarkul</v>
      </c>
      <c r="E109" s="267" t="s">
        <v>1721</v>
      </c>
      <c r="F109" s="47">
        <v>29.0</v>
      </c>
      <c r="G109" s="50">
        <f t="shared" si="1"/>
        <v>11600</v>
      </c>
      <c r="H109" s="22">
        <f t="shared" si="2"/>
        <v>1</v>
      </c>
      <c r="I109" s="51" t="s">
        <v>20</v>
      </c>
    </row>
    <row r="110" ht="25.5" customHeight="1">
      <c r="A110" s="54">
        <v>107.0</v>
      </c>
      <c r="B110" s="47">
        <v>1004317.0</v>
      </c>
      <c r="C110" s="283" t="str">
        <f>vlookup(B110,'Crew data for number'!B:C,2,0)</f>
        <v>TAA2950</v>
      </c>
      <c r="D110" s="284" t="str">
        <f>vlookup(B110,'Crew Data'!C:G,5,0)</f>
        <v>Narit Aimwat</v>
      </c>
      <c r="E110" s="267" t="s">
        <v>1738</v>
      </c>
      <c r="F110" s="47">
        <v>28.0</v>
      </c>
      <c r="G110" s="50">
        <f t="shared" si="1"/>
        <v>11200</v>
      </c>
      <c r="H110" s="22">
        <f t="shared" si="2"/>
        <v>1</v>
      </c>
      <c r="I110" s="51" t="s">
        <v>20</v>
      </c>
    </row>
    <row r="111" ht="25.5" customHeight="1">
      <c r="A111" s="282">
        <v>108.0</v>
      </c>
      <c r="B111" s="47">
        <v>1008991.0</v>
      </c>
      <c r="C111" s="283" t="str">
        <f>vlookup(B111,'Crew data for number'!B:C,2,0)</f>
        <v>TAA4736</v>
      </c>
      <c r="D111" s="284" t="str">
        <f>vlookup(B111,'Crew Data'!C:G,5,0)</f>
        <v>Premkamon Changsuwan</v>
      </c>
      <c r="E111" s="267" t="s">
        <v>1721</v>
      </c>
      <c r="F111" s="47">
        <v>29.0</v>
      </c>
      <c r="G111" s="50">
        <f t="shared" si="1"/>
        <v>11600</v>
      </c>
      <c r="H111" s="22">
        <f t="shared" si="2"/>
        <v>1</v>
      </c>
      <c r="I111" s="51" t="s">
        <v>20</v>
      </c>
    </row>
    <row r="112" ht="25.5" customHeight="1">
      <c r="A112" s="282">
        <v>109.0</v>
      </c>
      <c r="B112" s="47">
        <v>1012360.0</v>
      </c>
      <c r="C112" s="283" t="str">
        <f>vlookup(B112,'Crew data for number'!B:C,2,0)</f>
        <v>TAA6125</v>
      </c>
      <c r="D112" s="284" t="str">
        <f>vlookup(B112,'Crew Data'!C:G,5,0)</f>
        <v>Mintra Tunta-A-Riya</v>
      </c>
      <c r="E112" s="267" t="s">
        <v>1739</v>
      </c>
      <c r="F112" s="47">
        <v>27.0</v>
      </c>
      <c r="G112" s="50">
        <f t="shared" si="1"/>
        <v>10800</v>
      </c>
      <c r="H112" s="22">
        <f t="shared" si="2"/>
        <v>1</v>
      </c>
      <c r="I112" s="51" t="s">
        <v>20</v>
      </c>
    </row>
    <row r="113" ht="25.5" customHeight="1">
      <c r="A113" s="282">
        <v>110.0</v>
      </c>
      <c r="B113" s="47">
        <v>1011078.0</v>
      </c>
      <c r="C113" s="283" t="str">
        <f>vlookup(B113,'Crew data for number'!B:C,2,0)</f>
        <v>TAA5673</v>
      </c>
      <c r="D113" s="284" t="str">
        <f>vlookup(B113,'Crew Data'!C:G,5,0)</f>
        <v>#N/A</v>
      </c>
      <c r="E113" s="267" t="s">
        <v>1740</v>
      </c>
      <c r="F113" s="47">
        <v>28.0</v>
      </c>
      <c r="G113" s="50">
        <f t="shared" si="1"/>
        <v>11200</v>
      </c>
      <c r="H113" s="22">
        <f t="shared" si="2"/>
        <v>1</v>
      </c>
      <c r="I113" s="51" t="s">
        <v>20</v>
      </c>
    </row>
    <row r="114" ht="25.5" customHeight="1">
      <c r="A114" s="282">
        <v>111.0</v>
      </c>
      <c r="B114" s="47">
        <v>1003385.0</v>
      </c>
      <c r="C114" s="283" t="str">
        <f>vlookup(B114,'Crew data for number'!B:C,2,0)</f>
        <v>TAA2426</v>
      </c>
      <c r="D114" s="284" t="str">
        <f>vlookup(B114,'Crew Data'!C:G,5,0)</f>
        <v>Jaruma Jantarapap</v>
      </c>
      <c r="E114" s="267" t="s">
        <v>1706</v>
      </c>
      <c r="F114" s="47">
        <v>6.0</v>
      </c>
      <c r="G114" s="50">
        <f t="shared" si="1"/>
        <v>2400</v>
      </c>
      <c r="H114" s="22">
        <f t="shared" si="2"/>
        <v>1</v>
      </c>
      <c r="I114" s="51" t="s">
        <v>20</v>
      </c>
    </row>
    <row r="115" ht="25.5" customHeight="1">
      <c r="A115" s="54">
        <v>112.0</v>
      </c>
      <c r="B115" s="47">
        <v>1017655.0</v>
      </c>
      <c r="C115" s="283" t="str">
        <f>vlookup(B115,'Crew data for number'!B:C,2,0)</f>
        <v>TAA7522</v>
      </c>
      <c r="D115" s="284" t="str">
        <f>vlookup(B115,'Crew Data'!C:G,5,0)</f>
        <v>Waris Suaprasert</v>
      </c>
      <c r="E115" s="267" t="s">
        <v>1741</v>
      </c>
      <c r="F115" s="47">
        <v>25.0</v>
      </c>
      <c r="G115" s="50">
        <f t="shared" si="1"/>
        <v>10000</v>
      </c>
      <c r="H115" s="22">
        <f t="shared" si="2"/>
        <v>1</v>
      </c>
      <c r="I115" s="51" t="s">
        <v>20</v>
      </c>
    </row>
    <row r="116" ht="25.5" customHeight="1">
      <c r="A116" s="282">
        <v>113.0</v>
      </c>
      <c r="B116" s="47">
        <v>1011070.0</v>
      </c>
      <c r="C116" s="283" t="str">
        <f>vlookup(B116,'Crew data for number'!B:C,2,0)</f>
        <v>TAA5667</v>
      </c>
      <c r="D116" s="284" t="str">
        <f>vlookup(B116,'Crew Data'!C:G,5,0)</f>
        <v>#N/A</v>
      </c>
      <c r="E116" s="267" t="s">
        <v>1742</v>
      </c>
      <c r="F116" s="47">
        <v>25.0</v>
      </c>
      <c r="G116" s="50">
        <f t="shared" si="1"/>
        <v>10000</v>
      </c>
      <c r="H116" s="22">
        <f t="shared" si="2"/>
        <v>1</v>
      </c>
      <c r="I116" s="51" t="s">
        <v>20</v>
      </c>
    </row>
    <row r="117" ht="25.5" customHeight="1">
      <c r="A117" s="282">
        <v>114.0</v>
      </c>
      <c r="B117" s="47">
        <v>1019544.0</v>
      </c>
      <c r="C117" s="283" t="str">
        <f>vlookup(B117,'Crew data for number'!B:C,2,0)</f>
        <v>TAA7989</v>
      </c>
      <c r="D117" s="284" t="str">
        <f>vlookup(B117,'Crew Data'!C:G,5,0)</f>
        <v>#N/A</v>
      </c>
      <c r="E117" s="267" t="s">
        <v>1743</v>
      </c>
      <c r="F117" s="47">
        <v>26.0</v>
      </c>
      <c r="G117" s="50">
        <f t="shared" si="1"/>
        <v>10400</v>
      </c>
      <c r="H117" s="22">
        <f t="shared" si="2"/>
        <v>1</v>
      </c>
      <c r="I117" s="51" t="s">
        <v>20</v>
      </c>
    </row>
    <row r="118" ht="25.5" customHeight="1">
      <c r="A118" s="282">
        <v>115.0</v>
      </c>
      <c r="B118" s="47">
        <v>1009797.0</v>
      </c>
      <c r="C118" s="283" t="str">
        <f>vlookup(B118,'Crew data for number'!B:C,2,0)</f>
        <v>TAA5149</v>
      </c>
      <c r="D118" s="284" t="str">
        <f>vlookup(B118,'Crew Data'!C:G,5,0)</f>
        <v>#N/A</v>
      </c>
      <c r="E118" s="267" t="s">
        <v>1744</v>
      </c>
      <c r="F118" s="47">
        <v>27.0</v>
      </c>
      <c r="G118" s="50">
        <f t="shared" si="1"/>
        <v>10800</v>
      </c>
      <c r="H118" s="22">
        <f t="shared" si="2"/>
        <v>1</v>
      </c>
      <c r="I118" s="51" t="s">
        <v>20</v>
      </c>
    </row>
    <row r="119" ht="25.5" customHeight="1">
      <c r="A119" s="282">
        <v>116.0</v>
      </c>
      <c r="B119" s="47">
        <v>1004583.0</v>
      </c>
      <c r="C119" s="283" t="str">
        <f>vlookup(B119,'Crew data for number'!B:C,2,0)</f>
        <v>TAA2860</v>
      </c>
      <c r="D119" s="284" t="str">
        <f>vlookup(B119,'Crew Data'!C:G,5,0)</f>
        <v>Suphanun Yotpunya</v>
      </c>
      <c r="E119" s="267" t="s">
        <v>1674</v>
      </c>
      <c r="F119" s="47">
        <v>3.0</v>
      </c>
      <c r="G119" s="50">
        <f t="shared" si="1"/>
        <v>1200</v>
      </c>
      <c r="H119" s="22">
        <f t="shared" si="2"/>
        <v>1</v>
      </c>
      <c r="I119" s="51" t="s">
        <v>20</v>
      </c>
    </row>
    <row r="120" ht="25.5" customHeight="1">
      <c r="A120" s="54">
        <v>117.0</v>
      </c>
      <c r="B120" s="47">
        <v>1012173.0</v>
      </c>
      <c r="C120" s="283" t="str">
        <f>vlookup(B120,'Crew data for number'!B:C,2,0)</f>
        <v>TAA5989</v>
      </c>
      <c r="D120" s="284" t="str">
        <f>vlookup(B120,'Crew Data'!C:G,5,0)</f>
        <v>#N/A</v>
      </c>
      <c r="E120" s="267" t="s">
        <v>1681</v>
      </c>
      <c r="F120" s="47">
        <v>2.0</v>
      </c>
      <c r="G120" s="50">
        <f t="shared" si="1"/>
        <v>800</v>
      </c>
      <c r="H120" s="22">
        <f t="shared" si="2"/>
        <v>1</v>
      </c>
      <c r="I120" s="51" t="s">
        <v>20</v>
      </c>
    </row>
    <row r="121" ht="25.5" customHeight="1">
      <c r="A121" s="282">
        <v>118.0</v>
      </c>
      <c r="B121" s="47">
        <v>1001227.0</v>
      </c>
      <c r="C121" s="283" t="str">
        <f>vlookup(B121,'Crew data for number'!B:C,2,0)</f>
        <v>TAA1244</v>
      </c>
      <c r="D121" s="284" t="str">
        <f>vlookup(B121,'Crew Data'!C:G,5,0)</f>
        <v>Dara Nomanee</v>
      </c>
      <c r="E121" s="267" t="s">
        <v>1732</v>
      </c>
      <c r="F121" s="47">
        <v>30.0</v>
      </c>
      <c r="G121" s="50">
        <f t="shared" si="1"/>
        <v>12000</v>
      </c>
      <c r="H121" s="22">
        <f t="shared" si="2"/>
        <v>1</v>
      </c>
      <c r="I121" s="51" t="s">
        <v>20</v>
      </c>
    </row>
    <row r="122" ht="25.5" customHeight="1">
      <c r="A122" s="282">
        <v>119.0</v>
      </c>
      <c r="B122" s="47">
        <v>1019409.0</v>
      </c>
      <c r="C122" s="283" t="str">
        <f>vlookup(B122,'Crew data for number'!B:C,2,0)</f>
        <v>TAA7926</v>
      </c>
      <c r="D122" s="284" t="str">
        <f>vlookup(B122,'Crew Data'!C:G,5,0)</f>
        <v>Chitipat Thananitdullayaphak</v>
      </c>
      <c r="E122" s="267" t="s">
        <v>1732</v>
      </c>
      <c r="F122" s="47">
        <v>30.0</v>
      </c>
      <c r="G122" s="50">
        <f t="shared" si="1"/>
        <v>12000</v>
      </c>
      <c r="H122" s="22">
        <f t="shared" si="2"/>
        <v>1</v>
      </c>
      <c r="I122" s="51" t="s">
        <v>20</v>
      </c>
    </row>
    <row r="123" ht="25.5" customHeight="1">
      <c r="A123" s="282">
        <v>120.0</v>
      </c>
      <c r="B123" s="47">
        <v>1013186.0</v>
      </c>
      <c r="C123" s="283" t="str">
        <f>vlookup(B123,'Crew data for number'!B:C,2,0)</f>
        <v>TAA6392</v>
      </c>
      <c r="D123" s="284" t="str">
        <f>vlookup(B123,'Crew Data'!C:G,5,0)</f>
        <v>Pornthiwa Promthong</v>
      </c>
      <c r="E123" s="267" t="s">
        <v>1738</v>
      </c>
      <c r="F123" s="47">
        <v>28.0</v>
      </c>
      <c r="G123" s="50">
        <f t="shared" si="1"/>
        <v>11200</v>
      </c>
      <c r="H123" s="22">
        <f t="shared" si="2"/>
        <v>1</v>
      </c>
      <c r="I123" s="51" t="s">
        <v>20</v>
      </c>
    </row>
    <row r="124" ht="25.5" customHeight="1">
      <c r="A124" s="282">
        <v>121.0</v>
      </c>
      <c r="B124" s="47">
        <v>1007264.0</v>
      </c>
      <c r="C124" s="283" t="str">
        <f>vlookup(B124,'Crew data for number'!B:C,2,0)</f>
        <v>TAA4112</v>
      </c>
      <c r="D124" s="284" t="str">
        <f>vlookup(B124,'Crew Data'!C:G,5,0)</f>
        <v>#N/A</v>
      </c>
      <c r="E124" s="267" t="s">
        <v>1745</v>
      </c>
      <c r="F124" s="47">
        <v>26.0</v>
      </c>
      <c r="G124" s="50">
        <f t="shared" si="1"/>
        <v>10400</v>
      </c>
      <c r="H124" s="22">
        <f t="shared" si="2"/>
        <v>1</v>
      </c>
      <c r="I124" s="51" t="s">
        <v>20</v>
      </c>
    </row>
    <row r="125" ht="25.5" customHeight="1">
      <c r="A125" s="54">
        <v>122.0</v>
      </c>
      <c r="B125" s="47">
        <v>1019410.0</v>
      </c>
      <c r="C125" s="283" t="str">
        <f>vlookup(B125,'Crew data for number'!B:C,2,0)</f>
        <v>TAA7936</v>
      </c>
      <c r="D125" s="284" t="str">
        <f>vlookup(B125,'Crew Data'!C:G,5,0)</f>
        <v>Thachaporn Lertwichitsilp</v>
      </c>
      <c r="E125" s="267" t="s">
        <v>1746</v>
      </c>
      <c r="F125" s="47">
        <v>28.0</v>
      </c>
      <c r="G125" s="50">
        <f t="shared" si="1"/>
        <v>11200</v>
      </c>
      <c r="H125" s="22">
        <f t="shared" si="2"/>
        <v>1</v>
      </c>
      <c r="I125" s="51" t="s">
        <v>20</v>
      </c>
    </row>
    <row r="126" ht="25.5" customHeight="1">
      <c r="A126" s="282">
        <v>123.0</v>
      </c>
      <c r="B126" s="47">
        <v>1005741.0</v>
      </c>
      <c r="C126" s="283" t="str">
        <f>vlookup(B126,'Crew data for number'!B:C,2,0)</f>
        <v>TAA3399</v>
      </c>
      <c r="D126" s="284" t="str">
        <f>vlookup(B126,'Crew Data'!C:G,5,0)</f>
        <v>Chanyawat Ruchiratheekhakul</v>
      </c>
      <c r="E126" s="267" t="s">
        <v>1747</v>
      </c>
      <c r="F126" s="47">
        <v>28.0</v>
      </c>
      <c r="G126" s="50">
        <f t="shared" si="1"/>
        <v>11200</v>
      </c>
      <c r="H126" s="22">
        <f t="shared" si="2"/>
        <v>1</v>
      </c>
      <c r="I126" s="51" t="s">
        <v>20</v>
      </c>
    </row>
    <row r="127" ht="25.5" customHeight="1">
      <c r="A127" s="282">
        <v>124.0</v>
      </c>
      <c r="B127" s="47">
        <v>1004034.0</v>
      </c>
      <c r="C127" s="283" t="str">
        <f>vlookup(B127,'Crew data for number'!B:C,2,0)</f>
        <v>TAA2566</v>
      </c>
      <c r="D127" s="284" t="str">
        <f>vlookup(B127,'Crew Data'!C:G,5,0)</f>
        <v>Monthon Siribunnakul</v>
      </c>
      <c r="E127" s="267" t="s">
        <v>1748</v>
      </c>
      <c r="F127" s="47">
        <v>25.0</v>
      </c>
      <c r="G127" s="50">
        <f t="shared" si="1"/>
        <v>10000</v>
      </c>
      <c r="H127" s="22">
        <f t="shared" si="2"/>
        <v>1</v>
      </c>
      <c r="I127" s="51" t="s">
        <v>20</v>
      </c>
    </row>
    <row r="128" ht="25.5" customHeight="1">
      <c r="A128" s="282">
        <v>125.0</v>
      </c>
      <c r="B128" s="47">
        <v>1018968.0</v>
      </c>
      <c r="C128" s="283" t="str">
        <f>vlookup(B128,'Crew data for number'!B:C,2,0)</f>
        <v>TAA7837</v>
      </c>
      <c r="D128" s="284" t="str">
        <f>vlookup(B128,'Crew Data'!C:G,5,0)</f>
        <v>#N/A</v>
      </c>
      <c r="E128" s="267" t="s">
        <v>1732</v>
      </c>
      <c r="F128" s="47">
        <v>30.0</v>
      </c>
      <c r="G128" s="50">
        <f t="shared" si="1"/>
        <v>12000</v>
      </c>
      <c r="H128" s="22">
        <f t="shared" si="2"/>
        <v>1</v>
      </c>
      <c r="I128" s="51" t="s">
        <v>20</v>
      </c>
    </row>
    <row r="129" ht="25.5" customHeight="1">
      <c r="A129" s="282">
        <v>126.0</v>
      </c>
      <c r="B129" s="47">
        <v>1006881.0</v>
      </c>
      <c r="C129" s="283" t="str">
        <f>vlookup(B129,'Crew data for number'!B:C,2,0)</f>
        <v>TAA3898</v>
      </c>
      <c r="D129" s="284" t="str">
        <f>vlookup(B129,'Crew Data'!C:G,5,0)</f>
        <v>Krittrin Harnphanphong</v>
      </c>
      <c r="E129" s="267" t="s">
        <v>1749</v>
      </c>
      <c r="F129" s="47">
        <v>4.0</v>
      </c>
      <c r="G129" s="50">
        <f t="shared" si="1"/>
        <v>1600</v>
      </c>
      <c r="H129" s="22">
        <f t="shared" si="2"/>
        <v>1</v>
      </c>
      <c r="I129" s="51" t="s">
        <v>20</v>
      </c>
    </row>
    <row r="130" ht="25.5" customHeight="1">
      <c r="A130" s="54">
        <v>127.0</v>
      </c>
      <c r="B130" s="47">
        <v>1011315.0</v>
      </c>
      <c r="C130" s="283" t="str">
        <f>vlookup(B130,'Crew data for number'!B:C,2,0)</f>
        <v>TAA5580</v>
      </c>
      <c r="D130" s="284" t="str">
        <f>vlookup(B130,'Crew Data'!C:G,5,0)</f>
        <v>Pranapan Songsuk</v>
      </c>
      <c r="E130" s="267" t="s">
        <v>1750</v>
      </c>
      <c r="F130" s="47">
        <v>31.0</v>
      </c>
      <c r="G130" s="50">
        <f t="shared" si="1"/>
        <v>12400</v>
      </c>
      <c r="H130" s="22">
        <f t="shared" si="2"/>
        <v>1</v>
      </c>
      <c r="I130" s="51" t="s">
        <v>20</v>
      </c>
    </row>
    <row r="131" ht="25.5" customHeight="1">
      <c r="A131" s="282">
        <v>128.0</v>
      </c>
      <c r="B131" s="47">
        <v>1012368.0</v>
      </c>
      <c r="C131" s="283" t="str">
        <f>vlookup(B131,'Crew data for number'!B:C,2,0)</f>
        <v>TAA6130</v>
      </c>
      <c r="D131" s="284" t="str">
        <f>vlookup(B131,'Crew Data'!C:G,5,0)</f>
        <v>#N/A</v>
      </c>
      <c r="E131" s="267" t="s">
        <v>1751</v>
      </c>
      <c r="F131" s="47">
        <v>34.0</v>
      </c>
      <c r="G131" s="50">
        <f t="shared" si="1"/>
        <v>13600</v>
      </c>
      <c r="H131" s="22">
        <f t="shared" si="2"/>
        <v>1</v>
      </c>
      <c r="I131" s="51" t="s">
        <v>20</v>
      </c>
    </row>
    <row r="132" ht="25.5" customHeight="1">
      <c r="A132" s="282">
        <v>129.0</v>
      </c>
      <c r="B132" s="47">
        <v>1001837.0</v>
      </c>
      <c r="C132" s="283" t="str">
        <f>vlookup(B132,'Crew data for number'!B:C,2,0)</f>
        <v>TAA1953</v>
      </c>
      <c r="D132" s="284" t="str">
        <f>vlookup(B132,'Crew Data'!C:G,5,0)</f>
        <v>Taralan Jareemuk</v>
      </c>
      <c r="E132" s="267" t="s">
        <v>1752</v>
      </c>
      <c r="F132" s="47">
        <v>23.0</v>
      </c>
      <c r="G132" s="50">
        <f t="shared" si="1"/>
        <v>9200</v>
      </c>
      <c r="H132" s="22">
        <f t="shared" si="2"/>
        <v>1</v>
      </c>
      <c r="I132" s="51" t="s">
        <v>20</v>
      </c>
    </row>
    <row r="133" ht="25.5" customHeight="1">
      <c r="A133" s="54">
        <v>130.0</v>
      </c>
      <c r="B133" s="47">
        <v>1005762.0</v>
      </c>
      <c r="C133" s="283" t="str">
        <f>vlookup(B133,'Crew data for number'!B:C,2,0)</f>
        <v>TAA3387</v>
      </c>
      <c r="D133" s="284" t="str">
        <f>vlookup(B133,'Crew Data'!C:G,5,0)</f>
        <v>Photchara Srisuk</v>
      </c>
      <c r="E133" s="267" t="s">
        <v>1678</v>
      </c>
      <c r="F133" s="47">
        <v>28.0</v>
      </c>
      <c r="G133" s="50">
        <f t="shared" si="1"/>
        <v>11200</v>
      </c>
      <c r="H133" s="22">
        <f t="shared" si="2"/>
        <v>1</v>
      </c>
      <c r="I133" s="51" t="s">
        <v>20</v>
      </c>
    </row>
    <row r="134" ht="25.5" customHeight="1">
      <c r="A134" s="282">
        <v>131.0</v>
      </c>
      <c r="B134" s="47">
        <v>1005296.0</v>
      </c>
      <c r="C134" s="283" t="str">
        <f>vlookup(B134,'Crew data for number'!B:C,2,0)</f>
        <v>TAA3197</v>
      </c>
      <c r="D134" s="284" t="str">
        <f>vlookup(B134,'Crew Data'!C:G,5,0)</f>
        <v>#N/A</v>
      </c>
      <c r="E134" s="267" t="s">
        <v>1753</v>
      </c>
      <c r="F134" s="47">
        <v>27.0</v>
      </c>
      <c r="G134" s="50">
        <f t="shared" si="1"/>
        <v>10800</v>
      </c>
      <c r="H134" s="22">
        <f t="shared" si="2"/>
        <v>1</v>
      </c>
      <c r="I134" s="51" t="s">
        <v>20</v>
      </c>
    </row>
    <row r="135" ht="25.5" customHeight="1">
      <c r="A135" s="282">
        <v>132.0</v>
      </c>
      <c r="B135" s="47">
        <v>1004045.0</v>
      </c>
      <c r="C135" s="283" t="str">
        <f>vlookup(B135,'Crew data for number'!B:C,2,0)</f>
        <v>TAA2562</v>
      </c>
      <c r="D135" s="284" t="str">
        <f>vlookup(B135,'Crew Data'!C:G,5,0)</f>
        <v>Waraphorn Khunthong</v>
      </c>
      <c r="E135" s="267" t="s">
        <v>1754</v>
      </c>
      <c r="F135" s="47">
        <v>60.0</v>
      </c>
      <c r="G135" s="50">
        <f t="shared" si="1"/>
        <v>24000</v>
      </c>
      <c r="H135" s="22">
        <f t="shared" si="2"/>
        <v>1</v>
      </c>
      <c r="I135" s="51" t="s">
        <v>20</v>
      </c>
    </row>
    <row r="136" ht="25.5" customHeight="1">
      <c r="A136" s="54">
        <v>133.0</v>
      </c>
      <c r="B136" s="47">
        <v>1011080.0</v>
      </c>
      <c r="C136" s="283" t="str">
        <f>vlookup(B136,'Crew data for number'!B:C,2,0)</f>
        <v>TAA5660</v>
      </c>
      <c r="D136" s="284" t="str">
        <f>vlookup(B136,'Crew Data'!C:G,5,0)</f>
        <v>#N/A</v>
      </c>
      <c r="E136" s="267" t="s">
        <v>1755</v>
      </c>
      <c r="F136" s="47">
        <v>28.0</v>
      </c>
      <c r="G136" s="50">
        <f t="shared" si="1"/>
        <v>11200</v>
      </c>
      <c r="H136" s="22">
        <f t="shared" si="2"/>
        <v>1</v>
      </c>
      <c r="I136" s="51" t="s">
        <v>20</v>
      </c>
    </row>
    <row r="137" ht="25.5" customHeight="1">
      <c r="A137" s="282">
        <v>134.0</v>
      </c>
      <c r="B137" s="47">
        <v>1005423.0</v>
      </c>
      <c r="C137" s="283" t="str">
        <f>vlookup(B137,'Crew data for number'!B:C,2,0)</f>
        <v>TAA3261</v>
      </c>
      <c r="D137" s="284" t="str">
        <f>vlookup(B137,'Crew Data'!C:G,5,0)</f>
        <v>#N/A</v>
      </c>
      <c r="E137" s="267" t="s">
        <v>1756</v>
      </c>
      <c r="F137" s="47">
        <v>20.0</v>
      </c>
      <c r="G137" s="50">
        <f t="shared" si="1"/>
        <v>8000</v>
      </c>
      <c r="H137" s="22">
        <f t="shared" si="2"/>
        <v>1</v>
      </c>
      <c r="I137" s="51" t="s">
        <v>20</v>
      </c>
    </row>
    <row r="138" ht="25.5" customHeight="1">
      <c r="A138" s="282">
        <v>135.0</v>
      </c>
      <c r="B138" s="47">
        <v>1010934.0</v>
      </c>
      <c r="C138" s="283" t="str">
        <f>vlookup(B138,'Crew data for number'!B:C,2,0)</f>
        <v>TAA5547</v>
      </c>
      <c r="D138" s="284" t="str">
        <f>vlookup(B138,'Crew Data'!C:G,5,0)</f>
        <v>Werawat Sittipachaikul</v>
      </c>
      <c r="E138" s="267" t="s">
        <v>1757</v>
      </c>
      <c r="F138" s="47">
        <v>6.0</v>
      </c>
      <c r="G138" s="50">
        <f t="shared" si="1"/>
        <v>2400</v>
      </c>
      <c r="H138" s="22">
        <f t="shared" si="2"/>
        <v>1</v>
      </c>
      <c r="I138" s="51" t="s">
        <v>20</v>
      </c>
    </row>
    <row r="139" ht="25.5" customHeight="1">
      <c r="A139" s="54">
        <v>136.0</v>
      </c>
      <c r="B139" s="47">
        <v>1009768.0</v>
      </c>
      <c r="C139" s="283" t="str">
        <f>vlookup(B139,'Crew data for number'!B:C,2,0)</f>
        <v>TAA5135</v>
      </c>
      <c r="D139" s="284" t="str">
        <f>vlookup(B139,'Crew Data'!C:G,5,0)</f>
        <v>Thidech Eakmongkollert</v>
      </c>
      <c r="E139" s="267" t="s">
        <v>1758</v>
      </c>
      <c r="F139" s="47">
        <v>8.0</v>
      </c>
      <c r="G139" s="50">
        <f t="shared" si="1"/>
        <v>3200</v>
      </c>
      <c r="H139" s="22">
        <f t="shared" si="2"/>
        <v>1</v>
      </c>
      <c r="I139" s="51" t="s">
        <v>20</v>
      </c>
    </row>
    <row r="140" ht="25.5" customHeight="1">
      <c r="A140" s="282">
        <v>137.0</v>
      </c>
      <c r="B140" s="47">
        <v>1012358.0</v>
      </c>
      <c r="C140" s="283" t="str">
        <f>vlookup(B140,'Crew data for number'!B:C,2,0)</f>
        <v>TAA6140</v>
      </c>
      <c r="D140" s="284" t="str">
        <f>vlookup(B140,'Crew Data'!C:G,5,0)</f>
        <v>Kohchamon Pithayapitpat</v>
      </c>
      <c r="E140" s="267" t="s">
        <v>1759</v>
      </c>
      <c r="F140" s="47">
        <v>4.0</v>
      </c>
      <c r="G140" s="50">
        <f t="shared" si="1"/>
        <v>1600</v>
      </c>
      <c r="H140" s="22">
        <f t="shared" si="2"/>
        <v>1</v>
      </c>
      <c r="I140" s="51" t="s">
        <v>20</v>
      </c>
    </row>
    <row r="141" ht="25.5" customHeight="1">
      <c r="A141" s="282">
        <v>138.0</v>
      </c>
      <c r="B141" s="47">
        <v>1013023.0</v>
      </c>
      <c r="C141" s="283" t="str">
        <f>vlookup(B141,'Crew data for number'!B:C,2,0)</f>
        <v>TAA6499</v>
      </c>
      <c r="D141" s="284" t="str">
        <f>vlookup(B141,'Crew Data'!C:G,5,0)</f>
        <v>Pinyapat Methawatthanasin</v>
      </c>
      <c r="E141" s="267" t="s">
        <v>1759</v>
      </c>
      <c r="F141" s="47">
        <v>4.0</v>
      </c>
      <c r="G141" s="50">
        <f t="shared" si="1"/>
        <v>1600</v>
      </c>
      <c r="H141" s="22">
        <f t="shared" si="2"/>
        <v>1</v>
      </c>
      <c r="I141" s="51" t="s">
        <v>20</v>
      </c>
    </row>
    <row r="142" ht="15.0" customHeight="1">
      <c r="A142" s="289"/>
      <c r="B142" s="289"/>
      <c r="C142" s="289"/>
      <c r="D142" s="289"/>
      <c r="E142" s="289"/>
      <c r="F142" s="289"/>
      <c r="G142" s="289"/>
      <c r="H142" s="289"/>
      <c r="I142" s="289"/>
      <c r="J142" s="291"/>
      <c r="K142" s="291"/>
      <c r="L142" s="291"/>
      <c r="M142" s="291"/>
      <c r="N142" s="291"/>
      <c r="O142" s="291"/>
      <c r="P142" s="291"/>
      <c r="Q142" s="291"/>
      <c r="R142" s="291"/>
      <c r="S142" s="291"/>
      <c r="T142" s="291"/>
      <c r="U142" s="291"/>
      <c r="V142" s="291"/>
      <c r="W142" s="291"/>
      <c r="X142" s="291"/>
      <c r="Y142" s="291"/>
      <c r="Z142" s="291"/>
      <c r="AA142" s="291"/>
    </row>
    <row r="143" ht="25.5" customHeight="1"/>
    <row r="144" ht="25.5" customHeight="1">
      <c r="A144" s="265" t="s">
        <v>1183</v>
      </c>
      <c r="B144" s="252"/>
      <c r="C144" s="253"/>
    </row>
    <row r="145" ht="25.5" customHeight="1">
      <c r="A145" s="254" t="s">
        <v>1153</v>
      </c>
      <c r="B145" s="255" t="s">
        <v>1154</v>
      </c>
      <c r="C145" s="256" t="s">
        <v>1155</v>
      </c>
    </row>
    <row r="146" ht="25.5" customHeight="1">
      <c r="A146" s="257" t="s">
        <v>1156</v>
      </c>
      <c r="B146" s="258" t="s">
        <v>1157</v>
      </c>
      <c r="C146" s="259" t="s">
        <v>1158</v>
      </c>
    </row>
    <row r="147" ht="25.5" customHeight="1">
      <c r="A147" s="257" t="s">
        <v>1159</v>
      </c>
      <c r="B147" s="258" t="s">
        <v>1157</v>
      </c>
      <c r="C147" s="259" t="s">
        <v>1158</v>
      </c>
    </row>
    <row r="148" ht="25.5" customHeight="1">
      <c r="A148" s="257" t="s">
        <v>1160</v>
      </c>
      <c r="B148" s="260" t="s">
        <v>1157</v>
      </c>
      <c r="C148" s="259" t="s">
        <v>1158</v>
      </c>
    </row>
    <row r="149" ht="25.5" customHeight="1">
      <c r="A149" s="31"/>
      <c r="B149" s="31"/>
      <c r="C149" s="31"/>
    </row>
    <row r="150" ht="25.5" customHeight="1">
      <c r="A150" s="261" t="s">
        <v>1760</v>
      </c>
      <c r="B150" s="262"/>
      <c r="C150" s="31"/>
    </row>
    <row r="151" ht="25.5" customHeight="1"/>
    <row r="152" ht="25.5" customHeight="1"/>
    <row r="153" ht="25.5" customHeight="1"/>
    <row r="154" ht="25.5" customHeight="1"/>
    <row r="155" ht="25.5" customHeight="1"/>
    <row r="156" ht="25.5" customHeight="1"/>
    <row r="157" ht="25.5" customHeight="1"/>
    <row r="158" ht="25.5" customHeight="1"/>
    <row r="159" ht="25.5" customHeight="1"/>
    <row r="160" ht="25.5" customHeight="1"/>
    <row r="161" ht="25.5" customHeight="1"/>
    <row r="162" ht="25.5" customHeight="1"/>
    <row r="163" ht="25.5" customHeight="1"/>
    <row r="164" ht="25.5" customHeight="1"/>
    <row r="165" ht="25.5" customHeight="1"/>
    <row r="166" ht="25.5" customHeight="1"/>
    <row r="167" ht="25.5" customHeight="1"/>
    <row r="168" ht="25.5" customHeight="1"/>
    <row r="169" ht="25.5" customHeight="1"/>
    <row r="170" ht="25.5" customHeight="1"/>
    <row r="171" ht="25.5" customHeight="1"/>
    <row r="172" ht="25.5" customHeight="1"/>
    <row r="173" ht="25.5" customHeight="1"/>
    <row r="174" ht="25.5" customHeight="1"/>
    <row r="175" ht="25.5" customHeight="1"/>
    <row r="176" ht="25.5" customHeight="1"/>
    <row r="177" ht="25.5" customHeight="1"/>
    <row r="178" ht="25.5" customHeight="1"/>
    <row r="179" ht="25.5" customHeight="1"/>
    <row r="180" ht="25.5" customHeight="1"/>
    <row r="181" ht="25.5" customHeight="1"/>
    <row r="182" ht="25.5" customHeight="1"/>
    <row r="183" ht="25.5" customHeight="1"/>
    <row r="184" ht="25.5" customHeight="1"/>
    <row r="185" ht="25.5" customHeight="1"/>
    <row r="186" ht="25.5" customHeight="1"/>
    <row r="187" ht="25.5" customHeight="1"/>
    <row r="188" ht="25.5" customHeight="1"/>
    <row r="189" ht="25.5" customHeight="1"/>
    <row r="190" ht="25.5" customHeight="1"/>
    <row r="191" ht="25.5" customHeight="1"/>
    <row r="192" ht="25.5" customHeight="1"/>
    <row r="193" ht="25.5" customHeight="1"/>
    <row r="194" ht="25.5" customHeight="1"/>
    <row r="195" ht="25.5" customHeight="1"/>
    <row r="196" ht="25.5" customHeight="1"/>
    <row r="197" ht="25.5" customHeight="1"/>
    <row r="198" ht="25.5" customHeight="1"/>
    <row r="199" ht="25.5" customHeight="1"/>
    <row r="200" ht="25.5" customHeight="1"/>
    <row r="201" ht="25.5" customHeight="1"/>
    <row r="202" ht="25.5" customHeight="1"/>
    <row r="203" ht="25.5" customHeight="1"/>
    <row r="204" ht="25.5" customHeight="1"/>
    <row r="205" ht="25.5" customHeight="1"/>
    <row r="206" ht="25.5" customHeight="1"/>
    <row r="207" ht="25.5" customHeight="1"/>
    <row r="208" ht="25.5" customHeight="1"/>
    <row r="209" ht="25.5" customHeight="1"/>
    <row r="210" ht="25.5" customHeight="1"/>
    <row r="211" ht="25.5" customHeight="1"/>
    <row r="212" ht="25.5" customHeight="1"/>
    <row r="213" ht="25.5" customHeight="1"/>
    <row r="214" ht="25.5" customHeight="1"/>
    <row r="215" ht="25.5" customHeight="1"/>
    <row r="216" ht="25.5" customHeight="1"/>
    <row r="217" ht="25.5" customHeight="1"/>
    <row r="218" ht="25.5" customHeight="1"/>
    <row r="219" ht="25.5" customHeight="1"/>
    <row r="220" ht="25.5" customHeight="1"/>
    <row r="221" ht="25.5" customHeight="1"/>
    <row r="222" ht="25.5" customHeight="1"/>
    <row r="223" ht="25.5" customHeight="1"/>
    <row r="224" ht="25.5" customHeight="1"/>
    <row r="225" ht="25.5" customHeight="1"/>
    <row r="226" ht="25.5" customHeight="1"/>
    <row r="227" ht="25.5" customHeight="1"/>
    <row r="228" ht="25.5" customHeight="1"/>
    <row r="229" ht="25.5" customHeight="1"/>
    <row r="230" ht="25.5" customHeight="1"/>
    <row r="231" ht="25.5" customHeight="1"/>
    <row r="232" ht="25.5" customHeight="1"/>
    <row r="233" ht="25.5" customHeight="1"/>
    <row r="234" ht="25.5" customHeight="1"/>
    <row r="235" ht="25.5" customHeight="1"/>
    <row r="236" ht="25.5" customHeight="1"/>
    <row r="237" ht="25.5" customHeight="1"/>
    <row r="238" ht="25.5" customHeight="1"/>
    <row r="239" ht="25.5" customHeight="1"/>
    <row r="240" ht="25.5" customHeight="1"/>
    <row r="241" ht="25.5" customHeight="1"/>
    <row r="242" ht="25.5" customHeight="1"/>
    <row r="243" ht="25.5" customHeight="1"/>
    <row r="244" ht="25.5" customHeight="1"/>
    <row r="245" ht="25.5" customHeight="1"/>
    <row r="246" ht="25.5" customHeight="1"/>
    <row r="247" ht="25.5" customHeight="1"/>
    <row r="248" ht="25.5" customHeight="1"/>
    <row r="249" ht="25.5" customHeight="1"/>
    <row r="250" ht="25.5" customHeight="1"/>
    <row r="251" ht="25.5" customHeight="1"/>
    <row r="252" ht="25.5" customHeight="1"/>
    <row r="253" ht="25.5" customHeight="1"/>
    <row r="254" ht="25.5" customHeight="1"/>
    <row r="255" ht="25.5" customHeight="1"/>
    <row r="256" ht="25.5" customHeight="1"/>
    <row r="257" ht="25.5" customHeight="1"/>
    <row r="258" ht="25.5" customHeight="1"/>
    <row r="259" ht="25.5" customHeight="1"/>
    <row r="260" ht="25.5" customHeight="1"/>
    <row r="261" ht="25.5" customHeight="1"/>
    <row r="262" ht="25.5" customHeight="1"/>
    <row r="263" ht="25.5" customHeight="1"/>
    <row r="264" ht="25.5" customHeight="1"/>
    <row r="265" ht="25.5" customHeight="1"/>
    <row r="266" ht="25.5" customHeight="1"/>
    <row r="267" ht="25.5" customHeight="1"/>
    <row r="268" ht="25.5" customHeight="1"/>
    <row r="269" ht="25.5" customHeight="1"/>
    <row r="270" ht="25.5" customHeight="1"/>
    <row r="271" ht="25.5" customHeight="1"/>
    <row r="272" ht="25.5" customHeight="1"/>
    <row r="273" ht="25.5" customHeight="1"/>
    <row r="274" ht="25.5" customHeight="1"/>
    <row r="275" ht="25.5" customHeight="1"/>
    <row r="276" ht="25.5" customHeight="1"/>
    <row r="277" ht="25.5" customHeight="1"/>
    <row r="278" ht="25.5" customHeight="1"/>
    <row r="279" ht="25.5" customHeight="1"/>
    <row r="280" ht="25.5" customHeight="1"/>
    <row r="281" ht="25.5" customHeight="1"/>
    <row r="282" ht="25.5" customHeight="1"/>
    <row r="283" ht="25.5" customHeight="1"/>
    <row r="284" ht="25.5" customHeight="1"/>
    <row r="285" ht="25.5" customHeight="1"/>
    <row r="286" ht="25.5" customHeight="1"/>
    <row r="287" ht="25.5" customHeight="1"/>
    <row r="288" ht="25.5" customHeight="1"/>
    <row r="289" ht="25.5" customHeight="1"/>
    <row r="290" ht="25.5" customHeight="1"/>
    <row r="291" ht="25.5" customHeight="1"/>
    <row r="292" ht="25.5" customHeight="1"/>
    <row r="293" ht="25.5" customHeight="1"/>
    <row r="294" ht="25.5" customHeight="1"/>
    <row r="295" ht="25.5" customHeight="1"/>
    <row r="296" ht="25.5" customHeight="1"/>
    <row r="297" ht="25.5" customHeight="1"/>
    <row r="298" ht="25.5" customHeight="1"/>
    <row r="299" ht="25.5" customHeight="1"/>
    <row r="300" ht="25.5" customHeight="1"/>
    <row r="301" ht="25.5" customHeight="1"/>
    <row r="302" ht="25.5" customHeight="1"/>
    <row r="303" ht="25.5" customHeight="1"/>
    <row r="304" ht="25.5" customHeight="1"/>
    <row r="305" ht="25.5" customHeight="1"/>
    <row r="306" ht="25.5" customHeight="1"/>
    <row r="307" ht="25.5" customHeight="1"/>
    <row r="308" ht="25.5" customHeight="1"/>
    <row r="309" ht="25.5" customHeight="1"/>
    <row r="310" ht="25.5" customHeight="1"/>
    <row r="311" ht="25.5" customHeight="1"/>
    <row r="312" ht="25.5" customHeight="1"/>
    <row r="313" ht="25.5" customHeight="1"/>
    <row r="314" ht="25.5" customHeight="1"/>
    <row r="315" ht="25.5" customHeight="1"/>
    <row r="316" ht="25.5" customHeight="1"/>
    <row r="317" ht="25.5" customHeight="1"/>
    <row r="318" ht="25.5" customHeight="1"/>
    <row r="319" ht="25.5" customHeight="1"/>
    <row r="320" ht="25.5" customHeight="1"/>
    <row r="321" ht="25.5" customHeight="1"/>
    <row r="322" ht="25.5" customHeight="1"/>
    <row r="323" ht="25.5" customHeight="1"/>
    <row r="324" ht="25.5" customHeight="1"/>
    <row r="325" ht="25.5" customHeight="1"/>
    <row r="326" ht="25.5" customHeight="1"/>
    <row r="327" ht="25.5" customHeight="1"/>
    <row r="328" ht="25.5" customHeight="1"/>
    <row r="329" ht="25.5" customHeight="1"/>
    <row r="330" ht="25.5" customHeight="1"/>
    <row r="331" ht="25.5" customHeight="1"/>
    <row r="332" ht="25.5" customHeight="1"/>
    <row r="333" ht="25.5" customHeight="1"/>
    <row r="334" ht="25.5" customHeight="1"/>
    <row r="335" ht="25.5" customHeight="1"/>
    <row r="336" ht="25.5" customHeight="1"/>
    <row r="337" ht="25.5" customHeight="1"/>
    <row r="338" ht="25.5" customHeight="1"/>
    <row r="339" ht="25.5" customHeight="1"/>
    <row r="340" ht="25.5" customHeight="1"/>
    <row r="341" ht="25.5" customHeight="1"/>
    <row r="342" ht="25.5" customHeight="1"/>
    <row r="343" ht="25.5" customHeight="1"/>
    <row r="344" ht="25.5" customHeight="1"/>
    <row r="345" ht="25.5" customHeight="1"/>
    <row r="346" ht="25.5" customHeight="1"/>
    <row r="347" ht="25.5" customHeight="1"/>
    <row r="348" ht="25.5" customHeight="1"/>
    <row r="349" ht="25.5" customHeight="1"/>
    <row r="350" ht="25.5" customHeight="1"/>
    <row r="351" ht="25.5" customHeight="1"/>
    <row r="352" ht="25.5" customHeight="1"/>
    <row r="353" ht="25.5" customHeight="1"/>
    <row r="354" ht="25.5" customHeight="1"/>
    <row r="355" ht="25.5" customHeight="1"/>
    <row r="356" ht="25.5" customHeight="1"/>
    <row r="357" ht="25.5" customHeight="1"/>
    <row r="358" ht="25.5" customHeight="1"/>
    <row r="359" ht="25.5" customHeight="1"/>
    <row r="360" ht="25.5" customHeight="1"/>
    <row r="361" ht="25.5" customHeight="1"/>
    <row r="362" ht="25.5" customHeight="1"/>
    <row r="363" ht="25.5" customHeight="1"/>
    <row r="364" ht="25.5" customHeight="1"/>
    <row r="365" ht="25.5" customHeight="1"/>
    <row r="366" ht="25.5" customHeight="1"/>
    <row r="367" ht="25.5" customHeight="1"/>
    <row r="368" ht="25.5" customHeight="1"/>
    <row r="369" ht="25.5" customHeight="1"/>
    <row r="370" ht="25.5" customHeight="1"/>
    <row r="371" ht="25.5" customHeight="1"/>
    <row r="372" ht="25.5" customHeight="1"/>
    <row r="373" ht="25.5" customHeight="1"/>
    <row r="374" ht="25.5" customHeight="1"/>
    <row r="375" ht="25.5" customHeight="1"/>
    <row r="376" ht="25.5" customHeight="1"/>
    <row r="377" ht="25.5" customHeight="1"/>
    <row r="378" ht="25.5" customHeight="1"/>
    <row r="379" ht="25.5" customHeight="1"/>
    <row r="380" ht="25.5" customHeight="1"/>
    <row r="381" ht="25.5" customHeight="1"/>
    <row r="382" ht="25.5" customHeight="1"/>
    <row r="383" ht="25.5" customHeight="1"/>
    <row r="384" ht="25.5" customHeight="1"/>
    <row r="385" ht="25.5" customHeight="1"/>
    <row r="386" ht="25.5" customHeight="1"/>
    <row r="387" ht="25.5" customHeight="1"/>
    <row r="388" ht="25.5" customHeight="1"/>
    <row r="389" ht="25.5" customHeight="1"/>
    <row r="390" ht="25.5" customHeight="1"/>
    <row r="391" ht="25.5" customHeight="1"/>
    <row r="392" ht="25.5" customHeight="1"/>
    <row r="393" ht="25.5" customHeight="1"/>
    <row r="394" ht="25.5" customHeight="1"/>
    <row r="395" ht="25.5" customHeight="1"/>
    <row r="396" ht="25.5" customHeight="1"/>
    <row r="397" ht="25.5" customHeight="1"/>
    <row r="398" ht="25.5" customHeight="1"/>
    <row r="399" ht="25.5" customHeight="1"/>
    <row r="400" ht="25.5" customHeight="1"/>
    <row r="401" ht="25.5" customHeight="1"/>
    <row r="402" ht="25.5" customHeight="1"/>
    <row r="403" ht="25.5" customHeight="1"/>
    <row r="404" ht="25.5" customHeight="1"/>
    <row r="405" ht="25.5" customHeight="1"/>
    <row r="406" ht="25.5" customHeight="1"/>
    <row r="407" ht="25.5" customHeight="1"/>
    <row r="408" ht="25.5" customHeight="1"/>
    <row r="409" ht="25.5" customHeight="1"/>
    <row r="410" ht="25.5" customHeight="1"/>
    <row r="411" ht="25.5" customHeight="1"/>
    <row r="412" ht="25.5" customHeight="1"/>
    <row r="413" ht="25.5" customHeight="1"/>
    <row r="414" ht="25.5" customHeight="1"/>
    <row r="415" ht="25.5" customHeight="1"/>
    <row r="416" ht="25.5" customHeight="1"/>
    <row r="417" ht="25.5" customHeight="1"/>
    <row r="418" ht="25.5" customHeight="1"/>
    <row r="419" ht="25.5" customHeight="1"/>
    <row r="420" ht="25.5" customHeight="1"/>
    <row r="421" ht="25.5" customHeight="1"/>
    <row r="422" ht="25.5" customHeight="1"/>
    <row r="423" ht="25.5" customHeight="1"/>
    <row r="424" ht="25.5" customHeight="1"/>
    <row r="425" ht="25.5" customHeight="1"/>
    <row r="426" ht="25.5" customHeight="1"/>
    <row r="427" ht="25.5" customHeight="1"/>
    <row r="428" ht="25.5" customHeight="1"/>
    <row r="429" ht="25.5" customHeight="1"/>
    <row r="430" ht="25.5" customHeight="1"/>
    <row r="431" ht="25.5" customHeight="1"/>
    <row r="432" ht="25.5" customHeight="1"/>
    <row r="433" ht="25.5" customHeight="1"/>
    <row r="434" ht="25.5" customHeight="1"/>
    <row r="435" ht="25.5" customHeight="1"/>
    <row r="436" ht="25.5" customHeight="1"/>
    <row r="437" ht="25.5" customHeight="1"/>
    <row r="438" ht="25.5" customHeight="1"/>
    <row r="439" ht="25.5" customHeight="1"/>
    <row r="440" ht="25.5" customHeight="1"/>
    <row r="441" ht="25.5" customHeight="1"/>
    <row r="442" ht="25.5" customHeight="1"/>
    <row r="443" ht="25.5" customHeight="1"/>
    <row r="444" ht="25.5" customHeight="1"/>
    <row r="445" ht="25.5" customHeight="1"/>
    <row r="446" ht="25.5" customHeight="1"/>
    <row r="447" ht="25.5" customHeight="1"/>
    <row r="448" ht="25.5" customHeight="1"/>
    <row r="449" ht="25.5" customHeight="1"/>
    <row r="450" ht="25.5" customHeight="1"/>
    <row r="451" ht="25.5" customHeight="1"/>
    <row r="452" ht="25.5" customHeight="1"/>
    <row r="453" ht="25.5" customHeight="1"/>
    <row r="454" ht="25.5" customHeight="1"/>
    <row r="455" ht="25.5" customHeight="1"/>
    <row r="456" ht="25.5" customHeight="1"/>
    <row r="457" ht="25.5" customHeight="1"/>
    <row r="458" ht="25.5" customHeight="1"/>
    <row r="459" ht="25.5" customHeight="1"/>
    <row r="460" ht="25.5" customHeight="1"/>
    <row r="461" ht="25.5" customHeight="1"/>
    <row r="462" ht="25.5" customHeight="1"/>
    <row r="463" ht="25.5" customHeight="1"/>
    <row r="464" ht="25.5" customHeight="1"/>
    <row r="465" ht="25.5" customHeight="1"/>
    <row r="466" ht="25.5" customHeight="1"/>
    <row r="467" ht="25.5" customHeight="1"/>
    <row r="468" ht="25.5" customHeight="1"/>
    <row r="469" ht="25.5" customHeight="1"/>
    <row r="470" ht="25.5" customHeight="1"/>
    <row r="471" ht="25.5" customHeight="1"/>
    <row r="472" ht="25.5" customHeight="1"/>
    <row r="473" ht="25.5" customHeight="1"/>
    <row r="474" ht="25.5" customHeight="1"/>
    <row r="475" ht="25.5" customHeight="1"/>
    <row r="476" ht="25.5" customHeight="1"/>
    <row r="477" ht="25.5" customHeight="1"/>
    <row r="478" ht="25.5" customHeight="1"/>
    <row r="479" ht="25.5" customHeight="1"/>
    <row r="480" ht="25.5" customHeight="1"/>
    <row r="481" ht="25.5" customHeight="1"/>
    <row r="482" ht="25.5" customHeight="1"/>
    <row r="483" ht="25.5" customHeight="1"/>
    <row r="484" ht="25.5" customHeight="1"/>
    <row r="485" ht="25.5" customHeight="1"/>
    <row r="486" ht="25.5" customHeight="1"/>
    <row r="487" ht="25.5" customHeight="1"/>
    <row r="488" ht="25.5" customHeight="1"/>
    <row r="489" ht="25.5" customHeight="1"/>
    <row r="490" ht="25.5" customHeight="1"/>
    <row r="491" ht="25.5" customHeight="1"/>
    <row r="492" ht="25.5" customHeight="1"/>
    <row r="493" ht="25.5" customHeight="1"/>
    <row r="494" ht="25.5" customHeight="1"/>
    <row r="495" ht="25.5" customHeight="1"/>
    <row r="496" ht="25.5" customHeight="1"/>
    <row r="497" ht="25.5" customHeight="1"/>
    <row r="498" ht="25.5" customHeight="1"/>
    <row r="499" ht="25.5" customHeight="1"/>
    <row r="500" ht="25.5" customHeight="1"/>
    <row r="501" ht="25.5" customHeight="1"/>
    <row r="502" ht="25.5" customHeight="1"/>
    <row r="503" ht="25.5" customHeight="1"/>
    <row r="504" ht="25.5" customHeight="1"/>
    <row r="505" ht="25.5" customHeight="1"/>
    <row r="506" ht="25.5" customHeight="1"/>
    <row r="507" ht="25.5" customHeight="1"/>
    <row r="508" ht="25.5" customHeight="1"/>
    <row r="509" ht="25.5" customHeight="1"/>
    <row r="510" ht="25.5" customHeight="1"/>
    <row r="511" ht="25.5" customHeight="1"/>
    <row r="512" ht="25.5" customHeight="1"/>
    <row r="513" ht="25.5" customHeight="1"/>
    <row r="514" ht="25.5" customHeight="1"/>
    <row r="515" ht="25.5" customHeight="1"/>
    <row r="516" ht="25.5" customHeight="1"/>
    <row r="517" ht="25.5" customHeight="1"/>
    <row r="518" ht="25.5" customHeight="1"/>
    <row r="519" ht="25.5" customHeight="1"/>
    <row r="520" ht="25.5" customHeight="1"/>
    <row r="521" ht="25.5" customHeight="1"/>
    <row r="522" ht="25.5" customHeight="1"/>
    <row r="523" ht="25.5" customHeight="1"/>
    <row r="524" ht="25.5" customHeight="1"/>
    <row r="525" ht="25.5" customHeight="1"/>
    <row r="526" ht="25.5" customHeight="1"/>
    <row r="527" ht="25.5" customHeight="1"/>
    <row r="528" ht="25.5" customHeight="1"/>
    <row r="529" ht="25.5" customHeight="1"/>
    <row r="530" ht="25.5" customHeight="1"/>
    <row r="531" ht="25.5" customHeight="1"/>
    <row r="532" ht="25.5" customHeight="1"/>
    <row r="533" ht="25.5" customHeight="1"/>
    <row r="534" ht="25.5" customHeight="1"/>
    <row r="535" ht="25.5" customHeight="1"/>
    <row r="536" ht="25.5" customHeight="1"/>
    <row r="537" ht="25.5" customHeight="1"/>
    <row r="538" ht="25.5" customHeight="1"/>
    <row r="539" ht="25.5" customHeight="1"/>
    <row r="540" ht="25.5" customHeight="1"/>
    <row r="541" ht="25.5" customHeight="1"/>
    <row r="542" ht="25.5" customHeight="1"/>
    <row r="543" ht="25.5" customHeight="1"/>
    <row r="544" ht="25.5" customHeight="1"/>
    <row r="545" ht="25.5" customHeight="1"/>
    <row r="546" ht="25.5" customHeight="1"/>
    <row r="547" ht="25.5" customHeight="1"/>
    <row r="548" ht="25.5" customHeight="1"/>
    <row r="549" ht="25.5" customHeight="1"/>
    <row r="550" ht="25.5" customHeight="1"/>
    <row r="551" ht="25.5" customHeight="1"/>
    <row r="552" ht="25.5" customHeight="1"/>
    <row r="553" ht="25.5" customHeight="1"/>
    <row r="554" ht="25.5" customHeight="1"/>
    <row r="555" ht="25.5" customHeight="1"/>
    <row r="556" ht="25.5" customHeight="1"/>
    <row r="557" ht="25.5" customHeight="1"/>
    <row r="558" ht="25.5" customHeight="1"/>
    <row r="559" ht="25.5" customHeight="1"/>
    <row r="560" ht="25.5" customHeight="1"/>
    <row r="561" ht="25.5" customHeight="1"/>
    <row r="562" ht="25.5" customHeight="1"/>
    <row r="563" ht="25.5" customHeight="1"/>
    <row r="564" ht="25.5" customHeight="1"/>
    <row r="565" ht="25.5" customHeight="1"/>
    <row r="566" ht="25.5" customHeight="1"/>
    <row r="567" ht="25.5" customHeight="1"/>
    <row r="568" ht="25.5" customHeight="1"/>
    <row r="569" ht="25.5" customHeight="1"/>
    <row r="570" ht="25.5" customHeight="1"/>
    <row r="571" ht="25.5" customHeight="1"/>
    <row r="572" ht="25.5" customHeight="1"/>
    <row r="573" ht="25.5" customHeight="1"/>
    <row r="574" ht="25.5" customHeight="1"/>
    <row r="575" ht="25.5" customHeight="1"/>
    <row r="576" ht="25.5" customHeight="1"/>
    <row r="577" ht="25.5" customHeight="1"/>
    <row r="578" ht="25.5" customHeight="1"/>
    <row r="579" ht="25.5" customHeight="1"/>
    <row r="580" ht="25.5" customHeight="1"/>
    <row r="581" ht="25.5" customHeight="1"/>
    <row r="582" ht="25.5" customHeight="1"/>
    <row r="583" ht="25.5" customHeight="1"/>
    <row r="584" ht="25.5" customHeight="1"/>
    <row r="585" ht="25.5" customHeight="1"/>
    <row r="586" ht="25.5" customHeight="1"/>
    <row r="587" ht="25.5" customHeight="1"/>
    <row r="588" ht="25.5" customHeight="1"/>
    <row r="589" ht="25.5" customHeight="1"/>
    <row r="590" ht="25.5" customHeight="1"/>
    <row r="591" ht="25.5" customHeight="1"/>
    <row r="592" ht="25.5" customHeight="1"/>
    <row r="593" ht="25.5" customHeight="1"/>
    <row r="594" ht="25.5" customHeight="1"/>
    <row r="595" ht="25.5" customHeight="1"/>
    <row r="596" ht="25.5" customHeight="1"/>
    <row r="597" ht="25.5" customHeight="1"/>
    <row r="598" ht="25.5" customHeight="1"/>
    <row r="599" ht="25.5" customHeight="1"/>
    <row r="600" ht="25.5" customHeight="1"/>
    <row r="601" ht="25.5" customHeight="1"/>
    <row r="602" ht="25.5" customHeight="1"/>
    <row r="603" ht="25.5" customHeight="1"/>
    <row r="604" ht="25.5" customHeight="1"/>
    <row r="605" ht="25.5" customHeight="1"/>
    <row r="606" ht="25.5" customHeight="1"/>
    <row r="607" ht="25.5" customHeight="1"/>
    <row r="608" ht="25.5" customHeight="1"/>
    <row r="609" ht="25.5" customHeight="1"/>
    <row r="610" ht="25.5" customHeight="1"/>
    <row r="611" ht="25.5" customHeight="1"/>
    <row r="612" ht="25.5" customHeight="1"/>
    <row r="613" ht="25.5" customHeight="1"/>
    <row r="614" ht="25.5" customHeight="1"/>
    <row r="615" ht="25.5" customHeight="1"/>
    <row r="616" ht="25.5" customHeight="1"/>
    <row r="617" ht="25.5" customHeight="1"/>
    <row r="618" ht="25.5" customHeight="1"/>
    <row r="619" ht="25.5" customHeight="1"/>
    <row r="620" ht="25.5" customHeight="1"/>
    <row r="621" ht="25.5" customHeight="1"/>
    <row r="622" ht="25.5" customHeight="1"/>
    <row r="623" ht="25.5" customHeight="1"/>
    <row r="624" ht="25.5" customHeight="1"/>
    <row r="625" ht="25.5" customHeight="1"/>
    <row r="626" ht="25.5" customHeight="1"/>
    <row r="627" ht="25.5" customHeight="1"/>
    <row r="628" ht="25.5" customHeight="1"/>
    <row r="629" ht="25.5" customHeight="1"/>
    <row r="630" ht="25.5" customHeight="1"/>
    <row r="631" ht="25.5" customHeight="1"/>
    <row r="632" ht="25.5" customHeight="1"/>
    <row r="633" ht="25.5" customHeight="1"/>
    <row r="634" ht="25.5" customHeight="1"/>
    <row r="635" ht="25.5" customHeight="1"/>
    <row r="636" ht="25.5" customHeight="1"/>
    <row r="637" ht="25.5" customHeight="1"/>
    <row r="638" ht="25.5" customHeight="1"/>
    <row r="639" ht="25.5" customHeight="1"/>
    <row r="640" ht="25.5" customHeight="1"/>
    <row r="641" ht="25.5" customHeight="1"/>
    <row r="642" ht="25.5" customHeight="1"/>
    <row r="643" ht="25.5" customHeight="1"/>
    <row r="644" ht="25.5" customHeight="1"/>
    <row r="645" ht="25.5" customHeight="1"/>
    <row r="646" ht="25.5" customHeight="1"/>
    <row r="647" ht="25.5" customHeight="1"/>
    <row r="648" ht="25.5" customHeight="1"/>
    <row r="649" ht="25.5" customHeight="1"/>
    <row r="650" ht="25.5" customHeight="1"/>
    <row r="651" ht="25.5" customHeight="1"/>
    <row r="652" ht="25.5" customHeight="1"/>
    <row r="653" ht="25.5" customHeight="1"/>
    <row r="654" ht="25.5" customHeight="1"/>
    <row r="655" ht="25.5" customHeight="1"/>
    <row r="656" ht="25.5" customHeight="1"/>
    <row r="657" ht="25.5" customHeight="1"/>
    <row r="658" ht="25.5" customHeight="1"/>
    <row r="659" ht="25.5" customHeight="1"/>
    <row r="660" ht="25.5" customHeight="1"/>
    <row r="661" ht="25.5" customHeight="1"/>
    <row r="662" ht="25.5" customHeight="1"/>
    <row r="663" ht="25.5" customHeight="1"/>
    <row r="664" ht="25.5" customHeight="1"/>
    <row r="665" ht="25.5" customHeight="1"/>
    <row r="666" ht="25.5" customHeight="1"/>
    <row r="667" ht="25.5" customHeight="1"/>
    <row r="668" ht="25.5" customHeight="1"/>
    <row r="669" ht="25.5" customHeight="1"/>
    <row r="670" ht="25.5" customHeight="1"/>
    <row r="671" ht="25.5" customHeight="1"/>
    <row r="672" ht="25.5" customHeight="1"/>
    <row r="673" ht="25.5" customHeight="1"/>
    <row r="674" ht="25.5" customHeight="1"/>
    <row r="675" ht="25.5" customHeight="1"/>
    <row r="676" ht="25.5" customHeight="1"/>
    <row r="677" ht="25.5" customHeight="1"/>
    <row r="678" ht="25.5" customHeight="1"/>
    <row r="679" ht="25.5" customHeight="1"/>
    <row r="680" ht="25.5" customHeight="1"/>
    <row r="681" ht="25.5" customHeight="1"/>
    <row r="682" ht="25.5" customHeight="1"/>
    <row r="683" ht="25.5" customHeight="1"/>
    <row r="684" ht="25.5" customHeight="1"/>
    <row r="685" ht="25.5" customHeight="1"/>
    <row r="686" ht="25.5" customHeight="1"/>
    <row r="687" ht="25.5" customHeight="1"/>
    <row r="688" ht="25.5" customHeight="1"/>
    <row r="689" ht="25.5" customHeight="1"/>
    <row r="690" ht="25.5" customHeight="1"/>
    <row r="691" ht="25.5" customHeight="1"/>
    <row r="692" ht="25.5" customHeight="1"/>
    <row r="693" ht="25.5" customHeight="1"/>
    <row r="694" ht="25.5" customHeight="1"/>
    <row r="695" ht="25.5" customHeight="1"/>
    <row r="696" ht="25.5" customHeight="1"/>
    <row r="697" ht="25.5" customHeight="1"/>
    <row r="698" ht="25.5" customHeight="1"/>
    <row r="699" ht="25.5" customHeight="1"/>
    <row r="700" ht="25.5" customHeight="1"/>
    <row r="701" ht="25.5" customHeight="1"/>
    <row r="702" ht="25.5" customHeight="1"/>
    <row r="703" ht="25.5" customHeight="1"/>
    <row r="704" ht="25.5" customHeight="1"/>
    <row r="705" ht="25.5" customHeight="1"/>
    <row r="706" ht="25.5" customHeight="1"/>
    <row r="707" ht="25.5" customHeight="1"/>
    <row r="708" ht="25.5" customHeight="1"/>
    <row r="709" ht="25.5" customHeight="1"/>
    <row r="710" ht="25.5" customHeight="1"/>
    <row r="711" ht="25.5" customHeight="1"/>
    <row r="712" ht="25.5" customHeight="1"/>
    <row r="713" ht="25.5" customHeight="1"/>
    <row r="714" ht="25.5" customHeight="1"/>
    <row r="715" ht="25.5" customHeight="1"/>
    <row r="716" ht="25.5" customHeight="1"/>
    <row r="717" ht="25.5" customHeight="1"/>
    <row r="718" ht="25.5" customHeight="1"/>
    <row r="719" ht="25.5" customHeight="1"/>
    <row r="720" ht="25.5" customHeight="1"/>
    <row r="721" ht="25.5" customHeight="1"/>
    <row r="722" ht="25.5" customHeight="1"/>
    <row r="723" ht="25.5" customHeight="1"/>
    <row r="724" ht="25.5" customHeight="1"/>
    <row r="725" ht="25.5" customHeight="1"/>
    <row r="726" ht="25.5" customHeight="1"/>
    <row r="727" ht="25.5" customHeight="1"/>
    <row r="728" ht="25.5" customHeight="1"/>
    <row r="729" ht="25.5" customHeight="1"/>
    <row r="730" ht="25.5" customHeight="1"/>
    <row r="731" ht="25.5" customHeight="1"/>
    <row r="732" ht="25.5" customHeight="1"/>
    <row r="733" ht="25.5" customHeight="1"/>
    <row r="734" ht="25.5" customHeight="1"/>
    <row r="735" ht="25.5" customHeight="1"/>
    <row r="736" ht="25.5" customHeight="1"/>
    <row r="737" ht="25.5" customHeight="1"/>
    <row r="738" ht="25.5" customHeight="1"/>
    <row r="739" ht="25.5" customHeight="1"/>
    <row r="740" ht="25.5" customHeight="1"/>
    <row r="741" ht="25.5" customHeight="1"/>
    <row r="742" ht="25.5" customHeight="1"/>
    <row r="743" ht="25.5" customHeight="1"/>
    <row r="744" ht="25.5" customHeight="1"/>
    <row r="745" ht="25.5" customHeight="1"/>
    <row r="746" ht="25.5" customHeight="1"/>
    <row r="747" ht="25.5" customHeight="1"/>
    <row r="748" ht="25.5" customHeight="1"/>
    <row r="749" ht="25.5" customHeight="1"/>
    <row r="750" ht="25.5" customHeight="1"/>
    <row r="751" ht="25.5" customHeight="1"/>
    <row r="752" ht="25.5" customHeight="1"/>
    <row r="753" ht="25.5" customHeight="1"/>
    <row r="754" ht="25.5" customHeight="1"/>
    <row r="755" ht="25.5" customHeight="1"/>
    <row r="756" ht="25.5" customHeight="1"/>
    <row r="757" ht="25.5" customHeight="1"/>
    <row r="758" ht="25.5" customHeight="1"/>
    <row r="759" ht="25.5" customHeight="1"/>
    <row r="760" ht="25.5" customHeight="1"/>
    <row r="761" ht="25.5" customHeight="1"/>
    <row r="762" ht="25.5" customHeight="1"/>
    <row r="763" ht="25.5" customHeight="1"/>
    <row r="764" ht="25.5" customHeight="1"/>
    <row r="765" ht="25.5" customHeight="1"/>
    <row r="766" ht="25.5" customHeight="1"/>
    <row r="767" ht="25.5" customHeight="1"/>
    <row r="768" ht="25.5" customHeight="1"/>
    <row r="769" ht="25.5" customHeight="1"/>
    <row r="770" ht="25.5" customHeight="1"/>
    <row r="771" ht="25.5" customHeight="1"/>
    <row r="772" ht="25.5" customHeight="1"/>
    <row r="773" ht="25.5" customHeight="1"/>
    <row r="774" ht="25.5" customHeight="1"/>
    <row r="775" ht="25.5" customHeight="1"/>
    <row r="776" ht="25.5" customHeight="1"/>
    <row r="777" ht="25.5" customHeight="1"/>
    <row r="778" ht="25.5" customHeight="1"/>
    <row r="779" ht="25.5" customHeight="1"/>
    <row r="780" ht="25.5" customHeight="1"/>
    <row r="781" ht="25.5" customHeight="1"/>
    <row r="782" ht="25.5" customHeight="1"/>
    <row r="783" ht="25.5" customHeight="1"/>
    <row r="784" ht="25.5" customHeight="1"/>
    <row r="785" ht="25.5" customHeight="1"/>
    <row r="786" ht="25.5" customHeight="1"/>
    <row r="787" ht="25.5" customHeight="1"/>
    <row r="788" ht="25.5" customHeight="1"/>
    <row r="789" ht="25.5" customHeight="1"/>
    <row r="790" ht="25.5" customHeight="1"/>
    <row r="791" ht="25.5" customHeight="1"/>
    <row r="792" ht="25.5" customHeight="1"/>
    <row r="793" ht="25.5" customHeight="1"/>
    <row r="794" ht="25.5" customHeight="1"/>
    <row r="795" ht="25.5" customHeight="1"/>
    <row r="796" ht="25.5" customHeight="1"/>
    <row r="797" ht="25.5" customHeight="1"/>
    <row r="798" ht="25.5" customHeight="1"/>
    <row r="799" ht="25.5" customHeight="1"/>
    <row r="800" ht="25.5" customHeight="1"/>
    <row r="801" ht="25.5" customHeight="1"/>
    <row r="802" ht="25.5" customHeight="1"/>
    <row r="803" ht="25.5" customHeight="1"/>
    <row r="804" ht="25.5" customHeight="1"/>
    <row r="805" ht="25.5" customHeight="1"/>
    <row r="806" ht="25.5" customHeight="1"/>
    <row r="807" ht="25.5" customHeight="1"/>
    <row r="808" ht="25.5" customHeight="1"/>
    <row r="809" ht="25.5" customHeight="1"/>
    <row r="810" ht="25.5" customHeight="1"/>
    <row r="811" ht="25.5" customHeight="1"/>
    <row r="812" ht="25.5" customHeight="1"/>
    <row r="813" ht="25.5" customHeight="1"/>
    <row r="814" ht="25.5" customHeight="1"/>
    <row r="815" ht="25.5" customHeight="1"/>
    <row r="816" ht="25.5" customHeight="1"/>
    <row r="817" ht="25.5" customHeight="1"/>
    <row r="818" ht="25.5" customHeight="1"/>
    <row r="819" ht="25.5" customHeight="1"/>
    <row r="820" ht="25.5" customHeight="1"/>
    <row r="821" ht="25.5" customHeight="1"/>
    <row r="822" ht="25.5" customHeight="1"/>
    <row r="823" ht="25.5" customHeight="1"/>
    <row r="824" ht="25.5" customHeight="1"/>
    <row r="825" ht="25.5" customHeight="1"/>
    <row r="826" ht="25.5" customHeight="1"/>
    <row r="827" ht="25.5" customHeight="1"/>
    <row r="828" ht="25.5" customHeight="1"/>
    <row r="829" ht="25.5" customHeight="1"/>
    <row r="830" ht="25.5" customHeight="1"/>
    <row r="831" ht="25.5" customHeight="1"/>
    <row r="832" ht="25.5" customHeight="1"/>
    <row r="833" ht="25.5" customHeight="1"/>
    <row r="834" ht="25.5" customHeight="1"/>
    <row r="835" ht="25.5" customHeight="1"/>
    <row r="836" ht="25.5" customHeight="1"/>
    <row r="837" ht="25.5" customHeight="1"/>
    <row r="838" ht="25.5" customHeight="1"/>
    <row r="839" ht="25.5" customHeight="1"/>
    <row r="840" ht="25.5" customHeight="1"/>
    <row r="841" ht="25.5" customHeight="1"/>
    <row r="842" ht="25.5" customHeight="1"/>
    <row r="843" ht="25.5" customHeight="1"/>
    <row r="844" ht="25.5" customHeight="1"/>
    <row r="845" ht="25.5" customHeight="1"/>
    <row r="846" ht="25.5" customHeight="1"/>
    <row r="847" ht="25.5" customHeight="1"/>
    <row r="848" ht="25.5" customHeight="1"/>
    <row r="849" ht="25.5" customHeight="1"/>
    <row r="850" ht="25.5" customHeight="1"/>
    <row r="851" ht="25.5" customHeight="1"/>
    <row r="852" ht="25.5" customHeight="1"/>
    <row r="853" ht="25.5" customHeight="1"/>
    <row r="854" ht="25.5" customHeight="1"/>
    <row r="855" ht="25.5" customHeight="1"/>
    <row r="856" ht="25.5" customHeight="1"/>
    <row r="857" ht="25.5" customHeight="1"/>
    <row r="858" ht="25.5" customHeight="1"/>
    <row r="859" ht="25.5" customHeight="1"/>
    <row r="860" ht="25.5" customHeight="1"/>
    <row r="861" ht="25.5" customHeight="1"/>
    <row r="862" ht="25.5" customHeight="1"/>
    <row r="863" ht="25.5" customHeight="1"/>
    <row r="864" ht="25.5" customHeight="1"/>
    <row r="865" ht="25.5" customHeight="1"/>
    <row r="866" ht="25.5" customHeight="1"/>
    <row r="867" ht="25.5" customHeight="1"/>
    <row r="868" ht="25.5" customHeight="1"/>
    <row r="869" ht="25.5" customHeight="1"/>
    <row r="870" ht="25.5" customHeight="1"/>
    <row r="871" ht="25.5" customHeight="1"/>
    <row r="872" ht="25.5" customHeight="1"/>
    <row r="873" ht="25.5" customHeight="1"/>
    <row r="874" ht="25.5" customHeight="1"/>
    <row r="875" ht="25.5" customHeight="1"/>
    <row r="876" ht="25.5" customHeight="1"/>
    <row r="877" ht="25.5" customHeight="1"/>
    <row r="878" ht="25.5" customHeight="1"/>
    <row r="879" ht="25.5" customHeight="1"/>
    <row r="880" ht="25.5" customHeight="1"/>
    <row r="881" ht="25.5" customHeight="1"/>
    <row r="882" ht="25.5" customHeight="1"/>
    <row r="883" ht="25.5" customHeight="1"/>
    <row r="884" ht="25.5" customHeight="1"/>
    <row r="885" ht="25.5" customHeight="1"/>
    <row r="886" ht="25.5" customHeight="1"/>
    <row r="887" ht="25.5" customHeight="1"/>
    <row r="888" ht="25.5" customHeight="1"/>
    <row r="889" ht="25.5" customHeight="1"/>
    <row r="890" ht="25.5" customHeight="1"/>
    <row r="891" ht="25.5" customHeight="1"/>
    <row r="892" ht="25.5" customHeight="1"/>
    <row r="893" ht="25.5" customHeight="1"/>
    <row r="894" ht="25.5" customHeight="1"/>
    <row r="895" ht="25.5" customHeight="1"/>
    <row r="896" ht="25.5" customHeight="1"/>
    <row r="897" ht="25.5" customHeight="1"/>
    <row r="898" ht="25.5" customHeight="1"/>
    <row r="899" ht="25.5" customHeight="1"/>
    <row r="900" ht="25.5" customHeight="1"/>
    <row r="901" ht="25.5" customHeight="1"/>
    <row r="902" ht="25.5" customHeight="1"/>
    <row r="903" ht="25.5" customHeight="1"/>
    <row r="904" ht="25.5" customHeight="1"/>
    <row r="905" ht="25.5" customHeight="1"/>
    <row r="906" ht="25.5" customHeight="1"/>
    <row r="907" ht="25.5" customHeight="1"/>
    <row r="908" ht="25.5" customHeight="1"/>
    <row r="909" ht="25.5" customHeight="1"/>
    <row r="910" ht="25.5" customHeight="1"/>
    <row r="911" ht="25.5" customHeight="1"/>
    <row r="912" ht="25.5" customHeight="1"/>
    <row r="913" ht="25.5" customHeight="1"/>
    <row r="914" ht="25.5" customHeight="1"/>
    <row r="915" ht="25.5" customHeight="1"/>
    <row r="916" ht="25.5" customHeight="1"/>
    <row r="917" ht="25.5" customHeight="1"/>
    <row r="918" ht="25.5" customHeight="1"/>
    <row r="919" ht="25.5" customHeight="1"/>
    <row r="920" ht="25.5" customHeight="1"/>
    <row r="921" ht="25.5" customHeight="1"/>
    <row r="922" ht="25.5" customHeight="1"/>
    <row r="923" ht="25.5" customHeight="1"/>
    <row r="924" ht="25.5" customHeight="1"/>
    <row r="925" ht="25.5" customHeight="1"/>
    <row r="926" ht="25.5" customHeight="1"/>
    <row r="927" ht="25.5" customHeight="1"/>
    <row r="928" ht="25.5" customHeight="1"/>
    <row r="929" ht="25.5" customHeight="1"/>
    <row r="930" ht="25.5" customHeight="1"/>
    <row r="931" ht="25.5" customHeight="1"/>
    <row r="932" ht="25.5" customHeight="1"/>
    <row r="933" ht="25.5" customHeight="1"/>
    <row r="934" ht="25.5" customHeight="1"/>
    <row r="935" ht="25.5" customHeight="1"/>
    <row r="936" ht="25.5" customHeight="1"/>
    <row r="937" ht="25.5" customHeight="1"/>
    <row r="938" ht="25.5" customHeight="1"/>
    <row r="939" ht="25.5" customHeight="1"/>
    <row r="940" ht="25.5" customHeight="1"/>
    <row r="941" ht="25.5" customHeight="1"/>
  </sheetData>
  <mergeCells count="8">
    <mergeCell ref="A1:G1"/>
    <mergeCell ref="A2:A3"/>
    <mergeCell ref="B2:B3"/>
    <mergeCell ref="C2:C3"/>
    <mergeCell ref="D2:D3"/>
    <mergeCell ref="E2:E3"/>
    <mergeCell ref="F2:G2"/>
    <mergeCell ref="A144:C144"/>
  </mergeCells>
  <dataValidations>
    <dataValidation type="list" allowBlank="1" sqref="I4:I141">
      <formula1>"CHECKED (OK),CHECKED  (NOT OK)"</formula1>
    </dataValidation>
  </dataValidations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4" max="4" width="26.88"/>
    <col customWidth="1" min="5" max="5" width="40.5"/>
    <col customWidth="1" min="8" max="8" width="3.5"/>
    <col customWidth="1" min="9" max="9" width="23.38"/>
    <col customWidth="1" min="10" max="10" width="22.25"/>
  </cols>
  <sheetData>
    <row r="1" ht="39.0" customHeight="1">
      <c r="A1" s="292" t="s">
        <v>1761</v>
      </c>
      <c r="H1" s="31"/>
      <c r="I1" s="32" t="s">
        <v>1762</v>
      </c>
      <c r="J1" s="33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ht="29.25" customHeight="1">
      <c r="A2" s="281" t="s">
        <v>1</v>
      </c>
      <c r="B2" s="266" t="s">
        <v>11</v>
      </c>
      <c r="C2" s="266" t="s">
        <v>1452</v>
      </c>
      <c r="D2" s="266" t="s">
        <v>12</v>
      </c>
      <c r="E2" s="287" t="s">
        <v>13</v>
      </c>
      <c r="F2" s="37" t="s">
        <v>14</v>
      </c>
      <c r="G2" s="38"/>
      <c r="H2" s="39"/>
      <c r="I2" s="40"/>
      <c r="J2" s="40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 ht="33.0" customHeight="1">
      <c r="A3" s="41"/>
      <c r="B3" s="38"/>
      <c r="C3" s="38"/>
      <c r="D3" s="38"/>
      <c r="E3" s="38"/>
      <c r="F3" s="42" t="s">
        <v>15</v>
      </c>
      <c r="G3" s="43" t="s">
        <v>5</v>
      </c>
      <c r="H3" s="39"/>
      <c r="I3" s="44" t="s">
        <v>6</v>
      </c>
      <c r="J3" s="45" t="s">
        <v>7</v>
      </c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 ht="25.5" customHeight="1">
      <c r="A4" s="282">
        <v>1.0</v>
      </c>
      <c r="B4" s="47">
        <v>1003942.0</v>
      </c>
      <c r="C4" s="283" t="str">
        <f>vlookup(B4,'Crew data for number'!B:C,2,0)</f>
        <v>TAA2769</v>
      </c>
      <c r="D4" s="284" t="str">
        <f>vlookup(B4,'Crew Data'!C:G,5,0)</f>
        <v>Wilawan Auttamaphan</v>
      </c>
      <c r="E4" s="268">
        <v>43586.0</v>
      </c>
      <c r="F4" s="47">
        <v>1.0</v>
      </c>
      <c r="G4" s="50">
        <f t="shared" ref="G4:G177" si="1">F4*400</f>
        <v>400</v>
      </c>
      <c r="H4" s="22">
        <f t="shared" ref="H4:H177" si="2">COUNTIF(B:B,B4)</f>
        <v>1</v>
      </c>
      <c r="I4" s="51" t="s">
        <v>1763</v>
      </c>
      <c r="J4" s="40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</row>
    <row r="5" ht="25.5" customHeight="1">
      <c r="A5" s="54">
        <v>2.0</v>
      </c>
      <c r="B5" s="47">
        <v>1011084.0</v>
      </c>
      <c r="C5" s="283" t="str">
        <f>vlookup(B5,'Crew data for number'!B:C,2,0)</f>
        <v>TAA5672</v>
      </c>
      <c r="D5" s="284" t="str">
        <f>vlookup(B5,'Crew Data'!C:G,5,0)</f>
        <v>Warich Nathtigoon</v>
      </c>
      <c r="E5" s="267" t="s">
        <v>1764</v>
      </c>
      <c r="F5" s="47">
        <v>7.0</v>
      </c>
      <c r="G5" s="50">
        <f t="shared" si="1"/>
        <v>2800</v>
      </c>
      <c r="H5" s="22">
        <f t="shared" si="2"/>
        <v>1</v>
      </c>
      <c r="I5" s="51" t="s">
        <v>1763</v>
      </c>
    </row>
    <row r="6" ht="25.5" customHeight="1">
      <c r="A6" s="282">
        <v>3.0</v>
      </c>
      <c r="B6" s="47">
        <v>1004757.0</v>
      </c>
      <c r="C6" s="283" t="str">
        <f>vlookup(B6,'Crew data for number'!B:C,2,0)</f>
        <v>TAA2967</v>
      </c>
      <c r="D6" s="284" t="str">
        <f>vlookup(B6,'Crew Data'!C:G,5,0)</f>
        <v>Pimwaree Makmee</v>
      </c>
      <c r="E6" s="267" t="s">
        <v>1765</v>
      </c>
      <c r="F6" s="47">
        <v>5.0</v>
      </c>
      <c r="G6" s="50">
        <f t="shared" si="1"/>
        <v>2000</v>
      </c>
      <c r="H6" s="22">
        <f t="shared" si="2"/>
        <v>1</v>
      </c>
      <c r="I6" s="51" t="s">
        <v>1763</v>
      </c>
    </row>
    <row r="7" ht="25.5" customHeight="1">
      <c r="A7" s="54">
        <v>4.0</v>
      </c>
      <c r="B7" s="47">
        <v>1004750.0</v>
      </c>
      <c r="C7" s="283" t="str">
        <f>vlookup(B7,'Crew data for number'!B:C,2,0)</f>
        <v>TAA2973</v>
      </c>
      <c r="D7" s="284" t="str">
        <f>vlookup(B7,'Crew Data'!C:G,5,0)</f>
        <v>#N/A</v>
      </c>
      <c r="E7" s="267" t="s">
        <v>1766</v>
      </c>
      <c r="F7" s="47">
        <v>2.0</v>
      </c>
      <c r="G7" s="50">
        <f t="shared" si="1"/>
        <v>800</v>
      </c>
      <c r="H7" s="22">
        <f t="shared" si="2"/>
        <v>1</v>
      </c>
      <c r="I7" s="51" t="s">
        <v>1763</v>
      </c>
    </row>
    <row r="8" ht="25.5" customHeight="1">
      <c r="A8" s="282">
        <v>5.0</v>
      </c>
      <c r="B8" s="47">
        <v>1004045.0</v>
      </c>
      <c r="C8" s="283" t="str">
        <f>vlookup(B8,'Crew data for number'!B:C,2,0)</f>
        <v>TAA2562</v>
      </c>
      <c r="D8" s="284" t="str">
        <f>vlookup(B8,'Crew Data'!C:G,5,0)</f>
        <v>Waraphorn Khunthong</v>
      </c>
      <c r="E8" s="267" t="s">
        <v>1767</v>
      </c>
      <c r="F8" s="47">
        <v>30.0</v>
      </c>
      <c r="G8" s="50">
        <f t="shared" si="1"/>
        <v>12000</v>
      </c>
      <c r="H8" s="22">
        <f t="shared" si="2"/>
        <v>1</v>
      </c>
      <c r="I8" s="51" t="s">
        <v>1768</v>
      </c>
    </row>
    <row r="9" ht="25.5" customHeight="1">
      <c r="A9" s="54">
        <v>6.0</v>
      </c>
      <c r="B9" s="47">
        <v>1005906.0</v>
      </c>
      <c r="C9" s="283" t="str">
        <f>vlookup(B9,'Crew data for number'!B:C,2,0)</f>
        <v>TAA3924</v>
      </c>
      <c r="D9" s="284" t="str">
        <f>vlookup(B9,'Crew Data'!C:G,5,0)</f>
        <v>Supatra Pokkhabut</v>
      </c>
      <c r="E9" s="267" t="s">
        <v>1769</v>
      </c>
      <c r="F9" s="47">
        <v>31.0</v>
      </c>
      <c r="G9" s="50">
        <f t="shared" si="1"/>
        <v>12400</v>
      </c>
      <c r="H9" s="22">
        <f t="shared" si="2"/>
        <v>1</v>
      </c>
      <c r="I9" s="51" t="s">
        <v>1770</v>
      </c>
    </row>
    <row r="10" ht="25.5" customHeight="1">
      <c r="A10" s="282">
        <v>7.0</v>
      </c>
      <c r="B10" s="47">
        <v>1019404.0</v>
      </c>
      <c r="C10" s="283" t="str">
        <f>vlookup(B10,'Crew data for number'!B:C,2,0)</f>
        <v>TAA7937</v>
      </c>
      <c r="D10" s="284" t="str">
        <f>vlookup(B10,'Crew Data'!C:G,5,0)</f>
        <v>Ninlaya Tangmongkhongkon</v>
      </c>
      <c r="E10" s="267" t="s">
        <v>1771</v>
      </c>
      <c r="F10" s="47">
        <v>3.0</v>
      </c>
      <c r="G10" s="50">
        <f t="shared" si="1"/>
        <v>1200</v>
      </c>
      <c r="H10" s="22">
        <f t="shared" si="2"/>
        <v>1</v>
      </c>
      <c r="I10" s="51" t="s">
        <v>1770</v>
      </c>
    </row>
    <row r="11" ht="25.5" customHeight="1">
      <c r="A11" s="54">
        <v>8.0</v>
      </c>
      <c r="B11" s="47">
        <v>1017926.0</v>
      </c>
      <c r="C11" s="283" t="str">
        <f>vlookup(B11,'Crew data for number'!B:C,2,0)</f>
        <v>TAA7535</v>
      </c>
      <c r="D11" s="284" t="str">
        <f>vlookup(B11,'Crew Data'!C:G,5,0)</f>
        <v>Noppamanee Samranrat</v>
      </c>
      <c r="E11" s="267" t="s">
        <v>1772</v>
      </c>
      <c r="F11" s="47">
        <v>31.0</v>
      </c>
      <c r="G11" s="50">
        <f t="shared" si="1"/>
        <v>12400</v>
      </c>
      <c r="H11" s="22">
        <f t="shared" si="2"/>
        <v>1</v>
      </c>
      <c r="I11" s="51" t="s">
        <v>1770</v>
      </c>
    </row>
    <row r="12" ht="25.5" customHeight="1">
      <c r="A12" s="282">
        <v>9.0</v>
      </c>
      <c r="B12" s="47">
        <v>1004857.0</v>
      </c>
      <c r="C12" s="283" t="str">
        <f>vlookup(B12,'Crew data for number'!B:C,2,0)</f>
        <v>TAA3011</v>
      </c>
      <c r="D12" s="284" t="str">
        <f>vlookup(B12,'Crew Data'!C:G,5,0)</f>
        <v>#N/A</v>
      </c>
      <c r="E12" s="268">
        <v>43586.0</v>
      </c>
      <c r="F12" s="47">
        <v>1.0</v>
      </c>
      <c r="G12" s="50">
        <f t="shared" si="1"/>
        <v>400</v>
      </c>
      <c r="H12" s="22">
        <f t="shared" si="2"/>
        <v>1</v>
      </c>
      <c r="I12" s="51" t="s">
        <v>1763</v>
      </c>
    </row>
    <row r="13" ht="25.5" customHeight="1">
      <c r="A13" s="54">
        <v>10.0</v>
      </c>
      <c r="B13" s="47">
        <v>1011304.0</v>
      </c>
      <c r="C13" s="283" t="str">
        <f>vlookup(B13,'Crew data for number'!B:C,2,0)</f>
        <v>TAA5582</v>
      </c>
      <c r="D13" s="284" t="str">
        <f>vlookup(B13,'Crew Data'!C:G,5,0)</f>
        <v>#N/A</v>
      </c>
      <c r="E13" s="267" t="s">
        <v>1773</v>
      </c>
      <c r="F13" s="47">
        <v>2.0</v>
      </c>
      <c r="G13" s="50">
        <f t="shared" si="1"/>
        <v>800</v>
      </c>
      <c r="H13" s="22">
        <f t="shared" si="2"/>
        <v>1</v>
      </c>
      <c r="I13" s="51" t="s">
        <v>1770</v>
      </c>
    </row>
    <row r="14" ht="25.5" customHeight="1">
      <c r="A14" s="282">
        <v>11.0</v>
      </c>
      <c r="B14" s="47">
        <v>1005451.0</v>
      </c>
      <c r="C14" s="283" t="str">
        <f>vlookup(B14,'Crew data for number'!B:C,2,0)</f>
        <v>TAA3259</v>
      </c>
      <c r="D14" s="284" t="str">
        <f>vlookup(B14,'Crew Data'!C:G,5,0)</f>
        <v>#N/A</v>
      </c>
      <c r="E14" s="268">
        <v>43586.0</v>
      </c>
      <c r="F14" s="47">
        <v>1.0</v>
      </c>
      <c r="G14" s="50">
        <f t="shared" si="1"/>
        <v>400</v>
      </c>
      <c r="H14" s="22">
        <f t="shared" si="2"/>
        <v>1</v>
      </c>
      <c r="I14" s="51" t="s">
        <v>1763</v>
      </c>
    </row>
    <row r="15" ht="25.5" customHeight="1">
      <c r="A15" s="54">
        <v>12.0</v>
      </c>
      <c r="B15" s="47">
        <v>1022984.0</v>
      </c>
      <c r="C15" s="283" t="str">
        <f>vlookup(B15,'Crew data for number'!B:C,2,0)</f>
        <v/>
      </c>
      <c r="D15" s="284" t="str">
        <f>vlookup(B15,'Crew Data'!C:G,5,0)</f>
        <v>Pitsinee Diowvilai</v>
      </c>
      <c r="E15" s="267" t="s">
        <v>1766</v>
      </c>
      <c r="F15" s="47">
        <v>2.0</v>
      </c>
      <c r="G15" s="50">
        <f t="shared" si="1"/>
        <v>800</v>
      </c>
      <c r="H15" s="22">
        <f t="shared" si="2"/>
        <v>1</v>
      </c>
      <c r="I15" s="51" t="s">
        <v>1763</v>
      </c>
    </row>
    <row r="16" ht="25.5" customHeight="1">
      <c r="A16" s="282">
        <v>13.0</v>
      </c>
      <c r="B16" s="47">
        <v>1018977.0</v>
      </c>
      <c r="C16" s="283" t="str">
        <f>vlookup(B16,'Crew data for number'!B:C,2,0)</f>
        <v>TAA7835</v>
      </c>
      <c r="D16" s="284" t="str">
        <f>vlookup(B16,'Crew Data'!C:G,5,0)</f>
        <v>Ploypailin Chuntawong</v>
      </c>
      <c r="E16" s="267" t="s">
        <v>1774</v>
      </c>
      <c r="F16" s="47">
        <v>33.0</v>
      </c>
      <c r="G16" s="50">
        <f t="shared" si="1"/>
        <v>13200</v>
      </c>
      <c r="H16" s="22">
        <f t="shared" si="2"/>
        <v>1</v>
      </c>
      <c r="I16" s="51" t="s">
        <v>1770</v>
      </c>
    </row>
    <row r="17" ht="25.5" customHeight="1">
      <c r="A17" s="54">
        <v>14.0</v>
      </c>
      <c r="B17" s="47">
        <v>1005283.0</v>
      </c>
      <c r="C17" s="283" t="str">
        <f>vlookup(B17,'Crew data for number'!B:C,2,0)</f>
        <v>TAA3173</v>
      </c>
      <c r="D17" s="284" t="str">
        <f>vlookup(B17,'Crew Data'!C:G,5,0)</f>
        <v>#N/A</v>
      </c>
      <c r="E17" s="267" t="s">
        <v>1775</v>
      </c>
      <c r="F17" s="47">
        <v>4.0</v>
      </c>
      <c r="G17" s="50">
        <f t="shared" si="1"/>
        <v>1600</v>
      </c>
      <c r="H17" s="22">
        <f t="shared" si="2"/>
        <v>1</v>
      </c>
      <c r="I17" s="51" t="s">
        <v>1763</v>
      </c>
    </row>
    <row r="18" ht="25.5" customHeight="1">
      <c r="A18" s="282">
        <v>15.0</v>
      </c>
      <c r="B18" s="47">
        <v>1006891.0</v>
      </c>
      <c r="C18" s="283" t="str">
        <f>vlookup(B18,'Crew data for number'!B:C,2,0)</f>
        <v>TAA3896</v>
      </c>
      <c r="D18" s="284" t="str">
        <f>vlookup(B18,'Crew Data'!C:G,5,0)</f>
        <v>#N/A</v>
      </c>
      <c r="E18" s="267" t="s">
        <v>1776</v>
      </c>
      <c r="F18" s="47">
        <v>4.0</v>
      </c>
      <c r="G18" s="50">
        <f t="shared" si="1"/>
        <v>1600</v>
      </c>
      <c r="H18" s="22">
        <f t="shared" si="2"/>
        <v>1</v>
      </c>
      <c r="I18" s="51" t="s">
        <v>1763</v>
      </c>
    </row>
    <row r="19" ht="25.5" customHeight="1">
      <c r="A19" s="54">
        <v>16.0</v>
      </c>
      <c r="B19" s="47">
        <v>1003373.0</v>
      </c>
      <c r="C19" s="283" t="str">
        <f>vlookup(B19,'Crew data for number'!B:C,2,0)</f>
        <v>TAA2544</v>
      </c>
      <c r="D19" s="284" t="str">
        <f>vlookup(B19,'Crew Data'!C:G,5,0)</f>
        <v>Sarawut Rakdee</v>
      </c>
      <c r="E19" s="267" t="s">
        <v>1777</v>
      </c>
      <c r="F19" s="47">
        <v>5.0</v>
      </c>
      <c r="G19" s="50">
        <f t="shared" si="1"/>
        <v>2000</v>
      </c>
      <c r="H19" s="22">
        <f t="shared" si="2"/>
        <v>1</v>
      </c>
      <c r="I19" s="51" t="s">
        <v>1763</v>
      </c>
    </row>
    <row r="20" ht="25.5" customHeight="1">
      <c r="A20" s="282">
        <v>17.0</v>
      </c>
      <c r="B20" s="47">
        <v>1004318.0</v>
      </c>
      <c r="C20" s="283" t="str">
        <f>vlookup(B20,'Crew data for number'!B:C,2,0)</f>
        <v>TAA2953</v>
      </c>
      <c r="D20" s="284" t="str">
        <f>vlookup(B20,'Crew Data'!C:G,5,0)</f>
        <v>Nattapong Kao-Ngampanich</v>
      </c>
      <c r="E20" s="267" t="s">
        <v>1778</v>
      </c>
      <c r="F20" s="47">
        <v>4.0</v>
      </c>
      <c r="G20" s="50">
        <f t="shared" si="1"/>
        <v>1600</v>
      </c>
      <c r="H20" s="22">
        <f t="shared" si="2"/>
        <v>1</v>
      </c>
      <c r="I20" s="51" t="s">
        <v>1763</v>
      </c>
    </row>
    <row r="21" ht="25.5" customHeight="1">
      <c r="A21" s="54">
        <v>18.0</v>
      </c>
      <c r="B21" s="47">
        <v>1019556.0</v>
      </c>
      <c r="C21" s="283" t="str">
        <f>vlookup(B21,'Crew data for number'!B:C,2,0)</f>
        <v>TAA8001</v>
      </c>
      <c r="D21" s="284" t="str">
        <f>vlookup(B21,'Crew Data'!C:G,5,0)</f>
        <v>Warintorn Rachanikorn</v>
      </c>
      <c r="E21" s="267" t="s">
        <v>1779</v>
      </c>
      <c r="F21" s="47">
        <v>4.0</v>
      </c>
      <c r="G21" s="50">
        <f t="shared" si="1"/>
        <v>1600</v>
      </c>
      <c r="H21" s="22">
        <f t="shared" si="2"/>
        <v>1</v>
      </c>
      <c r="I21" s="51" t="s">
        <v>1763</v>
      </c>
    </row>
    <row r="22" ht="25.5" customHeight="1">
      <c r="A22" s="282">
        <v>19.0</v>
      </c>
      <c r="B22" s="47">
        <v>1011513.0</v>
      </c>
      <c r="C22" s="283" t="str">
        <f>vlookup(B22,'Crew data for number'!B:C,2,0)</f>
        <v>TAA5735</v>
      </c>
      <c r="D22" s="284" t="str">
        <f>vlookup(B22,'Crew Data'!C:G,5,0)</f>
        <v>Rawitnat Marayat</v>
      </c>
      <c r="E22" s="267" t="s">
        <v>1780</v>
      </c>
      <c r="F22" s="47">
        <v>4.0</v>
      </c>
      <c r="G22" s="50">
        <f t="shared" si="1"/>
        <v>1600</v>
      </c>
      <c r="H22" s="22">
        <f t="shared" si="2"/>
        <v>1</v>
      </c>
      <c r="I22" s="51" t="s">
        <v>1763</v>
      </c>
    </row>
    <row r="23" ht="25.5" customHeight="1">
      <c r="A23" s="54">
        <v>20.0</v>
      </c>
      <c r="B23" s="47">
        <v>1012174.0</v>
      </c>
      <c r="C23" s="283" t="str">
        <f>vlookup(B23,'Crew data for number'!B:C,2,0)</f>
        <v>TAA5985</v>
      </c>
      <c r="D23" s="284" t="str">
        <f>vlookup(B23,'Crew Data'!C:G,5,0)</f>
        <v>Parnnachai Srirat</v>
      </c>
      <c r="E23" s="267" t="s">
        <v>1781</v>
      </c>
      <c r="F23" s="47">
        <v>26.0</v>
      </c>
      <c r="G23" s="50">
        <f t="shared" si="1"/>
        <v>10400</v>
      </c>
      <c r="H23" s="22">
        <f t="shared" si="2"/>
        <v>1</v>
      </c>
      <c r="I23" s="51" t="s">
        <v>1768</v>
      </c>
    </row>
    <row r="24" ht="25.5" customHeight="1">
      <c r="A24" s="282">
        <v>21.0</v>
      </c>
      <c r="B24" s="47">
        <v>1006899.0</v>
      </c>
      <c r="C24" s="283" t="str">
        <f>vlookup(B24,'Crew data for number'!B:C,2,0)</f>
        <v>TAA3897</v>
      </c>
      <c r="D24" s="284" t="str">
        <f>vlookup(B24,'Crew Data'!C:G,5,0)</f>
        <v>Phakchira Charoensuk</v>
      </c>
      <c r="E24" s="267" t="s">
        <v>1782</v>
      </c>
      <c r="F24" s="47">
        <v>2.0</v>
      </c>
      <c r="G24" s="50">
        <f t="shared" si="1"/>
        <v>800</v>
      </c>
      <c r="H24" s="22">
        <f t="shared" si="2"/>
        <v>1</v>
      </c>
      <c r="I24" s="51" t="s">
        <v>1763</v>
      </c>
    </row>
    <row r="25" ht="25.5" customHeight="1">
      <c r="A25" s="282">
        <v>22.0</v>
      </c>
      <c r="B25" s="47">
        <v>1014312.0</v>
      </c>
      <c r="C25" s="283" t="str">
        <f>vlookup(B25,'Crew data for number'!B:C,2,0)</f>
        <v>TAA6867</v>
      </c>
      <c r="D25" s="284" t="str">
        <f>vlookup(B25,'Crew Data'!C:G,5,0)</f>
        <v>Chadaporn Pliankham</v>
      </c>
      <c r="E25" s="267" t="s">
        <v>1783</v>
      </c>
      <c r="F25" s="47">
        <v>4.0</v>
      </c>
      <c r="G25" s="50">
        <f t="shared" si="1"/>
        <v>1600</v>
      </c>
      <c r="H25" s="22">
        <f t="shared" si="2"/>
        <v>1</v>
      </c>
      <c r="I25" s="51" t="s">
        <v>1763</v>
      </c>
    </row>
    <row r="26" ht="25.5" customHeight="1">
      <c r="A26" s="54">
        <v>23.0</v>
      </c>
      <c r="B26" s="47">
        <v>1005280.0</v>
      </c>
      <c r="C26" s="283" t="str">
        <f>vlookup(B26,'Crew data for number'!B:C,2,0)</f>
        <v>TAA3176</v>
      </c>
      <c r="D26" s="284" t="str">
        <f>vlookup(B26,'Crew Data'!C:G,5,0)</f>
        <v>Napaporn Termthanaporn</v>
      </c>
      <c r="E26" s="267" t="s">
        <v>1784</v>
      </c>
      <c r="F26" s="47">
        <v>4.0</v>
      </c>
      <c r="G26" s="50">
        <f t="shared" si="1"/>
        <v>1600</v>
      </c>
      <c r="H26" s="22">
        <f t="shared" si="2"/>
        <v>1</v>
      </c>
      <c r="I26" s="51" t="s">
        <v>1763</v>
      </c>
    </row>
    <row r="27" ht="25.5" customHeight="1">
      <c r="A27" s="282">
        <v>24.0</v>
      </c>
      <c r="B27" s="47">
        <v>1007003.0</v>
      </c>
      <c r="C27" s="283" t="str">
        <f>vlookup(B27,'Crew data for number'!B:C,2,0)</f>
        <v>TAA3933</v>
      </c>
      <c r="D27" s="284" t="str">
        <f>vlookup(B27,'Crew Data'!C:G,5,0)</f>
        <v>Ravipa Tumsen</v>
      </c>
      <c r="E27" s="267" t="s">
        <v>1785</v>
      </c>
      <c r="F27" s="47">
        <v>8.0</v>
      </c>
      <c r="G27" s="50">
        <f t="shared" si="1"/>
        <v>3200</v>
      </c>
      <c r="H27" s="22">
        <f t="shared" si="2"/>
        <v>1</v>
      </c>
      <c r="I27" s="51" t="s">
        <v>1763</v>
      </c>
    </row>
    <row r="28" ht="25.5" customHeight="1">
      <c r="A28" s="282">
        <v>25.0</v>
      </c>
      <c r="B28" s="47">
        <v>1007273.0</v>
      </c>
      <c r="C28" s="283" t="str">
        <f>vlookup(B28,'Crew data for number'!B:C,2,0)</f>
        <v>TAA4089</v>
      </c>
      <c r="D28" s="284" t="str">
        <f>vlookup(B28,'Crew Data'!C:G,5,0)</f>
        <v>Sarinya Phontong</v>
      </c>
      <c r="E28" s="267" t="s">
        <v>1783</v>
      </c>
      <c r="F28" s="47">
        <v>4.0</v>
      </c>
      <c r="G28" s="50">
        <f t="shared" si="1"/>
        <v>1600</v>
      </c>
      <c r="H28" s="22">
        <f t="shared" si="2"/>
        <v>1</v>
      </c>
      <c r="I28" s="51" t="s">
        <v>1763</v>
      </c>
    </row>
    <row r="29" ht="25.5" customHeight="1">
      <c r="A29" s="54">
        <v>26.0</v>
      </c>
      <c r="B29" s="47">
        <v>1002348.0</v>
      </c>
      <c r="C29" s="283" t="str">
        <f>vlookup(B29,'Crew data for number'!B:C,2,0)</f>
        <v>TAA2095</v>
      </c>
      <c r="D29" s="284" t="str">
        <f>vlookup(B29,'Crew Data'!C:G,5,0)</f>
        <v>Warisa Ployruengrussamee</v>
      </c>
      <c r="E29" s="267" t="s">
        <v>1778</v>
      </c>
      <c r="F29" s="47">
        <v>4.0</v>
      </c>
      <c r="G29" s="50">
        <f t="shared" si="1"/>
        <v>1600</v>
      </c>
      <c r="H29" s="22">
        <f t="shared" si="2"/>
        <v>1</v>
      </c>
      <c r="I29" s="51" t="s">
        <v>1763</v>
      </c>
    </row>
    <row r="30" ht="25.5" customHeight="1">
      <c r="A30" s="282">
        <v>27.0</v>
      </c>
      <c r="B30" s="47">
        <v>1012367.0</v>
      </c>
      <c r="C30" s="283" t="str">
        <f>vlookup(B30,'Crew data for number'!B:C,2,0)</f>
        <v>TAA6128</v>
      </c>
      <c r="D30" s="284" t="str">
        <f>vlookup(B30,'Crew Data'!C:G,5,0)</f>
        <v>#N/A</v>
      </c>
      <c r="E30" s="267" t="s">
        <v>1786</v>
      </c>
      <c r="F30" s="47">
        <v>7.0</v>
      </c>
      <c r="G30" s="50">
        <f t="shared" si="1"/>
        <v>2800</v>
      </c>
      <c r="H30" s="22">
        <f t="shared" si="2"/>
        <v>1</v>
      </c>
      <c r="I30" s="51" t="s">
        <v>1763</v>
      </c>
    </row>
    <row r="31" ht="25.5" customHeight="1">
      <c r="A31" s="282">
        <v>28.0</v>
      </c>
      <c r="B31" s="47">
        <v>1012358.0</v>
      </c>
      <c r="C31" s="283" t="str">
        <f>vlookup(B31,'Crew data for number'!B:C,2,0)</f>
        <v>TAA6140</v>
      </c>
      <c r="D31" s="284" t="str">
        <f>vlookup(B31,'Crew Data'!C:G,5,0)</f>
        <v>Kohchamon Pithayapitpat</v>
      </c>
      <c r="E31" s="267" t="s">
        <v>1787</v>
      </c>
      <c r="F31" s="47">
        <v>4.0</v>
      </c>
      <c r="G31" s="50">
        <f t="shared" si="1"/>
        <v>1600</v>
      </c>
      <c r="H31" s="22">
        <f t="shared" si="2"/>
        <v>1</v>
      </c>
      <c r="I31" s="51" t="s">
        <v>1763</v>
      </c>
    </row>
    <row r="32" ht="25.5" customHeight="1">
      <c r="A32" s="54">
        <v>29.0</v>
      </c>
      <c r="B32" s="47">
        <v>1004212.0</v>
      </c>
      <c r="C32" s="283" t="str">
        <f>vlookup(B32,'Crew data for number'!B:C,2,0)</f>
        <v>TAA2678</v>
      </c>
      <c r="D32" s="284" t="str">
        <f>vlookup(B32,'Crew Data'!C:G,5,0)</f>
        <v>Varisa Nimkasai</v>
      </c>
      <c r="E32" s="267" t="s">
        <v>1788</v>
      </c>
      <c r="F32" s="47">
        <v>5.0</v>
      </c>
      <c r="G32" s="50">
        <f t="shared" si="1"/>
        <v>2000</v>
      </c>
      <c r="H32" s="22">
        <f t="shared" si="2"/>
        <v>1</v>
      </c>
      <c r="I32" s="51" t="s">
        <v>1763</v>
      </c>
    </row>
    <row r="33" ht="25.5" customHeight="1">
      <c r="A33" s="282">
        <v>30.0</v>
      </c>
      <c r="B33" s="47">
        <v>1013034.0</v>
      </c>
      <c r="C33" s="283" t="str">
        <f>vlookup(B33,'Crew data for number'!B:C,2,0)</f>
        <v>TAA6509</v>
      </c>
      <c r="D33" s="284" t="str">
        <f>vlookup(B33,'Crew Data'!C:G,5,0)</f>
        <v>Sitthiphan Chansawang</v>
      </c>
      <c r="E33" s="267" t="s">
        <v>1789</v>
      </c>
      <c r="F33" s="47">
        <v>4.0</v>
      </c>
      <c r="G33" s="50">
        <f t="shared" si="1"/>
        <v>1600</v>
      </c>
      <c r="H33" s="22">
        <f t="shared" si="2"/>
        <v>1</v>
      </c>
      <c r="I33" s="51" t="s">
        <v>1763</v>
      </c>
    </row>
    <row r="34" ht="25.5" customHeight="1">
      <c r="A34" s="282">
        <v>31.0</v>
      </c>
      <c r="B34" s="47">
        <v>1009843.0</v>
      </c>
      <c r="C34" s="283" t="str">
        <f>vlookup(B34,'Crew data for number'!B:C,2,0)</f>
        <v>TAA5139</v>
      </c>
      <c r="D34" s="284" t="str">
        <f>vlookup(B34,'Crew Data'!C:G,5,0)</f>
        <v>#N/A</v>
      </c>
      <c r="E34" s="267" t="s">
        <v>1789</v>
      </c>
      <c r="F34" s="47">
        <v>4.0</v>
      </c>
      <c r="G34" s="50">
        <f t="shared" si="1"/>
        <v>1600</v>
      </c>
      <c r="H34" s="22">
        <f t="shared" si="2"/>
        <v>1</v>
      </c>
      <c r="I34" s="51" t="s">
        <v>1763</v>
      </c>
    </row>
    <row r="35" ht="25.5" customHeight="1">
      <c r="A35" s="54">
        <v>32.0</v>
      </c>
      <c r="B35" s="47">
        <v>1012170.0</v>
      </c>
      <c r="C35" s="283" t="str">
        <f>vlookup(B35,'Crew data for number'!B:C,2,0)</f>
        <v>TAA5982</v>
      </c>
      <c r="D35" s="284" t="str">
        <f>vlookup(B35,'Crew Data'!C:G,5,0)</f>
        <v>Natchanapatch Sakunsmithikorn </v>
      </c>
      <c r="E35" s="267" t="s">
        <v>1789</v>
      </c>
      <c r="F35" s="47">
        <v>4.0</v>
      </c>
      <c r="G35" s="50">
        <f t="shared" si="1"/>
        <v>1600</v>
      </c>
      <c r="H35" s="22">
        <f t="shared" si="2"/>
        <v>1</v>
      </c>
      <c r="I35" s="51" t="s">
        <v>1763</v>
      </c>
    </row>
    <row r="36" ht="25.5" customHeight="1">
      <c r="A36" s="282">
        <v>33.0</v>
      </c>
      <c r="B36" s="47">
        <v>1010919.0</v>
      </c>
      <c r="C36" s="283" t="str">
        <f>vlookup(B36,'Crew data for number'!B:C,2,0)</f>
        <v>TAA5521</v>
      </c>
      <c r="D36" s="284" t="str">
        <f>vlookup(B36,'Crew Data'!C:G,5,0)</f>
        <v>Suntorn Srimasongserm</v>
      </c>
      <c r="E36" s="267" t="s">
        <v>1789</v>
      </c>
      <c r="F36" s="47">
        <v>4.0</v>
      </c>
      <c r="G36" s="50">
        <f t="shared" si="1"/>
        <v>1600</v>
      </c>
      <c r="H36" s="22">
        <f t="shared" si="2"/>
        <v>1</v>
      </c>
      <c r="I36" s="51" t="s">
        <v>1763</v>
      </c>
    </row>
    <row r="37" ht="25.5" customHeight="1">
      <c r="A37" s="282">
        <v>34.0</v>
      </c>
      <c r="B37" s="47">
        <v>1017919.0</v>
      </c>
      <c r="C37" s="283" t="str">
        <f>vlookup(B37,'Crew data for number'!B:C,2,0)</f>
        <v>TAA7531</v>
      </c>
      <c r="D37" s="284" t="str">
        <f>vlookup(B37,'Crew Data'!C:G,5,0)</f>
        <v>Asanlaya Choomit</v>
      </c>
      <c r="E37" s="267" t="s">
        <v>1790</v>
      </c>
      <c r="F37" s="47">
        <v>6.0</v>
      </c>
      <c r="G37" s="50">
        <f t="shared" si="1"/>
        <v>2400</v>
      </c>
      <c r="H37" s="22">
        <f t="shared" si="2"/>
        <v>1</v>
      </c>
      <c r="I37" s="51" t="s">
        <v>1763</v>
      </c>
    </row>
    <row r="38" ht="25.5" customHeight="1">
      <c r="A38" s="54">
        <v>35.0</v>
      </c>
      <c r="B38" s="47">
        <v>1006847.0</v>
      </c>
      <c r="C38" s="283" t="str">
        <f>vlookup(B38,'Crew data for number'!B:C,2,0)</f>
        <v>TAA3869</v>
      </c>
      <c r="D38" s="284" t="str">
        <f>vlookup(B38,'Crew Data'!C:G,5,0)</f>
        <v>Siriluk Supkongyu</v>
      </c>
      <c r="E38" s="267" t="s">
        <v>1779</v>
      </c>
      <c r="F38" s="47">
        <v>4.0</v>
      </c>
      <c r="G38" s="50">
        <f t="shared" si="1"/>
        <v>1600</v>
      </c>
      <c r="H38" s="22">
        <f t="shared" si="2"/>
        <v>1</v>
      </c>
      <c r="I38" s="51" t="s">
        <v>1763</v>
      </c>
    </row>
    <row r="39" ht="25.5" customHeight="1">
      <c r="A39" s="282">
        <v>36.0</v>
      </c>
      <c r="B39" s="47">
        <v>1012359.0</v>
      </c>
      <c r="C39" s="283" t="str">
        <f>vlookup(B39,'Crew data for number'!B:C,2,0)</f>
        <v>TAA6123</v>
      </c>
      <c r="D39" s="284" t="str">
        <f>vlookup(B39,'Crew Data'!C:G,5,0)</f>
        <v>Kotchakon Kanchanamethakul</v>
      </c>
      <c r="E39" s="267" t="s">
        <v>1791</v>
      </c>
      <c r="F39" s="47">
        <v>5.0</v>
      </c>
      <c r="G39" s="50">
        <f t="shared" si="1"/>
        <v>2000</v>
      </c>
      <c r="H39" s="22">
        <f t="shared" si="2"/>
        <v>1</v>
      </c>
      <c r="I39" s="51" t="s">
        <v>1763</v>
      </c>
    </row>
    <row r="40" ht="25.5" customHeight="1">
      <c r="A40" s="282">
        <v>37.0</v>
      </c>
      <c r="B40" s="47">
        <v>1006593.0</v>
      </c>
      <c r="C40" s="283" t="str">
        <f>vlookup(B40,'Crew data for number'!B:C,2,0)</f>
        <v>TAA4279</v>
      </c>
      <c r="D40" s="284" t="str">
        <f>vlookup(B40,'Crew Data'!C:G,5,0)</f>
        <v>Bhataranan Tanaree</v>
      </c>
      <c r="E40" s="267" t="s">
        <v>1792</v>
      </c>
      <c r="F40" s="47">
        <v>4.0</v>
      </c>
      <c r="G40" s="50">
        <f t="shared" si="1"/>
        <v>1600</v>
      </c>
      <c r="H40" s="22">
        <f t="shared" si="2"/>
        <v>1</v>
      </c>
      <c r="I40" s="51" t="s">
        <v>1763</v>
      </c>
    </row>
    <row r="41" ht="25.5" customHeight="1">
      <c r="A41" s="54">
        <v>38.0</v>
      </c>
      <c r="B41" s="47">
        <v>1012898.0</v>
      </c>
      <c r="C41" s="283" t="str">
        <f>vlookup(B41,'Crew data for number'!B:C,2,0)</f>
        <v>TAA6364</v>
      </c>
      <c r="D41" s="284" t="str">
        <f>vlookup(B41,'Crew Data'!C:G,5,0)</f>
        <v>Paranyu Sukthanakij</v>
      </c>
      <c r="E41" s="267" t="s">
        <v>1793</v>
      </c>
      <c r="F41" s="47">
        <v>8.0</v>
      </c>
      <c r="G41" s="50">
        <f t="shared" si="1"/>
        <v>3200</v>
      </c>
      <c r="H41" s="22">
        <f t="shared" si="2"/>
        <v>1</v>
      </c>
      <c r="I41" s="51" t="s">
        <v>1763</v>
      </c>
    </row>
    <row r="42" ht="25.5" customHeight="1">
      <c r="A42" s="282">
        <v>39.0</v>
      </c>
      <c r="B42" s="47">
        <v>1014683.0</v>
      </c>
      <c r="C42" s="283" t="str">
        <f>vlookup(B42,'Crew data for number'!B:C,2,0)</f>
        <v>TAA7080</v>
      </c>
      <c r="D42" s="284" t="str">
        <f>vlookup(B42,'Crew Data'!C:G,5,0)</f>
        <v>Trin Supredanuwat</v>
      </c>
      <c r="E42" s="267" t="s">
        <v>1794</v>
      </c>
      <c r="F42" s="47">
        <v>4.0</v>
      </c>
      <c r="G42" s="50">
        <f t="shared" si="1"/>
        <v>1600</v>
      </c>
      <c r="H42" s="22">
        <f t="shared" si="2"/>
        <v>1</v>
      </c>
      <c r="I42" s="51" t="s">
        <v>1763</v>
      </c>
    </row>
    <row r="43" ht="25.5" customHeight="1">
      <c r="A43" s="282">
        <v>40.0</v>
      </c>
      <c r="B43" s="47">
        <v>1011306.0</v>
      </c>
      <c r="C43" s="283" t="str">
        <f>vlookup(B43,'Crew data for number'!B:C,2,0)</f>
        <v>TAA5585</v>
      </c>
      <c r="D43" s="284" t="str">
        <f>vlookup(B43,'Crew Data'!C:G,5,0)</f>
        <v>Kanthanuch Boonlor</v>
      </c>
      <c r="E43" s="267" t="s">
        <v>1795</v>
      </c>
      <c r="F43" s="47">
        <v>26.0</v>
      </c>
      <c r="G43" s="50">
        <f t="shared" si="1"/>
        <v>10400</v>
      </c>
      <c r="H43" s="22">
        <f t="shared" si="2"/>
        <v>1</v>
      </c>
      <c r="I43" s="51" t="s">
        <v>1768</v>
      </c>
    </row>
    <row r="44" ht="25.5" customHeight="1">
      <c r="A44" s="54">
        <v>41.0</v>
      </c>
      <c r="B44" s="47">
        <v>1003425.0</v>
      </c>
      <c r="C44" s="283" t="str">
        <f>vlookup(B44,'Crew data for number'!B:C,2,0)</f>
        <v>TAA2618</v>
      </c>
      <c r="D44" s="284" t="str">
        <f>vlookup(B44,'Crew Data'!C:G,5,0)</f>
        <v>Ake Choetsobhon</v>
      </c>
      <c r="E44" s="267" t="s">
        <v>1796</v>
      </c>
      <c r="F44" s="47">
        <v>5.0</v>
      </c>
      <c r="G44" s="50">
        <f t="shared" si="1"/>
        <v>2000</v>
      </c>
      <c r="H44" s="22">
        <f t="shared" si="2"/>
        <v>1</v>
      </c>
      <c r="I44" s="51" t="s">
        <v>1768</v>
      </c>
    </row>
    <row r="45" ht="25.5" customHeight="1">
      <c r="A45" s="282">
        <v>42.0</v>
      </c>
      <c r="B45" s="47">
        <v>1019545.0</v>
      </c>
      <c r="C45" s="283" t="str">
        <f>vlookup(B45,'Crew data for number'!B:C,2,0)</f>
        <v>TAA7996</v>
      </c>
      <c r="D45" s="284" t="str">
        <f>vlookup(B45,'Crew Data'!C:G,5,0)</f>
        <v>Sorawich Kaosumang</v>
      </c>
      <c r="E45" s="267" t="s">
        <v>1797</v>
      </c>
      <c r="F45" s="47">
        <v>29.0</v>
      </c>
      <c r="G45" s="50">
        <f t="shared" si="1"/>
        <v>11600</v>
      </c>
      <c r="H45" s="22">
        <f t="shared" si="2"/>
        <v>1</v>
      </c>
      <c r="I45" s="51" t="s">
        <v>1770</v>
      </c>
    </row>
    <row r="46" ht="25.5" customHeight="1">
      <c r="A46" s="282">
        <v>43.0</v>
      </c>
      <c r="B46" s="47">
        <v>1001918.0</v>
      </c>
      <c r="C46" s="283" t="str">
        <f>vlookup(B46,'Crew data for number'!B:C,2,0)</f>
        <v>TAA1735</v>
      </c>
      <c r="D46" s="284" t="str">
        <f>vlookup(B46,'Crew Data'!C:G,5,0)</f>
        <v>Mint Jencheawcharn</v>
      </c>
      <c r="E46" s="267" t="s">
        <v>1798</v>
      </c>
      <c r="F46" s="47">
        <v>4.0</v>
      </c>
      <c r="G46" s="50">
        <f t="shared" si="1"/>
        <v>1600</v>
      </c>
      <c r="H46" s="22">
        <f t="shared" si="2"/>
        <v>1</v>
      </c>
      <c r="I46" s="51" t="s">
        <v>1768</v>
      </c>
    </row>
    <row r="47" ht="25.5" customHeight="1">
      <c r="A47" s="54">
        <v>44.0</v>
      </c>
      <c r="B47" s="47">
        <v>1003204.0</v>
      </c>
      <c r="C47" s="283" t="str">
        <f>vlookup(B47,'Crew data for number'!B:C,2,0)</f>
        <v>TAA2659</v>
      </c>
      <c r="D47" s="284" t="str">
        <f>vlookup(B47,'Crew Data'!C:G,5,0)</f>
        <v>Padiporn Phopeng</v>
      </c>
      <c r="E47" s="267" t="s">
        <v>1799</v>
      </c>
      <c r="F47" s="47">
        <v>29.0</v>
      </c>
      <c r="G47" s="50">
        <f t="shared" si="1"/>
        <v>11600</v>
      </c>
      <c r="H47" s="22">
        <f t="shared" si="2"/>
        <v>1</v>
      </c>
      <c r="I47" s="51" t="s">
        <v>1768</v>
      </c>
    </row>
    <row r="48" ht="25.5" customHeight="1">
      <c r="A48" s="282">
        <v>45.0</v>
      </c>
      <c r="B48" s="47">
        <v>1012372.0</v>
      </c>
      <c r="C48" s="283" t="str">
        <f>vlookup(B48,'Crew data for number'!B:C,2,0)</f>
        <v>TAA6138</v>
      </c>
      <c r="D48" s="284" t="str">
        <f>vlookup(B48,'Crew Data'!C:G,5,0)</f>
        <v>Vinida Ma</v>
      </c>
      <c r="E48" s="267" t="s">
        <v>1800</v>
      </c>
      <c r="F48" s="47">
        <v>4.0</v>
      </c>
      <c r="G48" s="50">
        <f t="shared" si="1"/>
        <v>1600</v>
      </c>
      <c r="H48" s="22">
        <f t="shared" si="2"/>
        <v>1</v>
      </c>
      <c r="I48" s="51" t="s">
        <v>1763</v>
      </c>
    </row>
    <row r="49" ht="25.5" customHeight="1">
      <c r="A49" s="282">
        <v>46.0</v>
      </c>
      <c r="B49" s="47">
        <v>1005945.0</v>
      </c>
      <c r="C49" s="283" t="str">
        <f>vlookup(B49,'Crew data for number'!B:C,2,0)</f>
        <v>TAA3503</v>
      </c>
      <c r="D49" s="284" t="str">
        <f>vlookup(B49,'Crew Data'!C:G,5,0)</f>
        <v>Laphatrada Saisuk</v>
      </c>
      <c r="E49" s="267" t="s">
        <v>1696</v>
      </c>
      <c r="F49" s="47">
        <v>4.0</v>
      </c>
      <c r="G49" s="50">
        <f t="shared" si="1"/>
        <v>1600</v>
      </c>
      <c r="H49" s="22">
        <f t="shared" si="2"/>
        <v>1</v>
      </c>
      <c r="I49" s="51" t="s">
        <v>1763</v>
      </c>
    </row>
    <row r="50" ht="25.5" customHeight="1">
      <c r="A50" s="54">
        <v>47.0</v>
      </c>
      <c r="B50" s="47">
        <v>1011836.0</v>
      </c>
      <c r="C50" s="283" t="str">
        <f>vlookup(B50,'Crew data for number'!B:C,2,0)</f>
        <v>TAA6092</v>
      </c>
      <c r="D50" s="284" t="str">
        <f>vlookup(B50,'Crew Data'!C:G,5,0)</f>
        <v>Sirapong Charoenwutbhawonrat</v>
      </c>
      <c r="E50" s="267" t="s">
        <v>1801</v>
      </c>
      <c r="F50" s="47">
        <v>4.0</v>
      </c>
      <c r="G50" s="50">
        <f t="shared" si="1"/>
        <v>1600</v>
      </c>
      <c r="H50" s="22">
        <f t="shared" si="2"/>
        <v>1</v>
      </c>
      <c r="I50" s="51" t="s">
        <v>1763</v>
      </c>
    </row>
    <row r="51" ht="25.5" customHeight="1">
      <c r="A51" s="282">
        <v>48.0</v>
      </c>
      <c r="B51" s="47">
        <v>1012899.0</v>
      </c>
      <c r="C51" s="283" t="str">
        <f>vlookup(B51,'Crew data for number'!B:C,2,0)</f>
        <v>TAA6369</v>
      </c>
      <c r="D51" s="284" t="str">
        <f>vlookup(B51,'Crew Data'!C:G,5,0)</f>
        <v>Pichaya Sonthigorn</v>
      </c>
      <c r="E51" s="267" t="s">
        <v>1802</v>
      </c>
      <c r="F51" s="47">
        <v>2.0</v>
      </c>
      <c r="G51" s="50">
        <f t="shared" si="1"/>
        <v>800</v>
      </c>
      <c r="H51" s="22">
        <f t="shared" si="2"/>
        <v>1</v>
      </c>
      <c r="I51" s="51" t="s">
        <v>1763</v>
      </c>
    </row>
    <row r="52" ht="25.5" customHeight="1">
      <c r="A52" s="282">
        <v>49.0</v>
      </c>
      <c r="B52" s="47">
        <v>1011812.0</v>
      </c>
      <c r="C52" s="283" t="str">
        <f>vlookup(B52,'Crew data for number'!B:C,2,0)</f>
        <v>TAA6117</v>
      </c>
      <c r="D52" s="284" t="str">
        <f>vlookup(B52,'Crew Data'!C:G,5,0)</f>
        <v>#N/A</v>
      </c>
      <c r="E52" s="267" t="s">
        <v>1803</v>
      </c>
      <c r="F52" s="47">
        <v>35.0</v>
      </c>
      <c r="G52" s="50">
        <f t="shared" si="1"/>
        <v>14000</v>
      </c>
      <c r="H52" s="22">
        <f t="shared" si="2"/>
        <v>1</v>
      </c>
      <c r="I52" s="51" t="s">
        <v>1770</v>
      </c>
    </row>
    <row r="53" ht="25.5" customHeight="1">
      <c r="A53" s="282">
        <v>50.0</v>
      </c>
      <c r="B53" s="47">
        <v>1001622.0</v>
      </c>
      <c r="C53" s="283" t="str">
        <f>vlookup(B53,'Crew data for number'!B:C,2,0)</f>
        <v>TAA1450</v>
      </c>
      <c r="D53" s="284" t="str">
        <f>vlookup(B53,'Crew Data'!C:G,5,0)</f>
        <v>Waraluck Meksikarin</v>
      </c>
      <c r="E53" s="267" t="s">
        <v>1804</v>
      </c>
      <c r="F53" s="47">
        <v>4.0</v>
      </c>
      <c r="G53" s="50">
        <f t="shared" si="1"/>
        <v>1600</v>
      </c>
      <c r="H53" s="22">
        <f t="shared" si="2"/>
        <v>1</v>
      </c>
      <c r="I53" s="51" t="s">
        <v>1763</v>
      </c>
    </row>
    <row r="54" ht="25.5" customHeight="1">
      <c r="A54" s="54">
        <v>51.0</v>
      </c>
      <c r="B54" s="47">
        <v>1000486.0</v>
      </c>
      <c r="C54" s="283" t="str">
        <f>vlookup(B54,'Crew data for number'!B:C,2,0)</f>
        <v>TAA0461</v>
      </c>
      <c r="D54" s="284" t="str">
        <f>vlookup(B54,'Crew Data'!C:G,5,0)</f>
        <v>Ratthinan Wasupornwiboon</v>
      </c>
      <c r="E54" s="267" t="s">
        <v>1805</v>
      </c>
      <c r="F54" s="47">
        <v>4.0</v>
      </c>
      <c r="G54" s="50">
        <f t="shared" si="1"/>
        <v>1600</v>
      </c>
      <c r="H54" s="22">
        <f t="shared" si="2"/>
        <v>1</v>
      </c>
      <c r="I54" s="51" t="s">
        <v>1763</v>
      </c>
    </row>
    <row r="55" ht="25.5" customHeight="1">
      <c r="A55" s="282">
        <v>52.0</v>
      </c>
      <c r="B55" s="47">
        <v>1017935.0</v>
      </c>
      <c r="C55" s="283" t="str">
        <f>vlookup(B55,'Crew data for number'!B:C,2,0)</f>
        <v>TAA7530</v>
      </c>
      <c r="D55" s="284" t="str">
        <f>vlookup(B55,'Crew Data'!C:G,5,0)</f>
        <v>Supitcha Chansiri</v>
      </c>
      <c r="E55" s="267" t="s">
        <v>1806</v>
      </c>
      <c r="F55" s="47">
        <v>9.0</v>
      </c>
      <c r="G55" s="50">
        <f t="shared" si="1"/>
        <v>3600</v>
      </c>
      <c r="H55" s="22">
        <f t="shared" si="2"/>
        <v>1</v>
      </c>
      <c r="I55" s="51" t="s">
        <v>1763</v>
      </c>
    </row>
    <row r="56" ht="25.5" customHeight="1">
      <c r="A56" s="282">
        <v>53.0</v>
      </c>
      <c r="B56" s="47">
        <v>1012365.0</v>
      </c>
      <c r="C56" s="283" t="str">
        <f>vlookup(B56,'Crew data for number'!B:C,2,0)</f>
        <v>TAA6137</v>
      </c>
      <c r="D56" s="284" t="str">
        <f>vlookup(B56,'Crew Data'!C:G,5,0)</f>
        <v>Manassaphorn Boonprasertwattana</v>
      </c>
      <c r="E56" s="267" t="s">
        <v>1807</v>
      </c>
      <c r="F56" s="47">
        <v>7.0</v>
      </c>
      <c r="G56" s="50">
        <f t="shared" si="1"/>
        <v>2800</v>
      </c>
      <c r="H56" s="22">
        <f t="shared" si="2"/>
        <v>1</v>
      </c>
      <c r="I56" s="51" t="s">
        <v>1763</v>
      </c>
    </row>
    <row r="57" ht="25.5" customHeight="1">
      <c r="A57" s="54">
        <v>54.0</v>
      </c>
      <c r="B57" s="47">
        <v>1016197.0</v>
      </c>
      <c r="C57" s="283" t="str">
        <f>vlookup(B57,'Crew data for number'!B:C,2,0)</f>
        <v>TAA7284</v>
      </c>
      <c r="D57" s="284" t="str">
        <f>vlookup(B57,'Crew Data'!C:G,5,0)</f>
        <v>Kornchanok Ruamsanit</v>
      </c>
      <c r="E57" s="267" t="s">
        <v>1792</v>
      </c>
      <c r="F57" s="47">
        <v>4.0</v>
      </c>
      <c r="G57" s="50">
        <f t="shared" si="1"/>
        <v>1600</v>
      </c>
      <c r="H57" s="22">
        <f t="shared" si="2"/>
        <v>1</v>
      </c>
      <c r="I57" s="51" t="s">
        <v>1763</v>
      </c>
    </row>
    <row r="58" ht="25.5" customHeight="1">
      <c r="A58" s="282">
        <v>55.0</v>
      </c>
      <c r="B58" s="47">
        <v>1011053.0</v>
      </c>
      <c r="C58" s="283" t="str">
        <f>vlookup(B58,'Crew data for number'!B:C,2,0)</f>
        <v>TAA5671</v>
      </c>
      <c r="D58" s="284" t="str">
        <f>vlookup(B58,'Crew Data'!C:G,5,0)</f>
        <v>Athit Sornsiriwong</v>
      </c>
      <c r="E58" s="267" t="s">
        <v>1808</v>
      </c>
      <c r="F58" s="47">
        <v>4.0</v>
      </c>
      <c r="G58" s="50">
        <f t="shared" si="1"/>
        <v>1600</v>
      </c>
      <c r="H58" s="22">
        <f t="shared" si="2"/>
        <v>1</v>
      </c>
      <c r="I58" s="51" t="s">
        <v>1763</v>
      </c>
    </row>
    <row r="59" ht="25.5" customHeight="1">
      <c r="A59" s="282">
        <v>56.0</v>
      </c>
      <c r="B59" s="47">
        <v>1001139.0</v>
      </c>
      <c r="C59" s="283" t="str">
        <f>vlookup(B59,'Crew data for number'!B:C,2,0)</f>
        <v>TAA1601</v>
      </c>
      <c r="D59" s="284" t="str">
        <f>vlookup(B59,'Crew Data'!C:G,5,0)</f>
        <v>Lalada Thiengthip</v>
      </c>
      <c r="E59" s="267" t="s">
        <v>1792</v>
      </c>
      <c r="F59" s="47">
        <v>4.0</v>
      </c>
      <c r="G59" s="50">
        <f t="shared" si="1"/>
        <v>1600</v>
      </c>
      <c r="H59" s="22">
        <f t="shared" si="2"/>
        <v>1</v>
      </c>
      <c r="I59" s="51" t="s">
        <v>1763</v>
      </c>
    </row>
    <row r="60" ht="25.5" customHeight="1">
      <c r="A60" s="282">
        <v>57.0</v>
      </c>
      <c r="B60" s="47">
        <v>1013023.0</v>
      </c>
      <c r="C60" s="283" t="str">
        <f>vlookup(B60,'Crew data for number'!B:C,2,0)</f>
        <v>TAA6499</v>
      </c>
      <c r="D60" s="284" t="str">
        <f>vlookup(B60,'Crew Data'!C:G,5,0)</f>
        <v>Pinyapat Methawatthanasin</v>
      </c>
      <c r="E60" s="267" t="s">
        <v>1808</v>
      </c>
      <c r="F60" s="47">
        <v>4.0</v>
      </c>
      <c r="G60" s="50">
        <f t="shared" si="1"/>
        <v>1600</v>
      </c>
      <c r="H60" s="22">
        <f t="shared" si="2"/>
        <v>1</v>
      </c>
      <c r="I60" s="51" t="s">
        <v>1763</v>
      </c>
    </row>
    <row r="61" ht="25.5" customHeight="1">
      <c r="A61" s="54">
        <v>58.0</v>
      </c>
      <c r="B61" s="47">
        <v>1012984.0</v>
      </c>
      <c r="C61" s="283" t="str">
        <f>vlookup(B61,'Crew data for number'!B:C,2,0)</f>
        <v>TAA6498</v>
      </c>
      <c r="D61" s="284" t="str">
        <f>vlookup(B61,'Crew Data'!C:G,5,0)</f>
        <v>Issaree Opasvimud</v>
      </c>
      <c r="E61" s="267" t="s">
        <v>1808</v>
      </c>
      <c r="F61" s="47">
        <v>4.0</v>
      </c>
      <c r="G61" s="50">
        <f t="shared" si="1"/>
        <v>1600</v>
      </c>
      <c r="H61" s="22">
        <f t="shared" si="2"/>
        <v>1</v>
      </c>
      <c r="I61" s="51" t="s">
        <v>1763</v>
      </c>
    </row>
    <row r="62" ht="25.5" customHeight="1">
      <c r="A62" s="282">
        <v>59.0</v>
      </c>
      <c r="B62" s="47">
        <v>1011730.0</v>
      </c>
      <c r="C62" s="283" t="str">
        <f>vlookup(B62,'Crew data for number'!B:C,2,0)</f>
        <v>TAA5814</v>
      </c>
      <c r="D62" s="284" t="str">
        <f>vlookup(B62,'Crew Data'!C:G,5,0)</f>
        <v>Keitiyot Chaisurisri</v>
      </c>
      <c r="E62" s="267" t="s">
        <v>1809</v>
      </c>
      <c r="F62" s="47">
        <v>4.0</v>
      </c>
      <c r="G62" s="50">
        <f t="shared" si="1"/>
        <v>1600</v>
      </c>
      <c r="H62" s="22">
        <f t="shared" si="2"/>
        <v>1</v>
      </c>
      <c r="I62" s="51" t="s">
        <v>1763</v>
      </c>
    </row>
    <row r="63" ht="25.5" customHeight="1">
      <c r="A63" s="282">
        <v>60.0</v>
      </c>
      <c r="B63" s="47">
        <v>1023584.0</v>
      </c>
      <c r="C63" s="283" t="str">
        <f>vlookup(B63,'Crew data for number'!B:C,2,0)</f>
        <v/>
      </c>
      <c r="D63" s="284" t="str">
        <f>vlookup(B63,'Crew Data'!C:G,5,0)</f>
        <v>#N/A</v>
      </c>
      <c r="E63" s="267" t="s">
        <v>1810</v>
      </c>
      <c r="F63" s="47">
        <v>3.0</v>
      </c>
      <c r="G63" s="50">
        <f t="shared" si="1"/>
        <v>1200</v>
      </c>
      <c r="H63" s="22">
        <f t="shared" si="2"/>
        <v>1</v>
      </c>
      <c r="I63" s="51" t="s">
        <v>1763</v>
      </c>
    </row>
    <row r="64" ht="25.5" customHeight="1">
      <c r="A64" s="54">
        <v>61.0</v>
      </c>
      <c r="B64" s="47">
        <v>1012360.0</v>
      </c>
      <c r="C64" s="283" t="str">
        <f>vlookup(B64,'Crew data for number'!B:C,2,0)</f>
        <v>TAA6125</v>
      </c>
      <c r="D64" s="284" t="str">
        <f>vlookup(B64,'Crew Data'!C:G,5,0)</f>
        <v>Mintra Tunta-A-Riya</v>
      </c>
      <c r="E64" s="267" t="s">
        <v>1802</v>
      </c>
      <c r="F64" s="47">
        <v>2.0</v>
      </c>
      <c r="G64" s="50">
        <f t="shared" si="1"/>
        <v>800</v>
      </c>
      <c r="H64" s="22">
        <f t="shared" si="2"/>
        <v>1</v>
      </c>
      <c r="I64" s="51" t="s">
        <v>1763</v>
      </c>
    </row>
    <row r="65" ht="25.5" customHeight="1">
      <c r="A65" s="282">
        <v>62.0</v>
      </c>
      <c r="B65" s="47">
        <v>1007157.0</v>
      </c>
      <c r="C65" s="283" t="str">
        <f>vlookup(B65,'Crew data for number'!B:C,2,0)</f>
        <v>TAA4000</v>
      </c>
      <c r="D65" s="284" t="str">
        <f>vlookup(B65,'Crew Data'!C:G,5,0)</f>
        <v>Pichanun Seneetantikul</v>
      </c>
      <c r="E65" s="267" t="s">
        <v>1811</v>
      </c>
      <c r="F65" s="47">
        <v>4.0</v>
      </c>
      <c r="G65" s="50">
        <f t="shared" si="1"/>
        <v>1600</v>
      </c>
      <c r="H65" s="22">
        <f t="shared" si="2"/>
        <v>1</v>
      </c>
      <c r="I65" s="51" t="s">
        <v>1763</v>
      </c>
    </row>
    <row r="66" ht="25.5" customHeight="1">
      <c r="A66" s="282">
        <v>63.0</v>
      </c>
      <c r="B66" s="47">
        <v>1003420.0</v>
      </c>
      <c r="C66" s="283" t="str">
        <f>vlookup(B66,'Crew data for number'!B:C,2,0)</f>
        <v>TAA2433</v>
      </c>
      <c r="D66" s="284" t="str">
        <f>vlookup(B66,'Crew Data'!C:G,5,0)</f>
        <v>Kewalin Leksuksomboon</v>
      </c>
      <c r="E66" s="267" t="s">
        <v>1800</v>
      </c>
      <c r="F66" s="47">
        <v>4.0</v>
      </c>
      <c r="G66" s="50">
        <f t="shared" si="1"/>
        <v>1600</v>
      </c>
      <c r="H66" s="22">
        <f t="shared" si="2"/>
        <v>1</v>
      </c>
      <c r="I66" s="51" t="s">
        <v>1763</v>
      </c>
    </row>
    <row r="67" ht="25.5" customHeight="1">
      <c r="A67" s="282">
        <v>64.0</v>
      </c>
      <c r="B67" s="47">
        <v>1004562.0</v>
      </c>
      <c r="C67" s="283" t="str">
        <f>vlookup(B67,'Crew data for number'!B:C,2,0)</f>
        <v>TAA2858</v>
      </c>
      <c r="D67" s="284" t="str">
        <f>vlookup(B67,'Crew Data'!C:G,5,0)</f>
        <v>#N/A</v>
      </c>
      <c r="E67" s="267" t="s">
        <v>1800</v>
      </c>
      <c r="F67" s="47">
        <v>4.0</v>
      </c>
      <c r="G67" s="50">
        <f t="shared" si="1"/>
        <v>1600</v>
      </c>
      <c r="H67" s="22">
        <f t="shared" si="2"/>
        <v>1</v>
      </c>
      <c r="I67" s="51" t="s">
        <v>1763</v>
      </c>
    </row>
    <row r="68" ht="25.5" customHeight="1">
      <c r="A68" s="282">
        <v>65.0</v>
      </c>
      <c r="B68" s="47">
        <v>1014346.0</v>
      </c>
      <c r="C68" s="283" t="str">
        <f>vlookup(B68,'Crew data for number'!B:C,2,0)</f>
        <v>TAA6860</v>
      </c>
      <c r="D68" s="284" t="str">
        <f>vlookup(B68,'Crew Data'!C:G,5,0)</f>
        <v>Narongchai Mongkolchartthai</v>
      </c>
      <c r="E68" s="267" t="s">
        <v>1812</v>
      </c>
      <c r="F68" s="47">
        <v>9.0</v>
      </c>
      <c r="G68" s="50">
        <f t="shared" si="1"/>
        <v>3600</v>
      </c>
      <c r="H68" s="22">
        <f t="shared" si="2"/>
        <v>1</v>
      </c>
      <c r="I68" s="51" t="s">
        <v>1763</v>
      </c>
    </row>
    <row r="69" ht="25.5" customHeight="1">
      <c r="A69" s="54">
        <v>66.0</v>
      </c>
      <c r="B69" s="47">
        <v>1004375.0</v>
      </c>
      <c r="C69" s="283" t="str">
        <f>vlookup(B69,'Crew data for number'!B:C,2,0)</f>
        <v>TAA2778</v>
      </c>
      <c r="D69" s="284" t="str">
        <f>vlookup(B69,'Crew Data'!C:G,5,0)</f>
        <v>Arpakorn Kultangwattana</v>
      </c>
      <c r="E69" s="267" t="s">
        <v>1800</v>
      </c>
      <c r="F69" s="47">
        <v>4.0</v>
      </c>
      <c r="G69" s="50">
        <f t="shared" si="1"/>
        <v>1600</v>
      </c>
      <c r="H69" s="22">
        <f t="shared" si="2"/>
        <v>1</v>
      </c>
      <c r="I69" s="51" t="s">
        <v>1763</v>
      </c>
    </row>
    <row r="70" ht="25.5" customHeight="1">
      <c r="A70" s="282">
        <v>67.0</v>
      </c>
      <c r="B70" s="47">
        <v>1014666.0</v>
      </c>
      <c r="C70" s="283" t="str">
        <f>vlookup(B70,'Crew data for number'!B:C,2,0)</f>
        <v>TAA7078</v>
      </c>
      <c r="D70" s="284" t="str">
        <f>vlookup(B70,'Crew Data'!C:G,5,0)</f>
        <v>Kanatsanan Wichitthararak</v>
      </c>
      <c r="E70" s="267" t="s">
        <v>1813</v>
      </c>
      <c r="F70" s="47">
        <v>4.0</v>
      </c>
      <c r="G70" s="50">
        <f t="shared" si="1"/>
        <v>1600</v>
      </c>
      <c r="H70" s="22">
        <f t="shared" si="2"/>
        <v>1</v>
      </c>
      <c r="I70" s="51" t="s">
        <v>1763</v>
      </c>
    </row>
    <row r="71" ht="25.5" customHeight="1">
      <c r="A71" s="282">
        <v>68.0</v>
      </c>
      <c r="B71" s="47">
        <v>1001301.0</v>
      </c>
      <c r="C71" s="283" t="str">
        <f>vlookup(B71,'Crew data for number'!B:C,2,0)</f>
        <v>TAA1310</v>
      </c>
      <c r="D71" s="284" t="str">
        <f>vlookup(B71,'Crew Data'!C:G,5,0)</f>
        <v>Burin Buarapha</v>
      </c>
      <c r="E71" s="267" t="s">
        <v>1669</v>
      </c>
      <c r="F71" s="47">
        <v>4.0</v>
      </c>
      <c r="G71" s="50">
        <f t="shared" si="1"/>
        <v>1600</v>
      </c>
      <c r="H71" s="22">
        <f t="shared" si="2"/>
        <v>1</v>
      </c>
      <c r="I71" s="51" t="s">
        <v>1763</v>
      </c>
    </row>
    <row r="72" ht="25.5" customHeight="1">
      <c r="A72" s="54">
        <v>69.0</v>
      </c>
      <c r="B72" s="47">
        <v>1018530.0</v>
      </c>
      <c r="C72" s="283" t="str">
        <f>vlookup(B72,'Crew data for number'!B:C,2,0)</f>
        <v>TAA7750</v>
      </c>
      <c r="D72" s="284" t="str">
        <f>vlookup(B72,'Crew Data'!C:G,5,0)</f>
        <v>Chaniporn Thanaworrapak</v>
      </c>
      <c r="E72" s="267" t="s">
        <v>1808</v>
      </c>
      <c r="F72" s="47">
        <v>4.0</v>
      </c>
      <c r="G72" s="50">
        <f t="shared" si="1"/>
        <v>1600</v>
      </c>
      <c r="H72" s="22">
        <f t="shared" si="2"/>
        <v>1</v>
      </c>
      <c r="I72" s="51" t="s">
        <v>1763</v>
      </c>
    </row>
    <row r="73" ht="25.5" customHeight="1">
      <c r="A73" s="282">
        <v>70.0</v>
      </c>
      <c r="B73" s="47">
        <v>1007002.0</v>
      </c>
      <c r="C73" s="283" t="str">
        <f>vlookup(B73,'Crew data for number'!B:C,2,0)</f>
        <v>TAA3948</v>
      </c>
      <c r="D73" s="284" t="str">
        <f>vlookup(B73,'Crew Data'!C:G,5,0)</f>
        <v>#N/A</v>
      </c>
      <c r="E73" s="267" t="s">
        <v>1814</v>
      </c>
      <c r="F73" s="47">
        <v>4.0</v>
      </c>
      <c r="G73" s="50">
        <f t="shared" si="1"/>
        <v>1600</v>
      </c>
      <c r="H73" s="22">
        <f t="shared" si="2"/>
        <v>1</v>
      </c>
      <c r="I73" s="51" t="s">
        <v>1763</v>
      </c>
    </row>
    <row r="74" ht="25.5" customHeight="1">
      <c r="A74" s="282">
        <v>71.0</v>
      </c>
      <c r="B74" s="47">
        <v>1016195.0</v>
      </c>
      <c r="C74" s="283" t="str">
        <f>vlookup(B74,'Crew data for number'!B:C,2,0)</f>
        <v>TAA7286</v>
      </c>
      <c r="D74" s="284" t="str">
        <f>vlookup(B74,'Crew Data'!C:G,5,0)</f>
        <v>Keerati Sooksai</v>
      </c>
      <c r="E74" s="267" t="s">
        <v>1809</v>
      </c>
      <c r="F74" s="47">
        <v>4.0</v>
      </c>
      <c r="G74" s="50">
        <f t="shared" si="1"/>
        <v>1600</v>
      </c>
      <c r="H74" s="22">
        <f t="shared" si="2"/>
        <v>1</v>
      </c>
      <c r="I74" s="51" t="s">
        <v>1763</v>
      </c>
    </row>
    <row r="75" ht="25.5" customHeight="1">
      <c r="A75" s="282">
        <v>72.0</v>
      </c>
      <c r="B75" s="47">
        <v>1010925.0</v>
      </c>
      <c r="C75" s="283" t="str">
        <f>vlookup(B75,'Crew data for number'!B:C,2,0)</f>
        <v>TAA5522</v>
      </c>
      <c r="D75" s="284" t="str">
        <f>vlookup(B75,'Crew Data'!C:G,5,0)</f>
        <v>Thanatdanai Kaewchusen</v>
      </c>
      <c r="E75" s="267" t="s">
        <v>1802</v>
      </c>
      <c r="F75" s="47">
        <v>2.0</v>
      </c>
      <c r="G75" s="50">
        <f t="shared" si="1"/>
        <v>800</v>
      </c>
      <c r="H75" s="22">
        <f t="shared" si="2"/>
        <v>1</v>
      </c>
      <c r="I75" s="51" t="s">
        <v>1763</v>
      </c>
    </row>
    <row r="76" ht="25.5" customHeight="1">
      <c r="A76" s="54">
        <v>73.0</v>
      </c>
      <c r="B76" s="47">
        <v>1004298.0</v>
      </c>
      <c r="C76" s="283" t="str">
        <f>vlookup(B76,'Crew data for number'!B:C,2,0)</f>
        <v>TAA2942</v>
      </c>
      <c r="D76" s="284" t="str">
        <f>vlookup(B76,'Crew Data'!C:G,5,0)</f>
        <v>Teerapat Kasemphongsakorn</v>
      </c>
      <c r="E76" s="267" t="s">
        <v>1815</v>
      </c>
      <c r="F76" s="47">
        <v>5.0</v>
      </c>
      <c r="G76" s="50">
        <f t="shared" si="1"/>
        <v>2000</v>
      </c>
      <c r="H76" s="22">
        <f t="shared" si="2"/>
        <v>1</v>
      </c>
      <c r="I76" s="51" t="s">
        <v>1763</v>
      </c>
    </row>
    <row r="77" ht="25.5" customHeight="1">
      <c r="A77" s="282">
        <v>74.0</v>
      </c>
      <c r="B77" s="47">
        <v>1003368.0</v>
      </c>
      <c r="C77" s="283" t="str">
        <f>vlookup(B77,'Crew data for number'!B:C,2,0)</f>
        <v>TAA2403</v>
      </c>
      <c r="D77" s="284" t="str">
        <f>vlookup(B77,'Crew Data'!C:G,5,0)</f>
        <v>Woradaluck Lerdthanapaijit</v>
      </c>
      <c r="E77" s="267" t="s">
        <v>1802</v>
      </c>
      <c r="F77" s="47">
        <v>2.0</v>
      </c>
      <c r="G77" s="50">
        <f t="shared" si="1"/>
        <v>800</v>
      </c>
      <c r="H77" s="22">
        <f t="shared" si="2"/>
        <v>1</v>
      </c>
      <c r="I77" s="51" t="s">
        <v>1763</v>
      </c>
    </row>
    <row r="78" ht="25.5" customHeight="1">
      <c r="A78" s="282">
        <v>75.0</v>
      </c>
      <c r="B78" s="47">
        <v>1012356.0</v>
      </c>
      <c r="C78" s="283" t="str">
        <f>vlookup(B78,'Crew data for number'!B:C,2,0)</f>
        <v>TAA6122</v>
      </c>
      <c r="D78" s="284" t="str">
        <f>vlookup(B78,'Crew Data'!C:G,5,0)</f>
        <v>#N/A</v>
      </c>
      <c r="E78" s="267" t="s">
        <v>1816</v>
      </c>
      <c r="F78" s="47">
        <v>4.0</v>
      </c>
      <c r="G78" s="50">
        <f t="shared" si="1"/>
        <v>1600</v>
      </c>
      <c r="H78" s="22">
        <f t="shared" si="2"/>
        <v>1</v>
      </c>
      <c r="I78" s="51" t="s">
        <v>1763</v>
      </c>
    </row>
    <row r="79" ht="25.5" customHeight="1">
      <c r="A79" s="54">
        <v>76.0</v>
      </c>
      <c r="B79" s="47">
        <v>1004203.0</v>
      </c>
      <c r="C79" s="283" t="str">
        <f>vlookup(B79,'Crew data for number'!B:C,2,0)</f>
        <v>TAA2675</v>
      </c>
      <c r="D79" s="284" t="str">
        <f>vlookup(B79,'Crew Data'!C:G,5,0)</f>
        <v>Pavaran Maneechai</v>
      </c>
      <c r="E79" s="267" t="s">
        <v>1813</v>
      </c>
      <c r="F79" s="47">
        <v>4.0</v>
      </c>
      <c r="G79" s="50">
        <f t="shared" si="1"/>
        <v>1600</v>
      </c>
      <c r="H79" s="22">
        <f t="shared" si="2"/>
        <v>1</v>
      </c>
      <c r="I79" s="51" t="s">
        <v>1763</v>
      </c>
    </row>
    <row r="80" ht="25.5" customHeight="1">
      <c r="A80" s="282">
        <v>77.0</v>
      </c>
      <c r="B80" s="47">
        <v>1014316.0</v>
      </c>
      <c r="C80" s="283" t="str">
        <f>vlookup(B80,'Crew data for number'!B:C,2,0)</f>
        <v>TAA6858</v>
      </c>
      <c r="D80" s="284" t="str">
        <f>vlookup(B80,'Crew Data'!C:G,5,0)</f>
        <v>Eakapol Tuncharoen</v>
      </c>
      <c r="E80" s="267" t="s">
        <v>1817</v>
      </c>
      <c r="F80" s="47">
        <v>6.0</v>
      </c>
      <c r="G80" s="50">
        <f t="shared" si="1"/>
        <v>2400</v>
      </c>
      <c r="H80" s="22">
        <f t="shared" si="2"/>
        <v>1</v>
      </c>
      <c r="I80" s="51" t="s">
        <v>1770</v>
      </c>
    </row>
    <row r="81" ht="25.5" customHeight="1">
      <c r="A81" s="282">
        <v>78.0</v>
      </c>
      <c r="B81" s="47">
        <v>1011078.0</v>
      </c>
      <c r="C81" s="283" t="str">
        <f>vlookup(B81,'Crew data for number'!B:C,2,0)</f>
        <v>TAA5673</v>
      </c>
      <c r="D81" s="284" t="str">
        <f>vlookup(B81,'Crew Data'!C:G,5,0)</f>
        <v>#N/A</v>
      </c>
      <c r="E81" s="267" t="s">
        <v>1818</v>
      </c>
      <c r="F81" s="47">
        <v>50.0</v>
      </c>
      <c r="G81" s="50">
        <f t="shared" si="1"/>
        <v>20000</v>
      </c>
      <c r="H81" s="22">
        <f t="shared" si="2"/>
        <v>1</v>
      </c>
      <c r="I81" s="51" t="s">
        <v>1770</v>
      </c>
    </row>
    <row r="82" ht="25.5" customHeight="1">
      <c r="A82" s="282">
        <v>79.0</v>
      </c>
      <c r="B82" s="47">
        <v>1018540.0</v>
      </c>
      <c r="C82" s="283" t="str">
        <f>vlookup(B82,'Crew data for number'!B:C,2,0)</f>
        <v>TAA7749</v>
      </c>
      <c r="D82" s="284" t="str">
        <f>vlookup(B82,'Crew Data'!C:G,5,0)</f>
        <v>#N/A</v>
      </c>
      <c r="E82" s="267" t="s">
        <v>1819</v>
      </c>
      <c r="F82" s="47">
        <v>4.0</v>
      </c>
      <c r="G82" s="50">
        <f t="shared" si="1"/>
        <v>1600</v>
      </c>
      <c r="H82" s="22">
        <f t="shared" si="2"/>
        <v>1</v>
      </c>
      <c r="I82" s="51" t="s">
        <v>1768</v>
      </c>
    </row>
    <row r="83" ht="25.5" customHeight="1">
      <c r="A83" s="54">
        <v>80.0</v>
      </c>
      <c r="B83" s="47">
        <v>1017930.0</v>
      </c>
      <c r="C83" s="283" t="str">
        <f>vlookup(B83,'Crew data for number'!B:C,2,0)</f>
        <v>TAA7534</v>
      </c>
      <c r="D83" s="284" t="str">
        <f>vlookup(B83,'Crew Data'!C:G,5,0)</f>
        <v>#N/A</v>
      </c>
      <c r="E83" s="268">
        <v>43556.0</v>
      </c>
      <c r="F83" s="47">
        <v>1.0</v>
      </c>
      <c r="G83" s="50">
        <f t="shared" si="1"/>
        <v>400</v>
      </c>
      <c r="H83" s="22">
        <f t="shared" si="2"/>
        <v>1</v>
      </c>
      <c r="I83" s="51" t="s">
        <v>1768</v>
      </c>
    </row>
    <row r="84" ht="25.5" customHeight="1">
      <c r="A84" s="282">
        <v>81.0</v>
      </c>
      <c r="B84" s="47">
        <v>1007556.0</v>
      </c>
      <c r="C84" s="283" t="str">
        <f>vlookup(B84,'Crew data for number'!B:C,2,0)</f>
        <v>TAA4757</v>
      </c>
      <c r="D84" s="284" t="str">
        <f>vlookup(B84,'Crew Data'!C:G,5,0)</f>
        <v>#N/A</v>
      </c>
      <c r="E84" s="267" t="s">
        <v>1820</v>
      </c>
      <c r="F84" s="47">
        <v>26.0</v>
      </c>
      <c r="G84" s="50">
        <f t="shared" si="1"/>
        <v>10400</v>
      </c>
      <c r="H84" s="22">
        <f t="shared" si="2"/>
        <v>1</v>
      </c>
      <c r="I84" s="51" t="s">
        <v>1768</v>
      </c>
    </row>
    <row r="85" ht="25.5" customHeight="1">
      <c r="A85" s="282">
        <v>82.0</v>
      </c>
      <c r="B85" s="47">
        <v>1019520.0</v>
      </c>
      <c r="C85" s="283" t="str">
        <f>vlookup(B85,'Crew data for number'!B:C,2,0)</f>
        <v>TAA8005</v>
      </c>
      <c r="D85" s="284" t="str">
        <f>vlookup(B85,'Crew Data'!C:G,5,0)</f>
        <v>#N/A</v>
      </c>
      <c r="E85" s="267" t="s">
        <v>1821</v>
      </c>
      <c r="F85" s="47">
        <v>30.0</v>
      </c>
      <c r="G85" s="50">
        <f t="shared" si="1"/>
        <v>12000</v>
      </c>
      <c r="H85" s="22">
        <f t="shared" si="2"/>
        <v>1</v>
      </c>
      <c r="I85" s="51" t="s">
        <v>1768</v>
      </c>
    </row>
    <row r="86" ht="25.5" customHeight="1">
      <c r="A86" s="54">
        <v>83.0</v>
      </c>
      <c r="B86" s="47">
        <v>1010909.0</v>
      </c>
      <c r="C86" s="283" t="str">
        <f>vlookup(B86,'Crew data for number'!B:C,2,0)</f>
        <v>TAA5518</v>
      </c>
      <c r="D86" s="284" t="str">
        <f>vlookup(B86,'Crew Data'!C:G,5,0)</f>
        <v>#N/A</v>
      </c>
      <c r="E86" s="267" t="s">
        <v>1769</v>
      </c>
      <c r="F86" s="47">
        <v>31.0</v>
      </c>
      <c r="G86" s="50">
        <f t="shared" si="1"/>
        <v>12400</v>
      </c>
      <c r="H86" s="22">
        <f t="shared" si="2"/>
        <v>1</v>
      </c>
      <c r="I86" s="51" t="s">
        <v>1770</v>
      </c>
    </row>
    <row r="87" ht="25.5" customHeight="1">
      <c r="A87" s="282">
        <v>84.0</v>
      </c>
      <c r="B87" s="47">
        <v>1014359.0</v>
      </c>
      <c r="C87" s="283" t="str">
        <f>vlookup(B87,'Crew data for number'!B:C,2,0)</f>
        <v>TAA6863</v>
      </c>
      <c r="D87" s="284" t="str">
        <f>vlookup(B87,'Crew Data'!C:G,5,0)</f>
        <v>Rattiporn Thongarch</v>
      </c>
      <c r="E87" s="267" t="s">
        <v>1822</v>
      </c>
      <c r="F87" s="47">
        <v>57.0</v>
      </c>
      <c r="G87" s="50">
        <f t="shared" si="1"/>
        <v>22800</v>
      </c>
      <c r="H87" s="22">
        <f t="shared" si="2"/>
        <v>1</v>
      </c>
      <c r="I87" s="51" t="s">
        <v>1770</v>
      </c>
    </row>
    <row r="88" ht="25.5" customHeight="1">
      <c r="A88" s="282">
        <v>85.0</v>
      </c>
      <c r="B88" s="47">
        <v>1012892.0</v>
      </c>
      <c r="C88" s="283" t="str">
        <f>vlookup(B88,'Crew data for number'!B:C,2,0)</f>
        <v>TAA6371</v>
      </c>
      <c r="D88" s="284" t="str">
        <f>vlookup(B88,'Crew Data'!C:G,5,0)</f>
        <v>Apinya Phiphatwatanarkul</v>
      </c>
      <c r="E88" s="267" t="s">
        <v>1823</v>
      </c>
      <c r="F88" s="47">
        <v>28.0</v>
      </c>
      <c r="G88" s="50">
        <f t="shared" si="1"/>
        <v>11200</v>
      </c>
      <c r="H88" s="22">
        <f t="shared" si="2"/>
        <v>1</v>
      </c>
      <c r="I88" s="51" t="s">
        <v>1768</v>
      </c>
    </row>
    <row r="89" ht="25.5" customHeight="1">
      <c r="A89" s="282">
        <v>86.0</v>
      </c>
      <c r="B89" s="47">
        <v>1005307.0</v>
      </c>
      <c r="C89" s="283" t="str">
        <f>vlookup(B89,'Crew data for number'!B:C,2,0)</f>
        <v>TAA3194</v>
      </c>
      <c r="D89" s="284" t="str">
        <f>vlookup(B89,'Crew Data'!C:G,5,0)</f>
        <v>Thanattha Machai</v>
      </c>
      <c r="E89" s="267" t="s">
        <v>1824</v>
      </c>
      <c r="F89" s="47">
        <v>4.0</v>
      </c>
      <c r="G89" s="50">
        <f t="shared" si="1"/>
        <v>1600</v>
      </c>
      <c r="H89" s="22">
        <f t="shared" si="2"/>
        <v>1</v>
      </c>
      <c r="I89" s="51" t="s">
        <v>1763</v>
      </c>
    </row>
    <row r="90" ht="25.5" customHeight="1">
      <c r="A90" s="282">
        <v>87.0</v>
      </c>
      <c r="B90" s="47">
        <v>1014064.0</v>
      </c>
      <c r="C90" s="283" t="str">
        <f>vlookup(B90,'Crew data for number'!B:C,2,0)</f>
        <v>TAA6721</v>
      </c>
      <c r="D90" s="284" t="str">
        <f>vlookup(B90,'Crew Data'!C:G,5,0)</f>
        <v>Jaraspak Plengkhum</v>
      </c>
      <c r="E90" s="267" t="s">
        <v>1825</v>
      </c>
      <c r="F90" s="47">
        <v>8.0</v>
      </c>
      <c r="G90" s="50">
        <f t="shared" si="1"/>
        <v>3200</v>
      </c>
      <c r="H90" s="22">
        <f t="shared" si="2"/>
        <v>1</v>
      </c>
      <c r="I90" s="51" t="s">
        <v>1763</v>
      </c>
    </row>
    <row r="91" ht="25.5" customHeight="1">
      <c r="A91" s="54">
        <v>88.0</v>
      </c>
      <c r="B91" s="47">
        <v>1017656.0</v>
      </c>
      <c r="C91" s="283" t="str">
        <f>vlookup(B91,'Crew data for number'!B:C,2,0)</f>
        <v>TAA7525</v>
      </c>
      <c r="D91" s="284" t="str">
        <f>vlookup(B91,'Crew Data'!C:G,5,0)</f>
        <v>#N/A</v>
      </c>
      <c r="E91" s="267" t="s">
        <v>1826</v>
      </c>
      <c r="F91" s="47">
        <v>4.0</v>
      </c>
      <c r="G91" s="50">
        <f t="shared" si="1"/>
        <v>1600</v>
      </c>
      <c r="H91" s="22">
        <f t="shared" si="2"/>
        <v>1</v>
      </c>
      <c r="I91" s="51" t="s">
        <v>1763</v>
      </c>
    </row>
    <row r="92" ht="25.5" customHeight="1">
      <c r="A92" s="282">
        <v>89.0</v>
      </c>
      <c r="B92" s="47">
        <v>1012370.0</v>
      </c>
      <c r="C92" s="283" t="str">
        <f>vlookup(B92,'Crew data for number'!B:C,2,0)</f>
        <v>TAA6124</v>
      </c>
      <c r="D92" s="284" t="str">
        <f>vlookup(B92,'Crew Data'!C:G,5,0)</f>
        <v>Thanapiphat Kasempitirat</v>
      </c>
      <c r="E92" s="267" t="s">
        <v>1826</v>
      </c>
      <c r="F92" s="47">
        <v>4.0</v>
      </c>
      <c r="G92" s="50">
        <f t="shared" si="1"/>
        <v>1600</v>
      </c>
      <c r="H92" s="22">
        <f t="shared" si="2"/>
        <v>1</v>
      </c>
      <c r="I92" s="51" t="s">
        <v>1763</v>
      </c>
    </row>
    <row r="93" ht="25.5" customHeight="1">
      <c r="A93" s="282">
        <v>90.0</v>
      </c>
      <c r="B93" s="47">
        <v>1006085.0</v>
      </c>
      <c r="C93" s="283" t="str">
        <f>vlookup(B93,'Crew data for number'!B:C,2,0)</f>
        <v>TAA3612</v>
      </c>
      <c r="D93" s="284" t="str">
        <f>vlookup(B93,'Crew Data'!C:G,5,0)</f>
        <v>Sunan Homcharoenpanith</v>
      </c>
      <c r="E93" s="267" t="s">
        <v>1826</v>
      </c>
      <c r="F93" s="47">
        <v>4.0</v>
      </c>
      <c r="G93" s="50">
        <f t="shared" si="1"/>
        <v>1600</v>
      </c>
      <c r="H93" s="22">
        <f t="shared" si="2"/>
        <v>1</v>
      </c>
      <c r="I93" s="51" t="s">
        <v>1763</v>
      </c>
    </row>
    <row r="94" ht="25.5" customHeight="1">
      <c r="A94" s="282">
        <v>91.0</v>
      </c>
      <c r="B94" s="47">
        <v>1019544.0</v>
      </c>
      <c r="C94" s="283" t="str">
        <f>vlookup(B94,'Crew data for number'!B:C,2,0)</f>
        <v>TAA7989</v>
      </c>
      <c r="D94" s="284" t="str">
        <f>vlookup(B94,'Crew Data'!C:G,5,0)</f>
        <v>#N/A</v>
      </c>
      <c r="E94" s="267" t="s">
        <v>1827</v>
      </c>
      <c r="F94" s="47">
        <v>31.0</v>
      </c>
      <c r="G94" s="50">
        <f t="shared" si="1"/>
        <v>12400</v>
      </c>
      <c r="H94" s="22">
        <f t="shared" si="2"/>
        <v>1</v>
      </c>
      <c r="I94" s="51" t="s">
        <v>1770</v>
      </c>
    </row>
    <row r="95" ht="25.5" customHeight="1">
      <c r="A95" s="282">
        <v>92.0</v>
      </c>
      <c r="B95" s="47">
        <v>1005423.0</v>
      </c>
      <c r="C95" s="283" t="str">
        <f>vlookup(B95,'Crew data for number'!B:C,2,0)</f>
        <v>TAA3261</v>
      </c>
      <c r="D95" s="284" t="str">
        <f>vlookup(B95,'Crew Data'!C:G,5,0)</f>
        <v>#N/A</v>
      </c>
      <c r="E95" s="267" t="s">
        <v>1816</v>
      </c>
      <c r="F95" s="47">
        <v>4.0</v>
      </c>
      <c r="G95" s="50">
        <f t="shared" si="1"/>
        <v>1600</v>
      </c>
      <c r="H95" s="22">
        <f t="shared" si="2"/>
        <v>1</v>
      </c>
      <c r="I95" s="51" t="s">
        <v>1763</v>
      </c>
    </row>
    <row r="96" ht="25.5" customHeight="1">
      <c r="A96" s="54">
        <v>93.0</v>
      </c>
      <c r="B96" s="47">
        <v>1004855.0</v>
      </c>
      <c r="C96" s="283" t="str">
        <f>vlookup(B96,'Crew data for number'!B:C,2,0)</f>
        <v>TAA3006</v>
      </c>
      <c r="D96" s="284" t="str">
        <f>vlookup(B96,'Crew Data'!C:G,5,0)</f>
        <v>Phornchai Thirawadee</v>
      </c>
      <c r="E96" s="267" t="s">
        <v>1828</v>
      </c>
      <c r="F96" s="47">
        <v>5.0</v>
      </c>
      <c r="G96" s="50">
        <f t="shared" si="1"/>
        <v>2000</v>
      </c>
      <c r="H96" s="22">
        <f t="shared" si="2"/>
        <v>1</v>
      </c>
      <c r="I96" s="51" t="s">
        <v>1768</v>
      </c>
    </row>
    <row r="97" ht="25.5" customHeight="1">
      <c r="A97" s="282">
        <v>94.0</v>
      </c>
      <c r="B97" s="47">
        <v>1009768.0</v>
      </c>
      <c r="C97" s="283" t="str">
        <f>vlookup(B97,'Crew data for number'!B:C,2,0)</f>
        <v>TAA5135</v>
      </c>
      <c r="D97" s="284" t="str">
        <f>vlookup(B97,'Crew Data'!C:G,5,0)</f>
        <v>Thidech Eakmongkollert</v>
      </c>
      <c r="E97" s="267" t="s">
        <v>1829</v>
      </c>
      <c r="F97" s="47">
        <v>21.0</v>
      </c>
      <c r="G97" s="50">
        <f t="shared" si="1"/>
        <v>8400</v>
      </c>
      <c r="H97" s="22">
        <f t="shared" si="2"/>
        <v>1</v>
      </c>
      <c r="I97" s="51" t="s">
        <v>1763</v>
      </c>
    </row>
    <row r="98" ht="25.5" customHeight="1">
      <c r="A98" s="282">
        <v>95.0</v>
      </c>
      <c r="B98" s="47">
        <v>1011515.0</v>
      </c>
      <c r="C98" s="283" t="str">
        <f>vlookup(B98,'Crew data for number'!B:C,2,0)</f>
        <v>TAA5738</v>
      </c>
      <c r="D98" s="284" t="str">
        <f>vlookup(B98,'Crew Data'!C:G,5,0)</f>
        <v>Sopark Phosiri</v>
      </c>
      <c r="E98" s="267" t="s">
        <v>1830</v>
      </c>
      <c r="F98" s="47">
        <v>4.0</v>
      </c>
      <c r="G98" s="50">
        <f t="shared" si="1"/>
        <v>1600</v>
      </c>
      <c r="H98" s="22">
        <f t="shared" si="2"/>
        <v>1</v>
      </c>
      <c r="I98" s="51" t="s">
        <v>1763</v>
      </c>
    </row>
    <row r="99" ht="25.5" customHeight="1">
      <c r="A99" s="282">
        <v>96.0</v>
      </c>
      <c r="B99" s="47">
        <v>1015402.0</v>
      </c>
      <c r="C99" s="283" t="str">
        <f>vlookup(B99,'Crew data for number'!B:C,2,0)</f>
        <v>TAA7052</v>
      </c>
      <c r="D99" s="284" t="str">
        <f>vlookup(B99,'Crew Data'!C:G,5,0)</f>
        <v>#N/A</v>
      </c>
      <c r="E99" s="267" t="s">
        <v>1804</v>
      </c>
      <c r="F99" s="47">
        <v>4.0</v>
      </c>
      <c r="G99" s="50">
        <f t="shared" si="1"/>
        <v>1600</v>
      </c>
      <c r="H99" s="22">
        <f t="shared" si="2"/>
        <v>1</v>
      </c>
      <c r="I99" s="51" t="s">
        <v>1763</v>
      </c>
    </row>
    <row r="100" ht="25.5" customHeight="1">
      <c r="A100" s="282">
        <v>97.0</v>
      </c>
      <c r="B100" s="47">
        <v>1013182.0</v>
      </c>
      <c r="C100" s="283" t="str">
        <f>vlookup(B100,'Crew data for number'!B:C,2,0)</f>
        <v>TAA6396</v>
      </c>
      <c r="D100" s="284" t="str">
        <f>vlookup(B100,'Crew Data'!C:G,5,0)</f>
        <v>#N/A</v>
      </c>
      <c r="E100" s="267" t="s">
        <v>1813</v>
      </c>
      <c r="F100" s="47">
        <v>4.0</v>
      </c>
      <c r="G100" s="50">
        <f t="shared" si="1"/>
        <v>1600</v>
      </c>
      <c r="H100" s="22">
        <f t="shared" si="2"/>
        <v>1</v>
      </c>
      <c r="I100" s="51" t="s">
        <v>1763</v>
      </c>
    </row>
    <row r="101" ht="25.5" customHeight="1">
      <c r="A101" s="54">
        <v>98.0</v>
      </c>
      <c r="B101" s="47">
        <v>1018533.0</v>
      </c>
      <c r="C101" s="283" t="str">
        <f>vlookup(B101,'Crew data for number'!B:C,2,0)</f>
        <v>TAA7773</v>
      </c>
      <c r="D101" s="284" t="str">
        <f>vlookup(B101,'Crew Data'!C:G,5,0)</f>
        <v>Kunjira Jirawarodom</v>
      </c>
      <c r="E101" s="267" t="s">
        <v>1821</v>
      </c>
      <c r="F101" s="47">
        <v>30.0</v>
      </c>
      <c r="G101" s="50">
        <f t="shared" si="1"/>
        <v>12000</v>
      </c>
      <c r="H101" s="22">
        <f t="shared" si="2"/>
        <v>1</v>
      </c>
      <c r="I101" s="51" t="s">
        <v>1768</v>
      </c>
    </row>
    <row r="102" ht="25.5" customHeight="1">
      <c r="A102" s="282">
        <v>99.0</v>
      </c>
      <c r="B102" s="47">
        <v>1005281.0</v>
      </c>
      <c r="C102" s="283" t="str">
        <f>vlookup(B102,'Crew data for number'!B:C,2,0)</f>
        <v>TAA3178</v>
      </c>
      <c r="D102" s="284" t="str">
        <f>vlookup(B102,'Crew Data'!C:G,5,0)</f>
        <v>#N/A</v>
      </c>
      <c r="E102" s="267" t="s">
        <v>1831</v>
      </c>
      <c r="F102" s="47">
        <v>8.0</v>
      </c>
      <c r="G102" s="50">
        <f t="shared" si="1"/>
        <v>3200</v>
      </c>
      <c r="H102" s="22">
        <f t="shared" si="2"/>
        <v>1</v>
      </c>
      <c r="I102" s="51" t="s">
        <v>1763</v>
      </c>
    </row>
    <row r="103" ht="25.5" customHeight="1">
      <c r="A103" s="282">
        <v>100.0</v>
      </c>
      <c r="B103" s="47">
        <v>1007170.0</v>
      </c>
      <c r="C103" s="283" t="str">
        <f>vlookup(B103,'Crew data for number'!B:C,2,0)</f>
        <v>TAA4014</v>
      </c>
      <c r="D103" s="284" t="str">
        <f>vlookup(B103,'Crew Data'!C:G,5,0)</f>
        <v>Supaporn Rungroch</v>
      </c>
      <c r="E103" s="267" t="s">
        <v>1804</v>
      </c>
      <c r="F103" s="47">
        <v>4.0</v>
      </c>
      <c r="G103" s="50">
        <f t="shared" si="1"/>
        <v>1600</v>
      </c>
      <c r="H103" s="22">
        <f t="shared" si="2"/>
        <v>1</v>
      </c>
      <c r="I103" s="51" t="s">
        <v>1763</v>
      </c>
    </row>
    <row r="104" ht="25.5" customHeight="1">
      <c r="A104" s="282">
        <v>101.0</v>
      </c>
      <c r="B104" s="47">
        <v>1004444.0</v>
      </c>
      <c r="C104" s="283" t="str">
        <f>vlookup(B104,'Crew data for number'!B:C,2,0)</f>
        <v>TAA2804</v>
      </c>
      <c r="D104" s="284" t="str">
        <f>vlookup(B104,'Crew Data'!C:G,5,0)</f>
        <v>Arisara Nenchatee</v>
      </c>
      <c r="E104" s="267" t="s">
        <v>1810</v>
      </c>
      <c r="F104" s="47">
        <v>3.0</v>
      </c>
      <c r="G104" s="50">
        <f t="shared" si="1"/>
        <v>1200</v>
      </c>
      <c r="H104" s="22">
        <f t="shared" si="2"/>
        <v>1</v>
      </c>
      <c r="I104" s="51" t="s">
        <v>1763</v>
      </c>
    </row>
    <row r="105" ht="25.5" customHeight="1">
      <c r="A105" s="54">
        <v>102.0</v>
      </c>
      <c r="B105" s="47">
        <v>1005953.0</v>
      </c>
      <c r="C105" s="283" t="str">
        <f>vlookup(B105,'Crew data for number'!B:C,2,0)</f>
        <v>TAA3505</v>
      </c>
      <c r="D105" s="284" t="str">
        <f>vlookup(B105,'Crew Data'!C:G,5,0)</f>
        <v>Pinchapitch Pinchachartanant</v>
      </c>
      <c r="E105" s="267" t="s">
        <v>1809</v>
      </c>
      <c r="F105" s="47">
        <v>4.0</v>
      </c>
      <c r="G105" s="50">
        <f t="shared" si="1"/>
        <v>1600</v>
      </c>
      <c r="H105" s="22">
        <f t="shared" si="2"/>
        <v>1</v>
      </c>
      <c r="I105" s="51" t="s">
        <v>1763</v>
      </c>
    </row>
    <row r="106" ht="25.5" customHeight="1">
      <c r="A106" s="282">
        <v>103.0</v>
      </c>
      <c r="B106" s="47">
        <v>1009670.0</v>
      </c>
      <c r="C106" s="283" t="str">
        <f>vlookup(B106,'Crew data for number'!B:C,2,0)</f>
        <v>TAA5158</v>
      </c>
      <c r="D106" s="284" t="str">
        <f>vlookup(B106,'Crew Data'!C:G,5,0)</f>
        <v>Sasima Rattanasumrit</v>
      </c>
      <c r="E106" s="267" t="s">
        <v>1667</v>
      </c>
      <c r="F106" s="47">
        <v>31.0</v>
      </c>
      <c r="G106" s="50">
        <f t="shared" si="1"/>
        <v>12400</v>
      </c>
      <c r="H106" s="22">
        <f t="shared" si="2"/>
        <v>1</v>
      </c>
      <c r="I106" s="51" t="s">
        <v>1763</v>
      </c>
    </row>
    <row r="107" ht="25.5" customHeight="1">
      <c r="A107" s="282">
        <v>104.0</v>
      </c>
      <c r="B107" s="47">
        <v>1017653.0</v>
      </c>
      <c r="C107" s="283" t="str">
        <f>vlookup(B107,'Crew data for number'!B:C,2,0)</f>
        <v>TAA7521</v>
      </c>
      <c r="D107" s="284" t="str">
        <f>vlookup(B107,'Crew Data'!C:G,5,0)</f>
        <v>Wachiraphon Lakbun</v>
      </c>
      <c r="E107" s="267" t="s">
        <v>1503</v>
      </c>
      <c r="F107" s="47">
        <v>4.0</v>
      </c>
      <c r="G107" s="50">
        <f t="shared" si="1"/>
        <v>1600</v>
      </c>
      <c r="H107" s="22">
        <f t="shared" si="2"/>
        <v>1</v>
      </c>
      <c r="I107" s="51" t="s">
        <v>1770</v>
      </c>
    </row>
    <row r="108" ht="25.5" customHeight="1">
      <c r="A108" s="282">
        <v>105.0</v>
      </c>
      <c r="B108" s="47">
        <v>1011314.0</v>
      </c>
      <c r="C108" s="283" t="str">
        <f>vlookup(B108,'Crew data for number'!B:C,2,0)</f>
        <v>TAA5583</v>
      </c>
      <c r="D108" s="284" t="str">
        <f>vlookup(B108,'Crew Data'!C:G,5,0)</f>
        <v>Pichayapich Nimphya</v>
      </c>
      <c r="E108" s="267" t="s">
        <v>1749</v>
      </c>
      <c r="F108" s="47">
        <v>4.0</v>
      </c>
      <c r="G108" s="50">
        <f t="shared" si="1"/>
        <v>1600</v>
      </c>
      <c r="H108" s="22">
        <f t="shared" si="2"/>
        <v>1</v>
      </c>
      <c r="I108" s="51" t="s">
        <v>1763</v>
      </c>
    </row>
    <row r="109" ht="25.5" customHeight="1">
      <c r="A109" s="282">
        <v>106.0</v>
      </c>
      <c r="B109" s="47">
        <v>1004851.0</v>
      </c>
      <c r="C109" s="283" t="str">
        <f>vlookup(B109,'Crew data for number'!B:C,2,0)</f>
        <v>TAA3005</v>
      </c>
      <c r="D109" s="284" t="str">
        <f>vlookup(B109,'Crew Data'!C:G,5,0)</f>
        <v>#N/A</v>
      </c>
      <c r="E109" s="267" t="s">
        <v>1832</v>
      </c>
      <c r="F109" s="47">
        <v>8.0</v>
      </c>
      <c r="G109" s="50">
        <f t="shared" si="1"/>
        <v>3200</v>
      </c>
      <c r="H109" s="22">
        <f t="shared" si="2"/>
        <v>1</v>
      </c>
      <c r="I109" s="51" t="s">
        <v>1763</v>
      </c>
    </row>
    <row r="110" ht="25.5" customHeight="1">
      <c r="A110" s="54">
        <v>107.0</v>
      </c>
      <c r="B110" s="47">
        <v>1004040.0</v>
      </c>
      <c r="C110" s="283" t="str">
        <f>vlookup(B110,'Crew data for number'!B:C,2,0)</f>
        <v>TAA2584</v>
      </c>
      <c r="D110" s="284" t="str">
        <f>vlookup(B110,'Crew Data'!C:G,5,0)</f>
        <v>#N/A</v>
      </c>
      <c r="E110" s="267" t="s">
        <v>1833</v>
      </c>
      <c r="F110" s="47">
        <v>5.0</v>
      </c>
      <c r="G110" s="50">
        <f t="shared" si="1"/>
        <v>2000</v>
      </c>
      <c r="H110" s="22">
        <f t="shared" si="2"/>
        <v>1</v>
      </c>
      <c r="I110" s="51" t="s">
        <v>1763</v>
      </c>
    </row>
    <row r="111" ht="25.5" customHeight="1">
      <c r="A111" s="282">
        <v>108.0</v>
      </c>
      <c r="B111" s="47">
        <v>1007207.0</v>
      </c>
      <c r="C111" s="283" t="str">
        <f>vlookup(B111,'Crew data for number'!B:C,2,0)</f>
        <v>TAA4044</v>
      </c>
      <c r="D111" s="284" t="str">
        <f>vlookup(B111,'Crew Data'!C:G,5,0)</f>
        <v>Sasiwan Nakate</v>
      </c>
      <c r="E111" s="267" t="s">
        <v>1834</v>
      </c>
      <c r="F111" s="47">
        <v>28.0</v>
      </c>
      <c r="G111" s="50">
        <f t="shared" si="1"/>
        <v>11200</v>
      </c>
      <c r="H111" s="22">
        <f t="shared" si="2"/>
        <v>1</v>
      </c>
      <c r="I111" s="51" t="s">
        <v>1763</v>
      </c>
    </row>
    <row r="112" ht="25.5" customHeight="1">
      <c r="A112" s="282">
        <v>109.0</v>
      </c>
      <c r="B112" s="47">
        <v>1012158.0</v>
      </c>
      <c r="C112" s="283" t="str">
        <f>vlookup(B112,'Crew data for number'!B:C,2,0)</f>
        <v>TAA5986</v>
      </c>
      <c r="D112" s="284" t="str">
        <f>vlookup(B112,'Crew Data'!C:G,5,0)</f>
        <v>Itthipong Khanthonglor</v>
      </c>
      <c r="E112" s="267" t="s">
        <v>1667</v>
      </c>
      <c r="F112" s="47">
        <v>31.0</v>
      </c>
      <c r="G112" s="50">
        <f t="shared" si="1"/>
        <v>12400</v>
      </c>
      <c r="H112" s="22">
        <f t="shared" si="2"/>
        <v>1</v>
      </c>
      <c r="I112" s="51" t="s">
        <v>1763</v>
      </c>
    </row>
    <row r="113" ht="25.5" customHeight="1">
      <c r="A113" s="282">
        <v>110.0</v>
      </c>
      <c r="B113" s="47">
        <v>1007016.0</v>
      </c>
      <c r="C113" s="283" t="str">
        <f>vlookup(B113,'Crew data for number'!B:C,2,0)</f>
        <v>TAA3956</v>
      </c>
      <c r="D113" s="284" t="str">
        <f>vlookup(B113,'Crew Data'!C:G,5,0)</f>
        <v>Sathita Pongsomran</v>
      </c>
      <c r="E113" s="267" t="s">
        <v>1679</v>
      </c>
      <c r="F113" s="47">
        <v>30.0</v>
      </c>
      <c r="G113" s="50">
        <f t="shared" si="1"/>
        <v>12000</v>
      </c>
      <c r="H113" s="22">
        <f t="shared" si="2"/>
        <v>1</v>
      </c>
      <c r="I113" s="51" t="s">
        <v>1763</v>
      </c>
    </row>
    <row r="114" ht="25.5" customHeight="1">
      <c r="A114" s="282">
        <v>111.0</v>
      </c>
      <c r="B114" s="47">
        <v>1012989.0</v>
      </c>
      <c r="C114" s="283" t="str">
        <f>vlookup(B114,'Crew data for number'!B:C,2,0)</f>
        <v>TAA6502</v>
      </c>
      <c r="D114" s="284" t="str">
        <f>vlookup(B114,'Crew Data'!C:G,5,0)</f>
        <v>Kitibodee Harnkunthamart</v>
      </c>
      <c r="E114" s="267" t="s">
        <v>1835</v>
      </c>
      <c r="F114" s="47">
        <v>30.0</v>
      </c>
      <c r="G114" s="50">
        <f t="shared" si="1"/>
        <v>12000</v>
      </c>
      <c r="H114" s="22">
        <f t="shared" si="2"/>
        <v>1</v>
      </c>
      <c r="I114" s="51" t="s">
        <v>1763</v>
      </c>
    </row>
    <row r="115" ht="25.5" customHeight="1">
      <c r="A115" s="54">
        <v>112.0</v>
      </c>
      <c r="B115" s="47">
        <v>1006313.0</v>
      </c>
      <c r="C115" s="283" t="str">
        <f>vlookup(B115,'Crew data for number'!B:C,2,0)</f>
        <v>TAA3678</v>
      </c>
      <c r="D115" s="284" t="str">
        <f>vlookup(B115,'Crew Data'!C:G,5,0)</f>
        <v>Kanyarat Palasak</v>
      </c>
      <c r="E115" s="267" t="s">
        <v>1836</v>
      </c>
      <c r="F115" s="47">
        <v>30.0</v>
      </c>
      <c r="G115" s="50">
        <f t="shared" si="1"/>
        <v>12000</v>
      </c>
      <c r="H115" s="22">
        <f t="shared" si="2"/>
        <v>1</v>
      </c>
      <c r="I115" s="51" t="s">
        <v>1763</v>
      </c>
    </row>
    <row r="116" ht="25.5" customHeight="1">
      <c r="A116" s="282">
        <v>113.0</v>
      </c>
      <c r="B116" s="47">
        <v>1005326.0</v>
      </c>
      <c r="C116" s="283" t="str">
        <f>vlookup(B116,'Crew data for number'!B:C,2,0)</f>
        <v>TAA3479</v>
      </c>
      <c r="D116" s="284" t="str">
        <f>vlookup(B116,'Crew Data'!C:G,5,0)</f>
        <v>Pakornpoj Lertsmitivant</v>
      </c>
      <c r="E116" s="267" t="s">
        <v>1805</v>
      </c>
      <c r="F116" s="47">
        <v>4.0</v>
      </c>
      <c r="G116" s="50">
        <f t="shared" si="1"/>
        <v>1600</v>
      </c>
      <c r="H116" s="22">
        <f t="shared" si="2"/>
        <v>1</v>
      </c>
      <c r="I116" s="51" t="s">
        <v>1763</v>
      </c>
    </row>
    <row r="117" ht="25.5" customHeight="1">
      <c r="A117" s="282">
        <v>114.0</v>
      </c>
      <c r="B117" s="47">
        <v>1007159.0</v>
      </c>
      <c r="C117" s="283" t="str">
        <f>vlookup(B117,'Crew data for number'!B:C,2,0)</f>
        <v>TAA4024</v>
      </c>
      <c r="D117" s="284" t="str">
        <f>vlookup(B117,'Crew Data'!C:G,5,0)</f>
        <v>Piyawadee Sitdhilaw</v>
      </c>
      <c r="E117" s="267" t="s">
        <v>1667</v>
      </c>
      <c r="F117" s="47">
        <v>31.0</v>
      </c>
      <c r="G117" s="50">
        <f t="shared" si="1"/>
        <v>12400</v>
      </c>
      <c r="H117" s="22">
        <f t="shared" si="2"/>
        <v>1</v>
      </c>
      <c r="I117" s="51" t="s">
        <v>1763</v>
      </c>
    </row>
    <row r="118" ht="25.5" customHeight="1">
      <c r="A118" s="282">
        <v>115.0</v>
      </c>
      <c r="B118" s="47">
        <v>1010932.0</v>
      </c>
      <c r="C118" s="283" t="str">
        <f>vlookup(B118,'Crew data for number'!B:C,2,0)</f>
        <v>TAA5511</v>
      </c>
      <c r="D118" s="284" t="str">
        <f>vlookup(B118,'Crew Data'!C:G,5,0)</f>
        <v>Wanunyapat Wongvichien</v>
      </c>
      <c r="E118" s="267" t="s">
        <v>1749</v>
      </c>
      <c r="F118" s="47">
        <v>4.0</v>
      </c>
      <c r="G118" s="50">
        <f t="shared" si="1"/>
        <v>1600</v>
      </c>
      <c r="H118" s="22">
        <f t="shared" si="2"/>
        <v>1</v>
      </c>
      <c r="I118" s="51" t="s">
        <v>1763</v>
      </c>
    </row>
    <row r="119" ht="25.5" customHeight="1">
      <c r="A119" s="282">
        <v>116.0</v>
      </c>
      <c r="B119" s="47">
        <v>1010700.0</v>
      </c>
      <c r="C119" s="283" t="str">
        <f>vlookup(B119,'Crew data for number'!B:C,2,0)</f>
        <v>TAA5546</v>
      </c>
      <c r="D119" s="284" t="str">
        <f>vlookup(B119,'Crew Data'!C:G,5,0)</f>
        <v>Buntika Wongkham</v>
      </c>
      <c r="E119" s="267" t="s">
        <v>1835</v>
      </c>
      <c r="F119" s="47">
        <v>30.0</v>
      </c>
      <c r="G119" s="50">
        <f t="shared" si="1"/>
        <v>12000</v>
      </c>
      <c r="H119" s="22">
        <f t="shared" si="2"/>
        <v>1</v>
      </c>
      <c r="I119" s="51" t="s">
        <v>1763</v>
      </c>
    </row>
    <row r="120" ht="25.5" customHeight="1">
      <c r="A120" s="54">
        <v>117.0</v>
      </c>
      <c r="B120" s="47">
        <v>1004034.0</v>
      </c>
      <c r="C120" s="283" t="str">
        <f>vlookup(B120,'Crew data for number'!B:C,2,0)</f>
        <v>TAA2566</v>
      </c>
      <c r="D120" s="284" t="str">
        <f>vlookup(B120,'Crew Data'!C:G,5,0)</f>
        <v>Monthon Siribunnakul</v>
      </c>
      <c r="E120" s="267" t="s">
        <v>1837</v>
      </c>
      <c r="F120" s="47">
        <v>4.0</v>
      </c>
      <c r="G120" s="50">
        <f t="shared" si="1"/>
        <v>1600</v>
      </c>
      <c r="H120" s="22">
        <f t="shared" si="2"/>
        <v>1</v>
      </c>
      <c r="I120" s="51" t="s">
        <v>1763</v>
      </c>
    </row>
    <row r="121" ht="25.5" customHeight="1">
      <c r="A121" s="282">
        <v>118.0</v>
      </c>
      <c r="B121" s="47">
        <v>1016214.0</v>
      </c>
      <c r="C121" s="283" t="str">
        <f>vlookup(B121,'Crew data for number'!B:C,2,0)</f>
        <v>TAA7288</v>
      </c>
      <c r="D121" s="284" t="str">
        <f>vlookup(B121,'Crew Data'!C:G,5,0)</f>
        <v>Passakorn Porncharoon</v>
      </c>
      <c r="E121" s="267" t="s">
        <v>1838</v>
      </c>
      <c r="F121" s="47">
        <v>28.0</v>
      </c>
      <c r="G121" s="50">
        <f t="shared" si="1"/>
        <v>11200</v>
      </c>
      <c r="H121" s="22">
        <f t="shared" si="2"/>
        <v>1</v>
      </c>
      <c r="I121" s="51" t="s">
        <v>1763</v>
      </c>
    </row>
    <row r="122" ht="25.5" customHeight="1">
      <c r="A122" s="282">
        <v>119.0</v>
      </c>
      <c r="B122" s="47">
        <v>1007275.0</v>
      </c>
      <c r="C122" s="283" t="str">
        <f>vlookup(B122,'Crew data for number'!B:C,2,0)</f>
        <v>TAA4101</v>
      </c>
      <c r="D122" s="284" t="str">
        <f>vlookup(B122,'Crew Data'!C:G,5,0)</f>
        <v>Teeraporn Sutthumvilai</v>
      </c>
      <c r="E122" s="267" t="s">
        <v>1839</v>
      </c>
      <c r="F122" s="47">
        <v>24.0</v>
      </c>
      <c r="G122" s="50">
        <f t="shared" si="1"/>
        <v>9600</v>
      </c>
      <c r="H122" s="22">
        <f t="shared" si="2"/>
        <v>1</v>
      </c>
      <c r="I122" s="51" t="s">
        <v>1763</v>
      </c>
    </row>
    <row r="123" ht="25.5" customHeight="1">
      <c r="A123" s="282">
        <v>120.0</v>
      </c>
      <c r="B123" s="47">
        <v>1005278.0</v>
      </c>
      <c r="C123" s="283" t="str">
        <f>vlookup(B123,'Crew data for number'!B:C,2,0)</f>
        <v>TAA3189</v>
      </c>
      <c r="D123" s="284" t="str">
        <f>vlookup(B123,'Crew Data'!C:G,5,0)</f>
        <v>Benjama Keyata</v>
      </c>
      <c r="E123" s="267" t="s">
        <v>1840</v>
      </c>
      <c r="F123" s="47">
        <v>28.0</v>
      </c>
      <c r="G123" s="50">
        <f t="shared" si="1"/>
        <v>11200</v>
      </c>
      <c r="H123" s="22">
        <f t="shared" si="2"/>
        <v>1</v>
      </c>
      <c r="I123" s="51" t="s">
        <v>1763</v>
      </c>
    </row>
    <row r="124" ht="25.5" customHeight="1">
      <c r="A124" s="282">
        <v>121.0</v>
      </c>
      <c r="B124" s="47">
        <v>1007424.0</v>
      </c>
      <c r="C124" s="283" t="str">
        <f>vlookup(B124,'Crew data for number'!B:C,2,0)</f>
        <v>TAA4074</v>
      </c>
      <c r="D124" s="284" t="str">
        <f>vlookup(B124,'Crew Data'!C:G,5,0)</f>
        <v>#N/A</v>
      </c>
      <c r="E124" s="267" t="s">
        <v>1841</v>
      </c>
      <c r="F124" s="47">
        <v>30.0</v>
      </c>
      <c r="G124" s="50">
        <f t="shared" si="1"/>
        <v>12000</v>
      </c>
      <c r="H124" s="22">
        <f t="shared" si="2"/>
        <v>1</v>
      </c>
      <c r="I124" s="51" t="s">
        <v>1763</v>
      </c>
    </row>
    <row r="125" ht="25.5" customHeight="1">
      <c r="A125" s="54">
        <v>122.0</v>
      </c>
      <c r="B125" s="47">
        <v>1009799.0</v>
      </c>
      <c r="C125" s="283" t="str">
        <f>vlookup(B125,'Crew data for number'!B:C,2,0)</f>
        <v>TAA5131</v>
      </c>
      <c r="D125" s="284" t="str">
        <f>vlookup(B125,'Crew Data'!C:G,5,0)</f>
        <v>Kittirat Aujsri</v>
      </c>
      <c r="E125" s="267" t="s">
        <v>1667</v>
      </c>
      <c r="F125" s="47">
        <v>31.0</v>
      </c>
      <c r="G125" s="50">
        <f t="shared" si="1"/>
        <v>12400</v>
      </c>
      <c r="H125" s="22">
        <f t="shared" si="2"/>
        <v>1</v>
      </c>
      <c r="I125" s="51" t="s">
        <v>1763</v>
      </c>
    </row>
    <row r="126" ht="25.5" customHeight="1">
      <c r="A126" s="282">
        <v>123.0</v>
      </c>
      <c r="B126" s="47">
        <v>1012173.0</v>
      </c>
      <c r="C126" s="283" t="str">
        <f>vlookup(B126,'Crew data for number'!B:C,2,0)</f>
        <v>TAA5989</v>
      </c>
      <c r="D126" s="284" t="str">
        <f>vlookup(B126,'Crew Data'!C:G,5,0)</f>
        <v>#N/A</v>
      </c>
      <c r="E126" s="267" t="s">
        <v>1842</v>
      </c>
      <c r="F126" s="47">
        <v>28.0</v>
      </c>
      <c r="G126" s="50">
        <f t="shared" si="1"/>
        <v>11200</v>
      </c>
      <c r="H126" s="22">
        <f t="shared" si="2"/>
        <v>1</v>
      </c>
      <c r="I126" s="51" t="s">
        <v>1763</v>
      </c>
    </row>
    <row r="127" ht="25.5" customHeight="1">
      <c r="A127" s="282">
        <v>124.0</v>
      </c>
      <c r="B127" s="47">
        <v>1005765.0</v>
      </c>
      <c r="C127" s="283" t="str">
        <f>vlookup(B127,'Crew data for number'!B:C,2,0)</f>
        <v>TAA3392</v>
      </c>
      <c r="D127" s="284" t="str">
        <f>vlookup(B127,'Crew Data'!C:G,5,0)</f>
        <v>Rapeepan Ariyakul</v>
      </c>
      <c r="E127" s="267" t="s">
        <v>1843</v>
      </c>
      <c r="F127" s="47">
        <v>29.0</v>
      </c>
      <c r="G127" s="50">
        <f t="shared" si="1"/>
        <v>11600</v>
      </c>
      <c r="H127" s="22">
        <f t="shared" si="2"/>
        <v>1</v>
      </c>
      <c r="I127" s="51" t="s">
        <v>1763</v>
      </c>
    </row>
    <row r="128" ht="25.5" customHeight="1">
      <c r="A128" s="282">
        <v>125.0</v>
      </c>
      <c r="B128" s="47">
        <v>1002370.0</v>
      </c>
      <c r="C128" s="283" t="str">
        <f>vlookup(B128,'Crew data for number'!B:C,2,0)</f>
        <v>TAA1963</v>
      </c>
      <c r="D128" s="284" t="str">
        <f>vlookup(B128,'Crew Data'!C:G,5,0)</f>
        <v>Napaphat Yuktanan</v>
      </c>
      <c r="E128" s="267" t="s">
        <v>1679</v>
      </c>
      <c r="F128" s="47">
        <v>30.0</v>
      </c>
      <c r="G128" s="50">
        <f t="shared" si="1"/>
        <v>12000</v>
      </c>
      <c r="H128" s="22">
        <f t="shared" si="2"/>
        <v>1</v>
      </c>
      <c r="I128" s="51" t="s">
        <v>1763</v>
      </c>
    </row>
    <row r="129" ht="25.5" customHeight="1">
      <c r="A129" s="282">
        <v>126.0</v>
      </c>
      <c r="B129" s="47">
        <v>1005956.0</v>
      </c>
      <c r="C129" s="283" t="str">
        <f>vlookup(B129,'Crew data for number'!B:C,2,0)</f>
        <v>TAA3498</v>
      </c>
      <c r="D129" s="284" t="str">
        <f>vlookup(B129,'Crew Data'!C:G,5,0)</f>
        <v>Pipat Penpaiboon</v>
      </c>
      <c r="E129" s="267" t="s">
        <v>1816</v>
      </c>
      <c r="F129" s="47">
        <v>4.0</v>
      </c>
      <c r="G129" s="50">
        <f t="shared" si="1"/>
        <v>1600</v>
      </c>
      <c r="H129" s="22">
        <f t="shared" si="2"/>
        <v>1</v>
      </c>
      <c r="I129" s="51" t="s">
        <v>1763</v>
      </c>
    </row>
    <row r="130" ht="25.5" customHeight="1">
      <c r="A130" s="54">
        <v>127.0</v>
      </c>
      <c r="B130" s="47">
        <v>1009764.0</v>
      </c>
      <c r="C130" s="283" t="str">
        <f>vlookup(B130,'Crew data for number'!B:C,2,0)</f>
        <v>TAA5136</v>
      </c>
      <c r="D130" s="284" t="str">
        <f>vlookup(B130,'Crew Data'!C:G,5,0)</f>
        <v>Sittichai Kaewsuriyan</v>
      </c>
      <c r="E130" s="267" t="s">
        <v>1844</v>
      </c>
      <c r="F130" s="47">
        <v>8.0</v>
      </c>
      <c r="G130" s="50">
        <f t="shared" si="1"/>
        <v>3200</v>
      </c>
      <c r="H130" s="22">
        <f t="shared" si="2"/>
        <v>1</v>
      </c>
      <c r="I130" s="51" t="s">
        <v>1763</v>
      </c>
    </row>
    <row r="131" ht="25.5" customHeight="1">
      <c r="A131" s="282">
        <v>128.0</v>
      </c>
      <c r="B131" s="47">
        <v>1007004.0</v>
      </c>
      <c r="C131" s="283" t="str">
        <f>vlookup(B131,'Crew data for number'!B:C,2,0)</f>
        <v>TAA3947</v>
      </c>
      <c r="D131" s="284" t="str">
        <f>vlookup(B131,'Crew Data'!C:G,5,0)</f>
        <v>Thanawat Srisuwan</v>
      </c>
      <c r="E131" s="267" t="s">
        <v>1845</v>
      </c>
      <c r="F131" s="47">
        <v>4.0</v>
      </c>
      <c r="G131" s="50">
        <f t="shared" si="1"/>
        <v>1600</v>
      </c>
      <c r="H131" s="22">
        <f t="shared" si="2"/>
        <v>1</v>
      </c>
      <c r="I131" s="51" t="s">
        <v>1763</v>
      </c>
    </row>
    <row r="132" ht="25.5" customHeight="1">
      <c r="A132" s="282">
        <v>129.0</v>
      </c>
      <c r="B132" s="47">
        <v>1006352.0</v>
      </c>
      <c r="C132" s="283" t="str">
        <f>vlookup(B132,'Crew data for number'!B:C,2,0)</f>
        <v>TAA3677</v>
      </c>
      <c r="D132" s="284" t="str">
        <f>vlookup(B132,'Crew Data'!C:G,5,0)</f>
        <v>Sirinthip Singhadecha</v>
      </c>
      <c r="E132" s="267" t="s">
        <v>1846</v>
      </c>
      <c r="F132" s="47">
        <v>28.0</v>
      </c>
      <c r="G132" s="50">
        <f t="shared" si="1"/>
        <v>11200</v>
      </c>
      <c r="H132" s="22">
        <f t="shared" si="2"/>
        <v>1</v>
      </c>
      <c r="I132" s="51" t="s">
        <v>1763</v>
      </c>
    </row>
    <row r="133" ht="25.5" customHeight="1">
      <c r="A133" s="54">
        <v>130.0</v>
      </c>
      <c r="B133" s="47">
        <v>1008989.0</v>
      </c>
      <c r="C133" s="283" t="str">
        <f>vlookup(B133,'Crew data for number'!B:C,2,0)</f>
        <v>TAA4749</v>
      </c>
      <c r="D133" s="284" t="str">
        <f>vlookup(B133,'Crew Data'!C:G,5,0)</f>
        <v>Pornpimon Booranawattanakul</v>
      </c>
      <c r="E133" s="267" t="s">
        <v>1847</v>
      </c>
      <c r="F133" s="47">
        <v>4.0</v>
      </c>
      <c r="G133" s="50">
        <f t="shared" si="1"/>
        <v>1600</v>
      </c>
      <c r="H133" s="22">
        <f t="shared" si="2"/>
        <v>1</v>
      </c>
      <c r="I133" s="51" t="s">
        <v>1763</v>
      </c>
    </row>
    <row r="134" ht="25.5" customHeight="1">
      <c r="A134" s="282">
        <v>131.0</v>
      </c>
      <c r="B134" s="47">
        <v>1019403.0</v>
      </c>
      <c r="C134" s="283" t="str">
        <f>vlookup(B134,'Crew data for number'!B:C,2,0)</f>
        <v>TAA7927</v>
      </c>
      <c r="D134" s="284" t="str">
        <f>vlookup(B134,'Crew Data'!C:G,5,0)</f>
        <v>#N/A</v>
      </c>
      <c r="E134" s="267" t="s">
        <v>1810</v>
      </c>
      <c r="F134" s="47">
        <v>3.0</v>
      </c>
      <c r="G134" s="50">
        <f t="shared" si="1"/>
        <v>1200</v>
      </c>
      <c r="H134" s="22">
        <f t="shared" si="2"/>
        <v>1</v>
      </c>
      <c r="I134" s="51" t="s">
        <v>1763</v>
      </c>
    </row>
    <row r="135" ht="25.5" customHeight="1">
      <c r="A135" s="282">
        <v>132.0</v>
      </c>
      <c r="B135" s="47">
        <v>1001036.0</v>
      </c>
      <c r="C135" s="283" t="str">
        <f>vlookup(B135,'Crew data for number'!B:C,2,0)</f>
        <v>TAA1073</v>
      </c>
      <c r="D135" s="284" t="str">
        <f>vlookup(B135,'Crew Data'!C:G,5,0)</f>
        <v>#N/A</v>
      </c>
      <c r="E135" s="267" t="s">
        <v>1848</v>
      </c>
      <c r="F135" s="47">
        <v>29.0</v>
      </c>
      <c r="G135" s="50">
        <f t="shared" si="1"/>
        <v>11600</v>
      </c>
      <c r="H135" s="22">
        <f t="shared" si="2"/>
        <v>1</v>
      </c>
      <c r="I135" s="51" t="s">
        <v>1763</v>
      </c>
    </row>
    <row r="136" ht="25.5" customHeight="1">
      <c r="A136" s="54">
        <v>133.0</v>
      </c>
      <c r="B136" s="47">
        <v>1022697.0</v>
      </c>
      <c r="C136" s="283" t="str">
        <f>vlookup(B136,'Crew data for number'!B:C,2,0)</f>
        <v/>
      </c>
      <c r="D136" s="284" t="str">
        <f>vlookup(B136,'Crew Data'!C:G,5,0)</f>
        <v>#N/A</v>
      </c>
      <c r="E136" s="267" t="s">
        <v>1667</v>
      </c>
      <c r="F136" s="47">
        <v>31.0</v>
      </c>
      <c r="G136" s="50">
        <f t="shared" si="1"/>
        <v>12400</v>
      </c>
      <c r="H136" s="22">
        <f t="shared" si="2"/>
        <v>1</v>
      </c>
      <c r="I136" s="51" t="s">
        <v>1763</v>
      </c>
    </row>
    <row r="137" ht="25.5" customHeight="1">
      <c r="A137" s="282">
        <v>134.0</v>
      </c>
      <c r="B137" s="47">
        <v>1004583.0</v>
      </c>
      <c r="C137" s="283" t="str">
        <f>vlookup(B137,'Crew data for number'!B:C,2,0)</f>
        <v>TAA2860</v>
      </c>
      <c r="D137" s="284" t="str">
        <f>vlookup(B137,'Crew Data'!C:G,5,0)</f>
        <v>Suphanun Yotpunya</v>
      </c>
      <c r="E137" s="267" t="s">
        <v>1849</v>
      </c>
      <c r="F137" s="47">
        <v>28.0</v>
      </c>
      <c r="G137" s="50">
        <f t="shared" si="1"/>
        <v>11200</v>
      </c>
      <c r="H137" s="22">
        <f t="shared" si="2"/>
        <v>1</v>
      </c>
      <c r="I137" s="51" t="s">
        <v>1763</v>
      </c>
    </row>
    <row r="138" ht="25.5" customHeight="1">
      <c r="A138" s="282">
        <v>135.0</v>
      </c>
      <c r="B138" s="47">
        <v>1006363.0</v>
      </c>
      <c r="C138" s="283" t="str">
        <f>vlookup(B138,'Crew data for number'!B:C,2,0)</f>
        <v>TAA3684</v>
      </c>
      <c r="D138" s="284" t="str">
        <f>vlookup(B138,'Crew Data'!C:G,5,0)</f>
        <v>#N/A</v>
      </c>
      <c r="E138" s="267" t="s">
        <v>1667</v>
      </c>
      <c r="F138" s="47">
        <v>31.0</v>
      </c>
      <c r="G138" s="50">
        <f t="shared" si="1"/>
        <v>12400</v>
      </c>
      <c r="H138" s="22">
        <f t="shared" si="2"/>
        <v>1</v>
      </c>
      <c r="I138" s="51" t="s">
        <v>1763</v>
      </c>
    </row>
    <row r="139" ht="25.5" customHeight="1">
      <c r="A139" s="54">
        <v>136.0</v>
      </c>
      <c r="B139" s="47">
        <v>1015091.0</v>
      </c>
      <c r="C139" s="283" t="str">
        <f>vlookup(B139,'Crew data for number'!B:C,2,0)</f>
        <v>TAA7016</v>
      </c>
      <c r="D139" s="284" t="str">
        <f>vlookup(B139,'Crew Data'!C:G,5,0)</f>
        <v>Nutpattra Kokanutaporn </v>
      </c>
      <c r="E139" s="267" t="s">
        <v>1667</v>
      </c>
      <c r="F139" s="47">
        <v>31.0</v>
      </c>
      <c r="G139" s="50">
        <f t="shared" si="1"/>
        <v>12400</v>
      </c>
      <c r="H139" s="22">
        <f t="shared" si="2"/>
        <v>1</v>
      </c>
      <c r="I139" s="51" t="s">
        <v>1763</v>
      </c>
    </row>
    <row r="140" ht="25.5" customHeight="1">
      <c r="A140" s="282">
        <v>137.0</v>
      </c>
      <c r="B140" s="47">
        <v>1014353.0</v>
      </c>
      <c r="C140" s="283" t="str">
        <f>vlookup(B140,'Crew data for number'!B:C,2,0)</f>
        <v>TAA6862</v>
      </c>
      <c r="D140" s="284" t="str">
        <f>vlookup(B140,'Crew Data'!C:G,5,0)</f>
        <v>Pornnapat Kittimontreechai</v>
      </c>
      <c r="E140" s="267" t="s">
        <v>1850</v>
      </c>
      <c r="F140" s="47">
        <v>30.0</v>
      </c>
      <c r="G140" s="50">
        <f t="shared" si="1"/>
        <v>12000</v>
      </c>
      <c r="H140" s="22">
        <f t="shared" si="2"/>
        <v>1</v>
      </c>
      <c r="I140" s="51" t="s">
        <v>1763</v>
      </c>
    </row>
    <row r="141" ht="25.5" customHeight="1">
      <c r="A141" s="282">
        <v>138.0</v>
      </c>
      <c r="B141" s="47">
        <v>1006348.0</v>
      </c>
      <c r="C141" s="283" t="str">
        <f>vlookup(B141,'Crew data for number'!B:C,2,0)</f>
        <v>TAA3674</v>
      </c>
      <c r="D141" s="284" t="str">
        <f>vlookup(B141,'Crew Data'!C:G,5,0)</f>
        <v>#N/A</v>
      </c>
      <c r="E141" s="267" t="s">
        <v>1667</v>
      </c>
      <c r="F141" s="47">
        <v>31.0</v>
      </c>
      <c r="G141" s="50">
        <f t="shared" si="1"/>
        <v>12400</v>
      </c>
      <c r="H141" s="22">
        <f t="shared" si="2"/>
        <v>1</v>
      </c>
      <c r="I141" s="51" t="s">
        <v>1763</v>
      </c>
    </row>
    <row r="142" ht="25.5" customHeight="1">
      <c r="A142" s="54">
        <v>139.0</v>
      </c>
      <c r="B142" s="47">
        <v>1001393.0</v>
      </c>
      <c r="C142" s="283" t="str">
        <f>vlookup(B142,'Crew data for number'!B:C,2,0)</f>
        <v>TAA1357</v>
      </c>
      <c r="D142" s="284" t="str">
        <f>vlookup(B142,'Crew Data'!C:G,5,0)</f>
        <v>Natthima Dolchalermkiat</v>
      </c>
      <c r="E142" s="268">
        <v>43616.0</v>
      </c>
      <c r="F142" s="47">
        <v>1.0</v>
      </c>
      <c r="G142" s="50">
        <f t="shared" si="1"/>
        <v>400</v>
      </c>
      <c r="H142" s="22">
        <f t="shared" si="2"/>
        <v>1</v>
      </c>
      <c r="I142" s="51" t="s">
        <v>1763</v>
      </c>
    </row>
    <row r="143" ht="25.5" customHeight="1">
      <c r="A143" s="282">
        <v>140.0</v>
      </c>
      <c r="B143" s="47">
        <v>1009818.0</v>
      </c>
      <c r="C143" s="283" t="str">
        <f>vlookup(B143,'Crew data for number'!B:C,2,0)</f>
        <v>TAA5147</v>
      </c>
      <c r="D143" s="284" t="str">
        <f>vlookup(B143,'Crew Data'!C:G,5,0)</f>
        <v>#N/A</v>
      </c>
      <c r="E143" s="267" t="s">
        <v>1851</v>
      </c>
      <c r="F143" s="47">
        <v>4.0</v>
      </c>
      <c r="G143" s="50">
        <f t="shared" si="1"/>
        <v>1600</v>
      </c>
      <c r="H143" s="22">
        <f t="shared" si="2"/>
        <v>1</v>
      </c>
      <c r="I143" s="51" t="s">
        <v>1763</v>
      </c>
    </row>
    <row r="144" ht="25.5" customHeight="1">
      <c r="A144" s="282">
        <v>141.0</v>
      </c>
      <c r="B144" s="47">
        <v>1004294.0</v>
      </c>
      <c r="C144" s="283" t="str">
        <f>vlookup(B144,'Crew data for number'!B:C,2,0)</f>
        <v>TAA2937</v>
      </c>
      <c r="D144" s="284" t="str">
        <f>vlookup(B144,'Crew Data'!C:G,5,0)</f>
        <v>Kawinwat Pringplert</v>
      </c>
      <c r="E144" s="267" t="s">
        <v>1852</v>
      </c>
      <c r="F144" s="47">
        <v>4.0</v>
      </c>
      <c r="G144" s="50">
        <f t="shared" si="1"/>
        <v>1600</v>
      </c>
      <c r="H144" s="22">
        <f t="shared" si="2"/>
        <v>1</v>
      </c>
      <c r="I144" s="51" t="s">
        <v>1763</v>
      </c>
    </row>
    <row r="145" ht="25.5" customHeight="1">
      <c r="A145" s="54">
        <v>142.0</v>
      </c>
      <c r="B145" s="47">
        <v>1003418.0</v>
      </c>
      <c r="C145" s="283" t="str">
        <f>vlookup(B145,'Crew data for number'!B:C,2,0)</f>
        <v>TAA2430</v>
      </c>
      <c r="D145" s="284" t="str">
        <f>vlookup(B145,'Crew Data'!C:G,5,0)</f>
        <v>Chiravitch Kittiphongsathaporn</v>
      </c>
      <c r="E145" s="267" t="s">
        <v>1835</v>
      </c>
      <c r="F145" s="47">
        <v>30.0</v>
      </c>
      <c r="G145" s="50">
        <f t="shared" si="1"/>
        <v>12000</v>
      </c>
      <c r="H145" s="22">
        <f t="shared" si="2"/>
        <v>1</v>
      </c>
      <c r="I145" s="51" t="s">
        <v>1763</v>
      </c>
    </row>
    <row r="146" ht="25.5" customHeight="1">
      <c r="A146" s="282">
        <v>143.0</v>
      </c>
      <c r="B146" s="47">
        <v>1006860.0</v>
      </c>
      <c r="C146" s="283" t="str">
        <f>vlookup(B146,'Crew data for number'!B:C,2,0)</f>
        <v>TAA3883</v>
      </c>
      <c r="D146" s="284" t="str">
        <f>vlookup(B146,'Crew Data'!C:G,5,0)</f>
        <v>#N/A</v>
      </c>
      <c r="E146" s="267" t="s">
        <v>1853</v>
      </c>
      <c r="F146" s="47">
        <v>29.0</v>
      </c>
      <c r="G146" s="50">
        <f t="shared" si="1"/>
        <v>11600</v>
      </c>
      <c r="H146" s="22">
        <f t="shared" si="2"/>
        <v>1</v>
      </c>
      <c r="I146" s="51" t="s">
        <v>1763</v>
      </c>
    </row>
    <row r="147" ht="25.5" customHeight="1">
      <c r="A147" s="282">
        <v>144.0</v>
      </c>
      <c r="B147" s="47">
        <v>1004206.0</v>
      </c>
      <c r="C147" s="283" t="str">
        <f>vlookup(B147,'Crew data for number'!B:C,2,0)</f>
        <v>TAA2692</v>
      </c>
      <c r="D147" s="284" t="str">
        <f>vlookup(B147,'Crew Data'!C:G,5,0)</f>
        <v>Pitikan Siwapathomchai</v>
      </c>
      <c r="E147" s="267" t="s">
        <v>1854</v>
      </c>
      <c r="F147" s="47">
        <v>25.0</v>
      </c>
      <c r="G147" s="50">
        <f t="shared" si="1"/>
        <v>10000</v>
      </c>
      <c r="H147" s="22">
        <f t="shared" si="2"/>
        <v>1</v>
      </c>
      <c r="I147" s="51" t="s">
        <v>1763</v>
      </c>
    </row>
    <row r="148" ht="25.5" customHeight="1">
      <c r="A148" s="54">
        <v>145.0</v>
      </c>
      <c r="B148" s="47">
        <v>1006835.0</v>
      </c>
      <c r="C148" s="283" t="str">
        <f>vlookup(B148,'Crew data for number'!B:C,2,0)</f>
        <v>TAA3877</v>
      </c>
      <c r="D148" s="284" t="str">
        <f>vlookup(B148,'Crew Data'!C:G,5,0)</f>
        <v>Ketsaraporn Borvornmongkolsak</v>
      </c>
      <c r="E148" s="267" t="s">
        <v>1855</v>
      </c>
      <c r="F148" s="47">
        <v>27.0</v>
      </c>
      <c r="G148" s="50">
        <f t="shared" si="1"/>
        <v>10800</v>
      </c>
      <c r="H148" s="22">
        <f t="shared" si="2"/>
        <v>1</v>
      </c>
      <c r="I148" s="51" t="s">
        <v>1763</v>
      </c>
    </row>
    <row r="149" ht="25.5" customHeight="1">
      <c r="A149" s="282">
        <v>146.0</v>
      </c>
      <c r="B149" s="47">
        <v>1008211.0</v>
      </c>
      <c r="C149" s="283" t="str">
        <f>vlookup(B149,'Crew data for number'!B:C,2,0)</f>
        <v>TAA5047</v>
      </c>
      <c r="D149" s="284" t="str">
        <f>vlookup(B149,'Crew Data'!C:G,5,0)</f>
        <v>Jinnanat Buree</v>
      </c>
      <c r="E149" s="267" t="s">
        <v>1856</v>
      </c>
      <c r="F149" s="47">
        <v>2.0</v>
      </c>
      <c r="G149" s="50">
        <f t="shared" si="1"/>
        <v>800</v>
      </c>
      <c r="H149" s="22">
        <f t="shared" si="2"/>
        <v>1</v>
      </c>
      <c r="I149" s="51" t="s">
        <v>1763</v>
      </c>
    </row>
    <row r="150" ht="25.5" customHeight="1">
      <c r="A150" s="282">
        <v>147.0</v>
      </c>
      <c r="B150" s="47">
        <v>1006843.0</v>
      </c>
      <c r="C150" s="283" t="str">
        <f>vlookup(B150,'Crew data for number'!B:C,2,0)</f>
        <v>TAA3878</v>
      </c>
      <c r="D150" s="284" t="str">
        <f>vlookup(B150,'Crew Data'!C:G,5,0)</f>
        <v>#N/A</v>
      </c>
      <c r="E150" s="267" t="s">
        <v>1857</v>
      </c>
      <c r="F150" s="47">
        <v>5.0</v>
      </c>
      <c r="G150" s="50">
        <f t="shared" si="1"/>
        <v>2000</v>
      </c>
      <c r="H150" s="22">
        <f t="shared" si="2"/>
        <v>1</v>
      </c>
      <c r="I150" s="51" t="s">
        <v>1763</v>
      </c>
    </row>
    <row r="151" ht="25.5" customHeight="1">
      <c r="A151" s="54">
        <v>148.0</v>
      </c>
      <c r="B151" s="47">
        <v>1018981.0</v>
      </c>
      <c r="C151" s="283" t="str">
        <f>vlookup(B151,'Crew data for number'!B:C,2,0)</f>
        <v>TAA7843</v>
      </c>
      <c r="D151" s="284" t="str">
        <f>vlookup(B151,'Crew Data'!C:G,5,0)</f>
        <v>Thossaphol Sattabanmongkol</v>
      </c>
      <c r="E151" s="267" t="s">
        <v>1858</v>
      </c>
      <c r="F151" s="47">
        <v>29.0</v>
      </c>
      <c r="G151" s="50">
        <f t="shared" si="1"/>
        <v>11600</v>
      </c>
      <c r="H151" s="22">
        <f t="shared" si="2"/>
        <v>1</v>
      </c>
      <c r="I151" s="51" t="s">
        <v>1763</v>
      </c>
    </row>
    <row r="152" ht="25.5" customHeight="1">
      <c r="A152" s="282">
        <v>149.0</v>
      </c>
      <c r="B152" s="47">
        <v>1003392.0</v>
      </c>
      <c r="C152" s="283" t="str">
        <f>vlookup(B152,'Crew data for number'!B:C,2,0)</f>
        <v>TAA2427</v>
      </c>
      <c r="D152" s="284" t="str">
        <f>vlookup(B152,'Crew Data'!C:G,5,0)</f>
        <v>Punnaphas Tawornpanmanee</v>
      </c>
      <c r="E152" s="267" t="s">
        <v>1856</v>
      </c>
      <c r="F152" s="47">
        <v>2.0</v>
      </c>
      <c r="G152" s="50">
        <f t="shared" si="1"/>
        <v>800</v>
      </c>
      <c r="H152" s="22">
        <f t="shared" si="2"/>
        <v>1</v>
      </c>
      <c r="I152" s="51" t="s">
        <v>1763</v>
      </c>
    </row>
    <row r="153" ht="25.5" customHeight="1">
      <c r="A153" s="282">
        <v>150.0</v>
      </c>
      <c r="B153" s="47">
        <v>1019409.0</v>
      </c>
      <c r="C153" s="283" t="str">
        <f>vlookup(B153,'Crew data for number'!B:C,2,0)</f>
        <v>TAA7926</v>
      </c>
      <c r="D153" s="284" t="str">
        <f>vlookup(B153,'Crew Data'!C:G,5,0)</f>
        <v>Chitipat Thananitdullayaphak</v>
      </c>
      <c r="E153" s="267" t="s">
        <v>1667</v>
      </c>
      <c r="F153" s="47">
        <v>31.0</v>
      </c>
      <c r="G153" s="50">
        <f t="shared" si="1"/>
        <v>12400</v>
      </c>
      <c r="H153" s="22">
        <f t="shared" si="2"/>
        <v>1</v>
      </c>
      <c r="I153" s="51" t="s">
        <v>1763</v>
      </c>
    </row>
    <row r="154" ht="25.5" customHeight="1">
      <c r="A154" s="54">
        <v>151.0</v>
      </c>
      <c r="B154" s="47">
        <v>1003385.0</v>
      </c>
      <c r="C154" s="283" t="str">
        <f>vlookup(B154,'Crew data for number'!B:C,2,0)</f>
        <v>TAA2426</v>
      </c>
      <c r="D154" s="284" t="str">
        <f>vlookup(B154,'Crew Data'!C:G,5,0)</f>
        <v>Jaruma Jantarapap</v>
      </c>
      <c r="E154" s="267" t="s">
        <v>1859</v>
      </c>
      <c r="F154" s="47">
        <v>9.0</v>
      </c>
      <c r="G154" s="50">
        <f t="shared" si="1"/>
        <v>3600</v>
      </c>
      <c r="H154" s="22">
        <f t="shared" si="2"/>
        <v>1</v>
      </c>
      <c r="I154" s="51" t="s">
        <v>1763</v>
      </c>
    </row>
    <row r="155" ht="25.5" customHeight="1">
      <c r="A155" s="282">
        <v>152.0</v>
      </c>
      <c r="B155" s="47">
        <v>1007120.0</v>
      </c>
      <c r="C155" s="283" t="str">
        <f>vlookup(B155,'Crew data for number'!B:C,2,0)</f>
        <v>TAA4002</v>
      </c>
      <c r="D155" s="284" t="str">
        <f>vlookup(B155,'Crew Data'!C:G,5,0)</f>
        <v>#N/A</v>
      </c>
      <c r="E155" s="267" t="s">
        <v>1860</v>
      </c>
      <c r="F155" s="47">
        <v>4.0</v>
      </c>
      <c r="G155" s="50">
        <f t="shared" si="1"/>
        <v>1600</v>
      </c>
      <c r="H155" s="22">
        <f t="shared" si="2"/>
        <v>1</v>
      </c>
      <c r="I155" s="51" t="s">
        <v>1763</v>
      </c>
    </row>
    <row r="156" ht="25.5" customHeight="1">
      <c r="A156" s="282">
        <v>153.0</v>
      </c>
      <c r="B156" s="47">
        <v>1007410.0</v>
      </c>
      <c r="C156" s="283" t="str">
        <f>vlookup(B156,'Crew data for number'!B:C,2,0)</f>
        <v>TAA4066</v>
      </c>
      <c r="D156" s="284" t="str">
        <f>vlookup(B156,'Crew Data'!C:G,5,0)</f>
        <v>Hathairat Turongtanakul</v>
      </c>
      <c r="E156" s="267" t="s">
        <v>1861</v>
      </c>
      <c r="F156" s="47">
        <v>3.0</v>
      </c>
      <c r="G156" s="50">
        <f t="shared" si="1"/>
        <v>1200</v>
      </c>
      <c r="H156" s="22">
        <f t="shared" si="2"/>
        <v>1</v>
      </c>
      <c r="I156" s="51" t="s">
        <v>1763</v>
      </c>
    </row>
    <row r="157" ht="25.5" customHeight="1">
      <c r="A157" s="54">
        <v>154.0</v>
      </c>
      <c r="B157" s="47">
        <v>1007525.0</v>
      </c>
      <c r="C157" s="283" t="str">
        <f>vlookup(B157,'Crew data for number'!B:C,2,0)</f>
        <v>TAA4758</v>
      </c>
      <c r="D157" s="284" t="str">
        <f>vlookup(B157,'Crew Data'!C:G,5,0)</f>
        <v>Matharapoj Daungkull</v>
      </c>
      <c r="E157" s="267" t="s">
        <v>1862</v>
      </c>
      <c r="F157" s="47">
        <v>27.0</v>
      </c>
      <c r="G157" s="50">
        <f t="shared" si="1"/>
        <v>10800</v>
      </c>
      <c r="H157" s="22">
        <f t="shared" si="2"/>
        <v>1</v>
      </c>
      <c r="I157" s="51" t="s">
        <v>1763</v>
      </c>
    </row>
    <row r="158" ht="25.5" customHeight="1">
      <c r="A158" s="282">
        <v>155.0</v>
      </c>
      <c r="B158" s="47">
        <v>1004317.0</v>
      </c>
      <c r="C158" s="283" t="str">
        <f>vlookup(B158,'Crew data for number'!B:C,2,0)</f>
        <v>TAA2950</v>
      </c>
      <c r="D158" s="284" t="str">
        <f>vlookup(B158,'Crew Data'!C:G,5,0)</f>
        <v>Narit Aimwat</v>
      </c>
      <c r="E158" s="267" t="s">
        <v>1863</v>
      </c>
      <c r="F158" s="47">
        <v>28.0</v>
      </c>
      <c r="G158" s="50">
        <f t="shared" si="1"/>
        <v>11200</v>
      </c>
      <c r="H158" s="22">
        <f t="shared" si="2"/>
        <v>1</v>
      </c>
      <c r="I158" s="51" t="s">
        <v>1763</v>
      </c>
    </row>
    <row r="159" ht="25.5" customHeight="1">
      <c r="A159" s="282">
        <v>156.0</v>
      </c>
      <c r="B159" s="47">
        <v>1013190.0</v>
      </c>
      <c r="C159" s="283" t="str">
        <f>vlookup(B159,'Crew data for number'!B:C,2,0)</f>
        <v>TAA6381</v>
      </c>
      <c r="D159" s="284" t="str">
        <f>vlookup(B159,'Crew Data'!C:G,5,0)</f>
        <v>Thamonwan Chokumpornpan</v>
      </c>
      <c r="E159" s="267" t="s">
        <v>1864</v>
      </c>
      <c r="F159" s="47">
        <v>26.0</v>
      </c>
      <c r="G159" s="50">
        <f t="shared" si="1"/>
        <v>10400</v>
      </c>
      <c r="H159" s="22">
        <f t="shared" si="2"/>
        <v>1</v>
      </c>
      <c r="I159" s="51" t="s">
        <v>1763</v>
      </c>
    </row>
    <row r="160" ht="25.5" customHeight="1">
      <c r="A160" s="54">
        <v>157.0</v>
      </c>
      <c r="B160" s="47">
        <v>1018806.0</v>
      </c>
      <c r="C160" s="283" t="str">
        <f>vlookup(B160,'Crew data for number'!B:C,2,0)</f>
        <v>TAA7827</v>
      </c>
      <c r="D160" s="284" t="str">
        <f>vlookup(B160,'Crew Data'!C:G,5,0)</f>
        <v>Penrat Srinawakul</v>
      </c>
      <c r="E160" s="267" t="s">
        <v>1865</v>
      </c>
      <c r="F160" s="47">
        <v>27.0</v>
      </c>
      <c r="G160" s="50">
        <f t="shared" si="1"/>
        <v>10800</v>
      </c>
      <c r="H160" s="22">
        <f t="shared" si="2"/>
        <v>1</v>
      </c>
      <c r="I160" s="51" t="s">
        <v>1763</v>
      </c>
    </row>
    <row r="161" ht="25.5" customHeight="1">
      <c r="A161" s="282">
        <v>158.0</v>
      </c>
      <c r="B161" s="47">
        <v>1005440.0</v>
      </c>
      <c r="C161" s="283" t="str">
        <f>vlookup(B161,'Crew data for number'!B:C,2,0)</f>
        <v>TAA3253</v>
      </c>
      <c r="D161" s="284" t="str">
        <f>vlookup(B161,'Crew Data'!C:G,5,0)</f>
        <v>Parinda Vidhecharoengul</v>
      </c>
      <c r="E161" s="267" t="s">
        <v>1866</v>
      </c>
      <c r="F161" s="47">
        <v>3.0</v>
      </c>
      <c r="G161" s="50">
        <f t="shared" si="1"/>
        <v>1200</v>
      </c>
      <c r="H161" s="22">
        <f t="shared" si="2"/>
        <v>1</v>
      </c>
      <c r="I161" s="51" t="s">
        <v>1763</v>
      </c>
    </row>
    <row r="162" ht="25.5" customHeight="1">
      <c r="A162" s="282">
        <v>159.0</v>
      </c>
      <c r="B162" s="47">
        <v>1022720.0</v>
      </c>
      <c r="C162" s="283" t="str">
        <f>vlookup(B162,'Crew data for number'!B:C,2,0)</f>
        <v/>
      </c>
      <c r="D162" s="284" t="str">
        <f>vlookup(B162,'Crew Data'!C:G,5,0)</f>
        <v>Aileen Sowprasertsuk</v>
      </c>
      <c r="E162" s="267" t="s">
        <v>1866</v>
      </c>
      <c r="F162" s="47">
        <v>3.0</v>
      </c>
      <c r="G162" s="50">
        <f t="shared" si="1"/>
        <v>1200</v>
      </c>
      <c r="H162" s="22">
        <f t="shared" si="2"/>
        <v>1</v>
      </c>
      <c r="I162" s="51" t="s">
        <v>1763</v>
      </c>
    </row>
    <row r="163" ht="25.5" customHeight="1">
      <c r="A163" s="54">
        <v>160.0</v>
      </c>
      <c r="B163" s="47">
        <v>1011808.0</v>
      </c>
      <c r="C163" s="283" t="str">
        <f>vlookup(B163,'Crew data for number'!B:C,2,0)</f>
        <v>TAA6105</v>
      </c>
      <c r="D163" s="284" t="str">
        <f>vlookup(B163,'Crew Data'!C:G,5,0)</f>
        <v>#N/A</v>
      </c>
      <c r="E163" s="267" t="s">
        <v>1801</v>
      </c>
      <c r="F163" s="47">
        <v>4.0</v>
      </c>
      <c r="G163" s="50">
        <f t="shared" si="1"/>
        <v>1600</v>
      </c>
      <c r="H163" s="22">
        <f t="shared" si="2"/>
        <v>1</v>
      </c>
      <c r="I163" s="51" t="s">
        <v>1763</v>
      </c>
    </row>
    <row r="164" ht="25.5" customHeight="1">
      <c r="A164" s="282">
        <v>161.0</v>
      </c>
      <c r="B164" s="47">
        <v>1005741.0</v>
      </c>
      <c r="C164" s="283" t="str">
        <f>vlookup(B164,'Crew data for number'!B:C,2,0)</f>
        <v>TAA3399</v>
      </c>
      <c r="D164" s="284" t="str">
        <f>vlookup(B164,'Crew Data'!C:G,5,0)</f>
        <v>Chanyawat Ruchiratheekhakul</v>
      </c>
      <c r="E164" s="267" t="s">
        <v>1848</v>
      </c>
      <c r="F164" s="47">
        <v>29.0</v>
      </c>
      <c r="G164" s="50">
        <f t="shared" si="1"/>
        <v>11600</v>
      </c>
      <c r="H164" s="22">
        <f t="shared" si="2"/>
        <v>1</v>
      </c>
      <c r="I164" s="51" t="s">
        <v>1763</v>
      </c>
    </row>
    <row r="165" ht="25.5" customHeight="1">
      <c r="A165" s="282">
        <v>162.0</v>
      </c>
      <c r="B165" s="47">
        <v>1012363.0</v>
      </c>
      <c r="C165" s="283" t="str">
        <f>vlookup(B165,'Crew data for number'!B:C,2,0)</f>
        <v>TAA6129</v>
      </c>
      <c r="D165" s="284" t="str">
        <f>vlookup(B165,'Crew Data'!C:G,5,0)</f>
        <v>#N/A</v>
      </c>
      <c r="E165" s="267" t="s">
        <v>1867</v>
      </c>
      <c r="F165" s="47">
        <v>24.0</v>
      </c>
      <c r="G165" s="50">
        <f t="shared" si="1"/>
        <v>9600</v>
      </c>
      <c r="H165" s="22">
        <f t="shared" si="2"/>
        <v>1</v>
      </c>
      <c r="I165" s="51" t="s">
        <v>1763</v>
      </c>
    </row>
    <row r="166" ht="25.5" customHeight="1">
      <c r="A166" s="54">
        <v>163.0</v>
      </c>
      <c r="B166" s="47">
        <v>1017655.0</v>
      </c>
      <c r="C166" s="283" t="str">
        <f>vlookup(B166,'Crew data for number'!B:C,2,0)</f>
        <v>TAA7522</v>
      </c>
      <c r="D166" s="284" t="str">
        <f>vlookup(B166,'Crew Data'!C:G,5,0)</f>
        <v>Waris Suaprasert</v>
      </c>
      <c r="E166" s="267" t="s">
        <v>1868</v>
      </c>
      <c r="F166" s="47">
        <v>28.0</v>
      </c>
      <c r="G166" s="50">
        <f t="shared" si="1"/>
        <v>11200</v>
      </c>
      <c r="H166" s="22">
        <f t="shared" si="2"/>
        <v>1</v>
      </c>
      <c r="I166" s="51" t="s">
        <v>1763</v>
      </c>
    </row>
    <row r="167" ht="25.5" customHeight="1">
      <c r="A167" s="282">
        <v>164.0</v>
      </c>
      <c r="B167" s="47">
        <v>1015406.0</v>
      </c>
      <c r="C167" s="283" t="str">
        <f>vlookup(B167,'Crew data for number'!B:C,2,0)</f>
        <v>TAA7064</v>
      </c>
      <c r="D167" s="284" t="str">
        <f>vlookup(B167,'Crew Data'!C:G,5,0)</f>
        <v>Perati Ardwong</v>
      </c>
      <c r="E167" s="267" t="s">
        <v>1667</v>
      </c>
      <c r="F167" s="47">
        <v>31.0</v>
      </c>
      <c r="G167" s="50">
        <f t="shared" si="1"/>
        <v>12400</v>
      </c>
      <c r="H167" s="22">
        <f t="shared" si="2"/>
        <v>1</v>
      </c>
      <c r="I167" s="51" t="s">
        <v>1763</v>
      </c>
    </row>
    <row r="168" ht="25.5" customHeight="1">
      <c r="A168" s="282">
        <v>165.0</v>
      </c>
      <c r="B168" s="47">
        <v>1007418.0</v>
      </c>
      <c r="C168" s="283" t="str">
        <f>vlookup(B168,'Crew data for number'!B:C,2,0)</f>
        <v>TAA4070</v>
      </c>
      <c r="D168" s="284" t="str">
        <f>vlookup(B168,'Crew Data'!C:G,5,0)</f>
        <v>Nattaphat Boonprasit</v>
      </c>
      <c r="E168" s="267" t="s">
        <v>1667</v>
      </c>
      <c r="F168" s="47">
        <v>31.0</v>
      </c>
      <c r="G168" s="50">
        <f t="shared" si="1"/>
        <v>12400</v>
      </c>
      <c r="H168" s="22">
        <f t="shared" si="2"/>
        <v>1</v>
      </c>
      <c r="I168" s="51" t="s">
        <v>1763</v>
      </c>
    </row>
    <row r="169" ht="25.5" customHeight="1">
      <c r="A169" s="54">
        <v>166.0</v>
      </c>
      <c r="B169" s="47">
        <v>1005296.0</v>
      </c>
      <c r="C169" s="283" t="str">
        <f>vlookup(B169,'Crew data for number'!B:C,2,0)</f>
        <v>TAA3197</v>
      </c>
      <c r="D169" s="284" t="str">
        <f>vlookup(B169,'Crew Data'!C:G,5,0)</f>
        <v>#N/A</v>
      </c>
      <c r="E169" s="267" t="s">
        <v>1869</v>
      </c>
      <c r="F169" s="47">
        <v>29.0</v>
      </c>
      <c r="G169" s="50">
        <f t="shared" si="1"/>
        <v>11600</v>
      </c>
      <c r="H169" s="22">
        <f t="shared" si="2"/>
        <v>1</v>
      </c>
      <c r="I169" s="51" t="s">
        <v>1763</v>
      </c>
    </row>
    <row r="170" ht="25.5" customHeight="1">
      <c r="A170" s="282">
        <v>167.0</v>
      </c>
      <c r="B170" s="47">
        <v>1014372.0</v>
      </c>
      <c r="C170" s="283" t="str">
        <f>vlookup(B170,'Crew data for number'!B:C,2,0)</f>
        <v>TAA6869</v>
      </c>
      <c r="D170" s="284" t="str">
        <f>vlookup(B170,'Crew Data'!C:G,5,0)</f>
        <v>#N/A</v>
      </c>
      <c r="E170" s="268">
        <v>43616.0</v>
      </c>
      <c r="F170" s="47">
        <v>1.0</v>
      </c>
      <c r="G170" s="50">
        <f t="shared" si="1"/>
        <v>400</v>
      </c>
      <c r="H170" s="22">
        <f t="shared" si="2"/>
        <v>1</v>
      </c>
      <c r="I170" s="51" t="s">
        <v>1763</v>
      </c>
    </row>
    <row r="171" ht="25.5" customHeight="1">
      <c r="A171" s="282">
        <v>168.0</v>
      </c>
      <c r="B171" s="47">
        <v>1017647.0</v>
      </c>
      <c r="C171" s="283" t="str">
        <f>vlookup(B171,'Crew data for number'!B:C,2,0)</f>
        <v>TAA7524</v>
      </c>
      <c r="D171" s="284" t="str">
        <f>vlookup(B171,'Crew Data'!C:G,5,0)</f>
        <v>Papopvit Pungposop</v>
      </c>
      <c r="E171" s="267" t="s">
        <v>1679</v>
      </c>
      <c r="F171" s="47">
        <v>30.0</v>
      </c>
      <c r="G171" s="50">
        <f t="shared" si="1"/>
        <v>12000</v>
      </c>
      <c r="H171" s="22">
        <f t="shared" si="2"/>
        <v>1</v>
      </c>
      <c r="I171" s="51" t="s">
        <v>1763</v>
      </c>
    </row>
    <row r="172" ht="25.5" customHeight="1">
      <c r="A172" s="54">
        <v>169.0</v>
      </c>
      <c r="B172" s="47">
        <v>1018968.0</v>
      </c>
      <c r="C172" s="283" t="str">
        <f>vlookup(B172,'Crew data for number'!B:C,2,0)</f>
        <v>TAA7837</v>
      </c>
      <c r="D172" s="284" t="str">
        <f>vlookup(B172,'Crew Data'!C:G,5,0)</f>
        <v>#N/A</v>
      </c>
      <c r="E172" s="267" t="s">
        <v>1835</v>
      </c>
      <c r="F172" s="47">
        <v>30.0</v>
      </c>
      <c r="G172" s="50">
        <f t="shared" si="1"/>
        <v>12000</v>
      </c>
      <c r="H172" s="22">
        <f t="shared" si="2"/>
        <v>1</v>
      </c>
      <c r="I172" s="51" t="s">
        <v>1763</v>
      </c>
    </row>
    <row r="173" ht="25.5" customHeight="1">
      <c r="A173" s="282">
        <v>170.0</v>
      </c>
      <c r="B173" s="47">
        <v>1019407.0</v>
      </c>
      <c r="C173" s="283" t="str">
        <f>vlookup(B173,'Crew data for number'!B:C,2,0)</f>
        <v>TAA7932</v>
      </c>
      <c r="D173" s="284" t="str">
        <f>vlookup(B173,'Crew Data'!C:G,5,0)</f>
        <v>Saowapak Siri-athikhom</v>
      </c>
      <c r="E173" s="267" t="s">
        <v>1870</v>
      </c>
      <c r="F173" s="47">
        <v>29.0</v>
      </c>
      <c r="G173" s="50">
        <f t="shared" si="1"/>
        <v>11600</v>
      </c>
      <c r="H173" s="22">
        <f t="shared" si="2"/>
        <v>1</v>
      </c>
      <c r="I173" s="51" t="s">
        <v>1763</v>
      </c>
    </row>
    <row r="174" ht="25.5" customHeight="1">
      <c r="A174" s="282">
        <v>171.0</v>
      </c>
      <c r="B174" s="47">
        <v>1009797.0</v>
      </c>
      <c r="C174" s="283" t="str">
        <f>vlookup(B174,'Crew data for number'!B:C,2,0)</f>
        <v>TAA5149</v>
      </c>
      <c r="D174" s="284" t="str">
        <f>vlookup(B174,'Crew Data'!C:G,5,0)</f>
        <v>#N/A</v>
      </c>
      <c r="E174" s="267" t="s">
        <v>1821</v>
      </c>
      <c r="F174" s="47">
        <v>30.0</v>
      </c>
      <c r="G174" s="50">
        <f t="shared" si="1"/>
        <v>12000</v>
      </c>
      <c r="H174" s="22">
        <f t="shared" si="2"/>
        <v>1</v>
      </c>
      <c r="I174" s="51" t="s">
        <v>1768</v>
      </c>
    </row>
    <row r="175" ht="25.5" customHeight="1">
      <c r="A175" s="54">
        <v>172.0</v>
      </c>
      <c r="B175" s="47">
        <v>1004030.0</v>
      </c>
      <c r="C175" s="283" t="str">
        <f>vlookup(B175,'Crew data for number'!B:C,2,0)</f>
        <v>TAA2560</v>
      </c>
      <c r="D175" s="284" t="str">
        <f>vlookup(B175,'Crew Data'!C:G,5,0)</f>
        <v>Kulpornpat Srikulchaipat</v>
      </c>
      <c r="E175" s="267" t="s">
        <v>1871</v>
      </c>
      <c r="F175" s="47">
        <v>8.0</v>
      </c>
      <c r="G175" s="50">
        <f t="shared" si="1"/>
        <v>3200</v>
      </c>
      <c r="H175" s="22">
        <f t="shared" si="2"/>
        <v>1</v>
      </c>
      <c r="I175" s="51" t="s">
        <v>1763</v>
      </c>
    </row>
    <row r="176" ht="25.5" customHeight="1">
      <c r="A176" s="282">
        <v>173.0</v>
      </c>
      <c r="B176" s="47">
        <v>1009306.0</v>
      </c>
      <c r="C176" s="283" t="str">
        <f>vlookup(B176,'Crew data for number'!B:C,2,0)</f>
        <v>TAA5464</v>
      </c>
      <c r="D176" s="284" t="str">
        <f>vlookup(B176,'Crew Data'!C:G,5,0)</f>
        <v>Noppawan Yoosamran</v>
      </c>
      <c r="E176" s="267" t="s">
        <v>1853</v>
      </c>
      <c r="F176" s="47">
        <v>29.0</v>
      </c>
      <c r="G176" s="50">
        <f t="shared" si="1"/>
        <v>11600</v>
      </c>
      <c r="H176" s="22">
        <f t="shared" si="2"/>
        <v>1</v>
      </c>
      <c r="I176" s="51" t="s">
        <v>1763</v>
      </c>
    </row>
    <row r="177" ht="25.5" customHeight="1">
      <c r="A177" s="282">
        <v>174.0</v>
      </c>
      <c r="B177" s="47">
        <v>1019295.0</v>
      </c>
      <c r="C177" s="283" t="str">
        <f>vlookup(B177,'Crew data for number'!B:C,2,0)</f>
        <v>TAA7904</v>
      </c>
      <c r="D177" s="284" t="str">
        <f>vlookup(B177,'Crew Data'!C:G,5,0)</f>
        <v>Methawee Yos-in</v>
      </c>
      <c r="E177" s="267" t="s">
        <v>1667</v>
      </c>
      <c r="F177" s="47">
        <v>31.0</v>
      </c>
      <c r="G177" s="50">
        <f t="shared" si="1"/>
        <v>12400</v>
      </c>
      <c r="H177" s="22">
        <f t="shared" si="2"/>
        <v>1</v>
      </c>
      <c r="I177" s="51" t="s">
        <v>1763</v>
      </c>
    </row>
    <row r="178" ht="13.5" customHeight="1">
      <c r="A178" s="293"/>
      <c r="B178" s="293"/>
      <c r="C178" s="293"/>
      <c r="D178" s="293"/>
      <c r="E178" s="293"/>
      <c r="F178" s="293"/>
      <c r="G178" s="293"/>
      <c r="H178" s="293"/>
      <c r="I178" s="293"/>
      <c r="J178" s="294"/>
      <c r="K178" s="294"/>
      <c r="L178" s="294"/>
      <c r="M178" s="294"/>
      <c r="N178" s="294"/>
      <c r="O178" s="294"/>
      <c r="P178" s="294"/>
      <c r="Q178" s="294"/>
      <c r="R178" s="294"/>
      <c r="S178" s="294"/>
      <c r="T178" s="294"/>
      <c r="U178" s="294"/>
      <c r="V178" s="294"/>
      <c r="W178" s="294"/>
      <c r="X178" s="294"/>
      <c r="Y178" s="294"/>
      <c r="Z178" s="294"/>
      <c r="AA178" s="294"/>
    </row>
    <row r="179" ht="25.5" customHeight="1"/>
    <row r="180" ht="25.5" customHeight="1">
      <c r="A180" s="265" t="s">
        <v>1183</v>
      </c>
      <c r="B180" s="252"/>
      <c r="C180" s="253"/>
    </row>
    <row r="181" ht="25.5" customHeight="1">
      <c r="A181" s="254" t="s">
        <v>1153</v>
      </c>
      <c r="B181" s="255" t="s">
        <v>1154</v>
      </c>
      <c r="C181" s="256" t="s">
        <v>1155</v>
      </c>
    </row>
    <row r="182" ht="25.5" customHeight="1">
      <c r="A182" s="257" t="s">
        <v>1156</v>
      </c>
      <c r="B182" s="258" t="s">
        <v>1157</v>
      </c>
      <c r="C182" s="259" t="s">
        <v>1158</v>
      </c>
    </row>
    <row r="183" ht="25.5" customHeight="1">
      <c r="A183" s="257" t="s">
        <v>1159</v>
      </c>
      <c r="B183" s="258" t="s">
        <v>1157</v>
      </c>
      <c r="C183" s="259" t="s">
        <v>1158</v>
      </c>
    </row>
    <row r="184" ht="25.5" customHeight="1">
      <c r="A184" s="257" t="s">
        <v>1160</v>
      </c>
      <c r="B184" s="295" t="s">
        <v>1872</v>
      </c>
      <c r="C184" s="259" t="s">
        <v>1873</v>
      </c>
    </row>
    <row r="185" ht="25.5" customHeight="1">
      <c r="A185" s="31"/>
      <c r="B185" s="31"/>
      <c r="C185" s="31"/>
    </row>
    <row r="186" ht="25.5" customHeight="1">
      <c r="A186" s="261" t="s">
        <v>1874</v>
      </c>
      <c r="B186" s="262"/>
      <c r="C186" s="31"/>
    </row>
    <row r="187" ht="25.5" customHeight="1"/>
    <row r="188" ht="25.5" customHeight="1"/>
    <row r="189" ht="25.5" customHeight="1"/>
    <row r="190" ht="25.5" customHeight="1"/>
    <row r="191" ht="25.5" customHeight="1"/>
    <row r="192" ht="25.5" customHeight="1"/>
    <row r="193" ht="25.5" customHeight="1"/>
    <row r="194" ht="25.5" customHeight="1"/>
    <row r="195" ht="25.5" customHeight="1"/>
    <row r="196" ht="25.5" customHeight="1"/>
    <row r="197" ht="25.5" customHeight="1"/>
    <row r="198" ht="25.5" customHeight="1"/>
    <row r="199" ht="25.5" customHeight="1"/>
    <row r="200" ht="25.5" customHeight="1"/>
    <row r="201" ht="25.5" customHeight="1"/>
    <row r="202" ht="25.5" customHeight="1"/>
    <row r="203" ht="25.5" customHeight="1"/>
    <row r="204" ht="25.5" customHeight="1"/>
    <row r="205" ht="25.5" customHeight="1"/>
    <row r="206" ht="25.5" customHeight="1"/>
    <row r="207" ht="25.5" customHeight="1"/>
    <row r="208" ht="25.5" customHeight="1"/>
    <row r="209" ht="25.5" customHeight="1"/>
    <row r="210" ht="25.5" customHeight="1"/>
    <row r="211" ht="25.5" customHeight="1"/>
    <row r="212" ht="25.5" customHeight="1"/>
    <row r="213" ht="25.5" customHeight="1"/>
    <row r="214" ht="25.5" customHeight="1"/>
    <row r="215" ht="25.5" customHeight="1"/>
    <row r="216" ht="25.5" customHeight="1"/>
    <row r="217" ht="25.5" customHeight="1"/>
    <row r="218" ht="25.5" customHeight="1"/>
    <row r="219" ht="25.5" customHeight="1"/>
    <row r="220" ht="25.5" customHeight="1"/>
    <row r="221" ht="25.5" customHeight="1"/>
    <row r="222" ht="25.5" customHeight="1"/>
    <row r="223" ht="25.5" customHeight="1"/>
    <row r="224" ht="25.5" customHeight="1"/>
    <row r="225" ht="25.5" customHeight="1"/>
    <row r="226" ht="25.5" customHeight="1"/>
    <row r="227" ht="25.5" customHeight="1"/>
    <row r="228" ht="25.5" customHeight="1"/>
    <row r="229" ht="25.5" customHeight="1"/>
    <row r="230" ht="25.5" customHeight="1"/>
    <row r="231" ht="25.5" customHeight="1"/>
    <row r="232" ht="25.5" customHeight="1"/>
    <row r="233" ht="25.5" customHeight="1"/>
    <row r="234" ht="25.5" customHeight="1"/>
    <row r="235" ht="25.5" customHeight="1"/>
    <row r="236" ht="25.5" customHeight="1"/>
    <row r="237" ht="25.5" customHeight="1"/>
    <row r="238" ht="25.5" customHeight="1"/>
    <row r="239" ht="25.5" customHeight="1"/>
    <row r="240" ht="25.5" customHeight="1"/>
    <row r="241" ht="25.5" customHeight="1"/>
    <row r="242" ht="25.5" customHeight="1"/>
    <row r="243" ht="25.5" customHeight="1"/>
    <row r="244" ht="25.5" customHeight="1"/>
    <row r="245" ht="25.5" customHeight="1"/>
    <row r="246" ht="25.5" customHeight="1"/>
    <row r="247" ht="25.5" customHeight="1"/>
    <row r="248" ht="25.5" customHeight="1"/>
    <row r="249" ht="25.5" customHeight="1"/>
    <row r="250" ht="25.5" customHeight="1"/>
    <row r="251" ht="25.5" customHeight="1"/>
    <row r="252" ht="25.5" customHeight="1"/>
    <row r="253" ht="25.5" customHeight="1"/>
    <row r="254" ht="25.5" customHeight="1"/>
    <row r="255" ht="25.5" customHeight="1"/>
    <row r="256" ht="25.5" customHeight="1"/>
    <row r="257" ht="25.5" customHeight="1"/>
    <row r="258" ht="25.5" customHeight="1"/>
    <row r="259" ht="25.5" customHeight="1"/>
    <row r="260" ht="25.5" customHeight="1"/>
    <row r="261" ht="25.5" customHeight="1"/>
    <row r="262" ht="25.5" customHeight="1"/>
    <row r="263" ht="25.5" customHeight="1"/>
    <row r="264" ht="25.5" customHeight="1"/>
    <row r="265" ht="25.5" customHeight="1"/>
    <row r="266" ht="25.5" customHeight="1"/>
    <row r="267" ht="25.5" customHeight="1"/>
    <row r="268" ht="25.5" customHeight="1"/>
    <row r="269" ht="25.5" customHeight="1"/>
    <row r="270" ht="25.5" customHeight="1"/>
    <row r="271" ht="25.5" customHeight="1"/>
    <row r="272" ht="25.5" customHeight="1"/>
    <row r="273" ht="25.5" customHeight="1"/>
    <row r="274" ht="25.5" customHeight="1"/>
    <row r="275" ht="25.5" customHeight="1"/>
    <row r="276" ht="25.5" customHeight="1"/>
    <row r="277" ht="25.5" customHeight="1"/>
    <row r="278" ht="25.5" customHeight="1"/>
    <row r="279" ht="25.5" customHeight="1"/>
    <row r="280" ht="25.5" customHeight="1"/>
    <row r="281" ht="25.5" customHeight="1"/>
    <row r="282" ht="25.5" customHeight="1"/>
    <row r="283" ht="25.5" customHeight="1"/>
    <row r="284" ht="25.5" customHeight="1"/>
    <row r="285" ht="25.5" customHeight="1"/>
    <row r="286" ht="25.5" customHeight="1"/>
    <row r="287" ht="25.5" customHeight="1"/>
    <row r="288" ht="25.5" customHeight="1"/>
    <row r="289" ht="25.5" customHeight="1"/>
    <row r="290" ht="25.5" customHeight="1"/>
    <row r="291" ht="25.5" customHeight="1"/>
    <row r="292" ht="25.5" customHeight="1"/>
    <row r="293" ht="25.5" customHeight="1"/>
    <row r="294" ht="25.5" customHeight="1"/>
    <row r="295" ht="25.5" customHeight="1"/>
    <row r="296" ht="25.5" customHeight="1"/>
    <row r="297" ht="25.5" customHeight="1"/>
    <row r="298" ht="25.5" customHeight="1"/>
    <row r="299" ht="25.5" customHeight="1"/>
    <row r="300" ht="25.5" customHeight="1"/>
    <row r="301" ht="25.5" customHeight="1"/>
    <row r="302" ht="25.5" customHeight="1"/>
    <row r="303" ht="25.5" customHeight="1"/>
    <row r="304" ht="25.5" customHeight="1"/>
    <row r="305" ht="25.5" customHeight="1"/>
    <row r="306" ht="25.5" customHeight="1"/>
    <row r="307" ht="25.5" customHeight="1"/>
    <row r="308" ht="25.5" customHeight="1"/>
    <row r="309" ht="25.5" customHeight="1"/>
    <row r="310" ht="25.5" customHeight="1"/>
    <row r="311" ht="25.5" customHeight="1"/>
    <row r="312" ht="25.5" customHeight="1"/>
    <row r="313" ht="25.5" customHeight="1"/>
    <row r="314" ht="25.5" customHeight="1"/>
    <row r="315" ht="25.5" customHeight="1"/>
    <row r="316" ht="25.5" customHeight="1"/>
    <row r="317" ht="25.5" customHeight="1"/>
    <row r="318" ht="25.5" customHeight="1"/>
    <row r="319" ht="25.5" customHeight="1"/>
    <row r="320" ht="25.5" customHeight="1"/>
    <row r="321" ht="25.5" customHeight="1"/>
    <row r="322" ht="25.5" customHeight="1"/>
    <row r="323" ht="25.5" customHeight="1"/>
    <row r="324" ht="25.5" customHeight="1"/>
    <row r="325" ht="25.5" customHeight="1"/>
    <row r="326" ht="25.5" customHeight="1"/>
    <row r="327" ht="25.5" customHeight="1"/>
    <row r="328" ht="25.5" customHeight="1"/>
    <row r="329" ht="25.5" customHeight="1"/>
    <row r="330" ht="25.5" customHeight="1"/>
    <row r="331" ht="25.5" customHeight="1"/>
    <row r="332" ht="25.5" customHeight="1"/>
    <row r="333" ht="25.5" customHeight="1"/>
    <row r="334" ht="25.5" customHeight="1"/>
    <row r="335" ht="25.5" customHeight="1"/>
    <row r="336" ht="25.5" customHeight="1"/>
    <row r="337" ht="25.5" customHeight="1"/>
    <row r="338" ht="25.5" customHeight="1"/>
    <row r="339" ht="25.5" customHeight="1"/>
    <row r="340" ht="25.5" customHeight="1"/>
    <row r="341" ht="25.5" customHeight="1"/>
    <row r="342" ht="25.5" customHeight="1"/>
    <row r="343" ht="25.5" customHeight="1"/>
    <row r="344" ht="25.5" customHeight="1"/>
    <row r="345" ht="25.5" customHeight="1"/>
    <row r="346" ht="25.5" customHeight="1"/>
    <row r="347" ht="25.5" customHeight="1"/>
    <row r="348" ht="25.5" customHeight="1"/>
    <row r="349" ht="25.5" customHeight="1"/>
    <row r="350" ht="25.5" customHeight="1"/>
    <row r="351" ht="25.5" customHeight="1"/>
    <row r="352" ht="25.5" customHeight="1"/>
    <row r="353" ht="25.5" customHeight="1"/>
    <row r="354" ht="25.5" customHeight="1"/>
    <row r="355" ht="25.5" customHeight="1"/>
    <row r="356" ht="25.5" customHeight="1"/>
    <row r="357" ht="25.5" customHeight="1"/>
    <row r="358" ht="25.5" customHeight="1"/>
    <row r="359" ht="25.5" customHeight="1"/>
    <row r="360" ht="25.5" customHeight="1"/>
    <row r="361" ht="25.5" customHeight="1"/>
    <row r="362" ht="25.5" customHeight="1"/>
    <row r="363" ht="25.5" customHeight="1"/>
    <row r="364" ht="25.5" customHeight="1"/>
    <row r="365" ht="25.5" customHeight="1"/>
    <row r="366" ht="25.5" customHeight="1"/>
    <row r="367" ht="25.5" customHeight="1"/>
    <row r="368" ht="25.5" customHeight="1"/>
    <row r="369" ht="25.5" customHeight="1"/>
    <row r="370" ht="25.5" customHeight="1"/>
    <row r="371" ht="25.5" customHeight="1"/>
    <row r="372" ht="25.5" customHeight="1"/>
    <row r="373" ht="25.5" customHeight="1"/>
    <row r="374" ht="25.5" customHeight="1"/>
    <row r="375" ht="25.5" customHeight="1"/>
    <row r="376" ht="25.5" customHeight="1"/>
    <row r="377" ht="25.5" customHeight="1"/>
    <row r="378" ht="25.5" customHeight="1"/>
    <row r="379" ht="25.5" customHeight="1"/>
    <row r="380" ht="25.5" customHeight="1"/>
    <row r="381" ht="25.5" customHeight="1"/>
    <row r="382" ht="25.5" customHeight="1"/>
    <row r="383" ht="25.5" customHeight="1"/>
    <row r="384" ht="25.5" customHeight="1"/>
    <row r="385" ht="25.5" customHeight="1"/>
    <row r="386" ht="25.5" customHeight="1"/>
    <row r="387" ht="25.5" customHeight="1"/>
    <row r="388" ht="25.5" customHeight="1"/>
    <row r="389" ht="25.5" customHeight="1"/>
    <row r="390" ht="25.5" customHeight="1"/>
    <row r="391" ht="25.5" customHeight="1"/>
    <row r="392" ht="25.5" customHeight="1"/>
    <row r="393" ht="25.5" customHeight="1"/>
    <row r="394" ht="25.5" customHeight="1"/>
    <row r="395" ht="25.5" customHeight="1"/>
    <row r="396" ht="25.5" customHeight="1"/>
    <row r="397" ht="25.5" customHeight="1"/>
    <row r="398" ht="25.5" customHeight="1"/>
    <row r="399" ht="25.5" customHeight="1"/>
    <row r="400" ht="25.5" customHeight="1"/>
    <row r="401" ht="25.5" customHeight="1"/>
    <row r="402" ht="25.5" customHeight="1"/>
    <row r="403" ht="25.5" customHeight="1"/>
    <row r="404" ht="25.5" customHeight="1"/>
    <row r="405" ht="25.5" customHeight="1"/>
    <row r="406" ht="25.5" customHeight="1"/>
    <row r="407" ht="25.5" customHeight="1"/>
    <row r="408" ht="25.5" customHeight="1"/>
    <row r="409" ht="25.5" customHeight="1"/>
    <row r="410" ht="25.5" customHeight="1"/>
    <row r="411" ht="25.5" customHeight="1"/>
    <row r="412" ht="25.5" customHeight="1"/>
    <row r="413" ht="25.5" customHeight="1"/>
    <row r="414" ht="25.5" customHeight="1"/>
    <row r="415" ht="25.5" customHeight="1"/>
    <row r="416" ht="25.5" customHeight="1"/>
    <row r="417" ht="25.5" customHeight="1"/>
    <row r="418" ht="25.5" customHeight="1"/>
    <row r="419" ht="25.5" customHeight="1"/>
    <row r="420" ht="25.5" customHeight="1"/>
    <row r="421" ht="25.5" customHeight="1"/>
    <row r="422" ht="25.5" customHeight="1"/>
    <row r="423" ht="25.5" customHeight="1"/>
    <row r="424" ht="25.5" customHeight="1"/>
    <row r="425" ht="25.5" customHeight="1"/>
    <row r="426" ht="25.5" customHeight="1"/>
    <row r="427" ht="25.5" customHeight="1"/>
    <row r="428" ht="25.5" customHeight="1"/>
    <row r="429" ht="25.5" customHeight="1"/>
    <row r="430" ht="25.5" customHeight="1"/>
    <row r="431" ht="25.5" customHeight="1"/>
    <row r="432" ht="25.5" customHeight="1"/>
    <row r="433" ht="25.5" customHeight="1"/>
    <row r="434" ht="25.5" customHeight="1"/>
    <row r="435" ht="25.5" customHeight="1"/>
    <row r="436" ht="25.5" customHeight="1"/>
    <row r="437" ht="25.5" customHeight="1"/>
    <row r="438" ht="25.5" customHeight="1"/>
    <row r="439" ht="25.5" customHeight="1"/>
    <row r="440" ht="25.5" customHeight="1"/>
    <row r="441" ht="25.5" customHeight="1"/>
    <row r="442" ht="25.5" customHeight="1"/>
    <row r="443" ht="25.5" customHeight="1"/>
    <row r="444" ht="25.5" customHeight="1"/>
    <row r="445" ht="25.5" customHeight="1"/>
    <row r="446" ht="25.5" customHeight="1"/>
    <row r="447" ht="25.5" customHeight="1"/>
    <row r="448" ht="25.5" customHeight="1"/>
    <row r="449" ht="25.5" customHeight="1"/>
    <row r="450" ht="25.5" customHeight="1"/>
    <row r="451" ht="25.5" customHeight="1"/>
    <row r="452" ht="25.5" customHeight="1"/>
    <row r="453" ht="25.5" customHeight="1"/>
    <row r="454" ht="25.5" customHeight="1"/>
    <row r="455" ht="25.5" customHeight="1"/>
    <row r="456" ht="25.5" customHeight="1"/>
    <row r="457" ht="25.5" customHeight="1"/>
    <row r="458" ht="25.5" customHeight="1"/>
    <row r="459" ht="25.5" customHeight="1"/>
    <row r="460" ht="25.5" customHeight="1"/>
    <row r="461" ht="25.5" customHeight="1"/>
    <row r="462" ht="25.5" customHeight="1"/>
    <row r="463" ht="25.5" customHeight="1"/>
    <row r="464" ht="25.5" customHeight="1"/>
    <row r="465" ht="25.5" customHeight="1"/>
    <row r="466" ht="25.5" customHeight="1"/>
    <row r="467" ht="25.5" customHeight="1"/>
    <row r="468" ht="25.5" customHeight="1"/>
    <row r="469" ht="25.5" customHeight="1"/>
    <row r="470" ht="25.5" customHeight="1"/>
    <row r="471" ht="25.5" customHeight="1"/>
    <row r="472" ht="25.5" customHeight="1"/>
    <row r="473" ht="25.5" customHeight="1"/>
    <row r="474" ht="25.5" customHeight="1"/>
    <row r="475" ht="25.5" customHeight="1"/>
    <row r="476" ht="25.5" customHeight="1"/>
    <row r="477" ht="25.5" customHeight="1"/>
    <row r="478" ht="25.5" customHeight="1"/>
    <row r="479" ht="25.5" customHeight="1"/>
    <row r="480" ht="25.5" customHeight="1"/>
    <row r="481" ht="25.5" customHeight="1"/>
    <row r="482" ht="25.5" customHeight="1"/>
    <row r="483" ht="25.5" customHeight="1"/>
    <row r="484" ht="25.5" customHeight="1"/>
    <row r="485" ht="25.5" customHeight="1"/>
    <row r="486" ht="25.5" customHeight="1"/>
    <row r="487" ht="25.5" customHeight="1"/>
    <row r="488" ht="25.5" customHeight="1"/>
    <row r="489" ht="25.5" customHeight="1"/>
    <row r="490" ht="25.5" customHeight="1"/>
    <row r="491" ht="25.5" customHeight="1"/>
    <row r="492" ht="25.5" customHeight="1"/>
    <row r="493" ht="25.5" customHeight="1"/>
    <row r="494" ht="25.5" customHeight="1"/>
    <row r="495" ht="25.5" customHeight="1"/>
    <row r="496" ht="25.5" customHeight="1"/>
    <row r="497" ht="25.5" customHeight="1"/>
    <row r="498" ht="25.5" customHeight="1"/>
    <row r="499" ht="25.5" customHeight="1"/>
    <row r="500" ht="25.5" customHeight="1"/>
    <row r="501" ht="25.5" customHeight="1"/>
    <row r="502" ht="25.5" customHeight="1"/>
    <row r="503" ht="25.5" customHeight="1"/>
    <row r="504" ht="25.5" customHeight="1"/>
    <row r="505" ht="25.5" customHeight="1"/>
    <row r="506" ht="25.5" customHeight="1"/>
    <row r="507" ht="25.5" customHeight="1"/>
    <row r="508" ht="25.5" customHeight="1"/>
    <row r="509" ht="25.5" customHeight="1"/>
    <row r="510" ht="25.5" customHeight="1"/>
    <row r="511" ht="25.5" customHeight="1"/>
    <row r="512" ht="25.5" customHeight="1"/>
    <row r="513" ht="25.5" customHeight="1"/>
    <row r="514" ht="25.5" customHeight="1"/>
    <row r="515" ht="25.5" customHeight="1"/>
    <row r="516" ht="25.5" customHeight="1"/>
    <row r="517" ht="25.5" customHeight="1"/>
    <row r="518" ht="25.5" customHeight="1"/>
    <row r="519" ht="25.5" customHeight="1"/>
    <row r="520" ht="25.5" customHeight="1"/>
    <row r="521" ht="25.5" customHeight="1"/>
    <row r="522" ht="25.5" customHeight="1"/>
    <row r="523" ht="25.5" customHeight="1"/>
    <row r="524" ht="25.5" customHeight="1"/>
    <row r="525" ht="25.5" customHeight="1"/>
    <row r="526" ht="25.5" customHeight="1"/>
    <row r="527" ht="25.5" customHeight="1"/>
    <row r="528" ht="25.5" customHeight="1"/>
    <row r="529" ht="25.5" customHeight="1"/>
    <row r="530" ht="25.5" customHeight="1"/>
    <row r="531" ht="25.5" customHeight="1"/>
    <row r="532" ht="25.5" customHeight="1"/>
    <row r="533" ht="25.5" customHeight="1"/>
    <row r="534" ht="25.5" customHeight="1"/>
    <row r="535" ht="25.5" customHeight="1"/>
    <row r="536" ht="25.5" customHeight="1"/>
    <row r="537" ht="25.5" customHeight="1"/>
    <row r="538" ht="25.5" customHeight="1"/>
    <row r="539" ht="25.5" customHeight="1"/>
    <row r="540" ht="25.5" customHeight="1"/>
    <row r="541" ht="25.5" customHeight="1"/>
    <row r="542" ht="25.5" customHeight="1"/>
    <row r="543" ht="25.5" customHeight="1"/>
    <row r="544" ht="25.5" customHeight="1"/>
    <row r="545" ht="25.5" customHeight="1"/>
    <row r="546" ht="25.5" customHeight="1"/>
    <row r="547" ht="25.5" customHeight="1"/>
    <row r="548" ht="25.5" customHeight="1"/>
    <row r="549" ht="25.5" customHeight="1"/>
    <row r="550" ht="25.5" customHeight="1"/>
    <row r="551" ht="25.5" customHeight="1"/>
    <row r="552" ht="25.5" customHeight="1"/>
    <row r="553" ht="25.5" customHeight="1"/>
    <row r="554" ht="25.5" customHeight="1"/>
    <row r="555" ht="25.5" customHeight="1"/>
    <row r="556" ht="25.5" customHeight="1"/>
    <row r="557" ht="25.5" customHeight="1"/>
    <row r="558" ht="25.5" customHeight="1"/>
    <row r="559" ht="25.5" customHeight="1"/>
    <row r="560" ht="25.5" customHeight="1"/>
    <row r="561" ht="25.5" customHeight="1"/>
    <row r="562" ht="25.5" customHeight="1"/>
    <row r="563" ht="25.5" customHeight="1"/>
    <row r="564" ht="25.5" customHeight="1"/>
    <row r="565" ht="25.5" customHeight="1"/>
    <row r="566" ht="25.5" customHeight="1"/>
    <row r="567" ht="25.5" customHeight="1"/>
    <row r="568" ht="25.5" customHeight="1"/>
    <row r="569" ht="25.5" customHeight="1"/>
    <row r="570" ht="25.5" customHeight="1"/>
    <row r="571" ht="25.5" customHeight="1"/>
    <row r="572" ht="25.5" customHeight="1"/>
    <row r="573" ht="25.5" customHeight="1"/>
    <row r="574" ht="25.5" customHeight="1"/>
    <row r="575" ht="25.5" customHeight="1"/>
    <row r="576" ht="25.5" customHeight="1"/>
    <row r="577" ht="25.5" customHeight="1"/>
    <row r="578" ht="25.5" customHeight="1"/>
    <row r="579" ht="25.5" customHeight="1"/>
    <row r="580" ht="25.5" customHeight="1"/>
    <row r="581" ht="25.5" customHeight="1"/>
    <row r="582" ht="25.5" customHeight="1"/>
    <row r="583" ht="25.5" customHeight="1"/>
    <row r="584" ht="25.5" customHeight="1"/>
    <row r="585" ht="25.5" customHeight="1"/>
    <row r="586" ht="25.5" customHeight="1"/>
    <row r="587" ht="25.5" customHeight="1"/>
    <row r="588" ht="25.5" customHeight="1"/>
    <row r="589" ht="25.5" customHeight="1"/>
    <row r="590" ht="25.5" customHeight="1"/>
    <row r="591" ht="25.5" customHeight="1"/>
    <row r="592" ht="25.5" customHeight="1"/>
    <row r="593" ht="25.5" customHeight="1"/>
    <row r="594" ht="25.5" customHeight="1"/>
    <row r="595" ht="25.5" customHeight="1"/>
    <row r="596" ht="25.5" customHeight="1"/>
    <row r="597" ht="25.5" customHeight="1"/>
    <row r="598" ht="25.5" customHeight="1"/>
    <row r="599" ht="25.5" customHeight="1"/>
    <row r="600" ht="25.5" customHeight="1"/>
    <row r="601" ht="25.5" customHeight="1"/>
    <row r="602" ht="25.5" customHeight="1"/>
    <row r="603" ht="25.5" customHeight="1"/>
    <row r="604" ht="25.5" customHeight="1"/>
    <row r="605" ht="25.5" customHeight="1"/>
    <row r="606" ht="25.5" customHeight="1"/>
    <row r="607" ht="25.5" customHeight="1"/>
    <row r="608" ht="25.5" customHeight="1"/>
    <row r="609" ht="25.5" customHeight="1"/>
    <row r="610" ht="25.5" customHeight="1"/>
    <row r="611" ht="25.5" customHeight="1"/>
    <row r="612" ht="25.5" customHeight="1"/>
    <row r="613" ht="25.5" customHeight="1"/>
    <row r="614" ht="25.5" customHeight="1"/>
    <row r="615" ht="25.5" customHeight="1"/>
    <row r="616" ht="25.5" customHeight="1"/>
    <row r="617" ht="25.5" customHeight="1"/>
    <row r="618" ht="25.5" customHeight="1"/>
    <row r="619" ht="25.5" customHeight="1"/>
    <row r="620" ht="25.5" customHeight="1"/>
    <row r="621" ht="25.5" customHeight="1"/>
    <row r="622" ht="25.5" customHeight="1"/>
    <row r="623" ht="25.5" customHeight="1"/>
    <row r="624" ht="25.5" customHeight="1"/>
    <row r="625" ht="25.5" customHeight="1"/>
    <row r="626" ht="25.5" customHeight="1"/>
    <row r="627" ht="25.5" customHeight="1"/>
    <row r="628" ht="25.5" customHeight="1"/>
    <row r="629" ht="25.5" customHeight="1"/>
    <row r="630" ht="25.5" customHeight="1"/>
    <row r="631" ht="25.5" customHeight="1"/>
    <row r="632" ht="25.5" customHeight="1"/>
    <row r="633" ht="25.5" customHeight="1"/>
    <row r="634" ht="25.5" customHeight="1"/>
    <row r="635" ht="25.5" customHeight="1"/>
    <row r="636" ht="25.5" customHeight="1"/>
    <row r="637" ht="25.5" customHeight="1"/>
    <row r="638" ht="25.5" customHeight="1"/>
    <row r="639" ht="25.5" customHeight="1"/>
    <row r="640" ht="25.5" customHeight="1"/>
    <row r="641" ht="25.5" customHeight="1"/>
    <row r="642" ht="25.5" customHeight="1"/>
    <row r="643" ht="25.5" customHeight="1"/>
    <row r="644" ht="25.5" customHeight="1"/>
    <row r="645" ht="25.5" customHeight="1"/>
    <row r="646" ht="25.5" customHeight="1"/>
    <row r="647" ht="25.5" customHeight="1"/>
    <row r="648" ht="25.5" customHeight="1"/>
    <row r="649" ht="25.5" customHeight="1"/>
    <row r="650" ht="25.5" customHeight="1"/>
    <row r="651" ht="25.5" customHeight="1"/>
    <row r="652" ht="25.5" customHeight="1"/>
    <row r="653" ht="25.5" customHeight="1"/>
    <row r="654" ht="25.5" customHeight="1"/>
    <row r="655" ht="25.5" customHeight="1"/>
    <row r="656" ht="25.5" customHeight="1"/>
    <row r="657" ht="25.5" customHeight="1"/>
    <row r="658" ht="25.5" customHeight="1"/>
    <row r="659" ht="25.5" customHeight="1"/>
    <row r="660" ht="25.5" customHeight="1"/>
    <row r="661" ht="25.5" customHeight="1"/>
    <row r="662" ht="25.5" customHeight="1"/>
    <row r="663" ht="25.5" customHeight="1"/>
    <row r="664" ht="25.5" customHeight="1"/>
    <row r="665" ht="25.5" customHeight="1"/>
    <row r="666" ht="25.5" customHeight="1"/>
    <row r="667" ht="25.5" customHeight="1"/>
    <row r="668" ht="25.5" customHeight="1"/>
    <row r="669" ht="25.5" customHeight="1"/>
    <row r="670" ht="25.5" customHeight="1"/>
    <row r="671" ht="25.5" customHeight="1"/>
    <row r="672" ht="25.5" customHeight="1"/>
    <row r="673" ht="25.5" customHeight="1"/>
    <row r="674" ht="25.5" customHeight="1"/>
    <row r="675" ht="25.5" customHeight="1"/>
    <row r="676" ht="25.5" customHeight="1"/>
    <row r="677" ht="25.5" customHeight="1"/>
    <row r="678" ht="25.5" customHeight="1"/>
    <row r="679" ht="25.5" customHeight="1"/>
    <row r="680" ht="25.5" customHeight="1"/>
    <row r="681" ht="25.5" customHeight="1"/>
    <row r="682" ht="25.5" customHeight="1"/>
    <row r="683" ht="25.5" customHeight="1"/>
    <row r="684" ht="25.5" customHeight="1"/>
    <row r="685" ht="25.5" customHeight="1"/>
    <row r="686" ht="25.5" customHeight="1"/>
    <row r="687" ht="25.5" customHeight="1"/>
    <row r="688" ht="25.5" customHeight="1"/>
    <row r="689" ht="25.5" customHeight="1"/>
    <row r="690" ht="25.5" customHeight="1"/>
    <row r="691" ht="25.5" customHeight="1"/>
    <row r="692" ht="25.5" customHeight="1"/>
    <row r="693" ht="25.5" customHeight="1"/>
    <row r="694" ht="25.5" customHeight="1"/>
    <row r="695" ht="25.5" customHeight="1"/>
    <row r="696" ht="25.5" customHeight="1"/>
    <row r="697" ht="25.5" customHeight="1"/>
    <row r="698" ht="25.5" customHeight="1"/>
    <row r="699" ht="25.5" customHeight="1"/>
    <row r="700" ht="25.5" customHeight="1"/>
    <row r="701" ht="25.5" customHeight="1"/>
    <row r="702" ht="25.5" customHeight="1"/>
    <row r="703" ht="25.5" customHeight="1"/>
    <row r="704" ht="25.5" customHeight="1"/>
    <row r="705" ht="25.5" customHeight="1"/>
    <row r="706" ht="25.5" customHeight="1"/>
    <row r="707" ht="25.5" customHeight="1"/>
    <row r="708" ht="25.5" customHeight="1"/>
    <row r="709" ht="25.5" customHeight="1"/>
    <row r="710" ht="25.5" customHeight="1"/>
    <row r="711" ht="25.5" customHeight="1"/>
    <row r="712" ht="25.5" customHeight="1"/>
    <row r="713" ht="25.5" customHeight="1"/>
    <row r="714" ht="25.5" customHeight="1"/>
    <row r="715" ht="25.5" customHeight="1"/>
    <row r="716" ht="25.5" customHeight="1"/>
    <row r="717" ht="25.5" customHeight="1"/>
    <row r="718" ht="25.5" customHeight="1"/>
    <row r="719" ht="25.5" customHeight="1"/>
    <row r="720" ht="25.5" customHeight="1"/>
    <row r="721" ht="25.5" customHeight="1"/>
    <row r="722" ht="25.5" customHeight="1"/>
    <row r="723" ht="25.5" customHeight="1"/>
    <row r="724" ht="25.5" customHeight="1"/>
    <row r="725" ht="25.5" customHeight="1"/>
    <row r="726" ht="25.5" customHeight="1"/>
    <row r="727" ht="25.5" customHeight="1"/>
    <row r="728" ht="25.5" customHeight="1"/>
    <row r="729" ht="25.5" customHeight="1"/>
    <row r="730" ht="25.5" customHeight="1"/>
    <row r="731" ht="25.5" customHeight="1"/>
    <row r="732" ht="25.5" customHeight="1"/>
    <row r="733" ht="25.5" customHeight="1"/>
    <row r="734" ht="25.5" customHeight="1"/>
    <row r="735" ht="25.5" customHeight="1"/>
    <row r="736" ht="25.5" customHeight="1"/>
    <row r="737" ht="25.5" customHeight="1"/>
    <row r="738" ht="25.5" customHeight="1"/>
    <row r="739" ht="25.5" customHeight="1"/>
    <row r="740" ht="25.5" customHeight="1"/>
    <row r="741" ht="25.5" customHeight="1"/>
    <row r="742" ht="25.5" customHeight="1"/>
    <row r="743" ht="25.5" customHeight="1"/>
    <row r="744" ht="25.5" customHeight="1"/>
    <row r="745" ht="25.5" customHeight="1"/>
    <row r="746" ht="25.5" customHeight="1"/>
    <row r="747" ht="25.5" customHeight="1"/>
    <row r="748" ht="25.5" customHeight="1"/>
    <row r="749" ht="25.5" customHeight="1"/>
    <row r="750" ht="25.5" customHeight="1"/>
    <row r="751" ht="25.5" customHeight="1"/>
    <row r="752" ht="25.5" customHeight="1"/>
    <row r="753" ht="25.5" customHeight="1"/>
    <row r="754" ht="25.5" customHeight="1"/>
    <row r="755" ht="25.5" customHeight="1"/>
    <row r="756" ht="25.5" customHeight="1"/>
    <row r="757" ht="25.5" customHeight="1"/>
    <row r="758" ht="25.5" customHeight="1"/>
    <row r="759" ht="25.5" customHeight="1"/>
    <row r="760" ht="25.5" customHeight="1"/>
    <row r="761" ht="25.5" customHeight="1"/>
    <row r="762" ht="25.5" customHeight="1"/>
    <row r="763" ht="25.5" customHeight="1"/>
    <row r="764" ht="25.5" customHeight="1"/>
    <row r="765" ht="25.5" customHeight="1"/>
    <row r="766" ht="25.5" customHeight="1"/>
    <row r="767" ht="25.5" customHeight="1"/>
    <row r="768" ht="25.5" customHeight="1"/>
    <row r="769" ht="25.5" customHeight="1"/>
    <row r="770" ht="25.5" customHeight="1"/>
    <row r="771" ht="25.5" customHeight="1"/>
    <row r="772" ht="25.5" customHeight="1"/>
    <row r="773" ht="25.5" customHeight="1"/>
    <row r="774" ht="25.5" customHeight="1"/>
    <row r="775" ht="25.5" customHeight="1"/>
    <row r="776" ht="25.5" customHeight="1"/>
    <row r="777" ht="25.5" customHeight="1"/>
    <row r="778" ht="25.5" customHeight="1"/>
    <row r="779" ht="25.5" customHeight="1"/>
    <row r="780" ht="25.5" customHeight="1"/>
    <row r="781" ht="25.5" customHeight="1"/>
    <row r="782" ht="25.5" customHeight="1"/>
    <row r="783" ht="25.5" customHeight="1"/>
    <row r="784" ht="25.5" customHeight="1"/>
    <row r="785" ht="25.5" customHeight="1"/>
    <row r="786" ht="25.5" customHeight="1"/>
    <row r="787" ht="25.5" customHeight="1"/>
    <row r="788" ht="25.5" customHeight="1"/>
    <row r="789" ht="25.5" customHeight="1"/>
    <row r="790" ht="25.5" customHeight="1"/>
    <row r="791" ht="25.5" customHeight="1"/>
    <row r="792" ht="25.5" customHeight="1"/>
    <row r="793" ht="25.5" customHeight="1"/>
    <row r="794" ht="25.5" customHeight="1"/>
    <row r="795" ht="25.5" customHeight="1"/>
    <row r="796" ht="25.5" customHeight="1"/>
    <row r="797" ht="25.5" customHeight="1"/>
    <row r="798" ht="25.5" customHeight="1"/>
    <row r="799" ht="25.5" customHeight="1"/>
    <row r="800" ht="25.5" customHeight="1"/>
    <row r="801" ht="25.5" customHeight="1"/>
    <row r="802" ht="25.5" customHeight="1"/>
    <row r="803" ht="25.5" customHeight="1"/>
    <row r="804" ht="25.5" customHeight="1"/>
    <row r="805" ht="25.5" customHeight="1"/>
    <row r="806" ht="25.5" customHeight="1"/>
    <row r="807" ht="25.5" customHeight="1"/>
    <row r="808" ht="25.5" customHeight="1"/>
    <row r="809" ht="25.5" customHeight="1"/>
    <row r="810" ht="25.5" customHeight="1"/>
    <row r="811" ht="25.5" customHeight="1"/>
    <row r="812" ht="25.5" customHeight="1"/>
    <row r="813" ht="25.5" customHeight="1"/>
    <row r="814" ht="25.5" customHeight="1"/>
    <row r="815" ht="25.5" customHeight="1"/>
    <row r="816" ht="25.5" customHeight="1"/>
    <row r="817" ht="25.5" customHeight="1"/>
    <row r="818" ht="25.5" customHeight="1"/>
    <row r="819" ht="25.5" customHeight="1"/>
    <row r="820" ht="25.5" customHeight="1"/>
    <row r="821" ht="25.5" customHeight="1"/>
    <row r="822" ht="25.5" customHeight="1"/>
    <row r="823" ht="25.5" customHeight="1"/>
    <row r="824" ht="25.5" customHeight="1"/>
    <row r="825" ht="25.5" customHeight="1"/>
    <row r="826" ht="25.5" customHeight="1"/>
    <row r="827" ht="25.5" customHeight="1"/>
    <row r="828" ht="25.5" customHeight="1"/>
    <row r="829" ht="25.5" customHeight="1"/>
    <row r="830" ht="25.5" customHeight="1"/>
    <row r="831" ht="25.5" customHeight="1"/>
    <row r="832" ht="25.5" customHeight="1"/>
    <row r="833" ht="25.5" customHeight="1"/>
    <row r="834" ht="25.5" customHeight="1"/>
    <row r="835" ht="25.5" customHeight="1"/>
    <row r="836" ht="25.5" customHeight="1"/>
    <row r="837" ht="25.5" customHeight="1"/>
    <row r="838" ht="25.5" customHeight="1"/>
    <row r="839" ht="25.5" customHeight="1"/>
    <row r="840" ht="25.5" customHeight="1"/>
    <row r="841" ht="25.5" customHeight="1"/>
    <row r="842" ht="25.5" customHeight="1"/>
    <row r="843" ht="25.5" customHeight="1"/>
    <row r="844" ht="25.5" customHeight="1"/>
    <row r="845" ht="25.5" customHeight="1"/>
    <row r="846" ht="25.5" customHeight="1"/>
    <row r="847" ht="25.5" customHeight="1"/>
    <row r="848" ht="25.5" customHeight="1"/>
    <row r="849" ht="25.5" customHeight="1"/>
    <row r="850" ht="25.5" customHeight="1"/>
    <row r="851" ht="25.5" customHeight="1"/>
    <row r="852" ht="25.5" customHeight="1"/>
    <row r="853" ht="25.5" customHeight="1"/>
    <row r="854" ht="25.5" customHeight="1"/>
    <row r="855" ht="25.5" customHeight="1"/>
    <row r="856" ht="25.5" customHeight="1"/>
    <row r="857" ht="25.5" customHeight="1"/>
    <row r="858" ht="25.5" customHeight="1"/>
    <row r="859" ht="25.5" customHeight="1"/>
    <row r="860" ht="25.5" customHeight="1"/>
    <row r="861" ht="25.5" customHeight="1"/>
    <row r="862" ht="25.5" customHeight="1"/>
    <row r="863" ht="25.5" customHeight="1"/>
    <row r="864" ht="25.5" customHeight="1"/>
    <row r="865" ht="25.5" customHeight="1"/>
    <row r="866" ht="25.5" customHeight="1"/>
    <row r="867" ht="25.5" customHeight="1"/>
    <row r="868" ht="25.5" customHeight="1"/>
    <row r="869" ht="25.5" customHeight="1"/>
    <row r="870" ht="25.5" customHeight="1"/>
    <row r="871" ht="25.5" customHeight="1"/>
    <row r="872" ht="25.5" customHeight="1"/>
    <row r="873" ht="25.5" customHeight="1"/>
    <row r="874" ht="25.5" customHeight="1"/>
    <row r="875" ht="25.5" customHeight="1"/>
    <row r="876" ht="25.5" customHeight="1"/>
    <row r="877" ht="25.5" customHeight="1"/>
    <row r="878" ht="25.5" customHeight="1"/>
    <row r="879" ht="25.5" customHeight="1"/>
    <row r="880" ht="25.5" customHeight="1"/>
    <row r="881" ht="25.5" customHeight="1"/>
    <row r="882" ht="25.5" customHeight="1"/>
    <row r="883" ht="25.5" customHeight="1"/>
    <row r="884" ht="25.5" customHeight="1"/>
    <row r="885" ht="25.5" customHeight="1"/>
    <row r="886" ht="25.5" customHeight="1"/>
    <row r="887" ht="25.5" customHeight="1"/>
    <row r="888" ht="25.5" customHeight="1"/>
    <row r="889" ht="25.5" customHeight="1"/>
    <row r="890" ht="25.5" customHeight="1"/>
    <row r="891" ht="25.5" customHeight="1"/>
    <row r="892" ht="25.5" customHeight="1"/>
    <row r="893" ht="25.5" customHeight="1"/>
    <row r="894" ht="25.5" customHeight="1"/>
    <row r="895" ht="25.5" customHeight="1"/>
    <row r="896" ht="25.5" customHeight="1"/>
    <row r="897" ht="25.5" customHeight="1"/>
    <row r="898" ht="25.5" customHeight="1"/>
    <row r="899" ht="25.5" customHeight="1"/>
    <row r="900" ht="25.5" customHeight="1"/>
    <row r="901" ht="25.5" customHeight="1"/>
    <row r="902" ht="25.5" customHeight="1"/>
    <row r="903" ht="25.5" customHeight="1"/>
    <row r="904" ht="25.5" customHeight="1"/>
    <row r="905" ht="25.5" customHeight="1"/>
    <row r="906" ht="25.5" customHeight="1"/>
    <row r="907" ht="25.5" customHeight="1"/>
    <row r="908" ht="25.5" customHeight="1"/>
    <row r="909" ht="25.5" customHeight="1"/>
    <row r="910" ht="25.5" customHeight="1"/>
    <row r="911" ht="25.5" customHeight="1"/>
    <row r="912" ht="25.5" customHeight="1"/>
    <row r="913" ht="25.5" customHeight="1"/>
    <row r="914" ht="25.5" customHeight="1"/>
    <row r="915" ht="25.5" customHeight="1"/>
    <row r="916" ht="25.5" customHeight="1"/>
    <row r="917" ht="25.5" customHeight="1"/>
    <row r="918" ht="25.5" customHeight="1"/>
    <row r="919" ht="25.5" customHeight="1"/>
    <row r="920" ht="25.5" customHeight="1"/>
    <row r="921" ht="25.5" customHeight="1"/>
    <row r="922" ht="25.5" customHeight="1"/>
    <row r="923" ht="25.5" customHeight="1"/>
    <row r="924" ht="25.5" customHeight="1"/>
    <row r="925" ht="25.5" customHeight="1"/>
    <row r="926" ht="25.5" customHeight="1"/>
    <row r="927" ht="25.5" customHeight="1"/>
    <row r="928" ht="25.5" customHeight="1"/>
    <row r="929" ht="25.5" customHeight="1"/>
    <row r="930" ht="25.5" customHeight="1"/>
    <row r="931" ht="25.5" customHeight="1"/>
    <row r="932" ht="25.5" customHeight="1"/>
    <row r="933" ht="25.5" customHeight="1"/>
    <row r="934" ht="25.5" customHeight="1"/>
    <row r="935" ht="25.5" customHeight="1"/>
    <row r="936" ht="25.5" customHeight="1"/>
    <row r="937" ht="25.5" customHeight="1"/>
    <row r="938" ht="25.5" customHeight="1"/>
    <row r="939" ht="25.5" customHeight="1"/>
    <row r="940" ht="25.5" customHeight="1"/>
    <row r="941" ht="25.5" customHeight="1"/>
    <row r="942" ht="25.5" customHeight="1"/>
    <row r="943" ht="25.5" customHeight="1"/>
    <row r="944" ht="25.5" customHeight="1"/>
    <row r="945" ht="25.5" customHeight="1"/>
    <row r="946" ht="25.5" customHeight="1"/>
    <row r="947" ht="25.5" customHeight="1"/>
    <row r="948" ht="25.5" customHeight="1"/>
    <row r="949" ht="25.5" customHeight="1"/>
    <row r="950" ht="25.5" customHeight="1"/>
    <row r="951" ht="25.5" customHeight="1"/>
    <row r="952" ht="25.5" customHeight="1"/>
    <row r="953" ht="25.5" customHeight="1"/>
    <row r="954" ht="25.5" customHeight="1"/>
    <row r="955" ht="25.5" customHeight="1"/>
    <row r="956" ht="25.5" customHeight="1"/>
    <row r="957" ht="25.5" customHeight="1"/>
    <row r="958" ht="25.5" customHeight="1"/>
    <row r="959" ht="25.5" customHeight="1"/>
    <row r="960" ht="25.5" customHeight="1"/>
    <row r="961" ht="25.5" customHeight="1"/>
    <row r="962" ht="25.5" customHeight="1"/>
    <row r="963" ht="25.5" customHeight="1"/>
    <row r="964" ht="25.5" customHeight="1"/>
    <row r="965" ht="25.5" customHeight="1"/>
    <row r="966" ht="25.5" customHeight="1"/>
    <row r="967" ht="25.5" customHeight="1"/>
    <row r="968" ht="25.5" customHeight="1"/>
    <row r="969" ht="25.5" customHeight="1"/>
    <row r="970" ht="25.5" customHeight="1"/>
    <row r="971" ht="25.5" customHeight="1"/>
    <row r="972" ht="25.5" customHeight="1"/>
    <row r="973" ht="25.5" customHeight="1"/>
    <row r="974" ht="25.5" customHeight="1"/>
    <row r="975" ht="25.5" customHeight="1"/>
    <row r="976" ht="25.5" customHeight="1"/>
    <row r="977" ht="25.5" customHeight="1"/>
  </sheetData>
  <mergeCells count="8">
    <mergeCell ref="A1:G1"/>
    <mergeCell ref="A2:A3"/>
    <mergeCell ref="B2:B3"/>
    <mergeCell ref="C2:C3"/>
    <mergeCell ref="D2:D3"/>
    <mergeCell ref="E2:E3"/>
    <mergeCell ref="F2:G2"/>
    <mergeCell ref="A180:C180"/>
  </mergeCells>
  <dataValidations>
    <dataValidation type="list" allowBlank="1" sqref="I4:I177">
      <formula1>"ON TIME(ALL CHECKED),2 MONTHS(ALL CHECKED),LATE SUBMIT (RETRO)"</formula1>
    </dataValidation>
  </dataValidations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7.0"/>
    <col customWidth="1" min="4" max="4" width="27.13"/>
    <col customWidth="1" min="5" max="5" width="43.75"/>
    <col customWidth="1" min="8" max="8" width="7.0"/>
    <col customWidth="1" min="9" max="9" width="25.88"/>
    <col customWidth="1" min="10" max="10" width="24.0"/>
  </cols>
  <sheetData>
    <row r="1" ht="33.0" customHeight="1">
      <c r="A1" s="30" t="s">
        <v>1875</v>
      </c>
      <c r="H1" s="31"/>
      <c r="I1" s="32" t="s">
        <v>1876</v>
      </c>
      <c r="J1" s="33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ht="23.25" customHeight="1">
      <c r="A2" s="281" t="s">
        <v>1</v>
      </c>
      <c r="B2" s="266" t="s">
        <v>11</v>
      </c>
      <c r="C2" s="266" t="s">
        <v>1452</v>
      </c>
      <c r="D2" s="266" t="s">
        <v>12</v>
      </c>
      <c r="E2" s="287" t="s">
        <v>13</v>
      </c>
      <c r="F2" s="37" t="s">
        <v>14</v>
      </c>
      <c r="G2" s="38"/>
      <c r="H2" s="39"/>
      <c r="I2" s="40"/>
      <c r="J2" s="40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 ht="30.75" customHeight="1">
      <c r="A3" s="41"/>
      <c r="B3" s="38"/>
      <c r="C3" s="38"/>
      <c r="D3" s="38"/>
      <c r="E3" s="38"/>
      <c r="F3" s="42" t="s">
        <v>15</v>
      </c>
      <c r="G3" s="43" t="s">
        <v>5</v>
      </c>
      <c r="H3" s="39"/>
      <c r="I3" s="44" t="s">
        <v>6</v>
      </c>
      <c r="J3" s="45" t="s">
        <v>7</v>
      </c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 ht="23.25" customHeight="1">
      <c r="A4" s="282">
        <v>1.0</v>
      </c>
      <c r="B4" s="47">
        <v>1015089.0</v>
      </c>
      <c r="C4" s="283" t="str">
        <f>vlookup(B4,'Crew data for number'!B:C,2,0)</f>
        <v>TAA7009</v>
      </c>
      <c r="D4" s="284" t="str">
        <f>vlookup(B4,'Crew Data'!C:G,5,0)</f>
        <v>#N/A</v>
      </c>
      <c r="E4" s="268">
        <v>43525.0</v>
      </c>
      <c r="F4" s="47">
        <v>1.0</v>
      </c>
      <c r="G4" s="50">
        <f t="shared" ref="G4:G91" si="1">F4*400</f>
        <v>400</v>
      </c>
      <c r="H4" s="22">
        <f t="shared" ref="H4:H91" si="2">COUNTIF(B:B,B4)</f>
        <v>1</v>
      </c>
      <c r="I4" s="51" t="s">
        <v>1768</v>
      </c>
      <c r="J4" s="40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</row>
    <row r="5" ht="23.25" customHeight="1">
      <c r="A5" s="54">
        <v>2.0</v>
      </c>
      <c r="B5" s="47">
        <v>1007273.0</v>
      </c>
      <c r="C5" s="283" t="str">
        <f>vlookup(B5,'Crew data for number'!B:C,2,0)</f>
        <v>TAA4089</v>
      </c>
      <c r="D5" s="284" t="str">
        <f>vlookup(B5,'Crew Data'!C:G,5,0)</f>
        <v>Sarinya Phontong</v>
      </c>
      <c r="E5" s="267" t="s">
        <v>1877</v>
      </c>
      <c r="F5" s="47">
        <v>30.0</v>
      </c>
      <c r="G5" s="50">
        <f t="shared" si="1"/>
        <v>12000</v>
      </c>
      <c r="H5" s="22">
        <f t="shared" si="2"/>
        <v>1</v>
      </c>
      <c r="I5" s="51" t="s">
        <v>1768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</row>
    <row r="6" ht="23.25" customHeight="1">
      <c r="A6" s="54">
        <v>3.0</v>
      </c>
      <c r="B6" s="47">
        <v>1009843.0</v>
      </c>
      <c r="C6" s="283" t="str">
        <f>vlookup(B6,'Crew data for number'!B:C,2,0)</f>
        <v>TAA5139</v>
      </c>
      <c r="D6" s="284" t="str">
        <f>vlookup(B6,'Crew Data'!C:G,5,0)</f>
        <v>#N/A</v>
      </c>
      <c r="E6" s="267" t="s">
        <v>1878</v>
      </c>
      <c r="F6" s="47">
        <v>56.0</v>
      </c>
      <c r="G6" s="50">
        <f t="shared" si="1"/>
        <v>22400</v>
      </c>
      <c r="H6" s="22">
        <f t="shared" si="2"/>
        <v>1</v>
      </c>
      <c r="I6" s="51" t="s">
        <v>1770</v>
      </c>
      <c r="J6" s="179" t="s">
        <v>1879</v>
      </c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</row>
    <row r="7" ht="23.25" customHeight="1">
      <c r="A7" s="282">
        <v>4.0</v>
      </c>
      <c r="B7" s="47">
        <v>1017656.0</v>
      </c>
      <c r="C7" s="283" t="str">
        <f>vlookup(B7,'Crew data for number'!B:C,2,0)</f>
        <v>TAA7525</v>
      </c>
      <c r="D7" s="284" t="str">
        <f>vlookup(B7,'Crew Data'!C:G,5,0)</f>
        <v>#N/A</v>
      </c>
      <c r="E7" s="267" t="s">
        <v>1880</v>
      </c>
      <c r="F7" s="47">
        <v>31.0</v>
      </c>
      <c r="G7" s="50">
        <f t="shared" si="1"/>
        <v>12400</v>
      </c>
      <c r="H7" s="22">
        <f t="shared" si="2"/>
        <v>1</v>
      </c>
      <c r="I7" s="51" t="s">
        <v>1770</v>
      </c>
      <c r="J7" s="179" t="s">
        <v>1879</v>
      </c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</row>
    <row r="8" ht="23.25" customHeight="1">
      <c r="A8" s="54">
        <v>5.0</v>
      </c>
      <c r="B8" s="47">
        <v>1009818.0</v>
      </c>
      <c r="C8" s="283" t="str">
        <f>vlookup(B8,'Crew data for number'!B:C,2,0)</f>
        <v>TAA5147</v>
      </c>
      <c r="D8" s="284" t="str">
        <f>vlookup(B8,'Crew Data'!C:G,5,0)</f>
        <v>#N/A</v>
      </c>
      <c r="E8" s="267" t="s">
        <v>1881</v>
      </c>
      <c r="F8" s="47">
        <v>27.0</v>
      </c>
      <c r="G8" s="50">
        <f t="shared" si="1"/>
        <v>10800</v>
      </c>
      <c r="H8" s="22">
        <f t="shared" si="2"/>
        <v>1</v>
      </c>
      <c r="I8" s="51" t="s">
        <v>1768</v>
      </c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</row>
    <row r="9" ht="23.25" customHeight="1">
      <c r="A9" s="54">
        <v>6.0</v>
      </c>
      <c r="B9" s="47">
        <v>1018972.0</v>
      </c>
      <c r="C9" s="283" t="str">
        <f>vlookup(B9,'Crew data for number'!B:C,2,0)</f>
        <v>TAA7848</v>
      </c>
      <c r="D9" s="284" t="str">
        <f>vlookup(B9,'Crew Data'!C:G,5,0)</f>
        <v>#N/A</v>
      </c>
      <c r="E9" s="267" t="s">
        <v>1882</v>
      </c>
      <c r="F9" s="47">
        <v>29.0</v>
      </c>
      <c r="G9" s="50">
        <f t="shared" si="1"/>
        <v>11600</v>
      </c>
      <c r="H9" s="22">
        <f t="shared" si="2"/>
        <v>1</v>
      </c>
      <c r="I9" s="51" t="s">
        <v>1770</v>
      </c>
      <c r="J9" s="179" t="s">
        <v>1879</v>
      </c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</row>
    <row r="10" ht="23.25" customHeight="1">
      <c r="A10" s="282">
        <v>7.0</v>
      </c>
      <c r="B10" s="47">
        <v>1011820.0</v>
      </c>
      <c r="C10" s="283" t="str">
        <f>vlookup(B10,'Crew data for number'!B:C,2,0)</f>
        <v>TAA6097</v>
      </c>
      <c r="D10" s="284" t="str">
        <f>vlookup(B10,'Crew Data'!C:G,5,0)</f>
        <v>Nitithorn Chiangpradit</v>
      </c>
      <c r="E10" s="267" t="s">
        <v>1883</v>
      </c>
      <c r="F10" s="47">
        <v>4.0</v>
      </c>
      <c r="G10" s="50">
        <f t="shared" si="1"/>
        <v>1600</v>
      </c>
      <c r="H10" s="22">
        <f t="shared" si="2"/>
        <v>1</v>
      </c>
      <c r="I10" s="51" t="s">
        <v>1768</v>
      </c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</row>
    <row r="11" ht="23.25" customHeight="1">
      <c r="A11" s="54">
        <v>8.0</v>
      </c>
      <c r="B11" s="47">
        <v>1006750.0</v>
      </c>
      <c r="C11" s="283" t="str">
        <f>vlookup(B11,'Crew data for number'!B:C,2,0)</f>
        <v>TAA3816</v>
      </c>
      <c r="D11" s="284" t="str">
        <f>vlookup(B11,'Crew Data'!C:G,5,0)</f>
        <v>Supada Wanichapat</v>
      </c>
      <c r="E11" s="267" t="s">
        <v>1884</v>
      </c>
      <c r="F11" s="47">
        <v>31.0</v>
      </c>
      <c r="G11" s="50">
        <f t="shared" si="1"/>
        <v>12400</v>
      </c>
      <c r="H11" s="22">
        <f t="shared" si="2"/>
        <v>1</v>
      </c>
      <c r="I11" s="51" t="s">
        <v>1768</v>
      </c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</row>
    <row r="12" ht="23.25" customHeight="1">
      <c r="A12" s="54">
        <v>9.0</v>
      </c>
      <c r="B12" s="47">
        <v>1010926.0</v>
      </c>
      <c r="C12" s="283" t="str">
        <f>vlookup(B12,'Crew data for number'!B:C,2,0)</f>
        <v>TAA5528</v>
      </c>
      <c r="D12" s="284" t="str">
        <f>vlookup(B12,'Crew Data'!C:G,5,0)</f>
        <v>Thanchanoth Chiwnarupai</v>
      </c>
      <c r="E12" s="267" t="s">
        <v>1885</v>
      </c>
      <c r="F12" s="47">
        <v>31.0</v>
      </c>
      <c r="G12" s="50">
        <f t="shared" si="1"/>
        <v>12400</v>
      </c>
      <c r="H12" s="22">
        <f t="shared" si="2"/>
        <v>1</v>
      </c>
      <c r="I12" s="51" t="s">
        <v>1770</v>
      </c>
      <c r="J12" s="179" t="s">
        <v>1879</v>
      </c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</row>
    <row r="13" ht="23.25" customHeight="1">
      <c r="A13" s="282">
        <v>10.0</v>
      </c>
      <c r="B13" s="47">
        <v>1005296.0</v>
      </c>
      <c r="C13" s="283" t="str">
        <f>vlookup(B13,'Crew data for number'!B:C,2,0)</f>
        <v>TAA3197</v>
      </c>
      <c r="D13" s="284" t="str">
        <f>vlookup(B13,'Crew Data'!C:G,5,0)</f>
        <v>#N/A</v>
      </c>
      <c r="E13" s="267" t="s">
        <v>1886</v>
      </c>
      <c r="F13" s="47">
        <v>56.0</v>
      </c>
      <c r="G13" s="50">
        <f t="shared" si="1"/>
        <v>22400</v>
      </c>
      <c r="H13" s="22">
        <f t="shared" si="2"/>
        <v>1</v>
      </c>
      <c r="I13" s="51" t="s">
        <v>1770</v>
      </c>
      <c r="J13" s="179" t="s">
        <v>1879</v>
      </c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 ht="23.25" customHeight="1">
      <c r="A14" s="54">
        <v>11.0</v>
      </c>
      <c r="B14" s="47">
        <v>1007258.0</v>
      </c>
      <c r="C14" s="283" t="str">
        <f>vlookup(B14,'Crew data for number'!B:C,2,0)</f>
        <v>TAA4090</v>
      </c>
      <c r="D14" s="284" t="str">
        <f>vlookup(B14,'Crew Data'!C:G,5,0)</f>
        <v>#N/A</v>
      </c>
      <c r="E14" s="267" t="s">
        <v>1887</v>
      </c>
      <c r="F14" s="47">
        <v>2.0</v>
      </c>
      <c r="G14" s="50">
        <f t="shared" si="1"/>
        <v>800</v>
      </c>
      <c r="H14" s="22">
        <f t="shared" si="2"/>
        <v>1</v>
      </c>
      <c r="I14" s="51" t="s">
        <v>1763</v>
      </c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</row>
    <row r="15" ht="23.25" customHeight="1">
      <c r="A15" s="54">
        <v>12.0</v>
      </c>
      <c r="B15" s="47">
        <v>1022697.0</v>
      </c>
      <c r="C15" s="296" t="str">
        <f>vlookup(B15,'Crew data for number'!B:C,2,0)</f>
        <v/>
      </c>
      <c r="D15" s="284" t="str">
        <f>vlookup(B15,'Crew Data'!C:G,5,0)</f>
        <v>#N/A</v>
      </c>
      <c r="E15" s="268">
        <v>43556.0</v>
      </c>
      <c r="F15" s="47">
        <v>1.0</v>
      </c>
      <c r="G15" s="50">
        <f t="shared" si="1"/>
        <v>400</v>
      </c>
      <c r="H15" s="22">
        <f t="shared" si="2"/>
        <v>1</v>
      </c>
      <c r="I15" s="51" t="s">
        <v>1763</v>
      </c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</row>
    <row r="16" ht="23.25" customHeight="1">
      <c r="A16" s="282">
        <v>13.0</v>
      </c>
      <c r="B16" s="47">
        <v>1019191.0</v>
      </c>
      <c r="C16" s="283" t="str">
        <f>vlookup(B16,'Crew data for number'!B:C,2,0)</f>
        <v>TAA7888</v>
      </c>
      <c r="D16" s="284" t="str">
        <f>vlookup(B16,'Crew Data'!C:G,5,0)</f>
        <v>Nathamonphan Boonyakiat</v>
      </c>
      <c r="E16" s="267" t="s">
        <v>1888</v>
      </c>
      <c r="F16" s="47">
        <v>2.0</v>
      </c>
      <c r="G16" s="50">
        <f t="shared" si="1"/>
        <v>800</v>
      </c>
      <c r="H16" s="22">
        <f t="shared" si="2"/>
        <v>1</v>
      </c>
      <c r="I16" s="51" t="s">
        <v>1763</v>
      </c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</row>
    <row r="17" ht="23.25" customHeight="1">
      <c r="A17" s="54">
        <v>14.0</v>
      </c>
      <c r="B17" s="47">
        <v>1014316.0</v>
      </c>
      <c r="C17" s="283" t="str">
        <f>vlookup(B17,'Crew data for number'!B:C,2,0)</f>
        <v>TAA6858</v>
      </c>
      <c r="D17" s="284" t="str">
        <f>vlookup(B17,'Crew Data'!C:G,5,0)</f>
        <v>Eakapol Tuncharoen</v>
      </c>
      <c r="E17" s="267" t="s">
        <v>1889</v>
      </c>
      <c r="F17" s="47">
        <v>4.0</v>
      </c>
      <c r="G17" s="50">
        <f t="shared" si="1"/>
        <v>1600</v>
      </c>
      <c r="H17" s="22">
        <f t="shared" si="2"/>
        <v>1</v>
      </c>
      <c r="I17" s="51" t="s">
        <v>1763</v>
      </c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</row>
    <row r="18" ht="23.25" customHeight="1">
      <c r="A18" s="54">
        <v>15.0</v>
      </c>
      <c r="B18" s="47">
        <v>1007424.0</v>
      </c>
      <c r="C18" s="283" t="str">
        <f>vlookup(B18,'Crew data for number'!B:C,2,0)</f>
        <v>TAA4074</v>
      </c>
      <c r="D18" s="284" t="str">
        <f>vlookup(B18,'Crew Data'!C:G,5,0)</f>
        <v>#N/A</v>
      </c>
      <c r="E18" s="268">
        <v>43556.0</v>
      </c>
      <c r="F18" s="47">
        <v>1.0</v>
      </c>
      <c r="G18" s="50">
        <f t="shared" si="1"/>
        <v>400</v>
      </c>
      <c r="H18" s="22">
        <f t="shared" si="2"/>
        <v>1</v>
      </c>
      <c r="I18" s="51" t="s">
        <v>1763</v>
      </c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</row>
    <row r="19" ht="23.25" customHeight="1">
      <c r="A19" s="282">
        <v>16.0</v>
      </c>
      <c r="B19" s="47">
        <v>1012362.0</v>
      </c>
      <c r="C19" s="283" t="str">
        <f>vlookup(B19,'Crew data for number'!B:C,2,0)</f>
        <v>TAA6131</v>
      </c>
      <c r="D19" s="284" t="str">
        <f>vlookup(B19,'Crew Data'!C:G,5,0)</f>
        <v>Patcharagorn Chankhong</v>
      </c>
      <c r="E19" s="267" t="s">
        <v>1890</v>
      </c>
      <c r="F19" s="47">
        <v>15.0</v>
      </c>
      <c r="G19" s="50">
        <f t="shared" si="1"/>
        <v>6000</v>
      </c>
      <c r="H19" s="22">
        <f t="shared" si="2"/>
        <v>1</v>
      </c>
      <c r="I19" s="51" t="s">
        <v>1763</v>
      </c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</row>
    <row r="20" ht="23.25" customHeight="1">
      <c r="A20" s="54">
        <v>17.0</v>
      </c>
      <c r="B20" s="47">
        <v>1014346.0</v>
      </c>
      <c r="C20" s="283" t="str">
        <f>vlookup(B20,'Crew data for number'!B:C,2,0)</f>
        <v>TAA6860</v>
      </c>
      <c r="D20" s="284" t="str">
        <f>vlookup(B20,'Crew Data'!C:G,5,0)</f>
        <v>Narongchai Mongkolchartthai</v>
      </c>
      <c r="E20" s="267" t="s">
        <v>1891</v>
      </c>
      <c r="F20" s="47">
        <v>2.0</v>
      </c>
      <c r="G20" s="50">
        <f t="shared" si="1"/>
        <v>800</v>
      </c>
      <c r="H20" s="22">
        <f t="shared" si="2"/>
        <v>1</v>
      </c>
      <c r="I20" s="51" t="s">
        <v>1763</v>
      </c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</row>
    <row r="21" ht="23.25" customHeight="1">
      <c r="A21" s="54">
        <v>18.0</v>
      </c>
      <c r="B21" s="47">
        <v>1007001.0</v>
      </c>
      <c r="C21" s="283" t="str">
        <f>vlookup(B21,'Crew data for number'!B:C,2,0)</f>
        <v>TAA3941</v>
      </c>
      <c r="D21" s="284" t="str">
        <f>vlookup(B21,'Crew Data'!C:G,5,0)</f>
        <v>Phakrapee Fuengprang</v>
      </c>
      <c r="E21" s="268">
        <v>43556.0</v>
      </c>
      <c r="F21" s="47">
        <v>1.0</v>
      </c>
      <c r="G21" s="50">
        <f t="shared" si="1"/>
        <v>400</v>
      </c>
      <c r="H21" s="22">
        <f t="shared" si="2"/>
        <v>1</v>
      </c>
      <c r="I21" s="51" t="s">
        <v>1763</v>
      </c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</row>
    <row r="22" ht="23.25" customHeight="1">
      <c r="A22" s="282">
        <v>19.0</v>
      </c>
      <c r="B22" s="47">
        <v>1018530.0</v>
      </c>
      <c r="C22" s="283" t="str">
        <f>vlookup(B22,'Crew data for number'!B:C,2,0)</f>
        <v>TAA7750</v>
      </c>
      <c r="D22" s="284" t="str">
        <f>vlookup(B22,'Crew Data'!C:G,5,0)</f>
        <v>Chaniporn Thanaworrapak</v>
      </c>
      <c r="E22" s="268">
        <v>43556.0</v>
      </c>
      <c r="F22" s="47">
        <v>1.0</v>
      </c>
      <c r="G22" s="50">
        <f t="shared" si="1"/>
        <v>400</v>
      </c>
      <c r="H22" s="22">
        <f t="shared" si="2"/>
        <v>1</v>
      </c>
      <c r="I22" s="51" t="s">
        <v>1763</v>
      </c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</row>
    <row r="23" ht="23.25" customHeight="1">
      <c r="A23" s="54">
        <v>20.0</v>
      </c>
      <c r="B23" s="47">
        <v>1001233.0</v>
      </c>
      <c r="C23" s="283" t="str">
        <f>vlookup(B23,'Crew data for number'!B:C,2,0)</f>
        <v>TAA1562</v>
      </c>
      <c r="D23" s="284" t="str">
        <f>vlookup(B23,'Crew Data'!C:G,5,0)</f>
        <v>Sasithorn Wonglee</v>
      </c>
      <c r="E23" s="267" t="s">
        <v>1892</v>
      </c>
      <c r="F23" s="47">
        <v>19.0</v>
      </c>
      <c r="G23" s="50">
        <f t="shared" si="1"/>
        <v>7600</v>
      </c>
      <c r="H23" s="22">
        <f t="shared" si="2"/>
        <v>1</v>
      </c>
      <c r="I23" s="51" t="s">
        <v>1763</v>
      </c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ht="23.25" customHeight="1">
      <c r="A24" s="54">
        <v>21.0</v>
      </c>
      <c r="B24" s="47">
        <v>1012899.0</v>
      </c>
      <c r="C24" s="283" t="str">
        <f>vlookup(B24,'Crew data for number'!B:C,2,0)</f>
        <v>TAA6369</v>
      </c>
      <c r="D24" s="284" t="str">
        <f>vlookup(B24,'Crew Data'!C:G,5,0)</f>
        <v>Pichaya Sonthigorn</v>
      </c>
      <c r="E24" s="267" t="s">
        <v>1893</v>
      </c>
      <c r="F24" s="47">
        <v>53.0</v>
      </c>
      <c r="G24" s="50">
        <f t="shared" si="1"/>
        <v>21200</v>
      </c>
      <c r="H24" s="22">
        <f t="shared" si="2"/>
        <v>1</v>
      </c>
      <c r="I24" s="51" t="s">
        <v>1768</v>
      </c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</row>
    <row r="25" ht="23.25" customHeight="1">
      <c r="A25" s="282">
        <v>22.0</v>
      </c>
      <c r="B25" s="47">
        <v>1013166.0</v>
      </c>
      <c r="C25" s="283" t="str">
        <f>vlookup(B25,'Crew data for number'!B:C,2,0)</f>
        <v>TAA6394</v>
      </c>
      <c r="D25" s="284" t="str">
        <f>vlookup(B25,'Crew Data'!C:G,5,0)</f>
        <v>#N/A</v>
      </c>
      <c r="E25" s="267" t="s">
        <v>1894</v>
      </c>
      <c r="F25" s="47">
        <v>28.0</v>
      </c>
      <c r="G25" s="50">
        <f t="shared" si="1"/>
        <v>11200</v>
      </c>
      <c r="H25" s="22">
        <f t="shared" si="2"/>
        <v>1</v>
      </c>
      <c r="I25" s="51" t="s">
        <v>1768</v>
      </c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 ht="23.25" customHeight="1">
      <c r="A26" s="54">
        <v>23.0</v>
      </c>
      <c r="B26" s="47">
        <v>1017655.0</v>
      </c>
      <c r="C26" s="283" t="str">
        <f>vlookup(B26,'Crew data for number'!B:C,2,0)</f>
        <v>TAA7522</v>
      </c>
      <c r="D26" s="284" t="str">
        <f>vlookup(B26,'Crew Data'!C:G,5,0)</f>
        <v>Waris Suaprasert</v>
      </c>
      <c r="E26" s="267" t="s">
        <v>1895</v>
      </c>
      <c r="F26" s="47">
        <v>30.0</v>
      </c>
      <c r="G26" s="50">
        <f t="shared" si="1"/>
        <v>12000</v>
      </c>
      <c r="H26" s="22">
        <f t="shared" si="2"/>
        <v>1</v>
      </c>
      <c r="I26" s="51" t="s">
        <v>1768</v>
      </c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 ht="23.25" customHeight="1">
      <c r="A27" s="54">
        <v>24.0</v>
      </c>
      <c r="B27" s="47">
        <v>1005326.0</v>
      </c>
      <c r="C27" s="283" t="str">
        <f>vlookup(B27,'Crew data for number'!B:C,2,0)</f>
        <v>TAA3479</v>
      </c>
      <c r="D27" s="284" t="str">
        <f>vlookup(B27,'Crew Data'!C:G,5,0)</f>
        <v>Pakornpoj Lertsmitivant</v>
      </c>
      <c r="E27" s="267" t="s">
        <v>1896</v>
      </c>
      <c r="F27" s="47">
        <v>29.0</v>
      </c>
      <c r="G27" s="50">
        <f t="shared" si="1"/>
        <v>11600</v>
      </c>
      <c r="H27" s="22">
        <f t="shared" si="2"/>
        <v>1</v>
      </c>
      <c r="I27" s="51" t="s">
        <v>1768</v>
      </c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 ht="23.25" customHeight="1">
      <c r="A28" s="282">
        <v>25.0</v>
      </c>
      <c r="B28" s="47">
        <v>1023584.0</v>
      </c>
      <c r="C28" s="296" t="str">
        <f>vlookup(B28,'Crew data for number'!B:C,2,0)</f>
        <v/>
      </c>
      <c r="D28" s="284" t="str">
        <f>vlookup(B28,'Crew Data'!C:G,5,0)</f>
        <v>#N/A</v>
      </c>
      <c r="E28" s="267" t="s">
        <v>1897</v>
      </c>
      <c r="F28" s="47">
        <v>59.0</v>
      </c>
      <c r="G28" s="50">
        <f t="shared" si="1"/>
        <v>23600</v>
      </c>
      <c r="H28" s="22">
        <f t="shared" si="2"/>
        <v>1</v>
      </c>
      <c r="I28" s="51" t="s">
        <v>1770</v>
      </c>
      <c r="J28" s="179" t="s">
        <v>1879</v>
      </c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 ht="23.25" customHeight="1">
      <c r="A29" s="54">
        <v>26.0</v>
      </c>
      <c r="B29" s="47">
        <v>1007003.0</v>
      </c>
      <c r="C29" s="283" t="str">
        <f>vlookup(B29,'Crew data for number'!B:C,2,0)</f>
        <v>TAA3933</v>
      </c>
      <c r="D29" s="284" t="str">
        <f>vlookup(B29,'Crew Data'!C:G,5,0)</f>
        <v>Ravipa Tumsen</v>
      </c>
      <c r="E29" s="268">
        <v>43556.0</v>
      </c>
      <c r="F29" s="47">
        <v>1.0</v>
      </c>
      <c r="G29" s="50">
        <f t="shared" si="1"/>
        <v>400</v>
      </c>
      <c r="H29" s="22">
        <f t="shared" si="2"/>
        <v>1</v>
      </c>
      <c r="I29" s="51" t="s">
        <v>1763</v>
      </c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 ht="23.25" customHeight="1">
      <c r="A30" s="54">
        <v>27.0</v>
      </c>
      <c r="B30" s="47">
        <v>1006899.0</v>
      </c>
      <c r="C30" s="283" t="str">
        <f>vlookup(B30,'Crew data for number'!B:C,2,0)</f>
        <v>TAA3897</v>
      </c>
      <c r="D30" s="284" t="str">
        <f>vlookup(B30,'Crew Data'!C:G,5,0)</f>
        <v>Phakchira Charoensuk</v>
      </c>
      <c r="E30" s="267" t="s">
        <v>1898</v>
      </c>
      <c r="F30" s="47">
        <v>4.0</v>
      </c>
      <c r="G30" s="50">
        <f t="shared" si="1"/>
        <v>1600</v>
      </c>
      <c r="H30" s="22">
        <f t="shared" si="2"/>
        <v>1</v>
      </c>
      <c r="I30" s="51" t="s">
        <v>1763</v>
      </c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</row>
    <row r="31" ht="23.25" customHeight="1">
      <c r="A31" s="282">
        <v>28.0</v>
      </c>
      <c r="B31" s="47">
        <v>1012174.0</v>
      </c>
      <c r="C31" s="283" t="str">
        <f>vlookup(B31,'Crew data for number'!B:C,2,0)</f>
        <v>TAA5985</v>
      </c>
      <c r="D31" s="284" t="str">
        <f>vlookup(B31,'Crew Data'!C:G,5,0)</f>
        <v>Parnnachai Srirat</v>
      </c>
      <c r="E31" s="267" t="s">
        <v>1899</v>
      </c>
      <c r="F31" s="47">
        <v>30.0</v>
      </c>
      <c r="G31" s="50">
        <f t="shared" si="1"/>
        <v>12000</v>
      </c>
      <c r="H31" s="22">
        <f t="shared" si="2"/>
        <v>1</v>
      </c>
      <c r="I31" s="51" t="s">
        <v>1768</v>
      </c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 ht="23.25" customHeight="1">
      <c r="A32" s="54">
        <v>29.0</v>
      </c>
      <c r="B32" s="47">
        <v>1018980.0</v>
      </c>
      <c r="C32" s="283" t="str">
        <f>vlookup(B32,'Crew data for number'!B:C,2,0)</f>
        <v>TAA7838</v>
      </c>
      <c r="D32" s="284" t="str">
        <f>vlookup(B32,'Crew Data'!C:G,5,0)</f>
        <v>#N/A</v>
      </c>
      <c r="E32" s="267" t="s">
        <v>1900</v>
      </c>
      <c r="F32" s="47">
        <v>28.0</v>
      </c>
      <c r="G32" s="50">
        <f t="shared" si="1"/>
        <v>11200</v>
      </c>
      <c r="H32" s="22">
        <f t="shared" si="2"/>
        <v>1</v>
      </c>
      <c r="I32" s="51" t="s">
        <v>1763</v>
      </c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 ht="23.25" customHeight="1">
      <c r="A33" s="54">
        <v>30.0</v>
      </c>
      <c r="B33" s="47">
        <v>1012360.0</v>
      </c>
      <c r="C33" s="283" t="str">
        <f>vlookup(B33,'Crew data for number'!B:C,2,0)</f>
        <v>TAA6125</v>
      </c>
      <c r="D33" s="284" t="str">
        <f>vlookup(B33,'Crew Data'!C:G,5,0)</f>
        <v>Mintra Tunta-A-Riya</v>
      </c>
      <c r="E33" s="267" t="s">
        <v>1901</v>
      </c>
      <c r="F33" s="47">
        <v>6.0</v>
      </c>
      <c r="G33" s="50">
        <f t="shared" si="1"/>
        <v>2400</v>
      </c>
      <c r="H33" s="22">
        <f t="shared" si="2"/>
        <v>1</v>
      </c>
      <c r="I33" s="51" t="s">
        <v>1763</v>
      </c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</row>
    <row r="34" ht="23.25" customHeight="1">
      <c r="A34" s="282">
        <v>31.0</v>
      </c>
      <c r="B34" s="47">
        <v>1014353.0</v>
      </c>
      <c r="C34" s="283" t="str">
        <f>vlookup(B34,'Crew data for number'!B:C,2,0)</f>
        <v>TAA6862</v>
      </c>
      <c r="D34" s="284" t="str">
        <f>vlookup(B34,'Crew Data'!C:G,5,0)</f>
        <v>Pornnapat Kittimontreechai</v>
      </c>
      <c r="E34" s="267" t="s">
        <v>1900</v>
      </c>
      <c r="F34" s="47">
        <v>28.0</v>
      </c>
      <c r="G34" s="50">
        <f t="shared" si="1"/>
        <v>11200</v>
      </c>
      <c r="H34" s="22">
        <f t="shared" si="2"/>
        <v>1</v>
      </c>
      <c r="I34" s="51" t="s">
        <v>1763</v>
      </c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</row>
    <row r="35" ht="23.25" customHeight="1">
      <c r="A35" s="54">
        <v>32.0</v>
      </c>
      <c r="B35" s="47">
        <v>1022220.0</v>
      </c>
      <c r="C35" s="296" t="str">
        <f>vlookup(B35,'Crew data for number'!B:C,2,0)</f>
        <v/>
      </c>
      <c r="D35" s="284" t="str">
        <f>vlookup(B35,'Crew Data'!C:G,5,0)</f>
        <v>#N/A</v>
      </c>
      <c r="E35" s="267" t="s">
        <v>1884</v>
      </c>
      <c r="F35" s="47">
        <v>31.0</v>
      </c>
      <c r="G35" s="50">
        <f t="shared" si="1"/>
        <v>12400</v>
      </c>
      <c r="H35" s="22">
        <f t="shared" si="2"/>
        <v>1</v>
      </c>
      <c r="I35" s="51" t="s">
        <v>1768</v>
      </c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</row>
    <row r="36" ht="23.25" customHeight="1">
      <c r="A36" s="54">
        <v>33.0</v>
      </c>
      <c r="B36" s="47">
        <v>1017930.0</v>
      </c>
      <c r="C36" s="283" t="str">
        <f>vlookup(B36,'Crew data for number'!B:C,2,0)</f>
        <v>TAA7534</v>
      </c>
      <c r="D36" s="284" t="str">
        <f>vlookup(B36,'Crew Data'!C:G,5,0)</f>
        <v>#N/A</v>
      </c>
      <c r="E36" s="267" t="s">
        <v>1902</v>
      </c>
      <c r="F36" s="47">
        <v>25.0</v>
      </c>
      <c r="G36" s="50">
        <f t="shared" si="1"/>
        <v>10000</v>
      </c>
      <c r="H36" s="22">
        <f t="shared" si="2"/>
        <v>1</v>
      </c>
      <c r="I36" s="51" t="s">
        <v>1768</v>
      </c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</row>
    <row r="37" ht="23.25" customHeight="1">
      <c r="A37" s="282">
        <v>34.0</v>
      </c>
      <c r="B37" s="47">
        <v>1012158.0</v>
      </c>
      <c r="C37" s="283" t="str">
        <f>vlookup(B37,'Crew data for number'!B:C,2,0)</f>
        <v>TAA5986</v>
      </c>
      <c r="D37" s="284" t="str">
        <f>vlookup(B37,'Crew Data'!C:G,5,0)</f>
        <v>Itthipong Khanthonglor</v>
      </c>
      <c r="E37" s="267" t="s">
        <v>1903</v>
      </c>
      <c r="F37" s="47">
        <v>3.0</v>
      </c>
      <c r="G37" s="50">
        <f t="shared" si="1"/>
        <v>1200</v>
      </c>
      <c r="H37" s="22">
        <f t="shared" si="2"/>
        <v>1</v>
      </c>
      <c r="I37" s="51" t="s">
        <v>1768</v>
      </c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 ht="23.25" customHeight="1">
      <c r="A38" s="54">
        <v>35.0</v>
      </c>
      <c r="B38" s="47">
        <v>1004040.0</v>
      </c>
      <c r="C38" s="283" t="str">
        <f>vlookup(B38,'Crew data for number'!B:C,2,0)</f>
        <v>TAA2584</v>
      </c>
      <c r="D38" s="284" t="str">
        <f>vlookup(B38,'Crew Data'!C:G,5,0)</f>
        <v>#N/A</v>
      </c>
      <c r="E38" s="267" t="s">
        <v>1904</v>
      </c>
      <c r="F38" s="47">
        <v>4.0</v>
      </c>
      <c r="G38" s="50">
        <f t="shared" si="1"/>
        <v>1600</v>
      </c>
      <c r="H38" s="22">
        <f t="shared" si="2"/>
        <v>1</v>
      </c>
      <c r="I38" s="51" t="s">
        <v>1763</v>
      </c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 ht="23.25" customHeight="1">
      <c r="A39" s="54">
        <v>36.0</v>
      </c>
      <c r="B39" s="47">
        <v>1012363.0</v>
      </c>
      <c r="C39" s="283" t="str">
        <f>vlookup(B39,'Crew data for number'!B:C,2,0)</f>
        <v>TAA6129</v>
      </c>
      <c r="D39" s="284" t="str">
        <f>vlookup(B39,'Crew Data'!C:G,5,0)</f>
        <v>#N/A</v>
      </c>
      <c r="E39" s="267" t="s">
        <v>1905</v>
      </c>
      <c r="F39" s="47">
        <v>27.0</v>
      </c>
      <c r="G39" s="50">
        <f t="shared" si="1"/>
        <v>10800</v>
      </c>
      <c r="H39" s="22">
        <f t="shared" si="2"/>
        <v>1</v>
      </c>
      <c r="I39" s="51" t="s">
        <v>1763</v>
      </c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</row>
    <row r="40" ht="23.25" customHeight="1">
      <c r="A40" s="282">
        <v>37.0</v>
      </c>
      <c r="B40" s="47">
        <v>1004213.0</v>
      </c>
      <c r="C40" s="283" t="str">
        <f>vlookup(B40,'Crew data for number'!B:C,2,0)</f>
        <v>TAA2674</v>
      </c>
      <c r="D40" s="284" t="str">
        <f>vlookup(B40,'Crew Data'!C:G,5,0)</f>
        <v>Worapada Suetrongmunkong</v>
      </c>
      <c r="E40" s="267" t="s">
        <v>1767</v>
      </c>
      <c r="F40" s="47">
        <v>30.0</v>
      </c>
      <c r="G40" s="50">
        <f t="shared" si="1"/>
        <v>12000</v>
      </c>
      <c r="H40" s="22">
        <f t="shared" si="2"/>
        <v>1</v>
      </c>
      <c r="I40" s="51" t="s">
        <v>1763</v>
      </c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 ht="23.25" customHeight="1">
      <c r="A41" s="54">
        <v>38.0</v>
      </c>
      <c r="B41" s="47">
        <v>1007034.0</v>
      </c>
      <c r="C41" s="283" t="str">
        <f>vlookup(B41,'Crew data for number'!B:C,2,0)</f>
        <v>TAA3977</v>
      </c>
      <c r="D41" s="284" t="str">
        <f>vlookup(B41,'Crew Data'!C:G,5,0)</f>
        <v>Raveekankate Sukasemthongdi</v>
      </c>
      <c r="E41" s="267" t="s">
        <v>1906</v>
      </c>
      <c r="F41" s="47">
        <v>53.0</v>
      </c>
      <c r="G41" s="50">
        <f t="shared" si="1"/>
        <v>21200</v>
      </c>
      <c r="H41" s="22">
        <f t="shared" si="2"/>
        <v>1</v>
      </c>
      <c r="I41" s="51" t="s">
        <v>1770</v>
      </c>
      <c r="J41" s="179" t="s">
        <v>1879</v>
      </c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</row>
    <row r="42" ht="23.25" customHeight="1">
      <c r="A42" s="54">
        <v>39.0</v>
      </c>
      <c r="B42" s="47">
        <v>1006313.0</v>
      </c>
      <c r="C42" s="283" t="str">
        <f>vlookup(B42,'Crew data for number'!B:C,2,0)</f>
        <v>TAA3678</v>
      </c>
      <c r="D42" s="284" t="str">
        <f>vlookup(B42,'Crew Data'!C:G,5,0)</f>
        <v>Kanyarat Palasak</v>
      </c>
      <c r="E42" s="267" t="s">
        <v>1767</v>
      </c>
      <c r="F42" s="47">
        <v>30.0</v>
      </c>
      <c r="G42" s="50">
        <f t="shared" si="1"/>
        <v>12000</v>
      </c>
      <c r="H42" s="22">
        <f t="shared" si="2"/>
        <v>1</v>
      </c>
      <c r="I42" s="51" t="s">
        <v>1763</v>
      </c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</row>
    <row r="43" ht="23.25" customHeight="1">
      <c r="A43" s="282">
        <v>40.0</v>
      </c>
      <c r="B43" s="47">
        <v>1013179.0</v>
      </c>
      <c r="C43" s="283" t="str">
        <f>vlookup(B43,'Crew data for number'!B:C,2,0)</f>
        <v>TAA6398</v>
      </c>
      <c r="D43" s="284" t="str">
        <f>vlookup(B43,'Crew Data'!C:G,5,0)</f>
        <v>Nunapat Towakul</v>
      </c>
      <c r="E43" s="267" t="s">
        <v>1907</v>
      </c>
      <c r="F43" s="47">
        <v>28.0</v>
      </c>
      <c r="G43" s="50">
        <f t="shared" si="1"/>
        <v>11200</v>
      </c>
      <c r="H43" s="22">
        <f t="shared" si="2"/>
        <v>1</v>
      </c>
      <c r="I43" s="51" t="s">
        <v>1763</v>
      </c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</row>
    <row r="44" ht="23.25" customHeight="1">
      <c r="A44" s="54">
        <v>41.0</v>
      </c>
      <c r="B44" s="47">
        <v>1009802.0</v>
      </c>
      <c r="C44" s="283" t="str">
        <f>vlookup(B44,'Crew data for number'!B:C,2,0)</f>
        <v>TAA5138</v>
      </c>
      <c r="D44" s="284" t="str">
        <f>vlookup(B44,'Crew Data'!C:G,5,0)</f>
        <v>#N/A</v>
      </c>
      <c r="E44" s="267" t="s">
        <v>1767</v>
      </c>
      <c r="F44" s="47">
        <v>30.0</v>
      </c>
      <c r="G44" s="50">
        <f t="shared" si="1"/>
        <v>12000</v>
      </c>
      <c r="H44" s="22">
        <f t="shared" si="2"/>
        <v>1</v>
      </c>
      <c r="I44" s="51" t="s">
        <v>1763</v>
      </c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</row>
    <row r="45" ht="23.25" customHeight="1">
      <c r="A45" s="54">
        <v>42.0</v>
      </c>
      <c r="B45" s="47">
        <v>1012359.0</v>
      </c>
      <c r="C45" s="283" t="str">
        <f>vlookup(B45,'Crew data for number'!B:C,2,0)</f>
        <v>TAA6123</v>
      </c>
      <c r="D45" s="284" t="str">
        <f>vlookup(B45,'Crew Data'!C:G,5,0)</f>
        <v>Kotchakon Kanchanamethakul</v>
      </c>
      <c r="E45" s="267" t="s">
        <v>1767</v>
      </c>
      <c r="F45" s="47">
        <v>30.0</v>
      </c>
      <c r="G45" s="50">
        <f t="shared" si="1"/>
        <v>12000</v>
      </c>
      <c r="H45" s="22">
        <f t="shared" si="2"/>
        <v>1</v>
      </c>
      <c r="I45" s="51" t="s">
        <v>1763</v>
      </c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</row>
    <row r="46" ht="23.25" customHeight="1">
      <c r="A46" s="282">
        <v>43.0</v>
      </c>
      <c r="B46" s="47">
        <v>1014664.0</v>
      </c>
      <c r="C46" s="283" t="str">
        <f>vlookup(B46,'Crew data for number'!B:C,2,0)</f>
        <v>TAA7093</v>
      </c>
      <c r="D46" s="284" t="str">
        <f>vlookup(B46,'Crew Data'!C:G,5,0)</f>
        <v>Grittaya Yotharos</v>
      </c>
      <c r="E46" s="267" t="s">
        <v>1767</v>
      </c>
      <c r="F46" s="47">
        <v>30.0</v>
      </c>
      <c r="G46" s="50">
        <f t="shared" si="1"/>
        <v>12000</v>
      </c>
      <c r="H46" s="22">
        <f t="shared" si="2"/>
        <v>1</v>
      </c>
      <c r="I46" s="51" t="s">
        <v>1763</v>
      </c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</row>
    <row r="47" ht="23.25" customHeight="1">
      <c r="A47" s="54">
        <v>44.0</v>
      </c>
      <c r="B47" s="47">
        <v>1007308.0</v>
      </c>
      <c r="C47" s="283" t="str">
        <f>vlookup(B47,'Crew data for number'!B:C,2,0)</f>
        <v>TAA4655</v>
      </c>
      <c r="D47" s="284" t="str">
        <f>vlookup(B47,'Crew Data'!C:G,5,0)</f>
        <v>Pichai Jareerattanachart</v>
      </c>
      <c r="E47" s="267" t="s">
        <v>1908</v>
      </c>
      <c r="F47" s="47">
        <v>50.0</v>
      </c>
      <c r="G47" s="50">
        <f t="shared" si="1"/>
        <v>20000</v>
      </c>
      <c r="H47" s="22">
        <f t="shared" si="2"/>
        <v>1</v>
      </c>
      <c r="I47" s="51" t="s">
        <v>1770</v>
      </c>
      <c r="J47" s="179" t="s">
        <v>1879</v>
      </c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</row>
    <row r="48" ht="23.25" customHeight="1">
      <c r="A48" s="54">
        <v>45.0</v>
      </c>
      <c r="B48" s="47">
        <v>1007159.0</v>
      </c>
      <c r="C48" s="283" t="str">
        <f>vlookup(B48,'Crew data for number'!B:C,2,0)</f>
        <v>TAA4024</v>
      </c>
      <c r="D48" s="284" t="str">
        <f>vlookup(B48,'Crew Data'!C:G,5,0)</f>
        <v>Piyawadee Sitdhilaw</v>
      </c>
      <c r="E48" s="267" t="s">
        <v>1767</v>
      </c>
      <c r="F48" s="47">
        <v>30.0</v>
      </c>
      <c r="G48" s="50">
        <f t="shared" si="1"/>
        <v>12000</v>
      </c>
      <c r="H48" s="22">
        <f t="shared" si="2"/>
        <v>1</v>
      </c>
      <c r="I48" s="51" t="s">
        <v>1763</v>
      </c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</row>
    <row r="49" ht="23.25" customHeight="1">
      <c r="A49" s="282">
        <v>46.0</v>
      </c>
      <c r="B49" s="47">
        <v>1007032.0</v>
      </c>
      <c r="C49" s="283" t="str">
        <f>vlookup(B49,'Crew data for number'!B:C,2,0)</f>
        <v>TAA3997</v>
      </c>
      <c r="D49" s="284" t="str">
        <f>vlookup(B49,'Crew Data'!C:G,5,0)</f>
        <v>Praew Kijsuwan</v>
      </c>
      <c r="E49" s="267" t="s">
        <v>1909</v>
      </c>
      <c r="F49" s="47">
        <v>3.0</v>
      </c>
      <c r="G49" s="50">
        <f t="shared" si="1"/>
        <v>1200</v>
      </c>
      <c r="H49" s="22">
        <f t="shared" si="2"/>
        <v>1</v>
      </c>
      <c r="I49" s="51" t="s">
        <v>1763</v>
      </c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</row>
    <row r="50" ht="23.25" customHeight="1">
      <c r="A50" s="54">
        <v>47.0</v>
      </c>
      <c r="B50" s="47">
        <v>1009131.0</v>
      </c>
      <c r="C50" s="283" t="str">
        <f>vlookup(B50,'Crew data for number'!B:C,2,0)</f>
        <v>TAA5466</v>
      </c>
      <c r="D50" s="284" t="str">
        <f>vlookup(B50,'Crew Data'!C:G,5,0)</f>
        <v>Burin Wongdithai</v>
      </c>
      <c r="E50" s="267" t="s">
        <v>1910</v>
      </c>
      <c r="F50" s="47">
        <v>28.0</v>
      </c>
      <c r="G50" s="50">
        <f t="shared" si="1"/>
        <v>11200</v>
      </c>
      <c r="H50" s="22">
        <f t="shared" si="2"/>
        <v>1</v>
      </c>
      <c r="I50" s="51" t="s">
        <v>1763</v>
      </c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</row>
    <row r="51" ht="23.25" customHeight="1">
      <c r="A51" s="54">
        <v>48.0</v>
      </c>
      <c r="B51" s="47">
        <v>1001622.0</v>
      </c>
      <c r="C51" s="283" t="str">
        <f>vlookup(B51,'Crew data for number'!B:C,2,0)</f>
        <v>TAA1450</v>
      </c>
      <c r="D51" s="284" t="str">
        <f>vlookup(B51,'Crew Data'!C:G,5,0)</f>
        <v>Waraluck Meksikarin</v>
      </c>
      <c r="E51" s="268">
        <v>43556.0</v>
      </c>
      <c r="F51" s="47">
        <v>1.0</v>
      </c>
      <c r="G51" s="50">
        <f t="shared" si="1"/>
        <v>400</v>
      </c>
      <c r="H51" s="22">
        <f t="shared" si="2"/>
        <v>1</v>
      </c>
      <c r="I51" s="51" t="s">
        <v>1763</v>
      </c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</row>
    <row r="52" ht="23.25" customHeight="1">
      <c r="A52" s="282">
        <v>49.0</v>
      </c>
      <c r="B52" s="47">
        <v>1008989.0</v>
      </c>
      <c r="C52" s="283" t="str">
        <f>vlookup(B52,'Crew data for number'!B:C,2,0)</f>
        <v>TAA4749</v>
      </c>
      <c r="D52" s="284" t="str">
        <f>vlookup(B52,'Crew Data'!C:G,5,0)</f>
        <v>Pornpimon Booranawattanakul</v>
      </c>
      <c r="E52" s="267" t="s">
        <v>1911</v>
      </c>
      <c r="F52" s="47">
        <v>5.0</v>
      </c>
      <c r="G52" s="50">
        <f t="shared" si="1"/>
        <v>2000</v>
      </c>
      <c r="H52" s="22">
        <f t="shared" si="2"/>
        <v>1</v>
      </c>
      <c r="I52" s="51" t="s">
        <v>1770</v>
      </c>
      <c r="J52" s="179" t="s">
        <v>1912</v>
      </c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</row>
    <row r="53" ht="23.25" customHeight="1">
      <c r="A53" s="54">
        <v>50.0</v>
      </c>
      <c r="B53" s="47">
        <v>1003368.0</v>
      </c>
      <c r="C53" s="283" t="str">
        <f>vlookup(B53,'Crew data for number'!B:C,2,0)</f>
        <v>TAA2403</v>
      </c>
      <c r="D53" s="284" t="str">
        <f>vlookup(B53,'Crew Data'!C:G,5,0)</f>
        <v>Woradaluck Lerdthanapaijit</v>
      </c>
      <c r="E53" s="267" t="s">
        <v>1913</v>
      </c>
      <c r="F53" s="47">
        <v>28.0</v>
      </c>
      <c r="G53" s="50">
        <f t="shared" si="1"/>
        <v>11200</v>
      </c>
      <c r="H53" s="22">
        <f t="shared" si="2"/>
        <v>1</v>
      </c>
      <c r="I53" s="51" t="s">
        <v>1763</v>
      </c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</row>
    <row r="54" ht="23.25" customHeight="1">
      <c r="A54" s="54">
        <v>51.0</v>
      </c>
      <c r="B54" s="47">
        <v>1004858.0</v>
      </c>
      <c r="C54" s="283" t="str">
        <f>vlookup(B54,'Crew data for number'!B:C,2,0)</f>
        <v>TAA3020</v>
      </c>
      <c r="D54" s="284" t="str">
        <f>vlookup(B54,'Crew Data'!C:G,5,0)</f>
        <v>#N/A</v>
      </c>
      <c r="E54" s="267" t="s">
        <v>1914</v>
      </c>
      <c r="F54" s="47">
        <v>28.0</v>
      </c>
      <c r="G54" s="50">
        <f t="shared" si="1"/>
        <v>11200</v>
      </c>
      <c r="H54" s="22">
        <f t="shared" si="2"/>
        <v>1</v>
      </c>
      <c r="I54" s="51" t="s">
        <v>1763</v>
      </c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</row>
    <row r="55" ht="23.25" customHeight="1">
      <c r="A55" s="282">
        <v>52.0</v>
      </c>
      <c r="B55" s="47">
        <v>1007156.0</v>
      </c>
      <c r="C55" s="283" t="str">
        <f>vlookup(B55,'Crew data for number'!B:C,2,0)</f>
        <v>TAA4008</v>
      </c>
      <c r="D55" s="284" t="str">
        <f>vlookup(B55,'Crew Data'!C:G,5,0)</f>
        <v>Patthama Aryarug</v>
      </c>
      <c r="E55" s="267" t="s">
        <v>1915</v>
      </c>
      <c r="F55" s="47">
        <v>28.0</v>
      </c>
      <c r="G55" s="50">
        <f t="shared" si="1"/>
        <v>11200</v>
      </c>
      <c r="H55" s="22">
        <f t="shared" si="2"/>
        <v>1</v>
      </c>
      <c r="I55" s="51" t="s">
        <v>1763</v>
      </c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</row>
    <row r="56" ht="23.25" customHeight="1">
      <c r="A56" s="54">
        <v>53.0</v>
      </c>
      <c r="B56" s="47">
        <v>1006740.0</v>
      </c>
      <c r="C56" s="283" t="str">
        <f>vlookup(B56,'Crew data for number'!B:C,2,0)</f>
        <v>TAA3823</v>
      </c>
      <c r="D56" s="284" t="str">
        <f>vlookup(B56,'Crew Data'!C:G,5,0)</f>
        <v>Juthamard Jiarakul</v>
      </c>
      <c r="E56" s="267" t="s">
        <v>1916</v>
      </c>
      <c r="F56" s="47">
        <v>26.0</v>
      </c>
      <c r="G56" s="50">
        <f t="shared" si="1"/>
        <v>10400</v>
      </c>
      <c r="H56" s="22">
        <f t="shared" si="2"/>
        <v>1</v>
      </c>
      <c r="I56" s="51" t="s">
        <v>1763</v>
      </c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</row>
    <row r="57" ht="23.25" customHeight="1">
      <c r="A57" s="54">
        <v>54.0</v>
      </c>
      <c r="B57" s="47">
        <v>1015410.0</v>
      </c>
      <c r="C57" s="283" t="str">
        <f>vlookup(B57,'Crew data for number'!B:C,2,0)</f>
        <v>TAA7060</v>
      </c>
      <c r="D57" s="284" t="str">
        <f>vlookup(B57,'Crew Data'!C:G,5,0)</f>
        <v>#N/A</v>
      </c>
      <c r="E57" s="268">
        <v>43556.0</v>
      </c>
      <c r="F57" s="47">
        <v>1.0</v>
      </c>
      <c r="G57" s="50">
        <f t="shared" si="1"/>
        <v>400</v>
      </c>
      <c r="H57" s="22">
        <f t="shared" si="2"/>
        <v>1</v>
      </c>
      <c r="I57" s="51" t="s">
        <v>1763</v>
      </c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</row>
    <row r="58" ht="23.25" customHeight="1">
      <c r="A58" s="282">
        <v>55.0</v>
      </c>
      <c r="B58" s="47">
        <v>1008984.0</v>
      </c>
      <c r="C58" s="283" t="str">
        <f>vlookup(B58,'Crew data for number'!B:C,2,0)</f>
        <v>TAA4746</v>
      </c>
      <c r="D58" s="284" t="str">
        <f>vlookup(B58,'Crew Data'!C:G,5,0)</f>
        <v>Orapan Bangprapakorn</v>
      </c>
      <c r="E58" s="267" t="s">
        <v>1917</v>
      </c>
      <c r="F58" s="47">
        <v>11.0</v>
      </c>
      <c r="G58" s="50">
        <f t="shared" si="1"/>
        <v>4400</v>
      </c>
      <c r="H58" s="22">
        <f t="shared" si="2"/>
        <v>1</v>
      </c>
      <c r="I58" s="51" t="s">
        <v>1768</v>
      </c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</row>
    <row r="59" ht="23.25" customHeight="1">
      <c r="A59" s="54">
        <v>56.0</v>
      </c>
      <c r="B59" s="47">
        <v>1006348.0</v>
      </c>
      <c r="C59" s="283" t="str">
        <f>vlookup(B59,'Crew data for number'!B:C,2,0)</f>
        <v>TAA3674</v>
      </c>
      <c r="D59" s="284" t="str">
        <f>vlookup(B59,'Crew Data'!C:G,5,0)</f>
        <v>#N/A</v>
      </c>
      <c r="E59" s="267" t="s">
        <v>1918</v>
      </c>
      <c r="F59" s="47">
        <v>28.0</v>
      </c>
      <c r="G59" s="50">
        <f t="shared" si="1"/>
        <v>11200</v>
      </c>
      <c r="H59" s="22">
        <f t="shared" si="2"/>
        <v>1</v>
      </c>
      <c r="I59" s="51" t="s">
        <v>1763</v>
      </c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</row>
    <row r="60" ht="23.25" customHeight="1">
      <c r="A60" s="54">
        <v>57.0</v>
      </c>
      <c r="B60" s="47">
        <v>1004317.0</v>
      </c>
      <c r="C60" s="283" t="str">
        <f>vlookup(B60,'Crew data for number'!B:C,2,0)</f>
        <v>TAA2950</v>
      </c>
      <c r="D60" s="284" t="str">
        <f>vlookup(B60,'Crew Data'!C:G,5,0)</f>
        <v>Narit Aimwat</v>
      </c>
      <c r="E60" s="267" t="s">
        <v>1919</v>
      </c>
      <c r="F60" s="47">
        <v>28.0</v>
      </c>
      <c r="G60" s="50">
        <f t="shared" si="1"/>
        <v>11200</v>
      </c>
      <c r="H60" s="22">
        <f t="shared" si="2"/>
        <v>1</v>
      </c>
      <c r="I60" s="51" t="s">
        <v>1763</v>
      </c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</row>
    <row r="61" ht="23.25" customHeight="1">
      <c r="A61" s="282">
        <v>58.0</v>
      </c>
      <c r="B61" s="47">
        <v>1019403.0</v>
      </c>
      <c r="C61" s="283" t="str">
        <f>vlookup(B61,'Crew data for number'!B:C,2,0)</f>
        <v>TAA7927</v>
      </c>
      <c r="D61" s="284" t="str">
        <f>vlookup(B61,'Crew Data'!C:G,5,0)</f>
        <v>#N/A</v>
      </c>
      <c r="E61" s="267" t="s">
        <v>1920</v>
      </c>
      <c r="F61" s="47">
        <v>28.0</v>
      </c>
      <c r="G61" s="50">
        <f t="shared" si="1"/>
        <v>11200</v>
      </c>
      <c r="H61" s="22">
        <f t="shared" si="2"/>
        <v>1</v>
      </c>
      <c r="I61" s="51" t="s">
        <v>1763</v>
      </c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</row>
    <row r="62" ht="23.25" customHeight="1">
      <c r="A62" s="54">
        <v>59.0</v>
      </c>
      <c r="B62" s="47">
        <v>1004757.0</v>
      </c>
      <c r="C62" s="283" t="str">
        <f>vlookup(B62,'Crew data for number'!B:C,2,0)</f>
        <v>TAA2967</v>
      </c>
      <c r="D62" s="284" t="str">
        <f>vlookup(B62,'Crew Data'!C:G,5,0)</f>
        <v>Pimwaree Makmee</v>
      </c>
      <c r="E62" s="267" t="s">
        <v>1767</v>
      </c>
      <c r="F62" s="47">
        <v>30.0</v>
      </c>
      <c r="G62" s="50">
        <f t="shared" si="1"/>
        <v>12000</v>
      </c>
      <c r="H62" s="22">
        <f t="shared" si="2"/>
        <v>1</v>
      </c>
      <c r="I62" s="51" t="s">
        <v>1763</v>
      </c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</row>
    <row r="63" ht="23.25" customHeight="1">
      <c r="A63" s="54">
        <v>60.0</v>
      </c>
      <c r="B63" s="47">
        <v>1001036.0</v>
      </c>
      <c r="C63" s="283" t="str">
        <f>vlookup(B63,'Crew data for number'!B:C,2,0)</f>
        <v>TAA1073</v>
      </c>
      <c r="D63" s="284" t="str">
        <f>vlookup(B63,'Crew Data'!C:G,5,0)</f>
        <v>#N/A</v>
      </c>
      <c r="E63" s="267" t="s">
        <v>1921</v>
      </c>
      <c r="F63" s="47">
        <v>23.0</v>
      </c>
      <c r="G63" s="50">
        <f t="shared" si="1"/>
        <v>9200</v>
      </c>
      <c r="H63" s="22">
        <f t="shared" si="2"/>
        <v>1</v>
      </c>
      <c r="I63" s="51" t="s">
        <v>1763</v>
      </c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</row>
    <row r="64" ht="23.25" customHeight="1">
      <c r="A64" s="282">
        <v>61.0</v>
      </c>
      <c r="B64" s="47">
        <v>1010880.0</v>
      </c>
      <c r="C64" s="283" t="str">
        <f>vlookup(B64,'Crew data for number'!B:C,2,0)</f>
        <v>TAA5520</v>
      </c>
      <c r="D64" s="284" t="str">
        <f>vlookup(B64,'Crew Data'!C:G,5,0)</f>
        <v>Chutima Thitisantikhun</v>
      </c>
      <c r="E64" s="267" t="s">
        <v>1922</v>
      </c>
      <c r="F64" s="47">
        <v>27.0</v>
      </c>
      <c r="G64" s="50">
        <f t="shared" si="1"/>
        <v>10800</v>
      </c>
      <c r="H64" s="22">
        <f t="shared" si="2"/>
        <v>1</v>
      </c>
      <c r="I64" s="51" t="s">
        <v>1763</v>
      </c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</row>
    <row r="65" ht="23.25" customHeight="1">
      <c r="A65" s="54">
        <v>62.0</v>
      </c>
      <c r="B65" s="47">
        <v>1004206.0</v>
      </c>
      <c r="C65" s="283" t="str">
        <f>vlookup(B65,'Crew data for number'!B:C,2,0)</f>
        <v>TAA2692</v>
      </c>
      <c r="D65" s="284" t="str">
        <f>vlookup(B65,'Crew Data'!C:G,5,0)</f>
        <v>Pitikan Siwapathomchai</v>
      </c>
      <c r="E65" s="267" t="s">
        <v>1923</v>
      </c>
      <c r="F65" s="47">
        <v>27.0</v>
      </c>
      <c r="G65" s="50">
        <f t="shared" si="1"/>
        <v>10800</v>
      </c>
      <c r="H65" s="22">
        <f t="shared" si="2"/>
        <v>1</v>
      </c>
      <c r="I65" s="51" t="s">
        <v>1763</v>
      </c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</row>
    <row r="66" ht="23.25" customHeight="1">
      <c r="A66" s="54">
        <v>63.0</v>
      </c>
      <c r="B66" s="47">
        <v>1022984.0</v>
      </c>
      <c r="C66" s="296" t="str">
        <f>vlookup(B66,'Crew data for number'!B:C,2,0)</f>
        <v/>
      </c>
      <c r="D66" s="284" t="str">
        <f>vlookup(B66,'Crew Data'!C:G,5,0)</f>
        <v>Pitsinee Diowvilai</v>
      </c>
      <c r="E66" s="267" t="s">
        <v>1924</v>
      </c>
      <c r="F66" s="47">
        <v>2.0</v>
      </c>
      <c r="G66" s="50">
        <f t="shared" si="1"/>
        <v>800</v>
      </c>
      <c r="H66" s="22">
        <f t="shared" si="2"/>
        <v>1</v>
      </c>
      <c r="I66" s="51" t="s">
        <v>1763</v>
      </c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</row>
    <row r="67" ht="23.25" customHeight="1">
      <c r="A67" s="282">
        <v>64.0</v>
      </c>
      <c r="B67" s="47">
        <v>1003942.0</v>
      </c>
      <c r="C67" s="283" t="str">
        <f>vlookup(B67,'Crew data for number'!B:C,2,0)</f>
        <v>TAA2769</v>
      </c>
      <c r="D67" s="284" t="str">
        <f>vlookup(B67,'Crew Data'!C:G,5,0)</f>
        <v>Wilawan Auttamaphan</v>
      </c>
      <c r="E67" s="267" t="s">
        <v>1925</v>
      </c>
      <c r="F67" s="47">
        <v>26.0</v>
      </c>
      <c r="G67" s="50">
        <f t="shared" si="1"/>
        <v>10400</v>
      </c>
      <c r="H67" s="22">
        <f t="shared" si="2"/>
        <v>1</v>
      </c>
      <c r="I67" s="51" t="s">
        <v>1763</v>
      </c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</row>
    <row r="68" ht="23.25" customHeight="1">
      <c r="A68" s="54">
        <v>65.0</v>
      </c>
      <c r="B68" s="47">
        <v>1010925.0</v>
      </c>
      <c r="C68" s="283" t="str">
        <f>vlookup(B68,'Crew data for number'!B:C,2,0)</f>
        <v>TAA5522</v>
      </c>
      <c r="D68" s="284" t="str">
        <f>vlookup(B68,'Crew Data'!C:G,5,0)</f>
        <v>Thanatdanai Kaewchusen</v>
      </c>
      <c r="E68" s="267" t="s">
        <v>1924</v>
      </c>
      <c r="F68" s="47">
        <v>2.0</v>
      </c>
      <c r="G68" s="50">
        <f t="shared" si="1"/>
        <v>800</v>
      </c>
      <c r="H68" s="22">
        <f t="shared" si="2"/>
        <v>1</v>
      </c>
      <c r="I68" s="51" t="s">
        <v>1763</v>
      </c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</row>
    <row r="69" ht="23.25" customHeight="1">
      <c r="A69" s="54">
        <v>66.0</v>
      </c>
      <c r="B69" s="47">
        <v>1013023.0</v>
      </c>
      <c r="C69" s="283" t="str">
        <f>vlookup(B69,'Crew data for number'!B:C,2,0)</f>
        <v>TAA6499</v>
      </c>
      <c r="D69" s="284" t="str">
        <f>vlookup(B69,'Crew Data'!C:G,5,0)</f>
        <v>Pinyapat Methawatthanasin</v>
      </c>
      <c r="E69" s="267" t="s">
        <v>1767</v>
      </c>
      <c r="F69" s="47">
        <v>30.0</v>
      </c>
      <c r="G69" s="50">
        <f t="shared" si="1"/>
        <v>12000</v>
      </c>
      <c r="H69" s="22">
        <f t="shared" si="2"/>
        <v>1</v>
      </c>
      <c r="I69" s="51" t="s">
        <v>1763</v>
      </c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</row>
    <row r="70" ht="23.25" customHeight="1">
      <c r="A70" s="54">
        <v>67.0</v>
      </c>
      <c r="B70" s="47">
        <v>1012892.0</v>
      </c>
      <c r="C70" s="283" t="str">
        <f>vlookup(B70,'Crew data for number'!B:C,2,0)</f>
        <v>TAA6371</v>
      </c>
      <c r="D70" s="284" t="str">
        <f>vlookup(B70,'Crew Data'!C:G,5,0)</f>
        <v>Apinya Phiphatwatanarkul</v>
      </c>
      <c r="E70" s="267" t="s">
        <v>1767</v>
      </c>
      <c r="F70" s="47">
        <v>30.0</v>
      </c>
      <c r="G70" s="50">
        <f t="shared" si="1"/>
        <v>12000</v>
      </c>
      <c r="H70" s="22">
        <f t="shared" si="2"/>
        <v>1</v>
      </c>
      <c r="I70" s="51" t="s">
        <v>1763</v>
      </c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</row>
    <row r="71" ht="23.25" customHeight="1">
      <c r="A71" s="54">
        <v>68.0</v>
      </c>
      <c r="B71" s="47">
        <v>1004444.0</v>
      </c>
      <c r="C71" s="283" t="str">
        <f>vlookup(B71,'Crew data for number'!B:C,2,0)</f>
        <v>TAA2804</v>
      </c>
      <c r="D71" s="284" t="str">
        <f>vlookup(B71,'Crew Data'!C:G,5,0)</f>
        <v>Arisara Nenchatee</v>
      </c>
      <c r="E71" s="267" t="s">
        <v>1926</v>
      </c>
      <c r="F71" s="47">
        <v>28.0</v>
      </c>
      <c r="G71" s="50">
        <f t="shared" si="1"/>
        <v>11200</v>
      </c>
      <c r="H71" s="22">
        <f t="shared" si="2"/>
        <v>1</v>
      </c>
      <c r="I71" s="51" t="s">
        <v>1763</v>
      </c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</row>
    <row r="72" ht="23.25" customHeight="1">
      <c r="A72" s="282">
        <v>69.0</v>
      </c>
      <c r="B72" s="47">
        <v>1007418.0</v>
      </c>
      <c r="C72" s="283" t="str">
        <f>vlookup(B72,'Crew data for number'!B:C,2,0)</f>
        <v>TAA4070</v>
      </c>
      <c r="D72" s="284" t="str">
        <f>vlookup(B72,'Crew Data'!C:G,5,0)</f>
        <v>Nattaphat Boonprasit</v>
      </c>
      <c r="E72" s="267" t="s">
        <v>1767</v>
      </c>
      <c r="F72" s="47">
        <v>30.0</v>
      </c>
      <c r="G72" s="50">
        <f t="shared" si="1"/>
        <v>12000</v>
      </c>
      <c r="H72" s="22">
        <f t="shared" si="2"/>
        <v>1</v>
      </c>
      <c r="I72" s="51" t="s">
        <v>1763</v>
      </c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</row>
    <row r="73" ht="23.25" customHeight="1">
      <c r="A73" s="54">
        <v>70.0</v>
      </c>
      <c r="B73" s="47">
        <v>1010934.0</v>
      </c>
      <c r="C73" s="283" t="str">
        <f>vlookup(B73,'Crew data for number'!B:C,2,0)</f>
        <v>TAA5547</v>
      </c>
      <c r="D73" s="284" t="str">
        <f>vlookup(B73,'Crew Data'!C:G,5,0)</f>
        <v>Werawat Sittipachaikul</v>
      </c>
      <c r="E73" s="267" t="s">
        <v>1927</v>
      </c>
      <c r="F73" s="47">
        <v>6.0</v>
      </c>
      <c r="G73" s="50">
        <f t="shared" si="1"/>
        <v>2400</v>
      </c>
      <c r="H73" s="22">
        <f t="shared" si="2"/>
        <v>1</v>
      </c>
      <c r="I73" s="51" t="s">
        <v>1763</v>
      </c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</row>
    <row r="74" ht="23.25" customHeight="1">
      <c r="A74" s="54">
        <v>71.0</v>
      </c>
      <c r="B74" s="47">
        <v>1015091.0</v>
      </c>
      <c r="C74" s="283" t="str">
        <f>vlookup(B74,'Crew data for number'!B:C,2,0)</f>
        <v>TAA7016</v>
      </c>
      <c r="D74" s="284" t="str">
        <f>vlookup(B74,'Crew Data'!C:G,5,0)</f>
        <v>Nutpattra Kokanutaporn </v>
      </c>
      <c r="E74" s="267" t="s">
        <v>1767</v>
      </c>
      <c r="F74" s="47">
        <v>30.0</v>
      </c>
      <c r="G74" s="50">
        <f t="shared" si="1"/>
        <v>12000</v>
      </c>
      <c r="H74" s="22">
        <f t="shared" si="2"/>
        <v>1</v>
      </c>
      <c r="I74" s="51" t="s">
        <v>1763</v>
      </c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</row>
    <row r="75" ht="23.25" customHeight="1">
      <c r="A75" s="54">
        <v>72.0</v>
      </c>
      <c r="B75" s="47">
        <v>1003385.0</v>
      </c>
      <c r="C75" s="283" t="str">
        <f>vlookup(B75,'Crew data for number'!B:C,2,0)</f>
        <v>TAA2426</v>
      </c>
      <c r="D75" s="284" t="str">
        <f>vlookup(B75,'Crew Data'!C:G,5,0)</f>
        <v>Jaruma Jantarapap</v>
      </c>
      <c r="E75" s="267" t="s">
        <v>1928</v>
      </c>
      <c r="F75" s="47">
        <v>26.0</v>
      </c>
      <c r="G75" s="50">
        <f t="shared" si="1"/>
        <v>10400</v>
      </c>
      <c r="H75" s="22">
        <f t="shared" si="2"/>
        <v>1</v>
      </c>
      <c r="I75" s="51" t="s">
        <v>1763</v>
      </c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</row>
    <row r="76" ht="23.25" customHeight="1">
      <c r="A76" s="54">
        <v>73.0</v>
      </c>
      <c r="B76" s="47">
        <v>1011507.0</v>
      </c>
      <c r="C76" s="283" t="str">
        <f>vlookup(B76,'Crew data for number'!B:C,2,0)</f>
        <v>TAA5734</v>
      </c>
      <c r="D76" s="284" t="str">
        <f>vlookup(B76,'Crew Data'!C:G,5,0)</f>
        <v>Weerinpimon Rhuecharoen</v>
      </c>
      <c r="E76" s="267" t="s">
        <v>1929</v>
      </c>
      <c r="F76" s="47">
        <v>24.0</v>
      </c>
      <c r="G76" s="50">
        <f t="shared" si="1"/>
        <v>9600</v>
      </c>
      <c r="H76" s="22">
        <f t="shared" si="2"/>
        <v>1</v>
      </c>
      <c r="I76" s="51" t="s">
        <v>1763</v>
      </c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</row>
    <row r="77" ht="23.25" customHeight="1">
      <c r="A77" s="282">
        <v>74.0</v>
      </c>
      <c r="B77" s="47">
        <v>1001837.0</v>
      </c>
      <c r="C77" s="283" t="str">
        <f>vlookup(B77,'Crew data for number'!B:C,2,0)</f>
        <v>TAA1953</v>
      </c>
      <c r="D77" s="284" t="str">
        <f>vlookup(B77,'Crew Data'!C:G,5,0)</f>
        <v>Taralan Jareemuk</v>
      </c>
      <c r="E77" s="267" t="s">
        <v>1930</v>
      </c>
      <c r="F77" s="47">
        <v>29.0</v>
      </c>
      <c r="G77" s="50">
        <f t="shared" si="1"/>
        <v>11600</v>
      </c>
      <c r="H77" s="22">
        <f t="shared" si="2"/>
        <v>1</v>
      </c>
      <c r="I77" s="51" t="s">
        <v>1763</v>
      </c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</row>
    <row r="78" ht="23.25" customHeight="1">
      <c r="A78" s="54">
        <v>75.0</v>
      </c>
      <c r="B78" s="47">
        <v>1005759.0</v>
      </c>
      <c r="C78" s="283" t="str">
        <f>vlookup(B78,'Crew data for number'!B:C,2,0)</f>
        <v>TAA3404</v>
      </c>
      <c r="D78" s="284" t="str">
        <f>vlookup(B78,'Crew Data'!C:G,5,0)</f>
        <v>Nirinya Arunthanakulphat</v>
      </c>
      <c r="E78" s="267" t="s">
        <v>1931</v>
      </c>
      <c r="F78" s="47">
        <v>19.0</v>
      </c>
      <c r="G78" s="50">
        <f t="shared" si="1"/>
        <v>7600</v>
      </c>
      <c r="H78" s="22">
        <f t="shared" si="2"/>
        <v>1</v>
      </c>
      <c r="I78" s="51" t="s">
        <v>1763</v>
      </c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</row>
    <row r="79" ht="23.25" customHeight="1">
      <c r="A79" s="54">
        <v>76.0</v>
      </c>
      <c r="B79" s="47">
        <v>1012365.0</v>
      </c>
      <c r="C79" s="283" t="str">
        <f>vlookup(B79,'Crew data for number'!B:C,2,0)</f>
        <v>TAA6137</v>
      </c>
      <c r="D79" s="284" t="str">
        <f>vlookup(B79,'Crew Data'!C:G,5,0)</f>
        <v>Manassaphorn Boonprasertwattana</v>
      </c>
      <c r="E79" s="267" t="s">
        <v>1932</v>
      </c>
      <c r="F79" s="47">
        <v>29.0</v>
      </c>
      <c r="G79" s="50">
        <f t="shared" si="1"/>
        <v>11600</v>
      </c>
      <c r="H79" s="22">
        <f t="shared" si="2"/>
        <v>1</v>
      </c>
      <c r="I79" s="51" t="s">
        <v>1763</v>
      </c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</row>
    <row r="80" ht="23.25" customHeight="1">
      <c r="A80" s="54">
        <v>77.0</v>
      </c>
      <c r="B80" s="47">
        <v>1005741.0</v>
      </c>
      <c r="C80" s="283" t="str">
        <f>vlookup(B80,'Crew data for number'!B:C,2,0)</f>
        <v>TAA3399</v>
      </c>
      <c r="D80" s="284" t="str">
        <f>vlookup(B80,'Crew Data'!C:G,5,0)</f>
        <v>Chanyawat Ruchiratheekhakul</v>
      </c>
      <c r="E80" s="267" t="s">
        <v>1933</v>
      </c>
      <c r="F80" s="47">
        <v>27.0</v>
      </c>
      <c r="G80" s="50">
        <f t="shared" si="1"/>
        <v>10800</v>
      </c>
      <c r="H80" s="22">
        <f t="shared" si="2"/>
        <v>1</v>
      </c>
      <c r="I80" s="51" t="s">
        <v>1763</v>
      </c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</row>
    <row r="81" ht="23.25" customHeight="1">
      <c r="A81" s="54">
        <v>78.0</v>
      </c>
      <c r="B81" s="47">
        <v>1012188.0</v>
      </c>
      <c r="C81" s="283" t="str">
        <f>vlookup(B81,'Crew data for number'!B:C,2,0)</f>
        <v>TAA6172</v>
      </c>
      <c r="D81" s="284" t="str">
        <f>vlookup(B81,'Crew Data'!C:G,5,0)</f>
        <v>Warut Sritham</v>
      </c>
      <c r="E81" s="267" t="s">
        <v>1767</v>
      </c>
      <c r="F81" s="47">
        <v>30.0</v>
      </c>
      <c r="G81" s="50">
        <f t="shared" si="1"/>
        <v>12000</v>
      </c>
      <c r="H81" s="22">
        <f t="shared" si="2"/>
        <v>1</v>
      </c>
      <c r="I81" s="51" t="s">
        <v>1763</v>
      </c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</row>
    <row r="82" ht="23.25" customHeight="1">
      <c r="A82" s="54">
        <v>79.0</v>
      </c>
      <c r="B82" s="47">
        <v>1011084.0</v>
      </c>
      <c r="C82" s="283" t="str">
        <f>vlookup(B82,'Crew data for number'!B:C,2,0)</f>
        <v>TAA5672</v>
      </c>
      <c r="D82" s="284" t="str">
        <f>vlookup(B82,'Crew Data'!C:G,5,0)</f>
        <v>Warich Nathtigoon</v>
      </c>
      <c r="E82" s="267" t="s">
        <v>1934</v>
      </c>
      <c r="F82" s="47">
        <v>29.0</v>
      </c>
      <c r="G82" s="50">
        <f t="shared" si="1"/>
        <v>11600</v>
      </c>
      <c r="H82" s="22">
        <f t="shared" si="2"/>
        <v>1</v>
      </c>
      <c r="I82" s="51" t="s">
        <v>1763</v>
      </c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</row>
    <row r="83" ht="23.25" customHeight="1">
      <c r="A83" s="54">
        <v>80.0</v>
      </c>
      <c r="B83" s="47">
        <v>1019404.0</v>
      </c>
      <c r="C83" s="283" t="str">
        <f>vlookup(B83,'Crew data for number'!B:C,2,0)</f>
        <v>TAA7937</v>
      </c>
      <c r="D83" s="284" t="str">
        <f>vlookup(B83,'Crew Data'!C:G,5,0)</f>
        <v>Ninlaya Tangmongkhongkon</v>
      </c>
      <c r="E83" s="268">
        <v>43585.0</v>
      </c>
      <c r="F83" s="47">
        <v>1.0</v>
      </c>
      <c r="G83" s="50">
        <f t="shared" si="1"/>
        <v>400</v>
      </c>
      <c r="H83" s="22">
        <f t="shared" si="2"/>
        <v>1</v>
      </c>
      <c r="I83" s="51" t="s">
        <v>1763</v>
      </c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</row>
    <row r="84" ht="23.25" customHeight="1">
      <c r="A84" s="282">
        <v>81.0</v>
      </c>
      <c r="B84" s="47">
        <v>1013190.0</v>
      </c>
      <c r="C84" s="283" t="str">
        <f>vlookup(B84,'Crew data for number'!B:C,2,0)</f>
        <v>TAA6381</v>
      </c>
      <c r="D84" s="284" t="str">
        <f>vlookup(B84,'Crew Data'!C:G,5,0)</f>
        <v>Thamonwan Chokumpornpan</v>
      </c>
      <c r="E84" s="267" t="s">
        <v>1935</v>
      </c>
      <c r="F84" s="47">
        <v>25.0</v>
      </c>
      <c r="G84" s="50">
        <f t="shared" si="1"/>
        <v>10000</v>
      </c>
      <c r="H84" s="22">
        <f t="shared" si="2"/>
        <v>1</v>
      </c>
      <c r="I84" s="51" t="s">
        <v>1763</v>
      </c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</row>
    <row r="85" ht="23.25" customHeight="1">
      <c r="A85" s="54">
        <v>82.0</v>
      </c>
      <c r="B85" s="47">
        <v>1003172.0</v>
      </c>
      <c r="C85" s="283" t="str">
        <f>vlookup(B85,'Crew data for number'!B:C,2,0)</f>
        <v>TAA2472</v>
      </c>
      <c r="D85" s="284" t="str">
        <f>vlookup(B85,'Crew Data'!C:G,5,0)</f>
        <v>Natthanit Kaewchoochuen</v>
      </c>
      <c r="E85" s="267" t="s">
        <v>1936</v>
      </c>
      <c r="F85" s="47">
        <v>4.0</v>
      </c>
      <c r="G85" s="50">
        <f t="shared" si="1"/>
        <v>1600</v>
      </c>
      <c r="H85" s="22">
        <f t="shared" si="2"/>
        <v>1</v>
      </c>
      <c r="I85" s="51" t="s">
        <v>1763</v>
      </c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</row>
    <row r="86" ht="23.25" customHeight="1">
      <c r="A86" s="54">
        <v>83.0</v>
      </c>
      <c r="B86" s="47">
        <v>1023591.0</v>
      </c>
      <c r="C86" s="296" t="str">
        <f>vlookup(B86,'Crew data for number'!B:C,2,0)</f>
        <v/>
      </c>
      <c r="D86" s="284" t="str">
        <f>vlookup(B86,'Crew Data'!C:G,5,0)</f>
        <v>Jittanan Piromsri</v>
      </c>
      <c r="E86" s="267" t="s">
        <v>1934</v>
      </c>
      <c r="F86" s="47">
        <v>29.0</v>
      </c>
      <c r="G86" s="50">
        <f t="shared" si="1"/>
        <v>11600</v>
      </c>
      <c r="H86" s="22">
        <f t="shared" si="2"/>
        <v>1</v>
      </c>
      <c r="I86" s="51" t="s">
        <v>1763</v>
      </c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</row>
    <row r="87" ht="23.25" customHeight="1">
      <c r="A87" s="54">
        <v>84.0</v>
      </c>
      <c r="B87" s="47">
        <v>1009768.0</v>
      </c>
      <c r="C87" s="283" t="str">
        <f>vlookup(B87,'Crew data for number'!B:C,2,0)</f>
        <v>TAA5135</v>
      </c>
      <c r="D87" s="284" t="str">
        <f>vlookup(B87,'Crew Data'!C:G,5,0)</f>
        <v>Thidech Eakmongkollert</v>
      </c>
      <c r="E87" s="267" t="s">
        <v>1918</v>
      </c>
      <c r="F87" s="47">
        <v>28.0</v>
      </c>
      <c r="G87" s="50">
        <f t="shared" si="1"/>
        <v>11200</v>
      </c>
      <c r="H87" s="22">
        <f t="shared" si="2"/>
        <v>1</v>
      </c>
      <c r="I87" s="51" t="s">
        <v>1763</v>
      </c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</row>
    <row r="88" ht="23.25" customHeight="1">
      <c r="A88" s="54">
        <v>85.0</v>
      </c>
      <c r="B88" s="47">
        <v>1014081.0</v>
      </c>
      <c r="C88" s="283" t="str">
        <f>vlookup(B88,'Crew data for number'!B:C,2,0)</f>
        <v>TAA6722</v>
      </c>
      <c r="D88" s="284" t="str">
        <f>vlookup(B88,'Crew Data'!C:G,5,0)</f>
        <v>#N/A</v>
      </c>
      <c r="E88" s="267" t="s">
        <v>1926</v>
      </c>
      <c r="F88" s="47">
        <v>28.0</v>
      </c>
      <c r="G88" s="50">
        <f t="shared" si="1"/>
        <v>11200</v>
      </c>
      <c r="H88" s="22">
        <f t="shared" si="2"/>
        <v>1</v>
      </c>
      <c r="I88" s="51" t="s">
        <v>1763</v>
      </c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</row>
    <row r="89" ht="23.25" customHeight="1">
      <c r="A89" s="54">
        <v>86.0</v>
      </c>
      <c r="B89" s="47">
        <v>1012368.0</v>
      </c>
      <c r="C89" s="283" t="str">
        <f>vlookup(B89,'Crew data for number'!B:C,2,0)</f>
        <v>TAA6130</v>
      </c>
      <c r="D89" s="284" t="str">
        <f>vlookup(B89,'Crew Data'!C:G,5,0)</f>
        <v>#N/A</v>
      </c>
      <c r="E89" s="267" t="s">
        <v>1937</v>
      </c>
      <c r="F89" s="47">
        <v>5.0</v>
      </c>
      <c r="G89" s="50">
        <f t="shared" si="1"/>
        <v>2000</v>
      </c>
      <c r="H89" s="22">
        <f t="shared" si="2"/>
        <v>1</v>
      </c>
      <c r="I89" s="51" t="s">
        <v>1763</v>
      </c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</row>
    <row r="90" ht="23.25" customHeight="1">
      <c r="A90" s="54">
        <v>87.0</v>
      </c>
      <c r="B90" s="47">
        <v>1012183.0</v>
      </c>
      <c r="C90" s="283" t="str">
        <f>vlookup(B90,'Crew data for number'!B:C,2,0)</f>
        <v>TAA5983</v>
      </c>
      <c r="D90" s="284" t="str">
        <f>vlookup(B90,'Crew Data'!C:G,5,0)</f>
        <v>Tatree Phakaew</v>
      </c>
      <c r="E90" s="267" t="s">
        <v>1903</v>
      </c>
      <c r="F90" s="47">
        <v>3.0</v>
      </c>
      <c r="G90" s="50">
        <f t="shared" si="1"/>
        <v>1200</v>
      </c>
      <c r="H90" s="22">
        <f t="shared" si="2"/>
        <v>1</v>
      </c>
      <c r="I90" s="51" t="s">
        <v>1768</v>
      </c>
      <c r="J90" s="179" t="s">
        <v>1938</v>
      </c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</row>
    <row r="91" ht="23.25" customHeight="1">
      <c r="A91" s="54">
        <v>88.0</v>
      </c>
      <c r="B91" s="47">
        <v>1004750.0</v>
      </c>
      <c r="C91" s="283" t="str">
        <f>vlookup(B91,'Crew data for number'!B:C,2,0)</f>
        <v>TAA2973</v>
      </c>
      <c r="D91" s="284" t="str">
        <f>vlookup(B91,'Crew Data'!C:G,5,0)</f>
        <v>#N/A</v>
      </c>
      <c r="E91" s="267" t="s">
        <v>1767</v>
      </c>
      <c r="F91" s="47">
        <v>30.0</v>
      </c>
      <c r="G91" s="50">
        <f t="shared" si="1"/>
        <v>12000</v>
      </c>
      <c r="H91" s="22">
        <f t="shared" si="2"/>
        <v>1</v>
      </c>
      <c r="I91" s="51" t="s">
        <v>1763</v>
      </c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</row>
    <row r="92" ht="12.75" customHeight="1">
      <c r="A92" s="297"/>
      <c r="B92" s="297"/>
      <c r="C92" s="297"/>
      <c r="D92" s="297"/>
      <c r="E92" s="297"/>
      <c r="F92" s="297"/>
      <c r="G92" s="297"/>
      <c r="H92" s="297"/>
      <c r="I92" s="297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</row>
    <row r="93" ht="23.2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</row>
    <row r="94" ht="30.0" customHeight="1">
      <c r="A94" s="265" t="s">
        <v>1183</v>
      </c>
      <c r="B94" s="252"/>
      <c r="C94" s="253"/>
      <c r="D94" s="31"/>
      <c r="E94" s="298"/>
      <c r="F94" s="39"/>
      <c r="G94" s="31"/>
      <c r="H94" s="39"/>
      <c r="I94" s="40"/>
      <c r="J94" s="40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</row>
    <row r="95" ht="30.0" customHeight="1">
      <c r="A95" s="254" t="s">
        <v>1153</v>
      </c>
      <c r="B95" s="255" t="s">
        <v>1154</v>
      </c>
      <c r="C95" s="256" t="s">
        <v>1155</v>
      </c>
      <c r="D95" s="31"/>
      <c r="E95" s="298"/>
      <c r="F95" s="39"/>
      <c r="G95" s="31"/>
      <c r="H95" s="39"/>
      <c r="I95" s="40"/>
      <c r="J95" s="40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</row>
    <row r="96" ht="30.0" customHeight="1">
      <c r="A96" s="257" t="s">
        <v>1156</v>
      </c>
      <c r="B96" s="299" t="s">
        <v>1157</v>
      </c>
      <c r="C96" s="300" t="s">
        <v>1939</v>
      </c>
      <c r="D96" s="31"/>
      <c r="E96" s="298"/>
      <c r="F96" s="39"/>
      <c r="G96" s="31"/>
      <c r="H96" s="39"/>
      <c r="I96" s="40"/>
      <c r="J96" s="40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</row>
    <row r="97" ht="30.0" customHeight="1">
      <c r="A97" s="257" t="s">
        <v>1159</v>
      </c>
      <c r="B97" s="299" t="s">
        <v>1157</v>
      </c>
      <c r="C97" s="300" t="s">
        <v>1939</v>
      </c>
      <c r="D97" s="31"/>
      <c r="E97" s="298"/>
      <c r="F97" s="39"/>
      <c r="G97" s="31"/>
      <c r="H97" s="39"/>
      <c r="I97" s="40"/>
      <c r="J97" s="40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</row>
    <row r="98" ht="30.0" customHeight="1">
      <c r="A98" s="257" t="s">
        <v>1160</v>
      </c>
      <c r="B98" s="299" t="s">
        <v>1157</v>
      </c>
      <c r="C98" s="300" t="s">
        <v>1939</v>
      </c>
      <c r="D98" s="31"/>
      <c r="E98" s="298"/>
      <c r="F98" s="39"/>
      <c r="G98" s="31"/>
      <c r="H98" s="39"/>
      <c r="I98" s="40"/>
      <c r="J98" s="40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</row>
    <row r="99" ht="30.0" customHeight="1">
      <c r="A99" s="31"/>
      <c r="B99" s="31"/>
      <c r="C99" s="31"/>
      <c r="D99" s="31"/>
      <c r="E99" s="298"/>
      <c r="F99" s="39"/>
      <c r="G99" s="31"/>
      <c r="H99" s="39"/>
      <c r="I99" s="40"/>
      <c r="J99" s="40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</row>
    <row r="100" ht="30.0" customHeight="1">
      <c r="A100" s="261" t="s">
        <v>1940</v>
      </c>
      <c r="B100" s="262"/>
      <c r="C100" s="31"/>
      <c r="D100" s="31"/>
      <c r="E100" s="298"/>
      <c r="F100" s="39"/>
      <c r="G100" s="31"/>
      <c r="H100" s="39"/>
      <c r="I100" s="40"/>
      <c r="J100" s="40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</row>
    <row r="101" ht="30.0" customHeight="1">
      <c r="A101" s="301" t="s">
        <v>1941</v>
      </c>
      <c r="B101" s="262"/>
      <c r="C101" s="31"/>
      <c r="D101" s="31"/>
      <c r="E101" s="298"/>
      <c r="F101" s="39"/>
      <c r="G101" s="31"/>
      <c r="H101" s="39"/>
      <c r="I101" s="40"/>
      <c r="J101" s="40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</row>
    <row r="102" ht="23.2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</row>
    <row r="103" ht="23.2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</row>
    <row r="104" ht="23.2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</row>
    <row r="105" ht="23.2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</row>
    <row r="106" ht="23.2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</row>
    <row r="107" ht="23.2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</row>
    <row r="108" ht="23.2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</row>
    <row r="109" ht="23.2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</row>
    <row r="110" ht="23.2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</row>
    <row r="111" ht="23.2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</row>
    <row r="112" ht="23.2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</row>
    <row r="113" ht="23.2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</row>
    <row r="114" ht="23.2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</row>
    <row r="115" ht="23.2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</row>
    <row r="116" ht="23.2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</row>
    <row r="117" ht="23.2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</row>
    <row r="118" ht="23.2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</row>
    <row r="119" ht="23.2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</row>
    <row r="120" ht="23.2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</row>
    <row r="121" ht="23.2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</row>
    <row r="122" ht="23.2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</row>
    <row r="123" ht="23.2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</row>
    <row r="124" ht="23.2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</row>
    <row r="125" ht="23.2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</row>
    <row r="126" ht="23.2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</row>
    <row r="127" ht="23.2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</row>
    <row r="128" ht="23.2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</row>
    <row r="129" ht="23.2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</row>
    <row r="130" ht="23.2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</row>
    <row r="131" ht="23.2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</row>
    <row r="132" ht="23.2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</row>
    <row r="133" ht="23.2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</row>
    <row r="134" ht="23.2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</row>
    <row r="135" ht="23.2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</row>
    <row r="136" ht="23.2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</row>
    <row r="137" ht="23.2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</row>
    <row r="138" ht="23.2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</row>
    <row r="139" ht="23.2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</row>
    <row r="140" ht="23.2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</row>
    <row r="141" ht="23.2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</row>
    <row r="142" ht="23.2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</row>
    <row r="143" ht="23.2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</row>
    <row r="144" ht="23.2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</row>
    <row r="145" ht="23.2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</row>
    <row r="146" ht="23.2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</row>
    <row r="147" ht="23.2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</row>
    <row r="148" ht="23.2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</row>
    <row r="149" ht="23.2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</row>
    <row r="150" ht="23.2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</row>
    <row r="151" ht="23.2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</row>
    <row r="152" ht="23.2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</row>
    <row r="153" ht="23.2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</row>
    <row r="154" ht="23.2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</row>
    <row r="155" ht="23.2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</row>
    <row r="156" ht="23.2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</row>
    <row r="157" ht="23.2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</row>
    <row r="158" ht="23.2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</row>
    <row r="159" ht="23.2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</row>
    <row r="160" ht="23.2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</row>
    <row r="161" ht="23.2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</row>
    <row r="162" ht="23.2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</row>
    <row r="163" ht="23.2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</row>
    <row r="164" ht="23.2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</row>
    <row r="165" ht="23.2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</row>
    <row r="166" ht="23.2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</row>
    <row r="167" ht="23.2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</row>
    <row r="168" ht="23.2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</row>
    <row r="169" ht="23.2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</row>
    <row r="170" ht="23.2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</row>
    <row r="171" ht="23.2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</row>
    <row r="172" ht="23.2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</row>
    <row r="173" ht="23.2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</row>
    <row r="174" ht="23.2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</row>
    <row r="175" ht="23.2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</row>
    <row r="176" ht="23.2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</row>
    <row r="177" ht="23.2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</row>
    <row r="178" ht="23.2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</row>
    <row r="179" ht="23.2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</row>
    <row r="180" ht="23.2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</row>
    <row r="181" ht="23.2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</row>
    <row r="182" ht="23.2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</row>
    <row r="183" ht="23.2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</row>
    <row r="184" ht="23.2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</row>
    <row r="185" ht="23.2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</row>
    <row r="186" ht="23.2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</row>
    <row r="187" ht="23.2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</row>
    <row r="188" ht="23.2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</row>
    <row r="189" ht="23.2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</row>
    <row r="190" ht="23.2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</row>
    <row r="191" ht="23.2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</row>
    <row r="192" ht="23.2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</row>
    <row r="193" ht="23.2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</row>
    <row r="194" ht="23.2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</row>
    <row r="195" ht="23.2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</row>
    <row r="196" ht="23.2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</row>
    <row r="197" ht="23.2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</row>
    <row r="198" ht="23.2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</row>
    <row r="199" ht="23.2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</row>
    <row r="200" ht="23.2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</row>
    <row r="201" ht="23.2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</row>
    <row r="202" ht="23.2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</row>
    <row r="203" ht="23.2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</row>
    <row r="204" ht="23.2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</row>
    <row r="205" ht="23.2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</row>
    <row r="206" ht="23.2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</row>
    <row r="207" ht="23.2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</row>
    <row r="208" ht="23.2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</row>
    <row r="209" ht="23.2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</row>
    <row r="210" ht="23.2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</row>
    <row r="211" ht="23.2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</row>
    <row r="212" ht="23.2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</row>
    <row r="213" ht="23.2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</row>
    <row r="214" ht="23.2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</row>
    <row r="215" ht="23.2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</row>
    <row r="216" ht="23.2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</row>
    <row r="217" ht="23.2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</row>
    <row r="218" ht="23.2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</row>
    <row r="219" ht="23.2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</row>
    <row r="220" ht="23.2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</row>
    <row r="221" ht="23.2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</row>
    <row r="222" ht="23.2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</row>
    <row r="223" ht="23.2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</row>
    <row r="224" ht="23.2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</row>
    <row r="225" ht="23.2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</row>
    <row r="226" ht="23.2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</row>
    <row r="227" ht="23.2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</row>
    <row r="228" ht="23.2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</row>
    <row r="229" ht="23.2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</row>
    <row r="230" ht="23.2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</row>
    <row r="231" ht="23.2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</row>
    <row r="232" ht="23.2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</row>
    <row r="233" ht="23.2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</row>
    <row r="234" ht="23.2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</row>
    <row r="235" ht="23.2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</row>
    <row r="236" ht="23.2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</row>
    <row r="237" ht="23.2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</row>
    <row r="238" ht="23.2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</row>
    <row r="239" ht="23.2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</row>
    <row r="240" ht="23.2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</row>
    <row r="241" ht="23.2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</row>
    <row r="242" ht="23.2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</row>
    <row r="243" ht="23.2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</row>
    <row r="244" ht="23.2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</row>
    <row r="245" ht="23.2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</row>
    <row r="246" ht="23.2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</row>
    <row r="247" ht="23.2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</row>
    <row r="248" ht="23.2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</row>
    <row r="249" ht="23.2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</row>
    <row r="250" ht="23.2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</row>
    <row r="251" ht="23.2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</row>
    <row r="252" ht="23.2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</row>
    <row r="253" ht="23.2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</row>
    <row r="254" ht="23.2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</row>
    <row r="255" ht="23.2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</row>
    <row r="256" ht="23.2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</row>
    <row r="257" ht="23.2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</row>
    <row r="258" ht="23.2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</row>
    <row r="259" ht="23.2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</row>
    <row r="260" ht="23.2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</row>
    <row r="261" ht="23.2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</row>
    <row r="262" ht="23.2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</row>
    <row r="263" ht="23.2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</row>
    <row r="264" ht="23.2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</row>
    <row r="265" ht="23.2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</row>
    <row r="266" ht="23.2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</row>
    <row r="267" ht="23.2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</row>
    <row r="268" ht="23.2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</row>
    <row r="269" ht="23.2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</row>
    <row r="270" ht="23.2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</row>
    <row r="271" ht="23.2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</row>
    <row r="272" ht="23.2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</row>
    <row r="273" ht="23.2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</row>
    <row r="274" ht="23.2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</row>
    <row r="275" ht="23.2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</row>
    <row r="276" ht="23.2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</row>
    <row r="277" ht="23.2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</row>
    <row r="278" ht="23.2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</row>
    <row r="279" ht="23.2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</row>
    <row r="280" ht="23.2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</row>
    <row r="281" ht="23.2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</row>
    <row r="282" ht="23.2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</row>
    <row r="283" ht="23.2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</row>
    <row r="284" ht="23.2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</row>
    <row r="285" ht="23.2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</row>
    <row r="286" ht="23.2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</row>
    <row r="287" ht="23.2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</row>
    <row r="288" ht="23.2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</row>
    <row r="289" ht="23.2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</row>
    <row r="290" ht="23.2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</row>
    <row r="291" ht="23.2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</row>
    <row r="292" ht="23.2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</row>
    <row r="293" ht="23.2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</row>
    <row r="294" ht="23.2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</row>
    <row r="295" ht="23.2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</row>
    <row r="296" ht="23.2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</row>
    <row r="297" ht="23.2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</row>
    <row r="298" ht="23.2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</row>
    <row r="299" ht="23.2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</row>
    <row r="300" ht="23.2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</row>
    <row r="301" ht="23.2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</row>
    <row r="302" ht="23.2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</row>
    <row r="303" ht="23.2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</row>
    <row r="304" ht="23.2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</row>
    <row r="305" ht="23.2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</row>
    <row r="306" ht="23.2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</row>
    <row r="307" ht="23.2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</row>
    <row r="308" ht="23.2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</row>
    <row r="309" ht="23.2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</row>
    <row r="310" ht="23.2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</row>
    <row r="311" ht="23.2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</row>
    <row r="312" ht="23.2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</row>
    <row r="313" ht="23.2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</row>
    <row r="314" ht="23.2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</row>
    <row r="315" ht="23.2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</row>
    <row r="316" ht="23.2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</row>
    <row r="317" ht="23.2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</row>
    <row r="318" ht="23.2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</row>
    <row r="319" ht="23.2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</row>
    <row r="320" ht="23.2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</row>
    <row r="321" ht="23.2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</row>
    <row r="322" ht="23.2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</row>
    <row r="323" ht="23.2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</row>
    <row r="324" ht="23.2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</row>
    <row r="325" ht="23.2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</row>
    <row r="326" ht="23.2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</row>
    <row r="327" ht="23.2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</row>
    <row r="328" ht="23.2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</row>
    <row r="329" ht="23.2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</row>
    <row r="330" ht="23.2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</row>
    <row r="331" ht="23.2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</row>
    <row r="332" ht="23.2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</row>
    <row r="333" ht="23.2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</row>
    <row r="334" ht="23.2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</row>
    <row r="335" ht="23.2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</row>
    <row r="336" ht="23.2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</row>
    <row r="337" ht="23.2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</row>
    <row r="338" ht="23.2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</row>
    <row r="339" ht="23.2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</row>
    <row r="340" ht="23.2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</row>
    <row r="341" ht="23.2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</row>
    <row r="342" ht="23.2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</row>
    <row r="343" ht="23.2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</row>
    <row r="344" ht="23.2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</row>
    <row r="345" ht="23.2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</row>
    <row r="346" ht="23.2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</row>
    <row r="347" ht="23.2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</row>
    <row r="348" ht="23.2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</row>
    <row r="349" ht="23.2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</row>
    <row r="350" ht="23.2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</row>
    <row r="351" ht="23.2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</row>
    <row r="352" ht="23.2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</row>
    <row r="353" ht="23.2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</row>
    <row r="354" ht="23.2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</row>
    <row r="355" ht="23.2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</row>
    <row r="356" ht="23.2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</row>
    <row r="357" ht="23.2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</row>
    <row r="358" ht="23.2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</row>
    <row r="359" ht="23.2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</row>
    <row r="360" ht="23.2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</row>
    <row r="361" ht="23.2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</row>
    <row r="362" ht="23.2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</row>
    <row r="363" ht="23.2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</row>
    <row r="364" ht="23.2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</row>
    <row r="365" ht="23.2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</row>
    <row r="366" ht="23.2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</row>
    <row r="367" ht="23.2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</row>
    <row r="368" ht="23.2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</row>
    <row r="369" ht="23.2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</row>
    <row r="370" ht="23.2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</row>
    <row r="371" ht="23.2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</row>
    <row r="372" ht="23.2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</row>
    <row r="373" ht="23.2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</row>
    <row r="374" ht="23.2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</row>
    <row r="375" ht="23.2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</row>
    <row r="376" ht="23.2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</row>
    <row r="377" ht="23.2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</row>
    <row r="378" ht="23.2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</row>
    <row r="379" ht="23.2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</row>
    <row r="380" ht="23.2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</row>
    <row r="381" ht="23.2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</row>
    <row r="382" ht="23.2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</row>
    <row r="383" ht="23.2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</row>
    <row r="384" ht="23.2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</row>
    <row r="385" ht="23.2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</row>
    <row r="386" ht="23.2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</row>
    <row r="387" ht="23.2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</row>
    <row r="388" ht="23.2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</row>
    <row r="389" ht="23.2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</row>
    <row r="390" ht="23.2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</row>
    <row r="391" ht="23.2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</row>
    <row r="392" ht="23.2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</row>
    <row r="393" ht="23.2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</row>
    <row r="394" ht="23.2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</row>
    <row r="395" ht="23.2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</row>
    <row r="396" ht="23.2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</row>
    <row r="397" ht="23.2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</row>
    <row r="398" ht="23.2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</row>
    <row r="399" ht="23.2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</row>
    <row r="400" ht="23.2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</row>
    <row r="401" ht="23.2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</row>
    <row r="402" ht="23.2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</row>
    <row r="403" ht="23.2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</row>
    <row r="404" ht="23.2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</row>
    <row r="405" ht="23.2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</row>
    <row r="406" ht="23.2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</row>
    <row r="407" ht="23.2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</row>
    <row r="408" ht="23.2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</row>
    <row r="409" ht="23.2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</row>
    <row r="410" ht="23.2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</row>
    <row r="411" ht="23.2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</row>
    <row r="412" ht="23.2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</row>
    <row r="413" ht="23.2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</row>
    <row r="414" ht="23.2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</row>
    <row r="415" ht="23.2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</row>
    <row r="416" ht="23.2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</row>
    <row r="417" ht="23.2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</row>
    <row r="418" ht="23.2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</row>
    <row r="419" ht="23.2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</row>
    <row r="420" ht="23.2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</row>
    <row r="421" ht="23.2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</row>
    <row r="422" ht="23.2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</row>
    <row r="423" ht="23.2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</row>
    <row r="424" ht="23.2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</row>
    <row r="425" ht="23.2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</row>
    <row r="426" ht="23.2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</row>
    <row r="427" ht="23.2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</row>
    <row r="428" ht="23.2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</row>
    <row r="429" ht="23.2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</row>
    <row r="430" ht="23.2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</row>
    <row r="431" ht="23.2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</row>
    <row r="432" ht="23.2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</row>
    <row r="433" ht="23.2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</row>
    <row r="434" ht="23.2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</row>
    <row r="435" ht="23.2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</row>
    <row r="436" ht="23.2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</row>
    <row r="437" ht="23.2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</row>
    <row r="438" ht="23.2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</row>
    <row r="439" ht="23.2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</row>
    <row r="440" ht="23.2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</row>
    <row r="441" ht="23.2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</row>
    <row r="442" ht="23.2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</row>
    <row r="443" ht="23.2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</row>
    <row r="444" ht="23.2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</row>
    <row r="445" ht="23.2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</row>
    <row r="446" ht="23.2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</row>
    <row r="447" ht="23.2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</row>
    <row r="448" ht="23.2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</row>
    <row r="449" ht="23.2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</row>
    <row r="450" ht="23.2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</row>
    <row r="451" ht="23.2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</row>
    <row r="452" ht="23.2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</row>
    <row r="453" ht="23.2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</row>
    <row r="454" ht="23.2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</row>
    <row r="455" ht="23.2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</row>
    <row r="456" ht="23.2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</row>
    <row r="457" ht="23.2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</row>
    <row r="458" ht="23.2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</row>
    <row r="459" ht="23.2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</row>
    <row r="460" ht="23.2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</row>
    <row r="461" ht="23.2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</row>
    <row r="462" ht="23.2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</row>
    <row r="463" ht="23.2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</row>
    <row r="464" ht="23.2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</row>
    <row r="465" ht="23.2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</row>
    <row r="466" ht="23.2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</row>
    <row r="467" ht="23.2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</row>
    <row r="468" ht="23.2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</row>
    <row r="469" ht="23.2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</row>
    <row r="470" ht="23.2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</row>
    <row r="471" ht="23.2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</row>
    <row r="472" ht="23.2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</row>
    <row r="473" ht="23.2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</row>
    <row r="474" ht="23.2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</row>
    <row r="475" ht="23.2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</row>
    <row r="476" ht="23.2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</row>
    <row r="477" ht="23.2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</row>
    <row r="478" ht="23.2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</row>
    <row r="479" ht="23.2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</row>
    <row r="480" ht="23.2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</row>
    <row r="481" ht="23.2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</row>
    <row r="482" ht="23.2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</row>
    <row r="483" ht="23.2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</row>
    <row r="484" ht="23.2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</row>
    <row r="485" ht="23.2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</row>
    <row r="486" ht="23.2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</row>
    <row r="487" ht="23.2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</row>
    <row r="488" ht="23.2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</row>
    <row r="489" ht="23.2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</row>
    <row r="490" ht="23.2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</row>
    <row r="491" ht="23.2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</row>
    <row r="492" ht="23.2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</row>
    <row r="493" ht="23.2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</row>
    <row r="494" ht="23.2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</row>
    <row r="495" ht="23.2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</row>
    <row r="496" ht="23.2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</row>
    <row r="497" ht="23.2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</row>
    <row r="498" ht="23.2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</row>
    <row r="499" ht="23.2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</row>
    <row r="500" ht="23.2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</row>
    <row r="501" ht="23.2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</row>
    <row r="502" ht="23.2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</row>
    <row r="503" ht="23.2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</row>
    <row r="504" ht="23.2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</row>
    <row r="505" ht="23.2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</row>
    <row r="506" ht="23.2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</row>
    <row r="507" ht="23.2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</row>
    <row r="508" ht="23.2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</row>
    <row r="509" ht="23.2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</row>
    <row r="510" ht="23.2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</row>
    <row r="511" ht="23.2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</row>
    <row r="512" ht="23.2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</row>
    <row r="513" ht="23.2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</row>
    <row r="514" ht="23.2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</row>
    <row r="515" ht="23.2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</row>
    <row r="516" ht="23.2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</row>
    <row r="517" ht="23.2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</row>
    <row r="518" ht="23.2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</row>
    <row r="519" ht="23.2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</row>
    <row r="520" ht="23.2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</row>
    <row r="521" ht="23.2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</row>
    <row r="522" ht="23.2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</row>
    <row r="523" ht="23.2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</row>
    <row r="524" ht="23.2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</row>
    <row r="525" ht="23.2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</row>
    <row r="526" ht="23.2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</row>
    <row r="527" ht="23.2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</row>
    <row r="528" ht="23.2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</row>
    <row r="529" ht="23.2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</row>
    <row r="530" ht="23.2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</row>
    <row r="531" ht="23.2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</row>
    <row r="532" ht="23.2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</row>
    <row r="533" ht="23.2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</row>
    <row r="534" ht="23.2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</row>
    <row r="535" ht="23.2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</row>
    <row r="536" ht="23.2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</row>
    <row r="537" ht="23.2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</row>
    <row r="538" ht="23.2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</row>
    <row r="539" ht="23.2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</row>
    <row r="540" ht="23.2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</row>
    <row r="541" ht="23.2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</row>
    <row r="542" ht="23.2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</row>
    <row r="543" ht="23.2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</row>
    <row r="544" ht="23.2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</row>
    <row r="545" ht="23.2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</row>
    <row r="546" ht="23.2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</row>
    <row r="547" ht="23.2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</row>
    <row r="548" ht="23.2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</row>
    <row r="549" ht="23.2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</row>
    <row r="550" ht="23.2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</row>
    <row r="551" ht="23.2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</row>
    <row r="552" ht="23.2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</row>
    <row r="553" ht="23.2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</row>
    <row r="554" ht="23.2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</row>
    <row r="555" ht="23.2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</row>
    <row r="556" ht="23.2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</row>
    <row r="557" ht="23.2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</row>
    <row r="558" ht="23.2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</row>
    <row r="559" ht="23.2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</row>
    <row r="560" ht="23.2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</row>
    <row r="561" ht="23.2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</row>
    <row r="562" ht="23.2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</row>
    <row r="563" ht="23.2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</row>
    <row r="564" ht="23.2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</row>
    <row r="565" ht="23.2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</row>
    <row r="566" ht="23.2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</row>
    <row r="567" ht="23.2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</row>
    <row r="568" ht="23.2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</row>
    <row r="569" ht="23.2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</row>
    <row r="570" ht="23.2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</row>
    <row r="571" ht="23.2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</row>
    <row r="572" ht="23.2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</row>
    <row r="573" ht="23.2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</row>
    <row r="574" ht="23.2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</row>
    <row r="575" ht="23.2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</row>
    <row r="576" ht="23.2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</row>
    <row r="577" ht="23.2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</row>
    <row r="578" ht="23.2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</row>
    <row r="579" ht="23.2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</row>
    <row r="580" ht="23.2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</row>
    <row r="581" ht="23.2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</row>
    <row r="582" ht="23.2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</row>
    <row r="583" ht="23.2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</row>
    <row r="584" ht="23.2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</row>
    <row r="585" ht="23.2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</row>
    <row r="586" ht="23.2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</row>
    <row r="587" ht="23.2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</row>
    <row r="588" ht="23.2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</row>
    <row r="589" ht="23.2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</row>
    <row r="590" ht="23.2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</row>
    <row r="591" ht="23.2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</row>
    <row r="592" ht="23.2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</row>
    <row r="593" ht="23.2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</row>
    <row r="594" ht="23.2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</row>
    <row r="595" ht="23.2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</row>
    <row r="596" ht="23.2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</row>
    <row r="597" ht="23.2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</row>
    <row r="598" ht="23.2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</row>
    <row r="599" ht="23.2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</row>
    <row r="600" ht="23.2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</row>
    <row r="601" ht="23.2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</row>
    <row r="602" ht="23.2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</row>
    <row r="603" ht="23.2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</row>
    <row r="604" ht="23.2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</row>
    <row r="605" ht="23.2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</row>
    <row r="606" ht="23.2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</row>
    <row r="607" ht="23.2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</row>
    <row r="608" ht="23.2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</row>
    <row r="609" ht="23.2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</row>
    <row r="610" ht="23.2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</row>
    <row r="611" ht="23.2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</row>
    <row r="612" ht="23.2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</row>
    <row r="613" ht="23.2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</row>
    <row r="614" ht="23.2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</row>
    <row r="615" ht="23.2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</row>
    <row r="616" ht="23.2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</row>
    <row r="617" ht="23.2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</row>
    <row r="618" ht="23.2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</row>
    <row r="619" ht="23.2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</row>
    <row r="620" ht="23.2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</row>
    <row r="621" ht="23.2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</row>
    <row r="622" ht="23.2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</row>
    <row r="623" ht="23.2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</row>
    <row r="624" ht="23.2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</row>
    <row r="625" ht="23.2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</row>
    <row r="626" ht="23.2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</row>
    <row r="627" ht="23.2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</row>
    <row r="628" ht="23.2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</row>
    <row r="629" ht="23.2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</row>
    <row r="630" ht="23.2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</row>
    <row r="631" ht="23.2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</row>
    <row r="632" ht="23.2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</row>
    <row r="633" ht="23.2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</row>
    <row r="634" ht="23.2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</row>
    <row r="635" ht="23.2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</row>
    <row r="636" ht="23.2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</row>
    <row r="637" ht="23.2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</row>
    <row r="638" ht="23.2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</row>
    <row r="639" ht="23.2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</row>
    <row r="640" ht="23.2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</row>
    <row r="641" ht="23.2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</row>
    <row r="642" ht="23.2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</row>
    <row r="643" ht="23.2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</row>
    <row r="644" ht="23.2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</row>
    <row r="645" ht="23.2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</row>
    <row r="646" ht="23.2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</row>
    <row r="647" ht="23.2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</row>
    <row r="648" ht="23.2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</row>
    <row r="649" ht="23.2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</row>
    <row r="650" ht="23.2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</row>
    <row r="651" ht="23.2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</row>
    <row r="652" ht="23.2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</row>
    <row r="653" ht="23.2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</row>
    <row r="654" ht="23.2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</row>
    <row r="655" ht="23.2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</row>
    <row r="656" ht="23.2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</row>
    <row r="657" ht="23.2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</row>
    <row r="658" ht="23.2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</row>
    <row r="659" ht="23.2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</row>
    <row r="660" ht="23.2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</row>
    <row r="661" ht="23.2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</row>
    <row r="662" ht="23.2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</row>
    <row r="663" ht="23.2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</row>
    <row r="664" ht="23.2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</row>
    <row r="665" ht="23.2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</row>
    <row r="666" ht="23.2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</row>
    <row r="667" ht="23.2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</row>
    <row r="668" ht="23.2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</row>
    <row r="669" ht="23.2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</row>
    <row r="670" ht="23.2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</row>
    <row r="671" ht="23.2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</row>
    <row r="672" ht="23.2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</row>
    <row r="673" ht="23.2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</row>
    <row r="674" ht="23.2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</row>
    <row r="675" ht="23.2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</row>
    <row r="676" ht="23.2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</row>
    <row r="677" ht="23.2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</row>
    <row r="678" ht="23.2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</row>
    <row r="679" ht="23.2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</row>
    <row r="680" ht="23.2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</row>
    <row r="681" ht="23.2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</row>
    <row r="682" ht="23.2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</row>
    <row r="683" ht="23.2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</row>
    <row r="684" ht="23.2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</row>
    <row r="685" ht="23.2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</row>
    <row r="686" ht="23.2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</row>
    <row r="687" ht="23.2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</row>
    <row r="688" ht="23.2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</row>
    <row r="689" ht="23.2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</row>
    <row r="690" ht="23.2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</row>
    <row r="691" ht="23.2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</row>
    <row r="692" ht="23.2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</row>
    <row r="693" ht="23.2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</row>
    <row r="694" ht="23.2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</row>
    <row r="695" ht="23.2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</row>
    <row r="696" ht="23.2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</row>
    <row r="697" ht="23.2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</row>
    <row r="698" ht="23.2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</row>
    <row r="699" ht="23.2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</row>
    <row r="700" ht="23.2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</row>
    <row r="701" ht="23.2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</row>
    <row r="702" ht="23.2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</row>
    <row r="703" ht="23.2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</row>
    <row r="704" ht="23.2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</row>
    <row r="705" ht="23.2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</row>
    <row r="706" ht="23.2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</row>
    <row r="707" ht="23.2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</row>
    <row r="708" ht="23.2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</row>
    <row r="709" ht="23.2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</row>
    <row r="710" ht="23.2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</row>
    <row r="711" ht="23.2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</row>
    <row r="712" ht="23.2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</row>
    <row r="713" ht="23.2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</row>
    <row r="714" ht="23.2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</row>
    <row r="715" ht="23.2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</row>
    <row r="716" ht="23.2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</row>
    <row r="717" ht="23.2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</row>
    <row r="718" ht="23.2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</row>
    <row r="719" ht="23.2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</row>
    <row r="720" ht="23.2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</row>
    <row r="721" ht="23.2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</row>
    <row r="722" ht="23.2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</row>
    <row r="723" ht="23.2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</row>
    <row r="724" ht="23.2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</row>
    <row r="725" ht="23.2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</row>
    <row r="726" ht="23.2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</row>
    <row r="727" ht="23.2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</row>
    <row r="728" ht="23.2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</row>
    <row r="729" ht="23.2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</row>
    <row r="730" ht="23.2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</row>
    <row r="731" ht="23.2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</row>
    <row r="732" ht="23.2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</row>
    <row r="733" ht="23.2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</row>
    <row r="734" ht="23.2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</row>
    <row r="735" ht="23.2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</row>
    <row r="736" ht="23.2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</row>
    <row r="737" ht="23.2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</row>
    <row r="738" ht="23.2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</row>
    <row r="739" ht="23.2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</row>
    <row r="740" ht="23.2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</row>
    <row r="741" ht="23.2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</row>
    <row r="742" ht="23.2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</row>
    <row r="743" ht="23.2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</row>
    <row r="744" ht="23.2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</row>
    <row r="745" ht="23.2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</row>
    <row r="746" ht="23.2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</row>
    <row r="747" ht="23.2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</row>
    <row r="748" ht="23.2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</row>
    <row r="749" ht="23.2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</row>
    <row r="750" ht="23.2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</row>
    <row r="751" ht="23.2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</row>
    <row r="752" ht="23.2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</row>
    <row r="753" ht="23.2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</row>
    <row r="754" ht="23.2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</row>
    <row r="755" ht="23.2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</row>
    <row r="756" ht="23.2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</row>
    <row r="757" ht="23.2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</row>
    <row r="758" ht="23.2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</row>
    <row r="759" ht="23.2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</row>
    <row r="760" ht="23.2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</row>
    <row r="761" ht="23.2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</row>
    <row r="762" ht="23.2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</row>
    <row r="763" ht="23.2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</row>
    <row r="764" ht="23.2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</row>
    <row r="765" ht="23.2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</row>
    <row r="766" ht="23.2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</row>
    <row r="767" ht="23.2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</row>
    <row r="768" ht="23.2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</row>
    <row r="769" ht="23.2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</row>
    <row r="770" ht="23.2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</row>
    <row r="771" ht="23.2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</row>
    <row r="772" ht="23.2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</row>
    <row r="773" ht="23.2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</row>
    <row r="774" ht="23.2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</row>
    <row r="775" ht="23.2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</row>
    <row r="776" ht="23.2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</row>
    <row r="777" ht="23.2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</row>
    <row r="778" ht="23.2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</row>
    <row r="779" ht="23.2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</row>
    <row r="780" ht="23.2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</row>
    <row r="781" ht="23.2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</row>
    <row r="782" ht="23.2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</row>
    <row r="783" ht="23.2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</row>
    <row r="784" ht="23.2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</row>
    <row r="785" ht="23.2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</row>
    <row r="786" ht="23.2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</row>
    <row r="787" ht="23.2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</row>
    <row r="788" ht="23.2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</row>
    <row r="789" ht="23.2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</row>
    <row r="790" ht="23.2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</row>
    <row r="791" ht="23.2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</row>
    <row r="792" ht="23.2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</row>
    <row r="793" ht="23.2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</row>
    <row r="794" ht="23.2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</row>
    <row r="795" ht="23.2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</row>
    <row r="796" ht="23.2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</row>
    <row r="797" ht="23.2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</row>
    <row r="798" ht="23.2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</row>
    <row r="799" ht="23.2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</row>
    <row r="800" ht="23.2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</row>
    <row r="801" ht="23.2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</row>
    <row r="802" ht="23.2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</row>
    <row r="803" ht="23.2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</row>
    <row r="804" ht="23.2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</row>
    <row r="805" ht="23.2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</row>
    <row r="806" ht="23.2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</row>
    <row r="807" ht="23.2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</row>
    <row r="808" ht="23.2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</row>
    <row r="809" ht="23.2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</row>
    <row r="810" ht="23.2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</row>
    <row r="811" ht="23.2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</row>
    <row r="812" ht="23.2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</row>
    <row r="813" ht="23.2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</row>
    <row r="814" ht="23.2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</row>
    <row r="815" ht="23.2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</row>
    <row r="816" ht="23.2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</row>
    <row r="817" ht="23.2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</row>
    <row r="818" ht="23.2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</row>
    <row r="819" ht="23.2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</row>
    <row r="820" ht="23.2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</row>
    <row r="821" ht="23.2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</row>
    <row r="822" ht="23.2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</row>
    <row r="823" ht="23.2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</row>
    <row r="824" ht="23.2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</row>
    <row r="825" ht="23.2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</row>
    <row r="826" ht="23.2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</row>
    <row r="827" ht="23.2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</row>
    <row r="828" ht="23.2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</row>
    <row r="829" ht="23.2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</row>
    <row r="830" ht="23.2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</row>
    <row r="831" ht="23.2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</row>
    <row r="832" ht="23.2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</row>
    <row r="833" ht="23.2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</row>
    <row r="834" ht="23.2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</row>
    <row r="835" ht="23.2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</row>
    <row r="836" ht="23.2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</row>
    <row r="837" ht="23.2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</row>
    <row r="838" ht="23.2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</row>
    <row r="839" ht="23.2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</row>
    <row r="840" ht="23.2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</row>
    <row r="841" ht="23.2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</row>
    <row r="842" ht="23.2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</row>
    <row r="843" ht="23.2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</row>
    <row r="844" ht="23.2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</row>
    <row r="845" ht="23.2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</row>
    <row r="846" ht="23.2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</row>
    <row r="847" ht="23.2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</row>
    <row r="848" ht="23.2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</row>
    <row r="849" ht="23.2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</row>
    <row r="850" ht="23.2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</row>
    <row r="851" ht="23.2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</row>
    <row r="852" ht="23.2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</row>
    <row r="853" ht="23.2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</row>
    <row r="854" ht="23.2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</row>
    <row r="855" ht="23.2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</row>
    <row r="856" ht="23.2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</row>
    <row r="857" ht="23.2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</row>
    <row r="858" ht="23.2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</row>
    <row r="859" ht="23.2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</row>
    <row r="860" ht="23.2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</row>
    <row r="861" ht="23.2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</row>
    <row r="862" ht="23.2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</row>
    <row r="863" ht="23.2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</row>
    <row r="864" ht="23.2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</row>
    <row r="865" ht="23.2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</row>
    <row r="866" ht="23.2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</row>
    <row r="867" ht="23.2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</row>
    <row r="868" ht="23.2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</row>
    <row r="869" ht="23.2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</row>
    <row r="870" ht="23.2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</row>
    <row r="871" ht="23.2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</row>
    <row r="872" ht="23.2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</row>
    <row r="873" ht="23.2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</row>
    <row r="874" ht="23.2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</row>
    <row r="875" ht="23.2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</row>
    <row r="876" ht="23.2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</row>
    <row r="877" ht="23.2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</row>
    <row r="878" ht="23.2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</row>
    <row r="879" ht="23.2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</row>
    <row r="880" ht="23.2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</row>
    <row r="881" ht="23.2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</row>
    <row r="882" ht="23.2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</row>
    <row r="883" ht="23.2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</row>
    <row r="884" ht="23.2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</row>
    <row r="885" ht="23.2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</row>
    <row r="886" ht="23.2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</row>
    <row r="887" ht="23.2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</row>
    <row r="888" ht="23.2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</row>
    <row r="889" ht="23.2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</row>
    <row r="890" ht="23.2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</row>
    <row r="891" ht="23.2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</row>
    <row r="892" ht="23.2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</row>
    <row r="893" ht="23.2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</row>
    <row r="894" ht="23.2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</row>
    <row r="895" ht="23.2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</row>
    <row r="896" ht="23.2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</row>
    <row r="897" ht="23.2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</row>
    <row r="898" ht="23.2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</row>
    <row r="899" ht="23.2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</row>
    <row r="900" ht="23.2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</row>
    <row r="901" ht="23.2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</row>
    <row r="902" ht="23.2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</row>
    <row r="903" ht="23.2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</row>
    <row r="904" ht="23.2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</row>
    <row r="905" ht="23.2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</row>
    <row r="906" ht="23.2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</row>
    <row r="907" ht="23.2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</row>
    <row r="908" ht="23.2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</row>
    <row r="909" ht="23.2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</row>
    <row r="910" ht="23.2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</row>
    <row r="911" ht="23.2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</row>
    <row r="912" ht="23.2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</row>
    <row r="913" ht="23.2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</row>
    <row r="914" ht="23.2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</row>
    <row r="915" ht="23.2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</row>
    <row r="916" ht="23.2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</row>
    <row r="917" ht="23.2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</row>
    <row r="918" ht="23.2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</row>
    <row r="919" ht="23.2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</row>
    <row r="920" ht="23.2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</row>
    <row r="921" ht="23.2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</row>
    <row r="922" ht="23.2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</row>
    <row r="923" ht="23.2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</row>
    <row r="924" ht="23.2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</row>
    <row r="925" ht="23.2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</row>
    <row r="926" ht="23.2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</row>
    <row r="927" ht="23.2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</row>
    <row r="928" ht="23.2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</row>
    <row r="929" ht="23.2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</row>
    <row r="930" ht="23.2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</row>
    <row r="931" ht="23.2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</row>
    <row r="932" ht="23.2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</row>
    <row r="933" ht="23.2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</row>
    <row r="934" ht="23.2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</row>
    <row r="935" ht="23.2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</row>
    <row r="936" ht="23.2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</row>
    <row r="937" ht="23.2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</row>
    <row r="938" ht="23.2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</row>
    <row r="939" ht="23.2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</row>
    <row r="940" ht="23.2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</row>
    <row r="941" ht="23.2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</row>
    <row r="942" ht="23.2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</row>
    <row r="943" ht="23.2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</row>
    <row r="944" ht="23.2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</row>
    <row r="945" ht="23.2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</row>
    <row r="946" ht="23.2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</row>
    <row r="947" ht="23.2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</row>
    <row r="948" ht="23.2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</row>
    <row r="949" ht="23.2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</row>
    <row r="950" ht="23.2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</row>
    <row r="951" ht="23.2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</row>
    <row r="952" ht="23.2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</row>
    <row r="953" ht="23.2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</row>
    <row r="954" ht="23.2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</row>
    <row r="955" ht="23.2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</row>
    <row r="956" ht="23.2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</row>
    <row r="957" ht="23.2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</row>
    <row r="958" ht="23.2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</row>
    <row r="959" ht="23.2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</row>
    <row r="960" ht="23.2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</row>
    <row r="961" ht="23.2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</row>
    <row r="962" ht="23.2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</row>
    <row r="963" ht="23.2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</row>
    <row r="964" ht="23.2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</row>
    <row r="965" ht="23.2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</row>
    <row r="966" ht="23.2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</row>
    <row r="967" ht="23.2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</row>
    <row r="968" ht="23.2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</row>
    <row r="969" ht="23.2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</row>
    <row r="970" ht="23.2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</row>
    <row r="971" ht="23.2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</row>
    <row r="972" ht="23.2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</row>
    <row r="973" ht="23.2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</row>
    <row r="974" ht="23.2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</row>
    <row r="975" ht="23.2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</row>
    <row r="976" ht="23.2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</row>
    <row r="977" ht="23.2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</row>
    <row r="978" ht="23.2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</row>
    <row r="979" ht="23.2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</row>
    <row r="980" ht="23.2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</row>
    <row r="981" ht="23.2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</row>
    <row r="982" ht="23.2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</row>
    <row r="983" ht="23.2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</row>
    <row r="984" ht="23.2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</row>
    <row r="985" ht="23.2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</row>
    <row r="986" ht="23.2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</row>
    <row r="987" ht="23.2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</row>
    <row r="988" ht="23.2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</row>
    <row r="989" ht="23.2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</row>
    <row r="990" ht="23.2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</row>
    <row r="991" ht="23.2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</row>
    <row r="992" ht="23.2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</row>
  </sheetData>
  <mergeCells count="8">
    <mergeCell ref="A1:G1"/>
    <mergeCell ref="A2:A3"/>
    <mergeCell ref="B2:B3"/>
    <mergeCell ref="C2:C3"/>
    <mergeCell ref="D2:D3"/>
    <mergeCell ref="E2:E3"/>
    <mergeCell ref="F2:G2"/>
    <mergeCell ref="A94:C94"/>
  </mergeCells>
  <dataValidations>
    <dataValidation type="list" allowBlank="1" sqref="I4:I91">
      <formula1>"ON TIME(ALL CHECKED),2 MONTHS(ALL CHECKED),LATE SUBMIT (RETRO)"</formula1>
    </dataValidation>
  </dataValidations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4" max="4" width="30.0"/>
    <col customWidth="1" min="5" max="5" width="49.13"/>
    <col customWidth="1" min="8" max="8" width="8.75"/>
    <col customWidth="1" min="9" max="9" width="22.63"/>
    <col customWidth="1" min="10" max="10" width="23.25"/>
  </cols>
  <sheetData>
    <row r="1" ht="30.0" customHeight="1">
      <c r="A1" s="30" t="s">
        <v>1942</v>
      </c>
      <c r="H1" s="31"/>
      <c r="I1" s="32" t="s">
        <v>1762</v>
      </c>
      <c r="J1" s="33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ht="30.0" customHeight="1">
      <c r="A2" s="281" t="s">
        <v>1</v>
      </c>
      <c r="B2" s="266" t="s">
        <v>11</v>
      </c>
      <c r="C2" s="266" t="s">
        <v>1452</v>
      </c>
      <c r="D2" s="266" t="s">
        <v>12</v>
      </c>
      <c r="E2" s="287" t="s">
        <v>13</v>
      </c>
      <c r="F2" s="37" t="s">
        <v>14</v>
      </c>
      <c r="G2" s="38"/>
      <c r="H2" s="39"/>
      <c r="I2" s="40"/>
      <c r="J2" s="40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 ht="30.0" customHeight="1">
      <c r="A3" s="41"/>
      <c r="B3" s="38"/>
      <c r="C3" s="38"/>
      <c r="D3" s="38"/>
      <c r="E3" s="38"/>
      <c r="F3" s="42" t="s">
        <v>15</v>
      </c>
      <c r="G3" s="43" t="s">
        <v>5</v>
      </c>
      <c r="H3" s="39"/>
      <c r="I3" s="44" t="s">
        <v>6</v>
      </c>
      <c r="J3" s="45" t="s">
        <v>7</v>
      </c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 ht="30.0" customHeight="1">
      <c r="A4" s="282">
        <v>1.0</v>
      </c>
      <c r="B4" s="47">
        <v>1006835.0</v>
      </c>
      <c r="C4" s="283" t="str">
        <f>vlookup(B4,'Crew data for number'!B:C,2,0)</f>
        <v>TAA3877</v>
      </c>
      <c r="D4" s="284" t="str">
        <f>vlookup(B4,'Crew Data'!C:G,5,0)</f>
        <v>Ketsaraporn Borvornmongkolsak</v>
      </c>
      <c r="E4" s="268">
        <v>43525.0</v>
      </c>
      <c r="F4" s="47">
        <v>1.0</v>
      </c>
      <c r="G4" s="50">
        <f t="shared" ref="G4:G107" si="1">F4*400</f>
        <v>400</v>
      </c>
      <c r="H4" s="22">
        <f t="shared" ref="H4:H107" si="2">COUNTIF(B:B,B4)</f>
        <v>1</v>
      </c>
      <c r="I4" s="51" t="s">
        <v>1763</v>
      </c>
      <c r="J4" s="40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</row>
    <row r="5" ht="30.0" customHeight="1">
      <c r="A5" s="282">
        <v>2.0</v>
      </c>
      <c r="B5" s="47">
        <v>1016197.0</v>
      </c>
      <c r="C5" s="283" t="str">
        <f>vlookup(B5,'Crew data for number'!B:C,2,0)</f>
        <v>TAA7284</v>
      </c>
      <c r="D5" s="284" t="str">
        <f>vlookup(B5,'Crew Data'!C:G,5,0)</f>
        <v>Kornchanok Ruamsanit</v>
      </c>
      <c r="E5" s="267" t="s">
        <v>1943</v>
      </c>
      <c r="F5" s="47">
        <v>24.0</v>
      </c>
      <c r="G5" s="50">
        <f t="shared" si="1"/>
        <v>9600</v>
      </c>
      <c r="H5" s="22">
        <f t="shared" si="2"/>
        <v>1</v>
      </c>
      <c r="I5" s="51" t="s">
        <v>1768</v>
      </c>
      <c r="J5" s="40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ht="30.0" customHeight="1">
      <c r="A6" s="282">
        <v>3.0</v>
      </c>
      <c r="B6" s="47">
        <v>1010939.0</v>
      </c>
      <c r="C6" s="283" t="str">
        <f>vlookup(B6,'Crew data for number'!B:C,2,0)</f>
        <v>TAA5508</v>
      </c>
      <c r="D6" s="284" t="str">
        <f>vlookup(B6,'Crew Data'!C:G,5,0)</f>
        <v>Yuwarat Meesap</v>
      </c>
      <c r="E6" s="267" t="s">
        <v>1944</v>
      </c>
      <c r="F6" s="47">
        <v>2.0</v>
      </c>
      <c r="G6" s="50">
        <f t="shared" si="1"/>
        <v>800</v>
      </c>
      <c r="H6" s="22">
        <f t="shared" si="2"/>
        <v>1</v>
      </c>
      <c r="I6" s="51" t="s">
        <v>1768</v>
      </c>
      <c r="J6" s="40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 ht="30.0" customHeight="1">
      <c r="A7" s="282">
        <v>4.0</v>
      </c>
      <c r="B7" s="47">
        <v>1012904.0</v>
      </c>
      <c r="C7" s="283" t="str">
        <f>vlookup(B7,'Crew data for number'!B:C,2,0)</f>
        <v>TAA6378</v>
      </c>
      <c r="D7" s="284" t="str">
        <f>vlookup(B7,'Crew Data'!C:G,5,0)</f>
        <v>Suteerapong Sawangwong</v>
      </c>
      <c r="E7" s="267" t="s">
        <v>1945</v>
      </c>
      <c r="F7" s="47">
        <v>8.0</v>
      </c>
      <c r="G7" s="50">
        <f t="shared" si="1"/>
        <v>3200</v>
      </c>
      <c r="H7" s="22">
        <f t="shared" si="2"/>
        <v>1</v>
      </c>
      <c r="I7" s="51" t="s">
        <v>1770</v>
      </c>
      <c r="J7" s="40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 ht="30.0" customHeight="1">
      <c r="A8" s="282">
        <v>5.0</v>
      </c>
      <c r="B8" s="47">
        <v>1010916.0</v>
      </c>
      <c r="C8" s="283" t="str">
        <f>vlookup(B8,'Crew data for number'!B:C,2,0)</f>
        <v>TAA5510</v>
      </c>
      <c r="D8" s="284" t="str">
        <f>vlookup(B8,'Crew Data'!C:G,5,0)</f>
        <v>Sivakorn Sangsukiam</v>
      </c>
      <c r="E8" s="267" t="s">
        <v>1946</v>
      </c>
      <c r="F8" s="47">
        <v>2.0</v>
      </c>
      <c r="G8" s="50">
        <f t="shared" si="1"/>
        <v>800</v>
      </c>
      <c r="H8" s="22">
        <f t="shared" si="2"/>
        <v>1</v>
      </c>
      <c r="I8" s="51" t="s">
        <v>1763</v>
      </c>
      <c r="J8" s="40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 ht="30.0" customHeight="1">
      <c r="A9" s="282">
        <v>6.0</v>
      </c>
      <c r="B9" s="47">
        <v>1007156.0</v>
      </c>
      <c r="C9" s="283" t="str">
        <f>vlookup(B9,'Crew data for number'!B:C,2,0)</f>
        <v>TAA4008</v>
      </c>
      <c r="D9" s="284" t="str">
        <f>vlookup(B9,'Crew Data'!C:G,5,0)</f>
        <v>Patthama Aryarug</v>
      </c>
      <c r="E9" s="267" t="s">
        <v>1947</v>
      </c>
      <c r="F9" s="47">
        <v>28.0</v>
      </c>
      <c r="G9" s="50">
        <f t="shared" si="1"/>
        <v>11200</v>
      </c>
      <c r="H9" s="22">
        <f t="shared" si="2"/>
        <v>1</v>
      </c>
      <c r="I9" s="51" t="s">
        <v>1770</v>
      </c>
      <c r="J9" s="51" t="s">
        <v>1948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 ht="30.0" customHeight="1">
      <c r="A10" s="282">
        <v>7.0</v>
      </c>
      <c r="B10" s="47">
        <v>1006850.0</v>
      </c>
      <c r="C10" s="283" t="str">
        <f>vlookup(B10,'Crew data for number'!B:C,2,0)</f>
        <v>TAA4446</v>
      </c>
      <c r="D10" s="284" t="str">
        <f>vlookup(B10,'Crew Data'!C:G,5,0)</f>
        <v>Tanapat Srimuang</v>
      </c>
      <c r="E10" s="267" t="s">
        <v>1949</v>
      </c>
      <c r="F10" s="47">
        <v>4.0</v>
      </c>
      <c r="G10" s="50">
        <f t="shared" si="1"/>
        <v>1600</v>
      </c>
      <c r="H10" s="22">
        <f t="shared" si="2"/>
        <v>1</v>
      </c>
      <c r="I10" s="51" t="s">
        <v>1763</v>
      </c>
      <c r="J10" s="40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 ht="30.0" customHeight="1">
      <c r="A11" s="282">
        <v>8.0</v>
      </c>
      <c r="B11" s="47">
        <v>1017919.0</v>
      </c>
      <c r="C11" s="283" t="str">
        <f>vlookup(B11,'Crew data for number'!B:C,2,0)</f>
        <v>TAA7531</v>
      </c>
      <c r="D11" s="284" t="str">
        <f>vlookup(B11,'Crew Data'!C:G,5,0)</f>
        <v>Asanlaya Choomit</v>
      </c>
      <c r="E11" s="268">
        <v>43525.0</v>
      </c>
      <c r="F11" s="47">
        <v>1.0</v>
      </c>
      <c r="G11" s="50">
        <f t="shared" si="1"/>
        <v>400</v>
      </c>
      <c r="H11" s="22">
        <f t="shared" si="2"/>
        <v>1</v>
      </c>
      <c r="I11" s="51" t="s">
        <v>1763</v>
      </c>
      <c r="J11" s="40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 ht="30.0" customHeight="1">
      <c r="A12" s="282">
        <v>9.0</v>
      </c>
      <c r="B12" s="47">
        <v>1009306.0</v>
      </c>
      <c r="C12" s="283" t="str">
        <f>vlookup(B12,'Crew data for number'!B:C,2,0)</f>
        <v>TAA5464</v>
      </c>
      <c r="D12" s="284" t="str">
        <f>vlookup(B12,'Crew Data'!C:G,5,0)</f>
        <v>Noppawan Yoosamran</v>
      </c>
      <c r="E12" s="267" t="s">
        <v>1950</v>
      </c>
      <c r="F12" s="47">
        <v>3.0</v>
      </c>
      <c r="G12" s="50">
        <f t="shared" si="1"/>
        <v>1200</v>
      </c>
      <c r="H12" s="22">
        <f t="shared" si="2"/>
        <v>1</v>
      </c>
      <c r="I12" s="51" t="s">
        <v>1763</v>
      </c>
      <c r="J12" s="40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 ht="30.0" customHeight="1">
      <c r="A13" s="282">
        <v>10.0</v>
      </c>
      <c r="B13" s="47">
        <v>1006855.0</v>
      </c>
      <c r="C13" s="283" t="str">
        <f>vlookup(B13,'Crew data for number'!B:C,2,0)</f>
        <v>TAA3887</v>
      </c>
      <c r="D13" s="284" t="str">
        <f>vlookup(B13,'Crew Data'!C:G,5,0)</f>
        <v>Theeraphon Porisutkun</v>
      </c>
      <c r="E13" s="267" t="s">
        <v>1951</v>
      </c>
      <c r="F13" s="47">
        <v>4.0</v>
      </c>
      <c r="G13" s="50">
        <f t="shared" si="1"/>
        <v>1600</v>
      </c>
      <c r="H13" s="22">
        <f t="shared" si="2"/>
        <v>1</v>
      </c>
      <c r="I13" s="51" t="s">
        <v>1763</v>
      </c>
      <c r="J13" s="40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 ht="30.0" customHeight="1">
      <c r="A14" s="282">
        <v>11.0</v>
      </c>
      <c r="B14" s="47">
        <v>1012369.0</v>
      </c>
      <c r="C14" s="283" t="str">
        <f>vlookup(B14,'Crew data for number'!B:C,2,0)</f>
        <v>TAA6121</v>
      </c>
      <c r="D14" s="284" t="str">
        <f>vlookup(B14,'Crew Data'!C:G,5,0)</f>
        <v>Savitree Sukprakop</v>
      </c>
      <c r="E14" s="267" t="s">
        <v>1952</v>
      </c>
      <c r="F14" s="47">
        <v>25.0</v>
      </c>
      <c r="G14" s="50">
        <f t="shared" si="1"/>
        <v>10000</v>
      </c>
      <c r="H14" s="22">
        <f t="shared" si="2"/>
        <v>1</v>
      </c>
      <c r="I14" s="51" t="s">
        <v>1768</v>
      </c>
      <c r="J14" s="40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 ht="30.0" customHeight="1">
      <c r="A15" s="282">
        <v>12.0</v>
      </c>
      <c r="B15" s="47">
        <v>1006856.0</v>
      </c>
      <c r="C15" s="283" t="str">
        <f>vlookup(B15,'Crew data for number'!B:C,2,0)</f>
        <v>TAA3884</v>
      </c>
      <c r="D15" s="284" t="str">
        <f>vlookup(B15,'Crew Data'!C:G,5,0)</f>
        <v>#N/A</v>
      </c>
      <c r="E15" s="267" t="s">
        <v>1953</v>
      </c>
      <c r="F15" s="47">
        <v>9.0</v>
      </c>
      <c r="G15" s="50">
        <f t="shared" si="1"/>
        <v>3600</v>
      </c>
      <c r="H15" s="22">
        <f t="shared" si="2"/>
        <v>1</v>
      </c>
      <c r="I15" s="51" t="s">
        <v>1770</v>
      </c>
      <c r="J15" s="51" t="s">
        <v>1954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 ht="30.0" customHeight="1">
      <c r="A16" s="282">
        <v>13.0</v>
      </c>
      <c r="B16" s="47">
        <v>1013048.0</v>
      </c>
      <c r="C16" s="283" t="str">
        <f>vlookup(B16,'Crew data for number'!B:C,2,0)</f>
        <v>TAA6506</v>
      </c>
      <c r="D16" s="284" t="str">
        <f>vlookup(B16,'Crew Data'!C:G,5,0)</f>
        <v>Thanchanok Srisawang</v>
      </c>
      <c r="E16" s="267" t="s">
        <v>1955</v>
      </c>
      <c r="F16" s="47">
        <v>25.0</v>
      </c>
      <c r="G16" s="50">
        <f t="shared" si="1"/>
        <v>10000</v>
      </c>
      <c r="H16" s="22">
        <f t="shared" si="2"/>
        <v>1</v>
      </c>
      <c r="I16" s="51" t="s">
        <v>1768</v>
      </c>
      <c r="J16" s="51" t="s">
        <v>1948</v>
      </c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</row>
    <row r="17" ht="30.0" customHeight="1">
      <c r="A17" s="282">
        <v>14.0</v>
      </c>
      <c r="B17" s="47">
        <v>1004748.0</v>
      </c>
      <c r="C17" s="283" t="str">
        <f>vlookup(B17,'Crew data for number'!B:C,2,0)</f>
        <v>TAA2974</v>
      </c>
      <c r="D17" s="284" t="str">
        <f>vlookup(B17,'Crew Data'!C:G,5,0)</f>
        <v>Chirapha Khlaikhlueng</v>
      </c>
      <c r="E17" s="267" t="s">
        <v>1956</v>
      </c>
      <c r="F17" s="47">
        <v>3.0</v>
      </c>
      <c r="G17" s="50">
        <f t="shared" si="1"/>
        <v>1200</v>
      </c>
      <c r="H17" s="22">
        <f t="shared" si="2"/>
        <v>1</v>
      </c>
      <c r="I17" s="51" t="s">
        <v>1768</v>
      </c>
      <c r="J17" s="51" t="s">
        <v>1948</v>
      </c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</row>
    <row r="18" ht="30.0" customHeight="1">
      <c r="A18" s="282">
        <v>15.0</v>
      </c>
      <c r="B18" s="47">
        <v>1011515.0</v>
      </c>
      <c r="C18" s="283" t="str">
        <f>vlookup(B18,'Crew data for number'!B:C,2,0)</f>
        <v>TAA5738</v>
      </c>
      <c r="D18" s="284" t="str">
        <f>vlookup(B18,'Crew Data'!C:G,5,0)</f>
        <v>Sopark Phosiri</v>
      </c>
      <c r="E18" s="267" t="s">
        <v>1883</v>
      </c>
      <c r="F18" s="47">
        <v>4.0</v>
      </c>
      <c r="G18" s="50">
        <f t="shared" si="1"/>
        <v>1600</v>
      </c>
      <c r="H18" s="22">
        <f t="shared" si="2"/>
        <v>1</v>
      </c>
      <c r="I18" s="51" t="s">
        <v>1763</v>
      </c>
      <c r="J18" s="40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</row>
    <row r="19" ht="30.0" customHeight="1">
      <c r="A19" s="282">
        <v>16.0</v>
      </c>
      <c r="B19" s="47">
        <v>1013191.0</v>
      </c>
      <c r="C19" s="283" t="str">
        <f>vlookup(B19,'Crew data for number'!B:C,2,0)</f>
        <v>TAA6383</v>
      </c>
      <c r="D19" s="284" t="str">
        <f>vlookup(B19,'Crew Data'!C:G,5,0)</f>
        <v>#N/A</v>
      </c>
      <c r="E19" s="267" t="s">
        <v>1957</v>
      </c>
      <c r="F19" s="47">
        <v>6.0</v>
      </c>
      <c r="G19" s="50">
        <f t="shared" si="1"/>
        <v>2400</v>
      </c>
      <c r="H19" s="22">
        <f t="shared" si="2"/>
        <v>1</v>
      </c>
      <c r="I19" s="51" t="s">
        <v>1763</v>
      </c>
      <c r="J19" s="40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</row>
    <row r="20" ht="30.0" customHeight="1">
      <c r="A20" s="282">
        <v>17.0</v>
      </c>
      <c r="B20" s="47">
        <v>1004206.0</v>
      </c>
      <c r="C20" s="283" t="str">
        <f>vlookup(B20,'Crew data for number'!B:C,2,0)</f>
        <v>TAA2692</v>
      </c>
      <c r="D20" s="284" t="str">
        <f>vlookup(B20,'Crew Data'!C:G,5,0)</f>
        <v>Pitikan Siwapathomchai</v>
      </c>
      <c r="E20" s="267" t="s">
        <v>1958</v>
      </c>
      <c r="F20" s="47">
        <v>9.0</v>
      </c>
      <c r="G20" s="50">
        <f t="shared" si="1"/>
        <v>3600</v>
      </c>
      <c r="H20" s="22">
        <f t="shared" si="2"/>
        <v>1</v>
      </c>
      <c r="I20" s="51" t="s">
        <v>1763</v>
      </c>
      <c r="J20" s="40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</row>
    <row r="21" ht="30.0" customHeight="1">
      <c r="A21" s="282">
        <v>18.0</v>
      </c>
      <c r="B21" s="47">
        <v>1011078.0</v>
      </c>
      <c r="C21" s="283" t="str">
        <f>vlookup(B21,'Crew data for number'!B:C,2,0)</f>
        <v>TAA5673</v>
      </c>
      <c r="D21" s="284" t="str">
        <f>vlookup(B21,'Crew Data'!C:G,5,0)</f>
        <v>#N/A</v>
      </c>
      <c r="E21" s="267" t="s">
        <v>1959</v>
      </c>
      <c r="F21" s="47">
        <v>8.0</v>
      </c>
      <c r="G21" s="50">
        <f t="shared" si="1"/>
        <v>3200</v>
      </c>
      <c r="H21" s="22">
        <f t="shared" si="2"/>
        <v>1</v>
      </c>
      <c r="I21" s="51" t="s">
        <v>1763</v>
      </c>
      <c r="J21" s="40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</row>
    <row r="22" ht="30.0" customHeight="1">
      <c r="A22" s="282">
        <v>19.0</v>
      </c>
      <c r="B22" s="47">
        <v>1011513.0</v>
      </c>
      <c r="C22" s="283" t="str">
        <f>vlookup(B22,'Crew data for number'!B:C,2,0)</f>
        <v>TAA5735</v>
      </c>
      <c r="D22" s="284" t="str">
        <f>vlookup(B22,'Crew Data'!C:G,5,0)</f>
        <v>Rawitnat Marayat</v>
      </c>
      <c r="E22" s="267" t="s">
        <v>1960</v>
      </c>
      <c r="F22" s="47">
        <v>8.0</v>
      </c>
      <c r="G22" s="50">
        <f t="shared" si="1"/>
        <v>3200</v>
      </c>
      <c r="H22" s="22">
        <f t="shared" si="2"/>
        <v>1</v>
      </c>
      <c r="I22" s="51" t="s">
        <v>1763</v>
      </c>
      <c r="J22" s="40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ht="30.0" customHeight="1">
      <c r="A23" s="282">
        <v>20.0</v>
      </c>
      <c r="B23" s="47">
        <v>1005767.0</v>
      </c>
      <c r="C23" s="283" t="str">
        <f>vlookup(B23,'Crew data for number'!B:C,2,0)</f>
        <v>TAA3393</v>
      </c>
      <c r="D23" s="284" t="str">
        <f>vlookup(B23,'Crew Data'!C:G,5,0)</f>
        <v>Setthi-orn Ruenroeng</v>
      </c>
      <c r="E23" s="267" t="s">
        <v>1961</v>
      </c>
      <c r="F23" s="47">
        <v>5.0</v>
      </c>
      <c r="G23" s="50">
        <f t="shared" si="1"/>
        <v>2000</v>
      </c>
      <c r="H23" s="22">
        <f t="shared" si="2"/>
        <v>1</v>
      </c>
      <c r="I23" s="51" t="s">
        <v>1763</v>
      </c>
      <c r="J23" s="40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ht="30.0" customHeight="1">
      <c r="A24" s="282">
        <v>21.0</v>
      </c>
      <c r="B24" s="47">
        <v>1009131.0</v>
      </c>
      <c r="C24" s="283" t="str">
        <f>vlookup(B24,'Crew data for number'!B:C,2,0)</f>
        <v>TAA5466</v>
      </c>
      <c r="D24" s="284" t="str">
        <f>vlookup(B24,'Crew Data'!C:G,5,0)</f>
        <v>Burin Wongdithai</v>
      </c>
      <c r="E24" s="267" t="s">
        <v>1962</v>
      </c>
      <c r="F24" s="47">
        <v>4.0</v>
      </c>
      <c r="G24" s="50">
        <f t="shared" si="1"/>
        <v>1600</v>
      </c>
      <c r="H24" s="22">
        <f t="shared" si="2"/>
        <v>1</v>
      </c>
      <c r="I24" s="51" t="s">
        <v>1763</v>
      </c>
      <c r="J24" s="40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ht="30.0" customHeight="1">
      <c r="A25" s="282">
        <v>22.0</v>
      </c>
      <c r="B25" s="47">
        <v>1013190.0</v>
      </c>
      <c r="C25" s="283" t="str">
        <f>vlookup(B25,'Crew data for number'!B:C,2,0)</f>
        <v>TAA6381</v>
      </c>
      <c r="D25" s="284" t="str">
        <f>vlookup(B25,'Crew Data'!C:G,5,0)</f>
        <v>Thamonwan Chokumpornpan</v>
      </c>
      <c r="E25" s="267" t="s">
        <v>1963</v>
      </c>
      <c r="F25" s="47">
        <v>8.0</v>
      </c>
      <c r="G25" s="50">
        <f t="shared" si="1"/>
        <v>3200</v>
      </c>
      <c r="H25" s="22">
        <f t="shared" si="2"/>
        <v>1</v>
      </c>
      <c r="I25" s="51" t="s">
        <v>1763</v>
      </c>
      <c r="J25" s="40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ht="30.0" customHeight="1">
      <c r="A26" s="282">
        <v>23.0</v>
      </c>
      <c r="B26" s="47">
        <v>1009011.0</v>
      </c>
      <c r="C26" s="283" t="str">
        <f>vlookup(B26,'Crew data for number'!B:C,2,0)</f>
        <v>TAA4730</v>
      </c>
      <c r="D26" s="284" t="str">
        <f>vlookup(B26,'Crew Data'!C:G,5,0)</f>
        <v>Weerayos Rungudomsinsakul</v>
      </c>
      <c r="E26" s="267" t="s">
        <v>1964</v>
      </c>
      <c r="F26" s="47">
        <v>8.0</v>
      </c>
      <c r="G26" s="50">
        <f t="shared" si="1"/>
        <v>3200</v>
      </c>
      <c r="H26" s="22">
        <f t="shared" si="2"/>
        <v>1</v>
      </c>
      <c r="I26" s="51" t="s">
        <v>1763</v>
      </c>
      <c r="J26" s="40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ht="30.0" customHeight="1">
      <c r="A27" s="282">
        <v>24.0</v>
      </c>
      <c r="B27" s="47">
        <v>1012370.0</v>
      </c>
      <c r="C27" s="283" t="str">
        <f>vlookup(B27,'Crew data for number'!B:C,2,0)</f>
        <v>TAA6124</v>
      </c>
      <c r="D27" s="284" t="str">
        <f>vlookup(B27,'Crew Data'!C:G,5,0)</f>
        <v>Thanapiphat Kasempitirat</v>
      </c>
      <c r="E27" s="267" t="s">
        <v>1965</v>
      </c>
      <c r="F27" s="47">
        <v>2.0</v>
      </c>
      <c r="G27" s="50">
        <f t="shared" si="1"/>
        <v>800</v>
      </c>
      <c r="H27" s="22">
        <f t="shared" si="2"/>
        <v>1</v>
      </c>
      <c r="I27" s="51" t="s">
        <v>1768</v>
      </c>
      <c r="J27" s="51" t="s">
        <v>1948</v>
      </c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ht="30.0" customHeight="1">
      <c r="A28" s="282">
        <v>25.0</v>
      </c>
      <c r="B28" s="47">
        <v>1012362.0</v>
      </c>
      <c r="C28" s="283" t="str">
        <f>vlookup(B28,'Crew data for number'!B:C,2,0)</f>
        <v>TAA6131</v>
      </c>
      <c r="D28" s="284" t="str">
        <f>vlookup(B28,'Crew Data'!C:G,5,0)</f>
        <v>Patcharagorn Chankhong</v>
      </c>
      <c r="E28" s="267" t="s">
        <v>1966</v>
      </c>
      <c r="F28" s="47">
        <v>10.0</v>
      </c>
      <c r="G28" s="50">
        <f t="shared" si="1"/>
        <v>4000</v>
      </c>
      <c r="H28" s="22">
        <f t="shared" si="2"/>
        <v>1</v>
      </c>
      <c r="I28" s="51" t="s">
        <v>1763</v>
      </c>
      <c r="J28" s="40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ht="30.0" customHeight="1">
      <c r="A29" s="282">
        <v>26.0</v>
      </c>
      <c r="B29" s="47">
        <v>1017930.0</v>
      </c>
      <c r="C29" s="283" t="str">
        <f>vlookup(B29,'Crew data for number'!B:C,2,0)</f>
        <v>TAA7534</v>
      </c>
      <c r="D29" s="284" t="str">
        <f>vlookup(B29,'Crew Data'!C:G,5,0)</f>
        <v>#N/A</v>
      </c>
      <c r="E29" s="267" t="s">
        <v>1967</v>
      </c>
      <c r="F29" s="47">
        <v>24.0</v>
      </c>
      <c r="G29" s="50">
        <f t="shared" si="1"/>
        <v>9600</v>
      </c>
      <c r="H29" s="22">
        <f t="shared" si="2"/>
        <v>1</v>
      </c>
      <c r="I29" s="51" t="s">
        <v>1768</v>
      </c>
      <c r="J29" s="51" t="s">
        <v>1948</v>
      </c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ht="30.0" customHeight="1">
      <c r="A30" s="282">
        <v>27.0</v>
      </c>
      <c r="B30" s="47">
        <v>1012358.0</v>
      </c>
      <c r="C30" s="283" t="str">
        <f>vlookup(B30,'Crew data for number'!B:C,2,0)</f>
        <v>TAA6140</v>
      </c>
      <c r="D30" s="284" t="str">
        <f>vlookup(B30,'Crew Data'!C:G,5,0)</f>
        <v>Kohchamon Pithayapitpat</v>
      </c>
      <c r="E30" s="267" t="s">
        <v>1946</v>
      </c>
      <c r="F30" s="47">
        <v>2.0</v>
      </c>
      <c r="G30" s="50">
        <f t="shared" si="1"/>
        <v>800</v>
      </c>
      <c r="H30" s="22">
        <f t="shared" si="2"/>
        <v>1</v>
      </c>
      <c r="I30" s="51" t="s">
        <v>1763</v>
      </c>
      <c r="J30" s="40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ht="30.0" customHeight="1">
      <c r="A31" s="282">
        <v>28.0</v>
      </c>
      <c r="B31" s="47">
        <v>1011314.0</v>
      </c>
      <c r="C31" s="283" t="str">
        <f>vlookup(B31,'Crew data for number'!B:C,2,0)</f>
        <v>TAA5583</v>
      </c>
      <c r="D31" s="284" t="str">
        <f>vlookup(B31,'Crew Data'!C:G,5,0)</f>
        <v>Pichayapich Nimphya</v>
      </c>
      <c r="E31" s="267" t="s">
        <v>1968</v>
      </c>
      <c r="F31" s="47">
        <v>4.0</v>
      </c>
      <c r="G31" s="50">
        <f t="shared" si="1"/>
        <v>1600</v>
      </c>
      <c r="H31" s="22">
        <f t="shared" si="2"/>
        <v>1</v>
      </c>
      <c r="I31" s="51" t="s">
        <v>1763</v>
      </c>
      <c r="J31" s="40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ht="30.0" customHeight="1">
      <c r="A32" s="282">
        <v>29.0</v>
      </c>
      <c r="B32" s="47">
        <v>1007418.0</v>
      </c>
      <c r="C32" s="283" t="str">
        <f>vlookup(B32,'Crew data for number'!B:C,2,0)</f>
        <v>TAA4070</v>
      </c>
      <c r="D32" s="284" t="str">
        <f>vlookup(B32,'Crew Data'!C:G,5,0)</f>
        <v>Nattaphat Boonprasit</v>
      </c>
      <c r="E32" s="267" t="s">
        <v>1969</v>
      </c>
      <c r="F32" s="47">
        <v>2.0</v>
      </c>
      <c r="G32" s="50">
        <f t="shared" si="1"/>
        <v>800</v>
      </c>
      <c r="H32" s="22">
        <f t="shared" si="2"/>
        <v>1</v>
      </c>
      <c r="I32" s="51" t="s">
        <v>1763</v>
      </c>
      <c r="J32" s="40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ht="30.0" customHeight="1">
      <c r="A33" s="282">
        <v>30.0</v>
      </c>
      <c r="B33" s="47">
        <v>1014345.0</v>
      </c>
      <c r="C33" s="283" t="str">
        <f>vlookup(B33,'Crew data for number'!B:C,2,0)</f>
        <v>TAA6861</v>
      </c>
      <c r="D33" s="284" t="str">
        <f>vlookup(B33,'Crew Data'!C:G,5,0)</f>
        <v>#N/A</v>
      </c>
      <c r="E33" s="267" t="s">
        <v>1970</v>
      </c>
      <c r="F33" s="47">
        <v>14.0</v>
      </c>
      <c r="G33" s="50">
        <f t="shared" si="1"/>
        <v>5600</v>
      </c>
      <c r="H33" s="22">
        <f t="shared" si="2"/>
        <v>1</v>
      </c>
      <c r="I33" s="51" t="s">
        <v>1770</v>
      </c>
      <c r="J33" s="51" t="s">
        <v>1948</v>
      </c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ht="30.0" customHeight="1">
      <c r="A34" s="282">
        <v>31.0</v>
      </c>
      <c r="B34" s="47">
        <v>1003172.0</v>
      </c>
      <c r="C34" s="283" t="str">
        <f>vlookup(B34,'Crew data for number'!B:C,2,0)</f>
        <v>TAA2472</v>
      </c>
      <c r="D34" s="284" t="str">
        <f>vlookup(B34,'Crew Data'!C:G,5,0)</f>
        <v>Natthanit Kaewchoochuen</v>
      </c>
      <c r="E34" s="267" t="s">
        <v>1971</v>
      </c>
      <c r="F34" s="47">
        <v>4.0</v>
      </c>
      <c r="G34" s="50">
        <f t="shared" si="1"/>
        <v>1600</v>
      </c>
      <c r="H34" s="22">
        <f t="shared" si="2"/>
        <v>1</v>
      </c>
      <c r="I34" s="51" t="s">
        <v>1763</v>
      </c>
      <c r="J34" s="40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ht="30.0" customHeight="1">
      <c r="A35" s="282">
        <v>32.0</v>
      </c>
      <c r="B35" s="47">
        <v>1004851.0</v>
      </c>
      <c r="C35" s="283" t="str">
        <f>vlookup(B35,'Crew data for number'!B:C,2,0)</f>
        <v>TAA3005</v>
      </c>
      <c r="D35" s="284" t="str">
        <f>vlookup(B35,'Crew Data'!C:G,5,0)</f>
        <v>#N/A</v>
      </c>
      <c r="E35" s="267" t="s">
        <v>1972</v>
      </c>
      <c r="F35" s="47">
        <v>2.0</v>
      </c>
      <c r="G35" s="50">
        <f t="shared" si="1"/>
        <v>800</v>
      </c>
      <c r="H35" s="22">
        <f t="shared" si="2"/>
        <v>1</v>
      </c>
      <c r="I35" s="51" t="s">
        <v>1763</v>
      </c>
      <c r="J35" s="40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ht="30.0" customHeight="1">
      <c r="A36" s="282">
        <v>33.0</v>
      </c>
      <c r="B36" s="47">
        <v>1012989.0</v>
      </c>
      <c r="C36" s="283" t="str">
        <f>vlookup(B36,'Crew data for number'!B:C,2,0)</f>
        <v>TAA6502</v>
      </c>
      <c r="D36" s="284" t="str">
        <f>vlookup(B36,'Crew Data'!C:G,5,0)</f>
        <v>Kitibodee Harnkunthamart</v>
      </c>
      <c r="E36" s="268">
        <v>43525.0</v>
      </c>
      <c r="F36" s="47">
        <v>1.0</v>
      </c>
      <c r="G36" s="50">
        <f t="shared" si="1"/>
        <v>400</v>
      </c>
      <c r="H36" s="22">
        <f t="shared" si="2"/>
        <v>1</v>
      </c>
      <c r="I36" s="51" t="s">
        <v>1763</v>
      </c>
      <c r="J36" s="40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ht="30.0" customHeight="1">
      <c r="A37" s="282">
        <v>34.0</v>
      </c>
      <c r="B37" s="47">
        <v>1003386.0</v>
      </c>
      <c r="C37" s="283" t="str">
        <f>vlookup(B37,'Crew data for number'!B:C,2,0)</f>
        <v>TAA2424</v>
      </c>
      <c r="D37" s="284" t="str">
        <f>vlookup(B37,'Crew Data'!C:G,5,0)</f>
        <v>#N/A</v>
      </c>
      <c r="E37" s="267" t="s">
        <v>1973</v>
      </c>
      <c r="F37" s="47">
        <v>7.0</v>
      </c>
      <c r="G37" s="50">
        <f t="shared" si="1"/>
        <v>2800</v>
      </c>
      <c r="H37" s="22">
        <f t="shared" si="2"/>
        <v>1</v>
      </c>
      <c r="I37" s="51" t="s">
        <v>1763</v>
      </c>
      <c r="J37" s="40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ht="30.0" customHeight="1">
      <c r="A38" s="282">
        <v>35.0</v>
      </c>
      <c r="B38" s="47">
        <v>1007016.0</v>
      </c>
      <c r="C38" s="283" t="str">
        <f>vlookup(B38,'Crew data for number'!B:C,2,0)</f>
        <v>TAA3956</v>
      </c>
      <c r="D38" s="284" t="str">
        <f>vlookup(B38,'Crew Data'!C:G,5,0)</f>
        <v>Sathita Pongsomran</v>
      </c>
      <c r="E38" s="267" t="s">
        <v>1946</v>
      </c>
      <c r="F38" s="47">
        <v>2.0</v>
      </c>
      <c r="G38" s="50">
        <f t="shared" si="1"/>
        <v>800</v>
      </c>
      <c r="H38" s="22">
        <f t="shared" si="2"/>
        <v>1</v>
      </c>
      <c r="I38" s="51" t="s">
        <v>1763</v>
      </c>
      <c r="J38" s="40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ht="30.0" customHeight="1">
      <c r="A39" s="282">
        <v>36.0</v>
      </c>
      <c r="B39" s="47">
        <v>1017935.0</v>
      </c>
      <c r="C39" s="283" t="str">
        <f>vlookup(B39,'Crew data for number'!B:C,2,0)</f>
        <v>TAA7530</v>
      </c>
      <c r="D39" s="284" t="str">
        <f>vlookup(B39,'Crew Data'!C:G,5,0)</f>
        <v>Supitcha Chansiri</v>
      </c>
      <c r="E39" s="267" t="s">
        <v>1974</v>
      </c>
      <c r="F39" s="47">
        <v>2.0</v>
      </c>
      <c r="G39" s="50">
        <f t="shared" si="1"/>
        <v>800</v>
      </c>
      <c r="H39" s="22">
        <f t="shared" si="2"/>
        <v>1</v>
      </c>
      <c r="I39" s="51" t="s">
        <v>1763</v>
      </c>
      <c r="J39" s="40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ht="30.0" customHeight="1">
      <c r="A40" s="282">
        <v>37.0</v>
      </c>
      <c r="B40" s="47">
        <v>1008956.0</v>
      </c>
      <c r="C40" s="283" t="str">
        <f>vlookup(B40,'Crew data for number'!B:C,2,0)</f>
        <v>TAA4732</v>
      </c>
      <c r="D40" s="284" t="str">
        <f>vlookup(B40,'Crew Data'!C:G,5,0)</f>
        <v>Duangkamon Thongfuang</v>
      </c>
      <c r="E40" s="267" t="s">
        <v>1968</v>
      </c>
      <c r="F40" s="47">
        <v>4.0</v>
      </c>
      <c r="G40" s="50">
        <f t="shared" si="1"/>
        <v>1600</v>
      </c>
      <c r="H40" s="22">
        <f t="shared" si="2"/>
        <v>1</v>
      </c>
      <c r="I40" s="51" t="s">
        <v>1763</v>
      </c>
      <c r="J40" s="40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</row>
    <row r="41" ht="30.0" customHeight="1">
      <c r="A41" s="282">
        <v>38.0</v>
      </c>
      <c r="B41" s="47">
        <v>1013189.0</v>
      </c>
      <c r="C41" s="283" t="str">
        <f>vlookup(B41,'Crew data for number'!B:C,2,0)</f>
        <v>TAA6380</v>
      </c>
      <c r="D41" s="284" t="str">
        <f>vlookup(B41,'Crew Data'!C:G,5,0)</f>
        <v>Supakrit Khongvittaya</v>
      </c>
      <c r="E41" s="267" t="s">
        <v>1975</v>
      </c>
      <c r="F41" s="47">
        <v>5.0</v>
      </c>
      <c r="G41" s="50">
        <f t="shared" si="1"/>
        <v>2000</v>
      </c>
      <c r="H41" s="22">
        <f t="shared" si="2"/>
        <v>1</v>
      </c>
      <c r="I41" s="51" t="s">
        <v>1763</v>
      </c>
      <c r="J41" s="40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</row>
    <row r="42" ht="30.0" customHeight="1">
      <c r="A42" s="282">
        <v>39.0</v>
      </c>
      <c r="B42" s="47">
        <v>1011309.0</v>
      </c>
      <c r="C42" s="283" t="str">
        <f>vlookup(B42,'Crew data for number'!B:C,2,0)</f>
        <v>TAA5579</v>
      </c>
      <c r="D42" s="284" t="str">
        <f>vlookup(B42,'Crew Data'!C:G,5,0)</f>
        <v>#N/A</v>
      </c>
      <c r="E42" s="267" t="s">
        <v>1976</v>
      </c>
      <c r="F42" s="47">
        <v>2.0</v>
      </c>
      <c r="G42" s="50">
        <f t="shared" si="1"/>
        <v>800</v>
      </c>
      <c r="H42" s="22">
        <f t="shared" si="2"/>
        <v>1</v>
      </c>
      <c r="I42" s="51" t="s">
        <v>1763</v>
      </c>
      <c r="J42" s="40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</row>
    <row r="43" ht="30.0" customHeight="1">
      <c r="A43" s="282">
        <v>40.0</v>
      </c>
      <c r="B43" s="47">
        <v>1018969.0</v>
      </c>
      <c r="C43" s="283" t="str">
        <f>vlookup(B43,'Crew data for number'!B:C,2,0)</f>
        <v>TAA7847</v>
      </c>
      <c r="D43" s="284" t="str">
        <f>vlookup(B43,'Crew Data'!C:G,5,0)</f>
        <v>#N/A</v>
      </c>
      <c r="E43" s="267" t="s">
        <v>1977</v>
      </c>
      <c r="F43" s="47">
        <v>23.0</v>
      </c>
      <c r="G43" s="50">
        <f t="shared" si="1"/>
        <v>9200</v>
      </c>
      <c r="H43" s="22">
        <f t="shared" si="2"/>
        <v>1</v>
      </c>
      <c r="I43" s="51" t="s">
        <v>1763</v>
      </c>
      <c r="J43" s="40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</row>
    <row r="44" ht="30.0" customHeight="1">
      <c r="A44" s="282">
        <v>41.0</v>
      </c>
      <c r="B44" s="47">
        <v>1006844.0</v>
      </c>
      <c r="C44" s="283" t="str">
        <f>vlookup(B44,'Crew data for number'!B:C,2,0)</f>
        <v>TAA3874</v>
      </c>
      <c r="D44" s="284" t="str">
        <f>vlookup(B44,'Crew Data'!C:G,5,0)</f>
        <v>Rada Nilyam</v>
      </c>
      <c r="E44" s="267" t="s">
        <v>1950</v>
      </c>
      <c r="F44" s="47">
        <v>3.0</v>
      </c>
      <c r="G44" s="50">
        <f t="shared" si="1"/>
        <v>1200</v>
      </c>
      <c r="H44" s="22">
        <f t="shared" si="2"/>
        <v>1</v>
      </c>
      <c r="I44" s="51" t="s">
        <v>1763</v>
      </c>
      <c r="J44" s="40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</row>
    <row r="45" ht="30.0" customHeight="1">
      <c r="A45" s="282">
        <v>42.0</v>
      </c>
      <c r="B45" s="47">
        <v>1005285.0</v>
      </c>
      <c r="C45" s="283" t="str">
        <f>vlookup(B45,'Crew data for number'!B:C,2,0)</f>
        <v>TAA3179</v>
      </c>
      <c r="D45" s="284" t="str">
        <f>vlookup(B45,'Crew Data'!C:G,5,0)</f>
        <v>#N/A</v>
      </c>
      <c r="E45" s="267" t="s">
        <v>1978</v>
      </c>
      <c r="F45" s="47">
        <v>8.0</v>
      </c>
      <c r="G45" s="50">
        <f t="shared" si="1"/>
        <v>3200</v>
      </c>
      <c r="H45" s="22">
        <f t="shared" si="2"/>
        <v>1</v>
      </c>
      <c r="I45" s="51" t="s">
        <v>1763</v>
      </c>
      <c r="J45" s="40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</row>
    <row r="46" ht="30.0" customHeight="1">
      <c r="A46" s="282">
        <v>43.0</v>
      </c>
      <c r="B46" s="47">
        <v>1003398.0</v>
      </c>
      <c r="C46" s="283" t="str">
        <f>vlookup(B46,'Crew data for number'!B:C,2,0)</f>
        <v>TAA2388</v>
      </c>
      <c r="D46" s="284" t="str">
        <f>vlookup(B46,'Crew Data'!C:G,5,0)</f>
        <v>Netchaya Namarsa</v>
      </c>
      <c r="E46" s="267" t="s">
        <v>1979</v>
      </c>
      <c r="F46" s="47">
        <v>10.0</v>
      </c>
      <c r="G46" s="50">
        <f t="shared" si="1"/>
        <v>4000</v>
      </c>
      <c r="H46" s="22">
        <f t="shared" si="2"/>
        <v>1</v>
      </c>
      <c r="I46" s="51" t="s">
        <v>1763</v>
      </c>
      <c r="J46" s="40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</row>
    <row r="47" ht="30.0" customHeight="1">
      <c r="A47" s="282">
        <v>44.0</v>
      </c>
      <c r="B47" s="47">
        <v>1018803.0</v>
      </c>
      <c r="C47" s="283" t="str">
        <f>vlookup(B47,'Crew data for number'!B:C,2,0)</f>
        <v>TAA7833</v>
      </c>
      <c r="D47" s="284" t="str">
        <f>vlookup(B47,'Crew Data'!C:G,5,0)</f>
        <v>Natthaphon Poosomchit</v>
      </c>
      <c r="E47" s="267" t="s">
        <v>1883</v>
      </c>
      <c r="F47" s="47">
        <v>4.0</v>
      </c>
      <c r="G47" s="50">
        <f t="shared" si="1"/>
        <v>1600</v>
      </c>
      <c r="H47" s="22">
        <f t="shared" si="2"/>
        <v>1</v>
      </c>
      <c r="I47" s="51" t="s">
        <v>1763</v>
      </c>
      <c r="J47" s="40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</row>
    <row r="48" ht="30.0" customHeight="1">
      <c r="A48" s="282">
        <v>45.0</v>
      </c>
      <c r="B48" s="47">
        <v>1006840.0</v>
      </c>
      <c r="C48" s="283" t="str">
        <f>vlookup(B48,'Crew data for number'!B:C,2,0)</f>
        <v>TAA3872</v>
      </c>
      <c r="D48" s="284" t="str">
        <f>vlookup(B48,'Crew Data'!C:G,5,0)</f>
        <v>Nutthawich Suwanmanee</v>
      </c>
      <c r="E48" s="268">
        <v>43526.0</v>
      </c>
      <c r="F48" s="47">
        <v>1.0</v>
      </c>
      <c r="G48" s="50">
        <f t="shared" si="1"/>
        <v>400</v>
      </c>
      <c r="H48" s="22">
        <f t="shared" si="2"/>
        <v>1</v>
      </c>
      <c r="I48" s="51" t="s">
        <v>1763</v>
      </c>
      <c r="J48" s="40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</row>
    <row r="49" ht="30.0" customHeight="1">
      <c r="A49" s="282">
        <v>46.0</v>
      </c>
      <c r="B49" s="47">
        <v>1003942.0</v>
      </c>
      <c r="C49" s="283" t="str">
        <f>vlookup(B49,'Crew data for number'!B:C,2,0)</f>
        <v>TAA2769</v>
      </c>
      <c r="D49" s="284" t="str">
        <f>vlookup(B49,'Crew Data'!C:G,5,0)</f>
        <v>Wilawan Auttamaphan</v>
      </c>
      <c r="E49" s="267" t="s">
        <v>1980</v>
      </c>
      <c r="F49" s="47">
        <v>23.0</v>
      </c>
      <c r="G49" s="50">
        <f t="shared" si="1"/>
        <v>9200</v>
      </c>
      <c r="H49" s="22">
        <f t="shared" si="2"/>
        <v>1</v>
      </c>
      <c r="I49" s="51" t="s">
        <v>1763</v>
      </c>
      <c r="J49" s="40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</row>
    <row r="50" ht="30.0" customHeight="1">
      <c r="A50" s="282">
        <v>47.0</v>
      </c>
      <c r="B50" s="47">
        <v>1009000.0</v>
      </c>
      <c r="C50" s="283" t="str">
        <f>vlookup(B50,'Crew data for number'!B:C,2,0)</f>
        <v>TAA4830</v>
      </c>
      <c r="D50" s="284" t="str">
        <f>vlookup(B50,'Crew Data'!C:G,5,0)</f>
        <v>#N/A</v>
      </c>
      <c r="E50" s="267" t="s">
        <v>1981</v>
      </c>
      <c r="F50" s="47">
        <v>28.0</v>
      </c>
      <c r="G50" s="50">
        <f t="shared" si="1"/>
        <v>11200</v>
      </c>
      <c r="H50" s="22">
        <f t="shared" si="2"/>
        <v>1</v>
      </c>
      <c r="I50" s="51" t="s">
        <v>1763</v>
      </c>
      <c r="J50" s="40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</row>
    <row r="51" ht="30.0" customHeight="1">
      <c r="A51" s="282">
        <v>48.0</v>
      </c>
      <c r="B51" s="47">
        <v>1006897.0</v>
      </c>
      <c r="C51" s="283" t="str">
        <f>vlookup(B51,'Crew data for number'!B:C,2,0)</f>
        <v>TAA3893</v>
      </c>
      <c r="D51" s="284" t="str">
        <f>vlookup(B51,'Crew Data'!C:G,5,0)</f>
        <v>Padejkarn Hanta</v>
      </c>
      <c r="E51" s="267" t="s">
        <v>1884</v>
      </c>
      <c r="F51" s="47">
        <v>31.0</v>
      </c>
      <c r="G51" s="50">
        <f t="shared" si="1"/>
        <v>12400</v>
      </c>
      <c r="H51" s="22">
        <f t="shared" si="2"/>
        <v>1</v>
      </c>
      <c r="I51" s="51" t="s">
        <v>1763</v>
      </c>
      <c r="J51" s="40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</row>
    <row r="52" ht="30.0" customHeight="1">
      <c r="A52" s="282">
        <v>49.0</v>
      </c>
      <c r="B52" s="47">
        <v>1023595.0</v>
      </c>
      <c r="C52" s="283" t="str">
        <f>vlookup(B52,'Crew data for number'!B:C,2,0)</f>
        <v/>
      </c>
      <c r="D52" s="284" t="str">
        <f>vlookup(B52,'Crew Data'!C:G,5,0)</f>
        <v>Kanokpan Tongnu</v>
      </c>
      <c r="E52" s="267" t="s">
        <v>1982</v>
      </c>
      <c r="F52" s="47">
        <v>29.0</v>
      </c>
      <c r="G52" s="50">
        <f t="shared" si="1"/>
        <v>11600</v>
      </c>
      <c r="H52" s="22">
        <f t="shared" si="2"/>
        <v>1</v>
      </c>
      <c r="I52" s="51" t="s">
        <v>1763</v>
      </c>
      <c r="J52" s="40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</row>
    <row r="53" ht="30.0" customHeight="1">
      <c r="A53" s="282">
        <v>50.0</v>
      </c>
      <c r="B53" s="47">
        <v>1001312.0</v>
      </c>
      <c r="C53" s="283" t="str">
        <f>vlookup(B53,'Crew data for number'!B:C,2,0)</f>
        <v>TAA1289</v>
      </c>
      <c r="D53" s="284" t="str">
        <f>vlookup(B53,'Crew Data'!C:G,5,0)</f>
        <v>Rattanapat Rattanaviroj</v>
      </c>
      <c r="E53" s="267" t="s">
        <v>1884</v>
      </c>
      <c r="F53" s="47">
        <v>31.0</v>
      </c>
      <c r="G53" s="50">
        <f t="shared" si="1"/>
        <v>12400</v>
      </c>
      <c r="H53" s="22">
        <f t="shared" si="2"/>
        <v>1</v>
      </c>
      <c r="I53" s="51" t="s">
        <v>1763</v>
      </c>
      <c r="J53" s="40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</row>
    <row r="54" ht="30.0" customHeight="1">
      <c r="A54" s="282">
        <v>51.0</v>
      </c>
      <c r="B54" s="47">
        <v>1014359.0</v>
      </c>
      <c r="C54" s="283" t="str">
        <f>vlookup(B54,'Crew data for number'!B:C,2,0)</f>
        <v>TAA6863</v>
      </c>
      <c r="D54" s="284" t="str">
        <f>vlookup(B54,'Crew Data'!C:G,5,0)</f>
        <v>Rattiporn Thongarch</v>
      </c>
      <c r="E54" s="267" t="s">
        <v>1983</v>
      </c>
      <c r="F54" s="47">
        <v>30.0</v>
      </c>
      <c r="G54" s="50">
        <f t="shared" si="1"/>
        <v>12000</v>
      </c>
      <c r="H54" s="22">
        <f t="shared" si="2"/>
        <v>1</v>
      </c>
      <c r="I54" s="51" t="s">
        <v>1763</v>
      </c>
      <c r="J54" s="40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</row>
    <row r="55" ht="30.0" customHeight="1">
      <c r="A55" s="282">
        <v>52.0</v>
      </c>
      <c r="B55" s="47">
        <v>1003385.0</v>
      </c>
      <c r="C55" s="283" t="str">
        <f>vlookup(B55,'Crew data for number'!B:C,2,0)</f>
        <v>TAA2426</v>
      </c>
      <c r="D55" s="284" t="str">
        <f>vlookup(B55,'Crew Data'!C:G,5,0)</f>
        <v>Jaruma Jantarapap</v>
      </c>
      <c r="E55" s="267" t="s">
        <v>1984</v>
      </c>
      <c r="F55" s="47">
        <v>10.0</v>
      </c>
      <c r="G55" s="50">
        <f t="shared" si="1"/>
        <v>4000</v>
      </c>
      <c r="H55" s="22">
        <f t="shared" si="2"/>
        <v>1</v>
      </c>
      <c r="I55" s="51" t="s">
        <v>1763</v>
      </c>
      <c r="J55" s="40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</row>
    <row r="56" ht="30.0" customHeight="1">
      <c r="A56" s="282">
        <v>53.0</v>
      </c>
      <c r="B56" s="47">
        <v>1012359.0</v>
      </c>
      <c r="C56" s="283" t="str">
        <f>vlookup(B56,'Crew data for number'!B:C,2,0)</f>
        <v>TAA6123</v>
      </c>
      <c r="D56" s="284" t="str">
        <f>vlookup(B56,'Crew Data'!C:G,5,0)</f>
        <v>Kotchakon Kanchanamethakul</v>
      </c>
      <c r="E56" s="267" t="s">
        <v>1985</v>
      </c>
      <c r="F56" s="47">
        <v>27.0</v>
      </c>
      <c r="G56" s="50">
        <f t="shared" si="1"/>
        <v>10800</v>
      </c>
      <c r="H56" s="22">
        <f t="shared" si="2"/>
        <v>1</v>
      </c>
      <c r="I56" s="51" t="s">
        <v>1763</v>
      </c>
      <c r="J56" s="40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</row>
    <row r="57" ht="30.0" customHeight="1">
      <c r="A57" s="282">
        <v>54.0</v>
      </c>
      <c r="B57" s="47">
        <v>1022697.0</v>
      </c>
      <c r="C57" s="283" t="str">
        <f>vlookup(B57,'Crew data for number'!B:C,2,0)</f>
        <v/>
      </c>
      <c r="D57" s="284" t="str">
        <f>vlookup(B57,'Crew Data'!C:G,5,0)</f>
        <v>#N/A</v>
      </c>
      <c r="E57" s="267" t="s">
        <v>1986</v>
      </c>
      <c r="F57" s="47">
        <v>28.0</v>
      </c>
      <c r="G57" s="50">
        <f t="shared" si="1"/>
        <v>11200</v>
      </c>
      <c r="H57" s="22">
        <f t="shared" si="2"/>
        <v>1</v>
      </c>
      <c r="I57" s="51" t="s">
        <v>1763</v>
      </c>
      <c r="J57" s="40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</row>
    <row r="58" ht="30.0" customHeight="1">
      <c r="A58" s="282">
        <v>55.0</v>
      </c>
      <c r="B58" s="47">
        <v>1006742.0</v>
      </c>
      <c r="C58" s="283" t="str">
        <f>vlookup(B58,'Crew data for number'!B:C,2,0)</f>
        <v>TAA3821</v>
      </c>
      <c r="D58" s="284" t="str">
        <f>vlookup(B58,'Crew Data'!C:G,5,0)</f>
        <v>Korakoch Charoenying</v>
      </c>
      <c r="E58" s="267" t="s">
        <v>1987</v>
      </c>
      <c r="F58" s="47">
        <v>2.0</v>
      </c>
      <c r="G58" s="50">
        <f t="shared" si="1"/>
        <v>800</v>
      </c>
      <c r="H58" s="22">
        <f t="shared" si="2"/>
        <v>1</v>
      </c>
      <c r="I58" s="51" t="s">
        <v>1763</v>
      </c>
      <c r="J58" s="40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</row>
    <row r="59" ht="30.0" customHeight="1">
      <c r="A59" s="282">
        <v>56.0</v>
      </c>
      <c r="B59" s="47">
        <v>1005741.0</v>
      </c>
      <c r="C59" s="283" t="str">
        <f>vlookup(B59,'Crew data for number'!B:C,2,0)</f>
        <v>TAA3399</v>
      </c>
      <c r="D59" s="284" t="str">
        <f>vlookup(B59,'Crew Data'!C:G,5,0)</f>
        <v>Chanyawat Ruchiratheekhakul</v>
      </c>
      <c r="E59" s="267" t="s">
        <v>1988</v>
      </c>
      <c r="F59" s="47">
        <v>28.0</v>
      </c>
      <c r="G59" s="50">
        <f t="shared" si="1"/>
        <v>11200</v>
      </c>
      <c r="H59" s="22">
        <f t="shared" si="2"/>
        <v>1</v>
      </c>
      <c r="I59" s="51" t="s">
        <v>1763</v>
      </c>
      <c r="J59" s="40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</row>
    <row r="60" ht="30.0" customHeight="1">
      <c r="A60" s="282">
        <v>57.0</v>
      </c>
      <c r="B60" s="47">
        <v>1004034.0</v>
      </c>
      <c r="C60" s="283" t="str">
        <f>vlookup(B60,'Crew data for number'!B:C,2,0)</f>
        <v>TAA2566</v>
      </c>
      <c r="D60" s="284" t="str">
        <f>vlookup(B60,'Crew Data'!C:G,5,0)</f>
        <v>Monthon Siribunnakul</v>
      </c>
      <c r="E60" s="267" t="s">
        <v>1989</v>
      </c>
      <c r="F60" s="47">
        <v>27.0</v>
      </c>
      <c r="G60" s="50">
        <f t="shared" si="1"/>
        <v>10800</v>
      </c>
      <c r="H60" s="22">
        <f t="shared" si="2"/>
        <v>1</v>
      </c>
      <c r="I60" s="51" t="s">
        <v>1763</v>
      </c>
      <c r="J60" s="40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</row>
    <row r="61" ht="30.0" customHeight="1">
      <c r="A61" s="282">
        <v>58.0</v>
      </c>
      <c r="B61" s="47">
        <v>1012901.0</v>
      </c>
      <c r="C61" s="283" t="str">
        <f>vlookup(B61,'Crew data for number'!B:C,2,0)</f>
        <v>TAA6367</v>
      </c>
      <c r="D61" s="284" t="str">
        <f>vlookup(B61,'Crew Data'!C:G,5,0)</f>
        <v>Sandao Siriwarunrak</v>
      </c>
      <c r="E61" s="267" t="s">
        <v>1990</v>
      </c>
      <c r="F61" s="47">
        <v>29.0</v>
      </c>
      <c r="G61" s="50">
        <f t="shared" si="1"/>
        <v>11600</v>
      </c>
      <c r="H61" s="22">
        <f t="shared" si="2"/>
        <v>1</v>
      </c>
      <c r="I61" s="51" t="s">
        <v>1763</v>
      </c>
      <c r="J61" s="40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</row>
    <row r="62" ht="30.0" customHeight="1">
      <c r="A62" s="282">
        <v>59.0</v>
      </c>
      <c r="B62" s="47">
        <v>1012902.0</v>
      </c>
      <c r="C62" s="283" t="str">
        <f>vlookup(B62,'Crew data for number'!B:C,2,0)</f>
        <v>TAA6361</v>
      </c>
      <c r="D62" s="284" t="str">
        <f>vlookup(B62,'Crew Data'!C:G,5,0)</f>
        <v>Saowarat Sowa</v>
      </c>
      <c r="E62" s="267" t="s">
        <v>1884</v>
      </c>
      <c r="F62" s="47">
        <v>31.0</v>
      </c>
      <c r="G62" s="50">
        <f t="shared" si="1"/>
        <v>12400</v>
      </c>
      <c r="H62" s="22">
        <f t="shared" si="2"/>
        <v>1</v>
      </c>
      <c r="I62" s="51" t="s">
        <v>1763</v>
      </c>
      <c r="J62" s="40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</row>
    <row r="63" ht="30.0" customHeight="1">
      <c r="A63" s="282">
        <v>60.0</v>
      </c>
      <c r="B63" s="47">
        <v>1006740.0</v>
      </c>
      <c r="C63" s="283" t="str">
        <f>vlookup(B63,'Crew data for number'!B:C,2,0)</f>
        <v>TAA3823</v>
      </c>
      <c r="D63" s="284" t="str">
        <f>vlookup(B63,'Crew Data'!C:G,5,0)</f>
        <v>Juthamard Jiarakul</v>
      </c>
      <c r="E63" s="267" t="s">
        <v>1991</v>
      </c>
      <c r="F63" s="47">
        <v>20.0</v>
      </c>
      <c r="G63" s="50">
        <f t="shared" si="1"/>
        <v>8000</v>
      </c>
      <c r="H63" s="22">
        <f t="shared" si="2"/>
        <v>1</v>
      </c>
      <c r="I63" s="51" t="s">
        <v>1763</v>
      </c>
      <c r="J63" s="40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</row>
    <row r="64" ht="30.0" customHeight="1">
      <c r="A64" s="282">
        <v>61.0</v>
      </c>
      <c r="B64" s="47">
        <v>1006593.0</v>
      </c>
      <c r="C64" s="283" t="str">
        <f>vlookup(B64,'Crew data for number'!B:C,2,0)</f>
        <v>TAA4279</v>
      </c>
      <c r="D64" s="284" t="str">
        <f>vlookup(B64,'Crew Data'!C:G,5,0)</f>
        <v>Bhataranan Tanaree</v>
      </c>
      <c r="E64" s="267" t="s">
        <v>1884</v>
      </c>
      <c r="F64" s="47">
        <v>31.0</v>
      </c>
      <c r="G64" s="50">
        <f t="shared" si="1"/>
        <v>12400</v>
      </c>
      <c r="H64" s="22">
        <f t="shared" si="2"/>
        <v>1</v>
      </c>
      <c r="I64" s="51" t="s">
        <v>1763</v>
      </c>
      <c r="J64" s="40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</row>
    <row r="65" ht="30.0" customHeight="1">
      <c r="A65" s="282">
        <v>62.0</v>
      </c>
      <c r="B65" s="47">
        <v>1006847.0</v>
      </c>
      <c r="C65" s="283" t="str">
        <f>vlookup(B65,'Crew data for number'!B:C,2,0)</f>
        <v>TAA3869</v>
      </c>
      <c r="D65" s="284" t="str">
        <f>vlookup(B65,'Crew Data'!C:G,5,0)</f>
        <v>Siriluk Supkongyu</v>
      </c>
      <c r="E65" s="267" t="s">
        <v>1992</v>
      </c>
      <c r="F65" s="47">
        <v>29.0</v>
      </c>
      <c r="G65" s="50">
        <f t="shared" si="1"/>
        <v>11600</v>
      </c>
      <c r="H65" s="22">
        <f t="shared" si="2"/>
        <v>1</v>
      </c>
      <c r="I65" s="51" t="s">
        <v>1763</v>
      </c>
      <c r="J65" s="40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</row>
    <row r="66" ht="30.0" customHeight="1">
      <c r="A66" s="282">
        <v>63.0</v>
      </c>
      <c r="B66" s="47">
        <v>1007159.0</v>
      </c>
      <c r="C66" s="283" t="str">
        <f>vlookup(B66,'Crew data for number'!B:C,2,0)</f>
        <v>TAA4024</v>
      </c>
      <c r="D66" s="284" t="str">
        <f>vlookup(B66,'Crew Data'!C:G,5,0)</f>
        <v>Piyawadee Sitdhilaw</v>
      </c>
      <c r="E66" s="267" t="s">
        <v>1983</v>
      </c>
      <c r="F66" s="47">
        <v>30.0</v>
      </c>
      <c r="G66" s="50">
        <f t="shared" si="1"/>
        <v>12000</v>
      </c>
      <c r="H66" s="22">
        <f t="shared" si="2"/>
        <v>1</v>
      </c>
      <c r="I66" s="51" t="s">
        <v>1763</v>
      </c>
      <c r="J66" s="40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</row>
    <row r="67" ht="30.0" customHeight="1">
      <c r="A67" s="282">
        <v>64.0</v>
      </c>
      <c r="B67" s="47">
        <v>1015410.0</v>
      </c>
      <c r="C67" s="283" t="str">
        <f>vlookup(B67,'Crew data for number'!B:C,2,0)</f>
        <v>TAA7060</v>
      </c>
      <c r="D67" s="284" t="str">
        <f>vlookup(B67,'Crew Data'!C:G,5,0)</f>
        <v>#N/A</v>
      </c>
      <c r="E67" s="267" t="s">
        <v>1993</v>
      </c>
      <c r="F67" s="47">
        <v>27.0</v>
      </c>
      <c r="G67" s="50">
        <f t="shared" si="1"/>
        <v>10800</v>
      </c>
      <c r="H67" s="22">
        <f t="shared" si="2"/>
        <v>1</v>
      </c>
      <c r="I67" s="51" t="s">
        <v>1763</v>
      </c>
      <c r="J67" s="40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</row>
    <row r="68" ht="30.0" customHeight="1">
      <c r="A68" s="282">
        <v>65.0</v>
      </c>
      <c r="B68" s="47">
        <v>1003204.0</v>
      </c>
      <c r="C68" s="283" t="str">
        <f>vlookup(B68,'Crew data for number'!B:C,2,0)</f>
        <v>TAA2659</v>
      </c>
      <c r="D68" s="284" t="str">
        <f>vlookup(B68,'Crew Data'!C:G,5,0)</f>
        <v>Padiporn Phopeng</v>
      </c>
      <c r="E68" s="267" t="s">
        <v>1994</v>
      </c>
      <c r="F68" s="47">
        <v>25.0</v>
      </c>
      <c r="G68" s="50">
        <f t="shared" si="1"/>
        <v>10000</v>
      </c>
      <c r="H68" s="22">
        <f t="shared" si="2"/>
        <v>1</v>
      </c>
      <c r="I68" s="51" t="s">
        <v>1763</v>
      </c>
      <c r="J68" s="40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</row>
    <row r="69" ht="30.0" customHeight="1">
      <c r="A69" s="282">
        <v>66.0</v>
      </c>
      <c r="B69" s="47">
        <v>1022215.0</v>
      </c>
      <c r="C69" s="283" t="str">
        <f>vlookup(B69,'Crew data for number'!B:C,2,0)</f>
        <v/>
      </c>
      <c r="D69" s="284" t="str">
        <f>vlookup(B69,'Crew Data'!C:G,5,0)</f>
        <v>Porntida Yuttimi</v>
      </c>
      <c r="E69" s="267" t="s">
        <v>1884</v>
      </c>
      <c r="F69" s="47">
        <v>31.0</v>
      </c>
      <c r="G69" s="50">
        <f t="shared" si="1"/>
        <v>12400</v>
      </c>
      <c r="H69" s="22">
        <f t="shared" si="2"/>
        <v>1</v>
      </c>
      <c r="I69" s="51" t="s">
        <v>1763</v>
      </c>
      <c r="J69" s="40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</row>
    <row r="70" ht="30.0" customHeight="1">
      <c r="A70" s="282">
        <v>67.0</v>
      </c>
      <c r="B70" s="47">
        <v>1011084.0</v>
      </c>
      <c r="C70" s="283" t="str">
        <f>vlookup(B70,'Crew data for number'!B:C,2,0)</f>
        <v>TAA5672</v>
      </c>
      <c r="D70" s="284" t="str">
        <f>vlookup(B70,'Crew Data'!C:G,5,0)</f>
        <v>Warich Nathtigoon</v>
      </c>
      <c r="E70" s="267" t="s">
        <v>1995</v>
      </c>
      <c r="F70" s="47">
        <v>5.0</v>
      </c>
      <c r="G70" s="50">
        <f t="shared" si="1"/>
        <v>2000</v>
      </c>
      <c r="H70" s="22">
        <f t="shared" si="2"/>
        <v>1</v>
      </c>
      <c r="I70" s="51" t="s">
        <v>1763</v>
      </c>
      <c r="J70" s="40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</row>
    <row r="71" ht="30.0" customHeight="1">
      <c r="A71" s="282">
        <v>68.0</v>
      </c>
      <c r="B71" s="47">
        <v>1018968.0</v>
      </c>
      <c r="C71" s="283" t="str">
        <f>vlookup(B71,'Crew data for number'!B:C,2,0)</f>
        <v>TAA7837</v>
      </c>
      <c r="D71" s="284" t="str">
        <f>vlookup(B71,'Crew Data'!C:G,5,0)</f>
        <v>#N/A</v>
      </c>
      <c r="E71" s="267" t="s">
        <v>1884</v>
      </c>
      <c r="F71" s="47">
        <v>31.0</v>
      </c>
      <c r="G71" s="50">
        <f t="shared" si="1"/>
        <v>12400</v>
      </c>
      <c r="H71" s="22">
        <f t="shared" si="2"/>
        <v>1</v>
      </c>
      <c r="I71" s="51" t="s">
        <v>1763</v>
      </c>
      <c r="J71" s="40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</row>
    <row r="72" ht="30.0" customHeight="1">
      <c r="A72" s="282">
        <v>69.0</v>
      </c>
      <c r="B72" s="47">
        <v>1006860.0</v>
      </c>
      <c r="C72" s="283" t="str">
        <f>vlookup(B72,'Crew data for number'!B:C,2,0)</f>
        <v>TAA3883</v>
      </c>
      <c r="D72" s="284" t="str">
        <f>vlookup(B72,'Crew Data'!C:G,5,0)</f>
        <v>#N/A</v>
      </c>
      <c r="E72" s="267" t="s">
        <v>1996</v>
      </c>
      <c r="F72" s="47">
        <v>28.0</v>
      </c>
      <c r="G72" s="50">
        <f t="shared" si="1"/>
        <v>11200</v>
      </c>
      <c r="H72" s="22">
        <f t="shared" si="2"/>
        <v>1</v>
      </c>
      <c r="I72" s="51" t="s">
        <v>1763</v>
      </c>
      <c r="J72" s="40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</row>
    <row r="73" ht="30.0" customHeight="1">
      <c r="A73" s="282">
        <v>70.0</v>
      </c>
      <c r="B73" s="47">
        <v>1005906.0</v>
      </c>
      <c r="C73" s="283" t="str">
        <f>vlookup(B73,'Crew data for number'!B:C,2,0)</f>
        <v>TAA3924</v>
      </c>
      <c r="D73" s="284" t="str">
        <f>vlookup(B73,'Crew Data'!C:G,5,0)</f>
        <v>Supatra Pokkhabut</v>
      </c>
      <c r="E73" s="267" t="s">
        <v>1997</v>
      </c>
      <c r="F73" s="47">
        <v>29.0</v>
      </c>
      <c r="G73" s="50">
        <f t="shared" si="1"/>
        <v>11600</v>
      </c>
      <c r="H73" s="22">
        <f t="shared" si="2"/>
        <v>1</v>
      </c>
      <c r="I73" s="51" t="s">
        <v>1763</v>
      </c>
      <c r="J73" s="40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</row>
    <row r="74" ht="30.0" customHeight="1">
      <c r="A74" s="282">
        <v>71.0</v>
      </c>
      <c r="B74" s="47">
        <v>1019407.0</v>
      </c>
      <c r="C74" s="283" t="str">
        <f>vlookup(B74,'Crew data for number'!B:C,2,0)</f>
        <v>TAA7932</v>
      </c>
      <c r="D74" s="284" t="str">
        <f>vlookup(B74,'Crew Data'!C:G,5,0)</f>
        <v>Saowapak Siri-athikhom</v>
      </c>
      <c r="E74" s="267" t="s">
        <v>1998</v>
      </c>
      <c r="F74" s="47">
        <v>30.0</v>
      </c>
      <c r="G74" s="50">
        <f t="shared" si="1"/>
        <v>12000</v>
      </c>
      <c r="H74" s="22">
        <f t="shared" si="2"/>
        <v>1</v>
      </c>
      <c r="I74" s="51" t="s">
        <v>1763</v>
      </c>
      <c r="J74" s="40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</row>
    <row r="75" ht="30.0" customHeight="1">
      <c r="A75" s="282">
        <v>72.0</v>
      </c>
      <c r="B75" s="47">
        <v>1018531.0</v>
      </c>
      <c r="C75" s="283" t="str">
        <f>vlookup(B75,'Crew data for number'!B:C,2,0)</f>
        <v>TAA7752</v>
      </c>
      <c r="D75" s="284" t="str">
        <f>vlookup(B75,'Crew Data'!C:G,5,0)</f>
        <v>Chawit Donsawee</v>
      </c>
      <c r="E75" s="267" t="s">
        <v>1999</v>
      </c>
      <c r="F75" s="47">
        <v>25.0</v>
      </c>
      <c r="G75" s="50">
        <f t="shared" si="1"/>
        <v>10000</v>
      </c>
      <c r="H75" s="22">
        <f t="shared" si="2"/>
        <v>1</v>
      </c>
      <c r="I75" s="51" t="s">
        <v>1763</v>
      </c>
      <c r="J75" s="40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</row>
    <row r="76" ht="30.0" customHeight="1">
      <c r="A76" s="282">
        <v>73.0</v>
      </c>
      <c r="B76" s="47">
        <v>1017926.0</v>
      </c>
      <c r="C76" s="283" t="str">
        <f>vlookup(B76,'Crew data for number'!B:C,2,0)</f>
        <v>TAA7535</v>
      </c>
      <c r="D76" s="284" t="str">
        <f>vlookup(B76,'Crew Data'!C:G,5,0)</f>
        <v>Noppamanee Samranrat</v>
      </c>
      <c r="E76" s="267" t="s">
        <v>2000</v>
      </c>
      <c r="F76" s="47">
        <v>27.0</v>
      </c>
      <c r="G76" s="50">
        <f t="shared" si="1"/>
        <v>10800</v>
      </c>
      <c r="H76" s="22">
        <f t="shared" si="2"/>
        <v>1</v>
      </c>
      <c r="I76" s="51" t="s">
        <v>1763</v>
      </c>
      <c r="J76" s="40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</row>
    <row r="77" ht="30.0" customHeight="1">
      <c r="A77" s="282">
        <v>74.0</v>
      </c>
      <c r="B77" s="47">
        <v>1006085.0</v>
      </c>
      <c r="C77" s="283" t="str">
        <f>vlookup(B77,'Crew data for number'!B:C,2,0)</f>
        <v>TAA3612</v>
      </c>
      <c r="D77" s="284" t="str">
        <f>vlookup(B77,'Crew Data'!C:G,5,0)</f>
        <v>Sunan Homcharoenpanith</v>
      </c>
      <c r="E77" s="267" t="s">
        <v>2001</v>
      </c>
      <c r="F77" s="47">
        <v>25.0</v>
      </c>
      <c r="G77" s="50">
        <f t="shared" si="1"/>
        <v>10000</v>
      </c>
      <c r="H77" s="22">
        <f t="shared" si="2"/>
        <v>1</v>
      </c>
      <c r="I77" s="51" t="s">
        <v>1763</v>
      </c>
      <c r="J77" s="40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</row>
    <row r="78" ht="30.0" customHeight="1">
      <c r="A78" s="282">
        <v>75.0</v>
      </c>
      <c r="B78" s="47">
        <v>1013023.0</v>
      </c>
      <c r="C78" s="283" t="str">
        <f>vlookup(B78,'Crew data for number'!B:C,2,0)</f>
        <v>TAA6499</v>
      </c>
      <c r="D78" s="284" t="str">
        <f>vlookup(B78,'Crew Data'!C:G,5,0)</f>
        <v>Pinyapat Methawatthanasin</v>
      </c>
      <c r="E78" s="267" t="s">
        <v>2002</v>
      </c>
      <c r="F78" s="47">
        <v>26.0</v>
      </c>
      <c r="G78" s="50">
        <f t="shared" si="1"/>
        <v>10400</v>
      </c>
      <c r="H78" s="22">
        <f t="shared" si="2"/>
        <v>1</v>
      </c>
      <c r="I78" s="51" t="s">
        <v>1763</v>
      </c>
      <c r="J78" s="40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</row>
    <row r="79" ht="30.0" customHeight="1">
      <c r="A79" s="282">
        <v>76.0</v>
      </c>
      <c r="B79" s="47">
        <v>1014308.0</v>
      </c>
      <c r="C79" s="283" t="str">
        <f>vlookup(B79,'Crew data for number'!B:C,2,0)</f>
        <v>TAA6871</v>
      </c>
      <c r="D79" s="284" t="str">
        <f>vlookup(B79,'Crew Data'!C:G,5,0)</f>
        <v>Asama Thunyavacharakul</v>
      </c>
      <c r="E79" s="267" t="s">
        <v>2003</v>
      </c>
      <c r="F79" s="47">
        <v>29.0</v>
      </c>
      <c r="G79" s="50">
        <f t="shared" si="1"/>
        <v>11600</v>
      </c>
      <c r="H79" s="22">
        <f t="shared" si="2"/>
        <v>1</v>
      </c>
      <c r="I79" s="51" t="s">
        <v>1763</v>
      </c>
      <c r="J79" s="40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</row>
    <row r="80" ht="30.0" customHeight="1">
      <c r="A80" s="282">
        <v>77.0</v>
      </c>
      <c r="B80" s="47">
        <v>1007001.0</v>
      </c>
      <c r="C80" s="283" t="str">
        <f>vlookup(B80,'Crew data for number'!B:C,2,0)</f>
        <v>TAA3941</v>
      </c>
      <c r="D80" s="284" t="str">
        <f>vlookup(B80,'Crew Data'!C:G,5,0)</f>
        <v>Phakrapee Fuengprang</v>
      </c>
      <c r="E80" s="267" t="s">
        <v>1884</v>
      </c>
      <c r="F80" s="47">
        <v>31.0</v>
      </c>
      <c r="G80" s="50">
        <f t="shared" si="1"/>
        <v>12400</v>
      </c>
      <c r="H80" s="22">
        <f t="shared" si="2"/>
        <v>1</v>
      </c>
      <c r="I80" s="51" t="s">
        <v>1763</v>
      </c>
      <c r="J80" s="40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</row>
    <row r="81" ht="30.0" customHeight="1">
      <c r="A81" s="282">
        <v>78.0</v>
      </c>
      <c r="B81" s="47">
        <v>1014667.0</v>
      </c>
      <c r="C81" s="283" t="str">
        <f>vlookup(B81,'Crew data for number'!B:C,2,0)</f>
        <v>TAA7075</v>
      </c>
      <c r="D81" s="284" t="str">
        <f>vlookup(B81,'Crew Data'!C:G,5,0)</f>
        <v>#N/A</v>
      </c>
      <c r="E81" s="267" t="s">
        <v>2004</v>
      </c>
      <c r="F81" s="47">
        <v>30.0</v>
      </c>
      <c r="G81" s="50">
        <f t="shared" si="1"/>
        <v>12000</v>
      </c>
      <c r="H81" s="22">
        <f t="shared" si="2"/>
        <v>1</v>
      </c>
      <c r="I81" s="51" t="s">
        <v>1763</v>
      </c>
      <c r="J81" s="40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</row>
    <row r="82" ht="30.0" customHeight="1">
      <c r="A82" s="282">
        <v>79.0</v>
      </c>
      <c r="B82" s="47">
        <v>1004750.0</v>
      </c>
      <c r="C82" s="283" t="str">
        <f>vlookup(B82,'Crew data for number'!B:C,2,0)</f>
        <v>TAA2973</v>
      </c>
      <c r="D82" s="284" t="str">
        <f>vlookup(B82,'Crew Data'!C:G,5,0)</f>
        <v>#N/A</v>
      </c>
      <c r="E82" s="267" t="s">
        <v>2005</v>
      </c>
      <c r="F82" s="47">
        <v>29.0</v>
      </c>
      <c r="G82" s="50">
        <f t="shared" si="1"/>
        <v>11600</v>
      </c>
      <c r="H82" s="22">
        <f t="shared" si="2"/>
        <v>1</v>
      </c>
      <c r="I82" s="51" t="s">
        <v>1763</v>
      </c>
      <c r="J82" s="40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</row>
    <row r="83" ht="30.0" customHeight="1">
      <c r="A83" s="282">
        <v>80.0</v>
      </c>
      <c r="B83" s="47">
        <v>1010934.0</v>
      </c>
      <c r="C83" s="283" t="str">
        <f>vlookup(B83,'Crew data for number'!B:C,2,0)</f>
        <v>TAA5547</v>
      </c>
      <c r="D83" s="284" t="str">
        <f>vlookup(B83,'Crew Data'!C:G,5,0)</f>
        <v>Werawat Sittipachaikul</v>
      </c>
      <c r="E83" s="267" t="s">
        <v>1884</v>
      </c>
      <c r="F83" s="47">
        <v>31.0</v>
      </c>
      <c r="G83" s="50">
        <f t="shared" si="1"/>
        <v>12400</v>
      </c>
      <c r="H83" s="22">
        <f t="shared" si="2"/>
        <v>1</v>
      </c>
      <c r="I83" s="51" t="s">
        <v>1763</v>
      </c>
      <c r="J83" s="40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</row>
    <row r="84" ht="30.0" customHeight="1">
      <c r="A84" s="282">
        <v>81.0</v>
      </c>
      <c r="B84" s="47">
        <v>1007003.0</v>
      </c>
      <c r="C84" s="283" t="str">
        <f>vlookup(B84,'Crew data for number'!B:C,2,0)</f>
        <v>TAA3933</v>
      </c>
      <c r="D84" s="284" t="str">
        <f>vlookup(B84,'Crew Data'!C:G,5,0)</f>
        <v>Ravipa Tumsen</v>
      </c>
      <c r="E84" s="267" t="s">
        <v>2006</v>
      </c>
      <c r="F84" s="47">
        <v>27.0</v>
      </c>
      <c r="G84" s="50">
        <f t="shared" si="1"/>
        <v>10800</v>
      </c>
      <c r="H84" s="22">
        <f t="shared" si="2"/>
        <v>1</v>
      </c>
      <c r="I84" s="51" t="s">
        <v>1763</v>
      </c>
      <c r="J84" s="40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</row>
    <row r="85" ht="30.0" customHeight="1">
      <c r="A85" s="282">
        <v>82.0</v>
      </c>
      <c r="B85" s="47">
        <v>1012363.0</v>
      </c>
      <c r="C85" s="283" t="str">
        <f>vlookup(B85,'Crew data for number'!B:C,2,0)</f>
        <v>TAA6129</v>
      </c>
      <c r="D85" s="284" t="str">
        <f>vlookup(B85,'Crew Data'!C:G,5,0)</f>
        <v>#N/A</v>
      </c>
      <c r="E85" s="267" t="s">
        <v>2007</v>
      </c>
      <c r="F85" s="47">
        <v>25.0</v>
      </c>
      <c r="G85" s="50">
        <f t="shared" si="1"/>
        <v>10000</v>
      </c>
      <c r="H85" s="22">
        <f t="shared" si="2"/>
        <v>1</v>
      </c>
      <c r="I85" s="51" t="s">
        <v>1763</v>
      </c>
      <c r="J85" s="40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</row>
    <row r="86" ht="30.0" customHeight="1">
      <c r="A86" s="282">
        <v>83.0</v>
      </c>
      <c r="B86" s="47">
        <v>1011808.0</v>
      </c>
      <c r="C86" s="283" t="str">
        <f>vlookup(B86,'Crew data for number'!B:C,2,0)</f>
        <v>TAA6105</v>
      </c>
      <c r="D86" s="284" t="str">
        <f>vlookup(B86,'Crew Data'!C:G,5,0)</f>
        <v>#N/A</v>
      </c>
      <c r="E86" s="267" t="s">
        <v>1884</v>
      </c>
      <c r="F86" s="47">
        <v>31.0</v>
      </c>
      <c r="G86" s="50">
        <f t="shared" si="1"/>
        <v>12400</v>
      </c>
      <c r="H86" s="22">
        <f t="shared" si="2"/>
        <v>1</v>
      </c>
      <c r="I86" s="51" t="s">
        <v>1763</v>
      </c>
      <c r="J86" s="40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</row>
    <row r="87" ht="30.0" customHeight="1">
      <c r="A87" s="282">
        <v>84.0</v>
      </c>
      <c r="B87" s="47">
        <v>1012188.0</v>
      </c>
      <c r="C87" s="283" t="str">
        <f>vlookup(B87,'Crew data for number'!B:C,2,0)</f>
        <v>TAA6172</v>
      </c>
      <c r="D87" s="284" t="str">
        <f>vlookup(B87,'Crew Data'!C:G,5,0)</f>
        <v>Warut Sritham</v>
      </c>
      <c r="E87" s="267" t="s">
        <v>1884</v>
      </c>
      <c r="F87" s="47">
        <v>31.0</v>
      </c>
      <c r="G87" s="50">
        <f t="shared" si="1"/>
        <v>12400</v>
      </c>
      <c r="H87" s="22">
        <f t="shared" si="2"/>
        <v>1</v>
      </c>
      <c r="I87" s="51" t="s">
        <v>1763</v>
      </c>
      <c r="J87" s="40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</row>
    <row r="88" ht="30.0" customHeight="1">
      <c r="A88" s="282">
        <v>85.0</v>
      </c>
      <c r="B88" s="47">
        <v>1013179.0</v>
      </c>
      <c r="C88" s="283" t="str">
        <f>vlookup(B88,'Crew data for number'!B:C,2,0)</f>
        <v>TAA6398</v>
      </c>
      <c r="D88" s="284" t="str">
        <f>vlookup(B88,'Crew Data'!C:G,5,0)</f>
        <v>Nunapat Towakul</v>
      </c>
      <c r="E88" s="267" t="s">
        <v>1884</v>
      </c>
      <c r="F88" s="47">
        <v>31.0</v>
      </c>
      <c r="G88" s="50">
        <f t="shared" si="1"/>
        <v>12400</v>
      </c>
      <c r="H88" s="22">
        <f t="shared" si="2"/>
        <v>1</v>
      </c>
      <c r="I88" s="51" t="s">
        <v>1763</v>
      </c>
      <c r="J88" s="40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</row>
    <row r="89" ht="30.0" customHeight="1">
      <c r="A89" s="282">
        <v>86.0</v>
      </c>
      <c r="B89" s="47">
        <v>1009802.0</v>
      </c>
      <c r="C89" s="283" t="str">
        <f>vlookup(B89,'Crew data for number'!B:C,2,0)</f>
        <v>TAA5138</v>
      </c>
      <c r="D89" s="284" t="str">
        <f>vlookup(B89,'Crew Data'!C:G,5,0)</f>
        <v>#N/A</v>
      </c>
      <c r="E89" s="267" t="s">
        <v>2008</v>
      </c>
      <c r="F89" s="47">
        <v>53.0</v>
      </c>
      <c r="G89" s="50">
        <f t="shared" si="1"/>
        <v>21200</v>
      </c>
      <c r="H89" s="22">
        <f t="shared" si="2"/>
        <v>1</v>
      </c>
      <c r="I89" s="51" t="s">
        <v>1770</v>
      </c>
      <c r="J89" s="51" t="s">
        <v>1948</v>
      </c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</row>
    <row r="90" ht="30.0" customHeight="1">
      <c r="A90" s="282">
        <v>87.0</v>
      </c>
      <c r="B90" s="47">
        <v>1005759.0</v>
      </c>
      <c r="C90" s="283" t="str">
        <f>vlookup(B90,'Crew data for number'!B:C,2,0)</f>
        <v>TAA3404</v>
      </c>
      <c r="D90" s="284" t="str">
        <f>vlookup(B90,'Crew Data'!C:G,5,0)</f>
        <v>Nirinya Arunthanakulphat</v>
      </c>
      <c r="E90" s="267" t="s">
        <v>2009</v>
      </c>
      <c r="F90" s="47">
        <v>24.0</v>
      </c>
      <c r="G90" s="50">
        <f t="shared" si="1"/>
        <v>9600</v>
      </c>
      <c r="H90" s="22">
        <f t="shared" si="2"/>
        <v>1</v>
      </c>
      <c r="I90" s="51" t="s">
        <v>1763</v>
      </c>
      <c r="J90" s="40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</row>
    <row r="91" ht="30.0" customHeight="1">
      <c r="A91" s="282">
        <v>88.0</v>
      </c>
      <c r="B91" s="47">
        <v>1001319.0</v>
      </c>
      <c r="C91" s="283" t="str">
        <f>vlookup(B91,'Crew data for number'!B:C,2,0)</f>
        <v>TAA1303</v>
      </c>
      <c r="D91" s="284" t="str">
        <f>vlookup(B91,'Crew Data'!C:G,5,0)</f>
        <v>Wipat Lurkasemsuk</v>
      </c>
      <c r="E91" s="267" t="s">
        <v>2010</v>
      </c>
      <c r="F91" s="47">
        <v>28.0</v>
      </c>
      <c r="G91" s="50">
        <f t="shared" si="1"/>
        <v>11200</v>
      </c>
      <c r="H91" s="22">
        <f t="shared" si="2"/>
        <v>1</v>
      </c>
      <c r="I91" s="51" t="s">
        <v>1763</v>
      </c>
      <c r="J91" s="40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</row>
    <row r="92" ht="30.0" customHeight="1">
      <c r="A92" s="282">
        <v>89.0</v>
      </c>
      <c r="B92" s="47">
        <v>1012898.0</v>
      </c>
      <c r="C92" s="283" t="str">
        <f>vlookup(B92,'Crew data for number'!B:C,2,0)</f>
        <v>TAA6364</v>
      </c>
      <c r="D92" s="284" t="str">
        <f>vlookup(B92,'Crew Data'!C:G,5,0)</f>
        <v>Paranyu Sukthanakij</v>
      </c>
      <c r="E92" s="267" t="s">
        <v>2011</v>
      </c>
      <c r="F92" s="47">
        <v>27.0</v>
      </c>
      <c r="G92" s="50">
        <f t="shared" si="1"/>
        <v>10800</v>
      </c>
      <c r="H92" s="22">
        <f t="shared" si="2"/>
        <v>1</v>
      </c>
      <c r="I92" s="51" t="s">
        <v>1763</v>
      </c>
      <c r="J92" s="40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</row>
    <row r="93" ht="30.0" customHeight="1">
      <c r="A93" s="282">
        <v>90.0</v>
      </c>
      <c r="B93" s="47">
        <v>1019520.0</v>
      </c>
      <c r="C93" s="283" t="str">
        <f>vlookup(B93,'Crew data for number'!B:C,2,0)</f>
        <v>TAA8005</v>
      </c>
      <c r="D93" s="284" t="str">
        <f>vlookup(B93,'Crew Data'!C:G,5,0)</f>
        <v>#N/A</v>
      </c>
      <c r="E93" s="267" t="s">
        <v>1884</v>
      </c>
      <c r="F93" s="47">
        <v>31.0</v>
      </c>
      <c r="G93" s="50">
        <f t="shared" si="1"/>
        <v>12400</v>
      </c>
      <c r="H93" s="22">
        <f t="shared" si="2"/>
        <v>1</v>
      </c>
      <c r="I93" s="51" t="s">
        <v>1763</v>
      </c>
      <c r="J93" s="40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</row>
    <row r="94" ht="30.0" customHeight="1">
      <c r="A94" s="282">
        <v>91.0</v>
      </c>
      <c r="B94" s="47">
        <v>1005953.0</v>
      </c>
      <c r="C94" s="283" t="str">
        <f>vlookup(B94,'Crew data for number'!B:C,2,0)</f>
        <v>TAA3505</v>
      </c>
      <c r="D94" s="284" t="str">
        <f>vlookup(B94,'Crew Data'!C:G,5,0)</f>
        <v>Pinchapitch Pinchachartanant</v>
      </c>
      <c r="E94" s="267" t="s">
        <v>1884</v>
      </c>
      <c r="F94" s="47">
        <v>31.0</v>
      </c>
      <c r="G94" s="50">
        <f t="shared" si="1"/>
        <v>12400</v>
      </c>
      <c r="H94" s="22">
        <f t="shared" si="2"/>
        <v>1</v>
      </c>
      <c r="I94" s="51" t="s">
        <v>1763</v>
      </c>
      <c r="J94" s="40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</row>
    <row r="95" ht="30.0" customHeight="1">
      <c r="A95" s="282">
        <v>92.0</v>
      </c>
      <c r="B95" s="47">
        <v>1009768.0</v>
      </c>
      <c r="C95" s="283" t="str">
        <f>vlookup(B95,'Crew data for number'!B:C,2,0)</f>
        <v>TAA5135</v>
      </c>
      <c r="D95" s="284" t="str">
        <f>vlookup(B95,'Crew Data'!C:G,5,0)</f>
        <v>Thidech Eakmongkollert</v>
      </c>
      <c r="E95" s="267" t="s">
        <v>2012</v>
      </c>
      <c r="F95" s="47">
        <v>20.0</v>
      </c>
      <c r="G95" s="50">
        <f t="shared" si="1"/>
        <v>8000</v>
      </c>
      <c r="H95" s="22">
        <f t="shared" si="2"/>
        <v>1</v>
      </c>
      <c r="I95" s="51" t="s">
        <v>1763</v>
      </c>
      <c r="J95" s="40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</row>
    <row r="96" ht="30.0" customHeight="1">
      <c r="A96" s="282">
        <v>93.0</v>
      </c>
      <c r="B96" s="47">
        <v>1004127.0</v>
      </c>
      <c r="C96" s="283" t="str">
        <f>vlookup(B96,'Crew data for number'!B:C,2,0)</f>
        <v>TAA2655</v>
      </c>
      <c r="D96" s="284" t="str">
        <f>vlookup(B96,'Crew Data'!C:G,5,0)</f>
        <v>Thawinun Arunnuntapanich</v>
      </c>
      <c r="E96" s="267" t="s">
        <v>1950</v>
      </c>
      <c r="F96" s="47">
        <v>3.0</v>
      </c>
      <c r="G96" s="50">
        <f t="shared" si="1"/>
        <v>1200</v>
      </c>
      <c r="H96" s="22">
        <f t="shared" si="2"/>
        <v>1</v>
      </c>
      <c r="I96" s="51" t="s">
        <v>1763</v>
      </c>
      <c r="J96" s="40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</row>
    <row r="97" ht="30.0" customHeight="1">
      <c r="A97" s="282">
        <v>94.0</v>
      </c>
      <c r="B97" s="47">
        <v>1001036.0</v>
      </c>
      <c r="C97" s="283" t="str">
        <f>vlookup(B97,'Crew data for number'!B:C,2,0)</f>
        <v>TAA1073</v>
      </c>
      <c r="D97" s="284" t="str">
        <f>vlookup(B97,'Crew Data'!C:G,5,0)</f>
        <v>#N/A</v>
      </c>
      <c r="E97" s="267" t="s">
        <v>2013</v>
      </c>
      <c r="F97" s="47">
        <v>28.0</v>
      </c>
      <c r="G97" s="50">
        <f t="shared" si="1"/>
        <v>11200</v>
      </c>
      <c r="H97" s="22">
        <f t="shared" si="2"/>
        <v>1</v>
      </c>
      <c r="I97" s="51" t="s">
        <v>1763</v>
      </c>
      <c r="J97" s="40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</row>
    <row r="98" ht="30.0" customHeight="1">
      <c r="A98" s="282">
        <v>95.0</v>
      </c>
      <c r="B98" s="47">
        <v>1018530.0</v>
      </c>
      <c r="C98" s="283" t="str">
        <f>vlookup(B98,'Crew data for number'!B:C,2,0)</f>
        <v>TAA7750</v>
      </c>
      <c r="D98" s="284" t="str">
        <f>vlookup(B98,'Crew Data'!C:G,5,0)</f>
        <v>Chaniporn Thanaworrapak</v>
      </c>
      <c r="E98" s="267" t="s">
        <v>2014</v>
      </c>
      <c r="F98" s="47">
        <v>28.0</v>
      </c>
      <c r="G98" s="50">
        <f t="shared" si="1"/>
        <v>11200</v>
      </c>
      <c r="H98" s="22">
        <f t="shared" si="2"/>
        <v>1</v>
      </c>
      <c r="I98" s="51" t="s">
        <v>1763</v>
      </c>
      <c r="J98" s="40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</row>
    <row r="99" ht="30.0" customHeight="1">
      <c r="A99" s="282">
        <v>96.0</v>
      </c>
      <c r="B99" s="47">
        <v>1018980.0</v>
      </c>
      <c r="C99" s="283" t="str">
        <f>vlookup(B99,'Crew data for number'!B:C,2,0)</f>
        <v>TAA7838</v>
      </c>
      <c r="D99" s="284" t="str">
        <f>vlookup(B99,'Crew Data'!C:G,5,0)</f>
        <v>#N/A</v>
      </c>
      <c r="E99" s="267" t="s">
        <v>2015</v>
      </c>
      <c r="F99" s="47">
        <v>25.0</v>
      </c>
      <c r="G99" s="50">
        <f t="shared" si="1"/>
        <v>10000</v>
      </c>
      <c r="H99" s="22">
        <f t="shared" si="2"/>
        <v>1</v>
      </c>
      <c r="I99" s="51" t="s">
        <v>1763</v>
      </c>
      <c r="J99" s="40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</row>
    <row r="100" ht="30.0" customHeight="1">
      <c r="A100" s="282">
        <v>97.0</v>
      </c>
      <c r="B100" s="47">
        <v>1001622.0</v>
      </c>
      <c r="C100" s="283" t="str">
        <f>vlookup(B100,'Crew data for number'!B:C,2,0)</f>
        <v>TAA1450</v>
      </c>
      <c r="D100" s="284" t="str">
        <f>vlookup(B100,'Crew Data'!C:G,5,0)</f>
        <v>Waraluck Meksikarin</v>
      </c>
      <c r="E100" s="267" t="s">
        <v>2016</v>
      </c>
      <c r="F100" s="47">
        <v>27.0</v>
      </c>
      <c r="G100" s="50">
        <f t="shared" si="1"/>
        <v>10800</v>
      </c>
      <c r="H100" s="22">
        <f t="shared" si="2"/>
        <v>1</v>
      </c>
      <c r="I100" s="51" t="s">
        <v>1763</v>
      </c>
      <c r="J100" s="40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</row>
    <row r="101" ht="30.0" customHeight="1">
      <c r="A101" s="282">
        <v>98.0</v>
      </c>
      <c r="B101" s="47">
        <v>1007262.0</v>
      </c>
      <c r="C101" s="283" t="str">
        <f>vlookup(B101,'Crew data for number'!B:C,2,0)</f>
        <v>TAA4107</v>
      </c>
      <c r="D101" s="284" t="str">
        <f>vlookup(B101,'Crew Data'!C:G,5,0)</f>
        <v> Kaeokumchai</v>
      </c>
      <c r="E101" s="267" t="s">
        <v>2017</v>
      </c>
      <c r="F101" s="47">
        <v>4.0</v>
      </c>
      <c r="G101" s="50">
        <f t="shared" si="1"/>
        <v>1600</v>
      </c>
      <c r="H101" s="22">
        <f t="shared" si="2"/>
        <v>1</v>
      </c>
      <c r="I101" s="51" t="s">
        <v>1770</v>
      </c>
      <c r="J101" s="51" t="s">
        <v>1954</v>
      </c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</row>
    <row r="102" ht="30.0" customHeight="1">
      <c r="A102" s="282">
        <v>99.0</v>
      </c>
      <c r="B102" s="47">
        <v>1004757.0</v>
      </c>
      <c r="C102" s="283" t="str">
        <f>vlookup(B102,'Crew data for number'!B:C,2,0)</f>
        <v>TAA2967</v>
      </c>
      <c r="D102" s="284" t="str">
        <f>vlookup(B102,'Crew Data'!C:G,5,0)</f>
        <v>Pimwaree Makmee</v>
      </c>
      <c r="E102" s="267" t="s">
        <v>1884</v>
      </c>
      <c r="F102" s="47">
        <v>31.0</v>
      </c>
      <c r="G102" s="50">
        <f t="shared" si="1"/>
        <v>12400</v>
      </c>
      <c r="H102" s="22">
        <f t="shared" si="2"/>
        <v>1</v>
      </c>
      <c r="I102" s="51" t="s">
        <v>1763</v>
      </c>
      <c r="J102" s="40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</row>
    <row r="103" ht="30.0" customHeight="1">
      <c r="A103" s="282">
        <v>100.0</v>
      </c>
      <c r="B103" s="47">
        <v>1002202.0</v>
      </c>
      <c r="C103" s="283" t="str">
        <f>vlookup(B103,'Crew data for number'!B:C,2,0)</f>
        <v>TAA2061</v>
      </c>
      <c r="D103" s="284" t="str">
        <f>vlookup(B103,'Crew Data'!C:G,5,0)</f>
        <v>Nithipkan Damrongpongkhajorn</v>
      </c>
      <c r="E103" s="267" t="s">
        <v>2018</v>
      </c>
      <c r="F103" s="47">
        <v>29.0</v>
      </c>
      <c r="G103" s="50">
        <f t="shared" si="1"/>
        <v>11600</v>
      </c>
      <c r="H103" s="22">
        <f t="shared" si="2"/>
        <v>1</v>
      </c>
      <c r="I103" s="51" t="s">
        <v>1763</v>
      </c>
      <c r="J103" s="40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</row>
    <row r="104" ht="30.0" customHeight="1">
      <c r="A104" s="282">
        <v>101.0</v>
      </c>
      <c r="B104" s="47">
        <v>1012365.0</v>
      </c>
      <c r="C104" s="283" t="str">
        <f>vlookup(B104,'Crew data for number'!B:C,2,0)</f>
        <v>TAA6137</v>
      </c>
      <c r="D104" s="284" t="str">
        <f>vlookup(B104,'Crew Data'!C:G,5,0)</f>
        <v>Manassaphorn Boonprasertwattana</v>
      </c>
      <c r="E104" s="267" t="s">
        <v>2019</v>
      </c>
      <c r="F104" s="47">
        <v>23.0</v>
      </c>
      <c r="G104" s="50">
        <f t="shared" si="1"/>
        <v>9200</v>
      </c>
      <c r="H104" s="22">
        <f t="shared" si="2"/>
        <v>1</v>
      </c>
      <c r="I104" s="51" t="s">
        <v>1763</v>
      </c>
      <c r="J104" s="40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</row>
    <row r="105" ht="30.0" customHeight="1">
      <c r="A105" s="282">
        <v>102.0</v>
      </c>
      <c r="B105" s="47">
        <v>1007424.0</v>
      </c>
      <c r="C105" s="283" t="str">
        <f>vlookup(B105,'Crew data for number'!B:C,2,0)</f>
        <v>TAA4074</v>
      </c>
      <c r="D105" s="284" t="str">
        <f>vlookup(B105,'Crew Data'!C:G,5,0)</f>
        <v>#N/A</v>
      </c>
      <c r="E105" s="267" t="s">
        <v>2020</v>
      </c>
      <c r="F105" s="47">
        <v>28.0</v>
      </c>
      <c r="G105" s="50">
        <f t="shared" si="1"/>
        <v>11200</v>
      </c>
      <c r="H105" s="22">
        <f t="shared" si="2"/>
        <v>1</v>
      </c>
      <c r="I105" s="51" t="s">
        <v>1763</v>
      </c>
      <c r="J105" s="40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</row>
    <row r="106" ht="30.0" customHeight="1">
      <c r="A106" s="282">
        <v>103.0</v>
      </c>
      <c r="B106" s="47">
        <v>1008991.0</v>
      </c>
      <c r="C106" s="283" t="str">
        <f>vlookup(B106,'Crew data for number'!B:C,2,0)</f>
        <v>TAA4736</v>
      </c>
      <c r="D106" s="284" t="str">
        <f>vlookup(B106,'Crew Data'!C:G,5,0)</f>
        <v>Premkamon Changsuwan</v>
      </c>
      <c r="E106" s="267" t="s">
        <v>2021</v>
      </c>
      <c r="F106" s="47">
        <v>6.0</v>
      </c>
      <c r="G106" s="50">
        <f t="shared" si="1"/>
        <v>2400</v>
      </c>
      <c r="H106" s="22">
        <f t="shared" si="2"/>
        <v>1</v>
      </c>
      <c r="I106" s="51" t="s">
        <v>1763</v>
      </c>
      <c r="J106" s="40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</row>
    <row r="107" ht="30.0" customHeight="1">
      <c r="A107" s="282">
        <v>104.0</v>
      </c>
      <c r="B107" s="47">
        <v>1006891.0</v>
      </c>
      <c r="C107" s="283" t="str">
        <f>vlookup(B107,'Crew data for number'!B:C,2,0)</f>
        <v>TAA3896</v>
      </c>
      <c r="D107" s="284" t="str">
        <f>vlookup(B107,'Crew Data'!C:G,5,0)</f>
        <v>#N/A</v>
      </c>
      <c r="E107" s="267" t="s">
        <v>2022</v>
      </c>
      <c r="F107" s="47">
        <v>8.0</v>
      </c>
      <c r="G107" s="50">
        <f t="shared" si="1"/>
        <v>3200</v>
      </c>
      <c r="H107" s="22">
        <f t="shared" si="2"/>
        <v>1</v>
      </c>
      <c r="I107" s="51" t="s">
        <v>1763</v>
      </c>
      <c r="J107" s="40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</row>
    <row r="108" ht="17.25" customHeight="1">
      <c r="A108" s="302"/>
      <c r="B108" s="302"/>
      <c r="C108" s="302"/>
      <c r="D108" s="302"/>
      <c r="E108" s="303"/>
      <c r="F108" s="304"/>
      <c r="G108" s="302"/>
      <c r="H108" s="304"/>
      <c r="I108" s="305"/>
      <c r="J108" s="40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</row>
    <row r="109" ht="30.0" customHeight="1">
      <c r="A109" s="31"/>
      <c r="B109" s="31"/>
      <c r="C109" s="31"/>
      <c r="D109" s="31"/>
      <c r="E109" s="298"/>
      <c r="F109" s="39"/>
      <c r="G109" s="31"/>
      <c r="H109" s="39"/>
      <c r="I109" s="40"/>
      <c r="J109" s="40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</row>
    <row r="110" ht="30.0" customHeight="1">
      <c r="A110" s="265" t="s">
        <v>1183</v>
      </c>
      <c r="B110" s="252"/>
      <c r="C110" s="253"/>
      <c r="D110" s="31"/>
      <c r="E110" s="298"/>
      <c r="F110" s="39"/>
      <c r="G110" s="31"/>
      <c r="H110" s="39"/>
      <c r="I110" s="40"/>
      <c r="J110" s="40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</row>
    <row r="111" ht="30.0" customHeight="1">
      <c r="A111" s="254" t="s">
        <v>1153</v>
      </c>
      <c r="B111" s="255" t="s">
        <v>1154</v>
      </c>
      <c r="C111" s="256" t="s">
        <v>1155</v>
      </c>
      <c r="D111" s="31"/>
      <c r="E111" s="298"/>
      <c r="F111" s="39"/>
      <c r="G111" s="31"/>
      <c r="H111" s="39"/>
      <c r="I111" s="40"/>
      <c r="J111" s="40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</row>
    <row r="112" ht="30.0" customHeight="1">
      <c r="A112" s="257" t="s">
        <v>1156</v>
      </c>
      <c r="B112" s="299" t="s">
        <v>1157</v>
      </c>
      <c r="C112" s="300" t="s">
        <v>1939</v>
      </c>
      <c r="D112" s="31"/>
      <c r="E112" s="298"/>
      <c r="F112" s="39"/>
      <c r="G112" s="31"/>
      <c r="H112" s="39"/>
      <c r="I112" s="40"/>
      <c r="J112" s="40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</row>
    <row r="113" ht="30.0" customHeight="1">
      <c r="A113" s="257" t="s">
        <v>1159</v>
      </c>
      <c r="B113" s="299" t="s">
        <v>1157</v>
      </c>
      <c r="C113" s="300" t="s">
        <v>1939</v>
      </c>
      <c r="D113" s="31"/>
      <c r="E113" s="298"/>
      <c r="F113" s="39"/>
      <c r="G113" s="31"/>
      <c r="H113" s="39"/>
      <c r="I113" s="40"/>
      <c r="J113" s="40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</row>
    <row r="114" ht="30.0" customHeight="1">
      <c r="A114" s="257" t="s">
        <v>1160</v>
      </c>
      <c r="B114" s="299" t="s">
        <v>1157</v>
      </c>
      <c r="C114" s="300" t="s">
        <v>1939</v>
      </c>
      <c r="D114" s="31"/>
      <c r="E114" s="298"/>
      <c r="F114" s="39"/>
      <c r="G114" s="31"/>
      <c r="H114" s="39"/>
      <c r="I114" s="40"/>
      <c r="J114" s="40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</row>
    <row r="115" ht="30.0" customHeight="1">
      <c r="A115" s="31"/>
      <c r="B115" s="31"/>
      <c r="C115" s="31"/>
      <c r="D115" s="31"/>
      <c r="E115" s="298"/>
      <c r="F115" s="39"/>
      <c r="G115" s="31"/>
      <c r="H115" s="39"/>
      <c r="I115" s="40"/>
      <c r="J115" s="40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</row>
    <row r="116" ht="30.0" customHeight="1">
      <c r="A116" s="261" t="s">
        <v>2023</v>
      </c>
      <c r="B116" s="262"/>
      <c r="C116" s="31"/>
      <c r="D116" s="31"/>
      <c r="E116" s="298"/>
      <c r="F116" s="39"/>
      <c r="G116" s="31"/>
      <c r="H116" s="39"/>
      <c r="I116" s="40"/>
      <c r="J116" s="40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</row>
    <row r="117" ht="30.0" customHeight="1">
      <c r="A117" s="301" t="s">
        <v>1941</v>
      </c>
      <c r="B117" s="262"/>
      <c r="C117" s="31"/>
      <c r="D117" s="31"/>
      <c r="E117" s="298"/>
      <c r="F117" s="39"/>
      <c r="G117" s="31"/>
      <c r="H117" s="39"/>
      <c r="I117" s="40"/>
      <c r="J117" s="40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</row>
    <row r="118" ht="30.0" customHeight="1">
      <c r="A118" s="31"/>
      <c r="B118" s="31"/>
      <c r="C118" s="31"/>
      <c r="D118" s="31"/>
      <c r="E118" s="298"/>
      <c r="F118" s="39"/>
      <c r="G118" s="31"/>
      <c r="H118" s="39"/>
      <c r="I118" s="40"/>
      <c r="J118" s="40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</row>
    <row r="119" ht="30.0" customHeight="1">
      <c r="A119" s="31"/>
      <c r="B119" s="31"/>
      <c r="C119" s="31"/>
      <c r="D119" s="31"/>
      <c r="E119" s="298"/>
      <c r="F119" s="39"/>
      <c r="G119" s="31"/>
      <c r="H119" s="39"/>
      <c r="I119" s="40"/>
      <c r="J119" s="40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</row>
    <row r="120" ht="30.0" customHeight="1">
      <c r="A120" s="31"/>
      <c r="B120" s="31"/>
      <c r="C120" s="31"/>
      <c r="D120" s="31"/>
      <c r="E120" s="298"/>
      <c r="F120" s="39"/>
      <c r="G120" s="31"/>
      <c r="H120" s="39"/>
      <c r="I120" s="40"/>
      <c r="J120" s="40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</row>
    <row r="121" ht="30.0" customHeight="1">
      <c r="A121" s="31"/>
      <c r="B121" s="31"/>
      <c r="C121" s="31"/>
      <c r="D121" s="31"/>
      <c r="E121" s="298"/>
      <c r="F121" s="39"/>
      <c r="G121" s="31"/>
      <c r="H121" s="39"/>
      <c r="I121" s="40"/>
      <c r="J121" s="40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</row>
    <row r="122" ht="30.0" customHeight="1">
      <c r="A122" s="31"/>
      <c r="B122" s="31"/>
      <c r="C122" s="31"/>
      <c r="D122" s="31"/>
      <c r="E122" s="298"/>
      <c r="F122" s="39"/>
      <c r="G122" s="31"/>
      <c r="H122" s="39"/>
      <c r="I122" s="40"/>
      <c r="J122" s="40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</row>
    <row r="123" ht="30.0" customHeight="1">
      <c r="A123" s="31"/>
      <c r="B123" s="31"/>
      <c r="C123" s="31"/>
      <c r="D123" s="31"/>
      <c r="E123" s="298"/>
      <c r="F123" s="39"/>
      <c r="G123" s="31"/>
      <c r="H123" s="39"/>
      <c r="I123" s="40"/>
      <c r="J123" s="40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</row>
    <row r="124" ht="30.0" customHeight="1">
      <c r="A124" s="31"/>
      <c r="B124" s="31"/>
      <c r="C124" s="31"/>
      <c r="D124" s="31"/>
      <c r="E124" s="298"/>
      <c r="F124" s="39"/>
      <c r="G124" s="31"/>
      <c r="H124" s="39"/>
      <c r="I124" s="40"/>
      <c r="J124" s="40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</row>
    <row r="125" ht="30.0" customHeight="1">
      <c r="A125" s="31"/>
      <c r="B125" s="31"/>
      <c r="C125" s="31"/>
      <c r="D125" s="31"/>
      <c r="E125" s="298"/>
      <c r="F125" s="39"/>
      <c r="G125" s="31"/>
      <c r="H125" s="39"/>
      <c r="I125" s="40"/>
      <c r="J125" s="40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</row>
    <row r="126" ht="30.0" customHeight="1">
      <c r="A126" s="31"/>
      <c r="B126" s="31"/>
      <c r="C126" s="31"/>
      <c r="D126" s="31"/>
      <c r="E126" s="298"/>
      <c r="F126" s="39"/>
      <c r="G126" s="31"/>
      <c r="H126" s="39"/>
      <c r="I126" s="40"/>
      <c r="J126" s="40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</row>
    <row r="127" ht="30.0" customHeight="1">
      <c r="A127" s="31"/>
      <c r="B127" s="31"/>
      <c r="C127" s="31"/>
      <c r="D127" s="31"/>
      <c r="E127" s="298"/>
      <c r="F127" s="39"/>
      <c r="G127" s="31"/>
      <c r="H127" s="39"/>
      <c r="I127" s="40"/>
      <c r="J127" s="40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</row>
    <row r="128" ht="30.0" customHeight="1">
      <c r="A128" s="31"/>
      <c r="B128" s="31"/>
      <c r="C128" s="31"/>
      <c r="D128" s="31"/>
      <c r="E128" s="298"/>
      <c r="F128" s="39"/>
      <c r="G128" s="31"/>
      <c r="H128" s="39"/>
      <c r="I128" s="40"/>
      <c r="J128" s="40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</row>
    <row r="129" ht="30.0" customHeight="1">
      <c r="A129" s="31"/>
      <c r="B129" s="31"/>
      <c r="C129" s="31"/>
      <c r="D129" s="31"/>
      <c r="E129" s="298"/>
      <c r="F129" s="39"/>
      <c r="G129" s="31"/>
      <c r="H129" s="39"/>
      <c r="I129" s="40"/>
      <c r="J129" s="40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</row>
    <row r="130" ht="30.0" customHeight="1">
      <c r="A130" s="31"/>
      <c r="B130" s="31"/>
      <c r="C130" s="31"/>
      <c r="D130" s="31"/>
      <c r="E130" s="298"/>
      <c r="F130" s="39"/>
      <c r="G130" s="31"/>
      <c r="H130" s="39"/>
      <c r="I130" s="40"/>
      <c r="J130" s="40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</row>
    <row r="131" ht="30.0" customHeight="1">
      <c r="A131" s="31"/>
      <c r="B131" s="31"/>
      <c r="C131" s="31"/>
      <c r="D131" s="31"/>
      <c r="E131" s="298"/>
      <c r="F131" s="39"/>
      <c r="G131" s="31"/>
      <c r="H131" s="39"/>
      <c r="I131" s="40"/>
      <c r="J131" s="40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</row>
    <row r="132" ht="30.0" customHeight="1">
      <c r="A132" s="31"/>
      <c r="B132" s="31"/>
      <c r="C132" s="31"/>
      <c r="D132" s="31"/>
      <c r="E132" s="298"/>
      <c r="F132" s="39"/>
      <c r="G132" s="31"/>
      <c r="H132" s="39"/>
      <c r="I132" s="40"/>
      <c r="J132" s="40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</row>
    <row r="133" ht="30.0" customHeight="1">
      <c r="A133" s="31"/>
      <c r="B133" s="31"/>
      <c r="C133" s="31"/>
      <c r="D133" s="31"/>
      <c r="E133" s="298"/>
      <c r="F133" s="39"/>
      <c r="G133" s="31"/>
      <c r="H133" s="39"/>
      <c r="I133" s="40"/>
      <c r="J133" s="40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</row>
    <row r="134" ht="30.0" customHeight="1">
      <c r="A134" s="31"/>
      <c r="B134" s="31"/>
      <c r="C134" s="31"/>
      <c r="D134" s="31"/>
      <c r="E134" s="298"/>
      <c r="F134" s="39"/>
      <c r="G134" s="31"/>
      <c r="H134" s="39"/>
      <c r="I134" s="40"/>
      <c r="J134" s="40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</row>
    <row r="135" ht="30.0" customHeight="1">
      <c r="A135" s="31"/>
      <c r="B135" s="31"/>
      <c r="C135" s="31"/>
      <c r="D135" s="31"/>
      <c r="E135" s="298"/>
      <c r="F135" s="39"/>
      <c r="G135" s="31"/>
      <c r="H135" s="39"/>
      <c r="I135" s="40"/>
      <c r="J135" s="40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</row>
    <row r="136" ht="30.0" customHeight="1">
      <c r="A136" s="31"/>
      <c r="B136" s="31"/>
      <c r="C136" s="31"/>
      <c r="D136" s="31"/>
      <c r="E136" s="298"/>
      <c r="F136" s="39"/>
      <c r="G136" s="31"/>
      <c r="H136" s="39"/>
      <c r="I136" s="40"/>
      <c r="J136" s="40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</row>
    <row r="137" ht="30.0" customHeight="1">
      <c r="A137" s="31"/>
      <c r="B137" s="31"/>
      <c r="C137" s="31"/>
      <c r="D137" s="31"/>
      <c r="E137" s="298"/>
      <c r="F137" s="39"/>
      <c r="G137" s="31"/>
      <c r="H137" s="39"/>
      <c r="I137" s="40"/>
      <c r="J137" s="40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</row>
    <row r="138" ht="30.0" customHeight="1">
      <c r="A138" s="31"/>
      <c r="B138" s="31"/>
      <c r="C138" s="31"/>
      <c r="D138" s="31"/>
      <c r="E138" s="298"/>
      <c r="F138" s="39"/>
      <c r="G138" s="31"/>
      <c r="H138" s="39"/>
      <c r="I138" s="40"/>
      <c r="J138" s="40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</row>
    <row r="139" ht="30.0" customHeight="1">
      <c r="A139" s="31"/>
      <c r="B139" s="31"/>
      <c r="C139" s="31"/>
      <c r="D139" s="31"/>
      <c r="E139" s="298"/>
      <c r="F139" s="39"/>
      <c r="G139" s="31"/>
      <c r="H139" s="39"/>
      <c r="I139" s="40"/>
      <c r="J139" s="40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</row>
    <row r="140" ht="30.0" customHeight="1">
      <c r="A140" s="31"/>
      <c r="B140" s="31"/>
      <c r="C140" s="31"/>
      <c r="D140" s="31"/>
      <c r="E140" s="298"/>
      <c r="F140" s="39"/>
      <c r="G140" s="31"/>
      <c r="H140" s="39"/>
      <c r="I140" s="40"/>
      <c r="J140" s="40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</row>
    <row r="141" ht="30.0" customHeight="1">
      <c r="A141" s="31"/>
      <c r="B141" s="31"/>
      <c r="C141" s="31"/>
      <c r="D141" s="31"/>
      <c r="E141" s="298"/>
      <c r="F141" s="39"/>
      <c r="G141" s="31"/>
      <c r="H141" s="39"/>
      <c r="I141" s="40"/>
      <c r="J141" s="40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</row>
    <row r="142" ht="30.0" customHeight="1">
      <c r="A142" s="31"/>
      <c r="B142" s="31"/>
      <c r="C142" s="31"/>
      <c r="D142" s="31"/>
      <c r="E142" s="298"/>
      <c r="F142" s="39"/>
      <c r="G142" s="31"/>
      <c r="H142" s="39"/>
      <c r="I142" s="40"/>
      <c r="J142" s="40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</row>
    <row r="143" ht="30.0" customHeight="1">
      <c r="A143" s="31"/>
      <c r="B143" s="31"/>
      <c r="C143" s="31"/>
      <c r="D143" s="31"/>
      <c r="E143" s="298"/>
      <c r="F143" s="39"/>
      <c r="G143" s="31"/>
      <c r="H143" s="39"/>
      <c r="I143" s="40"/>
      <c r="J143" s="40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</row>
    <row r="144" ht="30.0" customHeight="1">
      <c r="A144" s="31"/>
      <c r="B144" s="31"/>
      <c r="C144" s="31"/>
      <c r="D144" s="31"/>
      <c r="E144" s="298"/>
      <c r="F144" s="39"/>
      <c r="G144" s="31"/>
      <c r="H144" s="39"/>
      <c r="I144" s="40"/>
      <c r="J144" s="40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</row>
    <row r="145" ht="30.0" customHeight="1">
      <c r="A145" s="31"/>
      <c r="B145" s="31"/>
      <c r="C145" s="31"/>
      <c r="D145" s="31"/>
      <c r="E145" s="298"/>
      <c r="F145" s="39"/>
      <c r="G145" s="31"/>
      <c r="H145" s="39"/>
      <c r="I145" s="40"/>
      <c r="J145" s="40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</row>
    <row r="146" ht="30.0" customHeight="1">
      <c r="A146" s="31"/>
      <c r="B146" s="31"/>
      <c r="C146" s="31"/>
      <c r="D146" s="31"/>
      <c r="E146" s="298"/>
      <c r="F146" s="39"/>
      <c r="G146" s="31"/>
      <c r="H146" s="39"/>
      <c r="I146" s="40"/>
      <c r="J146" s="40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</row>
    <row r="147" ht="30.0" customHeight="1">
      <c r="A147" s="31"/>
      <c r="B147" s="31"/>
      <c r="C147" s="31"/>
      <c r="D147" s="31"/>
      <c r="E147" s="298"/>
      <c r="F147" s="39"/>
      <c r="G147" s="31"/>
      <c r="H147" s="39"/>
      <c r="I147" s="40"/>
      <c r="J147" s="40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</row>
    <row r="148" ht="30.0" customHeight="1">
      <c r="A148" s="31"/>
      <c r="B148" s="31"/>
      <c r="C148" s="31"/>
      <c r="D148" s="31"/>
      <c r="E148" s="298"/>
      <c r="F148" s="39"/>
      <c r="G148" s="31"/>
      <c r="H148" s="39"/>
      <c r="I148" s="40"/>
      <c r="J148" s="40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</row>
    <row r="149" ht="30.0" customHeight="1">
      <c r="A149" s="31"/>
      <c r="B149" s="31"/>
      <c r="C149" s="31"/>
      <c r="D149" s="31"/>
      <c r="E149" s="298"/>
      <c r="F149" s="39"/>
      <c r="G149" s="31"/>
      <c r="H149" s="39"/>
      <c r="I149" s="40"/>
      <c r="J149" s="40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</row>
    <row r="150" ht="30.0" customHeight="1">
      <c r="A150" s="31"/>
      <c r="B150" s="31"/>
      <c r="C150" s="31"/>
      <c r="D150" s="31"/>
      <c r="E150" s="298"/>
      <c r="F150" s="39"/>
      <c r="G150" s="31"/>
      <c r="H150" s="39"/>
      <c r="I150" s="40"/>
      <c r="J150" s="40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</row>
    <row r="151" ht="30.0" customHeight="1">
      <c r="A151" s="31"/>
      <c r="B151" s="31"/>
      <c r="C151" s="31"/>
      <c r="D151" s="31"/>
      <c r="E151" s="298"/>
      <c r="F151" s="39"/>
      <c r="G151" s="31"/>
      <c r="H151" s="39"/>
      <c r="I151" s="40"/>
      <c r="J151" s="40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</row>
    <row r="152" ht="30.0" customHeight="1">
      <c r="A152" s="31"/>
      <c r="B152" s="31"/>
      <c r="C152" s="31"/>
      <c r="D152" s="31"/>
      <c r="E152" s="298"/>
      <c r="F152" s="39"/>
      <c r="G152" s="31"/>
      <c r="H152" s="39"/>
      <c r="I152" s="40"/>
      <c r="J152" s="40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</row>
    <row r="153" ht="30.0" customHeight="1">
      <c r="A153" s="31"/>
      <c r="B153" s="31"/>
      <c r="C153" s="31"/>
      <c r="D153" s="31"/>
      <c r="E153" s="298"/>
      <c r="F153" s="39"/>
      <c r="G153" s="31"/>
      <c r="H153" s="39"/>
      <c r="I153" s="40"/>
      <c r="J153" s="40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</row>
    <row r="154" ht="30.0" customHeight="1">
      <c r="A154" s="31"/>
      <c r="B154" s="31"/>
      <c r="C154" s="31"/>
      <c r="D154" s="31"/>
      <c r="E154" s="298"/>
      <c r="F154" s="39"/>
      <c r="G154" s="31"/>
      <c r="H154" s="39"/>
      <c r="I154" s="40"/>
      <c r="J154" s="40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</row>
    <row r="155" ht="30.0" customHeight="1">
      <c r="A155" s="31"/>
      <c r="B155" s="31"/>
      <c r="C155" s="31"/>
      <c r="D155" s="31"/>
      <c r="E155" s="298"/>
      <c r="F155" s="39"/>
      <c r="G155" s="31"/>
      <c r="H155" s="39"/>
      <c r="I155" s="40"/>
      <c r="J155" s="40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</row>
    <row r="156" ht="30.0" customHeight="1">
      <c r="A156" s="31"/>
      <c r="B156" s="31"/>
      <c r="C156" s="31"/>
      <c r="D156" s="31"/>
      <c r="E156" s="298"/>
      <c r="F156" s="39"/>
      <c r="G156" s="31"/>
      <c r="H156" s="39"/>
      <c r="I156" s="40"/>
      <c r="J156" s="40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</row>
    <row r="157" ht="30.0" customHeight="1">
      <c r="A157" s="31"/>
      <c r="B157" s="31"/>
      <c r="C157" s="31"/>
      <c r="D157" s="31"/>
      <c r="E157" s="298"/>
      <c r="F157" s="39"/>
      <c r="G157" s="31"/>
      <c r="H157" s="39"/>
      <c r="I157" s="40"/>
      <c r="J157" s="40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</row>
    <row r="158" ht="30.0" customHeight="1">
      <c r="A158" s="31"/>
      <c r="B158" s="31"/>
      <c r="C158" s="31"/>
      <c r="D158" s="31"/>
      <c r="E158" s="298"/>
      <c r="F158" s="39"/>
      <c r="G158" s="31"/>
      <c r="H158" s="39"/>
      <c r="I158" s="40"/>
      <c r="J158" s="40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</row>
    <row r="159" ht="30.0" customHeight="1">
      <c r="A159" s="31"/>
      <c r="B159" s="31"/>
      <c r="C159" s="31"/>
      <c r="D159" s="31"/>
      <c r="E159" s="298"/>
      <c r="F159" s="39"/>
      <c r="G159" s="31"/>
      <c r="H159" s="39"/>
      <c r="I159" s="40"/>
      <c r="J159" s="40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</row>
    <row r="160" ht="30.0" customHeight="1">
      <c r="A160" s="31"/>
      <c r="B160" s="31"/>
      <c r="C160" s="31"/>
      <c r="D160" s="31"/>
      <c r="E160" s="298"/>
      <c r="F160" s="39"/>
      <c r="G160" s="31"/>
      <c r="H160" s="39"/>
      <c r="I160" s="40"/>
      <c r="J160" s="40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</row>
    <row r="161" ht="30.0" customHeight="1">
      <c r="A161" s="31"/>
      <c r="B161" s="31"/>
      <c r="C161" s="31"/>
      <c r="D161" s="31"/>
      <c r="E161" s="298"/>
      <c r="F161" s="39"/>
      <c r="G161" s="31"/>
      <c r="H161" s="39"/>
      <c r="I161" s="40"/>
      <c r="J161" s="40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</row>
    <row r="162" ht="30.0" customHeight="1">
      <c r="A162" s="31"/>
      <c r="B162" s="31"/>
      <c r="C162" s="31"/>
      <c r="D162" s="31"/>
      <c r="E162" s="298"/>
      <c r="F162" s="39"/>
      <c r="G162" s="31"/>
      <c r="H162" s="39"/>
      <c r="I162" s="40"/>
      <c r="J162" s="40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</row>
    <row r="163" ht="30.0" customHeight="1">
      <c r="A163" s="31"/>
      <c r="B163" s="31"/>
      <c r="C163" s="31"/>
      <c r="D163" s="31"/>
      <c r="E163" s="298"/>
      <c r="F163" s="39"/>
      <c r="G163" s="31"/>
      <c r="H163" s="39"/>
      <c r="I163" s="40"/>
      <c r="J163" s="40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</row>
    <row r="164" ht="30.0" customHeight="1">
      <c r="A164" s="31"/>
      <c r="B164" s="31"/>
      <c r="C164" s="31"/>
      <c r="D164" s="31"/>
      <c r="E164" s="298"/>
      <c r="F164" s="39"/>
      <c r="G164" s="31"/>
      <c r="H164" s="39"/>
      <c r="I164" s="40"/>
      <c r="J164" s="40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</row>
    <row r="165" ht="30.0" customHeight="1">
      <c r="A165" s="31"/>
      <c r="B165" s="31"/>
      <c r="C165" s="31"/>
      <c r="D165" s="31"/>
      <c r="E165" s="298"/>
      <c r="F165" s="39"/>
      <c r="G165" s="31"/>
      <c r="H165" s="39"/>
      <c r="I165" s="40"/>
      <c r="J165" s="40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</row>
    <row r="166" ht="30.0" customHeight="1">
      <c r="A166" s="31"/>
      <c r="B166" s="31"/>
      <c r="C166" s="31"/>
      <c r="D166" s="31"/>
      <c r="E166" s="298"/>
      <c r="F166" s="39"/>
      <c r="G166" s="31"/>
      <c r="H166" s="39"/>
      <c r="I166" s="40"/>
      <c r="J166" s="40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</row>
    <row r="167" ht="30.0" customHeight="1">
      <c r="A167" s="31"/>
      <c r="B167" s="31"/>
      <c r="C167" s="31"/>
      <c r="D167" s="31"/>
      <c r="E167" s="298"/>
      <c r="F167" s="39"/>
      <c r="G167" s="31"/>
      <c r="H167" s="39"/>
      <c r="I167" s="40"/>
      <c r="J167" s="40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</row>
    <row r="168" ht="30.0" customHeight="1">
      <c r="A168" s="31"/>
      <c r="B168" s="31"/>
      <c r="C168" s="31"/>
      <c r="D168" s="31"/>
      <c r="E168" s="298"/>
      <c r="F168" s="39"/>
      <c r="G168" s="31"/>
      <c r="H168" s="39"/>
      <c r="I168" s="40"/>
      <c r="J168" s="40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</row>
    <row r="169" ht="30.0" customHeight="1">
      <c r="A169" s="31"/>
      <c r="B169" s="31"/>
      <c r="C169" s="31"/>
      <c r="D169" s="31"/>
      <c r="E169" s="298"/>
      <c r="F169" s="39"/>
      <c r="G169" s="31"/>
      <c r="H169" s="39"/>
      <c r="I169" s="40"/>
      <c r="J169" s="40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</row>
    <row r="170" ht="30.0" customHeight="1">
      <c r="A170" s="31"/>
      <c r="B170" s="31"/>
      <c r="C170" s="31"/>
      <c r="D170" s="31"/>
      <c r="E170" s="298"/>
      <c r="F170" s="39"/>
      <c r="G170" s="31"/>
      <c r="H170" s="39"/>
      <c r="I170" s="40"/>
      <c r="J170" s="40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</row>
    <row r="171" ht="30.0" customHeight="1">
      <c r="A171" s="31"/>
      <c r="B171" s="31"/>
      <c r="C171" s="31"/>
      <c r="D171" s="31"/>
      <c r="E171" s="298"/>
      <c r="F171" s="39"/>
      <c r="G171" s="31"/>
      <c r="H171" s="39"/>
      <c r="I171" s="40"/>
      <c r="J171" s="40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</row>
    <row r="172" ht="30.0" customHeight="1">
      <c r="A172" s="31"/>
      <c r="B172" s="31"/>
      <c r="C172" s="31"/>
      <c r="D172" s="31"/>
      <c r="E172" s="298"/>
      <c r="F172" s="39"/>
      <c r="G172" s="31"/>
      <c r="H172" s="39"/>
      <c r="I172" s="40"/>
      <c r="J172" s="40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</row>
    <row r="173" ht="30.0" customHeight="1">
      <c r="A173" s="31"/>
      <c r="B173" s="31"/>
      <c r="C173" s="31"/>
      <c r="D173" s="31"/>
      <c r="E173" s="298"/>
      <c r="F173" s="39"/>
      <c r="G173" s="31"/>
      <c r="H173" s="39"/>
      <c r="I173" s="40"/>
      <c r="J173" s="40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</row>
    <row r="174" ht="30.0" customHeight="1">
      <c r="A174" s="31"/>
      <c r="B174" s="31"/>
      <c r="C174" s="31"/>
      <c r="D174" s="31"/>
      <c r="E174" s="298"/>
      <c r="F174" s="39"/>
      <c r="G174" s="31"/>
      <c r="H174" s="39"/>
      <c r="I174" s="40"/>
      <c r="J174" s="40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</row>
    <row r="175" ht="30.0" customHeight="1">
      <c r="A175" s="31"/>
      <c r="B175" s="31"/>
      <c r="C175" s="31"/>
      <c r="D175" s="31"/>
      <c r="E175" s="298"/>
      <c r="F175" s="39"/>
      <c r="G175" s="31"/>
      <c r="H175" s="39"/>
      <c r="I175" s="40"/>
      <c r="J175" s="40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</row>
    <row r="176" ht="30.0" customHeight="1">
      <c r="A176" s="31"/>
      <c r="B176" s="31"/>
      <c r="C176" s="31"/>
      <c r="D176" s="31"/>
      <c r="E176" s="298"/>
      <c r="F176" s="39"/>
      <c r="G176" s="31"/>
      <c r="H176" s="39"/>
      <c r="I176" s="40"/>
      <c r="J176" s="40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</row>
    <row r="177" ht="30.0" customHeight="1">
      <c r="A177" s="31"/>
      <c r="B177" s="31"/>
      <c r="C177" s="31"/>
      <c r="D177" s="31"/>
      <c r="E177" s="298"/>
      <c r="F177" s="39"/>
      <c r="G177" s="31"/>
      <c r="H177" s="39"/>
      <c r="I177" s="40"/>
      <c r="J177" s="40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</row>
    <row r="178" ht="30.0" customHeight="1">
      <c r="A178" s="31"/>
      <c r="B178" s="31"/>
      <c r="C178" s="31"/>
      <c r="D178" s="31"/>
      <c r="E178" s="298"/>
      <c r="F178" s="39"/>
      <c r="G178" s="31"/>
      <c r="H178" s="39"/>
      <c r="I178" s="40"/>
      <c r="J178" s="40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</row>
    <row r="179" ht="30.0" customHeight="1">
      <c r="A179" s="31"/>
      <c r="B179" s="31"/>
      <c r="C179" s="31"/>
      <c r="D179" s="31"/>
      <c r="E179" s="298"/>
      <c r="F179" s="39"/>
      <c r="G179" s="31"/>
      <c r="H179" s="39"/>
      <c r="I179" s="40"/>
      <c r="J179" s="40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</row>
    <row r="180" ht="30.0" customHeight="1">
      <c r="A180" s="31"/>
      <c r="B180" s="31"/>
      <c r="C180" s="31"/>
      <c r="D180" s="31"/>
      <c r="E180" s="298"/>
      <c r="F180" s="39"/>
      <c r="G180" s="31"/>
      <c r="H180" s="39"/>
      <c r="I180" s="40"/>
      <c r="J180" s="40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</row>
    <row r="181" ht="30.0" customHeight="1">
      <c r="A181" s="31"/>
      <c r="B181" s="31"/>
      <c r="C181" s="31"/>
      <c r="D181" s="31"/>
      <c r="E181" s="298"/>
      <c r="F181" s="39"/>
      <c r="G181" s="31"/>
      <c r="H181" s="39"/>
      <c r="I181" s="40"/>
      <c r="J181" s="40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</row>
    <row r="182" ht="30.0" customHeight="1">
      <c r="A182" s="31"/>
      <c r="B182" s="31"/>
      <c r="C182" s="31"/>
      <c r="D182" s="31"/>
      <c r="E182" s="298"/>
      <c r="F182" s="39"/>
      <c r="G182" s="31"/>
      <c r="H182" s="39"/>
      <c r="I182" s="40"/>
      <c r="J182" s="40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</row>
    <row r="183" ht="30.0" customHeight="1">
      <c r="A183" s="31"/>
      <c r="B183" s="31"/>
      <c r="C183" s="31"/>
      <c r="D183" s="31"/>
      <c r="E183" s="298"/>
      <c r="F183" s="39"/>
      <c r="G183" s="31"/>
      <c r="H183" s="39"/>
      <c r="I183" s="40"/>
      <c r="J183" s="40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</row>
    <row r="184" ht="30.0" customHeight="1">
      <c r="A184" s="31"/>
      <c r="B184" s="31"/>
      <c r="C184" s="31"/>
      <c r="D184" s="31"/>
      <c r="E184" s="298"/>
      <c r="F184" s="39"/>
      <c r="G184" s="31"/>
      <c r="H184" s="39"/>
      <c r="I184" s="40"/>
      <c r="J184" s="40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</row>
    <row r="185" ht="30.0" customHeight="1">
      <c r="A185" s="31"/>
      <c r="B185" s="31"/>
      <c r="C185" s="31"/>
      <c r="D185" s="31"/>
      <c r="E185" s="298"/>
      <c r="F185" s="39"/>
      <c r="G185" s="31"/>
      <c r="H185" s="39"/>
      <c r="I185" s="40"/>
      <c r="J185" s="40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</row>
    <row r="186" ht="30.0" customHeight="1">
      <c r="A186" s="31"/>
      <c r="B186" s="31"/>
      <c r="C186" s="31"/>
      <c r="D186" s="31"/>
      <c r="E186" s="298"/>
      <c r="F186" s="39"/>
      <c r="G186" s="31"/>
      <c r="H186" s="39"/>
      <c r="I186" s="40"/>
      <c r="J186" s="40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</row>
    <row r="187" ht="30.0" customHeight="1">
      <c r="A187" s="31"/>
      <c r="B187" s="31"/>
      <c r="C187" s="31"/>
      <c r="D187" s="31"/>
      <c r="E187" s="298"/>
      <c r="F187" s="39"/>
      <c r="G187" s="31"/>
      <c r="H187" s="39"/>
      <c r="I187" s="40"/>
      <c r="J187" s="40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</row>
    <row r="188" ht="30.0" customHeight="1">
      <c r="A188" s="31"/>
      <c r="B188" s="31"/>
      <c r="C188" s="31"/>
      <c r="D188" s="31"/>
      <c r="E188" s="298"/>
      <c r="F188" s="39"/>
      <c r="G188" s="31"/>
      <c r="H188" s="39"/>
      <c r="I188" s="40"/>
      <c r="J188" s="40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</row>
    <row r="189" ht="30.0" customHeight="1">
      <c r="A189" s="31"/>
      <c r="B189" s="31"/>
      <c r="C189" s="31"/>
      <c r="D189" s="31"/>
      <c r="E189" s="298"/>
      <c r="F189" s="39"/>
      <c r="G189" s="31"/>
      <c r="H189" s="39"/>
      <c r="I189" s="40"/>
      <c r="J189" s="40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</row>
    <row r="190" ht="30.0" customHeight="1">
      <c r="A190" s="31"/>
      <c r="B190" s="31"/>
      <c r="C190" s="31"/>
      <c r="D190" s="31"/>
      <c r="E190" s="298"/>
      <c r="F190" s="39"/>
      <c r="G190" s="31"/>
      <c r="H190" s="39"/>
      <c r="I190" s="40"/>
      <c r="J190" s="40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</row>
    <row r="191" ht="30.0" customHeight="1">
      <c r="A191" s="31"/>
      <c r="B191" s="31"/>
      <c r="C191" s="31"/>
      <c r="D191" s="31"/>
      <c r="E191" s="298"/>
      <c r="F191" s="39"/>
      <c r="G191" s="31"/>
      <c r="H191" s="39"/>
      <c r="I191" s="40"/>
      <c r="J191" s="40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</row>
    <row r="192" ht="30.0" customHeight="1">
      <c r="A192" s="31"/>
      <c r="B192" s="31"/>
      <c r="C192" s="31"/>
      <c r="D192" s="31"/>
      <c r="E192" s="298"/>
      <c r="F192" s="39"/>
      <c r="G192" s="31"/>
      <c r="H192" s="39"/>
      <c r="I192" s="40"/>
      <c r="J192" s="40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</row>
    <row r="193" ht="30.0" customHeight="1">
      <c r="A193" s="31"/>
      <c r="B193" s="31"/>
      <c r="C193" s="31"/>
      <c r="D193" s="31"/>
      <c r="E193" s="298"/>
      <c r="F193" s="39"/>
      <c r="G193" s="31"/>
      <c r="H193" s="39"/>
      <c r="I193" s="40"/>
      <c r="J193" s="40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</row>
    <row r="194" ht="30.0" customHeight="1">
      <c r="A194" s="31"/>
      <c r="B194" s="31"/>
      <c r="C194" s="31"/>
      <c r="D194" s="31"/>
      <c r="E194" s="298"/>
      <c r="F194" s="39"/>
      <c r="G194" s="31"/>
      <c r="H194" s="39"/>
      <c r="I194" s="40"/>
      <c r="J194" s="40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</row>
    <row r="195" ht="30.0" customHeight="1">
      <c r="A195" s="31"/>
      <c r="B195" s="31"/>
      <c r="C195" s="31"/>
      <c r="D195" s="31"/>
      <c r="E195" s="298"/>
      <c r="F195" s="39"/>
      <c r="G195" s="31"/>
      <c r="H195" s="39"/>
      <c r="I195" s="40"/>
      <c r="J195" s="40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</row>
    <row r="196" ht="30.0" customHeight="1">
      <c r="A196" s="31"/>
      <c r="B196" s="31"/>
      <c r="C196" s="31"/>
      <c r="D196" s="31"/>
      <c r="E196" s="298"/>
      <c r="F196" s="39"/>
      <c r="G196" s="31"/>
      <c r="H196" s="39"/>
      <c r="I196" s="40"/>
      <c r="J196" s="40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</row>
    <row r="197" ht="30.0" customHeight="1">
      <c r="A197" s="31"/>
      <c r="B197" s="31"/>
      <c r="C197" s="31"/>
      <c r="D197" s="31"/>
      <c r="E197" s="298"/>
      <c r="F197" s="39"/>
      <c r="G197" s="31"/>
      <c r="H197" s="39"/>
      <c r="I197" s="40"/>
      <c r="J197" s="40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</row>
    <row r="198" ht="30.0" customHeight="1">
      <c r="A198" s="31"/>
      <c r="B198" s="31"/>
      <c r="C198" s="31"/>
      <c r="D198" s="31"/>
      <c r="E198" s="298"/>
      <c r="F198" s="39"/>
      <c r="G198" s="31"/>
      <c r="H198" s="39"/>
      <c r="I198" s="40"/>
      <c r="J198" s="40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</row>
    <row r="199" ht="30.0" customHeight="1">
      <c r="A199" s="31"/>
      <c r="B199" s="31"/>
      <c r="C199" s="31"/>
      <c r="D199" s="31"/>
      <c r="E199" s="298"/>
      <c r="F199" s="39"/>
      <c r="G199" s="31"/>
      <c r="H199" s="39"/>
      <c r="I199" s="40"/>
      <c r="J199" s="40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</row>
    <row r="200" ht="30.0" customHeight="1">
      <c r="A200" s="31"/>
      <c r="B200" s="31"/>
      <c r="C200" s="31"/>
      <c r="D200" s="31"/>
      <c r="E200" s="298"/>
      <c r="F200" s="39"/>
      <c r="G200" s="31"/>
      <c r="H200" s="39"/>
      <c r="I200" s="40"/>
      <c r="J200" s="40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</row>
    <row r="201" ht="30.0" customHeight="1">
      <c r="A201" s="31"/>
      <c r="B201" s="31"/>
      <c r="C201" s="31"/>
      <c r="D201" s="31"/>
      <c r="E201" s="298"/>
      <c r="F201" s="39"/>
      <c r="G201" s="31"/>
      <c r="H201" s="39"/>
      <c r="I201" s="40"/>
      <c r="J201" s="40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</row>
    <row r="202" ht="30.0" customHeight="1">
      <c r="A202" s="31"/>
      <c r="B202" s="31"/>
      <c r="C202" s="31"/>
      <c r="D202" s="31"/>
      <c r="E202" s="298"/>
      <c r="F202" s="39"/>
      <c r="G202" s="31"/>
      <c r="H202" s="39"/>
      <c r="I202" s="40"/>
      <c r="J202" s="40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</row>
    <row r="203" ht="30.0" customHeight="1">
      <c r="A203" s="31"/>
      <c r="B203" s="31"/>
      <c r="C203" s="31"/>
      <c r="D203" s="31"/>
      <c r="E203" s="298"/>
      <c r="F203" s="39"/>
      <c r="G203" s="31"/>
      <c r="H203" s="39"/>
      <c r="I203" s="40"/>
      <c r="J203" s="40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</row>
    <row r="204" ht="30.0" customHeight="1">
      <c r="A204" s="31"/>
      <c r="B204" s="31"/>
      <c r="C204" s="31"/>
      <c r="D204" s="31"/>
      <c r="E204" s="298"/>
      <c r="F204" s="39"/>
      <c r="G204" s="31"/>
      <c r="H204" s="39"/>
      <c r="I204" s="40"/>
      <c r="J204" s="40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</row>
    <row r="205" ht="30.0" customHeight="1">
      <c r="A205" s="31"/>
      <c r="B205" s="31"/>
      <c r="C205" s="31"/>
      <c r="D205" s="31"/>
      <c r="E205" s="298"/>
      <c r="F205" s="39"/>
      <c r="G205" s="31"/>
      <c r="H205" s="39"/>
      <c r="I205" s="40"/>
      <c r="J205" s="40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</row>
    <row r="206" ht="30.0" customHeight="1">
      <c r="A206" s="31"/>
      <c r="B206" s="31"/>
      <c r="C206" s="31"/>
      <c r="D206" s="31"/>
      <c r="E206" s="298"/>
      <c r="F206" s="39"/>
      <c r="G206" s="31"/>
      <c r="H206" s="39"/>
      <c r="I206" s="40"/>
      <c r="J206" s="40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</row>
    <row r="207" ht="30.0" customHeight="1">
      <c r="A207" s="31"/>
      <c r="B207" s="31"/>
      <c r="C207" s="31"/>
      <c r="D207" s="31"/>
      <c r="E207" s="298"/>
      <c r="F207" s="39"/>
      <c r="G207" s="31"/>
      <c r="H207" s="39"/>
      <c r="I207" s="40"/>
      <c r="J207" s="40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</row>
    <row r="208" ht="30.0" customHeight="1">
      <c r="A208" s="31"/>
      <c r="B208" s="31"/>
      <c r="C208" s="31"/>
      <c r="D208" s="31"/>
      <c r="E208" s="298"/>
      <c r="F208" s="39"/>
      <c r="G208" s="31"/>
      <c r="H208" s="39"/>
      <c r="I208" s="40"/>
      <c r="J208" s="40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</row>
    <row r="209" ht="30.0" customHeight="1">
      <c r="A209" s="31"/>
      <c r="B209" s="31"/>
      <c r="C209" s="31"/>
      <c r="D209" s="31"/>
      <c r="E209" s="298"/>
      <c r="F209" s="39"/>
      <c r="G209" s="31"/>
      <c r="H209" s="39"/>
      <c r="I209" s="40"/>
      <c r="J209" s="40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</row>
    <row r="210" ht="30.0" customHeight="1">
      <c r="A210" s="31"/>
      <c r="B210" s="31"/>
      <c r="C210" s="31"/>
      <c r="D210" s="31"/>
      <c r="E210" s="298"/>
      <c r="F210" s="39"/>
      <c r="G210" s="31"/>
      <c r="H210" s="39"/>
      <c r="I210" s="40"/>
      <c r="J210" s="40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</row>
    <row r="211" ht="30.0" customHeight="1">
      <c r="A211" s="31"/>
      <c r="B211" s="31"/>
      <c r="C211" s="31"/>
      <c r="D211" s="31"/>
      <c r="E211" s="298"/>
      <c r="F211" s="39"/>
      <c r="G211" s="31"/>
      <c r="H211" s="39"/>
      <c r="I211" s="40"/>
      <c r="J211" s="40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</row>
    <row r="212" ht="30.0" customHeight="1">
      <c r="A212" s="31"/>
      <c r="B212" s="31"/>
      <c r="C212" s="31"/>
      <c r="D212" s="31"/>
      <c r="E212" s="298"/>
      <c r="F212" s="39"/>
      <c r="G212" s="31"/>
      <c r="H212" s="39"/>
      <c r="I212" s="40"/>
      <c r="J212" s="40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</row>
    <row r="213" ht="30.0" customHeight="1">
      <c r="A213" s="31"/>
      <c r="B213" s="31"/>
      <c r="C213" s="31"/>
      <c r="D213" s="31"/>
      <c r="E213" s="298"/>
      <c r="F213" s="39"/>
      <c r="G213" s="31"/>
      <c r="H213" s="39"/>
      <c r="I213" s="40"/>
      <c r="J213" s="40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</row>
    <row r="214" ht="30.0" customHeight="1">
      <c r="A214" s="31"/>
      <c r="B214" s="31"/>
      <c r="C214" s="31"/>
      <c r="D214" s="31"/>
      <c r="E214" s="298"/>
      <c r="F214" s="39"/>
      <c r="G214" s="31"/>
      <c r="H214" s="39"/>
      <c r="I214" s="40"/>
      <c r="J214" s="40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</row>
    <row r="215" ht="30.0" customHeight="1">
      <c r="A215" s="31"/>
      <c r="B215" s="31"/>
      <c r="C215" s="31"/>
      <c r="D215" s="31"/>
      <c r="E215" s="298"/>
      <c r="F215" s="39"/>
      <c r="G215" s="31"/>
      <c r="H215" s="39"/>
      <c r="I215" s="40"/>
      <c r="J215" s="40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</row>
    <row r="216" ht="30.0" customHeight="1">
      <c r="A216" s="31"/>
      <c r="B216" s="31"/>
      <c r="C216" s="31"/>
      <c r="D216" s="31"/>
      <c r="E216" s="298"/>
      <c r="F216" s="39"/>
      <c r="G216" s="31"/>
      <c r="H216" s="39"/>
      <c r="I216" s="40"/>
      <c r="J216" s="40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</row>
    <row r="217" ht="30.0" customHeight="1">
      <c r="A217" s="31"/>
      <c r="B217" s="31"/>
      <c r="C217" s="31"/>
      <c r="D217" s="31"/>
      <c r="E217" s="298"/>
      <c r="F217" s="39"/>
      <c r="G217" s="31"/>
      <c r="H217" s="39"/>
      <c r="I217" s="40"/>
      <c r="J217" s="40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</row>
    <row r="218" ht="30.0" customHeight="1">
      <c r="A218" s="31"/>
      <c r="B218" s="31"/>
      <c r="C218" s="31"/>
      <c r="D218" s="31"/>
      <c r="E218" s="298"/>
      <c r="F218" s="39"/>
      <c r="G218" s="31"/>
      <c r="H218" s="39"/>
      <c r="I218" s="40"/>
      <c r="J218" s="40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</row>
    <row r="219" ht="30.0" customHeight="1">
      <c r="A219" s="31"/>
      <c r="B219" s="31"/>
      <c r="C219" s="31"/>
      <c r="D219" s="31"/>
      <c r="E219" s="298"/>
      <c r="F219" s="39"/>
      <c r="G219" s="31"/>
      <c r="H219" s="39"/>
      <c r="I219" s="40"/>
      <c r="J219" s="40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</row>
    <row r="220" ht="30.0" customHeight="1">
      <c r="A220" s="31"/>
      <c r="B220" s="31"/>
      <c r="C220" s="31"/>
      <c r="D220" s="31"/>
      <c r="E220" s="298"/>
      <c r="F220" s="39"/>
      <c r="G220" s="31"/>
      <c r="H220" s="39"/>
      <c r="I220" s="40"/>
      <c r="J220" s="40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</row>
    <row r="221" ht="30.0" customHeight="1">
      <c r="A221" s="31"/>
      <c r="B221" s="31"/>
      <c r="C221" s="31"/>
      <c r="D221" s="31"/>
      <c r="E221" s="298"/>
      <c r="F221" s="39"/>
      <c r="G221" s="31"/>
      <c r="H221" s="39"/>
      <c r="I221" s="40"/>
      <c r="J221" s="40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</row>
    <row r="222" ht="30.0" customHeight="1">
      <c r="A222" s="31"/>
      <c r="B222" s="31"/>
      <c r="C222" s="31"/>
      <c r="D222" s="31"/>
      <c r="E222" s="298"/>
      <c r="F222" s="39"/>
      <c r="G222" s="31"/>
      <c r="H222" s="39"/>
      <c r="I222" s="40"/>
      <c r="J222" s="40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</row>
    <row r="223" ht="30.0" customHeight="1">
      <c r="A223" s="31"/>
      <c r="B223" s="31"/>
      <c r="C223" s="31"/>
      <c r="D223" s="31"/>
      <c r="E223" s="298"/>
      <c r="F223" s="39"/>
      <c r="G223" s="31"/>
      <c r="H223" s="39"/>
      <c r="I223" s="40"/>
      <c r="J223" s="40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</row>
    <row r="224" ht="30.0" customHeight="1">
      <c r="A224" s="31"/>
      <c r="B224" s="31"/>
      <c r="C224" s="31"/>
      <c r="D224" s="31"/>
      <c r="E224" s="298"/>
      <c r="F224" s="39"/>
      <c r="G224" s="31"/>
      <c r="H224" s="39"/>
      <c r="I224" s="40"/>
      <c r="J224" s="40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</row>
    <row r="225" ht="30.0" customHeight="1">
      <c r="A225" s="31"/>
      <c r="B225" s="31"/>
      <c r="C225" s="31"/>
      <c r="D225" s="31"/>
      <c r="E225" s="298"/>
      <c r="F225" s="39"/>
      <c r="G225" s="31"/>
      <c r="H225" s="39"/>
      <c r="I225" s="40"/>
      <c r="J225" s="40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</row>
    <row r="226" ht="30.0" customHeight="1">
      <c r="A226" s="31"/>
      <c r="B226" s="31"/>
      <c r="C226" s="31"/>
      <c r="D226" s="31"/>
      <c r="E226" s="298"/>
      <c r="F226" s="39"/>
      <c r="G226" s="31"/>
      <c r="H226" s="39"/>
      <c r="I226" s="40"/>
      <c r="J226" s="40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</row>
    <row r="227" ht="30.0" customHeight="1">
      <c r="A227" s="31"/>
      <c r="B227" s="31"/>
      <c r="C227" s="31"/>
      <c r="D227" s="31"/>
      <c r="E227" s="298"/>
      <c r="F227" s="39"/>
      <c r="G227" s="31"/>
      <c r="H227" s="39"/>
      <c r="I227" s="40"/>
      <c r="J227" s="40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</row>
    <row r="228" ht="30.0" customHeight="1">
      <c r="A228" s="31"/>
      <c r="B228" s="31"/>
      <c r="C228" s="31"/>
      <c r="D228" s="31"/>
      <c r="E228" s="298"/>
      <c r="F228" s="39"/>
      <c r="G228" s="31"/>
      <c r="H228" s="39"/>
      <c r="I228" s="40"/>
      <c r="J228" s="40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</row>
    <row r="229" ht="30.0" customHeight="1">
      <c r="A229" s="31"/>
      <c r="B229" s="31"/>
      <c r="C229" s="31"/>
      <c r="D229" s="31"/>
      <c r="E229" s="298"/>
      <c r="F229" s="39"/>
      <c r="G229" s="31"/>
      <c r="H229" s="39"/>
      <c r="I229" s="40"/>
      <c r="J229" s="40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</row>
    <row r="230" ht="30.0" customHeight="1">
      <c r="A230" s="31"/>
      <c r="B230" s="31"/>
      <c r="C230" s="31"/>
      <c r="D230" s="31"/>
      <c r="E230" s="298"/>
      <c r="F230" s="39"/>
      <c r="G230" s="31"/>
      <c r="H230" s="39"/>
      <c r="I230" s="40"/>
      <c r="J230" s="40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</row>
    <row r="231" ht="30.0" customHeight="1">
      <c r="A231" s="31"/>
      <c r="B231" s="31"/>
      <c r="C231" s="31"/>
      <c r="D231" s="31"/>
      <c r="E231" s="298"/>
      <c r="F231" s="39"/>
      <c r="G231" s="31"/>
      <c r="H231" s="39"/>
      <c r="I231" s="40"/>
      <c r="J231" s="40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</row>
    <row r="232" ht="30.0" customHeight="1">
      <c r="A232" s="31"/>
      <c r="B232" s="31"/>
      <c r="C232" s="31"/>
      <c r="D232" s="31"/>
      <c r="E232" s="298"/>
      <c r="F232" s="39"/>
      <c r="G232" s="31"/>
      <c r="H232" s="39"/>
      <c r="I232" s="40"/>
      <c r="J232" s="40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</row>
    <row r="233" ht="30.0" customHeight="1">
      <c r="A233" s="31"/>
      <c r="B233" s="31"/>
      <c r="C233" s="31"/>
      <c r="D233" s="31"/>
      <c r="E233" s="298"/>
      <c r="F233" s="39"/>
      <c r="G233" s="31"/>
      <c r="H233" s="39"/>
      <c r="I233" s="40"/>
      <c r="J233" s="40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</row>
    <row r="234" ht="30.0" customHeight="1">
      <c r="A234" s="31"/>
      <c r="B234" s="31"/>
      <c r="C234" s="31"/>
      <c r="D234" s="31"/>
      <c r="E234" s="298"/>
      <c r="F234" s="39"/>
      <c r="G234" s="31"/>
      <c r="H234" s="39"/>
      <c r="I234" s="40"/>
      <c r="J234" s="40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</row>
    <row r="235" ht="30.0" customHeight="1">
      <c r="A235" s="31"/>
      <c r="B235" s="31"/>
      <c r="C235" s="31"/>
      <c r="D235" s="31"/>
      <c r="E235" s="298"/>
      <c r="F235" s="39"/>
      <c r="G235" s="31"/>
      <c r="H235" s="39"/>
      <c r="I235" s="40"/>
      <c r="J235" s="40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</row>
    <row r="236" ht="30.0" customHeight="1">
      <c r="A236" s="31"/>
      <c r="B236" s="31"/>
      <c r="C236" s="31"/>
      <c r="D236" s="31"/>
      <c r="E236" s="298"/>
      <c r="F236" s="39"/>
      <c r="G236" s="31"/>
      <c r="H236" s="39"/>
      <c r="I236" s="40"/>
      <c r="J236" s="40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</row>
    <row r="237" ht="30.0" customHeight="1">
      <c r="A237" s="31"/>
      <c r="B237" s="31"/>
      <c r="C237" s="31"/>
      <c r="D237" s="31"/>
      <c r="E237" s="298"/>
      <c r="F237" s="39"/>
      <c r="G237" s="31"/>
      <c r="H237" s="39"/>
      <c r="I237" s="40"/>
      <c r="J237" s="40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</row>
    <row r="238" ht="30.0" customHeight="1">
      <c r="A238" s="31"/>
      <c r="B238" s="31"/>
      <c r="C238" s="31"/>
      <c r="D238" s="31"/>
      <c r="E238" s="298"/>
      <c r="F238" s="39"/>
      <c r="G238" s="31"/>
      <c r="H238" s="39"/>
      <c r="I238" s="40"/>
      <c r="J238" s="40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</row>
    <row r="239" ht="30.0" customHeight="1">
      <c r="A239" s="31"/>
      <c r="B239" s="31"/>
      <c r="C239" s="31"/>
      <c r="D239" s="31"/>
      <c r="E239" s="298"/>
      <c r="F239" s="39"/>
      <c r="G239" s="31"/>
      <c r="H239" s="39"/>
      <c r="I239" s="40"/>
      <c r="J239" s="40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</row>
    <row r="240" ht="30.0" customHeight="1">
      <c r="A240" s="31"/>
      <c r="B240" s="31"/>
      <c r="C240" s="31"/>
      <c r="D240" s="31"/>
      <c r="E240" s="298"/>
      <c r="F240" s="39"/>
      <c r="G240" s="31"/>
      <c r="H240" s="39"/>
      <c r="I240" s="40"/>
      <c r="J240" s="40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</row>
    <row r="241" ht="30.0" customHeight="1">
      <c r="A241" s="31"/>
      <c r="B241" s="31"/>
      <c r="C241" s="31"/>
      <c r="D241" s="31"/>
      <c r="E241" s="298"/>
      <c r="F241" s="39"/>
      <c r="G241" s="31"/>
      <c r="H241" s="39"/>
      <c r="I241" s="40"/>
      <c r="J241" s="40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</row>
    <row r="242" ht="30.0" customHeight="1">
      <c r="A242" s="31"/>
      <c r="B242" s="31"/>
      <c r="C242" s="31"/>
      <c r="D242" s="31"/>
      <c r="E242" s="298"/>
      <c r="F242" s="39"/>
      <c r="G242" s="31"/>
      <c r="H242" s="39"/>
      <c r="I242" s="40"/>
      <c r="J242" s="40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</row>
    <row r="243" ht="30.0" customHeight="1">
      <c r="A243" s="31"/>
      <c r="B243" s="31"/>
      <c r="C243" s="31"/>
      <c r="D243" s="31"/>
      <c r="E243" s="298"/>
      <c r="F243" s="39"/>
      <c r="G243" s="31"/>
      <c r="H243" s="39"/>
      <c r="I243" s="40"/>
      <c r="J243" s="40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</row>
    <row r="244" ht="30.0" customHeight="1">
      <c r="A244" s="31"/>
      <c r="B244" s="31"/>
      <c r="C244" s="31"/>
      <c r="D244" s="31"/>
      <c r="E244" s="298"/>
      <c r="F244" s="39"/>
      <c r="G244" s="31"/>
      <c r="H244" s="39"/>
      <c r="I244" s="40"/>
      <c r="J244" s="40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</row>
    <row r="245" ht="30.0" customHeight="1">
      <c r="A245" s="31"/>
      <c r="B245" s="31"/>
      <c r="C245" s="31"/>
      <c r="D245" s="31"/>
      <c r="E245" s="298"/>
      <c r="F245" s="39"/>
      <c r="G245" s="31"/>
      <c r="H245" s="39"/>
      <c r="I245" s="40"/>
      <c r="J245" s="40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</row>
    <row r="246" ht="30.0" customHeight="1">
      <c r="A246" s="31"/>
      <c r="B246" s="31"/>
      <c r="C246" s="31"/>
      <c r="D246" s="31"/>
      <c r="E246" s="298"/>
      <c r="F246" s="39"/>
      <c r="G246" s="31"/>
      <c r="H246" s="39"/>
      <c r="I246" s="40"/>
      <c r="J246" s="40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</row>
    <row r="247" ht="30.0" customHeight="1">
      <c r="A247" s="31"/>
      <c r="B247" s="31"/>
      <c r="C247" s="31"/>
      <c r="D247" s="31"/>
      <c r="E247" s="298"/>
      <c r="F247" s="39"/>
      <c r="G247" s="31"/>
      <c r="H247" s="39"/>
      <c r="I247" s="40"/>
      <c r="J247" s="40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</row>
    <row r="248" ht="30.0" customHeight="1">
      <c r="A248" s="31"/>
      <c r="B248" s="31"/>
      <c r="C248" s="31"/>
      <c r="D248" s="31"/>
      <c r="E248" s="298"/>
      <c r="F248" s="39"/>
      <c r="G248" s="31"/>
      <c r="H248" s="39"/>
      <c r="I248" s="40"/>
      <c r="J248" s="40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</row>
    <row r="249" ht="30.0" customHeight="1">
      <c r="A249" s="31"/>
      <c r="B249" s="31"/>
      <c r="C249" s="31"/>
      <c r="D249" s="31"/>
      <c r="E249" s="298"/>
      <c r="F249" s="39"/>
      <c r="G249" s="31"/>
      <c r="H249" s="39"/>
      <c r="I249" s="40"/>
      <c r="J249" s="40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</row>
    <row r="250" ht="30.0" customHeight="1">
      <c r="A250" s="31"/>
      <c r="B250" s="31"/>
      <c r="C250" s="31"/>
      <c r="D250" s="31"/>
      <c r="E250" s="298"/>
      <c r="F250" s="39"/>
      <c r="G250" s="31"/>
      <c r="H250" s="39"/>
      <c r="I250" s="40"/>
      <c r="J250" s="40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</row>
    <row r="251" ht="30.0" customHeight="1">
      <c r="A251" s="31"/>
      <c r="B251" s="31"/>
      <c r="C251" s="31"/>
      <c r="D251" s="31"/>
      <c r="E251" s="298"/>
      <c r="F251" s="39"/>
      <c r="G251" s="31"/>
      <c r="H251" s="39"/>
      <c r="I251" s="40"/>
      <c r="J251" s="40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</row>
    <row r="252" ht="30.0" customHeight="1">
      <c r="A252" s="31"/>
      <c r="B252" s="31"/>
      <c r="C252" s="31"/>
      <c r="D252" s="31"/>
      <c r="E252" s="298"/>
      <c r="F252" s="39"/>
      <c r="G252" s="31"/>
      <c r="H252" s="39"/>
      <c r="I252" s="40"/>
      <c r="J252" s="40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</row>
    <row r="253" ht="30.0" customHeight="1">
      <c r="A253" s="31"/>
      <c r="B253" s="31"/>
      <c r="C253" s="31"/>
      <c r="D253" s="31"/>
      <c r="E253" s="298"/>
      <c r="F253" s="39"/>
      <c r="G253" s="31"/>
      <c r="H253" s="39"/>
      <c r="I253" s="40"/>
      <c r="J253" s="40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</row>
    <row r="254" ht="30.0" customHeight="1">
      <c r="A254" s="31"/>
      <c r="B254" s="31"/>
      <c r="C254" s="31"/>
      <c r="D254" s="31"/>
      <c r="E254" s="298"/>
      <c r="F254" s="39"/>
      <c r="G254" s="31"/>
      <c r="H254" s="39"/>
      <c r="I254" s="40"/>
      <c r="J254" s="40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</row>
    <row r="255" ht="30.0" customHeight="1">
      <c r="A255" s="31"/>
      <c r="B255" s="31"/>
      <c r="C255" s="31"/>
      <c r="D255" s="31"/>
      <c r="E255" s="298"/>
      <c r="F255" s="39"/>
      <c r="G255" s="31"/>
      <c r="H255" s="39"/>
      <c r="I255" s="40"/>
      <c r="J255" s="40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</row>
    <row r="256" ht="30.0" customHeight="1">
      <c r="A256" s="31"/>
      <c r="B256" s="31"/>
      <c r="C256" s="31"/>
      <c r="D256" s="31"/>
      <c r="E256" s="298"/>
      <c r="F256" s="39"/>
      <c r="G256" s="31"/>
      <c r="H256" s="39"/>
      <c r="I256" s="40"/>
      <c r="J256" s="40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</row>
    <row r="257" ht="30.0" customHeight="1">
      <c r="A257" s="31"/>
      <c r="B257" s="31"/>
      <c r="C257" s="31"/>
      <c r="D257" s="31"/>
      <c r="E257" s="298"/>
      <c r="F257" s="39"/>
      <c r="G257" s="31"/>
      <c r="H257" s="39"/>
      <c r="I257" s="40"/>
      <c r="J257" s="40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</row>
    <row r="258" ht="30.0" customHeight="1">
      <c r="A258" s="31"/>
      <c r="B258" s="31"/>
      <c r="C258" s="31"/>
      <c r="D258" s="31"/>
      <c r="E258" s="298"/>
      <c r="F258" s="39"/>
      <c r="G258" s="31"/>
      <c r="H258" s="39"/>
      <c r="I258" s="40"/>
      <c r="J258" s="40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</row>
    <row r="259" ht="30.0" customHeight="1">
      <c r="A259" s="31"/>
      <c r="B259" s="31"/>
      <c r="C259" s="31"/>
      <c r="D259" s="31"/>
      <c r="E259" s="298"/>
      <c r="F259" s="39"/>
      <c r="G259" s="31"/>
      <c r="H259" s="39"/>
      <c r="I259" s="40"/>
      <c r="J259" s="40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</row>
    <row r="260" ht="30.0" customHeight="1">
      <c r="A260" s="31"/>
      <c r="B260" s="31"/>
      <c r="C260" s="31"/>
      <c r="D260" s="31"/>
      <c r="E260" s="298"/>
      <c r="F260" s="39"/>
      <c r="G260" s="31"/>
      <c r="H260" s="39"/>
      <c r="I260" s="40"/>
      <c r="J260" s="40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</row>
    <row r="261" ht="30.0" customHeight="1">
      <c r="A261" s="31"/>
      <c r="B261" s="31"/>
      <c r="C261" s="31"/>
      <c r="D261" s="31"/>
      <c r="E261" s="298"/>
      <c r="F261" s="39"/>
      <c r="G261" s="31"/>
      <c r="H261" s="39"/>
      <c r="I261" s="40"/>
      <c r="J261" s="40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</row>
    <row r="262" ht="30.0" customHeight="1">
      <c r="A262" s="31"/>
      <c r="B262" s="31"/>
      <c r="C262" s="31"/>
      <c r="D262" s="31"/>
      <c r="E262" s="298"/>
      <c r="F262" s="39"/>
      <c r="G262" s="31"/>
      <c r="H262" s="39"/>
      <c r="I262" s="40"/>
      <c r="J262" s="40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</row>
    <row r="263" ht="30.0" customHeight="1">
      <c r="A263" s="31"/>
      <c r="B263" s="31"/>
      <c r="C263" s="31"/>
      <c r="D263" s="31"/>
      <c r="E263" s="298"/>
      <c r="F263" s="39"/>
      <c r="G263" s="31"/>
      <c r="H263" s="39"/>
      <c r="I263" s="40"/>
      <c r="J263" s="40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</row>
    <row r="264" ht="30.0" customHeight="1">
      <c r="A264" s="31"/>
      <c r="B264" s="31"/>
      <c r="C264" s="31"/>
      <c r="D264" s="31"/>
      <c r="E264" s="298"/>
      <c r="F264" s="39"/>
      <c r="G264" s="31"/>
      <c r="H264" s="39"/>
      <c r="I264" s="40"/>
      <c r="J264" s="40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</row>
    <row r="265" ht="30.0" customHeight="1">
      <c r="A265" s="31"/>
      <c r="B265" s="31"/>
      <c r="C265" s="31"/>
      <c r="D265" s="31"/>
      <c r="E265" s="298"/>
      <c r="F265" s="39"/>
      <c r="G265" s="31"/>
      <c r="H265" s="39"/>
      <c r="I265" s="40"/>
      <c r="J265" s="40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</row>
    <row r="266" ht="30.0" customHeight="1">
      <c r="A266" s="31"/>
      <c r="B266" s="31"/>
      <c r="C266" s="31"/>
      <c r="D266" s="31"/>
      <c r="E266" s="298"/>
      <c r="F266" s="39"/>
      <c r="G266" s="31"/>
      <c r="H266" s="39"/>
      <c r="I266" s="40"/>
      <c r="J266" s="40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</row>
    <row r="267" ht="30.0" customHeight="1">
      <c r="A267" s="31"/>
      <c r="B267" s="31"/>
      <c r="C267" s="31"/>
      <c r="D267" s="31"/>
      <c r="E267" s="298"/>
      <c r="F267" s="39"/>
      <c r="G267" s="31"/>
      <c r="H267" s="39"/>
      <c r="I267" s="40"/>
      <c r="J267" s="40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</row>
    <row r="268" ht="30.0" customHeight="1">
      <c r="A268" s="31"/>
      <c r="B268" s="31"/>
      <c r="C268" s="31"/>
      <c r="D268" s="31"/>
      <c r="E268" s="298"/>
      <c r="F268" s="39"/>
      <c r="G268" s="31"/>
      <c r="H268" s="39"/>
      <c r="I268" s="40"/>
      <c r="J268" s="40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</row>
    <row r="269" ht="30.0" customHeight="1">
      <c r="A269" s="31"/>
      <c r="B269" s="31"/>
      <c r="C269" s="31"/>
      <c r="D269" s="31"/>
      <c r="E269" s="298"/>
      <c r="F269" s="39"/>
      <c r="G269" s="31"/>
      <c r="H269" s="39"/>
      <c r="I269" s="40"/>
      <c r="J269" s="40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</row>
    <row r="270" ht="30.0" customHeight="1">
      <c r="A270" s="31"/>
      <c r="B270" s="31"/>
      <c r="C270" s="31"/>
      <c r="D270" s="31"/>
      <c r="E270" s="298"/>
      <c r="F270" s="39"/>
      <c r="G270" s="31"/>
      <c r="H270" s="39"/>
      <c r="I270" s="40"/>
      <c r="J270" s="40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</row>
    <row r="271" ht="30.0" customHeight="1">
      <c r="A271" s="31"/>
      <c r="B271" s="31"/>
      <c r="C271" s="31"/>
      <c r="D271" s="31"/>
      <c r="E271" s="298"/>
      <c r="F271" s="39"/>
      <c r="G271" s="31"/>
      <c r="H271" s="39"/>
      <c r="I271" s="40"/>
      <c r="J271" s="40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</row>
    <row r="272" ht="30.0" customHeight="1">
      <c r="A272" s="31"/>
      <c r="B272" s="31"/>
      <c r="C272" s="31"/>
      <c r="D272" s="31"/>
      <c r="E272" s="298"/>
      <c r="F272" s="39"/>
      <c r="G272" s="31"/>
      <c r="H272" s="39"/>
      <c r="I272" s="40"/>
      <c r="J272" s="40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</row>
    <row r="273" ht="30.0" customHeight="1">
      <c r="A273" s="31"/>
      <c r="B273" s="31"/>
      <c r="C273" s="31"/>
      <c r="D273" s="31"/>
      <c r="E273" s="298"/>
      <c r="F273" s="39"/>
      <c r="G273" s="31"/>
      <c r="H273" s="39"/>
      <c r="I273" s="40"/>
      <c r="J273" s="40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</row>
    <row r="274" ht="30.0" customHeight="1">
      <c r="A274" s="31"/>
      <c r="B274" s="31"/>
      <c r="C274" s="31"/>
      <c r="D274" s="31"/>
      <c r="E274" s="298"/>
      <c r="F274" s="39"/>
      <c r="G274" s="31"/>
      <c r="H274" s="39"/>
      <c r="I274" s="40"/>
      <c r="J274" s="40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</row>
    <row r="275" ht="30.0" customHeight="1">
      <c r="A275" s="31"/>
      <c r="B275" s="31"/>
      <c r="C275" s="31"/>
      <c r="D275" s="31"/>
      <c r="E275" s="298"/>
      <c r="F275" s="39"/>
      <c r="G275" s="31"/>
      <c r="H275" s="39"/>
      <c r="I275" s="40"/>
      <c r="J275" s="40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</row>
    <row r="276" ht="30.0" customHeight="1">
      <c r="A276" s="31"/>
      <c r="B276" s="31"/>
      <c r="C276" s="31"/>
      <c r="D276" s="31"/>
      <c r="E276" s="298"/>
      <c r="F276" s="39"/>
      <c r="G276" s="31"/>
      <c r="H276" s="39"/>
      <c r="I276" s="40"/>
      <c r="J276" s="40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</row>
    <row r="277" ht="30.0" customHeight="1">
      <c r="A277" s="31"/>
      <c r="B277" s="31"/>
      <c r="C277" s="31"/>
      <c r="D277" s="31"/>
      <c r="E277" s="298"/>
      <c r="F277" s="39"/>
      <c r="G277" s="31"/>
      <c r="H277" s="39"/>
      <c r="I277" s="40"/>
      <c r="J277" s="40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</row>
    <row r="278" ht="30.0" customHeight="1">
      <c r="A278" s="31"/>
      <c r="B278" s="31"/>
      <c r="C278" s="31"/>
      <c r="D278" s="31"/>
      <c r="E278" s="298"/>
      <c r="F278" s="39"/>
      <c r="G278" s="31"/>
      <c r="H278" s="39"/>
      <c r="I278" s="40"/>
      <c r="J278" s="40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</row>
    <row r="279" ht="30.0" customHeight="1">
      <c r="A279" s="31"/>
      <c r="B279" s="31"/>
      <c r="C279" s="31"/>
      <c r="D279" s="31"/>
      <c r="E279" s="298"/>
      <c r="F279" s="39"/>
      <c r="G279" s="31"/>
      <c r="H279" s="39"/>
      <c r="I279" s="40"/>
      <c r="J279" s="40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</row>
    <row r="280" ht="30.0" customHeight="1">
      <c r="A280" s="31"/>
      <c r="B280" s="31"/>
      <c r="C280" s="31"/>
      <c r="D280" s="31"/>
      <c r="E280" s="298"/>
      <c r="F280" s="39"/>
      <c r="G280" s="31"/>
      <c r="H280" s="39"/>
      <c r="I280" s="40"/>
      <c r="J280" s="40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</row>
    <row r="281" ht="30.0" customHeight="1">
      <c r="A281" s="31"/>
      <c r="B281" s="31"/>
      <c r="C281" s="31"/>
      <c r="D281" s="31"/>
      <c r="E281" s="298"/>
      <c r="F281" s="39"/>
      <c r="G281" s="31"/>
      <c r="H281" s="39"/>
      <c r="I281" s="40"/>
      <c r="J281" s="40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</row>
    <row r="282" ht="30.0" customHeight="1">
      <c r="A282" s="31"/>
      <c r="B282" s="31"/>
      <c r="C282" s="31"/>
      <c r="D282" s="31"/>
      <c r="E282" s="298"/>
      <c r="F282" s="39"/>
      <c r="G282" s="31"/>
      <c r="H282" s="39"/>
      <c r="I282" s="40"/>
      <c r="J282" s="40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</row>
    <row r="283" ht="30.0" customHeight="1">
      <c r="A283" s="31"/>
      <c r="B283" s="31"/>
      <c r="C283" s="31"/>
      <c r="D283" s="31"/>
      <c r="E283" s="298"/>
      <c r="F283" s="39"/>
      <c r="G283" s="31"/>
      <c r="H283" s="39"/>
      <c r="I283" s="40"/>
      <c r="J283" s="40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</row>
    <row r="284" ht="30.0" customHeight="1">
      <c r="A284" s="31"/>
      <c r="B284" s="31"/>
      <c r="C284" s="31"/>
      <c r="D284" s="31"/>
      <c r="E284" s="298"/>
      <c r="F284" s="39"/>
      <c r="G284" s="31"/>
      <c r="H284" s="39"/>
      <c r="I284" s="40"/>
      <c r="J284" s="40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</row>
    <row r="285" ht="30.0" customHeight="1">
      <c r="A285" s="31"/>
      <c r="B285" s="31"/>
      <c r="C285" s="31"/>
      <c r="D285" s="31"/>
      <c r="E285" s="298"/>
      <c r="F285" s="39"/>
      <c r="G285" s="31"/>
      <c r="H285" s="39"/>
      <c r="I285" s="40"/>
      <c r="J285" s="40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</row>
    <row r="286" ht="30.0" customHeight="1">
      <c r="A286" s="31"/>
      <c r="B286" s="31"/>
      <c r="C286" s="31"/>
      <c r="D286" s="31"/>
      <c r="E286" s="298"/>
      <c r="F286" s="39"/>
      <c r="G286" s="31"/>
      <c r="H286" s="39"/>
      <c r="I286" s="40"/>
      <c r="J286" s="40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</row>
    <row r="287" ht="30.0" customHeight="1">
      <c r="A287" s="31"/>
      <c r="B287" s="31"/>
      <c r="C287" s="31"/>
      <c r="D287" s="31"/>
      <c r="E287" s="298"/>
      <c r="F287" s="39"/>
      <c r="G287" s="31"/>
      <c r="H287" s="39"/>
      <c r="I287" s="40"/>
      <c r="J287" s="40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</row>
    <row r="288" ht="30.0" customHeight="1">
      <c r="A288" s="31"/>
      <c r="B288" s="31"/>
      <c r="C288" s="31"/>
      <c r="D288" s="31"/>
      <c r="E288" s="298"/>
      <c r="F288" s="39"/>
      <c r="G288" s="31"/>
      <c r="H288" s="39"/>
      <c r="I288" s="40"/>
      <c r="J288" s="40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</row>
    <row r="289" ht="30.0" customHeight="1">
      <c r="A289" s="31"/>
      <c r="B289" s="31"/>
      <c r="C289" s="31"/>
      <c r="D289" s="31"/>
      <c r="E289" s="298"/>
      <c r="F289" s="39"/>
      <c r="G289" s="31"/>
      <c r="H289" s="39"/>
      <c r="I289" s="40"/>
      <c r="J289" s="40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</row>
    <row r="290" ht="30.0" customHeight="1">
      <c r="A290" s="31"/>
      <c r="B290" s="31"/>
      <c r="C290" s="31"/>
      <c r="D290" s="31"/>
      <c r="E290" s="298"/>
      <c r="F290" s="39"/>
      <c r="G290" s="31"/>
      <c r="H290" s="39"/>
      <c r="I290" s="40"/>
      <c r="J290" s="40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</row>
    <row r="291" ht="30.0" customHeight="1">
      <c r="A291" s="31"/>
      <c r="B291" s="31"/>
      <c r="C291" s="31"/>
      <c r="D291" s="31"/>
      <c r="E291" s="298"/>
      <c r="F291" s="39"/>
      <c r="G291" s="31"/>
      <c r="H291" s="39"/>
      <c r="I291" s="40"/>
      <c r="J291" s="40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</row>
    <row r="292" ht="30.0" customHeight="1">
      <c r="A292" s="31"/>
      <c r="B292" s="31"/>
      <c r="C292" s="31"/>
      <c r="D292" s="31"/>
      <c r="E292" s="298"/>
      <c r="F292" s="39"/>
      <c r="G292" s="31"/>
      <c r="H292" s="39"/>
      <c r="I292" s="40"/>
      <c r="J292" s="40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</row>
    <row r="293" ht="30.0" customHeight="1">
      <c r="A293" s="31"/>
      <c r="B293" s="31"/>
      <c r="C293" s="31"/>
      <c r="D293" s="31"/>
      <c r="E293" s="298"/>
      <c r="F293" s="39"/>
      <c r="G293" s="31"/>
      <c r="H293" s="39"/>
      <c r="I293" s="40"/>
      <c r="J293" s="40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</row>
    <row r="294" ht="30.0" customHeight="1">
      <c r="A294" s="31"/>
      <c r="B294" s="31"/>
      <c r="C294" s="31"/>
      <c r="D294" s="31"/>
      <c r="E294" s="298"/>
      <c r="F294" s="39"/>
      <c r="G294" s="31"/>
      <c r="H294" s="39"/>
      <c r="I294" s="40"/>
      <c r="J294" s="40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</row>
    <row r="295" ht="30.0" customHeight="1">
      <c r="A295" s="31"/>
      <c r="B295" s="31"/>
      <c r="C295" s="31"/>
      <c r="D295" s="31"/>
      <c r="E295" s="298"/>
      <c r="F295" s="39"/>
      <c r="G295" s="31"/>
      <c r="H295" s="39"/>
      <c r="I295" s="40"/>
      <c r="J295" s="40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</row>
    <row r="296" ht="30.0" customHeight="1">
      <c r="A296" s="31"/>
      <c r="B296" s="31"/>
      <c r="C296" s="31"/>
      <c r="D296" s="31"/>
      <c r="E296" s="298"/>
      <c r="F296" s="39"/>
      <c r="G296" s="31"/>
      <c r="H296" s="39"/>
      <c r="I296" s="40"/>
      <c r="J296" s="40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</row>
    <row r="297" ht="30.0" customHeight="1">
      <c r="A297" s="31"/>
      <c r="B297" s="31"/>
      <c r="C297" s="31"/>
      <c r="D297" s="31"/>
      <c r="E297" s="298"/>
      <c r="F297" s="39"/>
      <c r="G297" s="31"/>
      <c r="H297" s="39"/>
      <c r="I297" s="40"/>
      <c r="J297" s="40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</row>
    <row r="298" ht="30.0" customHeight="1">
      <c r="A298" s="31"/>
      <c r="B298" s="31"/>
      <c r="C298" s="31"/>
      <c r="D298" s="31"/>
      <c r="E298" s="298"/>
      <c r="F298" s="39"/>
      <c r="G298" s="31"/>
      <c r="H298" s="39"/>
      <c r="I298" s="40"/>
      <c r="J298" s="40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</row>
    <row r="299" ht="30.0" customHeight="1">
      <c r="A299" s="31"/>
      <c r="B299" s="31"/>
      <c r="C299" s="31"/>
      <c r="D299" s="31"/>
      <c r="E299" s="298"/>
      <c r="F299" s="39"/>
      <c r="G299" s="31"/>
      <c r="H299" s="39"/>
      <c r="I299" s="40"/>
      <c r="J299" s="40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</row>
    <row r="300" ht="30.0" customHeight="1">
      <c r="A300" s="31"/>
      <c r="B300" s="31"/>
      <c r="C300" s="31"/>
      <c r="D300" s="31"/>
      <c r="E300" s="298"/>
      <c r="F300" s="39"/>
      <c r="G300" s="31"/>
      <c r="H300" s="39"/>
      <c r="I300" s="40"/>
      <c r="J300" s="40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</row>
    <row r="301" ht="30.0" customHeight="1">
      <c r="A301" s="31"/>
      <c r="B301" s="31"/>
      <c r="C301" s="31"/>
      <c r="D301" s="31"/>
      <c r="E301" s="298"/>
      <c r="F301" s="39"/>
      <c r="G301" s="31"/>
      <c r="H301" s="39"/>
      <c r="I301" s="40"/>
      <c r="J301" s="40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</row>
    <row r="302" ht="30.0" customHeight="1">
      <c r="A302" s="31"/>
      <c r="B302" s="31"/>
      <c r="C302" s="31"/>
      <c r="D302" s="31"/>
      <c r="E302" s="298"/>
      <c r="F302" s="39"/>
      <c r="G302" s="31"/>
      <c r="H302" s="39"/>
      <c r="I302" s="40"/>
      <c r="J302" s="40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</row>
    <row r="303" ht="30.0" customHeight="1">
      <c r="A303" s="31"/>
      <c r="B303" s="31"/>
      <c r="C303" s="31"/>
      <c r="D303" s="31"/>
      <c r="E303" s="298"/>
      <c r="F303" s="39"/>
      <c r="G303" s="31"/>
      <c r="H303" s="39"/>
      <c r="I303" s="40"/>
      <c r="J303" s="40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</row>
    <row r="304" ht="30.0" customHeight="1">
      <c r="A304" s="31"/>
      <c r="B304" s="31"/>
      <c r="C304" s="31"/>
      <c r="D304" s="31"/>
      <c r="E304" s="298"/>
      <c r="F304" s="39"/>
      <c r="G304" s="31"/>
      <c r="H304" s="39"/>
      <c r="I304" s="40"/>
      <c r="J304" s="40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</row>
    <row r="305" ht="30.0" customHeight="1">
      <c r="A305" s="31"/>
      <c r="B305" s="31"/>
      <c r="C305" s="31"/>
      <c r="D305" s="31"/>
      <c r="E305" s="298"/>
      <c r="F305" s="39"/>
      <c r="G305" s="31"/>
      <c r="H305" s="39"/>
      <c r="I305" s="40"/>
      <c r="J305" s="40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</row>
    <row r="306" ht="30.0" customHeight="1">
      <c r="A306" s="31"/>
      <c r="B306" s="31"/>
      <c r="C306" s="31"/>
      <c r="D306" s="31"/>
      <c r="E306" s="298"/>
      <c r="F306" s="39"/>
      <c r="G306" s="31"/>
      <c r="H306" s="39"/>
      <c r="I306" s="40"/>
      <c r="J306" s="40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</row>
    <row r="307" ht="30.0" customHeight="1">
      <c r="A307" s="31"/>
      <c r="B307" s="31"/>
      <c r="C307" s="31"/>
      <c r="D307" s="31"/>
      <c r="E307" s="298"/>
      <c r="F307" s="39"/>
      <c r="G307" s="31"/>
      <c r="H307" s="39"/>
      <c r="I307" s="40"/>
      <c r="J307" s="40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</row>
    <row r="308" ht="30.0" customHeight="1">
      <c r="A308" s="31"/>
      <c r="B308" s="31"/>
      <c r="C308" s="31"/>
      <c r="D308" s="31"/>
      <c r="E308" s="298"/>
      <c r="F308" s="39"/>
      <c r="G308" s="31"/>
      <c r="H308" s="39"/>
      <c r="I308" s="40"/>
      <c r="J308" s="40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</row>
    <row r="309" ht="30.0" customHeight="1">
      <c r="A309" s="31"/>
      <c r="B309" s="31"/>
      <c r="C309" s="31"/>
      <c r="D309" s="31"/>
      <c r="E309" s="298"/>
      <c r="F309" s="39"/>
      <c r="G309" s="31"/>
      <c r="H309" s="39"/>
      <c r="I309" s="40"/>
      <c r="J309" s="40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</row>
    <row r="310" ht="30.0" customHeight="1">
      <c r="A310" s="31"/>
      <c r="B310" s="31"/>
      <c r="C310" s="31"/>
      <c r="D310" s="31"/>
      <c r="E310" s="298"/>
      <c r="F310" s="39"/>
      <c r="G310" s="31"/>
      <c r="H310" s="39"/>
      <c r="I310" s="40"/>
      <c r="J310" s="40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</row>
    <row r="311" ht="30.0" customHeight="1">
      <c r="A311" s="31"/>
      <c r="B311" s="31"/>
      <c r="C311" s="31"/>
      <c r="D311" s="31"/>
      <c r="E311" s="298"/>
      <c r="F311" s="39"/>
      <c r="G311" s="31"/>
      <c r="H311" s="39"/>
      <c r="I311" s="40"/>
      <c r="J311" s="40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</row>
    <row r="312" ht="30.0" customHeight="1">
      <c r="A312" s="31"/>
      <c r="B312" s="31"/>
      <c r="C312" s="31"/>
      <c r="D312" s="31"/>
      <c r="E312" s="298"/>
      <c r="F312" s="39"/>
      <c r="G312" s="31"/>
      <c r="H312" s="39"/>
      <c r="I312" s="40"/>
      <c r="J312" s="40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</row>
    <row r="313" ht="30.0" customHeight="1">
      <c r="A313" s="31"/>
      <c r="B313" s="31"/>
      <c r="C313" s="31"/>
      <c r="D313" s="31"/>
      <c r="E313" s="298"/>
      <c r="F313" s="39"/>
      <c r="G313" s="31"/>
      <c r="H313" s="39"/>
      <c r="I313" s="40"/>
      <c r="J313" s="40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</row>
    <row r="314" ht="30.0" customHeight="1">
      <c r="A314" s="31"/>
      <c r="B314" s="31"/>
      <c r="C314" s="31"/>
      <c r="D314" s="31"/>
      <c r="E314" s="298"/>
      <c r="F314" s="39"/>
      <c r="G314" s="31"/>
      <c r="H314" s="39"/>
      <c r="I314" s="40"/>
      <c r="J314" s="40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</row>
    <row r="315" ht="30.0" customHeight="1">
      <c r="A315" s="31"/>
      <c r="B315" s="31"/>
      <c r="C315" s="31"/>
      <c r="D315" s="31"/>
      <c r="E315" s="298"/>
      <c r="F315" s="39"/>
      <c r="G315" s="31"/>
      <c r="H315" s="39"/>
      <c r="I315" s="40"/>
      <c r="J315" s="40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</row>
    <row r="316" ht="30.0" customHeight="1">
      <c r="A316" s="31"/>
      <c r="B316" s="31"/>
      <c r="C316" s="31"/>
      <c r="D316" s="31"/>
      <c r="E316" s="298"/>
      <c r="F316" s="39"/>
      <c r="G316" s="31"/>
      <c r="H316" s="39"/>
      <c r="I316" s="40"/>
      <c r="J316" s="40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</row>
    <row r="317" ht="30.0" customHeight="1">
      <c r="A317" s="31"/>
      <c r="B317" s="31"/>
      <c r="C317" s="31"/>
      <c r="D317" s="31"/>
      <c r="E317" s="298"/>
      <c r="F317" s="39"/>
      <c r="G317" s="31"/>
      <c r="H317" s="39"/>
      <c r="I317" s="40"/>
      <c r="J317" s="40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</row>
    <row r="318" ht="30.0" customHeight="1">
      <c r="A318" s="31"/>
      <c r="B318" s="31"/>
      <c r="C318" s="31"/>
      <c r="D318" s="31"/>
      <c r="E318" s="298"/>
      <c r="F318" s="39"/>
      <c r="G318" s="31"/>
      <c r="H318" s="39"/>
      <c r="I318" s="40"/>
      <c r="J318" s="40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</row>
    <row r="319" ht="30.0" customHeight="1">
      <c r="A319" s="31"/>
      <c r="B319" s="31"/>
      <c r="C319" s="31"/>
      <c r="D319" s="31"/>
      <c r="E319" s="298"/>
      <c r="F319" s="39"/>
      <c r="G319" s="31"/>
      <c r="H319" s="39"/>
      <c r="I319" s="40"/>
      <c r="J319" s="40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</row>
    <row r="320" ht="30.0" customHeight="1">
      <c r="A320" s="31"/>
      <c r="B320" s="31"/>
      <c r="C320" s="31"/>
      <c r="D320" s="31"/>
      <c r="E320" s="298"/>
      <c r="F320" s="39"/>
      <c r="G320" s="31"/>
      <c r="H320" s="39"/>
      <c r="I320" s="40"/>
      <c r="J320" s="40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</row>
    <row r="321" ht="30.0" customHeight="1">
      <c r="A321" s="31"/>
      <c r="B321" s="31"/>
      <c r="C321" s="31"/>
      <c r="D321" s="31"/>
      <c r="E321" s="298"/>
      <c r="F321" s="39"/>
      <c r="G321" s="31"/>
      <c r="H321" s="39"/>
      <c r="I321" s="40"/>
      <c r="J321" s="40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</row>
    <row r="322" ht="30.0" customHeight="1">
      <c r="A322" s="31"/>
      <c r="B322" s="31"/>
      <c r="C322" s="31"/>
      <c r="D322" s="31"/>
      <c r="E322" s="298"/>
      <c r="F322" s="39"/>
      <c r="G322" s="31"/>
      <c r="H322" s="39"/>
      <c r="I322" s="40"/>
      <c r="J322" s="40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</row>
    <row r="323" ht="30.0" customHeight="1">
      <c r="A323" s="31"/>
      <c r="B323" s="31"/>
      <c r="C323" s="31"/>
      <c r="D323" s="31"/>
      <c r="E323" s="298"/>
      <c r="F323" s="39"/>
      <c r="G323" s="31"/>
      <c r="H323" s="39"/>
      <c r="I323" s="40"/>
      <c r="J323" s="40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</row>
    <row r="324" ht="30.0" customHeight="1">
      <c r="A324" s="31"/>
      <c r="B324" s="31"/>
      <c r="C324" s="31"/>
      <c r="D324" s="31"/>
      <c r="E324" s="298"/>
      <c r="F324" s="39"/>
      <c r="G324" s="31"/>
      <c r="H324" s="39"/>
      <c r="I324" s="40"/>
      <c r="J324" s="40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</row>
    <row r="325" ht="30.0" customHeight="1">
      <c r="A325" s="31"/>
      <c r="B325" s="31"/>
      <c r="C325" s="31"/>
      <c r="D325" s="31"/>
      <c r="E325" s="298"/>
      <c r="F325" s="39"/>
      <c r="G325" s="31"/>
      <c r="H325" s="39"/>
      <c r="I325" s="40"/>
      <c r="J325" s="40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</row>
    <row r="326" ht="30.0" customHeight="1">
      <c r="A326" s="31"/>
      <c r="B326" s="31"/>
      <c r="C326" s="31"/>
      <c r="D326" s="31"/>
      <c r="E326" s="298"/>
      <c r="F326" s="39"/>
      <c r="G326" s="31"/>
      <c r="H326" s="39"/>
      <c r="I326" s="40"/>
      <c r="J326" s="40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</row>
    <row r="327" ht="30.0" customHeight="1">
      <c r="A327" s="31"/>
      <c r="B327" s="31"/>
      <c r="C327" s="31"/>
      <c r="D327" s="31"/>
      <c r="E327" s="298"/>
      <c r="F327" s="39"/>
      <c r="G327" s="31"/>
      <c r="H327" s="39"/>
      <c r="I327" s="40"/>
      <c r="J327" s="40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</row>
    <row r="328" ht="30.0" customHeight="1">
      <c r="A328" s="31"/>
      <c r="B328" s="31"/>
      <c r="C328" s="31"/>
      <c r="D328" s="31"/>
      <c r="E328" s="298"/>
      <c r="F328" s="39"/>
      <c r="G328" s="31"/>
      <c r="H328" s="39"/>
      <c r="I328" s="40"/>
      <c r="J328" s="40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</row>
    <row r="329" ht="30.0" customHeight="1">
      <c r="A329" s="31"/>
      <c r="B329" s="31"/>
      <c r="C329" s="31"/>
      <c r="D329" s="31"/>
      <c r="E329" s="298"/>
      <c r="F329" s="39"/>
      <c r="G329" s="31"/>
      <c r="H329" s="39"/>
      <c r="I329" s="40"/>
      <c r="J329" s="40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</row>
    <row r="330" ht="30.0" customHeight="1">
      <c r="A330" s="31"/>
      <c r="B330" s="31"/>
      <c r="C330" s="31"/>
      <c r="D330" s="31"/>
      <c r="E330" s="298"/>
      <c r="F330" s="39"/>
      <c r="G330" s="31"/>
      <c r="H330" s="39"/>
      <c r="I330" s="40"/>
      <c r="J330" s="40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</row>
    <row r="331" ht="30.0" customHeight="1">
      <c r="A331" s="31"/>
      <c r="B331" s="31"/>
      <c r="C331" s="31"/>
      <c r="D331" s="31"/>
      <c r="E331" s="298"/>
      <c r="F331" s="39"/>
      <c r="G331" s="31"/>
      <c r="H331" s="39"/>
      <c r="I331" s="40"/>
      <c r="J331" s="40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</row>
    <row r="332" ht="30.0" customHeight="1">
      <c r="A332" s="31"/>
      <c r="B332" s="31"/>
      <c r="C332" s="31"/>
      <c r="D332" s="31"/>
      <c r="E332" s="298"/>
      <c r="F332" s="39"/>
      <c r="G332" s="31"/>
      <c r="H332" s="39"/>
      <c r="I332" s="40"/>
      <c r="J332" s="40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</row>
    <row r="333" ht="30.0" customHeight="1">
      <c r="A333" s="31"/>
      <c r="B333" s="31"/>
      <c r="C333" s="31"/>
      <c r="D333" s="31"/>
      <c r="E333" s="298"/>
      <c r="F333" s="39"/>
      <c r="G333" s="31"/>
      <c r="H333" s="39"/>
      <c r="I333" s="40"/>
      <c r="J333" s="40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</row>
    <row r="334" ht="30.0" customHeight="1">
      <c r="A334" s="31"/>
      <c r="B334" s="31"/>
      <c r="C334" s="31"/>
      <c r="D334" s="31"/>
      <c r="E334" s="298"/>
      <c r="F334" s="39"/>
      <c r="G334" s="31"/>
      <c r="H334" s="39"/>
      <c r="I334" s="40"/>
      <c r="J334" s="40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</row>
    <row r="335" ht="30.0" customHeight="1">
      <c r="A335" s="31"/>
      <c r="B335" s="31"/>
      <c r="C335" s="31"/>
      <c r="D335" s="31"/>
      <c r="E335" s="298"/>
      <c r="F335" s="39"/>
      <c r="G335" s="31"/>
      <c r="H335" s="39"/>
      <c r="I335" s="40"/>
      <c r="J335" s="40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</row>
    <row r="336" ht="30.0" customHeight="1">
      <c r="A336" s="31"/>
      <c r="B336" s="31"/>
      <c r="C336" s="31"/>
      <c r="D336" s="31"/>
      <c r="E336" s="298"/>
      <c r="F336" s="39"/>
      <c r="G336" s="31"/>
      <c r="H336" s="39"/>
      <c r="I336" s="40"/>
      <c r="J336" s="40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</row>
    <row r="337" ht="30.0" customHeight="1">
      <c r="A337" s="31"/>
      <c r="B337" s="31"/>
      <c r="C337" s="31"/>
      <c r="D337" s="31"/>
      <c r="E337" s="298"/>
      <c r="F337" s="39"/>
      <c r="G337" s="31"/>
      <c r="H337" s="39"/>
      <c r="I337" s="40"/>
      <c r="J337" s="40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</row>
    <row r="338" ht="30.0" customHeight="1">
      <c r="A338" s="31"/>
      <c r="B338" s="31"/>
      <c r="C338" s="31"/>
      <c r="D338" s="31"/>
      <c r="E338" s="298"/>
      <c r="F338" s="39"/>
      <c r="G338" s="31"/>
      <c r="H338" s="39"/>
      <c r="I338" s="40"/>
      <c r="J338" s="40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</row>
    <row r="339" ht="30.0" customHeight="1">
      <c r="A339" s="31"/>
      <c r="B339" s="31"/>
      <c r="C339" s="31"/>
      <c r="D339" s="31"/>
      <c r="E339" s="298"/>
      <c r="F339" s="39"/>
      <c r="G339" s="31"/>
      <c r="H339" s="39"/>
      <c r="I339" s="40"/>
      <c r="J339" s="40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</row>
    <row r="340" ht="30.0" customHeight="1">
      <c r="A340" s="31"/>
      <c r="B340" s="31"/>
      <c r="C340" s="31"/>
      <c r="D340" s="31"/>
      <c r="E340" s="298"/>
      <c r="F340" s="39"/>
      <c r="G340" s="31"/>
      <c r="H340" s="39"/>
      <c r="I340" s="40"/>
      <c r="J340" s="40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</row>
    <row r="341" ht="30.0" customHeight="1">
      <c r="A341" s="31"/>
      <c r="B341" s="31"/>
      <c r="C341" s="31"/>
      <c r="D341" s="31"/>
      <c r="E341" s="298"/>
      <c r="F341" s="39"/>
      <c r="G341" s="31"/>
      <c r="H341" s="39"/>
      <c r="I341" s="40"/>
      <c r="J341" s="40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</row>
    <row r="342" ht="30.0" customHeight="1">
      <c r="A342" s="31"/>
      <c r="B342" s="31"/>
      <c r="C342" s="31"/>
      <c r="D342" s="31"/>
      <c r="E342" s="298"/>
      <c r="F342" s="39"/>
      <c r="G342" s="31"/>
      <c r="H342" s="39"/>
      <c r="I342" s="40"/>
      <c r="J342" s="40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</row>
    <row r="343" ht="30.0" customHeight="1">
      <c r="A343" s="31"/>
      <c r="B343" s="31"/>
      <c r="C343" s="31"/>
      <c r="D343" s="31"/>
      <c r="E343" s="298"/>
      <c r="F343" s="39"/>
      <c r="G343" s="31"/>
      <c r="H343" s="39"/>
      <c r="I343" s="40"/>
      <c r="J343" s="40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</row>
    <row r="344" ht="30.0" customHeight="1">
      <c r="A344" s="31"/>
      <c r="B344" s="31"/>
      <c r="C344" s="31"/>
      <c r="D344" s="31"/>
      <c r="E344" s="298"/>
      <c r="F344" s="39"/>
      <c r="G344" s="31"/>
      <c r="H344" s="39"/>
      <c r="I344" s="40"/>
      <c r="J344" s="40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</row>
    <row r="345" ht="30.0" customHeight="1">
      <c r="A345" s="31"/>
      <c r="B345" s="31"/>
      <c r="C345" s="31"/>
      <c r="D345" s="31"/>
      <c r="E345" s="298"/>
      <c r="F345" s="39"/>
      <c r="G345" s="31"/>
      <c r="H345" s="39"/>
      <c r="I345" s="40"/>
      <c r="J345" s="40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</row>
    <row r="346" ht="30.0" customHeight="1">
      <c r="A346" s="31"/>
      <c r="B346" s="31"/>
      <c r="C346" s="31"/>
      <c r="D346" s="31"/>
      <c r="E346" s="298"/>
      <c r="F346" s="39"/>
      <c r="G346" s="31"/>
      <c r="H346" s="39"/>
      <c r="I346" s="40"/>
      <c r="J346" s="40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</row>
    <row r="347" ht="30.0" customHeight="1">
      <c r="A347" s="31"/>
      <c r="B347" s="31"/>
      <c r="C347" s="31"/>
      <c r="D347" s="31"/>
      <c r="E347" s="298"/>
      <c r="F347" s="39"/>
      <c r="G347" s="31"/>
      <c r="H347" s="39"/>
      <c r="I347" s="40"/>
      <c r="J347" s="40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</row>
    <row r="348" ht="30.0" customHeight="1">
      <c r="A348" s="31"/>
      <c r="B348" s="31"/>
      <c r="C348" s="31"/>
      <c r="D348" s="31"/>
      <c r="E348" s="298"/>
      <c r="F348" s="39"/>
      <c r="G348" s="31"/>
      <c r="H348" s="39"/>
      <c r="I348" s="40"/>
      <c r="J348" s="40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</row>
    <row r="349" ht="30.0" customHeight="1">
      <c r="A349" s="31"/>
      <c r="B349" s="31"/>
      <c r="C349" s="31"/>
      <c r="D349" s="31"/>
      <c r="E349" s="298"/>
      <c r="F349" s="39"/>
      <c r="G349" s="31"/>
      <c r="H349" s="39"/>
      <c r="I349" s="40"/>
      <c r="J349" s="40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</row>
    <row r="350" ht="30.0" customHeight="1">
      <c r="A350" s="31"/>
      <c r="B350" s="31"/>
      <c r="C350" s="31"/>
      <c r="D350" s="31"/>
      <c r="E350" s="298"/>
      <c r="F350" s="39"/>
      <c r="G350" s="31"/>
      <c r="H350" s="39"/>
      <c r="I350" s="40"/>
      <c r="J350" s="40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</row>
    <row r="351" ht="30.0" customHeight="1">
      <c r="A351" s="31"/>
      <c r="B351" s="31"/>
      <c r="C351" s="31"/>
      <c r="D351" s="31"/>
      <c r="E351" s="298"/>
      <c r="F351" s="39"/>
      <c r="G351" s="31"/>
      <c r="H351" s="39"/>
      <c r="I351" s="40"/>
      <c r="J351" s="40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</row>
    <row r="352" ht="30.0" customHeight="1">
      <c r="A352" s="31"/>
      <c r="B352" s="31"/>
      <c r="C352" s="31"/>
      <c r="D352" s="31"/>
      <c r="E352" s="298"/>
      <c r="F352" s="39"/>
      <c r="G352" s="31"/>
      <c r="H352" s="39"/>
      <c r="I352" s="40"/>
      <c r="J352" s="40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</row>
    <row r="353" ht="30.0" customHeight="1">
      <c r="A353" s="31"/>
      <c r="B353" s="31"/>
      <c r="C353" s="31"/>
      <c r="D353" s="31"/>
      <c r="E353" s="298"/>
      <c r="F353" s="39"/>
      <c r="G353" s="31"/>
      <c r="H353" s="39"/>
      <c r="I353" s="40"/>
      <c r="J353" s="40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</row>
    <row r="354" ht="30.0" customHeight="1">
      <c r="A354" s="31"/>
      <c r="B354" s="31"/>
      <c r="C354" s="31"/>
      <c r="D354" s="31"/>
      <c r="E354" s="298"/>
      <c r="F354" s="39"/>
      <c r="G354" s="31"/>
      <c r="H354" s="39"/>
      <c r="I354" s="40"/>
      <c r="J354" s="40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</row>
    <row r="355" ht="30.0" customHeight="1">
      <c r="A355" s="31"/>
      <c r="B355" s="31"/>
      <c r="C355" s="31"/>
      <c r="D355" s="31"/>
      <c r="E355" s="298"/>
      <c r="F355" s="39"/>
      <c r="G355" s="31"/>
      <c r="H355" s="39"/>
      <c r="I355" s="40"/>
      <c r="J355" s="40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</row>
    <row r="356" ht="30.0" customHeight="1">
      <c r="A356" s="31"/>
      <c r="B356" s="31"/>
      <c r="C356" s="31"/>
      <c r="D356" s="31"/>
      <c r="E356" s="298"/>
      <c r="F356" s="39"/>
      <c r="G356" s="31"/>
      <c r="H356" s="39"/>
      <c r="I356" s="40"/>
      <c r="J356" s="40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</row>
    <row r="357" ht="30.0" customHeight="1">
      <c r="A357" s="31"/>
      <c r="B357" s="31"/>
      <c r="C357" s="31"/>
      <c r="D357" s="31"/>
      <c r="E357" s="298"/>
      <c r="F357" s="39"/>
      <c r="G357" s="31"/>
      <c r="H357" s="39"/>
      <c r="I357" s="40"/>
      <c r="J357" s="40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</row>
    <row r="358" ht="30.0" customHeight="1">
      <c r="A358" s="31"/>
      <c r="B358" s="31"/>
      <c r="C358" s="31"/>
      <c r="D358" s="31"/>
      <c r="E358" s="298"/>
      <c r="F358" s="39"/>
      <c r="G358" s="31"/>
      <c r="H358" s="39"/>
      <c r="I358" s="40"/>
      <c r="J358" s="40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</row>
    <row r="359" ht="30.0" customHeight="1">
      <c r="A359" s="31"/>
      <c r="B359" s="31"/>
      <c r="C359" s="31"/>
      <c r="D359" s="31"/>
      <c r="E359" s="298"/>
      <c r="F359" s="39"/>
      <c r="G359" s="31"/>
      <c r="H359" s="39"/>
      <c r="I359" s="40"/>
      <c r="J359" s="40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</row>
    <row r="360" ht="30.0" customHeight="1">
      <c r="A360" s="31"/>
      <c r="B360" s="31"/>
      <c r="C360" s="31"/>
      <c r="D360" s="31"/>
      <c r="E360" s="298"/>
      <c r="F360" s="39"/>
      <c r="G360" s="31"/>
      <c r="H360" s="39"/>
      <c r="I360" s="40"/>
      <c r="J360" s="40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</row>
    <row r="361" ht="30.0" customHeight="1">
      <c r="A361" s="31"/>
      <c r="B361" s="31"/>
      <c r="C361" s="31"/>
      <c r="D361" s="31"/>
      <c r="E361" s="298"/>
      <c r="F361" s="39"/>
      <c r="G361" s="31"/>
      <c r="H361" s="39"/>
      <c r="I361" s="40"/>
      <c r="J361" s="40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</row>
    <row r="362" ht="30.0" customHeight="1">
      <c r="A362" s="31"/>
      <c r="B362" s="31"/>
      <c r="C362" s="31"/>
      <c r="D362" s="31"/>
      <c r="E362" s="298"/>
      <c r="F362" s="39"/>
      <c r="G362" s="31"/>
      <c r="H362" s="39"/>
      <c r="I362" s="40"/>
      <c r="J362" s="40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</row>
    <row r="363" ht="30.0" customHeight="1">
      <c r="A363" s="31"/>
      <c r="B363" s="31"/>
      <c r="C363" s="31"/>
      <c r="D363" s="31"/>
      <c r="E363" s="298"/>
      <c r="F363" s="39"/>
      <c r="G363" s="31"/>
      <c r="H363" s="39"/>
      <c r="I363" s="40"/>
      <c r="J363" s="40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</row>
    <row r="364" ht="30.0" customHeight="1">
      <c r="A364" s="31"/>
      <c r="B364" s="31"/>
      <c r="C364" s="31"/>
      <c r="D364" s="31"/>
      <c r="E364" s="298"/>
      <c r="F364" s="39"/>
      <c r="G364" s="31"/>
      <c r="H364" s="39"/>
      <c r="I364" s="40"/>
      <c r="J364" s="40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</row>
    <row r="365" ht="30.0" customHeight="1">
      <c r="A365" s="31"/>
      <c r="B365" s="31"/>
      <c r="C365" s="31"/>
      <c r="D365" s="31"/>
      <c r="E365" s="298"/>
      <c r="F365" s="39"/>
      <c r="G365" s="31"/>
      <c r="H365" s="39"/>
      <c r="I365" s="40"/>
      <c r="J365" s="40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</row>
    <row r="366" ht="30.0" customHeight="1">
      <c r="A366" s="31"/>
      <c r="B366" s="31"/>
      <c r="C366" s="31"/>
      <c r="D366" s="31"/>
      <c r="E366" s="298"/>
      <c r="F366" s="39"/>
      <c r="G366" s="31"/>
      <c r="H366" s="39"/>
      <c r="I366" s="40"/>
      <c r="J366" s="40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</row>
    <row r="367" ht="30.0" customHeight="1">
      <c r="A367" s="31"/>
      <c r="B367" s="31"/>
      <c r="C367" s="31"/>
      <c r="D367" s="31"/>
      <c r="E367" s="298"/>
      <c r="F367" s="39"/>
      <c r="G367" s="31"/>
      <c r="H367" s="39"/>
      <c r="I367" s="40"/>
      <c r="J367" s="40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</row>
    <row r="368" ht="30.0" customHeight="1">
      <c r="A368" s="31"/>
      <c r="B368" s="31"/>
      <c r="C368" s="31"/>
      <c r="D368" s="31"/>
      <c r="E368" s="298"/>
      <c r="F368" s="39"/>
      <c r="G368" s="31"/>
      <c r="H368" s="39"/>
      <c r="I368" s="40"/>
      <c r="J368" s="40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</row>
    <row r="369" ht="30.0" customHeight="1">
      <c r="A369" s="31"/>
      <c r="B369" s="31"/>
      <c r="C369" s="31"/>
      <c r="D369" s="31"/>
      <c r="E369" s="298"/>
      <c r="F369" s="39"/>
      <c r="G369" s="31"/>
      <c r="H369" s="39"/>
      <c r="I369" s="40"/>
      <c r="J369" s="40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</row>
    <row r="370" ht="30.0" customHeight="1">
      <c r="A370" s="31"/>
      <c r="B370" s="31"/>
      <c r="C370" s="31"/>
      <c r="D370" s="31"/>
      <c r="E370" s="298"/>
      <c r="F370" s="39"/>
      <c r="G370" s="31"/>
      <c r="H370" s="39"/>
      <c r="I370" s="40"/>
      <c r="J370" s="40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</row>
    <row r="371" ht="30.0" customHeight="1">
      <c r="A371" s="31"/>
      <c r="B371" s="31"/>
      <c r="C371" s="31"/>
      <c r="D371" s="31"/>
      <c r="E371" s="298"/>
      <c r="F371" s="39"/>
      <c r="G371" s="31"/>
      <c r="H371" s="39"/>
      <c r="I371" s="40"/>
      <c r="J371" s="40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</row>
    <row r="372" ht="30.0" customHeight="1">
      <c r="A372" s="31"/>
      <c r="B372" s="31"/>
      <c r="C372" s="31"/>
      <c r="D372" s="31"/>
      <c r="E372" s="298"/>
      <c r="F372" s="39"/>
      <c r="G372" s="31"/>
      <c r="H372" s="39"/>
      <c r="I372" s="40"/>
      <c r="J372" s="40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</row>
    <row r="373" ht="30.0" customHeight="1">
      <c r="A373" s="31"/>
      <c r="B373" s="31"/>
      <c r="C373" s="31"/>
      <c r="D373" s="31"/>
      <c r="E373" s="298"/>
      <c r="F373" s="39"/>
      <c r="G373" s="31"/>
      <c r="H373" s="39"/>
      <c r="I373" s="40"/>
      <c r="J373" s="40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</row>
    <row r="374" ht="30.0" customHeight="1">
      <c r="A374" s="31"/>
      <c r="B374" s="31"/>
      <c r="C374" s="31"/>
      <c r="D374" s="31"/>
      <c r="E374" s="298"/>
      <c r="F374" s="39"/>
      <c r="G374" s="31"/>
      <c r="H374" s="39"/>
      <c r="I374" s="40"/>
      <c r="J374" s="40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</row>
    <row r="375" ht="30.0" customHeight="1">
      <c r="A375" s="31"/>
      <c r="B375" s="31"/>
      <c r="C375" s="31"/>
      <c r="D375" s="31"/>
      <c r="E375" s="298"/>
      <c r="F375" s="39"/>
      <c r="G375" s="31"/>
      <c r="H375" s="39"/>
      <c r="I375" s="40"/>
      <c r="J375" s="40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</row>
    <row r="376" ht="30.0" customHeight="1">
      <c r="A376" s="31"/>
      <c r="B376" s="31"/>
      <c r="C376" s="31"/>
      <c r="D376" s="31"/>
      <c r="E376" s="298"/>
      <c r="F376" s="39"/>
      <c r="G376" s="31"/>
      <c r="H376" s="39"/>
      <c r="I376" s="40"/>
      <c r="J376" s="40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</row>
    <row r="377" ht="30.0" customHeight="1">
      <c r="A377" s="31"/>
      <c r="B377" s="31"/>
      <c r="C377" s="31"/>
      <c r="D377" s="31"/>
      <c r="E377" s="298"/>
      <c r="F377" s="39"/>
      <c r="G377" s="31"/>
      <c r="H377" s="39"/>
      <c r="I377" s="40"/>
      <c r="J377" s="40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</row>
    <row r="378" ht="30.0" customHeight="1">
      <c r="A378" s="31"/>
      <c r="B378" s="31"/>
      <c r="C378" s="31"/>
      <c r="D378" s="31"/>
      <c r="E378" s="298"/>
      <c r="F378" s="39"/>
      <c r="G378" s="31"/>
      <c r="H378" s="39"/>
      <c r="I378" s="40"/>
      <c r="J378" s="40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</row>
    <row r="379" ht="30.0" customHeight="1">
      <c r="A379" s="31"/>
      <c r="B379" s="31"/>
      <c r="C379" s="31"/>
      <c r="D379" s="31"/>
      <c r="E379" s="298"/>
      <c r="F379" s="39"/>
      <c r="G379" s="31"/>
      <c r="H379" s="39"/>
      <c r="I379" s="40"/>
      <c r="J379" s="40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</row>
    <row r="380" ht="30.0" customHeight="1">
      <c r="A380" s="31"/>
      <c r="B380" s="31"/>
      <c r="C380" s="31"/>
      <c r="D380" s="31"/>
      <c r="E380" s="298"/>
      <c r="F380" s="39"/>
      <c r="G380" s="31"/>
      <c r="H380" s="39"/>
      <c r="I380" s="40"/>
      <c r="J380" s="40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</row>
    <row r="381" ht="30.0" customHeight="1">
      <c r="A381" s="31"/>
      <c r="B381" s="31"/>
      <c r="C381" s="31"/>
      <c r="D381" s="31"/>
      <c r="E381" s="298"/>
      <c r="F381" s="39"/>
      <c r="G381" s="31"/>
      <c r="H381" s="39"/>
      <c r="I381" s="40"/>
      <c r="J381" s="40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</row>
    <row r="382" ht="30.0" customHeight="1">
      <c r="A382" s="31"/>
      <c r="B382" s="31"/>
      <c r="C382" s="31"/>
      <c r="D382" s="31"/>
      <c r="E382" s="298"/>
      <c r="F382" s="39"/>
      <c r="G382" s="31"/>
      <c r="H382" s="39"/>
      <c r="I382" s="40"/>
      <c r="J382" s="40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</row>
    <row r="383" ht="30.0" customHeight="1">
      <c r="A383" s="31"/>
      <c r="B383" s="31"/>
      <c r="C383" s="31"/>
      <c r="D383" s="31"/>
      <c r="E383" s="298"/>
      <c r="F383" s="39"/>
      <c r="G383" s="31"/>
      <c r="H383" s="39"/>
      <c r="I383" s="40"/>
      <c r="J383" s="40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</row>
    <row r="384" ht="30.0" customHeight="1">
      <c r="A384" s="31"/>
      <c r="B384" s="31"/>
      <c r="C384" s="31"/>
      <c r="D384" s="31"/>
      <c r="E384" s="298"/>
      <c r="F384" s="39"/>
      <c r="G384" s="31"/>
      <c r="H384" s="39"/>
      <c r="I384" s="40"/>
      <c r="J384" s="40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</row>
    <row r="385" ht="30.0" customHeight="1">
      <c r="A385" s="31"/>
      <c r="B385" s="31"/>
      <c r="C385" s="31"/>
      <c r="D385" s="31"/>
      <c r="E385" s="298"/>
      <c r="F385" s="39"/>
      <c r="G385" s="31"/>
      <c r="H385" s="39"/>
      <c r="I385" s="40"/>
      <c r="J385" s="40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</row>
    <row r="386" ht="30.0" customHeight="1">
      <c r="A386" s="31"/>
      <c r="B386" s="31"/>
      <c r="C386" s="31"/>
      <c r="D386" s="31"/>
      <c r="E386" s="298"/>
      <c r="F386" s="39"/>
      <c r="G386" s="31"/>
      <c r="H386" s="39"/>
      <c r="I386" s="40"/>
      <c r="J386" s="40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</row>
    <row r="387" ht="30.0" customHeight="1">
      <c r="A387" s="31"/>
      <c r="B387" s="31"/>
      <c r="C387" s="31"/>
      <c r="D387" s="31"/>
      <c r="E387" s="298"/>
      <c r="F387" s="39"/>
      <c r="G387" s="31"/>
      <c r="H387" s="39"/>
      <c r="I387" s="40"/>
      <c r="J387" s="40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</row>
    <row r="388" ht="30.0" customHeight="1">
      <c r="A388" s="31"/>
      <c r="B388" s="31"/>
      <c r="C388" s="31"/>
      <c r="D388" s="31"/>
      <c r="E388" s="298"/>
      <c r="F388" s="39"/>
      <c r="G388" s="31"/>
      <c r="H388" s="39"/>
      <c r="I388" s="40"/>
      <c r="J388" s="40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</row>
    <row r="389" ht="30.0" customHeight="1">
      <c r="A389" s="31"/>
      <c r="B389" s="31"/>
      <c r="C389" s="31"/>
      <c r="D389" s="31"/>
      <c r="E389" s="298"/>
      <c r="F389" s="39"/>
      <c r="G389" s="31"/>
      <c r="H389" s="39"/>
      <c r="I389" s="40"/>
      <c r="J389" s="40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</row>
    <row r="390" ht="30.0" customHeight="1">
      <c r="A390" s="31"/>
      <c r="B390" s="31"/>
      <c r="C390" s="31"/>
      <c r="D390" s="31"/>
      <c r="E390" s="298"/>
      <c r="F390" s="39"/>
      <c r="G390" s="31"/>
      <c r="H390" s="39"/>
      <c r="I390" s="40"/>
      <c r="J390" s="40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</row>
    <row r="391" ht="30.0" customHeight="1">
      <c r="A391" s="31"/>
      <c r="B391" s="31"/>
      <c r="C391" s="31"/>
      <c r="D391" s="31"/>
      <c r="E391" s="298"/>
      <c r="F391" s="39"/>
      <c r="G391" s="31"/>
      <c r="H391" s="39"/>
      <c r="I391" s="40"/>
      <c r="J391" s="40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</row>
    <row r="392" ht="30.0" customHeight="1">
      <c r="A392" s="31"/>
      <c r="B392" s="31"/>
      <c r="C392" s="31"/>
      <c r="D392" s="31"/>
      <c r="E392" s="298"/>
      <c r="F392" s="39"/>
      <c r="G392" s="31"/>
      <c r="H392" s="39"/>
      <c r="I392" s="40"/>
      <c r="J392" s="40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</row>
    <row r="393" ht="30.0" customHeight="1">
      <c r="A393" s="31"/>
      <c r="B393" s="31"/>
      <c r="C393" s="31"/>
      <c r="D393" s="31"/>
      <c r="E393" s="298"/>
      <c r="F393" s="39"/>
      <c r="G393" s="31"/>
      <c r="H393" s="39"/>
      <c r="I393" s="40"/>
      <c r="J393" s="40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</row>
    <row r="394" ht="30.0" customHeight="1">
      <c r="A394" s="31"/>
      <c r="B394" s="31"/>
      <c r="C394" s="31"/>
      <c r="D394" s="31"/>
      <c r="E394" s="298"/>
      <c r="F394" s="39"/>
      <c r="G394" s="31"/>
      <c r="H394" s="39"/>
      <c r="I394" s="40"/>
      <c r="J394" s="40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</row>
    <row r="395" ht="30.0" customHeight="1">
      <c r="A395" s="31"/>
      <c r="B395" s="31"/>
      <c r="C395" s="31"/>
      <c r="D395" s="31"/>
      <c r="E395" s="298"/>
      <c r="F395" s="39"/>
      <c r="G395" s="31"/>
      <c r="H395" s="39"/>
      <c r="I395" s="40"/>
      <c r="J395" s="40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</row>
    <row r="396" ht="30.0" customHeight="1">
      <c r="A396" s="31"/>
      <c r="B396" s="31"/>
      <c r="C396" s="31"/>
      <c r="D396" s="31"/>
      <c r="E396" s="298"/>
      <c r="F396" s="39"/>
      <c r="G396" s="31"/>
      <c r="H396" s="39"/>
      <c r="I396" s="40"/>
      <c r="J396" s="40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</row>
    <row r="397" ht="30.0" customHeight="1">
      <c r="A397" s="31"/>
      <c r="B397" s="31"/>
      <c r="C397" s="31"/>
      <c r="D397" s="31"/>
      <c r="E397" s="298"/>
      <c r="F397" s="39"/>
      <c r="G397" s="31"/>
      <c r="H397" s="39"/>
      <c r="I397" s="40"/>
      <c r="J397" s="40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</row>
    <row r="398" ht="30.0" customHeight="1">
      <c r="A398" s="31"/>
      <c r="B398" s="31"/>
      <c r="C398" s="31"/>
      <c r="D398" s="31"/>
      <c r="E398" s="298"/>
      <c r="F398" s="39"/>
      <c r="G398" s="31"/>
      <c r="H398" s="39"/>
      <c r="I398" s="40"/>
      <c r="J398" s="40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</row>
    <row r="399" ht="30.0" customHeight="1">
      <c r="A399" s="31"/>
      <c r="B399" s="31"/>
      <c r="C399" s="31"/>
      <c r="D399" s="31"/>
      <c r="E399" s="298"/>
      <c r="F399" s="39"/>
      <c r="G399" s="31"/>
      <c r="H399" s="39"/>
      <c r="I399" s="40"/>
      <c r="J399" s="40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</row>
    <row r="400" ht="30.0" customHeight="1">
      <c r="A400" s="31"/>
      <c r="B400" s="31"/>
      <c r="C400" s="31"/>
      <c r="D400" s="31"/>
      <c r="E400" s="298"/>
      <c r="F400" s="39"/>
      <c r="G400" s="31"/>
      <c r="H400" s="39"/>
      <c r="I400" s="40"/>
      <c r="J400" s="40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</row>
    <row r="401" ht="30.0" customHeight="1">
      <c r="A401" s="31"/>
      <c r="B401" s="31"/>
      <c r="C401" s="31"/>
      <c r="D401" s="31"/>
      <c r="E401" s="298"/>
      <c r="F401" s="39"/>
      <c r="G401" s="31"/>
      <c r="H401" s="39"/>
      <c r="I401" s="40"/>
      <c r="J401" s="40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</row>
    <row r="402" ht="30.0" customHeight="1">
      <c r="A402" s="31"/>
      <c r="B402" s="31"/>
      <c r="C402" s="31"/>
      <c r="D402" s="31"/>
      <c r="E402" s="298"/>
      <c r="F402" s="39"/>
      <c r="G402" s="31"/>
      <c r="H402" s="39"/>
      <c r="I402" s="40"/>
      <c r="J402" s="40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</row>
    <row r="403" ht="30.0" customHeight="1">
      <c r="A403" s="31"/>
      <c r="B403" s="31"/>
      <c r="C403" s="31"/>
      <c r="D403" s="31"/>
      <c r="E403" s="298"/>
      <c r="F403" s="39"/>
      <c r="G403" s="31"/>
      <c r="H403" s="39"/>
      <c r="I403" s="40"/>
      <c r="J403" s="40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</row>
    <row r="404" ht="30.0" customHeight="1">
      <c r="A404" s="31"/>
      <c r="B404" s="31"/>
      <c r="C404" s="31"/>
      <c r="D404" s="31"/>
      <c r="E404" s="298"/>
      <c r="F404" s="39"/>
      <c r="G404" s="31"/>
      <c r="H404" s="39"/>
      <c r="I404" s="40"/>
      <c r="J404" s="40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</row>
    <row r="405" ht="30.0" customHeight="1">
      <c r="A405" s="31"/>
      <c r="B405" s="31"/>
      <c r="C405" s="31"/>
      <c r="D405" s="31"/>
      <c r="E405" s="298"/>
      <c r="F405" s="39"/>
      <c r="G405" s="31"/>
      <c r="H405" s="39"/>
      <c r="I405" s="40"/>
      <c r="J405" s="40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</row>
    <row r="406" ht="30.0" customHeight="1">
      <c r="A406" s="31"/>
      <c r="B406" s="31"/>
      <c r="C406" s="31"/>
      <c r="D406" s="31"/>
      <c r="E406" s="298"/>
      <c r="F406" s="39"/>
      <c r="G406" s="31"/>
      <c r="H406" s="39"/>
      <c r="I406" s="40"/>
      <c r="J406" s="40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</row>
    <row r="407" ht="30.0" customHeight="1">
      <c r="A407" s="31"/>
      <c r="B407" s="31"/>
      <c r="C407" s="31"/>
      <c r="D407" s="31"/>
      <c r="E407" s="298"/>
      <c r="F407" s="39"/>
      <c r="G407" s="31"/>
      <c r="H407" s="39"/>
      <c r="I407" s="40"/>
      <c r="J407" s="40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</row>
    <row r="408" ht="30.0" customHeight="1">
      <c r="A408" s="31"/>
      <c r="B408" s="31"/>
      <c r="C408" s="31"/>
      <c r="D408" s="31"/>
      <c r="E408" s="298"/>
      <c r="F408" s="39"/>
      <c r="G408" s="31"/>
      <c r="H408" s="39"/>
      <c r="I408" s="40"/>
      <c r="J408" s="40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</row>
    <row r="409" ht="30.0" customHeight="1">
      <c r="A409" s="31"/>
      <c r="B409" s="31"/>
      <c r="C409" s="31"/>
      <c r="D409" s="31"/>
      <c r="E409" s="298"/>
      <c r="F409" s="39"/>
      <c r="G409" s="31"/>
      <c r="H409" s="39"/>
      <c r="I409" s="40"/>
      <c r="J409" s="40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</row>
    <row r="410" ht="30.0" customHeight="1">
      <c r="A410" s="31"/>
      <c r="B410" s="31"/>
      <c r="C410" s="31"/>
      <c r="D410" s="31"/>
      <c r="E410" s="298"/>
      <c r="F410" s="39"/>
      <c r="G410" s="31"/>
      <c r="H410" s="39"/>
      <c r="I410" s="40"/>
      <c r="J410" s="40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</row>
    <row r="411" ht="30.0" customHeight="1">
      <c r="A411" s="31"/>
      <c r="B411" s="31"/>
      <c r="C411" s="31"/>
      <c r="D411" s="31"/>
      <c r="E411" s="298"/>
      <c r="F411" s="39"/>
      <c r="G411" s="31"/>
      <c r="H411" s="39"/>
      <c r="I411" s="40"/>
      <c r="J411" s="40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</row>
    <row r="412" ht="30.0" customHeight="1">
      <c r="A412" s="31"/>
      <c r="B412" s="31"/>
      <c r="C412" s="31"/>
      <c r="D412" s="31"/>
      <c r="E412" s="298"/>
      <c r="F412" s="39"/>
      <c r="G412" s="31"/>
      <c r="H412" s="39"/>
      <c r="I412" s="40"/>
      <c r="J412" s="40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</row>
    <row r="413" ht="30.0" customHeight="1">
      <c r="A413" s="31"/>
      <c r="B413" s="31"/>
      <c r="C413" s="31"/>
      <c r="D413" s="31"/>
      <c r="E413" s="298"/>
      <c r="F413" s="39"/>
      <c r="G413" s="31"/>
      <c r="H413" s="39"/>
      <c r="I413" s="40"/>
      <c r="J413" s="40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</row>
    <row r="414" ht="30.0" customHeight="1">
      <c r="A414" s="31"/>
      <c r="B414" s="31"/>
      <c r="C414" s="31"/>
      <c r="D414" s="31"/>
      <c r="E414" s="298"/>
      <c r="F414" s="39"/>
      <c r="G414" s="31"/>
      <c r="H414" s="39"/>
      <c r="I414" s="40"/>
      <c r="J414" s="40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</row>
    <row r="415" ht="30.0" customHeight="1">
      <c r="A415" s="31"/>
      <c r="B415" s="31"/>
      <c r="C415" s="31"/>
      <c r="D415" s="31"/>
      <c r="E415" s="298"/>
      <c r="F415" s="39"/>
      <c r="G415" s="31"/>
      <c r="H415" s="39"/>
      <c r="I415" s="40"/>
      <c r="J415" s="40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</row>
    <row r="416" ht="30.0" customHeight="1">
      <c r="A416" s="31"/>
      <c r="B416" s="31"/>
      <c r="C416" s="31"/>
      <c r="D416" s="31"/>
      <c r="E416" s="298"/>
      <c r="F416" s="39"/>
      <c r="G416" s="31"/>
      <c r="H416" s="39"/>
      <c r="I416" s="40"/>
      <c r="J416" s="40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</row>
    <row r="417" ht="30.0" customHeight="1">
      <c r="A417" s="31"/>
      <c r="B417" s="31"/>
      <c r="C417" s="31"/>
      <c r="D417" s="31"/>
      <c r="E417" s="298"/>
      <c r="F417" s="39"/>
      <c r="G417" s="31"/>
      <c r="H417" s="39"/>
      <c r="I417" s="40"/>
      <c r="J417" s="40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</row>
    <row r="418" ht="30.0" customHeight="1">
      <c r="A418" s="31"/>
      <c r="B418" s="31"/>
      <c r="C418" s="31"/>
      <c r="D418" s="31"/>
      <c r="E418" s="298"/>
      <c r="F418" s="39"/>
      <c r="G418" s="31"/>
      <c r="H418" s="39"/>
      <c r="I418" s="40"/>
      <c r="J418" s="40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</row>
    <row r="419" ht="30.0" customHeight="1">
      <c r="A419" s="31"/>
      <c r="B419" s="31"/>
      <c r="C419" s="31"/>
      <c r="D419" s="31"/>
      <c r="E419" s="298"/>
      <c r="F419" s="39"/>
      <c r="G419" s="31"/>
      <c r="H419" s="39"/>
      <c r="I419" s="40"/>
      <c r="J419" s="40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</row>
    <row r="420" ht="30.0" customHeight="1">
      <c r="A420" s="31"/>
      <c r="B420" s="31"/>
      <c r="C420" s="31"/>
      <c r="D420" s="31"/>
      <c r="E420" s="298"/>
      <c r="F420" s="39"/>
      <c r="G420" s="31"/>
      <c r="H420" s="39"/>
      <c r="I420" s="40"/>
      <c r="J420" s="40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</row>
    <row r="421" ht="30.0" customHeight="1">
      <c r="A421" s="31"/>
      <c r="B421" s="31"/>
      <c r="C421" s="31"/>
      <c r="D421" s="31"/>
      <c r="E421" s="298"/>
      <c r="F421" s="39"/>
      <c r="G421" s="31"/>
      <c r="H421" s="39"/>
      <c r="I421" s="40"/>
      <c r="J421" s="40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</row>
    <row r="422" ht="30.0" customHeight="1">
      <c r="A422" s="31"/>
      <c r="B422" s="31"/>
      <c r="C422" s="31"/>
      <c r="D422" s="31"/>
      <c r="E422" s="298"/>
      <c r="F422" s="39"/>
      <c r="G422" s="31"/>
      <c r="H422" s="39"/>
      <c r="I422" s="40"/>
      <c r="J422" s="40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</row>
    <row r="423" ht="30.0" customHeight="1">
      <c r="A423" s="31"/>
      <c r="B423" s="31"/>
      <c r="C423" s="31"/>
      <c r="D423" s="31"/>
      <c r="E423" s="298"/>
      <c r="F423" s="39"/>
      <c r="G423" s="31"/>
      <c r="H423" s="39"/>
      <c r="I423" s="40"/>
      <c r="J423" s="40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</row>
    <row r="424" ht="30.0" customHeight="1">
      <c r="A424" s="31"/>
      <c r="B424" s="31"/>
      <c r="C424" s="31"/>
      <c r="D424" s="31"/>
      <c r="E424" s="298"/>
      <c r="F424" s="39"/>
      <c r="G424" s="31"/>
      <c r="H424" s="39"/>
      <c r="I424" s="40"/>
      <c r="J424" s="40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</row>
    <row r="425" ht="30.0" customHeight="1">
      <c r="A425" s="31"/>
      <c r="B425" s="31"/>
      <c r="C425" s="31"/>
      <c r="D425" s="31"/>
      <c r="E425" s="298"/>
      <c r="F425" s="39"/>
      <c r="G425" s="31"/>
      <c r="H425" s="39"/>
      <c r="I425" s="40"/>
      <c r="J425" s="40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</row>
    <row r="426" ht="30.0" customHeight="1">
      <c r="A426" s="31"/>
      <c r="B426" s="31"/>
      <c r="C426" s="31"/>
      <c r="D426" s="31"/>
      <c r="E426" s="298"/>
      <c r="F426" s="39"/>
      <c r="G426" s="31"/>
      <c r="H426" s="39"/>
      <c r="I426" s="40"/>
      <c r="J426" s="40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</row>
    <row r="427" ht="30.0" customHeight="1">
      <c r="A427" s="31"/>
      <c r="B427" s="31"/>
      <c r="C427" s="31"/>
      <c r="D427" s="31"/>
      <c r="E427" s="298"/>
      <c r="F427" s="39"/>
      <c r="G427" s="31"/>
      <c r="H427" s="39"/>
      <c r="I427" s="40"/>
      <c r="J427" s="40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</row>
    <row r="428" ht="30.0" customHeight="1">
      <c r="A428" s="31"/>
      <c r="B428" s="31"/>
      <c r="C428" s="31"/>
      <c r="D428" s="31"/>
      <c r="E428" s="298"/>
      <c r="F428" s="39"/>
      <c r="G428" s="31"/>
      <c r="H428" s="39"/>
      <c r="I428" s="40"/>
      <c r="J428" s="40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</row>
    <row r="429" ht="30.0" customHeight="1">
      <c r="A429" s="31"/>
      <c r="B429" s="31"/>
      <c r="C429" s="31"/>
      <c r="D429" s="31"/>
      <c r="E429" s="298"/>
      <c r="F429" s="39"/>
      <c r="G429" s="31"/>
      <c r="H429" s="39"/>
      <c r="I429" s="40"/>
      <c r="J429" s="40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</row>
    <row r="430" ht="30.0" customHeight="1">
      <c r="A430" s="31"/>
      <c r="B430" s="31"/>
      <c r="C430" s="31"/>
      <c r="D430" s="31"/>
      <c r="E430" s="298"/>
      <c r="F430" s="39"/>
      <c r="G430" s="31"/>
      <c r="H430" s="39"/>
      <c r="I430" s="40"/>
      <c r="J430" s="40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</row>
    <row r="431" ht="30.0" customHeight="1">
      <c r="A431" s="31"/>
      <c r="B431" s="31"/>
      <c r="C431" s="31"/>
      <c r="D431" s="31"/>
      <c r="E431" s="298"/>
      <c r="F431" s="39"/>
      <c r="G431" s="31"/>
      <c r="H431" s="39"/>
      <c r="I431" s="40"/>
      <c r="J431" s="40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</row>
    <row r="432" ht="30.0" customHeight="1">
      <c r="A432" s="31"/>
      <c r="B432" s="31"/>
      <c r="C432" s="31"/>
      <c r="D432" s="31"/>
      <c r="E432" s="298"/>
      <c r="F432" s="39"/>
      <c r="G432" s="31"/>
      <c r="H432" s="39"/>
      <c r="I432" s="40"/>
      <c r="J432" s="40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</row>
    <row r="433" ht="30.0" customHeight="1">
      <c r="A433" s="31"/>
      <c r="B433" s="31"/>
      <c r="C433" s="31"/>
      <c r="D433" s="31"/>
      <c r="E433" s="298"/>
      <c r="F433" s="39"/>
      <c r="G433" s="31"/>
      <c r="H433" s="39"/>
      <c r="I433" s="40"/>
      <c r="J433" s="40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</row>
    <row r="434" ht="30.0" customHeight="1">
      <c r="A434" s="31"/>
      <c r="B434" s="31"/>
      <c r="C434" s="31"/>
      <c r="D434" s="31"/>
      <c r="E434" s="298"/>
      <c r="F434" s="39"/>
      <c r="G434" s="31"/>
      <c r="H434" s="39"/>
      <c r="I434" s="40"/>
      <c r="J434" s="40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</row>
    <row r="435" ht="30.0" customHeight="1">
      <c r="A435" s="31"/>
      <c r="B435" s="31"/>
      <c r="C435" s="31"/>
      <c r="D435" s="31"/>
      <c r="E435" s="298"/>
      <c r="F435" s="39"/>
      <c r="G435" s="31"/>
      <c r="H435" s="39"/>
      <c r="I435" s="40"/>
      <c r="J435" s="40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</row>
    <row r="436" ht="30.0" customHeight="1">
      <c r="A436" s="31"/>
      <c r="B436" s="31"/>
      <c r="C436" s="31"/>
      <c r="D436" s="31"/>
      <c r="E436" s="298"/>
      <c r="F436" s="39"/>
      <c r="G436" s="31"/>
      <c r="H436" s="39"/>
      <c r="I436" s="40"/>
      <c r="J436" s="40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</row>
    <row r="437" ht="30.0" customHeight="1">
      <c r="A437" s="31"/>
      <c r="B437" s="31"/>
      <c r="C437" s="31"/>
      <c r="D437" s="31"/>
      <c r="E437" s="298"/>
      <c r="F437" s="39"/>
      <c r="G437" s="31"/>
      <c r="H437" s="39"/>
      <c r="I437" s="40"/>
      <c r="J437" s="40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</row>
    <row r="438" ht="30.0" customHeight="1">
      <c r="A438" s="31"/>
      <c r="B438" s="31"/>
      <c r="C438" s="31"/>
      <c r="D438" s="31"/>
      <c r="E438" s="298"/>
      <c r="F438" s="39"/>
      <c r="G438" s="31"/>
      <c r="H438" s="39"/>
      <c r="I438" s="40"/>
      <c r="J438" s="40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</row>
    <row r="439" ht="30.0" customHeight="1">
      <c r="A439" s="31"/>
      <c r="B439" s="31"/>
      <c r="C439" s="31"/>
      <c r="D439" s="31"/>
      <c r="E439" s="298"/>
      <c r="F439" s="39"/>
      <c r="G439" s="31"/>
      <c r="H439" s="39"/>
      <c r="I439" s="40"/>
      <c r="J439" s="40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</row>
    <row r="440" ht="30.0" customHeight="1">
      <c r="A440" s="31"/>
      <c r="B440" s="31"/>
      <c r="C440" s="31"/>
      <c r="D440" s="31"/>
      <c r="E440" s="298"/>
      <c r="F440" s="39"/>
      <c r="G440" s="31"/>
      <c r="H440" s="39"/>
      <c r="I440" s="40"/>
      <c r="J440" s="40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</row>
    <row r="441" ht="30.0" customHeight="1">
      <c r="A441" s="31"/>
      <c r="B441" s="31"/>
      <c r="C441" s="31"/>
      <c r="D441" s="31"/>
      <c r="E441" s="298"/>
      <c r="F441" s="39"/>
      <c r="G441" s="31"/>
      <c r="H441" s="39"/>
      <c r="I441" s="40"/>
      <c r="J441" s="40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</row>
    <row r="442" ht="30.0" customHeight="1">
      <c r="A442" s="31"/>
      <c r="B442" s="31"/>
      <c r="C442" s="31"/>
      <c r="D442" s="31"/>
      <c r="E442" s="298"/>
      <c r="F442" s="39"/>
      <c r="G442" s="31"/>
      <c r="H442" s="39"/>
      <c r="I442" s="40"/>
      <c r="J442" s="40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</row>
    <row r="443" ht="30.0" customHeight="1">
      <c r="A443" s="31"/>
      <c r="B443" s="31"/>
      <c r="C443" s="31"/>
      <c r="D443" s="31"/>
      <c r="E443" s="298"/>
      <c r="F443" s="39"/>
      <c r="G443" s="31"/>
      <c r="H443" s="39"/>
      <c r="I443" s="40"/>
      <c r="J443" s="40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</row>
    <row r="444" ht="30.0" customHeight="1">
      <c r="A444" s="31"/>
      <c r="B444" s="31"/>
      <c r="C444" s="31"/>
      <c r="D444" s="31"/>
      <c r="E444" s="298"/>
      <c r="F444" s="39"/>
      <c r="G444" s="31"/>
      <c r="H444" s="39"/>
      <c r="I444" s="40"/>
      <c r="J444" s="40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</row>
    <row r="445" ht="30.0" customHeight="1">
      <c r="A445" s="31"/>
      <c r="B445" s="31"/>
      <c r="C445" s="31"/>
      <c r="D445" s="31"/>
      <c r="E445" s="298"/>
      <c r="F445" s="39"/>
      <c r="G445" s="31"/>
      <c r="H445" s="39"/>
      <c r="I445" s="40"/>
      <c r="J445" s="40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</row>
    <row r="446" ht="30.0" customHeight="1">
      <c r="A446" s="31"/>
      <c r="B446" s="31"/>
      <c r="C446" s="31"/>
      <c r="D446" s="31"/>
      <c r="E446" s="298"/>
      <c r="F446" s="39"/>
      <c r="G446" s="31"/>
      <c r="H446" s="39"/>
      <c r="I446" s="40"/>
      <c r="J446" s="40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</row>
    <row r="447" ht="30.0" customHeight="1">
      <c r="A447" s="31"/>
      <c r="B447" s="31"/>
      <c r="C447" s="31"/>
      <c r="D447" s="31"/>
      <c r="E447" s="298"/>
      <c r="F447" s="39"/>
      <c r="G447" s="31"/>
      <c r="H447" s="39"/>
      <c r="I447" s="40"/>
      <c r="J447" s="40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</row>
    <row r="448" ht="30.0" customHeight="1">
      <c r="A448" s="31"/>
      <c r="B448" s="31"/>
      <c r="C448" s="31"/>
      <c r="D448" s="31"/>
      <c r="E448" s="298"/>
      <c r="F448" s="39"/>
      <c r="G448" s="31"/>
      <c r="H448" s="39"/>
      <c r="I448" s="40"/>
      <c r="J448" s="40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</row>
    <row r="449" ht="30.0" customHeight="1">
      <c r="A449" s="31"/>
      <c r="B449" s="31"/>
      <c r="C449" s="31"/>
      <c r="D449" s="31"/>
      <c r="E449" s="298"/>
      <c r="F449" s="39"/>
      <c r="G449" s="31"/>
      <c r="H449" s="39"/>
      <c r="I449" s="40"/>
      <c r="J449" s="40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</row>
    <row r="450" ht="30.0" customHeight="1">
      <c r="A450" s="31"/>
      <c r="B450" s="31"/>
      <c r="C450" s="31"/>
      <c r="D450" s="31"/>
      <c r="E450" s="298"/>
      <c r="F450" s="39"/>
      <c r="G450" s="31"/>
      <c r="H450" s="39"/>
      <c r="I450" s="40"/>
      <c r="J450" s="40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</row>
    <row r="451" ht="30.0" customHeight="1">
      <c r="A451" s="31"/>
      <c r="B451" s="31"/>
      <c r="C451" s="31"/>
      <c r="D451" s="31"/>
      <c r="E451" s="298"/>
      <c r="F451" s="39"/>
      <c r="G451" s="31"/>
      <c r="H451" s="39"/>
      <c r="I451" s="40"/>
      <c r="J451" s="40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</row>
    <row r="452" ht="30.0" customHeight="1">
      <c r="A452" s="31"/>
      <c r="B452" s="31"/>
      <c r="C452" s="31"/>
      <c r="D452" s="31"/>
      <c r="E452" s="298"/>
      <c r="F452" s="39"/>
      <c r="G452" s="31"/>
      <c r="H452" s="39"/>
      <c r="I452" s="40"/>
      <c r="J452" s="40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</row>
    <row r="453" ht="30.0" customHeight="1">
      <c r="A453" s="31"/>
      <c r="B453" s="31"/>
      <c r="C453" s="31"/>
      <c r="D453" s="31"/>
      <c r="E453" s="298"/>
      <c r="F453" s="39"/>
      <c r="G453" s="31"/>
      <c r="H453" s="39"/>
      <c r="I453" s="40"/>
      <c r="J453" s="40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</row>
    <row r="454" ht="30.0" customHeight="1">
      <c r="A454" s="31"/>
      <c r="B454" s="31"/>
      <c r="C454" s="31"/>
      <c r="D454" s="31"/>
      <c r="E454" s="298"/>
      <c r="F454" s="39"/>
      <c r="G454" s="31"/>
      <c r="H454" s="39"/>
      <c r="I454" s="40"/>
      <c r="J454" s="40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</row>
    <row r="455" ht="30.0" customHeight="1">
      <c r="A455" s="31"/>
      <c r="B455" s="31"/>
      <c r="C455" s="31"/>
      <c r="D455" s="31"/>
      <c r="E455" s="298"/>
      <c r="F455" s="39"/>
      <c r="G455" s="31"/>
      <c r="H455" s="39"/>
      <c r="I455" s="40"/>
      <c r="J455" s="40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</row>
    <row r="456" ht="30.0" customHeight="1">
      <c r="A456" s="31"/>
      <c r="B456" s="31"/>
      <c r="C456" s="31"/>
      <c r="D456" s="31"/>
      <c r="E456" s="298"/>
      <c r="F456" s="39"/>
      <c r="G456" s="31"/>
      <c r="H456" s="39"/>
      <c r="I456" s="40"/>
      <c r="J456" s="40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</row>
    <row r="457" ht="30.0" customHeight="1">
      <c r="A457" s="31"/>
      <c r="B457" s="31"/>
      <c r="C457" s="31"/>
      <c r="D457" s="31"/>
      <c r="E457" s="298"/>
      <c r="F457" s="39"/>
      <c r="G457" s="31"/>
      <c r="H457" s="39"/>
      <c r="I457" s="40"/>
      <c r="J457" s="40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</row>
    <row r="458" ht="30.0" customHeight="1">
      <c r="A458" s="31"/>
      <c r="B458" s="31"/>
      <c r="C458" s="31"/>
      <c r="D458" s="31"/>
      <c r="E458" s="298"/>
      <c r="F458" s="39"/>
      <c r="G458" s="31"/>
      <c r="H458" s="39"/>
      <c r="I458" s="40"/>
      <c r="J458" s="40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</row>
    <row r="459" ht="30.0" customHeight="1">
      <c r="A459" s="31"/>
      <c r="B459" s="31"/>
      <c r="C459" s="31"/>
      <c r="D459" s="31"/>
      <c r="E459" s="298"/>
      <c r="F459" s="39"/>
      <c r="G459" s="31"/>
      <c r="H459" s="39"/>
      <c r="I459" s="40"/>
      <c r="J459" s="40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</row>
    <row r="460" ht="30.0" customHeight="1">
      <c r="A460" s="31"/>
      <c r="B460" s="31"/>
      <c r="C460" s="31"/>
      <c r="D460" s="31"/>
      <c r="E460" s="298"/>
      <c r="F460" s="39"/>
      <c r="G460" s="31"/>
      <c r="H460" s="39"/>
      <c r="I460" s="40"/>
      <c r="J460" s="40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</row>
    <row r="461" ht="30.0" customHeight="1">
      <c r="A461" s="31"/>
      <c r="B461" s="31"/>
      <c r="C461" s="31"/>
      <c r="D461" s="31"/>
      <c r="E461" s="298"/>
      <c r="F461" s="39"/>
      <c r="G461" s="31"/>
      <c r="H461" s="39"/>
      <c r="I461" s="40"/>
      <c r="J461" s="40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</row>
    <row r="462" ht="30.0" customHeight="1">
      <c r="A462" s="31"/>
      <c r="B462" s="31"/>
      <c r="C462" s="31"/>
      <c r="D462" s="31"/>
      <c r="E462" s="298"/>
      <c r="F462" s="39"/>
      <c r="G462" s="31"/>
      <c r="H462" s="39"/>
      <c r="I462" s="40"/>
      <c r="J462" s="40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</row>
    <row r="463" ht="30.0" customHeight="1">
      <c r="A463" s="31"/>
      <c r="B463" s="31"/>
      <c r="C463" s="31"/>
      <c r="D463" s="31"/>
      <c r="E463" s="298"/>
      <c r="F463" s="39"/>
      <c r="G463" s="31"/>
      <c r="H463" s="39"/>
      <c r="I463" s="40"/>
      <c r="J463" s="40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</row>
    <row r="464" ht="30.0" customHeight="1">
      <c r="A464" s="31"/>
      <c r="B464" s="31"/>
      <c r="C464" s="31"/>
      <c r="D464" s="31"/>
      <c r="E464" s="298"/>
      <c r="F464" s="39"/>
      <c r="G464" s="31"/>
      <c r="H464" s="39"/>
      <c r="I464" s="40"/>
      <c r="J464" s="40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</row>
    <row r="465" ht="30.0" customHeight="1">
      <c r="A465" s="31"/>
      <c r="B465" s="31"/>
      <c r="C465" s="31"/>
      <c r="D465" s="31"/>
      <c r="E465" s="298"/>
      <c r="F465" s="39"/>
      <c r="G465" s="31"/>
      <c r="H465" s="39"/>
      <c r="I465" s="40"/>
      <c r="J465" s="40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</row>
    <row r="466" ht="30.0" customHeight="1">
      <c r="A466" s="31"/>
      <c r="B466" s="31"/>
      <c r="C466" s="31"/>
      <c r="D466" s="31"/>
      <c r="E466" s="298"/>
      <c r="F466" s="39"/>
      <c r="G466" s="31"/>
      <c r="H466" s="39"/>
      <c r="I466" s="40"/>
      <c r="J466" s="40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</row>
    <row r="467" ht="30.0" customHeight="1">
      <c r="A467" s="31"/>
      <c r="B467" s="31"/>
      <c r="C467" s="31"/>
      <c r="D467" s="31"/>
      <c r="E467" s="298"/>
      <c r="F467" s="39"/>
      <c r="G467" s="31"/>
      <c r="H467" s="39"/>
      <c r="I467" s="40"/>
      <c r="J467" s="40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</row>
    <row r="468" ht="30.0" customHeight="1">
      <c r="A468" s="31"/>
      <c r="B468" s="31"/>
      <c r="C468" s="31"/>
      <c r="D468" s="31"/>
      <c r="E468" s="298"/>
      <c r="F468" s="39"/>
      <c r="G468" s="31"/>
      <c r="H468" s="39"/>
      <c r="I468" s="40"/>
      <c r="J468" s="40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</row>
    <row r="469" ht="30.0" customHeight="1">
      <c r="A469" s="31"/>
      <c r="B469" s="31"/>
      <c r="C469" s="31"/>
      <c r="D469" s="31"/>
      <c r="E469" s="298"/>
      <c r="F469" s="39"/>
      <c r="G469" s="31"/>
      <c r="H469" s="39"/>
      <c r="I469" s="40"/>
      <c r="J469" s="40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</row>
    <row r="470" ht="30.0" customHeight="1">
      <c r="A470" s="31"/>
      <c r="B470" s="31"/>
      <c r="C470" s="31"/>
      <c r="D470" s="31"/>
      <c r="E470" s="298"/>
      <c r="F470" s="39"/>
      <c r="G470" s="31"/>
      <c r="H470" s="39"/>
      <c r="I470" s="40"/>
      <c r="J470" s="40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</row>
    <row r="471" ht="30.0" customHeight="1">
      <c r="A471" s="31"/>
      <c r="B471" s="31"/>
      <c r="C471" s="31"/>
      <c r="D471" s="31"/>
      <c r="E471" s="298"/>
      <c r="F471" s="39"/>
      <c r="G471" s="31"/>
      <c r="H471" s="39"/>
      <c r="I471" s="40"/>
      <c r="J471" s="40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</row>
    <row r="472" ht="30.0" customHeight="1">
      <c r="A472" s="31"/>
      <c r="B472" s="31"/>
      <c r="C472" s="31"/>
      <c r="D472" s="31"/>
      <c r="E472" s="298"/>
      <c r="F472" s="39"/>
      <c r="G472" s="31"/>
      <c r="H472" s="39"/>
      <c r="I472" s="40"/>
      <c r="J472" s="40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</row>
    <row r="473" ht="30.0" customHeight="1">
      <c r="A473" s="31"/>
      <c r="B473" s="31"/>
      <c r="C473" s="31"/>
      <c r="D473" s="31"/>
      <c r="E473" s="298"/>
      <c r="F473" s="39"/>
      <c r="G473" s="31"/>
      <c r="H473" s="39"/>
      <c r="I473" s="40"/>
      <c r="J473" s="40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</row>
    <row r="474" ht="30.0" customHeight="1">
      <c r="A474" s="31"/>
      <c r="B474" s="31"/>
      <c r="C474" s="31"/>
      <c r="D474" s="31"/>
      <c r="E474" s="298"/>
      <c r="F474" s="39"/>
      <c r="G474" s="31"/>
      <c r="H474" s="39"/>
      <c r="I474" s="40"/>
      <c r="J474" s="40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</row>
    <row r="475" ht="30.0" customHeight="1">
      <c r="A475" s="31"/>
      <c r="B475" s="31"/>
      <c r="C475" s="31"/>
      <c r="D475" s="31"/>
      <c r="E475" s="298"/>
      <c r="F475" s="39"/>
      <c r="G475" s="31"/>
      <c r="H475" s="39"/>
      <c r="I475" s="40"/>
      <c r="J475" s="40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</row>
    <row r="476" ht="30.0" customHeight="1">
      <c r="A476" s="31"/>
      <c r="B476" s="31"/>
      <c r="C476" s="31"/>
      <c r="D476" s="31"/>
      <c r="E476" s="298"/>
      <c r="F476" s="39"/>
      <c r="G476" s="31"/>
      <c r="H476" s="39"/>
      <c r="I476" s="40"/>
      <c r="J476" s="40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</row>
    <row r="477" ht="30.0" customHeight="1">
      <c r="A477" s="31"/>
      <c r="B477" s="31"/>
      <c r="C477" s="31"/>
      <c r="D477" s="31"/>
      <c r="E477" s="298"/>
      <c r="F477" s="39"/>
      <c r="G477" s="31"/>
      <c r="H477" s="39"/>
      <c r="I477" s="40"/>
      <c r="J477" s="40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</row>
    <row r="478" ht="30.0" customHeight="1">
      <c r="A478" s="31"/>
      <c r="B478" s="31"/>
      <c r="C478" s="31"/>
      <c r="D478" s="31"/>
      <c r="E478" s="298"/>
      <c r="F478" s="39"/>
      <c r="G478" s="31"/>
      <c r="H478" s="39"/>
      <c r="I478" s="40"/>
      <c r="J478" s="40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</row>
    <row r="479" ht="30.0" customHeight="1">
      <c r="A479" s="31"/>
      <c r="B479" s="31"/>
      <c r="C479" s="31"/>
      <c r="D479" s="31"/>
      <c r="E479" s="298"/>
      <c r="F479" s="39"/>
      <c r="G479" s="31"/>
      <c r="H479" s="39"/>
      <c r="I479" s="40"/>
      <c r="J479" s="40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</row>
    <row r="480" ht="30.0" customHeight="1">
      <c r="A480" s="31"/>
      <c r="B480" s="31"/>
      <c r="C480" s="31"/>
      <c r="D480" s="31"/>
      <c r="E480" s="298"/>
      <c r="F480" s="39"/>
      <c r="G480" s="31"/>
      <c r="H480" s="39"/>
      <c r="I480" s="40"/>
      <c r="J480" s="40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</row>
    <row r="481" ht="30.0" customHeight="1">
      <c r="A481" s="31"/>
      <c r="B481" s="31"/>
      <c r="C481" s="31"/>
      <c r="D481" s="31"/>
      <c r="E481" s="298"/>
      <c r="F481" s="39"/>
      <c r="G481" s="31"/>
      <c r="H481" s="39"/>
      <c r="I481" s="40"/>
      <c r="J481" s="40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</row>
    <row r="482" ht="30.0" customHeight="1">
      <c r="A482" s="31"/>
      <c r="B482" s="31"/>
      <c r="C482" s="31"/>
      <c r="D482" s="31"/>
      <c r="E482" s="298"/>
      <c r="F482" s="39"/>
      <c r="G482" s="31"/>
      <c r="H482" s="39"/>
      <c r="I482" s="40"/>
      <c r="J482" s="40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</row>
    <row r="483" ht="30.0" customHeight="1">
      <c r="A483" s="31"/>
      <c r="B483" s="31"/>
      <c r="C483" s="31"/>
      <c r="D483" s="31"/>
      <c r="E483" s="298"/>
      <c r="F483" s="39"/>
      <c r="G483" s="31"/>
      <c r="H483" s="39"/>
      <c r="I483" s="40"/>
      <c r="J483" s="40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</row>
    <row r="484" ht="30.0" customHeight="1">
      <c r="A484" s="31"/>
      <c r="B484" s="31"/>
      <c r="C484" s="31"/>
      <c r="D484" s="31"/>
      <c r="E484" s="298"/>
      <c r="F484" s="39"/>
      <c r="G484" s="31"/>
      <c r="H484" s="39"/>
      <c r="I484" s="40"/>
      <c r="J484" s="40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</row>
    <row r="485" ht="30.0" customHeight="1">
      <c r="A485" s="31"/>
      <c r="B485" s="31"/>
      <c r="C485" s="31"/>
      <c r="D485" s="31"/>
      <c r="E485" s="298"/>
      <c r="F485" s="39"/>
      <c r="G485" s="31"/>
      <c r="H485" s="39"/>
      <c r="I485" s="40"/>
      <c r="J485" s="40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</row>
    <row r="486" ht="30.0" customHeight="1">
      <c r="A486" s="31"/>
      <c r="B486" s="31"/>
      <c r="C486" s="31"/>
      <c r="D486" s="31"/>
      <c r="E486" s="298"/>
      <c r="F486" s="39"/>
      <c r="G486" s="31"/>
      <c r="H486" s="39"/>
      <c r="I486" s="40"/>
      <c r="J486" s="40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</row>
    <row r="487" ht="30.0" customHeight="1">
      <c r="A487" s="31"/>
      <c r="B487" s="31"/>
      <c r="C487" s="31"/>
      <c r="D487" s="31"/>
      <c r="E487" s="298"/>
      <c r="F487" s="39"/>
      <c r="G487" s="31"/>
      <c r="H487" s="39"/>
      <c r="I487" s="40"/>
      <c r="J487" s="40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</row>
    <row r="488" ht="30.0" customHeight="1">
      <c r="A488" s="31"/>
      <c r="B488" s="31"/>
      <c r="C488" s="31"/>
      <c r="D488" s="31"/>
      <c r="E488" s="298"/>
      <c r="F488" s="39"/>
      <c r="G488" s="31"/>
      <c r="H488" s="39"/>
      <c r="I488" s="40"/>
      <c r="J488" s="40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</row>
    <row r="489" ht="30.0" customHeight="1">
      <c r="A489" s="31"/>
      <c r="B489" s="31"/>
      <c r="C489" s="31"/>
      <c r="D489" s="31"/>
      <c r="E489" s="298"/>
      <c r="F489" s="39"/>
      <c r="G489" s="31"/>
      <c r="H489" s="39"/>
      <c r="I489" s="40"/>
      <c r="J489" s="40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</row>
    <row r="490" ht="30.0" customHeight="1">
      <c r="A490" s="31"/>
      <c r="B490" s="31"/>
      <c r="C490" s="31"/>
      <c r="D490" s="31"/>
      <c r="E490" s="298"/>
      <c r="F490" s="39"/>
      <c r="G490" s="31"/>
      <c r="H490" s="39"/>
      <c r="I490" s="40"/>
      <c r="J490" s="40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</row>
    <row r="491" ht="30.0" customHeight="1">
      <c r="A491" s="31"/>
      <c r="B491" s="31"/>
      <c r="C491" s="31"/>
      <c r="D491" s="31"/>
      <c r="E491" s="298"/>
      <c r="F491" s="39"/>
      <c r="G491" s="31"/>
      <c r="H491" s="39"/>
      <c r="I491" s="40"/>
      <c r="J491" s="40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</row>
    <row r="492" ht="30.0" customHeight="1">
      <c r="A492" s="31"/>
      <c r="B492" s="31"/>
      <c r="C492" s="31"/>
      <c r="D492" s="31"/>
      <c r="E492" s="298"/>
      <c r="F492" s="39"/>
      <c r="G492" s="31"/>
      <c r="H492" s="39"/>
      <c r="I492" s="40"/>
      <c r="J492" s="40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</row>
    <row r="493" ht="30.0" customHeight="1">
      <c r="A493" s="31"/>
      <c r="B493" s="31"/>
      <c r="C493" s="31"/>
      <c r="D493" s="31"/>
      <c r="E493" s="298"/>
      <c r="F493" s="39"/>
      <c r="G493" s="31"/>
      <c r="H493" s="39"/>
      <c r="I493" s="40"/>
      <c r="J493" s="40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</row>
    <row r="494" ht="30.0" customHeight="1">
      <c r="A494" s="31"/>
      <c r="B494" s="31"/>
      <c r="C494" s="31"/>
      <c r="D494" s="31"/>
      <c r="E494" s="298"/>
      <c r="F494" s="39"/>
      <c r="G494" s="31"/>
      <c r="H494" s="39"/>
      <c r="I494" s="40"/>
      <c r="J494" s="40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</row>
    <row r="495" ht="30.0" customHeight="1">
      <c r="A495" s="31"/>
      <c r="B495" s="31"/>
      <c r="C495" s="31"/>
      <c r="D495" s="31"/>
      <c r="E495" s="298"/>
      <c r="F495" s="39"/>
      <c r="G495" s="31"/>
      <c r="H495" s="39"/>
      <c r="I495" s="40"/>
      <c r="J495" s="40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</row>
    <row r="496" ht="30.0" customHeight="1">
      <c r="A496" s="31"/>
      <c r="B496" s="31"/>
      <c r="C496" s="31"/>
      <c r="D496" s="31"/>
      <c r="E496" s="298"/>
      <c r="F496" s="39"/>
      <c r="G496" s="31"/>
      <c r="H496" s="39"/>
      <c r="I496" s="40"/>
      <c r="J496" s="40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</row>
    <row r="497" ht="30.0" customHeight="1">
      <c r="A497" s="31"/>
      <c r="B497" s="31"/>
      <c r="C497" s="31"/>
      <c r="D497" s="31"/>
      <c r="E497" s="298"/>
      <c r="F497" s="39"/>
      <c r="G497" s="31"/>
      <c r="H497" s="39"/>
      <c r="I497" s="40"/>
      <c r="J497" s="40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</row>
    <row r="498" ht="30.0" customHeight="1">
      <c r="A498" s="31"/>
      <c r="B498" s="31"/>
      <c r="C498" s="31"/>
      <c r="D498" s="31"/>
      <c r="E498" s="298"/>
      <c r="F498" s="39"/>
      <c r="G498" s="31"/>
      <c r="H498" s="39"/>
      <c r="I498" s="40"/>
      <c r="J498" s="40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</row>
    <row r="499" ht="30.0" customHeight="1">
      <c r="A499" s="31"/>
      <c r="B499" s="31"/>
      <c r="C499" s="31"/>
      <c r="D499" s="31"/>
      <c r="E499" s="298"/>
      <c r="F499" s="39"/>
      <c r="G499" s="31"/>
      <c r="H499" s="39"/>
      <c r="I499" s="40"/>
      <c r="J499" s="40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</row>
    <row r="500" ht="30.0" customHeight="1">
      <c r="A500" s="31"/>
      <c r="B500" s="31"/>
      <c r="C500" s="31"/>
      <c r="D500" s="31"/>
      <c r="E500" s="298"/>
      <c r="F500" s="39"/>
      <c r="G500" s="31"/>
      <c r="H500" s="39"/>
      <c r="I500" s="40"/>
      <c r="J500" s="40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</row>
    <row r="501" ht="30.0" customHeight="1">
      <c r="A501" s="31"/>
      <c r="B501" s="31"/>
      <c r="C501" s="31"/>
      <c r="D501" s="31"/>
      <c r="E501" s="298"/>
      <c r="F501" s="39"/>
      <c r="G501" s="31"/>
      <c r="H501" s="39"/>
      <c r="I501" s="40"/>
      <c r="J501" s="40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</row>
    <row r="502" ht="30.0" customHeight="1">
      <c r="A502" s="31"/>
      <c r="B502" s="31"/>
      <c r="C502" s="31"/>
      <c r="D502" s="31"/>
      <c r="E502" s="298"/>
      <c r="F502" s="39"/>
      <c r="G502" s="31"/>
      <c r="H502" s="39"/>
      <c r="I502" s="40"/>
      <c r="J502" s="40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</row>
    <row r="503" ht="30.0" customHeight="1">
      <c r="A503" s="31"/>
      <c r="B503" s="31"/>
      <c r="C503" s="31"/>
      <c r="D503" s="31"/>
      <c r="E503" s="298"/>
      <c r="F503" s="39"/>
      <c r="G503" s="31"/>
      <c r="H503" s="39"/>
      <c r="I503" s="40"/>
      <c r="J503" s="40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</row>
    <row r="504" ht="30.0" customHeight="1">
      <c r="A504" s="31"/>
      <c r="B504" s="31"/>
      <c r="C504" s="31"/>
      <c r="D504" s="31"/>
      <c r="E504" s="298"/>
      <c r="F504" s="39"/>
      <c r="G504" s="31"/>
      <c r="H504" s="39"/>
      <c r="I504" s="40"/>
      <c r="J504" s="40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</row>
    <row r="505" ht="30.0" customHeight="1">
      <c r="A505" s="31"/>
      <c r="B505" s="31"/>
      <c r="C505" s="31"/>
      <c r="D505" s="31"/>
      <c r="E505" s="298"/>
      <c r="F505" s="39"/>
      <c r="G505" s="31"/>
      <c r="H505" s="39"/>
      <c r="I505" s="40"/>
      <c r="J505" s="40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</row>
    <row r="506" ht="30.0" customHeight="1">
      <c r="A506" s="31"/>
      <c r="B506" s="31"/>
      <c r="C506" s="31"/>
      <c r="D506" s="31"/>
      <c r="E506" s="298"/>
      <c r="F506" s="39"/>
      <c r="G506" s="31"/>
      <c r="H506" s="39"/>
      <c r="I506" s="40"/>
      <c r="J506" s="40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</row>
    <row r="507" ht="30.0" customHeight="1">
      <c r="A507" s="31"/>
      <c r="B507" s="31"/>
      <c r="C507" s="31"/>
      <c r="D507" s="31"/>
      <c r="E507" s="298"/>
      <c r="F507" s="39"/>
      <c r="G507" s="31"/>
      <c r="H507" s="39"/>
      <c r="I507" s="40"/>
      <c r="J507" s="40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</row>
    <row r="508" ht="30.0" customHeight="1">
      <c r="A508" s="31"/>
      <c r="B508" s="31"/>
      <c r="C508" s="31"/>
      <c r="D508" s="31"/>
      <c r="E508" s="298"/>
      <c r="F508" s="39"/>
      <c r="G508" s="31"/>
      <c r="H508" s="39"/>
      <c r="I508" s="40"/>
      <c r="J508" s="40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</row>
    <row r="509" ht="30.0" customHeight="1">
      <c r="A509" s="31"/>
      <c r="B509" s="31"/>
      <c r="C509" s="31"/>
      <c r="D509" s="31"/>
      <c r="E509" s="298"/>
      <c r="F509" s="39"/>
      <c r="G509" s="31"/>
      <c r="H509" s="39"/>
      <c r="I509" s="40"/>
      <c r="J509" s="40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</row>
    <row r="510" ht="30.0" customHeight="1">
      <c r="A510" s="31"/>
      <c r="B510" s="31"/>
      <c r="C510" s="31"/>
      <c r="D510" s="31"/>
      <c r="E510" s="298"/>
      <c r="F510" s="39"/>
      <c r="G510" s="31"/>
      <c r="H510" s="39"/>
      <c r="I510" s="40"/>
      <c r="J510" s="40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</row>
    <row r="511" ht="30.0" customHeight="1">
      <c r="A511" s="31"/>
      <c r="B511" s="31"/>
      <c r="C511" s="31"/>
      <c r="D511" s="31"/>
      <c r="E511" s="298"/>
      <c r="F511" s="39"/>
      <c r="G511" s="31"/>
      <c r="H511" s="39"/>
      <c r="I511" s="40"/>
      <c r="J511" s="40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</row>
    <row r="512" ht="30.0" customHeight="1">
      <c r="A512" s="31"/>
      <c r="B512" s="31"/>
      <c r="C512" s="31"/>
      <c r="D512" s="31"/>
      <c r="E512" s="298"/>
      <c r="F512" s="39"/>
      <c r="G512" s="31"/>
      <c r="H512" s="39"/>
      <c r="I512" s="40"/>
      <c r="J512" s="40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</row>
    <row r="513" ht="30.0" customHeight="1">
      <c r="A513" s="31"/>
      <c r="B513" s="31"/>
      <c r="C513" s="31"/>
      <c r="D513" s="31"/>
      <c r="E513" s="298"/>
      <c r="F513" s="39"/>
      <c r="G513" s="31"/>
      <c r="H513" s="39"/>
      <c r="I513" s="40"/>
      <c r="J513" s="40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</row>
    <row r="514" ht="30.0" customHeight="1">
      <c r="A514" s="31"/>
      <c r="B514" s="31"/>
      <c r="C514" s="31"/>
      <c r="D514" s="31"/>
      <c r="E514" s="298"/>
      <c r="F514" s="39"/>
      <c r="G514" s="31"/>
      <c r="H514" s="39"/>
      <c r="I514" s="40"/>
      <c r="J514" s="40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</row>
    <row r="515" ht="30.0" customHeight="1">
      <c r="A515" s="31"/>
      <c r="B515" s="31"/>
      <c r="C515" s="31"/>
      <c r="D515" s="31"/>
      <c r="E515" s="298"/>
      <c r="F515" s="39"/>
      <c r="G515" s="31"/>
      <c r="H515" s="39"/>
      <c r="I515" s="40"/>
      <c r="J515" s="40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</row>
    <row r="516" ht="30.0" customHeight="1">
      <c r="A516" s="31"/>
      <c r="B516" s="31"/>
      <c r="C516" s="31"/>
      <c r="D516" s="31"/>
      <c r="E516" s="298"/>
      <c r="F516" s="39"/>
      <c r="G516" s="31"/>
      <c r="H516" s="39"/>
      <c r="I516" s="40"/>
      <c r="J516" s="40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</row>
    <row r="517" ht="30.0" customHeight="1">
      <c r="A517" s="31"/>
      <c r="B517" s="31"/>
      <c r="C517" s="31"/>
      <c r="D517" s="31"/>
      <c r="E517" s="298"/>
      <c r="F517" s="39"/>
      <c r="G517" s="31"/>
      <c r="H517" s="39"/>
      <c r="I517" s="40"/>
      <c r="J517" s="40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</row>
    <row r="518" ht="30.0" customHeight="1">
      <c r="A518" s="31"/>
      <c r="B518" s="31"/>
      <c r="C518" s="31"/>
      <c r="D518" s="31"/>
      <c r="E518" s="298"/>
      <c r="F518" s="39"/>
      <c r="G518" s="31"/>
      <c r="H518" s="39"/>
      <c r="I518" s="40"/>
      <c r="J518" s="40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</row>
    <row r="519" ht="30.0" customHeight="1">
      <c r="A519" s="31"/>
      <c r="B519" s="31"/>
      <c r="C519" s="31"/>
      <c r="D519" s="31"/>
      <c r="E519" s="298"/>
      <c r="F519" s="39"/>
      <c r="G519" s="31"/>
      <c r="H519" s="39"/>
      <c r="I519" s="40"/>
      <c r="J519" s="40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</row>
    <row r="520" ht="30.0" customHeight="1">
      <c r="A520" s="31"/>
      <c r="B520" s="31"/>
      <c r="C520" s="31"/>
      <c r="D520" s="31"/>
      <c r="E520" s="298"/>
      <c r="F520" s="39"/>
      <c r="G520" s="31"/>
      <c r="H520" s="39"/>
      <c r="I520" s="40"/>
      <c r="J520" s="40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</row>
    <row r="521" ht="30.0" customHeight="1">
      <c r="A521" s="31"/>
      <c r="B521" s="31"/>
      <c r="C521" s="31"/>
      <c r="D521" s="31"/>
      <c r="E521" s="298"/>
      <c r="F521" s="39"/>
      <c r="G521" s="31"/>
      <c r="H521" s="39"/>
      <c r="I521" s="40"/>
      <c r="J521" s="40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</row>
    <row r="522" ht="30.0" customHeight="1">
      <c r="A522" s="31"/>
      <c r="B522" s="31"/>
      <c r="C522" s="31"/>
      <c r="D522" s="31"/>
      <c r="E522" s="298"/>
      <c r="F522" s="39"/>
      <c r="G522" s="31"/>
      <c r="H522" s="39"/>
      <c r="I522" s="40"/>
      <c r="J522" s="40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</row>
    <row r="523" ht="30.0" customHeight="1">
      <c r="A523" s="31"/>
      <c r="B523" s="31"/>
      <c r="C523" s="31"/>
      <c r="D523" s="31"/>
      <c r="E523" s="298"/>
      <c r="F523" s="39"/>
      <c r="G523" s="31"/>
      <c r="H523" s="39"/>
      <c r="I523" s="40"/>
      <c r="J523" s="40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</row>
    <row r="524" ht="30.0" customHeight="1">
      <c r="A524" s="31"/>
      <c r="B524" s="31"/>
      <c r="C524" s="31"/>
      <c r="D524" s="31"/>
      <c r="E524" s="298"/>
      <c r="F524" s="39"/>
      <c r="G524" s="31"/>
      <c r="H524" s="39"/>
      <c r="I524" s="40"/>
      <c r="J524" s="40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</row>
    <row r="525" ht="30.0" customHeight="1">
      <c r="A525" s="31"/>
      <c r="B525" s="31"/>
      <c r="C525" s="31"/>
      <c r="D525" s="31"/>
      <c r="E525" s="298"/>
      <c r="F525" s="39"/>
      <c r="G525" s="31"/>
      <c r="H525" s="39"/>
      <c r="I525" s="40"/>
      <c r="J525" s="40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</row>
    <row r="526" ht="30.0" customHeight="1">
      <c r="A526" s="31"/>
      <c r="B526" s="31"/>
      <c r="C526" s="31"/>
      <c r="D526" s="31"/>
      <c r="E526" s="298"/>
      <c r="F526" s="39"/>
      <c r="G526" s="31"/>
      <c r="H526" s="39"/>
      <c r="I526" s="40"/>
      <c r="J526" s="40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</row>
    <row r="527" ht="30.0" customHeight="1">
      <c r="A527" s="31"/>
      <c r="B527" s="31"/>
      <c r="C527" s="31"/>
      <c r="D527" s="31"/>
      <c r="E527" s="298"/>
      <c r="F527" s="39"/>
      <c r="G527" s="31"/>
      <c r="H527" s="39"/>
      <c r="I527" s="40"/>
      <c r="J527" s="40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</row>
    <row r="528" ht="30.0" customHeight="1">
      <c r="A528" s="31"/>
      <c r="B528" s="31"/>
      <c r="C528" s="31"/>
      <c r="D528" s="31"/>
      <c r="E528" s="298"/>
      <c r="F528" s="39"/>
      <c r="G528" s="31"/>
      <c r="H528" s="39"/>
      <c r="I528" s="40"/>
      <c r="J528" s="40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</row>
    <row r="529" ht="30.0" customHeight="1">
      <c r="A529" s="31"/>
      <c r="B529" s="31"/>
      <c r="C529" s="31"/>
      <c r="D529" s="31"/>
      <c r="E529" s="298"/>
      <c r="F529" s="39"/>
      <c r="G529" s="31"/>
      <c r="H529" s="39"/>
      <c r="I529" s="40"/>
      <c r="J529" s="40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</row>
    <row r="530" ht="30.0" customHeight="1">
      <c r="A530" s="31"/>
      <c r="B530" s="31"/>
      <c r="C530" s="31"/>
      <c r="D530" s="31"/>
      <c r="E530" s="298"/>
      <c r="F530" s="39"/>
      <c r="G530" s="31"/>
      <c r="H530" s="39"/>
      <c r="I530" s="40"/>
      <c r="J530" s="40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</row>
    <row r="531" ht="30.0" customHeight="1">
      <c r="A531" s="31"/>
      <c r="B531" s="31"/>
      <c r="C531" s="31"/>
      <c r="D531" s="31"/>
      <c r="E531" s="298"/>
      <c r="F531" s="39"/>
      <c r="G531" s="31"/>
      <c r="H531" s="39"/>
      <c r="I531" s="40"/>
      <c r="J531" s="40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</row>
    <row r="532" ht="30.0" customHeight="1">
      <c r="A532" s="31"/>
      <c r="B532" s="31"/>
      <c r="C532" s="31"/>
      <c r="D532" s="31"/>
      <c r="E532" s="298"/>
      <c r="F532" s="39"/>
      <c r="G532" s="31"/>
      <c r="H532" s="39"/>
      <c r="I532" s="40"/>
      <c r="J532" s="40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</row>
    <row r="533" ht="30.0" customHeight="1">
      <c r="A533" s="31"/>
      <c r="B533" s="31"/>
      <c r="C533" s="31"/>
      <c r="D533" s="31"/>
      <c r="E533" s="298"/>
      <c r="F533" s="39"/>
      <c r="G533" s="31"/>
      <c r="H533" s="39"/>
      <c r="I533" s="40"/>
      <c r="J533" s="40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</row>
    <row r="534" ht="30.0" customHeight="1">
      <c r="A534" s="31"/>
      <c r="B534" s="31"/>
      <c r="C534" s="31"/>
      <c r="D534" s="31"/>
      <c r="E534" s="298"/>
      <c r="F534" s="39"/>
      <c r="G534" s="31"/>
      <c r="H534" s="39"/>
      <c r="I534" s="40"/>
      <c r="J534" s="40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</row>
    <row r="535" ht="30.0" customHeight="1">
      <c r="A535" s="31"/>
      <c r="B535" s="31"/>
      <c r="C535" s="31"/>
      <c r="D535" s="31"/>
      <c r="E535" s="298"/>
      <c r="F535" s="39"/>
      <c r="G535" s="31"/>
      <c r="H535" s="39"/>
      <c r="I535" s="40"/>
      <c r="J535" s="40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</row>
    <row r="536" ht="30.0" customHeight="1">
      <c r="A536" s="31"/>
      <c r="B536" s="31"/>
      <c r="C536" s="31"/>
      <c r="D536" s="31"/>
      <c r="E536" s="298"/>
      <c r="F536" s="39"/>
      <c r="G536" s="31"/>
      <c r="H536" s="39"/>
      <c r="I536" s="40"/>
      <c r="J536" s="40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</row>
    <row r="537" ht="30.0" customHeight="1">
      <c r="A537" s="31"/>
      <c r="B537" s="31"/>
      <c r="C537" s="31"/>
      <c r="D537" s="31"/>
      <c r="E537" s="298"/>
      <c r="F537" s="39"/>
      <c r="G537" s="31"/>
      <c r="H537" s="39"/>
      <c r="I537" s="40"/>
      <c r="J537" s="40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</row>
    <row r="538" ht="30.0" customHeight="1">
      <c r="A538" s="31"/>
      <c r="B538" s="31"/>
      <c r="C538" s="31"/>
      <c r="D538" s="31"/>
      <c r="E538" s="298"/>
      <c r="F538" s="39"/>
      <c r="G538" s="31"/>
      <c r="H538" s="39"/>
      <c r="I538" s="40"/>
      <c r="J538" s="40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</row>
    <row r="539" ht="30.0" customHeight="1">
      <c r="A539" s="31"/>
      <c r="B539" s="31"/>
      <c r="C539" s="31"/>
      <c r="D539" s="31"/>
      <c r="E539" s="298"/>
      <c r="F539" s="39"/>
      <c r="G539" s="31"/>
      <c r="H539" s="39"/>
      <c r="I539" s="40"/>
      <c r="J539" s="40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</row>
    <row r="540" ht="30.0" customHeight="1">
      <c r="A540" s="31"/>
      <c r="B540" s="31"/>
      <c r="C540" s="31"/>
      <c r="D540" s="31"/>
      <c r="E540" s="298"/>
      <c r="F540" s="39"/>
      <c r="G540" s="31"/>
      <c r="H540" s="39"/>
      <c r="I540" s="40"/>
      <c r="J540" s="40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</row>
    <row r="541" ht="30.0" customHeight="1">
      <c r="A541" s="31"/>
      <c r="B541" s="31"/>
      <c r="C541" s="31"/>
      <c r="D541" s="31"/>
      <c r="E541" s="298"/>
      <c r="F541" s="39"/>
      <c r="G541" s="31"/>
      <c r="H541" s="39"/>
      <c r="I541" s="40"/>
      <c r="J541" s="40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</row>
    <row r="542" ht="30.0" customHeight="1">
      <c r="A542" s="31"/>
      <c r="B542" s="31"/>
      <c r="C542" s="31"/>
      <c r="D542" s="31"/>
      <c r="E542" s="298"/>
      <c r="F542" s="39"/>
      <c r="G542" s="31"/>
      <c r="H542" s="39"/>
      <c r="I542" s="40"/>
      <c r="J542" s="40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</row>
    <row r="543" ht="30.0" customHeight="1">
      <c r="A543" s="31"/>
      <c r="B543" s="31"/>
      <c r="C543" s="31"/>
      <c r="D543" s="31"/>
      <c r="E543" s="298"/>
      <c r="F543" s="39"/>
      <c r="G543" s="31"/>
      <c r="H543" s="39"/>
      <c r="I543" s="40"/>
      <c r="J543" s="40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</row>
    <row r="544" ht="30.0" customHeight="1">
      <c r="A544" s="31"/>
      <c r="B544" s="31"/>
      <c r="C544" s="31"/>
      <c r="D544" s="31"/>
      <c r="E544" s="298"/>
      <c r="F544" s="39"/>
      <c r="G544" s="31"/>
      <c r="H544" s="39"/>
      <c r="I544" s="40"/>
      <c r="J544" s="40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</row>
    <row r="545" ht="30.0" customHeight="1">
      <c r="A545" s="31"/>
      <c r="B545" s="31"/>
      <c r="C545" s="31"/>
      <c r="D545" s="31"/>
      <c r="E545" s="298"/>
      <c r="F545" s="39"/>
      <c r="G545" s="31"/>
      <c r="H545" s="39"/>
      <c r="I545" s="40"/>
      <c r="J545" s="40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</row>
    <row r="546" ht="30.0" customHeight="1">
      <c r="A546" s="31"/>
      <c r="B546" s="31"/>
      <c r="C546" s="31"/>
      <c r="D546" s="31"/>
      <c r="E546" s="298"/>
      <c r="F546" s="39"/>
      <c r="G546" s="31"/>
      <c r="H546" s="39"/>
      <c r="I546" s="40"/>
      <c r="J546" s="40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</row>
    <row r="547" ht="30.0" customHeight="1">
      <c r="A547" s="31"/>
      <c r="B547" s="31"/>
      <c r="C547" s="31"/>
      <c r="D547" s="31"/>
      <c r="E547" s="298"/>
      <c r="F547" s="39"/>
      <c r="G547" s="31"/>
      <c r="H547" s="39"/>
      <c r="I547" s="40"/>
      <c r="J547" s="40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</row>
    <row r="548" ht="30.0" customHeight="1">
      <c r="A548" s="31"/>
      <c r="B548" s="31"/>
      <c r="C548" s="31"/>
      <c r="D548" s="31"/>
      <c r="E548" s="298"/>
      <c r="F548" s="39"/>
      <c r="G548" s="31"/>
      <c r="H548" s="39"/>
      <c r="I548" s="40"/>
      <c r="J548" s="40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</row>
    <row r="549" ht="30.0" customHeight="1">
      <c r="A549" s="31"/>
      <c r="B549" s="31"/>
      <c r="C549" s="31"/>
      <c r="D549" s="31"/>
      <c r="E549" s="298"/>
      <c r="F549" s="39"/>
      <c r="G549" s="31"/>
      <c r="H549" s="39"/>
      <c r="I549" s="40"/>
      <c r="J549" s="40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</row>
    <row r="550" ht="30.0" customHeight="1">
      <c r="A550" s="31"/>
      <c r="B550" s="31"/>
      <c r="C550" s="31"/>
      <c r="D550" s="31"/>
      <c r="E550" s="298"/>
      <c r="F550" s="39"/>
      <c r="G550" s="31"/>
      <c r="H550" s="39"/>
      <c r="I550" s="40"/>
      <c r="J550" s="40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</row>
    <row r="551" ht="30.0" customHeight="1">
      <c r="A551" s="31"/>
      <c r="B551" s="31"/>
      <c r="C551" s="31"/>
      <c r="D551" s="31"/>
      <c r="E551" s="298"/>
      <c r="F551" s="39"/>
      <c r="G551" s="31"/>
      <c r="H551" s="39"/>
      <c r="I551" s="40"/>
      <c r="J551" s="40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</row>
    <row r="552" ht="30.0" customHeight="1">
      <c r="A552" s="31"/>
      <c r="B552" s="31"/>
      <c r="C552" s="31"/>
      <c r="D552" s="31"/>
      <c r="E552" s="298"/>
      <c r="F552" s="39"/>
      <c r="G552" s="31"/>
      <c r="H552" s="39"/>
      <c r="I552" s="40"/>
      <c r="J552" s="40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</row>
    <row r="553" ht="30.0" customHeight="1">
      <c r="A553" s="31"/>
      <c r="B553" s="31"/>
      <c r="C553" s="31"/>
      <c r="D553" s="31"/>
      <c r="E553" s="298"/>
      <c r="F553" s="39"/>
      <c r="G553" s="31"/>
      <c r="H553" s="39"/>
      <c r="I553" s="40"/>
      <c r="J553" s="40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</row>
    <row r="554" ht="30.0" customHeight="1">
      <c r="A554" s="31"/>
      <c r="B554" s="31"/>
      <c r="C554" s="31"/>
      <c r="D554" s="31"/>
      <c r="E554" s="298"/>
      <c r="F554" s="39"/>
      <c r="G554" s="31"/>
      <c r="H554" s="39"/>
      <c r="I554" s="40"/>
      <c r="J554" s="40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</row>
    <row r="555" ht="30.0" customHeight="1">
      <c r="A555" s="31"/>
      <c r="B555" s="31"/>
      <c r="C555" s="31"/>
      <c r="D555" s="31"/>
      <c r="E555" s="298"/>
      <c r="F555" s="39"/>
      <c r="G555" s="31"/>
      <c r="H555" s="39"/>
      <c r="I555" s="40"/>
      <c r="J555" s="40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</row>
    <row r="556" ht="30.0" customHeight="1">
      <c r="A556" s="31"/>
      <c r="B556" s="31"/>
      <c r="C556" s="31"/>
      <c r="D556" s="31"/>
      <c r="E556" s="298"/>
      <c r="F556" s="39"/>
      <c r="G556" s="31"/>
      <c r="H556" s="39"/>
      <c r="I556" s="40"/>
      <c r="J556" s="40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</row>
    <row r="557" ht="30.0" customHeight="1">
      <c r="A557" s="31"/>
      <c r="B557" s="31"/>
      <c r="C557" s="31"/>
      <c r="D557" s="31"/>
      <c r="E557" s="298"/>
      <c r="F557" s="39"/>
      <c r="G557" s="31"/>
      <c r="H557" s="39"/>
      <c r="I557" s="40"/>
      <c r="J557" s="40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</row>
    <row r="558" ht="30.0" customHeight="1">
      <c r="A558" s="31"/>
      <c r="B558" s="31"/>
      <c r="C558" s="31"/>
      <c r="D558" s="31"/>
      <c r="E558" s="298"/>
      <c r="F558" s="39"/>
      <c r="G558" s="31"/>
      <c r="H558" s="39"/>
      <c r="I558" s="40"/>
      <c r="J558" s="40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</row>
    <row r="559" ht="30.0" customHeight="1">
      <c r="A559" s="31"/>
      <c r="B559" s="31"/>
      <c r="C559" s="31"/>
      <c r="D559" s="31"/>
      <c r="E559" s="298"/>
      <c r="F559" s="39"/>
      <c r="G559" s="31"/>
      <c r="H559" s="39"/>
      <c r="I559" s="40"/>
      <c r="J559" s="40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</row>
    <row r="560" ht="30.0" customHeight="1">
      <c r="A560" s="31"/>
      <c r="B560" s="31"/>
      <c r="C560" s="31"/>
      <c r="D560" s="31"/>
      <c r="E560" s="298"/>
      <c r="F560" s="39"/>
      <c r="G560" s="31"/>
      <c r="H560" s="39"/>
      <c r="I560" s="40"/>
      <c r="J560" s="40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</row>
    <row r="561" ht="30.0" customHeight="1">
      <c r="A561" s="31"/>
      <c r="B561" s="31"/>
      <c r="C561" s="31"/>
      <c r="D561" s="31"/>
      <c r="E561" s="298"/>
      <c r="F561" s="39"/>
      <c r="G561" s="31"/>
      <c r="H561" s="39"/>
      <c r="I561" s="40"/>
      <c r="J561" s="40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</row>
    <row r="562" ht="30.0" customHeight="1">
      <c r="A562" s="31"/>
      <c r="B562" s="31"/>
      <c r="C562" s="31"/>
      <c r="D562" s="31"/>
      <c r="E562" s="298"/>
      <c r="F562" s="39"/>
      <c r="G562" s="31"/>
      <c r="H562" s="39"/>
      <c r="I562" s="40"/>
      <c r="J562" s="40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</row>
    <row r="563" ht="30.0" customHeight="1">
      <c r="A563" s="31"/>
      <c r="B563" s="31"/>
      <c r="C563" s="31"/>
      <c r="D563" s="31"/>
      <c r="E563" s="298"/>
      <c r="F563" s="39"/>
      <c r="G563" s="31"/>
      <c r="H563" s="39"/>
      <c r="I563" s="40"/>
      <c r="J563" s="40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</row>
    <row r="564" ht="30.0" customHeight="1">
      <c r="A564" s="31"/>
      <c r="B564" s="31"/>
      <c r="C564" s="31"/>
      <c r="D564" s="31"/>
      <c r="E564" s="298"/>
      <c r="F564" s="39"/>
      <c r="G564" s="31"/>
      <c r="H564" s="39"/>
      <c r="I564" s="40"/>
      <c r="J564" s="40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</row>
    <row r="565" ht="30.0" customHeight="1">
      <c r="A565" s="31"/>
      <c r="B565" s="31"/>
      <c r="C565" s="31"/>
      <c r="D565" s="31"/>
      <c r="E565" s="298"/>
      <c r="F565" s="39"/>
      <c r="G565" s="31"/>
      <c r="H565" s="39"/>
      <c r="I565" s="40"/>
      <c r="J565" s="40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</row>
    <row r="566" ht="30.0" customHeight="1">
      <c r="A566" s="31"/>
      <c r="B566" s="31"/>
      <c r="C566" s="31"/>
      <c r="D566" s="31"/>
      <c r="E566" s="298"/>
      <c r="F566" s="39"/>
      <c r="G566" s="31"/>
      <c r="H566" s="39"/>
      <c r="I566" s="40"/>
      <c r="J566" s="40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</row>
    <row r="567" ht="30.0" customHeight="1">
      <c r="A567" s="31"/>
      <c r="B567" s="31"/>
      <c r="C567" s="31"/>
      <c r="D567" s="31"/>
      <c r="E567" s="298"/>
      <c r="F567" s="39"/>
      <c r="G567" s="31"/>
      <c r="H567" s="39"/>
      <c r="I567" s="40"/>
      <c r="J567" s="40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</row>
    <row r="568" ht="30.0" customHeight="1">
      <c r="A568" s="31"/>
      <c r="B568" s="31"/>
      <c r="C568" s="31"/>
      <c r="D568" s="31"/>
      <c r="E568" s="298"/>
      <c r="F568" s="39"/>
      <c r="G568" s="31"/>
      <c r="H568" s="39"/>
      <c r="I568" s="40"/>
      <c r="J568" s="40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</row>
    <row r="569" ht="30.0" customHeight="1">
      <c r="A569" s="31"/>
      <c r="B569" s="31"/>
      <c r="C569" s="31"/>
      <c r="D569" s="31"/>
      <c r="E569" s="298"/>
      <c r="F569" s="39"/>
      <c r="G569" s="31"/>
      <c r="H569" s="39"/>
      <c r="I569" s="40"/>
      <c r="J569" s="40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</row>
    <row r="570" ht="30.0" customHeight="1">
      <c r="A570" s="31"/>
      <c r="B570" s="31"/>
      <c r="C570" s="31"/>
      <c r="D570" s="31"/>
      <c r="E570" s="298"/>
      <c r="F570" s="39"/>
      <c r="G570" s="31"/>
      <c r="H570" s="39"/>
      <c r="I570" s="40"/>
      <c r="J570" s="40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</row>
    <row r="571" ht="30.0" customHeight="1">
      <c r="A571" s="31"/>
      <c r="B571" s="31"/>
      <c r="C571" s="31"/>
      <c r="D571" s="31"/>
      <c r="E571" s="298"/>
      <c r="F571" s="39"/>
      <c r="G571" s="31"/>
      <c r="H571" s="39"/>
      <c r="I571" s="40"/>
      <c r="J571" s="40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</row>
    <row r="572" ht="30.0" customHeight="1">
      <c r="A572" s="31"/>
      <c r="B572" s="31"/>
      <c r="C572" s="31"/>
      <c r="D572" s="31"/>
      <c r="E572" s="298"/>
      <c r="F572" s="39"/>
      <c r="G572" s="31"/>
      <c r="H572" s="39"/>
      <c r="I572" s="40"/>
      <c r="J572" s="40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</row>
    <row r="573" ht="30.0" customHeight="1">
      <c r="A573" s="31"/>
      <c r="B573" s="31"/>
      <c r="C573" s="31"/>
      <c r="D573" s="31"/>
      <c r="E573" s="298"/>
      <c r="F573" s="39"/>
      <c r="G573" s="31"/>
      <c r="H573" s="39"/>
      <c r="I573" s="40"/>
      <c r="J573" s="40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</row>
    <row r="574" ht="30.0" customHeight="1">
      <c r="A574" s="31"/>
      <c r="B574" s="31"/>
      <c r="C574" s="31"/>
      <c r="D574" s="31"/>
      <c r="E574" s="298"/>
      <c r="F574" s="39"/>
      <c r="G574" s="31"/>
      <c r="H574" s="39"/>
      <c r="I574" s="40"/>
      <c r="J574" s="40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</row>
    <row r="575" ht="30.0" customHeight="1">
      <c r="A575" s="31"/>
      <c r="B575" s="31"/>
      <c r="C575" s="31"/>
      <c r="D575" s="31"/>
      <c r="E575" s="298"/>
      <c r="F575" s="39"/>
      <c r="G575" s="31"/>
      <c r="H575" s="39"/>
      <c r="I575" s="40"/>
      <c r="J575" s="40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</row>
    <row r="576" ht="30.0" customHeight="1">
      <c r="A576" s="31"/>
      <c r="B576" s="31"/>
      <c r="C576" s="31"/>
      <c r="D576" s="31"/>
      <c r="E576" s="298"/>
      <c r="F576" s="39"/>
      <c r="G576" s="31"/>
      <c r="H576" s="39"/>
      <c r="I576" s="40"/>
      <c r="J576" s="40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</row>
    <row r="577" ht="30.0" customHeight="1">
      <c r="A577" s="31"/>
      <c r="B577" s="31"/>
      <c r="C577" s="31"/>
      <c r="D577" s="31"/>
      <c r="E577" s="298"/>
      <c r="F577" s="39"/>
      <c r="G577" s="31"/>
      <c r="H577" s="39"/>
      <c r="I577" s="40"/>
      <c r="J577" s="40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</row>
    <row r="578" ht="30.0" customHeight="1">
      <c r="A578" s="31"/>
      <c r="B578" s="31"/>
      <c r="C578" s="31"/>
      <c r="D578" s="31"/>
      <c r="E578" s="298"/>
      <c r="F578" s="39"/>
      <c r="G578" s="31"/>
      <c r="H578" s="39"/>
      <c r="I578" s="40"/>
      <c r="J578" s="40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</row>
    <row r="579" ht="30.0" customHeight="1">
      <c r="A579" s="31"/>
      <c r="B579" s="31"/>
      <c r="C579" s="31"/>
      <c r="D579" s="31"/>
      <c r="E579" s="298"/>
      <c r="F579" s="39"/>
      <c r="G579" s="31"/>
      <c r="H579" s="39"/>
      <c r="I579" s="40"/>
      <c r="J579" s="40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</row>
    <row r="580" ht="30.0" customHeight="1">
      <c r="A580" s="31"/>
      <c r="B580" s="31"/>
      <c r="C580" s="31"/>
      <c r="D580" s="31"/>
      <c r="E580" s="298"/>
      <c r="F580" s="39"/>
      <c r="G580" s="31"/>
      <c r="H580" s="39"/>
      <c r="I580" s="40"/>
      <c r="J580" s="40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</row>
    <row r="581" ht="30.0" customHeight="1">
      <c r="A581" s="31"/>
      <c r="B581" s="31"/>
      <c r="C581" s="31"/>
      <c r="D581" s="31"/>
      <c r="E581" s="298"/>
      <c r="F581" s="39"/>
      <c r="G581" s="31"/>
      <c r="H581" s="39"/>
      <c r="I581" s="40"/>
      <c r="J581" s="40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</row>
    <row r="582" ht="30.0" customHeight="1">
      <c r="A582" s="31"/>
      <c r="B582" s="31"/>
      <c r="C582" s="31"/>
      <c r="D582" s="31"/>
      <c r="E582" s="298"/>
      <c r="F582" s="39"/>
      <c r="G582" s="31"/>
      <c r="H582" s="39"/>
      <c r="I582" s="40"/>
      <c r="J582" s="40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</row>
    <row r="583" ht="30.0" customHeight="1">
      <c r="A583" s="31"/>
      <c r="B583" s="31"/>
      <c r="C583" s="31"/>
      <c r="D583" s="31"/>
      <c r="E583" s="298"/>
      <c r="F583" s="39"/>
      <c r="G583" s="31"/>
      <c r="H583" s="39"/>
      <c r="I583" s="40"/>
      <c r="J583" s="40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</row>
    <row r="584" ht="30.0" customHeight="1">
      <c r="A584" s="31"/>
      <c r="B584" s="31"/>
      <c r="C584" s="31"/>
      <c r="D584" s="31"/>
      <c r="E584" s="298"/>
      <c r="F584" s="39"/>
      <c r="G584" s="31"/>
      <c r="H584" s="39"/>
      <c r="I584" s="40"/>
      <c r="J584" s="40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</row>
    <row r="585" ht="30.0" customHeight="1">
      <c r="A585" s="31"/>
      <c r="B585" s="31"/>
      <c r="C585" s="31"/>
      <c r="D585" s="31"/>
      <c r="E585" s="298"/>
      <c r="F585" s="39"/>
      <c r="G585" s="31"/>
      <c r="H585" s="39"/>
      <c r="I585" s="40"/>
      <c r="J585" s="40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</row>
    <row r="586" ht="30.0" customHeight="1">
      <c r="A586" s="31"/>
      <c r="B586" s="31"/>
      <c r="C586" s="31"/>
      <c r="D586" s="31"/>
      <c r="E586" s="298"/>
      <c r="F586" s="39"/>
      <c r="G586" s="31"/>
      <c r="H586" s="39"/>
      <c r="I586" s="40"/>
      <c r="J586" s="40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</row>
    <row r="587" ht="30.0" customHeight="1">
      <c r="A587" s="31"/>
      <c r="B587" s="31"/>
      <c r="C587" s="31"/>
      <c r="D587" s="31"/>
      <c r="E587" s="298"/>
      <c r="F587" s="39"/>
      <c r="G587" s="31"/>
      <c r="H587" s="39"/>
      <c r="I587" s="40"/>
      <c r="J587" s="40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</row>
    <row r="588" ht="30.0" customHeight="1">
      <c r="A588" s="31"/>
      <c r="B588" s="31"/>
      <c r="C588" s="31"/>
      <c r="D588" s="31"/>
      <c r="E588" s="298"/>
      <c r="F588" s="39"/>
      <c r="G588" s="31"/>
      <c r="H588" s="39"/>
      <c r="I588" s="40"/>
      <c r="J588" s="40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</row>
    <row r="589" ht="30.0" customHeight="1">
      <c r="A589" s="31"/>
      <c r="B589" s="31"/>
      <c r="C589" s="31"/>
      <c r="D589" s="31"/>
      <c r="E589" s="298"/>
      <c r="F589" s="39"/>
      <c r="G589" s="31"/>
      <c r="H589" s="39"/>
      <c r="I589" s="40"/>
      <c r="J589" s="40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</row>
    <row r="590" ht="30.0" customHeight="1">
      <c r="A590" s="31"/>
      <c r="B590" s="31"/>
      <c r="C590" s="31"/>
      <c r="D590" s="31"/>
      <c r="E590" s="298"/>
      <c r="F590" s="39"/>
      <c r="G590" s="31"/>
      <c r="H590" s="39"/>
      <c r="I590" s="40"/>
      <c r="J590" s="40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</row>
    <row r="591" ht="30.0" customHeight="1">
      <c r="A591" s="31"/>
      <c r="B591" s="31"/>
      <c r="C591" s="31"/>
      <c r="D591" s="31"/>
      <c r="E591" s="298"/>
      <c r="F591" s="39"/>
      <c r="G591" s="31"/>
      <c r="H591" s="39"/>
      <c r="I591" s="40"/>
      <c r="J591" s="40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</row>
    <row r="592" ht="30.0" customHeight="1">
      <c r="A592" s="31"/>
      <c r="B592" s="31"/>
      <c r="C592" s="31"/>
      <c r="D592" s="31"/>
      <c r="E592" s="298"/>
      <c r="F592" s="39"/>
      <c r="G592" s="31"/>
      <c r="H592" s="39"/>
      <c r="I592" s="40"/>
      <c r="J592" s="40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</row>
    <row r="593" ht="30.0" customHeight="1">
      <c r="A593" s="31"/>
      <c r="B593" s="31"/>
      <c r="C593" s="31"/>
      <c r="D593" s="31"/>
      <c r="E593" s="298"/>
      <c r="F593" s="39"/>
      <c r="G593" s="31"/>
      <c r="H593" s="39"/>
      <c r="I593" s="40"/>
      <c r="J593" s="40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</row>
    <row r="594" ht="30.0" customHeight="1">
      <c r="A594" s="31"/>
      <c r="B594" s="31"/>
      <c r="C594" s="31"/>
      <c r="D594" s="31"/>
      <c r="E594" s="298"/>
      <c r="F594" s="39"/>
      <c r="G594" s="31"/>
      <c r="H594" s="39"/>
      <c r="I594" s="40"/>
      <c r="J594" s="40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</row>
    <row r="595" ht="30.0" customHeight="1">
      <c r="A595" s="31"/>
      <c r="B595" s="31"/>
      <c r="C595" s="31"/>
      <c r="D595" s="31"/>
      <c r="E595" s="298"/>
      <c r="F595" s="39"/>
      <c r="G595" s="31"/>
      <c r="H595" s="39"/>
      <c r="I595" s="40"/>
      <c r="J595" s="40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</row>
    <row r="596" ht="30.0" customHeight="1">
      <c r="A596" s="31"/>
      <c r="B596" s="31"/>
      <c r="C596" s="31"/>
      <c r="D596" s="31"/>
      <c r="E596" s="298"/>
      <c r="F596" s="39"/>
      <c r="G596" s="31"/>
      <c r="H596" s="39"/>
      <c r="I596" s="40"/>
      <c r="J596" s="40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</row>
    <row r="597" ht="30.0" customHeight="1">
      <c r="A597" s="31"/>
      <c r="B597" s="31"/>
      <c r="C597" s="31"/>
      <c r="D597" s="31"/>
      <c r="E597" s="298"/>
      <c r="F597" s="39"/>
      <c r="G597" s="31"/>
      <c r="H597" s="39"/>
      <c r="I597" s="40"/>
      <c r="J597" s="40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</row>
    <row r="598" ht="30.0" customHeight="1">
      <c r="A598" s="31"/>
      <c r="B598" s="31"/>
      <c r="C598" s="31"/>
      <c r="D598" s="31"/>
      <c r="E598" s="298"/>
      <c r="F598" s="39"/>
      <c r="G598" s="31"/>
      <c r="H598" s="39"/>
      <c r="I598" s="40"/>
      <c r="J598" s="40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</row>
    <row r="599" ht="30.0" customHeight="1">
      <c r="A599" s="31"/>
      <c r="B599" s="31"/>
      <c r="C599" s="31"/>
      <c r="D599" s="31"/>
      <c r="E599" s="298"/>
      <c r="F599" s="39"/>
      <c r="G599" s="31"/>
      <c r="H599" s="39"/>
      <c r="I599" s="40"/>
      <c r="J599" s="40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</row>
    <row r="600" ht="30.0" customHeight="1">
      <c r="A600" s="31"/>
      <c r="B600" s="31"/>
      <c r="C600" s="31"/>
      <c r="D600" s="31"/>
      <c r="E600" s="298"/>
      <c r="F600" s="39"/>
      <c r="G600" s="31"/>
      <c r="H600" s="39"/>
      <c r="I600" s="40"/>
      <c r="J600" s="40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</row>
    <row r="601" ht="30.0" customHeight="1">
      <c r="A601" s="31"/>
      <c r="B601" s="31"/>
      <c r="C601" s="31"/>
      <c r="D601" s="31"/>
      <c r="E601" s="298"/>
      <c r="F601" s="39"/>
      <c r="G601" s="31"/>
      <c r="H601" s="39"/>
      <c r="I601" s="40"/>
      <c r="J601" s="40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</row>
    <row r="602" ht="30.0" customHeight="1">
      <c r="A602" s="31"/>
      <c r="B602" s="31"/>
      <c r="C602" s="31"/>
      <c r="D602" s="31"/>
      <c r="E602" s="298"/>
      <c r="F602" s="39"/>
      <c r="G602" s="31"/>
      <c r="H602" s="39"/>
      <c r="I602" s="40"/>
      <c r="J602" s="40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</row>
    <row r="603" ht="30.0" customHeight="1">
      <c r="A603" s="31"/>
      <c r="B603" s="31"/>
      <c r="C603" s="31"/>
      <c r="D603" s="31"/>
      <c r="E603" s="298"/>
      <c r="F603" s="39"/>
      <c r="G603" s="31"/>
      <c r="H603" s="39"/>
      <c r="I603" s="40"/>
      <c r="J603" s="40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</row>
    <row r="604" ht="30.0" customHeight="1">
      <c r="A604" s="31"/>
      <c r="B604" s="31"/>
      <c r="C604" s="31"/>
      <c r="D604" s="31"/>
      <c r="E604" s="298"/>
      <c r="F604" s="39"/>
      <c r="G604" s="31"/>
      <c r="H604" s="39"/>
      <c r="I604" s="40"/>
      <c r="J604" s="40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</row>
    <row r="605" ht="30.0" customHeight="1">
      <c r="A605" s="31"/>
      <c r="B605" s="31"/>
      <c r="C605" s="31"/>
      <c r="D605" s="31"/>
      <c r="E605" s="298"/>
      <c r="F605" s="39"/>
      <c r="G605" s="31"/>
      <c r="H605" s="39"/>
      <c r="I605" s="40"/>
      <c r="J605" s="40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</row>
    <row r="606" ht="30.0" customHeight="1">
      <c r="A606" s="31"/>
      <c r="B606" s="31"/>
      <c r="C606" s="31"/>
      <c r="D606" s="31"/>
      <c r="E606" s="298"/>
      <c r="F606" s="39"/>
      <c r="G606" s="31"/>
      <c r="H606" s="39"/>
      <c r="I606" s="40"/>
      <c r="J606" s="40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</row>
    <row r="607" ht="30.0" customHeight="1">
      <c r="A607" s="31"/>
      <c r="B607" s="31"/>
      <c r="C607" s="31"/>
      <c r="D607" s="31"/>
      <c r="E607" s="298"/>
      <c r="F607" s="39"/>
      <c r="G607" s="31"/>
      <c r="H607" s="39"/>
      <c r="I607" s="40"/>
      <c r="J607" s="40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</row>
    <row r="608" ht="30.0" customHeight="1">
      <c r="A608" s="31"/>
      <c r="B608" s="31"/>
      <c r="C608" s="31"/>
      <c r="D608" s="31"/>
      <c r="E608" s="298"/>
      <c r="F608" s="39"/>
      <c r="G608" s="31"/>
      <c r="H608" s="39"/>
      <c r="I608" s="40"/>
      <c r="J608" s="40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</row>
    <row r="609" ht="30.0" customHeight="1">
      <c r="A609" s="31"/>
      <c r="B609" s="31"/>
      <c r="C609" s="31"/>
      <c r="D609" s="31"/>
      <c r="E609" s="298"/>
      <c r="F609" s="39"/>
      <c r="G609" s="31"/>
      <c r="H609" s="39"/>
      <c r="I609" s="40"/>
      <c r="J609" s="40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</row>
    <row r="610" ht="30.0" customHeight="1">
      <c r="A610" s="31"/>
      <c r="B610" s="31"/>
      <c r="C610" s="31"/>
      <c r="D610" s="31"/>
      <c r="E610" s="298"/>
      <c r="F610" s="39"/>
      <c r="G610" s="31"/>
      <c r="H610" s="39"/>
      <c r="I610" s="40"/>
      <c r="J610" s="40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</row>
    <row r="611" ht="30.0" customHeight="1">
      <c r="A611" s="31"/>
      <c r="B611" s="31"/>
      <c r="C611" s="31"/>
      <c r="D611" s="31"/>
      <c r="E611" s="298"/>
      <c r="F611" s="39"/>
      <c r="G611" s="31"/>
      <c r="H611" s="39"/>
      <c r="I611" s="40"/>
      <c r="J611" s="40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</row>
    <row r="612" ht="30.0" customHeight="1">
      <c r="A612" s="31"/>
      <c r="B612" s="31"/>
      <c r="C612" s="31"/>
      <c r="D612" s="31"/>
      <c r="E612" s="298"/>
      <c r="F612" s="39"/>
      <c r="G612" s="31"/>
      <c r="H612" s="39"/>
      <c r="I612" s="40"/>
      <c r="J612" s="40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</row>
    <row r="613" ht="30.0" customHeight="1">
      <c r="A613" s="31"/>
      <c r="B613" s="31"/>
      <c r="C613" s="31"/>
      <c r="D613" s="31"/>
      <c r="E613" s="298"/>
      <c r="F613" s="39"/>
      <c r="G613" s="31"/>
      <c r="H613" s="39"/>
      <c r="I613" s="40"/>
      <c r="J613" s="40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</row>
    <row r="614" ht="30.0" customHeight="1">
      <c r="A614" s="31"/>
      <c r="B614" s="31"/>
      <c r="C614" s="31"/>
      <c r="D614" s="31"/>
      <c r="E614" s="298"/>
      <c r="F614" s="39"/>
      <c r="G614" s="31"/>
      <c r="H614" s="39"/>
      <c r="I614" s="40"/>
      <c r="J614" s="40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</row>
    <row r="615" ht="30.0" customHeight="1">
      <c r="A615" s="31"/>
      <c r="B615" s="31"/>
      <c r="C615" s="31"/>
      <c r="D615" s="31"/>
      <c r="E615" s="298"/>
      <c r="F615" s="39"/>
      <c r="G615" s="31"/>
      <c r="H615" s="39"/>
      <c r="I615" s="40"/>
      <c r="J615" s="40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</row>
    <row r="616" ht="30.0" customHeight="1">
      <c r="A616" s="31"/>
      <c r="B616" s="31"/>
      <c r="C616" s="31"/>
      <c r="D616" s="31"/>
      <c r="E616" s="298"/>
      <c r="F616" s="39"/>
      <c r="G616" s="31"/>
      <c r="H616" s="39"/>
      <c r="I616" s="40"/>
      <c r="J616" s="40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</row>
    <row r="617" ht="30.0" customHeight="1">
      <c r="A617" s="31"/>
      <c r="B617" s="31"/>
      <c r="C617" s="31"/>
      <c r="D617" s="31"/>
      <c r="E617" s="298"/>
      <c r="F617" s="39"/>
      <c r="G617" s="31"/>
      <c r="H617" s="39"/>
      <c r="I617" s="40"/>
      <c r="J617" s="40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</row>
    <row r="618" ht="30.0" customHeight="1">
      <c r="A618" s="31"/>
      <c r="B618" s="31"/>
      <c r="C618" s="31"/>
      <c r="D618" s="31"/>
      <c r="E618" s="298"/>
      <c r="F618" s="39"/>
      <c r="G618" s="31"/>
      <c r="H618" s="39"/>
      <c r="I618" s="40"/>
      <c r="J618" s="40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</row>
    <row r="619" ht="30.0" customHeight="1">
      <c r="A619" s="31"/>
      <c r="B619" s="31"/>
      <c r="C619" s="31"/>
      <c r="D619" s="31"/>
      <c r="E619" s="298"/>
      <c r="F619" s="39"/>
      <c r="G619" s="31"/>
      <c r="H619" s="39"/>
      <c r="I619" s="40"/>
      <c r="J619" s="40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</row>
    <row r="620" ht="30.0" customHeight="1">
      <c r="A620" s="31"/>
      <c r="B620" s="31"/>
      <c r="C620" s="31"/>
      <c r="D620" s="31"/>
      <c r="E620" s="298"/>
      <c r="F620" s="39"/>
      <c r="G620" s="31"/>
      <c r="H620" s="39"/>
      <c r="I620" s="40"/>
      <c r="J620" s="40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</row>
    <row r="621" ht="30.0" customHeight="1">
      <c r="A621" s="31"/>
      <c r="B621" s="31"/>
      <c r="C621" s="31"/>
      <c r="D621" s="31"/>
      <c r="E621" s="298"/>
      <c r="F621" s="39"/>
      <c r="G621" s="31"/>
      <c r="H621" s="39"/>
      <c r="I621" s="40"/>
      <c r="J621" s="40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</row>
    <row r="622" ht="30.0" customHeight="1">
      <c r="A622" s="31"/>
      <c r="B622" s="31"/>
      <c r="C622" s="31"/>
      <c r="D622" s="31"/>
      <c r="E622" s="298"/>
      <c r="F622" s="39"/>
      <c r="G622" s="31"/>
      <c r="H622" s="39"/>
      <c r="I622" s="40"/>
      <c r="J622" s="40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</row>
    <row r="623" ht="30.0" customHeight="1">
      <c r="A623" s="31"/>
      <c r="B623" s="31"/>
      <c r="C623" s="31"/>
      <c r="D623" s="31"/>
      <c r="E623" s="298"/>
      <c r="F623" s="39"/>
      <c r="G623" s="31"/>
      <c r="H623" s="39"/>
      <c r="I623" s="40"/>
      <c r="J623" s="40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</row>
    <row r="624" ht="30.0" customHeight="1">
      <c r="A624" s="31"/>
      <c r="B624" s="31"/>
      <c r="C624" s="31"/>
      <c r="D624" s="31"/>
      <c r="E624" s="298"/>
      <c r="F624" s="39"/>
      <c r="G624" s="31"/>
      <c r="H624" s="39"/>
      <c r="I624" s="40"/>
      <c r="J624" s="40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</row>
    <row r="625" ht="30.0" customHeight="1">
      <c r="A625" s="31"/>
      <c r="B625" s="31"/>
      <c r="C625" s="31"/>
      <c r="D625" s="31"/>
      <c r="E625" s="298"/>
      <c r="F625" s="39"/>
      <c r="G625" s="31"/>
      <c r="H625" s="39"/>
      <c r="I625" s="40"/>
      <c r="J625" s="40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</row>
    <row r="626" ht="30.0" customHeight="1">
      <c r="A626" s="31"/>
      <c r="B626" s="31"/>
      <c r="C626" s="31"/>
      <c r="D626" s="31"/>
      <c r="E626" s="298"/>
      <c r="F626" s="39"/>
      <c r="G626" s="31"/>
      <c r="H626" s="39"/>
      <c r="I626" s="40"/>
      <c r="J626" s="40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</row>
    <row r="627" ht="30.0" customHeight="1">
      <c r="A627" s="31"/>
      <c r="B627" s="31"/>
      <c r="C627" s="31"/>
      <c r="D627" s="31"/>
      <c r="E627" s="298"/>
      <c r="F627" s="39"/>
      <c r="G627" s="31"/>
      <c r="H627" s="39"/>
      <c r="I627" s="40"/>
      <c r="J627" s="40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</row>
    <row r="628" ht="30.0" customHeight="1">
      <c r="A628" s="31"/>
      <c r="B628" s="31"/>
      <c r="C628" s="31"/>
      <c r="D628" s="31"/>
      <c r="E628" s="298"/>
      <c r="F628" s="39"/>
      <c r="G628" s="31"/>
      <c r="H628" s="39"/>
      <c r="I628" s="40"/>
      <c r="J628" s="40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</row>
    <row r="629" ht="30.0" customHeight="1">
      <c r="A629" s="31"/>
      <c r="B629" s="31"/>
      <c r="C629" s="31"/>
      <c r="D629" s="31"/>
      <c r="E629" s="298"/>
      <c r="F629" s="39"/>
      <c r="G629" s="31"/>
      <c r="H629" s="39"/>
      <c r="I629" s="40"/>
      <c r="J629" s="40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</row>
    <row r="630" ht="30.0" customHeight="1">
      <c r="A630" s="31"/>
      <c r="B630" s="31"/>
      <c r="C630" s="31"/>
      <c r="D630" s="31"/>
      <c r="E630" s="298"/>
      <c r="F630" s="39"/>
      <c r="G630" s="31"/>
      <c r="H630" s="39"/>
      <c r="I630" s="40"/>
      <c r="J630" s="40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</row>
    <row r="631" ht="30.0" customHeight="1">
      <c r="A631" s="31"/>
      <c r="B631" s="31"/>
      <c r="C631" s="31"/>
      <c r="D631" s="31"/>
      <c r="E631" s="298"/>
      <c r="F631" s="39"/>
      <c r="G631" s="31"/>
      <c r="H631" s="39"/>
      <c r="I631" s="40"/>
      <c r="J631" s="40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</row>
    <row r="632" ht="30.0" customHeight="1">
      <c r="A632" s="31"/>
      <c r="B632" s="31"/>
      <c r="C632" s="31"/>
      <c r="D632" s="31"/>
      <c r="E632" s="298"/>
      <c r="F632" s="39"/>
      <c r="G632" s="31"/>
      <c r="H632" s="39"/>
      <c r="I632" s="40"/>
      <c r="J632" s="40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</row>
    <row r="633" ht="30.0" customHeight="1">
      <c r="A633" s="31"/>
      <c r="B633" s="31"/>
      <c r="C633" s="31"/>
      <c r="D633" s="31"/>
      <c r="E633" s="298"/>
      <c r="F633" s="39"/>
      <c r="G633" s="31"/>
      <c r="H633" s="39"/>
      <c r="I633" s="40"/>
      <c r="J633" s="40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</row>
    <row r="634" ht="30.0" customHeight="1">
      <c r="A634" s="31"/>
      <c r="B634" s="31"/>
      <c r="C634" s="31"/>
      <c r="D634" s="31"/>
      <c r="E634" s="298"/>
      <c r="F634" s="39"/>
      <c r="G634" s="31"/>
      <c r="H634" s="39"/>
      <c r="I634" s="40"/>
      <c r="J634" s="40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</row>
    <row r="635" ht="30.0" customHeight="1">
      <c r="A635" s="31"/>
      <c r="B635" s="31"/>
      <c r="C635" s="31"/>
      <c r="D635" s="31"/>
      <c r="E635" s="298"/>
      <c r="F635" s="39"/>
      <c r="G635" s="31"/>
      <c r="H635" s="39"/>
      <c r="I635" s="40"/>
      <c r="J635" s="40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</row>
    <row r="636" ht="30.0" customHeight="1">
      <c r="A636" s="31"/>
      <c r="B636" s="31"/>
      <c r="C636" s="31"/>
      <c r="D636" s="31"/>
      <c r="E636" s="298"/>
      <c r="F636" s="39"/>
      <c r="G636" s="31"/>
      <c r="H636" s="39"/>
      <c r="I636" s="40"/>
      <c r="J636" s="40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</row>
    <row r="637" ht="30.0" customHeight="1">
      <c r="A637" s="31"/>
      <c r="B637" s="31"/>
      <c r="C637" s="31"/>
      <c r="D637" s="31"/>
      <c r="E637" s="298"/>
      <c r="F637" s="39"/>
      <c r="G637" s="31"/>
      <c r="H637" s="39"/>
      <c r="I637" s="40"/>
      <c r="J637" s="40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</row>
    <row r="638" ht="30.0" customHeight="1">
      <c r="A638" s="31"/>
      <c r="B638" s="31"/>
      <c r="C638" s="31"/>
      <c r="D638" s="31"/>
      <c r="E638" s="298"/>
      <c r="F638" s="39"/>
      <c r="G638" s="31"/>
      <c r="H638" s="39"/>
      <c r="I638" s="40"/>
      <c r="J638" s="40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</row>
    <row r="639" ht="30.0" customHeight="1">
      <c r="A639" s="31"/>
      <c r="B639" s="31"/>
      <c r="C639" s="31"/>
      <c r="D639" s="31"/>
      <c r="E639" s="298"/>
      <c r="F639" s="39"/>
      <c r="G639" s="31"/>
      <c r="H639" s="39"/>
      <c r="I639" s="40"/>
      <c r="J639" s="40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</row>
    <row r="640" ht="30.0" customHeight="1">
      <c r="A640" s="31"/>
      <c r="B640" s="31"/>
      <c r="C640" s="31"/>
      <c r="D640" s="31"/>
      <c r="E640" s="298"/>
      <c r="F640" s="39"/>
      <c r="G640" s="31"/>
      <c r="H640" s="39"/>
      <c r="I640" s="40"/>
      <c r="J640" s="40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</row>
    <row r="641" ht="30.0" customHeight="1">
      <c r="A641" s="31"/>
      <c r="B641" s="31"/>
      <c r="C641" s="31"/>
      <c r="D641" s="31"/>
      <c r="E641" s="298"/>
      <c r="F641" s="39"/>
      <c r="G641" s="31"/>
      <c r="H641" s="39"/>
      <c r="I641" s="40"/>
      <c r="J641" s="40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</row>
    <row r="642" ht="30.0" customHeight="1">
      <c r="A642" s="31"/>
      <c r="B642" s="31"/>
      <c r="C642" s="31"/>
      <c r="D642" s="31"/>
      <c r="E642" s="298"/>
      <c r="F642" s="39"/>
      <c r="G642" s="31"/>
      <c r="H642" s="39"/>
      <c r="I642" s="40"/>
      <c r="J642" s="40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</row>
    <row r="643" ht="30.0" customHeight="1">
      <c r="A643" s="31"/>
      <c r="B643" s="31"/>
      <c r="C643" s="31"/>
      <c r="D643" s="31"/>
      <c r="E643" s="298"/>
      <c r="F643" s="39"/>
      <c r="G643" s="31"/>
      <c r="H643" s="39"/>
      <c r="I643" s="40"/>
      <c r="J643" s="40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</row>
    <row r="644" ht="30.0" customHeight="1">
      <c r="A644" s="31"/>
      <c r="B644" s="31"/>
      <c r="C644" s="31"/>
      <c r="D644" s="31"/>
      <c r="E644" s="298"/>
      <c r="F644" s="39"/>
      <c r="G644" s="31"/>
      <c r="H644" s="39"/>
      <c r="I644" s="40"/>
      <c r="J644" s="40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</row>
    <row r="645" ht="30.0" customHeight="1">
      <c r="A645" s="31"/>
      <c r="B645" s="31"/>
      <c r="C645" s="31"/>
      <c r="D645" s="31"/>
      <c r="E645" s="298"/>
      <c r="F645" s="39"/>
      <c r="G645" s="31"/>
      <c r="H645" s="39"/>
      <c r="I645" s="40"/>
      <c r="J645" s="40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</row>
    <row r="646" ht="30.0" customHeight="1">
      <c r="A646" s="31"/>
      <c r="B646" s="31"/>
      <c r="C646" s="31"/>
      <c r="D646" s="31"/>
      <c r="E646" s="298"/>
      <c r="F646" s="39"/>
      <c r="G646" s="31"/>
      <c r="H646" s="39"/>
      <c r="I646" s="40"/>
      <c r="J646" s="40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</row>
    <row r="647" ht="30.0" customHeight="1">
      <c r="A647" s="31"/>
      <c r="B647" s="31"/>
      <c r="C647" s="31"/>
      <c r="D647" s="31"/>
      <c r="E647" s="298"/>
      <c r="F647" s="39"/>
      <c r="G647" s="31"/>
      <c r="H647" s="39"/>
      <c r="I647" s="40"/>
      <c r="J647" s="40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</row>
    <row r="648" ht="30.0" customHeight="1">
      <c r="A648" s="31"/>
      <c r="B648" s="31"/>
      <c r="C648" s="31"/>
      <c r="D648" s="31"/>
      <c r="E648" s="298"/>
      <c r="F648" s="39"/>
      <c r="G648" s="31"/>
      <c r="H648" s="39"/>
      <c r="I648" s="40"/>
      <c r="J648" s="40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</row>
    <row r="649" ht="30.0" customHeight="1">
      <c r="A649" s="31"/>
      <c r="B649" s="31"/>
      <c r="C649" s="31"/>
      <c r="D649" s="31"/>
      <c r="E649" s="298"/>
      <c r="F649" s="39"/>
      <c r="G649" s="31"/>
      <c r="H649" s="39"/>
      <c r="I649" s="40"/>
      <c r="J649" s="40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</row>
    <row r="650" ht="30.0" customHeight="1">
      <c r="A650" s="31"/>
      <c r="B650" s="31"/>
      <c r="C650" s="31"/>
      <c r="D650" s="31"/>
      <c r="E650" s="298"/>
      <c r="F650" s="39"/>
      <c r="G650" s="31"/>
      <c r="H650" s="39"/>
      <c r="I650" s="40"/>
      <c r="J650" s="40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</row>
    <row r="651" ht="30.0" customHeight="1">
      <c r="A651" s="31"/>
      <c r="B651" s="31"/>
      <c r="C651" s="31"/>
      <c r="D651" s="31"/>
      <c r="E651" s="298"/>
      <c r="F651" s="39"/>
      <c r="G651" s="31"/>
      <c r="H651" s="39"/>
      <c r="I651" s="40"/>
      <c r="J651" s="40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</row>
    <row r="652" ht="30.0" customHeight="1">
      <c r="A652" s="31"/>
      <c r="B652" s="31"/>
      <c r="C652" s="31"/>
      <c r="D652" s="31"/>
      <c r="E652" s="298"/>
      <c r="F652" s="39"/>
      <c r="G652" s="31"/>
      <c r="H652" s="39"/>
      <c r="I652" s="40"/>
      <c r="J652" s="40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</row>
    <row r="653" ht="30.0" customHeight="1">
      <c r="A653" s="31"/>
      <c r="B653" s="31"/>
      <c r="C653" s="31"/>
      <c r="D653" s="31"/>
      <c r="E653" s="298"/>
      <c r="F653" s="39"/>
      <c r="G653" s="31"/>
      <c r="H653" s="39"/>
      <c r="I653" s="40"/>
      <c r="J653" s="40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</row>
    <row r="654" ht="30.0" customHeight="1">
      <c r="A654" s="31"/>
      <c r="B654" s="31"/>
      <c r="C654" s="31"/>
      <c r="D654" s="31"/>
      <c r="E654" s="298"/>
      <c r="F654" s="39"/>
      <c r="G654" s="31"/>
      <c r="H654" s="39"/>
      <c r="I654" s="40"/>
      <c r="J654" s="40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</row>
    <row r="655" ht="30.0" customHeight="1">
      <c r="A655" s="31"/>
      <c r="B655" s="31"/>
      <c r="C655" s="31"/>
      <c r="D655" s="31"/>
      <c r="E655" s="298"/>
      <c r="F655" s="39"/>
      <c r="G655" s="31"/>
      <c r="H655" s="39"/>
      <c r="I655" s="40"/>
      <c r="J655" s="40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</row>
    <row r="656" ht="30.0" customHeight="1">
      <c r="A656" s="31"/>
      <c r="B656" s="31"/>
      <c r="C656" s="31"/>
      <c r="D656" s="31"/>
      <c r="E656" s="298"/>
      <c r="F656" s="39"/>
      <c r="G656" s="31"/>
      <c r="H656" s="39"/>
      <c r="I656" s="40"/>
      <c r="J656" s="40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</row>
    <row r="657" ht="30.0" customHeight="1">
      <c r="A657" s="31"/>
      <c r="B657" s="31"/>
      <c r="C657" s="31"/>
      <c r="D657" s="31"/>
      <c r="E657" s="298"/>
      <c r="F657" s="39"/>
      <c r="G657" s="31"/>
      <c r="H657" s="39"/>
      <c r="I657" s="40"/>
      <c r="J657" s="40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</row>
    <row r="658" ht="30.0" customHeight="1">
      <c r="A658" s="31"/>
      <c r="B658" s="31"/>
      <c r="C658" s="31"/>
      <c r="D658" s="31"/>
      <c r="E658" s="298"/>
      <c r="F658" s="39"/>
      <c r="G658" s="31"/>
      <c r="H658" s="39"/>
      <c r="I658" s="40"/>
      <c r="J658" s="40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</row>
    <row r="659" ht="30.0" customHeight="1">
      <c r="A659" s="31"/>
      <c r="B659" s="31"/>
      <c r="C659" s="31"/>
      <c r="D659" s="31"/>
      <c r="E659" s="298"/>
      <c r="F659" s="39"/>
      <c r="G659" s="31"/>
      <c r="H659" s="39"/>
      <c r="I659" s="40"/>
      <c r="J659" s="40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</row>
    <row r="660" ht="30.0" customHeight="1">
      <c r="A660" s="31"/>
      <c r="B660" s="31"/>
      <c r="C660" s="31"/>
      <c r="D660" s="31"/>
      <c r="E660" s="298"/>
      <c r="F660" s="39"/>
      <c r="G660" s="31"/>
      <c r="H660" s="39"/>
      <c r="I660" s="40"/>
      <c r="J660" s="40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</row>
    <row r="661" ht="30.0" customHeight="1">
      <c r="A661" s="31"/>
      <c r="B661" s="31"/>
      <c r="C661" s="31"/>
      <c r="D661" s="31"/>
      <c r="E661" s="298"/>
      <c r="F661" s="39"/>
      <c r="G661" s="31"/>
      <c r="H661" s="39"/>
      <c r="I661" s="40"/>
      <c r="J661" s="40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</row>
    <row r="662" ht="30.0" customHeight="1">
      <c r="A662" s="31"/>
      <c r="B662" s="31"/>
      <c r="C662" s="31"/>
      <c r="D662" s="31"/>
      <c r="E662" s="298"/>
      <c r="F662" s="39"/>
      <c r="G662" s="31"/>
      <c r="H662" s="39"/>
      <c r="I662" s="40"/>
      <c r="J662" s="40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</row>
    <row r="663" ht="30.0" customHeight="1">
      <c r="A663" s="31"/>
      <c r="B663" s="31"/>
      <c r="C663" s="31"/>
      <c r="D663" s="31"/>
      <c r="E663" s="298"/>
      <c r="F663" s="39"/>
      <c r="G663" s="31"/>
      <c r="H663" s="39"/>
      <c r="I663" s="40"/>
      <c r="J663" s="40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</row>
    <row r="664" ht="30.0" customHeight="1">
      <c r="A664" s="31"/>
      <c r="B664" s="31"/>
      <c r="C664" s="31"/>
      <c r="D664" s="31"/>
      <c r="E664" s="298"/>
      <c r="F664" s="39"/>
      <c r="G664" s="31"/>
      <c r="H664" s="39"/>
      <c r="I664" s="40"/>
      <c r="J664" s="40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</row>
    <row r="665" ht="30.0" customHeight="1">
      <c r="A665" s="31"/>
      <c r="B665" s="31"/>
      <c r="C665" s="31"/>
      <c r="D665" s="31"/>
      <c r="E665" s="298"/>
      <c r="F665" s="39"/>
      <c r="G665" s="31"/>
      <c r="H665" s="39"/>
      <c r="I665" s="40"/>
      <c r="J665" s="40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</row>
    <row r="666" ht="30.0" customHeight="1">
      <c r="A666" s="31"/>
      <c r="B666" s="31"/>
      <c r="C666" s="31"/>
      <c r="D666" s="31"/>
      <c r="E666" s="298"/>
      <c r="F666" s="39"/>
      <c r="G666" s="31"/>
      <c r="H666" s="39"/>
      <c r="I666" s="40"/>
      <c r="J666" s="40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</row>
    <row r="667" ht="30.0" customHeight="1">
      <c r="A667" s="31"/>
      <c r="B667" s="31"/>
      <c r="C667" s="31"/>
      <c r="D667" s="31"/>
      <c r="E667" s="298"/>
      <c r="F667" s="39"/>
      <c r="G667" s="31"/>
      <c r="H667" s="39"/>
      <c r="I667" s="40"/>
      <c r="J667" s="40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</row>
    <row r="668" ht="30.0" customHeight="1">
      <c r="A668" s="31"/>
      <c r="B668" s="31"/>
      <c r="C668" s="31"/>
      <c r="D668" s="31"/>
      <c r="E668" s="298"/>
      <c r="F668" s="39"/>
      <c r="G668" s="31"/>
      <c r="H668" s="39"/>
      <c r="I668" s="40"/>
      <c r="J668" s="40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</row>
    <row r="669" ht="30.0" customHeight="1">
      <c r="A669" s="31"/>
      <c r="B669" s="31"/>
      <c r="C669" s="31"/>
      <c r="D669" s="31"/>
      <c r="E669" s="298"/>
      <c r="F669" s="39"/>
      <c r="G669" s="31"/>
      <c r="H669" s="39"/>
      <c r="I669" s="40"/>
      <c r="J669" s="40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</row>
    <row r="670" ht="30.0" customHeight="1">
      <c r="A670" s="31"/>
      <c r="B670" s="31"/>
      <c r="C670" s="31"/>
      <c r="D670" s="31"/>
      <c r="E670" s="298"/>
      <c r="F670" s="39"/>
      <c r="G670" s="31"/>
      <c r="H670" s="39"/>
      <c r="I670" s="40"/>
      <c r="J670" s="40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</row>
    <row r="671" ht="30.0" customHeight="1">
      <c r="A671" s="31"/>
      <c r="B671" s="31"/>
      <c r="C671" s="31"/>
      <c r="D671" s="31"/>
      <c r="E671" s="298"/>
      <c r="F671" s="39"/>
      <c r="G671" s="31"/>
      <c r="H671" s="39"/>
      <c r="I671" s="40"/>
      <c r="J671" s="40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</row>
    <row r="672" ht="30.0" customHeight="1">
      <c r="A672" s="31"/>
      <c r="B672" s="31"/>
      <c r="C672" s="31"/>
      <c r="D672" s="31"/>
      <c r="E672" s="298"/>
      <c r="F672" s="39"/>
      <c r="G672" s="31"/>
      <c r="H672" s="39"/>
      <c r="I672" s="40"/>
      <c r="J672" s="40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</row>
    <row r="673" ht="30.0" customHeight="1">
      <c r="A673" s="31"/>
      <c r="B673" s="31"/>
      <c r="C673" s="31"/>
      <c r="D673" s="31"/>
      <c r="E673" s="298"/>
      <c r="F673" s="39"/>
      <c r="G673" s="31"/>
      <c r="H673" s="39"/>
      <c r="I673" s="40"/>
      <c r="J673" s="40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</row>
    <row r="674" ht="30.0" customHeight="1">
      <c r="A674" s="31"/>
      <c r="B674" s="31"/>
      <c r="C674" s="31"/>
      <c r="D674" s="31"/>
      <c r="E674" s="298"/>
      <c r="F674" s="39"/>
      <c r="G674" s="31"/>
      <c r="H674" s="39"/>
      <c r="I674" s="40"/>
      <c r="J674" s="40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</row>
    <row r="675" ht="30.0" customHeight="1">
      <c r="A675" s="31"/>
      <c r="B675" s="31"/>
      <c r="C675" s="31"/>
      <c r="D675" s="31"/>
      <c r="E675" s="298"/>
      <c r="F675" s="39"/>
      <c r="G675" s="31"/>
      <c r="H675" s="39"/>
      <c r="I675" s="40"/>
      <c r="J675" s="40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</row>
    <row r="676" ht="30.0" customHeight="1">
      <c r="A676" s="31"/>
      <c r="B676" s="31"/>
      <c r="C676" s="31"/>
      <c r="D676" s="31"/>
      <c r="E676" s="298"/>
      <c r="F676" s="39"/>
      <c r="G676" s="31"/>
      <c r="H676" s="39"/>
      <c r="I676" s="40"/>
      <c r="J676" s="40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</row>
    <row r="677" ht="30.0" customHeight="1">
      <c r="A677" s="31"/>
      <c r="B677" s="31"/>
      <c r="C677" s="31"/>
      <c r="D677" s="31"/>
      <c r="E677" s="298"/>
      <c r="F677" s="39"/>
      <c r="G677" s="31"/>
      <c r="H677" s="39"/>
      <c r="I677" s="40"/>
      <c r="J677" s="40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</row>
    <row r="678" ht="30.0" customHeight="1">
      <c r="A678" s="31"/>
      <c r="B678" s="31"/>
      <c r="C678" s="31"/>
      <c r="D678" s="31"/>
      <c r="E678" s="298"/>
      <c r="F678" s="39"/>
      <c r="G678" s="31"/>
      <c r="H678" s="39"/>
      <c r="I678" s="40"/>
      <c r="J678" s="40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</row>
    <row r="679" ht="30.0" customHeight="1">
      <c r="A679" s="31"/>
      <c r="B679" s="31"/>
      <c r="C679" s="31"/>
      <c r="D679" s="31"/>
      <c r="E679" s="298"/>
      <c r="F679" s="39"/>
      <c r="G679" s="31"/>
      <c r="H679" s="39"/>
      <c r="I679" s="40"/>
      <c r="J679" s="40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</row>
    <row r="680" ht="30.0" customHeight="1">
      <c r="A680" s="31"/>
      <c r="B680" s="31"/>
      <c r="C680" s="31"/>
      <c r="D680" s="31"/>
      <c r="E680" s="298"/>
      <c r="F680" s="39"/>
      <c r="G680" s="31"/>
      <c r="H680" s="39"/>
      <c r="I680" s="40"/>
      <c r="J680" s="40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</row>
    <row r="681" ht="30.0" customHeight="1">
      <c r="A681" s="31"/>
      <c r="B681" s="31"/>
      <c r="C681" s="31"/>
      <c r="D681" s="31"/>
      <c r="E681" s="298"/>
      <c r="F681" s="39"/>
      <c r="G681" s="31"/>
      <c r="H681" s="39"/>
      <c r="I681" s="40"/>
      <c r="J681" s="40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</row>
    <row r="682" ht="30.0" customHeight="1">
      <c r="A682" s="31"/>
      <c r="B682" s="31"/>
      <c r="C682" s="31"/>
      <c r="D682" s="31"/>
      <c r="E682" s="298"/>
      <c r="F682" s="39"/>
      <c r="G682" s="31"/>
      <c r="H682" s="39"/>
      <c r="I682" s="40"/>
      <c r="J682" s="40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</row>
    <row r="683" ht="30.0" customHeight="1">
      <c r="A683" s="31"/>
      <c r="B683" s="31"/>
      <c r="C683" s="31"/>
      <c r="D683" s="31"/>
      <c r="E683" s="298"/>
      <c r="F683" s="39"/>
      <c r="G683" s="31"/>
      <c r="H683" s="39"/>
      <c r="I683" s="40"/>
      <c r="J683" s="40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</row>
    <row r="684" ht="30.0" customHeight="1">
      <c r="A684" s="31"/>
      <c r="B684" s="31"/>
      <c r="C684" s="31"/>
      <c r="D684" s="31"/>
      <c r="E684" s="298"/>
      <c r="F684" s="39"/>
      <c r="G684" s="31"/>
      <c r="H684" s="39"/>
      <c r="I684" s="40"/>
      <c r="J684" s="40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</row>
    <row r="685" ht="30.0" customHeight="1">
      <c r="A685" s="31"/>
      <c r="B685" s="31"/>
      <c r="C685" s="31"/>
      <c r="D685" s="31"/>
      <c r="E685" s="298"/>
      <c r="F685" s="39"/>
      <c r="G685" s="31"/>
      <c r="H685" s="39"/>
      <c r="I685" s="40"/>
      <c r="J685" s="40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</row>
    <row r="686" ht="30.0" customHeight="1">
      <c r="A686" s="31"/>
      <c r="B686" s="31"/>
      <c r="C686" s="31"/>
      <c r="D686" s="31"/>
      <c r="E686" s="298"/>
      <c r="F686" s="39"/>
      <c r="G686" s="31"/>
      <c r="H686" s="39"/>
      <c r="I686" s="40"/>
      <c r="J686" s="40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</row>
    <row r="687" ht="30.0" customHeight="1">
      <c r="A687" s="31"/>
      <c r="B687" s="31"/>
      <c r="C687" s="31"/>
      <c r="D687" s="31"/>
      <c r="E687" s="298"/>
      <c r="F687" s="39"/>
      <c r="G687" s="31"/>
      <c r="H687" s="39"/>
      <c r="I687" s="40"/>
      <c r="J687" s="40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</row>
    <row r="688" ht="30.0" customHeight="1">
      <c r="A688" s="31"/>
      <c r="B688" s="31"/>
      <c r="C688" s="31"/>
      <c r="D688" s="31"/>
      <c r="E688" s="298"/>
      <c r="F688" s="39"/>
      <c r="G688" s="31"/>
      <c r="H688" s="39"/>
      <c r="I688" s="40"/>
      <c r="J688" s="40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</row>
    <row r="689" ht="30.0" customHeight="1">
      <c r="A689" s="31"/>
      <c r="B689" s="31"/>
      <c r="C689" s="31"/>
      <c r="D689" s="31"/>
      <c r="E689" s="298"/>
      <c r="F689" s="39"/>
      <c r="G689" s="31"/>
      <c r="H689" s="39"/>
      <c r="I689" s="40"/>
      <c r="J689" s="40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</row>
    <row r="690" ht="30.0" customHeight="1">
      <c r="A690" s="31"/>
      <c r="B690" s="31"/>
      <c r="C690" s="31"/>
      <c r="D690" s="31"/>
      <c r="E690" s="298"/>
      <c r="F690" s="39"/>
      <c r="G690" s="31"/>
      <c r="H690" s="39"/>
      <c r="I690" s="40"/>
      <c r="J690" s="40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</row>
    <row r="691" ht="30.0" customHeight="1">
      <c r="A691" s="31"/>
      <c r="B691" s="31"/>
      <c r="C691" s="31"/>
      <c r="D691" s="31"/>
      <c r="E691" s="298"/>
      <c r="F691" s="39"/>
      <c r="G691" s="31"/>
      <c r="H691" s="39"/>
      <c r="I691" s="40"/>
      <c r="J691" s="40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</row>
    <row r="692" ht="30.0" customHeight="1">
      <c r="A692" s="31"/>
      <c r="B692" s="31"/>
      <c r="C692" s="31"/>
      <c r="D692" s="31"/>
      <c r="E692" s="298"/>
      <c r="F692" s="39"/>
      <c r="G692" s="31"/>
      <c r="H692" s="39"/>
      <c r="I692" s="40"/>
      <c r="J692" s="40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</row>
    <row r="693" ht="30.0" customHeight="1">
      <c r="A693" s="31"/>
      <c r="B693" s="31"/>
      <c r="C693" s="31"/>
      <c r="D693" s="31"/>
      <c r="E693" s="298"/>
      <c r="F693" s="39"/>
      <c r="G693" s="31"/>
      <c r="H693" s="39"/>
      <c r="I693" s="40"/>
      <c r="J693" s="40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</row>
    <row r="694" ht="30.0" customHeight="1">
      <c r="A694" s="31"/>
      <c r="B694" s="31"/>
      <c r="C694" s="31"/>
      <c r="D694" s="31"/>
      <c r="E694" s="298"/>
      <c r="F694" s="39"/>
      <c r="G694" s="31"/>
      <c r="H694" s="39"/>
      <c r="I694" s="40"/>
      <c r="J694" s="40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</row>
    <row r="695" ht="30.0" customHeight="1">
      <c r="A695" s="31"/>
      <c r="B695" s="31"/>
      <c r="C695" s="31"/>
      <c r="D695" s="31"/>
      <c r="E695" s="298"/>
      <c r="F695" s="39"/>
      <c r="G695" s="31"/>
      <c r="H695" s="39"/>
      <c r="I695" s="40"/>
      <c r="J695" s="40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</row>
    <row r="696" ht="30.0" customHeight="1">
      <c r="A696" s="31"/>
      <c r="B696" s="31"/>
      <c r="C696" s="31"/>
      <c r="D696" s="31"/>
      <c r="E696" s="298"/>
      <c r="F696" s="39"/>
      <c r="G696" s="31"/>
      <c r="H696" s="39"/>
      <c r="I696" s="40"/>
      <c r="J696" s="40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</row>
    <row r="697" ht="30.0" customHeight="1">
      <c r="A697" s="31"/>
      <c r="B697" s="31"/>
      <c r="C697" s="31"/>
      <c r="D697" s="31"/>
      <c r="E697" s="298"/>
      <c r="F697" s="39"/>
      <c r="G697" s="31"/>
      <c r="H697" s="39"/>
      <c r="I697" s="40"/>
      <c r="J697" s="40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</row>
    <row r="698" ht="30.0" customHeight="1">
      <c r="A698" s="31"/>
      <c r="B698" s="31"/>
      <c r="C698" s="31"/>
      <c r="D698" s="31"/>
      <c r="E698" s="298"/>
      <c r="F698" s="39"/>
      <c r="G698" s="31"/>
      <c r="H698" s="39"/>
      <c r="I698" s="40"/>
      <c r="J698" s="40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</row>
    <row r="699" ht="30.0" customHeight="1">
      <c r="A699" s="31"/>
      <c r="B699" s="31"/>
      <c r="C699" s="31"/>
      <c r="D699" s="31"/>
      <c r="E699" s="298"/>
      <c r="F699" s="39"/>
      <c r="G699" s="31"/>
      <c r="H699" s="39"/>
      <c r="I699" s="40"/>
      <c r="J699" s="40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</row>
    <row r="700" ht="30.0" customHeight="1">
      <c r="A700" s="31"/>
      <c r="B700" s="31"/>
      <c r="C700" s="31"/>
      <c r="D700" s="31"/>
      <c r="E700" s="298"/>
      <c r="F700" s="39"/>
      <c r="G700" s="31"/>
      <c r="H700" s="39"/>
      <c r="I700" s="40"/>
      <c r="J700" s="40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</row>
    <row r="701" ht="30.0" customHeight="1">
      <c r="A701" s="31"/>
      <c r="B701" s="31"/>
      <c r="C701" s="31"/>
      <c r="D701" s="31"/>
      <c r="E701" s="298"/>
      <c r="F701" s="39"/>
      <c r="G701" s="31"/>
      <c r="H701" s="39"/>
      <c r="I701" s="40"/>
      <c r="J701" s="40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</row>
    <row r="702" ht="30.0" customHeight="1">
      <c r="A702" s="31"/>
      <c r="B702" s="31"/>
      <c r="C702" s="31"/>
      <c r="D702" s="31"/>
      <c r="E702" s="298"/>
      <c r="F702" s="39"/>
      <c r="G702" s="31"/>
      <c r="H702" s="39"/>
      <c r="I702" s="40"/>
      <c r="J702" s="40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</row>
    <row r="703" ht="30.0" customHeight="1">
      <c r="A703" s="31"/>
      <c r="B703" s="31"/>
      <c r="C703" s="31"/>
      <c r="D703" s="31"/>
      <c r="E703" s="298"/>
      <c r="F703" s="39"/>
      <c r="G703" s="31"/>
      <c r="H703" s="39"/>
      <c r="I703" s="40"/>
      <c r="J703" s="40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</row>
    <row r="704" ht="30.0" customHeight="1">
      <c r="A704" s="31"/>
      <c r="B704" s="31"/>
      <c r="C704" s="31"/>
      <c r="D704" s="31"/>
      <c r="E704" s="298"/>
      <c r="F704" s="39"/>
      <c r="G704" s="31"/>
      <c r="H704" s="39"/>
      <c r="I704" s="40"/>
      <c r="J704" s="40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</row>
    <row r="705" ht="30.0" customHeight="1">
      <c r="A705" s="31"/>
      <c r="B705" s="31"/>
      <c r="C705" s="31"/>
      <c r="D705" s="31"/>
      <c r="E705" s="298"/>
      <c r="F705" s="39"/>
      <c r="G705" s="31"/>
      <c r="H705" s="39"/>
      <c r="I705" s="40"/>
      <c r="J705" s="40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</row>
    <row r="706" ht="30.0" customHeight="1">
      <c r="A706" s="31"/>
      <c r="B706" s="31"/>
      <c r="C706" s="31"/>
      <c r="D706" s="31"/>
      <c r="E706" s="298"/>
      <c r="F706" s="39"/>
      <c r="G706" s="31"/>
      <c r="H706" s="39"/>
      <c r="I706" s="40"/>
      <c r="J706" s="40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</row>
    <row r="707" ht="30.0" customHeight="1">
      <c r="A707" s="31"/>
      <c r="B707" s="31"/>
      <c r="C707" s="31"/>
      <c r="D707" s="31"/>
      <c r="E707" s="298"/>
      <c r="F707" s="39"/>
      <c r="G707" s="31"/>
      <c r="H707" s="39"/>
      <c r="I707" s="40"/>
      <c r="J707" s="40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</row>
    <row r="708" ht="30.0" customHeight="1">
      <c r="A708" s="31"/>
      <c r="B708" s="31"/>
      <c r="C708" s="31"/>
      <c r="D708" s="31"/>
      <c r="E708" s="298"/>
      <c r="F708" s="39"/>
      <c r="G708" s="31"/>
      <c r="H708" s="39"/>
      <c r="I708" s="40"/>
      <c r="J708" s="40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</row>
    <row r="709" ht="30.0" customHeight="1">
      <c r="A709" s="31"/>
      <c r="B709" s="31"/>
      <c r="C709" s="31"/>
      <c r="D709" s="31"/>
      <c r="E709" s="298"/>
      <c r="F709" s="39"/>
      <c r="G709" s="31"/>
      <c r="H709" s="39"/>
      <c r="I709" s="40"/>
      <c r="J709" s="40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</row>
    <row r="710" ht="30.0" customHeight="1">
      <c r="A710" s="31"/>
      <c r="B710" s="31"/>
      <c r="C710" s="31"/>
      <c r="D710" s="31"/>
      <c r="E710" s="298"/>
      <c r="F710" s="39"/>
      <c r="G710" s="31"/>
      <c r="H710" s="39"/>
      <c r="I710" s="40"/>
      <c r="J710" s="40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</row>
    <row r="711" ht="30.0" customHeight="1">
      <c r="A711" s="31"/>
      <c r="B711" s="31"/>
      <c r="C711" s="31"/>
      <c r="D711" s="31"/>
      <c r="E711" s="298"/>
      <c r="F711" s="39"/>
      <c r="G711" s="31"/>
      <c r="H711" s="39"/>
      <c r="I711" s="40"/>
      <c r="J711" s="40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</row>
    <row r="712" ht="30.0" customHeight="1">
      <c r="A712" s="31"/>
      <c r="B712" s="31"/>
      <c r="C712" s="31"/>
      <c r="D712" s="31"/>
      <c r="E712" s="298"/>
      <c r="F712" s="39"/>
      <c r="G712" s="31"/>
      <c r="H712" s="39"/>
      <c r="I712" s="40"/>
      <c r="J712" s="40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</row>
    <row r="713" ht="30.0" customHeight="1">
      <c r="A713" s="31"/>
      <c r="B713" s="31"/>
      <c r="C713" s="31"/>
      <c r="D713" s="31"/>
      <c r="E713" s="298"/>
      <c r="F713" s="39"/>
      <c r="G713" s="31"/>
      <c r="H713" s="39"/>
      <c r="I713" s="40"/>
      <c r="J713" s="40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</row>
    <row r="714" ht="30.0" customHeight="1">
      <c r="A714" s="31"/>
      <c r="B714" s="31"/>
      <c r="C714" s="31"/>
      <c r="D714" s="31"/>
      <c r="E714" s="298"/>
      <c r="F714" s="39"/>
      <c r="G714" s="31"/>
      <c r="H714" s="39"/>
      <c r="I714" s="40"/>
      <c r="J714" s="40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</row>
    <row r="715" ht="30.0" customHeight="1">
      <c r="A715" s="31"/>
      <c r="B715" s="31"/>
      <c r="C715" s="31"/>
      <c r="D715" s="31"/>
      <c r="E715" s="298"/>
      <c r="F715" s="39"/>
      <c r="G715" s="31"/>
      <c r="H715" s="39"/>
      <c r="I715" s="40"/>
      <c r="J715" s="40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</row>
    <row r="716" ht="30.0" customHeight="1">
      <c r="A716" s="31"/>
      <c r="B716" s="31"/>
      <c r="C716" s="31"/>
      <c r="D716" s="31"/>
      <c r="E716" s="298"/>
      <c r="F716" s="39"/>
      <c r="G716" s="31"/>
      <c r="H716" s="39"/>
      <c r="I716" s="40"/>
      <c r="J716" s="40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</row>
    <row r="717" ht="30.0" customHeight="1">
      <c r="A717" s="31"/>
      <c r="B717" s="31"/>
      <c r="C717" s="31"/>
      <c r="D717" s="31"/>
      <c r="E717" s="298"/>
      <c r="F717" s="39"/>
      <c r="G717" s="31"/>
      <c r="H717" s="39"/>
      <c r="I717" s="40"/>
      <c r="J717" s="40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</row>
    <row r="718" ht="30.0" customHeight="1">
      <c r="A718" s="31"/>
      <c r="B718" s="31"/>
      <c r="C718" s="31"/>
      <c r="D718" s="31"/>
      <c r="E718" s="298"/>
      <c r="F718" s="39"/>
      <c r="G718" s="31"/>
      <c r="H718" s="39"/>
      <c r="I718" s="40"/>
      <c r="J718" s="40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</row>
    <row r="719" ht="30.0" customHeight="1">
      <c r="A719" s="31"/>
      <c r="B719" s="31"/>
      <c r="C719" s="31"/>
      <c r="D719" s="31"/>
      <c r="E719" s="298"/>
      <c r="F719" s="39"/>
      <c r="G719" s="31"/>
      <c r="H719" s="39"/>
      <c r="I719" s="40"/>
      <c r="J719" s="40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</row>
    <row r="720" ht="30.0" customHeight="1">
      <c r="A720" s="31"/>
      <c r="B720" s="31"/>
      <c r="C720" s="31"/>
      <c r="D720" s="31"/>
      <c r="E720" s="298"/>
      <c r="F720" s="39"/>
      <c r="G720" s="31"/>
      <c r="H720" s="39"/>
      <c r="I720" s="40"/>
      <c r="J720" s="40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</row>
    <row r="721" ht="30.0" customHeight="1">
      <c r="A721" s="31"/>
      <c r="B721" s="31"/>
      <c r="C721" s="31"/>
      <c r="D721" s="31"/>
      <c r="E721" s="298"/>
      <c r="F721" s="39"/>
      <c r="G721" s="31"/>
      <c r="H721" s="39"/>
      <c r="I721" s="40"/>
      <c r="J721" s="40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</row>
    <row r="722" ht="30.0" customHeight="1">
      <c r="A722" s="31"/>
      <c r="B722" s="31"/>
      <c r="C722" s="31"/>
      <c r="D722" s="31"/>
      <c r="E722" s="298"/>
      <c r="F722" s="39"/>
      <c r="G722" s="31"/>
      <c r="H722" s="39"/>
      <c r="I722" s="40"/>
      <c r="J722" s="40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</row>
    <row r="723" ht="30.0" customHeight="1">
      <c r="A723" s="31"/>
      <c r="B723" s="31"/>
      <c r="C723" s="31"/>
      <c r="D723" s="31"/>
      <c r="E723" s="298"/>
      <c r="F723" s="39"/>
      <c r="G723" s="31"/>
      <c r="H723" s="39"/>
      <c r="I723" s="40"/>
      <c r="J723" s="40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</row>
    <row r="724" ht="30.0" customHeight="1">
      <c r="A724" s="31"/>
      <c r="B724" s="31"/>
      <c r="C724" s="31"/>
      <c r="D724" s="31"/>
      <c r="E724" s="298"/>
      <c r="F724" s="39"/>
      <c r="G724" s="31"/>
      <c r="H724" s="39"/>
      <c r="I724" s="40"/>
      <c r="J724" s="40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</row>
    <row r="725" ht="30.0" customHeight="1">
      <c r="A725" s="31"/>
      <c r="B725" s="31"/>
      <c r="C725" s="31"/>
      <c r="D725" s="31"/>
      <c r="E725" s="298"/>
      <c r="F725" s="39"/>
      <c r="G725" s="31"/>
      <c r="H725" s="39"/>
      <c r="I725" s="40"/>
      <c r="J725" s="40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</row>
    <row r="726" ht="30.0" customHeight="1">
      <c r="A726" s="31"/>
      <c r="B726" s="31"/>
      <c r="C726" s="31"/>
      <c r="D726" s="31"/>
      <c r="E726" s="298"/>
      <c r="F726" s="39"/>
      <c r="G726" s="31"/>
      <c r="H726" s="39"/>
      <c r="I726" s="40"/>
      <c r="J726" s="40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</row>
    <row r="727" ht="30.0" customHeight="1">
      <c r="A727" s="31"/>
      <c r="B727" s="31"/>
      <c r="C727" s="31"/>
      <c r="D727" s="31"/>
      <c r="E727" s="298"/>
      <c r="F727" s="39"/>
      <c r="G727" s="31"/>
      <c r="H727" s="39"/>
      <c r="I727" s="40"/>
      <c r="J727" s="40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</row>
    <row r="728" ht="30.0" customHeight="1">
      <c r="A728" s="31"/>
      <c r="B728" s="31"/>
      <c r="C728" s="31"/>
      <c r="D728" s="31"/>
      <c r="E728" s="298"/>
      <c r="F728" s="39"/>
      <c r="G728" s="31"/>
      <c r="H728" s="39"/>
      <c r="I728" s="40"/>
      <c r="J728" s="40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</row>
    <row r="729" ht="30.0" customHeight="1">
      <c r="A729" s="31"/>
      <c r="B729" s="31"/>
      <c r="C729" s="31"/>
      <c r="D729" s="31"/>
      <c r="E729" s="298"/>
      <c r="F729" s="39"/>
      <c r="G729" s="31"/>
      <c r="H729" s="39"/>
      <c r="I729" s="40"/>
      <c r="J729" s="40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</row>
    <row r="730" ht="30.0" customHeight="1">
      <c r="A730" s="31"/>
      <c r="B730" s="31"/>
      <c r="C730" s="31"/>
      <c r="D730" s="31"/>
      <c r="E730" s="298"/>
      <c r="F730" s="39"/>
      <c r="G730" s="31"/>
      <c r="H730" s="39"/>
      <c r="I730" s="40"/>
      <c r="J730" s="40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</row>
    <row r="731" ht="30.0" customHeight="1">
      <c r="A731" s="31"/>
      <c r="B731" s="31"/>
      <c r="C731" s="31"/>
      <c r="D731" s="31"/>
      <c r="E731" s="298"/>
      <c r="F731" s="39"/>
      <c r="G731" s="31"/>
      <c r="H731" s="39"/>
      <c r="I731" s="40"/>
      <c r="J731" s="40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</row>
    <row r="732" ht="30.0" customHeight="1">
      <c r="A732" s="31"/>
      <c r="B732" s="31"/>
      <c r="C732" s="31"/>
      <c r="D732" s="31"/>
      <c r="E732" s="298"/>
      <c r="F732" s="39"/>
      <c r="G732" s="31"/>
      <c r="H732" s="39"/>
      <c r="I732" s="40"/>
      <c r="J732" s="40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</row>
    <row r="733" ht="30.0" customHeight="1">
      <c r="A733" s="31"/>
      <c r="B733" s="31"/>
      <c r="C733" s="31"/>
      <c r="D733" s="31"/>
      <c r="E733" s="298"/>
      <c r="F733" s="39"/>
      <c r="G733" s="31"/>
      <c r="H733" s="39"/>
      <c r="I733" s="40"/>
      <c r="J733" s="40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</row>
    <row r="734" ht="30.0" customHeight="1">
      <c r="A734" s="31"/>
      <c r="B734" s="31"/>
      <c r="C734" s="31"/>
      <c r="D734" s="31"/>
      <c r="E734" s="298"/>
      <c r="F734" s="39"/>
      <c r="G734" s="31"/>
      <c r="H734" s="39"/>
      <c r="I734" s="40"/>
      <c r="J734" s="40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</row>
    <row r="735" ht="30.0" customHeight="1">
      <c r="A735" s="31"/>
      <c r="B735" s="31"/>
      <c r="C735" s="31"/>
      <c r="D735" s="31"/>
      <c r="E735" s="298"/>
      <c r="F735" s="39"/>
      <c r="G735" s="31"/>
      <c r="H735" s="39"/>
      <c r="I735" s="40"/>
      <c r="J735" s="40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</row>
    <row r="736" ht="30.0" customHeight="1">
      <c r="A736" s="31"/>
      <c r="B736" s="31"/>
      <c r="C736" s="31"/>
      <c r="D736" s="31"/>
      <c r="E736" s="298"/>
      <c r="F736" s="39"/>
      <c r="G736" s="31"/>
      <c r="H736" s="39"/>
      <c r="I736" s="40"/>
      <c r="J736" s="40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</row>
    <row r="737" ht="30.0" customHeight="1">
      <c r="A737" s="31"/>
      <c r="B737" s="31"/>
      <c r="C737" s="31"/>
      <c r="D737" s="31"/>
      <c r="E737" s="298"/>
      <c r="F737" s="39"/>
      <c r="G737" s="31"/>
      <c r="H737" s="39"/>
      <c r="I737" s="40"/>
      <c r="J737" s="40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</row>
    <row r="738" ht="30.0" customHeight="1">
      <c r="A738" s="31"/>
      <c r="B738" s="31"/>
      <c r="C738" s="31"/>
      <c r="D738" s="31"/>
      <c r="E738" s="298"/>
      <c r="F738" s="39"/>
      <c r="G738" s="31"/>
      <c r="H738" s="39"/>
      <c r="I738" s="40"/>
      <c r="J738" s="40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</row>
    <row r="739" ht="30.0" customHeight="1">
      <c r="A739" s="31"/>
      <c r="B739" s="31"/>
      <c r="C739" s="31"/>
      <c r="D739" s="31"/>
      <c r="E739" s="298"/>
      <c r="F739" s="39"/>
      <c r="G739" s="31"/>
      <c r="H739" s="39"/>
      <c r="I739" s="40"/>
      <c r="J739" s="40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</row>
    <row r="740" ht="30.0" customHeight="1">
      <c r="A740" s="31"/>
      <c r="B740" s="31"/>
      <c r="C740" s="31"/>
      <c r="D740" s="31"/>
      <c r="E740" s="298"/>
      <c r="F740" s="39"/>
      <c r="G740" s="31"/>
      <c r="H740" s="39"/>
      <c r="I740" s="40"/>
      <c r="J740" s="40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</row>
    <row r="741" ht="30.0" customHeight="1">
      <c r="A741" s="31"/>
      <c r="B741" s="31"/>
      <c r="C741" s="31"/>
      <c r="D741" s="31"/>
      <c r="E741" s="298"/>
      <c r="F741" s="39"/>
      <c r="G741" s="31"/>
      <c r="H741" s="39"/>
      <c r="I741" s="40"/>
      <c r="J741" s="40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</row>
    <row r="742" ht="30.0" customHeight="1">
      <c r="A742" s="31"/>
      <c r="B742" s="31"/>
      <c r="C742" s="31"/>
      <c r="D742" s="31"/>
      <c r="E742" s="298"/>
      <c r="F742" s="39"/>
      <c r="G742" s="31"/>
      <c r="H742" s="39"/>
      <c r="I742" s="40"/>
      <c r="J742" s="40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</row>
    <row r="743" ht="30.0" customHeight="1">
      <c r="A743" s="31"/>
      <c r="B743" s="31"/>
      <c r="C743" s="31"/>
      <c r="D743" s="31"/>
      <c r="E743" s="298"/>
      <c r="F743" s="39"/>
      <c r="G743" s="31"/>
      <c r="H743" s="39"/>
      <c r="I743" s="40"/>
      <c r="J743" s="40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</row>
    <row r="744" ht="30.0" customHeight="1">
      <c r="A744" s="31"/>
      <c r="B744" s="31"/>
      <c r="C744" s="31"/>
      <c r="D744" s="31"/>
      <c r="E744" s="298"/>
      <c r="F744" s="39"/>
      <c r="G744" s="31"/>
      <c r="H744" s="39"/>
      <c r="I744" s="40"/>
      <c r="J744" s="40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</row>
    <row r="745" ht="30.0" customHeight="1">
      <c r="A745" s="31"/>
      <c r="B745" s="31"/>
      <c r="C745" s="31"/>
      <c r="D745" s="31"/>
      <c r="E745" s="298"/>
      <c r="F745" s="39"/>
      <c r="G745" s="31"/>
      <c r="H745" s="39"/>
      <c r="I745" s="40"/>
      <c r="J745" s="40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</row>
    <row r="746" ht="30.0" customHeight="1">
      <c r="A746" s="31"/>
      <c r="B746" s="31"/>
      <c r="C746" s="31"/>
      <c r="D746" s="31"/>
      <c r="E746" s="298"/>
      <c r="F746" s="39"/>
      <c r="G746" s="31"/>
      <c r="H746" s="39"/>
      <c r="I746" s="40"/>
      <c r="J746" s="40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</row>
    <row r="747" ht="30.0" customHeight="1">
      <c r="A747" s="31"/>
      <c r="B747" s="31"/>
      <c r="C747" s="31"/>
      <c r="D747" s="31"/>
      <c r="E747" s="298"/>
      <c r="F747" s="39"/>
      <c r="G747" s="31"/>
      <c r="H747" s="39"/>
      <c r="I747" s="40"/>
      <c r="J747" s="40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</row>
    <row r="748" ht="30.0" customHeight="1">
      <c r="A748" s="31"/>
      <c r="B748" s="31"/>
      <c r="C748" s="31"/>
      <c r="D748" s="31"/>
      <c r="E748" s="298"/>
      <c r="F748" s="39"/>
      <c r="G748" s="31"/>
      <c r="H748" s="39"/>
      <c r="I748" s="40"/>
      <c r="J748" s="40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</row>
    <row r="749" ht="30.0" customHeight="1">
      <c r="A749" s="31"/>
      <c r="B749" s="31"/>
      <c r="C749" s="31"/>
      <c r="D749" s="31"/>
      <c r="E749" s="298"/>
      <c r="F749" s="39"/>
      <c r="G749" s="31"/>
      <c r="H749" s="39"/>
      <c r="I749" s="40"/>
      <c r="J749" s="40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</row>
    <row r="750" ht="30.0" customHeight="1">
      <c r="A750" s="31"/>
      <c r="B750" s="31"/>
      <c r="C750" s="31"/>
      <c r="D750" s="31"/>
      <c r="E750" s="298"/>
      <c r="F750" s="39"/>
      <c r="G750" s="31"/>
      <c r="H750" s="39"/>
      <c r="I750" s="40"/>
      <c r="J750" s="40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</row>
    <row r="751" ht="30.0" customHeight="1">
      <c r="A751" s="31"/>
      <c r="B751" s="31"/>
      <c r="C751" s="31"/>
      <c r="D751" s="31"/>
      <c r="E751" s="298"/>
      <c r="F751" s="39"/>
      <c r="G751" s="31"/>
      <c r="H751" s="39"/>
      <c r="I751" s="40"/>
      <c r="J751" s="40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</row>
    <row r="752" ht="30.0" customHeight="1">
      <c r="A752" s="31"/>
      <c r="B752" s="31"/>
      <c r="C752" s="31"/>
      <c r="D752" s="31"/>
      <c r="E752" s="298"/>
      <c r="F752" s="39"/>
      <c r="G752" s="31"/>
      <c r="H752" s="39"/>
      <c r="I752" s="40"/>
      <c r="J752" s="40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</row>
    <row r="753" ht="30.0" customHeight="1">
      <c r="A753" s="31"/>
      <c r="B753" s="31"/>
      <c r="C753" s="31"/>
      <c r="D753" s="31"/>
      <c r="E753" s="298"/>
      <c r="F753" s="39"/>
      <c r="G753" s="31"/>
      <c r="H753" s="39"/>
      <c r="I753" s="40"/>
      <c r="J753" s="40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</row>
    <row r="754" ht="30.0" customHeight="1">
      <c r="A754" s="31"/>
      <c r="B754" s="31"/>
      <c r="C754" s="31"/>
      <c r="D754" s="31"/>
      <c r="E754" s="298"/>
      <c r="F754" s="39"/>
      <c r="G754" s="31"/>
      <c r="H754" s="39"/>
      <c r="I754" s="40"/>
      <c r="J754" s="40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</row>
    <row r="755" ht="30.0" customHeight="1">
      <c r="A755" s="31"/>
      <c r="B755" s="31"/>
      <c r="C755" s="31"/>
      <c r="D755" s="31"/>
      <c r="E755" s="298"/>
      <c r="F755" s="39"/>
      <c r="G755" s="31"/>
      <c r="H755" s="39"/>
      <c r="I755" s="40"/>
      <c r="J755" s="40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</row>
    <row r="756" ht="30.0" customHeight="1">
      <c r="A756" s="31"/>
      <c r="B756" s="31"/>
      <c r="C756" s="31"/>
      <c r="D756" s="31"/>
      <c r="E756" s="298"/>
      <c r="F756" s="39"/>
      <c r="G756" s="31"/>
      <c r="H756" s="39"/>
      <c r="I756" s="40"/>
      <c r="J756" s="40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</row>
    <row r="757" ht="30.0" customHeight="1">
      <c r="A757" s="31"/>
      <c r="B757" s="31"/>
      <c r="C757" s="31"/>
      <c r="D757" s="31"/>
      <c r="E757" s="298"/>
      <c r="F757" s="39"/>
      <c r="G757" s="31"/>
      <c r="H757" s="39"/>
      <c r="I757" s="40"/>
      <c r="J757" s="40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</row>
    <row r="758" ht="30.0" customHeight="1">
      <c r="A758" s="31"/>
      <c r="B758" s="31"/>
      <c r="C758" s="31"/>
      <c r="D758" s="31"/>
      <c r="E758" s="298"/>
      <c r="F758" s="39"/>
      <c r="G758" s="31"/>
      <c r="H758" s="39"/>
      <c r="I758" s="40"/>
      <c r="J758" s="40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</row>
    <row r="759" ht="30.0" customHeight="1">
      <c r="A759" s="31"/>
      <c r="B759" s="31"/>
      <c r="C759" s="31"/>
      <c r="D759" s="31"/>
      <c r="E759" s="298"/>
      <c r="F759" s="39"/>
      <c r="G759" s="31"/>
      <c r="H759" s="39"/>
      <c r="I759" s="40"/>
      <c r="J759" s="40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</row>
    <row r="760" ht="30.0" customHeight="1">
      <c r="A760" s="31"/>
      <c r="B760" s="31"/>
      <c r="C760" s="31"/>
      <c r="D760" s="31"/>
      <c r="E760" s="298"/>
      <c r="F760" s="39"/>
      <c r="G760" s="31"/>
      <c r="H760" s="39"/>
      <c r="I760" s="40"/>
      <c r="J760" s="40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</row>
    <row r="761" ht="30.0" customHeight="1">
      <c r="A761" s="31"/>
      <c r="B761" s="31"/>
      <c r="C761" s="31"/>
      <c r="D761" s="31"/>
      <c r="E761" s="298"/>
      <c r="F761" s="39"/>
      <c r="G761" s="31"/>
      <c r="H761" s="39"/>
      <c r="I761" s="40"/>
      <c r="J761" s="40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</row>
    <row r="762" ht="30.0" customHeight="1">
      <c r="A762" s="31"/>
      <c r="B762" s="31"/>
      <c r="C762" s="31"/>
      <c r="D762" s="31"/>
      <c r="E762" s="298"/>
      <c r="F762" s="39"/>
      <c r="G762" s="31"/>
      <c r="H762" s="39"/>
      <c r="I762" s="40"/>
      <c r="J762" s="40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</row>
    <row r="763" ht="30.0" customHeight="1">
      <c r="A763" s="31"/>
      <c r="B763" s="31"/>
      <c r="C763" s="31"/>
      <c r="D763" s="31"/>
      <c r="E763" s="298"/>
      <c r="F763" s="39"/>
      <c r="G763" s="31"/>
      <c r="H763" s="39"/>
      <c r="I763" s="40"/>
      <c r="J763" s="40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</row>
    <row r="764" ht="30.0" customHeight="1">
      <c r="A764" s="31"/>
      <c r="B764" s="31"/>
      <c r="C764" s="31"/>
      <c r="D764" s="31"/>
      <c r="E764" s="298"/>
      <c r="F764" s="39"/>
      <c r="G764" s="31"/>
      <c r="H764" s="39"/>
      <c r="I764" s="40"/>
      <c r="J764" s="40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</row>
    <row r="765" ht="30.0" customHeight="1">
      <c r="A765" s="31"/>
      <c r="B765" s="31"/>
      <c r="C765" s="31"/>
      <c r="D765" s="31"/>
      <c r="E765" s="298"/>
      <c r="F765" s="39"/>
      <c r="G765" s="31"/>
      <c r="H765" s="39"/>
      <c r="I765" s="40"/>
      <c r="J765" s="40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</row>
    <row r="766" ht="30.0" customHeight="1">
      <c r="A766" s="31"/>
      <c r="B766" s="31"/>
      <c r="C766" s="31"/>
      <c r="D766" s="31"/>
      <c r="E766" s="298"/>
      <c r="F766" s="39"/>
      <c r="G766" s="31"/>
      <c r="H766" s="39"/>
      <c r="I766" s="40"/>
      <c r="J766" s="40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</row>
    <row r="767" ht="30.0" customHeight="1">
      <c r="A767" s="31"/>
      <c r="B767" s="31"/>
      <c r="C767" s="31"/>
      <c r="D767" s="31"/>
      <c r="E767" s="298"/>
      <c r="F767" s="39"/>
      <c r="G767" s="31"/>
      <c r="H767" s="39"/>
      <c r="I767" s="40"/>
      <c r="J767" s="40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</row>
    <row r="768" ht="30.0" customHeight="1">
      <c r="A768" s="31"/>
      <c r="B768" s="31"/>
      <c r="C768" s="31"/>
      <c r="D768" s="31"/>
      <c r="E768" s="298"/>
      <c r="F768" s="39"/>
      <c r="G768" s="31"/>
      <c r="H768" s="39"/>
      <c r="I768" s="40"/>
      <c r="J768" s="40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</row>
    <row r="769" ht="30.0" customHeight="1">
      <c r="A769" s="31"/>
      <c r="B769" s="31"/>
      <c r="C769" s="31"/>
      <c r="D769" s="31"/>
      <c r="E769" s="298"/>
      <c r="F769" s="39"/>
      <c r="G769" s="31"/>
      <c r="H769" s="39"/>
      <c r="I769" s="40"/>
      <c r="J769" s="40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</row>
    <row r="770" ht="30.0" customHeight="1">
      <c r="A770" s="31"/>
      <c r="B770" s="31"/>
      <c r="C770" s="31"/>
      <c r="D770" s="31"/>
      <c r="E770" s="298"/>
      <c r="F770" s="39"/>
      <c r="G770" s="31"/>
      <c r="H770" s="39"/>
      <c r="I770" s="40"/>
      <c r="J770" s="40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</row>
    <row r="771" ht="30.0" customHeight="1">
      <c r="A771" s="31"/>
      <c r="B771" s="31"/>
      <c r="C771" s="31"/>
      <c r="D771" s="31"/>
      <c r="E771" s="298"/>
      <c r="F771" s="39"/>
      <c r="G771" s="31"/>
      <c r="H771" s="39"/>
      <c r="I771" s="40"/>
      <c r="J771" s="40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</row>
    <row r="772" ht="30.0" customHeight="1">
      <c r="A772" s="31"/>
      <c r="B772" s="31"/>
      <c r="C772" s="31"/>
      <c r="D772" s="31"/>
      <c r="E772" s="298"/>
      <c r="F772" s="39"/>
      <c r="G772" s="31"/>
      <c r="H772" s="39"/>
      <c r="I772" s="40"/>
      <c r="J772" s="40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</row>
    <row r="773" ht="30.0" customHeight="1">
      <c r="A773" s="31"/>
      <c r="B773" s="31"/>
      <c r="C773" s="31"/>
      <c r="D773" s="31"/>
      <c r="E773" s="298"/>
      <c r="F773" s="39"/>
      <c r="G773" s="31"/>
      <c r="H773" s="39"/>
      <c r="I773" s="40"/>
      <c r="J773" s="40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</row>
    <row r="774" ht="30.0" customHeight="1">
      <c r="A774" s="31"/>
      <c r="B774" s="31"/>
      <c r="C774" s="31"/>
      <c r="D774" s="31"/>
      <c r="E774" s="298"/>
      <c r="F774" s="39"/>
      <c r="G774" s="31"/>
      <c r="H774" s="39"/>
      <c r="I774" s="40"/>
      <c r="J774" s="40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</row>
    <row r="775" ht="30.0" customHeight="1">
      <c r="A775" s="31"/>
      <c r="B775" s="31"/>
      <c r="C775" s="31"/>
      <c r="D775" s="31"/>
      <c r="E775" s="298"/>
      <c r="F775" s="39"/>
      <c r="G775" s="31"/>
      <c r="H775" s="39"/>
      <c r="I775" s="40"/>
      <c r="J775" s="40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</row>
    <row r="776" ht="30.0" customHeight="1">
      <c r="A776" s="31"/>
      <c r="B776" s="31"/>
      <c r="C776" s="31"/>
      <c r="D776" s="31"/>
      <c r="E776" s="298"/>
      <c r="F776" s="39"/>
      <c r="G776" s="31"/>
      <c r="H776" s="39"/>
      <c r="I776" s="40"/>
      <c r="J776" s="40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</row>
    <row r="777" ht="30.0" customHeight="1">
      <c r="A777" s="31"/>
      <c r="B777" s="31"/>
      <c r="C777" s="31"/>
      <c r="D777" s="31"/>
      <c r="E777" s="298"/>
      <c r="F777" s="39"/>
      <c r="G777" s="31"/>
      <c r="H777" s="39"/>
      <c r="I777" s="40"/>
      <c r="J777" s="40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</row>
    <row r="778" ht="30.0" customHeight="1">
      <c r="A778" s="31"/>
      <c r="B778" s="31"/>
      <c r="C778" s="31"/>
      <c r="D778" s="31"/>
      <c r="E778" s="298"/>
      <c r="F778" s="39"/>
      <c r="G778" s="31"/>
      <c r="H778" s="39"/>
      <c r="I778" s="40"/>
      <c r="J778" s="40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</row>
    <row r="779" ht="30.0" customHeight="1">
      <c r="A779" s="31"/>
      <c r="B779" s="31"/>
      <c r="C779" s="31"/>
      <c r="D779" s="31"/>
      <c r="E779" s="298"/>
      <c r="F779" s="39"/>
      <c r="G779" s="31"/>
      <c r="H779" s="39"/>
      <c r="I779" s="40"/>
      <c r="J779" s="40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</row>
    <row r="780" ht="30.0" customHeight="1">
      <c r="A780" s="31"/>
      <c r="B780" s="31"/>
      <c r="C780" s="31"/>
      <c r="D780" s="31"/>
      <c r="E780" s="298"/>
      <c r="F780" s="39"/>
      <c r="G780" s="31"/>
      <c r="H780" s="39"/>
      <c r="I780" s="40"/>
      <c r="J780" s="40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</row>
    <row r="781" ht="30.0" customHeight="1">
      <c r="A781" s="31"/>
      <c r="B781" s="31"/>
      <c r="C781" s="31"/>
      <c r="D781" s="31"/>
      <c r="E781" s="298"/>
      <c r="F781" s="39"/>
      <c r="G781" s="31"/>
      <c r="H781" s="39"/>
      <c r="I781" s="40"/>
      <c r="J781" s="40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</row>
    <row r="782" ht="30.0" customHeight="1">
      <c r="A782" s="31"/>
      <c r="B782" s="31"/>
      <c r="C782" s="31"/>
      <c r="D782" s="31"/>
      <c r="E782" s="298"/>
      <c r="F782" s="39"/>
      <c r="G782" s="31"/>
      <c r="H782" s="39"/>
      <c r="I782" s="40"/>
      <c r="J782" s="40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</row>
    <row r="783" ht="30.0" customHeight="1">
      <c r="A783" s="31"/>
      <c r="B783" s="31"/>
      <c r="C783" s="31"/>
      <c r="D783" s="31"/>
      <c r="E783" s="298"/>
      <c r="F783" s="39"/>
      <c r="G783" s="31"/>
      <c r="H783" s="39"/>
      <c r="I783" s="40"/>
      <c r="J783" s="40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</row>
    <row r="784" ht="30.0" customHeight="1">
      <c r="A784" s="31"/>
      <c r="B784" s="31"/>
      <c r="C784" s="31"/>
      <c r="D784" s="31"/>
      <c r="E784" s="298"/>
      <c r="F784" s="39"/>
      <c r="G784" s="31"/>
      <c r="H784" s="39"/>
      <c r="I784" s="40"/>
      <c r="J784" s="40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</row>
    <row r="785" ht="30.0" customHeight="1">
      <c r="A785" s="31"/>
      <c r="B785" s="31"/>
      <c r="C785" s="31"/>
      <c r="D785" s="31"/>
      <c r="E785" s="298"/>
      <c r="F785" s="39"/>
      <c r="G785" s="31"/>
      <c r="H785" s="39"/>
      <c r="I785" s="40"/>
      <c r="J785" s="40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</row>
    <row r="786" ht="30.0" customHeight="1">
      <c r="A786" s="31"/>
      <c r="B786" s="31"/>
      <c r="C786" s="31"/>
      <c r="D786" s="31"/>
      <c r="E786" s="298"/>
      <c r="F786" s="39"/>
      <c r="G786" s="31"/>
      <c r="H786" s="39"/>
      <c r="I786" s="40"/>
      <c r="J786" s="40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</row>
    <row r="787" ht="30.0" customHeight="1">
      <c r="A787" s="31"/>
      <c r="B787" s="31"/>
      <c r="C787" s="31"/>
      <c r="D787" s="31"/>
      <c r="E787" s="298"/>
      <c r="F787" s="39"/>
      <c r="G787" s="31"/>
      <c r="H787" s="39"/>
      <c r="I787" s="40"/>
      <c r="J787" s="40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</row>
    <row r="788" ht="30.0" customHeight="1">
      <c r="A788" s="31"/>
      <c r="B788" s="31"/>
      <c r="C788" s="31"/>
      <c r="D788" s="31"/>
      <c r="E788" s="298"/>
      <c r="F788" s="39"/>
      <c r="G788" s="31"/>
      <c r="H788" s="39"/>
      <c r="I788" s="40"/>
      <c r="J788" s="40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</row>
    <row r="789" ht="30.0" customHeight="1">
      <c r="A789" s="31"/>
      <c r="B789" s="31"/>
      <c r="C789" s="31"/>
      <c r="D789" s="31"/>
      <c r="E789" s="298"/>
      <c r="F789" s="39"/>
      <c r="G789" s="31"/>
      <c r="H789" s="39"/>
      <c r="I789" s="40"/>
      <c r="J789" s="40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</row>
    <row r="790" ht="30.0" customHeight="1">
      <c r="A790" s="31"/>
      <c r="B790" s="31"/>
      <c r="C790" s="31"/>
      <c r="D790" s="31"/>
      <c r="E790" s="298"/>
      <c r="F790" s="39"/>
      <c r="G790" s="31"/>
      <c r="H790" s="39"/>
      <c r="I790" s="40"/>
      <c r="J790" s="40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</row>
    <row r="791" ht="30.0" customHeight="1">
      <c r="A791" s="31"/>
      <c r="B791" s="31"/>
      <c r="C791" s="31"/>
      <c r="D791" s="31"/>
      <c r="E791" s="298"/>
      <c r="F791" s="39"/>
      <c r="G791" s="31"/>
      <c r="H791" s="39"/>
      <c r="I791" s="40"/>
      <c r="J791" s="40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</row>
    <row r="792" ht="30.0" customHeight="1">
      <c r="A792" s="31"/>
      <c r="B792" s="31"/>
      <c r="C792" s="31"/>
      <c r="D792" s="31"/>
      <c r="E792" s="298"/>
      <c r="F792" s="39"/>
      <c r="G792" s="31"/>
      <c r="H792" s="39"/>
      <c r="I792" s="40"/>
      <c r="J792" s="40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</row>
    <row r="793" ht="30.0" customHeight="1">
      <c r="A793" s="31"/>
      <c r="B793" s="31"/>
      <c r="C793" s="31"/>
      <c r="D793" s="31"/>
      <c r="E793" s="298"/>
      <c r="F793" s="39"/>
      <c r="G793" s="31"/>
      <c r="H793" s="39"/>
      <c r="I793" s="40"/>
      <c r="J793" s="40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</row>
    <row r="794" ht="30.0" customHeight="1">
      <c r="A794" s="31"/>
      <c r="B794" s="31"/>
      <c r="C794" s="31"/>
      <c r="D794" s="31"/>
      <c r="E794" s="298"/>
      <c r="F794" s="39"/>
      <c r="G794" s="31"/>
      <c r="H794" s="39"/>
      <c r="I794" s="40"/>
      <c r="J794" s="40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</row>
    <row r="795" ht="30.0" customHeight="1">
      <c r="A795" s="31"/>
      <c r="B795" s="31"/>
      <c r="C795" s="31"/>
      <c r="D795" s="31"/>
      <c r="E795" s="298"/>
      <c r="F795" s="39"/>
      <c r="G795" s="31"/>
      <c r="H795" s="39"/>
      <c r="I795" s="40"/>
      <c r="J795" s="40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</row>
    <row r="796" ht="30.0" customHeight="1">
      <c r="A796" s="31"/>
      <c r="B796" s="31"/>
      <c r="C796" s="31"/>
      <c r="D796" s="31"/>
      <c r="E796" s="298"/>
      <c r="F796" s="39"/>
      <c r="G796" s="31"/>
      <c r="H796" s="39"/>
      <c r="I796" s="40"/>
      <c r="J796" s="40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</row>
    <row r="797" ht="30.0" customHeight="1">
      <c r="A797" s="31"/>
      <c r="B797" s="31"/>
      <c r="C797" s="31"/>
      <c r="D797" s="31"/>
      <c r="E797" s="298"/>
      <c r="F797" s="39"/>
      <c r="G797" s="31"/>
      <c r="H797" s="39"/>
      <c r="I797" s="40"/>
      <c r="J797" s="40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</row>
    <row r="798" ht="30.0" customHeight="1">
      <c r="A798" s="31"/>
      <c r="B798" s="31"/>
      <c r="C798" s="31"/>
      <c r="D798" s="31"/>
      <c r="E798" s="298"/>
      <c r="F798" s="39"/>
      <c r="G798" s="31"/>
      <c r="H798" s="39"/>
      <c r="I798" s="40"/>
      <c r="J798" s="40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</row>
    <row r="799" ht="30.0" customHeight="1">
      <c r="A799" s="31"/>
      <c r="B799" s="31"/>
      <c r="C799" s="31"/>
      <c r="D799" s="31"/>
      <c r="E799" s="298"/>
      <c r="F799" s="39"/>
      <c r="G799" s="31"/>
      <c r="H799" s="39"/>
      <c r="I799" s="40"/>
      <c r="J799" s="40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</row>
    <row r="800" ht="30.0" customHeight="1">
      <c r="A800" s="31"/>
      <c r="B800" s="31"/>
      <c r="C800" s="31"/>
      <c r="D800" s="31"/>
      <c r="E800" s="298"/>
      <c r="F800" s="39"/>
      <c r="G800" s="31"/>
      <c r="H800" s="39"/>
      <c r="I800" s="40"/>
      <c r="J800" s="40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</row>
    <row r="801" ht="30.0" customHeight="1">
      <c r="A801" s="31"/>
      <c r="B801" s="31"/>
      <c r="C801" s="31"/>
      <c r="D801" s="31"/>
      <c r="E801" s="298"/>
      <c r="F801" s="39"/>
      <c r="G801" s="31"/>
      <c r="H801" s="39"/>
      <c r="I801" s="40"/>
      <c r="J801" s="40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</row>
    <row r="802" ht="30.0" customHeight="1">
      <c r="A802" s="31"/>
      <c r="B802" s="31"/>
      <c r="C802" s="31"/>
      <c r="D802" s="31"/>
      <c r="E802" s="298"/>
      <c r="F802" s="39"/>
      <c r="G802" s="31"/>
      <c r="H802" s="39"/>
      <c r="I802" s="40"/>
      <c r="J802" s="40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</row>
    <row r="803" ht="30.0" customHeight="1">
      <c r="A803" s="31"/>
      <c r="B803" s="31"/>
      <c r="C803" s="31"/>
      <c r="D803" s="31"/>
      <c r="E803" s="298"/>
      <c r="F803" s="39"/>
      <c r="G803" s="31"/>
      <c r="H803" s="39"/>
      <c r="I803" s="40"/>
      <c r="J803" s="40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</row>
    <row r="804" ht="30.0" customHeight="1">
      <c r="A804" s="31"/>
      <c r="B804" s="31"/>
      <c r="C804" s="31"/>
      <c r="D804" s="31"/>
      <c r="E804" s="298"/>
      <c r="F804" s="39"/>
      <c r="G804" s="31"/>
      <c r="H804" s="39"/>
      <c r="I804" s="40"/>
      <c r="J804" s="40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</row>
    <row r="805" ht="30.0" customHeight="1">
      <c r="A805" s="31"/>
      <c r="B805" s="31"/>
      <c r="C805" s="31"/>
      <c r="D805" s="31"/>
      <c r="E805" s="298"/>
      <c r="F805" s="39"/>
      <c r="G805" s="31"/>
      <c r="H805" s="39"/>
      <c r="I805" s="40"/>
      <c r="J805" s="40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</row>
    <row r="806" ht="30.0" customHeight="1">
      <c r="A806" s="31"/>
      <c r="B806" s="31"/>
      <c r="C806" s="31"/>
      <c r="D806" s="31"/>
      <c r="E806" s="298"/>
      <c r="F806" s="39"/>
      <c r="G806" s="31"/>
      <c r="H806" s="39"/>
      <c r="I806" s="40"/>
      <c r="J806" s="40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</row>
    <row r="807" ht="30.0" customHeight="1">
      <c r="A807" s="31"/>
      <c r="B807" s="31"/>
      <c r="C807" s="31"/>
      <c r="D807" s="31"/>
      <c r="E807" s="298"/>
      <c r="F807" s="39"/>
      <c r="G807" s="31"/>
      <c r="H807" s="39"/>
      <c r="I807" s="40"/>
      <c r="J807" s="40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</row>
    <row r="808" ht="30.0" customHeight="1">
      <c r="A808" s="31"/>
      <c r="B808" s="31"/>
      <c r="C808" s="31"/>
      <c r="D808" s="31"/>
      <c r="E808" s="298"/>
      <c r="F808" s="39"/>
      <c r="G808" s="31"/>
      <c r="H808" s="39"/>
      <c r="I808" s="40"/>
      <c r="J808" s="40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</row>
    <row r="809" ht="30.0" customHeight="1">
      <c r="A809" s="31"/>
      <c r="B809" s="31"/>
      <c r="C809" s="31"/>
      <c r="D809" s="31"/>
      <c r="E809" s="298"/>
      <c r="F809" s="39"/>
      <c r="G809" s="31"/>
      <c r="H809" s="39"/>
      <c r="I809" s="40"/>
      <c r="J809" s="40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</row>
    <row r="810" ht="30.0" customHeight="1">
      <c r="A810" s="31"/>
      <c r="B810" s="31"/>
      <c r="C810" s="31"/>
      <c r="D810" s="31"/>
      <c r="E810" s="298"/>
      <c r="F810" s="39"/>
      <c r="G810" s="31"/>
      <c r="H810" s="39"/>
      <c r="I810" s="40"/>
      <c r="J810" s="40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</row>
    <row r="811" ht="30.0" customHeight="1">
      <c r="A811" s="31"/>
      <c r="B811" s="31"/>
      <c r="C811" s="31"/>
      <c r="D811" s="31"/>
      <c r="E811" s="298"/>
      <c r="F811" s="39"/>
      <c r="G811" s="31"/>
      <c r="H811" s="39"/>
      <c r="I811" s="40"/>
      <c r="J811" s="40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</row>
    <row r="812" ht="30.0" customHeight="1">
      <c r="A812" s="31"/>
      <c r="B812" s="31"/>
      <c r="C812" s="31"/>
      <c r="D812" s="31"/>
      <c r="E812" s="298"/>
      <c r="F812" s="39"/>
      <c r="G812" s="31"/>
      <c r="H812" s="39"/>
      <c r="I812" s="40"/>
      <c r="J812" s="40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</row>
    <row r="813" ht="30.0" customHeight="1">
      <c r="A813" s="31"/>
      <c r="B813" s="31"/>
      <c r="C813" s="31"/>
      <c r="D813" s="31"/>
      <c r="E813" s="298"/>
      <c r="F813" s="39"/>
      <c r="G813" s="31"/>
      <c r="H813" s="39"/>
      <c r="I813" s="40"/>
      <c r="J813" s="40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</row>
    <row r="814" ht="30.0" customHeight="1">
      <c r="A814" s="31"/>
      <c r="B814" s="31"/>
      <c r="C814" s="31"/>
      <c r="D814" s="31"/>
      <c r="E814" s="298"/>
      <c r="F814" s="39"/>
      <c r="G814" s="31"/>
      <c r="H814" s="39"/>
      <c r="I814" s="40"/>
      <c r="J814" s="40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</row>
    <row r="815" ht="30.0" customHeight="1">
      <c r="A815" s="31"/>
      <c r="B815" s="31"/>
      <c r="C815" s="31"/>
      <c r="D815" s="31"/>
      <c r="E815" s="298"/>
      <c r="F815" s="39"/>
      <c r="G815" s="31"/>
      <c r="H815" s="39"/>
      <c r="I815" s="40"/>
      <c r="J815" s="40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</row>
    <row r="816" ht="30.0" customHeight="1">
      <c r="A816" s="31"/>
      <c r="B816" s="31"/>
      <c r="C816" s="31"/>
      <c r="D816" s="31"/>
      <c r="E816" s="298"/>
      <c r="F816" s="39"/>
      <c r="G816" s="31"/>
      <c r="H816" s="39"/>
      <c r="I816" s="40"/>
      <c r="J816" s="40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</row>
    <row r="817" ht="30.0" customHeight="1">
      <c r="A817" s="31"/>
      <c r="B817" s="31"/>
      <c r="C817" s="31"/>
      <c r="D817" s="31"/>
      <c r="E817" s="298"/>
      <c r="F817" s="39"/>
      <c r="G817" s="31"/>
      <c r="H817" s="39"/>
      <c r="I817" s="40"/>
      <c r="J817" s="40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</row>
    <row r="818" ht="30.0" customHeight="1">
      <c r="A818" s="31"/>
      <c r="B818" s="31"/>
      <c r="C818" s="31"/>
      <c r="D818" s="31"/>
      <c r="E818" s="298"/>
      <c r="F818" s="39"/>
      <c r="G818" s="31"/>
      <c r="H818" s="39"/>
      <c r="I818" s="40"/>
      <c r="J818" s="40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</row>
    <row r="819" ht="30.0" customHeight="1">
      <c r="A819" s="31"/>
      <c r="B819" s="31"/>
      <c r="C819" s="31"/>
      <c r="D819" s="31"/>
      <c r="E819" s="298"/>
      <c r="F819" s="39"/>
      <c r="G819" s="31"/>
      <c r="H819" s="39"/>
      <c r="I819" s="40"/>
      <c r="J819" s="40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</row>
    <row r="820" ht="30.0" customHeight="1">
      <c r="A820" s="31"/>
      <c r="B820" s="31"/>
      <c r="C820" s="31"/>
      <c r="D820" s="31"/>
      <c r="E820" s="298"/>
      <c r="F820" s="39"/>
      <c r="G820" s="31"/>
      <c r="H820" s="39"/>
      <c r="I820" s="40"/>
      <c r="J820" s="40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</row>
    <row r="821" ht="30.0" customHeight="1">
      <c r="A821" s="31"/>
      <c r="B821" s="31"/>
      <c r="C821" s="31"/>
      <c r="D821" s="31"/>
      <c r="E821" s="298"/>
      <c r="F821" s="39"/>
      <c r="G821" s="31"/>
      <c r="H821" s="39"/>
      <c r="I821" s="40"/>
      <c r="J821" s="40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</row>
    <row r="822" ht="30.0" customHeight="1">
      <c r="A822" s="31"/>
      <c r="B822" s="31"/>
      <c r="C822" s="31"/>
      <c r="D822" s="31"/>
      <c r="E822" s="298"/>
      <c r="F822" s="39"/>
      <c r="G822" s="31"/>
      <c r="H822" s="39"/>
      <c r="I822" s="40"/>
      <c r="J822" s="40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</row>
    <row r="823" ht="30.0" customHeight="1">
      <c r="A823" s="31"/>
      <c r="B823" s="31"/>
      <c r="C823" s="31"/>
      <c r="D823" s="31"/>
      <c r="E823" s="298"/>
      <c r="F823" s="39"/>
      <c r="G823" s="31"/>
      <c r="H823" s="39"/>
      <c r="I823" s="40"/>
      <c r="J823" s="40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</row>
    <row r="824" ht="30.0" customHeight="1">
      <c r="A824" s="31"/>
      <c r="B824" s="31"/>
      <c r="C824" s="31"/>
      <c r="D824" s="31"/>
      <c r="E824" s="298"/>
      <c r="F824" s="39"/>
      <c r="G824" s="31"/>
      <c r="H824" s="39"/>
      <c r="I824" s="40"/>
      <c r="J824" s="40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</row>
    <row r="825" ht="30.0" customHeight="1">
      <c r="A825" s="31"/>
      <c r="B825" s="31"/>
      <c r="C825" s="31"/>
      <c r="D825" s="31"/>
      <c r="E825" s="298"/>
      <c r="F825" s="39"/>
      <c r="G825" s="31"/>
      <c r="H825" s="39"/>
      <c r="I825" s="40"/>
      <c r="J825" s="40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</row>
    <row r="826" ht="30.0" customHeight="1">
      <c r="A826" s="31"/>
      <c r="B826" s="31"/>
      <c r="C826" s="31"/>
      <c r="D826" s="31"/>
      <c r="E826" s="298"/>
      <c r="F826" s="39"/>
      <c r="G826" s="31"/>
      <c r="H826" s="39"/>
      <c r="I826" s="40"/>
      <c r="J826" s="40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</row>
    <row r="827" ht="30.0" customHeight="1">
      <c r="A827" s="31"/>
      <c r="B827" s="31"/>
      <c r="C827" s="31"/>
      <c r="D827" s="31"/>
      <c r="E827" s="298"/>
      <c r="F827" s="39"/>
      <c r="G827" s="31"/>
      <c r="H827" s="39"/>
      <c r="I827" s="40"/>
      <c r="J827" s="40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</row>
    <row r="828" ht="30.0" customHeight="1">
      <c r="A828" s="31"/>
      <c r="B828" s="31"/>
      <c r="C828" s="31"/>
      <c r="D828" s="31"/>
      <c r="E828" s="298"/>
      <c r="F828" s="39"/>
      <c r="G828" s="31"/>
      <c r="H828" s="39"/>
      <c r="I828" s="40"/>
      <c r="J828" s="40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</row>
    <row r="829" ht="30.0" customHeight="1">
      <c r="A829" s="31"/>
      <c r="B829" s="31"/>
      <c r="C829" s="31"/>
      <c r="D829" s="31"/>
      <c r="E829" s="298"/>
      <c r="F829" s="39"/>
      <c r="G829" s="31"/>
      <c r="H829" s="39"/>
      <c r="I829" s="40"/>
      <c r="J829" s="40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</row>
    <row r="830" ht="30.0" customHeight="1">
      <c r="A830" s="31"/>
      <c r="B830" s="31"/>
      <c r="C830" s="31"/>
      <c r="D830" s="31"/>
      <c r="E830" s="298"/>
      <c r="F830" s="39"/>
      <c r="G830" s="31"/>
      <c r="H830" s="39"/>
      <c r="I830" s="40"/>
      <c r="J830" s="40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</row>
    <row r="831" ht="30.0" customHeight="1">
      <c r="A831" s="31"/>
      <c r="B831" s="31"/>
      <c r="C831" s="31"/>
      <c r="D831" s="31"/>
      <c r="E831" s="298"/>
      <c r="F831" s="39"/>
      <c r="G831" s="31"/>
      <c r="H831" s="39"/>
      <c r="I831" s="40"/>
      <c r="J831" s="40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</row>
    <row r="832" ht="30.0" customHeight="1">
      <c r="A832" s="31"/>
      <c r="B832" s="31"/>
      <c r="C832" s="31"/>
      <c r="D832" s="31"/>
      <c r="E832" s="298"/>
      <c r="F832" s="39"/>
      <c r="G832" s="31"/>
      <c r="H832" s="39"/>
      <c r="I832" s="40"/>
      <c r="J832" s="40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</row>
    <row r="833" ht="30.0" customHeight="1">
      <c r="A833" s="31"/>
      <c r="B833" s="31"/>
      <c r="C833" s="31"/>
      <c r="D833" s="31"/>
      <c r="E833" s="298"/>
      <c r="F833" s="39"/>
      <c r="G833" s="31"/>
      <c r="H833" s="39"/>
      <c r="I833" s="40"/>
      <c r="J833" s="40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</row>
    <row r="834" ht="30.0" customHeight="1">
      <c r="A834" s="31"/>
      <c r="B834" s="31"/>
      <c r="C834" s="31"/>
      <c r="D834" s="31"/>
      <c r="E834" s="298"/>
      <c r="F834" s="39"/>
      <c r="G834" s="31"/>
      <c r="H834" s="39"/>
      <c r="I834" s="40"/>
      <c r="J834" s="40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</row>
    <row r="835" ht="30.0" customHeight="1">
      <c r="A835" s="31"/>
      <c r="B835" s="31"/>
      <c r="C835" s="31"/>
      <c r="D835" s="31"/>
      <c r="E835" s="298"/>
      <c r="F835" s="39"/>
      <c r="G835" s="31"/>
      <c r="H835" s="39"/>
      <c r="I835" s="40"/>
      <c r="J835" s="40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</row>
    <row r="836" ht="30.0" customHeight="1">
      <c r="A836" s="31"/>
      <c r="B836" s="31"/>
      <c r="C836" s="31"/>
      <c r="D836" s="31"/>
      <c r="E836" s="298"/>
      <c r="F836" s="39"/>
      <c r="G836" s="31"/>
      <c r="H836" s="39"/>
      <c r="I836" s="40"/>
      <c r="J836" s="40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</row>
    <row r="837" ht="30.0" customHeight="1">
      <c r="A837" s="31"/>
      <c r="B837" s="31"/>
      <c r="C837" s="31"/>
      <c r="D837" s="31"/>
      <c r="E837" s="298"/>
      <c r="F837" s="39"/>
      <c r="G837" s="31"/>
      <c r="H837" s="39"/>
      <c r="I837" s="40"/>
      <c r="J837" s="40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</row>
    <row r="838" ht="30.0" customHeight="1">
      <c r="A838" s="31"/>
      <c r="B838" s="31"/>
      <c r="C838" s="31"/>
      <c r="D838" s="31"/>
      <c r="E838" s="298"/>
      <c r="F838" s="39"/>
      <c r="G838" s="31"/>
      <c r="H838" s="39"/>
      <c r="I838" s="40"/>
      <c r="J838" s="40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</row>
    <row r="839" ht="30.0" customHeight="1">
      <c r="A839" s="31"/>
      <c r="B839" s="31"/>
      <c r="C839" s="31"/>
      <c r="D839" s="31"/>
      <c r="E839" s="298"/>
      <c r="F839" s="39"/>
      <c r="G839" s="31"/>
      <c r="H839" s="39"/>
      <c r="I839" s="40"/>
      <c r="J839" s="40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</row>
    <row r="840" ht="30.0" customHeight="1">
      <c r="A840" s="31"/>
      <c r="B840" s="31"/>
      <c r="C840" s="31"/>
      <c r="D840" s="31"/>
      <c r="E840" s="298"/>
      <c r="F840" s="39"/>
      <c r="G840" s="31"/>
      <c r="H840" s="39"/>
      <c r="I840" s="40"/>
      <c r="J840" s="40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</row>
    <row r="841" ht="30.0" customHeight="1">
      <c r="A841" s="31"/>
      <c r="B841" s="31"/>
      <c r="C841" s="31"/>
      <c r="D841" s="31"/>
      <c r="E841" s="298"/>
      <c r="F841" s="39"/>
      <c r="G841" s="31"/>
      <c r="H841" s="39"/>
      <c r="I841" s="40"/>
      <c r="J841" s="40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</row>
    <row r="842" ht="30.0" customHeight="1">
      <c r="A842" s="31"/>
      <c r="B842" s="31"/>
      <c r="C842" s="31"/>
      <c r="D842" s="31"/>
      <c r="E842" s="298"/>
      <c r="F842" s="39"/>
      <c r="G842" s="31"/>
      <c r="H842" s="39"/>
      <c r="I842" s="40"/>
      <c r="J842" s="40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</row>
    <row r="843" ht="30.0" customHeight="1">
      <c r="A843" s="31"/>
      <c r="B843" s="31"/>
      <c r="C843" s="31"/>
      <c r="D843" s="31"/>
      <c r="E843" s="298"/>
      <c r="F843" s="39"/>
      <c r="G843" s="31"/>
      <c r="H843" s="39"/>
      <c r="I843" s="40"/>
      <c r="J843" s="40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</row>
    <row r="844" ht="30.0" customHeight="1">
      <c r="A844" s="31"/>
      <c r="B844" s="31"/>
      <c r="C844" s="31"/>
      <c r="D844" s="31"/>
      <c r="E844" s="298"/>
      <c r="F844" s="39"/>
      <c r="G844" s="31"/>
      <c r="H844" s="39"/>
      <c r="I844" s="40"/>
      <c r="J844" s="40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</row>
    <row r="845" ht="30.0" customHeight="1">
      <c r="A845" s="31"/>
      <c r="B845" s="31"/>
      <c r="C845" s="31"/>
      <c r="D845" s="31"/>
      <c r="E845" s="298"/>
      <c r="F845" s="39"/>
      <c r="G845" s="31"/>
      <c r="H845" s="39"/>
      <c r="I845" s="40"/>
      <c r="J845" s="40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</row>
    <row r="846" ht="30.0" customHeight="1">
      <c r="A846" s="31"/>
      <c r="B846" s="31"/>
      <c r="C846" s="31"/>
      <c r="D846" s="31"/>
      <c r="E846" s="298"/>
      <c r="F846" s="39"/>
      <c r="G846" s="31"/>
      <c r="H846" s="39"/>
      <c r="I846" s="40"/>
      <c r="J846" s="40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</row>
    <row r="847" ht="30.0" customHeight="1">
      <c r="A847" s="31"/>
      <c r="B847" s="31"/>
      <c r="C847" s="31"/>
      <c r="D847" s="31"/>
      <c r="E847" s="298"/>
      <c r="F847" s="39"/>
      <c r="G847" s="31"/>
      <c r="H847" s="39"/>
      <c r="I847" s="40"/>
      <c r="J847" s="40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</row>
    <row r="848" ht="30.0" customHeight="1">
      <c r="A848" s="31"/>
      <c r="B848" s="31"/>
      <c r="C848" s="31"/>
      <c r="D848" s="31"/>
      <c r="E848" s="298"/>
      <c r="F848" s="39"/>
      <c r="G848" s="31"/>
      <c r="H848" s="39"/>
      <c r="I848" s="40"/>
      <c r="J848" s="40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</row>
    <row r="849" ht="30.0" customHeight="1">
      <c r="A849" s="31"/>
      <c r="B849" s="31"/>
      <c r="C849" s="31"/>
      <c r="D849" s="31"/>
      <c r="E849" s="298"/>
      <c r="F849" s="39"/>
      <c r="G849" s="31"/>
      <c r="H849" s="39"/>
      <c r="I849" s="40"/>
      <c r="J849" s="40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</row>
    <row r="850" ht="30.0" customHeight="1">
      <c r="A850" s="31"/>
      <c r="B850" s="31"/>
      <c r="C850" s="31"/>
      <c r="D850" s="31"/>
      <c r="E850" s="298"/>
      <c r="F850" s="39"/>
      <c r="G850" s="31"/>
      <c r="H850" s="39"/>
      <c r="I850" s="40"/>
      <c r="J850" s="40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</row>
    <row r="851" ht="30.0" customHeight="1">
      <c r="A851" s="31"/>
      <c r="B851" s="31"/>
      <c r="C851" s="31"/>
      <c r="D851" s="31"/>
      <c r="E851" s="298"/>
      <c r="F851" s="39"/>
      <c r="G851" s="31"/>
      <c r="H851" s="39"/>
      <c r="I851" s="40"/>
      <c r="J851" s="40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</row>
    <row r="852" ht="30.0" customHeight="1">
      <c r="A852" s="31"/>
      <c r="B852" s="31"/>
      <c r="C852" s="31"/>
      <c r="D852" s="31"/>
      <c r="E852" s="298"/>
      <c r="F852" s="39"/>
      <c r="G852" s="31"/>
      <c r="H852" s="39"/>
      <c r="I852" s="40"/>
      <c r="J852" s="40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</row>
    <row r="853" ht="30.0" customHeight="1">
      <c r="A853" s="31"/>
      <c r="B853" s="31"/>
      <c r="C853" s="31"/>
      <c r="D853" s="31"/>
      <c r="E853" s="298"/>
      <c r="F853" s="39"/>
      <c r="G853" s="31"/>
      <c r="H853" s="39"/>
      <c r="I853" s="40"/>
      <c r="J853" s="40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</row>
    <row r="854" ht="30.0" customHeight="1">
      <c r="A854" s="31"/>
      <c r="B854" s="31"/>
      <c r="C854" s="31"/>
      <c r="D854" s="31"/>
      <c r="E854" s="298"/>
      <c r="F854" s="39"/>
      <c r="G854" s="31"/>
      <c r="H854" s="39"/>
      <c r="I854" s="40"/>
      <c r="J854" s="40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</row>
    <row r="855" ht="30.0" customHeight="1">
      <c r="A855" s="31"/>
      <c r="B855" s="31"/>
      <c r="C855" s="31"/>
      <c r="D855" s="31"/>
      <c r="E855" s="298"/>
      <c r="F855" s="39"/>
      <c r="G855" s="31"/>
      <c r="H855" s="39"/>
      <c r="I855" s="40"/>
      <c r="J855" s="40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</row>
    <row r="856" ht="30.0" customHeight="1">
      <c r="A856" s="31"/>
      <c r="B856" s="31"/>
      <c r="C856" s="31"/>
      <c r="D856" s="31"/>
      <c r="E856" s="298"/>
      <c r="F856" s="39"/>
      <c r="G856" s="31"/>
      <c r="H856" s="39"/>
      <c r="I856" s="40"/>
      <c r="J856" s="40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</row>
    <row r="857" ht="30.0" customHeight="1">
      <c r="A857" s="31"/>
      <c r="B857" s="31"/>
      <c r="C857" s="31"/>
      <c r="D857" s="31"/>
      <c r="E857" s="298"/>
      <c r="F857" s="39"/>
      <c r="G857" s="31"/>
      <c r="H857" s="39"/>
      <c r="I857" s="40"/>
      <c r="J857" s="40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</row>
    <row r="858" ht="30.0" customHeight="1">
      <c r="A858" s="31"/>
      <c r="B858" s="31"/>
      <c r="C858" s="31"/>
      <c r="D858" s="31"/>
      <c r="E858" s="298"/>
      <c r="F858" s="39"/>
      <c r="G858" s="31"/>
      <c r="H858" s="39"/>
      <c r="I858" s="40"/>
      <c r="J858" s="40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</row>
    <row r="859" ht="30.0" customHeight="1">
      <c r="A859" s="31"/>
      <c r="B859" s="31"/>
      <c r="C859" s="31"/>
      <c r="D859" s="31"/>
      <c r="E859" s="298"/>
      <c r="F859" s="39"/>
      <c r="G859" s="31"/>
      <c r="H859" s="39"/>
      <c r="I859" s="40"/>
      <c r="J859" s="40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</row>
    <row r="860" ht="30.0" customHeight="1">
      <c r="A860" s="31"/>
      <c r="B860" s="31"/>
      <c r="C860" s="31"/>
      <c r="D860" s="31"/>
      <c r="E860" s="298"/>
      <c r="F860" s="39"/>
      <c r="G860" s="31"/>
      <c r="H860" s="39"/>
      <c r="I860" s="40"/>
      <c r="J860" s="40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</row>
    <row r="861" ht="30.0" customHeight="1">
      <c r="A861" s="31"/>
      <c r="B861" s="31"/>
      <c r="C861" s="31"/>
      <c r="D861" s="31"/>
      <c r="E861" s="298"/>
      <c r="F861" s="39"/>
      <c r="G861" s="31"/>
      <c r="H861" s="39"/>
      <c r="I861" s="40"/>
      <c r="J861" s="40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</row>
    <row r="862" ht="30.0" customHeight="1">
      <c r="A862" s="31"/>
      <c r="B862" s="31"/>
      <c r="C862" s="31"/>
      <c r="D862" s="31"/>
      <c r="E862" s="298"/>
      <c r="F862" s="39"/>
      <c r="G862" s="31"/>
      <c r="H862" s="39"/>
      <c r="I862" s="40"/>
      <c r="J862" s="40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</row>
    <row r="863" ht="30.0" customHeight="1">
      <c r="A863" s="31"/>
      <c r="B863" s="31"/>
      <c r="C863" s="31"/>
      <c r="D863" s="31"/>
      <c r="E863" s="298"/>
      <c r="F863" s="39"/>
      <c r="G863" s="31"/>
      <c r="H863" s="39"/>
      <c r="I863" s="40"/>
      <c r="J863" s="40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</row>
    <row r="864" ht="30.0" customHeight="1">
      <c r="A864" s="31"/>
      <c r="B864" s="31"/>
      <c r="C864" s="31"/>
      <c r="D864" s="31"/>
      <c r="E864" s="298"/>
      <c r="F864" s="39"/>
      <c r="G864" s="31"/>
      <c r="H864" s="39"/>
      <c r="I864" s="40"/>
      <c r="J864" s="40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</row>
    <row r="865" ht="30.0" customHeight="1">
      <c r="A865" s="31"/>
      <c r="B865" s="31"/>
      <c r="C865" s="31"/>
      <c r="D865" s="31"/>
      <c r="E865" s="298"/>
      <c r="F865" s="39"/>
      <c r="G865" s="31"/>
      <c r="H865" s="39"/>
      <c r="I865" s="40"/>
      <c r="J865" s="40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</row>
    <row r="866" ht="30.0" customHeight="1">
      <c r="A866" s="31"/>
      <c r="B866" s="31"/>
      <c r="C866" s="31"/>
      <c r="D866" s="31"/>
      <c r="E866" s="298"/>
      <c r="F866" s="39"/>
      <c r="G866" s="31"/>
      <c r="H866" s="39"/>
      <c r="I866" s="40"/>
      <c r="J866" s="40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</row>
    <row r="867" ht="30.0" customHeight="1">
      <c r="A867" s="31"/>
      <c r="B867" s="31"/>
      <c r="C867" s="31"/>
      <c r="D867" s="31"/>
      <c r="E867" s="298"/>
      <c r="F867" s="39"/>
      <c r="G867" s="31"/>
      <c r="H867" s="39"/>
      <c r="I867" s="40"/>
      <c r="J867" s="40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</row>
    <row r="868" ht="30.0" customHeight="1">
      <c r="A868" s="31"/>
      <c r="B868" s="31"/>
      <c r="C868" s="31"/>
      <c r="D868" s="31"/>
      <c r="E868" s="298"/>
      <c r="F868" s="39"/>
      <c r="G868" s="31"/>
      <c r="H868" s="39"/>
      <c r="I868" s="40"/>
      <c r="J868" s="40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</row>
    <row r="869" ht="30.0" customHeight="1">
      <c r="A869" s="31"/>
      <c r="B869" s="31"/>
      <c r="C869" s="31"/>
      <c r="D869" s="31"/>
      <c r="E869" s="298"/>
      <c r="F869" s="39"/>
      <c r="G869" s="31"/>
      <c r="H869" s="39"/>
      <c r="I869" s="40"/>
      <c r="J869" s="40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</row>
    <row r="870" ht="30.0" customHeight="1">
      <c r="A870" s="31"/>
      <c r="B870" s="31"/>
      <c r="C870" s="31"/>
      <c r="D870" s="31"/>
      <c r="E870" s="298"/>
      <c r="F870" s="39"/>
      <c r="G870" s="31"/>
      <c r="H870" s="39"/>
      <c r="I870" s="40"/>
      <c r="J870" s="40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</row>
    <row r="871" ht="30.0" customHeight="1">
      <c r="A871" s="31"/>
      <c r="B871" s="31"/>
      <c r="C871" s="31"/>
      <c r="D871" s="31"/>
      <c r="E871" s="298"/>
      <c r="F871" s="39"/>
      <c r="G871" s="31"/>
      <c r="H871" s="39"/>
      <c r="I871" s="40"/>
      <c r="J871" s="40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</row>
    <row r="872" ht="30.0" customHeight="1">
      <c r="A872" s="31"/>
      <c r="B872" s="31"/>
      <c r="C872" s="31"/>
      <c r="D872" s="31"/>
      <c r="E872" s="298"/>
      <c r="F872" s="39"/>
      <c r="G872" s="31"/>
      <c r="H872" s="39"/>
      <c r="I872" s="40"/>
      <c r="J872" s="40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</row>
    <row r="873" ht="30.0" customHeight="1">
      <c r="A873" s="31"/>
      <c r="B873" s="31"/>
      <c r="C873" s="31"/>
      <c r="D873" s="31"/>
      <c r="E873" s="298"/>
      <c r="F873" s="39"/>
      <c r="G873" s="31"/>
      <c r="H873" s="39"/>
      <c r="I873" s="40"/>
      <c r="J873" s="40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</row>
    <row r="874" ht="30.0" customHeight="1">
      <c r="A874" s="31"/>
      <c r="B874" s="31"/>
      <c r="C874" s="31"/>
      <c r="D874" s="31"/>
      <c r="E874" s="298"/>
      <c r="F874" s="39"/>
      <c r="G874" s="31"/>
      <c r="H874" s="39"/>
      <c r="I874" s="40"/>
      <c r="J874" s="40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</row>
    <row r="875" ht="30.0" customHeight="1">
      <c r="A875" s="31"/>
      <c r="B875" s="31"/>
      <c r="C875" s="31"/>
      <c r="D875" s="31"/>
      <c r="E875" s="298"/>
      <c r="F875" s="39"/>
      <c r="G875" s="31"/>
      <c r="H875" s="39"/>
      <c r="I875" s="40"/>
      <c r="J875" s="40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</row>
    <row r="876" ht="30.0" customHeight="1">
      <c r="A876" s="31"/>
      <c r="B876" s="31"/>
      <c r="C876" s="31"/>
      <c r="D876" s="31"/>
      <c r="E876" s="298"/>
      <c r="F876" s="39"/>
      <c r="G876" s="31"/>
      <c r="H876" s="39"/>
      <c r="I876" s="40"/>
      <c r="J876" s="40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</row>
    <row r="877" ht="30.0" customHeight="1">
      <c r="A877" s="31"/>
      <c r="B877" s="31"/>
      <c r="C877" s="31"/>
      <c r="D877" s="31"/>
      <c r="E877" s="298"/>
      <c r="F877" s="39"/>
      <c r="G877" s="31"/>
      <c r="H877" s="39"/>
      <c r="I877" s="40"/>
      <c r="J877" s="40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</row>
    <row r="878" ht="30.0" customHeight="1">
      <c r="A878" s="31"/>
      <c r="B878" s="31"/>
      <c r="C878" s="31"/>
      <c r="D878" s="31"/>
      <c r="E878" s="298"/>
      <c r="F878" s="39"/>
      <c r="G878" s="31"/>
      <c r="H878" s="39"/>
      <c r="I878" s="40"/>
      <c r="J878" s="40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</row>
    <row r="879" ht="30.0" customHeight="1">
      <c r="A879" s="31"/>
      <c r="B879" s="31"/>
      <c r="C879" s="31"/>
      <c r="D879" s="31"/>
      <c r="E879" s="298"/>
      <c r="F879" s="39"/>
      <c r="G879" s="31"/>
      <c r="H879" s="39"/>
      <c r="I879" s="40"/>
      <c r="J879" s="40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</row>
    <row r="880" ht="30.0" customHeight="1">
      <c r="A880" s="31"/>
      <c r="B880" s="31"/>
      <c r="C880" s="31"/>
      <c r="D880" s="31"/>
      <c r="E880" s="298"/>
      <c r="F880" s="39"/>
      <c r="G880" s="31"/>
      <c r="H880" s="39"/>
      <c r="I880" s="40"/>
      <c r="J880" s="40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</row>
    <row r="881" ht="30.0" customHeight="1">
      <c r="A881" s="31"/>
      <c r="B881" s="31"/>
      <c r="C881" s="31"/>
      <c r="D881" s="31"/>
      <c r="E881" s="298"/>
      <c r="F881" s="39"/>
      <c r="G881" s="31"/>
      <c r="H881" s="39"/>
      <c r="I881" s="40"/>
      <c r="J881" s="40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</row>
    <row r="882" ht="30.0" customHeight="1">
      <c r="A882" s="31"/>
      <c r="B882" s="31"/>
      <c r="C882" s="31"/>
      <c r="D882" s="31"/>
      <c r="E882" s="298"/>
      <c r="F882" s="39"/>
      <c r="G882" s="31"/>
      <c r="H882" s="39"/>
      <c r="I882" s="40"/>
      <c r="J882" s="40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</row>
    <row r="883" ht="30.0" customHeight="1">
      <c r="A883" s="31"/>
      <c r="B883" s="31"/>
      <c r="C883" s="31"/>
      <c r="D883" s="31"/>
      <c r="E883" s="298"/>
      <c r="F883" s="39"/>
      <c r="G883" s="31"/>
      <c r="H883" s="39"/>
      <c r="I883" s="40"/>
      <c r="J883" s="40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</row>
    <row r="884" ht="30.0" customHeight="1">
      <c r="A884" s="31"/>
      <c r="B884" s="31"/>
      <c r="C884" s="31"/>
      <c r="D884" s="31"/>
      <c r="E884" s="298"/>
      <c r="F884" s="39"/>
      <c r="G884" s="31"/>
      <c r="H884" s="39"/>
      <c r="I884" s="40"/>
      <c r="J884" s="40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</row>
    <row r="885" ht="30.0" customHeight="1">
      <c r="A885" s="31"/>
      <c r="B885" s="31"/>
      <c r="C885" s="31"/>
      <c r="D885" s="31"/>
      <c r="E885" s="298"/>
      <c r="F885" s="39"/>
      <c r="G885" s="31"/>
      <c r="H885" s="39"/>
      <c r="I885" s="40"/>
      <c r="J885" s="40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</row>
    <row r="886" ht="30.0" customHeight="1">
      <c r="A886" s="31"/>
      <c r="B886" s="31"/>
      <c r="C886" s="31"/>
      <c r="D886" s="31"/>
      <c r="E886" s="298"/>
      <c r="F886" s="39"/>
      <c r="G886" s="31"/>
      <c r="H886" s="39"/>
      <c r="I886" s="40"/>
      <c r="J886" s="40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</row>
    <row r="887" ht="30.0" customHeight="1">
      <c r="A887" s="31"/>
      <c r="B887" s="31"/>
      <c r="C887" s="31"/>
      <c r="D887" s="31"/>
      <c r="E887" s="298"/>
      <c r="F887" s="39"/>
      <c r="G887" s="31"/>
      <c r="H887" s="39"/>
      <c r="I887" s="40"/>
      <c r="J887" s="40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</row>
    <row r="888" ht="30.0" customHeight="1">
      <c r="A888" s="31"/>
      <c r="B888" s="31"/>
      <c r="C888" s="31"/>
      <c r="D888" s="31"/>
      <c r="E888" s="298"/>
      <c r="F888" s="39"/>
      <c r="G888" s="31"/>
      <c r="H888" s="39"/>
      <c r="I888" s="40"/>
      <c r="J888" s="40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</row>
    <row r="889" ht="30.0" customHeight="1">
      <c r="A889" s="31"/>
      <c r="B889" s="31"/>
      <c r="C889" s="31"/>
      <c r="D889" s="31"/>
      <c r="E889" s="298"/>
      <c r="F889" s="39"/>
      <c r="G889" s="31"/>
      <c r="H889" s="39"/>
      <c r="I889" s="40"/>
      <c r="J889" s="40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</row>
    <row r="890" ht="30.0" customHeight="1">
      <c r="A890" s="31"/>
      <c r="B890" s="31"/>
      <c r="C890" s="31"/>
      <c r="D890" s="31"/>
      <c r="E890" s="298"/>
      <c r="F890" s="39"/>
      <c r="G890" s="31"/>
      <c r="H890" s="39"/>
      <c r="I890" s="40"/>
      <c r="J890" s="40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</row>
    <row r="891" ht="30.0" customHeight="1">
      <c r="A891" s="31"/>
      <c r="B891" s="31"/>
      <c r="C891" s="31"/>
      <c r="D891" s="31"/>
      <c r="E891" s="298"/>
      <c r="F891" s="39"/>
      <c r="G891" s="31"/>
      <c r="H891" s="39"/>
      <c r="I891" s="40"/>
      <c r="J891" s="40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</row>
    <row r="892" ht="30.0" customHeight="1">
      <c r="A892" s="31"/>
      <c r="B892" s="31"/>
      <c r="C892" s="31"/>
      <c r="D892" s="31"/>
      <c r="E892" s="298"/>
      <c r="F892" s="39"/>
      <c r="G892" s="31"/>
      <c r="H892" s="39"/>
      <c r="I892" s="40"/>
      <c r="J892" s="40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</row>
    <row r="893" ht="30.0" customHeight="1">
      <c r="A893" s="31"/>
      <c r="B893" s="31"/>
      <c r="C893" s="31"/>
      <c r="D893" s="31"/>
      <c r="E893" s="298"/>
      <c r="F893" s="39"/>
      <c r="G893" s="31"/>
      <c r="H893" s="39"/>
      <c r="I893" s="40"/>
      <c r="J893" s="40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</row>
    <row r="894" ht="30.0" customHeight="1">
      <c r="A894" s="31"/>
      <c r="B894" s="31"/>
      <c r="C894" s="31"/>
      <c r="D894" s="31"/>
      <c r="E894" s="298"/>
      <c r="F894" s="39"/>
      <c r="G894" s="31"/>
      <c r="H894" s="39"/>
      <c r="I894" s="40"/>
      <c r="J894" s="40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</row>
    <row r="895" ht="30.0" customHeight="1">
      <c r="A895" s="31"/>
      <c r="B895" s="31"/>
      <c r="C895" s="31"/>
      <c r="D895" s="31"/>
      <c r="E895" s="298"/>
      <c r="F895" s="39"/>
      <c r="G895" s="31"/>
      <c r="H895" s="39"/>
      <c r="I895" s="40"/>
      <c r="J895" s="40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</row>
    <row r="896" ht="30.0" customHeight="1">
      <c r="A896" s="31"/>
      <c r="B896" s="31"/>
      <c r="C896" s="31"/>
      <c r="D896" s="31"/>
      <c r="E896" s="298"/>
      <c r="F896" s="39"/>
      <c r="G896" s="31"/>
      <c r="H896" s="39"/>
      <c r="I896" s="40"/>
      <c r="J896" s="40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</row>
    <row r="897" ht="30.0" customHeight="1">
      <c r="A897" s="31"/>
      <c r="B897" s="31"/>
      <c r="C897" s="31"/>
      <c r="D897" s="31"/>
      <c r="E897" s="298"/>
      <c r="F897" s="39"/>
      <c r="G897" s="31"/>
      <c r="H897" s="39"/>
      <c r="I897" s="40"/>
      <c r="J897" s="40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</row>
    <row r="898" ht="30.0" customHeight="1">
      <c r="A898" s="31"/>
      <c r="B898" s="31"/>
      <c r="C898" s="31"/>
      <c r="D898" s="31"/>
      <c r="E898" s="298"/>
      <c r="F898" s="39"/>
      <c r="G898" s="31"/>
      <c r="H898" s="39"/>
      <c r="I898" s="40"/>
      <c r="J898" s="40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</row>
    <row r="899" ht="30.0" customHeight="1">
      <c r="A899" s="31"/>
      <c r="B899" s="31"/>
      <c r="C899" s="31"/>
      <c r="D899" s="31"/>
      <c r="E899" s="298"/>
      <c r="F899" s="39"/>
      <c r="G899" s="31"/>
      <c r="H899" s="39"/>
      <c r="I899" s="40"/>
      <c r="J899" s="40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</row>
    <row r="900" ht="30.0" customHeight="1">
      <c r="A900" s="31"/>
      <c r="B900" s="31"/>
      <c r="C900" s="31"/>
      <c r="D900" s="31"/>
      <c r="E900" s="298"/>
      <c r="F900" s="39"/>
      <c r="G900" s="31"/>
      <c r="H900" s="39"/>
      <c r="I900" s="40"/>
      <c r="J900" s="40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</row>
    <row r="901" ht="30.0" customHeight="1">
      <c r="A901" s="31"/>
      <c r="B901" s="31"/>
      <c r="C901" s="31"/>
      <c r="D901" s="31"/>
      <c r="E901" s="298"/>
      <c r="F901" s="39"/>
      <c r="G901" s="31"/>
      <c r="H901" s="39"/>
      <c r="I901" s="40"/>
      <c r="J901" s="40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</row>
    <row r="902" ht="30.0" customHeight="1">
      <c r="A902" s="31"/>
      <c r="B902" s="31"/>
      <c r="C902" s="31"/>
      <c r="D902" s="31"/>
      <c r="E902" s="298"/>
      <c r="F902" s="39"/>
      <c r="G902" s="31"/>
      <c r="H902" s="39"/>
      <c r="I902" s="40"/>
      <c r="J902" s="40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</row>
    <row r="903" ht="30.0" customHeight="1">
      <c r="A903" s="31"/>
      <c r="B903" s="31"/>
      <c r="C903" s="31"/>
      <c r="D903" s="31"/>
      <c r="E903" s="298"/>
      <c r="F903" s="39"/>
      <c r="G903" s="31"/>
      <c r="H903" s="39"/>
      <c r="I903" s="40"/>
      <c r="J903" s="40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</row>
    <row r="904" ht="30.0" customHeight="1">
      <c r="A904" s="31"/>
      <c r="B904" s="31"/>
      <c r="C904" s="31"/>
      <c r="D904" s="31"/>
      <c r="E904" s="298"/>
      <c r="F904" s="39"/>
      <c r="G904" s="31"/>
      <c r="H904" s="39"/>
      <c r="I904" s="40"/>
      <c r="J904" s="40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</row>
    <row r="905" ht="30.0" customHeight="1">
      <c r="A905" s="31"/>
      <c r="B905" s="31"/>
      <c r="C905" s="31"/>
      <c r="D905" s="31"/>
      <c r="E905" s="298"/>
      <c r="F905" s="39"/>
      <c r="G905" s="31"/>
      <c r="H905" s="39"/>
      <c r="I905" s="40"/>
      <c r="J905" s="40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</row>
    <row r="906" ht="30.0" customHeight="1">
      <c r="A906" s="31"/>
      <c r="B906" s="31"/>
      <c r="C906" s="31"/>
      <c r="D906" s="31"/>
      <c r="E906" s="298"/>
      <c r="F906" s="39"/>
      <c r="G906" s="31"/>
      <c r="H906" s="39"/>
      <c r="I906" s="40"/>
      <c r="J906" s="40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</row>
    <row r="907" ht="30.0" customHeight="1">
      <c r="A907" s="31"/>
      <c r="B907" s="31"/>
      <c r="C907" s="31"/>
      <c r="D907" s="31"/>
      <c r="E907" s="298"/>
      <c r="F907" s="39"/>
      <c r="G907" s="31"/>
      <c r="H907" s="39"/>
      <c r="I907" s="40"/>
      <c r="J907" s="40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</row>
    <row r="908" ht="30.0" customHeight="1">
      <c r="A908" s="31"/>
      <c r="B908" s="31"/>
      <c r="C908" s="31"/>
      <c r="D908" s="31"/>
      <c r="E908" s="298"/>
      <c r="F908" s="39"/>
      <c r="G908" s="31"/>
      <c r="H908" s="39"/>
      <c r="I908" s="40"/>
      <c r="J908" s="40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</row>
    <row r="909" ht="30.0" customHeight="1">
      <c r="A909" s="31"/>
      <c r="B909" s="31"/>
      <c r="C909" s="31"/>
      <c r="D909" s="31"/>
      <c r="E909" s="298"/>
      <c r="F909" s="39"/>
      <c r="G909" s="31"/>
      <c r="H909" s="39"/>
      <c r="I909" s="40"/>
      <c r="J909" s="40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</row>
    <row r="910" ht="30.0" customHeight="1">
      <c r="A910" s="31"/>
      <c r="B910" s="31"/>
      <c r="C910" s="31"/>
      <c r="D910" s="31"/>
      <c r="E910" s="298"/>
      <c r="F910" s="39"/>
      <c r="G910" s="31"/>
      <c r="H910" s="39"/>
      <c r="I910" s="40"/>
      <c r="J910" s="40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</row>
    <row r="911" ht="30.0" customHeight="1">
      <c r="A911" s="31"/>
      <c r="B911" s="31"/>
      <c r="C911" s="31"/>
      <c r="D911" s="31"/>
      <c r="E911" s="298"/>
      <c r="F911" s="39"/>
      <c r="G911" s="31"/>
      <c r="H911" s="39"/>
      <c r="I911" s="40"/>
      <c r="J911" s="40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</row>
    <row r="912" ht="30.0" customHeight="1">
      <c r="A912" s="31"/>
      <c r="B912" s="31"/>
      <c r="C912" s="31"/>
      <c r="D912" s="31"/>
      <c r="E912" s="298"/>
      <c r="F912" s="39"/>
      <c r="G912" s="31"/>
      <c r="H912" s="39"/>
      <c r="I912" s="40"/>
      <c r="J912" s="40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</row>
    <row r="913" ht="30.0" customHeight="1">
      <c r="A913" s="31"/>
      <c r="B913" s="31"/>
      <c r="C913" s="31"/>
      <c r="D913" s="31"/>
      <c r="E913" s="298"/>
      <c r="F913" s="39"/>
      <c r="G913" s="31"/>
      <c r="H913" s="39"/>
      <c r="I913" s="40"/>
      <c r="J913" s="40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</row>
    <row r="914" ht="30.0" customHeight="1">
      <c r="A914" s="31"/>
      <c r="B914" s="31"/>
      <c r="C914" s="31"/>
      <c r="D914" s="31"/>
      <c r="E914" s="298"/>
      <c r="F914" s="39"/>
      <c r="G914" s="31"/>
      <c r="H914" s="39"/>
      <c r="I914" s="40"/>
      <c r="J914" s="40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</row>
    <row r="915" ht="30.0" customHeight="1">
      <c r="A915" s="31"/>
      <c r="B915" s="31"/>
      <c r="C915" s="31"/>
      <c r="D915" s="31"/>
      <c r="E915" s="298"/>
      <c r="F915" s="39"/>
      <c r="G915" s="31"/>
      <c r="H915" s="39"/>
      <c r="I915" s="40"/>
      <c r="J915" s="40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</row>
    <row r="916" ht="30.0" customHeight="1">
      <c r="A916" s="31"/>
      <c r="B916" s="31"/>
      <c r="C916" s="31"/>
      <c r="D916" s="31"/>
      <c r="E916" s="298"/>
      <c r="F916" s="39"/>
      <c r="G916" s="31"/>
      <c r="H916" s="39"/>
      <c r="I916" s="40"/>
      <c r="J916" s="40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</row>
    <row r="917" ht="30.0" customHeight="1">
      <c r="A917" s="31"/>
      <c r="B917" s="31"/>
      <c r="C917" s="31"/>
      <c r="D917" s="31"/>
      <c r="E917" s="298"/>
      <c r="F917" s="39"/>
      <c r="G917" s="31"/>
      <c r="H917" s="39"/>
      <c r="I917" s="40"/>
      <c r="J917" s="40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</row>
    <row r="918" ht="30.0" customHeight="1">
      <c r="A918" s="31"/>
      <c r="B918" s="31"/>
      <c r="C918" s="31"/>
      <c r="D918" s="31"/>
      <c r="E918" s="298"/>
      <c r="F918" s="39"/>
      <c r="G918" s="31"/>
      <c r="H918" s="39"/>
      <c r="I918" s="40"/>
      <c r="J918" s="40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</row>
    <row r="919" ht="30.0" customHeight="1">
      <c r="A919" s="31"/>
      <c r="B919" s="31"/>
      <c r="C919" s="31"/>
      <c r="D919" s="31"/>
      <c r="E919" s="298"/>
      <c r="F919" s="39"/>
      <c r="G919" s="31"/>
      <c r="H919" s="39"/>
      <c r="I919" s="40"/>
      <c r="J919" s="40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</row>
    <row r="920" ht="30.0" customHeight="1">
      <c r="A920" s="31"/>
      <c r="B920" s="31"/>
      <c r="C920" s="31"/>
      <c r="D920" s="31"/>
      <c r="E920" s="298"/>
      <c r="F920" s="39"/>
      <c r="G920" s="31"/>
      <c r="H920" s="39"/>
      <c r="I920" s="40"/>
      <c r="J920" s="40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</row>
    <row r="921" ht="30.0" customHeight="1">
      <c r="A921" s="31"/>
      <c r="B921" s="31"/>
      <c r="C921" s="31"/>
      <c r="D921" s="31"/>
      <c r="E921" s="298"/>
      <c r="F921" s="39"/>
      <c r="G921" s="31"/>
      <c r="H921" s="39"/>
      <c r="I921" s="40"/>
      <c r="J921" s="40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</row>
    <row r="922" ht="30.0" customHeight="1">
      <c r="A922" s="31"/>
      <c r="B922" s="31"/>
      <c r="C922" s="31"/>
      <c r="D922" s="31"/>
      <c r="E922" s="298"/>
      <c r="F922" s="39"/>
      <c r="G922" s="31"/>
      <c r="H922" s="39"/>
      <c r="I922" s="40"/>
      <c r="J922" s="40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</row>
    <row r="923" ht="30.0" customHeight="1">
      <c r="A923" s="31"/>
      <c r="B923" s="31"/>
      <c r="C923" s="31"/>
      <c r="D923" s="31"/>
      <c r="E923" s="298"/>
      <c r="F923" s="39"/>
      <c r="G923" s="31"/>
      <c r="H923" s="39"/>
      <c r="I923" s="40"/>
      <c r="J923" s="40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</row>
    <row r="924" ht="30.0" customHeight="1">
      <c r="A924" s="31"/>
      <c r="B924" s="31"/>
      <c r="C924" s="31"/>
      <c r="D924" s="31"/>
      <c r="E924" s="298"/>
      <c r="F924" s="39"/>
      <c r="G924" s="31"/>
      <c r="H924" s="39"/>
      <c r="I924" s="40"/>
      <c r="J924" s="40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</row>
    <row r="925" ht="30.0" customHeight="1">
      <c r="A925" s="31"/>
      <c r="B925" s="31"/>
      <c r="C925" s="31"/>
      <c r="D925" s="31"/>
      <c r="E925" s="298"/>
      <c r="F925" s="39"/>
      <c r="G925" s="31"/>
      <c r="H925" s="39"/>
      <c r="I925" s="40"/>
      <c r="J925" s="40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</row>
    <row r="926" ht="30.0" customHeight="1">
      <c r="A926" s="31"/>
      <c r="B926" s="31"/>
      <c r="C926" s="31"/>
      <c r="D926" s="31"/>
      <c r="E926" s="298"/>
      <c r="F926" s="39"/>
      <c r="G926" s="31"/>
      <c r="H926" s="39"/>
      <c r="I926" s="40"/>
      <c r="J926" s="40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</row>
    <row r="927" ht="30.0" customHeight="1">
      <c r="A927" s="31"/>
      <c r="B927" s="31"/>
      <c r="C927" s="31"/>
      <c r="D927" s="31"/>
      <c r="E927" s="298"/>
      <c r="F927" s="39"/>
      <c r="G927" s="31"/>
      <c r="H927" s="39"/>
      <c r="I927" s="40"/>
      <c r="J927" s="40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</row>
    <row r="928" ht="30.0" customHeight="1">
      <c r="A928" s="31"/>
      <c r="B928" s="31"/>
      <c r="C928" s="31"/>
      <c r="D928" s="31"/>
      <c r="E928" s="298"/>
      <c r="F928" s="39"/>
      <c r="G928" s="31"/>
      <c r="H928" s="39"/>
      <c r="I928" s="40"/>
      <c r="J928" s="40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</row>
    <row r="929" ht="30.0" customHeight="1">
      <c r="A929" s="31"/>
      <c r="B929" s="31"/>
      <c r="C929" s="31"/>
      <c r="D929" s="31"/>
      <c r="E929" s="298"/>
      <c r="F929" s="39"/>
      <c r="G929" s="31"/>
      <c r="H929" s="39"/>
      <c r="I929" s="40"/>
      <c r="J929" s="40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</row>
    <row r="930" ht="30.0" customHeight="1">
      <c r="A930" s="31"/>
      <c r="B930" s="31"/>
      <c r="C930" s="31"/>
      <c r="D930" s="31"/>
      <c r="E930" s="298"/>
      <c r="F930" s="39"/>
      <c r="G930" s="31"/>
      <c r="H930" s="39"/>
      <c r="I930" s="40"/>
      <c r="J930" s="40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</row>
    <row r="931" ht="30.0" customHeight="1">
      <c r="A931" s="31"/>
      <c r="B931" s="31"/>
      <c r="C931" s="31"/>
      <c r="D931" s="31"/>
      <c r="E931" s="298"/>
      <c r="F931" s="39"/>
      <c r="G931" s="31"/>
      <c r="H931" s="39"/>
      <c r="I931" s="40"/>
      <c r="J931" s="40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</row>
    <row r="932" ht="30.0" customHeight="1">
      <c r="A932" s="31"/>
      <c r="B932" s="31"/>
      <c r="C932" s="31"/>
      <c r="D932" s="31"/>
      <c r="E932" s="298"/>
      <c r="F932" s="39"/>
      <c r="G932" s="31"/>
      <c r="H932" s="39"/>
      <c r="I932" s="40"/>
      <c r="J932" s="40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</row>
    <row r="933" ht="30.0" customHeight="1">
      <c r="A933" s="31"/>
      <c r="B933" s="31"/>
      <c r="C933" s="31"/>
      <c r="D933" s="31"/>
      <c r="E933" s="298"/>
      <c r="F933" s="39"/>
      <c r="G933" s="31"/>
      <c r="H933" s="39"/>
      <c r="I933" s="40"/>
      <c r="J933" s="40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</row>
    <row r="934" ht="30.0" customHeight="1">
      <c r="A934" s="31"/>
      <c r="B934" s="31"/>
      <c r="C934" s="31"/>
      <c r="D934" s="31"/>
      <c r="E934" s="298"/>
      <c r="F934" s="39"/>
      <c r="G934" s="31"/>
      <c r="H934" s="39"/>
      <c r="I934" s="40"/>
      <c r="J934" s="40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</row>
    <row r="935" ht="30.0" customHeight="1">
      <c r="A935" s="31"/>
      <c r="B935" s="31"/>
      <c r="C935" s="31"/>
      <c r="D935" s="31"/>
      <c r="E935" s="298"/>
      <c r="F935" s="39"/>
      <c r="G935" s="31"/>
      <c r="H935" s="39"/>
      <c r="I935" s="40"/>
      <c r="J935" s="40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</row>
    <row r="936" ht="30.0" customHeight="1">
      <c r="A936" s="31"/>
      <c r="B936" s="31"/>
      <c r="C936" s="31"/>
      <c r="D936" s="31"/>
      <c r="E936" s="298"/>
      <c r="F936" s="39"/>
      <c r="G936" s="31"/>
      <c r="H936" s="39"/>
      <c r="I936" s="40"/>
      <c r="J936" s="40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</row>
    <row r="937" ht="30.0" customHeight="1">
      <c r="A937" s="31"/>
      <c r="B937" s="31"/>
      <c r="C937" s="31"/>
      <c r="D937" s="31"/>
      <c r="E937" s="298"/>
      <c r="F937" s="39"/>
      <c r="G937" s="31"/>
      <c r="H937" s="39"/>
      <c r="I937" s="40"/>
      <c r="J937" s="40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</row>
    <row r="938" ht="30.0" customHeight="1">
      <c r="A938" s="31"/>
      <c r="B938" s="31"/>
      <c r="C938" s="31"/>
      <c r="D938" s="31"/>
      <c r="E938" s="298"/>
      <c r="F938" s="39"/>
      <c r="G938" s="31"/>
      <c r="H938" s="39"/>
      <c r="I938" s="40"/>
      <c r="J938" s="40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</row>
    <row r="939" ht="30.0" customHeight="1">
      <c r="A939" s="31"/>
      <c r="B939" s="31"/>
      <c r="C939" s="31"/>
      <c r="D939" s="31"/>
      <c r="E939" s="298"/>
      <c r="F939" s="39"/>
      <c r="G939" s="31"/>
      <c r="H939" s="39"/>
      <c r="I939" s="40"/>
      <c r="J939" s="40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</row>
    <row r="940" ht="30.0" customHeight="1">
      <c r="A940" s="31"/>
      <c r="B940" s="31"/>
      <c r="C940" s="31"/>
      <c r="D940" s="31"/>
      <c r="E940" s="298"/>
      <c r="F940" s="39"/>
      <c r="G940" s="31"/>
      <c r="H940" s="39"/>
      <c r="I940" s="40"/>
      <c r="J940" s="40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</row>
    <row r="941" ht="30.0" customHeight="1">
      <c r="A941" s="31"/>
      <c r="B941" s="31"/>
      <c r="C941" s="31"/>
      <c r="D941" s="31"/>
      <c r="E941" s="298"/>
      <c r="F941" s="39"/>
      <c r="G941" s="31"/>
      <c r="H941" s="39"/>
      <c r="I941" s="40"/>
      <c r="J941" s="40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</row>
    <row r="942" ht="30.0" customHeight="1">
      <c r="A942" s="31"/>
      <c r="B942" s="31"/>
      <c r="C942" s="31"/>
      <c r="D942" s="31"/>
      <c r="E942" s="298"/>
      <c r="F942" s="39"/>
      <c r="G942" s="31"/>
      <c r="H942" s="39"/>
      <c r="I942" s="40"/>
      <c r="J942" s="40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</row>
    <row r="943" ht="30.0" customHeight="1">
      <c r="A943" s="31"/>
      <c r="B943" s="31"/>
      <c r="C943" s="31"/>
      <c r="D943" s="31"/>
      <c r="E943" s="298"/>
      <c r="F943" s="39"/>
      <c r="G943" s="31"/>
      <c r="H943" s="39"/>
      <c r="I943" s="40"/>
      <c r="J943" s="40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</row>
    <row r="944" ht="30.0" customHeight="1">
      <c r="A944" s="31"/>
      <c r="B944" s="31"/>
      <c r="C944" s="31"/>
      <c r="D944" s="31"/>
      <c r="E944" s="298"/>
      <c r="F944" s="39"/>
      <c r="G944" s="31"/>
      <c r="H944" s="39"/>
      <c r="I944" s="40"/>
      <c r="J944" s="40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</row>
    <row r="945" ht="30.0" customHeight="1">
      <c r="A945" s="31"/>
      <c r="B945" s="31"/>
      <c r="C945" s="31"/>
      <c r="D945" s="31"/>
      <c r="E945" s="298"/>
      <c r="F945" s="39"/>
      <c r="G945" s="31"/>
      <c r="H945" s="39"/>
      <c r="I945" s="40"/>
      <c r="J945" s="40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</row>
    <row r="946" ht="30.0" customHeight="1">
      <c r="A946" s="31"/>
      <c r="B946" s="31"/>
      <c r="C946" s="31"/>
      <c r="D946" s="31"/>
      <c r="E946" s="298"/>
      <c r="F946" s="39"/>
      <c r="G946" s="31"/>
      <c r="H946" s="39"/>
      <c r="I946" s="40"/>
      <c r="J946" s="40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</row>
    <row r="947" ht="30.0" customHeight="1">
      <c r="A947" s="31"/>
      <c r="B947" s="31"/>
      <c r="C947" s="31"/>
      <c r="D947" s="31"/>
      <c r="E947" s="298"/>
      <c r="F947" s="39"/>
      <c r="G947" s="31"/>
      <c r="H947" s="39"/>
      <c r="I947" s="40"/>
      <c r="J947" s="40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</row>
    <row r="948" ht="30.0" customHeight="1">
      <c r="A948" s="31"/>
      <c r="B948" s="31"/>
      <c r="C948" s="31"/>
      <c r="D948" s="31"/>
      <c r="E948" s="298"/>
      <c r="F948" s="39"/>
      <c r="G948" s="31"/>
      <c r="H948" s="39"/>
      <c r="I948" s="40"/>
      <c r="J948" s="40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</row>
    <row r="949" ht="30.0" customHeight="1">
      <c r="A949" s="31"/>
      <c r="B949" s="31"/>
      <c r="C949" s="31"/>
      <c r="D949" s="31"/>
      <c r="E949" s="298"/>
      <c r="F949" s="39"/>
      <c r="G949" s="31"/>
      <c r="H949" s="39"/>
      <c r="I949" s="40"/>
      <c r="J949" s="40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</row>
    <row r="950" ht="30.0" customHeight="1">
      <c r="A950" s="31"/>
      <c r="B950" s="31"/>
      <c r="C950" s="31"/>
      <c r="D950" s="31"/>
      <c r="E950" s="298"/>
      <c r="F950" s="39"/>
      <c r="G950" s="31"/>
      <c r="H950" s="39"/>
      <c r="I950" s="40"/>
      <c r="J950" s="40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</row>
    <row r="951" ht="30.0" customHeight="1">
      <c r="A951" s="31"/>
      <c r="B951" s="31"/>
      <c r="C951" s="31"/>
      <c r="D951" s="31"/>
      <c r="E951" s="298"/>
      <c r="F951" s="39"/>
      <c r="G951" s="31"/>
      <c r="H951" s="39"/>
      <c r="I951" s="40"/>
      <c r="J951" s="40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</row>
    <row r="952" ht="30.0" customHeight="1">
      <c r="A952" s="31"/>
      <c r="B952" s="31"/>
      <c r="C952" s="31"/>
      <c r="D952" s="31"/>
      <c r="E952" s="298"/>
      <c r="F952" s="39"/>
      <c r="G952" s="31"/>
      <c r="H952" s="39"/>
      <c r="I952" s="40"/>
      <c r="J952" s="40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</row>
    <row r="953" ht="30.0" customHeight="1">
      <c r="A953" s="31"/>
      <c r="B953" s="31"/>
      <c r="C953" s="31"/>
      <c r="D953" s="31"/>
      <c r="E953" s="298"/>
      <c r="F953" s="39"/>
      <c r="G953" s="31"/>
      <c r="H953" s="39"/>
      <c r="I953" s="40"/>
      <c r="J953" s="40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</row>
    <row r="954" ht="30.0" customHeight="1">
      <c r="A954" s="31"/>
      <c r="B954" s="31"/>
      <c r="C954" s="31"/>
      <c r="D954" s="31"/>
      <c r="E954" s="298"/>
      <c r="F954" s="39"/>
      <c r="G954" s="31"/>
      <c r="H954" s="39"/>
      <c r="I954" s="40"/>
      <c r="J954" s="40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</row>
    <row r="955" ht="30.0" customHeight="1">
      <c r="A955" s="31"/>
      <c r="B955" s="31"/>
      <c r="C955" s="31"/>
      <c r="D955" s="31"/>
      <c r="E955" s="298"/>
      <c r="F955" s="39"/>
      <c r="G955" s="31"/>
      <c r="H955" s="39"/>
      <c r="I955" s="40"/>
      <c r="J955" s="40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</row>
    <row r="956" ht="30.0" customHeight="1">
      <c r="A956" s="31"/>
      <c r="B956" s="31"/>
      <c r="C956" s="31"/>
      <c r="D956" s="31"/>
      <c r="E956" s="298"/>
      <c r="F956" s="39"/>
      <c r="G956" s="31"/>
      <c r="H956" s="39"/>
      <c r="I956" s="40"/>
      <c r="J956" s="40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</row>
    <row r="957" ht="30.0" customHeight="1">
      <c r="A957" s="31"/>
      <c r="B957" s="31"/>
      <c r="C957" s="31"/>
      <c r="D957" s="31"/>
      <c r="E957" s="298"/>
      <c r="F957" s="39"/>
      <c r="G957" s="31"/>
      <c r="H957" s="39"/>
      <c r="I957" s="40"/>
      <c r="J957" s="40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</row>
    <row r="958" ht="30.0" customHeight="1">
      <c r="A958" s="31"/>
      <c r="B958" s="31"/>
      <c r="C958" s="31"/>
      <c r="D958" s="31"/>
      <c r="E958" s="298"/>
      <c r="F958" s="39"/>
      <c r="G958" s="31"/>
      <c r="H958" s="39"/>
      <c r="I958" s="40"/>
      <c r="J958" s="40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</row>
    <row r="959" ht="30.0" customHeight="1">
      <c r="A959" s="31"/>
      <c r="B959" s="31"/>
      <c r="C959" s="31"/>
      <c r="D959" s="31"/>
      <c r="E959" s="298"/>
      <c r="F959" s="39"/>
      <c r="G959" s="31"/>
      <c r="H959" s="39"/>
      <c r="I959" s="40"/>
      <c r="J959" s="40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</row>
    <row r="960" ht="30.0" customHeight="1">
      <c r="A960" s="31"/>
      <c r="B960" s="31"/>
      <c r="C960" s="31"/>
      <c r="D960" s="31"/>
      <c r="E960" s="298"/>
      <c r="F960" s="39"/>
      <c r="G960" s="31"/>
      <c r="H960" s="39"/>
      <c r="I960" s="40"/>
      <c r="J960" s="40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</row>
    <row r="961" ht="30.0" customHeight="1">
      <c r="A961" s="31"/>
      <c r="B961" s="31"/>
      <c r="C961" s="31"/>
      <c r="D961" s="31"/>
      <c r="E961" s="298"/>
      <c r="F961" s="39"/>
      <c r="G961" s="31"/>
      <c r="H961" s="39"/>
      <c r="I961" s="40"/>
      <c r="J961" s="40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</row>
    <row r="962" ht="30.0" customHeight="1">
      <c r="A962" s="31"/>
      <c r="B962" s="31"/>
      <c r="C962" s="31"/>
      <c r="D962" s="31"/>
      <c r="E962" s="298"/>
      <c r="F962" s="39"/>
      <c r="G962" s="31"/>
      <c r="H962" s="39"/>
      <c r="I962" s="40"/>
      <c r="J962" s="40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</row>
    <row r="963" ht="30.0" customHeight="1">
      <c r="A963" s="31"/>
      <c r="B963" s="31"/>
      <c r="C963" s="31"/>
      <c r="D963" s="31"/>
      <c r="E963" s="298"/>
      <c r="F963" s="39"/>
      <c r="G963" s="31"/>
      <c r="H963" s="39"/>
      <c r="I963" s="40"/>
      <c r="J963" s="40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</row>
    <row r="964" ht="30.0" customHeight="1">
      <c r="A964" s="31"/>
      <c r="B964" s="31"/>
      <c r="C964" s="31"/>
      <c r="D964" s="31"/>
      <c r="E964" s="298"/>
      <c r="F964" s="39"/>
      <c r="G964" s="31"/>
      <c r="H964" s="39"/>
      <c r="I964" s="40"/>
      <c r="J964" s="40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</row>
    <row r="965" ht="30.0" customHeight="1">
      <c r="A965" s="31"/>
      <c r="B965" s="31"/>
      <c r="C965" s="31"/>
      <c r="D965" s="31"/>
      <c r="E965" s="298"/>
      <c r="F965" s="39"/>
      <c r="G965" s="31"/>
      <c r="H965" s="39"/>
      <c r="I965" s="40"/>
      <c r="J965" s="40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</row>
    <row r="966" ht="30.0" customHeight="1">
      <c r="A966" s="31"/>
      <c r="B966" s="31"/>
      <c r="C966" s="31"/>
      <c r="D966" s="31"/>
      <c r="E966" s="298"/>
      <c r="F966" s="39"/>
      <c r="G966" s="31"/>
      <c r="H966" s="39"/>
      <c r="I966" s="40"/>
      <c r="J966" s="40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</row>
    <row r="967" ht="30.0" customHeight="1">
      <c r="A967" s="31"/>
      <c r="B967" s="31"/>
      <c r="C967" s="31"/>
      <c r="D967" s="31"/>
      <c r="E967" s="298"/>
      <c r="F967" s="39"/>
      <c r="G967" s="31"/>
      <c r="H967" s="39"/>
      <c r="I967" s="40"/>
      <c r="J967" s="40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</row>
    <row r="968" ht="30.0" customHeight="1">
      <c r="A968" s="31"/>
      <c r="B968" s="31"/>
      <c r="C968" s="31"/>
      <c r="D968" s="31"/>
      <c r="E968" s="298"/>
      <c r="F968" s="39"/>
      <c r="G968" s="31"/>
      <c r="H968" s="39"/>
      <c r="I968" s="40"/>
      <c r="J968" s="40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</row>
    <row r="969" ht="30.0" customHeight="1">
      <c r="A969" s="31"/>
      <c r="B969" s="31"/>
      <c r="C969" s="31"/>
      <c r="D969" s="31"/>
      <c r="E969" s="298"/>
      <c r="F969" s="39"/>
      <c r="G969" s="31"/>
      <c r="H969" s="39"/>
      <c r="I969" s="40"/>
      <c r="J969" s="40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</row>
    <row r="970" ht="30.0" customHeight="1">
      <c r="A970" s="31"/>
      <c r="B970" s="31"/>
      <c r="C970" s="31"/>
      <c r="D970" s="31"/>
      <c r="E970" s="298"/>
      <c r="F970" s="39"/>
      <c r="G970" s="31"/>
      <c r="H970" s="39"/>
      <c r="I970" s="40"/>
      <c r="J970" s="40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</row>
    <row r="971" ht="30.0" customHeight="1">
      <c r="A971" s="31"/>
      <c r="B971" s="31"/>
      <c r="C971" s="31"/>
      <c r="D971" s="31"/>
      <c r="E971" s="298"/>
      <c r="F971" s="39"/>
      <c r="G971" s="31"/>
      <c r="H971" s="39"/>
      <c r="I971" s="40"/>
      <c r="J971" s="40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</row>
    <row r="972" ht="30.0" customHeight="1">
      <c r="A972" s="31"/>
      <c r="B972" s="31"/>
      <c r="C972" s="31"/>
      <c r="D972" s="31"/>
      <c r="E972" s="298"/>
      <c r="F972" s="39"/>
      <c r="G972" s="31"/>
      <c r="H972" s="39"/>
      <c r="I972" s="40"/>
      <c r="J972" s="40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</row>
    <row r="973" ht="30.0" customHeight="1">
      <c r="A973" s="31"/>
      <c r="B973" s="31"/>
      <c r="C973" s="31"/>
      <c r="D973" s="31"/>
      <c r="E973" s="298"/>
      <c r="F973" s="39"/>
      <c r="G973" s="31"/>
      <c r="H973" s="39"/>
      <c r="I973" s="40"/>
      <c r="J973" s="40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</row>
    <row r="974" ht="30.0" customHeight="1">
      <c r="A974" s="31"/>
      <c r="B974" s="31"/>
      <c r="C974" s="31"/>
      <c r="D974" s="31"/>
      <c r="E974" s="298"/>
      <c r="F974" s="39"/>
      <c r="G974" s="31"/>
      <c r="H974" s="39"/>
      <c r="I974" s="40"/>
      <c r="J974" s="40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</row>
    <row r="975" ht="30.0" customHeight="1">
      <c r="A975" s="31"/>
      <c r="B975" s="31"/>
      <c r="C975" s="31"/>
      <c r="D975" s="31"/>
      <c r="E975" s="298"/>
      <c r="F975" s="39"/>
      <c r="G975" s="31"/>
      <c r="H975" s="39"/>
      <c r="I975" s="40"/>
      <c r="J975" s="40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</row>
    <row r="976" ht="30.0" customHeight="1">
      <c r="A976" s="31"/>
      <c r="B976" s="31"/>
      <c r="C976" s="31"/>
      <c r="D976" s="31"/>
      <c r="E976" s="298"/>
      <c r="F976" s="39"/>
      <c r="G976" s="31"/>
      <c r="H976" s="39"/>
      <c r="I976" s="40"/>
      <c r="J976" s="40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</row>
    <row r="977" ht="30.0" customHeight="1">
      <c r="A977" s="31"/>
      <c r="B977" s="31"/>
      <c r="C977" s="31"/>
      <c r="D977" s="31"/>
      <c r="E977" s="298"/>
      <c r="F977" s="39"/>
      <c r="G977" s="31"/>
      <c r="H977" s="39"/>
      <c r="I977" s="40"/>
      <c r="J977" s="40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</row>
    <row r="978" ht="30.0" customHeight="1">
      <c r="A978" s="31"/>
      <c r="B978" s="31"/>
      <c r="C978" s="31"/>
      <c r="D978" s="31"/>
      <c r="E978" s="298"/>
      <c r="F978" s="39"/>
      <c r="G978" s="31"/>
      <c r="H978" s="39"/>
      <c r="I978" s="40"/>
      <c r="J978" s="40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</row>
    <row r="979" ht="30.0" customHeight="1">
      <c r="A979" s="31"/>
      <c r="B979" s="31"/>
      <c r="C979" s="31"/>
      <c r="D979" s="31"/>
      <c r="E979" s="298"/>
      <c r="F979" s="39"/>
      <c r="G979" s="31"/>
      <c r="H979" s="39"/>
      <c r="I979" s="40"/>
      <c r="J979" s="40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</row>
    <row r="980" ht="30.0" customHeight="1">
      <c r="A980" s="31"/>
      <c r="B980" s="31"/>
      <c r="C980" s="31"/>
      <c r="D980" s="31"/>
      <c r="E980" s="298"/>
      <c r="F980" s="39"/>
      <c r="G980" s="31"/>
      <c r="H980" s="39"/>
      <c r="I980" s="40"/>
      <c r="J980" s="40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</row>
    <row r="981" ht="30.0" customHeight="1">
      <c r="A981" s="31"/>
      <c r="B981" s="31"/>
      <c r="C981" s="31"/>
      <c r="D981" s="31"/>
      <c r="E981" s="298"/>
      <c r="F981" s="39"/>
      <c r="G981" s="31"/>
      <c r="H981" s="39"/>
      <c r="I981" s="40"/>
      <c r="J981" s="40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</row>
    <row r="982" ht="30.0" customHeight="1">
      <c r="A982" s="31"/>
      <c r="B982" s="31"/>
      <c r="C982" s="31"/>
      <c r="D982" s="31"/>
      <c r="E982" s="298"/>
      <c r="F982" s="39"/>
      <c r="G982" s="31"/>
      <c r="H982" s="39"/>
      <c r="I982" s="40"/>
      <c r="J982" s="40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</row>
    <row r="983" ht="30.0" customHeight="1">
      <c r="A983" s="31"/>
      <c r="B983" s="31"/>
      <c r="C983" s="31"/>
      <c r="D983" s="31"/>
      <c r="E983" s="298"/>
      <c r="F983" s="39"/>
      <c r="G983" s="31"/>
      <c r="H983" s="39"/>
      <c r="I983" s="40"/>
      <c r="J983" s="40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</row>
    <row r="984" ht="30.0" customHeight="1">
      <c r="A984" s="31"/>
      <c r="B984" s="31"/>
      <c r="C984" s="31"/>
      <c r="D984" s="31"/>
      <c r="E984" s="298"/>
      <c r="F984" s="39"/>
      <c r="G984" s="31"/>
      <c r="H984" s="39"/>
      <c r="I984" s="40"/>
      <c r="J984" s="40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</row>
    <row r="985" ht="30.0" customHeight="1">
      <c r="A985" s="31"/>
      <c r="B985" s="31"/>
      <c r="C985" s="31"/>
      <c r="D985" s="31"/>
      <c r="E985" s="298"/>
      <c r="F985" s="39"/>
      <c r="G985" s="31"/>
      <c r="H985" s="39"/>
      <c r="I985" s="40"/>
      <c r="J985" s="40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</row>
    <row r="986" ht="30.0" customHeight="1">
      <c r="A986" s="31"/>
      <c r="B986" s="31"/>
      <c r="C986" s="31"/>
      <c r="D986" s="31"/>
      <c r="E986" s="298"/>
      <c r="F986" s="39"/>
      <c r="G986" s="31"/>
      <c r="H986" s="39"/>
      <c r="I986" s="40"/>
      <c r="J986" s="40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</row>
    <row r="987" ht="30.0" customHeight="1">
      <c r="A987" s="31"/>
      <c r="B987" s="31"/>
      <c r="C987" s="31"/>
      <c r="D987" s="31"/>
      <c r="E987" s="298"/>
      <c r="F987" s="39"/>
      <c r="G987" s="31"/>
      <c r="H987" s="39"/>
      <c r="I987" s="40"/>
      <c r="J987" s="40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</row>
    <row r="988" ht="30.0" customHeight="1">
      <c r="A988" s="31"/>
      <c r="B988" s="31"/>
      <c r="C988" s="31"/>
      <c r="D988" s="31"/>
      <c r="E988" s="298"/>
      <c r="F988" s="39"/>
      <c r="G988" s="31"/>
      <c r="H988" s="39"/>
      <c r="I988" s="40"/>
      <c r="J988" s="40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</row>
    <row r="989" ht="30.0" customHeight="1">
      <c r="A989" s="31"/>
      <c r="B989" s="31"/>
      <c r="C989" s="31"/>
      <c r="D989" s="31"/>
      <c r="E989" s="298"/>
      <c r="F989" s="39"/>
      <c r="G989" s="31"/>
      <c r="H989" s="39"/>
      <c r="I989" s="40"/>
      <c r="J989" s="40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</row>
    <row r="990" ht="30.0" customHeight="1">
      <c r="A990" s="31"/>
      <c r="B990" s="31"/>
      <c r="C990" s="31"/>
      <c r="D990" s="31"/>
      <c r="E990" s="298"/>
      <c r="F990" s="39"/>
      <c r="G990" s="31"/>
      <c r="H990" s="39"/>
      <c r="I990" s="40"/>
      <c r="J990" s="40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</row>
    <row r="991" ht="30.0" customHeight="1">
      <c r="A991" s="31"/>
      <c r="B991" s="31"/>
      <c r="C991" s="31"/>
      <c r="D991" s="31"/>
      <c r="E991" s="298"/>
      <c r="F991" s="39"/>
      <c r="G991" s="31"/>
      <c r="H991" s="39"/>
      <c r="I991" s="40"/>
      <c r="J991" s="40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</row>
    <row r="992" ht="30.0" customHeight="1">
      <c r="A992" s="31"/>
      <c r="B992" s="31"/>
      <c r="C992" s="31"/>
      <c r="D992" s="31"/>
      <c r="E992" s="298"/>
      <c r="F992" s="39"/>
      <c r="G992" s="31"/>
      <c r="H992" s="39"/>
      <c r="I992" s="40"/>
      <c r="J992" s="40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</row>
    <row r="993" ht="30.0" customHeight="1">
      <c r="A993" s="31"/>
      <c r="B993" s="31"/>
      <c r="C993" s="31"/>
      <c r="D993" s="31"/>
      <c r="E993" s="298"/>
      <c r="F993" s="39"/>
      <c r="G993" s="31"/>
      <c r="H993" s="39"/>
      <c r="I993" s="40"/>
      <c r="J993" s="40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</row>
    <row r="994" ht="30.0" customHeight="1">
      <c r="A994" s="31"/>
      <c r="B994" s="31"/>
      <c r="C994" s="31"/>
      <c r="D994" s="31"/>
      <c r="E994" s="298"/>
      <c r="F994" s="39"/>
      <c r="G994" s="31"/>
      <c r="H994" s="39"/>
      <c r="I994" s="40"/>
      <c r="J994" s="40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</row>
    <row r="995" ht="30.0" customHeight="1">
      <c r="A995" s="31"/>
      <c r="B995" s="31"/>
      <c r="C995" s="31"/>
      <c r="D995" s="31"/>
      <c r="E995" s="298"/>
      <c r="F995" s="39"/>
      <c r="G995" s="31"/>
      <c r="H995" s="39"/>
      <c r="I995" s="40"/>
      <c r="J995" s="40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</row>
  </sheetData>
  <mergeCells count="8">
    <mergeCell ref="A1:G1"/>
    <mergeCell ref="A2:A3"/>
    <mergeCell ref="B2:B3"/>
    <mergeCell ref="C2:C3"/>
    <mergeCell ref="D2:D3"/>
    <mergeCell ref="E2:E3"/>
    <mergeCell ref="F2:G2"/>
    <mergeCell ref="A110:C110"/>
  </mergeCells>
  <dataValidations>
    <dataValidation type="list" allowBlank="1" sqref="I4:I107">
      <formula1>"ON TIME(ALL CHECKED),2 MONTHS(ALL CHECKED),LATE SUBMIT (RETRO)"</formula1>
    </dataValidation>
  </dataValidations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4" max="4" width="37.5"/>
    <col customWidth="1" min="5" max="5" width="39.38"/>
    <col customWidth="1" min="7" max="7" width="14.75"/>
    <col customWidth="1" min="8" max="8" width="6.0"/>
    <col customWidth="1" min="9" max="9" width="25.38"/>
  </cols>
  <sheetData>
    <row r="1" ht="27.0" customHeight="1">
      <c r="A1" s="306" t="s">
        <v>2024</v>
      </c>
      <c r="H1" s="307" t="s">
        <v>2025</v>
      </c>
      <c r="I1" s="308"/>
      <c r="J1" s="308"/>
      <c r="K1" s="309"/>
      <c r="L1" s="309"/>
      <c r="M1" s="309"/>
      <c r="N1" s="309"/>
      <c r="O1" s="309"/>
      <c r="P1" s="309"/>
      <c r="Q1" s="309"/>
      <c r="R1" s="309"/>
      <c r="S1" s="309"/>
      <c r="T1" s="309"/>
      <c r="U1" s="309"/>
      <c r="V1" s="309"/>
      <c r="W1" s="309"/>
      <c r="X1" s="309"/>
      <c r="Y1" s="309"/>
      <c r="Z1" s="309"/>
      <c r="AA1" s="309"/>
    </row>
    <row r="2" ht="18.0" customHeight="1">
      <c r="H2" s="310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309"/>
      <c r="U2" s="309"/>
      <c r="V2" s="309"/>
      <c r="W2" s="309"/>
      <c r="X2" s="309"/>
      <c r="Y2" s="309"/>
      <c r="Z2" s="309"/>
      <c r="AA2" s="309"/>
    </row>
    <row r="3" ht="27.0" customHeight="1">
      <c r="A3" s="311" t="s">
        <v>1</v>
      </c>
      <c r="B3" s="312"/>
      <c r="C3" s="312"/>
      <c r="D3" s="311" t="s">
        <v>12</v>
      </c>
      <c r="E3" s="313" t="s">
        <v>13</v>
      </c>
      <c r="F3" s="314" t="s">
        <v>14</v>
      </c>
      <c r="G3" s="315"/>
      <c r="H3" s="316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09"/>
      <c r="U3" s="309"/>
      <c r="V3" s="309"/>
      <c r="W3" s="309"/>
      <c r="X3" s="309"/>
      <c r="Y3" s="309"/>
      <c r="Z3" s="309"/>
      <c r="AA3" s="309"/>
    </row>
    <row r="4" ht="35.25" customHeight="1">
      <c r="A4" s="41"/>
      <c r="B4" s="312" t="s">
        <v>11</v>
      </c>
      <c r="C4" s="312" t="s">
        <v>1452</v>
      </c>
      <c r="D4" s="41"/>
      <c r="E4" s="41"/>
      <c r="F4" s="317" t="s">
        <v>15</v>
      </c>
      <c r="G4" s="318" t="s">
        <v>5</v>
      </c>
      <c r="H4" s="316"/>
      <c r="I4" s="319" t="s">
        <v>6</v>
      </c>
      <c r="J4" s="320" t="s">
        <v>7</v>
      </c>
      <c r="K4" s="309"/>
      <c r="L4" s="309"/>
      <c r="M4" s="309"/>
      <c r="N4" s="309"/>
      <c r="O4" s="309"/>
      <c r="P4" s="309"/>
      <c r="Q4" s="309"/>
      <c r="R4" s="309"/>
      <c r="S4" s="309"/>
      <c r="T4" s="309"/>
      <c r="U4" s="309"/>
      <c r="V4" s="309"/>
      <c r="W4" s="309"/>
      <c r="X4" s="309"/>
      <c r="Y4" s="309"/>
      <c r="Z4" s="309"/>
      <c r="AA4" s="309"/>
    </row>
    <row r="5" ht="27.0" customHeight="1">
      <c r="A5" s="282">
        <v>1.0</v>
      </c>
      <c r="B5" s="283">
        <v>1012356.0</v>
      </c>
      <c r="C5" s="283" t="str">
        <f>vlookup(B5,'Crew data for number'!B:C,2,0)</f>
        <v>TAA6122</v>
      </c>
      <c r="D5" s="284" t="str">
        <f>vlookup(B5,'Crew Data'!C:G,5,0)</f>
        <v>#N/A</v>
      </c>
      <c r="E5" s="321" t="s">
        <v>2026</v>
      </c>
      <c r="F5" s="322">
        <v>5.0</v>
      </c>
      <c r="G5" s="50">
        <f t="shared" ref="G5:G128" si="1">F5*400</f>
        <v>2000</v>
      </c>
      <c r="H5" s="22">
        <f t="shared" ref="H5:H128" si="2">COUNTIF(B:B,B5)</f>
        <v>1</v>
      </c>
      <c r="I5" s="323" t="s">
        <v>1763</v>
      </c>
      <c r="J5" s="309"/>
      <c r="K5" s="309"/>
      <c r="L5" s="309"/>
      <c r="M5" s="309"/>
      <c r="N5" s="309"/>
      <c r="O5" s="309"/>
      <c r="P5" s="309"/>
      <c r="Q5" s="309"/>
      <c r="R5" s="309"/>
      <c r="S5" s="309"/>
      <c r="T5" s="309"/>
      <c r="U5" s="309"/>
      <c r="V5" s="309"/>
      <c r="W5" s="309"/>
      <c r="X5" s="309"/>
      <c r="Y5" s="309"/>
      <c r="Z5" s="309"/>
      <c r="AA5" s="309"/>
    </row>
    <row r="6" ht="27.0" customHeight="1">
      <c r="A6" s="282">
        <v>2.0</v>
      </c>
      <c r="B6" s="283">
        <v>1012188.0</v>
      </c>
      <c r="C6" s="283" t="str">
        <f>vlookup(B6,'Crew data for number'!B:C,2,0)</f>
        <v>TAA6172</v>
      </c>
      <c r="D6" s="284" t="str">
        <f>vlookup(B6,'Crew Data'!C:G,5,0)</f>
        <v>Warut Sritham</v>
      </c>
      <c r="E6" s="321" t="s">
        <v>2027</v>
      </c>
      <c r="F6" s="322">
        <v>58.0</v>
      </c>
      <c r="G6" s="50">
        <f t="shared" si="1"/>
        <v>23200</v>
      </c>
      <c r="H6" s="22">
        <f t="shared" si="2"/>
        <v>1</v>
      </c>
      <c r="I6" s="323" t="s">
        <v>1770</v>
      </c>
      <c r="J6" s="309"/>
      <c r="K6" s="309"/>
      <c r="L6" s="309"/>
      <c r="M6" s="309"/>
      <c r="N6" s="309"/>
      <c r="O6" s="309"/>
      <c r="P6" s="309"/>
      <c r="Q6" s="309"/>
      <c r="R6" s="309"/>
      <c r="S6" s="309"/>
      <c r="T6" s="309"/>
      <c r="U6" s="309"/>
      <c r="V6" s="309"/>
      <c r="W6" s="309"/>
      <c r="X6" s="309"/>
      <c r="Y6" s="309"/>
      <c r="Z6" s="309"/>
      <c r="AA6" s="309"/>
    </row>
    <row r="7" ht="27.0" customHeight="1">
      <c r="A7" s="282">
        <v>3.0</v>
      </c>
      <c r="B7" s="283">
        <v>1007207.0</v>
      </c>
      <c r="C7" s="283" t="str">
        <f>vlookup(B7,'Crew data for number'!B:C,2,0)</f>
        <v>TAA4044</v>
      </c>
      <c r="D7" s="284" t="str">
        <f>vlookup(B7,'Crew Data'!C:G,5,0)</f>
        <v>Sasiwan Nakate</v>
      </c>
      <c r="E7" s="324" t="s">
        <v>2028</v>
      </c>
      <c r="F7" s="325">
        <v>29.0</v>
      </c>
      <c r="G7" s="50">
        <f t="shared" si="1"/>
        <v>11600</v>
      </c>
      <c r="H7" s="22">
        <f t="shared" si="2"/>
        <v>1</v>
      </c>
      <c r="I7" s="323" t="s">
        <v>1770</v>
      </c>
      <c r="J7" s="309"/>
      <c r="K7" s="309"/>
      <c r="L7" s="309"/>
      <c r="M7" s="309"/>
      <c r="N7" s="309"/>
      <c r="O7" s="309"/>
      <c r="P7" s="309"/>
      <c r="Q7" s="309"/>
      <c r="R7" s="309"/>
      <c r="S7" s="309"/>
      <c r="T7" s="309"/>
      <c r="U7" s="309"/>
      <c r="V7" s="309"/>
      <c r="W7" s="309"/>
      <c r="X7" s="309"/>
      <c r="Y7" s="309"/>
      <c r="Z7" s="309"/>
      <c r="AA7" s="309"/>
    </row>
    <row r="8">
      <c r="A8" s="282">
        <v>4.0</v>
      </c>
      <c r="B8" s="283">
        <v>1002207.0</v>
      </c>
      <c r="C8" s="283" t="str">
        <f>vlookup(B8,'Crew data for number'!B:C,2,0)</f>
        <v>TAA2080</v>
      </c>
      <c r="D8" s="284" t="str">
        <f>vlookup(B8,'Crew Data'!C:G,5,0)</f>
        <v>Phakaon Chaiwong</v>
      </c>
      <c r="E8" s="321" t="s">
        <v>2029</v>
      </c>
      <c r="F8" s="322">
        <v>43.0</v>
      </c>
      <c r="G8" s="50">
        <f t="shared" si="1"/>
        <v>17200</v>
      </c>
      <c r="H8" s="22">
        <f t="shared" si="2"/>
        <v>1</v>
      </c>
      <c r="I8" s="323" t="s">
        <v>1770</v>
      </c>
      <c r="J8" s="309"/>
      <c r="K8" s="309"/>
      <c r="L8" s="309"/>
      <c r="M8" s="309"/>
      <c r="N8" s="309"/>
      <c r="O8" s="309"/>
      <c r="P8" s="309"/>
      <c r="Q8" s="309"/>
      <c r="R8" s="309"/>
      <c r="S8" s="309"/>
      <c r="T8" s="309"/>
      <c r="U8" s="309"/>
      <c r="V8" s="309"/>
      <c r="W8" s="309"/>
      <c r="X8" s="309"/>
      <c r="Y8" s="309"/>
      <c r="Z8" s="309"/>
      <c r="AA8" s="309"/>
    </row>
    <row r="9" ht="27.0" customHeight="1">
      <c r="A9" s="282">
        <v>5.0</v>
      </c>
      <c r="B9" s="283">
        <v>1010880.0</v>
      </c>
      <c r="C9" s="283" t="str">
        <f>vlookup(B9,'Crew data for number'!B:C,2,0)</f>
        <v>TAA5520</v>
      </c>
      <c r="D9" s="284" t="str">
        <f>vlookup(B9,'Crew Data'!C:G,5,0)</f>
        <v>Chutima Thitisantikhun</v>
      </c>
      <c r="E9" s="324" t="s">
        <v>2030</v>
      </c>
      <c r="F9" s="325">
        <v>2.0</v>
      </c>
      <c r="G9" s="50">
        <f t="shared" si="1"/>
        <v>800</v>
      </c>
      <c r="H9" s="22">
        <f t="shared" si="2"/>
        <v>1</v>
      </c>
      <c r="I9" s="323" t="s">
        <v>1763</v>
      </c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</row>
    <row r="10" ht="27.0" customHeight="1">
      <c r="A10" s="282">
        <v>6.0</v>
      </c>
      <c r="B10" s="283">
        <v>1006891.0</v>
      </c>
      <c r="C10" s="283" t="str">
        <f>vlookup(B10,'Crew data for number'!B:C,2,0)</f>
        <v>TAA3896</v>
      </c>
      <c r="D10" s="284" t="str">
        <f>vlookup(B10,'Crew Data'!C:G,5,0)</f>
        <v>#N/A</v>
      </c>
      <c r="E10" s="324" t="s">
        <v>2031</v>
      </c>
      <c r="F10" s="325">
        <v>6.0</v>
      </c>
      <c r="G10" s="50">
        <f t="shared" si="1"/>
        <v>2400</v>
      </c>
      <c r="H10" s="22">
        <f t="shared" si="2"/>
        <v>1</v>
      </c>
      <c r="I10" s="323" t="s">
        <v>1763</v>
      </c>
      <c r="J10" s="309"/>
      <c r="K10" s="309"/>
      <c r="L10" s="309"/>
      <c r="M10" s="309"/>
      <c r="N10" s="309"/>
      <c r="O10" s="309"/>
      <c r="P10" s="309"/>
      <c r="Q10" s="309"/>
      <c r="R10" s="309"/>
      <c r="S10" s="309"/>
      <c r="T10" s="309"/>
      <c r="U10" s="309"/>
      <c r="V10" s="309"/>
      <c r="W10" s="309"/>
      <c r="X10" s="309"/>
      <c r="Y10" s="309"/>
      <c r="Z10" s="309"/>
      <c r="AA10" s="309"/>
    </row>
    <row r="11" ht="27.0" customHeight="1">
      <c r="A11" s="282">
        <v>7.0</v>
      </c>
      <c r="B11" s="283">
        <v>1012898.0</v>
      </c>
      <c r="C11" s="283" t="str">
        <f>vlookup(B11,'Crew data for number'!B:C,2,0)</f>
        <v>TAA6364</v>
      </c>
      <c r="D11" s="284" t="str">
        <f>vlookup(B11,'Crew Data'!C:G,5,0)</f>
        <v>Paranyu Sukthanakij</v>
      </c>
      <c r="E11" s="324" t="s">
        <v>2032</v>
      </c>
      <c r="F11" s="325">
        <v>29.0</v>
      </c>
      <c r="G11" s="50">
        <f t="shared" si="1"/>
        <v>11600</v>
      </c>
      <c r="H11" s="22">
        <f t="shared" si="2"/>
        <v>1</v>
      </c>
      <c r="I11" s="323" t="s">
        <v>1763</v>
      </c>
      <c r="J11" s="309"/>
      <c r="K11" s="309"/>
      <c r="L11" s="309"/>
      <c r="M11" s="309"/>
      <c r="N11" s="309"/>
      <c r="O11" s="309"/>
      <c r="P11" s="309"/>
      <c r="Q11" s="309"/>
      <c r="R11" s="309"/>
      <c r="S11" s="309"/>
      <c r="T11" s="309"/>
      <c r="U11" s="309"/>
      <c r="V11" s="309"/>
      <c r="W11" s="309"/>
      <c r="X11" s="309"/>
      <c r="Y11" s="309"/>
      <c r="Z11" s="309"/>
      <c r="AA11" s="309"/>
    </row>
    <row r="12" ht="27.0" customHeight="1">
      <c r="A12" s="282">
        <v>8.0</v>
      </c>
      <c r="B12" s="283">
        <v>1005906.0</v>
      </c>
      <c r="C12" s="283" t="str">
        <f>vlookup(B12,'Crew data for number'!B:C,2,0)</f>
        <v>TAA3924</v>
      </c>
      <c r="D12" s="284" t="str">
        <f>vlookup(B12,'Crew Data'!C:G,5,0)</f>
        <v>Supatra Pokkhabut</v>
      </c>
      <c r="E12" s="324" t="s">
        <v>2033</v>
      </c>
      <c r="F12" s="325">
        <v>1.0</v>
      </c>
      <c r="G12" s="50">
        <f t="shared" si="1"/>
        <v>400</v>
      </c>
      <c r="H12" s="22">
        <f t="shared" si="2"/>
        <v>1</v>
      </c>
      <c r="I12" s="323" t="s">
        <v>1763</v>
      </c>
      <c r="J12" s="309"/>
      <c r="K12" s="309"/>
      <c r="L12" s="309"/>
      <c r="M12" s="309"/>
      <c r="N12" s="309"/>
      <c r="O12" s="309"/>
      <c r="P12" s="309"/>
      <c r="Q12" s="309"/>
      <c r="R12" s="309"/>
      <c r="S12" s="309"/>
      <c r="T12" s="309"/>
      <c r="U12" s="309"/>
      <c r="V12" s="309"/>
      <c r="W12" s="309"/>
      <c r="X12" s="309"/>
      <c r="Y12" s="309"/>
      <c r="Z12" s="309"/>
      <c r="AA12" s="309"/>
    </row>
    <row r="13" ht="27.0" customHeight="1">
      <c r="A13" s="282">
        <v>9.0</v>
      </c>
      <c r="B13" s="283">
        <v>1002269.0</v>
      </c>
      <c r="C13" s="283" t="str">
        <f>vlookup(B13,'Crew data for number'!B:C,2,0)</f>
        <v>TAA1937</v>
      </c>
      <c r="D13" s="284" t="str">
        <f>vlookup(B13,'Crew Data'!C:G,5,0)</f>
        <v>Khemaporn Chotepradit</v>
      </c>
      <c r="E13" s="324" t="s">
        <v>2034</v>
      </c>
      <c r="F13" s="325">
        <v>2.0</v>
      </c>
      <c r="G13" s="50">
        <f t="shared" si="1"/>
        <v>800</v>
      </c>
      <c r="H13" s="22">
        <f t="shared" si="2"/>
        <v>1</v>
      </c>
      <c r="I13" s="323" t="s">
        <v>1763</v>
      </c>
      <c r="J13" s="309"/>
      <c r="K13" s="309"/>
      <c r="L13" s="309"/>
      <c r="M13" s="309"/>
      <c r="N13" s="309"/>
      <c r="O13" s="309"/>
      <c r="P13" s="309"/>
      <c r="Q13" s="309"/>
      <c r="R13" s="309"/>
      <c r="S13" s="309"/>
      <c r="T13" s="309"/>
      <c r="U13" s="309"/>
      <c r="V13" s="309"/>
      <c r="W13" s="309"/>
      <c r="X13" s="309"/>
      <c r="Y13" s="309"/>
      <c r="Z13" s="309"/>
      <c r="AA13" s="309"/>
    </row>
    <row r="14" ht="27.0" customHeight="1">
      <c r="A14" s="282">
        <v>10.0</v>
      </c>
      <c r="B14" s="47">
        <v>1001685.0</v>
      </c>
      <c r="C14" s="283" t="str">
        <f>vlookup(B14,'Crew data for number'!B:C,2,0)</f>
        <v>TAA1525</v>
      </c>
      <c r="D14" s="284" t="str">
        <f>vlookup(B14,'Crew Data'!C:G,5,0)</f>
        <v>Waree Nitikasetpan</v>
      </c>
      <c r="E14" s="321" t="s">
        <v>2030</v>
      </c>
      <c r="F14" s="322">
        <v>2.0</v>
      </c>
      <c r="G14" s="50">
        <f t="shared" si="1"/>
        <v>800</v>
      </c>
      <c r="H14" s="22">
        <f t="shared" si="2"/>
        <v>1</v>
      </c>
      <c r="I14" s="323" t="s">
        <v>1763</v>
      </c>
      <c r="J14" s="309"/>
      <c r="K14" s="309"/>
      <c r="L14" s="309"/>
      <c r="M14" s="309"/>
      <c r="N14" s="309"/>
      <c r="O14" s="309"/>
      <c r="P14" s="309"/>
      <c r="Q14" s="309"/>
      <c r="R14" s="309"/>
      <c r="S14" s="309"/>
      <c r="T14" s="309"/>
      <c r="U14" s="309"/>
      <c r="V14" s="309"/>
      <c r="W14" s="309"/>
      <c r="X14" s="309"/>
      <c r="Y14" s="309"/>
      <c r="Z14" s="309"/>
      <c r="AA14" s="309"/>
    </row>
    <row r="15" ht="27.0" customHeight="1">
      <c r="A15" s="282">
        <v>11.0</v>
      </c>
      <c r="B15" s="47">
        <v>1005765.0</v>
      </c>
      <c r="C15" s="283" t="str">
        <f>vlookup(B15,'Crew data for number'!B:C,2,0)</f>
        <v>TAA3392</v>
      </c>
      <c r="D15" s="284" t="str">
        <f>vlookup(B15,'Crew Data'!C:G,5,0)</f>
        <v>Rapeepan Ariyakul</v>
      </c>
      <c r="E15" s="321" t="s">
        <v>2035</v>
      </c>
      <c r="F15" s="322">
        <v>5.0</v>
      </c>
      <c r="G15" s="50">
        <f t="shared" si="1"/>
        <v>2000</v>
      </c>
      <c r="H15" s="22">
        <f t="shared" si="2"/>
        <v>1</v>
      </c>
      <c r="I15" s="323" t="s">
        <v>1770</v>
      </c>
      <c r="J15" s="309"/>
      <c r="K15" s="309"/>
      <c r="L15" s="309"/>
      <c r="M15" s="309"/>
      <c r="N15" s="309"/>
      <c r="O15" s="309"/>
      <c r="P15" s="309"/>
      <c r="Q15" s="309"/>
      <c r="R15" s="309"/>
      <c r="S15" s="309"/>
      <c r="T15" s="309"/>
      <c r="U15" s="309"/>
      <c r="V15" s="309"/>
      <c r="W15" s="309"/>
      <c r="X15" s="309"/>
      <c r="Y15" s="309"/>
      <c r="Z15" s="309"/>
      <c r="AA15" s="309"/>
    </row>
    <row r="16" ht="27.0" customHeight="1">
      <c r="A16" s="282">
        <v>12.0</v>
      </c>
      <c r="B16" s="47">
        <v>1012892.0</v>
      </c>
      <c r="C16" s="283" t="str">
        <f>vlookup(B16,'Crew data for number'!B:C,2,0)</f>
        <v>TAA6371</v>
      </c>
      <c r="D16" s="284" t="str">
        <f>vlookup(B16,'Crew Data'!C:G,5,0)</f>
        <v>Apinya Phiphatwatanarkul</v>
      </c>
      <c r="E16" s="321" t="s">
        <v>2036</v>
      </c>
      <c r="F16" s="322">
        <v>7.0</v>
      </c>
      <c r="G16" s="50">
        <f t="shared" si="1"/>
        <v>2800</v>
      </c>
      <c r="H16" s="22">
        <f t="shared" si="2"/>
        <v>1</v>
      </c>
      <c r="I16" s="323" t="s">
        <v>1763</v>
      </c>
      <c r="J16" s="309"/>
      <c r="K16" s="309"/>
      <c r="L16" s="309"/>
      <c r="M16" s="309"/>
      <c r="N16" s="309"/>
      <c r="O16" s="309"/>
      <c r="P16" s="309"/>
      <c r="Q16" s="309"/>
      <c r="R16" s="309"/>
      <c r="S16" s="309"/>
      <c r="T16" s="309"/>
      <c r="U16" s="309"/>
      <c r="V16" s="309"/>
      <c r="W16" s="309"/>
      <c r="X16" s="309"/>
      <c r="Y16" s="309"/>
      <c r="Z16" s="309"/>
      <c r="AA16" s="309"/>
    </row>
    <row r="17" ht="27.0" customHeight="1">
      <c r="A17" s="282">
        <v>13.0</v>
      </c>
      <c r="B17" s="47">
        <v>1004318.0</v>
      </c>
      <c r="C17" s="283" t="str">
        <f>vlookup(B17,'Crew data for number'!B:C,2,0)</f>
        <v>TAA2953</v>
      </c>
      <c r="D17" s="284" t="str">
        <f>vlookup(B17,'Crew Data'!C:G,5,0)</f>
        <v>Nattapong Kao-Ngampanich</v>
      </c>
      <c r="E17" s="321" t="s">
        <v>1903</v>
      </c>
      <c r="F17" s="322">
        <v>3.0</v>
      </c>
      <c r="G17" s="50">
        <f t="shared" si="1"/>
        <v>1200</v>
      </c>
      <c r="H17" s="22">
        <f t="shared" si="2"/>
        <v>1</v>
      </c>
      <c r="I17" s="323" t="s">
        <v>1763</v>
      </c>
      <c r="J17" s="309"/>
      <c r="K17" s="309"/>
      <c r="L17" s="309"/>
      <c r="M17" s="309"/>
      <c r="N17" s="309"/>
      <c r="O17" s="309"/>
      <c r="P17" s="309"/>
      <c r="Q17" s="309"/>
      <c r="R17" s="309"/>
      <c r="S17" s="309"/>
      <c r="T17" s="309"/>
      <c r="U17" s="309"/>
      <c r="V17" s="309"/>
      <c r="W17" s="309"/>
      <c r="X17" s="309"/>
      <c r="Y17" s="309"/>
      <c r="Z17" s="309"/>
      <c r="AA17" s="309"/>
    </row>
    <row r="18" ht="27.0" customHeight="1">
      <c r="A18" s="282">
        <v>14.0</v>
      </c>
      <c r="B18" s="47">
        <v>1013191.0</v>
      </c>
      <c r="C18" s="283" t="str">
        <f>vlookup(B18,'Crew data for number'!B:C,2,0)</f>
        <v>TAA6383</v>
      </c>
      <c r="D18" s="284" t="str">
        <f>vlookup(B18,'Crew Data'!C:G,5,0)</f>
        <v>#N/A</v>
      </c>
      <c r="E18" s="321" t="s">
        <v>2037</v>
      </c>
      <c r="F18" s="322">
        <v>7.0</v>
      </c>
      <c r="G18" s="50">
        <f t="shared" si="1"/>
        <v>2800</v>
      </c>
      <c r="H18" s="22">
        <f t="shared" si="2"/>
        <v>1</v>
      </c>
      <c r="I18" s="323" t="s">
        <v>1763</v>
      </c>
      <c r="J18" s="309"/>
      <c r="K18" s="309"/>
      <c r="L18" s="309"/>
      <c r="M18" s="309"/>
      <c r="N18" s="309"/>
      <c r="O18" s="309"/>
      <c r="P18" s="309"/>
      <c r="Q18" s="309"/>
      <c r="R18" s="309"/>
      <c r="S18" s="309"/>
      <c r="T18" s="309"/>
      <c r="U18" s="309"/>
      <c r="V18" s="309"/>
      <c r="W18" s="309"/>
      <c r="X18" s="309"/>
      <c r="Y18" s="309"/>
      <c r="Z18" s="309"/>
      <c r="AA18" s="309"/>
    </row>
    <row r="19" ht="27.0" customHeight="1">
      <c r="A19" s="282">
        <v>15.0</v>
      </c>
      <c r="B19" s="47">
        <v>1007157.0</v>
      </c>
      <c r="C19" s="283" t="str">
        <f>vlookup(B19,'Crew data for number'!B:C,2,0)</f>
        <v>TAA4000</v>
      </c>
      <c r="D19" s="284" t="str">
        <f>vlookup(B19,'Crew Data'!C:G,5,0)</f>
        <v>Pichanun Seneetantikul</v>
      </c>
      <c r="E19" s="321" t="s">
        <v>2038</v>
      </c>
      <c r="F19" s="322">
        <v>3.0</v>
      </c>
      <c r="G19" s="50">
        <f t="shared" si="1"/>
        <v>1200</v>
      </c>
      <c r="H19" s="22">
        <f t="shared" si="2"/>
        <v>1</v>
      </c>
      <c r="I19" s="323" t="s">
        <v>1763</v>
      </c>
      <c r="J19" s="309"/>
      <c r="K19" s="309"/>
      <c r="L19" s="309"/>
      <c r="M19" s="309"/>
      <c r="N19" s="309"/>
      <c r="O19" s="309"/>
      <c r="P19" s="309"/>
      <c r="Q19" s="309"/>
      <c r="R19" s="309"/>
      <c r="S19" s="309"/>
      <c r="T19" s="309"/>
      <c r="U19" s="309"/>
      <c r="V19" s="309"/>
      <c r="W19" s="309"/>
      <c r="X19" s="309"/>
      <c r="Y19" s="309"/>
      <c r="Z19" s="309"/>
      <c r="AA19" s="309"/>
    </row>
    <row r="20" ht="27.0" customHeight="1">
      <c r="A20" s="282">
        <v>16.0</v>
      </c>
      <c r="B20" s="47">
        <v>1006085.0</v>
      </c>
      <c r="C20" s="283" t="str">
        <f>vlookup(B20,'Crew data for number'!B:C,2,0)</f>
        <v>TAA3612</v>
      </c>
      <c r="D20" s="284" t="str">
        <f>vlookup(B20,'Crew Data'!C:G,5,0)</f>
        <v>Sunan Homcharoenpanith</v>
      </c>
      <c r="E20" s="321" t="s">
        <v>2038</v>
      </c>
      <c r="F20" s="322">
        <v>3.0</v>
      </c>
      <c r="G20" s="50">
        <f t="shared" si="1"/>
        <v>1200</v>
      </c>
      <c r="H20" s="22">
        <f t="shared" si="2"/>
        <v>1</v>
      </c>
      <c r="I20" s="323" t="s">
        <v>1763</v>
      </c>
      <c r="J20" s="309"/>
      <c r="K20" s="309"/>
      <c r="L20" s="309"/>
      <c r="M20" s="309"/>
      <c r="N20" s="309"/>
      <c r="O20" s="309"/>
      <c r="P20" s="309"/>
      <c r="Q20" s="309"/>
      <c r="R20" s="309"/>
      <c r="S20" s="309"/>
      <c r="T20" s="309"/>
      <c r="U20" s="309"/>
      <c r="V20" s="309"/>
      <c r="W20" s="309"/>
      <c r="X20" s="309"/>
      <c r="Y20" s="309"/>
      <c r="Z20" s="309"/>
      <c r="AA20" s="309"/>
    </row>
    <row r="21" ht="27.0" customHeight="1">
      <c r="A21" s="282">
        <v>17.0</v>
      </c>
      <c r="B21" s="47">
        <v>1014683.0</v>
      </c>
      <c r="C21" s="283" t="str">
        <f>vlookup(B21,'Crew data for number'!B:C,2,0)</f>
        <v>TAA7080</v>
      </c>
      <c r="D21" s="284" t="str">
        <f>vlookup(B21,'Crew Data'!C:G,5,0)</f>
        <v>Trin Supredanuwat</v>
      </c>
      <c r="E21" s="321" t="s">
        <v>2039</v>
      </c>
      <c r="F21" s="322">
        <v>5.0</v>
      </c>
      <c r="G21" s="50">
        <f t="shared" si="1"/>
        <v>2000</v>
      </c>
      <c r="H21" s="22">
        <f t="shared" si="2"/>
        <v>1</v>
      </c>
      <c r="I21" s="323" t="s">
        <v>1763</v>
      </c>
      <c r="J21" s="309"/>
      <c r="K21" s="309"/>
      <c r="L21" s="309"/>
      <c r="M21" s="309"/>
      <c r="N21" s="309"/>
      <c r="O21" s="309"/>
      <c r="P21" s="309"/>
      <c r="Q21" s="309"/>
      <c r="R21" s="309"/>
      <c r="S21" s="309"/>
      <c r="T21" s="309"/>
      <c r="U21" s="309"/>
      <c r="V21" s="309"/>
      <c r="W21" s="309"/>
      <c r="X21" s="309"/>
      <c r="Y21" s="309"/>
      <c r="Z21" s="309"/>
      <c r="AA21" s="309"/>
    </row>
    <row r="22" ht="27.0" customHeight="1">
      <c r="A22" s="282">
        <v>18.0</v>
      </c>
      <c r="B22" s="47">
        <v>1019310.0</v>
      </c>
      <c r="C22" s="283" t="str">
        <f>vlookup(B22,'Crew data for number'!B:C,2,0)</f>
        <v>TAA7920</v>
      </c>
      <c r="D22" s="284" t="str">
        <f>vlookup(B22,'Crew Data'!C:G,5,0)</f>
        <v>Vincent Pakpoom Prache</v>
      </c>
      <c r="E22" s="321" t="s">
        <v>2040</v>
      </c>
      <c r="F22" s="322">
        <v>3.0</v>
      </c>
      <c r="G22" s="50">
        <f t="shared" si="1"/>
        <v>1200</v>
      </c>
      <c r="H22" s="22">
        <f t="shared" si="2"/>
        <v>1</v>
      </c>
      <c r="I22" s="323" t="s">
        <v>1763</v>
      </c>
      <c r="J22" s="309"/>
      <c r="K22" s="309"/>
      <c r="L22" s="309"/>
      <c r="M22" s="309"/>
      <c r="N22" s="309"/>
      <c r="O22" s="309"/>
      <c r="P22" s="309"/>
      <c r="Q22" s="309"/>
      <c r="R22" s="309"/>
      <c r="S22" s="309"/>
      <c r="T22" s="309"/>
      <c r="U22" s="309"/>
      <c r="V22" s="309"/>
      <c r="W22" s="309"/>
      <c r="X22" s="309"/>
      <c r="Y22" s="309"/>
      <c r="Z22" s="309"/>
      <c r="AA22" s="309"/>
    </row>
    <row r="23" ht="27.0" customHeight="1">
      <c r="A23" s="282">
        <v>19.0</v>
      </c>
      <c r="B23" s="47">
        <v>1011759.0</v>
      </c>
      <c r="C23" s="283" t="str">
        <f>vlookup(B23,'Crew data for number'!B:C,2,0)</f>
        <v>TAA5815</v>
      </c>
      <c r="D23" s="284" t="str">
        <f>vlookup(B23,'Crew Data'!C:G,5,0)</f>
        <v>Thanawat Suphitukkul</v>
      </c>
      <c r="E23" s="321" t="s">
        <v>2041</v>
      </c>
      <c r="F23" s="322">
        <v>6.0</v>
      </c>
      <c r="G23" s="50">
        <f t="shared" si="1"/>
        <v>2400</v>
      </c>
      <c r="H23" s="22">
        <f t="shared" si="2"/>
        <v>1</v>
      </c>
      <c r="I23" s="323" t="s">
        <v>1763</v>
      </c>
      <c r="J23" s="309"/>
      <c r="K23" s="309"/>
      <c r="L23" s="309"/>
      <c r="M23" s="309"/>
      <c r="N23" s="309"/>
      <c r="O23" s="309"/>
      <c r="P23" s="309"/>
      <c r="Q23" s="309"/>
      <c r="R23" s="309"/>
      <c r="S23" s="309"/>
      <c r="T23" s="309"/>
      <c r="U23" s="309"/>
      <c r="V23" s="309"/>
      <c r="W23" s="309"/>
      <c r="X23" s="309"/>
      <c r="Y23" s="309"/>
      <c r="Z23" s="309"/>
      <c r="AA23" s="309"/>
    </row>
    <row r="24" ht="27.0" customHeight="1">
      <c r="A24" s="282">
        <v>20.0</v>
      </c>
      <c r="B24" s="47">
        <v>1014353.0</v>
      </c>
      <c r="C24" s="283" t="str">
        <f>vlookup(B24,'Crew data for number'!B:C,2,0)</f>
        <v>TAA6862</v>
      </c>
      <c r="D24" s="284" t="str">
        <f>vlookup(B24,'Crew Data'!C:G,5,0)</f>
        <v>Pornnapat Kittimontreechai</v>
      </c>
      <c r="E24" s="321" t="s">
        <v>2042</v>
      </c>
      <c r="F24" s="322">
        <v>7.0</v>
      </c>
      <c r="G24" s="50">
        <f t="shared" si="1"/>
        <v>2800</v>
      </c>
      <c r="H24" s="22">
        <f t="shared" si="2"/>
        <v>1</v>
      </c>
      <c r="I24" s="323" t="s">
        <v>1763</v>
      </c>
      <c r="J24" s="309"/>
      <c r="K24" s="309"/>
      <c r="L24" s="309"/>
      <c r="M24" s="309"/>
      <c r="N24" s="309"/>
      <c r="O24" s="309"/>
      <c r="P24" s="309"/>
      <c r="Q24" s="309"/>
      <c r="R24" s="309"/>
      <c r="S24" s="309"/>
      <c r="T24" s="309"/>
      <c r="U24" s="309"/>
      <c r="V24" s="309"/>
      <c r="W24" s="309"/>
      <c r="X24" s="309"/>
      <c r="Y24" s="309"/>
      <c r="Z24" s="309"/>
      <c r="AA24" s="309"/>
    </row>
    <row r="25" ht="27.0" customHeight="1">
      <c r="A25" s="282">
        <v>21.0</v>
      </c>
      <c r="B25" s="47">
        <v>1002273.0</v>
      </c>
      <c r="C25" s="283" t="str">
        <f>vlookup(B25,'Crew data for number'!B:C,2,0)</f>
        <v>TAA1934</v>
      </c>
      <c r="D25" s="284" t="str">
        <f>vlookup(B25,'Crew Data'!C:G,5,0)</f>
        <v>Sirion Kwanchai</v>
      </c>
      <c r="E25" s="321" t="s">
        <v>2043</v>
      </c>
      <c r="F25" s="322">
        <v>2.0</v>
      </c>
      <c r="G25" s="50">
        <f t="shared" si="1"/>
        <v>800</v>
      </c>
      <c r="H25" s="22">
        <f t="shared" si="2"/>
        <v>1</v>
      </c>
      <c r="I25" s="323" t="s">
        <v>1763</v>
      </c>
      <c r="J25" s="323" t="s">
        <v>2044</v>
      </c>
      <c r="K25" s="309"/>
      <c r="L25" s="309"/>
      <c r="M25" s="309"/>
      <c r="N25" s="309"/>
      <c r="O25" s="309"/>
      <c r="P25" s="309"/>
      <c r="Q25" s="309"/>
      <c r="R25" s="309"/>
      <c r="S25" s="309"/>
      <c r="T25" s="309"/>
      <c r="U25" s="309"/>
      <c r="V25" s="309"/>
      <c r="W25" s="309"/>
      <c r="X25" s="309"/>
      <c r="Y25" s="309"/>
      <c r="Z25" s="309"/>
      <c r="AA25" s="309"/>
    </row>
    <row r="26" ht="27.0" customHeight="1">
      <c r="A26" s="282">
        <v>22.0</v>
      </c>
      <c r="B26" s="47">
        <v>1014667.0</v>
      </c>
      <c r="C26" s="283" t="str">
        <f>vlookup(B26,'Crew data for number'!B:C,2,0)</f>
        <v>TAA7075</v>
      </c>
      <c r="D26" s="284" t="str">
        <f>vlookup(B26,'Crew Data'!C:G,5,0)</f>
        <v>#N/A</v>
      </c>
      <c r="E26" s="321" t="s">
        <v>2045</v>
      </c>
      <c r="F26" s="322">
        <v>4.0</v>
      </c>
      <c r="G26" s="50">
        <f t="shared" si="1"/>
        <v>1600</v>
      </c>
      <c r="H26" s="22">
        <f t="shared" si="2"/>
        <v>1</v>
      </c>
      <c r="I26" s="323" t="s">
        <v>1763</v>
      </c>
      <c r="J26" s="309"/>
      <c r="K26" s="309"/>
      <c r="L26" s="309"/>
      <c r="M26" s="309"/>
      <c r="N26" s="309"/>
      <c r="O26" s="309"/>
      <c r="P26" s="309"/>
      <c r="Q26" s="309"/>
      <c r="R26" s="309"/>
      <c r="S26" s="309"/>
      <c r="T26" s="309"/>
      <c r="U26" s="309"/>
      <c r="V26" s="309"/>
      <c r="W26" s="309"/>
      <c r="X26" s="309"/>
      <c r="Y26" s="309"/>
      <c r="Z26" s="309"/>
      <c r="AA26" s="309"/>
    </row>
    <row r="27" ht="27.0" customHeight="1">
      <c r="A27" s="282">
        <v>23.0</v>
      </c>
      <c r="B27" s="47">
        <v>1008991.0</v>
      </c>
      <c r="C27" s="283" t="str">
        <f>vlookup(B27,'Crew data for number'!B:C,2,0)</f>
        <v>TAA4736</v>
      </c>
      <c r="D27" s="284" t="str">
        <f>vlookup(B27,'Crew Data'!C:G,5,0)</f>
        <v>Premkamon Changsuwan</v>
      </c>
      <c r="E27" s="321" t="s">
        <v>2046</v>
      </c>
      <c r="F27" s="322">
        <v>3.0</v>
      </c>
      <c r="G27" s="50">
        <f t="shared" si="1"/>
        <v>1200</v>
      </c>
      <c r="H27" s="22">
        <f t="shared" si="2"/>
        <v>1</v>
      </c>
      <c r="I27" s="323" t="s">
        <v>1763</v>
      </c>
      <c r="J27" s="309"/>
      <c r="K27" s="309"/>
      <c r="L27" s="309"/>
      <c r="M27" s="309"/>
      <c r="N27" s="309"/>
      <c r="O27" s="309"/>
      <c r="P27" s="309"/>
      <c r="Q27" s="309"/>
      <c r="R27" s="309"/>
      <c r="S27" s="309"/>
      <c r="T27" s="309"/>
      <c r="U27" s="309"/>
      <c r="V27" s="309"/>
      <c r="W27" s="309"/>
      <c r="X27" s="309"/>
      <c r="Y27" s="309"/>
      <c r="Z27" s="309"/>
      <c r="AA27" s="309"/>
    </row>
    <row r="28" ht="27.0" customHeight="1">
      <c r="A28" s="282">
        <v>24.0</v>
      </c>
      <c r="B28" s="47">
        <v>1012174.0</v>
      </c>
      <c r="C28" s="283" t="str">
        <f>vlookup(B28,'Crew data for number'!B:C,2,0)</f>
        <v>TAA5985</v>
      </c>
      <c r="D28" s="284" t="str">
        <f>vlookup(B28,'Crew Data'!C:G,5,0)</f>
        <v>Parnnachai Srirat</v>
      </c>
      <c r="E28" s="321" t="s">
        <v>2047</v>
      </c>
      <c r="F28" s="322">
        <v>2.0</v>
      </c>
      <c r="G28" s="50">
        <f t="shared" si="1"/>
        <v>800</v>
      </c>
      <c r="H28" s="22">
        <f t="shared" si="2"/>
        <v>1</v>
      </c>
      <c r="I28" s="323" t="s">
        <v>1763</v>
      </c>
      <c r="J28" s="309"/>
      <c r="K28" s="309"/>
      <c r="L28" s="309"/>
      <c r="M28" s="309"/>
      <c r="N28" s="309"/>
      <c r="O28" s="309"/>
      <c r="P28" s="309"/>
      <c r="Q28" s="309"/>
      <c r="R28" s="309"/>
      <c r="S28" s="309"/>
      <c r="T28" s="309"/>
      <c r="U28" s="309"/>
      <c r="V28" s="309"/>
      <c r="W28" s="309"/>
      <c r="X28" s="309"/>
      <c r="Y28" s="309"/>
      <c r="Z28" s="309"/>
      <c r="AA28" s="309"/>
    </row>
    <row r="29" ht="27.0" customHeight="1">
      <c r="A29" s="282">
        <v>25.0</v>
      </c>
      <c r="B29" s="47">
        <v>1014308.0</v>
      </c>
      <c r="C29" s="283" t="str">
        <f>vlookup(B29,'Crew data for number'!B:C,2,0)</f>
        <v>TAA6871</v>
      </c>
      <c r="D29" s="284" t="str">
        <f>vlookup(B29,'Crew Data'!C:G,5,0)</f>
        <v>Asama Thunyavacharakul</v>
      </c>
      <c r="E29" s="321" t="s">
        <v>2048</v>
      </c>
      <c r="F29" s="322">
        <v>5.0</v>
      </c>
      <c r="G29" s="50">
        <f t="shared" si="1"/>
        <v>2000</v>
      </c>
      <c r="H29" s="22">
        <f t="shared" si="2"/>
        <v>1</v>
      </c>
      <c r="I29" s="323" t="s">
        <v>1763</v>
      </c>
      <c r="J29" s="309"/>
      <c r="K29" s="309"/>
      <c r="L29" s="309"/>
      <c r="M29" s="309"/>
      <c r="N29" s="309"/>
      <c r="O29" s="309"/>
      <c r="P29" s="309"/>
      <c r="Q29" s="309"/>
      <c r="R29" s="309"/>
      <c r="S29" s="309"/>
      <c r="T29" s="309"/>
      <c r="U29" s="309"/>
      <c r="V29" s="309"/>
      <c r="W29" s="309"/>
      <c r="X29" s="309"/>
      <c r="Y29" s="309"/>
      <c r="Z29" s="309"/>
      <c r="AA29" s="309"/>
    </row>
    <row r="30" ht="27.0" customHeight="1">
      <c r="A30" s="282">
        <v>26.0</v>
      </c>
      <c r="B30" s="47">
        <v>1009011.0</v>
      </c>
      <c r="C30" s="283" t="str">
        <f>vlookup(B30,'Crew data for number'!B:C,2,0)</f>
        <v>TAA4730</v>
      </c>
      <c r="D30" s="284" t="str">
        <f>vlookup(B30,'Crew Data'!C:G,5,0)</f>
        <v>Weerayos Rungudomsinsakul</v>
      </c>
      <c r="E30" s="321" t="s">
        <v>2049</v>
      </c>
      <c r="F30" s="322">
        <v>7.0</v>
      </c>
      <c r="G30" s="50">
        <f t="shared" si="1"/>
        <v>2800</v>
      </c>
      <c r="H30" s="22">
        <f t="shared" si="2"/>
        <v>1</v>
      </c>
      <c r="I30" s="323" t="s">
        <v>1763</v>
      </c>
      <c r="J30" s="309"/>
      <c r="K30" s="309"/>
      <c r="L30" s="309"/>
      <c r="M30" s="309"/>
      <c r="N30" s="309"/>
      <c r="O30" s="309"/>
      <c r="P30" s="309"/>
      <c r="Q30" s="309"/>
      <c r="R30" s="309"/>
      <c r="S30" s="309"/>
      <c r="T30" s="309"/>
      <c r="U30" s="309"/>
      <c r="V30" s="309"/>
      <c r="W30" s="309"/>
      <c r="X30" s="309"/>
      <c r="Y30" s="309"/>
      <c r="Z30" s="309"/>
      <c r="AA30" s="309"/>
    </row>
    <row r="31" ht="27.0" customHeight="1">
      <c r="A31" s="282">
        <v>27.0</v>
      </c>
      <c r="B31" s="47">
        <v>1012989.0</v>
      </c>
      <c r="C31" s="283" t="str">
        <f>vlookup(B31,'Crew data for number'!B:C,2,0)</f>
        <v>TAA6502</v>
      </c>
      <c r="D31" s="284" t="str">
        <f>vlookup(B31,'Crew Data'!C:G,5,0)</f>
        <v>Kitibodee Harnkunthamart</v>
      </c>
      <c r="E31" s="321" t="s">
        <v>2050</v>
      </c>
      <c r="F31" s="322">
        <v>5.0</v>
      </c>
      <c r="G31" s="50">
        <f t="shared" si="1"/>
        <v>2000</v>
      </c>
      <c r="H31" s="22">
        <f t="shared" si="2"/>
        <v>1</v>
      </c>
      <c r="I31" s="323" t="s">
        <v>1763</v>
      </c>
      <c r="J31" s="309"/>
      <c r="K31" s="309"/>
      <c r="L31" s="309"/>
      <c r="M31" s="309"/>
      <c r="N31" s="309"/>
      <c r="O31" s="309"/>
      <c r="P31" s="309"/>
      <c r="Q31" s="309"/>
      <c r="R31" s="309"/>
      <c r="S31" s="309"/>
      <c r="T31" s="309"/>
      <c r="U31" s="309"/>
      <c r="V31" s="309"/>
      <c r="W31" s="309"/>
      <c r="X31" s="309"/>
      <c r="Y31" s="309"/>
      <c r="Z31" s="309"/>
      <c r="AA31" s="309"/>
    </row>
    <row r="32" ht="27.0" customHeight="1">
      <c r="A32" s="282">
        <v>28.0</v>
      </c>
      <c r="B32" s="47">
        <v>1011511.0</v>
      </c>
      <c r="C32" s="283" t="str">
        <f>vlookup(B32,'Crew data for number'!B:C,2,0)</f>
        <v>TAA5742</v>
      </c>
      <c r="D32" s="326" t="s">
        <v>2051</v>
      </c>
      <c r="E32" s="321" t="s">
        <v>1956</v>
      </c>
      <c r="F32" s="322">
        <v>3.0</v>
      </c>
      <c r="G32" s="50">
        <f t="shared" si="1"/>
        <v>1200</v>
      </c>
      <c r="H32" s="22">
        <f t="shared" si="2"/>
        <v>1</v>
      </c>
      <c r="I32" s="323" t="s">
        <v>1763</v>
      </c>
      <c r="J32" s="309"/>
      <c r="K32" s="309"/>
      <c r="L32" s="309"/>
      <c r="M32" s="309"/>
      <c r="N32" s="309"/>
      <c r="O32" s="309"/>
      <c r="P32" s="309"/>
      <c r="Q32" s="309"/>
      <c r="R32" s="309"/>
      <c r="S32" s="309"/>
      <c r="T32" s="309"/>
      <c r="U32" s="309"/>
      <c r="V32" s="309"/>
      <c r="W32" s="309"/>
      <c r="X32" s="309"/>
      <c r="Y32" s="309"/>
      <c r="Z32" s="309"/>
      <c r="AA32" s="309"/>
    </row>
    <row r="33" ht="27.0" customHeight="1">
      <c r="A33" s="282">
        <v>29.0</v>
      </c>
      <c r="B33" s="47">
        <v>1011306.0</v>
      </c>
      <c r="C33" s="283" t="str">
        <f>vlookup(B33,'Crew data for number'!B:C,2,0)</f>
        <v>TAA5585</v>
      </c>
      <c r="D33" s="284" t="str">
        <f>vlookup(B33,'Crew Data'!C:G,5,0)</f>
        <v>Kanthanuch Boonlor</v>
      </c>
      <c r="E33" s="321" t="s">
        <v>2043</v>
      </c>
      <c r="F33" s="322">
        <v>2.0</v>
      </c>
      <c r="G33" s="50">
        <f t="shared" si="1"/>
        <v>800</v>
      </c>
      <c r="H33" s="22">
        <f t="shared" si="2"/>
        <v>1</v>
      </c>
      <c r="I33" s="323" t="s">
        <v>1763</v>
      </c>
      <c r="J33" s="309"/>
      <c r="K33" s="309"/>
      <c r="L33" s="309"/>
      <c r="M33" s="309"/>
      <c r="N33" s="309"/>
      <c r="O33" s="309"/>
      <c r="P33" s="309"/>
      <c r="Q33" s="309"/>
      <c r="R33" s="309"/>
      <c r="S33" s="309"/>
      <c r="T33" s="309"/>
      <c r="U33" s="309"/>
      <c r="V33" s="309"/>
      <c r="W33" s="309"/>
      <c r="X33" s="309"/>
      <c r="Y33" s="309"/>
      <c r="Z33" s="309"/>
      <c r="AA33" s="309"/>
    </row>
    <row r="34" ht="27.0" customHeight="1">
      <c r="A34" s="282">
        <v>30.0</v>
      </c>
      <c r="B34" s="47">
        <v>1004206.0</v>
      </c>
      <c r="C34" s="283" t="str">
        <f>vlookup(B34,'Crew data for number'!B:C,2,0)</f>
        <v>TAA2692</v>
      </c>
      <c r="D34" s="284" t="str">
        <f>vlookup(B34,'Crew Data'!C:G,5,0)</f>
        <v>Pitikan Siwapathomchai</v>
      </c>
      <c r="E34" s="321" t="s">
        <v>2052</v>
      </c>
      <c r="F34" s="322">
        <v>2.0</v>
      </c>
      <c r="G34" s="50">
        <f t="shared" si="1"/>
        <v>800</v>
      </c>
      <c r="H34" s="22">
        <f t="shared" si="2"/>
        <v>1</v>
      </c>
      <c r="I34" s="323" t="s">
        <v>1763</v>
      </c>
      <c r="J34" s="309"/>
      <c r="K34" s="309"/>
      <c r="L34" s="309"/>
      <c r="M34" s="309"/>
      <c r="N34" s="309"/>
      <c r="O34" s="309"/>
      <c r="P34" s="309"/>
      <c r="Q34" s="309"/>
      <c r="R34" s="309"/>
      <c r="S34" s="309"/>
      <c r="T34" s="309"/>
      <c r="U34" s="309"/>
      <c r="V34" s="309"/>
      <c r="W34" s="309"/>
      <c r="X34" s="309"/>
      <c r="Y34" s="309"/>
      <c r="Z34" s="309"/>
      <c r="AA34" s="309"/>
    </row>
    <row r="35" ht="27.0" customHeight="1">
      <c r="A35" s="282">
        <v>31.0</v>
      </c>
      <c r="B35" s="47">
        <v>1017932.0</v>
      </c>
      <c r="C35" s="283" t="str">
        <f>vlookup(B35,'Crew data for number'!B:C,2,0)</f>
        <v>TAA7545</v>
      </c>
      <c r="D35" s="284" t="str">
        <f>vlookup(B35,'Crew Data'!C:G,5,0)</f>
        <v>#N/A</v>
      </c>
      <c r="E35" s="321" t="s">
        <v>2053</v>
      </c>
      <c r="F35" s="322">
        <v>2.0</v>
      </c>
      <c r="G35" s="50">
        <f t="shared" si="1"/>
        <v>800</v>
      </c>
      <c r="H35" s="22">
        <f t="shared" si="2"/>
        <v>1</v>
      </c>
      <c r="I35" s="323" t="s">
        <v>1763</v>
      </c>
      <c r="J35" s="309"/>
      <c r="K35" s="309"/>
      <c r="L35" s="309"/>
      <c r="M35" s="309"/>
      <c r="N35" s="309"/>
      <c r="O35" s="309"/>
      <c r="P35" s="309"/>
      <c r="Q35" s="309"/>
      <c r="R35" s="309"/>
      <c r="S35" s="309"/>
      <c r="T35" s="309"/>
      <c r="U35" s="309"/>
      <c r="V35" s="309"/>
      <c r="W35" s="309"/>
      <c r="X35" s="309"/>
      <c r="Y35" s="309"/>
      <c r="Z35" s="309"/>
      <c r="AA35" s="309"/>
    </row>
    <row r="36" ht="27.0" customHeight="1">
      <c r="A36" s="282">
        <v>32.0</v>
      </c>
      <c r="B36" s="47">
        <v>1015405.0</v>
      </c>
      <c r="C36" s="283" t="str">
        <f>vlookup(B36,'Crew data for number'!B:C,2,0)</f>
        <v>TAA7070</v>
      </c>
      <c r="D36" s="284" t="str">
        <f>vlookup(B36,'Crew Data'!C:G,5,0)</f>
        <v>Nuttapon Pungjun</v>
      </c>
      <c r="E36" s="321" t="s">
        <v>2038</v>
      </c>
      <c r="F36" s="322">
        <v>3.0</v>
      </c>
      <c r="G36" s="50">
        <f t="shared" si="1"/>
        <v>1200</v>
      </c>
      <c r="H36" s="22">
        <f t="shared" si="2"/>
        <v>1</v>
      </c>
      <c r="I36" s="323" t="s">
        <v>1763</v>
      </c>
      <c r="J36" s="309"/>
      <c r="K36" s="309"/>
      <c r="L36" s="309"/>
      <c r="M36" s="309"/>
      <c r="N36" s="309"/>
      <c r="O36" s="309"/>
      <c r="P36" s="309"/>
      <c r="Q36" s="309"/>
      <c r="R36" s="309"/>
      <c r="S36" s="309"/>
      <c r="T36" s="309"/>
      <c r="U36" s="309"/>
      <c r="V36" s="309"/>
      <c r="W36" s="309"/>
      <c r="X36" s="309"/>
      <c r="Y36" s="309"/>
      <c r="Z36" s="309"/>
      <c r="AA36" s="309"/>
    </row>
    <row r="37" ht="27.0" customHeight="1">
      <c r="A37" s="282">
        <v>33.0</v>
      </c>
      <c r="B37" s="47">
        <v>1001392.0</v>
      </c>
      <c r="C37" s="283" t="str">
        <f>vlookup(B37,'Crew data for number'!B:C,2,0)</f>
        <v>TAA1355</v>
      </c>
      <c r="D37" s="284" t="str">
        <f>vlookup(B37,'Crew Data'!C:G,5,0)</f>
        <v>Hataitip Chaichana</v>
      </c>
      <c r="E37" s="321" t="s">
        <v>2054</v>
      </c>
      <c r="F37" s="322">
        <v>3.0</v>
      </c>
      <c r="G37" s="50">
        <f t="shared" si="1"/>
        <v>1200</v>
      </c>
      <c r="H37" s="22">
        <f t="shared" si="2"/>
        <v>1</v>
      </c>
      <c r="I37" s="323" t="s">
        <v>1763</v>
      </c>
      <c r="J37" s="309"/>
      <c r="K37" s="309"/>
      <c r="L37" s="309"/>
      <c r="M37" s="309"/>
      <c r="N37" s="309"/>
      <c r="O37" s="309"/>
      <c r="P37" s="309"/>
      <c r="Q37" s="309"/>
      <c r="R37" s="309"/>
      <c r="S37" s="309"/>
      <c r="T37" s="309"/>
      <c r="U37" s="309"/>
      <c r="V37" s="309"/>
      <c r="W37" s="309"/>
      <c r="X37" s="309"/>
      <c r="Y37" s="309"/>
      <c r="Z37" s="309"/>
      <c r="AA37" s="309"/>
    </row>
    <row r="38" ht="27.0" customHeight="1">
      <c r="A38" s="282">
        <v>34.0</v>
      </c>
      <c r="B38" s="47">
        <v>1011515.0</v>
      </c>
      <c r="C38" s="283" t="str">
        <f>vlookup(B38,'Crew data for number'!B:C,2,0)</f>
        <v>TAA5738</v>
      </c>
      <c r="D38" s="284" t="str">
        <f>vlookup(B38,'Crew Data'!C:G,5,0)</f>
        <v>Sopark Phosiri</v>
      </c>
      <c r="E38" s="321" t="s">
        <v>2055</v>
      </c>
      <c r="F38" s="322">
        <v>4.0</v>
      </c>
      <c r="G38" s="50">
        <f t="shared" si="1"/>
        <v>1600</v>
      </c>
      <c r="H38" s="22">
        <f t="shared" si="2"/>
        <v>1</v>
      </c>
      <c r="I38" s="323" t="s">
        <v>1763</v>
      </c>
      <c r="J38" s="309"/>
      <c r="K38" s="309"/>
      <c r="L38" s="309"/>
      <c r="M38" s="309"/>
      <c r="N38" s="309"/>
      <c r="O38" s="309"/>
      <c r="P38" s="309"/>
      <c r="Q38" s="309"/>
      <c r="R38" s="309"/>
      <c r="S38" s="309"/>
      <c r="T38" s="309"/>
      <c r="U38" s="309"/>
      <c r="V38" s="309"/>
      <c r="W38" s="309"/>
      <c r="X38" s="309"/>
      <c r="Y38" s="309"/>
      <c r="Z38" s="309"/>
      <c r="AA38" s="309"/>
    </row>
    <row r="39" ht="27.0" customHeight="1">
      <c r="A39" s="282">
        <v>35.0</v>
      </c>
      <c r="B39" s="47">
        <v>1010892.0</v>
      </c>
      <c r="C39" s="283" t="str">
        <f>vlookup(B39,'Crew data for number'!B:C,2,0)</f>
        <v>TAA5504</v>
      </c>
      <c r="D39" s="284" t="str">
        <f>vlookup(B39,'Crew Data'!C:G,5,0)</f>
        <v>#N/A</v>
      </c>
      <c r="E39" s="321" t="s">
        <v>2056</v>
      </c>
      <c r="F39" s="322">
        <v>2.0</v>
      </c>
      <c r="G39" s="50">
        <f t="shared" si="1"/>
        <v>800</v>
      </c>
      <c r="H39" s="22">
        <f t="shared" si="2"/>
        <v>1</v>
      </c>
      <c r="I39" s="323" t="s">
        <v>1763</v>
      </c>
      <c r="J39" s="309"/>
      <c r="K39" s="309"/>
      <c r="L39" s="309"/>
      <c r="M39" s="309"/>
      <c r="N39" s="309"/>
      <c r="O39" s="309"/>
      <c r="P39" s="309"/>
      <c r="Q39" s="309"/>
      <c r="R39" s="309"/>
      <c r="S39" s="309"/>
      <c r="T39" s="309"/>
      <c r="U39" s="309"/>
      <c r="V39" s="309"/>
      <c r="W39" s="309"/>
      <c r="X39" s="309"/>
      <c r="Y39" s="309"/>
      <c r="Z39" s="309"/>
      <c r="AA39" s="309"/>
    </row>
    <row r="40" ht="27.0" customHeight="1">
      <c r="A40" s="282">
        <v>36.0</v>
      </c>
      <c r="B40" s="47">
        <v>1014358.0</v>
      </c>
      <c r="C40" s="283" t="str">
        <f>vlookup(B40,'Crew data for number'!B:C,2,0)</f>
        <v>TAA6865</v>
      </c>
      <c r="D40" s="284" t="str">
        <f>vlookup(B40,'Crew Data'!C:G,5,0)</f>
        <v>#N/A</v>
      </c>
      <c r="E40" s="321" t="s">
        <v>2057</v>
      </c>
      <c r="F40" s="322">
        <v>5.0</v>
      </c>
      <c r="G40" s="50">
        <f t="shared" si="1"/>
        <v>2000</v>
      </c>
      <c r="H40" s="22">
        <f t="shared" si="2"/>
        <v>1</v>
      </c>
      <c r="I40" s="323" t="s">
        <v>1763</v>
      </c>
      <c r="J40" s="309"/>
      <c r="K40" s="309"/>
      <c r="L40" s="309"/>
      <c r="M40" s="309"/>
      <c r="N40" s="309"/>
      <c r="O40" s="309"/>
      <c r="P40" s="309"/>
      <c r="Q40" s="309"/>
      <c r="R40" s="309"/>
      <c r="S40" s="309"/>
      <c r="T40" s="309"/>
      <c r="U40" s="309"/>
      <c r="V40" s="309"/>
      <c r="W40" s="309"/>
      <c r="X40" s="309"/>
      <c r="Y40" s="309"/>
      <c r="Z40" s="309"/>
      <c r="AA40" s="309"/>
    </row>
    <row r="41" ht="27.0" customHeight="1">
      <c r="A41" s="282">
        <v>37.0</v>
      </c>
      <c r="B41" s="47">
        <v>1011309.0</v>
      </c>
      <c r="C41" s="283" t="str">
        <f>vlookup(B41,'Crew data for number'!B:C,2,0)</f>
        <v>TAA5579</v>
      </c>
      <c r="D41" s="284" t="str">
        <f>vlookup(B41,'Crew Data'!C:G,5,0)</f>
        <v>#N/A</v>
      </c>
      <c r="E41" s="321" t="s">
        <v>2058</v>
      </c>
      <c r="F41" s="322">
        <v>5.0</v>
      </c>
      <c r="G41" s="50">
        <f t="shared" si="1"/>
        <v>2000</v>
      </c>
      <c r="H41" s="22">
        <f t="shared" si="2"/>
        <v>1</v>
      </c>
      <c r="I41" s="323" t="s">
        <v>1763</v>
      </c>
      <c r="J41" s="309"/>
      <c r="K41" s="309"/>
      <c r="L41" s="309"/>
      <c r="M41" s="309"/>
      <c r="N41" s="309"/>
      <c r="O41" s="309"/>
      <c r="P41" s="309"/>
      <c r="Q41" s="309"/>
      <c r="R41" s="309"/>
      <c r="S41" s="309"/>
      <c r="T41" s="309"/>
      <c r="U41" s="309"/>
      <c r="V41" s="309"/>
      <c r="W41" s="309"/>
      <c r="X41" s="309"/>
      <c r="Y41" s="309"/>
      <c r="Z41" s="309"/>
      <c r="AA41" s="309"/>
    </row>
    <row r="42" ht="27.0" customHeight="1">
      <c r="A42" s="282">
        <v>38.0</v>
      </c>
      <c r="B42" s="47">
        <v>1010909.0</v>
      </c>
      <c r="C42" s="283" t="str">
        <f>vlookup(B42,'Crew data for number'!B:C,2,0)</f>
        <v>TAA5518</v>
      </c>
      <c r="D42" s="284" t="str">
        <f>vlookup(B42,'Crew Data'!C:G,5,0)</f>
        <v>#N/A</v>
      </c>
      <c r="E42" s="321" t="s">
        <v>2059</v>
      </c>
      <c r="F42" s="322">
        <v>4.0</v>
      </c>
      <c r="G42" s="50">
        <f t="shared" si="1"/>
        <v>1600</v>
      </c>
      <c r="H42" s="22">
        <f t="shared" si="2"/>
        <v>1</v>
      </c>
      <c r="I42" s="323" t="s">
        <v>1763</v>
      </c>
      <c r="J42" s="309"/>
      <c r="K42" s="309"/>
      <c r="L42" s="309"/>
      <c r="M42" s="309"/>
      <c r="N42" s="309"/>
      <c r="O42" s="309"/>
      <c r="P42" s="309"/>
      <c r="Q42" s="309"/>
      <c r="R42" s="309"/>
      <c r="S42" s="309"/>
      <c r="T42" s="309"/>
      <c r="U42" s="309"/>
      <c r="V42" s="309"/>
      <c r="W42" s="309"/>
      <c r="X42" s="309"/>
      <c r="Y42" s="309"/>
      <c r="Z42" s="309"/>
      <c r="AA42" s="309"/>
    </row>
    <row r="43" ht="27.0" customHeight="1">
      <c r="A43" s="282">
        <v>39.0</v>
      </c>
      <c r="B43" s="47">
        <v>1013190.0</v>
      </c>
      <c r="C43" s="283" t="str">
        <f>vlookup(B43,'Crew data for number'!B:C,2,0)</f>
        <v>TAA6381</v>
      </c>
      <c r="D43" s="284" t="str">
        <f>vlookup(B43,'Crew Data'!C:G,5,0)</f>
        <v>Thamonwan Chokumpornpan</v>
      </c>
      <c r="E43" s="321" t="s">
        <v>2060</v>
      </c>
      <c r="F43" s="322">
        <v>12.0</v>
      </c>
      <c r="G43" s="50">
        <f t="shared" si="1"/>
        <v>4800</v>
      </c>
      <c r="H43" s="22">
        <f t="shared" si="2"/>
        <v>1</v>
      </c>
      <c r="I43" s="323" t="s">
        <v>1763</v>
      </c>
      <c r="J43" s="309"/>
      <c r="K43" s="309"/>
      <c r="L43" s="309"/>
      <c r="M43" s="309"/>
      <c r="N43" s="309"/>
      <c r="O43" s="309"/>
      <c r="P43" s="309"/>
      <c r="Q43" s="309"/>
      <c r="R43" s="309"/>
      <c r="S43" s="309"/>
      <c r="T43" s="309"/>
      <c r="U43" s="309"/>
      <c r="V43" s="309"/>
      <c r="W43" s="309"/>
      <c r="X43" s="309"/>
      <c r="Y43" s="309"/>
      <c r="Z43" s="309"/>
      <c r="AA43" s="309"/>
    </row>
    <row r="44" ht="27.0" customHeight="1">
      <c r="A44" s="282">
        <v>40.0</v>
      </c>
      <c r="B44" s="47">
        <v>1019193.0</v>
      </c>
      <c r="C44" s="283" t="str">
        <f>vlookup(B44,'Crew data for number'!B:C,2,0)</f>
        <v>TAA7883</v>
      </c>
      <c r="D44" s="284" t="str">
        <f>vlookup(B44,'Crew Data'!C:G,5,0)</f>
        <v>Nattaporn Pattarasiriwong</v>
      </c>
      <c r="E44" s="321" t="s">
        <v>2061</v>
      </c>
      <c r="F44" s="322">
        <v>3.0</v>
      </c>
      <c r="G44" s="50">
        <f t="shared" si="1"/>
        <v>1200</v>
      </c>
      <c r="H44" s="22">
        <f t="shared" si="2"/>
        <v>1</v>
      </c>
      <c r="I44" s="323" t="s">
        <v>1763</v>
      </c>
      <c r="J44" s="309"/>
      <c r="K44" s="309"/>
      <c r="L44" s="309"/>
      <c r="M44" s="309"/>
      <c r="N44" s="309"/>
      <c r="O44" s="309"/>
      <c r="P44" s="309"/>
      <c r="Q44" s="309"/>
      <c r="R44" s="309"/>
      <c r="S44" s="309"/>
      <c r="T44" s="309"/>
      <c r="U44" s="309"/>
      <c r="V44" s="309"/>
      <c r="W44" s="309"/>
      <c r="X44" s="309"/>
      <c r="Y44" s="309"/>
      <c r="Z44" s="309"/>
      <c r="AA44" s="309"/>
    </row>
    <row r="45" ht="27.0" customHeight="1">
      <c r="A45" s="282">
        <v>41.0</v>
      </c>
      <c r="B45" s="47">
        <v>1011513.0</v>
      </c>
      <c r="C45" s="283" t="str">
        <f>vlookup(B45,'Crew data for number'!B:C,2,0)</f>
        <v>TAA5735</v>
      </c>
      <c r="D45" s="284" t="str">
        <f>vlookup(B45,'Crew Data'!C:G,5,0)</f>
        <v>Rawitnat Marayat</v>
      </c>
      <c r="E45" s="321" t="s">
        <v>2062</v>
      </c>
      <c r="F45" s="322">
        <v>7.0</v>
      </c>
      <c r="G45" s="50">
        <f t="shared" si="1"/>
        <v>2800</v>
      </c>
      <c r="H45" s="22">
        <f t="shared" si="2"/>
        <v>1</v>
      </c>
      <c r="I45" s="323" t="s">
        <v>1763</v>
      </c>
      <c r="J45" s="309"/>
      <c r="K45" s="309"/>
      <c r="L45" s="309"/>
      <c r="M45" s="309"/>
      <c r="N45" s="309"/>
      <c r="O45" s="309"/>
      <c r="P45" s="309"/>
      <c r="Q45" s="309"/>
      <c r="R45" s="309"/>
      <c r="S45" s="309"/>
      <c r="T45" s="309"/>
      <c r="U45" s="309"/>
      <c r="V45" s="309"/>
      <c r="W45" s="309"/>
      <c r="X45" s="309"/>
      <c r="Y45" s="309"/>
      <c r="Z45" s="309"/>
      <c r="AA45" s="309"/>
    </row>
    <row r="46" ht="27.0" customHeight="1">
      <c r="A46" s="282">
        <v>42.0</v>
      </c>
      <c r="B46" s="47">
        <v>1008987.0</v>
      </c>
      <c r="C46" s="283" t="str">
        <f>vlookup(B46,'Crew data for number'!B:C,2,0)</f>
        <v>TAA4748</v>
      </c>
      <c r="D46" s="284" t="str">
        <f>vlookup(B46,'Crew Data'!C:G,5,0)</f>
        <v>Punnasisth Rangshirinanthakorn</v>
      </c>
      <c r="E46" s="321" t="s">
        <v>2063</v>
      </c>
      <c r="F46" s="322">
        <v>2.0</v>
      </c>
      <c r="G46" s="50">
        <f t="shared" si="1"/>
        <v>800</v>
      </c>
      <c r="H46" s="22">
        <f t="shared" si="2"/>
        <v>1</v>
      </c>
      <c r="I46" s="323" t="s">
        <v>1763</v>
      </c>
      <c r="J46" s="309"/>
      <c r="K46" s="309"/>
      <c r="L46" s="309"/>
      <c r="M46" s="309"/>
      <c r="N46" s="309"/>
      <c r="O46" s="309"/>
      <c r="P46" s="309"/>
      <c r="Q46" s="309"/>
      <c r="R46" s="309"/>
      <c r="S46" s="309"/>
      <c r="T46" s="309"/>
      <c r="U46" s="309"/>
      <c r="V46" s="309"/>
      <c r="W46" s="309"/>
      <c r="X46" s="309"/>
      <c r="Y46" s="309"/>
      <c r="Z46" s="309"/>
      <c r="AA46" s="309"/>
    </row>
    <row r="47" ht="27.0" customHeight="1">
      <c r="A47" s="282">
        <v>43.0</v>
      </c>
      <c r="B47" s="47">
        <v>1013189.0</v>
      </c>
      <c r="C47" s="283" t="str">
        <f>vlookup(B47,'Crew data for number'!B:C,2,0)</f>
        <v>TAA6380</v>
      </c>
      <c r="D47" s="284" t="str">
        <f>vlookup(B47,'Crew Data'!C:G,5,0)</f>
        <v>Supakrit Khongvittaya</v>
      </c>
      <c r="E47" s="321" t="s">
        <v>2061</v>
      </c>
      <c r="F47" s="322">
        <v>3.0</v>
      </c>
      <c r="G47" s="50">
        <f t="shared" si="1"/>
        <v>1200</v>
      </c>
      <c r="H47" s="22">
        <f t="shared" si="2"/>
        <v>1</v>
      </c>
      <c r="I47" s="323" t="s">
        <v>1763</v>
      </c>
      <c r="J47" s="309"/>
      <c r="K47" s="309"/>
      <c r="L47" s="309"/>
      <c r="M47" s="309"/>
      <c r="N47" s="309"/>
      <c r="O47" s="309"/>
      <c r="P47" s="309"/>
      <c r="Q47" s="309"/>
      <c r="R47" s="309"/>
      <c r="S47" s="309"/>
      <c r="T47" s="309"/>
      <c r="U47" s="309"/>
      <c r="V47" s="309"/>
      <c r="W47" s="309"/>
      <c r="X47" s="309"/>
      <c r="Y47" s="309"/>
      <c r="Z47" s="309"/>
      <c r="AA47" s="309"/>
    </row>
    <row r="48" ht="27.0" customHeight="1">
      <c r="A48" s="282">
        <v>44.0</v>
      </c>
      <c r="B48" s="47">
        <v>1014655.0</v>
      </c>
      <c r="C48" s="283" t="str">
        <f>vlookup(B48,'Crew data for number'!B:C,2,0)</f>
        <v>TAA7101</v>
      </c>
      <c r="D48" s="284" t="str">
        <f>vlookup(B48,'Crew Data'!C:G,5,0)</f>
        <v>#N/A</v>
      </c>
      <c r="E48" s="321" t="s">
        <v>2043</v>
      </c>
      <c r="F48" s="322">
        <v>2.0</v>
      </c>
      <c r="G48" s="50">
        <f t="shared" si="1"/>
        <v>800</v>
      </c>
      <c r="H48" s="22">
        <f t="shared" si="2"/>
        <v>1</v>
      </c>
      <c r="I48" s="323" t="s">
        <v>1763</v>
      </c>
      <c r="J48" s="309"/>
      <c r="K48" s="309"/>
      <c r="L48" s="309"/>
      <c r="M48" s="309"/>
      <c r="N48" s="309"/>
      <c r="O48" s="309"/>
      <c r="P48" s="309"/>
      <c r="Q48" s="309"/>
      <c r="R48" s="309"/>
      <c r="S48" s="309"/>
      <c r="T48" s="309"/>
      <c r="U48" s="309"/>
      <c r="V48" s="309"/>
      <c r="W48" s="309"/>
      <c r="X48" s="309"/>
      <c r="Y48" s="309"/>
      <c r="Z48" s="309"/>
      <c r="AA48" s="309"/>
    </row>
    <row r="49" ht="27.0" customHeight="1">
      <c r="A49" s="282">
        <v>45.0</v>
      </c>
      <c r="B49" s="47">
        <v>1011836.0</v>
      </c>
      <c r="C49" s="283" t="str">
        <f>vlookup(B49,'Crew data for number'!B:C,2,0)</f>
        <v>TAA6092</v>
      </c>
      <c r="D49" s="284" t="str">
        <f>vlookup(B49,'Crew Data'!C:G,5,0)</f>
        <v>Sirapong Charoenwutbhawonrat</v>
      </c>
      <c r="E49" s="321" t="s">
        <v>2053</v>
      </c>
      <c r="F49" s="322">
        <v>2.0</v>
      </c>
      <c r="G49" s="50">
        <f t="shared" si="1"/>
        <v>800</v>
      </c>
      <c r="H49" s="22">
        <f t="shared" si="2"/>
        <v>1</v>
      </c>
      <c r="I49" s="323" t="s">
        <v>1763</v>
      </c>
      <c r="J49" s="309"/>
      <c r="K49" s="309"/>
      <c r="L49" s="309"/>
      <c r="M49" s="309"/>
      <c r="N49" s="309"/>
      <c r="O49" s="309"/>
      <c r="P49" s="309"/>
      <c r="Q49" s="309"/>
      <c r="R49" s="309"/>
      <c r="S49" s="309"/>
      <c r="T49" s="309"/>
      <c r="U49" s="309"/>
      <c r="V49" s="309"/>
      <c r="W49" s="309"/>
      <c r="X49" s="309"/>
      <c r="Y49" s="309"/>
      <c r="Z49" s="309"/>
      <c r="AA49" s="309"/>
    </row>
    <row r="50" ht="27.0" customHeight="1">
      <c r="A50" s="282">
        <v>46.0</v>
      </c>
      <c r="B50" s="47">
        <v>1001787.0</v>
      </c>
      <c r="C50" s="283" t="str">
        <f>vlookup(B50,'Crew data for number'!B:C,2,0)</f>
        <v>TAA1667</v>
      </c>
      <c r="D50" s="284" t="str">
        <f>vlookup(B50,'Crew Data'!C:G,5,0)</f>
        <v>Porntippa Markpoon</v>
      </c>
      <c r="E50" s="321" t="s">
        <v>2064</v>
      </c>
      <c r="F50" s="322">
        <v>30.0</v>
      </c>
      <c r="G50" s="50">
        <f t="shared" si="1"/>
        <v>12000</v>
      </c>
      <c r="H50" s="22">
        <f t="shared" si="2"/>
        <v>1</v>
      </c>
      <c r="I50" s="323" t="s">
        <v>2065</v>
      </c>
      <c r="J50" s="309"/>
      <c r="K50" s="309"/>
      <c r="L50" s="309"/>
      <c r="M50" s="309"/>
      <c r="N50" s="309"/>
      <c r="O50" s="309"/>
      <c r="P50" s="309"/>
      <c r="Q50" s="309"/>
      <c r="R50" s="309"/>
      <c r="S50" s="309"/>
      <c r="T50" s="309"/>
      <c r="U50" s="309"/>
      <c r="V50" s="309"/>
      <c r="W50" s="309"/>
      <c r="X50" s="309"/>
      <c r="Y50" s="309"/>
      <c r="Z50" s="309"/>
      <c r="AA50" s="309"/>
    </row>
    <row r="51" ht="27.0" customHeight="1">
      <c r="A51" s="282">
        <v>47.0</v>
      </c>
      <c r="B51" s="47">
        <v>1017655.0</v>
      </c>
      <c r="C51" s="283" t="str">
        <f>vlookup(B51,'Crew data for number'!B:C,2,0)</f>
        <v>TAA7522</v>
      </c>
      <c r="D51" s="284" t="str">
        <f>vlookup(B51,'Crew Data'!C:G,5,0)</f>
        <v>Waris Suaprasert</v>
      </c>
      <c r="E51" s="321" t="s">
        <v>2066</v>
      </c>
      <c r="F51" s="322">
        <v>30.0</v>
      </c>
      <c r="G51" s="50">
        <f t="shared" si="1"/>
        <v>12000</v>
      </c>
      <c r="H51" s="22">
        <f t="shared" si="2"/>
        <v>1</v>
      </c>
      <c r="I51" s="323" t="s">
        <v>2065</v>
      </c>
      <c r="J51" s="309"/>
      <c r="K51" s="309"/>
      <c r="L51" s="309"/>
      <c r="M51" s="309"/>
      <c r="N51" s="309"/>
      <c r="O51" s="309"/>
      <c r="P51" s="309"/>
      <c r="Q51" s="309"/>
      <c r="R51" s="309"/>
      <c r="S51" s="309"/>
      <c r="T51" s="309"/>
      <c r="U51" s="309"/>
      <c r="V51" s="309"/>
      <c r="W51" s="309"/>
      <c r="X51" s="309"/>
      <c r="Y51" s="309"/>
      <c r="Z51" s="309"/>
      <c r="AA51" s="309"/>
    </row>
    <row r="52" ht="27.0" customHeight="1">
      <c r="A52" s="282">
        <v>48.0</v>
      </c>
      <c r="B52" s="47">
        <v>1007026.0</v>
      </c>
      <c r="C52" s="283" t="str">
        <f>vlookup(B52,'Crew data for number'!B:C,2,0)</f>
        <v>TAA3987</v>
      </c>
      <c r="D52" s="284" t="str">
        <f>vlookup(B52,'Crew Data'!C:G,5,0)</f>
        <v>Kwanrapee Satayayookt</v>
      </c>
      <c r="E52" s="321" t="s">
        <v>2058</v>
      </c>
      <c r="F52" s="322">
        <v>5.0</v>
      </c>
      <c r="G52" s="50">
        <f t="shared" si="1"/>
        <v>2000</v>
      </c>
      <c r="H52" s="22">
        <f t="shared" si="2"/>
        <v>1</v>
      </c>
      <c r="I52" s="323" t="s">
        <v>1763</v>
      </c>
      <c r="J52" s="309"/>
      <c r="K52" s="309"/>
      <c r="L52" s="309"/>
      <c r="M52" s="309"/>
      <c r="N52" s="309"/>
      <c r="O52" s="309"/>
      <c r="P52" s="309"/>
      <c r="Q52" s="309"/>
      <c r="R52" s="309"/>
      <c r="S52" s="309"/>
      <c r="T52" s="309"/>
      <c r="U52" s="309"/>
      <c r="V52" s="309"/>
      <c r="W52" s="309"/>
      <c r="X52" s="309"/>
      <c r="Y52" s="309"/>
      <c r="Z52" s="309"/>
      <c r="AA52" s="309"/>
    </row>
    <row r="53" ht="27.0" customHeight="1">
      <c r="A53" s="282">
        <v>49.0</v>
      </c>
      <c r="B53" s="47">
        <v>1012362.0</v>
      </c>
      <c r="C53" s="283" t="str">
        <f>vlookup(B53,'Crew data for number'!B:C,2,0)</f>
        <v>TAA6131</v>
      </c>
      <c r="D53" s="284" t="str">
        <f>vlookup(B53,'Crew Data'!C:G,5,0)</f>
        <v>Patcharagorn Chankhong</v>
      </c>
      <c r="E53" s="321" t="s">
        <v>2067</v>
      </c>
      <c r="F53" s="322">
        <v>12.0</v>
      </c>
      <c r="G53" s="50">
        <f t="shared" si="1"/>
        <v>4800</v>
      </c>
      <c r="H53" s="22">
        <f t="shared" si="2"/>
        <v>1</v>
      </c>
      <c r="I53" s="323" t="s">
        <v>1763</v>
      </c>
      <c r="J53" s="309"/>
      <c r="K53" s="309"/>
      <c r="L53" s="309"/>
      <c r="M53" s="309"/>
      <c r="N53" s="309"/>
      <c r="O53" s="309"/>
      <c r="P53" s="309"/>
      <c r="Q53" s="309"/>
      <c r="R53" s="309"/>
      <c r="S53" s="309"/>
      <c r="T53" s="309"/>
      <c r="U53" s="309"/>
      <c r="V53" s="309"/>
      <c r="W53" s="309"/>
      <c r="X53" s="309"/>
      <c r="Y53" s="309"/>
      <c r="Z53" s="309"/>
      <c r="AA53" s="309"/>
    </row>
    <row r="54" ht="27.0" customHeight="1">
      <c r="A54" s="282">
        <v>50.0</v>
      </c>
      <c r="B54" s="47">
        <v>1001925.0</v>
      </c>
      <c r="C54" s="283" t="str">
        <f>vlookup(B54,'Crew data for number'!B:C,2,0)</f>
        <v>TAA1732</v>
      </c>
      <c r="D54" s="284" t="str">
        <f>vlookup(B54,'Crew Data'!C:G,5,0)</f>
        <v>#N/A</v>
      </c>
      <c r="E54" s="321" t="s">
        <v>2068</v>
      </c>
      <c r="F54" s="322">
        <v>4.0</v>
      </c>
      <c r="G54" s="50">
        <f t="shared" si="1"/>
        <v>1600</v>
      </c>
      <c r="H54" s="22">
        <f t="shared" si="2"/>
        <v>1</v>
      </c>
      <c r="I54" s="323" t="s">
        <v>1763</v>
      </c>
      <c r="J54" s="309"/>
      <c r="K54" s="309"/>
      <c r="L54" s="309"/>
      <c r="M54" s="309"/>
      <c r="N54" s="309"/>
      <c r="O54" s="309"/>
      <c r="P54" s="309"/>
      <c r="Q54" s="309"/>
      <c r="R54" s="309"/>
      <c r="S54" s="309"/>
      <c r="T54" s="309"/>
      <c r="U54" s="309"/>
      <c r="V54" s="309"/>
      <c r="W54" s="309"/>
      <c r="X54" s="309"/>
      <c r="Y54" s="309"/>
      <c r="Z54" s="309"/>
      <c r="AA54" s="309"/>
    </row>
    <row r="55" ht="27.0" customHeight="1">
      <c r="A55" s="282">
        <v>51.0</v>
      </c>
      <c r="B55" s="47">
        <v>1012367.0</v>
      </c>
      <c r="C55" s="283" t="str">
        <f>vlookup(B55,'Crew data for number'!B:C,2,0)</f>
        <v>TAA6128</v>
      </c>
      <c r="D55" s="284" t="str">
        <f>vlookup(B55,'Crew Data'!C:G,5,0)</f>
        <v>#N/A</v>
      </c>
      <c r="E55" s="321" t="s">
        <v>2069</v>
      </c>
      <c r="F55" s="322">
        <v>5.0</v>
      </c>
      <c r="G55" s="50">
        <f t="shared" si="1"/>
        <v>2000</v>
      </c>
      <c r="H55" s="22">
        <f t="shared" si="2"/>
        <v>1</v>
      </c>
      <c r="I55" s="323" t="s">
        <v>1763</v>
      </c>
      <c r="J55" s="309"/>
      <c r="K55" s="309"/>
      <c r="L55" s="309"/>
      <c r="M55" s="309"/>
      <c r="N55" s="309"/>
      <c r="O55" s="309"/>
      <c r="P55" s="309"/>
      <c r="Q55" s="309"/>
      <c r="R55" s="309"/>
      <c r="S55" s="309"/>
      <c r="T55" s="309"/>
      <c r="U55" s="309"/>
      <c r="V55" s="309"/>
      <c r="W55" s="309"/>
      <c r="X55" s="309"/>
      <c r="Y55" s="309"/>
      <c r="Z55" s="309"/>
      <c r="AA55" s="309"/>
    </row>
    <row r="56" ht="27.0" customHeight="1">
      <c r="A56" s="282">
        <v>52.0</v>
      </c>
      <c r="B56" s="47">
        <v>1012173.0</v>
      </c>
      <c r="C56" s="283" t="str">
        <f>vlookup(B56,'Crew data for number'!B:C,2,0)</f>
        <v>TAA5989</v>
      </c>
      <c r="D56" s="284" t="str">
        <f>vlookup(B56,'Crew Data'!C:G,5,0)</f>
        <v>#N/A</v>
      </c>
      <c r="E56" s="321" t="s">
        <v>2070</v>
      </c>
      <c r="F56" s="322">
        <v>6.0</v>
      </c>
      <c r="G56" s="50">
        <f t="shared" si="1"/>
        <v>2400</v>
      </c>
      <c r="H56" s="22">
        <f t="shared" si="2"/>
        <v>1</v>
      </c>
      <c r="I56" s="323" t="s">
        <v>1763</v>
      </c>
      <c r="J56" s="309"/>
      <c r="K56" s="309"/>
      <c r="L56" s="309"/>
      <c r="M56" s="309"/>
      <c r="N56" s="309"/>
      <c r="O56" s="309"/>
      <c r="P56" s="309"/>
      <c r="Q56" s="309"/>
      <c r="R56" s="309"/>
      <c r="S56" s="309"/>
      <c r="T56" s="309"/>
      <c r="U56" s="309"/>
      <c r="V56" s="309"/>
      <c r="W56" s="309"/>
      <c r="X56" s="309"/>
      <c r="Y56" s="309"/>
      <c r="Z56" s="309"/>
      <c r="AA56" s="309"/>
    </row>
    <row r="57" ht="27.0" customHeight="1">
      <c r="A57" s="282">
        <v>53.0</v>
      </c>
      <c r="B57" s="47">
        <v>1012372.0</v>
      </c>
      <c r="C57" s="283" t="str">
        <f>vlookup(B57,'Crew data for number'!B:C,2,0)</f>
        <v>TAA6138</v>
      </c>
      <c r="D57" s="284" t="str">
        <f>vlookup(B57,'Crew Data'!C:G,5,0)</f>
        <v>Vinida Ma</v>
      </c>
      <c r="E57" s="321" t="s">
        <v>2071</v>
      </c>
      <c r="F57" s="322">
        <v>7.0</v>
      </c>
      <c r="G57" s="50">
        <f t="shared" si="1"/>
        <v>2800</v>
      </c>
      <c r="H57" s="22">
        <f t="shared" si="2"/>
        <v>1</v>
      </c>
      <c r="I57" s="323" t="s">
        <v>1763</v>
      </c>
      <c r="J57" s="309"/>
      <c r="K57" s="309"/>
      <c r="L57" s="309"/>
      <c r="M57" s="309"/>
      <c r="N57" s="309"/>
      <c r="O57" s="309"/>
      <c r="P57" s="309"/>
      <c r="Q57" s="309"/>
      <c r="R57" s="309"/>
      <c r="S57" s="309"/>
      <c r="T57" s="309"/>
      <c r="U57" s="309"/>
      <c r="V57" s="309"/>
      <c r="W57" s="309"/>
      <c r="X57" s="309"/>
      <c r="Y57" s="309"/>
      <c r="Z57" s="309"/>
      <c r="AA57" s="309"/>
    </row>
    <row r="58" ht="27.0" customHeight="1">
      <c r="A58" s="282">
        <v>54.0</v>
      </c>
      <c r="B58" s="47">
        <v>1004851.0</v>
      </c>
      <c r="C58" s="283" t="str">
        <f>vlookup(B58,'Crew data for number'!B:C,2,0)</f>
        <v>TAA3005</v>
      </c>
      <c r="D58" s="284" t="str">
        <f>vlookup(B58,'Crew Data'!C:G,5,0)</f>
        <v>#N/A</v>
      </c>
      <c r="E58" s="321" t="s">
        <v>2072</v>
      </c>
      <c r="F58" s="322">
        <v>6.0</v>
      </c>
      <c r="G58" s="50">
        <f t="shared" si="1"/>
        <v>2400</v>
      </c>
      <c r="H58" s="22">
        <f t="shared" si="2"/>
        <v>1</v>
      </c>
      <c r="I58" s="323" t="s">
        <v>1763</v>
      </c>
      <c r="J58" s="309"/>
      <c r="K58" s="309"/>
      <c r="L58" s="309"/>
      <c r="M58" s="309"/>
      <c r="N58" s="309"/>
      <c r="O58" s="309"/>
      <c r="P58" s="309"/>
      <c r="Q58" s="309"/>
      <c r="R58" s="309"/>
      <c r="S58" s="309"/>
      <c r="T58" s="309"/>
      <c r="U58" s="309"/>
      <c r="V58" s="309"/>
      <c r="W58" s="309"/>
      <c r="X58" s="309"/>
      <c r="Y58" s="309"/>
      <c r="Z58" s="309"/>
      <c r="AA58" s="309"/>
    </row>
    <row r="59" ht="27.0" customHeight="1">
      <c r="A59" s="282">
        <v>55.0</v>
      </c>
      <c r="B59" s="47">
        <v>1011084.0</v>
      </c>
      <c r="C59" s="283" t="str">
        <f>vlookup(B59,'Crew data for number'!B:C,2,0)</f>
        <v>TAA5672</v>
      </c>
      <c r="D59" s="284" t="str">
        <f>vlookup(B59,'Crew Data'!C:G,5,0)</f>
        <v>Warich Nathtigoon</v>
      </c>
      <c r="E59" s="321" t="s">
        <v>2073</v>
      </c>
      <c r="F59" s="322">
        <v>4.0</v>
      </c>
      <c r="G59" s="50">
        <f t="shared" si="1"/>
        <v>1600</v>
      </c>
      <c r="H59" s="22">
        <f t="shared" si="2"/>
        <v>1</v>
      </c>
      <c r="I59" s="323" t="s">
        <v>1763</v>
      </c>
      <c r="J59" s="309"/>
      <c r="K59" s="309"/>
      <c r="L59" s="309"/>
      <c r="M59" s="309"/>
      <c r="N59" s="309"/>
      <c r="O59" s="309"/>
      <c r="P59" s="309"/>
      <c r="Q59" s="309"/>
      <c r="R59" s="309"/>
      <c r="S59" s="309"/>
      <c r="T59" s="309"/>
      <c r="U59" s="309"/>
      <c r="V59" s="309"/>
      <c r="W59" s="309"/>
      <c r="X59" s="309"/>
      <c r="Y59" s="309"/>
      <c r="Z59" s="309"/>
      <c r="AA59" s="309"/>
    </row>
    <row r="60" ht="27.0" customHeight="1">
      <c r="A60" s="282">
        <v>56.0</v>
      </c>
      <c r="B60" s="47">
        <v>1013166.0</v>
      </c>
      <c r="C60" s="283" t="str">
        <f>vlookup(B60,'Crew data for number'!B:C,2,0)</f>
        <v>TAA6394</v>
      </c>
      <c r="D60" s="284" t="str">
        <f>vlookup(B60,'Crew Data'!C:G,5,0)</f>
        <v>#N/A</v>
      </c>
      <c r="E60" s="321" t="s">
        <v>2074</v>
      </c>
      <c r="F60" s="322">
        <v>28.0</v>
      </c>
      <c r="G60" s="50">
        <f t="shared" si="1"/>
        <v>11200</v>
      </c>
      <c r="H60" s="22">
        <f t="shared" si="2"/>
        <v>1</v>
      </c>
      <c r="I60" s="323" t="s">
        <v>1763</v>
      </c>
      <c r="J60" s="309"/>
      <c r="K60" s="309"/>
      <c r="L60" s="309"/>
      <c r="M60" s="309"/>
      <c r="N60" s="309"/>
      <c r="O60" s="309"/>
      <c r="P60" s="309"/>
      <c r="Q60" s="309"/>
      <c r="R60" s="309"/>
      <c r="S60" s="309"/>
      <c r="T60" s="309"/>
      <c r="U60" s="309"/>
      <c r="V60" s="309"/>
      <c r="W60" s="309"/>
      <c r="X60" s="309"/>
      <c r="Y60" s="309"/>
      <c r="Z60" s="309"/>
      <c r="AA60" s="309"/>
    </row>
    <row r="61" ht="27.0" customHeight="1">
      <c r="A61" s="282">
        <v>57.0</v>
      </c>
      <c r="B61" s="47">
        <v>1003172.0</v>
      </c>
      <c r="C61" s="283" t="str">
        <f>vlookup(B61,'Crew data for number'!B:C,2,0)</f>
        <v>TAA2472</v>
      </c>
      <c r="D61" s="284" t="str">
        <f>vlookup(B61,'Crew Data'!C:G,5,0)</f>
        <v>Natthanit Kaewchoochuen</v>
      </c>
      <c r="E61" s="321" t="s">
        <v>2075</v>
      </c>
      <c r="F61" s="322">
        <v>23.0</v>
      </c>
      <c r="G61" s="50">
        <f t="shared" si="1"/>
        <v>9200</v>
      </c>
      <c r="H61" s="22">
        <f t="shared" si="2"/>
        <v>1</v>
      </c>
      <c r="I61" s="323" t="s">
        <v>1763</v>
      </c>
      <c r="J61" s="309"/>
      <c r="K61" s="309"/>
      <c r="L61" s="309"/>
      <c r="M61" s="309"/>
      <c r="N61" s="309"/>
      <c r="O61" s="309"/>
      <c r="P61" s="309"/>
      <c r="Q61" s="309"/>
      <c r="R61" s="309"/>
      <c r="S61" s="309"/>
      <c r="T61" s="309"/>
      <c r="U61" s="309"/>
      <c r="V61" s="309"/>
      <c r="W61" s="309"/>
      <c r="X61" s="309"/>
      <c r="Y61" s="309"/>
      <c r="Z61" s="309"/>
      <c r="AA61" s="309"/>
    </row>
    <row r="62" ht="27.0" customHeight="1">
      <c r="A62" s="282">
        <v>58.0</v>
      </c>
      <c r="B62" s="47">
        <v>1000705.0</v>
      </c>
      <c r="C62" s="283" t="str">
        <f>vlookup(B62,'Crew data for number'!B:C,2,0)</f>
        <v>TAA0719</v>
      </c>
      <c r="D62" s="284" t="str">
        <f>vlookup(B62,'Crew Data'!C:G,5,0)</f>
        <v>Avisada Jirunyakul</v>
      </c>
      <c r="E62" s="321" t="s">
        <v>2074</v>
      </c>
      <c r="F62" s="322">
        <v>28.0</v>
      </c>
      <c r="G62" s="50">
        <f t="shared" si="1"/>
        <v>11200</v>
      </c>
      <c r="H62" s="22">
        <f t="shared" si="2"/>
        <v>1</v>
      </c>
      <c r="I62" s="323" t="s">
        <v>1763</v>
      </c>
      <c r="J62" s="309"/>
      <c r="K62" s="309"/>
      <c r="L62" s="309"/>
      <c r="M62" s="309"/>
      <c r="N62" s="309"/>
      <c r="O62" s="309"/>
      <c r="P62" s="309"/>
      <c r="Q62" s="309"/>
      <c r="R62" s="309"/>
      <c r="S62" s="309"/>
      <c r="T62" s="309"/>
      <c r="U62" s="309"/>
      <c r="V62" s="309"/>
      <c r="W62" s="309"/>
      <c r="X62" s="309"/>
      <c r="Y62" s="309"/>
      <c r="Z62" s="309"/>
      <c r="AA62" s="309"/>
    </row>
    <row r="63" ht="27.0" customHeight="1">
      <c r="A63" s="282">
        <v>59.0</v>
      </c>
      <c r="B63" s="47">
        <v>1004855.0</v>
      </c>
      <c r="C63" s="283" t="str">
        <f>vlookup(B63,'Crew data for number'!B:C,2,0)</f>
        <v>TAA3006</v>
      </c>
      <c r="D63" s="284" t="str">
        <f>vlookup(B63,'Crew Data'!C:G,5,0)</f>
        <v>Phornchai Thirawadee</v>
      </c>
      <c r="E63" s="321" t="s">
        <v>2076</v>
      </c>
      <c r="F63" s="322">
        <v>11.0</v>
      </c>
      <c r="G63" s="50">
        <f t="shared" si="1"/>
        <v>4400</v>
      </c>
      <c r="H63" s="22">
        <f t="shared" si="2"/>
        <v>1</v>
      </c>
      <c r="I63" s="323" t="s">
        <v>1770</v>
      </c>
      <c r="J63" s="309"/>
      <c r="K63" s="309"/>
      <c r="L63" s="309"/>
      <c r="M63" s="309"/>
      <c r="N63" s="309"/>
      <c r="O63" s="309"/>
      <c r="P63" s="309"/>
      <c r="Q63" s="309"/>
      <c r="R63" s="309"/>
      <c r="S63" s="309"/>
      <c r="T63" s="309"/>
      <c r="U63" s="309"/>
      <c r="V63" s="309"/>
      <c r="W63" s="309"/>
      <c r="X63" s="309"/>
      <c r="Y63" s="309"/>
      <c r="Z63" s="309"/>
      <c r="AA63" s="309"/>
    </row>
    <row r="64" ht="27.0" customHeight="1">
      <c r="A64" s="282">
        <v>60.0</v>
      </c>
      <c r="B64" s="47">
        <v>1015089.0</v>
      </c>
      <c r="C64" s="283" t="str">
        <f>vlookup(B64,'Crew data for number'!B:C,2,0)</f>
        <v>TAA7009</v>
      </c>
      <c r="D64" s="284" t="str">
        <f>vlookup(B64,'Crew Data'!C:G,5,0)</f>
        <v>#N/A</v>
      </c>
      <c r="E64" s="321" t="s">
        <v>2077</v>
      </c>
      <c r="F64" s="322">
        <v>27.0</v>
      </c>
      <c r="G64" s="50">
        <f t="shared" si="1"/>
        <v>10800</v>
      </c>
      <c r="H64" s="22">
        <f t="shared" si="2"/>
        <v>1</v>
      </c>
      <c r="I64" s="323" t="s">
        <v>1770</v>
      </c>
      <c r="J64" s="309"/>
      <c r="K64" s="309"/>
      <c r="L64" s="309"/>
      <c r="M64" s="309"/>
      <c r="N64" s="309"/>
      <c r="O64" s="309"/>
      <c r="P64" s="309"/>
      <c r="Q64" s="309"/>
      <c r="R64" s="309"/>
      <c r="S64" s="309"/>
      <c r="T64" s="309"/>
      <c r="U64" s="309"/>
      <c r="V64" s="309"/>
      <c r="W64" s="309"/>
      <c r="X64" s="309"/>
      <c r="Y64" s="309"/>
      <c r="Z64" s="309"/>
      <c r="AA64" s="309"/>
    </row>
    <row r="65" ht="27.0" customHeight="1">
      <c r="A65" s="282">
        <v>61.0</v>
      </c>
      <c r="B65" s="47">
        <v>1004858.0</v>
      </c>
      <c r="C65" s="283" t="str">
        <f>vlookup(B65,'Crew data for number'!B:C,2,0)</f>
        <v>TAA3020</v>
      </c>
      <c r="D65" s="284" t="str">
        <f>vlookup(B65,'Crew Data'!C:G,5,0)</f>
        <v>#N/A</v>
      </c>
      <c r="E65" s="321" t="s">
        <v>2078</v>
      </c>
      <c r="F65" s="322">
        <v>25.0</v>
      </c>
      <c r="G65" s="50">
        <f t="shared" si="1"/>
        <v>10000</v>
      </c>
      <c r="H65" s="22">
        <f t="shared" si="2"/>
        <v>1</v>
      </c>
      <c r="I65" s="323" t="s">
        <v>1763</v>
      </c>
      <c r="J65" s="309"/>
      <c r="K65" s="309"/>
      <c r="L65" s="309"/>
      <c r="M65" s="309"/>
      <c r="N65" s="309"/>
      <c r="O65" s="309"/>
      <c r="P65" s="309"/>
      <c r="Q65" s="309"/>
      <c r="R65" s="309"/>
      <c r="S65" s="309"/>
      <c r="T65" s="309"/>
      <c r="U65" s="309"/>
      <c r="V65" s="309"/>
      <c r="W65" s="309"/>
      <c r="X65" s="309"/>
      <c r="Y65" s="309"/>
      <c r="Z65" s="309"/>
      <c r="AA65" s="309"/>
    </row>
    <row r="66" ht="27.0" customHeight="1">
      <c r="A66" s="282">
        <v>62.0</v>
      </c>
      <c r="B66" s="47">
        <v>1011705.0</v>
      </c>
      <c r="C66" s="283" t="str">
        <f>vlookup(B66,'Crew data for number'!B:C,2,0)</f>
        <v>TAA6150</v>
      </c>
      <c r="D66" s="284" t="str">
        <f>vlookup(B66,'Crew Data'!C:G,5,0)</f>
        <v>Nattika Naephimai</v>
      </c>
      <c r="E66" s="321" t="s">
        <v>2079</v>
      </c>
      <c r="F66" s="322">
        <v>26.0</v>
      </c>
      <c r="G66" s="50">
        <f t="shared" si="1"/>
        <v>10400</v>
      </c>
      <c r="H66" s="22">
        <f t="shared" si="2"/>
        <v>1</v>
      </c>
      <c r="I66" s="323" t="s">
        <v>1763</v>
      </c>
      <c r="J66" s="309"/>
      <c r="K66" s="309"/>
      <c r="L66" s="309"/>
      <c r="M66" s="309"/>
      <c r="N66" s="309"/>
      <c r="O66" s="309"/>
      <c r="P66" s="309"/>
      <c r="Q66" s="309"/>
      <c r="R66" s="309"/>
      <c r="S66" s="309"/>
      <c r="T66" s="309"/>
      <c r="U66" s="309"/>
      <c r="V66" s="309"/>
      <c r="W66" s="309"/>
      <c r="X66" s="309"/>
      <c r="Y66" s="309"/>
      <c r="Z66" s="309"/>
      <c r="AA66" s="309"/>
    </row>
    <row r="67" ht="27.0" customHeight="1">
      <c r="A67" s="282">
        <v>63.0</v>
      </c>
      <c r="B67" s="47">
        <v>1007016.0</v>
      </c>
      <c r="C67" s="283" t="str">
        <f>vlookup(B67,'Crew data for number'!B:C,2,0)</f>
        <v>TAA3956</v>
      </c>
      <c r="D67" s="284" t="str">
        <f>vlookup(B67,'Crew Data'!C:G,5,0)</f>
        <v>Sathita Pongsomran</v>
      </c>
      <c r="E67" s="321" t="s">
        <v>2080</v>
      </c>
      <c r="F67" s="322">
        <v>27.0</v>
      </c>
      <c r="G67" s="50">
        <f t="shared" si="1"/>
        <v>10800</v>
      </c>
      <c r="H67" s="22">
        <f t="shared" si="2"/>
        <v>1</v>
      </c>
      <c r="I67" s="323" t="s">
        <v>1763</v>
      </c>
      <c r="J67" s="309"/>
      <c r="K67" s="309"/>
      <c r="L67" s="309"/>
      <c r="M67" s="309"/>
      <c r="N67" s="309"/>
      <c r="O67" s="309"/>
      <c r="P67" s="309"/>
      <c r="Q67" s="309"/>
      <c r="R67" s="309"/>
      <c r="S67" s="309"/>
      <c r="T67" s="309"/>
      <c r="U67" s="309"/>
      <c r="V67" s="309"/>
      <c r="W67" s="309"/>
      <c r="X67" s="309"/>
      <c r="Y67" s="309"/>
      <c r="Z67" s="309"/>
      <c r="AA67" s="309"/>
    </row>
    <row r="68" ht="27.0" customHeight="1">
      <c r="A68" s="282">
        <v>64.0</v>
      </c>
      <c r="B68" s="47">
        <v>1000341.0</v>
      </c>
      <c r="C68" s="283" t="str">
        <f>vlookup(B68,'Crew data for number'!B:C,2,0)</f>
        <v>TAA0231</v>
      </c>
      <c r="D68" s="284" t="str">
        <f>vlookup(B68,'Crew Data'!C:G,5,0)</f>
        <v>Nawatthaphorn Meechai</v>
      </c>
      <c r="E68" s="321" t="s">
        <v>2081</v>
      </c>
      <c r="F68" s="322">
        <v>43.0</v>
      </c>
      <c r="G68" s="50">
        <f t="shared" si="1"/>
        <v>17200</v>
      </c>
      <c r="H68" s="22">
        <f t="shared" si="2"/>
        <v>1</v>
      </c>
      <c r="I68" s="323" t="s">
        <v>1770</v>
      </c>
      <c r="J68" s="309"/>
      <c r="K68" s="309"/>
      <c r="L68" s="309"/>
      <c r="M68" s="309"/>
      <c r="N68" s="309"/>
      <c r="O68" s="309"/>
      <c r="P68" s="309"/>
      <c r="Q68" s="309"/>
      <c r="R68" s="309"/>
      <c r="S68" s="309"/>
      <c r="T68" s="309"/>
      <c r="U68" s="309"/>
      <c r="V68" s="309"/>
      <c r="W68" s="309"/>
      <c r="X68" s="309"/>
      <c r="Y68" s="309"/>
      <c r="Z68" s="309"/>
      <c r="AA68" s="309"/>
    </row>
    <row r="69" ht="27.0" customHeight="1">
      <c r="A69" s="282">
        <v>65.0</v>
      </c>
      <c r="B69" s="47">
        <v>1005953.0</v>
      </c>
      <c r="C69" s="283" t="str">
        <f>vlookup(B69,'Crew data for number'!B:C,2,0)</f>
        <v>TAA3505</v>
      </c>
      <c r="D69" s="284" t="str">
        <f>vlookup(B69,'Crew Data'!C:G,5,0)</f>
        <v>Pinchapitch Pinchachartanant</v>
      </c>
      <c r="E69" s="321" t="s">
        <v>2082</v>
      </c>
      <c r="F69" s="322">
        <v>25.0</v>
      </c>
      <c r="G69" s="50">
        <f t="shared" si="1"/>
        <v>10000</v>
      </c>
      <c r="H69" s="22">
        <f t="shared" si="2"/>
        <v>1</v>
      </c>
      <c r="I69" s="323" t="s">
        <v>1770</v>
      </c>
      <c r="J69" s="309"/>
      <c r="K69" s="309"/>
      <c r="L69" s="309"/>
      <c r="M69" s="309"/>
      <c r="N69" s="309"/>
      <c r="O69" s="309"/>
      <c r="P69" s="309"/>
      <c r="Q69" s="309"/>
      <c r="R69" s="309"/>
      <c r="S69" s="309"/>
      <c r="T69" s="309"/>
      <c r="U69" s="309"/>
      <c r="V69" s="309"/>
      <c r="W69" s="309"/>
      <c r="X69" s="309"/>
      <c r="Y69" s="309"/>
      <c r="Z69" s="309"/>
      <c r="AA69" s="309"/>
    </row>
    <row r="70" ht="27.0" customHeight="1">
      <c r="A70" s="282">
        <v>66.0</v>
      </c>
      <c r="B70" s="47">
        <v>1012359.0</v>
      </c>
      <c r="C70" s="283" t="str">
        <f>vlookup(B70,'Crew data for number'!B:C,2,0)</f>
        <v>TAA6123</v>
      </c>
      <c r="D70" s="284" t="str">
        <f>vlookup(B70,'Crew Data'!C:G,5,0)</f>
        <v>Kotchakon Kanchanamethakul</v>
      </c>
      <c r="E70" s="321" t="s">
        <v>2080</v>
      </c>
      <c r="F70" s="322">
        <v>27.0</v>
      </c>
      <c r="G70" s="50">
        <f t="shared" si="1"/>
        <v>10800</v>
      </c>
      <c r="H70" s="22">
        <f t="shared" si="2"/>
        <v>1</v>
      </c>
      <c r="I70" s="323" t="s">
        <v>1763</v>
      </c>
      <c r="J70" s="309"/>
      <c r="K70" s="309"/>
      <c r="L70" s="309"/>
      <c r="M70" s="309"/>
      <c r="N70" s="309"/>
      <c r="O70" s="309"/>
      <c r="P70" s="309"/>
      <c r="Q70" s="309"/>
      <c r="R70" s="309"/>
      <c r="S70" s="309"/>
      <c r="T70" s="309"/>
      <c r="U70" s="309"/>
      <c r="V70" s="309"/>
      <c r="W70" s="309"/>
      <c r="X70" s="309"/>
      <c r="Y70" s="309"/>
      <c r="Z70" s="309"/>
      <c r="AA70" s="309"/>
    </row>
    <row r="71" ht="27.0" customHeight="1">
      <c r="A71" s="282">
        <v>67.0</v>
      </c>
      <c r="B71" s="47">
        <v>1017653.0</v>
      </c>
      <c r="C71" s="283" t="str">
        <f>vlookup(B71,'Crew data for number'!B:C,2,0)</f>
        <v>TAA7521</v>
      </c>
      <c r="D71" s="284" t="str">
        <f>vlookup(B71,'Crew Data'!C:G,5,0)</f>
        <v>Wachiraphon Lakbun</v>
      </c>
      <c r="E71" s="321" t="s">
        <v>2083</v>
      </c>
      <c r="F71" s="322">
        <v>27.0</v>
      </c>
      <c r="G71" s="50">
        <f t="shared" si="1"/>
        <v>10800</v>
      </c>
      <c r="H71" s="22">
        <f t="shared" si="2"/>
        <v>1</v>
      </c>
      <c r="I71" s="323" t="s">
        <v>1763</v>
      </c>
      <c r="J71" s="309"/>
      <c r="K71" s="309"/>
      <c r="L71" s="309"/>
      <c r="M71" s="309"/>
      <c r="N71" s="309"/>
      <c r="O71" s="309"/>
      <c r="P71" s="309"/>
      <c r="Q71" s="309"/>
      <c r="R71" s="309"/>
      <c r="S71" s="309"/>
      <c r="T71" s="309"/>
      <c r="U71" s="309"/>
      <c r="V71" s="309"/>
      <c r="W71" s="309"/>
      <c r="X71" s="309"/>
      <c r="Y71" s="309"/>
      <c r="Z71" s="309"/>
      <c r="AA71" s="309"/>
    </row>
    <row r="72" ht="27.0" customHeight="1">
      <c r="A72" s="282">
        <v>68.0</v>
      </c>
      <c r="B72" s="47">
        <v>1006844.0</v>
      </c>
      <c r="C72" s="283" t="str">
        <f>vlookup(B72,'Crew data for number'!B:C,2,0)</f>
        <v>TAA3874</v>
      </c>
      <c r="D72" s="284" t="str">
        <f>vlookup(B72,'Crew Data'!C:G,5,0)</f>
        <v>Rada Nilyam</v>
      </c>
      <c r="E72" s="321" t="s">
        <v>2084</v>
      </c>
      <c r="F72" s="322">
        <v>31.0</v>
      </c>
      <c r="G72" s="50">
        <f t="shared" si="1"/>
        <v>12400</v>
      </c>
      <c r="H72" s="22">
        <f t="shared" si="2"/>
        <v>1</v>
      </c>
      <c r="I72" s="323" t="s">
        <v>1770</v>
      </c>
      <c r="J72" s="309"/>
      <c r="K72" s="309"/>
      <c r="L72" s="309"/>
      <c r="M72" s="309"/>
      <c r="N72" s="309"/>
      <c r="O72" s="309"/>
      <c r="P72" s="309"/>
      <c r="Q72" s="309"/>
      <c r="R72" s="309"/>
      <c r="S72" s="309"/>
      <c r="T72" s="309"/>
      <c r="U72" s="309"/>
      <c r="V72" s="309"/>
      <c r="W72" s="309"/>
      <c r="X72" s="309"/>
      <c r="Y72" s="309"/>
      <c r="Z72" s="309"/>
      <c r="AA72" s="309"/>
    </row>
    <row r="73" ht="27.0" customHeight="1">
      <c r="A73" s="282">
        <v>69.0</v>
      </c>
      <c r="B73" s="47">
        <v>1011808.0</v>
      </c>
      <c r="C73" s="283" t="str">
        <f>vlookup(B73,'Crew data for number'!B:C,2,0)</f>
        <v>TAA6105</v>
      </c>
      <c r="D73" s="284" t="str">
        <f>vlookup(B73,'Crew Data'!C:G,5,0)</f>
        <v>#N/A</v>
      </c>
      <c r="E73" s="321" t="s">
        <v>2085</v>
      </c>
      <c r="F73" s="322">
        <v>33.0</v>
      </c>
      <c r="G73" s="50">
        <f t="shared" si="1"/>
        <v>13200</v>
      </c>
      <c r="H73" s="22">
        <f t="shared" si="2"/>
        <v>1</v>
      </c>
      <c r="I73" s="323" t="s">
        <v>1770</v>
      </c>
      <c r="J73" s="309"/>
      <c r="K73" s="309"/>
      <c r="L73" s="309"/>
      <c r="M73" s="309"/>
      <c r="N73" s="309"/>
      <c r="O73" s="309"/>
      <c r="P73" s="309"/>
      <c r="Q73" s="309"/>
      <c r="R73" s="309"/>
      <c r="S73" s="309"/>
      <c r="T73" s="309"/>
      <c r="U73" s="309"/>
      <c r="V73" s="309"/>
      <c r="W73" s="309"/>
      <c r="X73" s="309"/>
      <c r="Y73" s="309"/>
      <c r="Z73" s="309"/>
      <c r="AA73" s="309"/>
    </row>
    <row r="74" ht="27.0" customHeight="1">
      <c r="A74" s="282">
        <v>70.0</v>
      </c>
      <c r="B74" s="47">
        <v>1006835.0</v>
      </c>
      <c r="C74" s="283" t="str">
        <f>vlookup(B74,'Crew data for number'!B:C,2,0)</f>
        <v>TAA3877</v>
      </c>
      <c r="D74" s="284" t="str">
        <f>vlookup(B74,'Crew Data'!C:G,5,0)</f>
        <v>Ketsaraporn Borvornmongkolsak</v>
      </c>
      <c r="E74" s="321" t="s">
        <v>2086</v>
      </c>
      <c r="F74" s="322">
        <v>29.0</v>
      </c>
      <c r="G74" s="50">
        <f t="shared" si="1"/>
        <v>11600</v>
      </c>
      <c r="H74" s="22">
        <f t="shared" si="2"/>
        <v>1</v>
      </c>
      <c r="I74" s="323" t="s">
        <v>1770</v>
      </c>
      <c r="J74" s="309"/>
      <c r="K74" s="309"/>
      <c r="L74" s="309"/>
      <c r="M74" s="309"/>
      <c r="N74" s="309"/>
      <c r="O74" s="309"/>
      <c r="P74" s="309"/>
      <c r="Q74" s="309"/>
      <c r="R74" s="309"/>
      <c r="S74" s="309"/>
      <c r="T74" s="309"/>
      <c r="U74" s="309"/>
      <c r="V74" s="309"/>
      <c r="W74" s="309"/>
      <c r="X74" s="309"/>
      <c r="Y74" s="309"/>
      <c r="Z74" s="309"/>
      <c r="AA74" s="309"/>
    </row>
    <row r="75" ht="27.0" customHeight="1">
      <c r="A75" s="282">
        <v>71.0</v>
      </c>
      <c r="B75" s="47">
        <v>1001312.0</v>
      </c>
      <c r="C75" s="283" t="str">
        <f>vlookup(B75,'Crew data for number'!B:C,2,0)</f>
        <v>TAA1289</v>
      </c>
      <c r="D75" s="284" t="str">
        <f>vlookup(B75,'Crew Data'!C:G,5,0)</f>
        <v>Rattanapat Rattanaviroj</v>
      </c>
      <c r="E75" s="321" t="s">
        <v>2087</v>
      </c>
      <c r="F75" s="322">
        <v>53.0</v>
      </c>
      <c r="G75" s="50">
        <f t="shared" si="1"/>
        <v>21200</v>
      </c>
      <c r="H75" s="22">
        <f t="shared" si="2"/>
        <v>1</v>
      </c>
      <c r="I75" s="323" t="s">
        <v>1770</v>
      </c>
      <c r="J75" s="309"/>
      <c r="K75" s="309"/>
      <c r="L75" s="309"/>
      <c r="M75" s="309"/>
      <c r="N75" s="309"/>
      <c r="O75" s="309"/>
      <c r="P75" s="309"/>
      <c r="Q75" s="309"/>
      <c r="R75" s="309"/>
      <c r="S75" s="309"/>
      <c r="T75" s="309"/>
      <c r="U75" s="309"/>
      <c r="V75" s="309"/>
      <c r="W75" s="309"/>
      <c r="X75" s="309"/>
      <c r="Y75" s="309"/>
      <c r="Z75" s="309"/>
      <c r="AA75" s="309"/>
    </row>
    <row r="76" ht="27.0" customHeight="1">
      <c r="A76" s="282">
        <v>72.0</v>
      </c>
      <c r="B76" s="47">
        <v>1006881.0</v>
      </c>
      <c r="C76" s="283" t="str">
        <f>vlookup(B76,'Crew data for number'!B:C,2,0)</f>
        <v>TAA3898</v>
      </c>
      <c r="D76" s="284" t="str">
        <f>vlookup(B76,'Crew Data'!C:G,5,0)</f>
        <v>Krittrin Harnphanphong</v>
      </c>
      <c r="E76" s="321" t="s">
        <v>2088</v>
      </c>
      <c r="F76" s="322">
        <v>22.0</v>
      </c>
      <c r="G76" s="50">
        <f t="shared" si="1"/>
        <v>8800</v>
      </c>
      <c r="H76" s="22">
        <f t="shared" si="2"/>
        <v>1</v>
      </c>
      <c r="I76" s="323" t="s">
        <v>1770</v>
      </c>
      <c r="J76" s="309"/>
      <c r="K76" s="309"/>
      <c r="L76" s="309"/>
      <c r="M76" s="309"/>
      <c r="N76" s="309"/>
      <c r="O76" s="309"/>
      <c r="P76" s="309"/>
      <c r="Q76" s="309"/>
      <c r="R76" s="309"/>
      <c r="S76" s="309"/>
      <c r="T76" s="309"/>
      <c r="U76" s="309"/>
      <c r="V76" s="309"/>
      <c r="W76" s="309"/>
      <c r="X76" s="309"/>
      <c r="Y76" s="309"/>
      <c r="Z76" s="309"/>
      <c r="AA76" s="309"/>
    </row>
    <row r="77" ht="27.0" customHeight="1">
      <c r="A77" s="282">
        <v>73.0</v>
      </c>
      <c r="B77" s="47">
        <v>1018532.0</v>
      </c>
      <c r="C77" s="283" t="str">
        <f>vlookup(B77,'Crew data for number'!B:C,2,0)</f>
        <v>TAA7753</v>
      </c>
      <c r="D77" s="284" t="str">
        <f>vlookup(B77,'Crew Data'!C:G,5,0)</f>
        <v>Kantachet Boonserm</v>
      </c>
      <c r="E77" s="321" t="s">
        <v>2089</v>
      </c>
      <c r="F77" s="322">
        <v>19.0</v>
      </c>
      <c r="G77" s="50">
        <f t="shared" si="1"/>
        <v>7600</v>
      </c>
      <c r="H77" s="22">
        <f t="shared" si="2"/>
        <v>1</v>
      </c>
      <c r="I77" s="323" t="s">
        <v>2065</v>
      </c>
      <c r="J77" s="309"/>
      <c r="K77" s="309"/>
      <c r="L77" s="309"/>
      <c r="M77" s="309"/>
      <c r="N77" s="309"/>
      <c r="O77" s="309"/>
      <c r="P77" s="309"/>
      <c r="Q77" s="309"/>
      <c r="R77" s="309"/>
      <c r="S77" s="309"/>
      <c r="T77" s="309"/>
      <c r="U77" s="309"/>
      <c r="V77" s="309"/>
      <c r="W77" s="309"/>
      <c r="X77" s="309"/>
      <c r="Y77" s="309"/>
      <c r="Z77" s="309"/>
      <c r="AA77" s="309"/>
    </row>
    <row r="78" ht="27.0" customHeight="1">
      <c r="A78" s="282">
        <v>74.0</v>
      </c>
      <c r="B78" s="47">
        <v>1016197.0</v>
      </c>
      <c r="C78" s="283" t="str">
        <f>vlookup(B78,'Crew data for number'!B:C,2,0)</f>
        <v>TAA7284</v>
      </c>
      <c r="D78" s="284" t="str">
        <f>vlookup(B78,'Crew Data'!C:G,5,0)</f>
        <v>Kornchanok Ruamsanit</v>
      </c>
      <c r="E78" s="321" t="s">
        <v>2090</v>
      </c>
      <c r="F78" s="322">
        <v>2.0</v>
      </c>
      <c r="G78" s="50">
        <f t="shared" si="1"/>
        <v>800</v>
      </c>
      <c r="H78" s="22">
        <f t="shared" si="2"/>
        <v>1</v>
      </c>
      <c r="I78" s="323" t="s">
        <v>2065</v>
      </c>
      <c r="J78" s="309"/>
      <c r="K78" s="309"/>
      <c r="L78" s="309"/>
      <c r="M78" s="309"/>
      <c r="N78" s="309"/>
      <c r="O78" s="309"/>
      <c r="P78" s="309"/>
      <c r="Q78" s="309"/>
      <c r="R78" s="309"/>
      <c r="S78" s="309"/>
      <c r="T78" s="309"/>
      <c r="U78" s="309"/>
      <c r="V78" s="309"/>
      <c r="W78" s="309"/>
      <c r="X78" s="309"/>
      <c r="Y78" s="309"/>
      <c r="Z78" s="309"/>
      <c r="AA78" s="309"/>
    </row>
    <row r="79" ht="27.0" customHeight="1">
      <c r="A79" s="282">
        <v>75.0</v>
      </c>
      <c r="B79" s="47">
        <v>1006856.0</v>
      </c>
      <c r="C79" s="283" t="str">
        <f>vlookup(B79,'Crew data for number'!B:C,2,0)</f>
        <v>TAA3884</v>
      </c>
      <c r="D79" s="284" t="str">
        <f>vlookup(B79,'Crew Data'!C:G,5,0)</f>
        <v>#N/A</v>
      </c>
      <c r="E79" s="263">
        <v>43497.0</v>
      </c>
      <c r="F79" s="322">
        <v>1.0</v>
      </c>
      <c r="G79" s="50">
        <f t="shared" si="1"/>
        <v>400</v>
      </c>
      <c r="H79" s="22">
        <f t="shared" si="2"/>
        <v>1</v>
      </c>
      <c r="I79" s="323" t="s">
        <v>1763</v>
      </c>
      <c r="J79" s="309"/>
      <c r="K79" s="309"/>
      <c r="L79" s="309"/>
      <c r="M79" s="309"/>
      <c r="N79" s="309"/>
      <c r="O79" s="309"/>
      <c r="P79" s="309"/>
      <c r="Q79" s="309"/>
      <c r="R79" s="309"/>
      <c r="S79" s="309"/>
      <c r="T79" s="309"/>
      <c r="U79" s="309"/>
      <c r="V79" s="309"/>
      <c r="W79" s="309"/>
      <c r="X79" s="309"/>
      <c r="Y79" s="309"/>
      <c r="Z79" s="309"/>
      <c r="AA79" s="309"/>
    </row>
    <row r="80" ht="27.0" customHeight="1">
      <c r="A80" s="282">
        <v>76.0</v>
      </c>
      <c r="B80" s="47">
        <v>1007418.0</v>
      </c>
      <c r="C80" s="283" t="str">
        <f>vlookup(B80,'Crew data for number'!B:C,2,0)</f>
        <v>TAA4070</v>
      </c>
      <c r="D80" s="284" t="str">
        <f>vlookup(B80,'Crew Data'!C:G,5,0)</f>
        <v>Nattaphat Boonprasit</v>
      </c>
      <c r="E80" s="321" t="s">
        <v>2091</v>
      </c>
      <c r="F80" s="322">
        <v>24.0</v>
      </c>
      <c r="G80" s="50">
        <f t="shared" si="1"/>
        <v>9600</v>
      </c>
      <c r="H80" s="22">
        <f t="shared" si="2"/>
        <v>1</v>
      </c>
      <c r="I80" s="323" t="s">
        <v>1763</v>
      </c>
      <c r="J80" s="309"/>
      <c r="K80" s="309"/>
      <c r="L80" s="309"/>
      <c r="M80" s="309"/>
      <c r="N80" s="309"/>
      <c r="O80" s="309"/>
      <c r="P80" s="309"/>
      <c r="Q80" s="309"/>
      <c r="R80" s="309"/>
      <c r="S80" s="309"/>
      <c r="T80" s="309"/>
      <c r="U80" s="309"/>
      <c r="V80" s="309"/>
      <c r="W80" s="309"/>
      <c r="X80" s="309"/>
      <c r="Y80" s="309"/>
      <c r="Z80" s="309"/>
      <c r="AA80" s="309"/>
    </row>
    <row r="81" ht="27.0" customHeight="1">
      <c r="A81" s="282">
        <v>77.0</v>
      </c>
      <c r="B81" s="47">
        <v>1004750.0</v>
      </c>
      <c r="C81" s="283" t="str">
        <f>vlookup(B81,'Crew data for number'!B:C,2,0)</f>
        <v>TAA2973</v>
      </c>
      <c r="D81" s="284" t="str">
        <f>vlookup(B81,'Crew Data'!C:G,5,0)</f>
        <v>#N/A</v>
      </c>
      <c r="E81" s="321" t="s">
        <v>2092</v>
      </c>
      <c r="F81" s="322">
        <v>25.0</v>
      </c>
      <c r="G81" s="50">
        <f t="shared" si="1"/>
        <v>10000</v>
      </c>
      <c r="H81" s="22">
        <f t="shared" si="2"/>
        <v>1</v>
      </c>
      <c r="I81" s="323" t="s">
        <v>1763</v>
      </c>
      <c r="J81" s="309"/>
      <c r="K81" s="309"/>
      <c r="L81" s="309"/>
      <c r="M81" s="309"/>
      <c r="N81" s="309"/>
      <c r="O81" s="309"/>
      <c r="P81" s="309"/>
      <c r="Q81" s="309"/>
      <c r="R81" s="309"/>
      <c r="S81" s="309"/>
      <c r="T81" s="309"/>
      <c r="U81" s="309"/>
      <c r="V81" s="309"/>
      <c r="W81" s="309"/>
      <c r="X81" s="309"/>
      <c r="Y81" s="309"/>
      <c r="Z81" s="309"/>
      <c r="AA81" s="309"/>
    </row>
    <row r="82" ht="27.0" customHeight="1">
      <c r="A82" s="282">
        <v>78.0</v>
      </c>
      <c r="B82" s="47">
        <v>1006740.0</v>
      </c>
      <c r="C82" s="283" t="str">
        <f>vlookup(B82,'Crew data for number'!B:C,2,0)</f>
        <v>TAA3823</v>
      </c>
      <c r="D82" s="284" t="str">
        <f>vlookup(B82,'Crew Data'!C:G,5,0)</f>
        <v>Juthamard Jiarakul</v>
      </c>
      <c r="E82" s="321" t="s">
        <v>2093</v>
      </c>
      <c r="F82" s="322">
        <v>19.0</v>
      </c>
      <c r="G82" s="50">
        <f t="shared" si="1"/>
        <v>7600</v>
      </c>
      <c r="H82" s="22">
        <f t="shared" si="2"/>
        <v>1</v>
      </c>
      <c r="I82" s="323" t="s">
        <v>1763</v>
      </c>
      <c r="J82" s="309"/>
      <c r="K82" s="309"/>
      <c r="L82" s="309"/>
      <c r="M82" s="309"/>
      <c r="N82" s="309"/>
      <c r="O82" s="309"/>
      <c r="P82" s="309"/>
      <c r="Q82" s="309"/>
      <c r="R82" s="309"/>
      <c r="S82" s="309"/>
      <c r="T82" s="309"/>
      <c r="U82" s="309"/>
      <c r="V82" s="309"/>
      <c r="W82" s="309"/>
      <c r="X82" s="309"/>
      <c r="Y82" s="309"/>
      <c r="Z82" s="309"/>
      <c r="AA82" s="309"/>
    </row>
    <row r="83" ht="27.0" customHeight="1">
      <c r="A83" s="282">
        <v>79.0</v>
      </c>
      <c r="B83" s="47">
        <v>1013179.0</v>
      </c>
      <c r="C83" s="283" t="str">
        <f>vlookup(B83,'Crew data for number'!B:C,2,0)</f>
        <v>TAA6398</v>
      </c>
      <c r="D83" s="284" t="str">
        <f>vlookup(B83,'Crew Data'!C:G,5,0)</f>
        <v>Nunapat Towakul</v>
      </c>
      <c r="E83" s="321" t="s">
        <v>2074</v>
      </c>
      <c r="F83" s="322">
        <v>28.0</v>
      </c>
      <c r="G83" s="50">
        <f t="shared" si="1"/>
        <v>11200</v>
      </c>
      <c r="H83" s="22">
        <f t="shared" si="2"/>
        <v>1</v>
      </c>
      <c r="I83" s="323" t="s">
        <v>1763</v>
      </c>
      <c r="J83" s="309"/>
      <c r="K83" s="309"/>
      <c r="L83" s="309"/>
      <c r="M83" s="309"/>
      <c r="N83" s="309"/>
      <c r="O83" s="309"/>
      <c r="P83" s="309"/>
      <c r="Q83" s="309"/>
      <c r="R83" s="309"/>
      <c r="S83" s="309"/>
      <c r="T83" s="309"/>
      <c r="U83" s="309"/>
      <c r="V83" s="309"/>
      <c r="W83" s="309"/>
      <c r="X83" s="309"/>
      <c r="Y83" s="309"/>
      <c r="Z83" s="309"/>
      <c r="AA83" s="309"/>
    </row>
    <row r="84" ht="27.0" customHeight="1">
      <c r="A84" s="282">
        <v>80.0</v>
      </c>
      <c r="B84" s="47">
        <v>1012902.0</v>
      </c>
      <c r="C84" s="283" t="str">
        <f>vlookup(B84,'Crew data for number'!B:C,2,0)</f>
        <v>TAA6361</v>
      </c>
      <c r="D84" s="284" t="str">
        <f>vlookup(B84,'Crew Data'!C:G,5,0)</f>
        <v>Saowarat Sowa</v>
      </c>
      <c r="E84" s="321" t="s">
        <v>2040</v>
      </c>
      <c r="F84" s="322">
        <v>3.0</v>
      </c>
      <c r="G84" s="50">
        <f t="shared" si="1"/>
        <v>1200</v>
      </c>
      <c r="H84" s="22">
        <f t="shared" si="2"/>
        <v>1</v>
      </c>
      <c r="I84" s="323" t="s">
        <v>1763</v>
      </c>
      <c r="J84" s="309"/>
      <c r="K84" s="309"/>
      <c r="L84" s="309"/>
      <c r="M84" s="309"/>
      <c r="N84" s="309"/>
      <c r="O84" s="309"/>
      <c r="P84" s="309"/>
      <c r="Q84" s="309"/>
      <c r="R84" s="309"/>
      <c r="S84" s="309"/>
      <c r="T84" s="309"/>
      <c r="U84" s="309"/>
      <c r="V84" s="309"/>
      <c r="W84" s="309"/>
      <c r="X84" s="309"/>
      <c r="Y84" s="309"/>
      <c r="Z84" s="309"/>
      <c r="AA84" s="309"/>
    </row>
    <row r="85" ht="27.0" customHeight="1">
      <c r="A85" s="282">
        <v>81.0</v>
      </c>
      <c r="B85" s="47">
        <v>1018980.0</v>
      </c>
      <c r="C85" s="283" t="str">
        <f>vlookup(B85,'Crew data for number'!B:C,2,0)</f>
        <v>TAA7838</v>
      </c>
      <c r="D85" s="284" t="str">
        <f>vlookup(B85,'Crew Data'!C:G,5,0)</f>
        <v>#N/A</v>
      </c>
      <c r="E85" s="321" t="s">
        <v>2074</v>
      </c>
      <c r="F85" s="322">
        <v>28.0</v>
      </c>
      <c r="G85" s="50">
        <f t="shared" si="1"/>
        <v>11200</v>
      </c>
      <c r="H85" s="22">
        <f t="shared" si="2"/>
        <v>1</v>
      </c>
      <c r="I85" s="323" t="s">
        <v>1763</v>
      </c>
      <c r="J85" s="309"/>
      <c r="K85" s="309"/>
      <c r="L85" s="309"/>
      <c r="M85" s="309"/>
      <c r="N85" s="309"/>
      <c r="O85" s="309"/>
      <c r="P85" s="309"/>
      <c r="Q85" s="309"/>
      <c r="R85" s="309"/>
      <c r="S85" s="309"/>
      <c r="T85" s="309"/>
      <c r="U85" s="309"/>
      <c r="V85" s="309"/>
      <c r="W85" s="309"/>
      <c r="X85" s="309"/>
      <c r="Y85" s="309"/>
      <c r="Z85" s="309"/>
      <c r="AA85" s="309"/>
    </row>
    <row r="86" ht="27.0" customHeight="1">
      <c r="A86" s="282">
        <v>82.0</v>
      </c>
      <c r="B86" s="47">
        <v>1005759.0</v>
      </c>
      <c r="C86" s="283" t="str">
        <f>vlookup(B86,'Crew data for number'!B:C,2,0)</f>
        <v>TAA3404</v>
      </c>
      <c r="D86" s="284" t="str">
        <f>vlookup(B86,'Crew Data'!C:G,5,0)</f>
        <v>Nirinya Arunthanakulphat</v>
      </c>
      <c r="E86" s="321" t="s">
        <v>2094</v>
      </c>
      <c r="F86" s="322">
        <v>21.0</v>
      </c>
      <c r="G86" s="50">
        <f t="shared" si="1"/>
        <v>8400</v>
      </c>
      <c r="H86" s="22">
        <f t="shared" si="2"/>
        <v>1</v>
      </c>
      <c r="I86" s="323" t="s">
        <v>1770</v>
      </c>
      <c r="J86" s="309"/>
      <c r="K86" s="309"/>
      <c r="L86" s="309"/>
      <c r="M86" s="309"/>
      <c r="N86" s="309"/>
      <c r="O86" s="309"/>
      <c r="P86" s="309"/>
      <c r="Q86" s="309"/>
      <c r="R86" s="309"/>
      <c r="S86" s="309"/>
      <c r="T86" s="309"/>
      <c r="U86" s="309"/>
      <c r="V86" s="309"/>
      <c r="W86" s="309"/>
      <c r="X86" s="309"/>
      <c r="Y86" s="309"/>
      <c r="Z86" s="309"/>
      <c r="AA86" s="309"/>
    </row>
    <row r="87" ht="27.0" customHeight="1">
      <c r="A87" s="282">
        <v>83.0</v>
      </c>
      <c r="B87" s="47">
        <v>1004034.0</v>
      </c>
      <c r="C87" s="283" t="str">
        <f>vlookup(B87,'Crew data for number'!B:C,2,0)</f>
        <v>TAA2566</v>
      </c>
      <c r="D87" s="284" t="str">
        <f>vlookup(B87,'Crew Data'!C:G,5,0)</f>
        <v>Monthon Siribunnakul</v>
      </c>
      <c r="E87" s="321" t="s">
        <v>2095</v>
      </c>
      <c r="F87" s="322">
        <v>7.0</v>
      </c>
      <c r="G87" s="50">
        <f t="shared" si="1"/>
        <v>2800</v>
      </c>
      <c r="H87" s="22">
        <f t="shared" si="2"/>
        <v>1</v>
      </c>
      <c r="I87" s="323" t="s">
        <v>1770</v>
      </c>
      <c r="J87" s="309"/>
      <c r="K87" s="309"/>
      <c r="L87" s="309"/>
      <c r="M87" s="309"/>
      <c r="N87" s="309"/>
      <c r="O87" s="309"/>
      <c r="P87" s="309"/>
      <c r="Q87" s="309"/>
      <c r="R87" s="309"/>
      <c r="S87" s="309"/>
      <c r="T87" s="309"/>
      <c r="U87" s="309"/>
      <c r="V87" s="309"/>
      <c r="W87" s="309"/>
      <c r="X87" s="309"/>
      <c r="Y87" s="309"/>
      <c r="Z87" s="309"/>
      <c r="AA87" s="309"/>
    </row>
    <row r="88" ht="27.0" customHeight="1">
      <c r="A88" s="282">
        <v>84.0</v>
      </c>
      <c r="B88" s="47">
        <v>1012363.0</v>
      </c>
      <c r="C88" s="283" t="str">
        <f>vlookup(B88,'Crew data for number'!B:C,2,0)</f>
        <v>TAA6129</v>
      </c>
      <c r="D88" s="284" t="str">
        <f>vlookup(B88,'Crew Data'!C:G,5,0)</f>
        <v>#N/A</v>
      </c>
      <c r="E88" s="321" t="s">
        <v>2074</v>
      </c>
      <c r="F88" s="322">
        <v>28.0</v>
      </c>
      <c r="G88" s="50">
        <f t="shared" si="1"/>
        <v>11200</v>
      </c>
      <c r="H88" s="22">
        <f t="shared" si="2"/>
        <v>1</v>
      </c>
      <c r="I88" s="323" t="s">
        <v>1763</v>
      </c>
      <c r="J88" s="309"/>
      <c r="K88" s="309"/>
      <c r="L88" s="309"/>
      <c r="M88" s="309"/>
      <c r="N88" s="309"/>
      <c r="O88" s="309"/>
      <c r="P88" s="309"/>
      <c r="Q88" s="309"/>
      <c r="R88" s="309"/>
      <c r="S88" s="309"/>
      <c r="T88" s="309"/>
      <c r="U88" s="309"/>
      <c r="V88" s="309"/>
      <c r="W88" s="309"/>
      <c r="X88" s="309"/>
      <c r="Y88" s="309"/>
      <c r="Z88" s="309"/>
      <c r="AA88" s="309"/>
    </row>
    <row r="89" ht="27.0" customHeight="1">
      <c r="A89" s="282">
        <v>85.0</v>
      </c>
      <c r="B89" s="47">
        <v>1003386.0</v>
      </c>
      <c r="C89" s="283" t="str">
        <f>vlookup(B89,'Crew data for number'!B:C,2,0)</f>
        <v>TAA2424</v>
      </c>
      <c r="D89" s="284" t="str">
        <f>vlookup(B89,'Crew Data'!C:G,5,0)</f>
        <v>#N/A</v>
      </c>
      <c r="E89" s="321" t="s">
        <v>2080</v>
      </c>
      <c r="F89" s="322">
        <v>27.0</v>
      </c>
      <c r="G89" s="50">
        <f t="shared" si="1"/>
        <v>10800</v>
      </c>
      <c r="H89" s="22">
        <f t="shared" si="2"/>
        <v>1</v>
      </c>
      <c r="I89" s="323" t="s">
        <v>1763</v>
      </c>
      <c r="J89" s="309"/>
      <c r="K89" s="309"/>
      <c r="L89" s="309"/>
      <c r="M89" s="309"/>
      <c r="N89" s="309"/>
      <c r="O89" s="309"/>
      <c r="P89" s="309"/>
      <c r="Q89" s="309"/>
      <c r="R89" s="309"/>
      <c r="S89" s="309"/>
      <c r="T89" s="309"/>
      <c r="U89" s="309"/>
      <c r="V89" s="309"/>
      <c r="W89" s="309"/>
      <c r="X89" s="309"/>
      <c r="Y89" s="309"/>
      <c r="Z89" s="309"/>
      <c r="AA89" s="309"/>
    </row>
    <row r="90" ht="27.0" customHeight="1">
      <c r="A90" s="282">
        <v>86.0</v>
      </c>
      <c r="B90" s="47">
        <v>1006897.0</v>
      </c>
      <c r="C90" s="283" t="str">
        <f>vlookup(B90,'Crew data for number'!B:C,2,0)</f>
        <v>TAA3893</v>
      </c>
      <c r="D90" s="284" t="str">
        <f>vlookup(B90,'Crew Data'!C:G,5,0)</f>
        <v>Padejkarn Hanta</v>
      </c>
      <c r="E90" s="321" t="s">
        <v>2096</v>
      </c>
      <c r="F90" s="322">
        <v>24.0</v>
      </c>
      <c r="G90" s="50">
        <f t="shared" si="1"/>
        <v>9600</v>
      </c>
      <c r="H90" s="22">
        <f t="shared" si="2"/>
        <v>1</v>
      </c>
      <c r="I90" s="323" t="s">
        <v>1763</v>
      </c>
      <c r="J90" s="309"/>
      <c r="K90" s="309"/>
      <c r="L90" s="309"/>
      <c r="M90" s="309"/>
      <c r="N90" s="309"/>
      <c r="O90" s="309"/>
      <c r="P90" s="309"/>
      <c r="Q90" s="309"/>
      <c r="R90" s="309"/>
      <c r="S90" s="309"/>
      <c r="T90" s="309"/>
      <c r="U90" s="309"/>
      <c r="V90" s="309"/>
      <c r="W90" s="309"/>
      <c r="X90" s="309"/>
      <c r="Y90" s="309"/>
      <c r="Z90" s="309"/>
      <c r="AA90" s="309"/>
    </row>
    <row r="91" ht="27.0" customHeight="1">
      <c r="A91" s="282">
        <v>87.0</v>
      </c>
      <c r="B91" s="47">
        <v>1012901.0</v>
      </c>
      <c r="C91" s="283" t="str">
        <f>vlookup(B91,'Crew data for number'!B:C,2,0)</f>
        <v>TAA6367</v>
      </c>
      <c r="D91" s="284" t="str">
        <f>vlookup(B91,'Crew Data'!C:G,5,0)</f>
        <v>Sandao Siriwarunrak</v>
      </c>
      <c r="E91" s="321" t="s">
        <v>2097</v>
      </c>
      <c r="F91" s="322">
        <v>27.0</v>
      </c>
      <c r="G91" s="50">
        <f t="shared" si="1"/>
        <v>10800</v>
      </c>
      <c r="H91" s="22">
        <f t="shared" si="2"/>
        <v>1</v>
      </c>
      <c r="I91" s="323" t="s">
        <v>1763</v>
      </c>
      <c r="J91" s="309"/>
      <c r="K91" s="309"/>
      <c r="L91" s="309"/>
      <c r="M91" s="309"/>
      <c r="N91" s="309"/>
      <c r="O91" s="309"/>
      <c r="P91" s="309"/>
      <c r="Q91" s="309"/>
      <c r="R91" s="309"/>
      <c r="S91" s="309"/>
      <c r="T91" s="309"/>
      <c r="U91" s="309"/>
      <c r="V91" s="309"/>
      <c r="W91" s="309"/>
      <c r="X91" s="309"/>
      <c r="Y91" s="309"/>
      <c r="Z91" s="309"/>
      <c r="AA91" s="309"/>
    </row>
    <row r="92" ht="27.0" customHeight="1">
      <c r="A92" s="282">
        <v>88.0</v>
      </c>
      <c r="B92" s="47">
        <v>1014329.0</v>
      </c>
      <c r="C92" s="283" t="str">
        <f>vlookup(B92,'Crew data for number'!B:C,2,0)</f>
        <v>TAA6870</v>
      </c>
      <c r="D92" s="284" t="str">
        <f>vlookup(B92,'Crew Data'!C:G,5,0)</f>
        <v>Kanicha Sae-toen</v>
      </c>
      <c r="E92" s="321" t="s">
        <v>2098</v>
      </c>
      <c r="F92" s="322">
        <v>5.0</v>
      </c>
      <c r="G92" s="50">
        <f t="shared" si="1"/>
        <v>2000</v>
      </c>
      <c r="H92" s="22">
        <f t="shared" si="2"/>
        <v>1</v>
      </c>
      <c r="I92" s="323" t="s">
        <v>1763</v>
      </c>
      <c r="J92" s="309"/>
      <c r="K92" s="309"/>
      <c r="L92" s="309"/>
      <c r="M92" s="309"/>
      <c r="N92" s="309"/>
      <c r="O92" s="309"/>
      <c r="P92" s="309"/>
      <c r="Q92" s="309"/>
      <c r="R92" s="309"/>
      <c r="S92" s="309"/>
      <c r="T92" s="309"/>
      <c r="U92" s="309"/>
      <c r="V92" s="309"/>
      <c r="W92" s="309"/>
      <c r="X92" s="309"/>
      <c r="Y92" s="309"/>
      <c r="Z92" s="309"/>
      <c r="AA92" s="309"/>
    </row>
    <row r="93" ht="27.0" customHeight="1">
      <c r="A93" s="282">
        <v>89.0</v>
      </c>
      <c r="B93" s="47">
        <v>1004030.0</v>
      </c>
      <c r="C93" s="283" t="str">
        <f>vlookup(B93,'Crew data for number'!B:C,2,0)</f>
        <v>TAA2560</v>
      </c>
      <c r="D93" s="284" t="str">
        <f>vlookup(B93,'Crew Data'!C:G,5,0)</f>
        <v>Kulpornpat Srikulchaipat</v>
      </c>
      <c r="E93" s="321" t="s">
        <v>2099</v>
      </c>
      <c r="F93" s="322">
        <v>5.0</v>
      </c>
      <c r="G93" s="50">
        <f t="shared" si="1"/>
        <v>2000</v>
      </c>
      <c r="H93" s="22">
        <f t="shared" si="2"/>
        <v>1</v>
      </c>
      <c r="I93" s="323" t="s">
        <v>1763</v>
      </c>
      <c r="J93" s="309"/>
      <c r="K93" s="309"/>
      <c r="L93" s="309"/>
      <c r="M93" s="309"/>
      <c r="N93" s="309"/>
      <c r="O93" s="309"/>
      <c r="P93" s="309"/>
      <c r="Q93" s="309"/>
      <c r="R93" s="309"/>
      <c r="S93" s="309"/>
      <c r="T93" s="309"/>
      <c r="U93" s="309"/>
      <c r="V93" s="309"/>
      <c r="W93" s="309"/>
      <c r="X93" s="309"/>
      <c r="Y93" s="309"/>
      <c r="Z93" s="309"/>
      <c r="AA93" s="309"/>
    </row>
    <row r="94" ht="27.0" customHeight="1">
      <c r="A94" s="282">
        <v>90.0</v>
      </c>
      <c r="B94" s="47">
        <v>1011820.0</v>
      </c>
      <c r="C94" s="283" t="str">
        <f>vlookup(B94,'Crew data for number'!B:C,2,0)</f>
        <v>TAA6097</v>
      </c>
      <c r="D94" s="284" t="str">
        <f>vlookup(B94,'Crew Data'!C:G,5,0)</f>
        <v>Nitithorn Chiangpradit</v>
      </c>
      <c r="E94" s="321" t="s">
        <v>2100</v>
      </c>
      <c r="F94" s="322">
        <v>4.0</v>
      </c>
      <c r="G94" s="50">
        <f t="shared" si="1"/>
        <v>1600</v>
      </c>
      <c r="H94" s="22">
        <f t="shared" si="2"/>
        <v>1</v>
      </c>
      <c r="I94" s="323" t="s">
        <v>1763</v>
      </c>
      <c r="J94" s="309"/>
      <c r="K94" s="309"/>
      <c r="L94" s="309"/>
      <c r="M94" s="309"/>
      <c r="N94" s="309"/>
      <c r="O94" s="309"/>
      <c r="P94" s="309"/>
      <c r="Q94" s="309"/>
      <c r="R94" s="309"/>
      <c r="S94" s="309"/>
      <c r="T94" s="309"/>
      <c r="U94" s="309"/>
      <c r="V94" s="309"/>
      <c r="W94" s="309"/>
      <c r="X94" s="309"/>
      <c r="Y94" s="309"/>
      <c r="Z94" s="309"/>
      <c r="AA94" s="309"/>
    </row>
    <row r="95" ht="27.0" customHeight="1">
      <c r="A95" s="282">
        <v>91.0</v>
      </c>
      <c r="B95" s="47">
        <v>1007308.0</v>
      </c>
      <c r="C95" s="283" t="str">
        <f>vlookup(B95,'Crew data for number'!B:C,2,0)</f>
        <v>TAA4655</v>
      </c>
      <c r="D95" s="284" t="str">
        <f>vlookup(B95,'Crew Data'!C:G,5,0)</f>
        <v>Pichai Jareerattanachart</v>
      </c>
      <c r="E95" s="321" t="s">
        <v>2080</v>
      </c>
      <c r="F95" s="322">
        <v>27.0</v>
      </c>
      <c r="G95" s="50">
        <f t="shared" si="1"/>
        <v>10800</v>
      </c>
      <c r="H95" s="22">
        <f t="shared" si="2"/>
        <v>1</v>
      </c>
      <c r="I95" s="323" t="s">
        <v>1763</v>
      </c>
      <c r="J95" s="309"/>
      <c r="K95" s="309"/>
      <c r="L95" s="309"/>
      <c r="M95" s="309"/>
      <c r="N95" s="309"/>
      <c r="O95" s="309"/>
      <c r="P95" s="309"/>
      <c r="Q95" s="309"/>
      <c r="R95" s="309"/>
      <c r="S95" s="309"/>
      <c r="T95" s="309"/>
      <c r="U95" s="309"/>
      <c r="V95" s="309"/>
      <c r="W95" s="309"/>
      <c r="X95" s="309"/>
      <c r="Y95" s="309"/>
      <c r="Z95" s="309"/>
      <c r="AA95" s="309"/>
    </row>
    <row r="96" ht="27.0" customHeight="1">
      <c r="A96" s="282">
        <v>92.0</v>
      </c>
      <c r="B96" s="47">
        <v>1004127.0</v>
      </c>
      <c r="C96" s="283" t="str">
        <f>vlookup(B96,'Crew data for number'!B:C,2,0)</f>
        <v>TAA2655</v>
      </c>
      <c r="D96" s="284" t="str">
        <f>vlookup(B96,'Crew Data'!C:G,5,0)</f>
        <v>Thawinun Arunnuntapanich</v>
      </c>
      <c r="E96" s="321" t="s">
        <v>2080</v>
      </c>
      <c r="F96" s="322">
        <v>27.0</v>
      </c>
      <c r="G96" s="50">
        <f t="shared" si="1"/>
        <v>10800</v>
      </c>
      <c r="H96" s="22">
        <f t="shared" si="2"/>
        <v>1</v>
      </c>
      <c r="I96" s="323" t="s">
        <v>1763</v>
      </c>
      <c r="J96" s="309"/>
      <c r="K96" s="309"/>
      <c r="L96" s="309"/>
      <c r="M96" s="309"/>
      <c r="N96" s="309"/>
      <c r="O96" s="309"/>
      <c r="P96" s="309"/>
      <c r="Q96" s="309"/>
      <c r="R96" s="309"/>
      <c r="S96" s="309"/>
      <c r="T96" s="309"/>
      <c r="U96" s="309"/>
      <c r="V96" s="309"/>
      <c r="W96" s="309"/>
      <c r="X96" s="309"/>
      <c r="Y96" s="309"/>
      <c r="Z96" s="309"/>
      <c r="AA96" s="309"/>
    </row>
    <row r="97" ht="27.0" customHeight="1">
      <c r="A97" s="282">
        <v>93.0</v>
      </c>
      <c r="B97" s="47">
        <v>1018968.0</v>
      </c>
      <c r="C97" s="283" t="str">
        <f>vlookup(B97,'Crew data for number'!B:C,2,0)</f>
        <v>TAA7837</v>
      </c>
      <c r="D97" s="284" t="str">
        <f>vlookup(B97,'Crew Data'!C:G,5,0)</f>
        <v>#N/A</v>
      </c>
      <c r="E97" s="321" t="s">
        <v>2101</v>
      </c>
      <c r="F97" s="322">
        <v>24.0</v>
      </c>
      <c r="G97" s="50">
        <f t="shared" si="1"/>
        <v>9600</v>
      </c>
      <c r="H97" s="22">
        <f t="shared" si="2"/>
        <v>1</v>
      </c>
      <c r="I97" s="323" t="s">
        <v>1763</v>
      </c>
      <c r="J97" s="309"/>
      <c r="K97" s="309"/>
      <c r="L97" s="309"/>
      <c r="M97" s="309"/>
      <c r="N97" s="309"/>
      <c r="O97" s="309"/>
      <c r="P97" s="309"/>
      <c r="Q97" s="309"/>
      <c r="R97" s="309"/>
      <c r="S97" s="309"/>
      <c r="T97" s="309"/>
      <c r="U97" s="309"/>
      <c r="V97" s="309"/>
      <c r="W97" s="309"/>
      <c r="X97" s="309"/>
      <c r="Y97" s="309"/>
      <c r="Z97" s="309"/>
      <c r="AA97" s="309"/>
    </row>
    <row r="98" ht="27.0" customHeight="1">
      <c r="A98" s="282">
        <v>94.0</v>
      </c>
      <c r="B98" s="47">
        <v>1004317.0</v>
      </c>
      <c r="C98" s="283" t="str">
        <f>vlookup(B98,'Crew data for number'!B:C,2,0)</f>
        <v>TAA2950</v>
      </c>
      <c r="D98" s="284" t="str">
        <f>vlookup(B98,'Crew Data'!C:G,5,0)</f>
        <v>Narit Aimwat</v>
      </c>
      <c r="E98" s="321" t="s">
        <v>2102</v>
      </c>
      <c r="F98" s="322">
        <v>25.0</v>
      </c>
      <c r="G98" s="50">
        <f t="shared" si="1"/>
        <v>10000</v>
      </c>
      <c r="H98" s="22">
        <f t="shared" si="2"/>
        <v>1</v>
      </c>
      <c r="I98" s="323" t="s">
        <v>1763</v>
      </c>
      <c r="J98" s="309"/>
      <c r="K98" s="309"/>
      <c r="L98" s="309"/>
      <c r="M98" s="309"/>
      <c r="N98" s="309"/>
      <c r="O98" s="309"/>
      <c r="P98" s="309"/>
      <c r="Q98" s="309"/>
      <c r="R98" s="309"/>
      <c r="S98" s="309"/>
      <c r="T98" s="309"/>
      <c r="U98" s="309"/>
      <c r="V98" s="309"/>
      <c r="W98" s="309"/>
      <c r="X98" s="309"/>
      <c r="Y98" s="309"/>
      <c r="Z98" s="309"/>
      <c r="AA98" s="309"/>
    </row>
    <row r="99" ht="27.0" customHeight="1">
      <c r="A99" s="282">
        <v>95.0</v>
      </c>
      <c r="B99" s="47">
        <v>1017656.0</v>
      </c>
      <c r="C99" s="283" t="str">
        <f>vlookup(B99,'Crew data for number'!B:C,2,0)</f>
        <v>TAA7525</v>
      </c>
      <c r="D99" s="284" t="str">
        <f>vlookup(B99,'Crew Data'!C:G,5,0)</f>
        <v>#N/A</v>
      </c>
      <c r="E99" s="321" t="s">
        <v>2103</v>
      </c>
      <c r="F99" s="322">
        <v>25.0</v>
      </c>
      <c r="G99" s="50">
        <f t="shared" si="1"/>
        <v>10000</v>
      </c>
      <c r="H99" s="22">
        <f t="shared" si="2"/>
        <v>1</v>
      </c>
      <c r="I99" s="323" t="s">
        <v>1763</v>
      </c>
      <c r="J99" s="309"/>
      <c r="K99" s="309"/>
      <c r="L99" s="309"/>
      <c r="M99" s="309"/>
      <c r="N99" s="309"/>
      <c r="O99" s="309"/>
      <c r="P99" s="309"/>
      <c r="Q99" s="309"/>
      <c r="R99" s="309"/>
      <c r="S99" s="309"/>
      <c r="T99" s="309"/>
      <c r="U99" s="309"/>
      <c r="V99" s="309"/>
      <c r="W99" s="309"/>
      <c r="X99" s="309"/>
      <c r="Y99" s="309"/>
      <c r="Z99" s="309"/>
      <c r="AA99" s="309"/>
    </row>
    <row r="100" ht="27.0" customHeight="1">
      <c r="A100" s="282">
        <v>96.0</v>
      </c>
      <c r="B100" s="47">
        <v>1001319.0</v>
      </c>
      <c r="C100" s="283" t="str">
        <f>vlookup(B100,'Crew data for number'!B:C,2,0)</f>
        <v>TAA1303</v>
      </c>
      <c r="D100" s="284" t="str">
        <f>vlookup(B100,'Crew Data'!C:G,5,0)</f>
        <v>Wipat Lurkasemsuk</v>
      </c>
      <c r="E100" s="321" t="s">
        <v>2104</v>
      </c>
      <c r="F100" s="322">
        <v>25.0</v>
      </c>
      <c r="G100" s="50">
        <f t="shared" si="1"/>
        <v>10000</v>
      </c>
      <c r="H100" s="22">
        <f t="shared" si="2"/>
        <v>1</v>
      </c>
      <c r="I100" s="323" t="s">
        <v>1763</v>
      </c>
      <c r="J100" s="309"/>
      <c r="K100" s="309"/>
      <c r="L100" s="309"/>
      <c r="M100" s="309"/>
      <c r="N100" s="309"/>
      <c r="O100" s="309"/>
      <c r="P100" s="309"/>
      <c r="Q100" s="309"/>
      <c r="R100" s="309"/>
      <c r="S100" s="309"/>
      <c r="T100" s="309"/>
      <c r="U100" s="309"/>
      <c r="V100" s="309"/>
      <c r="W100" s="309"/>
      <c r="X100" s="309"/>
      <c r="Y100" s="309"/>
      <c r="Z100" s="309"/>
      <c r="AA100" s="309"/>
    </row>
    <row r="101" ht="27.0" customHeight="1">
      <c r="A101" s="282">
        <v>97.0</v>
      </c>
      <c r="B101" s="47">
        <v>1007273.0</v>
      </c>
      <c r="C101" s="283" t="str">
        <f>vlookup(B101,'Crew data for number'!B:C,2,0)</f>
        <v>TAA4089</v>
      </c>
      <c r="D101" s="284" t="str">
        <f>vlookup(B101,'Crew Data'!C:G,5,0)</f>
        <v>Sarinya Phontong</v>
      </c>
      <c r="E101" s="321" t="s">
        <v>2105</v>
      </c>
      <c r="F101" s="322">
        <v>55.0</v>
      </c>
      <c r="G101" s="50">
        <f t="shared" si="1"/>
        <v>22000</v>
      </c>
      <c r="H101" s="22">
        <f t="shared" si="2"/>
        <v>1</v>
      </c>
      <c r="I101" s="323" t="s">
        <v>1770</v>
      </c>
      <c r="J101" s="309"/>
      <c r="K101" s="309"/>
      <c r="L101" s="309"/>
      <c r="M101" s="309"/>
      <c r="N101" s="309"/>
      <c r="O101" s="309"/>
      <c r="P101" s="309"/>
      <c r="Q101" s="309"/>
      <c r="R101" s="309"/>
      <c r="S101" s="309"/>
      <c r="T101" s="309"/>
      <c r="U101" s="309"/>
      <c r="V101" s="309"/>
      <c r="W101" s="309"/>
      <c r="X101" s="309"/>
      <c r="Y101" s="309"/>
      <c r="Z101" s="309"/>
      <c r="AA101" s="309"/>
    </row>
    <row r="102" ht="27.0" customHeight="1">
      <c r="A102" s="282">
        <v>98.0</v>
      </c>
      <c r="B102" s="47">
        <v>1005283.0</v>
      </c>
      <c r="C102" s="283" t="str">
        <f>vlookup(B102,'Crew data for number'!B:C,2,0)</f>
        <v>TAA3173</v>
      </c>
      <c r="D102" s="284" t="str">
        <f>vlookup(B102,'Crew Data'!C:G,5,0)</f>
        <v>#N/A</v>
      </c>
      <c r="E102" s="321" t="s">
        <v>2106</v>
      </c>
      <c r="F102" s="322">
        <v>7.0</v>
      </c>
      <c r="G102" s="50">
        <f t="shared" si="1"/>
        <v>2800</v>
      </c>
      <c r="H102" s="22">
        <f t="shared" si="2"/>
        <v>1</v>
      </c>
      <c r="I102" s="323" t="s">
        <v>1763</v>
      </c>
      <c r="J102" s="309"/>
      <c r="K102" s="309"/>
      <c r="L102" s="309"/>
      <c r="M102" s="309"/>
      <c r="N102" s="309"/>
      <c r="O102" s="309"/>
      <c r="P102" s="309"/>
      <c r="Q102" s="309"/>
      <c r="R102" s="309"/>
      <c r="S102" s="309"/>
      <c r="T102" s="309"/>
      <c r="U102" s="309"/>
      <c r="V102" s="309"/>
      <c r="W102" s="309"/>
      <c r="X102" s="309"/>
      <c r="Y102" s="309"/>
      <c r="Z102" s="309"/>
      <c r="AA102" s="309"/>
    </row>
    <row r="103" ht="27.0" customHeight="1">
      <c r="A103" s="282">
        <v>99.0</v>
      </c>
      <c r="B103" s="47">
        <v>1006082.0</v>
      </c>
      <c r="C103" s="283" t="str">
        <f>vlookup(B103,'Crew data for number'!B:C,2,0)</f>
        <v>TAA3616</v>
      </c>
      <c r="D103" s="284" t="str">
        <f>vlookup(B103,'Crew Data'!C:G,5,0)</f>
        <v>#N/A</v>
      </c>
      <c r="E103" s="263">
        <v>43523.0</v>
      </c>
      <c r="F103" s="322">
        <v>1.0</v>
      </c>
      <c r="G103" s="50">
        <f t="shared" si="1"/>
        <v>400</v>
      </c>
      <c r="H103" s="22">
        <f t="shared" si="2"/>
        <v>1</v>
      </c>
      <c r="I103" s="323" t="s">
        <v>1763</v>
      </c>
      <c r="J103" s="309"/>
      <c r="K103" s="309"/>
      <c r="L103" s="309"/>
      <c r="M103" s="309"/>
      <c r="N103" s="309"/>
      <c r="O103" s="309"/>
      <c r="P103" s="309"/>
      <c r="Q103" s="309"/>
      <c r="R103" s="309"/>
      <c r="S103" s="309"/>
      <c r="T103" s="309"/>
      <c r="U103" s="309"/>
      <c r="V103" s="309"/>
      <c r="W103" s="309"/>
      <c r="X103" s="309"/>
      <c r="Y103" s="309"/>
      <c r="Z103" s="309"/>
      <c r="AA103" s="309"/>
    </row>
    <row r="104" ht="27.0" customHeight="1">
      <c r="A104" s="282">
        <v>100.0</v>
      </c>
      <c r="B104" s="47">
        <v>1017919.0</v>
      </c>
      <c r="C104" s="283" t="str">
        <f>vlookup(B104,'Crew data for number'!B:C,2,0)</f>
        <v>TAA7531</v>
      </c>
      <c r="D104" s="284" t="str">
        <f>vlookup(B104,'Crew Data'!C:G,5,0)</f>
        <v>Asanlaya Choomit</v>
      </c>
      <c r="E104" s="321" t="s">
        <v>2107</v>
      </c>
      <c r="F104" s="322">
        <v>22.0</v>
      </c>
      <c r="G104" s="50">
        <f t="shared" si="1"/>
        <v>8800</v>
      </c>
      <c r="H104" s="22">
        <f t="shared" si="2"/>
        <v>1</v>
      </c>
      <c r="I104" s="323" t="s">
        <v>1763</v>
      </c>
      <c r="J104" s="309"/>
      <c r="K104" s="309"/>
      <c r="L104" s="309"/>
      <c r="M104" s="309"/>
      <c r="N104" s="309"/>
      <c r="O104" s="309"/>
      <c r="P104" s="309"/>
      <c r="Q104" s="309"/>
      <c r="R104" s="309"/>
      <c r="S104" s="309"/>
      <c r="T104" s="309"/>
      <c r="U104" s="309"/>
      <c r="V104" s="309"/>
      <c r="W104" s="309"/>
      <c r="X104" s="309"/>
      <c r="Y104" s="309"/>
      <c r="Z104" s="309"/>
      <c r="AA104" s="309"/>
    </row>
    <row r="105" ht="27.0" customHeight="1">
      <c r="A105" s="282">
        <v>101.0</v>
      </c>
      <c r="B105" s="47">
        <v>1009768.0</v>
      </c>
      <c r="C105" s="283" t="str">
        <f>vlookup(B105,'Crew data for number'!B:C,2,0)</f>
        <v>TAA5135</v>
      </c>
      <c r="D105" s="284" t="str">
        <f>vlookup(B105,'Crew Data'!C:G,5,0)</f>
        <v>Thidech Eakmongkollert</v>
      </c>
      <c r="E105" s="321" t="s">
        <v>2108</v>
      </c>
      <c r="F105" s="322">
        <v>21.0</v>
      </c>
      <c r="G105" s="50">
        <f t="shared" si="1"/>
        <v>8400</v>
      </c>
      <c r="H105" s="22">
        <f t="shared" si="2"/>
        <v>1</v>
      </c>
      <c r="I105" s="323" t="s">
        <v>1763</v>
      </c>
      <c r="J105" s="309"/>
      <c r="K105" s="309"/>
      <c r="L105" s="309"/>
      <c r="M105" s="309"/>
      <c r="N105" s="309"/>
      <c r="O105" s="309"/>
      <c r="P105" s="309"/>
      <c r="Q105" s="309"/>
      <c r="R105" s="309"/>
      <c r="S105" s="309"/>
      <c r="T105" s="309"/>
      <c r="U105" s="309"/>
      <c r="V105" s="309"/>
      <c r="W105" s="309"/>
      <c r="X105" s="309"/>
      <c r="Y105" s="309"/>
      <c r="Z105" s="309"/>
      <c r="AA105" s="309"/>
    </row>
    <row r="106" ht="27.0" customHeight="1">
      <c r="A106" s="282">
        <v>102.0</v>
      </c>
      <c r="B106" s="47">
        <v>1006860.0</v>
      </c>
      <c r="C106" s="283" t="str">
        <f>vlookup(B106,'Crew data for number'!B:C,2,0)</f>
        <v>TAA3883</v>
      </c>
      <c r="D106" s="284" t="str">
        <f>vlookup(B106,'Crew Data'!C:G,5,0)</f>
        <v>#N/A</v>
      </c>
      <c r="E106" s="321" t="s">
        <v>2074</v>
      </c>
      <c r="F106" s="322">
        <v>28.0</v>
      </c>
      <c r="G106" s="50">
        <f t="shared" si="1"/>
        <v>11200</v>
      </c>
      <c r="H106" s="22">
        <f t="shared" si="2"/>
        <v>1</v>
      </c>
      <c r="I106" s="323" t="s">
        <v>1763</v>
      </c>
      <c r="J106" s="309"/>
      <c r="K106" s="309"/>
      <c r="L106" s="309"/>
      <c r="M106" s="309"/>
      <c r="N106" s="309"/>
      <c r="O106" s="309"/>
      <c r="P106" s="309"/>
      <c r="Q106" s="309"/>
      <c r="R106" s="309"/>
      <c r="S106" s="309"/>
      <c r="T106" s="309"/>
      <c r="U106" s="309"/>
      <c r="V106" s="309"/>
      <c r="W106" s="309"/>
      <c r="X106" s="309"/>
      <c r="Y106" s="309"/>
      <c r="Z106" s="309"/>
      <c r="AA106" s="309"/>
    </row>
    <row r="107" ht="27.0" customHeight="1">
      <c r="A107" s="282">
        <v>103.0</v>
      </c>
      <c r="B107" s="47">
        <v>1004757.0</v>
      </c>
      <c r="C107" s="283" t="str">
        <f>vlookup(B107,'Crew data for number'!B:C,2,0)</f>
        <v>TAA2967</v>
      </c>
      <c r="D107" s="284" t="str">
        <f>vlookup(B107,'Crew Data'!C:G,5,0)</f>
        <v>Pimwaree Makmee</v>
      </c>
      <c r="E107" s="321" t="s">
        <v>2074</v>
      </c>
      <c r="F107" s="322">
        <v>28.0</v>
      </c>
      <c r="G107" s="50">
        <f t="shared" si="1"/>
        <v>11200</v>
      </c>
      <c r="H107" s="22">
        <f t="shared" si="2"/>
        <v>1</v>
      </c>
      <c r="I107" s="323" t="s">
        <v>1763</v>
      </c>
      <c r="J107" s="309"/>
      <c r="K107" s="309"/>
      <c r="L107" s="309"/>
      <c r="M107" s="309"/>
      <c r="N107" s="309"/>
      <c r="O107" s="309"/>
      <c r="P107" s="309"/>
      <c r="Q107" s="309"/>
      <c r="R107" s="309"/>
      <c r="S107" s="309"/>
      <c r="T107" s="309"/>
      <c r="U107" s="309"/>
      <c r="V107" s="309"/>
      <c r="W107" s="309"/>
      <c r="X107" s="309"/>
      <c r="Y107" s="309"/>
      <c r="Z107" s="309"/>
      <c r="AA107" s="309"/>
    </row>
    <row r="108" ht="27.0" customHeight="1">
      <c r="A108" s="282">
        <v>104.0</v>
      </c>
      <c r="B108" s="47">
        <v>1018531.0</v>
      </c>
      <c r="C108" s="283" t="str">
        <f>vlookup(B108,'Crew data for number'!B:C,2,0)</f>
        <v>TAA7752</v>
      </c>
      <c r="D108" s="284" t="str">
        <f>vlookup(B108,'Crew Data'!C:G,5,0)</f>
        <v>Chawit Donsawee</v>
      </c>
      <c r="E108" s="321" t="s">
        <v>2109</v>
      </c>
      <c r="F108" s="322">
        <v>21.0</v>
      </c>
      <c r="G108" s="50">
        <f t="shared" si="1"/>
        <v>8400</v>
      </c>
      <c r="H108" s="22">
        <f t="shared" si="2"/>
        <v>1</v>
      </c>
      <c r="I108" s="323" t="s">
        <v>1763</v>
      </c>
      <c r="J108" s="309"/>
      <c r="K108" s="309"/>
      <c r="L108" s="309"/>
      <c r="M108" s="309"/>
      <c r="N108" s="309"/>
      <c r="O108" s="309"/>
      <c r="P108" s="309"/>
      <c r="Q108" s="309"/>
      <c r="R108" s="309"/>
      <c r="S108" s="309"/>
      <c r="T108" s="309"/>
      <c r="U108" s="309"/>
      <c r="V108" s="309"/>
      <c r="W108" s="309"/>
      <c r="X108" s="309"/>
      <c r="Y108" s="309"/>
      <c r="Z108" s="309"/>
      <c r="AA108" s="309"/>
    </row>
    <row r="109" ht="27.0" customHeight="1">
      <c r="A109" s="282">
        <v>105.0</v>
      </c>
      <c r="B109" s="47">
        <v>1011813.0</v>
      </c>
      <c r="C109" s="283" t="str">
        <f>vlookup(B109,'Crew data for number'!B:C,2,0)</f>
        <v>TAA6118</v>
      </c>
      <c r="D109" s="284" t="str">
        <f>vlookup(B109,'Crew Data'!C:G,5,0)</f>
        <v>Kathaleeya Jaroensuk</v>
      </c>
      <c r="E109" s="321" t="s">
        <v>2054</v>
      </c>
      <c r="F109" s="322">
        <v>3.0</v>
      </c>
      <c r="G109" s="50">
        <f t="shared" si="1"/>
        <v>1200</v>
      </c>
      <c r="H109" s="22">
        <f t="shared" si="2"/>
        <v>1</v>
      </c>
      <c r="I109" s="323" t="s">
        <v>1763</v>
      </c>
      <c r="J109" s="309"/>
      <c r="K109" s="309"/>
      <c r="L109" s="309"/>
      <c r="M109" s="309"/>
      <c r="N109" s="309"/>
      <c r="O109" s="309"/>
      <c r="P109" s="309"/>
      <c r="Q109" s="309"/>
      <c r="R109" s="309"/>
      <c r="S109" s="309"/>
      <c r="T109" s="309"/>
      <c r="U109" s="309"/>
      <c r="V109" s="309"/>
      <c r="W109" s="309"/>
      <c r="X109" s="309"/>
      <c r="Y109" s="309"/>
      <c r="Z109" s="309"/>
      <c r="AA109" s="309"/>
    </row>
    <row r="110" ht="27.0" customHeight="1">
      <c r="A110" s="282">
        <v>106.0</v>
      </c>
      <c r="B110" s="47">
        <v>1004207.0</v>
      </c>
      <c r="C110" s="283" t="str">
        <f>vlookup(B110,'Crew data for number'!B:C,2,0)</f>
        <v>TAA2687</v>
      </c>
      <c r="D110" s="284" t="str">
        <f>vlookup(B110,'Crew Data'!C:G,5,0)</f>
        <v>#N/A</v>
      </c>
      <c r="E110" s="321" t="s">
        <v>2080</v>
      </c>
      <c r="F110" s="322">
        <v>27.0</v>
      </c>
      <c r="G110" s="50">
        <f t="shared" si="1"/>
        <v>10800</v>
      </c>
      <c r="H110" s="22">
        <f t="shared" si="2"/>
        <v>1</v>
      </c>
      <c r="I110" s="323" t="s">
        <v>1763</v>
      </c>
      <c r="J110" s="309"/>
      <c r="K110" s="309"/>
      <c r="L110" s="309"/>
      <c r="M110" s="309"/>
      <c r="N110" s="309"/>
      <c r="O110" s="309"/>
      <c r="P110" s="309"/>
      <c r="Q110" s="309"/>
      <c r="R110" s="309"/>
      <c r="S110" s="309"/>
      <c r="T110" s="309"/>
      <c r="U110" s="309"/>
      <c r="V110" s="309"/>
      <c r="W110" s="309"/>
      <c r="X110" s="309"/>
      <c r="Y110" s="309"/>
      <c r="Z110" s="309"/>
      <c r="AA110" s="309"/>
    </row>
    <row r="111" ht="27.0" customHeight="1">
      <c r="A111" s="282">
        <v>107.0</v>
      </c>
      <c r="B111" s="47">
        <v>1011078.0</v>
      </c>
      <c r="C111" s="283" t="str">
        <f>vlookup(B111,'Crew data for number'!B:C,2,0)</f>
        <v>TAA5673</v>
      </c>
      <c r="D111" s="284" t="str">
        <f>vlookup(B111,'Crew Data'!C:G,5,0)</f>
        <v>#N/A</v>
      </c>
      <c r="E111" s="321" t="s">
        <v>2110</v>
      </c>
      <c r="F111" s="322">
        <v>26.0</v>
      </c>
      <c r="G111" s="50">
        <f t="shared" si="1"/>
        <v>10400</v>
      </c>
      <c r="H111" s="22">
        <f t="shared" si="2"/>
        <v>1</v>
      </c>
      <c r="I111" s="323" t="s">
        <v>1763</v>
      </c>
      <c r="J111" s="309"/>
      <c r="K111" s="309"/>
      <c r="L111" s="309"/>
      <c r="M111" s="309"/>
      <c r="N111" s="309"/>
      <c r="O111" s="309"/>
      <c r="P111" s="309"/>
      <c r="Q111" s="309"/>
      <c r="R111" s="309"/>
      <c r="S111" s="309"/>
      <c r="T111" s="309"/>
      <c r="U111" s="309"/>
      <c r="V111" s="309"/>
      <c r="W111" s="309"/>
      <c r="X111" s="309"/>
      <c r="Y111" s="309"/>
      <c r="Z111" s="309"/>
      <c r="AA111" s="309"/>
    </row>
    <row r="112" ht="27.0" customHeight="1">
      <c r="A112" s="282">
        <v>108.0</v>
      </c>
      <c r="B112" s="47">
        <v>1003942.0</v>
      </c>
      <c r="C112" s="283" t="str">
        <f>vlookup(B112,'Crew data for number'!B:C,2,0)</f>
        <v>TAA2769</v>
      </c>
      <c r="D112" s="284" t="str">
        <f>vlookup(B112,'Crew Data'!C:G,5,0)</f>
        <v>Wilawan Auttamaphan</v>
      </c>
      <c r="E112" s="321" t="s">
        <v>2111</v>
      </c>
      <c r="F112" s="322">
        <v>23.0</v>
      </c>
      <c r="G112" s="50">
        <f t="shared" si="1"/>
        <v>9200</v>
      </c>
      <c r="H112" s="22">
        <f t="shared" si="2"/>
        <v>1</v>
      </c>
      <c r="I112" s="323" t="s">
        <v>1763</v>
      </c>
      <c r="J112" s="309"/>
      <c r="K112" s="309"/>
      <c r="L112" s="309"/>
      <c r="M112" s="309"/>
      <c r="N112" s="309"/>
      <c r="O112" s="309"/>
      <c r="P112" s="309"/>
      <c r="Q112" s="309"/>
      <c r="R112" s="309"/>
      <c r="S112" s="309"/>
      <c r="T112" s="309"/>
      <c r="U112" s="309"/>
      <c r="V112" s="309"/>
      <c r="W112" s="309"/>
      <c r="X112" s="309"/>
      <c r="Y112" s="309"/>
      <c r="Z112" s="309"/>
      <c r="AA112" s="309"/>
    </row>
    <row r="113" ht="27.0" customHeight="1">
      <c r="A113" s="282">
        <v>109.0</v>
      </c>
      <c r="B113" s="47">
        <v>1005741.0</v>
      </c>
      <c r="C113" s="283" t="str">
        <f>vlookup(B113,'Crew data for number'!B:C,2,0)</f>
        <v>TAA3399</v>
      </c>
      <c r="D113" s="284" t="str">
        <f>vlookup(B113,'Crew Data'!C:G,5,0)</f>
        <v>Chanyawat Ruchiratheekhakul</v>
      </c>
      <c r="E113" s="321" t="s">
        <v>2112</v>
      </c>
      <c r="F113" s="322">
        <v>27.0</v>
      </c>
      <c r="G113" s="50">
        <f t="shared" si="1"/>
        <v>10800</v>
      </c>
      <c r="H113" s="22">
        <f t="shared" si="2"/>
        <v>1</v>
      </c>
      <c r="I113" s="323" t="s">
        <v>1770</v>
      </c>
      <c r="J113" s="309"/>
      <c r="K113" s="309"/>
      <c r="L113" s="309"/>
      <c r="M113" s="309"/>
      <c r="N113" s="309"/>
      <c r="O113" s="309"/>
      <c r="P113" s="309"/>
      <c r="Q113" s="309"/>
      <c r="R113" s="309"/>
      <c r="S113" s="309"/>
      <c r="T113" s="309"/>
      <c r="U113" s="309"/>
      <c r="V113" s="309"/>
      <c r="W113" s="309"/>
      <c r="X113" s="309"/>
      <c r="Y113" s="309"/>
      <c r="Z113" s="309"/>
      <c r="AA113" s="309"/>
    </row>
    <row r="114" ht="27.0" customHeight="1">
      <c r="A114" s="282">
        <v>110.0</v>
      </c>
      <c r="B114" s="47">
        <v>1014359.0</v>
      </c>
      <c r="C114" s="283" t="str">
        <f>vlookup(B114,'Crew data for number'!B:C,2,0)</f>
        <v>TAA6863</v>
      </c>
      <c r="D114" s="284" t="str">
        <f>vlookup(B114,'Crew Data'!C:G,5,0)</f>
        <v>Rattiporn Thongarch</v>
      </c>
      <c r="E114" s="321" t="s">
        <v>2074</v>
      </c>
      <c r="F114" s="322">
        <v>28.0</v>
      </c>
      <c r="G114" s="50">
        <f t="shared" si="1"/>
        <v>11200</v>
      </c>
      <c r="H114" s="22">
        <f t="shared" si="2"/>
        <v>1</v>
      </c>
      <c r="I114" s="323" t="s">
        <v>1763</v>
      </c>
      <c r="J114" s="309"/>
      <c r="K114" s="309"/>
      <c r="L114" s="309"/>
      <c r="M114" s="309"/>
      <c r="N114" s="309"/>
      <c r="O114" s="309"/>
      <c r="P114" s="309"/>
      <c r="Q114" s="309"/>
      <c r="R114" s="309"/>
      <c r="S114" s="309"/>
      <c r="T114" s="309"/>
      <c r="U114" s="309"/>
      <c r="V114" s="309"/>
      <c r="W114" s="309"/>
      <c r="X114" s="309"/>
      <c r="Y114" s="309"/>
      <c r="Z114" s="309"/>
      <c r="AA114" s="309"/>
    </row>
    <row r="115" ht="27.0" customHeight="1">
      <c r="A115" s="282">
        <v>111.0</v>
      </c>
      <c r="B115" s="47">
        <v>1009306.0</v>
      </c>
      <c r="C115" s="283" t="str">
        <f>vlookup(B115,'Crew data for number'!B:C,2,0)</f>
        <v>TAA5464</v>
      </c>
      <c r="D115" s="284" t="str">
        <f>vlookup(B115,'Crew Data'!C:G,5,0)</f>
        <v>Noppawan Yoosamran</v>
      </c>
      <c r="E115" s="321" t="s">
        <v>2074</v>
      </c>
      <c r="F115" s="322">
        <v>28.0</v>
      </c>
      <c r="G115" s="50">
        <f t="shared" si="1"/>
        <v>11200</v>
      </c>
      <c r="H115" s="22">
        <f t="shared" si="2"/>
        <v>1</v>
      </c>
      <c r="I115" s="323" t="s">
        <v>1763</v>
      </c>
      <c r="J115" s="309"/>
      <c r="K115" s="309"/>
      <c r="L115" s="309"/>
      <c r="M115" s="309"/>
      <c r="N115" s="309"/>
      <c r="O115" s="309"/>
      <c r="P115" s="309"/>
      <c r="Q115" s="309"/>
      <c r="R115" s="309"/>
      <c r="S115" s="309"/>
      <c r="T115" s="309"/>
      <c r="U115" s="309"/>
      <c r="V115" s="309"/>
      <c r="W115" s="309"/>
      <c r="X115" s="309"/>
      <c r="Y115" s="309"/>
      <c r="Z115" s="309"/>
      <c r="AA115" s="309"/>
    </row>
    <row r="116" ht="27.0" customHeight="1">
      <c r="A116" s="282">
        <v>112.0</v>
      </c>
      <c r="B116" s="47">
        <v>1015406.0</v>
      </c>
      <c r="C116" s="283" t="str">
        <f>vlookup(B116,'Crew data for number'!B:C,2,0)</f>
        <v>TAA7064</v>
      </c>
      <c r="D116" s="284" t="str">
        <f>vlookup(B116,'Crew Data'!C:G,5,0)</f>
        <v>Perati Ardwong</v>
      </c>
      <c r="E116" s="321" t="s">
        <v>2074</v>
      </c>
      <c r="F116" s="322">
        <v>28.0</v>
      </c>
      <c r="G116" s="50">
        <f t="shared" si="1"/>
        <v>11200</v>
      </c>
      <c r="H116" s="22">
        <f t="shared" si="2"/>
        <v>1</v>
      </c>
      <c r="I116" s="323" t="s">
        <v>1763</v>
      </c>
      <c r="J116" s="309"/>
      <c r="K116" s="309"/>
      <c r="L116" s="309"/>
      <c r="M116" s="309"/>
      <c r="N116" s="309"/>
      <c r="O116" s="309"/>
      <c r="P116" s="309"/>
      <c r="Q116" s="309"/>
      <c r="R116" s="309"/>
      <c r="S116" s="309"/>
      <c r="T116" s="309"/>
      <c r="U116" s="309"/>
      <c r="V116" s="309"/>
      <c r="W116" s="309"/>
      <c r="X116" s="309"/>
      <c r="Y116" s="309"/>
      <c r="Z116" s="309"/>
      <c r="AA116" s="309"/>
    </row>
    <row r="117" ht="27.0" customHeight="1">
      <c r="A117" s="282">
        <v>113.0</v>
      </c>
      <c r="B117" s="47">
        <v>1013178.0</v>
      </c>
      <c r="C117" s="283" t="str">
        <f>vlookup(B117,'Crew data for number'!B:C,2,0)</f>
        <v>TAA6393</v>
      </c>
      <c r="D117" s="284" t="str">
        <f>vlookup(B117,'Crew Data'!C:G,5,0)</f>
        <v>Niharoon Sulaiman</v>
      </c>
      <c r="E117" s="321" t="s">
        <v>2113</v>
      </c>
      <c r="F117" s="322">
        <v>23.0</v>
      </c>
      <c r="G117" s="50">
        <f t="shared" si="1"/>
        <v>9200</v>
      </c>
      <c r="H117" s="22">
        <f t="shared" si="2"/>
        <v>1</v>
      </c>
      <c r="I117" s="323" t="s">
        <v>1763</v>
      </c>
      <c r="J117" s="309"/>
      <c r="K117" s="309"/>
      <c r="L117" s="309"/>
      <c r="M117" s="309"/>
      <c r="N117" s="309"/>
      <c r="O117" s="309"/>
      <c r="P117" s="309"/>
      <c r="Q117" s="309"/>
      <c r="R117" s="309"/>
      <c r="S117" s="309"/>
      <c r="T117" s="309"/>
      <c r="U117" s="309"/>
      <c r="V117" s="309"/>
      <c r="W117" s="309"/>
      <c r="X117" s="309"/>
      <c r="Y117" s="309"/>
      <c r="Z117" s="309"/>
      <c r="AA117" s="309"/>
    </row>
    <row r="118" ht="27.0" customHeight="1">
      <c r="A118" s="282">
        <v>114.0</v>
      </c>
      <c r="B118" s="47">
        <v>1006855.0</v>
      </c>
      <c r="C118" s="283" t="str">
        <f>vlookup(B118,'Crew data for number'!B:C,2,0)</f>
        <v>TAA3887</v>
      </c>
      <c r="D118" s="284" t="str">
        <f>vlookup(B118,'Crew Data'!C:G,5,0)</f>
        <v>Theeraphon Porisutkun</v>
      </c>
      <c r="E118" s="321" t="s">
        <v>2074</v>
      </c>
      <c r="F118" s="322">
        <v>28.0</v>
      </c>
      <c r="G118" s="50">
        <f t="shared" si="1"/>
        <v>11200</v>
      </c>
      <c r="H118" s="22">
        <f t="shared" si="2"/>
        <v>1</v>
      </c>
      <c r="I118" s="323" t="s">
        <v>1763</v>
      </c>
      <c r="J118" s="309"/>
      <c r="K118" s="309"/>
      <c r="L118" s="309"/>
      <c r="M118" s="309"/>
      <c r="N118" s="309"/>
      <c r="O118" s="309"/>
      <c r="P118" s="309"/>
      <c r="Q118" s="309"/>
      <c r="R118" s="309"/>
      <c r="S118" s="309"/>
      <c r="T118" s="309"/>
      <c r="U118" s="309"/>
      <c r="V118" s="309"/>
      <c r="W118" s="309"/>
      <c r="X118" s="309"/>
      <c r="Y118" s="309"/>
      <c r="Z118" s="309"/>
      <c r="AA118" s="309"/>
    </row>
    <row r="119" ht="27.0" customHeight="1">
      <c r="A119" s="282">
        <v>115.0</v>
      </c>
      <c r="B119" s="47">
        <v>1001837.0</v>
      </c>
      <c r="C119" s="283" t="str">
        <f>vlookup(B119,'Crew data for number'!B:C,2,0)</f>
        <v>TAA1953</v>
      </c>
      <c r="D119" s="284" t="str">
        <f>vlookup(B119,'Crew Data'!C:G,5,0)</f>
        <v>Taralan Jareemuk</v>
      </c>
      <c r="E119" s="321" t="s">
        <v>2114</v>
      </c>
      <c r="F119" s="322">
        <v>26.0</v>
      </c>
      <c r="G119" s="50">
        <f t="shared" si="1"/>
        <v>10400</v>
      </c>
      <c r="H119" s="22">
        <f t="shared" si="2"/>
        <v>1</v>
      </c>
      <c r="I119" s="323" t="s">
        <v>1763</v>
      </c>
      <c r="J119" s="309"/>
      <c r="K119" s="309"/>
      <c r="L119" s="309"/>
      <c r="M119" s="309"/>
      <c r="N119" s="309"/>
      <c r="O119" s="309"/>
      <c r="P119" s="309"/>
      <c r="Q119" s="309"/>
      <c r="R119" s="309"/>
      <c r="S119" s="309"/>
      <c r="T119" s="309"/>
      <c r="U119" s="309"/>
      <c r="V119" s="309"/>
      <c r="W119" s="309"/>
      <c r="X119" s="309"/>
      <c r="Y119" s="309"/>
      <c r="Z119" s="309"/>
      <c r="AA119" s="309"/>
    </row>
    <row r="120" ht="27.0" customHeight="1">
      <c r="A120" s="282">
        <v>116.0</v>
      </c>
      <c r="B120" s="47">
        <v>1018817.0</v>
      </c>
      <c r="C120" s="283" t="str">
        <f>vlookup(B120,'Crew data for number'!B:C,2,0)</f>
        <v>TAA7829</v>
      </c>
      <c r="D120" s="284" t="str">
        <f>vlookup(B120,'Crew Data'!C:G,5,0)</f>
        <v>Witittorn Onkhaw</v>
      </c>
      <c r="E120" s="321" t="s">
        <v>2115</v>
      </c>
      <c r="F120" s="322">
        <v>3.0</v>
      </c>
      <c r="G120" s="50">
        <f t="shared" si="1"/>
        <v>1200</v>
      </c>
      <c r="H120" s="22">
        <f t="shared" si="2"/>
        <v>1</v>
      </c>
      <c r="I120" s="323" t="s">
        <v>1763</v>
      </c>
      <c r="J120" s="309"/>
      <c r="K120" s="309"/>
      <c r="L120" s="309"/>
      <c r="M120" s="309"/>
      <c r="N120" s="309"/>
      <c r="O120" s="309"/>
      <c r="P120" s="309"/>
      <c r="Q120" s="309"/>
      <c r="R120" s="309"/>
      <c r="S120" s="309"/>
      <c r="T120" s="309"/>
      <c r="U120" s="309"/>
      <c r="V120" s="309"/>
      <c r="W120" s="309"/>
      <c r="X120" s="309"/>
      <c r="Y120" s="309"/>
      <c r="Z120" s="309"/>
      <c r="AA120" s="309"/>
    </row>
    <row r="121" ht="27.0" customHeight="1">
      <c r="A121" s="282">
        <v>117.0</v>
      </c>
      <c r="B121" s="47">
        <v>1019525.0</v>
      </c>
      <c r="C121" s="283" t="str">
        <f>vlookup(B121,'Crew data for number'!B:C,2,0)</f>
        <v>TAA8003</v>
      </c>
      <c r="D121" s="284" t="str">
        <f>vlookup(B121,'Crew Data'!C:G,5,0)</f>
        <v>Nithikarn Saiyukhet</v>
      </c>
      <c r="E121" s="321" t="s">
        <v>2115</v>
      </c>
      <c r="F121" s="322">
        <v>3.0</v>
      </c>
      <c r="G121" s="50">
        <f t="shared" si="1"/>
        <v>1200</v>
      </c>
      <c r="H121" s="22">
        <f t="shared" si="2"/>
        <v>1</v>
      </c>
      <c r="I121" s="323" t="s">
        <v>1763</v>
      </c>
      <c r="J121" s="309"/>
      <c r="K121" s="309"/>
      <c r="L121" s="309"/>
      <c r="M121" s="309"/>
      <c r="N121" s="309"/>
      <c r="O121" s="309"/>
      <c r="P121" s="309"/>
      <c r="Q121" s="309"/>
      <c r="R121" s="309"/>
      <c r="S121" s="309"/>
      <c r="T121" s="309"/>
      <c r="U121" s="309"/>
      <c r="V121" s="309"/>
      <c r="W121" s="309"/>
      <c r="X121" s="309"/>
      <c r="Y121" s="309"/>
      <c r="Z121" s="309"/>
      <c r="AA121" s="309"/>
    </row>
    <row r="122" ht="27.0" customHeight="1">
      <c r="A122" s="282">
        <v>118.0</v>
      </c>
      <c r="B122" s="47">
        <v>1014316.0</v>
      </c>
      <c r="C122" s="283" t="str">
        <f>vlookup(B122,'Crew data for number'!B:C,2,0)</f>
        <v>TAA6858</v>
      </c>
      <c r="D122" s="284" t="str">
        <f>vlookup(B122,'Crew Data'!C:G,5,0)</f>
        <v>Eakapol Tuncharoen</v>
      </c>
      <c r="E122" s="321" t="s">
        <v>2116</v>
      </c>
      <c r="F122" s="322">
        <v>5.0</v>
      </c>
      <c r="G122" s="50">
        <f t="shared" si="1"/>
        <v>2000</v>
      </c>
      <c r="H122" s="22">
        <f t="shared" si="2"/>
        <v>1</v>
      </c>
      <c r="I122" s="323" t="s">
        <v>1763</v>
      </c>
      <c r="J122" s="309"/>
      <c r="K122" s="309"/>
      <c r="L122" s="309"/>
      <c r="M122" s="309"/>
      <c r="N122" s="309"/>
      <c r="O122" s="309"/>
      <c r="P122" s="309"/>
      <c r="Q122" s="309"/>
      <c r="R122" s="309"/>
      <c r="S122" s="309"/>
      <c r="T122" s="309"/>
      <c r="U122" s="309"/>
      <c r="V122" s="309"/>
      <c r="W122" s="309"/>
      <c r="X122" s="309"/>
      <c r="Y122" s="309"/>
      <c r="Z122" s="309"/>
      <c r="AA122" s="309"/>
    </row>
    <row r="123" ht="27.0" customHeight="1">
      <c r="A123" s="282">
        <v>119.0</v>
      </c>
      <c r="B123" s="47">
        <v>1008984.0</v>
      </c>
      <c r="C123" s="283" t="str">
        <f>vlookup(B123,'Crew data for number'!B:C,2,0)</f>
        <v>TAA4746</v>
      </c>
      <c r="D123" s="284" t="str">
        <f>vlookup(B123,'Crew Data'!C:G,5,0)</f>
        <v>Orapan Bangprapakorn</v>
      </c>
      <c r="E123" s="321" t="s">
        <v>2098</v>
      </c>
      <c r="F123" s="322">
        <v>5.0</v>
      </c>
      <c r="G123" s="50">
        <f t="shared" si="1"/>
        <v>2000</v>
      </c>
      <c r="H123" s="22">
        <f t="shared" si="2"/>
        <v>1</v>
      </c>
      <c r="I123" s="323" t="s">
        <v>1763</v>
      </c>
      <c r="J123" s="309"/>
      <c r="K123" s="309"/>
      <c r="L123" s="309"/>
      <c r="M123" s="309"/>
      <c r="N123" s="309"/>
      <c r="O123" s="309"/>
      <c r="P123" s="309"/>
      <c r="Q123" s="309"/>
      <c r="R123" s="309"/>
      <c r="S123" s="309"/>
      <c r="T123" s="309"/>
      <c r="U123" s="309"/>
      <c r="V123" s="309"/>
      <c r="W123" s="309"/>
      <c r="X123" s="309"/>
      <c r="Y123" s="309"/>
      <c r="Z123" s="309"/>
      <c r="AA123" s="309"/>
    </row>
    <row r="124" ht="27.0" customHeight="1">
      <c r="A124" s="282">
        <v>120.0</v>
      </c>
      <c r="B124" s="47">
        <v>1012365.0</v>
      </c>
      <c r="C124" s="283" t="str">
        <f>vlookup(B124,'Crew data for number'!B:C,2,0)</f>
        <v>TAA6137</v>
      </c>
      <c r="D124" s="284" t="str">
        <f>vlookup(B124,'Crew Data'!C:G,5,0)</f>
        <v>Manassaphorn Boonprasertwattana</v>
      </c>
      <c r="E124" s="321" t="s">
        <v>2117</v>
      </c>
      <c r="F124" s="322">
        <v>16.0</v>
      </c>
      <c r="G124" s="50">
        <f t="shared" si="1"/>
        <v>6400</v>
      </c>
      <c r="H124" s="22">
        <f t="shared" si="2"/>
        <v>1</v>
      </c>
      <c r="I124" s="323" t="s">
        <v>1763</v>
      </c>
      <c r="J124" s="309"/>
      <c r="K124" s="309"/>
      <c r="L124" s="309"/>
      <c r="M124" s="309"/>
      <c r="N124" s="309"/>
      <c r="O124" s="309"/>
      <c r="P124" s="309"/>
      <c r="Q124" s="309"/>
      <c r="R124" s="309"/>
      <c r="S124" s="309"/>
      <c r="T124" s="309"/>
      <c r="U124" s="309"/>
      <c r="V124" s="309"/>
      <c r="W124" s="309"/>
      <c r="X124" s="309"/>
      <c r="Y124" s="309"/>
      <c r="Z124" s="309"/>
      <c r="AA124" s="309"/>
    </row>
    <row r="125" ht="27.0" customHeight="1">
      <c r="A125" s="282">
        <v>121.0</v>
      </c>
      <c r="B125" s="47">
        <v>1018530.0</v>
      </c>
      <c r="C125" s="283" t="str">
        <f>vlookup(B125,'Crew data for number'!B:C,2,0)</f>
        <v>TAA7750</v>
      </c>
      <c r="D125" s="284" t="str">
        <f>vlookup(B125,'Crew Data'!C:G,5,0)</f>
        <v>Chaniporn Thanaworrapak</v>
      </c>
      <c r="E125" s="321" t="s">
        <v>2118</v>
      </c>
      <c r="F125" s="322">
        <v>4.0</v>
      </c>
      <c r="G125" s="50">
        <f t="shared" si="1"/>
        <v>1600</v>
      </c>
      <c r="H125" s="22">
        <f t="shared" si="2"/>
        <v>1</v>
      </c>
      <c r="I125" s="323" t="s">
        <v>1763</v>
      </c>
      <c r="J125" s="309"/>
      <c r="K125" s="309"/>
      <c r="L125" s="309"/>
      <c r="M125" s="309"/>
      <c r="N125" s="309"/>
      <c r="O125" s="309"/>
      <c r="P125" s="309"/>
      <c r="Q125" s="309"/>
      <c r="R125" s="309"/>
      <c r="S125" s="309"/>
      <c r="T125" s="309"/>
      <c r="U125" s="309"/>
      <c r="V125" s="309"/>
      <c r="W125" s="309"/>
      <c r="X125" s="309"/>
      <c r="Y125" s="309"/>
      <c r="Z125" s="309"/>
      <c r="AA125" s="309"/>
    </row>
    <row r="126" ht="27.0" customHeight="1">
      <c r="A126" s="282">
        <v>122.0</v>
      </c>
      <c r="B126" s="47">
        <v>1006750.0</v>
      </c>
      <c r="C126" s="283" t="str">
        <f>vlookup(B126,'Crew data for number'!B:C,2,0)</f>
        <v>TAA3816</v>
      </c>
      <c r="D126" s="284" t="str">
        <f>vlookup(B126,'Crew Data'!C:G,5,0)</f>
        <v>Supada Wanichapat</v>
      </c>
      <c r="E126" s="321" t="s">
        <v>2058</v>
      </c>
      <c r="F126" s="322">
        <v>5.0</v>
      </c>
      <c r="G126" s="50">
        <f t="shared" si="1"/>
        <v>2000</v>
      </c>
      <c r="H126" s="22">
        <f t="shared" si="2"/>
        <v>1</v>
      </c>
      <c r="I126" s="323" t="s">
        <v>1763</v>
      </c>
      <c r="J126" s="309"/>
      <c r="K126" s="309"/>
      <c r="L126" s="309"/>
      <c r="M126" s="309"/>
      <c r="N126" s="309"/>
      <c r="O126" s="309"/>
      <c r="P126" s="309"/>
      <c r="Q126" s="309"/>
      <c r="R126" s="309"/>
      <c r="S126" s="309"/>
      <c r="T126" s="309"/>
      <c r="U126" s="309"/>
      <c r="V126" s="309"/>
      <c r="W126" s="309"/>
      <c r="X126" s="309"/>
      <c r="Y126" s="309"/>
      <c r="Z126" s="309"/>
      <c r="AA126" s="309"/>
    </row>
    <row r="127" ht="27.0" customHeight="1">
      <c r="A127" s="282">
        <v>123.0</v>
      </c>
      <c r="B127" s="47">
        <v>1007262.0</v>
      </c>
      <c r="C127" s="283" t="str">
        <f>vlookup(B127,'Crew data for number'!B:C,2,0)</f>
        <v>TAA4107</v>
      </c>
      <c r="D127" s="284" t="str">
        <f>vlookup(B127,'Crew Data'!C:G,5,0)</f>
        <v> Kaeokumchai</v>
      </c>
      <c r="E127" s="321" t="s">
        <v>2074</v>
      </c>
      <c r="F127" s="322">
        <v>28.0</v>
      </c>
      <c r="G127" s="50">
        <f t="shared" si="1"/>
        <v>11200</v>
      </c>
      <c r="H127" s="22">
        <f t="shared" si="2"/>
        <v>1</v>
      </c>
      <c r="I127" s="323" t="s">
        <v>1763</v>
      </c>
      <c r="J127" s="309"/>
      <c r="K127" s="309"/>
      <c r="L127" s="309"/>
      <c r="M127" s="309"/>
      <c r="N127" s="309"/>
      <c r="O127" s="309"/>
      <c r="P127" s="309"/>
      <c r="Q127" s="309"/>
      <c r="R127" s="309"/>
      <c r="S127" s="309"/>
      <c r="T127" s="309"/>
      <c r="U127" s="309"/>
      <c r="V127" s="309"/>
      <c r="W127" s="309"/>
      <c r="X127" s="309"/>
      <c r="Y127" s="309"/>
      <c r="Z127" s="309"/>
      <c r="AA127" s="309"/>
    </row>
    <row r="128" ht="27.0" customHeight="1">
      <c r="A128" s="282">
        <v>124.0</v>
      </c>
      <c r="B128" s="47">
        <v>1002146.0</v>
      </c>
      <c r="C128" s="283" t="str">
        <f>vlookup(B128,'Crew data for number'!B:C,2,0)</f>
        <v>TAA1866</v>
      </c>
      <c r="D128" s="284" t="str">
        <f>vlookup(B128,'Crew Data'!C:G,5,0)</f>
        <v>Romrawee Choeikeewong</v>
      </c>
      <c r="E128" s="321" t="s">
        <v>2119</v>
      </c>
      <c r="F128" s="322">
        <v>30.0</v>
      </c>
      <c r="G128" s="50">
        <f t="shared" si="1"/>
        <v>12000</v>
      </c>
      <c r="H128" s="22">
        <f t="shared" si="2"/>
        <v>1</v>
      </c>
      <c r="I128" s="323" t="s">
        <v>1770</v>
      </c>
      <c r="J128" s="309"/>
      <c r="K128" s="309"/>
      <c r="L128" s="309"/>
      <c r="M128" s="309"/>
      <c r="N128" s="309"/>
      <c r="O128" s="309"/>
      <c r="P128" s="309"/>
      <c r="Q128" s="309"/>
      <c r="R128" s="309"/>
      <c r="S128" s="309"/>
      <c r="T128" s="309"/>
      <c r="U128" s="309"/>
      <c r="V128" s="309"/>
      <c r="W128" s="309"/>
      <c r="X128" s="309"/>
      <c r="Y128" s="309"/>
      <c r="Z128" s="309"/>
      <c r="AA128" s="309"/>
    </row>
    <row r="129" ht="13.5" customHeight="1">
      <c r="A129" s="327"/>
      <c r="B129" s="327"/>
      <c r="C129" s="327"/>
      <c r="D129" s="327"/>
      <c r="E129" s="328"/>
      <c r="F129" s="327"/>
      <c r="G129" s="327"/>
      <c r="H129" s="329"/>
      <c r="I129" s="327"/>
      <c r="J129" s="327"/>
      <c r="K129" s="327"/>
      <c r="L129" s="327"/>
      <c r="M129" s="327"/>
      <c r="N129" s="327"/>
      <c r="O129" s="327"/>
      <c r="P129" s="327"/>
      <c r="Q129" s="327"/>
      <c r="R129" s="327"/>
      <c r="S129" s="327"/>
      <c r="T129" s="327"/>
      <c r="U129" s="327"/>
      <c r="V129" s="327"/>
      <c r="W129" s="327"/>
      <c r="X129" s="327"/>
      <c r="Y129" s="327"/>
      <c r="Z129" s="327"/>
      <c r="AA129" s="327"/>
    </row>
    <row r="130" ht="27.0" customHeight="1">
      <c r="A130" s="309"/>
      <c r="B130" s="309"/>
      <c r="C130" s="309"/>
      <c r="D130" s="309"/>
      <c r="E130" s="330"/>
      <c r="F130" s="309"/>
      <c r="G130" s="309"/>
      <c r="H130" s="316"/>
      <c r="I130" s="309"/>
      <c r="J130" s="309"/>
      <c r="K130" s="309"/>
      <c r="L130" s="309"/>
      <c r="M130" s="309"/>
      <c r="N130" s="309"/>
      <c r="O130" s="309"/>
      <c r="P130" s="309"/>
      <c r="Q130" s="309"/>
      <c r="R130" s="309"/>
      <c r="S130" s="309"/>
      <c r="T130" s="309"/>
      <c r="U130" s="309"/>
      <c r="V130" s="309"/>
      <c r="W130" s="309"/>
      <c r="X130" s="309"/>
      <c r="Y130" s="309"/>
      <c r="Z130" s="309"/>
      <c r="AA130" s="309"/>
    </row>
    <row r="131" ht="27.0" customHeight="1">
      <c r="A131" s="331" t="s">
        <v>1183</v>
      </c>
      <c r="B131" s="332"/>
      <c r="C131" s="333"/>
      <c r="D131" s="309"/>
      <c r="E131" s="330"/>
      <c r="F131" s="309"/>
      <c r="G131" s="309"/>
      <c r="H131" s="316"/>
      <c r="I131" s="309"/>
      <c r="J131" s="309"/>
      <c r="K131" s="309"/>
      <c r="L131" s="309"/>
      <c r="M131" s="309"/>
      <c r="N131" s="309"/>
      <c r="O131" s="309"/>
      <c r="P131" s="309"/>
      <c r="Q131" s="309"/>
      <c r="R131" s="309"/>
      <c r="S131" s="309"/>
      <c r="T131" s="309"/>
      <c r="U131" s="309"/>
      <c r="V131" s="309"/>
      <c r="W131" s="309"/>
      <c r="X131" s="309"/>
      <c r="Y131" s="309"/>
      <c r="Z131" s="309"/>
      <c r="AA131" s="309"/>
    </row>
    <row r="132" ht="27.0" customHeight="1">
      <c r="A132" s="334" t="s">
        <v>1153</v>
      </c>
      <c r="B132" s="335" t="s">
        <v>1154</v>
      </c>
      <c r="C132" s="336" t="s">
        <v>1155</v>
      </c>
      <c r="D132" s="309"/>
      <c r="E132" s="330"/>
      <c r="F132" s="309"/>
      <c r="G132" s="309"/>
      <c r="H132" s="316"/>
      <c r="I132" s="309"/>
      <c r="J132" s="309"/>
      <c r="K132" s="309"/>
      <c r="L132" s="309"/>
      <c r="M132" s="309"/>
      <c r="N132" s="309"/>
      <c r="O132" s="309"/>
      <c r="P132" s="309"/>
      <c r="Q132" s="309"/>
      <c r="R132" s="309"/>
      <c r="S132" s="309"/>
      <c r="T132" s="309"/>
      <c r="U132" s="309"/>
      <c r="V132" s="309"/>
      <c r="W132" s="309"/>
      <c r="X132" s="309"/>
      <c r="Y132" s="309"/>
      <c r="Z132" s="309"/>
      <c r="AA132" s="309"/>
    </row>
    <row r="133" ht="27.0" customHeight="1">
      <c r="A133" s="337" t="s">
        <v>1156</v>
      </c>
      <c r="B133" s="338" t="s">
        <v>1157</v>
      </c>
      <c r="C133" s="339" t="s">
        <v>1939</v>
      </c>
      <c r="D133" s="309"/>
      <c r="E133" s="330"/>
      <c r="F133" s="309"/>
      <c r="G133" s="309"/>
      <c r="H133" s="316"/>
      <c r="I133" s="309"/>
      <c r="J133" s="309"/>
      <c r="K133" s="309"/>
      <c r="L133" s="309"/>
      <c r="M133" s="309"/>
      <c r="N133" s="309"/>
      <c r="O133" s="309"/>
      <c r="P133" s="309"/>
      <c r="Q133" s="309"/>
      <c r="R133" s="309"/>
      <c r="S133" s="309"/>
      <c r="T133" s="309"/>
      <c r="U133" s="309"/>
      <c r="V133" s="309"/>
      <c r="W133" s="309"/>
      <c r="X133" s="309"/>
      <c r="Y133" s="309"/>
      <c r="Z133" s="309"/>
      <c r="AA133" s="309"/>
    </row>
    <row r="134" ht="27.0" customHeight="1">
      <c r="A134" s="337" t="s">
        <v>1159</v>
      </c>
      <c r="B134" s="338" t="s">
        <v>1157</v>
      </c>
      <c r="C134" s="339" t="s">
        <v>1939</v>
      </c>
      <c r="D134" s="309"/>
      <c r="E134" s="330"/>
      <c r="F134" s="309"/>
      <c r="G134" s="309"/>
      <c r="H134" s="316"/>
      <c r="I134" s="309"/>
      <c r="J134" s="309"/>
      <c r="K134" s="309"/>
      <c r="L134" s="309"/>
      <c r="M134" s="309"/>
      <c r="N134" s="309"/>
      <c r="O134" s="309"/>
      <c r="P134" s="309"/>
      <c r="Q134" s="309"/>
      <c r="R134" s="309"/>
      <c r="S134" s="309"/>
      <c r="T134" s="309"/>
      <c r="U134" s="309"/>
      <c r="V134" s="309"/>
      <c r="W134" s="309"/>
      <c r="X134" s="309"/>
      <c r="Y134" s="309"/>
      <c r="Z134" s="309"/>
      <c r="AA134" s="309"/>
    </row>
    <row r="135" ht="27.0" customHeight="1">
      <c r="A135" s="337" t="s">
        <v>1160</v>
      </c>
      <c r="B135" s="338" t="s">
        <v>1157</v>
      </c>
      <c r="C135" s="339" t="s">
        <v>1939</v>
      </c>
      <c r="D135" s="309"/>
      <c r="E135" s="330"/>
      <c r="F135" s="309"/>
      <c r="G135" s="309"/>
      <c r="H135" s="316"/>
      <c r="I135" s="309"/>
      <c r="J135" s="309"/>
      <c r="K135" s="309"/>
      <c r="L135" s="309"/>
      <c r="M135" s="309"/>
      <c r="N135" s="309"/>
      <c r="O135" s="309"/>
      <c r="P135" s="309"/>
      <c r="Q135" s="309"/>
      <c r="R135" s="309"/>
      <c r="S135" s="309"/>
      <c r="T135" s="309"/>
      <c r="U135" s="309"/>
      <c r="V135" s="309"/>
      <c r="W135" s="309"/>
      <c r="X135" s="309"/>
      <c r="Y135" s="309"/>
      <c r="Z135" s="309"/>
      <c r="AA135" s="309"/>
    </row>
    <row r="136" ht="27.0" customHeight="1">
      <c r="A136" s="340"/>
      <c r="B136" s="340"/>
      <c r="C136" s="340"/>
      <c r="D136" s="309"/>
      <c r="E136" s="330"/>
      <c r="F136" s="309"/>
      <c r="G136" s="309"/>
      <c r="H136" s="316"/>
      <c r="I136" s="309"/>
      <c r="J136" s="309"/>
      <c r="K136" s="309"/>
      <c r="L136" s="309"/>
      <c r="M136" s="309"/>
      <c r="N136" s="309"/>
      <c r="O136" s="309"/>
      <c r="P136" s="309"/>
      <c r="Q136" s="309"/>
      <c r="R136" s="309"/>
      <c r="S136" s="309"/>
      <c r="T136" s="309"/>
      <c r="U136" s="309"/>
      <c r="V136" s="309"/>
      <c r="W136" s="309"/>
      <c r="X136" s="309"/>
      <c r="Y136" s="309"/>
      <c r="Z136" s="309"/>
      <c r="AA136" s="309"/>
    </row>
    <row r="137" ht="27.0" customHeight="1">
      <c r="A137" s="341" t="s">
        <v>2120</v>
      </c>
      <c r="B137" s="342"/>
      <c r="C137" s="340"/>
      <c r="D137" s="309"/>
      <c r="E137" s="330"/>
      <c r="F137" s="309"/>
      <c r="G137" s="309"/>
      <c r="H137" s="316"/>
      <c r="I137" s="309"/>
      <c r="J137" s="309"/>
      <c r="K137" s="309"/>
      <c r="L137" s="309"/>
      <c r="M137" s="309"/>
      <c r="N137" s="309"/>
      <c r="O137" s="309"/>
      <c r="P137" s="309"/>
      <c r="Q137" s="309"/>
      <c r="R137" s="309"/>
      <c r="S137" s="309"/>
      <c r="T137" s="309"/>
      <c r="U137" s="309"/>
      <c r="V137" s="309"/>
      <c r="W137" s="309"/>
      <c r="X137" s="309"/>
      <c r="Y137" s="309"/>
      <c r="Z137" s="309"/>
      <c r="AA137" s="309"/>
    </row>
    <row r="138" ht="27.0" customHeight="1">
      <c r="A138" s="343" t="s">
        <v>1941</v>
      </c>
      <c r="B138" s="342"/>
      <c r="C138" s="340"/>
      <c r="D138" s="309"/>
      <c r="E138" s="330"/>
      <c r="F138" s="309"/>
      <c r="G138" s="309"/>
      <c r="H138" s="316"/>
      <c r="I138" s="309"/>
      <c r="J138" s="309"/>
      <c r="K138" s="309"/>
      <c r="L138" s="309"/>
      <c r="M138" s="309"/>
      <c r="N138" s="309"/>
      <c r="O138" s="309"/>
      <c r="P138" s="309"/>
      <c r="Q138" s="309"/>
      <c r="R138" s="309"/>
      <c r="S138" s="309"/>
      <c r="T138" s="309"/>
      <c r="U138" s="309"/>
      <c r="V138" s="309"/>
      <c r="W138" s="309"/>
      <c r="X138" s="309"/>
      <c r="Y138" s="309"/>
      <c r="Z138" s="309"/>
      <c r="AA138" s="309"/>
    </row>
    <row r="139" ht="27.0" customHeight="1">
      <c r="A139" s="309"/>
      <c r="B139" s="309"/>
      <c r="C139" s="309"/>
      <c r="D139" s="309"/>
      <c r="E139" s="330"/>
      <c r="F139" s="309"/>
      <c r="G139" s="309"/>
      <c r="H139" s="316"/>
      <c r="I139" s="309"/>
      <c r="J139" s="309"/>
      <c r="K139" s="309"/>
      <c r="L139" s="309"/>
      <c r="M139" s="309"/>
      <c r="N139" s="309"/>
      <c r="O139" s="309"/>
      <c r="P139" s="309"/>
      <c r="Q139" s="309"/>
      <c r="R139" s="309"/>
      <c r="S139" s="309"/>
      <c r="T139" s="309"/>
      <c r="U139" s="309"/>
      <c r="V139" s="309"/>
      <c r="W139" s="309"/>
      <c r="X139" s="309"/>
      <c r="Y139" s="309"/>
      <c r="Z139" s="309"/>
      <c r="AA139" s="309"/>
    </row>
    <row r="140" ht="27.0" customHeight="1">
      <c r="A140" s="309"/>
      <c r="B140" s="309"/>
      <c r="C140" s="309"/>
      <c r="D140" s="309"/>
      <c r="E140" s="330"/>
      <c r="F140" s="309"/>
      <c r="G140" s="309"/>
      <c r="H140" s="316"/>
      <c r="I140" s="309"/>
      <c r="J140" s="309"/>
      <c r="K140" s="309"/>
      <c r="L140" s="309"/>
      <c r="M140" s="309"/>
      <c r="N140" s="309"/>
      <c r="O140" s="309"/>
      <c r="P140" s="309"/>
      <c r="Q140" s="309"/>
      <c r="R140" s="309"/>
      <c r="S140" s="309"/>
      <c r="T140" s="309"/>
      <c r="U140" s="309"/>
      <c r="V140" s="309"/>
      <c r="W140" s="309"/>
      <c r="X140" s="309"/>
      <c r="Y140" s="309"/>
      <c r="Z140" s="309"/>
      <c r="AA140" s="309"/>
    </row>
    <row r="141" ht="27.0" customHeight="1">
      <c r="A141" s="309"/>
      <c r="B141" s="309"/>
      <c r="C141" s="309"/>
      <c r="D141" s="309"/>
      <c r="E141" s="330"/>
      <c r="F141" s="309"/>
      <c r="G141" s="309"/>
      <c r="H141" s="316"/>
      <c r="I141" s="309"/>
      <c r="J141" s="309"/>
      <c r="K141" s="309"/>
      <c r="L141" s="309"/>
      <c r="M141" s="309"/>
      <c r="N141" s="309"/>
      <c r="O141" s="309"/>
      <c r="P141" s="309"/>
      <c r="Q141" s="309"/>
      <c r="R141" s="309"/>
      <c r="S141" s="309"/>
      <c r="T141" s="309"/>
      <c r="U141" s="309"/>
      <c r="V141" s="309"/>
      <c r="W141" s="309"/>
      <c r="X141" s="309"/>
      <c r="Y141" s="309"/>
      <c r="Z141" s="309"/>
      <c r="AA141" s="309"/>
    </row>
    <row r="142" ht="27.0" customHeight="1">
      <c r="A142" s="309"/>
      <c r="B142" s="309"/>
      <c r="C142" s="309"/>
      <c r="D142" s="309"/>
      <c r="E142" s="330"/>
      <c r="F142" s="309"/>
      <c r="G142" s="309"/>
      <c r="H142" s="316"/>
      <c r="I142" s="309"/>
      <c r="J142" s="309"/>
      <c r="K142" s="309"/>
      <c r="L142" s="309"/>
      <c r="M142" s="309"/>
      <c r="N142" s="309"/>
      <c r="O142" s="309"/>
      <c r="P142" s="309"/>
      <c r="Q142" s="309"/>
      <c r="R142" s="309"/>
      <c r="S142" s="309"/>
      <c r="T142" s="309"/>
      <c r="U142" s="309"/>
      <c r="V142" s="309"/>
      <c r="W142" s="309"/>
      <c r="X142" s="309"/>
      <c r="Y142" s="309"/>
      <c r="Z142" s="309"/>
      <c r="AA142" s="309"/>
    </row>
    <row r="143" ht="27.0" customHeight="1">
      <c r="A143" s="309"/>
      <c r="B143" s="309"/>
      <c r="C143" s="309"/>
      <c r="D143" s="309"/>
      <c r="E143" s="330"/>
      <c r="F143" s="309"/>
      <c r="G143" s="309"/>
      <c r="H143" s="316"/>
      <c r="I143" s="309"/>
      <c r="J143" s="309"/>
      <c r="K143" s="309"/>
      <c r="L143" s="309"/>
      <c r="M143" s="309"/>
      <c r="N143" s="309"/>
      <c r="O143" s="309"/>
      <c r="P143" s="309"/>
      <c r="Q143" s="309"/>
      <c r="R143" s="309"/>
      <c r="S143" s="309"/>
      <c r="T143" s="309"/>
      <c r="U143" s="309"/>
      <c r="V143" s="309"/>
      <c r="W143" s="309"/>
      <c r="X143" s="309"/>
      <c r="Y143" s="309"/>
      <c r="Z143" s="309"/>
      <c r="AA143" s="309"/>
    </row>
    <row r="144" ht="27.0" customHeight="1">
      <c r="A144" s="309"/>
      <c r="B144" s="309"/>
      <c r="C144" s="309"/>
      <c r="D144" s="309"/>
      <c r="E144" s="330"/>
      <c r="F144" s="309"/>
      <c r="G144" s="309"/>
      <c r="H144" s="316"/>
      <c r="I144" s="309"/>
      <c r="J144" s="309"/>
      <c r="K144" s="309"/>
      <c r="L144" s="309"/>
      <c r="M144" s="309"/>
      <c r="N144" s="309"/>
      <c r="O144" s="309"/>
      <c r="P144" s="309"/>
      <c r="Q144" s="309"/>
      <c r="R144" s="309"/>
      <c r="S144" s="309"/>
      <c r="T144" s="309"/>
      <c r="U144" s="309"/>
      <c r="V144" s="309"/>
      <c r="W144" s="309"/>
      <c r="X144" s="309"/>
      <c r="Y144" s="309"/>
      <c r="Z144" s="309"/>
      <c r="AA144" s="309"/>
    </row>
    <row r="145" ht="27.0" customHeight="1">
      <c r="A145" s="309"/>
      <c r="B145" s="309"/>
      <c r="C145" s="309"/>
      <c r="D145" s="309"/>
      <c r="E145" s="330"/>
      <c r="F145" s="309"/>
      <c r="G145" s="309"/>
      <c r="H145" s="316"/>
      <c r="I145" s="309"/>
      <c r="J145" s="309"/>
      <c r="K145" s="309"/>
      <c r="L145" s="309"/>
      <c r="M145" s="309"/>
      <c r="N145" s="309"/>
      <c r="O145" s="309"/>
      <c r="P145" s="309"/>
      <c r="Q145" s="309"/>
      <c r="R145" s="309"/>
      <c r="S145" s="309"/>
      <c r="T145" s="309"/>
      <c r="U145" s="309"/>
      <c r="V145" s="309"/>
      <c r="W145" s="309"/>
      <c r="X145" s="309"/>
      <c r="Y145" s="309"/>
      <c r="Z145" s="309"/>
      <c r="AA145" s="309"/>
    </row>
    <row r="146" ht="27.0" customHeight="1">
      <c r="A146" s="309"/>
      <c r="B146" s="309"/>
      <c r="C146" s="309"/>
      <c r="D146" s="309"/>
      <c r="E146" s="330"/>
      <c r="F146" s="309"/>
      <c r="G146" s="309"/>
      <c r="H146" s="316"/>
      <c r="I146" s="309"/>
      <c r="J146" s="309"/>
      <c r="K146" s="309"/>
      <c r="L146" s="309"/>
      <c r="M146" s="309"/>
      <c r="N146" s="309"/>
      <c r="O146" s="309"/>
      <c r="P146" s="309"/>
      <c r="Q146" s="309"/>
      <c r="R146" s="309"/>
      <c r="S146" s="309"/>
      <c r="T146" s="309"/>
      <c r="U146" s="309"/>
      <c r="V146" s="309"/>
      <c r="W146" s="309"/>
      <c r="X146" s="309"/>
      <c r="Y146" s="309"/>
      <c r="Z146" s="309"/>
      <c r="AA146" s="309"/>
    </row>
    <row r="147" ht="27.0" customHeight="1">
      <c r="A147" s="309"/>
      <c r="B147" s="309"/>
      <c r="C147" s="309"/>
      <c r="D147" s="309"/>
      <c r="E147" s="330"/>
      <c r="F147" s="309"/>
      <c r="G147" s="309"/>
      <c r="H147" s="316"/>
      <c r="I147" s="309"/>
      <c r="J147" s="309"/>
      <c r="K147" s="309"/>
      <c r="L147" s="309"/>
      <c r="M147" s="309"/>
      <c r="N147" s="309"/>
      <c r="O147" s="309"/>
      <c r="P147" s="309"/>
      <c r="Q147" s="309"/>
      <c r="R147" s="309"/>
      <c r="S147" s="309"/>
      <c r="T147" s="309"/>
      <c r="U147" s="309"/>
      <c r="V147" s="309"/>
      <c r="W147" s="309"/>
      <c r="X147" s="309"/>
      <c r="Y147" s="309"/>
      <c r="Z147" s="309"/>
      <c r="AA147" s="309"/>
    </row>
    <row r="148" ht="27.0" customHeight="1">
      <c r="A148" s="309"/>
      <c r="B148" s="309"/>
      <c r="C148" s="309"/>
      <c r="D148" s="309"/>
      <c r="E148" s="330"/>
      <c r="F148" s="309"/>
      <c r="G148" s="309"/>
      <c r="H148" s="316"/>
      <c r="I148" s="309"/>
      <c r="J148" s="309"/>
      <c r="K148" s="309"/>
      <c r="L148" s="309"/>
      <c r="M148" s="309"/>
      <c r="N148" s="309"/>
      <c r="O148" s="309"/>
      <c r="P148" s="309"/>
      <c r="Q148" s="309"/>
      <c r="R148" s="309"/>
      <c r="S148" s="309"/>
      <c r="T148" s="309"/>
      <c r="U148" s="309"/>
      <c r="V148" s="309"/>
      <c r="W148" s="309"/>
      <c r="X148" s="309"/>
      <c r="Y148" s="309"/>
      <c r="Z148" s="309"/>
      <c r="AA148" s="309"/>
    </row>
    <row r="149" ht="27.0" customHeight="1">
      <c r="A149" s="309"/>
      <c r="B149" s="309"/>
      <c r="C149" s="309"/>
      <c r="D149" s="309"/>
      <c r="E149" s="330"/>
      <c r="F149" s="309"/>
      <c r="G149" s="309"/>
      <c r="H149" s="316"/>
      <c r="I149" s="309"/>
      <c r="J149" s="309"/>
      <c r="K149" s="309"/>
      <c r="L149" s="309"/>
      <c r="M149" s="309"/>
      <c r="N149" s="309"/>
      <c r="O149" s="309"/>
      <c r="P149" s="309"/>
      <c r="Q149" s="309"/>
      <c r="R149" s="309"/>
      <c r="S149" s="309"/>
      <c r="T149" s="309"/>
      <c r="U149" s="309"/>
      <c r="V149" s="309"/>
      <c r="W149" s="309"/>
      <c r="X149" s="309"/>
      <c r="Y149" s="309"/>
      <c r="Z149" s="309"/>
      <c r="AA149" s="309"/>
    </row>
    <row r="150" ht="27.0" customHeight="1">
      <c r="A150" s="309"/>
      <c r="B150" s="309"/>
      <c r="C150" s="309"/>
      <c r="D150" s="309"/>
      <c r="E150" s="330"/>
      <c r="F150" s="309"/>
      <c r="G150" s="309"/>
      <c r="H150" s="316"/>
      <c r="I150" s="309"/>
      <c r="J150" s="309"/>
      <c r="K150" s="309"/>
      <c r="L150" s="309"/>
      <c r="M150" s="309"/>
      <c r="N150" s="309"/>
      <c r="O150" s="309"/>
      <c r="P150" s="309"/>
      <c r="Q150" s="309"/>
      <c r="R150" s="309"/>
      <c r="S150" s="309"/>
      <c r="T150" s="309"/>
      <c r="U150" s="309"/>
      <c r="V150" s="309"/>
      <c r="W150" s="309"/>
      <c r="X150" s="309"/>
      <c r="Y150" s="309"/>
      <c r="Z150" s="309"/>
      <c r="AA150" s="309"/>
    </row>
    <row r="151" ht="27.0" customHeight="1">
      <c r="A151" s="309"/>
      <c r="B151" s="309"/>
      <c r="C151" s="309"/>
      <c r="D151" s="309"/>
      <c r="E151" s="330"/>
      <c r="F151" s="309"/>
      <c r="G151" s="309"/>
      <c r="H151" s="316"/>
      <c r="I151" s="309"/>
      <c r="J151" s="309"/>
      <c r="K151" s="309"/>
      <c r="L151" s="309"/>
      <c r="M151" s="309"/>
      <c r="N151" s="309"/>
      <c r="O151" s="309"/>
      <c r="P151" s="309"/>
      <c r="Q151" s="309"/>
      <c r="R151" s="309"/>
      <c r="S151" s="309"/>
      <c r="T151" s="309"/>
      <c r="U151" s="309"/>
      <c r="V151" s="309"/>
      <c r="W151" s="309"/>
      <c r="X151" s="309"/>
      <c r="Y151" s="309"/>
      <c r="Z151" s="309"/>
      <c r="AA151" s="309"/>
    </row>
    <row r="152" ht="27.0" customHeight="1">
      <c r="A152" s="309"/>
      <c r="B152" s="309"/>
      <c r="C152" s="309"/>
      <c r="D152" s="309"/>
      <c r="E152" s="330"/>
      <c r="F152" s="309"/>
      <c r="G152" s="309"/>
      <c r="H152" s="316"/>
      <c r="I152" s="309"/>
      <c r="J152" s="309"/>
      <c r="K152" s="309"/>
      <c r="L152" s="309"/>
      <c r="M152" s="309"/>
      <c r="N152" s="309"/>
      <c r="O152" s="309"/>
      <c r="P152" s="309"/>
      <c r="Q152" s="309"/>
      <c r="R152" s="309"/>
      <c r="S152" s="309"/>
      <c r="T152" s="309"/>
      <c r="U152" s="309"/>
      <c r="V152" s="309"/>
      <c r="W152" s="309"/>
      <c r="X152" s="309"/>
      <c r="Y152" s="309"/>
      <c r="Z152" s="309"/>
      <c r="AA152" s="309"/>
    </row>
    <row r="153" ht="27.0" customHeight="1">
      <c r="A153" s="309"/>
      <c r="B153" s="309"/>
      <c r="C153" s="309"/>
      <c r="D153" s="309"/>
      <c r="E153" s="330"/>
      <c r="F153" s="309"/>
      <c r="G153" s="309"/>
      <c r="H153" s="316"/>
      <c r="I153" s="309"/>
      <c r="J153" s="309"/>
      <c r="K153" s="309"/>
      <c r="L153" s="309"/>
      <c r="M153" s="309"/>
      <c r="N153" s="309"/>
      <c r="O153" s="309"/>
      <c r="P153" s="309"/>
      <c r="Q153" s="309"/>
      <c r="R153" s="309"/>
      <c r="S153" s="309"/>
      <c r="T153" s="309"/>
      <c r="U153" s="309"/>
      <c r="V153" s="309"/>
      <c r="W153" s="309"/>
      <c r="X153" s="309"/>
      <c r="Y153" s="309"/>
      <c r="Z153" s="309"/>
      <c r="AA153" s="309"/>
    </row>
    <row r="154" ht="27.0" customHeight="1">
      <c r="A154" s="309"/>
      <c r="B154" s="309"/>
      <c r="C154" s="309"/>
      <c r="D154" s="309"/>
      <c r="E154" s="330"/>
      <c r="F154" s="309"/>
      <c r="G154" s="309"/>
      <c r="H154" s="316"/>
      <c r="I154" s="309"/>
      <c r="J154" s="309"/>
      <c r="K154" s="309"/>
      <c r="L154" s="309"/>
      <c r="M154" s="309"/>
      <c r="N154" s="309"/>
      <c r="O154" s="309"/>
      <c r="P154" s="309"/>
      <c r="Q154" s="309"/>
      <c r="R154" s="309"/>
      <c r="S154" s="309"/>
      <c r="T154" s="309"/>
      <c r="U154" s="309"/>
      <c r="V154" s="309"/>
      <c r="W154" s="309"/>
      <c r="X154" s="309"/>
      <c r="Y154" s="309"/>
      <c r="Z154" s="309"/>
      <c r="AA154" s="309"/>
    </row>
    <row r="155" ht="27.0" customHeight="1">
      <c r="A155" s="309"/>
      <c r="B155" s="309"/>
      <c r="C155" s="309"/>
      <c r="D155" s="309"/>
      <c r="E155" s="330"/>
      <c r="F155" s="309"/>
      <c r="G155" s="309"/>
      <c r="H155" s="316"/>
      <c r="I155" s="309"/>
      <c r="J155" s="309"/>
      <c r="K155" s="309"/>
      <c r="L155" s="309"/>
      <c r="M155" s="309"/>
      <c r="N155" s="309"/>
      <c r="O155" s="309"/>
      <c r="P155" s="309"/>
      <c r="Q155" s="309"/>
      <c r="R155" s="309"/>
      <c r="S155" s="309"/>
      <c r="T155" s="309"/>
      <c r="U155" s="309"/>
      <c r="V155" s="309"/>
      <c r="W155" s="309"/>
      <c r="X155" s="309"/>
      <c r="Y155" s="309"/>
      <c r="Z155" s="309"/>
      <c r="AA155" s="309"/>
    </row>
    <row r="156" ht="27.0" customHeight="1">
      <c r="A156" s="309"/>
      <c r="B156" s="309"/>
      <c r="C156" s="309"/>
      <c r="D156" s="309"/>
      <c r="E156" s="330"/>
      <c r="F156" s="309"/>
      <c r="G156" s="309"/>
      <c r="H156" s="316"/>
      <c r="I156" s="309"/>
      <c r="J156" s="309"/>
      <c r="K156" s="309"/>
      <c r="L156" s="309"/>
      <c r="M156" s="309"/>
      <c r="N156" s="309"/>
      <c r="O156" s="309"/>
      <c r="P156" s="309"/>
      <c r="Q156" s="309"/>
      <c r="R156" s="309"/>
      <c r="S156" s="309"/>
      <c r="T156" s="309"/>
      <c r="U156" s="309"/>
      <c r="V156" s="309"/>
      <c r="W156" s="309"/>
      <c r="X156" s="309"/>
      <c r="Y156" s="309"/>
      <c r="Z156" s="309"/>
      <c r="AA156" s="309"/>
    </row>
    <row r="157" ht="27.0" customHeight="1">
      <c r="A157" s="309"/>
      <c r="B157" s="309"/>
      <c r="C157" s="309"/>
      <c r="D157" s="309"/>
      <c r="E157" s="330"/>
      <c r="F157" s="309"/>
      <c r="G157" s="309"/>
      <c r="H157" s="316"/>
      <c r="I157" s="309"/>
      <c r="J157" s="309"/>
      <c r="K157" s="309"/>
      <c r="L157" s="309"/>
      <c r="M157" s="309"/>
      <c r="N157" s="309"/>
      <c r="O157" s="309"/>
      <c r="P157" s="309"/>
      <c r="Q157" s="309"/>
      <c r="R157" s="309"/>
      <c r="S157" s="309"/>
      <c r="T157" s="309"/>
      <c r="U157" s="309"/>
      <c r="V157" s="309"/>
      <c r="W157" s="309"/>
      <c r="X157" s="309"/>
      <c r="Y157" s="309"/>
      <c r="Z157" s="309"/>
      <c r="AA157" s="309"/>
    </row>
    <row r="158" ht="27.0" customHeight="1">
      <c r="A158" s="309"/>
      <c r="B158" s="309"/>
      <c r="C158" s="309"/>
      <c r="D158" s="309"/>
      <c r="E158" s="330"/>
      <c r="F158" s="309"/>
      <c r="G158" s="309"/>
      <c r="H158" s="316"/>
      <c r="I158" s="309"/>
      <c r="J158" s="309"/>
      <c r="K158" s="309"/>
      <c r="L158" s="309"/>
      <c r="M158" s="309"/>
      <c r="N158" s="309"/>
      <c r="O158" s="309"/>
      <c r="P158" s="309"/>
      <c r="Q158" s="309"/>
      <c r="R158" s="309"/>
      <c r="S158" s="309"/>
      <c r="T158" s="309"/>
      <c r="U158" s="309"/>
      <c r="V158" s="309"/>
      <c r="W158" s="309"/>
      <c r="X158" s="309"/>
      <c r="Y158" s="309"/>
      <c r="Z158" s="309"/>
      <c r="AA158" s="309"/>
    </row>
    <row r="159" ht="27.0" customHeight="1">
      <c r="A159" s="309"/>
      <c r="B159" s="309"/>
      <c r="C159" s="309"/>
      <c r="D159" s="309"/>
      <c r="E159" s="330"/>
      <c r="F159" s="309"/>
      <c r="G159" s="309"/>
      <c r="H159" s="316"/>
      <c r="I159" s="309"/>
      <c r="J159" s="309"/>
      <c r="K159" s="309"/>
      <c r="L159" s="309"/>
      <c r="M159" s="309"/>
      <c r="N159" s="309"/>
      <c r="O159" s="309"/>
      <c r="P159" s="309"/>
      <c r="Q159" s="309"/>
      <c r="R159" s="309"/>
      <c r="S159" s="309"/>
      <c r="T159" s="309"/>
      <c r="U159" s="309"/>
      <c r="V159" s="309"/>
      <c r="W159" s="309"/>
      <c r="X159" s="309"/>
      <c r="Y159" s="309"/>
      <c r="Z159" s="309"/>
      <c r="AA159" s="309"/>
    </row>
    <row r="160" ht="27.0" customHeight="1">
      <c r="A160" s="309"/>
      <c r="B160" s="309"/>
      <c r="C160" s="309"/>
      <c r="D160" s="309"/>
      <c r="E160" s="330"/>
      <c r="F160" s="309"/>
      <c r="G160" s="309"/>
      <c r="H160" s="316"/>
      <c r="I160" s="309"/>
      <c r="J160" s="309"/>
      <c r="K160" s="309"/>
      <c r="L160" s="309"/>
      <c r="M160" s="309"/>
      <c r="N160" s="309"/>
      <c r="O160" s="309"/>
      <c r="P160" s="309"/>
      <c r="Q160" s="309"/>
      <c r="R160" s="309"/>
      <c r="S160" s="309"/>
      <c r="T160" s="309"/>
      <c r="U160" s="309"/>
      <c r="V160" s="309"/>
      <c r="W160" s="309"/>
      <c r="X160" s="309"/>
      <c r="Y160" s="309"/>
      <c r="Z160" s="309"/>
      <c r="AA160" s="309"/>
    </row>
    <row r="161" ht="27.0" customHeight="1">
      <c r="A161" s="309"/>
      <c r="B161" s="309"/>
      <c r="C161" s="309"/>
      <c r="D161" s="309"/>
      <c r="E161" s="330"/>
      <c r="F161" s="309"/>
      <c r="G161" s="309"/>
      <c r="H161" s="316"/>
      <c r="I161" s="309"/>
      <c r="J161" s="309"/>
      <c r="K161" s="309"/>
      <c r="L161" s="309"/>
      <c r="M161" s="309"/>
      <c r="N161" s="309"/>
      <c r="O161" s="309"/>
      <c r="P161" s="309"/>
      <c r="Q161" s="309"/>
      <c r="R161" s="309"/>
      <c r="S161" s="309"/>
      <c r="T161" s="309"/>
      <c r="U161" s="309"/>
      <c r="V161" s="309"/>
      <c r="W161" s="309"/>
      <c r="X161" s="309"/>
      <c r="Y161" s="309"/>
      <c r="Z161" s="309"/>
      <c r="AA161" s="309"/>
    </row>
    <row r="162" ht="27.0" customHeight="1">
      <c r="A162" s="309"/>
      <c r="B162" s="309"/>
      <c r="C162" s="309"/>
      <c r="D162" s="309"/>
      <c r="E162" s="330"/>
      <c r="F162" s="309"/>
      <c r="G162" s="309"/>
      <c r="H162" s="316"/>
      <c r="I162" s="309"/>
      <c r="J162" s="309"/>
      <c r="K162" s="309"/>
      <c r="L162" s="309"/>
      <c r="M162" s="309"/>
      <c r="N162" s="309"/>
      <c r="O162" s="309"/>
      <c r="P162" s="309"/>
      <c r="Q162" s="309"/>
      <c r="R162" s="309"/>
      <c r="S162" s="309"/>
      <c r="T162" s="309"/>
      <c r="U162" s="309"/>
      <c r="V162" s="309"/>
      <c r="W162" s="309"/>
      <c r="X162" s="309"/>
      <c r="Y162" s="309"/>
      <c r="Z162" s="309"/>
      <c r="AA162" s="309"/>
    </row>
    <row r="163" ht="27.0" customHeight="1">
      <c r="A163" s="309"/>
      <c r="B163" s="309"/>
      <c r="C163" s="309"/>
      <c r="D163" s="309"/>
      <c r="E163" s="330"/>
      <c r="F163" s="309"/>
      <c r="G163" s="309"/>
      <c r="H163" s="316"/>
      <c r="I163" s="309"/>
      <c r="J163" s="309"/>
      <c r="K163" s="309"/>
      <c r="L163" s="309"/>
      <c r="M163" s="309"/>
      <c r="N163" s="309"/>
      <c r="O163" s="309"/>
      <c r="P163" s="309"/>
      <c r="Q163" s="309"/>
      <c r="R163" s="309"/>
      <c r="S163" s="309"/>
      <c r="T163" s="309"/>
      <c r="U163" s="309"/>
      <c r="V163" s="309"/>
      <c r="W163" s="309"/>
      <c r="X163" s="309"/>
      <c r="Y163" s="309"/>
      <c r="Z163" s="309"/>
      <c r="AA163" s="309"/>
    </row>
    <row r="164" ht="27.0" customHeight="1">
      <c r="A164" s="309"/>
      <c r="B164" s="309"/>
      <c r="C164" s="309"/>
      <c r="D164" s="309"/>
      <c r="E164" s="330"/>
      <c r="F164" s="309"/>
      <c r="G164" s="309"/>
      <c r="H164" s="316"/>
      <c r="I164" s="309"/>
      <c r="J164" s="309"/>
      <c r="K164" s="309"/>
      <c r="L164" s="309"/>
      <c r="M164" s="309"/>
      <c r="N164" s="309"/>
      <c r="O164" s="309"/>
      <c r="P164" s="309"/>
      <c r="Q164" s="309"/>
      <c r="R164" s="309"/>
      <c r="S164" s="309"/>
      <c r="T164" s="309"/>
      <c r="U164" s="309"/>
      <c r="V164" s="309"/>
      <c r="W164" s="309"/>
      <c r="X164" s="309"/>
      <c r="Y164" s="309"/>
      <c r="Z164" s="309"/>
      <c r="AA164" s="309"/>
    </row>
    <row r="165" ht="27.0" customHeight="1">
      <c r="A165" s="309"/>
      <c r="B165" s="309"/>
      <c r="C165" s="309"/>
      <c r="D165" s="309"/>
      <c r="E165" s="330"/>
      <c r="F165" s="309"/>
      <c r="G165" s="309"/>
      <c r="H165" s="316"/>
      <c r="I165" s="309"/>
      <c r="J165" s="309"/>
      <c r="K165" s="309"/>
      <c r="L165" s="309"/>
      <c r="M165" s="309"/>
      <c r="N165" s="309"/>
      <c r="O165" s="309"/>
      <c r="P165" s="309"/>
      <c r="Q165" s="309"/>
      <c r="R165" s="309"/>
      <c r="S165" s="309"/>
      <c r="T165" s="309"/>
      <c r="U165" s="309"/>
      <c r="V165" s="309"/>
      <c r="W165" s="309"/>
      <c r="X165" s="309"/>
      <c r="Y165" s="309"/>
      <c r="Z165" s="309"/>
      <c r="AA165" s="309"/>
    </row>
    <row r="166" ht="27.0" customHeight="1">
      <c r="A166" s="309"/>
      <c r="B166" s="309"/>
      <c r="C166" s="309"/>
      <c r="D166" s="309"/>
      <c r="E166" s="330"/>
      <c r="F166" s="309"/>
      <c r="G166" s="309"/>
      <c r="H166" s="316"/>
      <c r="I166" s="309"/>
      <c r="J166" s="309"/>
      <c r="K166" s="309"/>
      <c r="L166" s="309"/>
      <c r="M166" s="309"/>
      <c r="N166" s="309"/>
      <c r="O166" s="309"/>
      <c r="P166" s="309"/>
      <c r="Q166" s="309"/>
      <c r="R166" s="309"/>
      <c r="S166" s="309"/>
      <c r="T166" s="309"/>
      <c r="U166" s="309"/>
      <c r="V166" s="309"/>
      <c r="W166" s="309"/>
      <c r="X166" s="309"/>
      <c r="Y166" s="309"/>
      <c r="Z166" s="309"/>
      <c r="AA166" s="309"/>
    </row>
    <row r="167" ht="27.0" customHeight="1">
      <c r="A167" s="309"/>
      <c r="B167" s="309"/>
      <c r="C167" s="309"/>
      <c r="D167" s="309"/>
      <c r="E167" s="330"/>
      <c r="F167" s="309"/>
      <c r="G167" s="309"/>
      <c r="H167" s="316"/>
      <c r="I167" s="309"/>
      <c r="J167" s="309"/>
      <c r="K167" s="309"/>
      <c r="L167" s="309"/>
      <c r="M167" s="309"/>
      <c r="N167" s="309"/>
      <c r="O167" s="309"/>
      <c r="P167" s="309"/>
      <c r="Q167" s="309"/>
      <c r="R167" s="309"/>
      <c r="S167" s="309"/>
      <c r="T167" s="309"/>
      <c r="U167" s="309"/>
      <c r="V167" s="309"/>
      <c r="W167" s="309"/>
      <c r="X167" s="309"/>
      <c r="Y167" s="309"/>
      <c r="Z167" s="309"/>
      <c r="AA167" s="309"/>
    </row>
    <row r="168" ht="27.0" customHeight="1">
      <c r="A168" s="309"/>
      <c r="B168" s="309"/>
      <c r="C168" s="309"/>
      <c r="D168" s="309"/>
      <c r="E168" s="330"/>
      <c r="F168" s="309"/>
      <c r="G168" s="309"/>
      <c r="H168" s="316"/>
      <c r="I168" s="309"/>
      <c r="J168" s="309"/>
      <c r="K168" s="309"/>
      <c r="L168" s="309"/>
      <c r="M168" s="309"/>
      <c r="N168" s="309"/>
      <c r="O168" s="309"/>
      <c r="P168" s="309"/>
      <c r="Q168" s="309"/>
      <c r="R168" s="309"/>
      <c r="S168" s="309"/>
      <c r="T168" s="309"/>
      <c r="U168" s="309"/>
      <c r="V168" s="309"/>
      <c r="W168" s="309"/>
      <c r="X168" s="309"/>
      <c r="Y168" s="309"/>
      <c r="Z168" s="309"/>
      <c r="AA168" s="309"/>
    </row>
    <row r="169" ht="27.0" customHeight="1">
      <c r="A169" s="309"/>
      <c r="B169" s="309"/>
      <c r="C169" s="309"/>
      <c r="D169" s="309"/>
      <c r="E169" s="330"/>
      <c r="F169" s="309"/>
      <c r="G169" s="309"/>
      <c r="H169" s="316"/>
      <c r="I169" s="309"/>
      <c r="J169" s="309"/>
      <c r="K169" s="309"/>
      <c r="L169" s="309"/>
      <c r="M169" s="309"/>
      <c r="N169" s="309"/>
      <c r="O169" s="309"/>
      <c r="P169" s="309"/>
      <c r="Q169" s="309"/>
      <c r="R169" s="309"/>
      <c r="S169" s="309"/>
      <c r="T169" s="309"/>
      <c r="U169" s="309"/>
      <c r="V169" s="309"/>
      <c r="W169" s="309"/>
      <c r="X169" s="309"/>
      <c r="Y169" s="309"/>
      <c r="Z169" s="309"/>
      <c r="AA169" s="309"/>
    </row>
    <row r="170" ht="27.0" customHeight="1">
      <c r="A170" s="309"/>
      <c r="B170" s="309"/>
      <c r="C170" s="309"/>
      <c r="D170" s="309"/>
      <c r="E170" s="330"/>
      <c r="F170" s="309"/>
      <c r="G170" s="309"/>
      <c r="H170" s="316"/>
      <c r="I170" s="309"/>
      <c r="J170" s="309"/>
      <c r="K170" s="309"/>
      <c r="L170" s="309"/>
      <c r="M170" s="309"/>
      <c r="N170" s="309"/>
      <c r="O170" s="309"/>
      <c r="P170" s="309"/>
      <c r="Q170" s="309"/>
      <c r="R170" s="309"/>
      <c r="S170" s="309"/>
      <c r="T170" s="309"/>
      <c r="U170" s="309"/>
      <c r="V170" s="309"/>
      <c r="W170" s="309"/>
      <c r="X170" s="309"/>
      <c r="Y170" s="309"/>
      <c r="Z170" s="309"/>
      <c r="AA170" s="309"/>
    </row>
    <row r="171" ht="27.0" customHeight="1">
      <c r="A171" s="309"/>
      <c r="B171" s="309"/>
      <c r="C171" s="309"/>
      <c r="D171" s="309"/>
      <c r="E171" s="330"/>
      <c r="F171" s="309"/>
      <c r="G171" s="309"/>
      <c r="H171" s="316"/>
      <c r="I171" s="309"/>
      <c r="J171" s="309"/>
      <c r="K171" s="309"/>
      <c r="L171" s="309"/>
      <c r="M171" s="309"/>
      <c r="N171" s="309"/>
      <c r="O171" s="309"/>
      <c r="P171" s="309"/>
      <c r="Q171" s="309"/>
      <c r="R171" s="309"/>
      <c r="S171" s="309"/>
      <c r="T171" s="309"/>
      <c r="U171" s="309"/>
      <c r="V171" s="309"/>
      <c r="W171" s="309"/>
      <c r="X171" s="309"/>
      <c r="Y171" s="309"/>
      <c r="Z171" s="309"/>
      <c r="AA171" s="309"/>
    </row>
    <row r="172" ht="27.0" customHeight="1">
      <c r="A172" s="309"/>
      <c r="B172" s="309"/>
      <c r="C172" s="309"/>
      <c r="D172" s="309"/>
      <c r="E172" s="330"/>
      <c r="F172" s="309"/>
      <c r="G172" s="309"/>
      <c r="H172" s="316"/>
      <c r="I172" s="309"/>
      <c r="J172" s="309"/>
      <c r="K172" s="309"/>
      <c r="L172" s="309"/>
      <c r="M172" s="309"/>
      <c r="N172" s="309"/>
      <c r="O172" s="309"/>
      <c r="P172" s="309"/>
      <c r="Q172" s="309"/>
      <c r="R172" s="309"/>
      <c r="S172" s="309"/>
      <c r="T172" s="309"/>
      <c r="U172" s="309"/>
      <c r="V172" s="309"/>
      <c r="W172" s="309"/>
      <c r="X172" s="309"/>
      <c r="Y172" s="309"/>
      <c r="Z172" s="309"/>
      <c r="AA172" s="309"/>
    </row>
    <row r="173" ht="27.0" customHeight="1">
      <c r="A173" s="309"/>
      <c r="B173" s="309"/>
      <c r="C173" s="309"/>
      <c r="D173" s="309"/>
      <c r="E173" s="330"/>
      <c r="F173" s="309"/>
      <c r="G173" s="309"/>
      <c r="H173" s="316"/>
      <c r="I173" s="309"/>
      <c r="J173" s="309"/>
      <c r="K173" s="309"/>
      <c r="L173" s="309"/>
      <c r="M173" s="309"/>
      <c r="N173" s="309"/>
      <c r="O173" s="309"/>
      <c r="P173" s="309"/>
      <c r="Q173" s="309"/>
      <c r="R173" s="309"/>
      <c r="S173" s="309"/>
      <c r="T173" s="309"/>
      <c r="U173" s="309"/>
      <c r="V173" s="309"/>
      <c r="W173" s="309"/>
      <c r="X173" s="309"/>
      <c r="Y173" s="309"/>
      <c r="Z173" s="309"/>
      <c r="AA173" s="309"/>
    </row>
    <row r="174" ht="27.0" customHeight="1">
      <c r="A174" s="309"/>
      <c r="B174" s="309"/>
      <c r="C174" s="309"/>
      <c r="D174" s="309"/>
      <c r="E174" s="330"/>
      <c r="F174" s="309"/>
      <c r="G174" s="309"/>
      <c r="H174" s="316"/>
      <c r="I174" s="309"/>
      <c r="J174" s="309"/>
      <c r="K174" s="309"/>
      <c r="L174" s="309"/>
      <c r="M174" s="309"/>
      <c r="N174" s="309"/>
      <c r="O174" s="309"/>
      <c r="P174" s="309"/>
      <c r="Q174" s="309"/>
      <c r="R174" s="309"/>
      <c r="S174" s="309"/>
      <c r="T174" s="309"/>
      <c r="U174" s="309"/>
      <c r="V174" s="309"/>
      <c r="W174" s="309"/>
      <c r="X174" s="309"/>
      <c r="Y174" s="309"/>
      <c r="Z174" s="309"/>
      <c r="AA174" s="309"/>
    </row>
    <row r="175" ht="27.0" customHeight="1">
      <c r="A175" s="309"/>
      <c r="B175" s="309"/>
      <c r="C175" s="309"/>
      <c r="D175" s="309"/>
      <c r="E175" s="330"/>
      <c r="F175" s="309"/>
      <c r="G175" s="309"/>
      <c r="H175" s="316"/>
      <c r="I175" s="309"/>
      <c r="J175" s="309"/>
      <c r="K175" s="309"/>
      <c r="L175" s="309"/>
      <c r="M175" s="309"/>
      <c r="N175" s="309"/>
      <c r="O175" s="309"/>
      <c r="P175" s="309"/>
      <c r="Q175" s="309"/>
      <c r="R175" s="309"/>
      <c r="S175" s="309"/>
      <c r="T175" s="309"/>
      <c r="U175" s="309"/>
      <c r="V175" s="309"/>
      <c r="W175" s="309"/>
      <c r="X175" s="309"/>
      <c r="Y175" s="309"/>
      <c r="Z175" s="309"/>
      <c r="AA175" s="309"/>
    </row>
    <row r="176" ht="27.0" customHeight="1">
      <c r="A176" s="309"/>
      <c r="B176" s="309"/>
      <c r="C176" s="309"/>
      <c r="D176" s="309"/>
      <c r="E176" s="330"/>
      <c r="F176" s="309"/>
      <c r="G176" s="309"/>
      <c r="H176" s="316"/>
      <c r="I176" s="309"/>
      <c r="J176" s="309"/>
      <c r="K176" s="309"/>
      <c r="L176" s="309"/>
      <c r="M176" s="309"/>
      <c r="N176" s="309"/>
      <c r="O176" s="309"/>
      <c r="P176" s="309"/>
      <c r="Q176" s="309"/>
      <c r="R176" s="309"/>
      <c r="S176" s="309"/>
      <c r="T176" s="309"/>
      <c r="U176" s="309"/>
      <c r="V176" s="309"/>
      <c r="W176" s="309"/>
      <c r="X176" s="309"/>
      <c r="Y176" s="309"/>
      <c r="Z176" s="309"/>
      <c r="AA176" s="309"/>
    </row>
    <row r="177" ht="27.0" customHeight="1">
      <c r="A177" s="309"/>
      <c r="B177" s="309"/>
      <c r="C177" s="309"/>
      <c r="D177" s="309"/>
      <c r="E177" s="330"/>
      <c r="F177" s="309"/>
      <c r="G177" s="309"/>
      <c r="H177" s="316"/>
      <c r="I177" s="309"/>
      <c r="J177" s="309"/>
      <c r="K177" s="309"/>
      <c r="L177" s="309"/>
      <c r="M177" s="309"/>
      <c r="N177" s="309"/>
      <c r="O177" s="309"/>
      <c r="P177" s="309"/>
      <c r="Q177" s="309"/>
      <c r="R177" s="309"/>
      <c r="S177" s="309"/>
      <c r="T177" s="309"/>
      <c r="U177" s="309"/>
      <c r="V177" s="309"/>
      <c r="W177" s="309"/>
      <c r="X177" s="309"/>
      <c r="Y177" s="309"/>
      <c r="Z177" s="309"/>
      <c r="AA177" s="309"/>
    </row>
    <row r="178" ht="27.0" customHeight="1">
      <c r="A178" s="309"/>
      <c r="B178" s="309"/>
      <c r="C178" s="309"/>
      <c r="D178" s="309"/>
      <c r="E178" s="330"/>
      <c r="F178" s="309"/>
      <c r="G178" s="309"/>
      <c r="H178" s="316"/>
      <c r="I178" s="309"/>
      <c r="J178" s="309"/>
      <c r="K178" s="309"/>
      <c r="L178" s="309"/>
      <c r="M178" s="309"/>
      <c r="N178" s="309"/>
      <c r="O178" s="309"/>
      <c r="P178" s="309"/>
      <c r="Q178" s="309"/>
      <c r="R178" s="309"/>
      <c r="S178" s="309"/>
      <c r="T178" s="309"/>
      <c r="U178" s="309"/>
      <c r="V178" s="309"/>
      <c r="W178" s="309"/>
      <c r="X178" s="309"/>
      <c r="Y178" s="309"/>
      <c r="Z178" s="309"/>
      <c r="AA178" s="309"/>
    </row>
    <row r="179" ht="27.0" customHeight="1">
      <c r="A179" s="309"/>
      <c r="B179" s="309"/>
      <c r="C179" s="309"/>
      <c r="D179" s="309"/>
      <c r="E179" s="330"/>
      <c r="F179" s="309"/>
      <c r="G179" s="309"/>
      <c r="H179" s="316"/>
      <c r="I179" s="309"/>
      <c r="J179" s="309"/>
      <c r="K179" s="309"/>
      <c r="L179" s="309"/>
      <c r="M179" s="309"/>
      <c r="N179" s="309"/>
      <c r="O179" s="309"/>
      <c r="P179" s="309"/>
      <c r="Q179" s="309"/>
      <c r="R179" s="309"/>
      <c r="S179" s="309"/>
      <c r="T179" s="309"/>
      <c r="U179" s="309"/>
      <c r="V179" s="309"/>
      <c r="W179" s="309"/>
      <c r="X179" s="309"/>
      <c r="Y179" s="309"/>
      <c r="Z179" s="309"/>
      <c r="AA179" s="309"/>
    </row>
    <row r="180" ht="27.0" customHeight="1">
      <c r="A180" s="309"/>
      <c r="B180" s="309"/>
      <c r="C180" s="309"/>
      <c r="D180" s="309"/>
      <c r="E180" s="330"/>
      <c r="F180" s="309"/>
      <c r="G180" s="309"/>
      <c r="H180" s="316"/>
      <c r="I180" s="309"/>
      <c r="J180" s="309"/>
      <c r="K180" s="309"/>
      <c r="L180" s="309"/>
      <c r="M180" s="309"/>
      <c r="N180" s="309"/>
      <c r="O180" s="309"/>
      <c r="P180" s="309"/>
      <c r="Q180" s="309"/>
      <c r="R180" s="309"/>
      <c r="S180" s="309"/>
      <c r="T180" s="309"/>
      <c r="U180" s="309"/>
      <c r="V180" s="309"/>
      <c r="W180" s="309"/>
      <c r="X180" s="309"/>
      <c r="Y180" s="309"/>
      <c r="Z180" s="309"/>
      <c r="AA180" s="309"/>
    </row>
    <row r="181" ht="27.0" customHeight="1">
      <c r="A181" s="309"/>
      <c r="B181" s="309"/>
      <c r="C181" s="309"/>
      <c r="D181" s="309"/>
      <c r="E181" s="330"/>
      <c r="F181" s="309"/>
      <c r="G181" s="309"/>
      <c r="H181" s="316"/>
      <c r="I181" s="309"/>
      <c r="J181" s="309"/>
      <c r="K181" s="309"/>
      <c r="L181" s="309"/>
      <c r="M181" s="309"/>
      <c r="N181" s="309"/>
      <c r="O181" s="309"/>
      <c r="P181" s="309"/>
      <c r="Q181" s="309"/>
      <c r="R181" s="309"/>
      <c r="S181" s="309"/>
      <c r="T181" s="309"/>
      <c r="U181" s="309"/>
      <c r="V181" s="309"/>
      <c r="W181" s="309"/>
      <c r="X181" s="309"/>
      <c r="Y181" s="309"/>
      <c r="Z181" s="309"/>
      <c r="AA181" s="309"/>
    </row>
    <row r="182" ht="27.0" customHeight="1">
      <c r="A182" s="309"/>
      <c r="B182" s="309"/>
      <c r="C182" s="309"/>
      <c r="D182" s="309"/>
      <c r="E182" s="330"/>
      <c r="F182" s="309"/>
      <c r="G182" s="309"/>
      <c r="H182" s="316"/>
      <c r="I182" s="309"/>
      <c r="J182" s="309"/>
      <c r="K182" s="309"/>
      <c r="L182" s="309"/>
      <c r="M182" s="309"/>
      <c r="N182" s="309"/>
      <c r="O182" s="309"/>
      <c r="P182" s="309"/>
      <c r="Q182" s="309"/>
      <c r="R182" s="309"/>
      <c r="S182" s="309"/>
      <c r="T182" s="309"/>
      <c r="U182" s="309"/>
      <c r="V182" s="309"/>
      <c r="W182" s="309"/>
      <c r="X182" s="309"/>
      <c r="Y182" s="309"/>
      <c r="Z182" s="309"/>
      <c r="AA182" s="309"/>
    </row>
    <row r="183" ht="27.0" customHeight="1">
      <c r="A183" s="309"/>
      <c r="B183" s="309"/>
      <c r="C183" s="309"/>
      <c r="D183" s="309"/>
      <c r="E183" s="330"/>
      <c r="F183" s="309"/>
      <c r="G183" s="309"/>
      <c r="H183" s="316"/>
      <c r="I183" s="309"/>
      <c r="J183" s="309"/>
      <c r="K183" s="309"/>
      <c r="L183" s="309"/>
      <c r="M183" s="309"/>
      <c r="N183" s="309"/>
      <c r="O183" s="309"/>
      <c r="P183" s="309"/>
      <c r="Q183" s="309"/>
      <c r="R183" s="309"/>
      <c r="S183" s="309"/>
      <c r="T183" s="309"/>
      <c r="U183" s="309"/>
      <c r="V183" s="309"/>
      <c r="W183" s="309"/>
      <c r="X183" s="309"/>
      <c r="Y183" s="309"/>
      <c r="Z183" s="309"/>
      <c r="AA183" s="309"/>
    </row>
    <row r="184" ht="27.0" customHeight="1">
      <c r="A184" s="309"/>
      <c r="B184" s="309"/>
      <c r="C184" s="309"/>
      <c r="D184" s="309"/>
      <c r="E184" s="330"/>
      <c r="F184" s="309"/>
      <c r="G184" s="309"/>
      <c r="H184" s="316"/>
      <c r="I184" s="309"/>
      <c r="J184" s="309"/>
      <c r="K184" s="309"/>
      <c r="L184" s="309"/>
      <c r="M184" s="309"/>
      <c r="N184" s="309"/>
      <c r="O184" s="309"/>
      <c r="P184" s="309"/>
      <c r="Q184" s="309"/>
      <c r="R184" s="309"/>
      <c r="S184" s="309"/>
      <c r="T184" s="309"/>
      <c r="U184" s="309"/>
      <c r="V184" s="309"/>
      <c r="W184" s="309"/>
      <c r="X184" s="309"/>
      <c r="Y184" s="309"/>
      <c r="Z184" s="309"/>
      <c r="AA184" s="309"/>
    </row>
    <row r="185" ht="27.0" customHeight="1">
      <c r="A185" s="309"/>
      <c r="B185" s="309"/>
      <c r="C185" s="309"/>
      <c r="D185" s="309"/>
      <c r="E185" s="330"/>
      <c r="F185" s="309"/>
      <c r="G185" s="309"/>
      <c r="H185" s="316"/>
      <c r="I185" s="309"/>
      <c r="J185" s="309"/>
      <c r="K185" s="309"/>
      <c r="L185" s="309"/>
      <c r="M185" s="309"/>
      <c r="N185" s="309"/>
      <c r="O185" s="309"/>
      <c r="P185" s="309"/>
      <c r="Q185" s="309"/>
      <c r="R185" s="309"/>
      <c r="S185" s="309"/>
      <c r="T185" s="309"/>
      <c r="U185" s="309"/>
      <c r="V185" s="309"/>
      <c r="W185" s="309"/>
      <c r="X185" s="309"/>
      <c r="Y185" s="309"/>
      <c r="Z185" s="309"/>
      <c r="AA185" s="309"/>
    </row>
    <row r="186" ht="27.0" customHeight="1">
      <c r="A186" s="309"/>
      <c r="B186" s="309"/>
      <c r="C186" s="309"/>
      <c r="D186" s="309"/>
      <c r="E186" s="330"/>
      <c r="F186" s="309"/>
      <c r="G186" s="309"/>
      <c r="H186" s="316"/>
      <c r="I186" s="309"/>
      <c r="J186" s="309"/>
      <c r="K186" s="309"/>
      <c r="L186" s="309"/>
      <c r="M186" s="309"/>
      <c r="N186" s="309"/>
      <c r="O186" s="309"/>
      <c r="P186" s="309"/>
      <c r="Q186" s="309"/>
      <c r="R186" s="309"/>
      <c r="S186" s="309"/>
      <c r="T186" s="309"/>
      <c r="U186" s="309"/>
      <c r="V186" s="309"/>
      <c r="W186" s="309"/>
      <c r="X186" s="309"/>
      <c r="Y186" s="309"/>
      <c r="Z186" s="309"/>
      <c r="AA186" s="309"/>
    </row>
    <row r="187" ht="27.0" customHeight="1">
      <c r="A187" s="309"/>
      <c r="B187" s="309"/>
      <c r="C187" s="309"/>
      <c r="D187" s="309"/>
      <c r="E187" s="330"/>
      <c r="F187" s="309"/>
      <c r="G187" s="309"/>
      <c r="H187" s="316"/>
      <c r="I187" s="309"/>
      <c r="J187" s="309"/>
      <c r="K187" s="309"/>
      <c r="L187" s="309"/>
      <c r="M187" s="309"/>
      <c r="N187" s="309"/>
      <c r="O187" s="309"/>
      <c r="P187" s="309"/>
      <c r="Q187" s="309"/>
      <c r="R187" s="309"/>
      <c r="S187" s="309"/>
      <c r="T187" s="309"/>
      <c r="U187" s="309"/>
      <c r="V187" s="309"/>
      <c r="W187" s="309"/>
      <c r="X187" s="309"/>
      <c r="Y187" s="309"/>
      <c r="Z187" s="309"/>
      <c r="AA187" s="309"/>
    </row>
    <row r="188" ht="27.0" customHeight="1">
      <c r="A188" s="309"/>
      <c r="B188" s="309"/>
      <c r="C188" s="309"/>
      <c r="D188" s="309"/>
      <c r="E188" s="330"/>
      <c r="F188" s="309"/>
      <c r="G188" s="309"/>
      <c r="H188" s="316"/>
      <c r="I188" s="309"/>
      <c r="J188" s="309"/>
      <c r="K188" s="309"/>
      <c r="L188" s="309"/>
      <c r="M188" s="309"/>
      <c r="N188" s="309"/>
      <c r="O188" s="309"/>
      <c r="P188" s="309"/>
      <c r="Q188" s="309"/>
      <c r="R188" s="309"/>
      <c r="S188" s="309"/>
      <c r="T188" s="309"/>
      <c r="U188" s="309"/>
      <c r="V188" s="309"/>
      <c r="W188" s="309"/>
      <c r="X188" s="309"/>
      <c r="Y188" s="309"/>
      <c r="Z188" s="309"/>
      <c r="AA188" s="309"/>
    </row>
    <row r="189" ht="27.0" customHeight="1">
      <c r="A189" s="309"/>
      <c r="B189" s="309"/>
      <c r="C189" s="309"/>
      <c r="D189" s="309"/>
      <c r="E189" s="330"/>
      <c r="F189" s="309"/>
      <c r="G189" s="309"/>
      <c r="H189" s="316"/>
      <c r="I189" s="309"/>
      <c r="J189" s="309"/>
      <c r="K189" s="309"/>
      <c r="L189" s="309"/>
      <c r="M189" s="309"/>
      <c r="N189" s="309"/>
      <c r="O189" s="309"/>
      <c r="P189" s="309"/>
      <c r="Q189" s="309"/>
      <c r="R189" s="309"/>
      <c r="S189" s="309"/>
      <c r="T189" s="309"/>
      <c r="U189" s="309"/>
      <c r="V189" s="309"/>
      <c r="W189" s="309"/>
      <c r="X189" s="309"/>
      <c r="Y189" s="309"/>
      <c r="Z189" s="309"/>
      <c r="AA189" s="309"/>
    </row>
    <row r="190" ht="27.0" customHeight="1">
      <c r="A190" s="309"/>
      <c r="B190" s="309"/>
      <c r="C190" s="309"/>
      <c r="D190" s="309"/>
      <c r="E190" s="330"/>
      <c r="F190" s="309"/>
      <c r="G190" s="309"/>
      <c r="H190" s="316"/>
      <c r="I190" s="309"/>
      <c r="J190" s="309"/>
      <c r="K190" s="309"/>
      <c r="L190" s="309"/>
      <c r="M190" s="309"/>
      <c r="N190" s="309"/>
      <c r="O190" s="309"/>
      <c r="P190" s="309"/>
      <c r="Q190" s="309"/>
      <c r="R190" s="309"/>
      <c r="S190" s="309"/>
      <c r="T190" s="309"/>
      <c r="U190" s="309"/>
      <c r="V190" s="309"/>
      <c r="W190" s="309"/>
      <c r="X190" s="309"/>
      <c r="Y190" s="309"/>
      <c r="Z190" s="309"/>
      <c r="AA190" s="309"/>
    </row>
    <row r="191" ht="27.0" customHeight="1">
      <c r="A191" s="309"/>
      <c r="B191" s="309"/>
      <c r="C191" s="309"/>
      <c r="D191" s="309"/>
      <c r="E191" s="330"/>
      <c r="F191" s="309"/>
      <c r="G191" s="309"/>
      <c r="H191" s="316"/>
      <c r="I191" s="309"/>
      <c r="J191" s="309"/>
      <c r="K191" s="309"/>
      <c r="L191" s="309"/>
      <c r="M191" s="309"/>
      <c r="N191" s="309"/>
      <c r="O191" s="309"/>
      <c r="P191" s="309"/>
      <c r="Q191" s="309"/>
      <c r="R191" s="309"/>
      <c r="S191" s="309"/>
      <c r="T191" s="309"/>
      <c r="U191" s="309"/>
      <c r="V191" s="309"/>
      <c r="W191" s="309"/>
      <c r="X191" s="309"/>
      <c r="Y191" s="309"/>
      <c r="Z191" s="309"/>
      <c r="AA191" s="309"/>
    </row>
    <row r="192" ht="27.0" customHeight="1">
      <c r="A192" s="309"/>
      <c r="B192" s="309"/>
      <c r="C192" s="309"/>
      <c r="D192" s="309"/>
      <c r="E192" s="330"/>
      <c r="F192" s="309"/>
      <c r="G192" s="309"/>
      <c r="H192" s="316"/>
      <c r="I192" s="309"/>
      <c r="J192" s="309"/>
      <c r="K192" s="309"/>
      <c r="L192" s="309"/>
      <c r="M192" s="309"/>
      <c r="N192" s="309"/>
      <c r="O192" s="309"/>
      <c r="P192" s="309"/>
      <c r="Q192" s="309"/>
      <c r="R192" s="309"/>
      <c r="S192" s="309"/>
      <c r="T192" s="309"/>
      <c r="U192" s="309"/>
      <c r="V192" s="309"/>
      <c r="W192" s="309"/>
      <c r="X192" s="309"/>
      <c r="Y192" s="309"/>
      <c r="Z192" s="309"/>
      <c r="AA192" s="309"/>
    </row>
    <row r="193" ht="27.0" customHeight="1">
      <c r="A193" s="309"/>
      <c r="B193" s="309"/>
      <c r="C193" s="309"/>
      <c r="D193" s="309"/>
      <c r="E193" s="330"/>
      <c r="F193" s="309"/>
      <c r="G193" s="309"/>
      <c r="H193" s="316"/>
      <c r="I193" s="309"/>
      <c r="J193" s="309"/>
      <c r="K193" s="309"/>
      <c r="L193" s="309"/>
      <c r="M193" s="309"/>
      <c r="N193" s="309"/>
      <c r="O193" s="309"/>
      <c r="P193" s="309"/>
      <c r="Q193" s="309"/>
      <c r="R193" s="309"/>
      <c r="S193" s="309"/>
      <c r="T193" s="309"/>
      <c r="U193" s="309"/>
      <c r="V193" s="309"/>
      <c r="W193" s="309"/>
      <c r="X193" s="309"/>
      <c r="Y193" s="309"/>
      <c r="Z193" s="309"/>
      <c r="AA193" s="309"/>
    </row>
    <row r="194" ht="27.0" customHeight="1">
      <c r="A194" s="309"/>
      <c r="B194" s="309"/>
      <c r="C194" s="309"/>
      <c r="D194" s="309"/>
      <c r="E194" s="330"/>
      <c r="F194" s="309"/>
      <c r="G194" s="309"/>
      <c r="H194" s="316"/>
      <c r="I194" s="309"/>
      <c r="J194" s="309"/>
      <c r="K194" s="309"/>
      <c r="L194" s="309"/>
      <c r="M194" s="309"/>
      <c r="N194" s="309"/>
      <c r="O194" s="309"/>
      <c r="P194" s="309"/>
      <c r="Q194" s="309"/>
      <c r="R194" s="309"/>
      <c r="S194" s="309"/>
      <c r="T194" s="309"/>
      <c r="U194" s="309"/>
      <c r="V194" s="309"/>
      <c r="W194" s="309"/>
      <c r="X194" s="309"/>
      <c r="Y194" s="309"/>
      <c r="Z194" s="309"/>
      <c r="AA194" s="309"/>
    </row>
    <row r="195" ht="27.0" customHeight="1">
      <c r="A195" s="309"/>
      <c r="B195" s="309"/>
      <c r="C195" s="309"/>
      <c r="D195" s="309"/>
      <c r="E195" s="330"/>
      <c r="F195" s="309"/>
      <c r="G195" s="309"/>
      <c r="H195" s="316"/>
      <c r="I195" s="309"/>
      <c r="J195" s="309"/>
      <c r="K195" s="309"/>
      <c r="L195" s="309"/>
      <c r="M195" s="309"/>
      <c r="N195" s="309"/>
      <c r="O195" s="309"/>
      <c r="P195" s="309"/>
      <c r="Q195" s="309"/>
      <c r="R195" s="309"/>
      <c r="S195" s="309"/>
      <c r="T195" s="309"/>
      <c r="U195" s="309"/>
      <c r="V195" s="309"/>
      <c r="W195" s="309"/>
      <c r="X195" s="309"/>
      <c r="Y195" s="309"/>
      <c r="Z195" s="309"/>
      <c r="AA195" s="309"/>
    </row>
    <row r="196" ht="27.0" customHeight="1">
      <c r="A196" s="309"/>
      <c r="B196" s="309"/>
      <c r="C196" s="309"/>
      <c r="D196" s="309"/>
      <c r="E196" s="330"/>
      <c r="F196" s="309"/>
      <c r="G196" s="309"/>
      <c r="H196" s="316"/>
      <c r="I196" s="309"/>
      <c r="J196" s="309"/>
      <c r="K196" s="309"/>
      <c r="L196" s="309"/>
      <c r="M196" s="309"/>
      <c r="N196" s="309"/>
      <c r="O196" s="309"/>
      <c r="P196" s="309"/>
      <c r="Q196" s="309"/>
      <c r="R196" s="309"/>
      <c r="S196" s="309"/>
      <c r="T196" s="309"/>
      <c r="U196" s="309"/>
      <c r="V196" s="309"/>
      <c r="W196" s="309"/>
      <c r="X196" s="309"/>
      <c r="Y196" s="309"/>
      <c r="Z196" s="309"/>
      <c r="AA196" s="309"/>
    </row>
    <row r="197" ht="27.0" customHeight="1">
      <c r="A197" s="309"/>
      <c r="B197" s="309"/>
      <c r="C197" s="309"/>
      <c r="D197" s="309"/>
      <c r="E197" s="330"/>
      <c r="F197" s="309"/>
      <c r="G197" s="309"/>
      <c r="H197" s="316"/>
      <c r="I197" s="309"/>
      <c r="J197" s="309"/>
      <c r="K197" s="309"/>
      <c r="L197" s="309"/>
      <c r="M197" s="309"/>
      <c r="N197" s="309"/>
      <c r="O197" s="309"/>
      <c r="P197" s="309"/>
      <c r="Q197" s="309"/>
      <c r="R197" s="309"/>
      <c r="S197" s="309"/>
      <c r="T197" s="309"/>
      <c r="U197" s="309"/>
      <c r="V197" s="309"/>
      <c r="W197" s="309"/>
      <c r="X197" s="309"/>
      <c r="Y197" s="309"/>
      <c r="Z197" s="309"/>
      <c r="AA197" s="309"/>
    </row>
    <row r="198" ht="27.0" customHeight="1">
      <c r="A198" s="309"/>
      <c r="B198" s="309"/>
      <c r="C198" s="309"/>
      <c r="D198" s="309"/>
      <c r="E198" s="330"/>
      <c r="F198" s="309"/>
      <c r="G198" s="309"/>
      <c r="H198" s="316"/>
      <c r="I198" s="309"/>
      <c r="J198" s="309"/>
      <c r="K198" s="309"/>
      <c r="L198" s="309"/>
      <c r="M198" s="309"/>
      <c r="N198" s="309"/>
      <c r="O198" s="309"/>
      <c r="P198" s="309"/>
      <c r="Q198" s="309"/>
      <c r="R198" s="309"/>
      <c r="S198" s="309"/>
      <c r="T198" s="309"/>
      <c r="U198" s="309"/>
      <c r="V198" s="309"/>
      <c r="W198" s="309"/>
      <c r="X198" s="309"/>
      <c r="Y198" s="309"/>
      <c r="Z198" s="309"/>
      <c r="AA198" s="309"/>
    </row>
    <row r="199" ht="27.0" customHeight="1">
      <c r="A199" s="309"/>
      <c r="B199" s="309"/>
      <c r="C199" s="309"/>
      <c r="D199" s="309"/>
      <c r="E199" s="330"/>
      <c r="F199" s="309"/>
      <c r="G199" s="309"/>
      <c r="H199" s="316"/>
      <c r="I199" s="309"/>
      <c r="J199" s="309"/>
      <c r="K199" s="309"/>
      <c r="L199" s="309"/>
      <c r="M199" s="309"/>
      <c r="N199" s="309"/>
      <c r="O199" s="309"/>
      <c r="P199" s="309"/>
      <c r="Q199" s="309"/>
      <c r="R199" s="309"/>
      <c r="S199" s="309"/>
      <c r="T199" s="309"/>
      <c r="U199" s="309"/>
      <c r="V199" s="309"/>
      <c r="W199" s="309"/>
      <c r="X199" s="309"/>
      <c r="Y199" s="309"/>
      <c r="Z199" s="309"/>
      <c r="AA199" s="309"/>
    </row>
    <row r="200" ht="27.0" customHeight="1">
      <c r="A200" s="309"/>
      <c r="B200" s="309"/>
      <c r="C200" s="309"/>
      <c r="D200" s="309"/>
      <c r="E200" s="330"/>
      <c r="F200" s="309"/>
      <c r="G200" s="309"/>
      <c r="H200" s="316"/>
      <c r="I200" s="309"/>
      <c r="J200" s="309"/>
      <c r="K200" s="309"/>
      <c r="L200" s="309"/>
      <c r="M200" s="309"/>
      <c r="N200" s="309"/>
      <c r="O200" s="309"/>
      <c r="P200" s="309"/>
      <c r="Q200" s="309"/>
      <c r="R200" s="309"/>
      <c r="S200" s="309"/>
      <c r="T200" s="309"/>
      <c r="U200" s="309"/>
      <c r="V200" s="309"/>
      <c r="W200" s="309"/>
      <c r="X200" s="309"/>
      <c r="Y200" s="309"/>
      <c r="Z200" s="309"/>
      <c r="AA200" s="309"/>
    </row>
    <row r="201" ht="27.0" customHeight="1">
      <c r="A201" s="309"/>
      <c r="B201" s="309"/>
      <c r="C201" s="309"/>
      <c r="D201" s="309"/>
      <c r="E201" s="330"/>
      <c r="F201" s="309"/>
      <c r="G201" s="309"/>
      <c r="H201" s="316"/>
      <c r="I201" s="309"/>
      <c r="J201" s="309"/>
      <c r="K201" s="309"/>
      <c r="L201" s="309"/>
      <c r="M201" s="309"/>
      <c r="N201" s="309"/>
      <c r="O201" s="309"/>
      <c r="P201" s="309"/>
      <c r="Q201" s="309"/>
      <c r="R201" s="309"/>
      <c r="S201" s="309"/>
      <c r="T201" s="309"/>
      <c r="U201" s="309"/>
      <c r="V201" s="309"/>
      <c r="W201" s="309"/>
      <c r="X201" s="309"/>
      <c r="Y201" s="309"/>
      <c r="Z201" s="309"/>
      <c r="AA201" s="309"/>
    </row>
    <row r="202" ht="27.0" customHeight="1">
      <c r="A202" s="309"/>
      <c r="B202" s="309"/>
      <c r="C202" s="309"/>
      <c r="D202" s="309"/>
      <c r="E202" s="330"/>
      <c r="F202" s="309"/>
      <c r="G202" s="309"/>
      <c r="H202" s="316"/>
      <c r="I202" s="309"/>
      <c r="J202" s="309"/>
      <c r="K202" s="309"/>
      <c r="L202" s="309"/>
      <c r="M202" s="309"/>
      <c r="N202" s="309"/>
      <c r="O202" s="309"/>
      <c r="P202" s="309"/>
      <c r="Q202" s="309"/>
      <c r="R202" s="309"/>
      <c r="S202" s="309"/>
      <c r="T202" s="309"/>
      <c r="U202" s="309"/>
      <c r="V202" s="309"/>
      <c r="W202" s="309"/>
      <c r="X202" s="309"/>
      <c r="Y202" s="309"/>
      <c r="Z202" s="309"/>
      <c r="AA202" s="309"/>
    </row>
    <row r="203" ht="27.0" customHeight="1">
      <c r="A203" s="309"/>
      <c r="B203" s="309"/>
      <c r="C203" s="309"/>
      <c r="D203" s="309"/>
      <c r="E203" s="330"/>
      <c r="F203" s="309"/>
      <c r="G203" s="309"/>
      <c r="H203" s="316"/>
      <c r="I203" s="309"/>
      <c r="J203" s="309"/>
      <c r="K203" s="309"/>
      <c r="L203" s="309"/>
      <c r="M203" s="309"/>
      <c r="N203" s="309"/>
      <c r="O203" s="309"/>
      <c r="P203" s="309"/>
      <c r="Q203" s="309"/>
      <c r="R203" s="309"/>
      <c r="S203" s="309"/>
      <c r="T203" s="309"/>
      <c r="U203" s="309"/>
      <c r="V203" s="309"/>
      <c r="W203" s="309"/>
      <c r="X203" s="309"/>
      <c r="Y203" s="309"/>
      <c r="Z203" s="309"/>
      <c r="AA203" s="309"/>
    </row>
    <row r="204" ht="27.0" customHeight="1">
      <c r="A204" s="309"/>
      <c r="B204" s="309"/>
      <c r="C204" s="309"/>
      <c r="D204" s="309"/>
      <c r="E204" s="330"/>
      <c r="F204" s="309"/>
      <c r="G204" s="309"/>
      <c r="H204" s="316"/>
      <c r="I204" s="309"/>
      <c r="J204" s="309"/>
      <c r="K204" s="309"/>
      <c r="L204" s="309"/>
      <c r="M204" s="309"/>
      <c r="N204" s="309"/>
      <c r="O204" s="309"/>
      <c r="P204" s="309"/>
      <c r="Q204" s="309"/>
      <c r="R204" s="309"/>
      <c r="S204" s="309"/>
      <c r="T204" s="309"/>
      <c r="U204" s="309"/>
      <c r="V204" s="309"/>
      <c r="W204" s="309"/>
      <c r="X204" s="309"/>
      <c r="Y204" s="309"/>
      <c r="Z204" s="309"/>
      <c r="AA204" s="309"/>
    </row>
    <row r="205" ht="27.0" customHeight="1">
      <c r="A205" s="309"/>
      <c r="B205" s="309"/>
      <c r="C205" s="309"/>
      <c r="D205" s="309"/>
      <c r="E205" s="330"/>
      <c r="F205" s="309"/>
      <c r="G205" s="309"/>
      <c r="H205" s="316"/>
      <c r="I205" s="309"/>
      <c r="J205" s="309"/>
      <c r="K205" s="309"/>
      <c r="L205" s="309"/>
      <c r="M205" s="309"/>
      <c r="N205" s="309"/>
      <c r="O205" s="309"/>
      <c r="P205" s="309"/>
      <c r="Q205" s="309"/>
      <c r="R205" s="309"/>
      <c r="S205" s="309"/>
      <c r="T205" s="309"/>
      <c r="U205" s="309"/>
      <c r="V205" s="309"/>
      <c r="W205" s="309"/>
      <c r="X205" s="309"/>
      <c r="Y205" s="309"/>
      <c r="Z205" s="309"/>
      <c r="AA205" s="309"/>
    </row>
    <row r="206" ht="27.0" customHeight="1">
      <c r="A206" s="309"/>
      <c r="B206" s="309"/>
      <c r="C206" s="309"/>
      <c r="D206" s="309"/>
      <c r="E206" s="330"/>
      <c r="F206" s="309"/>
      <c r="G206" s="309"/>
      <c r="H206" s="316"/>
      <c r="I206" s="309"/>
      <c r="J206" s="309"/>
      <c r="K206" s="309"/>
      <c r="L206" s="309"/>
      <c r="M206" s="309"/>
      <c r="N206" s="309"/>
      <c r="O206" s="309"/>
      <c r="P206" s="309"/>
      <c r="Q206" s="309"/>
      <c r="R206" s="309"/>
      <c r="S206" s="309"/>
      <c r="T206" s="309"/>
      <c r="U206" s="309"/>
      <c r="V206" s="309"/>
      <c r="W206" s="309"/>
      <c r="X206" s="309"/>
      <c r="Y206" s="309"/>
      <c r="Z206" s="309"/>
      <c r="AA206" s="309"/>
    </row>
    <row r="207" ht="27.0" customHeight="1">
      <c r="A207" s="309"/>
      <c r="B207" s="309"/>
      <c r="C207" s="309"/>
      <c r="D207" s="309"/>
      <c r="E207" s="330"/>
      <c r="F207" s="309"/>
      <c r="G207" s="309"/>
      <c r="H207" s="316"/>
      <c r="I207" s="309"/>
      <c r="J207" s="309"/>
      <c r="K207" s="309"/>
      <c r="L207" s="309"/>
      <c r="M207" s="309"/>
      <c r="N207" s="309"/>
      <c r="O207" s="309"/>
      <c r="P207" s="309"/>
      <c r="Q207" s="309"/>
      <c r="R207" s="309"/>
      <c r="S207" s="309"/>
      <c r="T207" s="309"/>
      <c r="U207" s="309"/>
      <c r="V207" s="309"/>
      <c r="W207" s="309"/>
      <c r="X207" s="309"/>
      <c r="Y207" s="309"/>
      <c r="Z207" s="309"/>
      <c r="AA207" s="309"/>
    </row>
    <row r="208" ht="27.0" customHeight="1">
      <c r="A208" s="309"/>
      <c r="B208" s="309"/>
      <c r="C208" s="309"/>
      <c r="D208" s="309"/>
      <c r="E208" s="330"/>
      <c r="F208" s="309"/>
      <c r="G208" s="309"/>
      <c r="H208" s="316"/>
      <c r="I208" s="309"/>
      <c r="J208" s="309"/>
      <c r="K208" s="309"/>
      <c r="L208" s="309"/>
      <c r="M208" s="309"/>
      <c r="N208" s="309"/>
      <c r="O208" s="309"/>
      <c r="P208" s="309"/>
      <c r="Q208" s="309"/>
      <c r="R208" s="309"/>
      <c r="S208" s="309"/>
      <c r="T208" s="309"/>
      <c r="U208" s="309"/>
      <c r="V208" s="309"/>
      <c r="W208" s="309"/>
      <c r="X208" s="309"/>
      <c r="Y208" s="309"/>
      <c r="Z208" s="309"/>
      <c r="AA208" s="309"/>
    </row>
    <row r="209" ht="27.0" customHeight="1">
      <c r="A209" s="309"/>
      <c r="B209" s="309"/>
      <c r="C209" s="309"/>
      <c r="D209" s="309"/>
      <c r="E209" s="330"/>
      <c r="F209" s="309"/>
      <c r="G209" s="309"/>
      <c r="H209" s="316"/>
      <c r="I209" s="309"/>
      <c r="J209" s="309"/>
      <c r="K209" s="309"/>
      <c r="L209" s="309"/>
      <c r="M209" s="309"/>
      <c r="N209" s="309"/>
      <c r="O209" s="309"/>
      <c r="P209" s="309"/>
      <c r="Q209" s="309"/>
      <c r="R209" s="309"/>
      <c r="S209" s="309"/>
      <c r="T209" s="309"/>
      <c r="U209" s="309"/>
      <c r="V209" s="309"/>
      <c r="W209" s="309"/>
      <c r="X209" s="309"/>
      <c r="Y209" s="309"/>
      <c r="Z209" s="309"/>
      <c r="AA209" s="309"/>
    </row>
    <row r="210" ht="27.0" customHeight="1">
      <c r="A210" s="309"/>
      <c r="B210" s="309"/>
      <c r="C210" s="309"/>
      <c r="D210" s="309"/>
      <c r="E210" s="330"/>
      <c r="F210" s="309"/>
      <c r="G210" s="309"/>
      <c r="H210" s="316"/>
      <c r="I210" s="309"/>
      <c r="J210" s="309"/>
      <c r="K210" s="309"/>
      <c r="L210" s="309"/>
      <c r="M210" s="309"/>
      <c r="N210" s="309"/>
      <c r="O210" s="309"/>
      <c r="P210" s="309"/>
      <c r="Q210" s="309"/>
      <c r="R210" s="309"/>
      <c r="S210" s="309"/>
      <c r="T210" s="309"/>
      <c r="U210" s="309"/>
      <c r="V210" s="309"/>
      <c r="W210" s="309"/>
      <c r="X210" s="309"/>
      <c r="Y210" s="309"/>
      <c r="Z210" s="309"/>
      <c r="AA210" s="309"/>
    </row>
    <row r="211" ht="27.0" customHeight="1">
      <c r="A211" s="309"/>
      <c r="B211" s="309"/>
      <c r="C211" s="309"/>
      <c r="D211" s="309"/>
      <c r="E211" s="330"/>
      <c r="F211" s="309"/>
      <c r="G211" s="309"/>
      <c r="H211" s="316"/>
      <c r="I211" s="309"/>
      <c r="J211" s="309"/>
      <c r="K211" s="309"/>
      <c r="L211" s="309"/>
      <c r="M211" s="309"/>
      <c r="N211" s="309"/>
      <c r="O211" s="309"/>
      <c r="P211" s="309"/>
      <c r="Q211" s="309"/>
      <c r="R211" s="309"/>
      <c r="S211" s="309"/>
      <c r="T211" s="309"/>
      <c r="U211" s="309"/>
      <c r="V211" s="309"/>
      <c r="W211" s="309"/>
      <c r="X211" s="309"/>
      <c r="Y211" s="309"/>
      <c r="Z211" s="309"/>
      <c r="AA211" s="309"/>
    </row>
    <row r="212" ht="27.0" customHeight="1">
      <c r="A212" s="309"/>
      <c r="B212" s="309"/>
      <c r="C212" s="309"/>
      <c r="D212" s="309"/>
      <c r="E212" s="330"/>
      <c r="F212" s="309"/>
      <c r="G212" s="309"/>
      <c r="H212" s="316"/>
      <c r="I212" s="309"/>
      <c r="J212" s="309"/>
      <c r="K212" s="309"/>
      <c r="L212" s="309"/>
      <c r="M212" s="309"/>
      <c r="N212" s="309"/>
      <c r="O212" s="309"/>
      <c r="P212" s="309"/>
      <c r="Q212" s="309"/>
      <c r="R212" s="309"/>
      <c r="S212" s="309"/>
      <c r="T212" s="309"/>
      <c r="U212" s="309"/>
      <c r="V212" s="309"/>
      <c r="W212" s="309"/>
      <c r="X212" s="309"/>
      <c r="Y212" s="309"/>
      <c r="Z212" s="309"/>
      <c r="AA212" s="309"/>
    </row>
    <row r="213" ht="27.0" customHeight="1">
      <c r="A213" s="309"/>
      <c r="B213" s="309"/>
      <c r="C213" s="309"/>
      <c r="D213" s="309"/>
      <c r="E213" s="330"/>
      <c r="F213" s="309"/>
      <c r="G213" s="309"/>
      <c r="H213" s="316"/>
      <c r="I213" s="309"/>
      <c r="J213" s="309"/>
      <c r="K213" s="309"/>
      <c r="L213" s="309"/>
      <c r="M213" s="309"/>
      <c r="N213" s="309"/>
      <c r="O213" s="309"/>
      <c r="P213" s="309"/>
      <c r="Q213" s="309"/>
      <c r="R213" s="309"/>
      <c r="S213" s="309"/>
      <c r="T213" s="309"/>
      <c r="U213" s="309"/>
      <c r="V213" s="309"/>
      <c r="W213" s="309"/>
      <c r="X213" s="309"/>
      <c r="Y213" s="309"/>
      <c r="Z213" s="309"/>
      <c r="AA213" s="309"/>
    </row>
    <row r="214" ht="27.0" customHeight="1">
      <c r="A214" s="309"/>
      <c r="B214" s="309"/>
      <c r="C214" s="309"/>
      <c r="D214" s="309"/>
      <c r="E214" s="330"/>
      <c r="F214" s="309"/>
      <c r="G214" s="309"/>
      <c r="H214" s="316"/>
      <c r="I214" s="309"/>
      <c r="J214" s="309"/>
      <c r="K214" s="309"/>
      <c r="L214" s="309"/>
      <c r="M214" s="309"/>
      <c r="N214" s="309"/>
      <c r="O214" s="309"/>
      <c r="P214" s="309"/>
      <c r="Q214" s="309"/>
      <c r="R214" s="309"/>
      <c r="S214" s="309"/>
      <c r="T214" s="309"/>
      <c r="U214" s="309"/>
      <c r="V214" s="309"/>
      <c r="W214" s="309"/>
      <c r="X214" s="309"/>
      <c r="Y214" s="309"/>
      <c r="Z214" s="309"/>
      <c r="AA214" s="309"/>
    </row>
    <row r="215" ht="27.0" customHeight="1">
      <c r="A215" s="309"/>
      <c r="B215" s="309"/>
      <c r="C215" s="309"/>
      <c r="D215" s="309"/>
      <c r="E215" s="330"/>
      <c r="F215" s="309"/>
      <c r="G215" s="309"/>
      <c r="H215" s="316"/>
      <c r="I215" s="309"/>
      <c r="J215" s="309"/>
      <c r="K215" s="309"/>
      <c r="L215" s="309"/>
      <c r="M215" s="309"/>
      <c r="N215" s="309"/>
      <c r="O215" s="309"/>
      <c r="P215" s="309"/>
      <c r="Q215" s="309"/>
      <c r="R215" s="309"/>
      <c r="S215" s="309"/>
      <c r="T215" s="309"/>
      <c r="U215" s="309"/>
      <c r="V215" s="309"/>
      <c r="W215" s="309"/>
      <c r="X215" s="309"/>
      <c r="Y215" s="309"/>
      <c r="Z215" s="309"/>
      <c r="AA215" s="309"/>
    </row>
    <row r="216" ht="27.0" customHeight="1">
      <c r="A216" s="309"/>
      <c r="B216" s="309"/>
      <c r="C216" s="309"/>
      <c r="D216" s="309"/>
      <c r="E216" s="330"/>
      <c r="F216" s="309"/>
      <c r="G216" s="309"/>
      <c r="H216" s="316"/>
      <c r="I216" s="309"/>
      <c r="J216" s="309"/>
      <c r="K216" s="309"/>
      <c r="L216" s="309"/>
      <c r="M216" s="309"/>
      <c r="N216" s="309"/>
      <c r="O216" s="309"/>
      <c r="P216" s="309"/>
      <c r="Q216" s="309"/>
      <c r="R216" s="309"/>
      <c r="S216" s="309"/>
      <c r="T216" s="309"/>
      <c r="U216" s="309"/>
      <c r="V216" s="309"/>
      <c r="W216" s="309"/>
      <c r="X216" s="309"/>
      <c r="Y216" s="309"/>
      <c r="Z216" s="309"/>
      <c r="AA216" s="309"/>
    </row>
    <row r="217" ht="27.0" customHeight="1">
      <c r="A217" s="309"/>
      <c r="B217" s="309"/>
      <c r="C217" s="309"/>
      <c r="D217" s="309"/>
      <c r="E217" s="330"/>
      <c r="F217" s="309"/>
      <c r="G217" s="309"/>
      <c r="H217" s="316"/>
      <c r="I217" s="309"/>
      <c r="J217" s="309"/>
      <c r="K217" s="309"/>
      <c r="L217" s="309"/>
      <c r="M217" s="309"/>
      <c r="N217" s="309"/>
      <c r="O217" s="309"/>
      <c r="P217" s="309"/>
      <c r="Q217" s="309"/>
      <c r="R217" s="309"/>
      <c r="S217" s="309"/>
      <c r="T217" s="309"/>
      <c r="U217" s="309"/>
      <c r="V217" s="309"/>
      <c r="W217" s="309"/>
      <c r="X217" s="309"/>
      <c r="Y217" s="309"/>
      <c r="Z217" s="309"/>
      <c r="AA217" s="309"/>
    </row>
    <row r="218" ht="27.0" customHeight="1">
      <c r="A218" s="309"/>
      <c r="B218" s="309"/>
      <c r="C218" s="309"/>
      <c r="D218" s="309"/>
      <c r="E218" s="330"/>
      <c r="F218" s="309"/>
      <c r="G218" s="309"/>
      <c r="H218" s="316"/>
      <c r="I218" s="309"/>
      <c r="J218" s="309"/>
      <c r="K218" s="309"/>
      <c r="L218" s="309"/>
      <c r="M218" s="309"/>
      <c r="N218" s="309"/>
      <c r="O218" s="309"/>
      <c r="P218" s="309"/>
      <c r="Q218" s="309"/>
      <c r="R218" s="309"/>
      <c r="S218" s="309"/>
      <c r="T218" s="309"/>
      <c r="U218" s="309"/>
      <c r="V218" s="309"/>
      <c r="W218" s="309"/>
      <c r="X218" s="309"/>
      <c r="Y218" s="309"/>
      <c r="Z218" s="309"/>
      <c r="AA218" s="309"/>
    </row>
    <row r="219" ht="27.0" customHeight="1">
      <c r="A219" s="309"/>
      <c r="B219" s="309"/>
      <c r="C219" s="309"/>
      <c r="D219" s="309"/>
      <c r="E219" s="330"/>
      <c r="F219" s="309"/>
      <c r="G219" s="309"/>
      <c r="H219" s="316"/>
      <c r="I219" s="309"/>
      <c r="J219" s="309"/>
      <c r="K219" s="309"/>
      <c r="L219" s="309"/>
      <c r="M219" s="309"/>
      <c r="N219" s="309"/>
      <c r="O219" s="309"/>
      <c r="P219" s="309"/>
      <c r="Q219" s="309"/>
      <c r="R219" s="309"/>
      <c r="S219" s="309"/>
      <c r="T219" s="309"/>
      <c r="U219" s="309"/>
      <c r="V219" s="309"/>
      <c r="W219" s="309"/>
      <c r="X219" s="309"/>
      <c r="Y219" s="309"/>
      <c r="Z219" s="309"/>
      <c r="AA219" s="309"/>
    </row>
    <row r="220" ht="27.0" customHeight="1">
      <c r="A220" s="309"/>
      <c r="B220" s="309"/>
      <c r="C220" s="309"/>
      <c r="D220" s="309"/>
      <c r="E220" s="330"/>
      <c r="F220" s="309"/>
      <c r="G220" s="309"/>
      <c r="H220" s="316"/>
      <c r="I220" s="309"/>
      <c r="J220" s="309"/>
      <c r="K220" s="309"/>
      <c r="L220" s="309"/>
      <c r="M220" s="309"/>
      <c r="N220" s="309"/>
      <c r="O220" s="309"/>
      <c r="P220" s="309"/>
      <c r="Q220" s="309"/>
      <c r="R220" s="309"/>
      <c r="S220" s="309"/>
      <c r="T220" s="309"/>
      <c r="U220" s="309"/>
      <c r="V220" s="309"/>
      <c r="W220" s="309"/>
      <c r="X220" s="309"/>
      <c r="Y220" s="309"/>
      <c r="Z220" s="309"/>
      <c r="AA220" s="309"/>
    </row>
    <row r="221" ht="27.0" customHeight="1">
      <c r="A221" s="309"/>
      <c r="B221" s="309"/>
      <c r="C221" s="309"/>
      <c r="D221" s="309"/>
      <c r="E221" s="330"/>
      <c r="F221" s="309"/>
      <c r="G221" s="309"/>
      <c r="H221" s="316"/>
      <c r="I221" s="309"/>
      <c r="J221" s="309"/>
      <c r="K221" s="309"/>
      <c r="L221" s="309"/>
      <c r="M221" s="309"/>
      <c r="N221" s="309"/>
      <c r="O221" s="309"/>
      <c r="P221" s="309"/>
      <c r="Q221" s="309"/>
      <c r="R221" s="309"/>
      <c r="S221" s="309"/>
      <c r="T221" s="309"/>
      <c r="U221" s="309"/>
      <c r="V221" s="309"/>
      <c r="W221" s="309"/>
      <c r="X221" s="309"/>
      <c r="Y221" s="309"/>
      <c r="Z221" s="309"/>
      <c r="AA221" s="309"/>
    </row>
    <row r="222" ht="27.0" customHeight="1">
      <c r="A222" s="309"/>
      <c r="B222" s="309"/>
      <c r="C222" s="309"/>
      <c r="D222" s="309"/>
      <c r="E222" s="330"/>
      <c r="F222" s="309"/>
      <c r="G222" s="309"/>
      <c r="H222" s="316"/>
      <c r="I222" s="309"/>
      <c r="J222" s="309"/>
      <c r="K222" s="309"/>
      <c r="L222" s="309"/>
      <c r="M222" s="309"/>
      <c r="N222" s="309"/>
      <c r="O222" s="309"/>
      <c r="P222" s="309"/>
      <c r="Q222" s="309"/>
      <c r="R222" s="309"/>
      <c r="S222" s="309"/>
      <c r="T222" s="309"/>
      <c r="U222" s="309"/>
      <c r="V222" s="309"/>
      <c r="W222" s="309"/>
      <c r="X222" s="309"/>
      <c r="Y222" s="309"/>
      <c r="Z222" s="309"/>
      <c r="AA222" s="309"/>
    </row>
    <row r="223" ht="27.0" customHeight="1">
      <c r="A223" s="309"/>
      <c r="B223" s="309"/>
      <c r="C223" s="309"/>
      <c r="D223" s="309"/>
      <c r="E223" s="330"/>
      <c r="F223" s="309"/>
      <c r="G223" s="309"/>
      <c r="H223" s="316"/>
      <c r="I223" s="309"/>
      <c r="J223" s="309"/>
      <c r="K223" s="309"/>
      <c r="L223" s="309"/>
      <c r="M223" s="309"/>
      <c r="N223" s="309"/>
      <c r="O223" s="309"/>
      <c r="P223" s="309"/>
      <c r="Q223" s="309"/>
      <c r="R223" s="309"/>
      <c r="S223" s="309"/>
      <c r="T223" s="309"/>
      <c r="U223" s="309"/>
      <c r="V223" s="309"/>
      <c r="W223" s="309"/>
      <c r="X223" s="309"/>
      <c r="Y223" s="309"/>
      <c r="Z223" s="309"/>
      <c r="AA223" s="309"/>
    </row>
    <row r="224" ht="27.0" customHeight="1">
      <c r="A224" s="309"/>
      <c r="B224" s="309"/>
      <c r="C224" s="309"/>
      <c r="D224" s="309"/>
      <c r="E224" s="330"/>
      <c r="F224" s="309"/>
      <c r="G224" s="309"/>
      <c r="H224" s="316"/>
      <c r="I224" s="309"/>
      <c r="J224" s="309"/>
      <c r="K224" s="309"/>
      <c r="L224" s="309"/>
      <c r="M224" s="309"/>
      <c r="N224" s="309"/>
      <c r="O224" s="309"/>
      <c r="P224" s="309"/>
      <c r="Q224" s="309"/>
      <c r="R224" s="309"/>
      <c r="S224" s="309"/>
      <c r="T224" s="309"/>
      <c r="U224" s="309"/>
      <c r="V224" s="309"/>
      <c r="W224" s="309"/>
      <c r="X224" s="309"/>
      <c r="Y224" s="309"/>
      <c r="Z224" s="309"/>
      <c r="AA224" s="309"/>
    </row>
    <row r="225" ht="27.0" customHeight="1">
      <c r="A225" s="309"/>
      <c r="B225" s="309"/>
      <c r="C225" s="309"/>
      <c r="D225" s="309"/>
      <c r="E225" s="330"/>
      <c r="F225" s="309"/>
      <c r="G225" s="309"/>
      <c r="H225" s="316"/>
      <c r="I225" s="309"/>
      <c r="J225" s="309"/>
      <c r="K225" s="309"/>
      <c r="L225" s="309"/>
      <c r="M225" s="309"/>
      <c r="N225" s="309"/>
      <c r="O225" s="309"/>
      <c r="P225" s="309"/>
      <c r="Q225" s="309"/>
      <c r="R225" s="309"/>
      <c r="S225" s="309"/>
      <c r="T225" s="309"/>
      <c r="U225" s="309"/>
      <c r="V225" s="309"/>
      <c r="W225" s="309"/>
      <c r="X225" s="309"/>
      <c r="Y225" s="309"/>
      <c r="Z225" s="309"/>
      <c r="AA225" s="309"/>
    </row>
    <row r="226" ht="27.0" customHeight="1">
      <c r="A226" s="309"/>
      <c r="B226" s="309"/>
      <c r="C226" s="309"/>
      <c r="D226" s="309"/>
      <c r="E226" s="330"/>
      <c r="F226" s="309"/>
      <c r="G226" s="309"/>
      <c r="H226" s="316"/>
      <c r="I226" s="309"/>
      <c r="J226" s="309"/>
      <c r="K226" s="309"/>
      <c r="L226" s="309"/>
      <c r="M226" s="309"/>
      <c r="N226" s="309"/>
      <c r="O226" s="309"/>
      <c r="P226" s="309"/>
      <c r="Q226" s="309"/>
      <c r="R226" s="309"/>
      <c r="S226" s="309"/>
      <c r="T226" s="309"/>
      <c r="U226" s="309"/>
      <c r="V226" s="309"/>
      <c r="W226" s="309"/>
      <c r="X226" s="309"/>
      <c r="Y226" s="309"/>
      <c r="Z226" s="309"/>
      <c r="AA226" s="309"/>
    </row>
    <row r="227" ht="27.0" customHeight="1">
      <c r="A227" s="309"/>
      <c r="B227" s="309"/>
      <c r="C227" s="309"/>
      <c r="D227" s="309"/>
      <c r="E227" s="330"/>
      <c r="F227" s="309"/>
      <c r="G227" s="309"/>
      <c r="H227" s="316"/>
      <c r="I227" s="309"/>
      <c r="J227" s="309"/>
      <c r="K227" s="309"/>
      <c r="L227" s="309"/>
      <c r="M227" s="309"/>
      <c r="N227" s="309"/>
      <c r="O227" s="309"/>
      <c r="P227" s="309"/>
      <c r="Q227" s="309"/>
      <c r="R227" s="309"/>
      <c r="S227" s="309"/>
      <c r="T227" s="309"/>
      <c r="U227" s="309"/>
      <c r="V227" s="309"/>
      <c r="W227" s="309"/>
      <c r="X227" s="309"/>
      <c r="Y227" s="309"/>
      <c r="Z227" s="309"/>
      <c r="AA227" s="309"/>
    </row>
    <row r="228" ht="27.0" customHeight="1">
      <c r="A228" s="309"/>
      <c r="B228" s="309"/>
      <c r="C228" s="309"/>
      <c r="D228" s="309"/>
      <c r="E228" s="330"/>
      <c r="F228" s="309"/>
      <c r="G228" s="309"/>
      <c r="H228" s="316"/>
      <c r="I228" s="309"/>
      <c r="J228" s="309"/>
      <c r="K228" s="309"/>
      <c r="L228" s="309"/>
      <c r="M228" s="309"/>
      <c r="N228" s="309"/>
      <c r="O228" s="309"/>
      <c r="P228" s="309"/>
      <c r="Q228" s="309"/>
      <c r="R228" s="309"/>
      <c r="S228" s="309"/>
      <c r="T228" s="309"/>
      <c r="U228" s="309"/>
      <c r="V228" s="309"/>
      <c r="W228" s="309"/>
      <c r="X228" s="309"/>
      <c r="Y228" s="309"/>
      <c r="Z228" s="309"/>
      <c r="AA228" s="309"/>
    </row>
    <row r="229" ht="27.0" customHeight="1">
      <c r="A229" s="309"/>
      <c r="B229" s="309"/>
      <c r="C229" s="309"/>
      <c r="D229" s="309"/>
      <c r="E229" s="330"/>
      <c r="F229" s="309"/>
      <c r="G229" s="309"/>
      <c r="H229" s="316"/>
      <c r="I229" s="309"/>
      <c r="J229" s="309"/>
      <c r="K229" s="309"/>
      <c r="L229" s="309"/>
      <c r="M229" s="309"/>
      <c r="N229" s="309"/>
      <c r="O229" s="309"/>
      <c r="P229" s="309"/>
      <c r="Q229" s="309"/>
      <c r="R229" s="309"/>
      <c r="S229" s="309"/>
      <c r="T229" s="309"/>
      <c r="U229" s="309"/>
      <c r="V229" s="309"/>
      <c r="W229" s="309"/>
      <c r="X229" s="309"/>
      <c r="Y229" s="309"/>
      <c r="Z229" s="309"/>
      <c r="AA229" s="309"/>
    </row>
    <row r="230" ht="27.0" customHeight="1">
      <c r="A230" s="309"/>
      <c r="B230" s="309"/>
      <c r="C230" s="309"/>
      <c r="D230" s="309"/>
      <c r="E230" s="330"/>
      <c r="F230" s="309"/>
      <c r="G230" s="309"/>
      <c r="H230" s="316"/>
      <c r="I230" s="309"/>
      <c r="J230" s="309"/>
      <c r="K230" s="309"/>
      <c r="L230" s="309"/>
      <c r="M230" s="309"/>
      <c r="N230" s="309"/>
      <c r="O230" s="309"/>
      <c r="P230" s="309"/>
      <c r="Q230" s="309"/>
      <c r="R230" s="309"/>
      <c r="S230" s="309"/>
      <c r="T230" s="309"/>
      <c r="U230" s="309"/>
      <c r="V230" s="309"/>
      <c r="W230" s="309"/>
      <c r="X230" s="309"/>
      <c r="Y230" s="309"/>
      <c r="Z230" s="309"/>
      <c r="AA230" s="309"/>
    </row>
    <row r="231" ht="27.0" customHeight="1">
      <c r="A231" s="309"/>
      <c r="B231" s="309"/>
      <c r="C231" s="309"/>
      <c r="D231" s="309"/>
      <c r="E231" s="330"/>
      <c r="F231" s="309"/>
      <c r="G231" s="309"/>
      <c r="H231" s="316"/>
      <c r="I231" s="309"/>
      <c r="J231" s="309"/>
      <c r="K231" s="309"/>
      <c r="L231" s="309"/>
      <c r="M231" s="309"/>
      <c r="N231" s="309"/>
      <c r="O231" s="309"/>
      <c r="P231" s="309"/>
      <c r="Q231" s="309"/>
      <c r="R231" s="309"/>
      <c r="S231" s="309"/>
      <c r="T231" s="309"/>
      <c r="U231" s="309"/>
      <c r="V231" s="309"/>
      <c r="W231" s="309"/>
      <c r="X231" s="309"/>
      <c r="Y231" s="309"/>
      <c r="Z231" s="309"/>
      <c r="AA231" s="309"/>
    </row>
    <row r="232" ht="27.0" customHeight="1">
      <c r="A232" s="309"/>
      <c r="B232" s="309"/>
      <c r="C232" s="309"/>
      <c r="D232" s="309"/>
      <c r="E232" s="330"/>
      <c r="F232" s="309"/>
      <c r="G232" s="309"/>
      <c r="H232" s="316"/>
      <c r="I232" s="309"/>
      <c r="J232" s="309"/>
      <c r="K232" s="309"/>
      <c r="L232" s="309"/>
      <c r="M232" s="309"/>
      <c r="N232" s="309"/>
      <c r="O232" s="309"/>
      <c r="P232" s="309"/>
      <c r="Q232" s="309"/>
      <c r="R232" s="309"/>
      <c r="S232" s="309"/>
      <c r="T232" s="309"/>
      <c r="U232" s="309"/>
      <c r="V232" s="309"/>
      <c r="W232" s="309"/>
      <c r="X232" s="309"/>
      <c r="Y232" s="309"/>
      <c r="Z232" s="309"/>
      <c r="AA232" s="309"/>
    </row>
    <row r="233" ht="27.0" customHeight="1">
      <c r="A233" s="309"/>
      <c r="B233" s="309"/>
      <c r="C233" s="309"/>
      <c r="D233" s="309"/>
      <c r="E233" s="330"/>
      <c r="F233" s="309"/>
      <c r="G233" s="309"/>
      <c r="H233" s="316"/>
      <c r="I233" s="309"/>
      <c r="J233" s="309"/>
      <c r="K233" s="309"/>
      <c r="L233" s="309"/>
      <c r="M233" s="309"/>
      <c r="N233" s="309"/>
      <c r="O233" s="309"/>
      <c r="P233" s="309"/>
      <c r="Q233" s="309"/>
      <c r="R233" s="309"/>
      <c r="S233" s="309"/>
      <c r="T233" s="309"/>
      <c r="U233" s="309"/>
      <c r="V233" s="309"/>
      <c r="W233" s="309"/>
      <c r="X233" s="309"/>
      <c r="Y233" s="309"/>
      <c r="Z233" s="309"/>
      <c r="AA233" s="309"/>
    </row>
    <row r="234" ht="27.0" customHeight="1">
      <c r="A234" s="309"/>
      <c r="B234" s="309"/>
      <c r="C234" s="309"/>
      <c r="D234" s="309"/>
      <c r="E234" s="330"/>
      <c r="F234" s="309"/>
      <c r="G234" s="309"/>
      <c r="H234" s="316"/>
      <c r="I234" s="309"/>
      <c r="J234" s="309"/>
      <c r="K234" s="309"/>
      <c r="L234" s="309"/>
      <c r="M234" s="309"/>
      <c r="N234" s="309"/>
      <c r="O234" s="309"/>
      <c r="P234" s="309"/>
      <c r="Q234" s="309"/>
      <c r="R234" s="309"/>
      <c r="S234" s="309"/>
      <c r="T234" s="309"/>
      <c r="U234" s="309"/>
      <c r="V234" s="309"/>
      <c r="W234" s="309"/>
      <c r="X234" s="309"/>
      <c r="Y234" s="309"/>
      <c r="Z234" s="309"/>
      <c r="AA234" s="309"/>
    </row>
    <row r="235" ht="27.0" customHeight="1">
      <c r="A235" s="309"/>
      <c r="B235" s="309"/>
      <c r="C235" s="309"/>
      <c r="D235" s="309"/>
      <c r="E235" s="330"/>
      <c r="F235" s="309"/>
      <c r="G235" s="309"/>
      <c r="H235" s="316"/>
      <c r="I235" s="309"/>
      <c r="J235" s="309"/>
      <c r="K235" s="309"/>
      <c r="L235" s="309"/>
      <c r="M235" s="309"/>
      <c r="N235" s="309"/>
      <c r="O235" s="309"/>
      <c r="P235" s="309"/>
      <c r="Q235" s="309"/>
      <c r="R235" s="309"/>
      <c r="S235" s="309"/>
      <c r="T235" s="309"/>
      <c r="U235" s="309"/>
      <c r="V235" s="309"/>
      <c r="W235" s="309"/>
      <c r="X235" s="309"/>
      <c r="Y235" s="309"/>
      <c r="Z235" s="309"/>
      <c r="AA235" s="309"/>
    </row>
    <row r="236" ht="27.0" customHeight="1">
      <c r="A236" s="309"/>
      <c r="B236" s="309"/>
      <c r="C236" s="309"/>
      <c r="D236" s="309"/>
      <c r="E236" s="330"/>
      <c r="F236" s="309"/>
      <c r="G236" s="309"/>
      <c r="H236" s="316"/>
      <c r="I236" s="309"/>
      <c r="J236" s="309"/>
      <c r="K236" s="309"/>
      <c r="L236" s="309"/>
      <c r="M236" s="309"/>
      <c r="N236" s="309"/>
      <c r="O236" s="309"/>
      <c r="P236" s="309"/>
      <c r="Q236" s="309"/>
      <c r="R236" s="309"/>
      <c r="S236" s="309"/>
      <c r="T236" s="309"/>
      <c r="U236" s="309"/>
      <c r="V236" s="309"/>
      <c r="W236" s="309"/>
      <c r="X236" s="309"/>
      <c r="Y236" s="309"/>
      <c r="Z236" s="309"/>
      <c r="AA236" s="309"/>
    </row>
    <row r="237" ht="27.0" customHeight="1">
      <c r="A237" s="309"/>
      <c r="B237" s="309"/>
      <c r="C237" s="309"/>
      <c r="D237" s="309"/>
      <c r="E237" s="330"/>
      <c r="F237" s="309"/>
      <c r="G237" s="309"/>
      <c r="H237" s="316"/>
      <c r="I237" s="309"/>
      <c r="J237" s="309"/>
      <c r="K237" s="309"/>
      <c r="L237" s="309"/>
      <c r="M237" s="309"/>
      <c r="N237" s="309"/>
      <c r="O237" s="309"/>
      <c r="P237" s="309"/>
      <c r="Q237" s="309"/>
      <c r="R237" s="309"/>
      <c r="S237" s="309"/>
      <c r="T237" s="309"/>
      <c r="U237" s="309"/>
      <c r="V237" s="309"/>
      <c r="W237" s="309"/>
      <c r="X237" s="309"/>
      <c r="Y237" s="309"/>
      <c r="Z237" s="309"/>
      <c r="AA237" s="309"/>
    </row>
    <row r="238" ht="27.0" customHeight="1">
      <c r="A238" s="309"/>
      <c r="B238" s="309"/>
      <c r="C238" s="309"/>
      <c r="D238" s="309"/>
      <c r="E238" s="330"/>
      <c r="F238" s="309"/>
      <c r="G238" s="309"/>
      <c r="H238" s="316"/>
      <c r="I238" s="309"/>
      <c r="J238" s="309"/>
      <c r="K238" s="309"/>
      <c r="L238" s="309"/>
      <c r="M238" s="309"/>
      <c r="N238" s="309"/>
      <c r="O238" s="309"/>
      <c r="P238" s="309"/>
      <c r="Q238" s="309"/>
      <c r="R238" s="309"/>
      <c r="S238" s="309"/>
      <c r="T238" s="309"/>
      <c r="U238" s="309"/>
      <c r="V238" s="309"/>
      <c r="W238" s="309"/>
      <c r="X238" s="309"/>
      <c r="Y238" s="309"/>
      <c r="Z238" s="309"/>
      <c r="AA238" s="309"/>
    </row>
    <row r="239" ht="27.0" customHeight="1">
      <c r="A239" s="309"/>
      <c r="B239" s="309"/>
      <c r="C239" s="309"/>
      <c r="D239" s="309"/>
      <c r="E239" s="330"/>
      <c r="F239" s="309"/>
      <c r="G239" s="309"/>
      <c r="H239" s="316"/>
      <c r="I239" s="309"/>
      <c r="J239" s="309"/>
      <c r="K239" s="309"/>
      <c r="L239" s="309"/>
      <c r="M239" s="309"/>
      <c r="N239" s="309"/>
      <c r="O239" s="309"/>
      <c r="P239" s="309"/>
      <c r="Q239" s="309"/>
      <c r="R239" s="309"/>
      <c r="S239" s="309"/>
      <c r="T239" s="309"/>
      <c r="U239" s="309"/>
      <c r="V239" s="309"/>
      <c r="W239" s="309"/>
      <c r="X239" s="309"/>
      <c r="Y239" s="309"/>
      <c r="Z239" s="309"/>
      <c r="AA239" s="309"/>
    </row>
    <row r="240" ht="27.0" customHeight="1">
      <c r="A240" s="309"/>
      <c r="B240" s="309"/>
      <c r="C240" s="309"/>
      <c r="D240" s="309"/>
      <c r="E240" s="330"/>
      <c r="F240" s="309"/>
      <c r="G240" s="309"/>
      <c r="H240" s="316"/>
      <c r="I240" s="309"/>
      <c r="J240" s="309"/>
      <c r="K240" s="309"/>
      <c r="L240" s="309"/>
      <c r="M240" s="309"/>
      <c r="N240" s="309"/>
      <c r="O240" s="309"/>
      <c r="P240" s="309"/>
      <c r="Q240" s="309"/>
      <c r="R240" s="309"/>
      <c r="S240" s="309"/>
      <c r="T240" s="309"/>
      <c r="U240" s="309"/>
      <c r="V240" s="309"/>
      <c r="W240" s="309"/>
      <c r="X240" s="309"/>
      <c r="Y240" s="309"/>
      <c r="Z240" s="309"/>
      <c r="AA240" s="309"/>
    </row>
    <row r="241" ht="27.0" customHeight="1">
      <c r="A241" s="309"/>
      <c r="B241" s="309"/>
      <c r="C241" s="309"/>
      <c r="D241" s="309"/>
      <c r="E241" s="330"/>
      <c r="F241" s="309"/>
      <c r="G241" s="309"/>
      <c r="H241" s="316"/>
      <c r="I241" s="309"/>
      <c r="J241" s="309"/>
      <c r="K241" s="309"/>
      <c r="L241" s="309"/>
      <c r="M241" s="309"/>
      <c r="N241" s="309"/>
      <c r="O241" s="309"/>
      <c r="P241" s="309"/>
      <c r="Q241" s="309"/>
      <c r="R241" s="309"/>
      <c r="S241" s="309"/>
      <c r="T241" s="309"/>
      <c r="U241" s="309"/>
      <c r="V241" s="309"/>
      <c r="W241" s="309"/>
      <c r="X241" s="309"/>
      <c r="Y241" s="309"/>
      <c r="Z241" s="309"/>
      <c r="AA241" s="309"/>
    </row>
    <row r="242" ht="27.0" customHeight="1">
      <c r="A242" s="309"/>
      <c r="B242" s="309"/>
      <c r="C242" s="309"/>
      <c r="D242" s="309"/>
      <c r="E242" s="330"/>
      <c r="F242" s="309"/>
      <c r="G242" s="309"/>
      <c r="H242" s="316"/>
      <c r="I242" s="309"/>
      <c r="J242" s="309"/>
      <c r="K242" s="309"/>
      <c r="L242" s="309"/>
      <c r="M242" s="309"/>
      <c r="N242" s="309"/>
      <c r="O242" s="309"/>
      <c r="P242" s="309"/>
      <c r="Q242" s="309"/>
      <c r="R242" s="309"/>
      <c r="S242" s="309"/>
      <c r="T242" s="309"/>
      <c r="U242" s="309"/>
      <c r="V242" s="309"/>
      <c r="W242" s="309"/>
      <c r="X242" s="309"/>
      <c r="Y242" s="309"/>
      <c r="Z242" s="309"/>
      <c r="AA242" s="309"/>
    </row>
    <row r="243" ht="27.0" customHeight="1">
      <c r="A243" s="309"/>
      <c r="B243" s="309"/>
      <c r="C243" s="309"/>
      <c r="D243" s="309"/>
      <c r="E243" s="330"/>
      <c r="F243" s="309"/>
      <c r="G243" s="309"/>
      <c r="H243" s="316"/>
      <c r="I243" s="309"/>
      <c r="J243" s="309"/>
      <c r="K243" s="309"/>
      <c r="L243" s="309"/>
      <c r="M243" s="309"/>
      <c r="N243" s="309"/>
      <c r="O243" s="309"/>
      <c r="P243" s="309"/>
      <c r="Q243" s="309"/>
      <c r="R243" s="309"/>
      <c r="S243" s="309"/>
      <c r="T243" s="309"/>
      <c r="U243" s="309"/>
      <c r="V243" s="309"/>
      <c r="W243" s="309"/>
      <c r="X243" s="309"/>
      <c r="Y243" s="309"/>
      <c r="Z243" s="309"/>
      <c r="AA243" s="309"/>
    </row>
    <row r="244" ht="27.0" customHeight="1">
      <c r="A244" s="309"/>
      <c r="B244" s="309"/>
      <c r="C244" s="309"/>
      <c r="D244" s="309"/>
      <c r="E244" s="330"/>
      <c r="F244" s="309"/>
      <c r="G244" s="309"/>
      <c r="H244" s="316"/>
      <c r="I244" s="309"/>
      <c r="J244" s="309"/>
      <c r="K244" s="309"/>
      <c r="L244" s="309"/>
      <c r="M244" s="309"/>
      <c r="N244" s="309"/>
      <c r="O244" s="309"/>
      <c r="P244" s="309"/>
      <c r="Q244" s="309"/>
      <c r="R244" s="309"/>
      <c r="S244" s="309"/>
      <c r="T244" s="309"/>
      <c r="U244" s="309"/>
      <c r="V244" s="309"/>
      <c r="W244" s="309"/>
      <c r="X244" s="309"/>
      <c r="Y244" s="309"/>
      <c r="Z244" s="309"/>
      <c r="AA244" s="309"/>
    </row>
    <row r="245" ht="27.0" customHeight="1">
      <c r="A245" s="309"/>
      <c r="B245" s="309"/>
      <c r="C245" s="309"/>
      <c r="D245" s="309"/>
      <c r="E245" s="330"/>
      <c r="F245" s="309"/>
      <c r="G245" s="309"/>
      <c r="H245" s="316"/>
      <c r="I245" s="309"/>
      <c r="J245" s="309"/>
      <c r="K245" s="309"/>
      <c r="L245" s="309"/>
      <c r="M245" s="309"/>
      <c r="N245" s="309"/>
      <c r="O245" s="309"/>
      <c r="P245" s="309"/>
      <c r="Q245" s="309"/>
      <c r="R245" s="309"/>
      <c r="S245" s="309"/>
      <c r="T245" s="309"/>
      <c r="U245" s="309"/>
      <c r="V245" s="309"/>
      <c r="W245" s="309"/>
      <c r="X245" s="309"/>
      <c r="Y245" s="309"/>
      <c r="Z245" s="309"/>
      <c r="AA245" s="309"/>
    </row>
    <row r="246" ht="27.0" customHeight="1">
      <c r="A246" s="309"/>
      <c r="B246" s="309"/>
      <c r="C246" s="309"/>
      <c r="D246" s="309"/>
      <c r="E246" s="330"/>
      <c r="F246" s="309"/>
      <c r="G246" s="309"/>
      <c r="H246" s="316"/>
      <c r="I246" s="309"/>
      <c r="J246" s="309"/>
      <c r="K246" s="309"/>
      <c r="L246" s="309"/>
      <c r="M246" s="309"/>
      <c r="N246" s="309"/>
      <c r="O246" s="309"/>
      <c r="P246" s="309"/>
      <c r="Q246" s="309"/>
      <c r="R246" s="309"/>
      <c r="S246" s="309"/>
      <c r="T246" s="309"/>
      <c r="U246" s="309"/>
      <c r="V246" s="309"/>
      <c r="W246" s="309"/>
      <c r="X246" s="309"/>
      <c r="Y246" s="309"/>
      <c r="Z246" s="309"/>
      <c r="AA246" s="309"/>
    </row>
    <row r="247" ht="27.0" customHeight="1">
      <c r="A247" s="309"/>
      <c r="B247" s="309"/>
      <c r="C247" s="309"/>
      <c r="D247" s="309"/>
      <c r="E247" s="330"/>
      <c r="F247" s="309"/>
      <c r="G247" s="309"/>
      <c r="H247" s="316"/>
      <c r="I247" s="309"/>
      <c r="J247" s="309"/>
      <c r="K247" s="309"/>
      <c r="L247" s="309"/>
      <c r="M247" s="309"/>
      <c r="N247" s="309"/>
      <c r="O247" s="309"/>
      <c r="P247" s="309"/>
      <c r="Q247" s="309"/>
      <c r="R247" s="309"/>
      <c r="S247" s="309"/>
      <c r="T247" s="309"/>
      <c r="U247" s="309"/>
      <c r="V247" s="309"/>
      <c r="W247" s="309"/>
      <c r="X247" s="309"/>
      <c r="Y247" s="309"/>
      <c r="Z247" s="309"/>
      <c r="AA247" s="309"/>
    </row>
    <row r="248" ht="27.0" customHeight="1">
      <c r="A248" s="309"/>
      <c r="B248" s="309"/>
      <c r="C248" s="309"/>
      <c r="D248" s="309"/>
      <c r="E248" s="330"/>
      <c r="F248" s="309"/>
      <c r="G248" s="309"/>
      <c r="H248" s="316"/>
      <c r="I248" s="309"/>
      <c r="J248" s="309"/>
      <c r="K248" s="309"/>
      <c r="L248" s="309"/>
      <c r="M248" s="309"/>
      <c r="N248" s="309"/>
      <c r="O248" s="309"/>
      <c r="P248" s="309"/>
      <c r="Q248" s="309"/>
      <c r="R248" s="309"/>
      <c r="S248" s="309"/>
      <c r="T248" s="309"/>
      <c r="U248" s="309"/>
      <c r="V248" s="309"/>
      <c r="W248" s="309"/>
      <c r="X248" s="309"/>
      <c r="Y248" s="309"/>
      <c r="Z248" s="309"/>
      <c r="AA248" s="309"/>
    </row>
    <row r="249" ht="27.0" customHeight="1">
      <c r="A249" s="309"/>
      <c r="B249" s="309"/>
      <c r="C249" s="309"/>
      <c r="D249" s="309"/>
      <c r="E249" s="330"/>
      <c r="F249" s="309"/>
      <c r="G249" s="309"/>
      <c r="H249" s="316"/>
      <c r="I249" s="309"/>
      <c r="J249" s="309"/>
      <c r="K249" s="309"/>
      <c r="L249" s="309"/>
      <c r="M249" s="309"/>
      <c r="N249" s="309"/>
      <c r="O249" s="309"/>
      <c r="P249" s="309"/>
      <c r="Q249" s="309"/>
      <c r="R249" s="309"/>
      <c r="S249" s="309"/>
      <c r="T249" s="309"/>
      <c r="U249" s="309"/>
      <c r="V249" s="309"/>
      <c r="W249" s="309"/>
      <c r="X249" s="309"/>
      <c r="Y249" s="309"/>
      <c r="Z249" s="309"/>
      <c r="AA249" s="309"/>
    </row>
    <row r="250" ht="27.0" customHeight="1">
      <c r="A250" s="309"/>
      <c r="B250" s="309"/>
      <c r="C250" s="309"/>
      <c r="D250" s="309"/>
      <c r="E250" s="330"/>
      <c r="F250" s="309"/>
      <c r="G250" s="309"/>
      <c r="H250" s="316"/>
      <c r="I250" s="309"/>
      <c r="J250" s="309"/>
      <c r="K250" s="309"/>
      <c r="L250" s="309"/>
      <c r="M250" s="309"/>
      <c r="N250" s="309"/>
      <c r="O250" s="309"/>
      <c r="P250" s="309"/>
      <c r="Q250" s="309"/>
      <c r="R250" s="309"/>
      <c r="S250" s="309"/>
      <c r="T250" s="309"/>
      <c r="U250" s="309"/>
      <c r="V250" s="309"/>
      <c r="W250" s="309"/>
      <c r="X250" s="309"/>
      <c r="Y250" s="309"/>
      <c r="Z250" s="309"/>
      <c r="AA250" s="309"/>
    </row>
    <row r="251" ht="27.0" customHeight="1">
      <c r="A251" s="309"/>
      <c r="B251" s="309"/>
      <c r="C251" s="309"/>
      <c r="D251" s="309"/>
      <c r="E251" s="330"/>
      <c r="F251" s="309"/>
      <c r="G251" s="309"/>
      <c r="H251" s="316"/>
      <c r="I251" s="309"/>
      <c r="J251" s="309"/>
      <c r="K251" s="309"/>
      <c r="L251" s="309"/>
      <c r="M251" s="309"/>
      <c r="N251" s="309"/>
      <c r="O251" s="309"/>
      <c r="P251" s="309"/>
      <c r="Q251" s="309"/>
      <c r="R251" s="309"/>
      <c r="S251" s="309"/>
      <c r="T251" s="309"/>
      <c r="U251" s="309"/>
      <c r="V251" s="309"/>
      <c r="W251" s="309"/>
      <c r="X251" s="309"/>
      <c r="Y251" s="309"/>
      <c r="Z251" s="309"/>
      <c r="AA251" s="309"/>
    </row>
    <row r="252" ht="27.0" customHeight="1">
      <c r="A252" s="309"/>
      <c r="B252" s="309"/>
      <c r="C252" s="309"/>
      <c r="D252" s="309"/>
      <c r="E252" s="330"/>
      <c r="F252" s="309"/>
      <c r="G252" s="309"/>
      <c r="H252" s="316"/>
      <c r="I252" s="309"/>
      <c r="J252" s="309"/>
      <c r="K252" s="309"/>
      <c r="L252" s="309"/>
      <c r="M252" s="309"/>
      <c r="N252" s="309"/>
      <c r="O252" s="309"/>
      <c r="P252" s="309"/>
      <c r="Q252" s="309"/>
      <c r="R252" s="309"/>
      <c r="S252" s="309"/>
      <c r="T252" s="309"/>
      <c r="U252" s="309"/>
      <c r="V252" s="309"/>
      <c r="W252" s="309"/>
      <c r="X252" s="309"/>
      <c r="Y252" s="309"/>
      <c r="Z252" s="309"/>
      <c r="AA252" s="309"/>
    </row>
    <row r="253" ht="27.0" customHeight="1">
      <c r="A253" s="309"/>
      <c r="B253" s="309"/>
      <c r="C253" s="309"/>
      <c r="D253" s="309"/>
      <c r="E253" s="330"/>
      <c r="F253" s="309"/>
      <c r="G253" s="309"/>
      <c r="H253" s="316"/>
      <c r="I253" s="309"/>
      <c r="J253" s="309"/>
      <c r="K253" s="309"/>
      <c r="L253" s="309"/>
      <c r="M253" s="309"/>
      <c r="N253" s="309"/>
      <c r="O253" s="309"/>
      <c r="P253" s="309"/>
      <c r="Q253" s="309"/>
      <c r="R253" s="309"/>
      <c r="S253" s="309"/>
      <c r="T253" s="309"/>
      <c r="U253" s="309"/>
      <c r="V253" s="309"/>
      <c r="W253" s="309"/>
      <c r="X253" s="309"/>
      <c r="Y253" s="309"/>
      <c r="Z253" s="309"/>
      <c r="AA253" s="309"/>
    </row>
    <row r="254" ht="27.0" customHeight="1">
      <c r="A254" s="309"/>
      <c r="B254" s="309"/>
      <c r="C254" s="309"/>
      <c r="D254" s="309"/>
      <c r="E254" s="330"/>
      <c r="F254" s="309"/>
      <c r="G254" s="309"/>
      <c r="H254" s="316"/>
      <c r="I254" s="309"/>
      <c r="J254" s="309"/>
      <c r="K254" s="309"/>
      <c r="L254" s="309"/>
      <c r="M254" s="309"/>
      <c r="N254" s="309"/>
      <c r="O254" s="309"/>
      <c r="P254" s="309"/>
      <c r="Q254" s="309"/>
      <c r="R254" s="309"/>
      <c r="S254" s="309"/>
      <c r="T254" s="309"/>
      <c r="U254" s="309"/>
      <c r="V254" s="309"/>
      <c r="W254" s="309"/>
      <c r="X254" s="309"/>
      <c r="Y254" s="309"/>
      <c r="Z254" s="309"/>
      <c r="AA254" s="309"/>
    </row>
    <row r="255" ht="27.0" customHeight="1">
      <c r="A255" s="309"/>
      <c r="B255" s="309"/>
      <c r="C255" s="309"/>
      <c r="D255" s="309"/>
      <c r="E255" s="330"/>
      <c r="F255" s="309"/>
      <c r="G255" s="309"/>
      <c r="H255" s="316"/>
      <c r="I255" s="309"/>
      <c r="J255" s="309"/>
      <c r="K255" s="309"/>
      <c r="L255" s="309"/>
      <c r="M255" s="309"/>
      <c r="N255" s="309"/>
      <c r="O255" s="309"/>
      <c r="P255" s="309"/>
      <c r="Q255" s="309"/>
      <c r="R255" s="309"/>
      <c r="S255" s="309"/>
      <c r="T255" s="309"/>
      <c r="U255" s="309"/>
      <c r="V255" s="309"/>
      <c r="W255" s="309"/>
      <c r="X255" s="309"/>
      <c r="Y255" s="309"/>
      <c r="Z255" s="309"/>
      <c r="AA255" s="309"/>
    </row>
    <row r="256" ht="27.0" customHeight="1">
      <c r="A256" s="309"/>
      <c r="B256" s="309"/>
      <c r="C256" s="309"/>
      <c r="D256" s="309"/>
      <c r="E256" s="330"/>
      <c r="F256" s="309"/>
      <c r="G256" s="309"/>
      <c r="H256" s="316"/>
      <c r="I256" s="309"/>
      <c r="J256" s="309"/>
      <c r="K256" s="309"/>
      <c r="L256" s="309"/>
      <c r="M256" s="309"/>
      <c r="N256" s="309"/>
      <c r="O256" s="309"/>
      <c r="P256" s="309"/>
      <c r="Q256" s="309"/>
      <c r="R256" s="309"/>
      <c r="S256" s="309"/>
      <c r="T256" s="309"/>
      <c r="U256" s="309"/>
      <c r="V256" s="309"/>
      <c r="W256" s="309"/>
      <c r="X256" s="309"/>
      <c r="Y256" s="309"/>
      <c r="Z256" s="309"/>
      <c r="AA256" s="309"/>
    </row>
    <row r="257" ht="27.0" customHeight="1">
      <c r="A257" s="309"/>
      <c r="B257" s="309"/>
      <c r="C257" s="309"/>
      <c r="D257" s="309"/>
      <c r="E257" s="330"/>
      <c r="F257" s="309"/>
      <c r="G257" s="309"/>
      <c r="H257" s="316"/>
      <c r="I257" s="309"/>
      <c r="J257" s="309"/>
      <c r="K257" s="309"/>
      <c r="L257" s="309"/>
      <c r="M257" s="309"/>
      <c r="N257" s="309"/>
      <c r="O257" s="309"/>
      <c r="P257" s="309"/>
      <c r="Q257" s="309"/>
      <c r="R257" s="309"/>
      <c r="S257" s="309"/>
      <c r="T257" s="309"/>
      <c r="U257" s="309"/>
      <c r="V257" s="309"/>
      <c r="W257" s="309"/>
      <c r="X257" s="309"/>
      <c r="Y257" s="309"/>
      <c r="Z257" s="309"/>
      <c r="AA257" s="309"/>
    </row>
    <row r="258" ht="27.0" customHeight="1">
      <c r="A258" s="309"/>
      <c r="B258" s="309"/>
      <c r="C258" s="309"/>
      <c r="D258" s="309"/>
      <c r="E258" s="330"/>
      <c r="F258" s="309"/>
      <c r="G258" s="309"/>
      <c r="H258" s="316"/>
      <c r="I258" s="309"/>
      <c r="J258" s="309"/>
      <c r="K258" s="309"/>
      <c r="L258" s="309"/>
      <c r="M258" s="309"/>
      <c r="N258" s="309"/>
      <c r="O258" s="309"/>
      <c r="P258" s="309"/>
      <c r="Q258" s="309"/>
      <c r="R258" s="309"/>
      <c r="S258" s="309"/>
      <c r="T258" s="309"/>
      <c r="U258" s="309"/>
      <c r="V258" s="309"/>
      <c r="W258" s="309"/>
      <c r="X258" s="309"/>
      <c r="Y258" s="309"/>
      <c r="Z258" s="309"/>
      <c r="AA258" s="309"/>
    </row>
    <row r="259" ht="27.0" customHeight="1">
      <c r="A259" s="309"/>
      <c r="B259" s="309"/>
      <c r="C259" s="309"/>
      <c r="D259" s="309"/>
      <c r="E259" s="330"/>
      <c r="F259" s="309"/>
      <c r="G259" s="309"/>
      <c r="H259" s="316"/>
      <c r="I259" s="309"/>
      <c r="J259" s="309"/>
      <c r="K259" s="309"/>
      <c r="L259" s="309"/>
      <c r="M259" s="309"/>
      <c r="N259" s="309"/>
      <c r="O259" s="309"/>
      <c r="P259" s="309"/>
      <c r="Q259" s="309"/>
      <c r="R259" s="309"/>
      <c r="S259" s="309"/>
      <c r="T259" s="309"/>
      <c r="U259" s="309"/>
      <c r="V259" s="309"/>
      <c r="W259" s="309"/>
      <c r="X259" s="309"/>
      <c r="Y259" s="309"/>
      <c r="Z259" s="309"/>
      <c r="AA259" s="309"/>
    </row>
    <row r="260" ht="27.0" customHeight="1">
      <c r="A260" s="309"/>
      <c r="B260" s="309"/>
      <c r="C260" s="309"/>
      <c r="D260" s="309"/>
      <c r="E260" s="330"/>
      <c r="F260" s="309"/>
      <c r="G260" s="309"/>
      <c r="H260" s="316"/>
      <c r="I260" s="309"/>
      <c r="J260" s="309"/>
      <c r="K260" s="309"/>
      <c r="L260" s="309"/>
      <c r="M260" s="309"/>
      <c r="N260" s="309"/>
      <c r="O260" s="309"/>
      <c r="P260" s="309"/>
      <c r="Q260" s="309"/>
      <c r="R260" s="309"/>
      <c r="S260" s="309"/>
      <c r="T260" s="309"/>
      <c r="U260" s="309"/>
      <c r="V260" s="309"/>
      <c r="W260" s="309"/>
      <c r="X260" s="309"/>
      <c r="Y260" s="309"/>
      <c r="Z260" s="309"/>
      <c r="AA260" s="309"/>
    </row>
    <row r="261" ht="27.0" customHeight="1">
      <c r="A261" s="309"/>
      <c r="B261" s="309"/>
      <c r="C261" s="309"/>
      <c r="D261" s="309"/>
      <c r="E261" s="330"/>
      <c r="F261" s="309"/>
      <c r="G261" s="309"/>
      <c r="H261" s="316"/>
      <c r="I261" s="309"/>
      <c r="J261" s="309"/>
      <c r="K261" s="309"/>
      <c r="L261" s="309"/>
      <c r="M261" s="309"/>
      <c r="N261" s="309"/>
      <c r="O261" s="309"/>
      <c r="P261" s="309"/>
      <c r="Q261" s="309"/>
      <c r="R261" s="309"/>
      <c r="S261" s="309"/>
      <c r="T261" s="309"/>
      <c r="U261" s="309"/>
      <c r="V261" s="309"/>
      <c r="W261" s="309"/>
      <c r="X261" s="309"/>
      <c r="Y261" s="309"/>
      <c r="Z261" s="309"/>
      <c r="AA261" s="309"/>
    </row>
    <row r="262" ht="27.0" customHeight="1">
      <c r="A262" s="309"/>
      <c r="B262" s="309"/>
      <c r="C262" s="309"/>
      <c r="D262" s="309"/>
      <c r="E262" s="330"/>
      <c r="F262" s="309"/>
      <c r="G262" s="309"/>
      <c r="H262" s="316"/>
      <c r="I262" s="309"/>
      <c r="J262" s="309"/>
      <c r="K262" s="309"/>
      <c r="L262" s="309"/>
      <c r="M262" s="309"/>
      <c r="N262" s="309"/>
      <c r="O262" s="309"/>
      <c r="P262" s="309"/>
      <c r="Q262" s="309"/>
      <c r="R262" s="309"/>
      <c r="S262" s="309"/>
      <c r="T262" s="309"/>
      <c r="U262" s="309"/>
      <c r="V262" s="309"/>
      <c r="W262" s="309"/>
      <c r="X262" s="309"/>
      <c r="Y262" s="309"/>
      <c r="Z262" s="309"/>
      <c r="AA262" s="309"/>
    </row>
    <row r="263" ht="27.0" customHeight="1">
      <c r="A263" s="309"/>
      <c r="B263" s="309"/>
      <c r="C263" s="309"/>
      <c r="D263" s="309"/>
      <c r="E263" s="330"/>
      <c r="F263" s="309"/>
      <c r="G263" s="309"/>
      <c r="H263" s="316"/>
      <c r="I263" s="309"/>
      <c r="J263" s="309"/>
      <c r="K263" s="309"/>
      <c r="L263" s="309"/>
      <c r="M263" s="309"/>
      <c r="N263" s="309"/>
      <c r="O263" s="309"/>
      <c r="P263" s="309"/>
      <c r="Q263" s="309"/>
      <c r="R263" s="309"/>
      <c r="S263" s="309"/>
      <c r="T263" s="309"/>
      <c r="U263" s="309"/>
      <c r="V263" s="309"/>
      <c r="W263" s="309"/>
      <c r="X263" s="309"/>
      <c r="Y263" s="309"/>
      <c r="Z263" s="309"/>
      <c r="AA263" s="309"/>
    </row>
    <row r="264" ht="27.0" customHeight="1">
      <c r="A264" s="309"/>
      <c r="B264" s="309"/>
      <c r="C264" s="309"/>
      <c r="D264" s="309"/>
      <c r="E264" s="330"/>
      <c r="F264" s="309"/>
      <c r="G264" s="309"/>
      <c r="H264" s="316"/>
      <c r="I264" s="309"/>
      <c r="J264" s="309"/>
      <c r="K264" s="309"/>
      <c r="L264" s="309"/>
      <c r="M264" s="309"/>
      <c r="N264" s="309"/>
      <c r="O264" s="309"/>
      <c r="P264" s="309"/>
      <c r="Q264" s="309"/>
      <c r="R264" s="309"/>
      <c r="S264" s="309"/>
      <c r="T264" s="309"/>
      <c r="U264" s="309"/>
      <c r="V264" s="309"/>
      <c r="W264" s="309"/>
      <c r="X264" s="309"/>
      <c r="Y264" s="309"/>
      <c r="Z264" s="309"/>
      <c r="AA264" s="309"/>
    </row>
    <row r="265" ht="27.0" customHeight="1">
      <c r="A265" s="309"/>
      <c r="B265" s="309"/>
      <c r="C265" s="309"/>
      <c r="D265" s="309"/>
      <c r="E265" s="330"/>
      <c r="F265" s="309"/>
      <c r="G265" s="309"/>
      <c r="H265" s="316"/>
      <c r="I265" s="309"/>
      <c r="J265" s="309"/>
      <c r="K265" s="309"/>
      <c r="L265" s="309"/>
      <c r="M265" s="309"/>
      <c r="N265" s="309"/>
      <c r="O265" s="309"/>
      <c r="P265" s="309"/>
      <c r="Q265" s="309"/>
      <c r="R265" s="309"/>
      <c r="S265" s="309"/>
      <c r="T265" s="309"/>
      <c r="U265" s="309"/>
      <c r="V265" s="309"/>
      <c r="W265" s="309"/>
      <c r="X265" s="309"/>
      <c r="Y265" s="309"/>
      <c r="Z265" s="309"/>
      <c r="AA265" s="309"/>
    </row>
    <row r="266" ht="27.0" customHeight="1">
      <c r="A266" s="309"/>
      <c r="B266" s="309"/>
      <c r="C266" s="309"/>
      <c r="D266" s="309"/>
      <c r="E266" s="330"/>
      <c r="F266" s="309"/>
      <c r="G266" s="309"/>
      <c r="H266" s="316"/>
      <c r="I266" s="309"/>
      <c r="J266" s="309"/>
      <c r="K266" s="309"/>
      <c r="L266" s="309"/>
      <c r="M266" s="309"/>
      <c r="N266" s="309"/>
      <c r="O266" s="309"/>
      <c r="P266" s="309"/>
      <c r="Q266" s="309"/>
      <c r="R266" s="309"/>
      <c r="S266" s="309"/>
      <c r="T266" s="309"/>
      <c r="U266" s="309"/>
      <c r="V266" s="309"/>
      <c r="W266" s="309"/>
      <c r="X266" s="309"/>
      <c r="Y266" s="309"/>
      <c r="Z266" s="309"/>
      <c r="AA266" s="309"/>
    </row>
    <row r="267" ht="27.0" customHeight="1">
      <c r="A267" s="309"/>
      <c r="B267" s="309"/>
      <c r="C267" s="309"/>
      <c r="D267" s="309"/>
      <c r="E267" s="330"/>
      <c r="F267" s="309"/>
      <c r="G267" s="309"/>
      <c r="H267" s="316"/>
      <c r="I267" s="309"/>
      <c r="J267" s="309"/>
      <c r="K267" s="309"/>
      <c r="L267" s="309"/>
      <c r="M267" s="309"/>
      <c r="N267" s="309"/>
      <c r="O267" s="309"/>
      <c r="P267" s="309"/>
      <c r="Q267" s="309"/>
      <c r="R267" s="309"/>
      <c r="S267" s="309"/>
      <c r="T267" s="309"/>
      <c r="U267" s="309"/>
      <c r="V267" s="309"/>
      <c r="W267" s="309"/>
      <c r="X267" s="309"/>
      <c r="Y267" s="309"/>
      <c r="Z267" s="309"/>
      <c r="AA267" s="309"/>
    </row>
    <row r="268" ht="27.0" customHeight="1">
      <c r="A268" s="309"/>
      <c r="B268" s="309"/>
      <c r="C268" s="309"/>
      <c r="D268" s="309"/>
      <c r="E268" s="330"/>
      <c r="F268" s="309"/>
      <c r="G268" s="309"/>
      <c r="H268" s="316"/>
      <c r="I268" s="309"/>
      <c r="J268" s="309"/>
      <c r="K268" s="309"/>
      <c r="L268" s="309"/>
      <c r="M268" s="309"/>
      <c r="N268" s="309"/>
      <c r="O268" s="309"/>
      <c r="P268" s="309"/>
      <c r="Q268" s="309"/>
      <c r="R268" s="309"/>
      <c r="S268" s="309"/>
      <c r="T268" s="309"/>
      <c r="U268" s="309"/>
      <c r="V268" s="309"/>
      <c r="W268" s="309"/>
      <c r="X268" s="309"/>
      <c r="Y268" s="309"/>
      <c r="Z268" s="309"/>
      <c r="AA268" s="309"/>
    </row>
    <row r="269" ht="27.0" customHeight="1">
      <c r="A269" s="309"/>
      <c r="B269" s="309"/>
      <c r="C269" s="309"/>
      <c r="D269" s="309"/>
      <c r="E269" s="330"/>
      <c r="F269" s="309"/>
      <c r="G269" s="309"/>
      <c r="H269" s="316"/>
      <c r="I269" s="309"/>
      <c r="J269" s="309"/>
      <c r="K269" s="309"/>
      <c r="L269" s="309"/>
      <c r="M269" s="309"/>
      <c r="N269" s="309"/>
      <c r="O269" s="309"/>
      <c r="P269" s="309"/>
      <c r="Q269" s="309"/>
      <c r="R269" s="309"/>
      <c r="S269" s="309"/>
      <c r="T269" s="309"/>
      <c r="U269" s="309"/>
      <c r="V269" s="309"/>
      <c r="W269" s="309"/>
      <c r="X269" s="309"/>
      <c r="Y269" s="309"/>
      <c r="Z269" s="309"/>
      <c r="AA269" s="309"/>
    </row>
    <row r="270" ht="27.0" customHeight="1">
      <c r="A270" s="309"/>
      <c r="B270" s="309"/>
      <c r="C270" s="309"/>
      <c r="D270" s="309"/>
      <c r="E270" s="330"/>
      <c r="F270" s="309"/>
      <c r="G270" s="309"/>
      <c r="H270" s="316"/>
      <c r="I270" s="309"/>
      <c r="J270" s="309"/>
      <c r="K270" s="309"/>
      <c r="L270" s="309"/>
      <c r="M270" s="309"/>
      <c r="N270" s="309"/>
      <c r="O270" s="309"/>
      <c r="P270" s="309"/>
      <c r="Q270" s="309"/>
      <c r="R270" s="309"/>
      <c r="S270" s="309"/>
      <c r="T270" s="309"/>
      <c r="U270" s="309"/>
      <c r="V270" s="309"/>
      <c r="W270" s="309"/>
      <c r="X270" s="309"/>
      <c r="Y270" s="309"/>
      <c r="Z270" s="309"/>
      <c r="AA270" s="309"/>
    </row>
    <row r="271" ht="27.0" customHeight="1">
      <c r="A271" s="309"/>
      <c r="B271" s="309"/>
      <c r="C271" s="309"/>
      <c r="D271" s="309"/>
      <c r="E271" s="330"/>
      <c r="F271" s="309"/>
      <c r="G271" s="309"/>
      <c r="H271" s="316"/>
      <c r="I271" s="309"/>
      <c r="J271" s="309"/>
      <c r="K271" s="309"/>
      <c r="L271" s="309"/>
      <c r="M271" s="309"/>
      <c r="N271" s="309"/>
      <c r="O271" s="309"/>
      <c r="P271" s="309"/>
      <c r="Q271" s="309"/>
      <c r="R271" s="309"/>
      <c r="S271" s="309"/>
      <c r="T271" s="309"/>
      <c r="U271" s="309"/>
      <c r="V271" s="309"/>
      <c r="W271" s="309"/>
      <c r="X271" s="309"/>
      <c r="Y271" s="309"/>
      <c r="Z271" s="309"/>
      <c r="AA271" s="309"/>
    </row>
    <row r="272" ht="27.0" customHeight="1">
      <c r="A272" s="309"/>
      <c r="B272" s="309"/>
      <c r="C272" s="309"/>
      <c r="D272" s="309"/>
      <c r="E272" s="330"/>
      <c r="F272" s="309"/>
      <c r="G272" s="309"/>
      <c r="H272" s="316"/>
      <c r="I272" s="309"/>
      <c r="J272" s="309"/>
      <c r="K272" s="309"/>
      <c r="L272" s="309"/>
      <c r="M272" s="309"/>
      <c r="N272" s="309"/>
      <c r="O272" s="309"/>
      <c r="P272" s="309"/>
      <c r="Q272" s="309"/>
      <c r="R272" s="309"/>
      <c r="S272" s="309"/>
      <c r="T272" s="309"/>
      <c r="U272" s="309"/>
      <c r="V272" s="309"/>
      <c r="W272" s="309"/>
      <c r="X272" s="309"/>
      <c r="Y272" s="309"/>
      <c r="Z272" s="309"/>
      <c r="AA272" s="309"/>
    </row>
    <row r="273" ht="27.0" customHeight="1">
      <c r="A273" s="309"/>
      <c r="B273" s="309"/>
      <c r="C273" s="309"/>
      <c r="D273" s="309"/>
      <c r="E273" s="330"/>
      <c r="F273" s="309"/>
      <c r="G273" s="309"/>
      <c r="H273" s="316"/>
      <c r="I273" s="309"/>
      <c r="J273" s="309"/>
      <c r="K273" s="309"/>
      <c r="L273" s="309"/>
      <c r="M273" s="309"/>
      <c r="N273" s="309"/>
      <c r="O273" s="309"/>
      <c r="P273" s="309"/>
      <c r="Q273" s="309"/>
      <c r="R273" s="309"/>
      <c r="S273" s="309"/>
      <c r="T273" s="309"/>
      <c r="U273" s="309"/>
      <c r="V273" s="309"/>
      <c r="W273" s="309"/>
      <c r="X273" s="309"/>
      <c r="Y273" s="309"/>
      <c r="Z273" s="309"/>
      <c r="AA273" s="309"/>
    </row>
    <row r="274" ht="27.0" customHeight="1">
      <c r="A274" s="309"/>
      <c r="B274" s="309"/>
      <c r="C274" s="309"/>
      <c r="D274" s="309"/>
      <c r="E274" s="330"/>
      <c r="F274" s="309"/>
      <c r="G274" s="309"/>
      <c r="H274" s="316"/>
      <c r="I274" s="309"/>
      <c r="J274" s="309"/>
      <c r="K274" s="309"/>
      <c r="L274" s="309"/>
      <c r="M274" s="309"/>
      <c r="N274" s="309"/>
      <c r="O274" s="309"/>
      <c r="P274" s="309"/>
      <c r="Q274" s="309"/>
      <c r="R274" s="309"/>
      <c r="S274" s="309"/>
      <c r="T274" s="309"/>
      <c r="U274" s="309"/>
      <c r="V274" s="309"/>
      <c r="W274" s="309"/>
      <c r="X274" s="309"/>
      <c r="Y274" s="309"/>
      <c r="Z274" s="309"/>
      <c r="AA274" s="309"/>
    </row>
    <row r="275" ht="27.0" customHeight="1">
      <c r="A275" s="309"/>
      <c r="B275" s="309"/>
      <c r="C275" s="309"/>
      <c r="D275" s="309"/>
      <c r="E275" s="330"/>
      <c r="F275" s="309"/>
      <c r="G275" s="309"/>
      <c r="H275" s="316"/>
      <c r="I275" s="309"/>
      <c r="J275" s="309"/>
      <c r="K275" s="309"/>
      <c r="L275" s="309"/>
      <c r="M275" s="309"/>
      <c r="N275" s="309"/>
      <c r="O275" s="309"/>
      <c r="P275" s="309"/>
      <c r="Q275" s="309"/>
      <c r="R275" s="309"/>
      <c r="S275" s="309"/>
      <c r="T275" s="309"/>
      <c r="U275" s="309"/>
      <c r="V275" s="309"/>
      <c r="W275" s="309"/>
      <c r="X275" s="309"/>
      <c r="Y275" s="309"/>
      <c r="Z275" s="309"/>
      <c r="AA275" s="309"/>
    </row>
    <row r="276" ht="27.0" customHeight="1">
      <c r="A276" s="309"/>
      <c r="B276" s="309"/>
      <c r="C276" s="309"/>
      <c r="D276" s="309"/>
      <c r="E276" s="330"/>
      <c r="F276" s="309"/>
      <c r="G276" s="309"/>
      <c r="H276" s="316"/>
      <c r="I276" s="309"/>
      <c r="J276" s="309"/>
      <c r="K276" s="309"/>
      <c r="L276" s="309"/>
      <c r="M276" s="309"/>
      <c r="N276" s="309"/>
      <c r="O276" s="309"/>
      <c r="P276" s="309"/>
      <c r="Q276" s="309"/>
      <c r="R276" s="309"/>
      <c r="S276" s="309"/>
      <c r="T276" s="309"/>
      <c r="U276" s="309"/>
      <c r="V276" s="309"/>
      <c r="W276" s="309"/>
      <c r="X276" s="309"/>
      <c r="Y276" s="309"/>
      <c r="Z276" s="309"/>
      <c r="AA276" s="309"/>
    </row>
    <row r="277" ht="27.0" customHeight="1">
      <c r="A277" s="309"/>
      <c r="B277" s="309"/>
      <c r="C277" s="309"/>
      <c r="D277" s="309"/>
      <c r="E277" s="330"/>
      <c r="F277" s="309"/>
      <c r="G277" s="309"/>
      <c r="H277" s="316"/>
      <c r="I277" s="309"/>
      <c r="J277" s="309"/>
      <c r="K277" s="309"/>
      <c r="L277" s="309"/>
      <c r="M277" s="309"/>
      <c r="N277" s="309"/>
      <c r="O277" s="309"/>
      <c r="P277" s="309"/>
      <c r="Q277" s="309"/>
      <c r="R277" s="309"/>
      <c r="S277" s="309"/>
      <c r="T277" s="309"/>
      <c r="U277" s="309"/>
      <c r="V277" s="309"/>
      <c r="W277" s="309"/>
      <c r="X277" s="309"/>
      <c r="Y277" s="309"/>
      <c r="Z277" s="309"/>
      <c r="AA277" s="309"/>
    </row>
    <row r="278" ht="27.0" customHeight="1">
      <c r="A278" s="309"/>
      <c r="B278" s="309"/>
      <c r="C278" s="309"/>
      <c r="D278" s="309"/>
      <c r="E278" s="330"/>
      <c r="F278" s="309"/>
      <c r="G278" s="309"/>
      <c r="H278" s="316"/>
      <c r="I278" s="309"/>
      <c r="J278" s="309"/>
      <c r="K278" s="309"/>
      <c r="L278" s="309"/>
      <c r="M278" s="309"/>
      <c r="N278" s="309"/>
      <c r="O278" s="309"/>
      <c r="P278" s="309"/>
      <c r="Q278" s="309"/>
      <c r="R278" s="309"/>
      <c r="S278" s="309"/>
      <c r="T278" s="309"/>
      <c r="U278" s="309"/>
      <c r="V278" s="309"/>
      <c r="W278" s="309"/>
      <c r="X278" s="309"/>
      <c r="Y278" s="309"/>
      <c r="Z278" s="309"/>
      <c r="AA278" s="309"/>
    </row>
    <row r="279" ht="27.0" customHeight="1">
      <c r="A279" s="309"/>
      <c r="B279" s="309"/>
      <c r="C279" s="309"/>
      <c r="D279" s="309"/>
      <c r="E279" s="330"/>
      <c r="F279" s="309"/>
      <c r="G279" s="309"/>
      <c r="H279" s="316"/>
      <c r="I279" s="309"/>
      <c r="J279" s="309"/>
      <c r="K279" s="309"/>
      <c r="L279" s="309"/>
      <c r="M279" s="309"/>
      <c r="N279" s="309"/>
      <c r="O279" s="309"/>
      <c r="P279" s="309"/>
      <c r="Q279" s="309"/>
      <c r="R279" s="309"/>
      <c r="S279" s="309"/>
      <c r="T279" s="309"/>
      <c r="U279" s="309"/>
      <c r="V279" s="309"/>
      <c r="W279" s="309"/>
      <c r="X279" s="309"/>
      <c r="Y279" s="309"/>
      <c r="Z279" s="309"/>
      <c r="AA279" s="309"/>
    </row>
    <row r="280" ht="27.0" customHeight="1">
      <c r="A280" s="309"/>
      <c r="B280" s="309"/>
      <c r="C280" s="309"/>
      <c r="D280" s="309"/>
      <c r="E280" s="330"/>
      <c r="F280" s="309"/>
      <c r="G280" s="309"/>
      <c r="H280" s="316"/>
      <c r="I280" s="309"/>
      <c r="J280" s="309"/>
      <c r="K280" s="309"/>
      <c r="L280" s="309"/>
      <c r="M280" s="309"/>
      <c r="N280" s="309"/>
      <c r="O280" s="309"/>
      <c r="P280" s="309"/>
      <c r="Q280" s="309"/>
      <c r="R280" s="309"/>
      <c r="S280" s="309"/>
      <c r="T280" s="309"/>
      <c r="U280" s="309"/>
      <c r="V280" s="309"/>
      <c r="W280" s="309"/>
      <c r="X280" s="309"/>
      <c r="Y280" s="309"/>
      <c r="Z280" s="309"/>
      <c r="AA280" s="309"/>
    </row>
    <row r="281" ht="27.0" customHeight="1">
      <c r="A281" s="309"/>
      <c r="B281" s="309"/>
      <c r="C281" s="309"/>
      <c r="D281" s="309"/>
      <c r="E281" s="330"/>
      <c r="F281" s="309"/>
      <c r="G281" s="309"/>
      <c r="H281" s="316"/>
      <c r="I281" s="309"/>
      <c r="J281" s="309"/>
      <c r="K281" s="309"/>
      <c r="L281" s="309"/>
      <c r="M281" s="309"/>
      <c r="N281" s="309"/>
      <c r="O281" s="309"/>
      <c r="P281" s="309"/>
      <c r="Q281" s="309"/>
      <c r="R281" s="309"/>
      <c r="S281" s="309"/>
      <c r="T281" s="309"/>
      <c r="U281" s="309"/>
      <c r="V281" s="309"/>
      <c r="W281" s="309"/>
      <c r="X281" s="309"/>
      <c r="Y281" s="309"/>
      <c r="Z281" s="309"/>
      <c r="AA281" s="309"/>
    </row>
    <row r="282" ht="27.0" customHeight="1">
      <c r="A282" s="309"/>
      <c r="B282" s="309"/>
      <c r="C282" s="309"/>
      <c r="D282" s="309"/>
      <c r="E282" s="330"/>
      <c r="F282" s="309"/>
      <c r="G282" s="309"/>
      <c r="H282" s="316"/>
      <c r="I282" s="309"/>
      <c r="J282" s="309"/>
      <c r="K282" s="309"/>
      <c r="L282" s="309"/>
      <c r="M282" s="309"/>
      <c r="N282" s="309"/>
      <c r="O282" s="309"/>
      <c r="P282" s="309"/>
      <c r="Q282" s="309"/>
      <c r="R282" s="309"/>
      <c r="S282" s="309"/>
      <c r="T282" s="309"/>
      <c r="U282" s="309"/>
      <c r="V282" s="309"/>
      <c r="W282" s="309"/>
      <c r="X282" s="309"/>
      <c r="Y282" s="309"/>
      <c r="Z282" s="309"/>
      <c r="AA282" s="309"/>
    </row>
    <row r="283" ht="27.0" customHeight="1">
      <c r="A283" s="309"/>
      <c r="B283" s="309"/>
      <c r="C283" s="309"/>
      <c r="D283" s="309"/>
      <c r="E283" s="330"/>
      <c r="F283" s="309"/>
      <c r="G283" s="309"/>
      <c r="H283" s="316"/>
      <c r="I283" s="309"/>
      <c r="J283" s="309"/>
      <c r="K283" s="309"/>
      <c r="L283" s="309"/>
      <c r="M283" s="309"/>
      <c r="N283" s="309"/>
      <c r="O283" s="309"/>
      <c r="P283" s="309"/>
      <c r="Q283" s="309"/>
      <c r="R283" s="309"/>
      <c r="S283" s="309"/>
      <c r="T283" s="309"/>
      <c r="U283" s="309"/>
      <c r="V283" s="309"/>
      <c r="W283" s="309"/>
      <c r="X283" s="309"/>
      <c r="Y283" s="309"/>
      <c r="Z283" s="309"/>
      <c r="AA283" s="309"/>
    </row>
    <row r="284" ht="27.0" customHeight="1">
      <c r="A284" s="309"/>
      <c r="B284" s="309"/>
      <c r="C284" s="309"/>
      <c r="D284" s="309"/>
      <c r="E284" s="330"/>
      <c r="F284" s="309"/>
      <c r="G284" s="309"/>
      <c r="H284" s="316"/>
      <c r="I284" s="309"/>
      <c r="J284" s="309"/>
      <c r="K284" s="309"/>
      <c r="L284" s="309"/>
      <c r="M284" s="309"/>
      <c r="N284" s="309"/>
      <c r="O284" s="309"/>
      <c r="P284" s="309"/>
      <c r="Q284" s="309"/>
      <c r="R284" s="309"/>
      <c r="S284" s="309"/>
      <c r="T284" s="309"/>
      <c r="U284" s="309"/>
      <c r="V284" s="309"/>
      <c r="W284" s="309"/>
      <c r="X284" s="309"/>
      <c r="Y284" s="309"/>
      <c r="Z284" s="309"/>
      <c r="AA284" s="309"/>
    </row>
    <row r="285" ht="27.0" customHeight="1">
      <c r="A285" s="309"/>
      <c r="B285" s="309"/>
      <c r="C285" s="309"/>
      <c r="D285" s="309"/>
      <c r="E285" s="330"/>
      <c r="F285" s="309"/>
      <c r="G285" s="309"/>
      <c r="H285" s="316"/>
      <c r="I285" s="309"/>
      <c r="J285" s="309"/>
      <c r="K285" s="309"/>
      <c r="L285" s="309"/>
      <c r="M285" s="309"/>
      <c r="N285" s="309"/>
      <c r="O285" s="309"/>
      <c r="P285" s="309"/>
      <c r="Q285" s="309"/>
      <c r="R285" s="309"/>
      <c r="S285" s="309"/>
      <c r="T285" s="309"/>
      <c r="U285" s="309"/>
      <c r="V285" s="309"/>
      <c r="W285" s="309"/>
      <c r="X285" s="309"/>
      <c r="Y285" s="309"/>
      <c r="Z285" s="309"/>
      <c r="AA285" s="309"/>
    </row>
    <row r="286" ht="27.0" customHeight="1">
      <c r="A286" s="309"/>
      <c r="B286" s="309"/>
      <c r="C286" s="309"/>
      <c r="D286" s="309"/>
      <c r="E286" s="330"/>
      <c r="F286" s="309"/>
      <c r="G286" s="309"/>
      <c r="H286" s="316"/>
      <c r="I286" s="309"/>
      <c r="J286" s="309"/>
      <c r="K286" s="309"/>
      <c r="L286" s="309"/>
      <c r="M286" s="309"/>
      <c r="N286" s="309"/>
      <c r="O286" s="309"/>
      <c r="P286" s="309"/>
      <c r="Q286" s="309"/>
      <c r="R286" s="309"/>
      <c r="S286" s="309"/>
      <c r="T286" s="309"/>
      <c r="U286" s="309"/>
      <c r="V286" s="309"/>
      <c r="W286" s="309"/>
      <c r="X286" s="309"/>
      <c r="Y286" s="309"/>
      <c r="Z286" s="309"/>
      <c r="AA286" s="309"/>
    </row>
    <row r="287" ht="27.0" customHeight="1">
      <c r="A287" s="309"/>
      <c r="B287" s="309"/>
      <c r="C287" s="309"/>
      <c r="D287" s="309"/>
      <c r="E287" s="330"/>
      <c r="F287" s="309"/>
      <c r="G287" s="309"/>
      <c r="H287" s="316"/>
      <c r="I287" s="309"/>
      <c r="J287" s="309"/>
      <c r="K287" s="309"/>
      <c r="L287" s="309"/>
      <c r="M287" s="309"/>
      <c r="N287" s="309"/>
      <c r="O287" s="309"/>
      <c r="P287" s="309"/>
      <c r="Q287" s="309"/>
      <c r="R287" s="309"/>
      <c r="S287" s="309"/>
      <c r="T287" s="309"/>
      <c r="U287" s="309"/>
      <c r="V287" s="309"/>
      <c r="W287" s="309"/>
      <c r="X287" s="309"/>
      <c r="Y287" s="309"/>
      <c r="Z287" s="309"/>
      <c r="AA287" s="309"/>
    </row>
    <row r="288" ht="27.0" customHeight="1">
      <c r="A288" s="309"/>
      <c r="B288" s="309"/>
      <c r="C288" s="309"/>
      <c r="D288" s="309"/>
      <c r="E288" s="330"/>
      <c r="F288" s="309"/>
      <c r="G288" s="309"/>
      <c r="H288" s="316"/>
      <c r="I288" s="309"/>
      <c r="J288" s="309"/>
      <c r="K288" s="309"/>
      <c r="L288" s="309"/>
      <c r="M288" s="309"/>
      <c r="N288" s="309"/>
      <c r="O288" s="309"/>
      <c r="P288" s="309"/>
      <c r="Q288" s="309"/>
      <c r="R288" s="309"/>
      <c r="S288" s="309"/>
      <c r="T288" s="309"/>
      <c r="U288" s="309"/>
      <c r="V288" s="309"/>
      <c r="W288" s="309"/>
      <c r="X288" s="309"/>
      <c r="Y288" s="309"/>
      <c r="Z288" s="309"/>
      <c r="AA288" s="309"/>
    </row>
    <row r="289" ht="27.0" customHeight="1">
      <c r="A289" s="309"/>
      <c r="B289" s="309"/>
      <c r="C289" s="309"/>
      <c r="D289" s="309"/>
      <c r="E289" s="330"/>
      <c r="F289" s="309"/>
      <c r="G289" s="309"/>
      <c r="H289" s="316"/>
      <c r="I289" s="309"/>
      <c r="J289" s="309"/>
      <c r="K289" s="309"/>
      <c r="L289" s="309"/>
      <c r="M289" s="309"/>
      <c r="N289" s="309"/>
      <c r="O289" s="309"/>
      <c r="P289" s="309"/>
      <c r="Q289" s="309"/>
      <c r="R289" s="309"/>
      <c r="S289" s="309"/>
      <c r="T289" s="309"/>
      <c r="U289" s="309"/>
      <c r="V289" s="309"/>
      <c r="W289" s="309"/>
      <c r="X289" s="309"/>
      <c r="Y289" s="309"/>
      <c r="Z289" s="309"/>
      <c r="AA289" s="309"/>
    </row>
    <row r="290" ht="27.0" customHeight="1">
      <c r="A290" s="309"/>
      <c r="B290" s="309"/>
      <c r="C290" s="309"/>
      <c r="D290" s="309"/>
      <c r="E290" s="330"/>
      <c r="F290" s="309"/>
      <c r="G290" s="309"/>
      <c r="H290" s="316"/>
      <c r="I290" s="309"/>
      <c r="J290" s="309"/>
      <c r="K290" s="309"/>
      <c r="L290" s="309"/>
      <c r="M290" s="309"/>
      <c r="N290" s="309"/>
      <c r="O290" s="309"/>
      <c r="P290" s="309"/>
      <c r="Q290" s="309"/>
      <c r="R290" s="309"/>
      <c r="S290" s="309"/>
      <c r="T290" s="309"/>
      <c r="U290" s="309"/>
      <c r="V290" s="309"/>
      <c r="W290" s="309"/>
      <c r="X290" s="309"/>
      <c r="Y290" s="309"/>
      <c r="Z290" s="309"/>
      <c r="AA290" s="309"/>
    </row>
    <row r="291" ht="27.0" customHeight="1">
      <c r="A291" s="309"/>
      <c r="B291" s="309"/>
      <c r="C291" s="309"/>
      <c r="D291" s="309"/>
      <c r="E291" s="330"/>
      <c r="F291" s="309"/>
      <c r="G291" s="309"/>
      <c r="H291" s="316"/>
      <c r="I291" s="309"/>
      <c r="J291" s="309"/>
      <c r="K291" s="309"/>
      <c r="L291" s="309"/>
      <c r="M291" s="309"/>
      <c r="N291" s="309"/>
      <c r="O291" s="309"/>
      <c r="P291" s="309"/>
      <c r="Q291" s="309"/>
      <c r="R291" s="309"/>
      <c r="S291" s="309"/>
      <c r="T291" s="309"/>
      <c r="U291" s="309"/>
      <c r="V291" s="309"/>
      <c r="W291" s="309"/>
      <c r="X291" s="309"/>
      <c r="Y291" s="309"/>
      <c r="Z291" s="309"/>
      <c r="AA291" s="309"/>
    </row>
    <row r="292" ht="27.0" customHeight="1">
      <c r="A292" s="309"/>
      <c r="B292" s="309"/>
      <c r="C292" s="309"/>
      <c r="D292" s="309"/>
      <c r="E292" s="330"/>
      <c r="F292" s="309"/>
      <c r="G292" s="309"/>
      <c r="H292" s="316"/>
      <c r="I292" s="309"/>
      <c r="J292" s="309"/>
      <c r="K292" s="309"/>
      <c r="L292" s="309"/>
      <c r="M292" s="309"/>
      <c r="N292" s="309"/>
      <c r="O292" s="309"/>
      <c r="P292" s="309"/>
      <c r="Q292" s="309"/>
      <c r="R292" s="309"/>
      <c r="S292" s="309"/>
      <c r="T292" s="309"/>
      <c r="U292" s="309"/>
      <c r="V292" s="309"/>
      <c r="W292" s="309"/>
      <c r="X292" s="309"/>
      <c r="Y292" s="309"/>
      <c r="Z292" s="309"/>
      <c r="AA292" s="309"/>
    </row>
    <row r="293" ht="27.0" customHeight="1">
      <c r="A293" s="309"/>
      <c r="B293" s="309"/>
      <c r="C293" s="309"/>
      <c r="D293" s="309"/>
      <c r="E293" s="330"/>
      <c r="F293" s="309"/>
      <c r="G293" s="309"/>
      <c r="H293" s="316"/>
      <c r="I293" s="309"/>
      <c r="J293" s="309"/>
      <c r="K293" s="309"/>
      <c r="L293" s="309"/>
      <c r="M293" s="309"/>
      <c r="N293" s="309"/>
      <c r="O293" s="309"/>
      <c r="P293" s="309"/>
      <c r="Q293" s="309"/>
      <c r="R293" s="309"/>
      <c r="S293" s="309"/>
      <c r="T293" s="309"/>
      <c r="U293" s="309"/>
      <c r="V293" s="309"/>
      <c r="W293" s="309"/>
      <c r="X293" s="309"/>
      <c r="Y293" s="309"/>
      <c r="Z293" s="309"/>
      <c r="AA293" s="309"/>
    </row>
    <row r="294" ht="27.0" customHeight="1">
      <c r="A294" s="309"/>
      <c r="B294" s="309"/>
      <c r="C294" s="309"/>
      <c r="D294" s="309"/>
      <c r="E294" s="330"/>
      <c r="F294" s="309"/>
      <c r="G294" s="309"/>
      <c r="H294" s="316"/>
      <c r="I294" s="309"/>
      <c r="J294" s="309"/>
      <c r="K294" s="309"/>
      <c r="L294" s="309"/>
      <c r="M294" s="309"/>
      <c r="N294" s="309"/>
      <c r="O294" s="309"/>
      <c r="P294" s="309"/>
      <c r="Q294" s="309"/>
      <c r="R294" s="309"/>
      <c r="S294" s="309"/>
      <c r="T294" s="309"/>
      <c r="U294" s="309"/>
      <c r="V294" s="309"/>
      <c r="W294" s="309"/>
      <c r="X294" s="309"/>
      <c r="Y294" s="309"/>
      <c r="Z294" s="309"/>
      <c r="AA294" s="309"/>
    </row>
    <row r="295" ht="27.0" customHeight="1">
      <c r="A295" s="309"/>
      <c r="B295" s="309"/>
      <c r="C295" s="309"/>
      <c r="D295" s="309"/>
      <c r="E295" s="330"/>
      <c r="F295" s="309"/>
      <c r="G295" s="309"/>
      <c r="H295" s="316"/>
      <c r="I295" s="309"/>
      <c r="J295" s="309"/>
      <c r="K295" s="309"/>
      <c r="L295" s="309"/>
      <c r="M295" s="309"/>
      <c r="N295" s="309"/>
      <c r="O295" s="309"/>
      <c r="P295" s="309"/>
      <c r="Q295" s="309"/>
      <c r="R295" s="309"/>
      <c r="S295" s="309"/>
      <c r="T295" s="309"/>
      <c r="U295" s="309"/>
      <c r="V295" s="309"/>
      <c r="W295" s="309"/>
      <c r="X295" s="309"/>
      <c r="Y295" s="309"/>
      <c r="Z295" s="309"/>
      <c r="AA295" s="309"/>
    </row>
    <row r="296" ht="27.0" customHeight="1">
      <c r="A296" s="309"/>
      <c r="B296" s="309"/>
      <c r="C296" s="309"/>
      <c r="D296" s="309"/>
      <c r="E296" s="330"/>
      <c r="F296" s="309"/>
      <c r="G296" s="309"/>
      <c r="H296" s="316"/>
      <c r="I296" s="309"/>
      <c r="J296" s="309"/>
      <c r="K296" s="309"/>
      <c r="L296" s="309"/>
      <c r="M296" s="309"/>
      <c r="N296" s="309"/>
      <c r="O296" s="309"/>
      <c r="P296" s="309"/>
      <c r="Q296" s="309"/>
      <c r="R296" s="309"/>
      <c r="S296" s="309"/>
      <c r="T296" s="309"/>
      <c r="U296" s="309"/>
      <c r="V296" s="309"/>
      <c r="W296" s="309"/>
      <c r="X296" s="309"/>
      <c r="Y296" s="309"/>
      <c r="Z296" s="309"/>
      <c r="AA296" s="309"/>
    </row>
    <row r="297" ht="27.0" customHeight="1">
      <c r="A297" s="309"/>
      <c r="B297" s="309"/>
      <c r="C297" s="309"/>
      <c r="D297" s="309"/>
      <c r="E297" s="330"/>
      <c r="F297" s="309"/>
      <c r="G297" s="309"/>
      <c r="H297" s="316"/>
      <c r="I297" s="309"/>
      <c r="J297" s="309"/>
      <c r="K297" s="309"/>
      <c r="L297" s="309"/>
      <c r="M297" s="309"/>
      <c r="N297" s="309"/>
      <c r="O297" s="309"/>
      <c r="P297" s="309"/>
      <c r="Q297" s="309"/>
      <c r="R297" s="309"/>
      <c r="S297" s="309"/>
      <c r="T297" s="309"/>
      <c r="U297" s="309"/>
      <c r="V297" s="309"/>
      <c r="W297" s="309"/>
      <c r="X297" s="309"/>
      <c r="Y297" s="309"/>
      <c r="Z297" s="309"/>
      <c r="AA297" s="309"/>
    </row>
    <row r="298" ht="27.0" customHeight="1">
      <c r="A298" s="309"/>
      <c r="B298" s="309"/>
      <c r="C298" s="309"/>
      <c r="D298" s="309"/>
      <c r="E298" s="330"/>
      <c r="F298" s="309"/>
      <c r="G298" s="309"/>
      <c r="H298" s="316"/>
      <c r="I298" s="309"/>
      <c r="J298" s="309"/>
      <c r="K298" s="309"/>
      <c r="L298" s="309"/>
      <c r="M298" s="309"/>
      <c r="N298" s="309"/>
      <c r="O298" s="309"/>
      <c r="P298" s="309"/>
      <c r="Q298" s="309"/>
      <c r="R298" s="309"/>
      <c r="S298" s="309"/>
      <c r="T298" s="309"/>
      <c r="U298" s="309"/>
      <c r="V298" s="309"/>
      <c r="W298" s="309"/>
      <c r="X298" s="309"/>
      <c r="Y298" s="309"/>
      <c r="Z298" s="309"/>
      <c r="AA298" s="309"/>
    </row>
    <row r="299" ht="27.0" customHeight="1">
      <c r="A299" s="309"/>
      <c r="B299" s="309"/>
      <c r="C299" s="309"/>
      <c r="D299" s="309"/>
      <c r="E299" s="330"/>
      <c r="F299" s="309"/>
      <c r="G299" s="309"/>
      <c r="H299" s="316"/>
      <c r="I299" s="309"/>
      <c r="J299" s="309"/>
      <c r="K299" s="309"/>
      <c r="L299" s="309"/>
      <c r="M299" s="309"/>
      <c r="N299" s="309"/>
      <c r="O299" s="309"/>
      <c r="P299" s="309"/>
      <c r="Q299" s="309"/>
      <c r="R299" s="309"/>
      <c r="S299" s="309"/>
      <c r="T299" s="309"/>
      <c r="U299" s="309"/>
      <c r="V299" s="309"/>
      <c r="W299" s="309"/>
      <c r="X299" s="309"/>
      <c r="Y299" s="309"/>
      <c r="Z299" s="309"/>
      <c r="AA299" s="309"/>
    </row>
    <row r="300" ht="27.0" customHeight="1">
      <c r="A300" s="309"/>
      <c r="B300" s="309"/>
      <c r="C300" s="309"/>
      <c r="D300" s="309"/>
      <c r="E300" s="330"/>
      <c r="F300" s="309"/>
      <c r="G300" s="309"/>
      <c r="H300" s="316"/>
      <c r="I300" s="309"/>
      <c r="J300" s="309"/>
      <c r="K300" s="309"/>
      <c r="L300" s="309"/>
      <c r="M300" s="309"/>
      <c r="N300" s="309"/>
      <c r="O300" s="309"/>
      <c r="P300" s="309"/>
      <c r="Q300" s="309"/>
      <c r="R300" s="309"/>
      <c r="S300" s="309"/>
      <c r="T300" s="309"/>
      <c r="U300" s="309"/>
      <c r="V300" s="309"/>
      <c r="W300" s="309"/>
      <c r="X300" s="309"/>
      <c r="Y300" s="309"/>
      <c r="Z300" s="309"/>
      <c r="AA300" s="309"/>
    </row>
    <row r="301" ht="27.0" customHeight="1">
      <c r="A301" s="309"/>
      <c r="B301" s="309"/>
      <c r="C301" s="309"/>
      <c r="D301" s="309"/>
      <c r="E301" s="330"/>
      <c r="F301" s="309"/>
      <c r="G301" s="309"/>
      <c r="H301" s="316"/>
      <c r="I301" s="309"/>
      <c r="J301" s="309"/>
      <c r="K301" s="309"/>
      <c r="L301" s="309"/>
      <c r="M301" s="309"/>
      <c r="N301" s="309"/>
      <c r="O301" s="309"/>
      <c r="P301" s="309"/>
      <c r="Q301" s="309"/>
      <c r="R301" s="309"/>
      <c r="S301" s="309"/>
      <c r="T301" s="309"/>
      <c r="U301" s="309"/>
      <c r="V301" s="309"/>
      <c r="W301" s="309"/>
      <c r="X301" s="309"/>
      <c r="Y301" s="309"/>
      <c r="Z301" s="309"/>
      <c r="AA301" s="309"/>
    </row>
    <row r="302" ht="27.0" customHeight="1">
      <c r="A302" s="309"/>
      <c r="B302" s="309"/>
      <c r="C302" s="309"/>
      <c r="D302" s="309"/>
      <c r="E302" s="330"/>
      <c r="F302" s="309"/>
      <c r="G302" s="309"/>
      <c r="H302" s="316"/>
      <c r="I302" s="309"/>
      <c r="J302" s="309"/>
      <c r="K302" s="309"/>
      <c r="L302" s="309"/>
      <c r="M302" s="309"/>
      <c r="N302" s="309"/>
      <c r="O302" s="309"/>
      <c r="P302" s="309"/>
      <c r="Q302" s="309"/>
      <c r="R302" s="309"/>
      <c r="S302" s="309"/>
      <c r="T302" s="309"/>
      <c r="U302" s="309"/>
      <c r="V302" s="309"/>
      <c r="W302" s="309"/>
      <c r="X302" s="309"/>
      <c r="Y302" s="309"/>
      <c r="Z302" s="309"/>
      <c r="AA302" s="309"/>
    </row>
    <row r="303" ht="27.0" customHeight="1">
      <c r="A303" s="309"/>
      <c r="B303" s="309"/>
      <c r="C303" s="309"/>
      <c r="D303" s="309"/>
      <c r="E303" s="330"/>
      <c r="F303" s="309"/>
      <c r="G303" s="309"/>
      <c r="H303" s="316"/>
      <c r="I303" s="309"/>
      <c r="J303" s="309"/>
      <c r="K303" s="309"/>
      <c r="L303" s="309"/>
      <c r="M303" s="309"/>
      <c r="N303" s="309"/>
      <c r="O303" s="309"/>
      <c r="P303" s="309"/>
      <c r="Q303" s="309"/>
      <c r="R303" s="309"/>
      <c r="S303" s="309"/>
      <c r="T303" s="309"/>
      <c r="U303" s="309"/>
      <c r="V303" s="309"/>
      <c r="W303" s="309"/>
      <c r="X303" s="309"/>
      <c r="Y303" s="309"/>
      <c r="Z303" s="309"/>
      <c r="AA303" s="309"/>
    </row>
    <row r="304" ht="27.0" customHeight="1">
      <c r="A304" s="309"/>
      <c r="B304" s="309"/>
      <c r="C304" s="309"/>
      <c r="D304" s="309"/>
      <c r="E304" s="330"/>
      <c r="F304" s="309"/>
      <c r="G304" s="309"/>
      <c r="H304" s="316"/>
      <c r="I304" s="309"/>
      <c r="J304" s="309"/>
      <c r="K304" s="309"/>
      <c r="L304" s="309"/>
      <c r="M304" s="309"/>
      <c r="N304" s="309"/>
      <c r="O304" s="309"/>
      <c r="P304" s="309"/>
      <c r="Q304" s="309"/>
      <c r="R304" s="309"/>
      <c r="S304" s="309"/>
      <c r="T304" s="309"/>
      <c r="U304" s="309"/>
      <c r="V304" s="309"/>
      <c r="W304" s="309"/>
      <c r="X304" s="309"/>
      <c r="Y304" s="309"/>
      <c r="Z304" s="309"/>
      <c r="AA304" s="309"/>
    </row>
    <row r="305" ht="27.0" customHeight="1">
      <c r="A305" s="309"/>
      <c r="B305" s="309"/>
      <c r="C305" s="309"/>
      <c r="D305" s="309"/>
      <c r="E305" s="330"/>
      <c r="F305" s="309"/>
      <c r="G305" s="309"/>
      <c r="H305" s="316"/>
      <c r="I305" s="309"/>
      <c r="J305" s="309"/>
      <c r="K305" s="309"/>
      <c r="L305" s="309"/>
      <c r="M305" s="309"/>
      <c r="N305" s="309"/>
      <c r="O305" s="309"/>
      <c r="P305" s="309"/>
      <c r="Q305" s="309"/>
      <c r="R305" s="309"/>
      <c r="S305" s="309"/>
      <c r="T305" s="309"/>
      <c r="U305" s="309"/>
      <c r="V305" s="309"/>
      <c r="W305" s="309"/>
      <c r="X305" s="309"/>
      <c r="Y305" s="309"/>
      <c r="Z305" s="309"/>
      <c r="AA305" s="309"/>
    </row>
    <row r="306" ht="27.0" customHeight="1">
      <c r="A306" s="309"/>
      <c r="B306" s="309"/>
      <c r="C306" s="309"/>
      <c r="D306" s="309"/>
      <c r="E306" s="330"/>
      <c r="F306" s="309"/>
      <c r="G306" s="309"/>
      <c r="H306" s="316"/>
      <c r="I306" s="309"/>
      <c r="J306" s="309"/>
      <c r="K306" s="309"/>
      <c r="L306" s="309"/>
      <c r="M306" s="309"/>
      <c r="N306" s="309"/>
      <c r="O306" s="309"/>
      <c r="P306" s="309"/>
      <c r="Q306" s="309"/>
      <c r="R306" s="309"/>
      <c r="S306" s="309"/>
      <c r="T306" s="309"/>
      <c r="U306" s="309"/>
      <c r="V306" s="309"/>
      <c r="W306" s="309"/>
      <c r="X306" s="309"/>
      <c r="Y306" s="309"/>
      <c r="Z306" s="309"/>
      <c r="AA306" s="309"/>
    </row>
    <row r="307" ht="27.0" customHeight="1">
      <c r="A307" s="309"/>
      <c r="B307" s="309"/>
      <c r="C307" s="309"/>
      <c r="D307" s="309"/>
      <c r="E307" s="330"/>
      <c r="F307" s="309"/>
      <c r="G307" s="309"/>
      <c r="H307" s="316"/>
      <c r="I307" s="309"/>
      <c r="J307" s="309"/>
      <c r="K307" s="309"/>
      <c r="L307" s="309"/>
      <c r="M307" s="309"/>
      <c r="N307" s="309"/>
      <c r="O307" s="309"/>
      <c r="P307" s="309"/>
      <c r="Q307" s="309"/>
      <c r="R307" s="309"/>
      <c r="S307" s="309"/>
      <c r="T307" s="309"/>
      <c r="U307" s="309"/>
      <c r="V307" s="309"/>
      <c r="W307" s="309"/>
      <c r="X307" s="309"/>
      <c r="Y307" s="309"/>
      <c r="Z307" s="309"/>
      <c r="AA307" s="309"/>
    </row>
    <row r="308" ht="27.0" customHeight="1">
      <c r="A308" s="309"/>
      <c r="B308" s="309"/>
      <c r="C308" s="309"/>
      <c r="D308" s="309"/>
      <c r="E308" s="330"/>
      <c r="F308" s="309"/>
      <c r="G308" s="309"/>
      <c r="H308" s="316"/>
      <c r="I308" s="309"/>
      <c r="J308" s="309"/>
      <c r="K308" s="309"/>
      <c r="L308" s="309"/>
      <c r="M308" s="309"/>
      <c r="N308" s="309"/>
      <c r="O308" s="309"/>
      <c r="P308" s="309"/>
      <c r="Q308" s="309"/>
      <c r="R308" s="309"/>
      <c r="S308" s="309"/>
      <c r="T308" s="309"/>
      <c r="U308" s="309"/>
      <c r="V308" s="309"/>
      <c r="W308" s="309"/>
      <c r="X308" s="309"/>
      <c r="Y308" s="309"/>
      <c r="Z308" s="309"/>
      <c r="AA308" s="309"/>
    </row>
    <row r="309" ht="27.0" customHeight="1">
      <c r="A309" s="309"/>
      <c r="B309" s="309"/>
      <c r="C309" s="309"/>
      <c r="D309" s="309"/>
      <c r="E309" s="330"/>
      <c r="F309" s="309"/>
      <c r="G309" s="309"/>
      <c r="H309" s="316"/>
      <c r="I309" s="309"/>
      <c r="J309" s="309"/>
      <c r="K309" s="309"/>
      <c r="L309" s="309"/>
      <c r="M309" s="309"/>
      <c r="N309" s="309"/>
      <c r="O309" s="309"/>
      <c r="P309" s="309"/>
      <c r="Q309" s="309"/>
      <c r="R309" s="309"/>
      <c r="S309" s="309"/>
      <c r="T309" s="309"/>
      <c r="U309" s="309"/>
      <c r="V309" s="309"/>
      <c r="W309" s="309"/>
      <c r="X309" s="309"/>
      <c r="Y309" s="309"/>
      <c r="Z309" s="309"/>
      <c r="AA309" s="309"/>
    </row>
    <row r="310" ht="27.0" customHeight="1">
      <c r="A310" s="309"/>
      <c r="B310" s="309"/>
      <c r="C310" s="309"/>
      <c r="D310" s="309"/>
      <c r="E310" s="330"/>
      <c r="F310" s="309"/>
      <c r="G310" s="309"/>
      <c r="H310" s="316"/>
      <c r="I310" s="309"/>
      <c r="J310" s="309"/>
      <c r="K310" s="309"/>
      <c r="L310" s="309"/>
      <c r="M310" s="309"/>
      <c r="N310" s="309"/>
      <c r="O310" s="309"/>
      <c r="P310" s="309"/>
      <c r="Q310" s="309"/>
      <c r="R310" s="309"/>
      <c r="S310" s="309"/>
      <c r="T310" s="309"/>
      <c r="U310" s="309"/>
      <c r="V310" s="309"/>
      <c r="W310" s="309"/>
      <c r="X310" s="309"/>
      <c r="Y310" s="309"/>
      <c r="Z310" s="309"/>
      <c r="AA310" s="309"/>
    </row>
    <row r="311" ht="27.0" customHeight="1">
      <c r="A311" s="309"/>
      <c r="B311" s="309"/>
      <c r="C311" s="309"/>
      <c r="D311" s="309"/>
      <c r="E311" s="330"/>
      <c r="F311" s="309"/>
      <c r="G311" s="309"/>
      <c r="H311" s="316"/>
      <c r="I311" s="309"/>
      <c r="J311" s="309"/>
      <c r="K311" s="309"/>
      <c r="L311" s="309"/>
      <c r="M311" s="309"/>
      <c r="N311" s="309"/>
      <c r="O311" s="309"/>
      <c r="P311" s="309"/>
      <c r="Q311" s="309"/>
      <c r="R311" s="309"/>
      <c r="S311" s="309"/>
      <c r="T311" s="309"/>
      <c r="U311" s="309"/>
      <c r="V311" s="309"/>
      <c r="W311" s="309"/>
      <c r="X311" s="309"/>
      <c r="Y311" s="309"/>
      <c r="Z311" s="309"/>
      <c r="AA311" s="309"/>
    </row>
    <row r="312" ht="27.0" customHeight="1">
      <c r="A312" s="309"/>
      <c r="B312" s="309"/>
      <c r="C312" s="309"/>
      <c r="D312" s="309"/>
      <c r="E312" s="330"/>
      <c r="F312" s="309"/>
      <c r="G312" s="309"/>
      <c r="H312" s="316"/>
      <c r="I312" s="309"/>
      <c r="J312" s="309"/>
      <c r="K312" s="309"/>
      <c r="L312" s="309"/>
      <c r="M312" s="309"/>
      <c r="N312" s="309"/>
      <c r="O312" s="309"/>
      <c r="P312" s="309"/>
      <c r="Q312" s="309"/>
      <c r="R312" s="309"/>
      <c r="S312" s="309"/>
      <c r="T312" s="309"/>
      <c r="U312" s="309"/>
      <c r="V312" s="309"/>
      <c r="W312" s="309"/>
      <c r="X312" s="309"/>
      <c r="Y312" s="309"/>
      <c r="Z312" s="309"/>
      <c r="AA312" s="309"/>
    </row>
    <row r="313" ht="27.0" customHeight="1">
      <c r="A313" s="309"/>
      <c r="B313" s="309"/>
      <c r="C313" s="309"/>
      <c r="D313" s="309"/>
      <c r="E313" s="330"/>
      <c r="F313" s="309"/>
      <c r="G313" s="309"/>
      <c r="H313" s="316"/>
      <c r="I313" s="309"/>
      <c r="J313" s="309"/>
      <c r="K313" s="309"/>
      <c r="L313" s="309"/>
      <c r="M313" s="309"/>
      <c r="N313" s="309"/>
      <c r="O313" s="309"/>
      <c r="P313" s="309"/>
      <c r="Q313" s="309"/>
      <c r="R313" s="309"/>
      <c r="S313" s="309"/>
      <c r="T313" s="309"/>
      <c r="U313" s="309"/>
      <c r="V313" s="309"/>
      <c r="W313" s="309"/>
      <c r="X313" s="309"/>
      <c r="Y313" s="309"/>
      <c r="Z313" s="309"/>
      <c r="AA313" s="309"/>
    </row>
    <row r="314" ht="27.0" customHeight="1">
      <c r="A314" s="309"/>
      <c r="B314" s="309"/>
      <c r="C314" s="309"/>
      <c r="D314" s="309"/>
      <c r="E314" s="330"/>
      <c r="F314" s="309"/>
      <c r="G314" s="309"/>
      <c r="H314" s="316"/>
      <c r="I314" s="309"/>
      <c r="J314" s="309"/>
      <c r="K314" s="309"/>
      <c r="L314" s="309"/>
      <c r="M314" s="309"/>
      <c r="N314" s="309"/>
      <c r="O314" s="309"/>
      <c r="P314" s="309"/>
      <c r="Q314" s="309"/>
      <c r="R314" s="309"/>
      <c r="S314" s="309"/>
      <c r="T314" s="309"/>
      <c r="U314" s="309"/>
      <c r="V314" s="309"/>
      <c r="W314" s="309"/>
      <c r="X314" s="309"/>
      <c r="Y314" s="309"/>
      <c r="Z314" s="309"/>
      <c r="AA314" s="309"/>
    </row>
    <row r="315" ht="27.0" customHeight="1">
      <c r="A315" s="309"/>
      <c r="B315" s="309"/>
      <c r="C315" s="309"/>
      <c r="D315" s="309"/>
      <c r="E315" s="330"/>
      <c r="F315" s="309"/>
      <c r="G315" s="309"/>
      <c r="H315" s="316"/>
      <c r="I315" s="309"/>
      <c r="J315" s="309"/>
      <c r="K315" s="309"/>
      <c r="L315" s="309"/>
      <c r="M315" s="309"/>
      <c r="N315" s="309"/>
      <c r="O315" s="309"/>
      <c r="P315" s="309"/>
      <c r="Q315" s="309"/>
      <c r="R315" s="309"/>
      <c r="S315" s="309"/>
      <c r="T315" s="309"/>
      <c r="U315" s="309"/>
      <c r="V315" s="309"/>
      <c r="W315" s="309"/>
      <c r="X315" s="309"/>
      <c r="Y315" s="309"/>
      <c r="Z315" s="309"/>
      <c r="AA315" s="309"/>
    </row>
    <row r="316" ht="27.0" customHeight="1">
      <c r="A316" s="309"/>
      <c r="B316" s="309"/>
      <c r="C316" s="309"/>
      <c r="D316" s="309"/>
      <c r="E316" s="330"/>
      <c r="F316" s="309"/>
      <c r="G316" s="309"/>
      <c r="H316" s="316"/>
      <c r="I316" s="309"/>
      <c r="J316" s="309"/>
      <c r="K316" s="309"/>
      <c r="L316" s="309"/>
      <c r="M316" s="309"/>
      <c r="N316" s="309"/>
      <c r="O316" s="309"/>
      <c r="P316" s="309"/>
      <c r="Q316" s="309"/>
      <c r="R316" s="309"/>
      <c r="S316" s="309"/>
      <c r="T316" s="309"/>
      <c r="U316" s="309"/>
      <c r="V316" s="309"/>
      <c r="W316" s="309"/>
      <c r="X316" s="309"/>
      <c r="Y316" s="309"/>
      <c r="Z316" s="309"/>
      <c r="AA316" s="309"/>
    </row>
    <row r="317" ht="27.0" customHeight="1">
      <c r="A317" s="309"/>
      <c r="B317" s="309"/>
      <c r="C317" s="309"/>
      <c r="D317" s="309"/>
      <c r="E317" s="330"/>
      <c r="F317" s="309"/>
      <c r="G317" s="309"/>
      <c r="H317" s="316"/>
      <c r="I317" s="309"/>
      <c r="J317" s="309"/>
      <c r="K317" s="309"/>
      <c r="L317" s="309"/>
      <c r="M317" s="309"/>
      <c r="N317" s="309"/>
      <c r="O317" s="309"/>
      <c r="P317" s="309"/>
      <c r="Q317" s="309"/>
      <c r="R317" s="309"/>
      <c r="S317" s="309"/>
      <c r="T317" s="309"/>
      <c r="U317" s="309"/>
      <c r="V317" s="309"/>
      <c r="W317" s="309"/>
      <c r="X317" s="309"/>
      <c r="Y317" s="309"/>
      <c r="Z317" s="309"/>
      <c r="AA317" s="309"/>
    </row>
    <row r="318" ht="27.0" customHeight="1">
      <c r="A318" s="309"/>
      <c r="B318" s="309"/>
      <c r="C318" s="309"/>
      <c r="D318" s="309"/>
      <c r="E318" s="330"/>
      <c r="F318" s="309"/>
      <c r="G318" s="309"/>
      <c r="H318" s="316"/>
      <c r="I318" s="309"/>
      <c r="J318" s="309"/>
      <c r="K318" s="309"/>
      <c r="L318" s="309"/>
      <c r="M318" s="309"/>
      <c r="N318" s="309"/>
      <c r="O318" s="309"/>
      <c r="P318" s="309"/>
      <c r="Q318" s="309"/>
      <c r="R318" s="309"/>
      <c r="S318" s="309"/>
      <c r="T318" s="309"/>
      <c r="U318" s="309"/>
      <c r="V318" s="309"/>
      <c r="W318" s="309"/>
      <c r="X318" s="309"/>
      <c r="Y318" s="309"/>
      <c r="Z318" s="309"/>
      <c r="AA318" s="309"/>
    </row>
    <row r="319" ht="27.0" customHeight="1">
      <c r="A319" s="309"/>
      <c r="B319" s="309"/>
      <c r="C319" s="309"/>
      <c r="D319" s="309"/>
      <c r="E319" s="330"/>
      <c r="F319" s="309"/>
      <c r="G319" s="309"/>
      <c r="H319" s="316"/>
      <c r="I319" s="309"/>
      <c r="J319" s="309"/>
      <c r="K319" s="309"/>
      <c r="L319" s="309"/>
      <c r="M319" s="309"/>
      <c r="N319" s="309"/>
      <c r="O319" s="309"/>
      <c r="P319" s="309"/>
      <c r="Q319" s="309"/>
      <c r="R319" s="309"/>
      <c r="S319" s="309"/>
      <c r="T319" s="309"/>
      <c r="U319" s="309"/>
      <c r="V319" s="309"/>
      <c r="W319" s="309"/>
      <c r="X319" s="309"/>
      <c r="Y319" s="309"/>
      <c r="Z319" s="309"/>
      <c r="AA319" s="309"/>
    </row>
    <row r="320" ht="27.0" customHeight="1">
      <c r="A320" s="309"/>
      <c r="B320" s="309"/>
      <c r="C320" s="309"/>
      <c r="D320" s="309"/>
      <c r="E320" s="330"/>
      <c r="F320" s="309"/>
      <c r="G320" s="309"/>
      <c r="H320" s="316"/>
      <c r="I320" s="309"/>
      <c r="J320" s="309"/>
      <c r="K320" s="309"/>
      <c r="L320" s="309"/>
      <c r="M320" s="309"/>
      <c r="N320" s="309"/>
      <c r="O320" s="309"/>
      <c r="P320" s="309"/>
      <c r="Q320" s="309"/>
      <c r="R320" s="309"/>
      <c r="S320" s="309"/>
      <c r="T320" s="309"/>
      <c r="U320" s="309"/>
      <c r="V320" s="309"/>
      <c r="W320" s="309"/>
      <c r="X320" s="309"/>
      <c r="Y320" s="309"/>
      <c r="Z320" s="309"/>
      <c r="AA320" s="309"/>
    </row>
    <row r="321" ht="27.0" customHeight="1">
      <c r="A321" s="309"/>
      <c r="B321" s="309"/>
      <c r="C321" s="309"/>
      <c r="D321" s="309"/>
      <c r="E321" s="330"/>
      <c r="F321" s="309"/>
      <c r="G321" s="309"/>
      <c r="H321" s="316"/>
      <c r="I321" s="309"/>
      <c r="J321" s="309"/>
      <c r="K321" s="309"/>
      <c r="L321" s="309"/>
      <c r="M321" s="309"/>
      <c r="N321" s="309"/>
      <c r="O321" s="309"/>
      <c r="P321" s="309"/>
      <c r="Q321" s="309"/>
      <c r="R321" s="309"/>
      <c r="S321" s="309"/>
      <c r="T321" s="309"/>
      <c r="U321" s="309"/>
      <c r="V321" s="309"/>
      <c r="W321" s="309"/>
      <c r="X321" s="309"/>
      <c r="Y321" s="309"/>
      <c r="Z321" s="309"/>
      <c r="AA321" s="309"/>
    </row>
    <row r="322" ht="27.0" customHeight="1">
      <c r="A322" s="309"/>
      <c r="B322" s="309"/>
      <c r="C322" s="309"/>
      <c r="D322" s="309"/>
      <c r="E322" s="330"/>
      <c r="F322" s="309"/>
      <c r="G322" s="309"/>
      <c r="H322" s="316"/>
      <c r="I322" s="309"/>
      <c r="J322" s="309"/>
      <c r="K322" s="309"/>
      <c r="L322" s="309"/>
      <c r="M322" s="309"/>
      <c r="N322" s="309"/>
      <c r="O322" s="309"/>
      <c r="P322" s="309"/>
      <c r="Q322" s="309"/>
      <c r="R322" s="309"/>
      <c r="S322" s="309"/>
      <c r="T322" s="309"/>
      <c r="U322" s="309"/>
      <c r="V322" s="309"/>
      <c r="W322" s="309"/>
      <c r="X322" s="309"/>
      <c r="Y322" s="309"/>
      <c r="Z322" s="309"/>
      <c r="AA322" s="309"/>
    </row>
    <row r="323" ht="27.0" customHeight="1">
      <c r="A323" s="309"/>
      <c r="B323" s="309"/>
      <c r="C323" s="309"/>
      <c r="D323" s="309"/>
      <c r="E323" s="330"/>
      <c r="F323" s="309"/>
      <c r="G323" s="309"/>
      <c r="H323" s="316"/>
      <c r="I323" s="309"/>
      <c r="J323" s="309"/>
      <c r="K323" s="309"/>
      <c r="L323" s="309"/>
      <c r="M323" s="309"/>
      <c r="N323" s="309"/>
      <c r="O323" s="309"/>
      <c r="P323" s="309"/>
      <c r="Q323" s="309"/>
      <c r="R323" s="309"/>
      <c r="S323" s="309"/>
      <c r="T323" s="309"/>
      <c r="U323" s="309"/>
      <c r="V323" s="309"/>
      <c r="W323" s="309"/>
      <c r="X323" s="309"/>
      <c r="Y323" s="309"/>
      <c r="Z323" s="309"/>
      <c r="AA323" s="309"/>
    </row>
    <row r="324" ht="27.0" customHeight="1">
      <c r="A324" s="309"/>
      <c r="B324" s="309"/>
      <c r="C324" s="309"/>
      <c r="D324" s="309"/>
      <c r="E324" s="330"/>
      <c r="F324" s="309"/>
      <c r="G324" s="309"/>
      <c r="H324" s="316"/>
      <c r="I324" s="309"/>
      <c r="J324" s="309"/>
      <c r="K324" s="309"/>
      <c r="L324" s="309"/>
      <c r="M324" s="309"/>
      <c r="N324" s="309"/>
      <c r="O324" s="309"/>
      <c r="P324" s="309"/>
      <c r="Q324" s="309"/>
      <c r="R324" s="309"/>
      <c r="S324" s="309"/>
      <c r="T324" s="309"/>
      <c r="U324" s="309"/>
      <c r="V324" s="309"/>
      <c r="W324" s="309"/>
      <c r="X324" s="309"/>
      <c r="Y324" s="309"/>
      <c r="Z324" s="309"/>
      <c r="AA324" s="309"/>
    </row>
    <row r="325" ht="27.0" customHeight="1">
      <c r="A325" s="309"/>
      <c r="B325" s="309"/>
      <c r="C325" s="309"/>
      <c r="D325" s="309"/>
      <c r="E325" s="330"/>
      <c r="F325" s="309"/>
      <c r="G325" s="309"/>
      <c r="H325" s="316"/>
      <c r="I325" s="309"/>
      <c r="J325" s="309"/>
      <c r="K325" s="309"/>
      <c r="L325" s="309"/>
      <c r="M325" s="309"/>
      <c r="N325" s="309"/>
      <c r="O325" s="309"/>
      <c r="P325" s="309"/>
      <c r="Q325" s="309"/>
      <c r="R325" s="309"/>
      <c r="S325" s="309"/>
      <c r="T325" s="309"/>
      <c r="U325" s="309"/>
      <c r="V325" s="309"/>
      <c r="W325" s="309"/>
      <c r="X325" s="309"/>
      <c r="Y325" s="309"/>
      <c r="Z325" s="309"/>
      <c r="AA325" s="309"/>
    </row>
    <row r="326" ht="27.0" customHeight="1">
      <c r="A326" s="309"/>
      <c r="B326" s="309"/>
      <c r="C326" s="309"/>
      <c r="D326" s="309"/>
      <c r="E326" s="330"/>
      <c r="F326" s="309"/>
      <c r="G326" s="309"/>
      <c r="H326" s="316"/>
      <c r="I326" s="309"/>
      <c r="J326" s="309"/>
      <c r="K326" s="309"/>
      <c r="L326" s="309"/>
      <c r="M326" s="309"/>
      <c r="N326" s="309"/>
      <c r="O326" s="309"/>
      <c r="P326" s="309"/>
      <c r="Q326" s="309"/>
      <c r="R326" s="309"/>
      <c r="S326" s="309"/>
      <c r="T326" s="309"/>
      <c r="U326" s="309"/>
      <c r="V326" s="309"/>
      <c r="W326" s="309"/>
      <c r="X326" s="309"/>
      <c r="Y326" s="309"/>
      <c r="Z326" s="309"/>
      <c r="AA326" s="309"/>
    </row>
    <row r="327" ht="27.0" customHeight="1">
      <c r="A327" s="309"/>
      <c r="B327" s="309"/>
      <c r="C327" s="309"/>
      <c r="D327" s="309"/>
      <c r="E327" s="330"/>
      <c r="F327" s="309"/>
      <c r="G327" s="309"/>
      <c r="H327" s="316"/>
      <c r="I327" s="309"/>
      <c r="J327" s="309"/>
      <c r="K327" s="309"/>
      <c r="L327" s="309"/>
      <c r="M327" s="309"/>
      <c r="N327" s="309"/>
      <c r="O327" s="309"/>
      <c r="P327" s="309"/>
      <c r="Q327" s="309"/>
      <c r="R327" s="309"/>
      <c r="S327" s="309"/>
      <c r="T327" s="309"/>
      <c r="U327" s="309"/>
      <c r="V327" s="309"/>
      <c r="W327" s="309"/>
      <c r="X327" s="309"/>
      <c r="Y327" s="309"/>
      <c r="Z327" s="309"/>
      <c r="AA327" s="309"/>
    </row>
    <row r="328" ht="27.0" customHeight="1">
      <c r="A328" s="309"/>
      <c r="B328" s="309"/>
      <c r="C328" s="309"/>
      <c r="D328" s="309"/>
      <c r="E328" s="330"/>
      <c r="F328" s="309"/>
      <c r="G328" s="309"/>
      <c r="H328" s="316"/>
      <c r="I328" s="309"/>
      <c r="J328" s="309"/>
      <c r="K328" s="309"/>
      <c r="L328" s="309"/>
      <c r="M328" s="309"/>
      <c r="N328" s="309"/>
      <c r="O328" s="309"/>
      <c r="P328" s="309"/>
      <c r="Q328" s="309"/>
      <c r="R328" s="309"/>
      <c r="S328" s="309"/>
      <c r="T328" s="309"/>
      <c r="U328" s="309"/>
      <c r="V328" s="309"/>
      <c r="W328" s="309"/>
      <c r="X328" s="309"/>
      <c r="Y328" s="309"/>
      <c r="Z328" s="309"/>
      <c r="AA328" s="309"/>
    </row>
    <row r="329" ht="27.0" customHeight="1">
      <c r="A329" s="309"/>
      <c r="B329" s="309"/>
      <c r="C329" s="309"/>
      <c r="D329" s="309"/>
      <c r="E329" s="330"/>
      <c r="F329" s="309"/>
      <c r="G329" s="309"/>
      <c r="H329" s="316"/>
      <c r="I329" s="309"/>
      <c r="J329" s="309"/>
      <c r="K329" s="309"/>
      <c r="L329" s="309"/>
      <c r="M329" s="309"/>
      <c r="N329" s="309"/>
      <c r="O329" s="309"/>
      <c r="P329" s="309"/>
      <c r="Q329" s="309"/>
      <c r="R329" s="309"/>
      <c r="S329" s="309"/>
      <c r="T329" s="309"/>
      <c r="U329" s="309"/>
      <c r="V329" s="309"/>
      <c r="W329" s="309"/>
      <c r="X329" s="309"/>
      <c r="Y329" s="309"/>
      <c r="Z329" s="309"/>
      <c r="AA329" s="309"/>
    </row>
    <row r="330" ht="27.0" customHeight="1">
      <c r="A330" s="309"/>
      <c r="B330" s="309"/>
      <c r="C330" s="309"/>
      <c r="D330" s="309"/>
      <c r="E330" s="330"/>
      <c r="F330" s="309"/>
      <c r="G330" s="309"/>
      <c r="H330" s="316"/>
      <c r="I330" s="309"/>
      <c r="J330" s="309"/>
      <c r="K330" s="309"/>
      <c r="L330" s="309"/>
      <c r="M330" s="309"/>
      <c r="N330" s="309"/>
      <c r="O330" s="309"/>
      <c r="P330" s="309"/>
      <c r="Q330" s="309"/>
      <c r="R330" s="309"/>
      <c r="S330" s="309"/>
      <c r="T330" s="309"/>
      <c r="U330" s="309"/>
      <c r="V330" s="309"/>
      <c r="W330" s="309"/>
      <c r="X330" s="309"/>
      <c r="Y330" s="309"/>
      <c r="Z330" s="309"/>
      <c r="AA330" s="309"/>
    </row>
    <row r="331" ht="27.0" customHeight="1">
      <c r="A331" s="309"/>
      <c r="B331" s="309"/>
      <c r="C331" s="309"/>
      <c r="D331" s="309"/>
      <c r="E331" s="330"/>
      <c r="F331" s="309"/>
      <c r="G331" s="309"/>
      <c r="H331" s="316"/>
      <c r="I331" s="309"/>
      <c r="J331" s="309"/>
      <c r="K331" s="309"/>
      <c r="L331" s="309"/>
      <c r="M331" s="309"/>
      <c r="N331" s="309"/>
      <c r="O331" s="309"/>
      <c r="P331" s="309"/>
      <c r="Q331" s="309"/>
      <c r="R331" s="309"/>
      <c r="S331" s="309"/>
      <c r="T331" s="309"/>
      <c r="U331" s="309"/>
      <c r="V331" s="309"/>
      <c r="W331" s="309"/>
      <c r="X331" s="309"/>
      <c r="Y331" s="309"/>
      <c r="Z331" s="309"/>
      <c r="AA331" s="309"/>
    </row>
    <row r="332" ht="27.0" customHeight="1">
      <c r="A332" s="309"/>
      <c r="B332" s="309"/>
      <c r="C332" s="309"/>
      <c r="D332" s="309"/>
      <c r="E332" s="330"/>
      <c r="F332" s="309"/>
      <c r="G332" s="309"/>
      <c r="H332" s="316"/>
      <c r="I332" s="309"/>
      <c r="J332" s="309"/>
      <c r="K332" s="309"/>
      <c r="L332" s="309"/>
      <c r="M332" s="309"/>
      <c r="N332" s="309"/>
      <c r="O332" s="309"/>
      <c r="P332" s="309"/>
      <c r="Q332" s="309"/>
      <c r="R332" s="309"/>
      <c r="S332" s="309"/>
      <c r="T332" s="309"/>
      <c r="U332" s="309"/>
      <c r="V332" s="309"/>
      <c r="W332" s="309"/>
      <c r="X332" s="309"/>
      <c r="Y332" s="309"/>
      <c r="Z332" s="309"/>
      <c r="AA332" s="309"/>
    </row>
    <row r="333" ht="27.0" customHeight="1">
      <c r="A333" s="309"/>
      <c r="B333" s="309"/>
      <c r="C333" s="309"/>
      <c r="D333" s="309"/>
      <c r="E333" s="330"/>
      <c r="F333" s="309"/>
      <c r="G333" s="309"/>
      <c r="H333" s="316"/>
      <c r="I333" s="309"/>
      <c r="J333" s="309"/>
      <c r="K333" s="309"/>
      <c r="L333" s="309"/>
      <c r="M333" s="309"/>
      <c r="N333" s="309"/>
      <c r="O333" s="309"/>
      <c r="P333" s="309"/>
      <c r="Q333" s="309"/>
      <c r="R333" s="309"/>
      <c r="S333" s="309"/>
      <c r="T333" s="309"/>
      <c r="U333" s="309"/>
      <c r="V333" s="309"/>
      <c r="W333" s="309"/>
      <c r="X333" s="309"/>
      <c r="Y333" s="309"/>
      <c r="Z333" s="309"/>
      <c r="AA333" s="309"/>
    </row>
    <row r="334" ht="27.0" customHeight="1">
      <c r="A334" s="309"/>
      <c r="B334" s="309"/>
      <c r="C334" s="309"/>
      <c r="D334" s="309"/>
      <c r="E334" s="330"/>
      <c r="F334" s="309"/>
      <c r="G334" s="309"/>
      <c r="H334" s="316"/>
      <c r="I334" s="309"/>
      <c r="J334" s="309"/>
      <c r="K334" s="309"/>
      <c r="L334" s="309"/>
      <c r="M334" s="309"/>
      <c r="N334" s="309"/>
      <c r="O334" s="309"/>
      <c r="P334" s="309"/>
      <c r="Q334" s="309"/>
      <c r="R334" s="309"/>
      <c r="S334" s="309"/>
      <c r="T334" s="309"/>
      <c r="U334" s="309"/>
      <c r="V334" s="309"/>
      <c r="W334" s="309"/>
      <c r="X334" s="309"/>
      <c r="Y334" s="309"/>
      <c r="Z334" s="309"/>
      <c r="AA334" s="309"/>
    </row>
    <row r="335" ht="27.0" customHeight="1">
      <c r="A335" s="309"/>
      <c r="B335" s="309"/>
      <c r="C335" s="309"/>
      <c r="D335" s="309"/>
      <c r="E335" s="330"/>
      <c r="F335" s="309"/>
      <c r="G335" s="309"/>
      <c r="H335" s="316"/>
      <c r="I335" s="309"/>
      <c r="J335" s="309"/>
      <c r="K335" s="309"/>
      <c r="L335" s="309"/>
      <c r="M335" s="309"/>
      <c r="N335" s="309"/>
      <c r="O335" s="309"/>
      <c r="P335" s="309"/>
      <c r="Q335" s="309"/>
      <c r="R335" s="309"/>
      <c r="S335" s="309"/>
      <c r="T335" s="309"/>
      <c r="U335" s="309"/>
      <c r="V335" s="309"/>
      <c r="W335" s="309"/>
      <c r="X335" s="309"/>
      <c r="Y335" s="309"/>
      <c r="Z335" s="309"/>
      <c r="AA335" s="309"/>
    </row>
    <row r="336" ht="27.0" customHeight="1">
      <c r="A336" s="309"/>
      <c r="B336" s="309"/>
      <c r="C336" s="309"/>
      <c r="D336" s="309"/>
      <c r="E336" s="330"/>
      <c r="F336" s="309"/>
      <c r="G336" s="309"/>
      <c r="H336" s="316"/>
      <c r="I336" s="309"/>
      <c r="J336" s="309"/>
      <c r="K336" s="309"/>
      <c r="L336" s="309"/>
      <c r="M336" s="309"/>
      <c r="N336" s="309"/>
      <c r="O336" s="309"/>
      <c r="P336" s="309"/>
      <c r="Q336" s="309"/>
      <c r="R336" s="309"/>
      <c r="S336" s="309"/>
      <c r="T336" s="309"/>
      <c r="U336" s="309"/>
      <c r="V336" s="309"/>
      <c r="W336" s="309"/>
      <c r="X336" s="309"/>
      <c r="Y336" s="309"/>
      <c r="Z336" s="309"/>
      <c r="AA336" s="309"/>
    </row>
    <row r="337" ht="27.0" customHeight="1">
      <c r="A337" s="309"/>
      <c r="B337" s="309"/>
      <c r="C337" s="309"/>
      <c r="D337" s="309"/>
      <c r="E337" s="330"/>
      <c r="F337" s="309"/>
      <c r="G337" s="309"/>
      <c r="H337" s="316"/>
      <c r="I337" s="309"/>
      <c r="J337" s="309"/>
      <c r="K337" s="309"/>
      <c r="L337" s="309"/>
      <c r="M337" s="309"/>
      <c r="N337" s="309"/>
      <c r="O337" s="309"/>
      <c r="P337" s="309"/>
      <c r="Q337" s="309"/>
      <c r="R337" s="309"/>
      <c r="S337" s="309"/>
      <c r="T337" s="309"/>
      <c r="U337" s="309"/>
      <c r="V337" s="309"/>
      <c r="W337" s="309"/>
      <c r="X337" s="309"/>
      <c r="Y337" s="309"/>
      <c r="Z337" s="309"/>
      <c r="AA337" s="309"/>
    </row>
    <row r="338" ht="27.0" customHeight="1">
      <c r="A338" s="309"/>
      <c r="B338" s="309"/>
      <c r="C338" s="309"/>
      <c r="D338" s="309"/>
      <c r="E338" s="330"/>
      <c r="F338" s="309"/>
      <c r="G338" s="309"/>
      <c r="H338" s="316"/>
      <c r="I338" s="309"/>
      <c r="J338" s="309"/>
      <c r="K338" s="309"/>
      <c r="L338" s="309"/>
      <c r="M338" s="309"/>
      <c r="N338" s="309"/>
      <c r="O338" s="309"/>
      <c r="P338" s="309"/>
      <c r="Q338" s="309"/>
      <c r="R338" s="309"/>
      <c r="S338" s="309"/>
      <c r="T338" s="309"/>
      <c r="U338" s="309"/>
      <c r="V338" s="309"/>
      <c r="W338" s="309"/>
      <c r="X338" s="309"/>
      <c r="Y338" s="309"/>
      <c r="Z338" s="309"/>
      <c r="AA338" s="309"/>
    </row>
    <row r="339" ht="27.0" customHeight="1">
      <c r="A339" s="309"/>
      <c r="B339" s="309"/>
      <c r="C339" s="309"/>
      <c r="D339" s="309"/>
      <c r="E339" s="330"/>
      <c r="F339" s="309"/>
      <c r="G339" s="309"/>
      <c r="H339" s="316"/>
      <c r="I339" s="309"/>
      <c r="J339" s="309"/>
      <c r="K339" s="309"/>
      <c r="L339" s="309"/>
      <c r="M339" s="309"/>
      <c r="N339" s="309"/>
      <c r="O339" s="309"/>
      <c r="P339" s="309"/>
      <c r="Q339" s="309"/>
      <c r="R339" s="309"/>
      <c r="S339" s="309"/>
      <c r="T339" s="309"/>
      <c r="U339" s="309"/>
      <c r="V339" s="309"/>
      <c r="W339" s="309"/>
      <c r="X339" s="309"/>
      <c r="Y339" s="309"/>
      <c r="Z339" s="309"/>
      <c r="AA339" s="309"/>
    </row>
    <row r="340" ht="27.0" customHeight="1">
      <c r="A340" s="309"/>
      <c r="B340" s="309"/>
      <c r="C340" s="309"/>
      <c r="D340" s="309"/>
      <c r="E340" s="330"/>
      <c r="F340" s="309"/>
      <c r="G340" s="309"/>
      <c r="H340" s="316"/>
      <c r="I340" s="309"/>
      <c r="J340" s="309"/>
      <c r="K340" s="309"/>
      <c r="L340" s="309"/>
      <c r="M340" s="309"/>
      <c r="N340" s="309"/>
      <c r="O340" s="309"/>
      <c r="P340" s="309"/>
      <c r="Q340" s="309"/>
      <c r="R340" s="309"/>
      <c r="S340" s="309"/>
      <c r="T340" s="309"/>
      <c r="U340" s="309"/>
      <c r="V340" s="309"/>
      <c r="W340" s="309"/>
      <c r="X340" s="309"/>
      <c r="Y340" s="309"/>
      <c r="Z340" s="309"/>
      <c r="AA340" s="309"/>
    </row>
    <row r="341" ht="27.0" customHeight="1">
      <c r="A341" s="309"/>
      <c r="B341" s="309"/>
      <c r="C341" s="309"/>
      <c r="D341" s="309"/>
      <c r="E341" s="330"/>
      <c r="F341" s="309"/>
      <c r="G341" s="309"/>
      <c r="H341" s="316"/>
      <c r="I341" s="309"/>
      <c r="J341" s="309"/>
      <c r="K341" s="309"/>
      <c r="L341" s="309"/>
      <c r="M341" s="309"/>
      <c r="N341" s="309"/>
      <c r="O341" s="309"/>
      <c r="P341" s="309"/>
      <c r="Q341" s="309"/>
      <c r="R341" s="309"/>
      <c r="S341" s="309"/>
      <c r="T341" s="309"/>
      <c r="U341" s="309"/>
      <c r="V341" s="309"/>
      <c r="W341" s="309"/>
      <c r="X341" s="309"/>
      <c r="Y341" s="309"/>
      <c r="Z341" s="309"/>
      <c r="AA341" s="309"/>
    </row>
    <row r="342" ht="27.0" customHeight="1">
      <c r="A342" s="309"/>
      <c r="B342" s="309"/>
      <c r="C342" s="309"/>
      <c r="D342" s="309"/>
      <c r="E342" s="330"/>
      <c r="F342" s="309"/>
      <c r="G342" s="309"/>
      <c r="H342" s="316"/>
      <c r="I342" s="309"/>
      <c r="J342" s="309"/>
      <c r="K342" s="309"/>
      <c r="L342" s="309"/>
      <c r="M342" s="309"/>
      <c r="N342" s="309"/>
      <c r="O342" s="309"/>
      <c r="P342" s="309"/>
      <c r="Q342" s="309"/>
      <c r="R342" s="309"/>
      <c r="S342" s="309"/>
      <c r="T342" s="309"/>
      <c r="U342" s="309"/>
      <c r="V342" s="309"/>
      <c r="W342" s="309"/>
      <c r="X342" s="309"/>
      <c r="Y342" s="309"/>
      <c r="Z342" s="309"/>
      <c r="AA342" s="309"/>
    </row>
    <row r="343" ht="27.0" customHeight="1">
      <c r="A343" s="309"/>
      <c r="B343" s="309"/>
      <c r="C343" s="309"/>
      <c r="D343" s="309"/>
      <c r="E343" s="330"/>
      <c r="F343" s="309"/>
      <c r="G343" s="309"/>
      <c r="H343" s="316"/>
      <c r="I343" s="309"/>
      <c r="J343" s="309"/>
      <c r="K343" s="309"/>
      <c r="L343" s="309"/>
      <c r="M343" s="309"/>
      <c r="N343" s="309"/>
      <c r="O343" s="309"/>
      <c r="P343" s="309"/>
      <c r="Q343" s="309"/>
      <c r="R343" s="309"/>
      <c r="S343" s="309"/>
      <c r="T343" s="309"/>
      <c r="U343" s="309"/>
      <c r="V343" s="309"/>
      <c r="W343" s="309"/>
      <c r="X343" s="309"/>
      <c r="Y343" s="309"/>
      <c r="Z343" s="309"/>
      <c r="AA343" s="309"/>
    </row>
    <row r="344" ht="27.0" customHeight="1">
      <c r="A344" s="309"/>
      <c r="B344" s="309"/>
      <c r="C344" s="309"/>
      <c r="D344" s="309"/>
      <c r="E344" s="330"/>
      <c r="F344" s="309"/>
      <c r="G344" s="309"/>
      <c r="H344" s="316"/>
      <c r="I344" s="309"/>
      <c r="J344" s="309"/>
      <c r="K344" s="309"/>
      <c r="L344" s="309"/>
      <c r="M344" s="309"/>
      <c r="N344" s="309"/>
      <c r="O344" s="309"/>
      <c r="P344" s="309"/>
      <c r="Q344" s="309"/>
      <c r="R344" s="309"/>
      <c r="S344" s="309"/>
      <c r="T344" s="309"/>
      <c r="U344" s="309"/>
      <c r="V344" s="309"/>
      <c r="W344" s="309"/>
      <c r="X344" s="309"/>
      <c r="Y344" s="309"/>
      <c r="Z344" s="309"/>
      <c r="AA344" s="309"/>
    </row>
    <row r="345" ht="27.0" customHeight="1">
      <c r="A345" s="309"/>
      <c r="B345" s="309"/>
      <c r="C345" s="309"/>
      <c r="D345" s="309"/>
      <c r="E345" s="330"/>
      <c r="F345" s="309"/>
      <c r="G345" s="309"/>
      <c r="H345" s="316"/>
      <c r="I345" s="309"/>
      <c r="J345" s="309"/>
      <c r="K345" s="309"/>
      <c r="L345" s="309"/>
      <c r="M345" s="309"/>
      <c r="N345" s="309"/>
      <c r="O345" s="309"/>
      <c r="P345" s="309"/>
      <c r="Q345" s="309"/>
      <c r="R345" s="309"/>
      <c r="S345" s="309"/>
      <c r="T345" s="309"/>
      <c r="U345" s="309"/>
      <c r="V345" s="309"/>
      <c r="W345" s="309"/>
      <c r="X345" s="309"/>
      <c r="Y345" s="309"/>
      <c r="Z345" s="309"/>
      <c r="AA345" s="309"/>
    </row>
    <row r="346" ht="27.0" customHeight="1">
      <c r="A346" s="309"/>
      <c r="B346" s="309"/>
      <c r="C346" s="309"/>
      <c r="D346" s="309"/>
      <c r="E346" s="330"/>
      <c r="F346" s="309"/>
      <c r="G346" s="309"/>
      <c r="H346" s="316"/>
      <c r="I346" s="309"/>
      <c r="J346" s="309"/>
      <c r="K346" s="309"/>
      <c r="L346" s="309"/>
      <c r="M346" s="309"/>
      <c r="N346" s="309"/>
      <c r="O346" s="309"/>
      <c r="P346" s="309"/>
      <c r="Q346" s="309"/>
      <c r="R346" s="309"/>
      <c r="S346" s="309"/>
      <c r="T346" s="309"/>
      <c r="U346" s="309"/>
      <c r="V346" s="309"/>
      <c r="W346" s="309"/>
      <c r="X346" s="309"/>
      <c r="Y346" s="309"/>
      <c r="Z346" s="309"/>
      <c r="AA346" s="309"/>
    </row>
    <row r="347" ht="27.0" customHeight="1">
      <c r="A347" s="309"/>
      <c r="B347" s="309"/>
      <c r="C347" s="309"/>
      <c r="D347" s="309"/>
      <c r="E347" s="330"/>
      <c r="F347" s="309"/>
      <c r="G347" s="309"/>
      <c r="H347" s="316"/>
      <c r="I347" s="309"/>
      <c r="J347" s="309"/>
      <c r="K347" s="309"/>
      <c r="L347" s="309"/>
      <c r="M347" s="309"/>
      <c r="N347" s="309"/>
      <c r="O347" s="309"/>
      <c r="P347" s="309"/>
      <c r="Q347" s="309"/>
      <c r="R347" s="309"/>
      <c r="S347" s="309"/>
      <c r="T347" s="309"/>
      <c r="U347" s="309"/>
      <c r="V347" s="309"/>
      <c r="W347" s="309"/>
      <c r="X347" s="309"/>
      <c r="Y347" s="309"/>
      <c r="Z347" s="309"/>
      <c r="AA347" s="309"/>
    </row>
    <row r="348" ht="27.0" customHeight="1">
      <c r="A348" s="309"/>
      <c r="B348" s="309"/>
      <c r="C348" s="309"/>
      <c r="D348" s="309"/>
      <c r="E348" s="330"/>
      <c r="F348" s="309"/>
      <c r="G348" s="309"/>
      <c r="H348" s="316"/>
      <c r="I348" s="309"/>
      <c r="J348" s="309"/>
      <c r="K348" s="309"/>
      <c r="L348" s="309"/>
      <c r="M348" s="309"/>
      <c r="N348" s="309"/>
      <c r="O348" s="309"/>
      <c r="P348" s="309"/>
      <c r="Q348" s="309"/>
      <c r="R348" s="309"/>
      <c r="S348" s="309"/>
      <c r="T348" s="309"/>
      <c r="U348" s="309"/>
      <c r="V348" s="309"/>
      <c r="W348" s="309"/>
      <c r="X348" s="309"/>
      <c r="Y348" s="309"/>
      <c r="Z348" s="309"/>
      <c r="AA348" s="309"/>
    </row>
    <row r="349" ht="27.0" customHeight="1">
      <c r="A349" s="309"/>
      <c r="B349" s="309"/>
      <c r="C349" s="309"/>
      <c r="D349" s="309"/>
      <c r="E349" s="330"/>
      <c r="F349" s="309"/>
      <c r="G349" s="309"/>
      <c r="H349" s="316"/>
      <c r="I349" s="309"/>
      <c r="J349" s="309"/>
      <c r="K349" s="309"/>
      <c r="L349" s="309"/>
      <c r="M349" s="309"/>
      <c r="N349" s="309"/>
      <c r="O349" s="309"/>
      <c r="P349" s="309"/>
      <c r="Q349" s="309"/>
      <c r="R349" s="309"/>
      <c r="S349" s="309"/>
      <c r="T349" s="309"/>
      <c r="U349" s="309"/>
      <c r="V349" s="309"/>
      <c r="W349" s="309"/>
      <c r="X349" s="309"/>
      <c r="Y349" s="309"/>
      <c r="Z349" s="309"/>
      <c r="AA349" s="309"/>
    </row>
    <row r="350" ht="27.0" customHeight="1">
      <c r="A350" s="309"/>
      <c r="B350" s="309"/>
      <c r="C350" s="309"/>
      <c r="D350" s="309"/>
      <c r="E350" s="330"/>
      <c r="F350" s="309"/>
      <c r="G350" s="309"/>
      <c r="H350" s="316"/>
      <c r="I350" s="309"/>
      <c r="J350" s="309"/>
      <c r="K350" s="309"/>
      <c r="L350" s="309"/>
      <c r="M350" s="309"/>
      <c r="N350" s="309"/>
      <c r="O350" s="309"/>
      <c r="P350" s="309"/>
      <c r="Q350" s="309"/>
      <c r="R350" s="309"/>
      <c r="S350" s="309"/>
      <c r="T350" s="309"/>
      <c r="U350" s="309"/>
      <c r="V350" s="309"/>
      <c r="W350" s="309"/>
      <c r="X350" s="309"/>
      <c r="Y350" s="309"/>
      <c r="Z350" s="309"/>
      <c r="AA350" s="309"/>
    </row>
    <row r="351" ht="27.0" customHeight="1">
      <c r="A351" s="309"/>
      <c r="B351" s="309"/>
      <c r="C351" s="309"/>
      <c r="D351" s="309"/>
      <c r="E351" s="330"/>
      <c r="F351" s="309"/>
      <c r="G351" s="309"/>
      <c r="H351" s="316"/>
      <c r="I351" s="309"/>
      <c r="J351" s="309"/>
      <c r="K351" s="309"/>
      <c r="L351" s="309"/>
      <c r="M351" s="309"/>
      <c r="N351" s="309"/>
      <c r="O351" s="309"/>
      <c r="P351" s="309"/>
      <c r="Q351" s="309"/>
      <c r="R351" s="309"/>
      <c r="S351" s="309"/>
      <c r="T351" s="309"/>
      <c r="U351" s="309"/>
      <c r="V351" s="309"/>
      <c r="W351" s="309"/>
      <c r="X351" s="309"/>
      <c r="Y351" s="309"/>
      <c r="Z351" s="309"/>
      <c r="AA351" s="309"/>
    </row>
    <row r="352" ht="27.0" customHeight="1">
      <c r="A352" s="309"/>
      <c r="B352" s="309"/>
      <c r="C352" s="309"/>
      <c r="D352" s="309"/>
      <c r="E352" s="330"/>
      <c r="F352" s="309"/>
      <c r="G352" s="309"/>
      <c r="H352" s="316"/>
      <c r="I352" s="309"/>
      <c r="J352" s="309"/>
      <c r="K352" s="309"/>
      <c r="L352" s="309"/>
      <c r="M352" s="309"/>
      <c r="N352" s="309"/>
      <c r="O352" s="309"/>
      <c r="P352" s="309"/>
      <c r="Q352" s="309"/>
      <c r="R352" s="309"/>
      <c r="S352" s="309"/>
      <c r="T352" s="309"/>
      <c r="U352" s="309"/>
      <c r="V352" s="309"/>
      <c r="W352" s="309"/>
      <c r="X352" s="309"/>
      <c r="Y352" s="309"/>
      <c r="Z352" s="309"/>
      <c r="AA352" s="309"/>
    </row>
    <row r="353" ht="27.0" customHeight="1">
      <c r="A353" s="309"/>
      <c r="B353" s="309"/>
      <c r="C353" s="309"/>
      <c r="D353" s="309"/>
      <c r="E353" s="330"/>
      <c r="F353" s="309"/>
      <c r="G353" s="309"/>
      <c r="H353" s="316"/>
      <c r="I353" s="309"/>
      <c r="J353" s="309"/>
      <c r="K353" s="309"/>
      <c r="L353" s="309"/>
      <c r="M353" s="309"/>
      <c r="N353" s="309"/>
      <c r="O353" s="309"/>
      <c r="P353" s="309"/>
      <c r="Q353" s="309"/>
      <c r="R353" s="309"/>
      <c r="S353" s="309"/>
      <c r="T353" s="309"/>
      <c r="U353" s="309"/>
      <c r="V353" s="309"/>
      <c r="W353" s="309"/>
      <c r="X353" s="309"/>
      <c r="Y353" s="309"/>
      <c r="Z353" s="309"/>
      <c r="AA353" s="309"/>
    </row>
    <row r="354" ht="27.0" customHeight="1">
      <c r="A354" s="309"/>
      <c r="B354" s="309"/>
      <c r="C354" s="309"/>
      <c r="D354" s="309"/>
      <c r="E354" s="330"/>
      <c r="F354" s="309"/>
      <c r="G354" s="309"/>
      <c r="H354" s="316"/>
      <c r="I354" s="309"/>
      <c r="J354" s="309"/>
      <c r="K354" s="309"/>
      <c r="L354" s="309"/>
      <c r="M354" s="309"/>
      <c r="N354" s="309"/>
      <c r="O354" s="309"/>
      <c r="P354" s="309"/>
      <c r="Q354" s="309"/>
      <c r="R354" s="309"/>
      <c r="S354" s="309"/>
      <c r="T354" s="309"/>
      <c r="U354" s="309"/>
      <c r="V354" s="309"/>
      <c r="W354" s="309"/>
      <c r="X354" s="309"/>
      <c r="Y354" s="309"/>
      <c r="Z354" s="309"/>
      <c r="AA354" s="309"/>
    </row>
    <row r="355" ht="27.0" customHeight="1">
      <c r="A355" s="309"/>
      <c r="B355" s="309"/>
      <c r="C355" s="309"/>
      <c r="D355" s="309"/>
      <c r="E355" s="330"/>
      <c r="F355" s="309"/>
      <c r="G355" s="309"/>
      <c r="H355" s="316"/>
      <c r="I355" s="309"/>
      <c r="J355" s="309"/>
      <c r="K355" s="309"/>
      <c r="L355" s="309"/>
      <c r="M355" s="309"/>
      <c r="N355" s="309"/>
      <c r="O355" s="309"/>
      <c r="P355" s="309"/>
      <c r="Q355" s="309"/>
      <c r="R355" s="309"/>
      <c r="S355" s="309"/>
      <c r="T355" s="309"/>
      <c r="U355" s="309"/>
      <c r="V355" s="309"/>
      <c r="W355" s="309"/>
      <c r="X355" s="309"/>
      <c r="Y355" s="309"/>
      <c r="Z355" s="309"/>
      <c r="AA355" s="309"/>
    </row>
    <row r="356" ht="27.0" customHeight="1">
      <c r="A356" s="309"/>
      <c r="B356" s="309"/>
      <c r="C356" s="309"/>
      <c r="D356" s="309"/>
      <c r="E356" s="330"/>
      <c r="F356" s="309"/>
      <c r="G356" s="309"/>
      <c r="H356" s="316"/>
      <c r="I356" s="309"/>
      <c r="J356" s="309"/>
      <c r="K356" s="309"/>
      <c r="L356" s="309"/>
      <c r="M356" s="309"/>
      <c r="N356" s="309"/>
      <c r="O356" s="309"/>
      <c r="P356" s="309"/>
      <c r="Q356" s="309"/>
      <c r="R356" s="309"/>
      <c r="S356" s="309"/>
      <c r="T356" s="309"/>
      <c r="U356" s="309"/>
      <c r="V356" s="309"/>
      <c r="W356" s="309"/>
      <c r="X356" s="309"/>
      <c r="Y356" s="309"/>
      <c r="Z356" s="309"/>
      <c r="AA356" s="309"/>
    </row>
    <row r="357" ht="27.0" customHeight="1">
      <c r="A357" s="309"/>
      <c r="B357" s="309"/>
      <c r="C357" s="309"/>
      <c r="D357" s="309"/>
      <c r="E357" s="330"/>
      <c r="F357" s="309"/>
      <c r="G357" s="309"/>
      <c r="H357" s="316"/>
      <c r="I357" s="309"/>
      <c r="J357" s="309"/>
      <c r="K357" s="309"/>
      <c r="L357" s="309"/>
      <c r="M357" s="309"/>
      <c r="N357" s="309"/>
      <c r="O357" s="309"/>
      <c r="P357" s="309"/>
      <c r="Q357" s="309"/>
      <c r="R357" s="309"/>
      <c r="S357" s="309"/>
      <c r="T357" s="309"/>
      <c r="U357" s="309"/>
      <c r="V357" s="309"/>
      <c r="W357" s="309"/>
      <c r="X357" s="309"/>
      <c r="Y357" s="309"/>
      <c r="Z357" s="309"/>
      <c r="AA357" s="309"/>
    </row>
    <row r="358" ht="27.0" customHeight="1">
      <c r="A358" s="309"/>
      <c r="B358" s="309"/>
      <c r="C358" s="309"/>
      <c r="D358" s="309"/>
      <c r="E358" s="330"/>
      <c r="F358" s="309"/>
      <c r="G358" s="309"/>
      <c r="H358" s="316"/>
      <c r="I358" s="309"/>
      <c r="J358" s="309"/>
      <c r="K358" s="309"/>
      <c r="L358" s="309"/>
      <c r="M358" s="309"/>
      <c r="N358" s="309"/>
      <c r="O358" s="309"/>
      <c r="P358" s="309"/>
      <c r="Q358" s="309"/>
      <c r="R358" s="309"/>
      <c r="S358" s="309"/>
      <c r="T358" s="309"/>
      <c r="U358" s="309"/>
      <c r="V358" s="309"/>
      <c r="W358" s="309"/>
      <c r="X358" s="309"/>
      <c r="Y358" s="309"/>
      <c r="Z358" s="309"/>
      <c r="AA358" s="309"/>
    </row>
    <row r="359" ht="27.0" customHeight="1">
      <c r="A359" s="309"/>
      <c r="B359" s="309"/>
      <c r="C359" s="309"/>
      <c r="D359" s="309"/>
      <c r="E359" s="330"/>
      <c r="F359" s="309"/>
      <c r="G359" s="309"/>
      <c r="H359" s="316"/>
      <c r="I359" s="309"/>
      <c r="J359" s="309"/>
      <c r="K359" s="309"/>
      <c r="L359" s="309"/>
      <c r="M359" s="309"/>
      <c r="N359" s="309"/>
      <c r="O359" s="309"/>
      <c r="P359" s="309"/>
      <c r="Q359" s="309"/>
      <c r="R359" s="309"/>
      <c r="S359" s="309"/>
      <c r="T359" s="309"/>
      <c r="U359" s="309"/>
      <c r="V359" s="309"/>
      <c r="W359" s="309"/>
      <c r="X359" s="309"/>
      <c r="Y359" s="309"/>
      <c r="Z359" s="309"/>
      <c r="AA359" s="309"/>
    </row>
    <row r="360" ht="27.0" customHeight="1">
      <c r="A360" s="309"/>
      <c r="B360" s="309"/>
      <c r="C360" s="309"/>
      <c r="D360" s="309"/>
      <c r="E360" s="330"/>
      <c r="F360" s="309"/>
      <c r="G360" s="309"/>
      <c r="H360" s="316"/>
      <c r="I360" s="309"/>
      <c r="J360" s="309"/>
      <c r="K360" s="309"/>
      <c r="L360" s="309"/>
      <c r="M360" s="309"/>
      <c r="N360" s="309"/>
      <c r="O360" s="309"/>
      <c r="P360" s="309"/>
      <c r="Q360" s="309"/>
      <c r="R360" s="309"/>
      <c r="S360" s="309"/>
      <c r="T360" s="309"/>
      <c r="U360" s="309"/>
      <c r="V360" s="309"/>
      <c r="W360" s="309"/>
      <c r="X360" s="309"/>
      <c r="Y360" s="309"/>
      <c r="Z360" s="309"/>
      <c r="AA360" s="309"/>
    </row>
    <row r="361" ht="27.0" customHeight="1">
      <c r="A361" s="309"/>
      <c r="B361" s="309"/>
      <c r="C361" s="309"/>
      <c r="D361" s="309"/>
      <c r="E361" s="330"/>
      <c r="F361" s="309"/>
      <c r="G361" s="309"/>
      <c r="H361" s="316"/>
      <c r="I361" s="309"/>
      <c r="J361" s="309"/>
      <c r="K361" s="309"/>
      <c r="L361" s="309"/>
      <c r="M361" s="309"/>
      <c r="N361" s="309"/>
      <c r="O361" s="309"/>
      <c r="P361" s="309"/>
      <c r="Q361" s="309"/>
      <c r="R361" s="309"/>
      <c r="S361" s="309"/>
      <c r="T361" s="309"/>
      <c r="U361" s="309"/>
      <c r="V361" s="309"/>
      <c r="W361" s="309"/>
      <c r="X361" s="309"/>
      <c r="Y361" s="309"/>
      <c r="Z361" s="309"/>
      <c r="AA361" s="309"/>
    </row>
    <row r="362" ht="27.0" customHeight="1">
      <c r="A362" s="309"/>
      <c r="B362" s="309"/>
      <c r="C362" s="309"/>
      <c r="D362" s="309"/>
      <c r="E362" s="330"/>
      <c r="F362" s="309"/>
      <c r="G362" s="309"/>
      <c r="H362" s="316"/>
      <c r="I362" s="309"/>
      <c r="J362" s="309"/>
      <c r="K362" s="309"/>
      <c r="L362" s="309"/>
      <c r="M362" s="309"/>
      <c r="N362" s="309"/>
      <c r="O362" s="309"/>
      <c r="P362" s="309"/>
      <c r="Q362" s="309"/>
      <c r="R362" s="309"/>
      <c r="S362" s="309"/>
      <c r="T362" s="309"/>
      <c r="U362" s="309"/>
      <c r="V362" s="309"/>
      <c r="W362" s="309"/>
      <c r="X362" s="309"/>
      <c r="Y362" s="309"/>
      <c r="Z362" s="309"/>
      <c r="AA362" s="309"/>
    </row>
    <row r="363" ht="27.0" customHeight="1">
      <c r="A363" s="309"/>
      <c r="B363" s="309"/>
      <c r="C363" s="309"/>
      <c r="D363" s="309"/>
      <c r="E363" s="330"/>
      <c r="F363" s="309"/>
      <c r="G363" s="309"/>
      <c r="H363" s="316"/>
      <c r="I363" s="309"/>
      <c r="J363" s="309"/>
      <c r="K363" s="309"/>
      <c r="L363" s="309"/>
      <c r="M363" s="309"/>
      <c r="N363" s="309"/>
      <c r="O363" s="309"/>
      <c r="P363" s="309"/>
      <c r="Q363" s="309"/>
      <c r="R363" s="309"/>
      <c r="S363" s="309"/>
      <c r="T363" s="309"/>
      <c r="U363" s="309"/>
      <c r="V363" s="309"/>
      <c r="W363" s="309"/>
      <c r="X363" s="309"/>
      <c r="Y363" s="309"/>
      <c r="Z363" s="309"/>
      <c r="AA363" s="309"/>
    </row>
    <row r="364" ht="27.0" customHeight="1">
      <c r="A364" s="309"/>
      <c r="B364" s="309"/>
      <c r="C364" s="309"/>
      <c r="D364" s="309"/>
      <c r="E364" s="330"/>
      <c r="F364" s="309"/>
      <c r="G364" s="309"/>
      <c r="H364" s="316"/>
      <c r="I364" s="309"/>
      <c r="J364" s="309"/>
      <c r="K364" s="309"/>
      <c r="L364" s="309"/>
      <c r="M364" s="309"/>
      <c r="N364" s="309"/>
      <c r="O364" s="309"/>
      <c r="P364" s="309"/>
      <c r="Q364" s="309"/>
      <c r="R364" s="309"/>
      <c r="S364" s="309"/>
      <c r="T364" s="309"/>
      <c r="U364" s="309"/>
      <c r="V364" s="309"/>
      <c r="W364" s="309"/>
      <c r="X364" s="309"/>
      <c r="Y364" s="309"/>
      <c r="Z364" s="309"/>
      <c r="AA364" s="309"/>
    </row>
    <row r="365" ht="27.0" customHeight="1">
      <c r="A365" s="309"/>
      <c r="B365" s="309"/>
      <c r="C365" s="309"/>
      <c r="D365" s="309"/>
      <c r="E365" s="330"/>
      <c r="F365" s="309"/>
      <c r="G365" s="309"/>
      <c r="H365" s="316"/>
      <c r="I365" s="309"/>
      <c r="J365" s="309"/>
      <c r="K365" s="309"/>
      <c r="L365" s="309"/>
      <c r="M365" s="309"/>
      <c r="N365" s="309"/>
      <c r="O365" s="309"/>
      <c r="P365" s="309"/>
      <c r="Q365" s="309"/>
      <c r="R365" s="309"/>
      <c r="S365" s="309"/>
      <c r="T365" s="309"/>
      <c r="U365" s="309"/>
      <c r="V365" s="309"/>
      <c r="W365" s="309"/>
      <c r="X365" s="309"/>
      <c r="Y365" s="309"/>
      <c r="Z365" s="309"/>
      <c r="AA365" s="309"/>
    </row>
    <row r="366" ht="27.0" customHeight="1">
      <c r="A366" s="309"/>
      <c r="B366" s="309"/>
      <c r="C366" s="309"/>
      <c r="D366" s="309"/>
      <c r="E366" s="330"/>
      <c r="F366" s="309"/>
      <c r="G366" s="309"/>
      <c r="H366" s="316"/>
      <c r="I366" s="309"/>
      <c r="J366" s="309"/>
      <c r="K366" s="309"/>
      <c r="L366" s="309"/>
      <c r="M366" s="309"/>
      <c r="N366" s="309"/>
      <c r="O366" s="309"/>
      <c r="P366" s="309"/>
      <c r="Q366" s="309"/>
      <c r="R366" s="309"/>
      <c r="S366" s="309"/>
      <c r="T366" s="309"/>
      <c r="U366" s="309"/>
      <c r="V366" s="309"/>
      <c r="W366" s="309"/>
      <c r="X366" s="309"/>
      <c r="Y366" s="309"/>
      <c r="Z366" s="309"/>
      <c r="AA366" s="309"/>
    </row>
    <row r="367" ht="27.0" customHeight="1">
      <c r="A367" s="309"/>
      <c r="B367" s="309"/>
      <c r="C367" s="309"/>
      <c r="D367" s="309"/>
      <c r="E367" s="330"/>
      <c r="F367" s="309"/>
      <c r="G367" s="309"/>
      <c r="H367" s="316"/>
      <c r="I367" s="309"/>
      <c r="J367" s="309"/>
      <c r="K367" s="309"/>
      <c r="L367" s="309"/>
      <c r="M367" s="309"/>
      <c r="N367" s="309"/>
      <c r="O367" s="309"/>
      <c r="P367" s="309"/>
      <c r="Q367" s="309"/>
      <c r="R367" s="309"/>
      <c r="S367" s="309"/>
      <c r="T367" s="309"/>
      <c r="U367" s="309"/>
      <c r="V367" s="309"/>
      <c r="W367" s="309"/>
      <c r="X367" s="309"/>
      <c r="Y367" s="309"/>
      <c r="Z367" s="309"/>
      <c r="AA367" s="309"/>
    </row>
    <row r="368" ht="27.0" customHeight="1">
      <c r="A368" s="309"/>
      <c r="B368" s="309"/>
      <c r="C368" s="309"/>
      <c r="D368" s="309"/>
      <c r="E368" s="330"/>
      <c r="F368" s="309"/>
      <c r="G368" s="309"/>
      <c r="H368" s="316"/>
      <c r="I368" s="309"/>
      <c r="J368" s="309"/>
      <c r="K368" s="309"/>
      <c r="L368" s="309"/>
      <c r="M368" s="309"/>
      <c r="N368" s="309"/>
      <c r="O368" s="309"/>
      <c r="P368" s="309"/>
      <c r="Q368" s="309"/>
      <c r="R368" s="309"/>
      <c r="S368" s="309"/>
      <c r="T368" s="309"/>
      <c r="U368" s="309"/>
      <c r="V368" s="309"/>
      <c r="W368" s="309"/>
      <c r="X368" s="309"/>
      <c r="Y368" s="309"/>
      <c r="Z368" s="309"/>
      <c r="AA368" s="309"/>
    </row>
    <row r="369" ht="27.0" customHeight="1">
      <c r="A369" s="309"/>
      <c r="B369" s="309"/>
      <c r="C369" s="309"/>
      <c r="D369" s="309"/>
      <c r="E369" s="330"/>
      <c r="F369" s="309"/>
      <c r="G369" s="309"/>
      <c r="H369" s="316"/>
      <c r="I369" s="309"/>
      <c r="J369" s="309"/>
      <c r="K369" s="309"/>
      <c r="L369" s="309"/>
      <c r="M369" s="309"/>
      <c r="N369" s="309"/>
      <c r="O369" s="309"/>
      <c r="P369" s="309"/>
      <c r="Q369" s="309"/>
      <c r="R369" s="309"/>
      <c r="S369" s="309"/>
      <c r="T369" s="309"/>
      <c r="U369" s="309"/>
      <c r="V369" s="309"/>
      <c r="W369" s="309"/>
      <c r="X369" s="309"/>
      <c r="Y369" s="309"/>
      <c r="Z369" s="309"/>
      <c r="AA369" s="309"/>
    </row>
    <row r="370" ht="27.0" customHeight="1">
      <c r="A370" s="309"/>
      <c r="B370" s="309"/>
      <c r="C370" s="309"/>
      <c r="D370" s="309"/>
      <c r="E370" s="330"/>
      <c r="F370" s="309"/>
      <c r="G370" s="309"/>
      <c r="H370" s="316"/>
      <c r="I370" s="309"/>
      <c r="J370" s="309"/>
      <c r="K370" s="309"/>
      <c r="L370" s="309"/>
      <c r="M370" s="309"/>
      <c r="N370" s="309"/>
      <c r="O370" s="309"/>
      <c r="P370" s="309"/>
      <c r="Q370" s="309"/>
      <c r="R370" s="309"/>
      <c r="S370" s="309"/>
      <c r="T370" s="309"/>
      <c r="U370" s="309"/>
      <c r="V370" s="309"/>
      <c r="W370" s="309"/>
      <c r="X370" s="309"/>
      <c r="Y370" s="309"/>
      <c r="Z370" s="309"/>
      <c r="AA370" s="309"/>
    </row>
    <row r="371" ht="27.0" customHeight="1">
      <c r="A371" s="309"/>
      <c r="B371" s="309"/>
      <c r="C371" s="309"/>
      <c r="D371" s="309"/>
      <c r="E371" s="330"/>
      <c r="F371" s="309"/>
      <c r="G371" s="309"/>
      <c r="H371" s="316"/>
      <c r="I371" s="309"/>
      <c r="J371" s="309"/>
      <c r="K371" s="309"/>
      <c r="L371" s="309"/>
      <c r="M371" s="309"/>
      <c r="N371" s="309"/>
      <c r="O371" s="309"/>
      <c r="P371" s="309"/>
      <c r="Q371" s="309"/>
      <c r="R371" s="309"/>
      <c r="S371" s="309"/>
      <c r="T371" s="309"/>
      <c r="U371" s="309"/>
      <c r="V371" s="309"/>
      <c r="W371" s="309"/>
      <c r="X371" s="309"/>
      <c r="Y371" s="309"/>
      <c r="Z371" s="309"/>
      <c r="AA371" s="309"/>
    </row>
    <row r="372" ht="27.0" customHeight="1">
      <c r="A372" s="309"/>
      <c r="B372" s="309"/>
      <c r="C372" s="309"/>
      <c r="D372" s="309"/>
      <c r="E372" s="330"/>
      <c r="F372" s="309"/>
      <c r="G372" s="309"/>
      <c r="H372" s="316"/>
      <c r="I372" s="309"/>
      <c r="J372" s="309"/>
      <c r="K372" s="309"/>
      <c r="L372" s="309"/>
      <c r="M372" s="309"/>
      <c r="N372" s="309"/>
      <c r="O372" s="309"/>
      <c r="P372" s="309"/>
      <c r="Q372" s="309"/>
      <c r="R372" s="309"/>
      <c r="S372" s="309"/>
      <c r="T372" s="309"/>
      <c r="U372" s="309"/>
      <c r="V372" s="309"/>
      <c r="W372" s="309"/>
      <c r="X372" s="309"/>
      <c r="Y372" s="309"/>
      <c r="Z372" s="309"/>
      <c r="AA372" s="309"/>
    </row>
    <row r="373" ht="27.0" customHeight="1">
      <c r="A373" s="309"/>
      <c r="B373" s="309"/>
      <c r="C373" s="309"/>
      <c r="D373" s="309"/>
      <c r="E373" s="330"/>
      <c r="F373" s="309"/>
      <c r="G373" s="309"/>
      <c r="H373" s="316"/>
      <c r="I373" s="309"/>
      <c r="J373" s="309"/>
      <c r="K373" s="309"/>
      <c r="L373" s="309"/>
      <c r="M373" s="309"/>
      <c r="N373" s="309"/>
      <c r="O373" s="309"/>
      <c r="P373" s="309"/>
      <c r="Q373" s="309"/>
      <c r="R373" s="309"/>
      <c r="S373" s="309"/>
      <c r="T373" s="309"/>
      <c r="U373" s="309"/>
      <c r="V373" s="309"/>
      <c r="W373" s="309"/>
      <c r="X373" s="309"/>
      <c r="Y373" s="309"/>
      <c r="Z373" s="309"/>
      <c r="AA373" s="309"/>
    </row>
    <row r="374" ht="27.0" customHeight="1">
      <c r="A374" s="309"/>
      <c r="B374" s="309"/>
      <c r="C374" s="309"/>
      <c r="D374" s="309"/>
      <c r="E374" s="330"/>
      <c r="F374" s="309"/>
      <c r="G374" s="309"/>
      <c r="H374" s="316"/>
      <c r="I374" s="309"/>
      <c r="J374" s="309"/>
      <c r="K374" s="309"/>
      <c r="L374" s="309"/>
      <c r="M374" s="309"/>
      <c r="N374" s="309"/>
      <c r="O374" s="309"/>
      <c r="P374" s="309"/>
      <c r="Q374" s="309"/>
      <c r="R374" s="309"/>
      <c r="S374" s="309"/>
      <c r="T374" s="309"/>
      <c r="U374" s="309"/>
      <c r="V374" s="309"/>
      <c r="W374" s="309"/>
      <c r="X374" s="309"/>
      <c r="Y374" s="309"/>
      <c r="Z374" s="309"/>
      <c r="AA374" s="309"/>
    </row>
    <row r="375" ht="27.0" customHeight="1">
      <c r="A375" s="309"/>
      <c r="B375" s="309"/>
      <c r="C375" s="309"/>
      <c r="D375" s="309"/>
      <c r="E375" s="330"/>
      <c r="F375" s="309"/>
      <c r="G375" s="309"/>
      <c r="H375" s="316"/>
      <c r="I375" s="309"/>
      <c r="J375" s="309"/>
      <c r="K375" s="309"/>
      <c r="L375" s="309"/>
      <c r="M375" s="309"/>
      <c r="N375" s="309"/>
      <c r="O375" s="309"/>
      <c r="P375" s="309"/>
      <c r="Q375" s="309"/>
      <c r="R375" s="309"/>
      <c r="S375" s="309"/>
      <c r="T375" s="309"/>
      <c r="U375" s="309"/>
      <c r="V375" s="309"/>
      <c r="W375" s="309"/>
      <c r="X375" s="309"/>
      <c r="Y375" s="309"/>
      <c r="Z375" s="309"/>
      <c r="AA375" s="309"/>
    </row>
    <row r="376" ht="27.0" customHeight="1">
      <c r="A376" s="309"/>
      <c r="B376" s="309"/>
      <c r="C376" s="309"/>
      <c r="D376" s="309"/>
      <c r="E376" s="330"/>
      <c r="F376" s="309"/>
      <c r="G376" s="309"/>
      <c r="H376" s="316"/>
      <c r="I376" s="309"/>
      <c r="J376" s="309"/>
      <c r="K376" s="309"/>
      <c r="L376" s="309"/>
      <c r="M376" s="309"/>
      <c r="N376" s="309"/>
      <c r="O376" s="309"/>
      <c r="P376" s="309"/>
      <c r="Q376" s="309"/>
      <c r="R376" s="309"/>
      <c r="S376" s="309"/>
      <c r="T376" s="309"/>
      <c r="U376" s="309"/>
      <c r="V376" s="309"/>
      <c r="W376" s="309"/>
      <c r="X376" s="309"/>
      <c r="Y376" s="309"/>
      <c r="Z376" s="309"/>
      <c r="AA376" s="309"/>
    </row>
    <row r="377" ht="27.0" customHeight="1">
      <c r="A377" s="309"/>
      <c r="B377" s="309"/>
      <c r="C377" s="309"/>
      <c r="D377" s="309"/>
      <c r="E377" s="330"/>
      <c r="F377" s="309"/>
      <c r="G377" s="309"/>
      <c r="H377" s="316"/>
      <c r="I377" s="309"/>
      <c r="J377" s="309"/>
      <c r="K377" s="309"/>
      <c r="L377" s="309"/>
      <c r="M377" s="309"/>
      <c r="N377" s="309"/>
      <c r="O377" s="309"/>
      <c r="P377" s="309"/>
      <c r="Q377" s="309"/>
      <c r="R377" s="309"/>
      <c r="S377" s="309"/>
      <c r="T377" s="309"/>
      <c r="U377" s="309"/>
      <c r="V377" s="309"/>
      <c r="W377" s="309"/>
      <c r="X377" s="309"/>
      <c r="Y377" s="309"/>
      <c r="Z377" s="309"/>
      <c r="AA377" s="309"/>
    </row>
    <row r="378" ht="27.0" customHeight="1">
      <c r="A378" s="309"/>
      <c r="B378" s="309"/>
      <c r="C378" s="309"/>
      <c r="D378" s="309"/>
      <c r="E378" s="330"/>
      <c r="F378" s="309"/>
      <c r="G378" s="309"/>
      <c r="H378" s="316"/>
      <c r="I378" s="309"/>
      <c r="J378" s="309"/>
      <c r="K378" s="309"/>
      <c r="L378" s="309"/>
      <c r="M378" s="309"/>
      <c r="N378" s="309"/>
      <c r="O378" s="309"/>
      <c r="P378" s="309"/>
      <c r="Q378" s="309"/>
      <c r="R378" s="309"/>
      <c r="S378" s="309"/>
      <c r="T378" s="309"/>
      <c r="U378" s="309"/>
      <c r="V378" s="309"/>
      <c r="W378" s="309"/>
      <c r="X378" s="309"/>
      <c r="Y378" s="309"/>
      <c r="Z378" s="309"/>
      <c r="AA378" s="309"/>
    </row>
    <row r="379" ht="27.0" customHeight="1">
      <c r="A379" s="309"/>
      <c r="B379" s="309"/>
      <c r="C379" s="309"/>
      <c r="D379" s="309"/>
      <c r="E379" s="330"/>
      <c r="F379" s="309"/>
      <c r="G379" s="309"/>
      <c r="H379" s="316"/>
      <c r="I379" s="309"/>
      <c r="J379" s="309"/>
      <c r="K379" s="309"/>
      <c r="L379" s="309"/>
      <c r="M379" s="309"/>
      <c r="N379" s="309"/>
      <c r="O379" s="309"/>
      <c r="P379" s="309"/>
      <c r="Q379" s="309"/>
      <c r="R379" s="309"/>
      <c r="S379" s="309"/>
      <c r="T379" s="309"/>
      <c r="U379" s="309"/>
      <c r="V379" s="309"/>
      <c r="W379" s="309"/>
      <c r="X379" s="309"/>
      <c r="Y379" s="309"/>
      <c r="Z379" s="309"/>
      <c r="AA379" s="309"/>
    </row>
    <row r="380" ht="27.0" customHeight="1">
      <c r="A380" s="309"/>
      <c r="B380" s="309"/>
      <c r="C380" s="309"/>
      <c r="D380" s="309"/>
      <c r="E380" s="330"/>
      <c r="F380" s="309"/>
      <c r="G380" s="309"/>
      <c r="H380" s="316"/>
      <c r="I380" s="309"/>
      <c r="J380" s="309"/>
      <c r="K380" s="309"/>
      <c r="L380" s="309"/>
      <c r="M380" s="309"/>
      <c r="N380" s="309"/>
      <c r="O380" s="309"/>
      <c r="P380" s="309"/>
      <c r="Q380" s="309"/>
      <c r="R380" s="309"/>
      <c r="S380" s="309"/>
      <c r="T380" s="309"/>
      <c r="U380" s="309"/>
      <c r="V380" s="309"/>
      <c r="W380" s="309"/>
      <c r="X380" s="309"/>
      <c r="Y380" s="309"/>
      <c r="Z380" s="309"/>
      <c r="AA380" s="309"/>
    </row>
    <row r="381" ht="27.0" customHeight="1">
      <c r="A381" s="309"/>
      <c r="B381" s="309"/>
      <c r="C381" s="309"/>
      <c r="D381" s="309"/>
      <c r="E381" s="330"/>
      <c r="F381" s="309"/>
      <c r="G381" s="309"/>
      <c r="H381" s="316"/>
      <c r="I381" s="309"/>
      <c r="J381" s="309"/>
      <c r="K381" s="309"/>
      <c r="L381" s="309"/>
      <c r="M381" s="309"/>
      <c r="N381" s="309"/>
      <c r="O381" s="309"/>
      <c r="P381" s="309"/>
      <c r="Q381" s="309"/>
      <c r="R381" s="309"/>
      <c r="S381" s="309"/>
      <c r="T381" s="309"/>
      <c r="U381" s="309"/>
      <c r="V381" s="309"/>
      <c r="W381" s="309"/>
      <c r="X381" s="309"/>
      <c r="Y381" s="309"/>
      <c r="Z381" s="309"/>
      <c r="AA381" s="309"/>
    </row>
    <row r="382" ht="27.0" customHeight="1">
      <c r="A382" s="309"/>
      <c r="B382" s="309"/>
      <c r="C382" s="309"/>
      <c r="D382" s="309"/>
      <c r="E382" s="330"/>
      <c r="F382" s="309"/>
      <c r="G382" s="309"/>
      <c r="H382" s="316"/>
      <c r="I382" s="309"/>
      <c r="J382" s="309"/>
      <c r="K382" s="309"/>
      <c r="L382" s="309"/>
      <c r="M382" s="309"/>
      <c r="N382" s="309"/>
      <c r="O382" s="309"/>
      <c r="P382" s="309"/>
      <c r="Q382" s="309"/>
      <c r="R382" s="309"/>
      <c r="S382" s="309"/>
      <c r="T382" s="309"/>
      <c r="U382" s="309"/>
      <c r="V382" s="309"/>
      <c r="W382" s="309"/>
      <c r="X382" s="309"/>
      <c r="Y382" s="309"/>
      <c r="Z382" s="309"/>
      <c r="AA382" s="309"/>
    </row>
    <row r="383" ht="27.0" customHeight="1">
      <c r="A383" s="309"/>
      <c r="B383" s="309"/>
      <c r="C383" s="309"/>
      <c r="D383" s="309"/>
      <c r="E383" s="330"/>
      <c r="F383" s="309"/>
      <c r="G383" s="309"/>
      <c r="H383" s="316"/>
      <c r="I383" s="309"/>
      <c r="J383" s="309"/>
      <c r="K383" s="309"/>
      <c r="L383" s="309"/>
      <c r="M383" s="309"/>
      <c r="N383" s="309"/>
      <c r="O383" s="309"/>
      <c r="P383" s="309"/>
      <c r="Q383" s="309"/>
      <c r="R383" s="309"/>
      <c r="S383" s="309"/>
      <c r="T383" s="309"/>
      <c r="U383" s="309"/>
      <c r="V383" s="309"/>
      <c r="W383" s="309"/>
      <c r="X383" s="309"/>
      <c r="Y383" s="309"/>
      <c r="Z383" s="309"/>
      <c r="AA383" s="309"/>
    </row>
    <row r="384" ht="27.0" customHeight="1">
      <c r="A384" s="309"/>
      <c r="B384" s="309"/>
      <c r="C384" s="309"/>
      <c r="D384" s="309"/>
      <c r="E384" s="330"/>
      <c r="F384" s="309"/>
      <c r="G384" s="309"/>
      <c r="H384" s="316"/>
      <c r="I384" s="309"/>
      <c r="J384" s="309"/>
      <c r="K384" s="309"/>
      <c r="L384" s="309"/>
      <c r="M384" s="309"/>
      <c r="N384" s="309"/>
      <c r="O384" s="309"/>
      <c r="P384" s="309"/>
      <c r="Q384" s="309"/>
      <c r="R384" s="309"/>
      <c r="S384" s="309"/>
      <c r="T384" s="309"/>
      <c r="U384" s="309"/>
      <c r="V384" s="309"/>
      <c r="W384" s="309"/>
      <c r="X384" s="309"/>
      <c r="Y384" s="309"/>
      <c r="Z384" s="309"/>
      <c r="AA384" s="309"/>
    </row>
    <row r="385" ht="27.0" customHeight="1">
      <c r="A385" s="309"/>
      <c r="B385" s="309"/>
      <c r="C385" s="309"/>
      <c r="D385" s="309"/>
      <c r="E385" s="330"/>
      <c r="F385" s="309"/>
      <c r="G385" s="309"/>
      <c r="H385" s="316"/>
      <c r="I385" s="309"/>
      <c r="J385" s="309"/>
      <c r="K385" s="309"/>
      <c r="L385" s="309"/>
      <c r="M385" s="309"/>
      <c r="N385" s="309"/>
      <c r="O385" s="309"/>
      <c r="P385" s="309"/>
      <c r="Q385" s="309"/>
      <c r="R385" s="309"/>
      <c r="S385" s="309"/>
      <c r="T385" s="309"/>
      <c r="U385" s="309"/>
      <c r="V385" s="309"/>
      <c r="W385" s="309"/>
      <c r="X385" s="309"/>
      <c r="Y385" s="309"/>
      <c r="Z385" s="309"/>
      <c r="AA385" s="309"/>
    </row>
    <row r="386" ht="27.0" customHeight="1">
      <c r="A386" s="309"/>
      <c r="B386" s="309"/>
      <c r="C386" s="309"/>
      <c r="D386" s="309"/>
      <c r="E386" s="330"/>
      <c r="F386" s="309"/>
      <c r="G386" s="309"/>
      <c r="H386" s="316"/>
      <c r="I386" s="309"/>
      <c r="J386" s="309"/>
      <c r="K386" s="309"/>
      <c r="L386" s="309"/>
      <c r="M386" s="309"/>
      <c r="N386" s="309"/>
      <c r="O386" s="309"/>
      <c r="P386" s="309"/>
      <c r="Q386" s="309"/>
      <c r="R386" s="309"/>
      <c r="S386" s="309"/>
      <c r="T386" s="309"/>
      <c r="U386" s="309"/>
      <c r="V386" s="309"/>
      <c r="W386" s="309"/>
      <c r="X386" s="309"/>
      <c r="Y386" s="309"/>
      <c r="Z386" s="309"/>
      <c r="AA386" s="309"/>
    </row>
    <row r="387" ht="27.0" customHeight="1">
      <c r="A387" s="309"/>
      <c r="B387" s="309"/>
      <c r="C387" s="309"/>
      <c r="D387" s="309"/>
      <c r="E387" s="330"/>
      <c r="F387" s="309"/>
      <c r="G387" s="309"/>
      <c r="H387" s="316"/>
      <c r="I387" s="309"/>
      <c r="J387" s="309"/>
      <c r="K387" s="309"/>
      <c r="L387" s="309"/>
      <c r="M387" s="309"/>
      <c r="N387" s="309"/>
      <c r="O387" s="309"/>
      <c r="P387" s="309"/>
      <c r="Q387" s="309"/>
      <c r="R387" s="309"/>
      <c r="S387" s="309"/>
      <c r="T387" s="309"/>
      <c r="U387" s="309"/>
      <c r="V387" s="309"/>
      <c r="W387" s="309"/>
      <c r="X387" s="309"/>
      <c r="Y387" s="309"/>
      <c r="Z387" s="309"/>
      <c r="AA387" s="309"/>
    </row>
    <row r="388" ht="27.0" customHeight="1">
      <c r="A388" s="309"/>
      <c r="B388" s="309"/>
      <c r="C388" s="309"/>
      <c r="D388" s="309"/>
      <c r="E388" s="330"/>
      <c r="F388" s="309"/>
      <c r="G388" s="309"/>
      <c r="H388" s="316"/>
      <c r="I388" s="309"/>
      <c r="J388" s="309"/>
      <c r="K388" s="309"/>
      <c r="L388" s="309"/>
      <c r="M388" s="309"/>
      <c r="N388" s="309"/>
      <c r="O388" s="309"/>
      <c r="P388" s="309"/>
      <c r="Q388" s="309"/>
      <c r="R388" s="309"/>
      <c r="S388" s="309"/>
      <c r="T388" s="309"/>
      <c r="U388" s="309"/>
      <c r="V388" s="309"/>
      <c r="W388" s="309"/>
      <c r="X388" s="309"/>
      <c r="Y388" s="309"/>
      <c r="Z388" s="309"/>
      <c r="AA388" s="309"/>
    </row>
    <row r="389" ht="27.0" customHeight="1">
      <c r="A389" s="309"/>
      <c r="B389" s="309"/>
      <c r="C389" s="309"/>
      <c r="D389" s="309"/>
      <c r="E389" s="330"/>
      <c r="F389" s="309"/>
      <c r="G389" s="309"/>
      <c r="H389" s="316"/>
      <c r="I389" s="309"/>
      <c r="J389" s="309"/>
      <c r="K389" s="309"/>
      <c r="L389" s="309"/>
      <c r="M389" s="309"/>
      <c r="N389" s="309"/>
      <c r="O389" s="309"/>
      <c r="P389" s="309"/>
      <c r="Q389" s="309"/>
      <c r="R389" s="309"/>
      <c r="S389" s="309"/>
      <c r="T389" s="309"/>
      <c r="U389" s="309"/>
      <c r="V389" s="309"/>
      <c r="W389" s="309"/>
      <c r="X389" s="309"/>
      <c r="Y389" s="309"/>
      <c r="Z389" s="309"/>
      <c r="AA389" s="309"/>
    </row>
    <row r="390" ht="27.0" customHeight="1">
      <c r="A390" s="309"/>
      <c r="B390" s="309"/>
      <c r="C390" s="309"/>
      <c r="D390" s="309"/>
      <c r="E390" s="330"/>
      <c r="F390" s="309"/>
      <c r="G390" s="309"/>
      <c r="H390" s="316"/>
      <c r="I390" s="309"/>
      <c r="J390" s="309"/>
      <c r="K390" s="309"/>
      <c r="L390" s="309"/>
      <c r="M390" s="309"/>
      <c r="N390" s="309"/>
      <c r="O390" s="309"/>
      <c r="P390" s="309"/>
      <c r="Q390" s="309"/>
      <c r="R390" s="309"/>
      <c r="S390" s="309"/>
      <c r="T390" s="309"/>
      <c r="U390" s="309"/>
      <c r="V390" s="309"/>
      <c r="W390" s="309"/>
      <c r="X390" s="309"/>
      <c r="Y390" s="309"/>
      <c r="Z390" s="309"/>
      <c r="AA390" s="309"/>
    </row>
    <row r="391" ht="27.0" customHeight="1">
      <c r="A391" s="309"/>
      <c r="B391" s="309"/>
      <c r="C391" s="309"/>
      <c r="D391" s="309"/>
      <c r="E391" s="330"/>
      <c r="F391" s="309"/>
      <c r="G391" s="309"/>
      <c r="H391" s="316"/>
      <c r="I391" s="309"/>
      <c r="J391" s="309"/>
      <c r="K391" s="309"/>
      <c r="L391" s="309"/>
      <c r="M391" s="309"/>
      <c r="N391" s="309"/>
      <c r="O391" s="309"/>
      <c r="P391" s="309"/>
      <c r="Q391" s="309"/>
      <c r="R391" s="309"/>
      <c r="S391" s="309"/>
      <c r="T391" s="309"/>
      <c r="U391" s="309"/>
      <c r="V391" s="309"/>
      <c r="W391" s="309"/>
      <c r="X391" s="309"/>
      <c r="Y391" s="309"/>
      <c r="Z391" s="309"/>
      <c r="AA391" s="309"/>
    </row>
    <row r="392" ht="27.0" customHeight="1">
      <c r="A392" s="309"/>
      <c r="B392" s="309"/>
      <c r="C392" s="309"/>
      <c r="D392" s="309"/>
      <c r="E392" s="330"/>
      <c r="F392" s="309"/>
      <c r="G392" s="309"/>
      <c r="H392" s="316"/>
      <c r="I392" s="309"/>
      <c r="J392" s="309"/>
      <c r="K392" s="309"/>
      <c r="L392" s="309"/>
      <c r="M392" s="309"/>
      <c r="N392" s="309"/>
      <c r="O392" s="309"/>
      <c r="P392" s="309"/>
      <c r="Q392" s="309"/>
      <c r="R392" s="309"/>
      <c r="S392" s="309"/>
      <c r="T392" s="309"/>
      <c r="U392" s="309"/>
      <c r="V392" s="309"/>
      <c r="W392" s="309"/>
      <c r="X392" s="309"/>
      <c r="Y392" s="309"/>
      <c r="Z392" s="309"/>
      <c r="AA392" s="309"/>
    </row>
    <row r="393" ht="27.0" customHeight="1">
      <c r="A393" s="309"/>
      <c r="B393" s="309"/>
      <c r="C393" s="309"/>
      <c r="D393" s="309"/>
      <c r="E393" s="330"/>
      <c r="F393" s="309"/>
      <c r="G393" s="309"/>
      <c r="H393" s="316"/>
      <c r="I393" s="309"/>
      <c r="J393" s="309"/>
      <c r="K393" s="309"/>
      <c r="L393" s="309"/>
      <c r="M393" s="309"/>
      <c r="N393" s="309"/>
      <c r="O393" s="309"/>
      <c r="P393" s="309"/>
      <c r="Q393" s="309"/>
      <c r="R393" s="309"/>
      <c r="S393" s="309"/>
      <c r="T393" s="309"/>
      <c r="U393" s="309"/>
      <c r="V393" s="309"/>
      <c r="W393" s="309"/>
      <c r="X393" s="309"/>
      <c r="Y393" s="309"/>
      <c r="Z393" s="309"/>
      <c r="AA393" s="309"/>
    </row>
    <row r="394" ht="27.0" customHeight="1">
      <c r="A394" s="309"/>
      <c r="B394" s="309"/>
      <c r="C394" s="309"/>
      <c r="D394" s="309"/>
      <c r="E394" s="330"/>
      <c r="F394" s="309"/>
      <c r="G394" s="309"/>
      <c r="H394" s="316"/>
      <c r="I394" s="309"/>
      <c r="J394" s="309"/>
      <c r="K394" s="309"/>
      <c r="L394" s="309"/>
      <c r="M394" s="309"/>
      <c r="N394" s="309"/>
      <c r="O394" s="309"/>
      <c r="P394" s="309"/>
      <c r="Q394" s="309"/>
      <c r="R394" s="309"/>
      <c r="S394" s="309"/>
      <c r="T394" s="309"/>
      <c r="U394" s="309"/>
      <c r="V394" s="309"/>
      <c r="W394" s="309"/>
      <c r="X394" s="309"/>
      <c r="Y394" s="309"/>
      <c r="Z394" s="309"/>
      <c r="AA394" s="309"/>
    </row>
    <row r="395" ht="27.0" customHeight="1">
      <c r="A395" s="309"/>
      <c r="B395" s="309"/>
      <c r="C395" s="309"/>
      <c r="D395" s="309"/>
      <c r="E395" s="330"/>
      <c r="F395" s="309"/>
      <c r="G395" s="309"/>
      <c r="H395" s="316"/>
      <c r="I395" s="309"/>
      <c r="J395" s="309"/>
      <c r="K395" s="309"/>
      <c r="L395" s="309"/>
      <c r="M395" s="309"/>
      <c r="N395" s="309"/>
      <c r="O395" s="309"/>
      <c r="P395" s="309"/>
      <c r="Q395" s="309"/>
      <c r="R395" s="309"/>
      <c r="S395" s="309"/>
      <c r="T395" s="309"/>
      <c r="U395" s="309"/>
      <c r="V395" s="309"/>
      <c r="W395" s="309"/>
      <c r="X395" s="309"/>
      <c r="Y395" s="309"/>
      <c r="Z395" s="309"/>
      <c r="AA395" s="309"/>
    </row>
    <row r="396" ht="27.0" customHeight="1">
      <c r="A396" s="309"/>
      <c r="B396" s="309"/>
      <c r="C396" s="309"/>
      <c r="D396" s="309"/>
      <c r="E396" s="330"/>
      <c r="F396" s="309"/>
      <c r="G396" s="309"/>
      <c r="H396" s="316"/>
      <c r="I396" s="309"/>
      <c r="J396" s="309"/>
      <c r="K396" s="309"/>
      <c r="L396" s="309"/>
      <c r="M396" s="309"/>
      <c r="N396" s="309"/>
      <c r="O396" s="309"/>
      <c r="P396" s="309"/>
      <c r="Q396" s="309"/>
      <c r="R396" s="309"/>
      <c r="S396" s="309"/>
      <c r="T396" s="309"/>
      <c r="U396" s="309"/>
      <c r="V396" s="309"/>
      <c r="W396" s="309"/>
      <c r="X396" s="309"/>
      <c r="Y396" s="309"/>
      <c r="Z396" s="309"/>
      <c r="AA396" s="309"/>
    </row>
    <row r="397" ht="27.0" customHeight="1">
      <c r="A397" s="309"/>
      <c r="B397" s="309"/>
      <c r="C397" s="309"/>
      <c r="D397" s="309"/>
      <c r="E397" s="330"/>
      <c r="F397" s="309"/>
      <c r="G397" s="309"/>
      <c r="H397" s="316"/>
      <c r="I397" s="309"/>
      <c r="J397" s="309"/>
      <c r="K397" s="309"/>
      <c r="L397" s="309"/>
      <c r="M397" s="309"/>
      <c r="N397" s="309"/>
      <c r="O397" s="309"/>
      <c r="P397" s="309"/>
      <c r="Q397" s="309"/>
      <c r="R397" s="309"/>
      <c r="S397" s="309"/>
      <c r="T397" s="309"/>
      <c r="U397" s="309"/>
      <c r="V397" s="309"/>
      <c r="W397" s="309"/>
      <c r="X397" s="309"/>
      <c r="Y397" s="309"/>
      <c r="Z397" s="309"/>
      <c r="AA397" s="309"/>
    </row>
    <row r="398" ht="27.0" customHeight="1">
      <c r="A398" s="309"/>
      <c r="B398" s="309"/>
      <c r="C398" s="309"/>
      <c r="D398" s="309"/>
      <c r="E398" s="330"/>
      <c r="F398" s="309"/>
      <c r="G398" s="309"/>
      <c r="H398" s="316"/>
      <c r="I398" s="309"/>
      <c r="J398" s="309"/>
      <c r="K398" s="309"/>
      <c r="L398" s="309"/>
      <c r="M398" s="309"/>
      <c r="N398" s="309"/>
      <c r="O398" s="309"/>
      <c r="P398" s="309"/>
      <c r="Q398" s="309"/>
      <c r="R398" s="309"/>
      <c r="S398" s="309"/>
      <c r="T398" s="309"/>
      <c r="U398" s="309"/>
      <c r="V398" s="309"/>
      <c r="W398" s="309"/>
      <c r="X398" s="309"/>
      <c r="Y398" s="309"/>
      <c r="Z398" s="309"/>
      <c r="AA398" s="309"/>
    </row>
    <row r="399" ht="27.0" customHeight="1">
      <c r="A399" s="309"/>
      <c r="B399" s="309"/>
      <c r="C399" s="309"/>
      <c r="D399" s="309"/>
      <c r="E399" s="330"/>
      <c r="F399" s="309"/>
      <c r="G399" s="309"/>
      <c r="H399" s="316"/>
      <c r="I399" s="309"/>
      <c r="J399" s="309"/>
      <c r="K399" s="309"/>
      <c r="L399" s="309"/>
      <c r="M399" s="309"/>
      <c r="N399" s="309"/>
      <c r="O399" s="309"/>
      <c r="P399" s="309"/>
      <c r="Q399" s="309"/>
      <c r="R399" s="309"/>
      <c r="S399" s="309"/>
      <c r="T399" s="309"/>
      <c r="U399" s="309"/>
      <c r="V399" s="309"/>
      <c r="W399" s="309"/>
      <c r="X399" s="309"/>
      <c r="Y399" s="309"/>
      <c r="Z399" s="309"/>
      <c r="AA399" s="309"/>
    </row>
    <row r="400" ht="27.0" customHeight="1">
      <c r="A400" s="309"/>
      <c r="B400" s="309"/>
      <c r="C400" s="309"/>
      <c r="D400" s="309"/>
      <c r="E400" s="330"/>
      <c r="F400" s="309"/>
      <c r="G400" s="309"/>
      <c r="H400" s="316"/>
      <c r="I400" s="309"/>
      <c r="J400" s="309"/>
      <c r="K400" s="309"/>
      <c r="L400" s="309"/>
      <c r="M400" s="309"/>
      <c r="N400" s="309"/>
      <c r="O400" s="309"/>
      <c r="P400" s="309"/>
      <c r="Q400" s="309"/>
      <c r="R400" s="309"/>
      <c r="S400" s="309"/>
      <c r="T400" s="309"/>
      <c r="U400" s="309"/>
      <c r="V400" s="309"/>
      <c r="W400" s="309"/>
      <c r="X400" s="309"/>
      <c r="Y400" s="309"/>
      <c r="Z400" s="309"/>
      <c r="AA400" s="309"/>
    </row>
    <row r="401" ht="27.0" customHeight="1">
      <c r="A401" s="309"/>
      <c r="B401" s="309"/>
      <c r="C401" s="309"/>
      <c r="D401" s="309"/>
      <c r="E401" s="330"/>
      <c r="F401" s="309"/>
      <c r="G401" s="309"/>
      <c r="H401" s="316"/>
      <c r="I401" s="309"/>
      <c r="J401" s="309"/>
      <c r="K401" s="309"/>
      <c r="L401" s="309"/>
      <c r="M401" s="309"/>
      <c r="N401" s="309"/>
      <c r="O401" s="309"/>
      <c r="P401" s="309"/>
      <c r="Q401" s="309"/>
      <c r="R401" s="309"/>
      <c r="S401" s="309"/>
      <c r="T401" s="309"/>
      <c r="U401" s="309"/>
      <c r="V401" s="309"/>
      <c r="W401" s="309"/>
      <c r="X401" s="309"/>
      <c r="Y401" s="309"/>
      <c r="Z401" s="309"/>
      <c r="AA401" s="309"/>
    </row>
    <row r="402" ht="27.0" customHeight="1">
      <c r="A402" s="309"/>
      <c r="B402" s="309"/>
      <c r="C402" s="309"/>
      <c r="D402" s="309"/>
      <c r="E402" s="330"/>
      <c r="F402" s="309"/>
      <c r="G402" s="309"/>
      <c r="H402" s="316"/>
      <c r="I402" s="309"/>
      <c r="J402" s="309"/>
      <c r="K402" s="309"/>
      <c r="L402" s="309"/>
      <c r="M402" s="309"/>
      <c r="N402" s="309"/>
      <c r="O402" s="309"/>
      <c r="P402" s="309"/>
      <c r="Q402" s="309"/>
      <c r="R402" s="309"/>
      <c r="S402" s="309"/>
      <c r="T402" s="309"/>
      <c r="U402" s="309"/>
      <c r="V402" s="309"/>
      <c r="W402" s="309"/>
      <c r="X402" s="309"/>
      <c r="Y402" s="309"/>
      <c r="Z402" s="309"/>
      <c r="AA402" s="309"/>
    </row>
    <row r="403" ht="27.0" customHeight="1">
      <c r="A403" s="309"/>
      <c r="B403" s="309"/>
      <c r="C403" s="309"/>
      <c r="D403" s="309"/>
      <c r="E403" s="330"/>
      <c r="F403" s="309"/>
      <c r="G403" s="309"/>
      <c r="H403" s="316"/>
      <c r="I403" s="309"/>
      <c r="J403" s="309"/>
      <c r="K403" s="309"/>
      <c r="L403" s="309"/>
      <c r="M403" s="309"/>
      <c r="N403" s="309"/>
      <c r="O403" s="309"/>
      <c r="P403" s="309"/>
      <c r="Q403" s="309"/>
      <c r="R403" s="309"/>
      <c r="S403" s="309"/>
      <c r="T403" s="309"/>
      <c r="U403" s="309"/>
      <c r="V403" s="309"/>
      <c r="W403" s="309"/>
      <c r="X403" s="309"/>
      <c r="Y403" s="309"/>
      <c r="Z403" s="309"/>
      <c r="AA403" s="309"/>
    </row>
    <row r="404" ht="27.0" customHeight="1">
      <c r="A404" s="309"/>
      <c r="B404" s="309"/>
      <c r="C404" s="309"/>
      <c r="D404" s="309"/>
      <c r="E404" s="330"/>
      <c r="F404" s="309"/>
      <c r="G404" s="309"/>
      <c r="H404" s="316"/>
      <c r="I404" s="309"/>
      <c r="J404" s="309"/>
      <c r="K404" s="309"/>
      <c r="L404" s="309"/>
      <c r="M404" s="309"/>
      <c r="N404" s="309"/>
      <c r="O404" s="309"/>
      <c r="P404" s="309"/>
      <c r="Q404" s="309"/>
      <c r="R404" s="309"/>
      <c r="S404" s="309"/>
      <c r="T404" s="309"/>
      <c r="U404" s="309"/>
      <c r="V404" s="309"/>
      <c r="W404" s="309"/>
      <c r="X404" s="309"/>
      <c r="Y404" s="309"/>
      <c r="Z404" s="309"/>
      <c r="AA404" s="309"/>
    </row>
    <row r="405" ht="27.0" customHeight="1">
      <c r="A405" s="309"/>
      <c r="B405" s="309"/>
      <c r="C405" s="309"/>
      <c r="D405" s="309"/>
      <c r="E405" s="330"/>
      <c r="F405" s="309"/>
      <c r="G405" s="309"/>
      <c r="H405" s="316"/>
      <c r="I405" s="309"/>
      <c r="J405" s="309"/>
      <c r="K405" s="309"/>
      <c r="L405" s="309"/>
      <c r="M405" s="309"/>
      <c r="N405" s="309"/>
      <c r="O405" s="309"/>
      <c r="P405" s="309"/>
      <c r="Q405" s="309"/>
      <c r="R405" s="309"/>
      <c r="S405" s="309"/>
      <c r="T405" s="309"/>
      <c r="U405" s="309"/>
      <c r="V405" s="309"/>
      <c r="W405" s="309"/>
      <c r="X405" s="309"/>
      <c r="Y405" s="309"/>
      <c r="Z405" s="309"/>
      <c r="AA405" s="309"/>
    </row>
    <row r="406" ht="27.0" customHeight="1">
      <c r="A406" s="309"/>
      <c r="B406" s="309"/>
      <c r="C406" s="309"/>
      <c r="D406" s="309"/>
      <c r="E406" s="330"/>
      <c r="F406" s="309"/>
      <c r="G406" s="309"/>
      <c r="H406" s="316"/>
      <c r="I406" s="309"/>
      <c r="J406" s="309"/>
      <c r="K406" s="309"/>
      <c r="L406" s="309"/>
      <c r="M406" s="309"/>
      <c r="N406" s="309"/>
      <c r="O406" s="309"/>
      <c r="P406" s="309"/>
      <c r="Q406" s="309"/>
      <c r="R406" s="309"/>
      <c r="S406" s="309"/>
      <c r="T406" s="309"/>
      <c r="U406" s="309"/>
      <c r="V406" s="309"/>
      <c r="W406" s="309"/>
      <c r="X406" s="309"/>
      <c r="Y406" s="309"/>
      <c r="Z406" s="309"/>
      <c r="AA406" s="309"/>
    </row>
    <row r="407" ht="27.0" customHeight="1">
      <c r="A407" s="309"/>
      <c r="B407" s="309"/>
      <c r="C407" s="309"/>
      <c r="D407" s="309"/>
      <c r="E407" s="330"/>
      <c r="F407" s="309"/>
      <c r="G407" s="309"/>
      <c r="H407" s="316"/>
      <c r="I407" s="309"/>
      <c r="J407" s="309"/>
      <c r="K407" s="309"/>
      <c r="L407" s="309"/>
      <c r="M407" s="309"/>
      <c r="N407" s="309"/>
      <c r="O407" s="309"/>
      <c r="P407" s="309"/>
      <c r="Q407" s="309"/>
      <c r="R407" s="309"/>
      <c r="S407" s="309"/>
      <c r="T407" s="309"/>
      <c r="U407" s="309"/>
      <c r="V407" s="309"/>
      <c r="W407" s="309"/>
      <c r="X407" s="309"/>
      <c r="Y407" s="309"/>
      <c r="Z407" s="309"/>
      <c r="AA407" s="309"/>
    </row>
    <row r="408" ht="27.0" customHeight="1">
      <c r="A408" s="309"/>
      <c r="B408" s="309"/>
      <c r="C408" s="309"/>
      <c r="D408" s="309"/>
      <c r="E408" s="330"/>
      <c r="F408" s="309"/>
      <c r="G408" s="309"/>
      <c r="H408" s="316"/>
      <c r="I408" s="309"/>
      <c r="J408" s="309"/>
      <c r="K408" s="309"/>
      <c r="L408" s="309"/>
      <c r="M408" s="309"/>
      <c r="N408" s="309"/>
      <c r="O408" s="309"/>
      <c r="P408" s="309"/>
      <c r="Q408" s="309"/>
      <c r="R408" s="309"/>
      <c r="S408" s="309"/>
      <c r="T408" s="309"/>
      <c r="U408" s="309"/>
      <c r="V408" s="309"/>
      <c r="W408" s="309"/>
      <c r="X408" s="309"/>
      <c r="Y408" s="309"/>
      <c r="Z408" s="309"/>
      <c r="AA408" s="309"/>
    </row>
    <row r="409" ht="27.0" customHeight="1">
      <c r="A409" s="309"/>
      <c r="B409" s="309"/>
      <c r="C409" s="309"/>
      <c r="D409" s="309"/>
      <c r="E409" s="330"/>
      <c r="F409" s="309"/>
      <c r="G409" s="309"/>
      <c r="H409" s="316"/>
      <c r="I409" s="309"/>
      <c r="J409" s="309"/>
      <c r="K409" s="309"/>
      <c r="L409" s="309"/>
      <c r="M409" s="309"/>
      <c r="N409" s="309"/>
      <c r="O409" s="309"/>
      <c r="P409" s="309"/>
      <c r="Q409" s="309"/>
      <c r="R409" s="309"/>
      <c r="S409" s="309"/>
      <c r="T409" s="309"/>
      <c r="U409" s="309"/>
      <c r="V409" s="309"/>
      <c r="W409" s="309"/>
      <c r="X409" s="309"/>
      <c r="Y409" s="309"/>
      <c r="Z409" s="309"/>
      <c r="AA409" s="309"/>
    </row>
    <row r="410" ht="27.0" customHeight="1">
      <c r="A410" s="309"/>
      <c r="B410" s="309"/>
      <c r="C410" s="309"/>
      <c r="D410" s="309"/>
      <c r="E410" s="330"/>
      <c r="F410" s="309"/>
      <c r="G410" s="309"/>
      <c r="H410" s="316"/>
      <c r="I410" s="309"/>
      <c r="J410" s="309"/>
      <c r="K410" s="309"/>
      <c r="L410" s="309"/>
      <c r="M410" s="309"/>
      <c r="N410" s="309"/>
      <c r="O410" s="309"/>
      <c r="P410" s="309"/>
      <c r="Q410" s="309"/>
      <c r="R410" s="309"/>
      <c r="S410" s="309"/>
      <c r="T410" s="309"/>
      <c r="U410" s="309"/>
      <c r="V410" s="309"/>
      <c r="W410" s="309"/>
      <c r="X410" s="309"/>
      <c r="Y410" s="309"/>
      <c r="Z410" s="309"/>
      <c r="AA410" s="309"/>
    </row>
    <row r="411" ht="27.0" customHeight="1">
      <c r="A411" s="309"/>
      <c r="B411" s="309"/>
      <c r="C411" s="309"/>
      <c r="D411" s="309"/>
      <c r="E411" s="330"/>
      <c r="F411" s="309"/>
      <c r="G411" s="309"/>
      <c r="H411" s="316"/>
      <c r="I411" s="309"/>
      <c r="J411" s="309"/>
      <c r="K411" s="309"/>
      <c r="L411" s="309"/>
      <c r="M411" s="309"/>
      <c r="N411" s="309"/>
      <c r="O411" s="309"/>
      <c r="P411" s="309"/>
      <c r="Q411" s="309"/>
      <c r="R411" s="309"/>
      <c r="S411" s="309"/>
      <c r="T411" s="309"/>
      <c r="U411" s="309"/>
      <c r="V411" s="309"/>
      <c r="W411" s="309"/>
      <c r="X411" s="309"/>
      <c r="Y411" s="309"/>
      <c r="Z411" s="309"/>
      <c r="AA411" s="309"/>
    </row>
    <row r="412" ht="27.0" customHeight="1">
      <c r="A412" s="309"/>
      <c r="B412" s="309"/>
      <c r="C412" s="309"/>
      <c r="D412" s="309"/>
      <c r="E412" s="330"/>
      <c r="F412" s="309"/>
      <c r="G412" s="309"/>
      <c r="H412" s="316"/>
      <c r="I412" s="309"/>
      <c r="J412" s="309"/>
      <c r="K412" s="309"/>
      <c r="L412" s="309"/>
      <c r="M412" s="309"/>
      <c r="N412" s="309"/>
      <c r="O412" s="309"/>
      <c r="P412" s="309"/>
      <c r="Q412" s="309"/>
      <c r="R412" s="309"/>
      <c r="S412" s="309"/>
      <c r="T412" s="309"/>
      <c r="U412" s="309"/>
      <c r="V412" s="309"/>
      <c r="W412" s="309"/>
      <c r="X412" s="309"/>
      <c r="Y412" s="309"/>
      <c r="Z412" s="309"/>
      <c r="AA412" s="309"/>
    </row>
    <row r="413" ht="27.0" customHeight="1">
      <c r="A413" s="309"/>
      <c r="B413" s="309"/>
      <c r="C413" s="309"/>
      <c r="D413" s="309"/>
      <c r="E413" s="330"/>
      <c r="F413" s="309"/>
      <c r="G413" s="309"/>
      <c r="H413" s="316"/>
      <c r="I413" s="309"/>
      <c r="J413" s="309"/>
      <c r="K413" s="309"/>
      <c r="L413" s="309"/>
      <c r="M413" s="309"/>
      <c r="N413" s="309"/>
      <c r="O413" s="309"/>
      <c r="P413" s="309"/>
      <c r="Q413" s="309"/>
      <c r="R413" s="309"/>
      <c r="S413" s="309"/>
      <c r="T413" s="309"/>
      <c r="U413" s="309"/>
      <c r="V413" s="309"/>
      <c r="W413" s="309"/>
      <c r="X413" s="309"/>
      <c r="Y413" s="309"/>
      <c r="Z413" s="309"/>
      <c r="AA413" s="309"/>
    </row>
    <row r="414" ht="27.0" customHeight="1">
      <c r="A414" s="309"/>
      <c r="B414" s="309"/>
      <c r="C414" s="309"/>
      <c r="D414" s="309"/>
      <c r="E414" s="330"/>
      <c r="F414" s="309"/>
      <c r="G414" s="309"/>
      <c r="H414" s="316"/>
      <c r="I414" s="309"/>
      <c r="J414" s="309"/>
      <c r="K414" s="309"/>
      <c r="L414" s="309"/>
      <c r="M414" s="309"/>
      <c r="N414" s="309"/>
      <c r="O414" s="309"/>
      <c r="P414" s="309"/>
      <c r="Q414" s="309"/>
      <c r="R414" s="309"/>
      <c r="S414" s="309"/>
      <c r="T414" s="309"/>
      <c r="U414" s="309"/>
      <c r="V414" s="309"/>
      <c r="W414" s="309"/>
      <c r="X414" s="309"/>
      <c r="Y414" s="309"/>
      <c r="Z414" s="309"/>
      <c r="AA414" s="309"/>
    </row>
    <row r="415" ht="27.0" customHeight="1">
      <c r="A415" s="309"/>
      <c r="B415" s="309"/>
      <c r="C415" s="309"/>
      <c r="D415" s="309"/>
      <c r="E415" s="330"/>
      <c r="F415" s="309"/>
      <c r="G415" s="309"/>
      <c r="H415" s="316"/>
      <c r="I415" s="309"/>
      <c r="J415" s="309"/>
      <c r="K415" s="309"/>
      <c r="L415" s="309"/>
      <c r="M415" s="309"/>
      <c r="N415" s="309"/>
      <c r="O415" s="309"/>
      <c r="P415" s="309"/>
      <c r="Q415" s="309"/>
      <c r="R415" s="309"/>
      <c r="S415" s="309"/>
      <c r="T415" s="309"/>
      <c r="U415" s="309"/>
      <c r="V415" s="309"/>
      <c r="W415" s="309"/>
      <c r="X415" s="309"/>
      <c r="Y415" s="309"/>
      <c r="Z415" s="309"/>
      <c r="AA415" s="309"/>
    </row>
    <row r="416" ht="27.0" customHeight="1">
      <c r="A416" s="309"/>
      <c r="B416" s="309"/>
      <c r="C416" s="309"/>
      <c r="D416" s="309"/>
      <c r="E416" s="330"/>
      <c r="F416" s="309"/>
      <c r="G416" s="309"/>
      <c r="H416" s="316"/>
      <c r="I416" s="309"/>
      <c r="J416" s="309"/>
      <c r="K416" s="309"/>
      <c r="L416" s="309"/>
      <c r="M416" s="309"/>
      <c r="N416" s="309"/>
      <c r="O416" s="309"/>
      <c r="P416" s="309"/>
      <c r="Q416" s="309"/>
      <c r="R416" s="309"/>
      <c r="S416" s="309"/>
      <c r="T416" s="309"/>
      <c r="U416" s="309"/>
      <c r="V416" s="309"/>
      <c r="W416" s="309"/>
      <c r="X416" s="309"/>
      <c r="Y416" s="309"/>
      <c r="Z416" s="309"/>
      <c r="AA416" s="309"/>
    </row>
    <row r="417" ht="27.0" customHeight="1">
      <c r="A417" s="309"/>
      <c r="B417" s="309"/>
      <c r="C417" s="309"/>
      <c r="D417" s="309"/>
      <c r="E417" s="330"/>
      <c r="F417" s="309"/>
      <c r="G417" s="309"/>
      <c r="H417" s="316"/>
      <c r="I417" s="309"/>
      <c r="J417" s="309"/>
      <c r="K417" s="309"/>
      <c r="L417" s="309"/>
      <c r="M417" s="309"/>
      <c r="N417" s="309"/>
      <c r="O417" s="309"/>
      <c r="P417" s="309"/>
      <c r="Q417" s="309"/>
      <c r="R417" s="309"/>
      <c r="S417" s="309"/>
      <c r="T417" s="309"/>
      <c r="U417" s="309"/>
      <c r="V417" s="309"/>
      <c r="W417" s="309"/>
      <c r="X417" s="309"/>
      <c r="Y417" s="309"/>
      <c r="Z417" s="309"/>
      <c r="AA417" s="309"/>
    </row>
    <row r="418" ht="27.0" customHeight="1">
      <c r="A418" s="309"/>
      <c r="B418" s="309"/>
      <c r="C418" s="309"/>
      <c r="D418" s="309"/>
      <c r="E418" s="330"/>
      <c r="F418" s="309"/>
      <c r="G418" s="309"/>
      <c r="H418" s="316"/>
      <c r="I418" s="309"/>
      <c r="J418" s="309"/>
      <c r="K418" s="309"/>
      <c r="L418" s="309"/>
      <c r="M418" s="309"/>
      <c r="N418" s="309"/>
      <c r="O418" s="309"/>
      <c r="P418" s="309"/>
      <c r="Q418" s="309"/>
      <c r="R418" s="309"/>
      <c r="S418" s="309"/>
      <c r="T418" s="309"/>
      <c r="U418" s="309"/>
      <c r="V418" s="309"/>
      <c r="W418" s="309"/>
      <c r="X418" s="309"/>
      <c r="Y418" s="309"/>
      <c r="Z418" s="309"/>
      <c r="AA418" s="309"/>
    </row>
    <row r="419" ht="27.0" customHeight="1">
      <c r="A419" s="309"/>
      <c r="B419" s="309"/>
      <c r="C419" s="309"/>
      <c r="D419" s="309"/>
      <c r="E419" s="330"/>
      <c r="F419" s="309"/>
      <c r="G419" s="309"/>
      <c r="H419" s="316"/>
      <c r="I419" s="309"/>
      <c r="J419" s="309"/>
      <c r="K419" s="309"/>
      <c r="L419" s="309"/>
      <c r="M419" s="309"/>
      <c r="N419" s="309"/>
      <c r="O419" s="309"/>
      <c r="P419" s="309"/>
      <c r="Q419" s="309"/>
      <c r="R419" s="309"/>
      <c r="S419" s="309"/>
      <c r="T419" s="309"/>
      <c r="U419" s="309"/>
      <c r="V419" s="309"/>
      <c r="W419" s="309"/>
      <c r="X419" s="309"/>
      <c r="Y419" s="309"/>
      <c r="Z419" s="309"/>
      <c r="AA419" s="309"/>
    </row>
    <row r="420" ht="27.0" customHeight="1">
      <c r="A420" s="309"/>
      <c r="B420" s="309"/>
      <c r="C420" s="309"/>
      <c r="D420" s="309"/>
      <c r="E420" s="330"/>
      <c r="F420" s="309"/>
      <c r="G420" s="309"/>
      <c r="H420" s="316"/>
      <c r="I420" s="309"/>
      <c r="J420" s="309"/>
      <c r="K420" s="309"/>
      <c r="L420" s="309"/>
      <c r="M420" s="309"/>
      <c r="N420" s="309"/>
      <c r="O420" s="309"/>
      <c r="P420" s="309"/>
      <c r="Q420" s="309"/>
      <c r="R420" s="309"/>
      <c r="S420" s="309"/>
      <c r="T420" s="309"/>
      <c r="U420" s="309"/>
      <c r="V420" s="309"/>
      <c r="W420" s="309"/>
      <c r="X420" s="309"/>
      <c r="Y420" s="309"/>
      <c r="Z420" s="309"/>
      <c r="AA420" s="309"/>
    </row>
    <row r="421" ht="27.0" customHeight="1">
      <c r="A421" s="309"/>
      <c r="B421" s="309"/>
      <c r="C421" s="309"/>
      <c r="D421" s="309"/>
      <c r="E421" s="330"/>
      <c r="F421" s="309"/>
      <c r="G421" s="309"/>
      <c r="H421" s="316"/>
      <c r="I421" s="309"/>
      <c r="J421" s="309"/>
      <c r="K421" s="309"/>
      <c r="L421" s="309"/>
      <c r="M421" s="309"/>
      <c r="N421" s="309"/>
      <c r="O421" s="309"/>
      <c r="P421" s="309"/>
      <c r="Q421" s="309"/>
      <c r="R421" s="309"/>
      <c r="S421" s="309"/>
      <c r="T421" s="309"/>
      <c r="U421" s="309"/>
      <c r="V421" s="309"/>
      <c r="W421" s="309"/>
      <c r="X421" s="309"/>
      <c r="Y421" s="309"/>
      <c r="Z421" s="309"/>
      <c r="AA421" s="309"/>
    </row>
    <row r="422" ht="27.0" customHeight="1">
      <c r="A422" s="309"/>
      <c r="B422" s="309"/>
      <c r="C422" s="309"/>
      <c r="D422" s="309"/>
      <c r="E422" s="330"/>
      <c r="F422" s="309"/>
      <c r="G422" s="309"/>
      <c r="H422" s="316"/>
      <c r="I422" s="309"/>
      <c r="J422" s="309"/>
      <c r="K422" s="309"/>
      <c r="L422" s="309"/>
      <c r="M422" s="309"/>
      <c r="N422" s="309"/>
      <c r="O422" s="309"/>
      <c r="P422" s="309"/>
      <c r="Q422" s="309"/>
      <c r="R422" s="309"/>
      <c r="S422" s="309"/>
      <c r="T422" s="309"/>
      <c r="U422" s="309"/>
      <c r="V422" s="309"/>
      <c r="W422" s="309"/>
      <c r="X422" s="309"/>
      <c r="Y422" s="309"/>
      <c r="Z422" s="309"/>
      <c r="AA422" s="309"/>
    </row>
    <row r="423" ht="27.0" customHeight="1">
      <c r="A423" s="309"/>
      <c r="B423" s="309"/>
      <c r="C423" s="309"/>
      <c r="D423" s="309"/>
      <c r="E423" s="330"/>
      <c r="F423" s="309"/>
      <c r="G423" s="309"/>
      <c r="H423" s="316"/>
      <c r="I423" s="309"/>
      <c r="J423" s="309"/>
      <c r="K423" s="309"/>
      <c r="L423" s="309"/>
      <c r="M423" s="309"/>
      <c r="N423" s="309"/>
      <c r="O423" s="309"/>
      <c r="P423" s="309"/>
      <c r="Q423" s="309"/>
      <c r="R423" s="309"/>
      <c r="S423" s="309"/>
      <c r="T423" s="309"/>
      <c r="U423" s="309"/>
      <c r="V423" s="309"/>
      <c r="W423" s="309"/>
      <c r="X423" s="309"/>
      <c r="Y423" s="309"/>
      <c r="Z423" s="309"/>
      <c r="AA423" s="309"/>
    </row>
    <row r="424" ht="27.0" customHeight="1">
      <c r="A424" s="309"/>
      <c r="B424" s="309"/>
      <c r="C424" s="309"/>
      <c r="D424" s="309"/>
      <c r="E424" s="330"/>
      <c r="F424" s="309"/>
      <c r="G424" s="309"/>
      <c r="H424" s="316"/>
      <c r="I424" s="309"/>
      <c r="J424" s="309"/>
      <c r="K424" s="309"/>
      <c r="L424" s="309"/>
      <c r="M424" s="309"/>
      <c r="N424" s="309"/>
      <c r="O424" s="309"/>
      <c r="P424" s="309"/>
      <c r="Q424" s="309"/>
      <c r="R424" s="309"/>
      <c r="S424" s="309"/>
      <c r="T424" s="309"/>
      <c r="U424" s="309"/>
      <c r="V424" s="309"/>
      <c r="W424" s="309"/>
      <c r="X424" s="309"/>
      <c r="Y424" s="309"/>
      <c r="Z424" s="309"/>
      <c r="AA424" s="309"/>
    </row>
    <row r="425" ht="27.0" customHeight="1">
      <c r="A425" s="309"/>
      <c r="B425" s="309"/>
      <c r="C425" s="309"/>
      <c r="D425" s="309"/>
      <c r="E425" s="330"/>
      <c r="F425" s="309"/>
      <c r="G425" s="309"/>
      <c r="H425" s="316"/>
      <c r="I425" s="309"/>
      <c r="J425" s="309"/>
      <c r="K425" s="309"/>
      <c r="L425" s="309"/>
      <c r="M425" s="309"/>
      <c r="N425" s="309"/>
      <c r="O425" s="309"/>
      <c r="P425" s="309"/>
      <c r="Q425" s="309"/>
      <c r="R425" s="309"/>
      <c r="S425" s="309"/>
      <c r="T425" s="309"/>
      <c r="U425" s="309"/>
      <c r="V425" s="309"/>
      <c r="W425" s="309"/>
      <c r="X425" s="309"/>
      <c r="Y425" s="309"/>
      <c r="Z425" s="309"/>
      <c r="AA425" s="309"/>
    </row>
    <row r="426" ht="27.0" customHeight="1">
      <c r="A426" s="309"/>
      <c r="B426" s="309"/>
      <c r="C426" s="309"/>
      <c r="D426" s="309"/>
      <c r="E426" s="330"/>
      <c r="F426" s="309"/>
      <c r="G426" s="309"/>
      <c r="H426" s="316"/>
      <c r="I426" s="309"/>
      <c r="J426" s="309"/>
      <c r="K426" s="309"/>
      <c r="L426" s="309"/>
      <c r="M426" s="309"/>
      <c r="N426" s="309"/>
      <c r="O426" s="309"/>
      <c r="P426" s="309"/>
      <c r="Q426" s="309"/>
      <c r="R426" s="309"/>
      <c r="S426" s="309"/>
      <c r="T426" s="309"/>
      <c r="U426" s="309"/>
      <c r="V426" s="309"/>
      <c r="W426" s="309"/>
      <c r="X426" s="309"/>
      <c r="Y426" s="309"/>
      <c r="Z426" s="309"/>
      <c r="AA426" s="309"/>
    </row>
    <row r="427" ht="27.0" customHeight="1">
      <c r="A427" s="309"/>
      <c r="B427" s="309"/>
      <c r="C427" s="309"/>
      <c r="D427" s="309"/>
      <c r="E427" s="330"/>
      <c r="F427" s="309"/>
      <c r="G427" s="309"/>
      <c r="H427" s="316"/>
      <c r="I427" s="309"/>
      <c r="J427" s="309"/>
      <c r="K427" s="309"/>
      <c r="L427" s="309"/>
      <c r="M427" s="309"/>
      <c r="N427" s="309"/>
      <c r="O427" s="309"/>
      <c r="P427" s="309"/>
      <c r="Q427" s="309"/>
      <c r="R427" s="309"/>
      <c r="S427" s="309"/>
      <c r="T427" s="309"/>
      <c r="U427" s="309"/>
      <c r="V427" s="309"/>
      <c r="W427" s="309"/>
      <c r="X427" s="309"/>
      <c r="Y427" s="309"/>
      <c r="Z427" s="309"/>
      <c r="AA427" s="309"/>
    </row>
    <row r="428" ht="27.0" customHeight="1">
      <c r="A428" s="309"/>
      <c r="B428" s="309"/>
      <c r="C428" s="309"/>
      <c r="D428" s="309"/>
      <c r="E428" s="330"/>
      <c r="F428" s="309"/>
      <c r="G428" s="309"/>
      <c r="H428" s="316"/>
      <c r="I428" s="309"/>
      <c r="J428" s="309"/>
      <c r="K428" s="309"/>
      <c r="L428" s="309"/>
      <c r="M428" s="309"/>
      <c r="N428" s="309"/>
      <c r="O428" s="309"/>
      <c r="P428" s="309"/>
      <c r="Q428" s="309"/>
      <c r="R428" s="309"/>
      <c r="S428" s="309"/>
      <c r="T428" s="309"/>
      <c r="U428" s="309"/>
      <c r="V428" s="309"/>
      <c r="W428" s="309"/>
      <c r="X428" s="309"/>
      <c r="Y428" s="309"/>
      <c r="Z428" s="309"/>
      <c r="AA428" s="309"/>
    </row>
    <row r="429" ht="27.0" customHeight="1">
      <c r="A429" s="309"/>
      <c r="B429" s="309"/>
      <c r="C429" s="309"/>
      <c r="D429" s="309"/>
      <c r="E429" s="330"/>
      <c r="F429" s="309"/>
      <c r="G429" s="309"/>
      <c r="H429" s="316"/>
      <c r="I429" s="309"/>
      <c r="J429" s="309"/>
      <c r="K429" s="309"/>
      <c r="L429" s="309"/>
      <c r="M429" s="309"/>
      <c r="N429" s="309"/>
      <c r="O429" s="309"/>
      <c r="P429" s="309"/>
      <c r="Q429" s="309"/>
      <c r="R429" s="309"/>
      <c r="S429" s="309"/>
      <c r="T429" s="309"/>
      <c r="U429" s="309"/>
      <c r="V429" s="309"/>
      <c r="W429" s="309"/>
      <c r="X429" s="309"/>
      <c r="Y429" s="309"/>
      <c r="Z429" s="309"/>
      <c r="AA429" s="309"/>
    </row>
    <row r="430" ht="27.0" customHeight="1">
      <c r="A430" s="309"/>
      <c r="B430" s="309"/>
      <c r="C430" s="309"/>
      <c r="D430" s="309"/>
      <c r="E430" s="330"/>
      <c r="F430" s="309"/>
      <c r="G430" s="309"/>
      <c r="H430" s="316"/>
      <c r="I430" s="309"/>
      <c r="J430" s="309"/>
      <c r="K430" s="309"/>
      <c r="L430" s="309"/>
      <c r="M430" s="309"/>
      <c r="N430" s="309"/>
      <c r="O430" s="309"/>
      <c r="P430" s="309"/>
      <c r="Q430" s="309"/>
      <c r="R430" s="309"/>
      <c r="S430" s="309"/>
      <c r="T430" s="309"/>
      <c r="U430" s="309"/>
      <c r="V430" s="309"/>
      <c r="W430" s="309"/>
      <c r="X430" s="309"/>
      <c r="Y430" s="309"/>
      <c r="Z430" s="309"/>
      <c r="AA430" s="309"/>
    </row>
    <row r="431" ht="27.0" customHeight="1">
      <c r="A431" s="309"/>
      <c r="B431" s="309"/>
      <c r="C431" s="309"/>
      <c r="D431" s="309"/>
      <c r="E431" s="330"/>
      <c r="F431" s="309"/>
      <c r="G431" s="309"/>
      <c r="H431" s="316"/>
      <c r="I431" s="309"/>
      <c r="J431" s="309"/>
      <c r="K431" s="309"/>
      <c r="L431" s="309"/>
      <c r="M431" s="309"/>
      <c r="N431" s="309"/>
      <c r="O431" s="309"/>
      <c r="P431" s="309"/>
      <c r="Q431" s="309"/>
      <c r="R431" s="309"/>
      <c r="S431" s="309"/>
      <c r="T431" s="309"/>
      <c r="U431" s="309"/>
      <c r="V431" s="309"/>
      <c r="W431" s="309"/>
      <c r="X431" s="309"/>
      <c r="Y431" s="309"/>
      <c r="Z431" s="309"/>
      <c r="AA431" s="309"/>
    </row>
    <row r="432" ht="27.0" customHeight="1">
      <c r="A432" s="309"/>
      <c r="B432" s="309"/>
      <c r="C432" s="309"/>
      <c r="D432" s="309"/>
      <c r="E432" s="330"/>
      <c r="F432" s="309"/>
      <c r="G432" s="309"/>
      <c r="H432" s="316"/>
      <c r="I432" s="309"/>
      <c r="J432" s="309"/>
      <c r="K432" s="309"/>
      <c r="L432" s="309"/>
      <c r="M432" s="309"/>
      <c r="N432" s="309"/>
      <c r="O432" s="309"/>
      <c r="P432" s="309"/>
      <c r="Q432" s="309"/>
      <c r="R432" s="309"/>
      <c r="S432" s="309"/>
      <c r="T432" s="309"/>
      <c r="U432" s="309"/>
      <c r="V432" s="309"/>
      <c r="W432" s="309"/>
      <c r="X432" s="309"/>
      <c r="Y432" s="309"/>
      <c r="Z432" s="309"/>
      <c r="AA432" s="309"/>
    </row>
    <row r="433" ht="27.0" customHeight="1">
      <c r="A433" s="309"/>
      <c r="B433" s="309"/>
      <c r="C433" s="309"/>
      <c r="D433" s="309"/>
      <c r="E433" s="330"/>
      <c r="F433" s="309"/>
      <c r="G433" s="309"/>
      <c r="H433" s="316"/>
      <c r="I433" s="309"/>
      <c r="J433" s="309"/>
      <c r="K433" s="309"/>
      <c r="L433" s="309"/>
      <c r="M433" s="309"/>
      <c r="N433" s="309"/>
      <c r="O433" s="309"/>
      <c r="P433" s="309"/>
      <c r="Q433" s="309"/>
      <c r="R433" s="309"/>
      <c r="S433" s="309"/>
      <c r="T433" s="309"/>
      <c r="U433" s="309"/>
      <c r="V433" s="309"/>
      <c r="W433" s="309"/>
      <c r="X433" s="309"/>
      <c r="Y433" s="309"/>
      <c r="Z433" s="309"/>
      <c r="AA433" s="309"/>
    </row>
    <row r="434" ht="27.0" customHeight="1">
      <c r="A434" s="309"/>
      <c r="B434" s="309"/>
      <c r="C434" s="309"/>
      <c r="D434" s="309"/>
      <c r="E434" s="330"/>
      <c r="F434" s="309"/>
      <c r="G434" s="309"/>
      <c r="H434" s="316"/>
      <c r="I434" s="309"/>
      <c r="J434" s="309"/>
      <c r="K434" s="309"/>
      <c r="L434" s="309"/>
      <c r="M434" s="309"/>
      <c r="N434" s="309"/>
      <c r="O434" s="309"/>
      <c r="P434" s="309"/>
      <c r="Q434" s="309"/>
      <c r="R434" s="309"/>
      <c r="S434" s="309"/>
      <c r="T434" s="309"/>
      <c r="U434" s="309"/>
      <c r="V434" s="309"/>
      <c r="W434" s="309"/>
      <c r="X434" s="309"/>
      <c r="Y434" s="309"/>
      <c r="Z434" s="309"/>
      <c r="AA434" s="309"/>
    </row>
    <row r="435" ht="27.0" customHeight="1">
      <c r="A435" s="309"/>
      <c r="B435" s="309"/>
      <c r="C435" s="309"/>
      <c r="D435" s="309"/>
      <c r="E435" s="330"/>
      <c r="F435" s="309"/>
      <c r="G435" s="309"/>
      <c r="H435" s="316"/>
      <c r="I435" s="309"/>
      <c r="J435" s="309"/>
      <c r="K435" s="309"/>
      <c r="L435" s="309"/>
      <c r="M435" s="309"/>
      <c r="N435" s="309"/>
      <c r="O435" s="309"/>
      <c r="P435" s="309"/>
      <c r="Q435" s="309"/>
      <c r="R435" s="309"/>
      <c r="S435" s="309"/>
      <c r="T435" s="309"/>
      <c r="U435" s="309"/>
      <c r="V435" s="309"/>
      <c r="W435" s="309"/>
      <c r="X435" s="309"/>
      <c r="Y435" s="309"/>
      <c r="Z435" s="309"/>
      <c r="AA435" s="309"/>
    </row>
    <row r="436" ht="27.0" customHeight="1">
      <c r="A436" s="309"/>
      <c r="B436" s="309"/>
      <c r="C436" s="309"/>
      <c r="D436" s="309"/>
      <c r="E436" s="330"/>
      <c r="F436" s="309"/>
      <c r="G436" s="309"/>
      <c r="H436" s="316"/>
      <c r="I436" s="309"/>
      <c r="J436" s="309"/>
      <c r="K436" s="309"/>
      <c r="L436" s="309"/>
      <c r="M436" s="309"/>
      <c r="N436" s="309"/>
      <c r="O436" s="309"/>
      <c r="P436" s="309"/>
      <c r="Q436" s="309"/>
      <c r="R436" s="309"/>
      <c r="S436" s="309"/>
      <c r="T436" s="309"/>
      <c r="U436" s="309"/>
      <c r="V436" s="309"/>
      <c r="W436" s="309"/>
      <c r="X436" s="309"/>
      <c r="Y436" s="309"/>
      <c r="Z436" s="309"/>
      <c r="AA436" s="309"/>
    </row>
    <row r="437" ht="27.0" customHeight="1">
      <c r="A437" s="309"/>
      <c r="B437" s="309"/>
      <c r="C437" s="309"/>
      <c r="D437" s="309"/>
      <c r="E437" s="330"/>
      <c r="F437" s="309"/>
      <c r="G437" s="309"/>
      <c r="H437" s="316"/>
      <c r="I437" s="309"/>
      <c r="J437" s="309"/>
      <c r="K437" s="309"/>
      <c r="L437" s="309"/>
      <c r="M437" s="309"/>
      <c r="N437" s="309"/>
      <c r="O437" s="309"/>
      <c r="P437" s="309"/>
      <c r="Q437" s="309"/>
      <c r="R437" s="309"/>
      <c r="S437" s="309"/>
      <c r="T437" s="309"/>
      <c r="U437" s="309"/>
      <c r="V437" s="309"/>
      <c r="W437" s="309"/>
      <c r="X437" s="309"/>
      <c r="Y437" s="309"/>
      <c r="Z437" s="309"/>
      <c r="AA437" s="309"/>
    </row>
    <row r="438" ht="27.0" customHeight="1">
      <c r="A438" s="309"/>
      <c r="B438" s="309"/>
      <c r="C438" s="309"/>
      <c r="D438" s="309"/>
      <c r="E438" s="330"/>
      <c r="F438" s="309"/>
      <c r="G438" s="309"/>
      <c r="H438" s="316"/>
      <c r="I438" s="309"/>
      <c r="J438" s="309"/>
      <c r="K438" s="309"/>
      <c r="L438" s="309"/>
      <c r="M438" s="309"/>
      <c r="N438" s="309"/>
      <c r="O438" s="309"/>
      <c r="P438" s="309"/>
      <c r="Q438" s="309"/>
      <c r="R438" s="309"/>
      <c r="S438" s="309"/>
      <c r="T438" s="309"/>
      <c r="U438" s="309"/>
      <c r="V438" s="309"/>
      <c r="W438" s="309"/>
      <c r="X438" s="309"/>
      <c r="Y438" s="309"/>
      <c r="Z438" s="309"/>
      <c r="AA438" s="309"/>
    </row>
    <row r="439" ht="27.0" customHeight="1">
      <c r="A439" s="309"/>
      <c r="B439" s="309"/>
      <c r="C439" s="309"/>
      <c r="D439" s="309"/>
      <c r="E439" s="330"/>
      <c r="F439" s="309"/>
      <c r="G439" s="309"/>
      <c r="H439" s="316"/>
      <c r="I439" s="309"/>
      <c r="J439" s="309"/>
      <c r="K439" s="309"/>
      <c r="L439" s="309"/>
      <c r="M439" s="309"/>
      <c r="N439" s="309"/>
      <c r="O439" s="309"/>
      <c r="P439" s="309"/>
      <c r="Q439" s="309"/>
      <c r="R439" s="309"/>
      <c r="S439" s="309"/>
      <c r="T439" s="309"/>
      <c r="U439" s="309"/>
      <c r="V439" s="309"/>
      <c r="W439" s="309"/>
      <c r="X439" s="309"/>
      <c r="Y439" s="309"/>
      <c r="Z439" s="309"/>
      <c r="AA439" s="309"/>
    </row>
    <row r="440" ht="27.0" customHeight="1">
      <c r="A440" s="309"/>
      <c r="B440" s="309"/>
      <c r="C440" s="309"/>
      <c r="D440" s="309"/>
      <c r="E440" s="330"/>
      <c r="F440" s="309"/>
      <c r="G440" s="309"/>
      <c r="H440" s="316"/>
      <c r="I440" s="309"/>
      <c r="J440" s="309"/>
      <c r="K440" s="309"/>
      <c r="L440" s="309"/>
      <c r="M440" s="309"/>
      <c r="N440" s="309"/>
      <c r="O440" s="309"/>
      <c r="P440" s="309"/>
      <c r="Q440" s="309"/>
      <c r="R440" s="309"/>
      <c r="S440" s="309"/>
      <c r="T440" s="309"/>
      <c r="U440" s="309"/>
      <c r="V440" s="309"/>
      <c r="W440" s="309"/>
      <c r="X440" s="309"/>
      <c r="Y440" s="309"/>
      <c r="Z440" s="309"/>
      <c r="AA440" s="309"/>
    </row>
    <row r="441" ht="27.0" customHeight="1">
      <c r="A441" s="309"/>
      <c r="B441" s="309"/>
      <c r="C441" s="309"/>
      <c r="D441" s="309"/>
      <c r="E441" s="330"/>
      <c r="F441" s="309"/>
      <c r="G441" s="309"/>
      <c r="H441" s="316"/>
      <c r="I441" s="309"/>
      <c r="J441" s="309"/>
      <c r="K441" s="309"/>
      <c r="L441" s="309"/>
      <c r="M441" s="309"/>
      <c r="N441" s="309"/>
      <c r="O441" s="309"/>
      <c r="P441" s="309"/>
      <c r="Q441" s="309"/>
      <c r="R441" s="309"/>
      <c r="S441" s="309"/>
      <c r="T441" s="309"/>
      <c r="U441" s="309"/>
      <c r="V441" s="309"/>
      <c r="W441" s="309"/>
      <c r="X441" s="309"/>
      <c r="Y441" s="309"/>
      <c r="Z441" s="309"/>
      <c r="AA441" s="309"/>
    </row>
    <row r="442" ht="27.0" customHeight="1">
      <c r="A442" s="309"/>
      <c r="B442" s="309"/>
      <c r="C442" s="309"/>
      <c r="D442" s="309"/>
      <c r="E442" s="330"/>
      <c r="F442" s="309"/>
      <c r="G442" s="309"/>
      <c r="H442" s="316"/>
      <c r="I442" s="309"/>
      <c r="J442" s="309"/>
      <c r="K442" s="309"/>
      <c r="L442" s="309"/>
      <c r="M442" s="309"/>
      <c r="N442" s="309"/>
      <c r="O442" s="309"/>
      <c r="P442" s="309"/>
      <c r="Q442" s="309"/>
      <c r="R442" s="309"/>
      <c r="S442" s="309"/>
      <c r="T442" s="309"/>
      <c r="U442" s="309"/>
      <c r="V442" s="309"/>
      <c r="W442" s="309"/>
      <c r="X442" s="309"/>
      <c r="Y442" s="309"/>
      <c r="Z442" s="309"/>
      <c r="AA442" s="309"/>
    </row>
    <row r="443" ht="27.0" customHeight="1">
      <c r="A443" s="309"/>
      <c r="B443" s="309"/>
      <c r="C443" s="309"/>
      <c r="D443" s="309"/>
      <c r="E443" s="330"/>
      <c r="F443" s="309"/>
      <c r="G443" s="309"/>
      <c r="H443" s="316"/>
      <c r="I443" s="309"/>
      <c r="J443" s="309"/>
      <c r="K443" s="309"/>
      <c r="L443" s="309"/>
      <c r="M443" s="309"/>
      <c r="N443" s="309"/>
      <c r="O443" s="309"/>
      <c r="P443" s="309"/>
      <c r="Q443" s="309"/>
      <c r="R443" s="309"/>
      <c r="S443" s="309"/>
      <c r="T443" s="309"/>
      <c r="U443" s="309"/>
      <c r="V443" s="309"/>
      <c r="W443" s="309"/>
      <c r="X443" s="309"/>
      <c r="Y443" s="309"/>
      <c r="Z443" s="309"/>
      <c r="AA443" s="309"/>
    </row>
    <row r="444" ht="27.0" customHeight="1">
      <c r="A444" s="309"/>
      <c r="B444" s="309"/>
      <c r="C444" s="309"/>
      <c r="D444" s="309"/>
      <c r="E444" s="330"/>
      <c r="F444" s="309"/>
      <c r="G444" s="309"/>
      <c r="H444" s="316"/>
      <c r="I444" s="309"/>
      <c r="J444" s="309"/>
      <c r="K444" s="309"/>
      <c r="L444" s="309"/>
      <c r="M444" s="309"/>
      <c r="N444" s="309"/>
      <c r="O444" s="309"/>
      <c r="P444" s="309"/>
      <c r="Q444" s="309"/>
      <c r="R444" s="309"/>
      <c r="S444" s="309"/>
      <c r="T444" s="309"/>
      <c r="U444" s="309"/>
      <c r="V444" s="309"/>
      <c r="W444" s="309"/>
      <c r="X444" s="309"/>
      <c r="Y444" s="309"/>
      <c r="Z444" s="309"/>
      <c r="AA444" s="309"/>
    </row>
    <row r="445" ht="27.0" customHeight="1">
      <c r="A445" s="309"/>
      <c r="B445" s="309"/>
      <c r="C445" s="309"/>
      <c r="D445" s="309"/>
      <c r="E445" s="330"/>
      <c r="F445" s="309"/>
      <c r="G445" s="309"/>
      <c r="H445" s="316"/>
      <c r="I445" s="309"/>
      <c r="J445" s="309"/>
      <c r="K445" s="309"/>
      <c r="L445" s="309"/>
      <c r="M445" s="309"/>
      <c r="N445" s="309"/>
      <c r="O445" s="309"/>
      <c r="P445" s="309"/>
      <c r="Q445" s="309"/>
      <c r="R445" s="309"/>
      <c r="S445" s="309"/>
      <c r="T445" s="309"/>
      <c r="U445" s="309"/>
      <c r="V445" s="309"/>
      <c r="W445" s="309"/>
      <c r="X445" s="309"/>
      <c r="Y445" s="309"/>
      <c r="Z445" s="309"/>
      <c r="AA445" s="309"/>
    </row>
    <row r="446" ht="27.0" customHeight="1">
      <c r="A446" s="309"/>
      <c r="B446" s="309"/>
      <c r="C446" s="309"/>
      <c r="D446" s="309"/>
      <c r="E446" s="330"/>
      <c r="F446" s="309"/>
      <c r="G446" s="309"/>
      <c r="H446" s="316"/>
      <c r="I446" s="309"/>
      <c r="J446" s="309"/>
      <c r="K446" s="309"/>
      <c r="L446" s="309"/>
      <c r="M446" s="309"/>
      <c r="N446" s="309"/>
      <c r="O446" s="309"/>
      <c r="P446" s="309"/>
      <c r="Q446" s="309"/>
      <c r="R446" s="309"/>
      <c r="S446" s="309"/>
      <c r="T446" s="309"/>
      <c r="U446" s="309"/>
      <c r="V446" s="309"/>
      <c r="W446" s="309"/>
      <c r="X446" s="309"/>
      <c r="Y446" s="309"/>
      <c r="Z446" s="309"/>
      <c r="AA446" s="309"/>
    </row>
    <row r="447" ht="27.0" customHeight="1">
      <c r="A447" s="309"/>
      <c r="B447" s="309"/>
      <c r="C447" s="309"/>
      <c r="D447" s="309"/>
      <c r="E447" s="330"/>
      <c r="F447" s="309"/>
      <c r="G447" s="309"/>
      <c r="H447" s="316"/>
      <c r="I447" s="309"/>
      <c r="J447" s="309"/>
      <c r="K447" s="309"/>
      <c r="L447" s="309"/>
      <c r="M447" s="309"/>
      <c r="N447" s="309"/>
      <c r="O447" s="309"/>
      <c r="P447" s="309"/>
      <c r="Q447" s="309"/>
      <c r="R447" s="309"/>
      <c r="S447" s="309"/>
      <c r="T447" s="309"/>
      <c r="U447" s="309"/>
      <c r="V447" s="309"/>
      <c r="W447" s="309"/>
      <c r="X447" s="309"/>
      <c r="Y447" s="309"/>
      <c r="Z447" s="309"/>
      <c r="AA447" s="309"/>
    </row>
    <row r="448" ht="27.0" customHeight="1">
      <c r="A448" s="309"/>
      <c r="B448" s="309"/>
      <c r="C448" s="309"/>
      <c r="D448" s="309"/>
      <c r="E448" s="330"/>
      <c r="F448" s="309"/>
      <c r="G448" s="309"/>
      <c r="H448" s="316"/>
      <c r="I448" s="309"/>
      <c r="J448" s="309"/>
      <c r="K448" s="309"/>
      <c r="L448" s="309"/>
      <c r="M448" s="309"/>
      <c r="N448" s="309"/>
      <c r="O448" s="309"/>
      <c r="P448" s="309"/>
      <c r="Q448" s="309"/>
      <c r="R448" s="309"/>
      <c r="S448" s="309"/>
      <c r="T448" s="309"/>
      <c r="U448" s="309"/>
      <c r="V448" s="309"/>
      <c r="W448" s="309"/>
      <c r="X448" s="309"/>
      <c r="Y448" s="309"/>
      <c r="Z448" s="309"/>
      <c r="AA448" s="309"/>
    </row>
    <row r="449" ht="27.0" customHeight="1">
      <c r="A449" s="309"/>
      <c r="B449" s="309"/>
      <c r="C449" s="309"/>
      <c r="D449" s="309"/>
      <c r="E449" s="330"/>
      <c r="F449" s="309"/>
      <c r="G449" s="309"/>
      <c r="H449" s="316"/>
      <c r="I449" s="309"/>
      <c r="J449" s="309"/>
      <c r="K449" s="309"/>
      <c r="L449" s="309"/>
      <c r="M449" s="309"/>
      <c r="N449" s="309"/>
      <c r="O449" s="309"/>
      <c r="P449" s="309"/>
      <c r="Q449" s="309"/>
      <c r="R449" s="309"/>
      <c r="S449" s="309"/>
      <c r="T449" s="309"/>
      <c r="U449" s="309"/>
      <c r="V449" s="309"/>
      <c r="W449" s="309"/>
      <c r="X449" s="309"/>
      <c r="Y449" s="309"/>
      <c r="Z449" s="309"/>
      <c r="AA449" s="309"/>
    </row>
    <row r="450" ht="27.0" customHeight="1">
      <c r="A450" s="309"/>
      <c r="B450" s="309"/>
      <c r="C450" s="309"/>
      <c r="D450" s="309"/>
      <c r="E450" s="330"/>
      <c r="F450" s="309"/>
      <c r="G450" s="309"/>
      <c r="H450" s="316"/>
      <c r="I450" s="309"/>
      <c r="J450" s="309"/>
      <c r="K450" s="309"/>
      <c r="L450" s="309"/>
      <c r="M450" s="309"/>
      <c r="N450" s="309"/>
      <c r="O450" s="309"/>
      <c r="P450" s="309"/>
      <c r="Q450" s="309"/>
      <c r="R450" s="309"/>
      <c r="S450" s="309"/>
      <c r="T450" s="309"/>
      <c r="U450" s="309"/>
      <c r="V450" s="309"/>
      <c r="W450" s="309"/>
      <c r="X450" s="309"/>
      <c r="Y450" s="309"/>
      <c r="Z450" s="309"/>
      <c r="AA450" s="309"/>
    </row>
    <row r="451" ht="27.0" customHeight="1">
      <c r="A451" s="309"/>
      <c r="B451" s="309"/>
      <c r="C451" s="309"/>
      <c r="D451" s="309"/>
      <c r="E451" s="330"/>
      <c r="F451" s="309"/>
      <c r="G451" s="309"/>
      <c r="H451" s="316"/>
      <c r="I451" s="309"/>
      <c r="J451" s="309"/>
      <c r="K451" s="309"/>
      <c r="L451" s="309"/>
      <c r="M451" s="309"/>
      <c r="N451" s="309"/>
      <c r="O451" s="309"/>
      <c r="P451" s="309"/>
      <c r="Q451" s="309"/>
      <c r="R451" s="309"/>
      <c r="S451" s="309"/>
      <c r="T451" s="309"/>
      <c r="U451" s="309"/>
      <c r="V451" s="309"/>
      <c r="W451" s="309"/>
      <c r="X451" s="309"/>
      <c r="Y451" s="309"/>
      <c r="Z451" s="309"/>
      <c r="AA451" s="309"/>
    </row>
    <row r="452" ht="27.0" customHeight="1">
      <c r="A452" s="309"/>
      <c r="B452" s="309"/>
      <c r="C452" s="309"/>
      <c r="D452" s="309"/>
      <c r="E452" s="330"/>
      <c r="F452" s="309"/>
      <c r="G452" s="309"/>
      <c r="H452" s="316"/>
      <c r="I452" s="309"/>
      <c r="J452" s="309"/>
      <c r="K452" s="309"/>
      <c r="L452" s="309"/>
      <c r="M452" s="309"/>
      <c r="N452" s="309"/>
      <c r="O452" s="309"/>
      <c r="P452" s="309"/>
      <c r="Q452" s="309"/>
      <c r="R452" s="309"/>
      <c r="S452" s="309"/>
      <c r="T452" s="309"/>
      <c r="U452" s="309"/>
      <c r="V452" s="309"/>
      <c r="W452" s="309"/>
      <c r="X452" s="309"/>
      <c r="Y452" s="309"/>
      <c r="Z452" s="309"/>
      <c r="AA452" s="309"/>
    </row>
    <row r="453" ht="27.0" customHeight="1">
      <c r="A453" s="309"/>
      <c r="B453" s="309"/>
      <c r="C453" s="309"/>
      <c r="D453" s="309"/>
      <c r="E453" s="330"/>
      <c r="F453" s="309"/>
      <c r="G453" s="309"/>
      <c r="H453" s="316"/>
      <c r="I453" s="309"/>
      <c r="J453" s="309"/>
      <c r="K453" s="309"/>
      <c r="L453" s="309"/>
      <c r="M453" s="309"/>
      <c r="N453" s="309"/>
      <c r="O453" s="309"/>
      <c r="P453" s="309"/>
      <c r="Q453" s="309"/>
      <c r="R453" s="309"/>
      <c r="S453" s="309"/>
      <c r="T453" s="309"/>
      <c r="U453" s="309"/>
      <c r="V453" s="309"/>
      <c r="W453" s="309"/>
      <c r="X453" s="309"/>
      <c r="Y453" s="309"/>
      <c r="Z453" s="309"/>
      <c r="AA453" s="309"/>
    </row>
    <row r="454" ht="27.0" customHeight="1">
      <c r="A454" s="309"/>
      <c r="B454" s="309"/>
      <c r="C454" s="309"/>
      <c r="D454" s="309"/>
      <c r="E454" s="330"/>
      <c r="F454" s="309"/>
      <c r="G454" s="309"/>
      <c r="H454" s="316"/>
      <c r="I454" s="309"/>
      <c r="J454" s="309"/>
      <c r="K454" s="309"/>
      <c r="L454" s="309"/>
      <c r="M454" s="309"/>
      <c r="N454" s="309"/>
      <c r="O454" s="309"/>
      <c r="P454" s="309"/>
      <c r="Q454" s="309"/>
      <c r="R454" s="309"/>
      <c r="S454" s="309"/>
      <c r="T454" s="309"/>
      <c r="U454" s="309"/>
      <c r="V454" s="309"/>
      <c r="W454" s="309"/>
      <c r="X454" s="309"/>
      <c r="Y454" s="309"/>
      <c r="Z454" s="309"/>
      <c r="AA454" s="309"/>
    </row>
    <row r="455" ht="27.0" customHeight="1">
      <c r="A455" s="309"/>
      <c r="B455" s="309"/>
      <c r="C455" s="309"/>
      <c r="D455" s="309"/>
      <c r="E455" s="330"/>
      <c r="F455" s="309"/>
      <c r="G455" s="309"/>
      <c r="H455" s="316"/>
      <c r="I455" s="309"/>
      <c r="J455" s="309"/>
      <c r="K455" s="309"/>
      <c r="L455" s="309"/>
      <c r="M455" s="309"/>
      <c r="N455" s="309"/>
      <c r="O455" s="309"/>
      <c r="P455" s="309"/>
      <c r="Q455" s="309"/>
      <c r="R455" s="309"/>
      <c r="S455" s="309"/>
      <c r="T455" s="309"/>
      <c r="U455" s="309"/>
      <c r="V455" s="309"/>
      <c r="W455" s="309"/>
      <c r="X455" s="309"/>
      <c r="Y455" s="309"/>
      <c r="Z455" s="309"/>
      <c r="AA455" s="309"/>
    </row>
    <row r="456" ht="27.0" customHeight="1">
      <c r="A456" s="309"/>
      <c r="B456" s="309"/>
      <c r="C456" s="309"/>
      <c r="D456" s="309"/>
      <c r="E456" s="330"/>
      <c r="F456" s="309"/>
      <c r="G456" s="309"/>
      <c r="H456" s="316"/>
      <c r="I456" s="309"/>
      <c r="J456" s="309"/>
      <c r="K456" s="309"/>
      <c r="L456" s="309"/>
      <c r="M456" s="309"/>
      <c r="N456" s="309"/>
      <c r="O456" s="309"/>
      <c r="P456" s="309"/>
      <c r="Q456" s="309"/>
      <c r="R456" s="309"/>
      <c r="S456" s="309"/>
      <c r="T456" s="309"/>
      <c r="U456" s="309"/>
      <c r="V456" s="309"/>
      <c r="W456" s="309"/>
      <c r="X456" s="309"/>
      <c r="Y456" s="309"/>
      <c r="Z456" s="309"/>
      <c r="AA456" s="309"/>
    </row>
    <row r="457" ht="27.0" customHeight="1">
      <c r="A457" s="309"/>
      <c r="B457" s="309"/>
      <c r="C457" s="309"/>
      <c r="D457" s="309"/>
      <c r="E457" s="330"/>
      <c r="F457" s="309"/>
      <c r="G457" s="309"/>
      <c r="H457" s="316"/>
      <c r="I457" s="309"/>
      <c r="J457" s="309"/>
      <c r="K457" s="309"/>
      <c r="L457" s="309"/>
      <c r="M457" s="309"/>
      <c r="N457" s="309"/>
      <c r="O457" s="309"/>
      <c r="P457" s="309"/>
      <c r="Q457" s="309"/>
      <c r="R457" s="309"/>
      <c r="S457" s="309"/>
      <c r="T457" s="309"/>
      <c r="U457" s="309"/>
      <c r="V457" s="309"/>
      <c r="W457" s="309"/>
      <c r="X457" s="309"/>
      <c r="Y457" s="309"/>
      <c r="Z457" s="309"/>
      <c r="AA457" s="309"/>
    </row>
    <row r="458" ht="27.0" customHeight="1">
      <c r="A458" s="309"/>
      <c r="B458" s="309"/>
      <c r="C458" s="309"/>
      <c r="D458" s="309"/>
      <c r="E458" s="330"/>
      <c r="F458" s="309"/>
      <c r="G458" s="309"/>
      <c r="H458" s="316"/>
      <c r="I458" s="309"/>
      <c r="J458" s="309"/>
      <c r="K458" s="309"/>
      <c r="L458" s="309"/>
      <c r="M458" s="309"/>
      <c r="N458" s="309"/>
      <c r="O458" s="309"/>
      <c r="P458" s="309"/>
      <c r="Q458" s="309"/>
      <c r="R458" s="309"/>
      <c r="S458" s="309"/>
      <c r="T458" s="309"/>
      <c r="U458" s="309"/>
      <c r="V458" s="309"/>
      <c r="W458" s="309"/>
      <c r="X458" s="309"/>
      <c r="Y458" s="309"/>
      <c r="Z458" s="309"/>
      <c r="AA458" s="309"/>
    </row>
    <row r="459" ht="27.0" customHeight="1">
      <c r="A459" s="309"/>
      <c r="B459" s="309"/>
      <c r="C459" s="309"/>
      <c r="D459" s="309"/>
      <c r="E459" s="330"/>
      <c r="F459" s="309"/>
      <c r="G459" s="309"/>
      <c r="H459" s="316"/>
      <c r="I459" s="309"/>
      <c r="J459" s="309"/>
      <c r="K459" s="309"/>
      <c r="L459" s="309"/>
      <c r="M459" s="309"/>
      <c r="N459" s="309"/>
      <c r="O459" s="309"/>
      <c r="P459" s="309"/>
      <c r="Q459" s="309"/>
      <c r="R459" s="309"/>
      <c r="S459" s="309"/>
      <c r="T459" s="309"/>
      <c r="U459" s="309"/>
      <c r="V459" s="309"/>
      <c r="W459" s="309"/>
      <c r="X459" s="309"/>
      <c r="Y459" s="309"/>
      <c r="Z459" s="309"/>
      <c r="AA459" s="309"/>
    </row>
    <row r="460" ht="27.0" customHeight="1">
      <c r="A460" s="309"/>
      <c r="B460" s="309"/>
      <c r="C460" s="309"/>
      <c r="D460" s="309"/>
      <c r="E460" s="330"/>
      <c r="F460" s="309"/>
      <c r="G460" s="309"/>
      <c r="H460" s="316"/>
      <c r="I460" s="309"/>
      <c r="J460" s="309"/>
      <c r="K460" s="309"/>
      <c r="L460" s="309"/>
      <c r="M460" s="309"/>
      <c r="N460" s="309"/>
      <c r="O460" s="309"/>
      <c r="P460" s="309"/>
      <c r="Q460" s="309"/>
      <c r="R460" s="309"/>
      <c r="S460" s="309"/>
      <c r="T460" s="309"/>
      <c r="U460" s="309"/>
      <c r="V460" s="309"/>
      <c r="W460" s="309"/>
      <c r="X460" s="309"/>
      <c r="Y460" s="309"/>
      <c r="Z460" s="309"/>
      <c r="AA460" s="309"/>
    </row>
    <row r="461" ht="27.0" customHeight="1">
      <c r="A461" s="309"/>
      <c r="B461" s="309"/>
      <c r="C461" s="309"/>
      <c r="D461" s="309"/>
      <c r="E461" s="330"/>
      <c r="F461" s="309"/>
      <c r="G461" s="309"/>
      <c r="H461" s="316"/>
      <c r="I461" s="309"/>
      <c r="J461" s="309"/>
      <c r="K461" s="309"/>
      <c r="L461" s="309"/>
      <c r="M461" s="309"/>
      <c r="N461" s="309"/>
      <c r="O461" s="309"/>
      <c r="P461" s="309"/>
      <c r="Q461" s="309"/>
      <c r="R461" s="309"/>
      <c r="S461" s="309"/>
      <c r="T461" s="309"/>
      <c r="U461" s="309"/>
      <c r="V461" s="309"/>
      <c r="W461" s="309"/>
      <c r="X461" s="309"/>
      <c r="Y461" s="309"/>
      <c r="Z461" s="309"/>
      <c r="AA461" s="309"/>
    </row>
    <row r="462" ht="27.0" customHeight="1">
      <c r="A462" s="309"/>
      <c r="B462" s="309"/>
      <c r="C462" s="309"/>
      <c r="D462" s="309"/>
      <c r="E462" s="330"/>
      <c r="F462" s="309"/>
      <c r="G462" s="309"/>
      <c r="H462" s="316"/>
      <c r="I462" s="309"/>
      <c r="J462" s="309"/>
      <c r="K462" s="309"/>
      <c r="L462" s="309"/>
      <c r="M462" s="309"/>
      <c r="N462" s="309"/>
      <c r="O462" s="309"/>
      <c r="P462" s="309"/>
      <c r="Q462" s="309"/>
      <c r="R462" s="309"/>
      <c r="S462" s="309"/>
      <c r="T462" s="309"/>
      <c r="U462" s="309"/>
      <c r="V462" s="309"/>
      <c r="W462" s="309"/>
      <c r="X462" s="309"/>
      <c r="Y462" s="309"/>
      <c r="Z462" s="309"/>
      <c r="AA462" s="309"/>
    </row>
    <row r="463" ht="27.0" customHeight="1">
      <c r="A463" s="309"/>
      <c r="B463" s="309"/>
      <c r="C463" s="309"/>
      <c r="D463" s="309"/>
      <c r="E463" s="330"/>
      <c r="F463" s="309"/>
      <c r="G463" s="309"/>
      <c r="H463" s="316"/>
      <c r="I463" s="309"/>
      <c r="J463" s="309"/>
      <c r="K463" s="309"/>
      <c r="L463" s="309"/>
      <c r="M463" s="309"/>
      <c r="N463" s="309"/>
      <c r="O463" s="309"/>
      <c r="P463" s="309"/>
      <c r="Q463" s="309"/>
      <c r="R463" s="309"/>
      <c r="S463" s="309"/>
      <c r="T463" s="309"/>
      <c r="U463" s="309"/>
      <c r="V463" s="309"/>
      <c r="W463" s="309"/>
      <c r="X463" s="309"/>
      <c r="Y463" s="309"/>
      <c r="Z463" s="309"/>
      <c r="AA463" s="309"/>
    </row>
    <row r="464" ht="27.0" customHeight="1">
      <c r="A464" s="309"/>
      <c r="B464" s="309"/>
      <c r="C464" s="309"/>
      <c r="D464" s="309"/>
      <c r="E464" s="330"/>
      <c r="F464" s="309"/>
      <c r="G464" s="309"/>
      <c r="H464" s="316"/>
      <c r="I464" s="309"/>
      <c r="J464" s="309"/>
      <c r="K464" s="309"/>
      <c r="L464" s="309"/>
      <c r="M464" s="309"/>
      <c r="N464" s="309"/>
      <c r="O464" s="309"/>
      <c r="P464" s="309"/>
      <c r="Q464" s="309"/>
      <c r="R464" s="309"/>
      <c r="S464" s="309"/>
      <c r="T464" s="309"/>
      <c r="U464" s="309"/>
      <c r="V464" s="309"/>
      <c r="W464" s="309"/>
      <c r="X464" s="309"/>
      <c r="Y464" s="309"/>
      <c r="Z464" s="309"/>
      <c r="AA464" s="309"/>
    </row>
    <row r="465" ht="27.0" customHeight="1">
      <c r="A465" s="309"/>
      <c r="B465" s="309"/>
      <c r="C465" s="309"/>
      <c r="D465" s="309"/>
      <c r="E465" s="330"/>
      <c r="F465" s="309"/>
      <c r="G465" s="309"/>
      <c r="H465" s="316"/>
      <c r="I465" s="309"/>
      <c r="J465" s="309"/>
      <c r="K465" s="309"/>
      <c r="L465" s="309"/>
      <c r="M465" s="309"/>
      <c r="N465" s="309"/>
      <c r="O465" s="309"/>
      <c r="P465" s="309"/>
      <c r="Q465" s="309"/>
      <c r="R465" s="309"/>
      <c r="S465" s="309"/>
      <c r="T465" s="309"/>
      <c r="U465" s="309"/>
      <c r="V465" s="309"/>
      <c r="W465" s="309"/>
      <c r="X465" s="309"/>
      <c r="Y465" s="309"/>
      <c r="Z465" s="309"/>
      <c r="AA465" s="309"/>
    </row>
    <row r="466" ht="27.0" customHeight="1">
      <c r="A466" s="309"/>
      <c r="B466" s="309"/>
      <c r="C466" s="309"/>
      <c r="D466" s="309"/>
      <c r="E466" s="330"/>
      <c r="F466" s="309"/>
      <c r="G466" s="309"/>
      <c r="H466" s="316"/>
      <c r="I466" s="309"/>
      <c r="J466" s="309"/>
      <c r="K466" s="309"/>
      <c r="L466" s="309"/>
      <c r="M466" s="309"/>
      <c r="N466" s="309"/>
      <c r="O466" s="309"/>
      <c r="P466" s="309"/>
      <c r="Q466" s="309"/>
      <c r="R466" s="309"/>
      <c r="S466" s="309"/>
      <c r="T466" s="309"/>
      <c r="U466" s="309"/>
      <c r="V466" s="309"/>
      <c r="W466" s="309"/>
      <c r="X466" s="309"/>
      <c r="Y466" s="309"/>
      <c r="Z466" s="309"/>
      <c r="AA466" s="309"/>
    </row>
    <row r="467" ht="27.0" customHeight="1">
      <c r="A467" s="309"/>
      <c r="B467" s="309"/>
      <c r="C467" s="309"/>
      <c r="D467" s="309"/>
      <c r="E467" s="330"/>
      <c r="F467" s="309"/>
      <c r="G467" s="309"/>
      <c r="H467" s="316"/>
      <c r="I467" s="309"/>
      <c r="J467" s="309"/>
      <c r="K467" s="309"/>
      <c r="L467" s="309"/>
      <c r="M467" s="309"/>
      <c r="N467" s="309"/>
      <c r="O467" s="309"/>
      <c r="P467" s="309"/>
      <c r="Q467" s="309"/>
      <c r="R467" s="309"/>
      <c r="S467" s="309"/>
      <c r="T467" s="309"/>
      <c r="U467" s="309"/>
      <c r="V467" s="309"/>
      <c r="W467" s="309"/>
      <c r="X467" s="309"/>
      <c r="Y467" s="309"/>
      <c r="Z467" s="309"/>
      <c r="AA467" s="309"/>
    </row>
    <row r="468" ht="27.0" customHeight="1">
      <c r="A468" s="309"/>
      <c r="B468" s="309"/>
      <c r="C468" s="309"/>
      <c r="D468" s="309"/>
      <c r="E468" s="330"/>
      <c r="F468" s="309"/>
      <c r="G468" s="309"/>
      <c r="H468" s="316"/>
      <c r="I468" s="309"/>
      <c r="J468" s="309"/>
      <c r="K468" s="309"/>
      <c r="L468" s="309"/>
      <c r="M468" s="309"/>
      <c r="N468" s="309"/>
      <c r="O468" s="309"/>
      <c r="P468" s="309"/>
      <c r="Q468" s="309"/>
      <c r="R468" s="309"/>
      <c r="S468" s="309"/>
      <c r="T468" s="309"/>
      <c r="U468" s="309"/>
      <c r="V468" s="309"/>
      <c r="W468" s="309"/>
      <c r="X468" s="309"/>
      <c r="Y468" s="309"/>
      <c r="Z468" s="309"/>
      <c r="AA468" s="309"/>
    </row>
    <row r="469" ht="27.0" customHeight="1">
      <c r="A469" s="309"/>
      <c r="B469" s="309"/>
      <c r="C469" s="309"/>
      <c r="D469" s="309"/>
      <c r="E469" s="330"/>
      <c r="F469" s="309"/>
      <c r="G469" s="309"/>
      <c r="H469" s="316"/>
      <c r="I469" s="309"/>
      <c r="J469" s="309"/>
      <c r="K469" s="309"/>
      <c r="L469" s="309"/>
      <c r="M469" s="309"/>
      <c r="N469" s="309"/>
      <c r="O469" s="309"/>
      <c r="P469" s="309"/>
      <c r="Q469" s="309"/>
      <c r="R469" s="309"/>
      <c r="S469" s="309"/>
      <c r="T469" s="309"/>
      <c r="U469" s="309"/>
      <c r="V469" s="309"/>
      <c r="W469" s="309"/>
      <c r="X469" s="309"/>
      <c r="Y469" s="309"/>
      <c r="Z469" s="309"/>
      <c r="AA469" s="309"/>
    </row>
    <row r="470" ht="27.0" customHeight="1">
      <c r="A470" s="309"/>
      <c r="B470" s="309"/>
      <c r="C470" s="309"/>
      <c r="D470" s="309"/>
      <c r="E470" s="330"/>
      <c r="F470" s="309"/>
      <c r="G470" s="309"/>
      <c r="H470" s="316"/>
      <c r="I470" s="309"/>
      <c r="J470" s="309"/>
      <c r="K470" s="309"/>
      <c r="L470" s="309"/>
      <c r="M470" s="309"/>
      <c r="N470" s="309"/>
      <c r="O470" s="309"/>
      <c r="P470" s="309"/>
      <c r="Q470" s="309"/>
      <c r="R470" s="309"/>
      <c r="S470" s="309"/>
      <c r="T470" s="309"/>
      <c r="U470" s="309"/>
      <c r="V470" s="309"/>
      <c r="W470" s="309"/>
      <c r="X470" s="309"/>
      <c r="Y470" s="309"/>
      <c r="Z470" s="309"/>
      <c r="AA470" s="309"/>
    </row>
    <row r="471" ht="27.0" customHeight="1">
      <c r="A471" s="309"/>
      <c r="B471" s="309"/>
      <c r="C471" s="309"/>
      <c r="D471" s="309"/>
      <c r="E471" s="330"/>
      <c r="F471" s="309"/>
      <c r="G471" s="309"/>
      <c r="H471" s="316"/>
      <c r="I471" s="309"/>
      <c r="J471" s="309"/>
      <c r="K471" s="309"/>
      <c r="L471" s="309"/>
      <c r="M471" s="309"/>
      <c r="N471" s="309"/>
      <c r="O471" s="309"/>
      <c r="P471" s="309"/>
      <c r="Q471" s="309"/>
      <c r="R471" s="309"/>
      <c r="S471" s="309"/>
      <c r="T471" s="309"/>
      <c r="U471" s="309"/>
      <c r="V471" s="309"/>
      <c r="W471" s="309"/>
      <c r="X471" s="309"/>
      <c r="Y471" s="309"/>
      <c r="Z471" s="309"/>
      <c r="AA471" s="309"/>
    </row>
    <row r="472" ht="27.0" customHeight="1">
      <c r="A472" s="309"/>
      <c r="B472" s="309"/>
      <c r="C472" s="309"/>
      <c r="D472" s="309"/>
      <c r="E472" s="330"/>
      <c r="F472" s="309"/>
      <c r="G472" s="309"/>
      <c r="H472" s="316"/>
      <c r="I472" s="309"/>
      <c r="J472" s="309"/>
      <c r="K472" s="309"/>
      <c r="L472" s="309"/>
      <c r="M472" s="309"/>
      <c r="N472" s="309"/>
      <c r="O472" s="309"/>
      <c r="P472" s="309"/>
      <c r="Q472" s="309"/>
      <c r="R472" s="309"/>
      <c r="S472" s="309"/>
      <c r="T472" s="309"/>
      <c r="U472" s="309"/>
      <c r="V472" s="309"/>
      <c r="W472" s="309"/>
      <c r="X472" s="309"/>
      <c r="Y472" s="309"/>
      <c r="Z472" s="309"/>
      <c r="AA472" s="309"/>
    </row>
    <row r="473" ht="27.0" customHeight="1">
      <c r="A473" s="309"/>
      <c r="B473" s="309"/>
      <c r="C473" s="309"/>
      <c r="D473" s="309"/>
      <c r="E473" s="330"/>
      <c r="F473" s="309"/>
      <c r="G473" s="309"/>
      <c r="H473" s="316"/>
      <c r="I473" s="309"/>
      <c r="J473" s="309"/>
      <c r="K473" s="309"/>
      <c r="L473" s="309"/>
      <c r="M473" s="309"/>
      <c r="N473" s="309"/>
      <c r="O473" s="309"/>
      <c r="P473" s="309"/>
      <c r="Q473" s="309"/>
      <c r="R473" s="309"/>
      <c r="S473" s="309"/>
      <c r="T473" s="309"/>
      <c r="U473" s="309"/>
      <c r="V473" s="309"/>
      <c r="W473" s="309"/>
      <c r="X473" s="309"/>
      <c r="Y473" s="309"/>
      <c r="Z473" s="309"/>
      <c r="AA473" s="309"/>
    </row>
    <row r="474" ht="27.0" customHeight="1">
      <c r="A474" s="309"/>
      <c r="B474" s="309"/>
      <c r="C474" s="309"/>
      <c r="D474" s="309"/>
      <c r="E474" s="330"/>
      <c r="F474" s="309"/>
      <c r="G474" s="309"/>
      <c r="H474" s="316"/>
      <c r="I474" s="309"/>
      <c r="J474" s="309"/>
      <c r="K474" s="309"/>
      <c r="L474" s="309"/>
      <c r="M474" s="309"/>
      <c r="N474" s="309"/>
      <c r="O474" s="309"/>
      <c r="P474" s="309"/>
      <c r="Q474" s="309"/>
      <c r="R474" s="309"/>
      <c r="S474" s="309"/>
      <c r="T474" s="309"/>
      <c r="U474" s="309"/>
      <c r="V474" s="309"/>
      <c r="W474" s="309"/>
      <c r="X474" s="309"/>
      <c r="Y474" s="309"/>
      <c r="Z474" s="309"/>
      <c r="AA474" s="309"/>
    </row>
    <row r="475" ht="27.0" customHeight="1">
      <c r="A475" s="309"/>
      <c r="B475" s="309"/>
      <c r="C475" s="309"/>
      <c r="D475" s="309"/>
      <c r="E475" s="330"/>
      <c r="F475" s="309"/>
      <c r="G475" s="309"/>
      <c r="H475" s="316"/>
      <c r="I475" s="309"/>
      <c r="J475" s="309"/>
      <c r="K475" s="309"/>
      <c r="L475" s="309"/>
      <c r="M475" s="309"/>
      <c r="N475" s="309"/>
      <c r="O475" s="309"/>
      <c r="P475" s="309"/>
      <c r="Q475" s="309"/>
      <c r="R475" s="309"/>
      <c r="S475" s="309"/>
      <c r="T475" s="309"/>
      <c r="U475" s="309"/>
      <c r="V475" s="309"/>
      <c r="W475" s="309"/>
      <c r="X475" s="309"/>
      <c r="Y475" s="309"/>
      <c r="Z475" s="309"/>
      <c r="AA475" s="309"/>
    </row>
    <row r="476" ht="27.0" customHeight="1">
      <c r="A476" s="309"/>
      <c r="B476" s="309"/>
      <c r="C476" s="309"/>
      <c r="D476" s="309"/>
      <c r="E476" s="330"/>
      <c r="F476" s="309"/>
      <c r="G476" s="309"/>
      <c r="H476" s="316"/>
      <c r="I476" s="309"/>
      <c r="J476" s="309"/>
      <c r="K476" s="309"/>
      <c r="L476" s="309"/>
      <c r="M476" s="309"/>
      <c r="N476" s="309"/>
      <c r="O476" s="309"/>
      <c r="P476" s="309"/>
      <c r="Q476" s="309"/>
      <c r="R476" s="309"/>
      <c r="S476" s="309"/>
      <c r="T476" s="309"/>
      <c r="U476" s="309"/>
      <c r="V476" s="309"/>
      <c r="W476" s="309"/>
      <c r="X476" s="309"/>
      <c r="Y476" s="309"/>
      <c r="Z476" s="309"/>
      <c r="AA476" s="309"/>
    </row>
    <row r="477" ht="27.0" customHeight="1">
      <c r="A477" s="309"/>
      <c r="B477" s="309"/>
      <c r="C477" s="309"/>
      <c r="D477" s="309"/>
      <c r="E477" s="330"/>
      <c r="F477" s="309"/>
      <c r="G477" s="309"/>
      <c r="H477" s="316"/>
      <c r="I477" s="309"/>
      <c r="J477" s="309"/>
      <c r="K477" s="309"/>
      <c r="L477" s="309"/>
      <c r="M477" s="309"/>
      <c r="N477" s="309"/>
      <c r="O477" s="309"/>
      <c r="P477" s="309"/>
      <c r="Q477" s="309"/>
      <c r="R477" s="309"/>
      <c r="S477" s="309"/>
      <c r="T477" s="309"/>
      <c r="U477" s="309"/>
      <c r="V477" s="309"/>
      <c r="W477" s="309"/>
      <c r="X477" s="309"/>
      <c r="Y477" s="309"/>
      <c r="Z477" s="309"/>
      <c r="AA477" s="309"/>
    </row>
    <row r="478" ht="27.0" customHeight="1">
      <c r="A478" s="309"/>
      <c r="B478" s="309"/>
      <c r="C478" s="309"/>
      <c r="D478" s="309"/>
      <c r="E478" s="330"/>
      <c r="F478" s="309"/>
      <c r="G478" s="309"/>
      <c r="H478" s="316"/>
      <c r="I478" s="309"/>
      <c r="J478" s="309"/>
      <c r="K478" s="309"/>
      <c r="L478" s="309"/>
      <c r="M478" s="309"/>
      <c r="N478" s="309"/>
      <c r="O478" s="309"/>
      <c r="P478" s="309"/>
      <c r="Q478" s="309"/>
      <c r="R478" s="309"/>
      <c r="S478" s="309"/>
      <c r="T478" s="309"/>
      <c r="U478" s="309"/>
      <c r="V478" s="309"/>
      <c r="W478" s="309"/>
      <c r="X478" s="309"/>
      <c r="Y478" s="309"/>
      <c r="Z478" s="309"/>
      <c r="AA478" s="309"/>
    </row>
    <row r="479" ht="27.0" customHeight="1">
      <c r="A479" s="309"/>
      <c r="B479" s="309"/>
      <c r="C479" s="309"/>
      <c r="D479" s="309"/>
      <c r="E479" s="330"/>
      <c r="F479" s="309"/>
      <c r="G479" s="309"/>
      <c r="H479" s="316"/>
      <c r="I479" s="309"/>
      <c r="J479" s="309"/>
      <c r="K479" s="309"/>
      <c r="L479" s="309"/>
      <c r="M479" s="309"/>
      <c r="N479" s="309"/>
      <c r="O479" s="309"/>
      <c r="P479" s="309"/>
      <c r="Q479" s="309"/>
      <c r="R479" s="309"/>
      <c r="S479" s="309"/>
      <c r="T479" s="309"/>
      <c r="U479" s="309"/>
      <c r="V479" s="309"/>
      <c r="W479" s="309"/>
      <c r="X479" s="309"/>
      <c r="Y479" s="309"/>
      <c r="Z479" s="309"/>
      <c r="AA479" s="309"/>
    </row>
    <row r="480" ht="27.0" customHeight="1">
      <c r="A480" s="309"/>
      <c r="B480" s="309"/>
      <c r="C480" s="309"/>
      <c r="D480" s="309"/>
      <c r="E480" s="330"/>
      <c r="F480" s="309"/>
      <c r="G480" s="309"/>
      <c r="H480" s="316"/>
      <c r="I480" s="309"/>
      <c r="J480" s="309"/>
      <c r="K480" s="309"/>
      <c r="L480" s="309"/>
      <c r="M480" s="309"/>
      <c r="N480" s="309"/>
      <c r="O480" s="309"/>
      <c r="P480" s="309"/>
      <c r="Q480" s="309"/>
      <c r="R480" s="309"/>
      <c r="S480" s="309"/>
      <c r="T480" s="309"/>
      <c r="U480" s="309"/>
      <c r="V480" s="309"/>
      <c r="W480" s="309"/>
      <c r="X480" s="309"/>
      <c r="Y480" s="309"/>
      <c r="Z480" s="309"/>
      <c r="AA480" s="309"/>
    </row>
    <row r="481" ht="27.0" customHeight="1">
      <c r="A481" s="309"/>
      <c r="B481" s="309"/>
      <c r="C481" s="309"/>
      <c r="D481" s="309"/>
      <c r="E481" s="330"/>
      <c r="F481" s="309"/>
      <c r="G481" s="309"/>
      <c r="H481" s="316"/>
      <c r="I481" s="309"/>
      <c r="J481" s="309"/>
      <c r="K481" s="309"/>
      <c r="L481" s="309"/>
      <c r="M481" s="309"/>
      <c r="N481" s="309"/>
      <c r="O481" s="309"/>
      <c r="P481" s="309"/>
      <c r="Q481" s="309"/>
      <c r="R481" s="309"/>
      <c r="S481" s="309"/>
      <c r="T481" s="309"/>
      <c r="U481" s="309"/>
      <c r="V481" s="309"/>
      <c r="W481" s="309"/>
      <c r="X481" s="309"/>
      <c r="Y481" s="309"/>
      <c r="Z481" s="309"/>
      <c r="AA481" s="309"/>
    </row>
    <row r="482" ht="27.0" customHeight="1">
      <c r="A482" s="309"/>
      <c r="B482" s="309"/>
      <c r="C482" s="309"/>
      <c r="D482" s="309"/>
      <c r="E482" s="330"/>
      <c r="F482" s="309"/>
      <c r="G482" s="309"/>
      <c r="H482" s="316"/>
      <c r="I482" s="309"/>
      <c r="J482" s="309"/>
      <c r="K482" s="309"/>
      <c r="L482" s="309"/>
      <c r="M482" s="309"/>
      <c r="N482" s="309"/>
      <c r="O482" s="309"/>
      <c r="P482" s="309"/>
      <c r="Q482" s="309"/>
      <c r="R482" s="309"/>
      <c r="S482" s="309"/>
      <c r="T482" s="309"/>
      <c r="U482" s="309"/>
      <c r="V482" s="309"/>
      <c r="W482" s="309"/>
      <c r="X482" s="309"/>
      <c r="Y482" s="309"/>
      <c r="Z482" s="309"/>
      <c r="AA482" s="309"/>
    </row>
    <row r="483" ht="27.0" customHeight="1">
      <c r="A483" s="309"/>
      <c r="B483" s="309"/>
      <c r="C483" s="309"/>
      <c r="D483" s="309"/>
      <c r="E483" s="330"/>
      <c r="F483" s="309"/>
      <c r="G483" s="309"/>
      <c r="H483" s="316"/>
      <c r="I483" s="309"/>
      <c r="J483" s="309"/>
      <c r="K483" s="309"/>
      <c r="L483" s="309"/>
      <c r="M483" s="309"/>
      <c r="N483" s="309"/>
      <c r="O483" s="309"/>
      <c r="P483" s="309"/>
      <c r="Q483" s="309"/>
      <c r="R483" s="309"/>
      <c r="S483" s="309"/>
      <c r="T483" s="309"/>
      <c r="U483" s="309"/>
      <c r="V483" s="309"/>
      <c r="W483" s="309"/>
      <c r="X483" s="309"/>
      <c r="Y483" s="309"/>
      <c r="Z483" s="309"/>
      <c r="AA483" s="309"/>
    </row>
    <row r="484" ht="27.0" customHeight="1">
      <c r="A484" s="309"/>
      <c r="B484" s="309"/>
      <c r="C484" s="309"/>
      <c r="D484" s="309"/>
      <c r="E484" s="330"/>
      <c r="F484" s="309"/>
      <c r="G484" s="309"/>
      <c r="H484" s="316"/>
      <c r="I484" s="309"/>
      <c r="J484" s="309"/>
      <c r="K484" s="309"/>
      <c r="L484" s="309"/>
      <c r="M484" s="309"/>
      <c r="N484" s="309"/>
      <c r="O484" s="309"/>
      <c r="P484" s="309"/>
      <c r="Q484" s="309"/>
      <c r="R484" s="309"/>
      <c r="S484" s="309"/>
      <c r="T484" s="309"/>
      <c r="U484" s="309"/>
      <c r="V484" s="309"/>
      <c r="W484" s="309"/>
      <c r="X484" s="309"/>
      <c r="Y484" s="309"/>
      <c r="Z484" s="309"/>
      <c r="AA484" s="309"/>
    </row>
    <row r="485" ht="27.0" customHeight="1">
      <c r="A485" s="309"/>
      <c r="B485" s="309"/>
      <c r="C485" s="309"/>
      <c r="D485" s="309"/>
      <c r="E485" s="330"/>
      <c r="F485" s="309"/>
      <c r="G485" s="309"/>
      <c r="H485" s="316"/>
      <c r="I485" s="309"/>
      <c r="J485" s="309"/>
      <c r="K485" s="309"/>
      <c r="L485" s="309"/>
      <c r="M485" s="309"/>
      <c r="N485" s="309"/>
      <c r="O485" s="309"/>
      <c r="P485" s="309"/>
      <c r="Q485" s="309"/>
      <c r="R485" s="309"/>
      <c r="S485" s="309"/>
      <c r="T485" s="309"/>
      <c r="U485" s="309"/>
      <c r="V485" s="309"/>
      <c r="W485" s="309"/>
      <c r="X485" s="309"/>
      <c r="Y485" s="309"/>
      <c r="Z485" s="309"/>
      <c r="AA485" s="309"/>
    </row>
    <row r="486" ht="27.0" customHeight="1">
      <c r="A486" s="309"/>
      <c r="B486" s="309"/>
      <c r="C486" s="309"/>
      <c r="D486" s="309"/>
      <c r="E486" s="330"/>
      <c r="F486" s="309"/>
      <c r="G486" s="309"/>
      <c r="H486" s="316"/>
      <c r="I486" s="309"/>
      <c r="J486" s="309"/>
      <c r="K486" s="309"/>
      <c r="L486" s="309"/>
      <c r="M486" s="309"/>
      <c r="N486" s="309"/>
      <c r="O486" s="309"/>
      <c r="P486" s="309"/>
      <c r="Q486" s="309"/>
      <c r="R486" s="309"/>
      <c r="S486" s="309"/>
      <c r="T486" s="309"/>
      <c r="U486" s="309"/>
      <c r="V486" s="309"/>
      <c r="W486" s="309"/>
      <c r="X486" s="309"/>
      <c r="Y486" s="309"/>
      <c r="Z486" s="309"/>
      <c r="AA486" s="309"/>
    </row>
    <row r="487" ht="27.0" customHeight="1">
      <c r="A487" s="309"/>
      <c r="B487" s="309"/>
      <c r="C487" s="309"/>
      <c r="D487" s="309"/>
      <c r="E487" s="330"/>
      <c r="F487" s="309"/>
      <c r="G487" s="309"/>
      <c r="H487" s="316"/>
      <c r="I487" s="309"/>
      <c r="J487" s="309"/>
      <c r="K487" s="309"/>
      <c r="L487" s="309"/>
      <c r="M487" s="309"/>
      <c r="N487" s="309"/>
      <c r="O487" s="309"/>
      <c r="P487" s="309"/>
      <c r="Q487" s="309"/>
      <c r="R487" s="309"/>
      <c r="S487" s="309"/>
      <c r="T487" s="309"/>
      <c r="U487" s="309"/>
      <c r="V487" s="309"/>
      <c r="W487" s="309"/>
      <c r="X487" s="309"/>
      <c r="Y487" s="309"/>
      <c r="Z487" s="309"/>
      <c r="AA487" s="309"/>
    </row>
    <row r="488" ht="27.0" customHeight="1">
      <c r="A488" s="309"/>
      <c r="B488" s="309"/>
      <c r="C488" s="309"/>
      <c r="D488" s="309"/>
      <c r="E488" s="330"/>
      <c r="F488" s="309"/>
      <c r="G488" s="309"/>
      <c r="H488" s="316"/>
      <c r="I488" s="309"/>
      <c r="J488" s="309"/>
      <c r="K488" s="309"/>
      <c r="L488" s="309"/>
      <c r="M488" s="309"/>
      <c r="N488" s="309"/>
      <c r="O488" s="309"/>
      <c r="P488" s="309"/>
      <c r="Q488" s="309"/>
      <c r="R488" s="309"/>
      <c r="S488" s="309"/>
      <c r="T488" s="309"/>
      <c r="U488" s="309"/>
      <c r="V488" s="309"/>
      <c r="W488" s="309"/>
      <c r="X488" s="309"/>
      <c r="Y488" s="309"/>
      <c r="Z488" s="309"/>
      <c r="AA488" s="309"/>
    </row>
    <row r="489" ht="27.0" customHeight="1">
      <c r="A489" s="309"/>
      <c r="B489" s="309"/>
      <c r="C489" s="309"/>
      <c r="D489" s="309"/>
      <c r="E489" s="330"/>
      <c r="F489" s="309"/>
      <c r="G489" s="309"/>
      <c r="H489" s="316"/>
      <c r="I489" s="309"/>
      <c r="J489" s="309"/>
      <c r="K489" s="309"/>
      <c r="L489" s="309"/>
      <c r="M489" s="309"/>
      <c r="N489" s="309"/>
      <c r="O489" s="309"/>
      <c r="P489" s="309"/>
      <c r="Q489" s="309"/>
      <c r="R489" s="309"/>
      <c r="S489" s="309"/>
      <c r="T489" s="309"/>
      <c r="U489" s="309"/>
      <c r="V489" s="309"/>
      <c r="W489" s="309"/>
      <c r="X489" s="309"/>
      <c r="Y489" s="309"/>
      <c r="Z489" s="309"/>
      <c r="AA489" s="309"/>
    </row>
    <row r="490" ht="27.0" customHeight="1">
      <c r="A490" s="309"/>
      <c r="B490" s="309"/>
      <c r="C490" s="309"/>
      <c r="D490" s="309"/>
      <c r="E490" s="330"/>
      <c r="F490" s="309"/>
      <c r="G490" s="309"/>
      <c r="H490" s="316"/>
      <c r="I490" s="309"/>
      <c r="J490" s="309"/>
      <c r="K490" s="309"/>
      <c r="L490" s="309"/>
      <c r="M490" s="309"/>
      <c r="N490" s="309"/>
      <c r="O490" s="309"/>
      <c r="P490" s="309"/>
      <c r="Q490" s="309"/>
      <c r="R490" s="309"/>
      <c r="S490" s="309"/>
      <c r="T490" s="309"/>
      <c r="U490" s="309"/>
      <c r="V490" s="309"/>
      <c r="W490" s="309"/>
      <c r="X490" s="309"/>
      <c r="Y490" s="309"/>
      <c r="Z490" s="309"/>
      <c r="AA490" s="309"/>
    </row>
    <row r="491" ht="27.0" customHeight="1">
      <c r="A491" s="309"/>
      <c r="B491" s="309"/>
      <c r="C491" s="309"/>
      <c r="D491" s="309"/>
      <c r="E491" s="330"/>
      <c r="F491" s="309"/>
      <c r="G491" s="309"/>
      <c r="H491" s="316"/>
      <c r="I491" s="309"/>
      <c r="J491" s="309"/>
      <c r="K491" s="309"/>
      <c r="L491" s="309"/>
      <c r="M491" s="309"/>
      <c r="N491" s="309"/>
      <c r="O491" s="309"/>
      <c r="P491" s="309"/>
      <c r="Q491" s="309"/>
      <c r="R491" s="309"/>
      <c r="S491" s="309"/>
      <c r="T491" s="309"/>
      <c r="U491" s="309"/>
      <c r="V491" s="309"/>
      <c r="W491" s="309"/>
      <c r="X491" s="309"/>
      <c r="Y491" s="309"/>
      <c r="Z491" s="309"/>
      <c r="AA491" s="309"/>
    </row>
    <row r="492" ht="27.0" customHeight="1">
      <c r="A492" s="309"/>
      <c r="B492" s="309"/>
      <c r="C492" s="309"/>
      <c r="D492" s="309"/>
      <c r="E492" s="330"/>
      <c r="F492" s="309"/>
      <c r="G492" s="309"/>
      <c r="H492" s="316"/>
      <c r="I492" s="309"/>
      <c r="J492" s="309"/>
      <c r="K492" s="309"/>
      <c r="L492" s="309"/>
      <c r="M492" s="309"/>
      <c r="N492" s="309"/>
      <c r="O492" s="309"/>
      <c r="P492" s="309"/>
      <c r="Q492" s="309"/>
      <c r="R492" s="309"/>
      <c r="S492" s="309"/>
      <c r="T492" s="309"/>
      <c r="U492" s="309"/>
      <c r="V492" s="309"/>
      <c r="W492" s="309"/>
      <c r="X492" s="309"/>
      <c r="Y492" s="309"/>
      <c r="Z492" s="309"/>
      <c r="AA492" s="309"/>
    </row>
    <row r="493" ht="27.0" customHeight="1">
      <c r="A493" s="309"/>
      <c r="B493" s="309"/>
      <c r="C493" s="309"/>
      <c r="D493" s="309"/>
      <c r="E493" s="330"/>
      <c r="F493" s="309"/>
      <c r="G493" s="309"/>
      <c r="H493" s="316"/>
      <c r="I493" s="309"/>
      <c r="J493" s="309"/>
      <c r="K493" s="309"/>
      <c r="L493" s="309"/>
      <c r="M493" s="309"/>
      <c r="N493" s="309"/>
      <c r="O493" s="309"/>
      <c r="P493" s="309"/>
      <c r="Q493" s="309"/>
      <c r="R493" s="309"/>
      <c r="S493" s="309"/>
      <c r="T493" s="309"/>
      <c r="U493" s="309"/>
      <c r="V493" s="309"/>
      <c r="W493" s="309"/>
      <c r="X493" s="309"/>
      <c r="Y493" s="309"/>
      <c r="Z493" s="309"/>
      <c r="AA493" s="309"/>
    </row>
    <row r="494" ht="27.0" customHeight="1">
      <c r="A494" s="309"/>
      <c r="B494" s="309"/>
      <c r="C494" s="309"/>
      <c r="D494" s="309"/>
      <c r="E494" s="330"/>
      <c r="F494" s="309"/>
      <c r="G494" s="309"/>
      <c r="H494" s="316"/>
      <c r="I494" s="309"/>
      <c r="J494" s="309"/>
      <c r="K494" s="309"/>
      <c r="L494" s="309"/>
      <c r="M494" s="309"/>
      <c r="N494" s="309"/>
      <c r="O494" s="309"/>
      <c r="P494" s="309"/>
      <c r="Q494" s="309"/>
      <c r="R494" s="309"/>
      <c r="S494" s="309"/>
      <c r="T494" s="309"/>
      <c r="U494" s="309"/>
      <c r="V494" s="309"/>
      <c r="W494" s="309"/>
      <c r="X494" s="309"/>
      <c r="Y494" s="309"/>
      <c r="Z494" s="309"/>
      <c r="AA494" s="309"/>
    </row>
    <row r="495" ht="27.0" customHeight="1">
      <c r="A495" s="309"/>
      <c r="B495" s="309"/>
      <c r="C495" s="309"/>
      <c r="D495" s="309"/>
      <c r="E495" s="330"/>
      <c r="F495" s="309"/>
      <c r="G495" s="309"/>
      <c r="H495" s="316"/>
      <c r="I495" s="309"/>
      <c r="J495" s="309"/>
      <c r="K495" s="309"/>
      <c r="L495" s="309"/>
      <c r="M495" s="309"/>
      <c r="N495" s="309"/>
      <c r="O495" s="309"/>
      <c r="P495" s="309"/>
      <c r="Q495" s="309"/>
      <c r="R495" s="309"/>
      <c r="S495" s="309"/>
      <c r="T495" s="309"/>
      <c r="U495" s="309"/>
      <c r="V495" s="309"/>
      <c r="W495" s="309"/>
      <c r="X495" s="309"/>
      <c r="Y495" s="309"/>
      <c r="Z495" s="309"/>
      <c r="AA495" s="309"/>
    </row>
    <row r="496" ht="27.0" customHeight="1">
      <c r="A496" s="309"/>
      <c r="B496" s="309"/>
      <c r="C496" s="309"/>
      <c r="D496" s="309"/>
      <c r="E496" s="330"/>
      <c r="F496" s="309"/>
      <c r="G496" s="309"/>
      <c r="H496" s="316"/>
      <c r="I496" s="309"/>
      <c r="J496" s="309"/>
      <c r="K496" s="309"/>
      <c r="L496" s="309"/>
      <c r="M496" s="309"/>
      <c r="N496" s="309"/>
      <c r="O496" s="309"/>
      <c r="P496" s="309"/>
      <c r="Q496" s="309"/>
      <c r="R496" s="309"/>
      <c r="S496" s="309"/>
      <c r="T496" s="309"/>
      <c r="U496" s="309"/>
      <c r="V496" s="309"/>
      <c r="W496" s="309"/>
      <c r="X496" s="309"/>
      <c r="Y496" s="309"/>
      <c r="Z496" s="309"/>
      <c r="AA496" s="309"/>
    </row>
    <row r="497" ht="27.0" customHeight="1">
      <c r="A497" s="309"/>
      <c r="B497" s="309"/>
      <c r="C497" s="309"/>
      <c r="D497" s="309"/>
      <c r="E497" s="330"/>
      <c r="F497" s="309"/>
      <c r="G497" s="309"/>
      <c r="H497" s="316"/>
      <c r="I497" s="309"/>
      <c r="J497" s="309"/>
      <c r="K497" s="309"/>
      <c r="L497" s="309"/>
      <c r="M497" s="309"/>
      <c r="N497" s="309"/>
      <c r="O497" s="309"/>
      <c r="P497" s="309"/>
      <c r="Q497" s="309"/>
      <c r="R497" s="309"/>
      <c r="S497" s="309"/>
      <c r="T497" s="309"/>
      <c r="U497" s="309"/>
      <c r="V497" s="309"/>
      <c r="W497" s="309"/>
      <c r="X497" s="309"/>
      <c r="Y497" s="309"/>
      <c r="Z497" s="309"/>
      <c r="AA497" s="309"/>
    </row>
    <row r="498" ht="27.0" customHeight="1">
      <c r="A498" s="309"/>
      <c r="B498" s="309"/>
      <c r="C498" s="309"/>
      <c r="D498" s="309"/>
      <c r="E498" s="330"/>
      <c r="F498" s="309"/>
      <c r="G498" s="309"/>
      <c r="H498" s="316"/>
      <c r="I498" s="309"/>
      <c r="J498" s="309"/>
      <c r="K498" s="309"/>
      <c r="L498" s="309"/>
      <c r="M498" s="309"/>
      <c r="N498" s="309"/>
      <c r="O498" s="309"/>
      <c r="P498" s="309"/>
      <c r="Q498" s="309"/>
      <c r="R498" s="309"/>
      <c r="S498" s="309"/>
      <c r="T498" s="309"/>
      <c r="U498" s="309"/>
      <c r="V498" s="309"/>
      <c r="W498" s="309"/>
      <c r="X498" s="309"/>
      <c r="Y498" s="309"/>
      <c r="Z498" s="309"/>
      <c r="AA498" s="309"/>
    </row>
    <row r="499" ht="27.0" customHeight="1">
      <c r="A499" s="309"/>
      <c r="B499" s="309"/>
      <c r="C499" s="309"/>
      <c r="D499" s="309"/>
      <c r="E499" s="330"/>
      <c r="F499" s="309"/>
      <c r="G499" s="309"/>
      <c r="H499" s="316"/>
      <c r="I499" s="309"/>
      <c r="J499" s="309"/>
      <c r="K499" s="309"/>
      <c r="L499" s="309"/>
      <c r="M499" s="309"/>
      <c r="N499" s="309"/>
      <c r="O499" s="309"/>
      <c r="P499" s="309"/>
      <c r="Q499" s="309"/>
      <c r="R499" s="309"/>
      <c r="S499" s="309"/>
      <c r="T499" s="309"/>
      <c r="U499" s="309"/>
      <c r="V499" s="309"/>
      <c r="W499" s="309"/>
      <c r="X499" s="309"/>
      <c r="Y499" s="309"/>
      <c r="Z499" s="309"/>
      <c r="AA499" s="309"/>
    </row>
    <row r="500" ht="27.0" customHeight="1">
      <c r="A500" s="309"/>
      <c r="B500" s="309"/>
      <c r="C500" s="309"/>
      <c r="D500" s="309"/>
      <c r="E500" s="330"/>
      <c r="F500" s="309"/>
      <c r="G500" s="309"/>
      <c r="H500" s="316"/>
      <c r="I500" s="309"/>
      <c r="J500" s="309"/>
      <c r="K500" s="309"/>
      <c r="L500" s="309"/>
      <c r="M500" s="309"/>
      <c r="N500" s="309"/>
      <c r="O500" s="309"/>
      <c r="P500" s="309"/>
      <c r="Q500" s="309"/>
      <c r="R500" s="309"/>
      <c r="S500" s="309"/>
      <c r="T500" s="309"/>
      <c r="U500" s="309"/>
      <c r="V500" s="309"/>
      <c r="W500" s="309"/>
      <c r="X500" s="309"/>
      <c r="Y500" s="309"/>
      <c r="Z500" s="309"/>
      <c r="AA500" s="309"/>
    </row>
    <row r="501" ht="27.0" customHeight="1">
      <c r="A501" s="309"/>
      <c r="B501" s="309"/>
      <c r="C501" s="309"/>
      <c r="D501" s="309"/>
      <c r="E501" s="330"/>
      <c r="F501" s="309"/>
      <c r="G501" s="309"/>
      <c r="H501" s="316"/>
      <c r="I501" s="309"/>
      <c r="J501" s="309"/>
      <c r="K501" s="309"/>
      <c r="L501" s="309"/>
      <c r="M501" s="309"/>
      <c r="N501" s="309"/>
      <c r="O501" s="309"/>
      <c r="P501" s="309"/>
      <c r="Q501" s="309"/>
      <c r="R501" s="309"/>
      <c r="S501" s="309"/>
      <c r="T501" s="309"/>
      <c r="U501" s="309"/>
      <c r="V501" s="309"/>
      <c r="W501" s="309"/>
      <c r="X501" s="309"/>
      <c r="Y501" s="309"/>
      <c r="Z501" s="309"/>
      <c r="AA501" s="309"/>
    </row>
    <row r="502" ht="27.0" customHeight="1">
      <c r="A502" s="309"/>
      <c r="B502" s="309"/>
      <c r="C502" s="309"/>
      <c r="D502" s="309"/>
      <c r="E502" s="330"/>
      <c r="F502" s="309"/>
      <c r="G502" s="309"/>
      <c r="H502" s="316"/>
      <c r="I502" s="309"/>
      <c r="J502" s="309"/>
      <c r="K502" s="309"/>
      <c r="L502" s="309"/>
      <c r="M502" s="309"/>
      <c r="N502" s="309"/>
      <c r="O502" s="309"/>
      <c r="P502" s="309"/>
      <c r="Q502" s="309"/>
      <c r="R502" s="309"/>
      <c r="S502" s="309"/>
      <c r="T502" s="309"/>
      <c r="U502" s="309"/>
      <c r="V502" s="309"/>
      <c r="W502" s="309"/>
      <c r="X502" s="309"/>
      <c r="Y502" s="309"/>
      <c r="Z502" s="309"/>
      <c r="AA502" s="309"/>
    </row>
    <row r="503" ht="27.0" customHeight="1">
      <c r="A503" s="309"/>
      <c r="B503" s="309"/>
      <c r="C503" s="309"/>
      <c r="D503" s="309"/>
      <c r="E503" s="330"/>
      <c r="F503" s="309"/>
      <c r="G503" s="309"/>
      <c r="H503" s="316"/>
      <c r="I503" s="309"/>
      <c r="J503" s="309"/>
      <c r="K503" s="309"/>
      <c r="L503" s="309"/>
      <c r="M503" s="309"/>
      <c r="N503" s="309"/>
      <c r="O503" s="309"/>
      <c r="P503" s="309"/>
      <c r="Q503" s="309"/>
      <c r="R503" s="309"/>
      <c r="S503" s="309"/>
      <c r="T503" s="309"/>
      <c r="U503" s="309"/>
      <c r="V503" s="309"/>
      <c r="W503" s="309"/>
      <c r="X503" s="309"/>
      <c r="Y503" s="309"/>
      <c r="Z503" s="309"/>
      <c r="AA503" s="309"/>
    </row>
    <row r="504" ht="27.0" customHeight="1">
      <c r="A504" s="309"/>
      <c r="B504" s="309"/>
      <c r="C504" s="309"/>
      <c r="D504" s="309"/>
      <c r="E504" s="330"/>
      <c r="F504" s="309"/>
      <c r="G504" s="309"/>
      <c r="H504" s="316"/>
      <c r="I504" s="309"/>
      <c r="J504" s="309"/>
      <c r="K504" s="309"/>
      <c r="L504" s="309"/>
      <c r="M504" s="309"/>
      <c r="N504" s="309"/>
      <c r="O504" s="309"/>
      <c r="P504" s="309"/>
      <c r="Q504" s="309"/>
      <c r="R504" s="309"/>
      <c r="S504" s="309"/>
      <c r="T504" s="309"/>
      <c r="U504" s="309"/>
      <c r="V504" s="309"/>
      <c r="W504" s="309"/>
      <c r="X504" s="309"/>
      <c r="Y504" s="309"/>
      <c r="Z504" s="309"/>
      <c r="AA504" s="309"/>
    </row>
    <row r="505" ht="27.0" customHeight="1">
      <c r="A505" s="309"/>
      <c r="B505" s="309"/>
      <c r="C505" s="309"/>
      <c r="D505" s="309"/>
      <c r="E505" s="330"/>
      <c r="F505" s="309"/>
      <c r="G505" s="309"/>
      <c r="H505" s="316"/>
      <c r="I505" s="309"/>
      <c r="J505" s="309"/>
      <c r="K505" s="309"/>
      <c r="L505" s="309"/>
      <c r="M505" s="309"/>
      <c r="N505" s="309"/>
      <c r="O505" s="309"/>
      <c r="P505" s="309"/>
      <c r="Q505" s="309"/>
      <c r="R505" s="309"/>
      <c r="S505" s="309"/>
      <c r="T505" s="309"/>
      <c r="U505" s="309"/>
      <c r="V505" s="309"/>
      <c r="W505" s="309"/>
      <c r="X505" s="309"/>
      <c r="Y505" s="309"/>
      <c r="Z505" s="309"/>
      <c r="AA505" s="309"/>
    </row>
    <row r="506" ht="27.0" customHeight="1">
      <c r="A506" s="309"/>
      <c r="B506" s="309"/>
      <c r="C506" s="309"/>
      <c r="D506" s="309"/>
      <c r="E506" s="330"/>
      <c r="F506" s="309"/>
      <c r="G506" s="309"/>
      <c r="H506" s="316"/>
      <c r="I506" s="309"/>
      <c r="J506" s="309"/>
      <c r="K506" s="309"/>
      <c r="L506" s="309"/>
      <c r="M506" s="309"/>
      <c r="N506" s="309"/>
      <c r="O506" s="309"/>
      <c r="P506" s="309"/>
      <c r="Q506" s="309"/>
      <c r="R506" s="309"/>
      <c r="S506" s="309"/>
      <c r="T506" s="309"/>
      <c r="U506" s="309"/>
      <c r="V506" s="309"/>
      <c r="W506" s="309"/>
      <c r="X506" s="309"/>
      <c r="Y506" s="309"/>
      <c r="Z506" s="309"/>
      <c r="AA506" s="309"/>
    </row>
    <row r="507" ht="27.0" customHeight="1">
      <c r="A507" s="309"/>
      <c r="B507" s="309"/>
      <c r="C507" s="309"/>
      <c r="D507" s="309"/>
      <c r="E507" s="330"/>
      <c r="F507" s="309"/>
      <c r="G507" s="309"/>
      <c r="H507" s="316"/>
      <c r="I507" s="309"/>
      <c r="J507" s="309"/>
      <c r="K507" s="309"/>
      <c r="L507" s="309"/>
      <c r="M507" s="309"/>
      <c r="N507" s="309"/>
      <c r="O507" s="309"/>
      <c r="P507" s="309"/>
      <c r="Q507" s="309"/>
      <c r="R507" s="309"/>
      <c r="S507" s="309"/>
      <c r="T507" s="309"/>
      <c r="U507" s="309"/>
      <c r="V507" s="309"/>
      <c r="W507" s="309"/>
      <c r="X507" s="309"/>
      <c r="Y507" s="309"/>
      <c r="Z507" s="309"/>
      <c r="AA507" s="309"/>
    </row>
    <row r="508" ht="27.0" customHeight="1">
      <c r="A508" s="309"/>
      <c r="B508" s="309"/>
      <c r="C508" s="309"/>
      <c r="D508" s="309"/>
      <c r="E508" s="330"/>
      <c r="F508" s="309"/>
      <c r="G508" s="309"/>
      <c r="H508" s="316"/>
      <c r="I508" s="309"/>
      <c r="J508" s="309"/>
      <c r="K508" s="309"/>
      <c r="L508" s="309"/>
      <c r="M508" s="309"/>
      <c r="N508" s="309"/>
      <c r="O508" s="309"/>
      <c r="P508" s="309"/>
      <c r="Q508" s="309"/>
      <c r="R508" s="309"/>
      <c r="S508" s="309"/>
      <c r="T508" s="309"/>
      <c r="U508" s="309"/>
      <c r="V508" s="309"/>
      <c r="W508" s="309"/>
      <c r="X508" s="309"/>
      <c r="Y508" s="309"/>
      <c r="Z508" s="309"/>
      <c r="AA508" s="309"/>
    </row>
    <row r="509" ht="27.0" customHeight="1">
      <c r="A509" s="309"/>
      <c r="B509" s="309"/>
      <c r="C509" s="309"/>
      <c r="D509" s="309"/>
      <c r="E509" s="330"/>
      <c r="F509" s="309"/>
      <c r="G509" s="309"/>
      <c r="H509" s="316"/>
      <c r="I509" s="309"/>
      <c r="J509" s="309"/>
      <c r="K509" s="309"/>
      <c r="L509" s="309"/>
      <c r="M509" s="309"/>
      <c r="N509" s="309"/>
      <c r="O509" s="309"/>
      <c r="P509" s="309"/>
      <c r="Q509" s="309"/>
      <c r="R509" s="309"/>
      <c r="S509" s="309"/>
      <c r="T509" s="309"/>
      <c r="U509" s="309"/>
      <c r="V509" s="309"/>
      <c r="W509" s="309"/>
      <c r="X509" s="309"/>
      <c r="Y509" s="309"/>
      <c r="Z509" s="309"/>
      <c r="AA509" s="309"/>
    </row>
    <row r="510" ht="27.0" customHeight="1">
      <c r="A510" s="309"/>
      <c r="B510" s="309"/>
      <c r="C510" s="309"/>
      <c r="D510" s="309"/>
      <c r="E510" s="330"/>
      <c r="F510" s="309"/>
      <c r="G510" s="309"/>
      <c r="H510" s="316"/>
      <c r="I510" s="309"/>
      <c r="J510" s="309"/>
      <c r="K510" s="309"/>
      <c r="L510" s="309"/>
      <c r="M510" s="309"/>
      <c r="N510" s="309"/>
      <c r="O510" s="309"/>
      <c r="P510" s="309"/>
      <c r="Q510" s="309"/>
      <c r="R510" s="309"/>
      <c r="S510" s="309"/>
      <c r="T510" s="309"/>
      <c r="U510" s="309"/>
      <c r="V510" s="309"/>
      <c r="W510" s="309"/>
      <c r="X510" s="309"/>
      <c r="Y510" s="309"/>
      <c r="Z510" s="309"/>
      <c r="AA510" s="309"/>
    </row>
    <row r="511" ht="27.0" customHeight="1">
      <c r="A511" s="309"/>
      <c r="B511" s="309"/>
      <c r="C511" s="309"/>
      <c r="D511" s="309"/>
      <c r="E511" s="330"/>
      <c r="F511" s="309"/>
      <c r="G511" s="309"/>
      <c r="H511" s="316"/>
      <c r="I511" s="309"/>
      <c r="J511" s="309"/>
      <c r="K511" s="309"/>
      <c r="L511" s="309"/>
      <c r="M511" s="309"/>
      <c r="N511" s="309"/>
      <c r="O511" s="309"/>
      <c r="P511" s="309"/>
      <c r="Q511" s="309"/>
      <c r="R511" s="309"/>
      <c r="S511" s="309"/>
      <c r="T511" s="309"/>
      <c r="U511" s="309"/>
      <c r="V511" s="309"/>
      <c r="W511" s="309"/>
      <c r="X511" s="309"/>
      <c r="Y511" s="309"/>
      <c r="Z511" s="309"/>
      <c r="AA511" s="309"/>
    </row>
    <row r="512" ht="27.0" customHeight="1">
      <c r="A512" s="309"/>
      <c r="B512" s="309"/>
      <c r="C512" s="309"/>
      <c r="D512" s="309"/>
      <c r="E512" s="330"/>
      <c r="F512" s="309"/>
      <c r="G512" s="309"/>
      <c r="H512" s="316"/>
      <c r="I512" s="309"/>
      <c r="J512" s="309"/>
      <c r="K512" s="309"/>
      <c r="L512" s="309"/>
      <c r="M512" s="309"/>
      <c r="N512" s="309"/>
      <c r="O512" s="309"/>
      <c r="P512" s="309"/>
      <c r="Q512" s="309"/>
      <c r="R512" s="309"/>
      <c r="S512" s="309"/>
      <c r="T512" s="309"/>
      <c r="U512" s="309"/>
      <c r="V512" s="309"/>
      <c r="W512" s="309"/>
      <c r="X512" s="309"/>
      <c r="Y512" s="309"/>
      <c r="Z512" s="309"/>
      <c r="AA512" s="309"/>
    </row>
    <row r="513" ht="27.0" customHeight="1">
      <c r="A513" s="309"/>
      <c r="B513" s="309"/>
      <c r="C513" s="309"/>
      <c r="D513" s="309"/>
      <c r="E513" s="330"/>
      <c r="F513" s="309"/>
      <c r="G513" s="309"/>
      <c r="H513" s="316"/>
      <c r="I513" s="309"/>
      <c r="J513" s="309"/>
      <c r="K513" s="309"/>
      <c r="L513" s="309"/>
      <c r="M513" s="309"/>
      <c r="N513" s="309"/>
      <c r="O513" s="309"/>
      <c r="P513" s="309"/>
      <c r="Q513" s="309"/>
      <c r="R513" s="309"/>
      <c r="S513" s="309"/>
      <c r="T513" s="309"/>
      <c r="U513" s="309"/>
      <c r="V513" s="309"/>
      <c r="W513" s="309"/>
      <c r="X513" s="309"/>
      <c r="Y513" s="309"/>
      <c r="Z513" s="309"/>
      <c r="AA513" s="309"/>
    </row>
    <row r="514" ht="27.0" customHeight="1">
      <c r="A514" s="309"/>
      <c r="B514" s="309"/>
      <c r="C514" s="309"/>
      <c r="D514" s="309"/>
      <c r="E514" s="330"/>
      <c r="F514" s="309"/>
      <c r="G514" s="309"/>
      <c r="H514" s="316"/>
      <c r="I514" s="309"/>
      <c r="J514" s="309"/>
      <c r="K514" s="309"/>
      <c r="L514" s="309"/>
      <c r="M514" s="309"/>
      <c r="N514" s="309"/>
      <c r="O514" s="309"/>
      <c r="P514" s="309"/>
      <c r="Q514" s="309"/>
      <c r="R514" s="309"/>
      <c r="S514" s="309"/>
      <c r="T514" s="309"/>
      <c r="U514" s="309"/>
      <c r="V514" s="309"/>
      <c r="W514" s="309"/>
      <c r="X514" s="309"/>
      <c r="Y514" s="309"/>
      <c r="Z514" s="309"/>
      <c r="AA514" s="309"/>
    </row>
    <row r="515" ht="27.0" customHeight="1">
      <c r="A515" s="309"/>
      <c r="B515" s="309"/>
      <c r="C515" s="309"/>
      <c r="D515" s="309"/>
      <c r="E515" s="330"/>
      <c r="F515" s="309"/>
      <c r="G515" s="309"/>
      <c r="H515" s="316"/>
      <c r="I515" s="309"/>
      <c r="J515" s="309"/>
      <c r="K515" s="309"/>
      <c r="L515" s="309"/>
      <c r="M515" s="309"/>
      <c r="N515" s="309"/>
      <c r="O515" s="309"/>
      <c r="P515" s="309"/>
      <c r="Q515" s="309"/>
      <c r="R515" s="309"/>
      <c r="S515" s="309"/>
      <c r="T515" s="309"/>
      <c r="U515" s="309"/>
      <c r="V515" s="309"/>
      <c r="W515" s="309"/>
      <c r="X515" s="309"/>
      <c r="Y515" s="309"/>
      <c r="Z515" s="309"/>
      <c r="AA515" s="309"/>
    </row>
    <row r="516" ht="27.0" customHeight="1">
      <c r="A516" s="309"/>
      <c r="B516" s="309"/>
      <c r="C516" s="309"/>
      <c r="D516" s="309"/>
      <c r="E516" s="330"/>
      <c r="F516" s="309"/>
      <c r="G516" s="309"/>
      <c r="H516" s="316"/>
      <c r="I516" s="309"/>
      <c r="J516" s="309"/>
      <c r="K516" s="309"/>
      <c r="L516" s="309"/>
      <c r="M516" s="309"/>
      <c r="N516" s="309"/>
      <c r="O516" s="309"/>
      <c r="P516" s="309"/>
      <c r="Q516" s="309"/>
      <c r="R516" s="309"/>
      <c r="S516" s="309"/>
      <c r="T516" s="309"/>
      <c r="U516" s="309"/>
      <c r="V516" s="309"/>
      <c r="W516" s="309"/>
      <c r="X516" s="309"/>
      <c r="Y516" s="309"/>
      <c r="Z516" s="309"/>
      <c r="AA516" s="309"/>
    </row>
    <row r="517" ht="27.0" customHeight="1">
      <c r="A517" s="309"/>
      <c r="B517" s="309"/>
      <c r="C517" s="309"/>
      <c r="D517" s="309"/>
      <c r="E517" s="330"/>
      <c r="F517" s="309"/>
      <c r="G517" s="309"/>
      <c r="H517" s="316"/>
      <c r="I517" s="309"/>
      <c r="J517" s="309"/>
      <c r="K517" s="309"/>
      <c r="L517" s="309"/>
      <c r="M517" s="309"/>
      <c r="N517" s="309"/>
      <c r="O517" s="309"/>
      <c r="P517" s="309"/>
      <c r="Q517" s="309"/>
      <c r="R517" s="309"/>
      <c r="S517" s="309"/>
      <c r="T517" s="309"/>
      <c r="U517" s="309"/>
      <c r="V517" s="309"/>
      <c r="W517" s="309"/>
      <c r="X517" s="309"/>
      <c r="Y517" s="309"/>
      <c r="Z517" s="309"/>
      <c r="AA517" s="309"/>
    </row>
    <row r="518" ht="27.0" customHeight="1">
      <c r="A518" s="309"/>
      <c r="B518" s="309"/>
      <c r="C518" s="309"/>
      <c r="D518" s="309"/>
      <c r="E518" s="330"/>
      <c r="F518" s="309"/>
      <c r="G518" s="309"/>
      <c r="H518" s="316"/>
      <c r="I518" s="309"/>
      <c r="J518" s="309"/>
      <c r="K518" s="309"/>
      <c r="L518" s="309"/>
      <c r="M518" s="309"/>
      <c r="N518" s="309"/>
      <c r="O518" s="309"/>
      <c r="P518" s="309"/>
      <c r="Q518" s="309"/>
      <c r="R518" s="309"/>
      <c r="S518" s="309"/>
      <c r="T518" s="309"/>
      <c r="U518" s="309"/>
      <c r="V518" s="309"/>
      <c r="W518" s="309"/>
      <c r="X518" s="309"/>
      <c r="Y518" s="309"/>
      <c r="Z518" s="309"/>
      <c r="AA518" s="309"/>
    </row>
    <row r="519" ht="27.0" customHeight="1">
      <c r="A519" s="309"/>
      <c r="B519" s="309"/>
      <c r="C519" s="309"/>
      <c r="D519" s="309"/>
      <c r="E519" s="330"/>
      <c r="F519" s="309"/>
      <c r="G519" s="309"/>
      <c r="H519" s="316"/>
      <c r="I519" s="309"/>
      <c r="J519" s="309"/>
      <c r="K519" s="309"/>
      <c r="L519" s="309"/>
      <c r="M519" s="309"/>
      <c r="N519" s="309"/>
      <c r="O519" s="309"/>
      <c r="P519" s="309"/>
      <c r="Q519" s="309"/>
      <c r="R519" s="309"/>
      <c r="S519" s="309"/>
      <c r="T519" s="309"/>
      <c r="U519" s="309"/>
      <c r="V519" s="309"/>
      <c r="W519" s="309"/>
      <c r="X519" s="309"/>
      <c r="Y519" s="309"/>
      <c r="Z519" s="309"/>
      <c r="AA519" s="309"/>
    </row>
    <row r="520" ht="27.0" customHeight="1">
      <c r="A520" s="309"/>
      <c r="B520" s="309"/>
      <c r="C520" s="309"/>
      <c r="D520" s="309"/>
      <c r="E520" s="330"/>
      <c r="F520" s="309"/>
      <c r="G520" s="309"/>
      <c r="H520" s="316"/>
      <c r="I520" s="309"/>
      <c r="J520" s="309"/>
      <c r="K520" s="309"/>
      <c r="L520" s="309"/>
      <c r="M520" s="309"/>
      <c r="N520" s="309"/>
      <c r="O520" s="309"/>
      <c r="P520" s="309"/>
      <c r="Q520" s="309"/>
      <c r="R520" s="309"/>
      <c r="S520" s="309"/>
      <c r="T520" s="309"/>
      <c r="U520" s="309"/>
      <c r="V520" s="309"/>
      <c r="W520" s="309"/>
      <c r="X520" s="309"/>
      <c r="Y520" s="309"/>
      <c r="Z520" s="309"/>
      <c r="AA520" s="309"/>
    </row>
    <row r="521" ht="27.0" customHeight="1">
      <c r="A521" s="309"/>
      <c r="B521" s="309"/>
      <c r="C521" s="309"/>
      <c r="D521" s="309"/>
      <c r="E521" s="330"/>
      <c r="F521" s="309"/>
      <c r="G521" s="309"/>
      <c r="H521" s="316"/>
      <c r="I521" s="309"/>
      <c r="J521" s="309"/>
      <c r="K521" s="309"/>
      <c r="L521" s="309"/>
      <c r="M521" s="309"/>
      <c r="N521" s="309"/>
      <c r="O521" s="309"/>
      <c r="P521" s="309"/>
      <c r="Q521" s="309"/>
      <c r="R521" s="309"/>
      <c r="S521" s="309"/>
      <c r="T521" s="309"/>
      <c r="U521" s="309"/>
      <c r="V521" s="309"/>
      <c r="W521" s="309"/>
      <c r="X521" s="309"/>
      <c r="Y521" s="309"/>
      <c r="Z521" s="309"/>
      <c r="AA521" s="309"/>
    </row>
    <row r="522" ht="27.0" customHeight="1">
      <c r="A522" s="309"/>
      <c r="B522" s="309"/>
      <c r="C522" s="309"/>
      <c r="D522" s="309"/>
      <c r="E522" s="330"/>
      <c r="F522" s="309"/>
      <c r="G522" s="309"/>
      <c r="H522" s="316"/>
      <c r="I522" s="309"/>
      <c r="J522" s="309"/>
      <c r="K522" s="309"/>
      <c r="L522" s="309"/>
      <c r="M522" s="309"/>
      <c r="N522" s="309"/>
      <c r="O522" s="309"/>
      <c r="P522" s="309"/>
      <c r="Q522" s="309"/>
      <c r="R522" s="309"/>
      <c r="S522" s="309"/>
      <c r="T522" s="309"/>
      <c r="U522" s="309"/>
      <c r="V522" s="309"/>
      <c r="W522" s="309"/>
      <c r="X522" s="309"/>
      <c r="Y522" s="309"/>
      <c r="Z522" s="309"/>
      <c r="AA522" s="309"/>
    </row>
    <row r="523" ht="27.0" customHeight="1">
      <c r="A523" s="309"/>
      <c r="B523" s="309"/>
      <c r="C523" s="309"/>
      <c r="D523" s="309"/>
      <c r="E523" s="330"/>
      <c r="F523" s="309"/>
      <c r="G523" s="309"/>
      <c r="H523" s="316"/>
      <c r="I523" s="309"/>
      <c r="J523" s="309"/>
      <c r="K523" s="309"/>
      <c r="L523" s="309"/>
      <c r="M523" s="309"/>
      <c r="N523" s="309"/>
      <c r="O523" s="309"/>
      <c r="P523" s="309"/>
      <c r="Q523" s="309"/>
      <c r="R523" s="309"/>
      <c r="S523" s="309"/>
      <c r="T523" s="309"/>
      <c r="U523" s="309"/>
      <c r="V523" s="309"/>
      <c r="W523" s="309"/>
      <c r="X523" s="309"/>
      <c r="Y523" s="309"/>
      <c r="Z523" s="309"/>
      <c r="AA523" s="309"/>
    </row>
    <row r="524" ht="27.0" customHeight="1">
      <c r="A524" s="309"/>
      <c r="B524" s="309"/>
      <c r="C524" s="309"/>
      <c r="D524" s="309"/>
      <c r="E524" s="330"/>
      <c r="F524" s="309"/>
      <c r="G524" s="309"/>
      <c r="H524" s="316"/>
      <c r="I524" s="309"/>
      <c r="J524" s="309"/>
      <c r="K524" s="309"/>
      <c r="L524" s="309"/>
      <c r="M524" s="309"/>
      <c r="N524" s="309"/>
      <c r="O524" s="309"/>
      <c r="P524" s="309"/>
      <c r="Q524" s="309"/>
      <c r="R524" s="309"/>
      <c r="S524" s="309"/>
      <c r="T524" s="309"/>
      <c r="U524" s="309"/>
      <c r="V524" s="309"/>
      <c r="W524" s="309"/>
      <c r="X524" s="309"/>
      <c r="Y524" s="309"/>
      <c r="Z524" s="309"/>
      <c r="AA524" s="309"/>
    </row>
    <row r="525" ht="27.0" customHeight="1">
      <c r="A525" s="309"/>
      <c r="B525" s="309"/>
      <c r="C525" s="309"/>
      <c r="D525" s="309"/>
      <c r="E525" s="330"/>
      <c r="F525" s="309"/>
      <c r="G525" s="309"/>
      <c r="H525" s="316"/>
      <c r="I525" s="309"/>
      <c r="J525" s="309"/>
      <c r="K525" s="309"/>
      <c r="L525" s="309"/>
      <c r="M525" s="309"/>
      <c r="N525" s="309"/>
      <c r="O525" s="309"/>
      <c r="P525" s="309"/>
      <c r="Q525" s="309"/>
      <c r="R525" s="309"/>
      <c r="S525" s="309"/>
      <c r="T525" s="309"/>
      <c r="U525" s="309"/>
      <c r="V525" s="309"/>
      <c r="W525" s="309"/>
      <c r="X525" s="309"/>
      <c r="Y525" s="309"/>
      <c r="Z525" s="309"/>
      <c r="AA525" s="309"/>
    </row>
    <row r="526" ht="27.0" customHeight="1">
      <c r="A526" s="309"/>
      <c r="B526" s="309"/>
      <c r="C526" s="309"/>
      <c r="D526" s="309"/>
      <c r="E526" s="330"/>
      <c r="F526" s="309"/>
      <c r="G526" s="309"/>
      <c r="H526" s="316"/>
      <c r="I526" s="309"/>
      <c r="J526" s="309"/>
      <c r="K526" s="309"/>
      <c r="L526" s="309"/>
      <c r="M526" s="309"/>
      <c r="N526" s="309"/>
      <c r="O526" s="309"/>
      <c r="P526" s="309"/>
      <c r="Q526" s="309"/>
      <c r="R526" s="309"/>
      <c r="S526" s="309"/>
      <c r="T526" s="309"/>
      <c r="U526" s="309"/>
      <c r="V526" s="309"/>
      <c r="W526" s="309"/>
      <c r="X526" s="309"/>
      <c r="Y526" s="309"/>
      <c r="Z526" s="309"/>
      <c r="AA526" s="309"/>
    </row>
    <row r="527" ht="27.0" customHeight="1">
      <c r="A527" s="309"/>
      <c r="B527" s="309"/>
      <c r="C527" s="309"/>
      <c r="D527" s="309"/>
      <c r="E527" s="330"/>
      <c r="F527" s="309"/>
      <c r="G527" s="309"/>
      <c r="H527" s="316"/>
      <c r="I527" s="309"/>
      <c r="J527" s="309"/>
      <c r="K527" s="309"/>
      <c r="L527" s="309"/>
      <c r="M527" s="309"/>
      <c r="N527" s="309"/>
      <c r="O527" s="309"/>
      <c r="P527" s="309"/>
      <c r="Q527" s="309"/>
      <c r="R527" s="309"/>
      <c r="S527" s="309"/>
      <c r="T527" s="309"/>
      <c r="U527" s="309"/>
      <c r="V527" s="309"/>
      <c r="W527" s="309"/>
      <c r="X527" s="309"/>
      <c r="Y527" s="309"/>
      <c r="Z527" s="309"/>
      <c r="AA527" s="309"/>
    </row>
    <row r="528" ht="27.0" customHeight="1">
      <c r="A528" s="309"/>
      <c r="B528" s="309"/>
      <c r="C528" s="309"/>
      <c r="D528" s="309"/>
      <c r="E528" s="330"/>
      <c r="F528" s="309"/>
      <c r="G528" s="309"/>
      <c r="H528" s="316"/>
      <c r="I528" s="309"/>
      <c r="J528" s="309"/>
      <c r="K528" s="309"/>
      <c r="L528" s="309"/>
      <c r="M528" s="309"/>
      <c r="N528" s="309"/>
      <c r="O528" s="309"/>
      <c r="P528" s="309"/>
      <c r="Q528" s="309"/>
      <c r="R528" s="309"/>
      <c r="S528" s="309"/>
      <c r="T528" s="309"/>
      <c r="U528" s="309"/>
      <c r="V528" s="309"/>
      <c r="W528" s="309"/>
      <c r="X528" s="309"/>
      <c r="Y528" s="309"/>
      <c r="Z528" s="309"/>
      <c r="AA528" s="309"/>
    </row>
    <row r="529" ht="27.0" customHeight="1">
      <c r="A529" s="309"/>
      <c r="B529" s="309"/>
      <c r="C529" s="309"/>
      <c r="D529" s="309"/>
      <c r="E529" s="330"/>
      <c r="F529" s="309"/>
      <c r="G529" s="309"/>
      <c r="H529" s="316"/>
      <c r="I529" s="309"/>
      <c r="J529" s="309"/>
      <c r="K529" s="309"/>
      <c r="L529" s="309"/>
      <c r="M529" s="309"/>
      <c r="N529" s="309"/>
      <c r="O529" s="309"/>
      <c r="P529" s="309"/>
      <c r="Q529" s="309"/>
      <c r="R529" s="309"/>
      <c r="S529" s="309"/>
      <c r="T529" s="309"/>
      <c r="U529" s="309"/>
      <c r="V529" s="309"/>
      <c r="W529" s="309"/>
      <c r="X529" s="309"/>
      <c r="Y529" s="309"/>
      <c r="Z529" s="309"/>
      <c r="AA529" s="309"/>
    </row>
    <row r="530" ht="27.0" customHeight="1">
      <c r="A530" s="309"/>
      <c r="B530" s="309"/>
      <c r="C530" s="309"/>
      <c r="D530" s="309"/>
      <c r="E530" s="330"/>
      <c r="F530" s="309"/>
      <c r="G530" s="309"/>
      <c r="H530" s="316"/>
      <c r="I530" s="309"/>
      <c r="J530" s="309"/>
      <c r="K530" s="309"/>
      <c r="L530" s="309"/>
      <c r="M530" s="309"/>
      <c r="N530" s="309"/>
      <c r="O530" s="309"/>
      <c r="P530" s="309"/>
      <c r="Q530" s="309"/>
      <c r="R530" s="309"/>
      <c r="S530" s="309"/>
      <c r="T530" s="309"/>
      <c r="U530" s="309"/>
      <c r="V530" s="309"/>
      <c r="W530" s="309"/>
      <c r="X530" s="309"/>
      <c r="Y530" s="309"/>
      <c r="Z530" s="309"/>
      <c r="AA530" s="309"/>
    </row>
    <row r="531" ht="27.0" customHeight="1">
      <c r="A531" s="309"/>
      <c r="B531" s="309"/>
      <c r="C531" s="309"/>
      <c r="D531" s="309"/>
      <c r="E531" s="330"/>
      <c r="F531" s="309"/>
      <c r="G531" s="309"/>
      <c r="H531" s="316"/>
      <c r="I531" s="309"/>
      <c r="J531" s="309"/>
      <c r="K531" s="309"/>
      <c r="L531" s="309"/>
      <c r="M531" s="309"/>
      <c r="N531" s="309"/>
      <c r="O531" s="309"/>
      <c r="P531" s="309"/>
      <c r="Q531" s="309"/>
      <c r="R531" s="309"/>
      <c r="S531" s="309"/>
      <c r="T531" s="309"/>
      <c r="U531" s="309"/>
      <c r="V531" s="309"/>
      <c r="W531" s="309"/>
      <c r="X531" s="309"/>
      <c r="Y531" s="309"/>
      <c r="Z531" s="309"/>
      <c r="AA531" s="309"/>
    </row>
    <row r="532" ht="27.0" customHeight="1">
      <c r="A532" s="309"/>
      <c r="B532" s="309"/>
      <c r="C532" s="309"/>
      <c r="D532" s="309"/>
      <c r="E532" s="330"/>
      <c r="F532" s="309"/>
      <c r="G532" s="309"/>
      <c r="H532" s="316"/>
      <c r="I532" s="309"/>
      <c r="J532" s="309"/>
      <c r="K532" s="309"/>
      <c r="L532" s="309"/>
      <c r="M532" s="309"/>
      <c r="N532" s="309"/>
      <c r="O532" s="309"/>
      <c r="P532" s="309"/>
      <c r="Q532" s="309"/>
      <c r="R532" s="309"/>
      <c r="S532" s="309"/>
      <c r="T532" s="309"/>
      <c r="U532" s="309"/>
      <c r="V532" s="309"/>
      <c r="W532" s="309"/>
      <c r="X532" s="309"/>
      <c r="Y532" s="309"/>
      <c r="Z532" s="309"/>
      <c r="AA532" s="309"/>
    </row>
    <row r="533" ht="27.0" customHeight="1">
      <c r="A533" s="309"/>
      <c r="B533" s="309"/>
      <c r="C533" s="309"/>
      <c r="D533" s="309"/>
      <c r="E533" s="330"/>
      <c r="F533" s="309"/>
      <c r="G533" s="309"/>
      <c r="H533" s="316"/>
      <c r="I533" s="309"/>
      <c r="J533" s="309"/>
      <c r="K533" s="309"/>
      <c r="L533" s="309"/>
      <c r="M533" s="309"/>
      <c r="N533" s="309"/>
      <c r="O533" s="309"/>
      <c r="P533" s="309"/>
      <c r="Q533" s="309"/>
      <c r="R533" s="309"/>
      <c r="S533" s="309"/>
      <c r="T533" s="309"/>
      <c r="U533" s="309"/>
      <c r="V533" s="309"/>
      <c r="W533" s="309"/>
      <c r="X533" s="309"/>
      <c r="Y533" s="309"/>
      <c r="Z533" s="309"/>
      <c r="AA533" s="309"/>
    </row>
    <row r="534" ht="27.0" customHeight="1">
      <c r="A534" s="309"/>
      <c r="B534" s="309"/>
      <c r="C534" s="309"/>
      <c r="D534" s="309"/>
      <c r="E534" s="330"/>
      <c r="F534" s="309"/>
      <c r="G534" s="309"/>
      <c r="H534" s="316"/>
      <c r="I534" s="309"/>
      <c r="J534" s="309"/>
      <c r="K534" s="309"/>
      <c r="L534" s="309"/>
      <c r="M534" s="309"/>
      <c r="N534" s="309"/>
      <c r="O534" s="309"/>
      <c r="P534" s="309"/>
      <c r="Q534" s="309"/>
      <c r="R534" s="309"/>
      <c r="S534" s="309"/>
      <c r="T534" s="309"/>
      <c r="U534" s="309"/>
      <c r="V534" s="309"/>
      <c r="W534" s="309"/>
      <c r="X534" s="309"/>
      <c r="Y534" s="309"/>
      <c r="Z534" s="309"/>
      <c r="AA534" s="309"/>
    </row>
    <row r="535" ht="27.0" customHeight="1">
      <c r="A535" s="309"/>
      <c r="B535" s="309"/>
      <c r="C535" s="309"/>
      <c r="D535" s="309"/>
      <c r="E535" s="330"/>
      <c r="F535" s="309"/>
      <c r="G535" s="309"/>
      <c r="H535" s="316"/>
      <c r="I535" s="309"/>
      <c r="J535" s="309"/>
      <c r="K535" s="309"/>
      <c r="L535" s="309"/>
      <c r="M535" s="309"/>
      <c r="N535" s="309"/>
      <c r="O535" s="309"/>
      <c r="P535" s="309"/>
      <c r="Q535" s="309"/>
      <c r="R535" s="309"/>
      <c r="S535" s="309"/>
      <c r="T535" s="309"/>
      <c r="U535" s="309"/>
      <c r="V535" s="309"/>
      <c r="W535" s="309"/>
      <c r="X535" s="309"/>
      <c r="Y535" s="309"/>
      <c r="Z535" s="309"/>
      <c r="AA535" s="309"/>
    </row>
    <row r="536" ht="27.0" customHeight="1">
      <c r="A536" s="309"/>
      <c r="B536" s="309"/>
      <c r="C536" s="309"/>
      <c r="D536" s="309"/>
      <c r="E536" s="330"/>
      <c r="F536" s="309"/>
      <c r="G536" s="309"/>
      <c r="H536" s="316"/>
      <c r="I536" s="309"/>
      <c r="J536" s="309"/>
      <c r="K536" s="309"/>
      <c r="L536" s="309"/>
      <c r="M536" s="309"/>
      <c r="N536" s="309"/>
      <c r="O536" s="309"/>
      <c r="P536" s="309"/>
      <c r="Q536" s="309"/>
      <c r="R536" s="309"/>
      <c r="S536" s="309"/>
      <c r="T536" s="309"/>
      <c r="U536" s="309"/>
      <c r="V536" s="309"/>
      <c r="W536" s="309"/>
      <c r="X536" s="309"/>
      <c r="Y536" s="309"/>
      <c r="Z536" s="309"/>
      <c r="AA536" s="309"/>
    </row>
    <row r="537" ht="27.0" customHeight="1">
      <c r="A537" s="309"/>
      <c r="B537" s="309"/>
      <c r="C537" s="309"/>
      <c r="D537" s="309"/>
      <c r="E537" s="330"/>
      <c r="F537" s="309"/>
      <c r="G537" s="309"/>
      <c r="H537" s="316"/>
      <c r="I537" s="309"/>
      <c r="J537" s="309"/>
      <c r="K537" s="309"/>
      <c r="L537" s="309"/>
      <c r="M537" s="309"/>
      <c r="N537" s="309"/>
      <c r="O537" s="309"/>
      <c r="P537" s="309"/>
      <c r="Q537" s="309"/>
      <c r="R537" s="309"/>
      <c r="S537" s="309"/>
      <c r="T537" s="309"/>
      <c r="U537" s="309"/>
      <c r="V537" s="309"/>
      <c r="W537" s="309"/>
      <c r="X537" s="309"/>
      <c r="Y537" s="309"/>
      <c r="Z537" s="309"/>
      <c r="AA537" s="309"/>
    </row>
    <row r="538" ht="27.0" customHeight="1">
      <c r="A538" s="309"/>
      <c r="B538" s="309"/>
      <c r="C538" s="309"/>
      <c r="D538" s="309"/>
      <c r="E538" s="330"/>
      <c r="F538" s="309"/>
      <c r="G538" s="309"/>
      <c r="H538" s="316"/>
      <c r="I538" s="309"/>
      <c r="J538" s="309"/>
      <c r="K538" s="309"/>
      <c r="L538" s="309"/>
      <c r="M538" s="309"/>
      <c r="N538" s="309"/>
      <c r="O538" s="309"/>
      <c r="P538" s="309"/>
      <c r="Q538" s="309"/>
      <c r="R538" s="309"/>
      <c r="S538" s="309"/>
      <c r="T538" s="309"/>
      <c r="U538" s="309"/>
      <c r="V538" s="309"/>
      <c r="W538" s="309"/>
      <c r="X538" s="309"/>
      <c r="Y538" s="309"/>
      <c r="Z538" s="309"/>
      <c r="AA538" s="309"/>
    </row>
    <row r="539" ht="27.0" customHeight="1">
      <c r="A539" s="309"/>
      <c r="B539" s="309"/>
      <c r="C539" s="309"/>
      <c r="D539" s="309"/>
      <c r="E539" s="330"/>
      <c r="F539" s="309"/>
      <c r="G539" s="309"/>
      <c r="H539" s="316"/>
      <c r="I539" s="309"/>
      <c r="J539" s="309"/>
      <c r="K539" s="309"/>
      <c r="L539" s="309"/>
      <c r="M539" s="309"/>
      <c r="N539" s="309"/>
      <c r="O539" s="309"/>
      <c r="P539" s="309"/>
      <c r="Q539" s="309"/>
      <c r="R539" s="309"/>
      <c r="S539" s="309"/>
      <c r="T539" s="309"/>
      <c r="U539" s="309"/>
      <c r="V539" s="309"/>
      <c r="W539" s="309"/>
      <c r="X539" s="309"/>
      <c r="Y539" s="309"/>
      <c r="Z539" s="309"/>
      <c r="AA539" s="309"/>
    </row>
    <row r="540" ht="27.0" customHeight="1">
      <c r="A540" s="309"/>
      <c r="B540" s="309"/>
      <c r="C540" s="309"/>
      <c r="D540" s="309"/>
      <c r="E540" s="330"/>
      <c r="F540" s="309"/>
      <c r="G540" s="309"/>
      <c r="H540" s="316"/>
      <c r="I540" s="309"/>
      <c r="J540" s="309"/>
      <c r="K540" s="309"/>
      <c r="L540" s="309"/>
      <c r="M540" s="309"/>
      <c r="N540" s="309"/>
      <c r="O540" s="309"/>
      <c r="P540" s="309"/>
      <c r="Q540" s="309"/>
      <c r="R540" s="309"/>
      <c r="S540" s="309"/>
      <c r="T540" s="309"/>
      <c r="U540" s="309"/>
      <c r="V540" s="309"/>
      <c r="W540" s="309"/>
      <c r="X540" s="309"/>
      <c r="Y540" s="309"/>
      <c r="Z540" s="309"/>
      <c r="AA540" s="309"/>
    </row>
    <row r="541" ht="27.0" customHeight="1">
      <c r="A541" s="309"/>
      <c r="B541" s="309"/>
      <c r="C541" s="309"/>
      <c r="D541" s="309"/>
      <c r="E541" s="330"/>
      <c r="F541" s="309"/>
      <c r="G541" s="309"/>
      <c r="H541" s="316"/>
      <c r="I541" s="309"/>
      <c r="J541" s="309"/>
      <c r="K541" s="309"/>
      <c r="L541" s="309"/>
      <c r="M541" s="309"/>
      <c r="N541" s="309"/>
      <c r="O541" s="309"/>
      <c r="P541" s="309"/>
      <c r="Q541" s="309"/>
      <c r="R541" s="309"/>
      <c r="S541" s="309"/>
      <c r="T541" s="309"/>
      <c r="U541" s="309"/>
      <c r="V541" s="309"/>
      <c r="W541" s="309"/>
      <c r="X541" s="309"/>
      <c r="Y541" s="309"/>
      <c r="Z541" s="309"/>
      <c r="AA541" s="309"/>
    </row>
    <row r="542" ht="27.0" customHeight="1">
      <c r="A542" s="309"/>
      <c r="B542" s="309"/>
      <c r="C542" s="309"/>
      <c r="D542" s="309"/>
      <c r="E542" s="330"/>
      <c r="F542" s="309"/>
      <c r="G542" s="309"/>
      <c r="H542" s="316"/>
      <c r="I542" s="309"/>
      <c r="J542" s="309"/>
      <c r="K542" s="309"/>
      <c r="L542" s="309"/>
      <c r="M542" s="309"/>
      <c r="N542" s="309"/>
      <c r="O542" s="309"/>
      <c r="P542" s="309"/>
      <c r="Q542" s="309"/>
      <c r="R542" s="309"/>
      <c r="S542" s="309"/>
      <c r="T542" s="309"/>
      <c r="U542" s="309"/>
      <c r="V542" s="309"/>
      <c r="W542" s="309"/>
      <c r="X542" s="309"/>
      <c r="Y542" s="309"/>
      <c r="Z542" s="309"/>
      <c r="AA542" s="309"/>
    </row>
    <row r="543" ht="27.0" customHeight="1">
      <c r="A543" s="309"/>
      <c r="B543" s="309"/>
      <c r="C543" s="309"/>
      <c r="D543" s="309"/>
      <c r="E543" s="330"/>
      <c r="F543" s="309"/>
      <c r="G543" s="309"/>
      <c r="H543" s="316"/>
      <c r="I543" s="309"/>
      <c r="J543" s="309"/>
      <c r="K543" s="309"/>
      <c r="L543" s="309"/>
      <c r="M543" s="309"/>
      <c r="N543" s="309"/>
      <c r="O543" s="309"/>
      <c r="P543" s="309"/>
      <c r="Q543" s="309"/>
      <c r="R543" s="309"/>
      <c r="S543" s="309"/>
      <c r="T543" s="309"/>
      <c r="U543" s="309"/>
      <c r="V543" s="309"/>
      <c r="W543" s="309"/>
      <c r="X543" s="309"/>
      <c r="Y543" s="309"/>
      <c r="Z543" s="309"/>
      <c r="AA543" s="309"/>
    </row>
    <row r="544" ht="27.0" customHeight="1">
      <c r="A544" s="309"/>
      <c r="B544" s="309"/>
      <c r="C544" s="309"/>
      <c r="D544" s="309"/>
      <c r="E544" s="330"/>
      <c r="F544" s="309"/>
      <c r="G544" s="309"/>
      <c r="H544" s="316"/>
      <c r="I544" s="309"/>
      <c r="J544" s="309"/>
      <c r="K544" s="309"/>
      <c r="L544" s="309"/>
      <c r="M544" s="309"/>
      <c r="N544" s="309"/>
      <c r="O544" s="309"/>
      <c r="P544" s="309"/>
      <c r="Q544" s="309"/>
      <c r="R544" s="309"/>
      <c r="S544" s="309"/>
      <c r="T544" s="309"/>
      <c r="U544" s="309"/>
      <c r="V544" s="309"/>
      <c r="W544" s="309"/>
      <c r="X544" s="309"/>
      <c r="Y544" s="309"/>
      <c r="Z544" s="309"/>
      <c r="AA544" s="309"/>
    </row>
    <row r="545" ht="27.0" customHeight="1">
      <c r="A545" s="309"/>
      <c r="B545" s="309"/>
      <c r="C545" s="309"/>
      <c r="D545" s="309"/>
      <c r="E545" s="330"/>
      <c r="F545" s="309"/>
      <c r="G545" s="309"/>
      <c r="H545" s="316"/>
      <c r="I545" s="309"/>
      <c r="J545" s="309"/>
      <c r="K545" s="309"/>
      <c r="L545" s="309"/>
      <c r="M545" s="309"/>
      <c r="N545" s="309"/>
      <c r="O545" s="309"/>
      <c r="P545" s="309"/>
      <c r="Q545" s="309"/>
      <c r="R545" s="309"/>
      <c r="S545" s="309"/>
      <c r="T545" s="309"/>
      <c r="U545" s="309"/>
      <c r="V545" s="309"/>
      <c r="W545" s="309"/>
      <c r="X545" s="309"/>
      <c r="Y545" s="309"/>
      <c r="Z545" s="309"/>
      <c r="AA545" s="309"/>
    </row>
    <row r="546" ht="27.0" customHeight="1">
      <c r="A546" s="309"/>
      <c r="B546" s="309"/>
      <c r="C546" s="309"/>
      <c r="D546" s="309"/>
      <c r="E546" s="330"/>
      <c r="F546" s="309"/>
      <c r="G546" s="309"/>
      <c r="H546" s="316"/>
      <c r="I546" s="309"/>
      <c r="J546" s="309"/>
      <c r="K546" s="309"/>
      <c r="L546" s="309"/>
      <c r="M546" s="309"/>
      <c r="N546" s="309"/>
      <c r="O546" s="309"/>
      <c r="P546" s="309"/>
      <c r="Q546" s="309"/>
      <c r="R546" s="309"/>
      <c r="S546" s="309"/>
      <c r="T546" s="309"/>
      <c r="U546" s="309"/>
      <c r="V546" s="309"/>
      <c r="W546" s="309"/>
      <c r="X546" s="309"/>
      <c r="Y546" s="309"/>
      <c r="Z546" s="309"/>
      <c r="AA546" s="309"/>
    </row>
    <row r="547" ht="27.0" customHeight="1">
      <c r="A547" s="309"/>
      <c r="B547" s="309"/>
      <c r="C547" s="309"/>
      <c r="D547" s="309"/>
      <c r="E547" s="330"/>
      <c r="F547" s="309"/>
      <c r="G547" s="309"/>
      <c r="H547" s="316"/>
      <c r="I547" s="309"/>
      <c r="J547" s="309"/>
      <c r="K547" s="309"/>
      <c r="L547" s="309"/>
      <c r="M547" s="309"/>
      <c r="N547" s="309"/>
      <c r="O547" s="309"/>
      <c r="P547" s="309"/>
      <c r="Q547" s="309"/>
      <c r="R547" s="309"/>
      <c r="S547" s="309"/>
      <c r="T547" s="309"/>
      <c r="U547" s="309"/>
      <c r="V547" s="309"/>
      <c r="W547" s="309"/>
      <c r="X547" s="309"/>
      <c r="Y547" s="309"/>
      <c r="Z547" s="309"/>
      <c r="AA547" s="309"/>
    </row>
    <row r="548" ht="27.0" customHeight="1">
      <c r="A548" s="309"/>
      <c r="B548" s="309"/>
      <c r="C548" s="309"/>
      <c r="D548" s="309"/>
      <c r="E548" s="330"/>
      <c r="F548" s="309"/>
      <c r="G548" s="309"/>
      <c r="H548" s="316"/>
      <c r="I548" s="309"/>
      <c r="J548" s="309"/>
      <c r="K548" s="309"/>
      <c r="L548" s="309"/>
      <c r="M548" s="309"/>
      <c r="N548" s="309"/>
      <c r="O548" s="309"/>
      <c r="P548" s="309"/>
      <c r="Q548" s="309"/>
      <c r="R548" s="309"/>
      <c r="S548" s="309"/>
      <c r="T548" s="309"/>
      <c r="U548" s="309"/>
      <c r="V548" s="309"/>
      <c r="W548" s="309"/>
      <c r="X548" s="309"/>
      <c r="Y548" s="309"/>
      <c r="Z548" s="309"/>
      <c r="AA548" s="309"/>
    </row>
    <row r="549" ht="27.0" customHeight="1">
      <c r="A549" s="309"/>
      <c r="B549" s="309"/>
      <c r="C549" s="309"/>
      <c r="D549" s="309"/>
      <c r="E549" s="330"/>
      <c r="F549" s="309"/>
      <c r="G549" s="309"/>
      <c r="H549" s="316"/>
      <c r="I549" s="309"/>
      <c r="J549" s="309"/>
      <c r="K549" s="309"/>
      <c r="L549" s="309"/>
      <c r="M549" s="309"/>
      <c r="N549" s="309"/>
      <c r="O549" s="309"/>
      <c r="P549" s="309"/>
      <c r="Q549" s="309"/>
      <c r="R549" s="309"/>
      <c r="S549" s="309"/>
      <c r="T549" s="309"/>
      <c r="U549" s="309"/>
      <c r="V549" s="309"/>
      <c r="W549" s="309"/>
      <c r="X549" s="309"/>
      <c r="Y549" s="309"/>
      <c r="Z549" s="309"/>
      <c r="AA549" s="309"/>
    </row>
    <row r="550" ht="27.0" customHeight="1">
      <c r="A550" s="309"/>
      <c r="B550" s="309"/>
      <c r="C550" s="309"/>
      <c r="D550" s="309"/>
      <c r="E550" s="330"/>
      <c r="F550" s="309"/>
      <c r="G550" s="309"/>
      <c r="H550" s="316"/>
      <c r="I550" s="309"/>
      <c r="J550" s="309"/>
      <c r="K550" s="309"/>
      <c r="L550" s="309"/>
      <c r="M550" s="309"/>
      <c r="N550" s="309"/>
      <c r="O550" s="309"/>
      <c r="P550" s="309"/>
      <c r="Q550" s="309"/>
      <c r="R550" s="309"/>
      <c r="S550" s="309"/>
      <c r="T550" s="309"/>
      <c r="U550" s="309"/>
      <c r="V550" s="309"/>
      <c r="W550" s="309"/>
      <c r="X550" s="309"/>
      <c r="Y550" s="309"/>
      <c r="Z550" s="309"/>
      <c r="AA550" s="309"/>
    </row>
    <row r="551" ht="27.0" customHeight="1">
      <c r="A551" s="309"/>
      <c r="B551" s="309"/>
      <c r="C551" s="309"/>
      <c r="D551" s="309"/>
      <c r="E551" s="330"/>
      <c r="F551" s="309"/>
      <c r="G551" s="309"/>
      <c r="H551" s="316"/>
      <c r="I551" s="309"/>
      <c r="J551" s="309"/>
      <c r="K551" s="309"/>
      <c r="L551" s="309"/>
      <c r="M551" s="309"/>
      <c r="N551" s="309"/>
      <c r="O551" s="309"/>
      <c r="P551" s="309"/>
      <c r="Q551" s="309"/>
      <c r="R551" s="309"/>
      <c r="S551" s="309"/>
      <c r="T551" s="309"/>
      <c r="U551" s="309"/>
      <c r="V551" s="309"/>
      <c r="W551" s="309"/>
      <c r="X551" s="309"/>
      <c r="Y551" s="309"/>
      <c r="Z551" s="309"/>
      <c r="AA551" s="309"/>
    </row>
    <row r="552" ht="27.0" customHeight="1">
      <c r="A552" s="309"/>
      <c r="B552" s="309"/>
      <c r="C552" s="309"/>
      <c r="D552" s="309"/>
      <c r="E552" s="330"/>
      <c r="F552" s="309"/>
      <c r="G552" s="309"/>
      <c r="H552" s="316"/>
      <c r="I552" s="309"/>
      <c r="J552" s="309"/>
      <c r="K552" s="309"/>
      <c r="L552" s="309"/>
      <c r="M552" s="309"/>
      <c r="N552" s="309"/>
      <c r="O552" s="309"/>
      <c r="P552" s="309"/>
      <c r="Q552" s="309"/>
      <c r="R552" s="309"/>
      <c r="S552" s="309"/>
      <c r="T552" s="309"/>
      <c r="U552" s="309"/>
      <c r="V552" s="309"/>
      <c r="W552" s="309"/>
      <c r="X552" s="309"/>
      <c r="Y552" s="309"/>
      <c r="Z552" s="309"/>
      <c r="AA552" s="309"/>
    </row>
    <row r="553" ht="27.0" customHeight="1">
      <c r="A553" s="309"/>
      <c r="B553" s="309"/>
      <c r="C553" s="309"/>
      <c r="D553" s="309"/>
      <c r="E553" s="330"/>
      <c r="F553" s="309"/>
      <c r="G553" s="309"/>
      <c r="H553" s="316"/>
      <c r="I553" s="309"/>
      <c r="J553" s="309"/>
      <c r="K553" s="309"/>
      <c r="L553" s="309"/>
      <c r="M553" s="309"/>
      <c r="N553" s="309"/>
      <c r="O553" s="309"/>
      <c r="P553" s="309"/>
      <c r="Q553" s="309"/>
      <c r="R553" s="309"/>
      <c r="S553" s="309"/>
      <c r="T553" s="309"/>
      <c r="U553" s="309"/>
      <c r="V553" s="309"/>
      <c r="W553" s="309"/>
      <c r="X553" s="309"/>
      <c r="Y553" s="309"/>
      <c r="Z553" s="309"/>
      <c r="AA553" s="309"/>
    </row>
    <row r="554" ht="27.0" customHeight="1">
      <c r="A554" s="309"/>
      <c r="B554" s="309"/>
      <c r="C554" s="309"/>
      <c r="D554" s="309"/>
      <c r="E554" s="330"/>
      <c r="F554" s="309"/>
      <c r="G554" s="309"/>
      <c r="H554" s="316"/>
      <c r="I554" s="309"/>
      <c r="J554" s="309"/>
      <c r="K554" s="309"/>
      <c r="L554" s="309"/>
      <c r="M554" s="309"/>
      <c r="N554" s="309"/>
      <c r="O554" s="309"/>
      <c r="P554" s="309"/>
      <c r="Q554" s="309"/>
      <c r="R554" s="309"/>
      <c r="S554" s="309"/>
      <c r="T554" s="309"/>
      <c r="U554" s="309"/>
      <c r="V554" s="309"/>
      <c r="W554" s="309"/>
      <c r="X554" s="309"/>
      <c r="Y554" s="309"/>
      <c r="Z554" s="309"/>
      <c r="AA554" s="309"/>
    </row>
    <row r="555" ht="27.0" customHeight="1">
      <c r="A555" s="309"/>
      <c r="B555" s="309"/>
      <c r="C555" s="309"/>
      <c r="D555" s="309"/>
      <c r="E555" s="330"/>
      <c r="F555" s="309"/>
      <c r="G555" s="309"/>
      <c r="H555" s="316"/>
      <c r="I555" s="309"/>
      <c r="J555" s="309"/>
      <c r="K555" s="309"/>
      <c r="L555" s="309"/>
      <c r="M555" s="309"/>
      <c r="N555" s="309"/>
      <c r="O555" s="309"/>
      <c r="P555" s="309"/>
      <c r="Q555" s="309"/>
      <c r="R555" s="309"/>
      <c r="S555" s="309"/>
      <c r="T555" s="309"/>
      <c r="U555" s="309"/>
      <c r="V555" s="309"/>
      <c r="W555" s="309"/>
      <c r="X555" s="309"/>
      <c r="Y555" s="309"/>
      <c r="Z555" s="309"/>
      <c r="AA555" s="309"/>
    </row>
    <row r="556" ht="27.0" customHeight="1">
      <c r="A556" s="309"/>
      <c r="B556" s="309"/>
      <c r="C556" s="309"/>
      <c r="D556" s="309"/>
      <c r="E556" s="330"/>
      <c r="F556" s="309"/>
      <c r="G556" s="309"/>
      <c r="H556" s="316"/>
      <c r="I556" s="309"/>
      <c r="J556" s="309"/>
      <c r="K556" s="309"/>
      <c r="L556" s="309"/>
      <c r="M556" s="309"/>
      <c r="N556" s="309"/>
      <c r="O556" s="309"/>
      <c r="P556" s="309"/>
      <c r="Q556" s="309"/>
      <c r="R556" s="309"/>
      <c r="S556" s="309"/>
      <c r="T556" s="309"/>
      <c r="U556" s="309"/>
      <c r="V556" s="309"/>
      <c r="W556" s="309"/>
      <c r="X556" s="309"/>
      <c r="Y556" s="309"/>
      <c r="Z556" s="309"/>
      <c r="AA556" s="309"/>
    </row>
    <row r="557" ht="27.0" customHeight="1">
      <c r="A557" s="309"/>
      <c r="B557" s="309"/>
      <c r="C557" s="309"/>
      <c r="D557" s="309"/>
      <c r="E557" s="330"/>
      <c r="F557" s="309"/>
      <c r="G557" s="309"/>
      <c r="H557" s="316"/>
      <c r="I557" s="309"/>
      <c r="J557" s="309"/>
      <c r="K557" s="309"/>
      <c r="L557" s="309"/>
      <c r="M557" s="309"/>
      <c r="N557" s="309"/>
      <c r="O557" s="309"/>
      <c r="P557" s="309"/>
      <c r="Q557" s="309"/>
      <c r="R557" s="309"/>
      <c r="S557" s="309"/>
      <c r="T557" s="309"/>
      <c r="U557" s="309"/>
      <c r="V557" s="309"/>
      <c r="W557" s="309"/>
      <c r="X557" s="309"/>
      <c r="Y557" s="309"/>
      <c r="Z557" s="309"/>
      <c r="AA557" s="309"/>
    </row>
    <row r="558" ht="27.0" customHeight="1">
      <c r="A558" s="309"/>
      <c r="B558" s="309"/>
      <c r="C558" s="309"/>
      <c r="D558" s="309"/>
      <c r="E558" s="330"/>
      <c r="F558" s="309"/>
      <c r="G558" s="309"/>
      <c r="H558" s="316"/>
      <c r="I558" s="309"/>
      <c r="J558" s="309"/>
      <c r="K558" s="309"/>
      <c r="L558" s="309"/>
      <c r="M558" s="309"/>
      <c r="N558" s="309"/>
      <c r="O558" s="309"/>
      <c r="P558" s="309"/>
      <c r="Q558" s="309"/>
      <c r="R558" s="309"/>
      <c r="S558" s="309"/>
      <c r="T558" s="309"/>
      <c r="U558" s="309"/>
      <c r="V558" s="309"/>
      <c r="W558" s="309"/>
      <c r="X558" s="309"/>
      <c r="Y558" s="309"/>
      <c r="Z558" s="309"/>
      <c r="AA558" s="309"/>
    </row>
    <row r="559" ht="27.0" customHeight="1">
      <c r="A559" s="309"/>
      <c r="B559" s="309"/>
      <c r="C559" s="309"/>
      <c r="D559" s="309"/>
      <c r="E559" s="330"/>
      <c r="F559" s="309"/>
      <c r="G559" s="309"/>
      <c r="H559" s="316"/>
      <c r="I559" s="309"/>
      <c r="J559" s="309"/>
      <c r="K559" s="309"/>
      <c r="L559" s="309"/>
      <c r="M559" s="309"/>
      <c r="N559" s="309"/>
      <c r="O559" s="309"/>
      <c r="P559" s="309"/>
      <c r="Q559" s="309"/>
      <c r="R559" s="309"/>
      <c r="S559" s="309"/>
      <c r="T559" s="309"/>
      <c r="U559" s="309"/>
      <c r="V559" s="309"/>
      <c r="W559" s="309"/>
      <c r="X559" s="309"/>
      <c r="Y559" s="309"/>
      <c r="Z559" s="309"/>
      <c r="AA559" s="309"/>
    </row>
    <row r="560" ht="27.0" customHeight="1">
      <c r="A560" s="309"/>
      <c r="B560" s="309"/>
      <c r="C560" s="309"/>
      <c r="D560" s="309"/>
      <c r="E560" s="330"/>
      <c r="F560" s="309"/>
      <c r="G560" s="309"/>
      <c r="H560" s="316"/>
      <c r="I560" s="309"/>
      <c r="J560" s="309"/>
      <c r="K560" s="309"/>
      <c r="L560" s="309"/>
      <c r="M560" s="309"/>
      <c r="N560" s="309"/>
      <c r="O560" s="309"/>
      <c r="P560" s="309"/>
      <c r="Q560" s="309"/>
      <c r="R560" s="309"/>
      <c r="S560" s="309"/>
      <c r="T560" s="309"/>
      <c r="U560" s="309"/>
      <c r="V560" s="309"/>
      <c r="W560" s="309"/>
      <c r="X560" s="309"/>
      <c r="Y560" s="309"/>
      <c r="Z560" s="309"/>
      <c r="AA560" s="309"/>
    </row>
    <row r="561" ht="27.0" customHeight="1">
      <c r="A561" s="309"/>
      <c r="B561" s="309"/>
      <c r="C561" s="309"/>
      <c r="D561" s="309"/>
      <c r="E561" s="330"/>
      <c r="F561" s="309"/>
      <c r="G561" s="309"/>
      <c r="H561" s="316"/>
      <c r="I561" s="309"/>
      <c r="J561" s="309"/>
      <c r="K561" s="309"/>
      <c r="L561" s="309"/>
      <c r="M561" s="309"/>
      <c r="N561" s="309"/>
      <c r="O561" s="309"/>
      <c r="P561" s="309"/>
      <c r="Q561" s="309"/>
      <c r="R561" s="309"/>
      <c r="S561" s="309"/>
      <c r="T561" s="309"/>
      <c r="U561" s="309"/>
      <c r="V561" s="309"/>
      <c r="W561" s="309"/>
      <c r="X561" s="309"/>
      <c r="Y561" s="309"/>
      <c r="Z561" s="309"/>
      <c r="AA561" s="309"/>
    </row>
    <row r="562" ht="27.0" customHeight="1">
      <c r="A562" s="309"/>
      <c r="B562" s="309"/>
      <c r="C562" s="309"/>
      <c r="D562" s="309"/>
      <c r="E562" s="330"/>
      <c r="F562" s="309"/>
      <c r="G562" s="309"/>
      <c r="H562" s="316"/>
      <c r="I562" s="309"/>
      <c r="J562" s="309"/>
      <c r="K562" s="309"/>
      <c r="L562" s="309"/>
      <c r="M562" s="309"/>
      <c r="N562" s="309"/>
      <c r="O562" s="309"/>
      <c r="P562" s="309"/>
      <c r="Q562" s="309"/>
      <c r="R562" s="309"/>
      <c r="S562" s="309"/>
      <c r="T562" s="309"/>
      <c r="U562" s="309"/>
      <c r="V562" s="309"/>
      <c r="W562" s="309"/>
      <c r="X562" s="309"/>
      <c r="Y562" s="309"/>
      <c r="Z562" s="309"/>
      <c r="AA562" s="309"/>
    </row>
    <row r="563" ht="27.0" customHeight="1">
      <c r="A563" s="309"/>
      <c r="B563" s="309"/>
      <c r="C563" s="309"/>
      <c r="D563" s="309"/>
      <c r="E563" s="330"/>
      <c r="F563" s="309"/>
      <c r="G563" s="309"/>
      <c r="H563" s="316"/>
      <c r="I563" s="309"/>
      <c r="J563" s="309"/>
      <c r="K563" s="309"/>
      <c r="L563" s="309"/>
      <c r="M563" s="309"/>
      <c r="N563" s="309"/>
      <c r="O563" s="309"/>
      <c r="P563" s="309"/>
      <c r="Q563" s="309"/>
      <c r="R563" s="309"/>
      <c r="S563" s="309"/>
      <c r="T563" s="309"/>
      <c r="U563" s="309"/>
      <c r="V563" s="309"/>
      <c r="W563" s="309"/>
      <c r="X563" s="309"/>
      <c r="Y563" s="309"/>
      <c r="Z563" s="309"/>
      <c r="AA563" s="309"/>
    </row>
    <row r="564" ht="27.0" customHeight="1">
      <c r="A564" s="309"/>
      <c r="B564" s="309"/>
      <c r="C564" s="309"/>
      <c r="D564" s="309"/>
      <c r="E564" s="330"/>
      <c r="F564" s="309"/>
      <c r="G564" s="309"/>
      <c r="H564" s="316"/>
      <c r="I564" s="309"/>
      <c r="J564" s="309"/>
      <c r="K564" s="309"/>
      <c r="L564" s="309"/>
      <c r="M564" s="309"/>
      <c r="N564" s="309"/>
      <c r="O564" s="309"/>
      <c r="P564" s="309"/>
      <c r="Q564" s="309"/>
      <c r="R564" s="309"/>
      <c r="S564" s="309"/>
      <c r="T564" s="309"/>
      <c r="U564" s="309"/>
      <c r="V564" s="309"/>
      <c r="W564" s="309"/>
      <c r="X564" s="309"/>
      <c r="Y564" s="309"/>
      <c r="Z564" s="309"/>
      <c r="AA564" s="309"/>
    </row>
    <row r="565" ht="27.0" customHeight="1">
      <c r="A565" s="309"/>
      <c r="B565" s="309"/>
      <c r="C565" s="309"/>
      <c r="D565" s="309"/>
      <c r="E565" s="330"/>
      <c r="F565" s="309"/>
      <c r="G565" s="309"/>
      <c r="H565" s="316"/>
      <c r="I565" s="309"/>
      <c r="J565" s="309"/>
      <c r="K565" s="309"/>
      <c r="L565" s="309"/>
      <c r="M565" s="309"/>
      <c r="N565" s="309"/>
      <c r="O565" s="309"/>
      <c r="P565" s="309"/>
      <c r="Q565" s="309"/>
      <c r="R565" s="309"/>
      <c r="S565" s="309"/>
      <c r="T565" s="309"/>
      <c r="U565" s="309"/>
      <c r="V565" s="309"/>
      <c r="W565" s="309"/>
      <c r="X565" s="309"/>
      <c r="Y565" s="309"/>
      <c r="Z565" s="309"/>
      <c r="AA565" s="309"/>
    </row>
    <row r="566" ht="27.0" customHeight="1">
      <c r="A566" s="309"/>
      <c r="B566" s="309"/>
      <c r="C566" s="309"/>
      <c r="D566" s="309"/>
      <c r="E566" s="330"/>
      <c r="F566" s="309"/>
      <c r="G566" s="309"/>
      <c r="H566" s="316"/>
      <c r="I566" s="309"/>
      <c r="J566" s="309"/>
      <c r="K566" s="309"/>
      <c r="L566" s="309"/>
      <c r="M566" s="309"/>
      <c r="N566" s="309"/>
      <c r="O566" s="309"/>
      <c r="P566" s="309"/>
      <c r="Q566" s="309"/>
      <c r="R566" s="309"/>
      <c r="S566" s="309"/>
      <c r="T566" s="309"/>
      <c r="U566" s="309"/>
      <c r="V566" s="309"/>
      <c r="W566" s="309"/>
      <c r="X566" s="309"/>
      <c r="Y566" s="309"/>
      <c r="Z566" s="309"/>
      <c r="AA566" s="309"/>
    </row>
    <row r="567" ht="27.0" customHeight="1">
      <c r="A567" s="309"/>
      <c r="B567" s="309"/>
      <c r="C567" s="309"/>
      <c r="D567" s="309"/>
      <c r="E567" s="330"/>
      <c r="F567" s="309"/>
      <c r="G567" s="309"/>
      <c r="H567" s="316"/>
      <c r="I567" s="309"/>
      <c r="J567" s="309"/>
      <c r="K567" s="309"/>
      <c r="L567" s="309"/>
      <c r="M567" s="309"/>
      <c r="N567" s="309"/>
      <c r="O567" s="309"/>
      <c r="P567" s="309"/>
      <c r="Q567" s="309"/>
      <c r="R567" s="309"/>
      <c r="S567" s="309"/>
      <c r="T567" s="309"/>
      <c r="U567" s="309"/>
      <c r="V567" s="309"/>
      <c r="W567" s="309"/>
      <c r="X567" s="309"/>
      <c r="Y567" s="309"/>
      <c r="Z567" s="309"/>
      <c r="AA567" s="309"/>
    </row>
    <row r="568" ht="27.0" customHeight="1">
      <c r="A568" s="309"/>
      <c r="B568" s="309"/>
      <c r="C568" s="309"/>
      <c r="D568" s="309"/>
      <c r="E568" s="330"/>
      <c r="F568" s="309"/>
      <c r="G568" s="309"/>
      <c r="H568" s="316"/>
      <c r="I568" s="309"/>
      <c r="J568" s="309"/>
      <c r="K568" s="309"/>
      <c r="L568" s="309"/>
      <c r="M568" s="309"/>
      <c r="N568" s="309"/>
      <c r="O568" s="309"/>
      <c r="P568" s="309"/>
      <c r="Q568" s="309"/>
      <c r="R568" s="309"/>
      <c r="S568" s="309"/>
      <c r="T568" s="309"/>
      <c r="U568" s="309"/>
      <c r="V568" s="309"/>
      <c r="W568" s="309"/>
      <c r="X568" s="309"/>
      <c r="Y568" s="309"/>
      <c r="Z568" s="309"/>
      <c r="AA568" s="309"/>
    </row>
    <row r="569" ht="27.0" customHeight="1">
      <c r="A569" s="309"/>
      <c r="B569" s="309"/>
      <c r="C569" s="309"/>
      <c r="D569" s="309"/>
      <c r="E569" s="330"/>
      <c r="F569" s="309"/>
      <c r="G569" s="309"/>
      <c r="H569" s="316"/>
      <c r="I569" s="309"/>
      <c r="J569" s="309"/>
      <c r="K569" s="309"/>
      <c r="L569" s="309"/>
      <c r="M569" s="309"/>
      <c r="N569" s="309"/>
      <c r="O569" s="309"/>
      <c r="P569" s="309"/>
      <c r="Q569" s="309"/>
      <c r="R569" s="309"/>
      <c r="S569" s="309"/>
      <c r="T569" s="309"/>
      <c r="U569" s="309"/>
      <c r="V569" s="309"/>
      <c r="W569" s="309"/>
      <c r="X569" s="309"/>
      <c r="Y569" s="309"/>
      <c r="Z569" s="309"/>
      <c r="AA569" s="309"/>
    </row>
    <row r="570" ht="27.0" customHeight="1">
      <c r="A570" s="309"/>
      <c r="B570" s="309"/>
      <c r="C570" s="309"/>
      <c r="D570" s="309"/>
      <c r="E570" s="330"/>
      <c r="F570" s="309"/>
      <c r="G570" s="309"/>
      <c r="H570" s="316"/>
      <c r="I570" s="309"/>
      <c r="J570" s="309"/>
      <c r="K570" s="309"/>
      <c r="L570" s="309"/>
      <c r="M570" s="309"/>
      <c r="N570" s="309"/>
      <c r="O570" s="309"/>
      <c r="P570" s="309"/>
      <c r="Q570" s="309"/>
      <c r="R570" s="309"/>
      <c r="S570" s="309"/>
      <c r="T570" s="309"/>
      <c r="U570" s="309"/>
      <c r="V570" s="309"/>
      <c r="W570" s="309"/>
      <c r="X570" s="309"/>
      <c r="Y570" s="309"/>
      <c r="Z570" s="309"/>
      <c r="AA570" s="309"/>
    </row>
    <row r="571" ht="27.0" customHeight="1">
      <c r="A571" s="309"/>
      <c r="B571" s="309"/>
      <c r="C571" s="309"/>
      <c r="D571" s="309"/>
      <c r="E571" s="330"/>
      <c r="F571" s="309"/>
      <c r="G571" s="309"/>
      <c r="H571" s="316"/>
      <c r="I571" s="309"/>
      <c r="J571" s="309"/>
      <c r="K571" s="309"/>
      <c r="L571" s="309"/>
      <c r="M571" s="309"/>
      <c r="N571" s="309"/>
      <c r="O571" s="309"/>
      <c r="P571" s="309"/>
      <c r="Q571" s="309"/>
      <c r="R571" s="309"/>
      <c r="S571" s="309"/>
      <c r="T571" s="309"/>
      <c r="U571" s="309"/>
      <c r="V571" s="309"/>
      <c r="W571" s="309"/>
      <c r="X571" s="309"/>
      <c r="Y571" s="309"/>
      <c r="Z571" s="309"/>
      <c r="AA571" s="309"/>
    </row>
    <row r="572" ht="27.0" customHeight="1">
      <c r="A572" s="309"/>
      <c r="B572" s="309"/>
      <c r="C572" s="309"/>
      <c r="D572" s="309"/>
      <c r="E572" s="330"/>
      <c r="F572" s="309"/>
      <c r="G572" s="309"/>
      <c r="H572" s="316"/>
      <c r="I572" s="309"/>
      <c r="J572" s="309"/>
      <c r="K572" s="309"/>
      <c r="L572" s="309"/>
      <c r="M572" s="309"/>
      <c r="N572" s="309"/>
      <c r="O572" s="309"/>
      <c r="P572" s="309"/>
      <c r="Q572" s="309"/>
      <c r="R572" s="309"/>
      <c r="S572" s="309"/>
      <c r="T572" s="309"/>
      <c r="U572" s="309"/>
      <c r="V572" s="309"/>
      <c r="W572" s="309"/>
      <c r="X572" s="309"/>
      <c r="Y572" s="309"/>
      <c r="Z572" s="309"/>
      <c r="AA572" s="309"/>
    </row>
    <row r="573" ht="27.0" customHeight="1">
      <c r="A573" s="309"/>
      <c r="B573" s="309"/>
      <c r="C573" s="309"/>
      <c r="D573" s="309"/>
      <c r="E573" s="330"/>
      <c r="F573" s="309"/>
      <c r="G573" s="309"/>
      <c r="H573" s="316"/>
      <c r="I573" s="309"/>
      <c r="J573" s="309"/>
      <c r="K573" s="309"/>
      <c r="L573" s="309"/>
      <c r="M573" s="309"/>
      <c r="N573" s="309"/>
      <c r="O573" s="309"/>
      <c r="P573" s="309"/>
      <c r="Q573" s="309"/>
      <c r="R573" s="309"/>
      <c r="S573" s="309"/>
      <c r="T573" s="309"/>
      <c r="U573" s="309"/>
      <c r="V573" s="309"/>
      <c r="W573" s="309"/>
      <c r="X573" s="309"/>
      <c r="Y573" s="309"/>
      <c r="Z573" s="309"/>
      <c r="AA573" s="309"/>
    </row>
    <row r="574" ht="27.0" customHeight="1">
      <c r="A574" s="309"/>
      <c r="B574" s="309"/>
      <c r="C574" s="309"/>
      <c r="D574" s="309"/>
      <c r="E574" s="330"/>
      <c r="F574" s="309"/>
      <c r="G574" s="309"/>
      <c r="H574" s="316"/>
      <c r="I574" s="309"/>
      <c r="J574" s="309"/>
      <c r="K574" s="309"/>
      <c r="L574" s="309"/>
      <c r="M574" s="309"/>
      <c r="N574" s="309"/>
      <c r="O574" s="309"/>
      <c r="P574" s="309"/>
      <c r="Q574" s="309"/>
      <c r="R574" s="309"/>
      <c r="S574" s="309"/>
      <c r="T574" s="309"/>
      <c r="U574" s="309"/>
      <c r="V574" s="309"/>
      <c r="W574" s="309"/>
      <c r="X574" s="309"/>
      <c r="Y574" s="309"/>
      <c r="Z574" s="309"/>
      <c r="AA574" s="309"/>
    </row>
    <row r="575" ht="27.0" customHeight="1">
      <c r="A575" s="309"/>
      <c r="B575" s="309"/>
      <c r="C575" s="309"/>
      <c r="D575" s="309"/>
      <c r="E575" s="330"/>
      <c r="F575" s="309"/>
      <c r="G575" s="309"/>
      <c r="H575" s="316"/>
      <c r="I575" s="309"/>
      <c r="J575" s="309"/>
      <c r="K575" s="309"/>
      <c r="L575" s="309"/>
      <c r="M575" s="309"/>
      <c r="N575" s="309"/>
      <c r="O575" s="309"/>
      <c r="P575" s="309"/>
      <c r="Q575" s="309"/>
      <c r="R575" s="309"/>
      <c r="S575" s="309"/>
      <c r="T575" s="309"/>
      <c r="U575" s="309"/>
      <c r="V575" s="309"/>
      <c r="W575" s="309"/>
      <c r="X575" s="309"/>
      <c r="Y575" s="309"/>
      <c r="Z575" s="309"/>
      <c r="AA575" s="309"/>
    </row>
    <row r="576" ht="27.0" customHeight="1">
      <c r="A576" s="309"/>
      <c r="B576" s="309"/>
      <c r="C576" s="309"/>
      <c r="D576" s="309"/>
      <c r="E576" s="330"/>
      <c r="F576" s="309"/>
      <c r="G576" s="309"/>
      <c r="H576" s="316"/>
      <c r="I576" s="309"/>
      <c r="J576" s="309"/>
      <c r="K576" s="309"/>
      <c r="L576" s="309"/>
      <c r="M576" s="309"/>
      <c r="N576" s="309"/>
      <c r="O576" s="309"/>
      <c r="P576" s="309"/>
      <c r="Q576" s="309"/>
      <c r="R576" s="309"/>
      <c r="S576" s="309"/>
      <c r="T576" s="309"/>
      <c r="U576" s="309"/>
      <c r="V576" s="309"/>
      <c r="W576" s="309"/>
      <c r="X576" s="309"/>
      <c r="Y576" s="309"/>
      <c r="Z576" s="309"/>
      <c r="AA576" s="309"/>
    </row>
    <row r="577" ht="27.0" customHeight="1">
      <c r="A577" s="309"/>
      <c r="B577" s="309"/>
      <c r="C577" s="309"/>
      <c r="D577" s="309"/>
      <c r="E577" s="330"/>
      <c r="F577" s="309"/>
      <c r="G577" s="309"/>
      <c r="H577" s="316"/>
      <c r="I577" s="309"/>
      <c r="J577" s="309"/>
      <c r="K577" s="309"/>
      <c r="L577" s="309"/>
      <c r="M577" s="309"/>
      <c r="N577" s="309"/>
      <c r="O577" s="309"/>
      <c r="P577" s="309"/>
      <c r="Q577" s="309"/>
      <c r="R577" s="309"/>
      <c r="S577" s="309"/>
      <c r="T577" s="309"/>
      <c r="U577" s="309"/>
      <c r="V577" s="309"/>
      <c r="W577" s="309"/>
      <c r="X577" s="309"/>
      <c r="Y577" s="309"/>
      <c r="Z577" s="309"/>
      <c r="AA577" s="309"/>
    </row>
    <row r="578" ht="27.0" customHeight="1">
      <c r="A578" s="309"/>
      <c r="B578" s="309"/>
      <c r="C578" s="309"/>
      <c r="D578" s="309"/>
      <c r="E578" s="330"/>
      <c r="F578" s="309"/>
      <c r="G578" s="309"/>
      <c r="H578" s="316"/>
      <c r="I578" s="309"/>
      <c r="J578" s="309"/>
      <c r="K578" s="309"/>
      <c r="L578" s="309"/>
      <c r="M578" s="309"/>
      <c r="N578" s="309"/>
      <c r="O578" s="309"/>
      <c r="P578" s="309"/>
      <c r="Q578" s="309"/>
      <c r="R578" s="309"/>
      <c r="S578" s="309"/>
      <c r="T578" s="309"/>
      <c r="U578" s="309"/>
      <c r="V578" s="309"/>
      <c r="W578" s="309"/>
      <c r="X578" s="309"/>
      <c r="Y578" s="309"/>
      <c r="Z578" s="309"/>
      <c r="AA578" s="309"/>
    </row>
    <row r="579" ht="27.0" customHeight="1">
      <c r="A579" s="309"/>
      <c r="B579" s="309"/>
      <c r="C579" s="309"/>
      <c r="D579" s="309"/>
      <c r="E579" s="330"/>
      <c r="F579" s="309"/>
      <c r="G579" s="309"/>
      <c r="H579" s="316"/>
      <c r="I579" s="309"/>
      <c r="J579" s="309"/>
      <c r="K579" s="309"/>
      <c r="L579" s="309"/>
      <c r="M579" s="309"/>
      <c r="N579" s="309"/>
      <c r="O579" s="309"/>
      <c r="P579" s="309"/>
      <c r="Q579" s="309"/>
      <c r="R579" s="309"/>
      <c r="S579" s="309"/>
      <c r="T579" s="309"/>
      <c r="U579" s="309"/>
      <c r="V579" s="309"/>
      <c r="W579" s="309"/>
      <c r="X579" s="309"/>
      <c r="Y579" s="309"/>
      <c r="Z579" s="309"/>
      <c r="AA579" s="309"/>
    </row>
    <row r="580" ht="27.0" customHeight="1">
      <c r="A580" s="309"/>
      <c r="B580" s="309"/>
      <c r="C580" s="309"/>
      <c r="D580" s="309"/>
      <c r="E580" s="330"/>
      <c r="F580" s="309"/>
      <c r="G580" s="309"/>
      <c r="H580" s="316"/>
      <c r="I580" s="309"/>
      <c r="J580" s="309"/>
      <c r="K580" s="309"/>
      <c r="L580" s="309"/>
      <c r="M580" s="309"/>
      <c r="N580" s="309"/>
      <c r="O580" s="309"/>
      <c r="P580" s="309"/>
      <c r="Q580" s="309"/>
      <c r="R580" s="309"/>
      <c r="S580" s="309"/>
      <c r="T580" s="309"/>
      <c r="U580" s="309"/>
      <c r="V580" s="309"/>
      <c r="W580" s="309"/>
      <c r="X580" s="309"/>
      <c r="Y580" s="309"/>
      <c r="Z580" s="309"/>
      <c r="AA580" s="309"/>
    </row>
    <row r="581" ht="27.0" customHeight="1">
      <c r="A581" s="309"/>
      <c r="B581" s="309"/>
      <c r="C581" s="309"/>
      <c r="D581" s="309"/>
      <c r="E581" s="330"/>
      <c r="F581" s="309"/>
      <c r="G581" s="309"/>
      <c r="H581" s="316"/>
      <c r="I581" s="309"/>
      <c r="J581" s="309"/>
      <c r="K581" s="309"/>
      <c r="L581" s="309"/>
      <c r="M581" s="309"/>
      <c r="N581" s="309"/>
      <c r="O581" s="309"/>
      <c r="P581" s="309"/>
      <c r="Q581" s="309"/>
      <c r="R581" s="309"/>
      <c r="S581" s="309"/>
      <c r="T581" s="309"/>
      <c r="U581" s="309"/>
      <c r="V581" s="309"/>
      <c r="W581" s="309"/>
      <c r="X581" s="309"/>
      <c r="Y581" s="309"/>
      <c r="Z581" s="309"/>
      <c r="AA581" s="309"/>
    </row>
    <row r="582" ht="27.0" customHeight="1">
      <c r="A582" s="309"/>
      <c r="B582" s="309"/>
      <c r="C582" s="309"/>
      <c r="D582" s="309"/>
      <c r="E582" s="330"/>
      <c r="F582" s="309"/>
      <c r="G582" s="309"/>
      <c r="H582" s="316"/>
      <c r="I582" s="309"/>
      <c r="J582" s="309"/>
      <c r="K582" s="309"/>
      <c r="L582" s="309"/>
      <c r="M582" s="309"/>
      <c r="N582" s="309"/>
      <c r="O582" s="309"/>
      <c r="P582" s="309"/>
      <c r="Q582" s="309"/>
      <c r="R582" s="309"/>
      <c r="S582" s="309"/>
      <c r="T582" s="309"/>
      <c r="U582" s="309"/>
      <c r="V582" s="309"/>
      <c r="W582" s="309"/>
      <c r="X582" s="309"/>
      <c r="Y582" s="309"/>
      <c r="Z582" s="309"/>
      <c r="AA582" s="309"/>
    </row>
    <row r="583" ht="27.0" customHeight="1">
      <c r="A583" s="309"/>
      <c r="B583" s="309"/>
      <c r="C583" s="309"/>
      <c r="D583" s="309"/>
      <c r="E583" s="330"/>
      <c r="F583" s="309"/>
      <c r="G583" s="309"/>
      <c r="H583" s="316"/>
      <c r="I583" s="309"/>
      <c r="J583" s="309"/>
      <c r="K583" s="309"/>
      <c r="L583" s="309"/>
      <c r="M583" s="309"/>
      <c r="N583" s="309"/>
      <c r="O583" s="309"/>
      <c r="P583" s="309"/>
      <c r="Q583" s="309"/>
      <c r="R583" s="309"/>
      <c r="S583" s="309"/>
      <c r="T583" s="309"/>
      <c r="U583" s="309"/>
      <c r="V583" s="309"/>
      <c r="W583" s="309"/>
      <c r="X583" s="309"/>
      <c r="Y583" s="309"/>
      <c r="Z583" s="309"/>
      <c r="AA583" s="309"/>
    </row>
    <row r="584" ht="27.0" customHeight="1">
      <c r="A584" s="309"/>
      <c r="B584" s="309"/>
      <c r="C584" s="309"/>
      <c r="D584" s="309"/>
      <c r="E584" s="330"/>
      <c r="F584" s="309"/>
      <c r="G584" s="309"/>
      <c r="H584" s="316"/>
      <c r="I584" s="309"/>
      <c r="J584" s="309"/>
      <c r="K584" s="309"/>
      <c r="L584" s="309"/>
      <c r="M584" s="309"/>
      <c r="N584" s="309"/>
      <c r="O584" s="309"/>
      <c r="P584" s="309"/>
      <c r="Q584" s="309"/>
      <c r="R584" s="309"/>
      <c r="S584" s="309"/>
      <c r="T584" s="309"/>
      <c r="U584" s="309"/>
      <c r="V584" s="309"/>
      <c r="W584" s="309"/>
      <c r="X584" s="309"/>
      <c r="Y584" s="309"/>
      <c r="Z584" s="309"/>
      <c r="AA584" s="309"/>
    </row>
    <row r="585" ht="27.0" customHeight="1">
      <c r="A585" s="309"/>
      <c r="B585" s="309"/>
      <c r="C585" s="309"/>
      <c r="D585" s="309"/>
      <c r="E585" s="330"/>
      <c r="F585" s="309"/>
      <c r="G585" s="309"/>
      <c r="H585" s="316"/>
      <c r="I585" s="309"/>
      <c r="J585" s="309"/>
      <c r="K585" s="309"/>
      <c r="L585" s="309"/>
      <c r="M585" s="309"/>
      <c r="N585" s="309"/>
      <c r="O585" s="309"/>
      <c r="P585" s="309"/>
      <c r="Q585" s="309"/>
      <c r="R585" s="309"/>
      <c r="S585" s="309"/>
      <c r="T585" s="309"/>
      <c r="U585" s="309"/>
      <c r="V585" s="309"/>
      <c r="W585" s="309"/>
      <c r="X585" s="309"/>
      <c r="Y585" s="309"/>
      <c r="Z585" s="309"/>
      <c r="AA585" s="309"/>
    </row>
    <row r="586" ht="27.0" customHeight="1">
      <c r="A586" s="309"/>
      <c r="B586" s="309"/>
      <c r="C586" s="309"/>
      <c r="D586" s="309"/>
      <c r="E586" s="330"/>
      <c r="F586" s="309"/>
      <c r="G586" s="309"/>
      <c r="H586" s="316"/>
      <c r="I586" s="309"/>
      <c r="J586" s="309"/>
      <c r="K586" s="309"/>
      <c r="L586" s="309"/>
      <c r="M586" s="309"/>
      <c r="N586" s="309"/>
      <c r="O586" s="309"/>
      <c r="P586" s="309"/>
      <c r="Q586" s="309"/>
      <c r="R586" s="309"/>
      <c r="S586" s="309"/>
      <c r="T586" s="309"/>
      <c r="U586" s="309"/>
      <c r="V586" s="309"/>
      <c r="W586" s="309"/>
      <c r="X586" s="309"/>
      <c r="Y586" s="309"/>
      <c r="Z586" s="309"/>
      <c r="AA586" s="309"/>
    </row>
    <row r="587" ht="27.0" customHeight="1">
      <c r="A587" s="309"/>
      <c r="B587" s="309"/>
      <c r="C587" s="309"/>
      <c r="D587" s="309"/>
      <c r="E587" s="330"/>
      <c r="F587" s="309"/>
      <c r="G587" s="309"/>
      <c r="H587" s="316"/>
      <c r="I587" s="309"/>
      <c r="J587" s="309"/>
      <c r="K587" s="309"/>
      <c r="L587" s="309"/>
      <c r="M587" s="309"/>
      <c r="N587" s="309"/>
      <c r="O587" s="309"/>
      <c r="P587" s="309"/>
      <c r="Q587" s="309"/>
      <c r="R587" s="309"/>
      <c r="S587" s="309"/>
      <c r="T587" s="309"/>
      <c r="U587" s="309"/>
      <c r="V587" s="309"/>
      <c r="W587" s="309"/>
      <c r="X587" s="309"/>
      <c r="Y587" s="309"/>
      <c r="Z587" s="309"/>
      <c r="AA587" s="309"/>
    </row>
    <row r="588" ht="27.0" customHeight="1">
      <c r="A588" s="309"/>
      <c r="B588" s="309"/>
      <c r="C588" s="309"/>
      <c r="D588" s="309"/>
      <c r="E588" s="330"/>
      <c r="F588" s="309"/>
      <c r="G588" s="309"/>
      <c r="H588" s="316"/>
      <c r="I588" s="309"/>
      <c r="J588" s="309"/>
      <c r="K588" s="309"/>
      <c r="L588" s="309"/>
      <c r="M588" s="309"/>
      <c r="N588" s="309"/>
      <c r="O588" s="309"/>
      <c r="P588" s="309"/>
      <c r="Q588" s="309"/>
      <c r="R588" s="309"/>
      <c r="S588" s="309"/>
      <c r="T588" s="309"/>
      <c r="U588" s="309"/>
      <c r="V588" s="309"/>
      <c r="W588" s="309"/>
      <c r="X588" s="309"/>
      <c r="Y588" s="309"/>
      <c r="Z588" s="309"/>
      <c r="AA588" s="309"/>
    </row>
    <row r="589" ht="27.0" customHeight="1">
      <c r="A589" s="309"/>
      <c r="B589" s="309"/>
      <c r="C589" s="309"/>
      <c r="D589" s="309"/>
      <c r="E589" s="330"/>
      <c r="F589" s="309"/>
      <c r="G589" s="309"/>
      <c r="H589" s="316"/>
      <c r="I589" s="309"/>
      <c r="J589" s="309"/>
      <c r="K589" s="309"/>
      <c r="L589" s="309"/>
      <c r="M589" s="309"/>
      <c r="N589" s="309"/>
      <c r="O589" s="309"/>
      <c r="P589" s="309"/>
      <c r="Q589" s="309"/>
      <c r="R589" s="309"/>
      <c r="S589" s="309"/>
      <c r="T589" s="309"/>
      <c r="U589" s="309"/>
      <c r="V589" s="309"/>
      <c r="W589" s="309"/>
      <c r="X589" s="309"/>
      <c r="Y589" s="309"/>
      <c r="Z589" s="309"/>
      <c r="AA589" s="309"/>
    </row>
    <row r="590" ht="27.0" customHeight="1">
      <c r="A590" s="309"/>
      <c r="B590" s="309"/>
      <c r="C590" s="309"/>
      <c r="D590" s="309"/>
      <c r="E590" s="330"/>
      <c r="F590" s="309"/>
      <c r="G590" s="309"/>
      <c r="H590" s="316"/>
      <c r="I590" s="309"/>
      <c r="J590" s="309"/>
      <c r="K590" s="309"/>
      <c r="L590" s="309"/>
      <c r="M590" s="309"/>
      <c r="N590" s="309"/>
      <c r="O590" s="309"/>
      <c r="P590" s="309"/>
      <c r="Q590" s="309"/>
      <c r="R590" s="309"/>
      <c r="S590" s="309"/>
      <c r="T590" s="309"/>
      <c r="U590" s="309"/>
      <c r="V590" s="309"/>
      <c r="W590" s="309"/>
      <c r="X590" s="309"/>
      <c r="Y590" s="309"/>
      <c r="Z590" s="309"/>
      <c r="AA590" s="309"/>
    </row>
    <row r="591" ht="27.0" customHeight="1">
      <c r="A591" s="309"/>
      <c r="B591" s="309"/>
      <c r="C591" s="309"/>
      <c r="D591" s="309"/>
      <c r="E591" s="330"/>
      <c r="F591" s="309"/>
      <c r="G591" s="309"/>
      <c r="H591" s="316"/>
      <c r="I591" s="309"/>
      <c r="J591" s="309"/>
      <c r="K591" s="309"/>
      <c r="L591" s="309"/>
      <c r="M591" s="309"/>
      <c r="N591" s="309"/>
      <c r="O591" s="309"/>
      <c r="P591" s="309"/>
      <c r="Q591" s="309"/>
      <c r="R591" s="309"/>
      <c r="S591" s="309"/>
      <c r="T591" s="309"/>
      <c r="U591" s="309"/>
      <c r="V591" s="309"/>
      <c r="W591" s="309"/>
      <c r="X591" s="309"/>
      <c r="Y591" s="309"/>
      <c r="Z591" s="309"/>
      <c r="AA591" s="309"/>
    </row>
    <row r="592" ht="27.0" customHeight="1">
      <c r="A592" s="309"/>
      <c r="B592" s="309"/>
      <c r="C592" s="309"/>
      <c r="D592" s="309"/>
      <c r="E592" s="330"/>
      <c r="F592" s="309"/>
      <c r="G592" s="309"/>
      <c r="H592" s="316"/>
      <c r="I592" s="309"/>
      <c r="J592" s="309"/>
      <c r="K592" s="309"/>
      <c r="L592" s="309"/>
      <c r="M592" s="309"/>
      <c r="N592" s="309"/>
      <c r="O592" s="309"/>
      <c r="P592" s="309"/>
      <c r="Q592" s="309"/>
      <c r="R592" s="309"/>
      <c r="S592" s="309"/>
      <c r="T592" s="309"/>
      <c r="U592" s="309"/>
      <c r="V592" s="309"/>
      <c r="W592" s="309"/>
      <c r="X592" s="309"/>
      <c r="Y592" s="309"/>
      <c r="Z592" s="309"/>
      <c r="AA592" s="309"/>
    </row>
    <row r="593" ht="27.0" customHeight="1">
      <c r="A593" s="309"/>
      <c r="B593" s="309"/>
      <c r="C593" s="309"/>
      <c r="D593" s="309"/>
      <c r="E593" s="330"/>
      <c r="F593" s="309"/>
      <c r="G593" s="309"/>
      <c r="H593" s="316"/>
      <c r="I593" s="309"/>
      <c r="J593" s="309"/>
      <c r="K593" s="309"/>
      <c r="L593" s="309"/>
      <c r="M593" s="309"/>
      <c r="N593" s="309"/>
      <c r="O593" s="309"/>
      <c r="P593" s="309"/>
      <c r="Q593" s="309"/>
      <c r="R593" s="309"/>
      <c r="S593" s="309"/>
      <c r="T593" s="309"/>
      <c r="U593" s="309"/>
      <c r="V593" s="309"/>
      <c r="W593" s="309"/>
      <c r="X593" s="309"/>
      <c r="Y593" s="309"/>
      <c r="Z593" s="309"/>
      <c r="AA593" s="309"/>
    </row>
    <row r="594" ht="27.0" customHeight="1">
      <c r="A594" s="309"/>
      <c r="B594" s="309"/>
      <c r="C594" s="309"/>
      <c r="D594" s="309"/>
      <c r="E594" s="330"/>
      <c r="F594" s="309"/>
      <c r="G594" s="309"/>
      <c r="H594" s="316"/>
      <c r="I594" s="309"/>
      <c r="J594" s="309"/>
      <c r="K594" s="309"/>
      <c r="L594" s="309"/>
      <c r="M594" s="309"/>
      <c r="N594" s="309"/>
      <c r="O594" s="309"/>
      <c r="P594" s="309"/>
      <c r="Q594" s="309"/>
      <c r="R594" s="309"/>
      <c r="S594" s="309"/>
      <c r="T594" s="309"/>
      <c r="U594" s="309"/>
      <c r="V594" s="309"/>
      <c r="W594" s="309"/>
      <c r="X594" s="309"/>
      <c r="Y594" s="309"/>
      <c r="Z594" s="309"/>
      <c r="AA594" s="309"/>
    </row>
    <row r="595" ht="27.0" customHeight="1">
      <c r="A595" s="309"/>
      <c r="B595" s="309"/>
      <c r="C595" s="309"/>
      <c r="D595" s="309"/>
      <c r="E595" s="330"/>
      <c r="F595" s="309"/>
      <c r="G595" s="309"/>
      <c r="H595" s="316"/>
      <c r="I595" s="309"/>
      <c r="J595" s="309"/>
      <c r="K595" s="309"/>
      <c r="L595" s="309"/>
      <c r="M595" s="309"/>
      <c r="N595" s="309"/>
      <c r="O595" s="309"/>
      <c r="P595" s="309"/>
      <c r="Q595" s="309"/>
      <c r="R595" s="309"/>
      <c r="S595" s="309"/>
      <c r="T595" s="309"/>
      <c r="U595" s="309"/>
      <c r="V595" s="309"/>
      <c r="W595" s="309"/>
      <c r="X595" s="309"/>
      <c r="Y595" s="309"/>
      <c r="Z595" s="309"/>
      <c r="AA595" s="309"/>
    </row>
    <row r="596" ht="27.0" customHeight="1">
      <c r="A596" s="309"/>
      <c r="B596" s="309"/>
      <c r="C596" s="309"/>
      <c r="D596" s="309"/>
      <c r="E596" s="330"/>
      <c r="F596" s="309"/>
      <c r="G596" s="309"/>
      <c r="H596" s="316"/>
      <c r="I596" s="309"/>
      <c r="J596" s="309"/>
      <c r="K596" s="309"/>
      <c r="L596" s="309"/>
      <c r="M596" s="309"/>
      <c r="N596" s="309"/>
      <c r="O596" s="309"/>
      <c r="P596" s="309"/>
      <c r="Q596" s="309"/>
      <c r="R596" s="309"/>
      <c r="S596" s="309"/>
      <c r="T596" s="309"/>
      <c r="U596" s="309"/>
      <c r="V596" s="309"/>
      <c r="W596" s="309"/>
      <c r="X596" s="309"/>
      <c r="Y596" s="309"/>
      <c r="Z596" s="309"/>
      <c r="AA596" s="309"/>
    </row>
    <row r="597" ht="27.0" customHeight="1">
      <c r="A597" s="309"/>
      <c r="B597" s="309"/>
      <c r="C597" s="309"/>
      <c r="D597" s="309"/>
      <c r="E597" s="330"/>
      <c r="F597" s="309"/>
      <c r="G597" s="309"/>
      <c r="H597" s="316"/>
      <c r="I597" s="309"/>
      <c r="J597" s="309"/>
      <c r="K597" s="309"/>
      <c r="L597" s="309"/>
      <c r="M597" s="309"/>
      <c r="N597" s="309"/>
      <c r="O597" s="309"/>
      <c r="P597" s="309"/>
      <c r="Q597" s="309"/>
      <c r="R597" s="309"/>
      <c r="S597" s="309"/>
      <c r="T597" s="309"/>
      <c r="U597" s="309"/>
      <c r="V597" s="309"/>
      <c r="W597" s="309"/>
      <c r="X597" s="309"/>
      <c r="Y597" s="309"/>
      <c r="Z597" s="309"/>
      <c r="AA597" s="309"/>
    </row>
    <row r="598" ht="27.0" customHeight="1">
      <c r="A598" s="309"/>
      <c r="B598" s="309"/>
      <c r="C598" s="309"/>
      <c r="D598" s="309"/>
      <c r="E598" s="330"/>
      <c r="F598" s="309"/>
      <c r="G598" s="309"/>
      <c r="H598" s="316"/>
      <c r="I598" s="309"/>
      <c r="J598" s="309"/>
      <c r="K598" s="309"/>
      <c r="L598" s="309"/>
      <c r="M598" s="309"/>
      <c r="N598" s="309"/>
      <c r="O598" s="309"/>
      <c r="P598" s="309"/>
      <c r="Q598" s="309"/>
      <c r="R598" s="309"/>
      <c r="S598" s="309"/>
      <c r="T598" s="309"/>
      <c r="U598" s="309"/>
      <c r="V598" s="309"/>
      <c r="W598" s="309"/>
      <c r="X598" s="309"/>
      <c r="Y598" s="309"/>
      <c r="Z598" s="309"/>
      <c r="AA598" s="309"/>
    </row>
    <row r="599" ht="27.0" customHeight="1">
      <c r="A599" s="309"/>
      <c r="B599" s="309"/>
      <c r="C599" s="309"/>
      <c r="D599" s="309"/>
      <c r="E599" s="330"/>
      <c r="F599" s="309"/>
      <c r="G599" s="309"/>
      <c r="H599" s="316"/>
      <c r="I599" s="309"/>
      <c r="J599" s="309"/>
      <c r="K599" s="309"/>
      <c r="L599" s="309"/>
      <c r="M599" s="309"/>
      <c r="N599" s="309"/>
      <c r="O599" s="309"/>
      <c r="P599" s="309"/>
      <c r="Q599" s="309"/>
      <c r="R599" s="309"/>
      <c r="S599" s="309"/>
      <c r="T599" s="309"/>
      <c r="U599" s="309"/>
      <c r="V599" s="309"/>
      <c r="W599" s="309"/>
      <c r="X599" s="309"/>
      <c r="Y599" s="309"/>
      <c r="Z599" s="309"/>
      <c r="AA599" s="309"/>
    </row>
    <row r="600" ht="27.0" customHeight="1">
      <c r="A600" s="309"/>
      <c r="B600" s="309"/>
      <c r="C600" s="309"/>
      <c r="D600" s="309"/>
      <c r="E600" s="330"/>
      <c r="F600" s="309"/>
      <c r="G600" s="309"/>
      <c r="H600" s="316"/>
      <c r="I600" s="309"/>
      <c r="J600" s="309"/>
      <c r="K600" s="309"/>
      <c r="L600" s="309"/>
      <c r="M600" s="309"/>
      <c r="N600" s="309"/>
      <c r="O600" s="309"/>
      <c r="P600" s="309"/>
      <c r="Q600" s="309"/>
      <c r="R600" s="309"/>
      <c r="S600" s="309"/>
      <c r="T600" s="309"/>
      <c r="U600" s="309"/>
      <c r="V600" s="309"/>
      <c r="W600" s="309"/>
      <c r="X600" s="309"/>
      <c r="Y600" s="309"/>
      <c r="Z600" s="309"/>
      <c r="AA600" s="309"/>
    </row>
    <row r="601" ht="27.0" customHeight="1">
      <c r="A601" s="309"/>
      <c r="B601" s="309"/>
      <c r="C601" s="309"/>
      <c r="D601" s="309"/>
      <c r="E601" s="330"/>
      <c r="F601" s="309"/>
      <c r="G601" s="309"/>
      <c r="H601" s="316"/>
      <c r="I601" s="309"/>
      <c r="J601" s="309"/>
      <c r="K601" s="309"/>
      <c r="L601" s="309"/>
      <c r="M601" s="309"/>
      <c r="N601" s="309"/>
      <c r="O601" s="309"/>
      <c r="P601" s="309"/>
      <c r="Q601" s="309"/>
      <c r="R601" s="309"/>
      <c r="S601" s="309"/>
      <c r="T601" s="309"/>
      <c r="U601" s="309"/>
      <c r="V601" s="309"/>
      <c r="W601" s="309"/>
      <c r="X601" s="309"/>
      <c r="Y601" s="309"/>
      <c r="Z601" s="309"/>
      <c r="AA601" s="309"/>
    </row>
    <row r="602" ht="27.0" customHeight="1">
      <c r="A602" s="309"/>
      <c r="B602" s="309"/>
      <c r="C602" s="309"/>
      <c r="D602" s="309"/>
      <c r="E602" s="330"/>
      <c r="F602" s="309"/>
      <c r="G602" s="309"/>
      <c r="H602" s="316"/>
      <c r="I602" s="309"/>
      <c r="J602" s="309"/>
      <c r="K602" s="309"/>
      <c r="L602" s="309"/>
      <c r="M602" s="309"/>
      <c r="N602" s="309"/>
      <c r="O602" s="309"/>
      <c r="P602" s="309"/>
      <c r="Q602" s="309"/>
      <c r="R602" s="309"/>
      <c r="S602" s="309"/>
      <c r="T602" s="309"/>
      <c r="U602" s="309"/>
      <c r="V602" s="309"/>
      <c r="W602" s="309"/>
      <c r="X602" s="309"/>
      <c r="Y602" s="309"/>
      <c r="Z602" s="309"/>
      <c r="AA602" s="309"/>
    </row>
    <row r="603" ht="27.0" customHeight="1">
      <c r="A603" s="309"/>
      <c r="B603" s="309"/>
      <c r="C603" s="309"/>
      <c r="D603" s="309"/>
      <c r="E603" s="330"/>
      <c r="F603" s="309"/>
      <c r="G603" s="309"/>
      <c r="H603" s="316"/>
      <c r="I603" s="309"/>
      <c r="J603" s="309"/>
      <c r="K603" s="309"/>
      <c r="L603" s="309"/>
      <c r="M603" s="309"/>
      <c r="N603" s="309"/>
      <c r="O603" s="309"/>
      <c r="P603" s="309"/>
      <c r="Q603" s="309"/>
      <c r="R603" s="309"/>
      <c r="S603" s="309"/>
      <c r="T603" s="309"/>
      <c r="U603" s="309"/>
      <c r="V603" s="309"/>
      <c r="W603" s="309"/>
      <c r="X603" s="309"/>
      <c r="Y603" s="309"/>
      <c r="Z603" s="309"/>
      <c r="AA603" s="309"/>
    </row>
    <row r="604" ht="27.0" customHeight="1">
      <c r="A604" s="309"/>
      <c r="B604" s="309"/>
      <c r="C604" s="309"/>
      <c r="D604" s="309"/>
      <c r="E604" s="330"/>
      <c r="F604" s="309"/>
      <c r="G604" s="309"/>
      <c r="H604" s="316"/>
      <c r="I604" s="309"/>
      <c r="J604" s="309"/>
      <c r="K604" s="309"/>
      <c r="L604" s="309"/>
      <c r="M604" s="309"/>
      <c r="N604" s="309"/>
      <c r="O604" s="309"/>
      <c r="P604" s="309"/>
      <c r="Q604" s="309"/>
      <c r="R604" s="309"/>
      <c r="S604" s="309"/>
      <c r="T604" s="309"/>
      <c r="U604" s="309"/>
      <c r="V604" s="309"/>
      <c r="W604" s="309"/>
      <c r="X604" s="309"/>
      <c r="Y604" s="309"/>
      <c r="Z604" s="309"/>
      <c r="AA604" s="309"/>
    </row>
    <row r="605" ht="27.0" customHeight="1">
      <c r="A605" s="309"/>
      <c r="B605" s="309"/>
      <c r="C605" s="309"/>
      <c r="D605" s="309"/>
      <c r="E605" s="330"/>
      <c r="F605" s="309"/>
      <c r="G605" s="309"/>
      <c r="H605" s="316"/>
      <c r="I605" s="309"/>
      <c r="J605" s="309"/>
      <c r="K605" s="309"/>
      <c r="L605" s="309"/>
      <c r="M605" s="309"/>
      <c r="N605" s="309"/>
      <c r="O605" s="309"/>
      <c r="P605" s="309"/>
      <c r="Q605" s="309"/>
      <c r="R605" s="309"/>
      <c r="S605" s="309"/>
      <c r="T605" s="309"/>
      <c r="U605" s="309"/>
      <c r="V605" s="309"/>
      <c r="W605" s="309"/>
      <c r="X605" s="309"/>
      <c r="Y605" s="309"/>
      <c r="Z605" s="309"/>
      <c r="AA605" s="309"/>
    </row>
    <row r="606" ht="27.0" customHeight="1">
      <c r="A606" s="309"/>
      <c r="B606" s="309"/>
      <c r="C606" s="309"/>
      <c r="D606" s="309"/>
      <c r="E606" s="330"/>
      <c r="F606" s="309"/>
      <c r="G606" s="309"/>
      <c r="H606" s="316"/>
      <c r="I606" s="309"/>
      <c r="J606" s="309"/>
      <c r="K606" s="309"/>
      <c r="L606" s="309"/>
      <c r="M606" s="309"/>
      <c r="N606" s="309"/>
      <c r="O606" s="309"/>
      <c r="P606" s="309"/>
      <c r="Q606" s="309"/>
      <c r="R606" s="309"/>
      <c r="S606" s="309"/>
      <c r="T606" s="309"/>
      <c r="U606" s="309"/>
      <c r="V606" s="309"/>
      <c r="W606" s="309"/>
      <c r="X606" s="309"/>
      <c r="Y606" s="309"/>
      <c r="Z606" s="309"/>
      <c r="AA606" s="309"/>
    </row>
    <row r="607" ht="27.0" customHeight="1">
      <c r="A607" s="309"/>
      <c r="B607" s="309"/>
      <c r="C607" s="309"/>
      <c r="D607" s="309"/>
      <c r="E607" s="330"/>
      <c r="F607" s="309"/>
      <c r="G607" s="309"/>
      <c r="H607" s="316"/>
      <c r="I607" s="309"/>
      <c r="J607" s="309"/>
      <c r="K607" s="309"/>
      <c r="L607" s="309"/>
      <c r="M607" s="309"/>
      <c r="N607" s="309"/>
      <c r="O607" s="309"/>
      <c r="P607" s="309"/>
      <c r="Q607" s="309"/>
      <c r="R607" s="309"/>
      <c r="S607" s="309"/>
      <c r="T607" s="309"/>
      <c r="U607" s="309"/>
      <c r="V607" s="309"/>
      <c r="W607" s="309"/>
      <c r="X607" s="309"/>
      <c r="Y607" s="309"/>
      <c r="Z607" s="309"/>
      <c r="AA607" s="309"/>
    </row>
    <row r="608" ht="27.0" customHeight="1">
      <c r="A608" s="309"/>
      <c r="B608" s="309"/>
      <c r="C608" s="309"/>
      <c r="D608" s="309"/>
      <c r="E608" s="330"/>
      <c r="F608" s="309"/>
      <c r="G608" s="309"/>
      <c r="H608" s="316"/>
      <c r="I608" s="309"/>
      <c r="J608" s="309"/>
      <c r="K608" s="309"/>
      <c r="L608" s="309"/>
      <c r="M608" s="309"/>
      <c r="N608" s="309"/>
      <c r="O608" s="309"/>
      <c r="P608" s="309"/>
      <c r="Q608" s="309"/>
      <c r="R608" s="309"/>
      <c r="S608" s="309"/>
      <c r="T608" s="309"/>
      <c r="U608" s="309"/>
      <c r="V608" s="309"/>
      <c r="W608" s="309"/>
      <c r="X608" s="309"/>
      <c r="Y608" s="309"/>
      <c r="Z608" s="309"/>
      <c r="AA608" s="309"/>
    </row>
    <row r="609" ht="27.0" customHeight="1">
      <c r="A609" s="309"/>
      <c r="B609" s="309"/>
      <c r="C609" s="309"/>
      <c r="D609" s="309"/>
      <c r="E609" s="330"/>
      <c r="F609" s="309"/>
      <c r="G609" s="309"/>
      <c r="H609" s="316"/>
      <c r="I609" s="309"/>
      <c r="J609" s="309"/>
      <c r="K609" s="309"/>
      <c r="L609" s="309"/>
      <c r="M609" s="309"/>
      <c r="N609" s="309"/>
      <c r="O609" s="309"/>
      <c r="P609" s="309"/>
      <c r="Q609" s="309"/>
      <c r="R609" s="309"/>
      <c r="S609" s="309"/>
      <c r="T609" s="309"/>
      <c r="U609" s="309"/>
      <c r="V609" s="309"/>
      <c r="W609" s="309"/>
      <c r="X609" s="309"/>
      <c r="Y609" s="309"/>
      <c r="Z609" s="309"/>
      <c r="AA609" s="309"/>
    </row>
    <row r="610" ht="27.0" customHeight="1">
      <c r="A610" s="309"/>
      <c r="B610" s="309"/>
      <c r="C610" s="309"/>
      <c r="D610" s="309"/>
      <c r="E610" s="330"/>
      <c r="F610" s="309"/>
      <c r="G610" s="309"/>
      <c r="H610" s="316"/>
      <c r="I610" s="309"/>
      <c r="J610" s="309"/>
      <c r="K610" s="309"/>
      <c r="L610" s="309"/>
      <c r="M610" s="309"/>
      <c r="N610" s="309"/>
      <c r="O610" s="309"/>
      <c r="P610" s="309"/>
      <c r="Q610" s="309"/>
      <c r="R610" s="309"/>
      <c r="S610" s="309"/>
      <c r="T610" s="309"/>
      <c r="U610" s="309"/>
      <c r="V610" s="309"/>
      <c r="W610" s="309"/>
      <c r="X610" s="309"/>
      <c r="Y610" s="309"/>
      <c r="Z610" s="309"/>
      <c r="AA610" s="309"/>
    </row>
    <row r="611" ht="27.0" customHeight="1">
      <c r="A611" s="309"/>
      <c r="B611" s="309"/>
      <c r="C611" s="309"/>
      <c r="D611" s="309"/>
      <c r="E611" s="330"/>
      <c r="F611" s="309"/>
      <c r="G611" s="309"/>
      <c r="H611" s="316"/>
      <c r="I611" s="309"/>
      <c r="J611" s="309"/>
      <c r="K611" s="309"/>
      <c r="L611" s="309"/>
      <c r="M611" s="309"/>
      <c r="N611" s="309"/>
      <c r="O611" s="309"/>
      <c r="P611" s="309"/>
      <c r="Q611" s="309"/>
      <c r="R611" s="309"/>
      <c r="S611" s="309"/>
      <c r="T611" s="309"/>
      <c r="U611" s="309"/>
      <c r="V611" s="309"/>
      <c r="W611" s="309"/>
      <c r="X611" s="309"/>
      <c r="Y611" s="309"/>
      <c r="Z611" s="309"/>
      <c r="AA611" s="309"/>
    </row>
    <row r="612" ht="27.0" customHeight="1">
      <c r="A612" s="309"/>
      <c r="B612" s="309"/>
      <c r="C612" s="309"/>
      <c r="D612" s="309"/>
      <c r="E612" s="330"/>
      <c r="F612" s="309"/>
      <c r="G612" s="309"/>
      <c r="H612" s="316"/>
      <c r="I612" s="309"/>
      <c r="J612" s="309"/>
      <c r="K612" s="309"/>
      <c r="L612" s="309"/>
      <c r="M612" s="309"/>
      <c r="N612" s="309"/>
      <c r="O612" s="309"/>
      <c r="P612" s="309"/>
      <c r="Q612" s="309"/>
      <c r="R612" s="309"/>
      <c r="S612" s="309"/>
      <c r="T612" s="309"/>
      <c r="U612" s="309"/>
      <c r="V612" s="309"/>
      <c r="W612" s="309"/>
      <c r="X612" s="309"/>
      <c r="Y612" s="309"/>
      <c r="Z612" s="309"/>
      <c r="AA612" s="309"/>
    </row>
    <row r="613" ht="27.0" customHeight="1">
      <c r="A613" s="309"/>
      <c r="B613" s="309"/>
      <c r="C613" s="309"/>
      <c r="D613" s="309"/>
      <c r="E613" s="330"/>
      <c r="F613" s="309"/>
      <c r="G613" s="309"/>
      <c r="H613" s="316"/>
      <c r="I613" s="309"/>
      <c r="J613" s="309"/>
      <c r="K613" s="309"/>
      <c r="L613" s="309"/>
      <c r="M613" s="309"/>
      <c r="N613" s="309"/>
      <c r="O613" s="309"/>
      <c r="P613" s="309"/>
      <c r="Q613" s="309"/>
      <c r="R613" s="309"/>
      <c r="S613" s="309"/>
      <c r="T613" s="309"/>
      <c r="U613" s="309"/>
      <c r="V613" s="309"/>
      <c r="W613" s="309"/>
      <c r="X613" s="309"/>
      <c r="Y613" s="309"/>
      <c r="Z613" s="309"/>
      <c r="AA613" s="309"/>
    </row>
    <row r="614" ht="27.0" customHeight="1">
      <c r="A614" s="309"/>
      <c r="B614" s="309"/>
      <c r="C614" s="309"/>
      <c r="D614" s="309"/>
      <c r="E614" s="330"/>
      <c r="F614" s="309"/>
      <c r="G614" s="309"/>
      <c r="H614" s="316"/>
      <c r="I614" s="309"/>
      <c r="J614" s="309"/>
      <c r="K614" s="309"/>
      <c r="L614" s="309"/>
      <c r="M614" s="309"/>
      <c r="N614" s="309"/>
      <c r="O614" s="309"/>
      <c r="P614" s="309"/>
      <c r="Q614" s="309"/>
      <c r="R614" s="309"/>
      <c r="S614" s="309"/>
      <c r="T614" s="309"/>
      <c r="U614" s="309"/>
      <c r="V614" s="309"/>
      <c r="W614" s="309"/>
      <c r="X614" s="309"/>
      <c r="Y614" s="309"/>
      <c r="Z614" s="309"/>
      <c r="AA614" s="309"/>
    </row>
    <row r="615" ht="27.0" customHeight="1">
      <c r="A615" s="309"/>
      <c r="B615" s="309"/>
      <c r="C615" s="309"/>
      <c r="D615" s="309"/>
      <c r="E615" s="330"/>
      <c r="F615" s="309"/>
      <c r="G615" s="309"/>
      <c r="H615" s="316"/>
      <c r="I615" s="309"/>
      <c r="J615" s="309"/>
      <c r="K615" s="309"/>
      <c r="L615" s="309"/>
      <c r="M615" s="309"/>
      <c r="N615" s="309"/>
      <c r="O615" s="309"/>
      <c r="P615" s="309"/>
      <c r="Q615" s="309"/>
      <c r="R615" s="309"/>
      <c r="S615" s="309"/>
      <c r="T615" s="309"/>
      <c r="U615" s="309"/>
      <c r="V615" s="309"/>
      <c r="W615" s="309"/>
      <c r="X615" s="309"/>
      <c r="Y615" s="309"/>
      <c r="Z615" s="309"/>
      <c r="AA615" s="309"/>
    </row>
    <row r="616" ht="27.0" customHeight="1">
      <c r="A616" s="309"/>
      <c r="B616" s="309"/>
      <c r="C616" s="309"/>
      <c r="D616" s="309"/>
      <c r="E616" s="330"/>
      <c r="F616" s="309"/>
      <c r="G616" s="309"/>
      <c r="H616" s="316"/>
      <c r="I616" s="309"/>
      <c r="J616" s="309"/>
      <c r="K616" s="309"/>
      <c r="L616" s="309"/>
      <c r="M616" s="309"/>
      <c r="N616" s="309"/>
      <c r="O616" s="309"/>
      <c r="P616" s="309"/>
      <c r="Q616" s="309"/>
      <c r="R616" s="309"/>
      <c r="S616" s="309"/>
      <c r="T616" s="309"/>
      <c r="U616" s="309"/>
      <c r="V616" s="309"/>
      <c r="W616" s="309"/>
      <c r="X616" s="309"/>
      <c r="Y616" s="309"/>
      <c r="Z616" s="309"/>
      <c r="AA616" s="309"/>
    </row>
    <row r="617" ht="27.0" customHeight="1">
      <c r="A617" s="309"/>
      <c r="B617" s="309"/>
      <c r="C617" s="309"/>
      <c r="D617" s="309"/>
      <c r="E617" s="330"/>
      <c r="F617" s="309"/>
      <c r="G617" s="309"/>
      <c r="H617" s="316"/>
      <c r="I617" s="309"/>
      <c r="J617" s="309"/>
      <c r="K617" s="309"/>
      <c r="L617" s="309"/>
      <c r="M617" s="309"/>
      <c r="N617" s="309"/>
      <c r="O617" s="309"/>
      <c r="P617" s="309"/>
      <c r="Q617" s="309"/>
      <c r="R617" s="309"/>
      <c r="S617" s="309"/>
      <c r="T617" s="309"/>
      <c r="U617" s="309"/>
      <c r="V617" s="309"/>
      <c r="W617" s="309"/>
      <c r="X617" s="309"/>
      <c r="Y617" s="309"/>
      <c r="Z617" s="309"/>
      <c r="AA617" s="309"/>
    </row>
    <row r="618" ht="27.0" customHeight="1">
      <c r="A618" s="309"/>
      <c r="B618" s="309"/>
      <c r="C618" s="309"/>
      <c r="D618" s="309"/>
      <c r="E618" s="330"/>
      <c r="F618" s="309"/>
      <c r="G618" s="309"/>
      <c r="H618" s="316"/>
      <c r="I618" s="309"/>
      <c r="J618" s="309"/>
      <c r="K618" s="309"/>
      <c r="L618" s="309"/>
      <c r="M618" s="309"/>
      <c r="N618" s="309"/>
      <c r="O618" s="309"/>
      <c r="P618" s="309"/>
      <c r="Q618" s="309"/>
      <c r="R618" s="309"/>
      <c r="S618" s="309"/>
      <c r="T618" s="309"/>
      <c r="U618" s="309"/>
      <c r="V618" s="309"/>
      <c r="W618" s="309"/>
      <c r="X618" s="309"/>
      <c r="Y618" s="309"/>
      <c r="Z618" s="309"/>
      <c r="AA618" s="309"/>
    </row>
    <row r="619" ht="27.0" customHeight="1">
      <c r="A619" s="309"/>
      <c r="B619" s="309"/>
      <c r="C619" s="309"/>
      <c r="D619" s="309"/>
      <c r="E619" s="330"/>
      <c r="F619" s="309"/>
      <c r="G619" s="309"/>
      <c r="H619" s="316"/>
      <c r="I619" s="309"/>
      <c r="J619" s="309"/>
      <c r="K619" s="309"/>
      <c r="L619" s="309"/>
      <c r="M619" s="309"/>
      <c r="N619" s="309"/>
      <c r="O619" s="309"/>
      <c r="P619" s="309"/>
      <c r="Q619" s="309"/>
      <c r="R619" s="309"/>
      <c r="S619" s="309"/>
      <c r="T619" s="309"/>
      <c r="U619" s="309"/>
      <c r="V619" s="309"/>
      <c r="W619" s="309"/>
      <c r="X619" s="309"/>
      <c r="Y619" s="309"/>
      <c r="Z619" s="309"/>
      <c r="AA619" s="309"/>
    </row>
    <row r="620" ht="27.0" customHeight="1">
      <c r="A620" s="309"/>
      <c r="B620" s="309"/>
      <c r="C620" s="309"/>
      <c r="D620" s="309"/>
      <c r="E620" s="330"/>
      <c r="F620" s="309"/>
      <c r="G620" s="309"/>
      <c r="H620" s="316"/>
      <c r="I620" s="309"/>
      <c r="J620" s="309"/>
      <c r="K620" s="309"/>
      <c r="L620" s="309"/>
      <c r="M620" s="309"/>
      <c r="N620" s="309"/>
      <c r="O620" s="309"/>
      <c r="P620" s="309"/>
      <c r="Q620" s="309"/>
      <c r="R620" s="309"/>
      <c r="S620" s="309"/>
      <c r="T620" s="309"/>
      <c r="U620" s="309"/>
      <c r="V620" s="309"/>
      <c r="W620" s="309"/>
      <c r="X620" s="309"/>
      <c r="Y620" s="309"/>
      <c r="Z620" s="309"/>
      <c r="AA620" s="309"/>
    </row>
    <row r="621" ht="27.0" customHeight="1">
      <c r="A621" s="309"/>
      <c r="B621" s="309"/>
      <c r="C621" s="309"/>
      <c r="D621" s="309"/>
      <c r="E621" s="330"/>
      <c r="F621" s="309"/>
      <c r="G621" s="309"/>
      <c r="H621" s="316"/>
      <c r="I621" s="309"/>
      <c r="J621" s="309"/>
      <c r="K621" s="309"/>
      <c r="L621" s="309"/>
      <c r="M621" s="309"/>
      <c r="N621" s="309"/>
      <c r="O621" s="309"/>
      <c r="P621" s="309"/>
      <c r="Q621" s="309"/>
      <c r="R621" s="309"/>
      <c r="S621" s="309"/>
      <c r="T621" s="309"/>
      <c r="U621" s="309"/>
      <c r="V621" s="309"/>
      <c r="W621" s="309"/>
      <c r="X621" s="309"/>
      <c r="Y621" s="309"/>
      <c r="Z621" s="309"/>
      <c r="AA621" s="309"/>
    </row>
    <row r="622" ht="27.0" customHeight="1">
      <c r="A622" s="309"/>
      <c r="B622" s="309"/>
      <c r="C622" s="309"/>
      <c r="D622" s="309"/>
      <c r="E622" s="330"/>
      <c r="F622" s="309"/>
      <c r="G622" s="309"/>
      <c r="H622" s="316"/>
      <c r="I622" s="309"/>
      <c r="J622" s="309"/>
      <c r="K622" s="309"/>
      <c r="L622" s="309"/>
      <c r="M622" s="309"/>
      <c r="N622" s="309"/>
      <c r="O622" s="309"/>
      <c r="P622" s="309"/>
      <c r="Q622" s="309"/>
      <c r="R622" s="309"/>
      <c r="S622" s="309"/>
      <c r="T622" s="309"/>
      <c r="U622" s="309"/>
      <c r="V622" s="309"/>
      <c r="W622" s="309"/>
      <c r="X622" s="309"/>
      <c r="Y622" s="309"/>
      <c r="Z622" s="309"/>
      <c r="AA622" s="309"/>
    </row>
    <row r="623" ht="27.0" customHeight="1">
      <c r="A623" s="309"/>
      <c r="B623" s="309"/>
      <c r="C623" s="309"/>
      <c r="D623" s="309"/>
      <c r="E623" s="330"/>
      <c r="F623" s="309"/>
      <c r="G623" s="309"/>
      <c r="H623" s="316"/>
      <c r="I623" s="309"/>
      <c r="J623" s="309"/>
      <c r="K623" s="309"/>
      <c r="L623" s="309"/>
      <c r="M623" s="309"/>
      <c r="N623" s="309"/>
      <c r="O623" s="309"/>
      <c r="P623" s="309"/>
      <c r="Q623" s="309"/>
      <c r="R623" s="309"/>
      <c r="S623" s="309"/>
      <c r="T623" s="309"/>
      <c r="U623" s="309"/>
      <c r="V623" s="309"/>
      <c r="W623" s="309"/>
      <c r="X623" s="309"/>
      <c r="Y623" s="309"/>
      <c r="Z623" s="309"/>
      <c r="AA623" s="309"/>
    </row>
    <row r="624" ht="27.0" customHeight="1">
      <c r="A624" s="309"/>
      <c r="B624" s="309"/>
      <c r="C624" s="309"/>
      <c r="D624" s="309"/>
      <c r="E624" s="330"/>
      <c r="F624" s="309"/>
      <c r="G624" s="309"/>
      <c r="H624" s="316"/>
      <c r="I624" s="309"/>
      <c r="J624" s="309"/>
      <c r="K624" s="309"/>
      <c r="L624" s="309"/>
      <c r="M624" s="309"/>
      <c r="N624" s="309"/>
      <c r="O624" s="309"/>
      <c r="P624" s="309"/>
      <c r="Q624" s="309"/>
      <c r="R624" s="309"/>
      <c r="S624" s="309"/>
      <c r="T624" s="309"/>
      <c r="U624" s="309"/>
      <c r="V624" s="309"/>
      <c r="W624" s="309"/>
      <c r="X624" s="309"/>
      <c r="Y624" s="309"/>
      <c r="Z624" s="309"/>
      <c r="AA624" s="309"/>
    </row>
    <row r="625" ht="27.0" customHeight="1">
      <c r="A625" s="309"/>
      <c r="B625" s="309"/>
      <c r="C625" s="309"/>
      <c r="D625" s="309"/>
      <c r="E625" s="330"/>
      <c r="F625" s="309"/>
      <c r="G625" s="309"/>
      <c r="H625" s="316"/>
      <c r="I625" s="309"/>
      <c r="J625" s="309"/>
      <c r="K625" s="309"/>
      <c r="L625" s="309"/>
      <c r="M625" s="309"/>
      <c r="N625" s="309"/>
      <c r="O625" s="309"/>
      <c r="P625" s="309"/>
      <c r="Q625" s="309"/>
      <c r="R625" s="309"/>
      <c r="S625" s="309"/>
      <c r="T625" s="309"/>
      <c r="U625" s="309"/>
      <c r="V625" s="309"/>
      <c r="W625" s="309"/>
      <c r="X625" s="309"/>
      <c r="Y625" s="309"/>
      <c r="Z625" s="309"/>
      <c r="AA625" s="309"/>
    </row>
    <row r="626" ht="27.0" customHeight="1">
      <c r="A626" s="309"/>
      <c r="B626" s="309"/>
      <c r="C626" s="309"/>
      <c r="D626" s="309"/>
      <c r="E626" s="330"/>
      <c r="F626" s="309"/>
      <c r="G626" s="309"/>
      <c r="H626" s="316"/>
      <c r="I626" s="309"/>
      <c r="J626" s="309"/>
      <c r="K626" s="309"/>
      <c r="L626" s="309"/>
      <c r="M626" s="309"/>
      <c r="N626" s="309"/>
      <c r="O626" s="309"/>
      <c r="P626" s="309"/>
      <c r="Q626" s="309"/>
      <c r="R626" s="309"/>
      <c r="S626" s="309"/>
      <c r="T626" s="309"/>
      <c r="U626" s="309"/>
      <c r="V626" s="309"/>
      <c r="W626" s="309"/>
      <c r="X626" s="309"/>
      <c r="Y626" s="309"/>
      <c r="Z626" s="309"/>
      <c r="AA626" s="309"/>
    </row>
    <row r="627" ht="27.0" customHeight="1">
      <c r="A627" s="309"/>
      <c r="B627" s="309"/>
      <c r="C627" s="309"/>
      <c r="D627" s="309"/>
      <c r="E627" s="330"/>
      <c r="F627" s="309"/>
      <c r="G627" s="309"/>
      <c r="H627" s="316"/>
      <c r="I627" s="309"/>
      <c r="J627" s="309"/>
      <c r="K627" s="309"/>
      <c r="L627" s="309"/>
      <c r="M627" s="309"/>
      <c r="N627" s="309"/>
      <c r="O627" s="309"/>
      <c r="P627" s="309"/>
      <c r="Q627" s="309"/>
      <c r="R627" s="309"/>
      <c r="S627" s="309"/>
      <c r="T627" s="309"/>
      <c r="U627" s="309"/>
      <c r="V627" s="309"/>
      <c r="W627" s="309"/>
      <c r="X627" s="309"/>
      <c r="Y627" s="309"/>
      <c r="Z627" s="309"/>
      <c r="AA627" s="309"/>
    </row>
    <row r="628" ht="27.0" customHeight="1">
      <c r="A628" s="309"/>
      <c r="B628" s="309"/>
      <c r="C628" s="309"/>
      <c r="D628" s="309"/>
      <c r="E628" s="330"/>
      <c r="F628" s="309"/>
      <c r="G628" s="309"/>
      <c r="H628" s="316"/>
      <c r="I628" s="309"/>
      <c r="J628" s="309"/>
      <c r="K628" s="309"/>
      <c r="L628" s="309"/>
      <c r="M628" s="309"/>
      <c r="N628" s="309"/>
      <c r="O628" s="309"/>
      <c r="P628" s="309"/>
      <c r="Q628" s="309"/>
      <c r="R628" s="309"/>
      <c r="S628" s="309"/>
      <c r="T628" s="309"/>
      <c r="U628" s="309"/>
      <c r="V628" s="309"/>
      <c r="W628" s="309"/>
      <c r="X628" s="309"/>
      <c r="Y628" s="309"/>
      <c r="Z628" s="309"/>
      <c r="AA628" s="309"/>
    </row>
    <row r="629" ht="27.0" customHeight="1">
      <c r="A629" s="309"/>
      <c r="B629" s="309"/>
      <c r="C629" s="309"/>
      <c r="D629" s="309"/>
      <c r="E629" s="330"/>
      <c r="F629" s="309"/>
      <c r="G629" s="309"/>
      <c r="H629" s="316"/>
      <c r="I629" s="309"/>
      <c r="J629" s="309"/>
      <c r="K629" s="309"/>
      <c r="L629" s="309"/>
      <c r="M629" s="309"/>
      <c r="N629" s="309"/>
      <c r="O629" s="309"/>
      <c r="P629" s="309"/>
      <c r="Q629" s="309"/>
      <c r="R629" s="309"/>
      <c r="S629" s="309"/>
      <c r="T629" s="309"/>
      <c r="U629" s="309"/>
      <c r="V629" s="309"/>
      <c r="W629" s="309"/>
      <c r="X629" s="309"/>
      <c r="Y629" s="309"/>
      <c r="Z629" s="309"/>
      <c r="AA629" s="309"/>
    </row>
    <row r="630" ht="27.0" customHeight="1">
      <c r="A630" s="309"/>
      <c r="B630" s="309"/>
      <c r="C630" s="309"/>
      <c r="D630" s="309"/>
      <c r="E630" s="330"/>
      <c r="F630" s="309"/>
      <c r="G630" s="309"/>
      <c r="H630" s="316"/>
      <c r="I630" s="309"/>
      <c r="J630" s="309"/>
      <c r="K630" s="309"/>
      <c r="L630" s="309"/>
      <c r="M630" s="309"/>
      <c r="N630" s="309"/>
      <c r="O630" s="309"/>
      <c r="P630" s="309"/>
      <c r="Q630" s="309"/>
      <c r="R630" s="309"/>
      <c r="S630" s="309"/>
      <c r="T630" s="309"/>
      <c r="U630" s="309"/>
      <c r="V630" s="309"/>
      <c r="W630" s="309"/>
      <c r="X630" s="309"/>
      <c r="Y630" s="309"/>
      <c r="Z630" s="309"/>
      <c r="AA630" s="309"/>
    </row>
    <row r="631" ht="27.0" customHeight="1">
      <c r="A631" s="309"/>
      <c r="B631" s="309"/>
      <c r="C631" s="309"/>
      <c r="D631" s="309"/>
      <c r="E631" s="330"/>
      <c r="F631" s="309"/>
      <c r="G631" s="309"/>
      <c r="H631" s="316"/>
      <c r="I631" s="309"/>
      <c r="J631" s="309"/>
      <c r="K631" s="309"/>
      <c r="L631" s="309"/>
      <c r="M631" s="309"/>
      <c r="N631" s="309"/>
      <c r="O631" s="309"/>
      <c r="P631" s="309"/>
      <c r="Q631" s="309"/>
      <c r="R631" s="309"/>
      <c r="S631" s="309"/>
      <c r="T631" s="309"/>
      <c r="U631" s="309"/>
      <c r="V631" s="309"/>
      <c r="W631" s="309"/>
      <c r="X631" s="309"/>
      <c r="Y631" s="309"/>
      <c r="Z631" s="309"/>
      <c r="AA631" s="309"/>
    </row>
    <row r="632" ht="27.0" customHeight="1">
      <c r="A632" s="309"/>
      <c r="B632" s="309"/>
      <c r="C632" s="309"/>
      <c r="D632" s="309"/>
      <c r="E632" s="330"/>
      <c r="F632" s="309"/>
      <c r="G632" s="309"/>
      <c r="H632" s="316"/>
      <c r="I632" s="309"/>
      <c r="J632" s="309"/>
      <c r="K632" s="309"/>
      <c r="L632" s="309"/>
      <c r="M632" s="309"/>
      <c r="N632" s="309"/>
      <c r="O632" s="309"/>
      <c r="P632" s="309"/>
      <c r="Q632" s="309"/>
      <c r="R632" s="309"/>
      <c r="S632" s="309"/>
      <c r="T632" s="309"/>
      <c r="U632" s="309"/>
      <c r="V632" s="309"/>
      <c r="W632" s="309"/>
      <c r="X632" s="309"/>
      <c r="Y632" s="309"/>
      <c r="Z632" s="309"/>
      <c r="AA632" s="309"/>
    </row>
    <row r="633" ht="27.0" customHeight="1">
      <c r="A633" s="309"/>
      <c r="B633" s="309"/>
      <c r="C633" s="309"/>
      <c r="D633" s="309"/>
      <c r="E633" s="330"/>
      <c r="F633" s="309"/>
      <c r="G633" s="309"/>
      <c r="H633" s="316"/>
      <c r="I633" s="309"/>
      <c r="J633" s="309"/>
      <c r="K633" s="309"/>
      <c r="L633" s="309"/>
      <c r="M633" s="309"/>
      <c r="N633" s="309"/>
      <c r="O633" s="309"/>
      <c r="P633" s="309"/>
      <c r="Q633" s="309"/>
      <c r="R633" s="309"/>
      <c r="S633" s="309"/>
      <c r="T633" s="309"/>
      <c r="U633" s="309"/>
      <c r="V633" s="309"/>
      <c r="W633" s="309"/>
      <c r="X633" s="309"/>
      <c r="Y633" s="309"/>
      <c r="Z633" s="309"/>
      <c r="AA633" s="309"/>
    </row>
    <row r="634" ht="27.0" customHeight="1">
      <c r="A634" s="309"/>
      <c r="B634" s="309"/>
      <c r="C634" s="309"/>
      <c r="D634" s="309"/>
      <c r="E634" s="330"/>
      <c r="F634" s="309"/>
      <c r="G634" s="309"/>
      <c r="H634" s="316"/>
      <c r="I634" s="309"/>
      <c r="J634" s="309"/>
      <c r="K634" s="309"/>
      <c r="L634" s="309"/>
      <c r="M634" s="309"/>
      <c r="N634" s="309"/>
      <c r="O634" s="309"/>
      <c r="P634" s="309"/>
      <c r="Q634" s="309"/>
      <c r="R634" s="309"/>
      <c r="S634" s="309"/>
      <c r="T634" s="309"/>
      <c r="U634" s="309"/>
      <c r="V634" s="309"/>
      <c r="W634" s="309"/>
      <c r="X634" s="309"/>
      <c r="Y634" s="309"/>
      <c r="Z634" s="309"/>
      <c r="AA634" s="309"/>
    </row>
    <row r="635" ht="27.0" customHeight="1">
      <c r="A635" s="309"/>
      <c r="B635" s="309"/>
      <c r="C635" s="309"/>
      <c r="D635" s="309"/>
      <c r="E635" s="330"/>
      <c r="F635" s="309"/>
      <c r="G635" s="309"/>
      <c r="H635" s="316"/>
      <c r="I635" s="309"/>
      <c r="J635" s="309"/>
      <c r="K635" s="309"/>
      <c r="L635" s="309"/>
      <c r="M635" s="309"/>
      <c r="N635" s="309"/>
      <c r="O635" s="309"/>
      <c r="P635" s="309"/>
      <c r="Q635" s="309"/>
      <c r="R635" s="309"/>
      <c r="S635" s="309"/>
      <c r="T635" s="309"/>
      <c r="U635" s="309"/>
      <c r="V635" s="309"/>
      <c r="W635" s="309"/>
      <c r="X635" s="309"/>
      <c r="Y635" s="309"/>
      <c r="Z635" s="309"/>
      <c r="AA635" s="309"/>
    </row>
    <row r="636" ht="27.0" customHeight="1">
      <c r="A636" s="309"/>
      <c r="B636" s="309"/>
      <c r="C636" s="309"/>
      <c r="D636" s="309"/>
      <c r="E636" s="330"/>
      <c r="F636" s="309"/>
      <c r="G636" s="309"/>
      <c r="H636" s="316"/>
      <c r="I636" s="309"/>
      <c r="J636" s="309"/>
      <c r="K636" s="309"/>
      <c r="L636" s="309"/>
      <c r="M636" s="309"/>
      <c r="N636" s="309"/>
      <c r="O636" s="309"/>
      <c r="P636" s="309"/>
      <c r="Q636" s="309"/>
      <c r="R636" s="309"/>
      <c r="S636" s="309"/>
      <c r="T636" s="309"/>
      <c r="U636" s="309"/>
      <c r="V636" s="309"/>
      <c r="W636" s="309"/>
      <c r="X636" s="309"/>
      <c r="Y636" s="309"/>
      <c r="Z636" s="309"/>
      <c r="AA636" s="309"/>
    </row>
    <row r="637" ht="27.0" customHeight="1">
      <c r="A637" s="309"/>
      <c r="B637" s="309"/>
      <c r="C637" s="309"/>
      <c r="D637" s="309"/>
      <c r="E637" s="330"/>
      <c r="F637" s="309"/>
      <c r="G637" s="309"/>
      <c r="H637" s="316"/>
      <c r="I637" s="309"/>
      <c r="J637" s="309"/>
      <c r="K637" s="309"/>
      <c r="L637" s="309"/>
      <c r="M637" s="309"/>
      <c r="N637" s="309"/>
      <c r="O637" s="309"/>
      <c r="P637" s="309"/>
      <c r="Q637" s="309"/>
      <c r="R637" s="309"/>
      <c r="S637" s="309"/>
      <c r="T637" s="309"/>
      <c r="U637" s="309"/>
      <c r="V637" s="309"/>
      <c r="W637" s="309"/>
      <c r="X637" s="309"/>
      <c r="Y637" s="309"/>
      <c r="Z637" s="309"/>
      <c r="AA637" s="309"/>
    </row>
    <row r="638" ht="27.0" customHeight="1">
      <c r="A638" s="309"/>
      <c r="B638" s="309"/>
      <c r="C638" s="309"/>
      <c r="D638" s="309"/>
      <c r="E638" s="330"/>
      <c r="F638" s="309"/>
      <c r="G638" s="309"/>
      <c r="H638" s="316"/>
      <c r="I638" s="309"/>
      <c r="J638" s="309"/>
      <c r="K638" s="309"/>
      <c r="L638" s="309"/>
      <c r="M638" s="309"/>
      <c r="N638" s="309"/>
      <c r="O638" s="309"/>
      <c r="P638" s="309"/>
      <c r="Q638" s="309"/>
      <c r="R638" s="309"/>
      <c r="S638" s="309"/>
      <c r="T638" s="309"/>
      <c r="U638" s="309"/>
      <c r="V638" s="309"/>
      <c r="W638" s="309"/>
      <c r="X638" s="309"/>
      <c r="Y638" s="309"/>
      <c r="Z638" s="309"/>
      <c r="AA638" s="309"/>
    </row>
    <row r="639" ht="27.0" customHeight="1">
      <c r="A639" s="309"/>
      <c r="B639" s="309"/>
      <c r="C639" s="309"/>
      <c r="D639" s="309"/>
      <c r="E639" s="330"/>
      <c r="F639" s="309"/>
      <c r="G639" s="309"/>
      <c r="H639" s="316"/>
      <c r="I639" s="309"/>
      <c r="J639" s="309"/>
      <c r="K639" s="309"/>
      <c r="L639" s="309"/>
      <c r="M639" s="309"/>
      <c r="N639" s="309"/>
      <c r="O639" s="309"/>
      <c r="P639" s="309"/>
      <c r="Q639" s="309"/>
      <c r="R639" s="309"/>
      <c r="S639" s="309"/>
      <c r="T639" s="309"/>
      <c r="U639" s="309"/>
      <c r="V639" s="309"/>
      <c r="W639" s="309"/>
      <c r="X639" s="309"/>
      <c r="Y639" s="309"/>
      <c r="Z639" s="309"/>
      <c r="AA639" s="309"/>
    </row>
    <row r="640" ht="27.0" customHeight="1">
      <c r="A640" s="309"/>
      <c r="B640" s="309"/>
      <c r="C640" s="309"/>
      <c r="D640" s="309"/>
      <c r="E640" s="330"/>
      <c r="F640" s="309"/>
      <c r="G640" s="309"/>
      <c r="H640" s="316"/>
      <c r="I640" s="309"/>
      <c r="J640" s="309"/>
      <c r="K640" s="309"/>
      <c r="L640" s="309"/>
      <c r="M640" s="309"/>
      <c r="N640" s="309"/>
      <c r="O640" s="309"/>
      <c r="P640" s="309"/>
      <c r="Q640" s="309"/>
      <c r="R640" s="309"/>
      <c r="S640" s="309"/>
      <c r="T640" s="309"/>
      <c r="U640" s="309"/>
      <c r="V640" s="309"/>
      <c r="W640" s="309"/>
      <c r="X640" s="309"/>
      <c r="Y640" s="309"/>
      <c r="Z640" s="309"/>
      <c r="AA640" s="309"/>
    </row>
    <row r="641" ht="27.0" customHeight="1">
      <c r="A641" s="309"/>
      <c r="B641" s="309"/>
      <c r="C641" s="309"/>
      <c r="D641" s="309"/>
      <c r="E641" s="330"/>
      <c r="F641" s="309"/>
      <c r="G641" s="309"/>
      <c r="H641" s="316"/>
      <c r="I641" s="309"/>
      <c r="J641" s="309"/>
      <c r="K641" s="309"/>
      <c r="L641" s="309"/>
      <c r="M641" s="309"/>
      <c r="N641" s="309"/>
      <c r="O641" s="309"/>
      <c r="P641" s="309"/>
      <c r="Q641" s="309"/>
      <c r="R641" s="309"/>
      <c r="S641" s="309"/>
      <c r="T641" s="309"/>
      <c r="U641" s="309"/>
      <c r="V641" s="309"/>
      <c r="W641" s="309"/>
      <c r="X641" s="309"/>
      <c r="Y641" s="309"/>
      <c r="Z641" s="309"/>
      <c r="AA641" s="309"/>
    </row>
    <row r="642" ht="27.0" customHeight="1">
      <c r="A642" s="309"/>
      <c r="B642" s="309"/>
      <c r="C642" s="309"/>
      <c r="D642" s="309"/>
      <c r="E642" s="330"/>
      <c r="F642" s="309"/>
      <c r="G642" s="309"/>
      <c r="H642" s="316"/>
      <c r="I642" s="309"/>
      <c r="J642" s="309"/>
      <c r="K642" s="309"/>
      <c r="L642" s="309"/>
      <c r="M642" s="309"/>
      <c r="N642" s="309"/>
      <c r="O642" s="309"/>
      <c r="P642" s="309"/>
      <c r="Q642" s="309"/>
      <c r="R642" s="309"/>
      <c r="S642" s="309"/>
      <c r="T642" s="309"/>
      <c r="U642" s="309"/>
      <c r="V642" s="309"/>
      <c r="W642" s="309"/>
      <c r="X642" s="309"/>
      <c r="Y642" s="309"/>
      <c r="Z642" s="309"/>
      <c r="AA642" s="309"/>
    </row>
    <row r="643" ht="27.0" customHeight="1">
      <c r="A643" s="309"/>
      <c r="B643" s="309"/>
      <c r="C643" s="309"/>
      <c r="D643" s="309"/>
      <c r="E643" s="330"/>
      <c r="F643" s="309"/>
      <c r="G643" s="309"/>
      <c r="H643" s="316"/>
      <c r="I643" s="309"/>
      <c r="J643" s="309"/>
      <c r="K643" s="309"/>
      <c r="L643" s="309"/>
      <c r="M643" s="309"/>
      <c r="N643" s="309"/>
      <c r="O643" s="309"/>
      <c r="P643" s="309"/>
      <c r="Q643" s="309"/>
      <c r="R643" s="309"/>
      <c r="S643" s="309"/>
      <c r="T643" s="309"/>
      <c r="U643" s="309"/>
      <c r="V643" s="309"/>
      <c r="W643" s="309"/>
      <c r="X643" s="309"/>
      <c r="Y643" s="309"/>
      <c r="Z643" s="309"/>
      <c r="AA643" s="309"/>
    </row>
    <row r="644" ht="27.0" customHeight="1">
      <c r="A644" s="309"/>
      <c r="B644" s="309"/>
      <c r="C644" s="309"/>
      <c r="D644" s="309"/>
      <c r="E644" s="330"/>
      <c r="F644" s="309"/>
      <c r="G644" s="309"/>
      <c r="H644" s="316"/>
      <c r="I644" s="309"/>
      <c r="J644" s="309"/>
      <c r="K644" s="309"/>
      <c r="L644" s="309"/>
      <c r="M644" s="309"/>
      <c r="N644" s="309"/>
      <c r="O644" s="309"/>
      <c r="P644" s="309"/>
      <c r="Q644" s="309"/>
      <c r="R644" s="309"/>
      <c r="S644" s="309"/>
      <c r="T644" s="309"/>
      <c r="U644" s="309"/>
      <c r="V644" s="309"/>
      <c r="W644" s="309"/>
      <c r="X644" s="309"/>
      <c r="Y644" s="309"/>
      <c r="Z644" s="309"/>
      <c r="AA644" s="309"/>
    </row>
    <row r="645" ht="27.0" customHeight="1">
      <c r="A645" s="309"/>
      <c r="B645" s="309"/>
      <c r="C645" s="309"/>
      <c r="D645" s="309"/>
      <c r="E645" s="330"/>
      <c r="F645" s="309"/>
      <c r="G645" s="309"/>
      <c r="H645" s="316"/>
      <c r="I645" s="309"/>
      <c r="J645" s="309"/>
      <c r="K645" s="309"/>
      <c r="L645" s="309"/>
      <c r="M645" s="309"/>
      <c r="N645" s="309"/>
      <c r="O645" s="309"/>
      <c r="P645" s="309"/>
      <c r="Q645" s="309"/>
      <c r="R645" s="309"/>
      <c r="S645" s="309"/>
      <c r="T645" s="309"/>
      <c r="U645" s="309"/>
      <c r="V645" s="309"/>
      <c r="W645" s="309"/>
      <c r="X645" s="309"/>
      <c r="Y645" s="309"/>
      <c r="Z645" s="309"/>
      <c r="AA645" s="309"/>
    </row>
    <row r="646" ht="27.0" customHeight="1">
      <c r="A646" s="309"/>
      <c r="B646" s="309"/>
      <c r="C646" s="309"/>
      <c r="D646" s="309"/>
      <c r="E646" s="330"/>
      <c r="F646" s="309"/>
      <c r="G646" s="309"/>
      <c r="H646" s="316"/>
      <c r="I646" s="309"/>
      <c r="J646" s="309"/>
      <c r="K646" s="309"/>
      <c r="L646" s="309"/>
      <c r="M646" s="309"/>
      <c r="N646" s="309"/>
      <c r="O646" s="309"/>
      <c r="P646" s="309"/>
      <c r="Q646" s="309"/>
      <c r="R646" s="309"/>
      <c r="S646" s="309"/>
      <c r="T646" s="309"/>
      <c r="U646" s="309"/>
      <c r="V646" s="309"/>
      <c r="W646" s="309"/>
      <c r="X646" s="309"/>
      <c r="Y646" s="309"/>
      <c r="Z646" s="309"/>
      <c r="AA646" s="309"/>
    </row>
    <row r="647" ht="27.0" customHeight="1">
      <c r="A647" s="309"/>
      <c r="B647" s="309"/>
      <c r="C647" s="309"/>
      <c r="D647" s="309"/>
      <c r="E647" s="330"/>
      <c r="F647" s="309"/>
      <c r="G647" s="309"/>
      <c r="H647" s="316"/>
      <c r="I647" s="309"/>
      <c r="J647" s="309"/>
      <c r="K647" s="309"/>
      <c r="L647" s="309"/>
      <c r="M647" s="309"/>
      <c r="N647" s="309"/>
      <c r="O647" s="309"/>
      <c r="P647" s="309"/>
      <c r="Q647" s="309"/>
      <c r="R647" s="309"/>
      <c r="S647" s="309"/>
      <c r="T647" s="309"/>
      <c r="U647" s="309"/>
      <c r="V647" s="309"/>
      <c r="W647" s="309"/>
      <c r="X647" s="309"/>
      <c r="Y647" s="309"/>
      <c r="Z647" s="309"/>
      <c r="AA647" s="309"/>
    </row>
    <row r="648" ht="27.0" customHeight="1">
      <c r="A648" s="309"/>
      <c r="B648" s="309"/>
      <c r="C648" s="309"/>
      <c r="D648" s="309"/>
      <c r="E648" s="330"/>
      <c r="F648" s="309"/>
      <c r="G648" s="309"/>
      <c r="H648" s="316"/>
      <c r="I648" s="309"/>
      <c r="J648" s="309"/>
      <c r="K648" s="309"/>
      <c r="L648" s="309"/>
      <c r="M648" s="309"/>
      <c r="N648" s="309"/>
      <c r="O648" s="309"/>
      <c r="P648" s="309"/>
      <c r="Q648" s="309"/>
      <c r="R648" s="309"/>
      <c r="S648" s="309"/>
      <c r="T648" s="309"/>
      <c r="U648" s="309"/>
      <c r="V648" s="309"/>
      <c r="W648" s="309"/>
      <c r="X648" s="309"/>
      <c r="Y648" s="309"/>
      <c r="Z648" s="309"/>
      <c r="AA648" s="309"/>
    </row>
    <row r="649" ht="27.0" customHeight="1">
      <c r="A649" s="309"/>
      <c r="B649" s="309"/>
      <c r="C649" s="309"/>
      <c r="D649" s="309"/>
      <c r="E649" s="330"/>
      <c r="F649" s="309"/>
      <c r="G649" s="309"/>
      <c r="H649" s="316"/>
      <c r="I649" s="309"/>
      <c r="J649" s="309"/>
      <c r="K649" s="309"/>
      <c r="L649" s="309"/>
      <c r="M649" s="309"/>
      <c r="N649" s="309"/>
      <c r="O649" s="309"/>
      <c r="P649" s="309"/>
      <c r="Q649" s="309"/>
      <c r="R649" s="309"/>
      <c r="S649" s="309"/>
      <c r="T649" s="309"/>
      <c r="U649" s="309"/>
      <c r="V649" s="309"/>
      <c r="W649" s="309"/>
      <c r="X649" s="309"/>
      <c r="Y649" s="309"/>
      <c r="Z649" s="309"/>
      <c r="AA649" s="309"/>
    </row>
    <row r="650" ht="27.0" customHeight="1">
      <c r="A650" s="309"/>
      <c r="B650" s="309"/>
      <c r="C650" s="309"/>
      <c r="D650" s="309"/>
      <c r="E650" s="330"/>
      <c r="F650" s="309"/>
      <c r="G650" s="309"/>
      <c r="H650" s="316"/>
      <c r="I650" s="309"/>
      <c r="J650" s="309"/>
      <c r="K650" s="309"/>
      <c r="L650" s="309"/>
      <c r="M650" s="309"/>
      <c r="N650" s="309"/>
      <c r="O650" s="309"/>
      <c r="P650" s="309"/>
      <c r="Q650" s="309"/>
      <c r="R650" s="309"/>
      <c r="S650" s="309"/>
      <c r="T650" s="309"/>
      <c r="U650" s="309"/>
      <c r="V650" s="309"/>
      <c r="W650" s="309"/>
      <c r="X650" s="309"/>
      <c r="Y650" s="309"/>
      <c r="Z650" s="309"/>
      <c r="AA650" s="309"/>
    </row>
    <row r="651" ht="27.0" customHeight="1">
      <c r="A651" s="309"/>
      <c r="B651" s="309"/>
      <c r="C651" s="309"/>
      <c r="D651" s="309"/>
      <c r="E651" s="330"/>
      <c r="F651" s="309"/>
      <c r="G651" s="309"/>
      <c r="H651" s="316"/>
      <c r="I651" s="309"/>
      <c r="J651" s="309"/>
      <c r="K651" s="309"/>
      <c r="L651" s="309"/>
      <c r="M651" s="309"/>
      <c r="N651" s="309"/>
      <c r="O651" s="309"/>
      <c r="P651" s="309"/>
      <c r="Q651" s="309"/>
      <c r="R651" s="309"/>
      <c r="S651" s="309"/>
      <c r="T651" s="309"/>
      <c r="U651" s="309"/>
      <c r="V651" s="309"/>
      <c r="W651" s="309"/>
      <c r="X651" s="309"/>
      <c r="Y651" s="309"/>
      <c r="Z651" s="309"/>
      <c r="AA651" s="309"/>
    </row>
    <row r="652" ht="27.0" customHeight="1">
      <c r="A652" s="309"/>
      <c r="B652" s="309"/>
      <c r="C652" s="309"/>
      <c r="D652" s="309"/>
      <c r="E652" s="330"/>
      <c r="F652" s="309"/>
      <c r="G652" s="309"/>
      <c r="H652" s="316"/>
      <c r="I652" s="309"/>
      <c r="J652" s="309"/>
      <c r="K652" s="309"/>
      <c r="L652" s="309"/>
      <c r="M652" s="309"/>
      <c r="N652" s="309"/>
      <c r="O652" s="309"/>
      <c r="P652" s="309"/>
      <c r="Q652" s="309"/>
      <c r="R652" s="309"/>
      <c r="S652" s="309"/>
      <c r="T652" s="309"/>
      <c r="U652" s="309"/>
      <c r="V652" s="309"/>
      <c r="W652" s="309"/>
      <c r="X652" s="309"/>
      <c r="Y652" s="309"/>
      <c r="Z652" s="309"/>
      <c r="AA652" s="309"/>
    </row>
    <row r="653" ht="27.0" customHeight="1">
      <c r="A653" s="309"/>
      <c r="B653" s="309"/>
      <c r="C653" s="309"/>
      <c r="D653" s="309"/>
      <c r="E653" s="330"/>
      <c r="F653" s="309"/>
      <c r="G653" s="309"/>
      <c r="H653" s="316"/>
      <c r="I653" s="309"/>
      <c r="J653" s="309"/>
      <c r="K653" s="309"/>
      <c r="L653" s="309"/>
      <c r="M653" s="309"/>
      <c r="N653" s="309"/>
      <c r="O653" s="309"/>
      <c r="P653" s="309"/>
      <c r="Q653" s="309"/>
      <c r="R653" s="309"/>
      <c r="S653" s="309"/>
      <c r="T653" s="309"/>
      <c r="U653" s="309"/>
      <c r="V653" s="309"/>
      <c r="W653" s="309"/>
      <c r="X653" s="309"/>
      <c r="Y653" s="309"/>
      <c r="Z653" s="309"/>
      <c r="AA653" s="309"/>
    </row>
    <row r="654" ht="27.0" customHeight="1">
      <c r="A654" s="309"/>
      <c r="B654" s="309"/>
      <c r="C654" s="309"/>
      <c r="D654" s="309"/>
      <c r="E654" s="330"/>
      <c r="F654" s="309"/>
      <c r="G654" s="309"/>
      <c r="H654" s="316"/>
      <c r="I654" s="309"/>
      <c r="J654" s="309"/>
      <c r="K654" s="309"/>
      <c r="L654" s="309"/>
      <c r="M654" s="309"/>
      <c r="N654" s="309"/>
      <c r="O654" s="309"/>
      <c r="P654" s="309"/>
      <c r="Q654" s="309"/>
      <c r="R654" s="309"/>
      <c r="S654" s="309"/>
      <c r="T654" s="309"/>
      <c r="U654" s="309"/>
      <c r="V654" s="309"/>
      <c r="W654" s="309"/>
      <c r="X654" s="309"/>
      <c r="Y654" s="309"/>
      <c r="Z654" s="309"/>
      <c r="AA654" s="309"/>
    </row>
    <row r="655" ht="27.0" customHeight="1">
      <c r="A655" s="309"/>
      <c r="B655" s="309"/>
      <c r="C655" s="309"/>
      <c r="D655" s="309"/>
      <c r="E655" s="330"/>
      <c r="F655" s="309"/>
      <c r="G655" s="309"/>
      <c r="H655" s="316"/>
      <c r="I655" s="309"/>
      <c r="J655" s="309"/>
      <c r="K655" s="309"/>
      <c r="L655" s="309"/>
      <c r="M655" s="309"/>
      <c r="N655" s="309"/>
      <c r="O655" s="309"/>
      <c r="P655" s="309"/>
      <c r="Q655" s="309"/>
      <c r="R655" s="309"/>
      <c r="S655" s="309"/>
      <c r="T655" s="309"/>
      <c r="U655" s="309"/>
      <c r="V655" s="309"/>
      <c r="W655" s="309"/>
      <c r="X655" s="309"/>
      <c r="Y655" s="309"/>
      <c r="Z655" s="309"/>
      <c r="AA655" s="309"/>
    </row>
    <row r="656" ht="27.0" customHeight="1">
      <c r="A656" s="309"/>
      <c r="B656" s="309"/>
      <c r="C656" s="309"/>
      <c r="D656" s="309"/>
      <c r="E656" s="330"/>
      <c r="F656" s="309"/>
      <c r="G656" s="309"/>
      <c r="H656" s="316"/>
      <c r="I656" s="309"/>
      <c r="J656" s="309"/>
      <c r="K656" s="309"/>
      <c r="L656" s="309"/>
      <c r="M656" s="309"/>
      <c r="N656" s="309"/>
      <c r="O656" s="309"/>
      <c r="P656" s="309"/>
      <c r="Q656" s="309"/>
      <c r="R656" s="309"/>
      <c r="S656" s="309"/>
      <c r="T656" s="309"/>
      <c r="U656" s="309"/>
      <c r="V656" s="309"/>
      <c r="W656" s="309"/>
      <c r="X656" s="309"/>
      <c r="Y656" s="309"/>
      <c r="Z656" s="309"/>
      <c r="AA656" s="309"/>
    </row>
    <row r="657" ht="27.0" customHeight="1">
      <c r="A657" s="309"/>
      <c r="B657" s="309"/>
      <c r="C657" s="309"/>
      <c r="D657" s="309"/>
      <c r="E657" s="330"/>
      <c r="F657" s="309"/>
      <c r="G657" s="309"/>
      <c r="H657" s="316"/>
      <c r="I657" s="309"/>
      <c r="J657" s="309"/>
      <c r="K657" s="309"/>
      <c r="L657" s="309"/>
      <c r="M657" s="309"/>
      <c r="N657" s="309"/>
      <c r="O657" s="309"/>
      <c r="P657" s="309"/>
      <c r="Q657" s="309"/>
      <c r="R657" s="309"/>
      <c r="S657" s="309"/>
      <c r="T657" s="309"/>
      <c r="U657" s="309"/>
      <c r="V657" s="309"/>
      <c r="W657" s="309"/>
      <c r="X657" s="309"/>
      <c r="Y657" s="309"/>
      <c r="Z657" s="309"/>
      <c r="AA657" s="309"/>
    </row>
    <row r="658" ht="27.0" customHeight="1">
      <c r="A658" s="309"/>
      <c r="B658" s="309"/>
      <c r="C658" s="309"/>
      <c r="D658" s="309"/>
      <c r="E658" s="330"/>
      <c r="F658" s="309"/>
      <c r="G658" s="309"/>
      <c r="H658" s="316"/>
      <c r="I658" s="309"/>
      <c r="J658" s="309"/>
      <c r="K658" s="309"/>
      <c r="L658" s="309"/>
      <c r="M658" s="309"/>
      <c r="N658" s="309"/>
      <c r="O658" s="309"/>
      <c r="P658" s="309"/>
      <c r="Q658" s="309"/>
      <c r="R658" s="309"/>
      <c r="S658" s="309"/>
      <c r="T658" s="309"/>
      <c r="U658" s="309"/>
      <c r="V658" s="309"/>
      <c r="W658" s="309"/>
      <c r="X658" s="309"/>
      <c r="Y658" s="309"/>
      <c r="Z658" s="309"/>
      <c r="AA658" s="309"/>
    </row>
    <row r="659" ht="27.0" customHeight="1">
      <c r="A659" s="309"/>
      <c r="B659" s="309"/>
      <c r="C659" s="309"/>
      <c r="D659" s="309"/>
      <c r="E659" s="330"/>
      <c r="F659" s="309"/>
      <c r="G659" s="309"/>
      <c r="H659" s="316"/>
      <c r="I659" s="309"/>
      <c r="J659" s="309"/>
      <c r="K659" s="309"/>
      <c r="L659" s="309"/>
      <c r="M659" s="309"/>
      <c r="N659" s="309"/>
      <c r="O659" s="309"/>
      <c r="P659" s="309"/>
      <c r="Q659" s="309"/>
      <c r="R659" s="309"/>
      <c r="S659" s="309"/>
      <c r="T659" s="309"/>
      <c r="U659" s="309"/>
      <c r="V659" s="309"/>
      <c r="W659" s="309"/>
      <c r="X659" s="309"/>
      <c r="Y659" s="309"/>
      <c r="Z659" s="309"/>
      <c r="AA659" s="309"/>
    </row>
    <row r="660" ht="27.0" customHeight="1">
      <c r="A660" s="309"/>
      <c r="B660" s="309"/>
      <c r="C660" s="309"/>
      <c r="D660" s="309"/>
      <c r="E660" s="330"/>
      <c r="F660" s="309"/>
      <c r="G660" s="309"/>
      <c r="H660" s="316"/>
      <c r="I660" s="309"/>
      <c r="J660" s="309"/>
      <c r="K660" s="309"/>
      <c r="L660" s="309"/>
      <c r="M660" s="309"/>
      <c r="N660" s="309"/>
      <c r="O660" s="309"/>
      <c r="P660" s="309"/>
      <c r="Q660" s="309"/>
      <c r="R660" s="309"/>
      <c r="S660" s="309"/>
      <c r="T660" s="309"/>
      <c r="U660" s="309"/>
      <c r="V660" s="309"/>
      <c r="W660" s="309"/>
      <c r="X660" s="309"/>
      <c r="Y660" s="309"/>
      <c r="Z660" s="309"/>
      <c r="AA660" s="309"/>
    </row>
    <row r="661" ht="27.0" customHeight="1">
      <c r="A661" s="309"/>
      <c r="B661" s="309"/>
      <c r="C661" s="309"/>
      <c r="D661" s="309"/>
      <c r="E661" s="330"/>
      <c r="F661" s="309"/>
      <c r="G661" s="309"/>
      <c r="H661" s="316"/>
      <c r="I661" s="309"/>
      <c r="J661" s="309"/>
      <c r="K661" s="309"/>
      <c r="L661" s="309"/>
      <c r="M661" s="309"/>
      <c r="N661" s="309"/>
      <c r="O661" s="309"/>
      <c r="P661" s="309"/>
      <c r="Q661" s="309"/>
      <c r="R661" s="309"/>
      <c r="S661" s="309"/>
      <c r="T661" s="309"/>
      <c r="U661" s="309"/>
      <c r="V661" s="309"/>
      <c r="W661" s="309"/>
      <c r="X661" s="309"/>
      <c r="Y661" s="309"/>
      <c r="Z661" s="309"/>
      <c r="AA661" s="309"/>
    </row>
    <row r="662" ht="27.0" customHeight="1">
      <c r="A662" s="309"/>
      <c r="B662" s="309"/>
      <c r="C662" s="309"/>
      <c r="D662" s="309"/>
      <c r="E662" s="330"/>
      <c r="F662" s="309"/>
      <c r="G662" s="309"/>
      <c r="H662" s="316"/>
      <c r="I662" s="309"/>
      <c r="J662" s="309"/>
      <c r="K662" s="309"/>
      <c r="L662" s="309"/>
      <c r="M662" s="309"/>
      <c r="N662" s="309"/>
      <c r="O662" s="309"/>
      <c r="P662" s="309"/>
      <c r="Q662" s="309"/>
      <c r="R662" s="309"/>
      <c r="S662" s="309"/>
      <c r="T662" s="309"/>
      <c r="U662" s="309"/>
      <c r="V662" s="309"/>
      <c r="W662" s="309"/>
      <c r="X662" s="309"/>
      <c r="Y662" s="309"/>
      <c r="Z662" s="309"/>
      <c r="AA662" s="309"/>
    </row>
    <row r="663" ht="27.0" customHeight="1">
      <c r="A663" s="309"/>
      <c r="B663" s="309"/>
      <c r="C663" s="309"/>
      <c r="D663" s="309"/>
      <c r="E663" s="330"/>
      <c r="F663" s="309"/>
      <c r="G663" s="309"/>
      <c r="H663" s="316"/>
      <c r="I663" s="309"/>
      <c r="J663" s="309"/>
      <c r="K663" s="309"/>
      <c r="L663" s="309"/>
      <c r="M663" s="309"/>
      <c r="N663" s="309"/>
      <c r="O663" s="309"/>
      <c r="P663" s="309"/>
      <c r="Q663" s="309"/>
      <c r="R663" s="309"/>
      <c r="S663" s="309"/>
      <c r="T663" s="309"/>
      <c r="U663" s="309"/>
      <c r="V663" s="309"/>
      <c r="W663" s="309"/>
      <c r="X663" s="309"/>
      <c r="Y663" s="309"/>
      <c r="Z663" s="309"/>
      <c r="AA663" s="309"/>
    </row>
    <row r="664" ht="27.0" customHeight="1">
      <c r="A664" s="309"/>
      <c r="B664" s="309"/>
      <c r="C664" s="309"/>
      <c r="D664" s="309"/>
      <c r="E664" s="330"/>
      <c r="F664" s="309"/>
      <c r="G664" s="309"/>
      <c r="H664" s="316"/>
      <c r="I664" s="309"/>
      <c r="J664" s="309"/>
      <c r="K664" s="309"/>
      <c r="L664" s="309"/>
      <c r="M664" s="309"/>
      <c r="N664" s="309"/>
      <c r="O664" s="309"/>
      <c r="P664" s="309"/>
      <c r="Q664" s="309"/>
      <c r="R664" s="309"/>
      <c r="S664" s="309"/>
      <c r="T664" s="309"/>
      <c r="U664" s="309"/>
      <c r="V664" s="309"/>
      <c r="W664" s="309"/>
      <c r="X664" s="309"/>
      <c r="Y664" s="309"/>
      <c r="Z664" s="309"/>
      <c r="AA664" s="309"/>
    </row>
    <row r="665" ht="27.0" customHeight="1">
      <c r="A665" s="309"/>
      <c r="B665" s="309"/>
      <c r="C665" s="309"/>
      <c r="D665" s="309"/>
      <c r="E665" s="330"/>
      <c r="F665" s="309"/>
      <c r="G665" s="309"/>
      <c r="H665" s="316"/>
      <c r="I665" s="309"/>
      <c r="J665" s="309"/>
      <c r="K665" s="309"/>
      <c r="L665" s="309"/>
      <c r="M665" s="309"/>
      <c r="N665" s="309"/>
      <c r="O665" s="309"/>
      <c r="P665" s="309"/>
      <c r="Q665" s="309"/>
      <c r="R665" s="309"/>
      <c r="S665" s="309"/>
      <c r="T665" s="309"/>
      <c r="U665" s="309"/>
      <c r="V665" s="309"/>
      <c r="W665" s="309"/>
      <c r="X665" s="309"/>
      <c r="Y665" s="309"/>
      <c r="Z665" s="309"/>
      <c r="AA665" s="309"/>
    </row>
    <row r="666" ht="27.0" customHeight="1">
      <c r="A666" s="309"/>
      <c r="B666" s="309"/>
      <c r="C666" s="309"/>
      <c r="D666" s="309"/>
      <c r="E666" s="330"/>
      <c r="F666" s="309"/>
      <c r="G666" s="309"/>
      <c r="H666" s="316"/>
      <c r="I666" s="309"/>
      <c r="J666" s="309"/>
      <c r="K666" s="309"/>
      <c r="L666" s="309"/>
      <c r="M666" s="309"/>
      <c r="N666" s="309"/>
      <c r="O666" s="309"/>
      <c r="P666" s="309"/>
      <c r="Q666" s="309"/>
      <c r="R666" s="309"/>
      <c r="S666" s="309"/>
      <c r="T666" s="309"/>
      <c r="U666" s="309"/>
      <c r="V666" s="309"/>
      <c r="W666" s="309"/>
      <c r="X666" s="309"/>
      <c r="Y666" s="309"/>
      <c r="Z666" s="309"/>
      <c r="AA666" s="309"/>
    </row>
    <row r="667" ht="27.0" customHeight="1">
      <c r="A667" s="309"/>
      <c r="B667" s="309"/>
      <c r="C667" s="309"/>
      <c r="D667" s="309"/>
      <c r="E667" s="330"/>
      <c r="F667" s="309"/>
      <c r="G667" s="309"/>
      <c r="H667" s="316"/>
      <c r="I667" s="309"/>
      <c r="J667" s="309"/>
      <c r="K667" s="309"/>
      <c r="L667" s="309"/>
      <c r="M667" s="309"/>
      <c r="N667" s="309"/>
      <c r="O667" s="309"/>
      <c r="P667" s="309"/>
      <c r="Q667" s="309"/>
      <c r="R667" s="309"/>
      <c r="S667" s="309"/>
      <c r="T667" s="309"/>
      <c r="U667" s="309"/>
      <c r="V667" s="309"/>
      <c r="W667" s="309"/>
      <c r="X667" s="309"/>
      <c r="Y667" s="309"/>
      <c r="Z667" s="309"/>
      <c r="AA667" s="309"/>
    </row>
    <row r="668" ht="27.0" customHeight="1">
      <c r="A668" s="309"/>
      <c r="B668" s="309"/>
      <c r="C668" s="309"/>
      <c r="D668" s="309"/>
      <c r="E668" s="330"/>
      <c r="F668" s="309"/>
      <c r="G668" s="309"/>
      <c r="H668" s="316"/>
      <c r="I668" s="309"/>
      <c r="J668" s="309"/>
      <c r="K668" s="309"/>
      <c r="L668" s="309"/>
      <c r="M668" s="309"/>
      <c r="N668" s="309"/>
      <c r="O668" s="309"/>
      <c r="P668" s="309"/>
      <c r="Q668" s="309"/>
      <c r="R668" s="309"/>
      <c r="S668" s="309"/>
      <c r="T668" s="309"/>
      <c r="U668" s="309"/>
      <c r="V668" s="309"/>
      <c r="W668" s="309"/>
      <c r="X668" s="309"/>
      <c r="Y668" s="309"/>
      <c r="Z668" s="309"/>
      <c r="AA668" s="309"/>
    </row>
    <row r="669" ht="27.0" customHeight="1">
      <c r="A669" s="309"/>
      <c r="B669" s="309"/>
      <c r="C669" s="309"/>
      <c r="D669" s="309"/>
      <c r="E669" s="330"/>
      <c r="F669" s="309"/>
      <c r="G669" s="309"/>
      <c r="H669" s="316"/>
      <c r="I669" s="309"/>
      <c r="J669" s="309"/>
      <c r="K669" s="309"/>
      <c r="L669" s="309"/>
      <c r="M669" s="309"/>
      <c r="N669" s="309"/>
      <c r="O669" s="309"/>
      <c r="P669" s="309"/>
      <c r="Q669" s="309"/>
      <c r="R669" s="309"/>
      <c r="S669" s="309"/>
      <c r="T669" s="309"/>
      <c r="U669" s="309"/>
      <c r="V669" s="309"/>
      <c r="W669" s="309"/>
      <c r="X669" s="309"/>
      <c r="Y669" s="309"/>
      <c r="Z669" s="309"/>
      <c r="AA669" s="309"/>
    </row>
    <row r="670" ht="27.0" customHeight="1">
      <c r="A670" s="309"/>
      <c r="B670" s="309"/>
      <c r="C670" s="309"/>
      <c r="D670" s="309"/>
      <c r="E670" s="330"/>
      <c r="F670" s="309"/>
      <c r="G670" s="309"/>
      <c r="H670" s="316"/>
      <c r="I670" s="309"/>
      <c r="J670" s="309"/>
      <c r="K670" s="309"/>
      <c r="L670" s="309"/>
      <c r="M670" s="309"/>
      <c r="N670" s="309"/>
      <c r="O670" s="309"/>
      <c r="P670" s="309"/>
      <c r="Q670" s="309"/>
      <c r="R670" s="309"/>
      <c r="S670" s="309"/>
      <c r="T670" s="309"/>
      <c r="U670" s="309"/>
      <c r="V670" s="309"/>
      <c r="W670" s="309"/>
      <c r="X670" s="309"/>
      <c r="Y670" s="309"/>
      <c r="Z670" s="309"/>
      <c r="AA670" s="309"/>
    </row>
    <row r="671" ht="27.0" customHeight="1">
      <c r="A671" s="309"/>
      <c r="B671" s="309"/>
      <c r="C671" s="309"/>
      <c r="D671" s="309"/>
      <c r="E671" s="330"/>
      <c r="F671" s="309"/>
      <c r="G671" s="309"/>
      <c r="H671" s="316"/>
      <c r="I671" s="309"/>
      <c r="J671" s="309"/>
      <c r="K671" s="309"/>
      <c r="L671" s="309"/>
      <c r="M671" s="309"/>
      <c r="N671" s="309"/>
      <c r="O671" s="309"/>
      <c r="P671" s="309"/>
      <c r="Q671" s="309"/>
      <c r="R671" s="309"/>
      <c r="S671" s="309"/>
      <c r="T671" s="309"/>
      <c r="U671" s="309"/>
      <c r="V671" s="309"/>
      <c r="W671" s="309"/>
      <c r="X671" s="309"/>
      <c r="Y671" s="309"/>
      <c r="Z671" s="309"/>
      <c r="AA671" s="309"/>
    </row>
    <row r="672" ht="27.0" customHeight="1">
      <c r="A672" s="309"/>
      <c r="B672" s="309"/>
      <c r="C672" s="309"/>
      <c r="D672" s="309"/>
      <c r="E672" s="330"/>
      <c r="F672" s="309"/>
      <c r="G672" s="309"/>
      <c r="H672" s="316"/>
      <c r="I672" s="309"/>
      <c r="J672" s="309"/>
      <c r="K672" s="309"/>
      <c r="L672" s="309"/>
      <c r="M672" s="309"/>
      <c r="N672" s="309"/>
      <c r="O672" s="309"/>
      <c r="P672" s="309"/>
      <c r="Q672" s="309"/>
      <c r="R672" s="309"/>
      <c r="S672" s="309"/>
      <c r="T672" s="309"/>
      <c r="U672" s="309"/>
      <c r="V672" s="309"/>
      <c r="W672" s="309"/>
      <c r="X672" s="309"/>
      <c r="Y672" s="309"/>
      <c r="Z672" s="309"/>
      <c r="AA672" s="309"/>
    </row>
    <row r="673" ht="27.0" customHeight="1">
      <c r="A673" s="309"/>
      <c r="B673" s="309"/>
      <c r="C673" s="309"/>
      <c r="D673" s="309"/>
      <c r="E673" s="330"/>
      <c r="F673" s="309"/>
      <c r="G673" s="309"/>
      <c r="H673" s="316"/>
      <c r="I673" s="309"/>
      <c r="J673" s="309"/>
      <c r="K673" s="309"/>
      <c r="L673" s="309"/>
      <c r="M673" s="309"/>
      <c r="N673" s="309"/>
      <c r="O673" s="309"/>
      <c r="P673" s="309"/>
      <c r="Q673" s="309"/>
      <c r="R673" s="309"/>
      <c r="S673" s="309"/>
      <c r="T673" s="309"/>
      <c r="U673" s="309"/>
      <c r="V673" s="309"/>
      <c r="W673" s="309"/>
      <c r="X673" s="309"/>
      <c r="Y673" s="309"/>
      <c r="Z673" s="309"/>
      <c r="AA673" s="309"/>
    </row>
    <row r="674" ht="27.0" customHeight="1">
      <c r="A674" s="309"/>
      <c r="B674" s="309"/>
      <c r="C674" s="309"/>
      <c r="D674" s="309"/>
      <c r="E674" s="330"/>
      <c r="F674" s="309"/>
      <c r="G674" s="309"/>
      <c r="H674" s="316"/>
      <c r="I674" s="309"/>
      <c r="J674" s="309"/>
      <c r="K674" s="309"/>
      <c r="L674" s="309"/>
      <c r="M674" s="309"/>
      <c r="N674" s="309"/>
      <c r="O674" s="309"/>
      <c r="P674" s="309"/>
      <c r="Q674" s="309"/>
      <c r="R674" s="309"/>
      <c r="S674" s="309"/>
      <c r="T674" s="309"/>
      <c r="U674" s="309"/>
      <c r="V674" s="309"/>
      <c r="W674" s="309"/>
      <c r="X674" s="309"/>
      <c r="Y674" s="309"/>
      <c r="Z674" s="309"/>
      <c r="AA674" s="309"/>
    </row>
    <row r="675" ht="27.0" customHeight="1">
      <c r="A675" s="309"/>
      <c r="B675" s="309"/>
      <c r="C675" s="309"/>
      <c r="D675" s="309"/>
      <c r="E675" s="330"/>
      <c r="F675" s="309"/>
      <c r="G675" s="309"/>
      <c r="H675" s="316"/>
      <c r="I675" s="309"/>
      <c r="J675" s="309"/>
      <c r="K675" s="309"/>
      <c r="L675" s="309"/>
      <c r="M675" s="309"/>
      <c r="N675" s="309"/>
      <c r="O675" s="309"/>
      <c r="P675" s="309"/>
      <c r="Q675" s="309"/>
      <c r="R675" s="309"/>
      <c r="S675" s="309"/>
      <c r="T675" s="309"/>
      <c r="U675" s="309"/>
      <c r="V675" s="309"/>
      <c r="W675" s="309"/>
      <c r="X675" s="309"/>
      <c r="Y675" s="309"/>
      <c r="Z675" s="309"/>
      <c r="AA675" s="309"/>
    </row>
    <row r="676" ht="27.0" customHeight="1">
      <c r="A676" s="309"/>
      <c r="B676" s="309"/>
      <c r="C676" s="309"/>
      <c r="D676" s="309"/>
      <c r="E676" s="330"/>
      <c r="F676" s="309"/>
      <c r="G676" s="309"/>
      <c r="H676" s="316"/>
      <c r="I676" s="309"/>
      <c r="J676" s="309"/>
      <c r="K676" s="309"/>
      <c r="L676" s="309"/>
      <c r="M676" s="309"/>
      <c r="N676" s="309"/>
      <c r="O676" s="309"/>
      <c r="P676" s="309"/>
      <c r="Q676" s="309"/>
      <c r="R676" s="309"/>
      <c r="S676" s="309"/>
      <c r="T676" s="309"/>
      <c r="U676" s="309"/>
      <c r="V676" s="309"/>
      <c r="W676" s="309"/>
      <c r="X676" s="309"/>
      <c r="Y676" s="309"/>
      <c r="Z676" s="309"/>
      <c r="AA676" s="309"/>
    </row>
    <row r="677" ht="27.0" customHeight="1">
      <c r="A677" s="309"/>
      <c r="B677" s="309"/>
      <c r="C677" s="309"/>
      <c r="D677" s="309"/>
      <c r="E677" s="330"/>
      <c r="F677" s="309"/>
      <c r="G677" s="309"/>
      <c r="H677" s="316"/>
      <c r="I677" s="309"/>
      <c r="J677" s="309"/>
      <c r="K677" s="309"/>
      <c r="L677" s="309"/>
      <c r="M677" s="309"/>
      <c r="N677" s="309"/>
      <c r="O677" s="309"/>
      <c r="P677" s="309"/>
      <c r="Q677" s="309"/>
      <c r="R677" s="309"/>
      <c r="S677" s="309"/>
      <c r="T677" s="309"/>
      <c r="U677" s="309"/>
      <c r="V677" s="309"/>
      <c r="W677" s="309"/>
      <c r="X677" s="309"/>
      <c r="Y677" s="309"/>
      <c r="Z677" s="309"/>
      <c r="AA677" s="309"/>
    </row>
    <row r="678" ht="27.0" customHeight="1">
      <c r="A678" s="309"/>
      <c r="B678" s="309"/>
      <c r="C678" s="309"/>
      <c r="D678" s="309"/>
      <c r="E678" s="330"/>
      <c r="F678" s="309"/>
      <c r="G678" s="309"/>
      <c r="H678" s="316"/>
      <c r="I678" s="309"/>
      <c r="J678" s="309"/>
      <c r="K678" s="309"/>
      <c r="L678" s="309"/>
      <c r="M678" s="309"/>
      <c r="N678" s="309"/>
      <c r="O678" s="309"/>
      <c r="P678" s="309"/>
      <c r="Q678" s="309"/>
      <c r="R678" s="309"/>
      <c r="S678" s="309"/>
      <c r="T678" s="309"/>
      <c r="U678" s="309"/>
      <c r="V678" s="309"/>
      <c r="W678" s="309"/>
      <c r="X678" s="309"/>
      <c r="Y678" s="309"/>
      <c r="Z678" s="309"/>
      <c r="AA678" s="309"/>
    </row>
    <row r="679" ht="27.0" customHeight="1">
      <c r="A679" s="309"/>
      <c r="B679" s="309"/>
      <c r="C679" s="309"/>
      <c r="D679" s="309"/>
      <c r="E679" s="330"/>
      <c r="F679" s="309"/>
      <c r="G679" s="309"/>
      <c r="H679" s="316"/>
      <c r="I679" s="309"/>
      <c r="J679" s="309"/>
      <c r="K679" s="309"/>
      <c r="L679" s="309"/>
      <c r="M679" s="309"/>
      <c r="N679" s="309"/>
      <c r="O679" s="309"/>
      <c r="P679" s="309"/>
      <c r="Q679" s="309"/>
      <c r="R679" s="309"/>
      <c r="S679" s="309"/>
      <c r="T679" s="309"/>
      <c r="U679" s="309"/>
      <c r="V679" s="309"/>
      <c r="W679" s="309"/>
      <c r="X679" s="309"/>
      <c r="Y679" s="309"/>
      <c r="Z679" s="309"/>
      <c r="AA679" s="309"/>
    </row>
    <row r="680" ht="27.0" customHeight="1">
      <c r="A680" s="309"/>
      <c r="B680" s="309"/>
      <c r="C680" s="309"/>
      <c r="D680" s="309"/>
      <c r="E680" s="330"/>
      <c r="F680" s="309"/>
      <c r="G680" s="309"/>
      <c r="H680" s="316"/>
      <c r="I680" s="309"/>
      <c r="J680" s="309"/>
      <c r="K680" s="309"/>
      <c r="L680" s="309"/>
      <c r="M680" s="309"/>
      <c r="N680" s="309"/>
      <c r="O680" s="309"/>
      <c r="P680" s="309"/>
      <c r="Q680" s="309"/>
      <c r="R680" s="309"/>
      <c r="S680" s="309"/>
      <c r="T680" s="309"/>
      <c r="U680" s="309"/>
      <c r="V680" s="309"/>
      <c r="W680" s="309"/>
      <c r="X680" s="309"/>
      <c r="Y680" s="309"/>
      <c r="Z680" s="309"/>
      <c r="AA680" s="309"/>
    </row>
    <row r="681" ht="27.0" customHeight="1">
      <c r="A681" s="309"/>
      <c r="B681" s="309"/>
      <c r="C681" s="309"/>
      <c r="D681" s="309"/>
      <c r="E681" s="330"/>
      <c r="F681" s="309"/>
      <c r="G681" s="309"/>
      <c r="H681" s="316"/>
      <c r="I681" s="309"/>
      <c r="J681" s="309"/>
      <c r="K681" s="309"/>
      <c r="L681" s="309"/>
      <c r="M681" s="309"/>
      <c r="N681" s="309"/>
      <c r="O681" s="309"/>
      <c r="P681" s="309"/>
      <c r="Q681" s="309"/>
      <c r="R681" s="309"/>
      <c r="S681" s="309"/>
      <c r="T681" s="309"/>
      <c r="U681" s="309"/>
      <c r="V681" s="309"/>
      <c r="W681" s="309"/>
      <c r="X681" s="309"/>
      <c r="Y681" s="309"/>
      <c r="Z681" s="309"/>
      <c r="AA681" s="309"/>
    </row>
    <row r="682" ht="27.0" customHeight="1">
      <c r="A682" s="309"/>
      <c r="B682" s="309"/>
      <c r="C682" s="309"/>
      <c r="D682" s="309"/>
      <c r="E682" s="330"/>
      <c r="F682" s="309"/>
      <c r="G682" s="309"/>
      <c r="H682" s="316"/>
      <c r="I682" s="309"/>
      <c r="J682" s="309"/>
      <c r="K682" s="309"/>
      <c r="L682" s="309"/>
      <c r="M682" s="309"/>
      <c r="N682" s="309"/>
      <c r="O682" s="309"/>
      <c r="P682" s="309"/>
      <c r="Q682" s="309"/>
      <c r="R682" s="309"/>
      <c r="S682" s="309"/>
      <c r="T682" s="309"/>
      <c r="U682" s="309"/>
      <c r="V682" s="309"/>
      <c r="W682" s="309"/>
      <c r="X682" s="309"/>
      <c r="Y682" s="309"/>
      <c r="Z682" s="309"/>
      <c r="AA682" s="309"/>
    </row>
    <row r="683" ht="27.0" customHeight="1">
      <c r="A683" s="309"/>
      <c r="B683" s="309"/>
      <c r="C683" s="309"/>
      <c r="D683" s="309"/>
      <c r="E683" s="330"/>
      <c r="F683" s="309"/>
      <c r="G683" s="309"/>
      <c r="H683" s="316"/>
      <c r="I683" s="309"/>
      <c r="J683" s="309"/>
      <c r="K683" s="309"/>
      <c r="L683" s="309"/>
      <c r="M683" s="309"/>
      <c r="N683" s="309"/>
      <c r="O683" s="309"/>
      <c r="P683" s="309"/>
      <c r="Q683" s="309"/>
      <c r="R683" s="309"/>
      <c r="S683" s="309"/>
      <c r="T683" s="309"/>
      <c r="U683" s="309"/>
      <c r="V683" s="309"/>
      <c r="W683" s="309"/>
      <c r="X683" s="309"/>
      <c r="Y683" s="309"/>
      <c r="Z683" s="309"/>
      <c r="AA683" s="309"/>
    </row>
    <row r="684" ht="27.0" customHeight="1">
      <c r="A684" s="309"/>
      <c r="B684" s="309"/>
      <c r="C684" s="309"/>
      <c r="D684" s="309"/>
      <c r="E684" s="330"/>
      <c r="F684" s="309"/>
      <c r="G684" s="309"/>
      <c r="H684" s="316"/>
      <c r="I684" s="309"/>
      <c r="J684" s="309"/>
      <c r="K684" s="309"/>
      <c r="L684" s="309"/>
      <c r="M684" s="309"/>
      <c r="N684" s="309"/>
      <c r="O684" s="309"/>
      <c r="P684" s="309"/>
      <c r="Q684" s="309"/>
      <c r="R684" s="309"/>
      <c r="S684" s="309"/>
      <c r="T684" s="309"/>
      <c r="U684" s="309"/>
      <c r="V684" s="309"/>
      <c r="W684" s="309"/>
      <c r="X684" s="309"/>
      <c r="Y684" s="309"/>
      <c r="Z684" s="309"/>
      <c r="AA684" s="309"/>
    </row>
    <row r="685" ht="27.0" customHeight="1">
      <c r="A685" s="309"/>
      <c r="B685" s="309"/>
      <c r="C685" s="309"/>
      <c r="D685" s="309"/>
      <c r="E685" s="330"/>
      <c r="F685" s="309"/>
      <c r="G685" s="309"/>
      <c r="H685" s="316"/>
      <c r="I685" s="309"/>
      <c r="J685" s="309"/>
      <c r="K685" s="309"/>
      <c r="L685" s="309"/>
      <c r="M685" s="309"/>
      <c r="N685" s="309"/>
      <c r="O685" s="309"/>
      <c r="P685" s="309"/>
      <c r="Q685" s="309"/>
      <c r="R685" s="309"/>
      <c r="S685" s="309"/>
      <c r="T685" s="309"/>
      <c r="U685" s="309"/>
      <c r="V685" s="309"/>
      <c r="W685" s="309"/>
      <c r="X685" s="309"/>
      <c r="Y685" s="309"/>
      <c r="Z685" s="309"/>
      <c r="AA685" s="309"/>
    </row>
    <row r="686" ht="27.0" customHeight="1">
      <c r="A686" s="309"/>
      <c r="B686" s="309"/>
      <c r="C686" s="309"/>
      <c r="D686" s="309"/>
      <c r="E686" s="330"/>
      <c r="F686" s="309"/>
      <c r="G686" s="309"/>
      <c r="H686" s="316"/>
      <c r="I686" s="309"/>
      <c r="J686" s="309"/>
      <c r="K686" s="309"/>
      <c r="L686" s="309"/>
      <c r="M686" s="309"/>
      <c r="N686" s="309"/>
      <c r="O686" s="309"/>
      <c r="P686" s="309"/>
      <c r="Q686" s="309"/>
      <c r="R686" s="309"/>
      <c r="S686" s="309"/>
      <c r="T686" s="309"/>
      <c r="U686" s="309"/>
      <c r="V686" s="309"/>
      <c r="W686" s="309"/>
      <c r="X686" s="309"/>
      <c r="Y686" s="309"/>
      <c r="Z686" s="309"/>
      <c r="AA686" s="309"/>
    </row>
    <row r="687" ht="27.0" customHeight="1">
      <c r="A687" s="309"/>
      <c r="B687" s="309"/>
      <c r="C687" s="309"/>
      <c r="D687" s="309"/>
      <c r="E687" s="330"/>
      <c r="F687" s="309"/>
      <c r="G687" s="309"/>
      <c r="H687" s="316"/>
      <c r="I687" s="309"/>
      <c r="J687" s="309"/>
      <c r="K687" s="309"/>
      <c r="L687" s="309"/>
      <c r="M687" s="309"/>
      <c r="N687" s="309"/>
      <c r="O687" s="309"/>
      <c r="P687" s="309"/>
      <c r="Q687" s="309"/>
      <c r="R687" s="309"/>
      <c r="S687" s="309"/>
      <c r="T687" s="309"/>
      <c r="U687" s="309"/>
      <c r="V687" s="309"/>
      <c r="W687" s="309"/>
      <c r="X687" s="309"/>
      <c r="Y687" s="309"/>
      <c r="Z687" s="309"/>
      <c r="AA687" s="309"/>
    </row>
    <row r="688" ht="27.0" customHeight="1">
      <c r="A688" s="309"/>
      <c r="B688" s="309"/>
      <c r="C688" s="309"/>
      <c r="D688" s="309"/>
      <c r="E688" s="330"/>
      <c r="F688" s="309"/>
      <c r="G688" s="309"/>
      <c r="H688" s="316"/>
      <c r="I688" s="309"/>
      <c r="J688" s="309"/>
      <c r="K688" s="309"/>
      <c r="L688" s="309"/>
      <c r="M688" s="309"/>
      <c r="N688" s="309"/>
      <c r="O688" s="309"/>
      <c r="P688" s="309"/>
      <c r="Q688" s="309"/>
      <c r="R688" s="309"/>
      <c r="S688" s="309"/>
      <c r="T688" s="309"/>
      <c r="U688" s="309"/>
      <c r="V688" s="309"/>
      <c r="W688" s="309"/>
      <c r="X688" s="309"/>
      <c r="Y688" s="309"/>
      <c r="Z688" s="309"/>
      <c r="AA688" s="309"/>
    </row>
    <row r="689" ht="27.0" customHeight="1">
      <c r="A689" s="309"/>
      <c r="B689" s="309"/>
      <c r="C689" s="309"/>
      <c r="D689" s="309"/>
      <c r="E689" s="330"/>
      <c r="F689" s="309"/>
      <c r="G689" s="309"/>
      <c r="H689" s="316"/>
      <c r="I689" s="309"/>
      <c r="J689" s="309"/>
      <c r="K689" s="309"/>
      <c r="L689" s="309"/>
      <c r="M689" s="309"/>
      <c r="N689" s="309"/>
      <c r="O689" s="309"/>
      <c r="P689" s="309"/>
      <c r="Q689" s="309"/>
      <c r="R689" s="309"/>
      <c r="S689" s="309"/>
      <c r="T689" s="309"/>
      <c r="U689" s="309"/>
      <c r="V689" s="309"/>
      <c r="W689" s="309"/>
      <c r="X689" s="309"/>
      <c r="Y689" s="309"/>
      <c r="Z689" s="309"/>
      <c r="AA689" s="309"/>
    </row>
    <row r="690" ht="27.0" customHeight="1">
      <c r="A690" s="309"/>
      <c r="B690" s="309"/>
      <c r="C690" s="309"/>
      <c r="D690" s="309"/>
      <c r="E690" s="330"/>
      <c r="F690" s="309"/>
      <c r="G690" s="309"/>
      <c r="H690" s="316"/>
      <c r="I690" s="309"/>
      <c r="J690" s="309"/>
      <c r="K690" s="309"/>
      <c r="L690" s="309"/>
      <c r="M690" s="309"/>
      <c r="N690" s="309"/>
      <c r="O690" s="309"/>
      <c r="P690" s="309"/>
      <c r="Q690" s="309"/>
      <c r="R690" s="309"/>
      <c r="S690" s="309"/>
      <c r="T690" s="309"/>
      <c r="U690" s="309"/>
      <c r="V690" s="309"/>
      <c r="W690" s="309"/>
      <c r="X690" s="309"/>
      <c r="Y690" s="309"/>
      <c r="Z690" s="309"/>
      <c r="AA690" s="309"/>
    </row>
    <row r="691" ht="27.0" customHeight="1">
      <c r="A691" s="309"/>
      <c r="B691" s="309"/>
      <c r="C691" s="309"/>
      <c r="D691" s="309"/>
      <c r="E691" s="330"/>
      <c r="F691" s="309"/>
      <c r="G691" s="309"/>
      <c r="H691" s="316"/>
      <c r="I691" s="309"/>
      <c r="J691" s="309"/>
      <c r="K691" s="309"/>
      <c r="L691" s="309"/>
      <c r="M691" s="309"/>
      <c r="N691" s="309"/>
      <c r="O691" s="309"/>
      <c r="P691" s="309"/>
      <c r="Q691" s="309"/>
      <c r="R691" s="309"/>
      <c r="S691" s="309"/>
      <c r="T691" s="309"/>
      <c r="U691" s="309"/>
      <c r="V691" s="309"/>
      <c r="W691" s="309"/>
      <c r="X691" s="309"/>
      <c r="Y691" s="309"/>
      <c r="Z691" s="309"/>
      <c r="AA691" s="309"/>
    </row>
    <row r="692" ht="27.0" customHeight="1">
      <c r="A692" s="309"/>
      <c r="B692" s="309"/>
      <c r="C692" s="309"/>
      <c r="D692" s="309"/>
      <c r="E692" s="330"/>
      <c r="F692" s="309"/>
      <c r="G692" s="309"/>
      <c r="H692" s="316"/>
      <c r="I692" s="309"/>
      <c r="J692" s="309"/>
      <c r="K692" s="309"/>
      <c r="L692" s="309"/>
      <c r="M692" s="309"/>
      <c r="N692" s="309"/>
      <c r="O692" s="309"/>
      <c r="P692" s="309"/>
      <c r="Q692" s="309"/>
      <c r="R692" s="309"/>
      <c r="S692" s="309"/>
      <c r="T692" s="309"/>
      <c r="U692" s="309"/>
      <c r="V692" s="309"/>
      <c r="W692" s="309"/>
      <c r="X692" s="309"/>
      <c r="Y692" s="309"/>
      <c r="Z692" s="309"/>
      <c r="AA692" s="309"/>
    </row>
    <row r="693" ht="27.0" customHeight="1">
      <c r="A693" s="309"/>
      <c r="B693" s="309"/>
      <c r="C693" s="309"/>
      <c r="D693" s="309"/>
      <c r="E693" s="330"/>
      <c r="F693" s="309"/>
      <c r="G693" s="309"/>
      <c r="H693" s="316"/>
      <c r="I693" s="309"/>
      <c r="J693" s="309"/>
      <c r="K693" s="309"/>
      <c r="L693" s="309"/>
      <c r="M693" s="309"/>
      <c r="N693" s="309"/>
      <c r="O693" s="309"/>
      <c r="P693" s="309"/>
      <c r="Q693" s="309"/>
      <c r="R693" s="309"/>
      <c r="S693" s="309"/>
      <c r="T693" s="309"/>
      <c r="U693" s="309"/>
      <c r="V693" s="309"/>
      <c r="W693" s="309"/>
      <c r="X693" s="309"/>
      <c r="Y693" s="309"/>
      <c r="Z693" s="309"/>
      <c r="AA693" s="309"/>
    </row>
    <row r="694" ht="27.0" customHeight="1">
      <c r="A694" s="309"/>
      <c r="B694" s="309"/>
      <c r="C694" s="309"/>
      <c r="D694" s="309"/>
      <c r="E694" s="330"/>
      <c r="F694" s="309"/>
      <c r="G694" s="309"/>
      <c r="H694" s="316"/>
      <c r="I694" s="309"/>
      <c r="J694" s="309"/>
      <c r="K694" s="309"/>
      <c r="L694" s="309"/>
      <c r="M694" s="309"/>
      <c r="N694" s="309"/>
      <c r="O694" s="309"/>
      <c r="P694" s="309"/>
      <c r="Q694" s="309"/>
      <c r="R694" s="309"/>
      <c r="S694" s="309"/>
      <c r="T694" s="309"/>
      <c r="U694" s="309"/>
      <c r="V694" s="309"/>
      <c r="W694" s="309"/>
      <c r="X694" s="309"/>
      <c r="Y694" s="309"/>
      <c r="Z694" s="309"/>
      <c r="AA694" s="309"/>
    </row>
    <row r="695" ht="27.0" customHeight="1">
      <c r="A695" s="309"/>
      <c r="B695" s="309"/>
      <c r="C695" s="309"/>
      <c r="D695" s="309"/>
      <c r="E695" s="330"/>
      <c r="F695" s="309"/>
      <c r="G695" s="309"/>
      <c r="H695" s="316"/>
      <c r="I695" s="309"/>
      <c r="J695" s="309"/>
      <c r="K695" s="309"/>
      <c r="L695" s="309"/>
      <c r="M695" s="309"/>
      <c r="N695" s="309"/>
      <c r="O695" s="309"/>
      <c r="P695" s="309"/>
      <c r="Q695" s="309"/>
      <c r="R695" s="309"/>
      <c r="S695" s="309"/>
      <c r="T695" s="309"/>
      <c r="U695" s="309"/>
      <c r="V695" s="309"/>
      <c r="W695" s="309"/>
      <c r="X695" s="309"/>
      <c r="Y695" s="309"/>
      <c r="Z695" s="309"/>
      <c r="AA695" s="309"/>
    </row>
    <row r="696" ht="27.0" customHeight="1">
      <c r="A696" s="309"/>
      <c r="B696" s="309"/>
      <c r="C696" s="309"/>
      <c r="D696" s="309"/>
      <c r="E696" s="330"/>
      <c r="F696" s="309"/>
      <c r="G696" s="309"/>
      <c r="H696" s="316"/>
      <c r="I696" s="309"/>
      <c r="J696" s="309"/>
      <c r="K696" s="309"/>
      <c r="L696" s="309"/>
      <c r="M696" s="309"/>
      <c r="N696" s="309"/>
      <c r="O696" s="309"/>
      <c r="P696" s="309"/>
      <c r="Q696" s="309"/>
      <c r="R696" s="309"/>
      <c r="S696" s="309"/>
      <c r="T696" s="309"/>
      <c r="U696" s="309"/>
      <c r="V696" s="309"/>
      <c r="W696" s="309"/>
      <c r="X696" s="309"/>
      <c r="Y696" s="309"/>
      <c r="Z696" s="309"/>
      <c r="AA696" s="309"/>
    </row>
    <row r="697" ht="27.0" customHeight="1">
      <c r="A697" s="309"/>
      <c r="B697" s="309"/>
      <c r="C697" s="309"/>
      <c r="D697" s="309"/>
      <c r="E697" s="330"/>
      <c r="F697" s="309"/>
      <c r="G697" s="309"/>
      <c r="H697" s="316"/>
      <c r="I697" s="309"/>
      <c r="J697" s="309"/>
      <c r="K697" s="309"/>
      <c r="L697" s="309"/>
      <c r="M697" s="309"/>
      <c r="N697" s="309"/>
      <c r="O697" s="309"/>
      <c r="P697" s="309"/>
      <c r="Q697" s="309"/>
      <c r="R697" s="309"/>
      <c r="S697" s="309"/>
      <c r="T697" s="309"/>
      <c r="U697" s="309"/>
      <c r="V697" s="309"/>
      <c r="W697" s="309"/>
      <c r="X697" s="309"/>
      <c r="Y697" s="309"/>
      <c r="Z697" s="309"/>
      <c r="AA697" s="309"/>
    </row>
    <row r="698" ht="27.0" customHeight="1">
      <c r="A698" s="309"/>
      <c r="B698" s="309"/>
      <c r="C698" s="309"/>
      <c r="D698" s="309"/>
      <c r="E698" s="330"/>
      <c r="F698" s="309"/>
      <c r="G698" s="309"/>
      <c r="H698" s="316"/>
      <c r="I698" s="309"/>
      <c r="J698" s="309"/>
      <c r="K698" s="309"/>
      <c r="L698" s="309"/>
      <c r="M698" s="309"/>
      <c r="N698" s="309"/>
      <c r="O698" s="309"/>
      <c r="P698" s="309"/>
      <c r="Q698" s="309"/>
      <c r="R698" s="309"/>
      <c r="S698" s="309"/>
      <c r="T698" s="309"/>
      <c r="U698" s="309"/>
      <c r="V698" s="309"/>
      <c r="W698" s="309"/>
      <c r="X698" s="309"/>
      <c r="Y698" s="309"/>
      <c r="Z698" s="309"/>
      <c r="AA698" s="309"/>
    </row>
    <row r="699" ht="27.0" customHeight="1">
      <c r="A699" s="309"/>
      <c r="B699" s="309"/>
      <c r="C699" s="309"/>
      <c r="D699" s="309"/>
      <c r="E699" s="330"/>
      <c r="F699" s="309"/>
      <c r="G699" s="309"/>
      <c r="H699" s="316"/>
      <c r="I699" s="309"/>
      <c r="J699" s="309"/>
      <c r="K699" s="309"/>
      <c r="L699" s="309"/>
      <c r="M699" s="309"/>
      <c r="N699" s="309"/>
      <c r="O699" s="309"/>
      <c r="P699" s="309"/>
      <c r="Q699" s="309"/>
      <c r="R699" s="309"/>
      <c r="S699" s="309"/>
      <c r="T699" s="309"/>
      <c r="U699" s="309"/>
      <c r="V699" s="309"/>
      <c r="W699" s="309"/>
      <c r="X699" s="309"/>
      <c r="Y699" s="309"/>
      <c r="Z699" s="309"/>
      <c r="AA699" s="309"/>
    </row>
    <row r="700" ht="27.0" customHeight="1">
      <c r="A700" s="309"/>
      <c r="B700" s="309"/>
      <c r="C700" s="309"/>
      <c r="D700" s="309"/>
      <c r="E700" s="330"/>
      <c r="F700" s="309"/>
      <c r="G700" s="309"/>
      <c r="H700" s="316"/>
      <c r="I700" s="309"/>
      <c r="J700" s="309"/>
      <c r="K700" s="309"/>
      <c r="L700" s="309"/>
      <c r="M700" s="309"/>
      <c r="N700" s="309"/>
      <c r="O700" s="309"/>
      <c r="P700" s="309"/>
      <c r="Q700" s="309"/>
      <c r="R700" s="309"/>
      <c r="S700" s="309"/>
      <c r="T700" s="309"/>
      <c r="U700" s="309"/>
      <c r="V700" s="309"/>
      <c r="W700" s="309"/>
      <c r="X700" s="309"/>
      <c r="Y700" s="309"/>
      <c r="Z700" s="309"/>
      <c r="AA700" s="309"/>
    </row>
    <row r="701" ht="27.0" customHeight="1">
      <c r="A701" s="309"/>
      <c r="B701" s="309"/>
      <c r="C701" s="309"/>
      <c r="D701" s="309"/>
      <c r="E701" s="330"/>
      <c r="F701" s="309"/>
      <c r="G701" s="309"/>
      <c r="H701" s="316"/>
      <c r="I701" s="309"/>
      <c r="J701" s="309"/>
      <c r="K701" s="309"/>
      <c r="L701" s="309"/>
      <c r="M701" s="309"/>
      <c r="N701" s="309"/>
      <c r="O701" s="309"/>
      <c r="P701" s="309"/>
      <c r="Q701" s="309"/>
      <c r="R701" s="309"/>
      <c r="S701" s="309"/>
      <c r="T701" s="309"/>
      <c r="U701" s="309"/>
      <c r="V701" s="309"/>
      <c r="W701" s="309"/>
      <c r="X701" s="309"/>
      <c r="Y701" s="309"/>
      <c r="Z701" s="309"/>
      <c r="AA701" s="309"/>
    </row>
    <row r="702" ht="27.0" customHeight="1">
      <c r="A702" s="309"/>
      <c r="B702" s="309"/>
      <c r="C702" s="309"/>
      <c r="D702" s="309"/>
      <c r="E702" s="330"/>
      <c r="F702" s="309"/>
      <c r="G702" s="309"/>
      <c r="H702" s="316"/>
      <c r="I702" s="309"/>
      <c r="J702" s="309"/>
      <c r="K702" s="309"/>
      <c r="L702" s="309"/>
      <c r="M702" s="309"/>
      <c r="N702" s="309"/>
      <c r="O702" s="309"/>
      <c r="P702" s="309"/>
      <c r="Q702" s="309"/>
      <c r="R702" s="309"/>
      <c r="S702" s="309"/>
      <c r="T702" s="309"/>
      <c r="U702" s="309"/>
      <c r="V702" s="309"/>
      <c r="W702" s="309"/>
      <c r="X702" s="309"/>
      <c r="Y702" s="309"/>
      <c r="Z702" s="309"/>
      <c r="AA702" s="309"/>
    </row>
    <row r="703" ht="27.0" customHeight="1">
      <c r="A703" s="309"/>
      <c r="B703" s="309"/>
      <c r="C703" s="309"/>
      <c r="D703" s="309"/>
      <c r="E703" s="330"/>
      <c r="F703" s="309"/>
      <c r="G703" s="309"/>
      <c r="H703" s="316"/>
      <c r="I703" s="309"/>
      <c r="J703" s="309"/>
      <c r="K703" s="309"/>
      <c r="L703" s="309"/>
      <c r="M703" s="309"/>
      <c r="N703" s="309"/>
      <c r="O703" s="309"/>
      <c r="P703" s="309"/>
      <c r="Q703" s="309"/>
      <c r="R703" s="309"/>
      <c r="S703" s="309"/>
      <c r="T703" s="309"/>
      <c r="U703" s="309"/>
      <c r="V703" s="309"/>
      <c r="W703" s="309"/>
      <c r="X703" s="309"/>
      <c r="Y703" s="309"/>
      <c r="Z703" s="309"/>
      <c r="AA703" s="309"/>
    </row>
    <row r="704" ht="27.0" customHeight="1">
      <c r="A704" s="309"/>
      <c r="B704" s="309"/>
      <c r="C704" s="309"/>
      <c r="D704" s="309"/>
      <c r="E704" s="330"/>
      <c r="F704" s="309"/>
      <c r="G704" s="309"/>
      <c r="H704" s="316"/>
      <c r="I704" s="309"/>
      <c r="J704" s="309"/>
      <c r="K704" s="309"/>
      <c r="L704" s="309"/>
      <c r="M704" s="309"/>
      <c r="N704" s="309"/>
      <c r="O704" s="309"/>
      <c r="P704" s="309"/>
      <c r="Q704" s="309"/>
      <c r="R704" s="309"/>
      <c r="S704" s="309"/>
      <c r="T704" s="309"/>
      <c r="U704" s="309"/>
      <c r="V704" s="309"/>
      <c r="W704" s="309"/>
      <c r="X704" s="309"/>
      <c r="Y704" s="309"/>
      <c r="Z704" s="309"/>
      <c r="AA704" s="309"/>
    </row>
    <row r="705" ht="27.0" customHeight="1">
      <c r="A705" s="309"/>
      <c r="B705" s="309"/>
      <c r="C705" s="309"/>
      <c r="D705" s="309"/>
      <c r="E705" s="330"/>
      <c r="F705" s="309"/>
      <c r="G705" s="309"/>
      <c r="H705" s="316"/>
      <c r="I705" s="309"/>
      <c r="J705" s="309"/>
      <c r="K705" s="309"/>
      <c r="L705" s="309"/>
      <c r="M705" s="309"/>
      <c r="N705" s="309"/>
      <c r="O705" s="309"/>
      <c r="P705" s="309"/>
      <c r="Q705" s="309"/>
      <c r="R705" s="309"/>
      <c r="S705" s="309"/>
      <c r="T705" s="309"/>
      <c r="U705" s="309"/>
      <c r="V705" s="309"/>
      <c r="W705" s="309"/>
      <c r="X705" s="309"/>
      <c r="Y705" s="309"/>
      <c r="Z705" s="309"/>
      <c r="AA705" s="309"/>
    </row>
    <row r="706" ht="27.0" customHeight="1">
      <c r="A706" s="309"/>
      <c r="B706" s="309"/>
      <c r="C706" s="309"/>
      <c r="D706" s="309"/>
      <c r="E706" s="330"/>
      <c r="F706" s="309"/>
      <c r="G706" s="309"/>
      <c r="H706" s="316"/>
      <c r="I706" s="309"/>
      <c r="J706" s="309"/>
      <c r="K706" s="309"/>
      <c r="L706" s="309"/>
      <c r="M706" s="309"/>
      <c r="N706" s="309"/>
      <c r="O706" s="309"/>
      <c r="P706" s="309"/>
      <c r="Q706" s="309"/>
      <c r="R706" s="309"/>
      <c r="S706" s="309"/>
      <c r="T706" s="309"/>
      <c r="U706" s="309"/>
      <c r="V706" s="309"/>
      <c r="W706" s="309"/>
      <c r="X706" s="309"/>
      <c r="Y706" s="309"/>
      <c r="Z706" s="309"/>
      <c r="AA706" s="309"/>
    </row>
    <row r="707" ht="27.0" customHeight="1">
      <c r="A707" s="309"/>
      <c r="B707" s="309"/>
      <c r="C707" s="309"/>
      <c r="D707" s="309"/>
      <c r="E707" s="330"/>
      <c r="F707" s="309"/>
      <c r="G707" s="309"/>
      <c r="H707" s="316"/>
      <c r="I707" s="309"/>
      <c r="J707" s="309"/>
      <c r="K707" s="309"/>
      <c r="L707" s="309"/>
      <c r="M707" s="309"/>
      <c r="N707" s="309"/>
      <c r="O707" s="309"/>
      <c r="P707" s="309"/>
      <c r="Q707" s="309"/>
      <c r="R707" s="309"/>
      <c r="S707" s="309"/>
      <c r="T707" s="309"/>
      <c r="U707" s="309"/>
      <c r="V707" s="309"/>
      <c r="W707" s="309"/>
      <c r="X707" s="309"/>
      <c r="Y707" s="309"/>
      <c r="Z707" s="309"/>
      <c r="AA707" s="309"/>
    </row>
    <row r="708" ht="27.0" customHeight="1">
      <c r="A708" s="309"/>
      <c r="B708" s="309"/>
      <c r="C708" s="309"/>
      <c r="D708" s="309"/>
      <c r="E708" s="330"/>
      <c r="F708" s="309"/>
      <c r="G708" s="309"/>
      <c r="H708" s="316"/>
      <c r="I708" s="309"/>
      <c r="J708" s="309"/>
      <c r="K708" s="309"/>
      <c r="L708" s="309"/>
      <c r="M708" s="309"/>
      <c r="N708" s="309"/>
      <c r="O708" s="309"/>
      <c r="P708" s="309"/>
      <c r="Q708" s="309"/>
      <c r="R708" s="309"/>
      <c r="S708" s="309"/>
      <c r="T708" s="309"/>
      <c r="U708" s="309"/>
      <c r="V708" s="309"/>
      <c r="W708" s="309"/>
      <c r="X708" s="309"/>
      <c r="Y708" s="309"/>
      <c r="Z708" s="309"/>
      <c r="AA708" s="309"/>
    </row>
    <row r="709" ht="27.0" customHeight="1">
      <c r="A709" s="309"/>
      <c r="B709" s="309"/>
      <c r="C709" s="309"/>
      <c r="D709" s="309"/>
      <c r="E709" s="330"/>
      <c r="F709" s="309"/>
      <c r="G709" s="309"/>
      <c r="H709" s="316"/>
      <c r="I709" s="309"/>
      <c r="J709" s="309"/>
      <c r="K709" s="309"/>
      <c r="L709" s="309"/>
      <c r="M709" s="309"/>
      <c r="N709" s="309"/>
      <c r="O709" s="309"/>
      <c r="P709" s="309"/>
      <c r="Q709" s="309"/>
      <c r="R709" s="309"/>
      <c r="S709" s="309"/>
      <c r="T709" s="309"/>
      <c r="U709" s="309"/>
      <c r="V709" s="309"/>
      <c r="W709" s="309"/>
      <c r="X709" s="309"/>
      <c r="Y709" s="309"/>
      <c r="Z709" s="309"/>
      <c r="AA709" s="309"/>
    </row>
    <row r="710" ht="27.0" customHeight="1">
      <c r="A710" s="309"/>
      <c r="B710" s="309"/>
      <c r="C710" s="309"/>
      <c r="D710" s="309"/>
      <c r="E710" s="330"/>
      <c r="F710" s="309"/>
      <c r="G710" s="309"/>
      <c r="H710" s="316"/>
      <c r="I710" s="309"/>
      <c r="J710" s="309"/>
      <c r="K710" s="309"/>
      <c r="L710" s="309"/>
      <c r="M710" s="309"/>
      <c r="N710" s="309"/>
      <c r="O710" s="309"/>
      <c r="P710" s="309"/>
      <c r="Q710" s="309"/>
      <c r="R710" s="309"/>
      <c r="S710" s="309"/>
      <c r="T710" s="309"/>
      <c r="U710" s="309"/>
      <c r="V710" s="309"/>
      <c r="W710" s="309"/>
      <c r="X710" s="309"/>
      <c r="Y710" s="309"/>
      <c r="Z710" s="309"/>
      <c r="AA710" s="309"/>
    </row>
    <row r="711" ht="27.0" customHeight="1">
      <c r="A711" s="309"/>
      <c r="B711" s="309"/>
      <c r="C711" s="309"/>
      <c r="D711" s="309"/>
      <c r="E711" s="330"/>
      <c r="F711" s="309"/>
      <c r="G711" s="309"/>
      <c r="H711" s="316"/>
      <c r="I711" s="309"/>
      <c r="J711" s="309"/>
      <c r="K711" s="309"/>
      <c r="L711" s="309"/>
      <c r="M711" s="309"/>
      <c r="N711" s="309"/>
      <c r="O711" s="309"/>
      <c r="P711" s="309"/>
      <c r="Q711" s="309"/>
      <c r="R711" s="309"/>
      <c r="S711" s="309"/>
      <c r="T711" s="309"/>
      <c r="U711" s="309"/>
      <c r="V711" s="309"/>
      <c r="W711" s="309"/>
      <c r="X711" s="309"/>
      <c r="Y711" s="309"/>
      <c r="Z711" s="309"/>
      <c r="AA711" s="309"/>
    </row>
    <row r="712" ht="27.0" customHeight="1">
      <c r="A712" s="309"/>
      <c r="B712" s="309"/>
      <c r="C712" s="309"/>
      <c r="D712" s="309"/>
      <c r="E712" s="330"/>
      <c r="F712" s="309"/>
      <c r="G712" s="309"/>
      <c r="H712" s="316"/>
      <c r="I712" s="309"/>
      <c r="J712" s="309"/>
      <c r="K712" s="309"/>
      <c r="L712" s="309"/>
      <c r="M712" s="309"/>
      <c r="N712" s="309"/>
      <c r="O712" s="309"/>
      <c r="P712" s="309"/>
      <c r="Q712" s="309"/>
      <c r="R712" s="309"/>
      <c r="S712" s="309"/>
      <c r="T712" s="309"/>
      <c r="U712" s="309"/>
      <c r="V712" s="309"/>
      <c r="W712" s="309"/>
      <c r="X712" s="309"/>
      <c r="Y712" s="309"/>
      <c r="Z712" s="309"/>
      <c r="AA712" s="309"/>
    </row>
    <row r="713" ht="27.0" customHeight="1">
      <c r="A713" s="309"/>
      <c r="B713" s="309"/>
      <c r="C713" s="309"/>
      <c r="D713" s="309"/>
      <c r="E713" s="330"/>
      <c r="F713" s="309"/>
      <c r="G713" s="309"/>
      <c r="H713" s="316"/>
      <c r="I713" s="309"/>
      <c r="J713" s="309"/>
      <c r="K713" s="309"/>
      <c r="L713" s="309"/>
      <c r="M713" s="309"/>
      <c r="N713" s="309"/>
      <c r="O713" s="309"/>
      <c r="P713" s="309"/>
      <c r="Q713" s="309"/>
      <c r="R713" s="309"/>
      <c r="S713" s="309"/>
      <c r="T713" s="309"/>
      <c r="U713" s="309"/>
      <c r="V713" s="309"/>
      <c r="W713" s="309"/>
      <c r="X713" s="309"/>
      <c r="Y713" s="309"/>
      <c r="Z713" s="309"/>
      <c r="AA713" s="309"/>
    </row>
    <row r="714" ht="27.0" customHeight="1">
      <c r="A714" s="309"/>
      <c r="B714" s="309"/>
      <c r="C714" s="309"/>
      <c r="D714" s="309"/>
      <c r="E714" s="330"/>
      <c r="F714" s="309"/>
      <c r="G714" s="309"/>
      <c r="H714" s="316"/>
      <c r="I714" s="309"/>
      <c r="J714" s="309"/>
      <c r="K714" s="309"/>
      <c r="L714" s="309"/>
      <c r="M714" s="309"/>
      <c r="N714" s="309"/>
      <c r="O714" s="309"/>
      <c r="P714" s="309"/>
      <c r="Q714" s="309"/>
      <c r="R714" s="309"/>
      <c r="S714" s="309"/>
      <c r="T714" s="309"/>
      <c r="U714" s="309"/>
      <c r="V714" s="309"/>
      <c r="W714" s="309"/>
      <c r="X714" s="309"/>
      <c r="Y714" s="309"/>
      <c r="Z714" s="309"/>
      <c r="AA714" s="309"/>
    </row>
    <row r="715" ht="27.0" customHeight="1">
      <c r="A715" s="309"/>
      <c r="B715" s="309"/>
      <c r="C715" s="309"/>
      <c r="D715" s="309"/>
      <c r="E715" s="330"/>
      <c r="F715" s="309"/>
      <c r="G715" s="309"/>
      <c r="H715" s="316"/>
      <c r="I715" s="309"/>
      <c r="J715" s="309"/>
      <c r="K715" s="309"/>
      <c r="L715" s="309"/>
      <c r="M715" s="309"/>
      <c r="N715" s="309"/>
      <c r="O715" s="309"/>
      <c r="P715" s="309"/>
      <c r="Q715" s="309"/>
      <c r="R715" s="309"/>
      <c r="S715" s="309"/>
      <c r="T715" s="309"/>
      <c r="U715" s="309"/>
      <c r="V715" s="309"/>
      <c r="W715" s="309"/>
      <c r="X715" s="309"/>
      <c r="Y715" s="309"/>
      <c r="Z715" s="309"/>
      <c r="AA715" s="309"/>
    </row>
    <row r="716" ht="27.0" customHeight="1">
      <c r="A716" s="309"/>
      <c r="B716" s="309"/>
      <c r="C716" s="309"/>
      <c r="D716" s="309"/>
      <c r="E716" s="330"/>
      <c r="F716" s="309"/>
      <c r="G716" s="309"/>
      <c r="H716" s="316"/>
      <c r="I716" s="309"/>
      <c r="J716" s="309"/>
      <c r="K716" s="309"/>
      <c r="L716" s="309"/>
      <c r="M716" s="309"/>
      <c r="N716" s="309"/>
      <c r="O716" s="309"/>
      <c r="P716" s="309"/>
      <c r="Q716" s="309"/>
      <c r="R716" s="309"/>
      <c r="S716" s="309"/>
      <c r="T716" s="309"/>
      <c r="U716" s="309"/>
      <c r="V716" s="309"/>
      <c r="W716" s="309"/>
      <c r="X716" s="309"/>
      <c r="Y716" s="309"/>
      <c r="Z716" s="309"/>
      <c r="AA716" s="309"/>
    </row>
    <row r="717" ht="27.0" customHeight="1">
      <c r="A717" s="309"/>
      <c r="B717" s="309"/>
      <c r="C717" s="309"/>
      <c r="D717" s="309"/>
      <c r="E717" s="330"/>
      <c r="F717" s="309"/>
      <c r="G717" s="309"/>
      <c r="H717" s="316"/>
      <c r="I717" s="309"/>
      <c r="J717" s="309"/>
      <c r="K717" s="309"/>
      <c r="L717" s="309"/>
      <c r="M717" s="309"/>
      <c r="N717" s="309"/>
      <c r="O717" s="309"/>
      <c r="P717" s="309"/>
      <c r="Q717" s="309"/>
      <c r="R717" s="309"/>
      <c r="S717" s="309"/>
      <c r="T717" s="309"/>
      <c r="U717" s="309"/>
      <c r="V717" s="309"/>
      <c r="W717" s="309"/>
      <c r="X717" s="309"/>
      <c r="Y717" s="309"/>
      <c r="Z717" s="309"/>
      <c r="AA717" s="309"/>
    </row>
    <row r="718" ht="27.0" customHeight="1">
      <c r="A718" s="309"/>
      <c r="B718" s="309"/>
      <c r="C718" s="309"/>
      <c r="D718" s="309"/>
      <c r="E718" s="330"/>
      <c r="F718" s="309"/>
      <c r="G718" s="309"/>
      <c r="H718" s="316"/>
      <c r="I718" s="309"/>
      <c r="J718" s="309"/>
      <c r="K718" s="309"/>
      <c r="L718" s="309"/>
      <c r="M718" s="309"/>
      <c r="N718" s="309"/>
      <c r="O718" s="309"/>
      <c r="P718" s="309"/>
      <c r="Q718" s="309"/>
      <c r="R718" s="309"/>
      <c r="S718" s="309"/>
      <c r="T718" s="309"/>
      <c r="U718" s="309"/>
      <c r="V718" s="309"/>
      <c r="W718" s="309"/>
      <c r="X718" s="309"/>
      <c r="Y718" s="309"/>
      <c r="Z718" s="309"/>
      <c r="AA718" s="309"/>
    </row>
    <row r="719" ht="27.0" customHeight="1">
      <c r="A719" s="309"/>
      <c r="B719" s="309"/>
      <c r="C719" s="309"/>
      <c r="D719" s="309"/>
      <c r="E719" s="330"/>
      <c r="F719" s="309"/>
      <c r="G719" s="309"/>
      <c r="H719" s="316"/>
      <c r="I719" s="309"/>
      <c r="J719" s="309"/>
      <c r="K719" s="309"/>
      <c r="L719" s="309"/>
      <c r="M719" s="309"/>
      <c r="N719" s="309"/>
      <c r="O719" s="309"/>
      <c r="P719" s="309"/>
      <c r="Q719" s="309"/>
      <c r="R719" s="309"/>
      <c r="S719" s="309"/>
      <c r="T719" s="309"/>
      <c r="U719" s="309"/>
      <c r="V719" s="309"/>
      <c r="W719" s="309"/>
      <c r="X719" s="309"/>
      <c r="Y719" s="309"/>
      <c r="Z719" s="309"/>
      <c r="AA719" s="309"/>
    </row>
    <row r="720" ht="27.0" customHeight="1">
      <c r="A720" s="309"/>
      <c r="B720" s="309"/>
      <c r="C720" s="309"/>
      <c r="D720" s="309"/>
      <c r="E720" s="330"/>
      <c r="F720" s="309"/>
      <c r="G720" s="309"/>
      <c r="H720" s="316"/>
      <c r="I720" s="309"/>
      <c r="J720" s="309"/>
      <c r="K720" s="309"/>
      <c r="L720" s="309"/>
      <c r="M720" s="309"/>
      <c r="N720" s="309"/>
      <c r="O720" s="309"/>
      <c r="P720" s="309"/>
      <c r="Q720" s="309"/>
      <c r="R720" s="309"/>
      <c r="S720" s="309"/>
      <c r="T720" s="309"/>
      <c r="U720" s="309"/>
      <c r="V720" s="309"/>
      <c r="W720" s="309"/>
      <c r="X720" s="309"/>
      <c r="Y720" s="309"/>
      <c r="Z720" s="309"/>
      <c r="AA720" s="309"/>
    </row>
    <row r="721" ht="27.0" customHeight="1">
      <c r="A721" s="309"/>
      <c r="B721" s="309"/>
      <c r="C721" s="309"/>
      <c r="D721" s="309"/>
      <c r="E721" s="330"/>
      <c r="F721" s="309"/>
      <c r="G721" s="309"/>
      <c r="H721" s="316"/>
      <c r="I721" s="309"/>
      <c r="J721" s="309"/>
      <c r="K721" s="309"/>
      <c r="L721" s="309"/>
      <c r="M721" s="309"/>
      <c r="N721" s="309"/>
      <c r="O721" s="309"/>
      <c r="P721" s="309"/>
      <c r="Q721" s="309"/>
      <c r="R721" s="309"/>
      <c r="S721" s="309"/>
      <c r="T721" s="309"/>
      <c r="U721" s="309"/>
      <c r="V721" s="309"/>
      <c r="W721" s="309"/>
      <c r="X721" s="309"/>
      <c r="Y721" s="309"/>
      <c r="Z721" s="309"/>
      <c r="AA721" s="309"/>
    </row>
    <row r="722" ht="27.0" customHeight="1">
      <c r="A722" s="309"/>
      <c r="B722" s="309"/>
      <c r="C722" s="309"/>
      <c r="D722" s="309"/>
      <c r="E722" s="330"/>
      <c r="F722" s="309"/>
      <c r="G722" s="309"/>
      <c r="H722" s="316"/>
      <c r="I722" s="309"/>
      <c r="J722" s="309"/>
      <c r="K722" s="309"/>
      <c r="L722" s="309"/>
      <c r="M722" s="309"/>
      <c r="N722" s="309"/>
      <c r="O722" s="309"/>
      <c r="P722" s="309"/>
      <c r="Q722" s="309"/>
      <c r="R722" s="309"/>
      <c r="S722" s="309"/>
      <c r="T722" s="309"/>
      <c r="U722" s="309"/>
      <c r="V722" s="309"/>
      <c r="W722" s="309"/>
      <c r="X722" s="309"/>
      <c r="Y722" s="309"/>
      <c r="Z722" s="309"/>
      <c r="AA722" s="309"/>
    </row>
    <row r="723" ht="27.0" customHeight="1">
      <c r="A723" s="309"/>
      <c r="B723" s="309"/>
      <c r="C723" s="309"/>
      <c r="D723" s="309"/>
      <c r="E723" s="330"/>
      <c r="F723" s="309"/>
      <c r="G723" s="309"/>
      <c r="H723" s="316"/>
      <c r="I723" s="309"/>
      <c r="J723" s="309"/>
      <c r="K723" s="309"/>
      <c r="L723" s="309"/>
      <c r="M723" s="309"/>
      <c r="N723" s="309"/>
      <c r="O723" s="309"/>
      <c r="P723" s="309"/>
      <c r="Q723" s="309"/>
      <c r="R723" s="309"/>
      <c r="S723" s="309"/>
      <c r="T723" s="309"/>
      <c r="U723" s="309"/>
      <c r="V723" s="309"/>
      <c r="W723" s="309"/>
      <c r="X723" s="309"/>
      <c r="Y723" s="309"/>
      <c r="Z723" s="309"/>
      <c r="AA723" s="309"/>
    </row>
    <row r="724" ht="27.0" customHeight="1">
      <c r="A724" s="309"/>
      <c r="B724" s="309"/>
      <c r="C724" s="309"/>
      <c r="D724" s="309"/>
      <c r="E724" s="330"/>
      <c r="F724" s="309"/>
      <c r="G724" s="309"/>
      <c r="H724" s="316"/>
      <c r="I724" s="309"/>
      <c r="J724" s="309"/>
      <c r="K724" s="309"/>
      <c r="L724" s="309"/>
      <c r="M724" s="309"/>
      <c r="N724" s="309"/>
      <c r="O724" s="309"/>
      <c r="P724" s="309"/>
      <c r="Q724" s="309"/>
      <c r="R724" s="309"/>
      <c r="S724" s="309"/>
      <c r="T724" s="309"/>
      <c r="U724" s="309"/>
      <c r="V724" s="309"/>
      <c r="W724" s="309"/>
      <c r="X724" s="309"/>
      <c r="Y724" s="309"/>
      <c r="Z724" s="309"/>
      <c r="AA724" s="309"/>
    </row>
    <row r="725" ht="27.0" customHeight="1">
      <c r="A725" s="309"/>
      <c r="B725" s="309"/>
      <c r="C725" s="309"/>
      <c r="D725" s="309"/>
      <c r="E725" s="330"/>
      <c r="F725" s="309"/>
      <c r="G725" s="309"/>
      <c r="H725" s="316"/>
      <c r="I725" s="309"/>
      <c r="J725" s="309"/>
      <c r="K725" s="309"/>
      <c r="L725" s="309"/>
      <c r="M725" s="309"/>
      <c r="N725" s="309"/>
      <c r="O725" s="309"/>
      <c r="P725" s="309"/>
      <c r="Q725" s="309"/>
      <c r="R725" s="309"/>
      <c r="S725" s="309"/>
      <c r="T725" s="309"/>
      <c r="U725" s="309"/>
      <c r="V725" s="309"/>
      <c r="W725" s="309"/>
      <c r="X725" s="309"/>
      <c r="Y725" s="309"/>
      <c r="Z725" s="309"/>
      <c r="AA725" s="309"/>
    </row>
    <row r="726" ht="27.0" customHeight="1">
      <c r="A726" s="309"/>
      <c r="B726" s="309"/>
      <c r="C726" s="309"/>
      <c r="D726" s="309"/>
      <c r="E726" s="330"/>
      <c r="F726" s="309"/>
      <c r="G726" s="309"/>
      <c r="H726" s="316"/>
      <c r="I726" s="309"/>
      <c r="J726" s="309"/>
      <c r="K726" s="309"/>
      <c r="L726" s="309"/>
      <c r="M726" s="309"/>
      <c r="N726" s="309"/>
      <c r="O726" s="309"/>
      <c r="P726" s="309"/>
      <c r="Q726" s="309"/>
      <c r="R726" s="309"/>
      <c r="S726" s="309"/>
      <c r="T726" s="309"/>
      <c r="U726" s="309"/>
      <c r="V726" s="309"/>
      <c r="W726" s="309"/>
      <c r="X726" s="309"/>
      <c r="Y726" s="309"/>
      <c r="Z726" s="309"/>
      <c r="AA726" s="309"/>
    </row>
    <row r="727" ht="27.0" customHeight="1">
      <c r="A727" s="309"/>
      <c r="B727" s="309"/>
      <c r="C727" s="309"/>
      <c r="D727" s="309"/>
      <c r="E727" s="330"/>
      <c r="F727" s="309"/>
      <c r="G727" s="309"/>
      <c r="H727" s="316"/>
      <c r="I727" s="309"/>
      <c r="J727" s="309"/>
      <c r="K727" s="309"/>
      <c r="L727" s="309"/>
      <c r="M727" s="309"/>
      <c r="N727" s="309"/>
      <c r="O727" s="309"/>
      <c r="P727" s="309"/>
      <c r="Q727" s="309"/>
      <c r="R727" s="309"/>
      <c r="S727" s="309"/>
      <c r="T727" s="309"/>
      <c r="U727" s="309"/>
      <c r="V727" s="309"/>
      <c r="W727" s="309"/>
      <c r="X727" s="309"/>
      <c r="Y727" s="309"/>
      <c r="Z727" s="309"/>
      <c r="AA727" s="309"/>
    </row>
    <row r="728" ht="27.0" customHeight="1">
      <c r="A728" s="309"/>
      <c r="B728" s="309"/>
      <c r="C728" s="309"/>
      <c r="D728" s="309"/>
      <c r="E728" s="330"/>
      <c r="F728" s="309"/>
      <c r="G728" s="309"/>
      <c r="H728" s="316"/>
      <c r="I728" s="309"/>
      <c r="J728" s="309"/>
      <c r="K728" s="309"/>
      <c r="L728" s="309"/>
      <c r="M728" s="309"/>
      <c r="N728" s="309"/>
      <c r="O728" s="309"/>
      <c r="P728" s="309"/>
      <c r="Q728" s="309"/>
      <c r="R728" s="309"/>
      <c r="S728" s="309"/>
      <c r="T728" s="309"/>
      <c r="U728" s="309"/>
      <c r="V728" s="309"/>
      <c r="W728" s="309"/>
      <c r="X728" s="309"/>
      <c r="Y728" s="309"/>
      <c r="Z728" s="309"/>
      <c r="AA728" s="309"/>
    </row>
    <row r="729" ht="27.0" customHeight="1">
      <c r="A729" s="309"/>
      <c r="B729" s="309"/>
      <c r="C729" s="309"/>
      <c r="D729" s="309"/>
      <c r="E729" s="330"/>
      <c r="F729" s="309"/>
      <c r="G729" s="309"/>
      <c r="H729" s="316"/>
      <c r="I729" s="309"/>
      <c r="J729" s="309"/>
      <c r="K729" s="309"/>
      <c r="L729" s="309"/>
      <c r="M729" s="309"/>
      <c r="N729" s="309"/>
      <c r="O729" s="309"/>
      <c r="P729" s="309"/>
      <c r="Q729" s="309"/>
      <c r="R729" s="309"/>
      <c r="S729" s="309"/>
      <c r="T729" s="309"/>
      <c r="U729" s="309"/>
      <c r="V729" s="309"/>
      <c r="W729" s="309"/>
      <c r="X729" s="309"/>
      <c r="Y729" s="309"/>
      <c r="Z729" s="309"/>
      <c r="AA729" s="309"/>
    </row>
    <row r="730" ht="27.0" customHeight="1">
      <c r="A730" s="309"/>
      <c r="B730" s="309"/>
      <c r="C730" s="309"/>
      <c r="D730" s="309"/>
      <c r="E730" s="330"/>
      <c r="F730" s="309"/>
      <c r="G730" s="309"/>
      <c r="H730" s="316"/>
      <c r="I730" s="309"/>
      <c r="J730" s="309"/>
      <c r="K730" s="309"/>
      <c r="L730" s="309"/>
      <c r="M730" s="309"/>
      <c r="N730" s="309"/>
      <c r="O730" s="309"/>
      <c r="P730" s="309"/>
      <c r="Q730" s="309"/>
      <c r="R730" s="309"/>
      <c r="S730" s="309"/>
      <c r="T730" s="309"/>
      <c r="U730" s="309"/>
      <c r="V730" s="309"/>
      <c r="W730" s="309"/>
      <c r="X730" s="309"/>
      <c r="Y730" s="309"/>
      <c r="Z730" s="309"/>
      <c r="AA730" s="309"/>
    </row>
    <row r="731" ht="27.0" customHeight="1">
      <c r="A731" s="309"/>
      <c r="B731" s="309"/>
      <c r="C731" s="309"/>
      <c r="D731" s="309"/>
      <c r="E731" s="330"/>
      <c r="F731" s="309"/>
      <c r="G731" s="309"/>
      <c r="H731" s="316"/>
      <c r="I731" s="309"/>
      <c r="J731" s="309"/>
      <c r="K731" s="309"/>
      <c r="L731" s="309"/>
      <c r="M731" s="309"/>
      <c r="N731" s="309"/>
      <c r="O731" s="309"/>
      <c r="P731" s="309"/>
      <c r="Q731" s="309"/>
      <c r="R731" s="309"/>
      <c r="S731" s="309"/>
      <c r="T731" s="309"/>
      <c r="U731" s="309"/>
      <c r="V731" s="309"/>
      <c r="W731" s="309"/>
      <c r="X731" s="309"/>
      <c r="Y731" s="309"/>
      <c r="Z731" s="309"/>
      <c r="AA731" s="309"/>
    </row>
    <row r="732" ht="27.0" customHeight="1">
      <c r="A732" s="309"/>
      <c r="B732" s="309"/>
      <c r="C732" s="309"/>
      <c r="D732" s="309"/>
      <c r="E732" s="330"/>
      <c r="F732" s="309"/>
      <c r="G732" s="309"/>
      <c r="H732" s="316"/>
      <c r="I732" s="309"/>
      <c r="J732" s="309"/>
      <c r="K732" s="309"/>
      <c r="L732" s="309"/>
      <c r="M732" s="309"/>
      <c r="N732" s="309"/>
      <c r="O732" s="309"/>
      <c r="P732" s="309"/>
      <c r="Q732" s="309"/>
      <c r="R732" s="309"/>
      <c r="S732" s="309"/>
      <c r="T732" s="309"/>
      <c r="U732" s="309"/>
      <c r="V732" s="309"/>
      <c r="W732" s="309"/>
      <c r="X732" s="309"/>
      <c r="Y732" s="309"/>
      <c r="Z732" s="309"/>
      <c r="AA732" s="309"/>
    </row>
    <row r="733" ht="27.0" customHeight="1">
      <c r="A733" s="309"/>
      <c r="B733" s="309"/>
      <c r="C733" s="309"/>
      <c r="D733" s="309"/>
      <c r="E733" s="330"/>
      <c r="F733" s="309"/>
      <c r="G733" s="309"/>
      <c r="H733" s="316"/>
      <c r="I733" s="309"/>
      <c r="J733" s="309"/>
      <c r="K733" s="309"/>
      <c r="L733" s="309"/>
      <c r="M733" s="309"/>
      <c r="N733" s="309"/>
      <c r="O733" s="309"/>
      <c r="P733" s="309"/>
      <c r="Q733" s="309"/>
      <c r="R733" s="309"/>
      <c r="S733" s="309"/>
      <c r="T733" s="309"/>
      <c r="U733" s="309"/>
      <c r="V733" s="309"/>
      <c r="W733" s="309"/>
      <c r="X733" s="309"/>
      <c r="Y733" s="309"/>
      <c r="Z733" s="309"/>
      <c r="AA733" s="309"/>
    </row>
    <row r="734" ht="27.0" customHeight="1">
      <c r="A734" s="309"/>
      <c r="B734" s="309"/>
      <c r="C734" s="309"/>
      <c r="D734" s="309"/>
      <c r="E734" s="330"/>
      <c r="F734" s="309"/>
      <c r="G734" s="309"/>
      <c r="H734" s="316"/>
      <c r="I734" s="309"/>
      <c r="J734" s="309"/>
      <c r="K734" s="309"/>
      <c r="L734" s="309"/>
      <c r="M734" s="309"/>
      <c r="N734" s="309"/>
      <c r="O734" s="309"/>
      <c r="P734" s="309"/>
      <c r="Q734" s="309"/>
      <c r="R734" s="309"/>
      <c r="S734" s="309"/>
      <c r="T734" s="309"/>
      <c r="U734" s="309"/>
      <c r="V734" s="309"/>
      <c r="W734" s="309"/>
      <c r="X734" s="309"/>
      <c r="Y734" s="309"/>
      <c r="Z734" s="309"/>
      <c r="AA734" s="309"/>
    </row>
    <row r="735" ht="27.0" customHeight="1">
      <c r="A735" s="309"/>
      <c r="B735" s="309"/>
      <c r="C735" s="309"/>
      <c r="D735" s="309"/>
      <c r="E735" s="330"/>
      <c r="F735" s="309"/>
      <c r="G735" s="309"/>
      <c r="H735" s="316"/>
      <c r="I735" s="309"/>
      <c r="J735" s="309"/>
      <c r="K735" s="309"/>
      <c r="L735" s="309"/>
      <c r="M735" s="309"/>
      <c r="N735" s="309"/>
      <c r="O735" s="309"/>
      <c r="P735" s="309"/>
      <c r="Q735" s="309"/>
      <c r="R735" s="309"/>
      <c r="S735" s="309"/>
      <c r="T735" s="309"/>
      <c r="U735" s="309"/>
      <c r="V735" s="309"/>
      <c r="W735" s="309"/>
      <c r="X735" s="309"/>
      <c r="Y735" s="309"/>
      <c r="Z735" s="309"/>
      <c r="AA735" s="309"/>
    </row>
    <row r="736" ht="27.0" customHeight="1">
      <c r="A736" s="309"/>
      <c r="B736" s="309"/>
      <c r="C736" s="309"/>
      <c r="D736" s="309"/>
      <c r="E736" s="330"/>
      <c r="F736" s="309"/>
      <c r="G736" s="309"/>
      <c r="H736" s="316"/>
      <c r="I736" s="309"/>
      <c r="J736" s="309"/>
      <c r="K736" s="309"/>
      <c r="L736" s="309"/>
      <c r="M736" s="309"/>
      <c r="N736" s="309"/>
      <c r="O736" s="309"/>
      <c r="P736" s="309"/>
      <c r="Q736" s="309"/>
      <c r="R736" s="309"/>
      <c r="S736" s="309"/>
      <c r="T736" s="309"/>
      <c r="U736" s="309"/>
      <c r="V736" s="309"/>
      <c r="W736" s="309"/>
      <c r="X736" s="309"/>
      <c r="Y736" s="309"/>
      <c r="Z736" s="309"/>
      <c r="AA736" s="309"/>
    </row>
    <row r="737" ht="27.0" customHeight="1">
      <c r="A737" s="309"/>
      <c r="B737" s="309"/>
      <c r="C737" s="309"/>
      <c r="D737" s="309"/>
      <c r="E737" s="330"/>
      <c r="F737" s="309"/>
      <c r="G737" s="309"/>
      <c r="H737" s="316"/>
      <c r="I737" s="309"/>
      <c r="J737" s="309"/>
      <c r="K737" s="309"/>
      <c r="L737" s="309"/>
      <c r="M737" s="309"/>
      <c r="N737" s="309"/>
      <c r="O737" s="309"/>
      <c r="P737" s="309"/>
      <c r="Q737" s="309"/>
      <c r="R737" s="309"/>
      <c r="S737" s="309"/>
      <c r="T737" s="309"/>
      <c r="U737" s="309"/>
      <c r="V737" s="309"/>
      <c r="W737" s="309"/>
      <c r="X737" s="309"/>
      <c r="Y737" s="309"/>
      <c r="Z737" s="309"/>
      <c r="AA737" s="309"/>
    </row>
    <row r="738" ht="27.0" customHeight="1">
      <c r="A738" s="309"/>
      <c r="B738" s="309"/>
      <c r="C738" s="309"/>
      <c r="D738" s="309"/>
      <c r="E738" s="330"/>
      <c r="F738" s="309"/>
      <c r="G738" s="309"/>
      <c r="H738" s="316"/>
      <c r="I738" s="309"/>
      <c r="J738" s="309"/>
      <c r="K738" s="309"/>
      <c r="L738" s="309"/>
      <c r="M738" s="309"/>
      <c r="N738" s="309"/>
      <c r="O738" s="309"/>
      <c r="P738" s="309"/>
      <c r="Q738" s="309"/>
      <c r="R738" s="309"/>
      <c r="S738" s="309"/>
      <c r="T738" s="309"/>
      <c r="U738" s="309"/>
      <c r="V738" s="309"/>
      <c r="W738" s="309"/>
      <c r="X738" s="309"/>
      <c r="Y738" s="309"/>
      <c r="Z738" s="309"/>
      <c r="AA738" s="309"/>
    </row>
    <row r="739" ht="27.0" customHeight="1">
      <c r="A739" s="309"/>
      <c r="B739" s="309"/>
      <c r="C739" s="309"/>
      <c r="D739" s="309"/>
      <c r="E739" s="330"/>
      <c r="F739" s="309"/>
      <c r="G739" s="309"/>
      <c r="H739" s="316"/>
      <c r="I739" s="309"/>
      <c r="J739" s="309"/>
      <c r="K739" s="309"/>
      <c r="L739" s="309"/>
      <c r="M739" s="309"/>
      <c r="N739" s="309"/>
      <c r="O739" s="309"/>
      <c r="P739" s="309"/>
      <c r="Q739" s="309"/>
      <c r="R739" s="309"/>
      <c r="S739" s="309"/>
      <c r="T739" s="309"/>
      <c r="U739" s="309"/>
      <c r="V739" s="309"/>
      <c r="W739" s="309"/>
      <c r="X739" s="309"/>
      <c r="Y739" s="309"/>
      <c r="Z739" s="309"/>
      <c r="AA739" s="309"/>
    </row>
    <row r="740" ht="27.0" customHeight="1">
      <c r="A740" s="309"/>
      <c r="B740" s="309"/>
      <c r="C740" s="309"/>
      <c r="D740" s="309"/>
      <c r="E740" s="330"/>
      <c r="F740" s="309"/>
      <c r="G740" s="309"/>
      <c r="H740" s="316"/>
      <c r="I740" s="309"/>
      <c r="J740" s="309"/>
      <c r="K740" s="309"/>
      <c r="L740" s="309"/>
      <c r="M740" s="309"/>
      <c r="N740" s="309"/>
      <c r="O740" s="309"/>
      <c r="P740" s="309"/>
      <c r="Q740" s="309"/>
      <c r="R740" s="309"/>
      <c r="S740" s="309"/>
      <c r="T740" s="309"/>
      <c r="U740" s="309"/>
      <c r="V740" s="309"/>
      <c r="W740" s="309"/>
      <c r="X740" s="309"/>
      <c r="Y740" s="309"/>
      <c r="Z740" s="309"/>
      <c r="AA740" s="309"/>
    </row>
    <row r="741" ht="27.0" customHeight="1">
      <c r="A741" s="309"/>
      <c r="B741" s="309"/>
      <c r="C741" s="309"/>
      <c r="D741" s="309"/>
      <c r="E741" s="330"/>
      <c r="F741" s="309"/>
      <c r="G741" s="309"/>
      <c r="H741" s="316"/>
      <c r="I741" s="309"/>
      <c r="J741" s="309"/>
      <c r="K741" s="309"/>
      <c r="L741" s="309"/>
      <c r="M741" s="309"/>
      <c r="N741" s="309"/>
      <c r="O741" s="309"/>
      <c r="P741" s="309"/>
      <c r="Q741" s="309"/>
      <c r="R741" s="309"/>
      <c r="S741" s="309"/>
      <c r="T741" s="309"/>
      <c r="U741" s="309"/>
      <c r="V741" s="309"/>
      <c r="W741" s="309"/>
      <c r="X741" s="309"/>
      <c r="Y741" s="309"/>
      <c r="Z741" s="309"/>
      <c r="AA741" s="309"/>
    </row>
    <row r="742" ht="27.0" customHeight="1">
      <c r="A742" s="309"/>
      <c r="B742" s="309"/>
      <c r="C742" s="309"/>
      <c r="D742" s="309"/>
      <c r="E742" s="330"/>
      <c r="F742" s="309"/>
      <c r="G742" s="309"/>
      <c r="H742" s="316"/>
      <c r="I742" s="309"/>
      <c r="J742" s="309"/>
      <c r="K742" s="309"/>
      <c r="L742" s="309"/>
      <c r="M742" s="309"/>
      <c r="N742" s="309"/>
      <c r="O742" s="309"/>
      <c r="P742" s="309"/>
      <c r="Q742" s="309"/>
      <c r="R742" s="309"/>
      <c r="S742" s="309"/>
      <c r="T742" s="309"/>
      <c r="U742" s="309"/>
      <c r="V742" s="309"/>
      <c r="W742" s="309"/>
      <c r="X742" s="309"/>
      <c r="Y742" s="309"/>
      <c r="Z742" s="309"/>
      <c r="AA742" s="309"/>
    </row>
    <row r="743" ht="27.0" customHeight="1">
      <c r="A743" s="309"/>
      <c r="B743" s="309"/>
      <c r="C743" s="309"/>
      <c r="D743" s="309"/>
      <c r="E743" s="330"/>
      <c r="F743" s="309"/>
      <c r="G743" s="309"/>
      <c r="H743" s="316"/>
      <c r="I743" s="309"/>
      <c r="J743" s="309"/>
      <c r="K743" s="309"/>
      <c r="L743" s="309"/>
      <c r="M743" s="309"/>
      <c r="N743" s="309"/>
      <c r="O743" s="309"/>
      <c r="P743" s="309"/>
      <c r="Q743" s="309"/>
      <c r="R743" s="309"/>
      <c r="S743" s="309"/>
      <c r="T743" s="309"/>
      <c r="U743" s="309"/>
      <c r="V743" s="309"/>
      <c r="W743" s="309"/>
      <c r="X743" s="309"/>
      <c r="Y743" s="309"/>
      <c r="Z743" s="309"/>
      <c r="AA743" s="309"/>
    </row>
    <row r="744" ht="27.0" customHeight="1">
      <c r="A744" s="309"/>
      <c r="B744" s="309"/>
      <c r="C744" s="309"/>
      <c r="D744" s="309"/>
      <c r="E744" s="330"/>
      <c r="F744" s="309"/>
      <c r="G744" s="309"/>
      <c r="H744" s="316"/>
      <c r="I744" s="309"/>
      <c r="J744" s="309"/>
      <c r="K744" s="309"/>
      <c r="L744" s="309"/>
      <c r="M744" s="309"/>
      <c r="N744" s="309"/>
      <c r="O744" s="309"/>
      <c r="P744" s="309"/>
      <c r="Q744" s="309"/>
      <c r="R744" s="309"/>
      <c r="S744" s="309"/>
      <c r="T744" s="309"/>
      <c r="U744" s="309"/>
      <c r="V744" s="309"/>
      <c r="W744" s="309"/>
      <c r="X744" s="309"/>
      <c r="Y744" s="309"/>
      <c r="Z744" s="309"/>
      <c r="AA744" s="309"/>
    </row>
    <row r="745" ht="27.0" customHeight="1">
      <c r="A745" s="309"/>
      <c r="B745" s="309"/>
      <c r="C745" s="309"/>
      <c r="D745" s="309"/>
      <c r="E745" s="330"/>
      <c r="F745" s="309"/>
      <c r="G745" s="309"/>
      <c r="H745" s="316"/>
      <c r="I745" s="309"/>
      <c r="J745" s="309"/>
      <c r="K745" s="309"/>
      <c r="L745" s="309"/>
      <c r="M745" s="309"/>
      <c r="N745" s="309"/>
      <c r="O745" s="309"/>
      <c r="P745" s="309"/>
      <c r="Q745" s="309"/>
      <c r="R745" s="309"/>
      <c r="S745" s="309"/>
      <c r="T745" s="309"/>
      <c r="U745" s="309"/>
      <c r="V745" s="309"/>
      <c r="W745" s="309"/>
      <c r="X745" s="309"/>
      <c r="Y745" s="309"/>
      <c r="Z745" s="309"/>
      <c r="AA745" s="309"/>
    </row>
    <row r="746" ht="27.0" customHeight="1">
      <c r="A746" s="309"/>
      <c r="B746" s="309"/>
      <c r="C746" s="309"/>
      <c r="D746" s="309"/>
      <c r="E746" s="330"/>
      <c r="F746" s="309"/>
      <c r="G746" s="309"/>
      <c r="H746" s="316"/>
      <c r="I746" s="309"/>
      <c r="J746" s="309"/>
      <c r="K746" s="309"/>
      <c r="L746" s="309"/>
      <c r="M746" s="309"/>
      <c r="N746" s="309"/>
      <c r="O746" s="309"/>
      <c r="P746" s="309"/>
      <c r="Q746" s="309"/>
      <c r="R746" s="309"/>
      <c r="S746" s="309"/>
      <c r="T746" s="309"/>
      <c r="U746" s="309"/>
      <c r="V746" s="309"/>
      <c r="W746" s="309"/>
      <c r="X746" s="309"/>
      <c r="Y746" s="309"/>
      <c r="Z746" s="309"/>
      <c r="AA746" s="309"/>
    </row>
    <row r="747" ht="27.0" customHeight="1">
      <c r="A747" s="309"/>
      <c r="B747" s="309"/>
      <c r="C747" s="309"/>
      <c r="D747" s="309"/>
      <c r="E747" s="330"/>
      <c r="F747" s="309"/>
      <c r="G747" s="309"/>
      <c r="H747" s="316"/>
      <c r="I747" s="309"/>
      <c r="J747" s="309"/>
      <c r="K747" s="309"/>
      <c r="L747" s="309"/>
      <c r="M747" s="309"/>
      <c r="N747" s="309"/>
      <c r="O747" s="309"/>
      <c r="P747" s="309"/>
      <c r="Q747" s="309"/>
      <c r="R747" s="309"/>
      <c r="S747" s="309"/>
      <c r="T747" s="309"/>
      <c r="U747" s="309"/>
      <c r="V747" s="309"/>
      <c r="W747" s="309"/>
      <c r="X747" s="309"/>
      <c r="Y747" s="309"/>
      <c r="Z747" s="309"/>
      <c r="AA747" s="309"/>
    </row>
    <row r="748" ht="27.0" customHeight="1">
      <c r="A748" s="309"/>
      <c r="B748" s="309"/>
      <c r="C748" s="309"/>
      <c r="D748" s="309"/>
      <c r="E748" s="330"/>
      <c r="F748" s="309"/>
      <c r="G748" s="309"/>
      <c r="H748" s="316"/>
      <c r="I748" s="309"/>
      <c r="J748" s="309"/>
      <c r="K748" s="309"/>
      <c r="L748" s="309"/>
      <c r="M748" s="309"/>
      <c r="N748" s="309"/>
      <c r="O748" s="309"/>
      <c r="P748" s="309"/>
      <c r="Q748" s="309"/>
      <c r="R748" s="309"/>
      <c r="S748" s="309"/>
      <c r="T748" s="309"/>
      <c r="U748" s="309"/>
      <c r="V748" s="309"/>
      <c r="W748" s="309"/>
      <c r="X748" s="309"/>
      <c r="Y748" s="309"/>
      <c r="Z748" s="309"/>
      <c r="AA748" s="309"/>
    </row>
    <row r="749" ht="27.0" customHeight="1">
      <c r="A749" s="309"/>
      <c r="B749" s="309"/>
      <c r="C749" s="309"/>
      <c r="D749" s="309"/>
      <c r="E749" s="330"/>
      <c r="F749" s="309"/>
      <c r="G749" s="309"/>
      <c r="H749" s="316"/>
      <c r="I749" s="309"/>
      <c r="J749" s="309"/>
      <c r="K749" s="309"/>
      <c r="L749" s="309"/>
      <c r="M749" s="309"/>
      <c r="N749" s="309"/>
      <c r="O749" s="309"/>
      <c r="P749" s="309"/>
      <c r="Q749" s="309"/>
      <c r="R749" s="309"/>
      <c r="S749" s="309"/>
      <c r="T749" s="309"/>
      <c r="U749" s="309"/>
      <c r="V749" s="309"/>
      <c r="W749" s="309"/>
      <c r="X749" s="309"/>
      <c r="Y749" s="309"/>
      <c r="Z749" s="309"/>
      <c r="AA749" s="309"/>
    </row>
    <row r="750" ht="27.0" customHeight="1">
      <c r="A750" s="309"/>
      <c r="B750" s="309"/>
      <c r="C750" s="309"/>
      <c r="D750" s="309"/>
      <c r="E750" s="330"/>
      <c r="F750" s="309"/>
      <c r="G750" s="309"/>
      <c r="H750" s="316"/>
      <c r="I750" s="309"/>
      <c r="J750" s="309"/>
      <c r="K750" s="309"/>
      <c r="L750" s="309"/>
      <c r="M750" s="309"/>
      <c r="N750" s="309"/>
      <c r="O750" s="309"/>
      <c r="P750" s="309"/>
      <c r="Q750" s="309"/>
      <c r="R750" s="309"/>
      <c r="S750" s="309"/>
      <c r="T750" s="309"/>
      <c r="U750" s="309"/>
      <c r="V750" s="309"/>
      <c r="W750" s="309"/>
      <c r="X750" s="309"/>
      <c r="Y750" s="309"/>
      <c r="Z750" s="309"/>
      <c r="AA750" s="309"/>
    </row>
    <row r="751" ht="27.0" customHeight="1">
      <c r="A751" s="309"/>
      <c r="B751" s="309"/>
      <c r="C751" s="309"/>
      <c r="D751" s="309"/>
      <c r="E751" s="330"/>
      <c r="F751" s="309"/>
      <c r="G751" s="309"/>
      <c r="H751" s="316"/>
      <c r="I751" s="309"/>
      <c r="J751" s="309"/>
      <c r="K751" s="309"/>
      <c r="L751" s="309"/>
      <c r="M751" s="309"/>
      <c r="N751" s="309"/>
      <c r="O751" s="309"/>
      <c r="P751" s="309"/>
      <c r="Q751" s="309"/>
      <c r="R751" s="309"/>
      <c r="S751" s="309"/>
      <c r="T751" s="309"/>
      <c r="U751" s="309"/>
      <c r="V751" s="309"/>
      <c r="W751" s="309"/>
      <c r="X751" s="309"/>
      <c r="Y751" s="309"/>
      <c r="Z751" s="309"/>
      <c r="AA751" s="309"/>
    </row>
    <row r="752" ht="27.0" customHeight="1">
      <c r="A752" s="309"/>
      <c r="B752" s="309"/>
      <c r="C752" s="309"/>
      <c r="D752" s="309"/>
      <c r="E752" s="330"/>
      <c r="F752" s="309"/>
      <c r="G752" s="309"/>
      <c r="H752" s="316"/>
      <c r="I752" s="309"/>
      <c r="J752" s="309"/>
      <c r="K752" s="309"/>
      <c r="L752" s="309"/>
      <c r="M752" s="309"/>
      <c r="N752" s="309"/>
      <c r="O752" s="309"/>
      <c r="P752" s="309"/>
      <c r="Q752" s="309"/>
      <c r="R752" s="309"/>
      <c r="S752" s="309"/>
      <c r="T752" s="309"/>
      <c r="U752" s="309"/>
      <c r="V752" s="309"/>
      <c r="W752" s="309"/>
      <c r="X752" s="309"/>
      <c r="Y752" s="309"/>
      <c r="Z752" s="309"/>
      <c r="AA752" s="309"/>
    </row>
    <row r="753" ht="27.0" customHeight="1">
      <c r="A753" s="309"/>
      <c r="B753" s="309"/>
      <c r="C753" s="309"/>
      <c r="D753" s="309"/>
      <c r="E753" s="330"/>
      <c r="F753" s="309"/>
      <c r="G753" s="309"/>
      <c r="H753" s="316"/>
      <c r="I753" s="309"/>
      <c r="J753" s="309"/>
      <c r="K753" s="309"/>
      <c r="L753" s="309"/>
      <c r="M753" s="309"/>
      <c r="N753" s="309"/>
      <c r="O753" s="309"/>
      <c r="P753" s="309"/>
      <c r="Q753" s="309"/>
      <c r="R753" s="309"/>
      <c r="S753" s="309"/>
      <c r="T753" s="309"/>
      <c r="U753" s="309"/>
      <c r="V753" s="309"/>
      <c r="W753" s="309"/>
      <c r="X753" s="309"/>
      <c r="Y753" s="309"/>
      <c r="Z753" s="309"/>
      <c r="AA753" s="309"/>
    </row>
    <row r="754" ht="27.0" customHeight="1">
      <c r="A754" s="309"/>
      <c r="B754" s="309"/>
      <c r="C754" s="309"/>
      <c r="D754" s="309"/>
      <c r="E754" s="330"/>
      <c r="F754" s="309"/>
      <c r="G754" s="309"/>
      <c r="H754" s="316"/>
      <c r="I754" s="309"/>
      <c r="J754" s="309"/>
      <c r="K754" s="309"/>
      <c r="L754" s="309"/>
      <c r="M754" s="309"/>
      <c r="N754" s="309"/>
      <c r="O754" s="309"/>
      <c r="P754" s="309"/>
      <c r="Q754" s="309"/>
      <c r="R754" s="309"/>
      <c r="S754" s="309"/>
      <c r="T754" s="309"/>
      <c r="U754" s="309"/>
      <c r="V754" s="309"/>
      <c r="W754" s="309"/>
      <c r="X754" s="309"/>
      <c r="Y754" s="309"/>
      <c r="Z754" s="309"/>
      <c r="AA754" s="309"/>
    </row>
    <row r="755" ht="27.0" customHeight="1">
      <c r="A755" s="309"/>
      <c r="B755" s="309"/>
      <c r="C755" s="309"/>
      <c r="D755" s="309"/>
      <c r="E755" s="330"/>
      <c r="F755" s="309"/>
      <c r="G755" s="309"/>
      <c r="H755" s="316"/>
      <c r="I755" s="309"/>
      <c r="J755" s="309"/>
      <c r="K755" s="309"/>
      <c r="L755" s="309"/>
      <c r="M755" s="309"/>
      <c r="N755" s="309"/>
      <c r="O755" s="309"/>
      <c r="P755" s="309"/>
      <c r="Q755" s="309"/>
      <c r="R755" s="309"/>
      <c r="S755" s="309"/>
      <c r="T755" s="309"/>
      <c r="U755" s="309"/>
      <c r="V755" s="309"/>
      <c r="W755" s="309"/>
      <c r="X755" s="309"/>
      <c r="Y755" s="309"/>
      <c r="Z755" s="309"/>
      <c r="AA755" s="309"/>
    </row>
    <row r="756" ht="27.0" customHeight="1">
      <c r="A756" s="309"/>
      <c r="B756" s="309"/>
      <c r="C756" s="309"/>
      <c r="D756" s="309"/>
      <c r="E756" s="330"/>
      <c r="F756" s="309"/>
      <c r="G756" s="309"/>
      <c r="H756" s="316"/>
      <c r="I756" s="309"/>
      <c r="J756" s="309"/>
      <c r="K756" s="309"/>
      <c r="L756" s="309"/>
      <c r="M756" s="309"/>
      <c r="N756" s="309"/>
      <c r="O756" s="309"/>
      <c r="P756" s="309"/>
      <c r="Q756" s="309"/>
      <c r="R756" s="309"/>
      <c r="S756" s="309"/>
      <c r="T756" s="309"/>
      <c r="U756" s="309"/>
      <c r="V756" s="309"/>
      <c r="W756" s="309"/>
      <c r="X756" s="309"/>
      <c r="Y756" s="309"/>
      <c r="Z756" s="309"/>
      <c r="AA756" s="309"/>
    </row>
    <row r="757" ht="27.0" customHeight="1">
      <c r="A757" s="309"/>
      <c r="B757" s="309"/>
      <c r="C757" s="309"/>
      <c r="D757" s="309"/>
      <c r="E757" s="330"/>
      <c r="F757" s="309"/>
      <c r="G757" s="309"/>
      <c r="H757" s="316"/>
      <c r="I757" s="309"/>
      <c r="J757" s="309"/>
      <c r="K757" s="309"/>
      <c r="L757" s="309"/>
      <c r="M757" s="309"/>
      <c r="N757" s="309"/>
      <c r="O757" s="309"/>
      <c r="P757" s="309"/>
      <c r="Q757" s="309"/>
      <c r="R757" s="309"/>
      <c r="S757" s="309"/>
      <c r="T757" s="309"/>
      <c r="U757" s="309"/>
      <c r="V757" s="309"/>
      <c r="W757" s="309"/>
      <c r="X757" s="309"/>
      <c r="Y757" s="309"/>
      <c r="Z757" s="309"/>
      <c r="AA757" s="309"/>
    </row>
    <row r="758" ht="27.0" customHeight="1">
      <c r="A758" s="309"/>
      <c r="B758" s="309"/>
      <c r="C758" s="309"/>
      <c r="D758" s="309"/>
      <c r="E758" s="330"/>
      <c r="F758" s="309"/>
      <c r="G758" s="309"/>
      <c r="H758" s="316"/>
      <c r="I758" s="309"/>
      <c r="J758" s="309"/>
      <c r="K758" s="309"/>
      <c r="L758" s="309"/>
      <c r="M758" s="309"/>
      <c r="N758" s="309"/>
      <c r="O758" s="309"/>
      <c r="P758" s="309"/>
      <c r="Q758" s="309"/>
      <c r="R758" s="309"/>
      <c r="S758" s="309"/>
      <c r="T758" s="309"/>
      <c r="U758" s="309"/>
      <c r="V758" s="309"/>
      <c r="W758" s="309"/>
      <c r="X758" s="309"/>
      <c r="Y758" s="309"/>
      <c r="Z758" s="309"/>
      <c r="AA758" s="309"/>
    </row>
    <row r="759" ht="27.0" customHeight="1">
      <c r="A759" s="309"/>
      <c r="B759" s="309"/>
      <c r="C759" s="309"/>
      <c r="D759" s="309"/>
      <c r="E759" s="330"/>
      <c r="F759" s="309"/>
      <c r="G759" s="309"/>
      <c r="H759" s="316"/>
      <c r="I759" s="309"/>
      <c r="J759" s="309"/>
      <c r="K759" s="309"/>
      <c r="L759" s="309"/>
      <c r="M759" s="309"/>
      <c r="N759" s="309"/>
      <c r="O759" s="309"/>
      <c r="P759" s="309"/>
      <c r="Q759" s="309"/>
      <c r="R759" s="309"/>
      <c r="S759" s="309"/>
      <c r="T759" s="309"/>
      <c r="U759" s="309"/>
      <c r="V759" s="309"/>
      <c r="W759" s="309"/>
      <c r="X759" s="309"/>
      <c r="Y759" s="309"/>
      <c r="Z759" s="309"/>
      <c r="AA759" s="309"/>
    </row>
    <row r="760" ht="27.0" customHeight="1">
      <c r="A760" s="309"/>
      <c r="B760" s="309"/>
      <c r="C760" s="309"/>
      <c r="D760" s="309"/>
      <c r="E760" s="330"/>
      <c r="F760" s="309"/>
      <c r="G760" s="309"/>
      <c r="H760" s="316"/>
      <c r="I760" s="309"/>
      <c r="J760" s="309"/>
      <c r="K760" s="309"/>
      <c r="L760" s="309"/>
      <c r="M760" s="309"/>
      <c r="N760" s="309"/>
      <c r="O760" s="309"/>
      <c r="P760" s="309"/>
      <c r="Q760" s="309"/>
      <c r="R760" s="309"/>
      <c r="S760" s="309"/>
      <c r="T760" s="309"/>
      <c r="U760" s="309"/>
      <c r="V760" s="309"/>
      <c r="W760" s="309"/>
      <c r="X760" s="309"/>
      <c r="Y760" s="309"/>
      <c r="Z760" s="309"/>
      <c r="AA760" s="309"/>
    </row>
    <row r="761" ht="27.0" customHeight="1">
      <c r="A761" s="309"/>
      <c r="B761" s="309"/>
      <c r="C761" s="309"/>
      <c r="D761" s="309"/>
      <c r="E761" s="330"/>
      <c r="F761" s="309"/>
      <c r="G761" s="309"/>
      <c r="H761" s="316"/>
      <c r="I761" s="309"/>
      <c r="J761" s="309"/>
      <c r="K761" s="309"/>
      <c r="L761" s="309"/>
      <c r="M761" s="309"/>
      <c r="N761" s="309"/>
      <c r="O761" s="309"/>
      <c r="P761" s="309"/>
      <c r="Q761" s="309"/>
      <c r="R761" s="309"/>
      <c r="S761" s="309"/>
      <c r="T761" s="309"/>
      <c r="U761" s="309"/>
      <c r="V761" s="309"/>
      <c r="W761" s="309"/>
      <c r="X761" s="309"/>
      <c r="Y761" s="309"/>
      <c r="Z761" s="309"/>
      <c r="AA761" s="309"/>
    </row>
    <row r="762" ht="27.0" customHeight="1">
      <c r="A762" s="309"/>
      <c r="B762" s="309"/>
      <c r="C762" s="309"/>
      <c r="D762" s="309"/>
      <c r="E762" s="330"/>
      <c r="F762" s="309"/>
      <c r="G762" s="309"/>
      <c r="H762" s="316"/>
      <c r="I762" s="309"/>
      <c r="J762" s="309"/>
      <c r="K762" s="309"/>
      <c r="L762" s="309"/>
      <c r="M762" s="309"/>
      <c r="N762" s="309"/>
      <c r="O762" s="309"/>
      <c r="P762" s="309"/>
      <c r="Q762" s="309"/>
      <c r="R762" s="309"/>
      <c r="S762" s="309"/>
      <c r="T762" s="309"/>
      <c r="U762" s="309"/>
      <c r="V762" s="309"/>
      <c r="W762" s="309"/>
      <c r="X762" s="309"/>
      <c r="Y762" s="309"/>
      <c r="Z762" s="309"/>
      <c r="AA762" s="309"/>
    </row>
    <row r="763" ht="27.0" customHeight="1">
      <c r="A763" s="309"/>
      <c r="B763" s="309"/>
      <c r="C763" s="309"/>
      <c r="D763" s="309"/>
      <c r="E763" s="330"/>
      <c r="F763" s="309"/>
      <c r="G763" s="309"/>
      <c r="H763" s="316"/>
      <c r="I763" s="309"/>
      <c r="J763" s="309"/>
      <c r="K763" s="309"/>
      <c r="L763" s="309"/>
      <c r="M763" s="309"/>
      <c r="N763" s="309"/>
      <c r="O763" s="309"/>
      <c r="P763" s="309"/>
      <c r="Q763" s="309"/>
      <c r="R763" s="309"/>
      <c r="S763" s="309"/>
      <c r="T763" s="309"/>
      <c r="U763" s="309"/>
      <c r="V763" s="309"/>
      <c r="W763" s="309"/>
      <c r="X763" s="309"/>
      <c r="Y763" s="309"/>
      <c r="Z763" s="309"/>
      <c r="AA763" s="309"/>
    </row>
    <row r="764" ht="27.0" customHeight="1">
      <c r="A764" s="309"/>
      <c r="B764" s="309"/>
      <c r="C764" s="309"/>
      <c r="D764" s="309"/>
      <c r="E764" s="330"/>
      <c r="F764" s="309"/>
      <c r="G764" s="309"/>
      <c r="H764" s="316"/>
      <c r="I764" s="309"/>
      <c r="J764" s="309"/>
      <c r="K764" s="309"/>
      <c r="L764" s="309"/>
      <c r="M764" s="309"/>
      <c r="N764" s="309"/>
      <c r="O764" s="309"/>
      <c r="P764" s="309"/>
      <c r="Q764" s="309"/>
      <c r="R764" s="309"/>
      <c r="S764" s="309"/>
      <c r="T764" s="309"/>
      <c r="U764" s="309"/>
      <c r="V764" s="309"/>
      <c r="W764" s="309"/>
      <c r="X764" s="309"/>
      <c r="Y764" s="309"/>
      <c r="Z764" s="309"/>
      <c r="AA764" s="309"/>
    </row>
    <row r="765" ht="27.0" customHeight="1">
      <c r="A765" s="309"/>
      <c r="B765" s="309"/>
      <c r="C765" s="309"/>
      <c r="D765" s="309"/>
      <c r="E765" s="330"/>
      <c r="F765" s="309"/>
      <c r="G765" s="309"/>
      <c r="H765" s="316"/>
      <c r="I765" s="309"/>
      <c r="J765" s="309"/>
      <c r="K765" s="309"/>
      <c r="L765" s="309"/>
      <c r="M765" s="309"/>
      <c r="N765" s="309"/>
      <c r="O765" s="309"/>
      <c r="P765" s="309"/>
      <c r="Q765" s="309"/>
      <c r="R765" s="309"/>
      <c r="S765" s="309"/>
      <c r="T765" s="309"/>
      <c r="U765" s="309"/>
      <c r="V765" s="309"/>
      <c r="W765" s="309"/>
      <c r="X765" s="309"/>
      <c r="Y765" s="309"/>
      <c r="Z765" s="309"/>
      <c r="AA765" s="309"/>
    </row>
    <row r="766" ht="27.0" customHeight="1">
      <c r="A766" s="309"/>
      <c r="B766" s="309"/>
      <c r="C766" s="309"/>
      <c r="D766" s="309"/>
      <c r="E766" s="330"/>
      <c r="F766" s="309"/>
      <c r="G766" s="309"/>
      <c r="H766" s="316"/>
      <c r="I766" s="309"/>
      <c r="J766" s="309"/>
      <c r="K766" s="309"/>
      <c r="L766" s="309"/>
      <c r="M766" s="309"/>
      <c r="N766" s="309"/>
      <c r="O766" s="309"/>
      <c r="P766" s="309"/>
      <c r="Q766" s="309"/>
      <c r="R766" s="309"/>
      <c r="S766" s="309"/>
      <c r="T766" s="309"/>
      <c r="U766" s="309"/>
      <c r="V766" s="309"/>
      <c r="W766" s="309"/>
      <c r="X766" s="309"/>
      <c r="Y766" s="309"/>
      <c r="Z766" s="309"/>
      <c r="AA766" s="309"/>
    </row>
    <row r="767" ht="27.0" customHeight="1">
      <c r="A767" s="309"/>
      <c r="B767" s="309"/>
      <c r="C767" s="309"/>
      <c r="D767" s="309"/>
      <c r="E767" s="330"/>
      <c r="F767" s="309"/>
      <c r="G767" s="309"/>
      <c r="H767" s="316"/>
      <c r="I767" s="309"/>
      <c r="J767" s="309"/>
      <c r="K767" s="309"/>
      <c r="L767" s="309"/>
      <c r="M767" s="309"/>
      <c r="N767" s="309"/>
      <c r="O767" s="309"/>
      <c r="P767" s="309"/>
      <c r="Q767" s="309"/>
      <c r="R767" s="309"/>
      <c r="S767" s="309"/>
      <c r="T767" s="309"/>
      <c r="U767" s="309"/>
      <c r="V767" s="309"/>
      <c r="W767" s="309"/>
      <c r="X767" s="309"/>
      <c r="Y767" s="309"/>
      <c r="Z767" s="309"/>
      <c r="AA767" s="309"/>
    </row>
    <row r="768" ht="27.0" customHeight="1">
      <c r="A768" s="309"/>
      <c r="B768" s="309"/>
      <c r="C768" s="309"/>
      <c r="D768" s="309"/>
      <c r="E768" s="330"/>
      <c r="F768" s="309"/>
      <c r="G768" s="309"/>
      <c r="H768" s="316"/>
      <c r="I768" s="309"/>
      <c r="J768" s="309"/>
      <c r="K768" s="309"/>
      <c r="L768" s="309"/>
      <c r="M768" s="309"/>
      <c r="N768" s="309"/>
      <c r="O768" s="309"/>
      <c r="P768" s="309"/>
      <c r="Q768" s="309"/>
      <c r="R768" s="309"/>
      <c r="S768" s="309"/>
      <c r="T768" s="309"/>
      <c r="U768" s="309"/>
      <c r="V768" s="309"/>
      <c r="W768" s="309"/>
      <c r="X768" s="309"/>
      <c r="Y768" s="309"/>
      <c r="Z768" s="309"/>
      <c r="AA768" s="309"/>
    </row>
    <row r="769" ht="27.0" customHeight="1">
      <c r="A769" s="309"/>
      <c r="B769" s="309"/>
      <c r="C769" s="309"/>
      <c r="D769" s="309"/>
      <c r="E769" s="330"/>
      <c r="F769" s="309"/>
      <c r="G769" s="309"/>
      <c r="H769" s="316"/>
      <c r="I769" s="309"/>
      <c r="J769" s="309"/>
      <c r="K769" s="309"/>
      <c r="L769" s="309"/>
      <c r="M769" s="309"/>
      <c r="N769" s="309"/>
      <c r="O769" s="309"/>
      <c r="P769" s="309"/>
      <c r="Q769" s="309"/>
      <c r="R769" s="309"/>
      <c r="S769" s="309"/>
      <c r="T769" s="309"/>
      <c r="U769" s="309"/>
      <c r="V769" s="309"/>
      <c r="W769" s="309"/>
      <c r="X769" s="309"/>
      <c r="Y769" s="309"/>
      <c r="Z769" s="309"/>
      <c r="AA769" s="309"/>
    </row>
    <row r="770" ht="27.0" customHeight="1">
      <c r="A770" s="309"/>
      <c r="B770" s="309"/>
      <c r="C770" s="309"/>
      <c r="D770" s="309"/>
      <c r="E770" s="330"/>
      <c r="F770" s="309"/>
      <c r="G770" s="309"/>
      <c r="H770" s="316"/>
      <c r="I770" s="309"/>
      <c r="J770" s="309"/>
      <c r="K770" s="309"/>
      <c r="L770" s="309"/>
      <c r="M770" s="309"/>
      <c r="N770" s="309"/>
      <c r="O770" s="309"/>
      <c r="P770" s="309"/>
      <c r="Q770" s="309"/>
      <c r="R770" s="309"/>
      <c r="S770" s="309"/>
      <c r="T770" s="309"/>
      <c r="U770" s="309"/>
      <c r="V770" s="309"/>
      <c r="W770" s="309"/>
      <c r="X770" s="309"/>
      <c r="Y770" s="309"/>
      <c r="Z770" s="309"/>
      <c r="AA770" s="309"/>
    </row>
    <row r="771" ht="27.0" customHeight="1">
      <c r="A771" s="309"/>
      <c r="B771" s="309"/>
      <c r="C771" s="309"/>
      <c r="D771" s="309"/>
      <c r="E771" s="330"/>
      <c r="F771" s="309"/>
      <c r="G771" s="309"/>
      <c r="H771" s="316"/>
      <c r="I771" s="309"/>
      <c r="J771" s="309"/>
      <c r="K771" s="309"/>
      <c r="L771" s="309"/>
      <c r="M771" s="309"/>
      <c r="N771" s="309"/>
      <c r="O771" s="309"/>
      <c r="P771" s="309"/>
      <c r="Q771" s="309"/>
      <c r="R771" s="309"/>
      <c r="S771" s="309"/>
      <c r="T771" s="309"/>
      <c r="U771" s="309"/>
      <c r="V771" s="309"/>
      <c r="W771" s="309"/>
      <c r="X771" s="309"/>
      <c r="Y771" s="309"/>
      <c r="Z771" s="309"/>
      <c r="AA771" s="309"/>
    </row>
    <row r="772" ht="27.0" customHeight="1">
      <c r="A772" s="309"/>
      <c r="B772" s="309"/>
      <c r="C772" s="309"/>
      <c r="D772" s="309"/>
      <c r="E772" s="330"/>
      <c r="F772" s="309"/>
      <c r="G772" s="309"/>
      <c r="H772" s="316"/>
      <c r="I772" s="309"/>
      <c r="J772" s="309"/>
      <c r="K772" s="309"/>
      <c r="L772" s="309"/>
      <c r="M772" s="309"/>
      <c r="N772" s="309"/>
      <c r="O772" s="309"/>
      <c r="P772" s="309"/>
      <c r="Q772" s="309"/>
      <c r="R772" s="309"/>
      <c r="S772" s="309"/>
      <c r="T772" s="309"/>
      <c r="U772" s="309"/>
      <c r="V772" s="309"/>
      <c r="W772" s="309"/>
      <c r="X772" s="309"/>
      <c r="Y772" s="309"/>
      <c r="Z772" s="309"/>
      <c r="AA772" s="309"/>
    </row>
    <row r="773" ht="27.0" customHeight="1">
      <c r="A773" s="309"/>
      <c r="B773" s="309"/>
      <c r="C773" s="309"/>
      <c r="D773" s="309"/>
      <c r="E773" s="330"/>
      <c r="F773" s="309"/>
      <c r="G773" s="309"/>
      <c r="H773" s="316"/>
      <c r="I773" s="309"/>
      <c r="J773" s="309"/>
      <c r="K773" s="309"/>
      <c r="L773" s="309"/>
      <c r="M773" s="309"/>
      <c r="N773" s="309"/>
      <c r="O773" s="309"/>
      <c r="P773" s="309"/>
      <c r="Q773" s="309"/>
      <c r="R773" s="309"/>
      <c r="S773" s="309"/>
      <c r="T773" s="309"/>
      <c r="U773" s="309"/>
      <c r="V773" s="309"/>
      <c r="W773" s="309"/>
      <c r="X773" s="309"/>
      <c r="Y773" s="309"/>
      <c r="Z773" s="309"/>
      <c r="AA773" s="309"/>
    </row>
    <row r="774" ht="27.0" customHeight="1">
      <c r="A774" s="309"/>
      <c r="B774" s="309"/>
      <c r="C774" s="309"/>
      <c r="D774" s="309"/>
      <c r="E774" s="330"/>
      <c r="F774" s="309"/>
      <c r="G774" s="309"/>
      <c r="H774" s="316"/>
      <c r="I774" s="309"/>
      <c r="J774" s="309"/>
      <c r="K774" s="309"/>
      <c r="L774" s="309"/>
      <c r="M774" s="309"/>
      <c r="N774" s="309"/>
      <c r="O774" s="309"/>
      <c r="P774" s="309"/>
      <c r="Q774" s="309"/>
      <c r="R774" s="309"/>
      <c r="S774" s="309"/>
      <c r="T774" s="309"/>
      <c r="U774" s="309"/>
      <c r="V774" s="309"/>
      <c r="W774" s="309"/>
      <c r="X774" s="309"/>
      <c r="Y774" s="309"/>
      <c r="Z774" s="309"/>
      <c r="AA774" s="309"/>
    </row>
    <row r="775" ht="27.0" customHeight="1">
      <c r="A775" s="309"/>
      <c r="B775" s="309"/>
      <c r="C775" s="309"/>
      <c r="D775" s="309"/>
      <c r="E775" s="330"/>
      <c r="F775" s="309"/>
      <c r="G775" s="309"/>
      <c r="H775" s="316"/>
      <c r="I775" s="309"/>
      <c r="J775" s="309"/>
      <c r="K775" s="309"/>
      <c r="L775" s="309"/>
      <c r="M775" s="309"/>
      <c r="N775" s="309"/>
      <c r="O775" s="309"/>
      <c r="P775" s="309"/>
      <c r="Q775" s="309"/>
      <c r="R775" s="309"/>
      <c r="S775" s="309"/>
      <c r="T775" s="309"/>
      <c r="U775" s="309"/>
      <c r="V775" s="309"/>
      <c r="W775" s="309"/>
      <c r="X775" s="309"/>
      <c r="Y775" s="309"/>
      <c r="Z775" s="309"/>
      <c r="AA775" s="309"/>
    </row>
    <row r="776" ht="27.0" customHeight="1">
      <c r="A776" s="309"/>
      <c r="B776" s="309"/>
      <c r="C776" s="309"/>
      <c r="D776" s="309"/>
      <c r="E776" s="330"/>
      <c r="F776" s="309"/>
      <c r="G776" s="309"/>
      <c r="H776" s="316"/>
      <c r="I776" s="309"/>
      <c r="J776" s="309"/>
      <c r="K776" s="309"/>
      <c r="L776" s="309"/>
      <c r="M776" s="309"/>
      <c r="N776" s="309"/>
      <c r="O776" s="309"/>
      <c r="P776" s="309"/>
      <c r="Q776" s="309"/>
      <c r="R776" s="309"/>
      <c r="S776" s="309"/>
      <c r="T776" s="309"/>
      <c r="U776" s="309"/>
      <c r="V776" s="309"/>
      <c r="W776" s="309"/>
      <c r="X776" s="309"/>
      <c r="Y776" s="309"/>
      <c r="Z776" s="309"/>
      <c r="AA776" s="309"/>
    </row>
    <row r="777" ht="27.0" customHeight="1">
      <c r="A777" s="309"/>
      <c r="B777" s="309"/>
      <c r="C777" s="309"/>
      <c r="D777" s="309"/>
      <c r="E777" s="330"/>
      <c r="F777" s="309"/>
      <c r="G777" s="309"/>
      <c r="H777" s="316"/>
      <c r="I777" s="309"/>
      <c r="J777" s="309"/>
      <c r="K777" s="309"/>
      <c r="L777" s="309"/>
      <c r="M777" s="309"/>
      <c r="N777" s="309"/>
      <c r="O777" s="309"/>
      <c r="P777" s="309"/>
      <c r="Q777" s="309"/>
      <c r="R777" s="309"/>
      <c r="S777" s="309"/>
      <c r="T777" s="309"/>
      <c r="U777" s="309"/>
      <c r="V777" s="309"/>
      <c r="W777" s="309"/>
      <c r="X777" s="309"/>
      <c r="Y777" s="309"/>
      <c r="Z777" s="309"/>
      <c r="AA777" s="309"/>
    </row>
    <row r="778" ht="27.0" customHeight="1">
      <c r="A778" s="309"/>
      <c r="B778" s="309"/>
      <c r="C778" s="309"/>
      <c r="D778" s="309"/>
      <c r="E778" s="330"/>
      <c r="F778" s="309"/>
      <c r="G778" s="309"/>
      <c r="H778" s="316"/>
      <c r="I778" s="309"/>
      <c r="J778" s="309"/>
      <c r="K778" s="309"/>
      <c r="L778" s="309"/>
      <c r="M778" s="309"/>
      <c r="N778" s="309"/>
      <c r="O778" s="309"/>
      <c r="P778" s="309"/>
      <c r="Q778" s="309"/>
      <c r="R778" s="309"/>
      <c r="S778" s="309"/>
      <c r="T778" s="309"/>
      <c r="U778" s="309"/>
      <c r="V778" s="309"/>
      <c r="W778" s="309"/>
      <c r="X778" s="309"/>
      <c r="Y778" s="309"/>
      <c r="Z778" s="309"/>
      <c r="AA778" s="309"/>
    </row>
    <row r="779" ht="27.0" customHeight="1">
      <c r="A779" s="309"/>
      <c r="B779" s="309"/>
      <c r="C779" s="309"/>
      <c r="D779" s="309"/>
      <c r="E779" s="330"/>
      <c r="F779" s="309"/>
      <c r="G779" s="309"/>
      <c r="H779" s="316"/>
      <c r="I779" s="309"/>
      <c r="J779" s="309"/>
      <c r="K779" s="309"/>
      <c r="L779" s="309"/>
      <c r="M779" s="309"/>
      <c r="N779" s="309"/>
      <c r="O779" s="309"/>
      <c r="P779" s="309"/>
      <c r="Q779" s="309"/>
      <c r="R779" s="309"/>
      <c r="S779" s="309"/>
      <c r="T779" s="309"/>
      <c r="U779" s="309"/>
      <c r="V779" s="309"/>
      <c r="W779" s="309"/>
      <c r="X779" s="309"/>
      <c r="Y779" s="309"/>
      <c r="Z779" s="309"/>
      <c r="AA779" s="309"/>
    </row>
    <row r="780" ht="27.0" customHeight="1">
      <c r="A780" s="309"/>
      <c r="B780" s="309"/>
      <c r="C780" s="309"/>
      <c r="D780" s="309"/>
      <c r="E780" s="330"/>
      <c r="F780" s="309"/>
      <c r="G780" s="309"/>
      <c r="H780" s="316"/>
      <c r="I780" s="309"/>
      <c r="J780" s="309"/>
      <c r="K780" s="309"/>
      <c r="L780" s="309"/>
      <c r="M780" s="309"/>
      <c r="N780" s="309"/>
      <c r="O780" s="309"/>
      <c r="P780" s="309"/>
      <c r="Q780" s="309"/>
      <c r="R780" s="309"/>
      <c r="S780" s="309"/>
      <c r="T780" s="309"/>
      <c r="U780" s="309"/>
      <c r="V780" s="309"/>
      <c r="W780" s="309"/>
      <c r="X780" s="309"/>
      <c r="Y780" s="309"/>
      <c r="Z780" s="309"/>
      <c r="AA780" s="309"/>
    </row>
    <row r="781" ht="27.0" customHeight="1">
      <c r="A781" s="309"/>
      <c r="B781" s="309"/>
      <c r="C781" s="309"/>
      <c r="D781" s="309"/>
      <c r="E781" s="330"/>
      <c r="F781" s="309"/>
      <c r="G781" s="309"/>
      <c r="H781" s="316"/>
      <c r="I781" s="309"/>
      <c r="J781" s="309"/>
      <c r="K781" s="309"/>
      <c r="L781" s="309"/>
      <c r="M781" s="309"/>
      <c r="N781" s="309"/>
      <c r="O781" s="309"/>
      <c r="P781" s="309"/>
      <c r="Q781" s="309"/>
      <c r="R781" s="309"/>
      <c r="S781" s="309"/>
      <c r="T781" s="309"/>
      <c r="U781" s="309"/>
      <c r="V781" s="309"/>
      <c r="W781" s="309"/>
      <c r="X781" s="309"/>
      <c r="Y781" s="309"/>
      <c r="Z781" s="309"/>
      <c r="AA781" s="309"/>
    </row>
    <row r="782" ht="27.0" customHeight="1">
      <c r="A782" s="309"/>
      <c r="B782" s="309"/>
      <c r="C782" s="309"/>
      <c r="D782" s="309"/>
      <c r="E782" s="330"/>
      <c r="F782" s="309"/>
      <c r="G782" s="309"/>
      <c r="H782" s="316"/>
      <c r="I782" s="309"/>
      <c r="J782" s="309"/>
      <c r="K782" s="309"/>
      <c r="L782" s="309"/>
      <c r="M782" s="309"/>
      <c r="N782" s="309"/>
      <c r="O782" s="309"/>
      <c r="P782" s="309"/>
      <c r="Q782" s="309"/>
      <c r="R782" s="309"/>
      <c r="S782" s="309"/>
      <c r="T782" s="309"/>
      <c r="U782" s="309"/>
      <c r="V782" s="309"/>
      <c r="W782" s="309"/>
      <c r="X782" s="309"/>
      <c r="Y782" s="309"/>
      <c r="Z782" s="309"/>
      <c r="AA782" s="309"/>
    </row>
    <row r="783" ht="27.0" customHeight="1">
      <c r="A783" s="309"/>
      <c r="B783" s="309"/>
      <c r="C783" s="309"/>
      <c r="D783" s="309"/>
      <c r="E783" s="330"/>
      <c r="F783" s="309"/>
      <c r="G783" s="309"/>
      <c r="H783" s="316"/>
      <c r="I783" s="309"/>
      <c r="J783" s="309"/>
      <c r="K783" s="309"/>
      <c r="L783" s="309"/>
      <c r="M783" s="309"/>
      <c r="N783" s="309"/>
      <c r="O783" s="309"/>
      <c r="P783" s="309"/>
      <c r="Q783" s="309"/>
      <c r="R783" s="309"/>
      <c r="S783" s="309"/>
      <c r="T783" s="309"/>
      <c r="U783" s="309"/>
      <c r="V783" s="309"/>
      <c r="W783" s="309"/>
      <c r="X783" s="309"/>
      <c r="Y783" s="309"/>
      <c r="Z783" s="309"/>
      <c r="AA783" s="309"/>
    </row>
    <row r="784" ht="27.0" customHeight="1">
      <c r="A784" s="309"/>
      <c r="B784" s="309"/>
      <c r="C784" s="309"/>
      <c r="D784" s="309"/>
      <c r="E784" s="330"/>
      <c r="F784" s="309"/>
      <c r="G784" s="309"/>
      <c r="H784" s="316"/>
      <c r="I784" s="309"/>
      <c r="J784" s="309"/>
      <c r="K784" s="309"/>
      <c r="L784" s="309"/>
      <c r="M784" s="309"/>
      <c r="N784" s="309"/>
      <c r="O784" s="309"/>
      <c r="P784" s="309"/>
      <c r="Q784" s="309"/>
      <c r="R784" s="309"/>
      <c r="S784" s="309"/>
      <c r="T784" s="309"/>
      <c r="U784" s="309"/>
      <c r="V784" s="309"/>
      <c r="W784" s="309"/>
      <c r="X784" s="309"/>
      <c r="Y784" s="309"/>
      <c r="Z784" s="309"/>
      <c r="AA784" s="309"/>
    </row>
    <row r="785" ht="27.0" customHeight="1">
      <c r="A785" s="309"/>
      <c r="B785" s="309"/>
      <c r="C785" s="309"/>
      <c r="D785" s="309"/>
      <c r="E785" s="330"/>
      <c r="F785" s="309"/>
      <c r="G785" s="309"/>
      <c r="H785" s="316"/>
      <c r="I785" s="309"/>
      <c r="J785" s="309"/>
      <c r="K785" s="309"/>
      <c r="L785" s="309"/>
      <c r="M785" s="309"/>
      <c r="N785" s="309"/>
      <c r="O785" s="309"/>
      <c r="P785" s="309"/>
      <c r="Q785" s="309"/>
      <c r="R785" s="309"/>
      <c r="S785" s="309"/>
      <c r="T785" s="309"/>
      <c r="U785" s="309"/>
      <c r="V785" s="309"/>
      <c r="W785" s="309"/>
      <c r="X785" s="309"/>
      <c r="Y785" s="309"/>
      <c r="Z785" s="309"/>
      <c r="AA785" s="309"/>
    </row>
    <row r="786" ht="27.0" customHeight="1">
      <c r="A786" s="309"/>
      <c r="B786" s="309"/>
      <c r="C786" s="309"/>
      <c r="D786" s="309"/>
      <c r="E786" s="330"/>
      <c r="F786" s="309"/>
      <c r="G786" s="309"/>
      <c r="H786" s="316"/>
      <c r="I786" s="309"/>
      <c r="J786" s="309"/>
      <c r="K786" s="309"/>
      <c r="L786" s="309"/>
      <c r="M786" s="309"/>
      <c r="N786" s="309"/>
      <c r="O786" s="309"/>
      <c r="P786" s="309"/>
      <c r="Q786" s="309"/>
      <c r="R786" s="309"/>
      <c r="S786" s="309"/>
      <c r="T786" s="309"/>
      <c r="U786" s="309"/>
      <c r="V786" s="309"/>
      <c r="W786" s="309"/>
      <c r="X786" s="309"/>
      <c r="Y786" s="309"/>
      <c r="Z786" s="309"/>
      <c r="AA786" s="309"/>
    </row>
    <row r="787" ht="27.0" customHeight="1">
      <c r="A787" s="309"/>
      <c r="B787" s="309"/>
      <c r="C787" s="309"/>
      <c r="D787" s="309"/>
      <c r="E787" s="330"/>
      <c r="F787" s="309"/>
      <c r="G787" s="309"/>
      <c r="H787" s="316"/>
      <c r="I787" s="309"/>
      <c r="J787" s="309"/>
      <c r="K787" s="309"/>
      <c r="L787" s="309"/>
      <c r="M787" s="309"/>
      <c r="N787" s="309"/>
      <c r="O787" s="309"/>
      <c r="P787" s="309"/>
      <c r="Q787" s="309"/>
      <c r="R787" s="309"/>
      <c r="S787" s="309"/>
      <c r="T787" s="309"/>
      <c r="U787" s="309"/>
      <c r="V787" s="309"/>
      <c r="W787" s="309"/>
      <c r="X787" s="309"/>
      <c r="Y787" s="309"/>
      <c r="Z787" s="309"/>
      <c r="AA787" s="309"/>
    </row>
    <row r="788" ht="27.0" customHeight="1">
      <c r="A788" s="309"/>
      <c r="B788" s="309"/>
      <c r="C788" s="309"/>
      <c r="D788" s="309"/>
      <c r="E788" s="330"/>
      <c r="F788" s="309"/>
      <c r="G788" s="309"/>
      <c r="H788" s="316"/>
      <c r="I788" s="309"/>
      <c r="J788" s="309"/>
      <c r="K788" s="309"/>
      <c r="L788" s="309"/>
      <c r="M788" s="309"/>
      <c r="N788" s="309"/>
      <c r="O788" s="309"/>
      <c r="P788" s="309"/>
      <c r="Q788" s="309"/>
      <c r="R788" s="309"/>
      <c r="S788" s="309"/>
      <c r="T788" s="309"/>
      <c r="U788" s="309"/>
      <c r="V788" s="309"/>
      <c r="W788" s="309"/>
      <c r="X788" s="309"/>
      <c r="Y788" s="309"/>
      <c r="Z788" s="309"/>
      <c r="AA788" s="309"/>
    </row>
    <row r="789" ht="27.0" customHeight="1">
      <c r="A789" s="309"/>
      <c r="B789" s="309"/>
      <c r="C789" s="309"/>
      <c r="D789" s="309"/>
      <c r="E789" s="330"/>
      <c r="F789" s="309"/>
      <c r="G789" s="309"/>
      <c r="H789" s="316"/>
      <c r="I789" s="309"/>
      <c r="J789" s="309"/>
      <c r="K789" s="309"/>
      <c r="L789" s="309"/>
      <c r="M789" s="309"/>
      <c r="N789" s="309"/>
      <c r="O789" s="309"/>
      <c r="P789" s="309"/>
      <c r="Q789" s="309"/>
      <c r="R789" s="309"/>
      <c r="S789" s="309"/>
      <c r="T789" s="309"/>
      <c r="U789" s="309"/>
      <c r="V789" s="309"/>
      <c r="W789" s="309"/>
      <c r="X789" s="309"/>
      <c r="Y789" s="309"/>
      <c r="Z789" s="309"/>
      <c r="AA789" s="309"/>
    </row>
    <row r="790" ht="27.0" customHeight="1">
      <c r="A790" s="309"/>
      <c r="B790" s="309"/>
      <c r="C790" s="309"/>
      <c r="D790" s="309"/>
      <c r="E790" s="330"/>
      <c r="F790" s="309"/>
      <c r="G790" s="309"/>
      <c r="H790" s="316"/>
      <c r="I790" s="309"/>
      <c r="J790" s="309"/>
      <c r="K790" s="309"/>
      <c r="L790" s="309"/>
      <c r="M790" s="309"/>
      <c r="N790" s="309"/>
      <c r="O790" s="309"/>
      <c r="P790" s="309"/>
      <c r="Q790" s="309"/>
      <c r="R790" s="309"/>
      <c r="S790" s="309"/>
      <c r="T790" s="309"/>
      <c r="U790" s="309"/>
      <c r="V790" s="309"/>
      <c r="W790" s="309"/>
      <c r="X790" s="309"/>
      <c r="Y790" s="309"/>
      <c r="Z790" s="309"/>
      <c r="AA790" s="309"/>
    </row>
    <row r="791" ht="27.0" customHeight="1">
      <c r="A791" s="309"/>
      <c r="B791" s="309"/>
      <c r="C791" s="309"/>
      <c r="D791" s="309"/>
      <c r="E791" s="330"/>
      <c r="F791" s="309"/>
      <c r="G791" s="309"/>
      <c r="H791" s="316"/>
      <c r="I791" s="309"/>
      <c r="J791" s="309"/>
      <c r="K791" s="309"/>
      <c r="L791" s="309"/>
      <c r="M791" s="309"/>
      <c r="N791" s="309"/>
      <c r="O791" s="309"/>
      <c r="P791" s="309"/>
      <c r="Q791" s="309"/>
      <c r="R791" s="309"/>
      <c r="S791" s="309"/>
      <c r="T791" s="309"/>
      <c r="U791" s="309"/>
      <c r="V791" s="309"/>
      <c r="W791" s="309"/>
      <c r="X791" s="309"/>
      <c r="Y791" s="309"/>
      <c r="Z791" s="309"/>
      <c r="AA791" s="309"/>
    </row>
    <row r="792" ht="27.0" customHeight="1">
      <c r="A792" s="309"/>
      <c r="B792" s="309"/>
      <c r="C792" s="309"/>
      <c r="D792" s="309"/>
      <c r="E792" s="330"/>
      <c r="F792" s="309"/>
      <c r="G792" s="309"/>
      <c r="H792" s="316"/>
      <c r="I792" s="309"/>
      <c r="J792" s="309"/>
      <c r="K792" s="309"/>
      <c r="L792" s="309"/>
      <c r="M792" s="309"/>
      <c r="N792" s="309"/>
      <c r="O792" s="309"/>
      <c r="P792" s="309"/>
      <c r="Q792" s="309"/>
      <c r="R792" s="309"/>
      <c r="S792" s="309"/>
      <c r="T792" s="309"/>
      <c r="U792" s="309"/>
      <c r="V792" s="309"/>
      <c r="W792" s="309"/>
      <c r="X792" s="309"/>
      <c r="Y792" s="309"/>
      <c r="Z792" s="309"/>
      <c r="AA792" s="309"/>
    </row>
    <row r="793" ht="27.0" customHeight="1">
      <c r="A793" s="309"/>
      <c r="B793" s="309"/>
      <c r="C793" s="309"/>
      <c r="D793" s="309"/>
      <c r="E793" s="330"/>
      <c r="F793" s="309"/>
      <c r="G793" s="309"/>
      <c r="H793" s="316"/>
      <c r="I793" s="309"/>
      <c r="J793" s="309"/>
      <c r="K793" s="309"/>
      <c r="L793" s="309"/>
      <c r="M793" s="309"/>
      <c r="N793" s="309"/>
      <c r="O793" s="309"/>
      <c r="P793" s="309"/>
      <c r="Q793" s="309"/>
      <c r="R793" s="309"/>
      <c r="S793" s="309"/>
      <c r="T793" s="309"/>
      <c r="U793" s="309"/>
      <c r="V793" s="309"/>
      <c r="W793" s="309"/>
      <c r="X793" s="309"/>
      <c r="Y793" s="309"/>
      <c r="Z793" s="309"/>
      <c r="AA793" s="309"/>
    </row>
    <row r="794" ht="27.0" customHeight="1">
      <c r="A794" s="309"/>
      <c r="B794" s="309"/>
      <c r="C794" s="309"/>
      <c r="D794" s="309"/>
      <c r="E794" s="330"/>
      <c r="F794" s="309"/>
      <c r="G794" s="309"/>
      <c r="H794" s="316"/>
      <c r="I794" s="309"/>
      <c r="J794" s="309"/>
      <c r="K794" s="309"/>
      <c r="L794" s="309"/>
      <c r="M794" s="309"/>
      <c r="N794" s="309"/>
      <c r="O794" s="309"/>
      <c r="P794" s="309"/>
      <c r="Q794" s="309"/>
      <c r="R794" s="309"/>
      <c r="S794" s="309"/>
      <c r="T794" s="309"/>
      <c r="U794" s="309"/>
      <c r="V794" s="309"/>
      <c r="W794" s="309"/>
      <c r="X794" s="309"/>
      <c r="Y794" s="309"/>
      <c r="Z794" s="309"/>
      <c r="AA794" s="309"/>
    </row>
    <row r="795" ht="27.0" customHeight="1">
      <c r="A795" s="309"/>
      <c r="B795" s="309"/>
      <c r="C795" s="309"/>
      <c r="D795" s="309"/>
      <c r="E795" s="330"/>
      <c r="F795" s="309"/>
      <c r="G795" s="309"/>
      <c r="H795" s="316"/>
      <c r="I795" s="309"/>
      <c r="J795" s="309"/>
      <c r="K795" s="309"/>
      <c r="L795" s="309"/>
      <c r="M795" s="309"/>
      <c r="N795" s="309"/>
      <c r="O795" s="309"/>
      <c r="P795" s="309"/>
      <c r="Q795" s="309"/>
      <c r="R795" s="309"/>
      <c r="S795" s="309"/>
      <c r="T795" s="309"/>
      <c r="U795" s="309"/>
      <c r="V795" s="309"/>
      <c r="W795" s="309"/>
      <c r="X795" s="309"/>
      <c r="Y795" s="309"/>
      <c r="Z795" s="309"/>
      <c r="AA795" s="309"/>
    </row>
    <row r="796" ht="27.0" customHeight="1">
      <c r="A796" s="309"/>
      <c r="B796" s="309"/>
      <c r="C796" s="309"/>
      <c r="D796" s="309"/>
      <c r="E796" s="330"/>
      <c r="F796" s="309"/>
      <c r="G796" s="309"/>
      <c r="H796" s="316"/>
      <c r="I796" s="309"/>
      <c r="J796" s="309"/>
      <c r="K796" s="309"/>
      <c r="L796" s="309"/>
      <c r="M796" s="309"/>
      <c r="N796" s="309"/>
      <c r="O796" s="309"/>
      <c r="P796" s="309"/>
      <c r="Q796" s="309"/>
      <c r="R796" s="309"/>
      <c r="S796" s="309"/>
      <c r="T796" s="309"/>
      <c r="U796" s="309"/>
      <c r="V796" s="309"/>
      <c r="W796" s="309"/>
      <c r="X796" s="309"/>
      <c r="Y796" s="309"/>
      <c r="Z796" s="309"/>
      <c r="AA796" s="309"/>
    </row>
    <row r="797" ht="27.0" customHeight="1">
      <c r="A797" s="309"/>
      <c r="B797" s="309"/>
      <c r="C797" s="309"/>
      <c r="D797" s="309"/>
      <c r="E797" s="330"/>
      <c r="F797" s="309"/>
      <c r="G797" s="309"/>
      <c r="H797" s="316"/>
      <c r="I797" s="309"/>
      <c r="J797" s="309"/>
      <c r="K797" s="309"/>
      <c r="L797" s="309"/>
      <c r="M797" s="309"/>
      <c r="N797" s="309"/>
      <c r="O797" s="309"/>
      <c r="P797" s="309"/>
      <c r="Q797" s="309"/>
      <c r="R797" s="309"/>
      <c r="S797" s="309"/>
      <c r="T797" s="309"/>
      <c r="U797" s="309"/>
      <c r="V797" s="309"/>
      <c r="W797" s="309"/>
      <c r="X797" s="309"/>
      <c r="Y797" s="309"/>
      <c r="Z797" s="309"/>
      <c r="AA797" s="309"/>
    </row>
    <row r="798" ht="27.0" customHeight="1">
      <c r="A798" s="309"/>
      <c r="B798" s="309"/>
      <c r="C798" s="309"/>
      <c r="D798" s="309"/>
      <c r="E798" s="330"/>
      <c r="F798" s="309"/>
      <c r="G798" s="309"/>
      <c r="H798" s="316"/>
      <c r="I798" s="309"/>
      <c r="J798" s="309"/>
      <c r="K798" s="309"/>
      <c r="L798" s="309"/>
      <c r="M798" s="309"/>
      <c r="N798" s="309"/>
      <c r="O798" s="309"/>
      <c r="P798" s="309"/>
      <c r="Q798" s="309"/>
      <c r="R798" s="309"/>
      <c r="S798" s="309"/>
      <c r="T798" s="309"/>
      <c r="U798" s="309"/>
      <c r="V798" s="309"/>
      <c r="W798" s="309"/>
      <c r="X798" s="309"/>
      <c r="Y798" s="309"/>
      <c r="Z798" s="309"/>
      <c r="AA798" s="309"/>
    </row>
    <row r="799" ht="27.0" customHeight="1">
      <c r="A799" s="309"/>
      <c r="B799" s="309"/>
      <c r="C799" s="309"/>
      <c r="D799" s="309"/>
      <c r="E799" s="330"/>
      <c r="F799" s="309"/>
      <c r="G799" s="309"/>
      <c r="H799" s="316"/>
      <c r="I799" s="309"/>
      <c r="J799" s="309"/>
      <c r="K799" s="309"/>
      <c r="L799" s="309"/>
      <c r="M799" s="309"/>
      <c r="N799" s="309"/>
      <c r="O799" s="309"/>
      <c r="P799" s="309"/>
      <c r="Q799" s="309"/>
      <c r="R799" s="309"/>
      <c r="S799" s="309"/>
      <c r="T799" s="309"/>
      <c r="U799" s="309"/>
      <c r="V799" s="309"/>
      <c r="W799" s="309"/>
      <c r="X799" s="309"/>
      <c r="Y799" s="309"/>
      <c r="Z799" s="309"/>
      <c r="AA799" s="309"/>
    </row>
    <row r="800" ht="27.0" customHeight="1">
      <c r="A800" s="309"/>
      <c r="B800" s="309"/>
      <c r="C800" s="309"/>
      <c r="D800" s="309"/>
      <c r="E800" s="330"/>
      <c r="F800" s="309"/>
      <c r="G800" s="309"/>
      <c r="H800" s="316"/>
      <c r="I800" s="309"/>
      <c r="J800" s="309"/>
      <c r="K800" s="309"/>
      <c r="L800" s="309"/>
      <c r="M800" s="309"/>
      <c r="N800" s="309"/>
      <c r="O800" s="309"/>
      <c r="P800" s="309"/>
      <c r="Q800" s="309"/>
      <c r="R800" s="309"/>
      <c r="S800" s="309"/>
      <c r="T800" s="309"/>
      <c r="U800" s="309"/>
      <c r="V800" s="309"/>
      <c r="W800" s="309"/>
      <c r="X800" s="309"/>
      <c r="Y800" s="309"/>
      <c r="Z800" s="309"/>
      <c r="AA800" s="309"/>
    </row>
    <row r="801" ht="27.0" customHeight="1">
      <c r="A801" s="309"/>
      <c r="B801" s="309"/>
      <c r="C801" s="309"/>
      <c r="D801" s="309"/>
      <c r="E801" s="330"/>
      <c r="F801" s="309"/>
      <c r="G801" s="309"/>
      <c r="H801" s="316"/>
      <c r="I801" s="309"/>
      <c r="J801" s="309"/>
      <c r="K801" s="309"/>
      <c r="L801" s="309"/>
      <c r="M801" s="309"/>
      <c r="N801" s="309"/>
      <c r="O801" s="309"/>
      <c r="P801" s="309"/>
      <c r="Q801" s="309"/>
      <c r="R801" s="309"/>
      <c r="S801" s="309"/>
      <c r="T801" s="309"/>
      <c r="U801" s="309"/>
      <c r="V801" s="309"/>
      <c r="W801" s="309"/>
      <c r="X801" s="309"/>
      <c r="Y801" s="309"/>
      <c r="Z801" s="309"/>
      <c r="AA801" s="309"/>
    </row>
    <row r="802" ht="27.0" customHeight="1">
      <c r="A802" s="309"/>
      <c r="B802" s="309"/>
      <c r="C802" s="309"/>
      <c r="D802" s="309"/>
      <c r="E802" s="330"/>
      <c r="F802" s="309"/>
      <c r="G802" s="309"/>
      <c r="H802" s="316"/>
      <c r="I802" s="309"/>
      <c r="J802" s="309"/>
      <c r="K802" s="309"/>
      <c r="L802" s="309"/>
      <c r="M802" s="309"/>
      <c r="N802" s="309"/>
      <c r="O802" s="309"/>
      <c r="P802" s="309"/>
      <c r="Q802" s="309"/>
      <c r="R802" s="309"/>
      <c r="S802" s="309"/>
      <c r="T802" s="309"/>
      <c r="U802" s="309"/>
      <c r="V802" s="309"/>
      <c r="W802" s="309"/>
      <c r="X802" s="309"/>
      <c r="Y802" s="309"/>
      <c r="Z802" s="309"/>
      <c r="AA802" s="309"/>
    </row>
    <row r="803" ht="27.0" customHeight="1">
      <c r="A803" s="309"/>
      <c r="B803" s="309"/>
      <c r="C803" s="309"/>
      <c r="D803" s="309"/>
      <c r="E803" s="330"/>
      <c r="F803" s="309"/>
      <c r="G803" s="309"/>
      <c r="H803" s="316"/>
      <c r="I803" s="309"/>
      <c r="J803" s="309"/>
      <c r="K803" s="309"/>
      <c r="L803" s="309"/>
      <c r="M803" s="309"/>
      <c r="N803" s="309"/>
      <c r="O803" s="309"/>
      <c r="P803" s="309"/>
      <c r="Q803" s="309"/>
      <c r="R803" s="309"/>
      <c r="S803" s="309"/>
      <c r="T803" s="309"/>
      <c r="U803" s="309"/>
      <c r="V803" s="309"/>
      <c r="W803" s="309"/>
      <c r="X803" s="309"/>
      <c r="Y803" s="309"/>
      <c r="Z803" s="309"/>
      <c r="AA803" s="309"/>
    </row>
    <row r="804" ht="27.0" customHeight="1">
      <c r="A804" s="309"/>
      <c r="B804" s="309"/>
      <c r="C804" s="309"/>
      <c r="D804" s="309"/>
      <c r="E804" s="330"/>
      <c r="F804" s="309"/>
      <c r="G804" s="309"/>
      <c r="H804" s="316"/>
      <c r="I804" s="309"/>
      <c r="J804" s="309"/>
      <c r="K804" s="309"/>
      <c r="L804" s="309"/>
      <c r="M804" s="309"/>
      <c r="N804" s="309"/>
      <c r="O804" s="309"/>
      <c r="P804" s="309"/>
      <c r="Q804" s="309"/>
      <c r="R804" s="309"/>
      <c r="S804" s="309"/>
      <c r="T804" s="309"/>
      <c r="U804" s="309"/>
      <c r="V804" s="309"/>
      <c r="W804" s="309"/>
      <c r="X804" s="309"/>
      <c r="Y804" s="309"/>
      <c r="Z804" s="309"/>
      <c r="AA804" s="309"/>
    </row>
    <row r="805" ht="27.0" customHeight="1">
      <c r="A805" s="309"/>
      <c r="B805" s="309"/>
      <c r="C805" s="309"/>
      <c r="D805" s="309"/>
      <c r="E805" s="330"/>
      <c r="F805" s="309"/>
      <c r="G805" s="309"/>
      <c r="H805" s="316"/>
      <c r="I805" s="309"/>
      <c r="J805" s="309"/>
      <c r="K805" s="309"/>
      <c r="L805" s="309"/>
      <c r="M805" s="309"/>
      <c r="N805" s="309"/>
      <c r="O805" s="309"/>
      <c r="P805" s="309"/>
      <c r="Q805" s="309"/>
      <c r="R805" s="309"/>
      <c r="S805" s="309"/>
      <c r="T805" s="309"/>
      <c r="U805" s="309"/>
      <c r="V805" s="309"/>
      <c r="W805" s="309"/>
      <c r="X805" s="309"/>
      <c r="Y805" s="309"/>
      <c r="Z805" s="309"/>
      <c r="AA805" s="309"/>
    </row>
    <row r="806" ht="27.0" customHeight="1">
      <c r="A806" s="309"/>
      <c r="B806" s="309"/>
      <c r="C806" s="309"/>
      <c r="D806" s="309"/>
      <c r="E806" s="330"/>
      <c r="F806" s="309"/>
      <c r="G806" s="309"/>
      <c r="H806" s="316"/>
      <c r="I806" s="309"/>
      <c r="J806" s="309"/>
      <c r="K806" s="309"/>
      <c r="L806" s="309"/>
      <c r="M806" s="309"/>
      <c r="N806" s="309"/>
      <c r="O806" s="309"/>
      <c r="P806" s="309"/>
      <c r="Q806" s="309"/>
      <c r="R806" s="309"/>
      <c r="S806" s="309"/>
      <c r="T806" s="309"/>
      <c r="U806" s="309"/>
      <c r="V806" s="309"/>
      <c r="W806" s="309"/>
      <c r="X806" s="309"/>
      <c r="Y806" s="309"/>
      <c r="Z806" s="309"/>
      <c r="AA806" s="309"/>
    </row>
    <row r="807" ht="27.0" customHeight="1">
      <c r="A807" s="309"/>
      <c r="B807" s="309"/>
      <c r="C807" s="309"/>
      <c r="D807" s="309"/>
      <c r="E807" s="330"/>
      <c r="F807" s="309"/>
      <c r="G807" s="309"/>
      <c r="H807" s="316"/>
      <c r="I807" s="309"/>
      <c r="J807" s="309"/>
      <c r="K807" s="309"/>
      <c r="L807" s="309"/>
      <c r="M807" s="309"/>
      <c r="N807" s="309"/>
      <c r="O807" s="309"/>
      <c r="P807" s="309"/>
      <c r="Q807" s="309"/>
      <c r="R807" s="309"/>
      <c r="S807" s="309"/>
      <c r="T807" s="309"/>
      <c r="U807" s="309"/>
      <c r="V807" s="309"/>
      <c r="W807" s="309"/>
      <c r="X807" s="309"/>
      <c r="Y807" s="309"/>
      <c r="Z807" s="309"/>
      <c r="AA807" s="309"/>
    </row>
    <row r="808" ht="27.0" customHeight="1">
      <c r="A808" s="309"/>
      <c r="B808" s="309"/>
      <c r="C808" s="309"/>
      <c r="D808" s="309"/>
      <c r="E808" s="330"/>
      <c r="F808" s="309"/>
      <c r="G808" s="309"/>
      <c r="H808" s="316"/>
      <c r="I808" s="309"/>
      <c r="J808" s="309"/>
      <c r="K808" s="309"/>
      <c r="L808" s="309"/>
      <c r="M808" s="309"/>
      <c r="N808" s="309"/>
      <c r="O808" s="309"/>
      <c r="P808" s="309"/>
      <c r="Q808" s="309"/>
      <c r="R808" s="309"/>
      <c r="S808" s="309"/>
      <c r="T808" s="309"/>
      <c r="U808" s="309"/>
      <c r="V808" s="309"/>
      <c r="W808" s="309"/>
      <c r="X808" s="309"/>
      <c r="Y808" s="309"/>
      <c r="Z808" s="309"/>
      <c r="AA808" s="309"/>
    </row>
    <row r="809" ht="27.0" customHeight="1">
      <c r="A809" s="309"/>
      <c r="B809" s="309"/>
      <c r="C809" s="309"/>
      <c r="D809" s="309"/>
      <c r="E809" s="330"/>
      <c r="F809" s="309"/>
      <c r="G809" s="309"/>
      <c r="H809" s="316"/>
      <c r="I809" s="309"/>
      <c r="J809" s="309"/>
      <c r="K809" s="309"/>
      <c r="L809" s="309"/>
      <c r="M809" s="309"/>
      <c r="N809" s="309"/>
      <c r="O809" s="309"/>
      <c r="P809" s="309"/>
      <c r="Q809" s="309"/>
      <c r="R809" s="309"/>
      <c r="S809" s="309"/>
      <c r="T809" s="309"/>
      <c r="U809" s="309"/>
      <c r="V809" s="309"/>
      <c r="W809" s="309"/>
      <c r="X809" s="309"/>
      <c r="Y809" s="309"/>
      <c r="Z809" s="309"/>
      <c r="AA809" s="309"/>
    </row>
    <row r="810" ht="27.0" customHeight="1">
      <c r="A810" s="309"/>
      <c r="B810" s="309"/>
      <c r="C810" s="309"/>
      <c r="D810" s="309"/>
      <c r="E810" s="330"/>
      <c r="F810" s="309"/>
      <c r="G810" s="309"/>
      <c r="H810" s="316"/>
      <c r="I810" s="309"/>
      <c r="J810" s="309"/>
      <c r="K810" s="309"/>
      <c r="L810" s="309"/>
      <c r="M810" s="309"/>
      <c r="N810" s="309"/>
      <c r="O810" s="309"/>
      <c r="P810" s="309"/>
      <c r="Q810" s="309"/>
      <c r="R810" s="309"/>
      <c r="S810" s="309"/>
      <c r="T810" s="309"/>
      <c r="U810" s="309"/>
      <c r="V810" s="309"/>
      <c r="W810" s="309"/>
      <c r="X810" s="309"/>
      <c r="Y810" s="309"/>
      <c r="Z810" s="309"/>
      <c r="AA810" s="309"/>
    </row>
    <row r="811" ht="27.0" customHeight="1">
      <c r="A811" s="309"/>
      <c r="B811" s="309"/>
      <c r="C811" s="309"/>
      <c r="D811" s="309"/>
      <c r="E811" s="330"/>
      <c r="F811" s="309"/>
      <c r="G811" s="309"/>
      <c r="H811" s="316"/>
      <c r="I811" s="309"/>
      <c r="J811" s="309"/>
      <c r="K811" s="309"/>
      <c r="L811" s="309"/>
      <c r="M811" s="309"/>
      <c r="N811" s="309"/>
      <c r="O811" s="309"/>
      <c r="P811" s="309"/>
      <c r="Q811" s="309"/>
      <c r="R811" s="309"/>
      <c r="S811" s="309"/>
      <c r="T811" s="309"/>
      <c r="U811" s="309"/>
      <c r="V811" s="309"/>
      <c r="W811" s="309"/>
      <c r="X811" s="309"/>
      <c r="Y811" s="309"/>
      <c r="Z811" s="309"/>
      <c r="AA811" s="309"/>
    </row>
    <row r="812" ht="27.0" customHeight="1">
      <c r="A812" s="309"/>
      <c r="B812" s="309"/>
      <c r="C812" s="309"/>
      <c r="D812" s="309"/>
      <c r="E812" s="330"/>
      <c r="F812" s="309"/>
      <c r="G812" s="309"/>
      <c r="H812" s="316"/>
      <c r="I812" s="309"/>
      <c r="J812" s="309"/>
      <c r="K812" s="309"/>
      <c r="L812" s="309"/>
      <c r="M812" s="309"/>
      <c r="N812" s="309"/>
      <c r="O812" s="309"/>
      <c r="P812" s="309"/>
      <c r="Q812" s="309"/>
      <c r="R812" s="309"/>
      <c r="S812" s="309"/>
      <c r="T812" s="309"/>
      <c r="U812" s="309"/>
      <c r="V812" s="309"/>
      <c r="W812" s="309"/>
      <c r="X812" s="309"/>
      <c r="Y812" s="309"/>
      <c r="Z812" s="309"/>
      <c r="AA812" s="309"/>
    </row>
    <row r="813" ht="27.0" customHeight="1">
      <c r="A813" s="309"/>
      <c r="B813" s="309"/>
      <c r="C813" s="309"/>
      <c r="D813" s="309"/>
      <c r="E813" s="330"/>
      <c r="F813" s="309"/>
      <c r="G813" s="309"/>
      <c r="H813" s="316"/>
      <c r="I813" s="309"/>
      <c r="J813" s="309"/>
      <c r="K813" s="309"/>
      <c r="L813" s="309"/>
      <c r="M813" s="309"/>
      <c r="N813" s="309"/>
      <c r="O813" s="309"/>
      <c r="P813" s="309"/>
      <c r="Q813" s="309"/>
      <c r="R813" s="309"/>
      <c r="S813" s="309"/>
      <c r="T813" s="309"/>
      <c r="U813" s="309"/>
      <c r="V813" s="309"/>
      <c r="W813" s="309"/>
      <c r="X813" s="309"/>
      <c r="Y813" s="309"/>
      <c r="Z813" s="309"/>
      <c r="AA813" s="309"/>
    </row>
    <row r="814" ht="27.0" customHeight="1">
      <c r="A814" s="309"/>
      <c r="B814" s="309"/>
      <c r="C814" s="309"/>
      <c r="D814" s="309"/>
      <c r="E814" s="330"/>
      <c r="F814" s="309"/>
      <c r="G814" s="309"/>
      <c r="H814" s="316"/>
      <c r="I814" s="309"/>
      <c r="J814" s="309"/>
      <c r="K814" s="309"/>
      <c r="L814" s="309"/>
      <c r="M814" s="309"/>
      <c r="N814" s="309"/>
      <c r="O814" s="309"/>
      <c r="P814" s="309"/>
      <c r="Q814" s="309"/>
      <c r="R814" s="309"/>
      <c r="S814" s="309"/>
      <c r="T814" s="309"/>
      <c r="U814" s="309"/>
      <c r="V814" s="309"/>
      <c r="W814" s="309"/>
      <c r="X814" s="309"/>
      <c r="Y814" s="309"/>
      <c r="Z814" s="309"/>
      <c r="AA814" s="309"/>
    </row>
    <row r="815" ht="27.0" customHeight="1">
      <c r="A815" s="309"/>
      <c r="B815" s="309"/>
      <c r="C815" s="309"/>
      <c r="D815" s="309"/>
      <c r="E815" s="330"/>
      <c r="F815" s="309"/>
      <c r="G815" s="309"/>
      <c r="H815" s="316"/>
      <c r="I815" s="309"/>
      <c r="J815" s="309"/>
      <c r="K815" s="309"/>
      <c r="L815" s="309"/>
      <c r="M815" s="309"/>
      <c r="N815" s="309"/>
      <c r="O815" s="309"/>
      <c r="P815" s="309"/>
      <c r="Q815" s="309"/>
      <c r="R815" s="309"/>
      <c r="S815" s="309"/>
      <c r="T815" s="309"/>
      <c r="U815" s="309"/>
      <c r="V815" s="309"/>
      <c r="W815" s="309"/>
      <c r="X815" s="309"/>
      <c r="Y815" s="309"/>
      <c r="Z815" s="309"/>
      <c r="AA815" s="309"/>
    </row>
    <row r="816" ht="27.0" customHeight="1">
      <c r="A816" s="309"/>
      <c r="B816" s="309"/>
      <c r="C816" s="309"/>
      <c r="D816" s="309"/>
      <c r="E816" s="330"/>
      <c r="F816" s="309"/>
      <c r="G816" s="309"/>
      <c r="H816" s="316"/>
      <c r="I816" s="309"/>
      <c r="J816" s="309"/>
      <c r="K816" s="309"/>
      <c r="L816" s="309"/>
      <c r="M816" s="309"/>
      <c r="N816" s="309"/>
      <c r="O816" s="309"/>
      <c r="P816" s="309"/>
      <c r="Q816" s="309"/>
      <c r="R816" s="309"/>
      <c r="S816" s="309"/>
      <c r="T816" s="309"/>
      <c r="U816" s="309"/>
      <c r="V816" s="309"/>
      <c r="W816" s="309"/>
      <c r="X816" s="309"/>
      <c r="Y816" s="309"/>
      <c r="Z816" s="309"/>
      <c r="AA816" s="309"/>
    </row>
    <row r="817" ht="27.0" customHeight="1">
      <c r="A817" s="309"/>
      <c r="B817" s="309"/>
      <c r="C817" s="309"/>
      <c r="D817" s="309"/>
      <c r="E817" s="330"/>
      <c r="F817" s="309"/>
      <c r="G817" s="309"/>
      <c r="H817" s="316"/>
      <c r="I817" s="309"/>
      <c r="J817" s="309"/>
      <c r="K817" s="309"/>
      <c r="L817" s="309"/>
      <c r="M817" s="309"/>
      <c r="N817" s="309"/>
      <c r="O817" s="309"/>
      <c r="P817" s="309"/>
      <c r="Q817" s="309"/>
      <c r="R817" s="309"/>
      <c r="S817" s="309"/>
      <c r="T817" s="309"/>
      <c r="U817" s="309"/>
      <c r="V817" s="309"/>
      <c r="W817" s="309"/>
      <c r="X817" s="309"/>
      <c r="Y817" s="309"/>
      <c r="Z817" s="309"/>
      <c r="AA817" s="309"/>
    </row>
    <row r="818" ht="27.0" customHeight="1">
      <c r="A818" s="309"/>
      <c r="B818" s="309"/>
      <c r="C818" s="309"/>
      <c r="D818" s="309"/>
      <c r="E818" s="330"/>
      <c r="F818" s="309"/>
      <c r="G818" s="309"/>
      <c r="H818" s="316"/>
      <c r="I818" s="309"/>
      <c r="J818" s="309"/>
      <c r="K818" s="309"/>
      <c r="L818" s="309"/>
      <c r="M818" s="309"/>
      <c r="N818" s="309"/>
      <c r="O818" s="309"/>
      <c r="P818" s="309"/>
      <c r="Q818" s="309"/>
      <c r="R818" s="309"/>
      <c r="S818" s="309"/>
      <c r="T818" s="309"/>
      <c r="U818" s="309"/>
      <c r="V818" s="309"/>
      <c r="W818" s="309"/>
      <c r="X818" s="309"/>
      <c r="Y818" s="309"/>
      <c r="Z818" s="309"/>
      <c r="AA818" s="309"/>
    </row>
    <row r="819" ht="27.0" customHeight="1">
      <c r="A819" s="309"/>
      <c r="B819" s="309"/>
      <c r="C819" s="309"/>
      <c r="D819" s="309"/>
      <c r="E819" s="330"/>
      <c r="F819" s="309"/>
      <c r="G819" s="309"/>
      <c r="H819" s="316"/>
      <c r="I819" s="309"/>
      <c r="J819" s="309"/>
      <c r="K819" s="309"/>
      <c r="L819" s="309"/>
      <c r="M819" s="309"/>
      <c r="N819" s="309"/>
      <c r="O819" s="309"/>
      <c r="P819" s="309"/>
      <c r="Q819" s="309"/>
      <c r="R819" s="309"/>
      <c r="S819" s="309"/>
      <c r="T819" s="309"/>
      <c r="U819" s="309"/>
      <c r="V819" s="309"/>
      <c r="W819" s="309"/>
      <c r="X819" s="309"/>
      <c r="Y819" s="309"/>
      <c r="Z819" s="309"/>
      <c r="AA819" s="309"/>
    </row>
    <row r="820" ht="27.0" customHeight="1">
      <c r="A820" s="309"/>
      <c r="B820" s="309"/>
      <c r="C820" s="309"/>
      <c r="D820" s="309"/>
      <c r="E820" s="330"/>
      <c r="F820" s="309"/>
      <c r="G820" s="309"/>
      <c r="H820" s="316"/>
      <c r="I820" s="309"/>
      <c r="J820" s="309"/>
      <c r="K820" s="309"/>
      <c r="L820" s="309"/>
      <c r="M820" s="309"/>
      <c r="N820" s="309"/>
      <c r="O820" s="309"/>
      <c r="P820" s="309"/>
      <c r="Q820" s="309"/>
      <c r="R820" s="309"/>
      <c r="S820" s="309"/>
      <c r="T820" s="309"/>
      <c r="U820" s="309"/>
      <c r="V820" s="309"/>
      <c r="W820" s="309"/>
      <c r="X820" s="309"/>
      <c r="Y820" s="309"/>
      <c r="Z820" s="309"/>
      <c r="AA820" s="309"/>
    </row>
    <row r="821" ht="27.0" customHeight="1">
      <c r="A821" s="309"/>
      <c r="B821" s="309"/>
      <c r="C821" s="309"/>
      <c r="D821" s="309"/>
      <c r="E821" s="330"/>
      <c r="F821" s="309"/>
      <c r="G821" s="309"/>
      <c r="H821" s="316"/>
      <c r="I821" s="309"/>
      <c r="J821" s="309"/>
      <c r="K821" s="309"/>
      <c r="L821" s="309"/>
      <c r="M821" s="309"/>
      <c r="N821" s="309"/>
      <c r="O821" s="309"/>
      <c r="P821" s="309"/>
      <c r="Q821" s="309"/>
      <c r="R821" s="309"/>
      <c r="S821" s="309"/>
      <c r="T821" s="309"/>
      <c r="U821" s="309"/>
      <c r="V821" s="309"/>
      <c r="W821" s="309"/>
      <c r="X821" s="309"/>
      <c r="Y821" s="309"/>
      <c r="Z821" s="309"/>
      <c r="AA821" s="309"/>
    </row>
    <row r="822" ht="27.0" customHeight="1">
      <c r="A822" s="309"/>
      <c r="B822" s="309"/>
      <c r="C822" s="309"/>
      <c r="D822" s="309"/>
      <c r="E822" s="330"/>
      <c r="F822" s="309"/>
      <c r="G822" s="309"/>
      <c r="H822" s="316"/>
      <c r="I822" s="309"/>
      <c r="J822" s="309"/>
      <c r="K822" s="309"/>
      <c r="L822" s="309"/>
      <c r="M822" s="309"/>
      <c r="N822" s="309"/>
      <c r="O822" s="309"/>
      <c r="P822" s="309"/>
      <c r="Q822" s="309"/>
      <c r="R822" s="309"/>
      <c r="S822" s="309"/>
      <c r="T822" s="309"/>
      <c r="U822" s="309"/>
      <c r="V822" s="309"/>
      <c r="W822" s="309"/>
      <c r="X822" s="309"/>
      <c r="Y822" s="309"/>
      <c r="Z822" s="309"/>
      <c r="AA822" s="309"/>
    </row>
    <row r="823" ht="27.0" customHeight="1">
      <c r="A823" s="309"/>
      <c r="B823" s="309"/>
      <c r="C823" s="309"/>
      <c r="D823" s="309"/>
      <c r="E823" s="330"/>
      <c r="F823" s="309"/>
      <c r="G823" s="309"/>
      <c r="H823" s="316"/>
      <c r="I823" s="309"/>
      <c r="J823" s="309"/>
      <c r="K823" s="309"/>
      <c r="L823" s="309"/>
      <c r="M823" s="309"/>
      <c r="N823" s="309"/>
      <c r="O823" s="309"/>
      <c r="P823" s="309"/>
      <c r="Q823" s="309"/>
      <c r="R823" s="309"/>
      <c r="S823" s="309"/>
      <c r="T823" s="309"/>
      <c r="U823" s="309"/>
      <c r="V823" s="309"/>
      <c r="W823" s="309"/>
      <c r="X823" s="309"/>
      <c r="Y823" s="309"/>
      <c r="Z823" s="309"/>
      <c r="AA823" s="309"/>
    </row>
    <row r="824" ht="27.0" customHeight="1">
      <c r="A824" s="309"/>
      <c r="B824" s="309"/>
      <c r="C824" s="309"/>
      <c r="D824" s="309"/>
      <c r="E824" s="330"/>
      <c r="F824" s="309"/>
      <c r="G824" s="309"/>
      <c r="H824" s="316"/>
      <c r="I824" s="309"/>
      <c r="J824" s="309"/>
      <c r="K824" s="309"/>
      <c r="L824" s="309"/>
      <c r="M824" s="309"/>
      <c r="N824" s="309"/>
      <c r="O824" s="309"/>
      <c r="P824" s="309"/>
      <c r="Q824" s="309"/>
      <c r="R824" s="309"/>
      <c r="S824" s="309"/>
      <c r="T824" s="309"/>
      <c r="U824" s="309"/>
      <c r="V824" s="309"/>
      <c r="W824" s="309"/>
      <c r="X824" s="309"/>
      <c r="Y824" s="309"/>
      <c r="Z824" s="309"/>
      <c r="AA824" s="309"/>
    </row>
    <row r="825" ht="27.0" customHeight="1">
      <c r="A825" s="309"/>
      <c r="B825" s="309"/>
      <c r="C825" s="309"/>
      <c r="D825" s="309"/>
      <c r="E825" s="330"/>
      <c r="F825" s="309"/>
      <c r="G825" s="309"/>
      <c r="H825" s="316"/>
      <c r="I825" s="309"/>
      <c r="J825" s="309"/>
      <c r="K825" s="309"/>
      <c r="L825" s="309"/>
      <c r="M825" s="309"/>
      <c r="N825" s="309"/>
      <c r="O825" s="309"/>
      <c r="P825" s="309"/>
      <c r="Q825" s="309"/>
      <c r="R825" s="309"/>
      <c r="S825" s="309"/>
      <c r="T825" s="309"/>
      <c r="U825" s="309"/>
      <c r="V825" s="309"/>
      <c r="W825" s="309"/>
      <c r="X825" s="309"/>
      <c r="Y825" s="309"/>
      <c r="Z825" s="309"/>
      <c r="AA825" s="309"/>
    </row>
    <row r="826" ht="27.0" customHeight="1">
      <c r="A826" s="309"/>
      <c r="B826" s="309"/>
      <c r="C826" s="309"/>
      <c r="D826" s="309"/>
      <c r="E826" s="330"/>
      <c r="F826" s="309"/>
      <c r="G826" s="309"/>
      <c r="H826" s="316"/>
      <c r="I826" s="309"/>
      <c r="J826" s="309"/>
      <c r="K826" s="309"/>
      <c r="L826" s="309"/>
      <c r="M826" s="309"/>
      <c r="N826" s="309"/>
      <c r="O826" s="309"/>
      <c r="P826" s="309"/>
      <c r="Q826" s="309"/>
      <c r="R826" s="309"/>
      <c r="S826" s="309"/>
      <c r="T826" s="309"/>
      <c r="U826" s="309"/>
      <c r="V826" s="309"/>
      <c r="W826" s="309"/>
      <c r="X826" s="309"/>
      <c r="Y826" s="309"/>
      <c r="Z826" s="309"/>
      <c r="AA826" s="309"/>
    </row>
    <row r="827" ht="27.0" customHeight="1">
      <c r="A827" s="309"/>
      <c r="B827" s="309"/>
      <c r="C827" s="309"/>
      <c r="D827" s="309"/>
      <c r="E827" s="330"/>
      <c r="F827" s="309"/>
      <c r="G827" s="309"/>
      <c r="H827" s="316"/>
      <c r="I827" s="309"/>
      <c r="J827" s="309"/>
      <c r="K827" s="309"/>
      <c r="L827" s="309"/>
      <c r="M827" s="309"/>
      <c r="N827" s="309"/>
      <c r="O827" s="309"/>
      <c r="P827" s="309"/>
      <c r="Q827" s="309"/>
      <c r="R827" s="309"/>
      <c r="S827" s="309"/>
      <c r="T827" s="309"/>
      <c r="U827" s="309"/>
      <c r="V827" s="309"/>
      <c r="W827" s="309"/>
      <c r="X827" s="309"/>
      <c r="Y827" s="309"/>
      <c r="Z827" s="309"/>
      <c r="AA827" s="309"/>
    </row>
    <row r="828" ht="27.0" customHeight="1">
      <c r="A828" s="309"/>
      <c r="B828" s="309"/>
      <c r="C828" s="309"/>
      <c r="D828" s="309"/>
      <c r="E828" s="330"/>
      <c r="F828" s="309"/>
      <c r="G828" s="309"/>
      <c r="H828" s="316"/>
      <c r="I828" s="309"/>
      <c r="J828" s="309"/>
      <c r="K828" s="309"/>
      <c r="L828" s="309"/>
      <c r="M828" s="309"/>
      <c r="N828" s="309"/>
      <c r="O828" s="309"/>
      <c r="P828" s="309"/>
      <c r="Q828" s="309"/>
      <c r="R828" s="309"/>
      <c r="S828" s="309"/>
      <c r="T828" s="309"/>
      <c r="U828" s="309"/>
      <c r="V828" s="309"/>
      <c r="W828" s="309"/>
      <c r="X828" s="309"/>
      <c r="Y828" s="309"/>
      <c r="Z828" s="309"/>
      <c r="AA828" s="309"/>
    </row>
    <row r="829" ht="27.0" customHeight="1">
      <c r="A829" s="309"/>
      <c r="B829" s="309"/>
      <c r="C829" s="309"/>
      <c r="D829" s="309"/>
      <c r="E829" s="330"/>
      <c r="F829" s="309"/>
      <c r="G829" s="309"/>
      <c r="H829" s="316"/>
      <c r="I829" s="309"/>
      <c r="J829" s="309"/>
      <c r="K829" s="309"/>
      <c r="L829" s="309"/>
      <c r="M829" s="309"/>
      <c r="N829" s="309"/>
      <c r="O829" s="309"/>
      <c r="P829" s="309"/>
      <c r="Q829" s="309"/>
      <c r="R829" s="309"/>
      <c r="S829" s="309"/>
      <c r="T829" s="309"/>
      <c r="U829" s="309"/>
      <c r="V829" s="309"/>
      <c r="W829" s="309"/>
      <c r="X829" s="309"/>
      <c r="Y829" s="309"/>
      <c r="Z829" s="309"/>
      <c r="AA829" s="309"/>
    </row>
    <row r="830" ht="27.0" customHeight="1">
      <c r="A830" s="309"/>
      <c r="B830" s="309"/>
      <c r="C830" s="309"/>
      <c r="D830" s="309"/>
      <c r="E830" s="330"/>
      <c r="F830" s="309"/>
      <c r="G830" s="309"/>
      <c r="H830" s="316"/>
      <c r="I830" s="309"/>
      <c r="J830" s="309"/>
      <c r="K830" s="309"/>
      <c r="L830" s="309"/>
      <c r="M830" s="309"/>
      <c r="N830" s="309"/>
      <c r="O830" s="309"/>
      <c r="P830" s="309"/>
      <c r="Q830" s="309"/>
      <c r="R830" s="309"/>
      <c r="S830" s="309"/>
      <c r="T830" s="309"/>
      <c r="U830" s="309"/>
      <c r="V830" s="309"/>
      <c r="W830" s="309"/>
      <c r="X830" s="309"/>
      <c r="Y830" s="309"/>
      <c r="Z830" s="309"/>
      <c r="AA830" s="309"/>
    </row>
    <row r="831" ht="27.0" customHeight="1">
      <c r="A831" s="309"/>
      <c r="B831" s="309"/>
      <c r="C831" s="309"/>
      <c r="D831" s="309"/>
      <c r="E831" s="330"/>
      <c r="F831" s="309"/>
      <c r="G831" s="309"/>
      <c r="H831" s="316"/>
      <c r="I831" s="309"/>
      <c r="J831" s="309"/>
      <c r="K831" s="309"/>
      <c r="L831" s="309"/>
      <c r="M831" s="309"/>
      <c r="N831" s="309"/>
      <c r="O831" s="309"/>
      <c r="P831" s="309"/>
      <c r="Q831" s="309"/>
      <c r="R831" s="309"/>
      <c r="S831" s="309"/>
      <c r="T831" s="309"/>
      <c r="U831" s="309"/>
      <c r="V831" s="309"/>
      <c r="W831" s="309"/>
      <c r="X831" s="309"/>
      <c r="Y831" s="309"/>
      <c r="Z831" s="309"/>
      <c r="AA831" s="309"/>
    </row>
    <row r="832" ht="27.0" customHeight="1">
      <c r="A832" s="309"/>
      <c r="B832" s="309"/>
      <c r="C832" s="309"/>
      <c r="D832" s="309"/>
      <c r="E832" s="330"/>
      <c r="F832" s="309"/>
      <c r="G832" s="309"/>
      <c r="H832" s="316"/>
      <c r="I832" s="309"/>
      <c r="J832" s="309"/>
      <c r="K832" s="309"/>
      <c r="L832" s="309"/>
      <c r="M832" s="309"/>
      <c r="N832" s="309"/>
      <c r="O832" s="309"/>
      <c r="P832" s="309"/>
      <c r="Q832" s="309"/>
      <c r="R832" s="309"/>
      <c r="S832" s="309"/>
      <c r="T832" s="309"/>
      <c r="U832" s="309"/>
      <c r="V832" s="309"/>
      <c r="W832" s="309"/>
      <c r="X832" s="309"/>
      <c r="Y832" s="309"/>
      <c r="Z832" s="309"/>
      <c r="AA832" s="309"/>
    </row>
    <row r="833" ht="27.0" customHeight="1">
      <c r="A833" s="309"/>
      <c r="B833" s="309"/>
      <c r="C833" s="309"/>
      <c r="D833" s="309"/>
      <c r="E833" s="330"/>
      <c r="F833" s="309"/>
      <c r="G833" s="309"/>
      <c r="H833" s="316"/>
      <c r="I833" s="309"/>
      <c r="J833" s="309"/>
      <c r="K833" s="309"/>
      <c r="L833" s="309"/>
      <c r="M833" s="309"/>
      <c r="N833" s="309"/>
      <c r="O833" s="309"/>
      <c r="P833" s="309"/>
      <c r="Q833" s="309"/>
      <c r="R833" s="309"/>
      <c r="S833" s="309"/>
      <c r="T833" s="309"/>
      <c r="U833" s="309"/>
      <c r="V833" s="309"/>
      <c r="W833" s="309"/>
      <c r="X833" s="309"/>
      <c r="Y833" s="309"/>
      <c r="Z833" s="309"/>
      <c r="AA833" s="309"/>
    </row>
    <row r="834" ht="27.0" customHeight="1">
      <c r="A834" s="309"/>
      <c r="B834" s="309"/>
      <c r="C834" s="309"/>
      <c r="D834" s="309"/>
      <c r="E834" s="330"/>
      <c r="F834" s="309"/>
      <c r="G834" s="309"/>
      <c r="H834" s="316"/>
      <c r="I834" s="309"/>
      <c r="J834" s="309"/>
      <c r="K834" s="309"/>
      <c r="L834" s="309"/>
      <c r="M834" s="309"/>
      <c r="N834" s="309"/>
      <c r="O834" s="309"/>
      <c r="P834" s="309"/>
      <c r="Q834" s="309"/>
      <c r="R834" s="309"/>
      <c r="S834" s="309"/>
      <c r="T834" s="309"/>
      <c r="U834" s="309"/>
      <c r="V834" s="309"/>
      <c r="W834" s="309"/>
      <c r="X834" s="309"/>
      <c r="Y834" s="309"/>
      <c r="Z834" s="309"/>
      <c r="AA834" s="309"/>
    </row>
    <row r="835" ht="27.0" customHeight="1">
      <c r="A835" s="309"/>
      <c r="B835" s="309"/>
      <c r="C835" s="309"/>
      <c r="D835" s="309"/>
      <c r="E835" s="330"/>
      <c r="F835" s="309"/>
      <c r="G835" s="309"/>
      <c r="H835" s="316"/>
      <c r="I835" s="309"/>
      <c r="J835" s="309"/>
      <c r="K835" s="309"/>
      <c r="L835" s="309"/>
      <c r="M835" s="309"/>
      <c r="N835" s="309"/>
      <c r="O835" s="309"/>
      <c r="P835" s="309"/>
      <c r="Q835" s="309"/>
      <c r="R835" s="309"/>
      <c r="S835" s="309"/>
      <c r="T835" s="309"/>
      <c r="U835" s="309"/>
      <c r="V835" s="309"/>
      <c r="W835" s="309"/>
      <c r="X835" s="309"/>
      <c r="Y835" s="309"/>
      <c r="Z835" s="309"/>
      <c r="AA835" s="309"/>
    </row>
    <row r="836" ht="27.0" customHeight="1">
      <c r="A836" s="309"/>
      <c r="B836" s="309"/>
      <c r="C836" s="309"/>
      <c r="D836" s="309"/>
      <c r="E836" s="330"/>
      <c r="F836" s="309"/>
      <c r="G836" s="309"/>
      <c r="H836" s="316"/>
      <c r="I836" s="309"/>
      <c r="J836" s="309"/>
      <c r="K836" s="309"/>
      <c r="L836" s="309"/>
      <c r="M836" s="309"/>
      <c r="N836" s="309"/>
      <c r="O836" s="309"/>
      <c r="P836" s="309"/>
      <c r="Q836" s="309"/>
      <c r="R836" s="309"/>
      <c r="S836" s="309"/>
      <c r="T836" s="309"/>
      <c r="U836" s="309"/>
      <c r="V836" s="309"/>
      <c r="W836" s="309"/>
      <c r="X836" s="309"/>
      <c r="Y836" s="309"/>
      <c r="Z836" s="309"/>
      <c r="AA836" s="309"/>
    </row>
    <row r="837" ht="27.0" customHeight="1">
      <c r="A837" s="309"/>
      <c r="B837" s="309"/>
      <c r="C837" s="309"/>
      <c r="D837" s="309"/>
      <c r="E837" s="330"/>
      <c r="F837" s="309"/>
      <c r="G837" s="309"/>
      <c r="H837" s="316"/>
      <c r="I837" s="309"/>
      <c r="J837" s="309"/>
      <c r="K837" s="309"/>
      <c r="L837" s="309"/>
      <c r="M837" s="309"/>
      <c r="N837" s="309"/>
      <c r="O837" s="309"/>
      <c r="P837" s="309"/>
      <c r="Q837" s="309"/>
      <c r="R837" s="309"/>
      <c r="S837" s="309"/>
      <c r="T837" s="309"/>
      <c r="U837" s="309"/>
      <c r="V837" s="309"/>
      <c r="W837" s="309"/>
      <c r="X837" s="309"/>
      <c r="Y837" s="309"/>
      <c r="Z837" s="309"/>
      <c r="AA837" s="309"/>
    </row>
    <row r="838" ht="27.0" customHeight="1">
      <c r="A838" s="309"/>
      <c r="B838" s="309"/>
      <c r="C838" s="309"/>
      <c r="D838" s="309"/>
      <c r="E838" s="330"/>
      <c r="F838" s="309"/>
      <c r="G838" s="309"/>
      <c r="H838" s="316"/>
      <c r="I838" s="309"/>
      <c r="J838" s="309"/>
      <c r="K838" s="309"/>
      <c r="L838" s="309"/>
      <c r="M838" s="309"/>
      <c r="N838" s="309"/>
      <c r="O838" s="309"/>
      <c r="P838" s="309"/>
      <c r="Q838" s="309"/>
      <c r="R838" s="309"/>
      <c r="S838" s="309"/>
      <c r="T838" s="309"/>
      <c r="U838" s="309"/>
      <c r="V838" s="309"/>
      <c r="W838" s="309"/>
      <c r="X838" s="309"/>
      <c r="Y838" s="309"/>
      <c r="Z838" s="309"/>
      <c r="AA838" s="309"/>
    </row>
    <row r="839" ht="27.0" customHeight="1">
      <c r="A839" s="309"/>
      <c r="B839" s="309"/>
      <c r="C839" s="309"/>
      <c r="D839" s="309"/>
      <c r="E839" s="330"/>
      <c r="F839" s="309"/>
      <c r="G839" s="309"/>
      <c r="H839" s="316"/>
      <c r="I839" s="309"/>
      <c r="J839" s="309"/>
      <c r="K839" s="309"/>
      <c r="L839" s="309"/>
      <c r="M839" s="309"/>
      <c r="N839" s="309"/>
      <c r="O839" s="309"/>
      <c r="P839" s="309"/>
      <c r="Q839" s="309"/>
      <c r="R839" s="309"/>
      <c r="S839" s="309"/>
      <c r="T839" s="309"/>
      <c r="U839" s="309"/>
      <c r="V839" s="309"/>
      <c r="W839" s="309"/>
      <c r="X839" s="309"/>
      <c r="Y839" s="309"/>
      <c r="Z839" s="309"/>
      <c r="AA839" s="309"/>
    </row>
    <row r="840" ht="27.0" customHeight="1">
      <c r="A840" s="309"/>
      <c r="B840" s="309"/>
      <c r="C840" s="309"/>
      <c r="D840" s="309"/>
      <c r="E840" s="330"/>
      <c r="F840" s="309"/>
      <c r="G840" s="309"/>
      <c r="H840" s="316"/>
      <c r="I840" s="309"/>
      <c r="J840" s="309"/>
      <c r="K840" s="309"/>
      <c r="L840" s="309"/>
      <c r="M840" s="309"/>
      <c r="N840" s="309"/>
      <c r="O840" s="309"/>
      <c r="P840" s="309"/>
      <c r="Q840" s="309"/>
      <c r="R840" s="309"/>
      <c r="S840" s="309"/>
      <c r="T840" s="309"/>
      <c r="U840" s="309"/>
      <c r="V840" s="309"/>
      <c r="W840" s="309"/>
      <c r="X840" s="309"/>
      <c r="Y840" s="309"/>
      <c r="Z840" s="309"/>
      <c r="AA840" s="309"/>
    </row>
    <row r="841" ht="27.0" customHeight="1">
      <c r="A841" s="309"/>
      <c r="B841" s="309"/>
      <c r="C841" s="309"/>
      <c r="D841" s="309"/>
      <c r="E841" s="330"/>
      <c r="F841" s="309"/>
      <c r="G841" s="309"/>
      <c r="H841" s="316"/>
      <c r="I841" s="309"/>
      <c r="J841" s="309"/>
      <c r="K841" s="309"/>
      <c r="L841" s="309"/>
      <c r="M841" s="309"/>
      <c r="N841" s="309"/>
      <c r="O841" s="309"/>
      <c r="P841" s="309"/>
      <c r="Q841" s="309"/>
      <c r="R841" s="309"/>
      <c r="S841" s="309"/>
      <c r="T841" s="309"/>
      <c r="U841" s="309"/>
      <c r="V841" s="309"/>
      <c r="W841" s="309"/>
      <c r="X841" s="309"/>
      <c r="Y841" s="309"/>
      <c r="Z841" s="309"/>
      <c r="AA841" s="309"/>
    </row>
    <row r="842" ht="27.0" customHeight="1">
      <c r="A842" s="309"/>
      <c r="B842" s="309"/>
      <c r="C842" s="309"/>
      <c r="D842" s="309"/>
      <c r="E842" s="330"/>
      <c r="F842" s="309"/>
      <c r="G842" s="309"/>
      <c r="H842" s="316"/>
      <c r="I842" s="309"/>
      <c r="J842" s="309"/>
      <c r="K842" s="309"/>
      <c r="L842" s="309"/>
      <c r="M842" s="309"/>
      <c r="N842" s="309"/>
      <c r="O842" s="309"/>
      <c r="P842" s="309"/>
      <c r="Q842" s="309"/>
      <c r="R842" s="309"/>
      <c r="S842" s="309"/>
      <c r="T842" s="309"/>
      <c r="U842" s="309"/>
      <c r="V842" s="309"/>
      <c r="W842" s="309"/>
      <c r="X842" s="309"/>
      <c r="Y842" s="309"/>
      <c r="Z842" s="309"/>
      <c r="AA842" s="309"/>
    </row>
    <row r="843" ht="27.0" customHeight="1">
      <c r="A843" s="309"/>
      <c r="B843" s="309"/>
      <c r="C843" s="309"/>
      <c r="D843" s="309"/>
      <c r="E843" s="330"/>
      <c r="F843" s="309"/>
      <c r="G843" s="309"/>
      <c r="H843" s="316"/>
      <c r="I843" s="309"/>
      <c r="J843" s="309"/>
      <c r="K843" s="309"/>
      <c r="L843" s="309"/>
      <c r="M843" s="309"/>
      <c r="N843" s="309"/>
      <c r="O843" s="309"/>
      <c r="P843" s="309"/>
      <c r="Q843" s="309"/>
      <c r="R843" s="309"/>
      <c r="S843" s="309"/>
      <c r="T843" s="309"/>
      <c r="U843" s="309"/>
      <c r="V843" s="309"/>
      <c r="W843" s="309"/>
      <c r="X843" s="309"/>
      <c r="Y843" s="309"/>
      <c r="Z843" s="309"/>
      <c r="AA843" s="309"/>
    </row>
    <row r="844" ht="27.0" customHeight="1">
      <c r="A844" s="309"/>
      <c r="B844" s="309"/>
      <c r="C844" s="309"/>
      <c r="D844" s="309"/>
      <c r="E844" s="330"/>
      <c r="F844" s="309"/>
      <c r="G844" s="309"/>
      <c r="H844" s="316"/>
      <c r="I844" s="309"/>
      <c r="J844" s="309"/>
      <c r="K844" s="309"/>
      <c r="L844" s="309"/>
      <c r="M844" s="309"/>
      <c r="N844" s="309"/>
      <c r="O844" s="309"/>
      <c r="P844" s="309"/>
      <c r="Q844" s="309"/>
      <c r="R844" s="309"/>
      <c r="S844" s="309"/>
      <c r="T844" s="309"/>
      <c r="U844" s="309"/>
      <c r="V844" s="309"/>
      <c r="W844" s="309"/>
      <c r="X844" s="309"/>
      <c r="Y844" s="309"/>
      <c r="Z844" s="309"/>
      <c r="AA844" s="309"/>
    </row>
    <row r="845" ht="27.0" customHeight="1">
      <c r="A845" s="309"/>
      <c r="B845" s="309"/>
      <c r="C845" s="309"/>
      <c r="D845" s="309"/>
      <c r="E845" s="330"/>
      <c r="F845" s="309"/>
      <c r="G845" s="309"/>
      <c r="H845" s="316"/>
      <c r="I845" s="309"/>
      <c r="J845" s="309"/>
      <c r="K845" s="309"/>
      <c r="L845" s="309"/>
      <c r="M845" s="309"/>
      <c r="N845" s="309"/>
      <c r="O845" s="309"/>
      <c r="P845" s="309"/>
      <c r="Q845" s="309"/>
      <c r="R845" s="309"/>
      <c r="S845" s="309"/>
      <c r="T845" s="309"/>
      <c r="U845" s="309"/>
      <c r="V845" s="309"/>
      <c r="W845" s="309"/>
      <c r="X845" s="309"/>
      <c r="Y845" s="309"/>
      <c r="Z845" s="309"/>
      <c r="AA845" s="309"/>
    </row>
    <row r="846" ht="27.0" customHeight="1">
      <c r="A846" s="309"/>
      <c r="B846" s="309"/>
      <c r="C846" s="309"/>
      <c r="D846" s="309"/>
      <c r="E846" s="330"/>
      <c r="F846" s="309"/>
      <c r="G846" s="309"/>
      <c r="H846" s="316"/>
      <c r="I846" s="309"/>
      <c r="J846" s="309"/>
      <c r="K846" s="309"/>
      <c r="L846" s="309"/>
      <c r="M846" s="309"/>
      <c r="N846" s="309"/>
      <c r="O846" s="309"/>
      <c r="P846" s="309"/>
      <c r="Q846" s="309"/>
      <c r="R846" s="309"/>
      <c r="S846" s="309"/>
      <c r="T846" s="309"/>
      <c r="U846" s="309"/>
      <c r="V846" s="309"/>
      <c r="W846" s="309"/>
      <c r="X846" s="309"/>
      <c r="Y846" s="309"/>
      <c r="Z846" s="309"/>
      <c r="AA846" s="309"/>
    </row>
    <row r="847" ht="27.0" customHeight="1">
      <c r="A847" s="309"/>
      <c r="B847" s="309"/>
      <c r="C847" s="309"/>
      <c r="D847" s="309"/>
      <c r="E847" s="330"/>
      <c r="F847" s="309"/>
      <c r="G847" s="309"/>
      <c r="H847" s="316"/>
      <c r="I847" s="309"/>
      <c r="J847" s="309"/>
      <c r="K847" s="309"/>
      <c r="L847" s="309"/>
      <c r="M847" s="309"/>
      <c r="N847" s="309"/>
      <c r="O847" s="309"/>
      <c r="P847" s="309"/>
      <c r="Q847" s="309"/>
      <c r="R847" s="309"/>
      <c r="S847" s="309"/>
      <c r="T847" s="309"/>
      <c r="U847" s="309"/>
      <c r="V847" s="309"/>
      <c r="W847" s="309"/>
      <c r="X847" s="309"/>
      <c r="Y847" s="309"/>
      <c r="Z847" s="309"/>
      <c r="AA847" s="309"/>
    </row>
    <row r="848" ht="27.0" customHeight="1">
      <c r="A848" s="309"/>
      <c r="B848" s="309"/>
      <c r="C848" s="309"/>
      <c r="D848" s="309"/>
      <c r="E848" s="330"/>
      <c r="F848" s="309"/>
      <c r="G848" s="309"/>
      <c r="H848" s="316"/>
      <c r="I848" s="309"/>
      <c r="J848" s="309"/>
      <c r="K848" s="309"/>
      <c r="L848" s="309"/>
      <c r="M848" s="309"/>
      <c r="N848" s="309"/>
      <c r="O848" s="309"/>
      <c r="P848" s="309"/>
      <c r="Q848" s="309"/>
      <c r="R848" s="309"/>
      <c r="S848" s="309"/>
      <c r="T848" s="309"/>
      <c r="U848" s="309"/>
      <c r="V848" s="309"/>
      <c r="W848" s="309"/>
      <c r="X848" s="309"/>
      <c r="Y848" s="309"/>
      <c r="Z848" s="309"/>
      <c r="AA848" s="309"/>
    </row>
    <row r="849" ht="27.0" customHeight="1">
      <c r="A849" s="309"/>
      <c r="B849" s="309"/>
      <c r="C849" s="309"/>
      <c r="D849" s="309"/>
      <c r="E849" s="330"/>
      <c r="F849" s="309"/>
      <c r="G849" s="309"/>
      <c r="H849" s="316"/>
      <c r="I849" s="309"/>
      <c r="J849" s="309"/>
      <c r="K849" s="309"/>
      <c r="L849" s="309"/>
      <c r="M849" s="309"/>
      <c r="N849" s="309"/>
      <c r="O849" s="309"/>
      <c r="P849" s="309"/>
      <c r="Q849" s="309"/>
      <c r="R849" s="309"/>
      <c r="S849" s="309"/>
      <c r="T849" s="309"/>
      <c r="U849" s="309"/>
      <c r="V849" s="309"/>
      <c r="W849" s="309"/>
      <c r="X849" s="309"/>
      <c r="Y849" s="309"/>
      <c r="Z849" s="309"/>
      <c r="AA849" s="309"/>
    </row>
    <row r="850" ht="27.0" customHeight="1">
      <c r="A850" s="309"/>
      <c r="B850" s="309"/>
      <c r="C850" s="309"/>
      <c r="D850" s="309"/>
      <c r="E850" s="330"/>
      <c r="F850" s="309"/>
      <c r="G850" s="309"/>
      <c r="H850" s="316"/>
      <c r="I850" s="309"/>
      <c r="J850" s="309"/>
      <c r="K850" s="309"/>
      <c r="L850" s="309"/>
      <c r="M850" s="309"/>
      <c r="N850" s="309"/>
      <c r="O850" s="309"/>
      <c r="P850" s="309"/>
      <c r="Q850" s="309"/>
      <c r="R850" s="309"/>
      <c r="S850" s="309"/>
      <c r="T850" s="309"/>
      <c r="U850" s="309"/>
      <c r="V850" s="309"/>
      <c r="W850" s="309"/>
      <c r="X850" s="309"/>
      <c r="Y850" s="309"/>
      <c r="Z850" s="309"/>
      <c r="AA850" s="309"/>
    </row>
    <row r="851" ht="27.0" customHeight="1">
      <c r="A851" s="309"/>
      <c r="B851" s="309"/>
      <c r="C851" s="309"/>
      <c r="D851" s="309"/>
      <c r="E851" s="330"/>
      <c r="F851" s="309"/>
      <c r="G851" s="309"/>
      <c r="H851" s="316"/>
      <c r="I851" s="309"/>
      <c r="J851" s="309"/>
      <c r="K851" s="309"/>
      <c r="L851" s="309"/>
      <c r="M851" s="309"/>
      <c r="N851" s="309"/>
      <c r="O851" s="309"/>
      <c r="P851" s="309"/>
      <c r="Q851" s="309"/>
      <c r="R851" s="309"/>
      <c r="S851" s="309"/>
      <c r="T851" s="309"/>
      <c r="U851" s="309"/>
      <c r="V851" s="309"/>
      <c r="W851" s="309"/>
      <c r="X851" s="309"/>
      <c r="Y851" s="309"/>
      <c r="Z851" s="309"/>
      <c r="AA851" s="309"/>
    </row>
    <row r="852" ht="27.0" customHeight="1">
      <c r="A852" s="309"/>
      <c r="B852" s="309"/>
      <c r="C852" s="309"/>
      <c r="D852" s="309"/>
      <c r="E852" s="330"/>
      <c r="F852" s="309"/>
      <c r="G852" s="309"/>
      <c r="H852" s="316"/>
      <c r="I852" s="309"/>
      <c r="J852" s="309"/>
      <c r="K852" s="309"/>
      <c r="L852" s="309"/>
      <c r="M852" s="309"/>
      <c r="N852" s="309"/>
      <c r="O852" s="309"/>
      <c r="P852" s="309"/>
      <c r="Q852" s="309"/>
      <c r="R852" s="309"/>
      <c r="S852" s="309"/>
      <c r="T852" s="309"/>
      <c r="U852" s="309"/>
      <c r="V852" s="309"/>
      <c r="W852" s="309"/>
      <c r="X852" s="309"/>
      <c r="Y852" s="309"/>
      <c r="Z852" s="309"/>
      <c r="AA852" s="309"/>
    </row>
    <row r="853" ht="27.0" customHeight="1">
      <c r="A853" s="309"/>
      <c r="B853" s="309"/>
      <c r="C853" s="309"/>
      <c r="D853" s="309"/>
      <c r="E853" s="330"/>
      <c r="F853" s="309"/>
      <c r="G853" s="309"/>
      <c r="H853" s="316"/>
      <c r="I853" s="309"/>
      <c r="J853" s="309"/>
      <c r="K853" s="309"/>
      <c r="L853" s="309"/>
      <c r="M853" s="309"/>
      <c r="N853" s="309"/>
      <c r="O853" s="309"/>
      <c r="P853" s="309"/>
      <c r="Q853" s="309"/>
      <c r="R853" s="309"/>
      <c r="S853" s="309"/>
      <c r="T853" s="309"/>
      <c r="U853" s="309"/>
      <c r="V853" s="309"/>
      <c r="W853" s="309"/>
      <c r="X853" s="309"/>
      <c r="Y853" s="309"/>
      <c r="Z853" s="309"/>
      <c r="AA853" s="309"/>
    </row>
    <row r="854" ht="27.0" customHeight="1">
      <c r="A854" s="309"/>
      <c r="B854" s="309"/>
      <c r="C854" s="309"/>
      <c r="D854" s="309"/>
      <c r="E854" s="330"/>
      <c r="F854" s="309"/>
      <c r="G854" s="309"/>
      <c r="H854" s="316"/>
      <c r="I854" s="309"/>
      <c r="J854" s="309"/>
      <c r="K854" s="309"/>
      <c r="L854" s="309"/>
      <c r="M854" s="309"/>
      <c r="N854" s="309"/>
      <c r="O854" s="309"/>
      <c r="P854" s="309"/>
      <c r="Q854" s="309"/>
      <c r="R854" s="309"/>
      <c r="S854" s="309"/>
      <c r="T854" s="309"/>
      <c r="U854" s="309"/>
      <c r="V854" s="309"/>
      <c r="W854" s="309"/>
      <c r="X854" s="309"/>
      <c r="Y854" s="309"/>
      <c r="Z854" s="309"/>
      <c r="AA854" s="309"/>
    </row>
    <row r="855" ht="27.0" customHeight="1">
      <c r="A855" s="309"/>
      <c r="B855" s="309"/>
      <c r="C855" s="309"/>
      <c r="D855" s="309"/>
      <c r="E855" s="330"/>
      <c r="F855" s="309"/>
      <c r="G855" s="309"/>
      <c r="H855" s="316"/>
      <c r="I855" s="309"/>
      <c r="J855" s="309"/>
      <c r="K855" s="309"/>
      <c r="L855" s="309"/>
      <c r="M855" s="309"/>
      <c r="N855" s="309"/>
      <c r="O855" s="309"/>
      <c r="P855" s="309"/>
      <c r="Q855" s="309"/>
      <c r="R855" s="309"/>
      <c r="S855" s="309"/>
      <c r="T855" s="309"/>
      <c r="U855" s="309"/>
      <c r="V855" s="309"/>
      <c r="W855" s="309"/>
      <c r="X855" s="309"/>
      <c r="Y855" s="309"/>
      <c r="Z855" s="309"/>
      <c r="AA855" s="309"/>
    </row>
    <row r="856" ht="27.0" customHeight="1">
      <c r="A856" s="309"/>
      <c r="B856" s="309"/>
      <c r="C856" s="309"/>
      <c r="D856" s="309"/>
      <c r="E856" s="330"/>
      <c r="F856" s="309"/>
      <c r="G856" s="309"/>
      <c r="H856" s="316"/>
      <c r="I856" s="309"/>
      <c r="J856" s="309"/>
      <c r="K856" s="309"/>
      <c r="L856" s="309"/>
      <c r="M856" s="309"/>
      <c r="N856" s="309"/>
      <c r="O856" s="309"/>
      <c r="P856" s="309"/>
      <c r="Q856" s="309"/>
      <c r="R856" s="309"/>
      <c r="S856" s="309"/>
      <c r="T856" s="309"/>
      <c r="U856" s="309"/>
      <c r="V856" s="309"/>
      <c r="W856" s="309"/>
      <c r="X856" s="309"/>
      <c r="Y856" s="309"/>
      <c r="Z856" s="309"/>
      <c r="AA856" s="309"/>
    </row>
    <row r="857" ht="27.0" customHeight="1">
      <c r="A857" s="309"/>
      <c r="B857" s="309"/>
      <c r="C857" s="309"/>
      <c r="D857" s="309"/>
      <c r="E857" s="330"/>
      <c r="F857" s="309"/>
      <c r="G857" s="309"/>
      <c r="H857" s="316"/>
      <c r="I857" s="309"/>
      <c r="J857" s="309"/>
      <c r="K857" s="309"/>
      <c r="L857" s="309"/>
      <c r="M857" s="309"/>
      <c r="N857" s="309"/>
      <c r="O857" s="309"/>
      <c r="P857" s="309"/>
      <c r="Q857" s="309"/>
      <c r="R857" s="309"/>
      <c r="S857" s="309"/>
      <c r="T857" s="309"/>
      <c r="U857" s="309"/>
      <c r="V857" s="309"/>
      <c r="W857" s="309"/>
      <c r="X857" s="309"/>
      <c r="Y857" s="309"/>
      <c r="Z857" s="309"/>
      <c r="AA857" s="309"/>
    </row>
    <row r="858" ht="27.0" customHeight="1">
      <c r="A858" s="309"/>
      <c r="B858" s="309"/>
      <c r="C858" s="309"/>
      <c r="D858" s="309"/>
      <c r="E858" s="330"/>
      <c r="F858" s="309"/>
      <c r="G858" s="309"/>
      <c r="H858" s="316"/>
      <c r="I858" s="309"/>
      <c r="J858" s="309"/>
      <c r="K858" s="309"/>
      <c r="L858" s="309"/>
      <c r="M858" s="309"/>
      <c r="N858" s="309"/>
      <c r="O858" s="309"/>
      <c r="P858" s="309"/>
      <c r="Q858" s="309"/>
      <c r="R858" s="309"/>
      <c r="S858" s="309"/>
      <c r="T858" s="309"/>
      <c r="U858" s="309"/>
      <c r="V858" s="309"/>
      <c r="W858" s="309"/>
      <c r="X858" s="309"/>
      <c r="Y858" s="309"/>
      <c r="Z858" s="309"/>
      <c r="AA858" s="309"/>
    </row>
    <row r="859" ht="27.0" customHeight="1">
      <c r="A859" s="309"/>
      <c r="B859" s="309"/>
      <c r="C859" s="309"/>
      <c r="D859" s="309"/>
      <c r="E859" s="330"/>
      <c r="F859" s="309"/>
      <c r="G859" s="309"/>
      <c r="H859" s="316"/>
      <c r="I859" s="309"/>
      <c r="J859" s="309"/>
      <c r="K859" s="309"/>
      <c r="L859" s="309"/>
      <c r="M859" s="309"/>
      <c r="N859" s="309"/>
      <c r="O859" s="309"/>
      <c r="P859" s="309"/>
      <c r="Q859" s="309"/>
      <c r="R859" s="309"/>
      <c r="S859" s="309"/>
      <c r="T859" s="309"/>
      <c r="U859" s="309"/>
      <c r="V859" s="309"/>
      <c r="W859" s="309"/>
      <c r="X859" s="309"/>
      <c r="Y859" s="309"/>
      <c r="Z859" s="309"/>
      <c r="AA859" s="309"/>
    </row>
    <row r="860" ht="27.0" customHeight="1">
      <c r="A860" s="309"/>
      <c r="B860" s="309"/>
      <c r="C860" s="309"/>
      <c r="D860" s="309"/>
      <c r="E860" s="330"/>
      <c r="F860" s="309"/>
      <c r="G860" s="309"/>
      <c r="H860" s="316"/>
      <c r="I860" s="309"/>
      <c r="J860" s="309"/>
      <c r="K860" s="309"/>
      <c r="L860" s="309"/>
      <c r="M860" s="309"/>
      <c r="N860" s="309"/>
      <c r="O860" s="309"/>
      <c r="P860" s="309"/>
      <c r="Q860" s="309"/>
      <c r="R860" s="309"/>
      <c r="S860" s="309"/>
      <c r="T860" s="309"/>
      <c r="U860" s="309"/>
      <c r="V860" s="309"/>
      <c r="W860" s="309"/>
      <c r="X860" s="309"/>
      <c r="Y860" s="309"/>
      <c r="Z860" s="309"/>
      <c r="AA860" s="309"/>
    </row>
    <row r="861" ht="27.0" customHeight="1">
      <c r="A861" s="309"/>
      <c r="B861" s="309"/>
      <c r="C861" s="309"/>
      <c r="D861" s="309"/>
      <c r="E861" s="330"/>
      <c r="F861" s="309"/>
      <c r="G861" s="309"/>
      <c r="H861" s="316"/>
      <c r="I861" s="309"/>
      <c r="J861" s="309"/>
      <c r="K861" s="309"/>
      <c r="L861" s="309"/>
      <c r="M861" s="309"/>
      <c r="N861" s="309"/>
      <c r="O861" s="309"/>
      <c r="P861" s="309"/>
      <c r="Q861" s="309"/>
      <c r="R861" s="309"/>
      <c r="S861" s="309"/>
      <c r="T861" s="309"/>
      <c r="U861" s="309"/>
      <c r="V861" s="309"/>
      <c r="W861" s="309"/>
      <c r="X861" s="309"/>
      <c r="Y861" s="309"/>
      <c r="Z861" s="309"/>
      <c r="AA861" s="309"/>
    </row>
    <row r="862" ht="27.0" customHeight="1">
      <c r="A862" s="309"/>
      <c r="B862" s="309"/>
      <c r="C862" s="309"/>
      <c r="D862" s="309"/>
      <c r="E862" s="330"/>
      <c r="F862" s="309"/>
      <c r="G862" s="309"/>
      <c r="H862" s="316"/>
      <c r="I862" s="309"/>
      <c r="J862" s="309"/>
      <c r="K862" s="309"/>
      <c r="L862" s="309"/>
      <c r="M862" s="309"/>
      <c r="N862" s="309"/>
      <c r="O862" s="309"/>
      <c r="P862" s="309"/>
      <c r="Q862" s="309"/>
      <c r="R862" s="309"/>
      <c r="S862" s="309"/>
      <c r="T862" s="309"/>
      <c r="U862" s="309"/>
      <c r="V862" s="309"/>
      <c r="W862" s="309"/>
      <c r="X862" s="309"/>
      <c r="Y862" s="309"/>
      <c r="Z862" s="309"/>
      <c r="AA862" s="309"/>
    </row>
    <row r="863" ht="27.0" customHeight="1">
      <c r="A863" s="309"/>
      <c r="B863" s="309"/>
      <c r="C863" s="309"/>
      <c r="D863" s="309"/>
      <c r="E863" s="330"/>
      <c r="F863" s="309"/>
      <c r="G863" s="309"/>
      <c r="H863" s="316"/>
      <c r="I863" s="309"/>
      <c r="J863" s="309"/>
      <c r="K863" s="309"/>
      <c r="L863" s="309"/>
      <c r="M863" s="309"/>
      <c r="N863" s="309"/>
      <c r="O863" s="309"/>
      <c r="P863" s="309"/>
      <c r="Q863" s="309"/>
      <c r="R863" s="309"/>
      <c r="S863" s="309"/>
      <c r="T863" s="309"/>
      <c r="U863" s="309"/>
      <c r="V863" s="309"/>
      <c r="W863" s="309"/>
      <c r="X863" s="309"/>
      <c r="Y863" s="309"/>
      <c r="Z863" s="309"/>
      <c r="AA863" s="309"/>
    </row>
    <row r="864" ht="27.0" customHeight="1">
      <c r="A864" s="309"/>
      <c r="B864" s="309"/>
      <c r="C864" s="309"/>
      <c r="D864" s="309"/>
      <c r="E864" s="330"/>
      <c r="F864" s="309"/>
      <c r="G864" s="309"/>
      <c r="H864" s="316"/>
      <c r="I864" s="309"/>
      <c r="J864" s="309"/>
      <c r="K864" s="309"/>
      <c r="L864" s="309"/>
      <c r="M864" s="309"/>
      <c r="N864" s="309"/>
      <c r="O864" s="309"/>
      <c r="P864" s="309"/>
      <c r="Q864" s="309"/>
      <c r="R864" s="309"/>
      <c r="S864" s="309"/>
      <c r="T864" s="309"/>
      <c r="U864" s="309"/>
      <c r="V864" s="309"/>
      <c r="W864" s="309"/>
      <c r="X864" s="309"/>
      <c r="Y864" s="309"/>
      <c r="Z864" s="309"/>
      <c r="AA864" s="309"/>
    </row>
    <row r="865" ht="27.0" customHeight="1">
      <c r="A865" s="309"/>
      <c r="B865" s="309"/>
      <c r="C865" s="309"/>
      <c r="D865" s="309"/>
      <c r="E865" s="330"/>
      <c r="F865" s="309"/>
      <c r="G865" s="309"/>
      <c r="H865" s="316"/>
      <c r="I865" s="309"/>
      <c r="J865" s="309"/>
      <c r="K865" s="309"/>
      <c r="L865" s="309"/>
      <c r="M865" s="309"/>
      <c r="N865" s="309"/>
      <c r="O865" s="309"/>
      <c r="P865" s="309"/>
      <c r="Q865" s="309"/>
      <c r="R865" s="309"/>
      <c r="S865" s="309"/>
      <c r="T865" s="309"/>
      <c r="U865" s="309"/>
      <c r="V865" s="309"/>
      <c r="W865" s="309"/>
      <c r="X865" s="309"/>
      <c r="Y865" s="309"/>
      <c r="Z865" s="309"/>
      <c r="AA865" s="309"/>
    </row>
    <row r="866" ht="27.0" customHeight="1">
      <c r="A866" s="309"/>
      <c r="B866" s="309"/>
      <c r="C866" s="309"/>
      <c r="D866" s="309"/>
      <c r="E866" s="330"/>
      <c r="F866" s="309"/>
      <c r="G866" s="309"/>
      <c r="H866" s="316"/>
      <c r="I866" s="309"/>
      <c r="J866" s="309"/>
      <c r="K866" s="309"/>
      <c r="L866" s="309"/>
      <c r="M866" s="309"/>
      <c r="N866" s="309"/>
      <c r="O866" s="309"/>
      <c r="P866" s="309"/>
      <c r="Q866" s="309"/>
      <c r="R866" s="309"/>
      <c r="S866" s="309"/>
      <c r="T866" s="309"/>
      <c r="U866" s="309"/>
      <c r="V866" s="309"/>
      <c r="W866" s="309"/>
      <c r="X866" s="309"/>
      <c r="Y866" s="309"/>
      <c r="Z866" s="309"/>
      <c r="AA866" s="309"/>
    </row>
    <row r="867" ht="27.0" customHeight="1">
      <c r="A867" s="309"/>
      <c r="B867" s="309"/>
      <c r="C867" s="309"/>
      <c r="D867" s="309"/>
      <c r="E867" s="330"/>
      <c r="F867" s="309"/>
      <c r="G867" s="309"/>
      <c r="H867" s="316"/>
      <c r="I867" s="309"/>
      <c r="J867" s="309"/>
      <c r="K867" s="309"/>
      <c r="L867" s="309"/>
      <c r="M867" s="309"/>
      <c r="N867" s="309"/>
      <c r="O867" s="309"/>
      <c r="P867" s="309"/>
      <c r="Q867" s="309"/>
      <c r="R867" s="309"/>
      <c r="S867" s="309"/>
      <c r="T867" s="309"/>
      <c r="U867" s="309"/>
      <c r="V867" s="309"/>
      <c r="W867" s="309"/>
      <c r="X867" s="309"/>
      <c r="Y867" s="309"/>
      <c r="Z867" s="309"/>
      <c r="AA867" s="309"/>
    </row>
    <row r="868" ht="27.0" customHeight="1">
      <c r="A868" s="309"/>
      <c r="B868" s="309"/>
      <c r="C868" s="309"/>
      <c r="D868" s="309"/>
      <c r="E868" s="330"/>
      <c r="F868" s="309"/>
      <c r="G868" s="309"/>
      <c r="H868" s="316"/>
      <c r="I868" s="309"/>
      <c r="J868" s="309"/>
      <c r="K868" s="309"/>
      <c r="L868" s="309"/>
      <c r="M868" s="309"/>
      <c r="N868" s="309"/>
      <c r="O868" s="309"/>
      <c r="P868" s="309"/>
      <c r="Q868" s="309"/>
      <c r="R868" s="309"/>
      <c r="S868" s="309"/>
      <c r="T868" s="309"/>
      <c r="U868" s="309"/>
      <c r="V868" s="309"/>
      <c r="W868" s="309"/>
      <c r="X868" s="309"/>
      <c r="Y868" s="309"/>
      <c r="Z868" s="309"/>
      <c r="AA868" s="309"/>
    </row>
    <row r="869" ht="27.0" customHeight="1">
      <c r="A869" s="309"/>
      <c r="B869" s="309"/>
      <c r="C869" s="309"/>
      <c r="D869" s="309"/>
      <c r="E869" s="330"/>
      <c r="F869" s="309"/>
      <c r="G869" s="309"/>
      <c r="H869" s="316"/>
      <c r="I869" s="309"/>
      <c r="J869" s="309"/>
      <c r="K869" s="309"/>
      <c r="L869" s="309"/>
      <c r="M869" s="309"/>
      <c r="N869" s="309"/>
      <c r="O869" s="309"/>
      <c r="P869" s="309"/>
      <c r="Q869" s="309"/>
      <c r="R869" s="309"/>
      <c r="S869" s="309"/>
      <c r="T869" s="309"/>
      <c r="U869" s="309"/>
      <c r="V869" s="309"/>
      <c r="W869" s="309"/>
      <c r="X869" s="309"/>
      <c r="Y869" s="309"/>
      <c r="Z869" s="309"/>
      <c r="AA869" s="309"/>
    </row>
    <row r="870" ht="27.0" customHeight="1">
      <c r="A870" s="309"/>
      <c r="B870" s="309"/>
      <c r="C870" s="309"/>
      <c r="D870" s="309"/>
      <c r="E870" s="330"/>
      <c r="F870" s="309"/>
      <c r="G870" s="309"/>
      <c r="H870" s="316"/>
      <c r="I870" s="309"/>
      <c r="J870" s="309"/>
      <c r="K870" s="309"/>
      <c r="L870" s="309"/>
      <c r="M870" s="309"/>
      <c r="N870" s="309"/>
      <c r="O870" s="309"/>
      <c r="P870" s="309"/>
      <c r="Q870" s="309"/>
      <c r="R870" s="309"/>
      <c r="S870" s="309"/>
      <c r="T870" s="309"/>
      <c r="U870" s="309"/>
      <c r="V870" s="309"/>
      <c r="W870" s="309"/>
      <c r="X870" s="309"/>
      <c r="Y870" s="309"/>
      <c r="Z870" s="309"/>
      <c r="AA870" s="309"/>
    </row>
    <row r="871" ht="27.0" customHeight="1">
      <c r="A871" s="309"/>
      <c r="B871" s="309"/>
      <c r="C871" s="309"/>
      <c r="D871" s="309"/>
      <c r="E871" s="330"/>
      <c r="F871" s="309"/>
      <c r="G871" s="309"/>
      <c r="H871" s="316"/>
      <c r="I871" s="309"/>
      <c r="J871" s="309"/>
      <c r="K871" s="309"/>
      <c r="L871" s="309"/>
      <c r="M871" s="309"/>
      <c r="N871" s="309"/>
      <c r="O871" s="309"/>
      <c r="P871" s="309"/>
      <c r="Q871" s="309"/>
      <c r="R871" s="309"/>
      <c r="S871" s="309"/>
      <c r="T871" s="309"/>
      <c r="U871" s="309"/>
      <c r="V871" s="309"/>
      <c r="W871" s="309"/>
      <c r="X871" s="309"/>
      <c r="Y871" s="309"/>
      <c r="Z871" s="309"/>
      <c r="AA871" s="309"/>
    </row>
    <row r="872" ht="27.0" customHeight="1">
      <c r="A872" s="309"/>
      <c r="B872" s="309"/>
      <c r="C872" s="309"/>
      <c r="D872" s="309"/>
      <c r="E872" s="330"/>
      <c r="F872" s="309"/>
      <c r="G872" s="309"/>
      <c r="H872" s="316"/>
      <c r="I872" s="309"/>
      <c r="J872" s="309"/>
      <c r="K872" s="309"/>
      <c r="L872" s="309"/>
      <c r="M872" s="309"/>
      <c r="N872" s="309"/>
      <c r="O872" s="309"/>
      <c r="P872" s="309"/>
      <c r="Q872" s="309"/>
      <c r="R872" s="309"/>
      <c r="S872" s="309"/>
      <c r="T872" s="309"/>
      <c r="U872" s="309"/>
      <c r="V872" s="309"/>
      <c r="W872" s="309"/>
      <c r="X872" s="309"/>
      <c r="Y872" s="309"/>
      <c r="Z872" s="309"/>
      <c r="AA872" s="309"/>
    </row>
    <row r="873" ht="27.0" customHeight="1">
      <c r="A873" s="309"/>
      <c r="B873" s="309"/>
      <c r="C873" s="309"/>
      <c r="D873" s="309"/>
      <c r="E873" s="330"/>
      <c r="F873" s="309"/>
      <c r="G873" s="309"/>
      <c r="H873" s="316"/>
      <c r="I873" s="309"/>
      <c r="J873" s="309"/>
      <c r="K873" s="309"/>
      <c r="L873" s="309"/>
      <c r="M873" s="309"/>
      <c r="N873" s="309"/>
      <c r="O873" s="309"/>
      <c r="P873" s="309"/>
      <c r="Q873" s="309"/>
      <c r="R873" s="309"/>
      <c r="S873" s="309"/>
      <c r="T873" s="309"/>
      <c r="U873" s="309"/>
      <c r="V873" s="309"/>
      <c r="W873" s="309"/>
      <c r="X873" s="309"/>
      <c r="Y873" s="309"/>
      <c r="Z873" s="309"/>
      <c r="AA873" s="309"/>
    </row>
    <row r="874" ht="27.0" customHeight="1">
      <c r="A874" s="309"/>
      <c r="B874" s="309"/>
      <c r="C874" s="309"/>
      <c r="D874" s="309"/>
      <c r="E874" s="330"/>
      <c r="F874" s="309"/>
      <c r="G874" s="309"/>
      <c r="H874" s="316"/>
      <c r="I874" s="309"/>
      <c r="J874" s="309"/>
      <c r="K874" s="309"/>
      <c r="L874" s="309"/>
      <c r="M874" s="309"/>
      <c r="N874" s="309"/>
      <c r="O874" s="309"/>
      <c r="P874" s="309"/>
      <c r="Q874" s="309"/>
      <c r="R874" s="309"/>
      <c r="S874" s="309"/>
      <c r="T874" s="309"/>
      <c r="U874" s="309"/>
      <c r="V874" s="309"/>
      <c r="W874" s="309"/>
      <c r="X874" s="309"/>
      <c r="Y874" s="309"/>
      <c r="Z874" s="309"/>
      <c r="AA874" s="309"/>
    </row>
    <row r="875" ht="27.0" customHeight="1">
      <c r="A875" s="309"/>
      <c r="B875" s="309"/>
      <c r="C875" s="309"/>
      <c r="D875" s="309"/>
      <c r="E875" s="330"/>
      <c r="F875" s="309"/>
      <c r="G875" s="309"/>
      <c r="H875" s="316"/>
      <c r="I875" s="309"/>
      <c r="J875" s="309"/>
      <c r="K875" s="309"/>
      <c r="L875" s="309"/>
      <c r="M875" s="309"/>
      <c r="N875" s="309"/>
      <c r="O875" s="309"/>
      <c r="P875" s="309"/>
      <c r="Q875" s="309"/>
      <c r="R875" s="309"/>
      <c r="S875" s="309"/>
      <c r="T875" s="309"/>
      <c r="U875" s="309"/>
      <c r="V875" s="309"/>
      <c r="W875" s="309"/>
      <c r="X875" s="309"/>
      <c r="Y875" s="309"/>
      <c r="Z875" s="309"/>
      <c r="AA875" s="309"/>
    </row>
    <row r="876" ht="27.0" customHeight="1">
      <c r="A876" s="309"/>
      <c r="B876" s="309"/>
      <c r="C876" s="309"/>
      <c r="D876" s="309"/>
      <c r="E876" s="330"/>
      <c r="F876" s="309"/>
      <c r="G876" s="309"/>
      <c r="H876" s="316"/>
      <c r="I876" s="309"/>
      <c r="J876" s="309"/>
      <c r="K876" s="309"/>
      <c r="L876" s="309"/>
      <c r="M876" s="309"/>
      <c r="N876" s="309"/>
      <c r="O876" s="309"/>
      <c r="P876" s="309"/>
      <c r="Q876" s="309"/>
      <c r="R876" s="309"/>
      <c r="S876" s="309"/>
      <c r="T876" s="309"/>
      <c r="U876" s="309"/>
      <c r="V876" s="309"/>
      <c r="W876" s="309"/>
      <c r="X876" s="309"/>
      <c r="Y876" s="309"/>
      <c r="Z876" s="309"/>
      <c r="AA876" s="309"/>
    </row>
    <row r="877" ht="27.0" customHeight="1">
      <c r="A877" s="309"/>
      <c r="B877" s="309"/>
      <c r="C877" s="309"/>
      <c r="D877" s="309"/>
      <c r="E877" s="330"/>
      <c r="F877" s="309"/>
      <c r="G877" s="309"/>
      <c r="H877" s="316"/>
      <c r="I877" s="309"/>
      <c r="J877" s="309"/>
      <c r="K877" s="309"/>
      <c r="L877" s="309"/>
      <c r="M877" s="309"/>
      <c r="N877" s="309"/>
      <c r="O877" s="309"/>
      <c r="P877" s="309"/>
      <c r="Q877" s="309"/>
      <c r="R877" s="309"/>
      <c r="S877" s="309"/>
      <c r="T877" s="309"/>
      <c r="U877" s="309"/>
      <c r="V877" s="309"/>
      <c r="W877" s="309"/>
      <c r="X877" s="309"/>
      <c r="Y877" s="309"/>
      <c r="Z877" s="309"/>
      <c r="AA877" s="309"/>
    </row>
    <row r="878" ht="27.0" customHeight="1">
      <c r="A878" s="309"/>
      <c r="B878" s="309"/>
      <c r="C878" s="309"/>
      <c r="D878" s="309"/>
      <c r="E878" s="330"/>
      <c r="F878" s="309"/>
      <c r="G878" s="309"/>
      <c r="H878" s="316"/>
      <c r="I878" s="309"/>
      <c r="J878" s="309"/>
      <c r="K878" s="309"/>
      <c r="L878" s="309"/>
      <c r="M878" s="309"/>
      <c r="N878" s="309"/>
      <c r="O878" s="309"/>
      <c r="P878" s="309"/>
      <c r="Q878" s="309"/>
      <c r="R878" s="309"/>
      <c r="S878" s="309"/>
      <c r="T878" s="309"/>
      <c r="U878" s="309"/>
      <c r="V878" s="309"/>
      <c r="W878" s="309"/>
      <c r="X878" s="309"/>
      <c r="Y878" s="309"/>
      <c r="Z878" s="309"/>
      <c r="AA878" s="309"/>
    </row>
    <row r="879" ht="27.0" customHeight="1">
      <c r="A879" s="309"/>
      <c r="B879" s="309"/>
      <c r="C879" s="309"/>
      <c r="D879" s="309"/>
      <c r="E879" s="330"/>
      <c r="F879" s="309"/>
      <c r="G879" s="309"/>
      <c r="H879" s="316"/>
      <c r="I879" s="309"/>
      <c r="J879" s="309"/>
      <c r="K879" s="309"/>
      <c r="L879" s="309"/>
      <c r="M879" s="309"/>
      <c r="N879" s="309"/>
      <c r="O879" s="309"/>
      <c r="P879" s="309"/>
      <c r="Q879" s="309"/>
      <c r="R879" s="309"/>
      <c r="S879" s="309"/>
      <c r="T879" s="309"/>
      <c r="U879" s="309"/>
      <c r="V879" s="309"/>
      <c r="W879" s="309"/>
      <c r="X879" s="309"/>
      <c r="Y879" s="309"/>
      <c r="Z879" s="309"/>
      <c r="AA879" s="309"/>
    </row>
    <row r="880" ht="27.0" customHeight="1">
      <c r="A880" s="309"/>
      <c r="B880" s="309"/>
      <c r="C880" s="309"/>
      <c r="D880" s="309"/>
      <c r="E880" s="330"/>
      <c r="F880" s="309"/>
      <c r="G880" s="309"/>
      <c r="H880" s="316"/>
      <c r="I880" s="309"/>
      <c r="J880" s="309"/>
      <c r="K880" s="309"/>
      <c r="L880" s="309"/>
      <c r="M880" s="309"/>
      <c r="N880" s="309"/>
      <c r="O880" s="309"/>
      <c r="P880" s="309"/>
      <c r="Q880" s="309"/>
      <c r="R880" s="309"/>
      <c r="S880" s="309"/>
      <c r="T880" s="309"/>
      <c r="U880" s="309"/>
      <c r="V880" s="309"/>
      <c r="W880" s="309"/>
      <c r="X880" s="309"/>
      <c r="Y880" s="309"/>
      <c r="Z880" s="309"/>
      <c r="AA880" s="309"/>
    </row>
    <row r="881" ht="27.0" customHeight="1">
      <c r="A881" s="309"/>
      <c r="B881" s="309"/>
      <c r="C881" s="309"/>
      <c r="D881" s="309"/>
      <c r="E881" s="330"/>
      <c r="F881" s="309"/>
      <c r="G881" s="309"/>
      <c r="H881" s="316"/>
      <c r="I881" s="309"/>
      <c r="J881" s="309"/>
      <c r="K881" s="309"/>
      <c r="L881" s="309"/>
      <c r="M881" s="309"/>
      <c r="N881" s="309"/>
      <c r="O881" s="309"/>
      <c r="P881" s="309"/>
      <c r="Q881" s="309"/>
      <c r="R881" s="309"/>
      <c r="S881" s="309"/>
      <c r="T881" s="309"/>
      <c r="U881" s="309"/>
      <c r="V881" s="309"/>
      <c r="W881" s="309"/>
      <c r="X881" s="309"/>
      <c r="Y881" s="309"/>
      <c r="Z881" s="309"/>
      <c r="AA881" s="309"/>
    </row>
    <row r="882" ht="27.0" customHeight="1">
      <c r="A882" s="309"/>
      <c r="B882" s="309"/>
      <c r="C882" s="309"/>
      <c r="D882" s="309"/>
      <c r="E882" s="330"/>
      <c r="F882" s="309"/>
      <c r="G882" s="309"/>
      <c r="H882" s="316"/>
      <c r="I882" s="309"/>
      <c r="J882" s="309"/>
      <c r="K882" s="309"/>
      <c r="L882" s="309"/>
      <c r="M882" s="309"/>
      <c r="N882" s="309"/>
      <c r="O882" s="309"/>
      <c r="P882" s="309"/>
      <c r="Q882" s="309"/>
      <c r="R882" s="309"/>
      <c r="S882" s="309"/>
      <c r="T882" s="309"/>
      <c r="U882" s="309"/>
      <c r="V882" s="309"/>
      <c r="W882" s="309"/>
      <c r="X882" s="309"/>
      <c r="Y882" s="309"/>
      <c r="Z882" s="309"/>
      <c r="AA882" s="309"/>
    </row>
    <row r="883" ht="27.0" customHeight="1">
      <c r="A883" s="309"/>
      <c r="B883" s="309"/>
      <c r="C883" s="309"/>
      <c r="D883" s="309"/>
      <c r="E883" s="330"/>
      <c r="F883" s="309"/>
      <c r="G883" s="309"/>
      <c r="H883" s="316"/>
      <c r="I883" s="309"/>
      <c r="J883" s="309"/>
      <c r="K883" s="309"/>
      <c r="L883" s="309"/>
      <c r="M883" s="309"/>
      <c r="N883" s="309"/>
      <c r="O883" s="309"/>
      <c r="P883" s="309"/>
      <c r="Q883" s="309"/>
      <c r="R883" s="309"/>
      <c r="S883" s="309"/>
      <c r="T883" s="309"/>
      <c r="U883" s="309"/>
      <c r="V883" s="309"/>
      <c r="W883" s="309"/>
      <c r="X883" s="309"/>
      <c r="Y883" s="309"/>
      <c r="Z883" s="309"/>
      <c r="AA883" s="309"/>
    </row>
    <row r="884" ht="27.0" customHeight="1">
      <c r="A884" s="309"/>
      <c r="B884" s="309"/>
      <c r="C884" s="309"/>
      <c r="D884" s="309"/>
      <c r="E884" s="330"/>
      <c r="F884" s="309"/>
      <c r="G884" s="309"/>
      <c r="H884" s="316"/>
      <c r="I884" s="309"/>
      <c r="J884" s="309"/>
      <c r="K884" s="309"/>
      <c r="L884" s="309"/>
      <c r="M884" s="309"/>
      <c r="N884" s="309"/>
      <c r="O884" s="309"/>
      <c r="P884" s="309"/>
      <c r="Q884" s="309"/>
      <c r="R884" s="309"/>
      <c r="S884" s="309"/>
      <c r="T884" s="309"/>
      <c r="U884" s="309"/>
      <c r="V884" s="309"/>
      <c r="W884" s="309"/>
      <c r="X884" s="309"/>
      <c r="Y884" s="309"/>
      <c r="Z884" s="309"/>
      <c r="AA884" s="309"/>
    </row>
    <row r="885" ht="27.0" customHeight="1">
      <c r="A885" s="309"/>
      <c r="B885" s="309"/>
      <c r="C885" s="309"/>
      <c r="D885" s="309"/>
      <c r="E885" s="330"/>
      <c r="F885" s="309"/>
      <c r="G885" s="309"/>
      <c r="H885" s="316"/>
      <c r="I885" s="309"/>
      <c r="J885" s="309"/>
      <c r="K885" s="309"/>
      <c r="L885" s="309"/>
      <c r="M885" s="309"/>
      <c r="N885" s="309"/>
      <c r="O885" s="309"/>
      <c r="P885" s="309"/>
      <c r="Q885" s="309"/>
      <c r="R885" s="309"/>
      <c r="S885" s="309"/>
      <c r="T885" s="309"/>
      <c r="U885" s="309"/>
      <c r="V885" s="309"/>
      <c r="W885" s="309"/>
      <c r="X885" s="309"/>
      <c r="Y885" s="309"/>
      <c r="Z885" s="309"/>
      <c r="AA885" s="309"/>
    </row>
    <row r="886" ht="27.0" customHeight="1">
      <c r="A886" s="309"/>
      <c r="B886" s="309"/>
      <c r="C886" s="309"/>
      <c r="D886" s="309"/>
      <c r="E886" s="330"/>
      <c r="F886" s="309"/>
      <c r="G886" s="309"/>
      <c r="H886" s="316"/>
      <c r="I886" s="309"/>
      <c r="J886" s="309"/>
      <c r="K886" s="309"/>
      <c r="L886" s="309"/>
      <c r="M886" s="309"/>
      <c r="N886" s="309"/>
      <c r="O886" s="309"/>
      <c r="P886" s="309"/>
      <c r="Q886" s="309"/>
      <c r="R886" s="309"/>
      <c r="S886" s="309"/>
      <c r="T886" s="309"/>
      <c r="U886" s="309"/>
      <c r="V886" s="309"/>
      <c r="W886" s="309"/>
      <c r="X886" s="309"/>
      <c r="Y886" s="309"/>
      <c r="Z886" s="309"/>
      <c r="AA886" s="309"/>
    </row>
    <row r="887" ht="27.0" customHeight="1">
      <c r="A887" s="309"/>
      <c r="B887" s="309"/>
      <c r="C887" s="309"/>
      <c r="D887" s="309"/>
      <c r="E887" s="330"/>
      <c r="F887" s="309"/>
      <c r="G887" s="309"/>
      <c r="H887" s="316"/>
      <c r="I887" s="309"/>
      <c r="J887" s="309"/>
      <c r="K887" s="309"/>
      <c r="L887" s="309"/>
      <c r="M887" s="309"/>
      <c r="N887" s="309"/>
      <c r="O887" s="309"/>
      <c r="P887" s="309"/>
      <c r="Q887" s="309"/>
      <c r="R887" s="309"/>
      <c r="S887" s="309"/>
      <c r="T887" s="309"/>
      <c r="U887" s="309"/>
      <c r="V887" s="309"/>
      <c r="W887" s="309"/>
      <c r="X887" s="309"/>
      <c r="Y887" s="309"/>
      <c r="Z887" s="309"/>
      <c r="AA887" s="309"/>
    </row>
    <row r="888" ht="27.0" customHeight="1">
      <c r="A888" s="309"/>
      <c r="B888" s="309"/>
      <c r="C888" s="309"/>
      <c r="D888" s="309"/>
      <c r="E888" s="330"/>
      <c r="F888" s="309"/>
      <c r="G888" s="309"/>
      <c r="H888" s="316"/>
      <c r="I888" s="309"/>
      <c r="J888" s="309"/>
      <c r="K888" s="309"/>
      <c r="L888" s="309"/>
      <c r="M888" s="309"/>
      <c r="N888" s="309"/>
      <c r="O888" s="309"/>
      <c r="P888" s="309"/>
      <c r="Q888" s="309"/>
      <c r="R888" s="309"/>
      <c r="S888" s="309"/>
      <c r="T888" s="309"/>
      <c r="U888" s="309"/>
      <c r="V888" s="309"/>
      <c r="W888" s="309"/>
      <c r="X888" s="309"/>
      <c r="Y888" s="309"/>
      <c r="Z888" s="309"/>
      <c r="AA888" s="309"/>
    </row>
    <row r="889" ht="27.0" customHeight="1">
      <c r="A889" s="309"/>
      <c r="B889" s="309"/>
      <c r="C889" s="309"/>
      <c r="D889" s="309"/>
      <c r="E889" s="330"/>
      <c r="F889" s="309"/>
      <c r="G889" s="309"/>
      <c r="H889" s="316"/>
      <c r="I889" s="309"/>
      <c r="J889" s="309"/>
      <c r="K889" s="309"/>
      <c r="L889" s="309"/>
      <c r="M889" s="309"/>
      <c r="N889" s="309"/>
      <c r="O889" s="309"/>
      <c r="P889" s="309"/>
      <c r="Q889" s="309"/>
      <c r="R889" s="309"/>
      <c r="S889" s="309"/>
      <c r="T889" s="309"/>
      <c r="U889" s="309"/>
      <c r="V889" s="309"/>
      <c r="W889" s="309"/>
      <c r="X889" s="309"/>
      <c r="Y889" s="309"/>
      <c r="Z889" s="309"/>
      <c r="AA889" s="309"/>
    </row>
    <row r="890" ht="27.0" customHeight="1">
      <c r="A890" s="309"/>
      <c r="B890" s="309"/>
      <c r="C890" s="309"/>
      <c r="D890" s="309"/>
      <c r="E890" s="330"/>
      <c r="F890" s="309"/>
      <c r="G890" s="309"/>
      <c r="H890" s="316"/>
      <c r="I890" s="309"/>
      <c r="J890" s="309"/>
      <c r="K890" s="309"/>
      <c r="L890" s="309"/>
      <c r="M890" s="309"/>
      <c r="N890" s="309"/>
      <c r="O890" s="309"/>
      <c r="P890" s="309"/>
      <c r="Q890" s="309"/>
      <c r="R890" s="309"/>
      <c r="S890" s="309"/>
      <c r="T890" s="309"/>
      <c r="U890" s="309"/>
      <c r="V890" s="309"/>
      <c r="W890" s="309"/>
      <c r="X890" s="309"/>
      <c r="Y890" s="309"/>
      <c r="Z890" s="309"/>
      <c r="AA890" s="309"/>
    </row>
    <row r="891" ht="27.0" customHeight="1">
      <c r="A891" s="309"/>
      <c r="B891" s="309"/>
      <c r="C891" s="309"/>
      <c r="D891" s="309"/>
      <c r="E891" s="330"/>
      <c r="F891" s="309"/>
      <c r="G891" s="309"/>
      <c r="H891" s="316"/>
      <c r="I891" s="309"/>
      <c r="J891" s="309"/>
      <c r="K891" s="309"/>
      <c r="L891" s="309"/>
      <c r="M891" s="309"/>
      <c r="N891" s="309"/>
      <c r="O891" s="309"/>
      <c r="P891" s="309"/>
      <c r="Q891" s="309"/>
      <c r="R891" s="309"/>
      <c r="S891" s="309"/>
      <c r="T891" s="309"/>
      <c r="U891" s="309"/>
      <c r="V891" s="309"/>
      <c r="W891" s="309"/>
      <c r="X891" s="309"/>
      <c r="Y891" s="309"/>
      <c r="Z891" s="309"/>
      <c r="AA891" s="309"/>
    </row>
    <row r="892" ht="27.0" customHeight="1">
      <c r="A892" s="309"/>
      <c r="B892" s="309"/>
      <c r="C892" s="309"/>
      <c r="D892" s="309"/>
      <c r="E892" s="330"/>
      <c r="F892" s="309"/>
      <c r="G892" s="309"/>
      <c r="H892" s="316"/>
      <c r="I892" s="309"/>
      <c r="J892" s="309"/>
      <c r="K892" s="309"/>
      <c r="L892" s="309"/>
      <c r="M892" s="309"/>
      <c r="N892" s="309"/>
      <c r="O892" s="309"/>
      <c r="P892" s="309"/>
      <c r="Q892" s="309"/>
      <c r="R892" s="309"/>
      <c r="S892" s="309"/>
      <c r="T892" s="309"/>
      <c r="U892" s="309"/>
      <c r="V892" s="309"/>
      <c r="W892" s="309"/>
      <c r="X892" s="309"/>
      <c r="Y892" s="309"/>
      <c r="Z892" s="309"/>
      <c r="AA892" s="309"/>
    </row>
    <row r="893" ht="27.0" customHeight="1">
      <c r="A893" s="309"/>
      <c r="B893" s="309"/>
      <c r="C893" s="309"/>
      <c r="D893" s="309"/>
      <c r="E893" s="330"/>
      <c r="F893" s="309"/>
      <c r="G893" s="309"/>
      <c r="H893" s="316"/>
      <c r="I893" s="309"/>
      <c r="J893" s="309"/>
      <c r="K893" s="309"/>
      <c r="L893" s="309"/>
      <c r="M893" s="309"/>
      <c r="N893" s="309"/>
      <c r="O893" s="309"/>
      <c r="P893" s="309"/>
      <c r="Q893" s="309"/>
      <c r="R893" s="309"/>
      <c r="S893" s="309"/>
      <c r="T893" s="309"/>
      <c r="U893" s="309"/>
      <c r="V893" s="309"/>
      <c r="W893" s="309"/>
      <c r="X893" s="309"/>
      <c r="Y893" s="309"/>
      <c r="Z893" s="309"/>
      <c r="AA893" s="309"/>
    </row>
    <row r="894" ht="27.0" customHeight="1">
      <c r="A894" s="309"/>
      <c r="B894" s="309"/>
      <c r="C894" s="309"/>
      <c r="D894" s="309"/>
      <c r="E894" s="330"/>
      <c r="F894" s="309"/>
      <c r="G894" s="309"/>
      <c r="H894" s="316"/>
      <c r="I894" s="309"/>
      <c r="J894" s="309"/>
      <c r="K894" s="309"/>
      <c r="L894" s="309"/>
      <c r="M894" s="309"/>
      <c r="N894" s="309"/>
      <c r="O894" s="309"/>
      <c r="P894" s="309"/>
      <c r="Q894" s="309"/>
      <c r="R894" s="309"/>
      <c r="S894" s="309"/>
      <c r="T894" s="309"/>
      <c r="U894" s="309"/>
      <c r="V894" s="309"/>
      <c r="W894" s="309"/>
      <c r="X894" s="309"/>
      <c r="Y894" s="309"/>
      <c r="Z894" s="309"/>
      <c r="AA894" s="309"/>
    </row>
    <row r="895" ht="27.0" customHeight="1">
      <c r="A895" s="309"/>
      <c r="B895" s="309"/>
      <c r="C895" s="309"/>
      <c r="D895" s="309"/>
      <c r="E895" s="330"/>
      <c r="F895" s="309"/>
      <c r="G895" s="309"/>
      <c r="H895" s="316"/>
      <c r="I895" s="309"/>
      <c r="J895" s="309"/>
      <c r="K895" s="309"/>
      <c r="L895" s="309"/>
      <c r="M895" s="309"/>
      <c r="N895" s="309"/>
      <c r="O895" s="309"/>
      <c r="P895" s="309"/>
      <c r="Q895" s="309"/>
      <c r="R895" s="309"/>
      <c r="S895" s="309"/>
      <c r="T895" s="309"/>
      <c r="U895" s="309"/>
      <c r="V895" s="309"/>
      <c r="W895" s="309"/>
      <c r="X895" s="309"/>
      <c r="Y895" s="309"/>
      <c r="Z895" s="309"/>
      <c r="AA895" s="309"/>
    </row>
    <row r="896" ht="27.0" customHeight="1">
      <c r="A896" s="309"/>
      <c r="B896" s="309"/>
      <c r="C896" s="309"/>
      <c r="D896" s="309"/>
      <c r="E896" s="330"/>
      <c r="F896" s="309"/>
      <c r="G896" s="309"/>
      <c r="H896" s="316"/>
      <c r="I896" s="309"/>
      <c r="J896" s="309"/>
      <c r="K896" s="309"/>
      <c r="L896" s="309"/>
      <c r="M896" s="309"/>
      <c r="N896" s="309"/>
      <c r="O896" s="309"/>
      <c r="P896" s="309"/>
      <c r="Q896" s="309"/>
      <c r="R896" s="309"/>
      <c r="S896" s="309"/>
      <c r="T896" s="309"/>
      <c r="U896" s="309"/>
      <c r="V896" s="309"/>
      <c r="W896" s="309"/>
      <c r="X896" s="309"/>
      <c r="Y896" s="309"/>
      <c r="Z896" s="309"/>
      <c r="AA896" s="309"/>
    </row>
    <row r="897" ht="27.0" customHeight="1">
      <c r="A897" s="309"/>
      <c r="B897" s="309"/>
      <c r="C897" s="309"/>
      <c r="D897" s="309"/>
      <c r="E897" s="330"/>
      <c r="F897" s="309"/>
      <c r="G897" s="309"/>
      <c r="H897" s="316"/>
      <c r="I897" s="309"/>
      <c r="J897" s="309"/>
      <c r="K897" s="309"/>
      <c r="L897" s="309"/>
      <c r="M897" s="309"/>
      <c r="N897" s="309"/>
      <c r="O897" s="309"/>
      <c r="P897" s="309"/>
      <c r="Q897" s="309"/>
      <c r="R897" s="309"/>
      <c r="S897" s="309"/>
      <c r="T897" s="309"/>
      <c r="U897" s="309"/>
      <c r="V897" s="309"/>
      <c r="W897" s="309"/>
      <c r="X897" s="309"/>
      <c r="Y897" s="309"/>
      <c r="Z897" s="309"/>
      <c r="AA897" s="309"/>
    </row>
    <row r="898" ht="27.0" customHeight="1">
      <c r="A898" s="309"/>
      <c r="B898" s="309"/>
      <c r="C898" s="309"/>
      <c r="D898" s="309"/>
      <c r="E898" s="330"/>
      <c r="F898" s="309"/>
      <c r="G898" s="309"/>
      <c r="H898" s="316"/>
      <c r="I898" s="309"/>
      <c r="J898" s="309"/>
      <c r="K898" s="309"/>
      <c r="L898" s="309"/>
      <c r="M898" s="309"/>
      <c r="N898" s="309"/>
      <c r="O898" s="309"/>
      <c r="P898" s="309"/>
      <c r="Q898" s="309"/>
      <c r="R898" s="309"/>
      <c r="S898" s="309"/>
      <c r="T898" s="309"/>
      <c r="U898" s="309"/>
      <c r="V898" s="309"/>
      <c r="W898" s="309"/>
      <c r="X898" s="309"/>
      <c r="Y898" s="309"/>
      <c r="Z898" s="309"/>
      <c r="AA898" s="309"/>
    </row>
    <row r="899" ht="27.0" customHeight="1">
      <c r="A899" s="309"/>
      <c r="B899" s="309"/>
      <c r="C899" s="309"/>
      <c r="D899" s="309"/>
      <c r="E899" s="330"/>
      <c r="F899" s="309"/>
      <c r="G899" s="309"/>
      <c r="H899" s="316"/>
      <c r="I899" s="309"/>
      <c r="J899" s="309"/>
      <c r="K899" s="309"/>
      <c r="L899" s="309"/>
      <c r="M899" s="309"/>
      <c r="N899" s="309"/>
      <c r="O899" s="309"/>
      <c r="P899" s="309"/>
      <c r="Q899" s="309"/>
      <c r="R899" s="309"/>
      <c r="S899" s="309"/>
      <c r="T899" s="309"/>
      <c r="U899" s="309"/>
      <c r="V899" s="309"/>
      <c r="W899" s="309"/>
      <c r="X899" s="309"/>
      <c r="Y899" s="309"/>
      <c r="Z899" s="309"/>
      <c r="AA899" s="309"/>
    </row>
    <row r="900" ht="27.0" customHeight="1">
      <c r="A900" s="309"/>
      <c r="B900" s="309"/>
      <c r="C900" s="309"/>
      <c r="D900" s="309"/>
      <c r="E900" s="330"/>
      <c r="F900" s="309"/>
      <c r="G900" s="309"/>
      <c r="H900" s="316"/>
      <c r="I900" s="309"/>
      <c r="J900" s="309"/>
      <c r="K900" s="309"/>
      <c r="L900" s="309"/>
      <c r="M900" s="309"/>
      <c r="N900" s="309"/>
      <c r="O900" s="309"/>
      <c r="P900" s="309"/>
      <c r="Q900" s="309"/>
      <c r="R900" s="309"/>
      <c r="S900" s="309"/>
      <c r="T900" s="309"/>
      <c r="U900" s="309"/>
      <c r="V900" s="309"/>
      <c r="W900" s="309"/>
      <c r="X900" s="309"/>
      <c r="Y900" s="309"/>
      <c r="Z900" s="309"/>
      <c r="AA900" s="309"/>
    </row>
    <row r="901" ht="27.0" customHeight="1">
      <c r="A901" s="309"/>
      <c r="B901" s="309"/>
      <c r="C901" s="309"/>
      <c r="D901" s="309"/>
      <c r="E901" s="330"/>
      <c r="F901" s="309"/>
      <c r="G901" s="309"/>
      <c r="H901" s="316"/>
      <c r="I901" s="309"/>
      <c r="J901" s="309"/>
      <c r="K901" s="309"/>
      <c r="L901" s="309"/>
      <c r="M901" s="309"/>
      <c r="N901" s="309"/>
      <c r="O901" s="309"/>
      <c r="P901" s="309"/>
      <c r="Q901" s="309"/>
      <c r="R901" s="309"/>
      <c r="S901" s="309"/>
      <c r="T901" s="309"/>
      <c r="U901" s="309"/>
      <c r="V901" s="309"/>
      <c r="W901" s="309"/>
      <c r="X901" s="309"/>
      <c r="Y901" s="309"/>
      <c r="Z901" s="309"/>
      <c r="AA901" s="309"/>
    </row>
    <row r="902" ht="27.0" customHeight="1">
      <c r="A902" s="309"/>
      <c r="B902" s="309"/>
      <c r="C902" s="309"/>
      <c r="D902" s="309"/>
      <c r="E902" s="330"/>
      <c r="F902" s="309"/>
      <c r="G902" s="309"/>
      <c r="H902" s="316"/>
      <c r="I902" s="309"/>
      <c r="J902" s="309"/>
      <c r="K902" s="309"/>
      <c r="L902" s="309"/>
      <c r="M902" s="309"/>
      <c r="N902" s="309"/>
      <c r="O902" s="309"/>
      <c r="P902" s="309"/>
      <c r="Q902" s="309"/>
      <c r="R902" s="309"/>
      <c r="S902" s="309"/>
      <c r="T902" s="309"/>
      <c r="U902" s="309"/>
      <c r="V902" s="309"/>
      <c r="W902" s="309"/>
      <c r="X902" s="309"/>
      <c r="Y902" s="309"/>
      <c r="Z902" s="309"/>
      <c r="AA902" s="309"/>
    </row>
    <row r="903" ht="27.0" customHeight="1">
      <c r="A903" s="309"/>
      <c r="B903" s="309"/>
      <c r="C903" s="309"/>
      <c r="D903" s="309"/>
      <c r="E903" s="330"/>
      <c r="F903" s="309"/>
      <c r="G903" s="309"/>
      <c r="H903" s="316"/>
      <c r="I903" s="309"/>
      <c r="J903" s="309"/>
      <c r="K903" s="309"/>
      <c r="L903" s="309"/>
      <c r="M903" s="309"/>
      <c r="N903" s="309"/>
      <c r="O903" s="309"/>
      <c r="P903" s="309"/>
      <c r="Q903" s="309"/>
      <c r="R903" s="309"/>
      <c r="S903" s="309"/>
      <c r="T903" s="309"/>
      <c r="U903" s="309"/>
      <c r="V903" s="309"/>
      <c r="W903" s="309"/>
      <c r="X903" s="309"/>
      <c r="Y903" s="309"/>
      <c r="Z903" s="309"/>
      <c r="AA903" s="309"/>
    </row>
    <row r="904" ht="27.0" customHeight="1">
      <c r="A904" s="309"/>
      <c r="B904" s="309"/>
      <c r="C904" s="309"/>
      <c r="D904" s="309"/>
      <c r="E904" s="330"/>
      <c r="F904" s="309"/>
      <c r="G904" s="309"/>
      <c r="H904" s="316"/>
      <c r="I904" s="309"/>
      <c r="J904" s="309"/>
      <c r="K904" s="309"/>
      <c r="L904" s="309"/>
      <c r="M904" s="309"/>
      <c r="N904" s="309"/>
      <c r="O904" s="309"/>
      <c r="P904" s="309"/>
      <c r="Q904" s="309"/>
      <c r="R904" s="309"/>
      <c r="S904" s="309"/>
      <c r="T904" s="309"/>
      <c r="U904" s="309"/>
      <c r="V904" s="309"/>
      <c r="W904" s="309"/>
      <c r="X904" s="309"/>
      <c r="Y904" s="309"/>
      <c r="Z904" s="309"/>
      <c r="AA904" s="309"/>
    </row>
    <row r="905" ht="27.0" customHeight="1">
      <c r="A905" s="309"/>
      <c r="B905" s="309"/>
      <c r="C905" s="309"/>
      <c r="D905" s="309"/>
      <c r="E905" s="330"/>
      <c r="F905" s="309"/>
      <c r="G905" s="309"/>
      <c r="H905" s="316"/>
      <c r="I905" s="309"/>
      <c r="J905" s="309"/>
      <c r="K905" s="309"/>
      <c r="L905" s="309"/>
      <c r="M905" s="309"/>
      <c r="N905" s="309"/>
      <c r="O905" s="309"/>
      <c r="P905" s="309"/>
      <c r="Q905" s="309"/>
      <c r="R905" s="309"/>
      <c r="S905" s="309"/>
      <c r="T905" s="309"/>
      <c r="U905" s="309"/>
      <c r="V905" s="309"/>
      <c r="W905" s="309"/>
      <c r="X905" s="309"/>
      <c r="Y905" s="309"/>
      <c r="Z905" s="309"/>
      <c r="AA905" s="309"/>
    </row>
    <row r="906" ht="27.0" customHeight="1">
      <c r="A906" s="309"/>
      <c r="B906" s="309"/>
      <c r="C906" s="309"/>
      <c r="D906" s="309"/>
      <c r="E906" s="330"/>
      <c r="F906" s="309"/>
      <c r="G906" s="309"/>
      <c r="H906" s="316"/>
      <c r="I906" s="309"/>
      <c r="J906" s="309"/>
      <c r="K906" s="309"/>
      <c r="L906" s="309"/>
      <c r="M906" s="309"/>
      <c r="N906" s="309"/>
      <c r="O906" s="309"/>
      <c r="P906" s="309"/>
      <c r="Q906" s="309"/>
      <c r="R906" s="309"/>
      <c r="S906" s="309"/>
      <c r="T906" s="309"/>
      <c r="U906" s="309"/>
      <c r="V906" s="309"/>
      <c r="W906" s="309"/>
      <c r="X906" s="309"/>
      <c r="Y906" s="309"/>
      <c r="Z906" s="309"/>
      <c r="AA906" s="309"/>
    </row>
    <row r="907" ht="27.0" customHeight="1">
      <c r="A907" s="309"/>
      <c r="B907" s="309"/>
      <c r="C907" s="309"/>
      <c r="D907" s="309"/>
      <c r="E907" s="330"/>
      <c r="F907" s="309"/>
      <c r="G907" s="309"/>
      <c r="H907" s="316"/>
      <c r="I907" s="309"/>
      <c r="J907" s="309"/>
      <c r="K907" s="309"/>
      <c r="L907" s="309"/>
      <c r="M907" s="309"/>
      <c r="N907" s="309"/>
      <c r="O907" s="309"/>
      <c r="P907" s="309"/>
      <c r="Q907" s="309"/>
      <c r="R907" s="309"/>
      <c r="S907" s="309"/>
      <c r="T907" s="309"/>
      <c r="U907" s="309"/>
      <c r="V907" s="309"/>
      <c r="W907" s="309"/>
      <c r="X907" s="309"/>
      <c r="Y907" s="309"/>
      <c r="Z907" s="309"/>
      <c r="AA907" s="309"/>
    </row>
    <row r="908" ht="27.0" customHeight="1">
      <c r="A908" s="309"/>
      <c r="B908" s="309"/>
      <c r="C908" s="309"/>
      <c r="D908" s="309"/>
      <c r="E908" s="330"/>
      <c r="F908" s="309"/>
      <c r="G908" s="309"/>
      <c r="H908" s="316"/>
      <c r="I908" s="309"/>
      <c r="J908" s="309"/>
      <c r="K908" s="309"/>
      <c r="L908" s="309"/>
      <c r="M908" s="309"/>
      <c r="N908" s="309"/>
      <c r="O908" s="309"/>
      <c r="P908" s="309"/>
      <c r="Q908" s="309"/>
      <c r="R908" s="309"/>
      <c r="S908" s="309"/>
      <c r="T908" s="309"/>
      <c r="U908" s="309"/>
      <c r="V908" s="309"/>
      <c r="W908" s="309"/>
      <c r="X908" s="309"/>
      <c r="Y908" s="309"/>
      <c r="Z908" s="309"/>
      <c r="AA908" s="309"/>
    </row>
    <row r="909" ht="27.0" customHeight="1">
      <c r="A909" s="309"/>
      <c r="B909" s="309"/>
      <c r="C909" s="309"/>
      <c r="D909" s="309"/>
      <c r="E909" s="330"/>
      <c r="F909" s="309"/>
      <c r="G909" s="309"/>
      <c r="H909" s="316"/>
      <c r="I909" s="309"/>
      <c r="J909" s="309"/>
      <c r="K909" s="309"/>
      <c r="L909" s="309"/>
      <c r="M909" s="309"/>
      <c r="N909" s="309"/>
      <c r="O909" s="309"/>
      <c r="P909" s="309"/>
      <c r="Q909" s="309"/>
      <c r="R909" s="309"/>
      <c r="S909" s="309"/>
      <c r="T909" s="309"/>
      <c r="U909" s="309"/>
      <c r="V909" s="309"/>
      <c r="W909" s="309"/>
      <c r="X909" s="309"/>
      <c r="Y909" s="309"/>
      <c r="Z909" s="309"/>
      <c r="AA909" s="309"/>
    </row>
    <row r="910" ht="27.0" customHeight="1">
      <c r="A910" s="309"/>
      <c r="B910" s="309"/>
      <c r="C910" s="309"/>
      <c r="D910" s="309"/>
      <c r="E910" s="330"/>
      <c r="F910" s="309"/>
      <c r="G910" s="309"/>
      <c r="H910" s="316"/>
      <c r="I910" s="309"/>
      <c r="J910" s="309"/>
      <c r="K910" s="309"/>
      <c r="L910" s="309"/>
      <c r="M910" s="309"/>
      <c r="N910" s="309"/>
      <c r="O910" s="309"/>
      <c r="P910" s="309"/>
      <c r="Q910" s="309"/>
      <c r="R910" s="309"/>
      <c r="S910" s="309"/>
      <c r="T910" s="309"/>
      <c r="U910" s="309"/>
      <c r="V910" s="309"/>
      <c r="W910" s="309"/>
      <c r="X910" s="309"/>
      <c r="Y910" s="309"/>
      <c r="Z910" s="309"/>
      <c r="AA910" s="309"/>
    </row>
    <row r="911" ht="27.0" customHeight="1">
      <c r="A911" s="309"/>
      <c r="B911" s="309"/>
      <c r="C911" s="309"/>
      <c r="D911" s="309"/>
      <c r="E911" s="330"/>
      <c r="F911" s="309"/>
      <c r="G911" s="309"/>
      <c r="H911" s="316"/>
      <c r="I911" s="309"/>
      <c r="J911" s="309"/>
      <c r="K911" s="309"/>
      <c r="L911" s="309"/>
      <c r="M911" s="309"/>
      <c r="N911" s="309"/>
      <c r="O911" s="309"/>
      <c r="P911" s="309"/>
      <c r="Q911" s="309"/>
      <c r="R911" s="309"/>
      <c r="S911" s="309"/>
      <c r="T911" s="309"/>
      <c r="U911" s="309"/>
      <c r="V911" s="309"/>
      <c r="W911" s="309"/>
      <c r="X911" s="309"/>
      <c r="Y911" s="309"/>
      <c r="Z911" s="309"/>
      <c r="AA911" s="309"/>
    </row>
    <row r="912" ht="27.0" customHeight="1">
      <c r="A912" s="309"/>
      <c r="B912" s="309"/>
      <c r="C912" s="309"/>
      <c r="D912" s="309"/>
      <c r="E912" s="330"/>
      <c r="F912" s="309"/>
      <c r="G912" s="309"/>
      <c r="H912" s="316"/>
      <c r="I912" s="309"/>
      <c r="J912" s="309"/>
      <c r="K912" s="309"/>
      <c r="L912" s="309"/>
      <c r="M912" s="309"/>
      <c r="N912" s="309"/>
      <c r="O912" s="309"/>
      <c r="P912" s="309"/>
      <c r="Q912" s="309"/>
      <c r="R912" s="309"/>
      <c r="S912" s="309"/>
      <c r="T912" s="309"/>
      <c r="U912" s="309"/>
      <c r="V912" s="309"/>
      <c r="W912" s="309"/>
      <c r="X912" s="309"/>
      <c r="Y912" s="309"/>
      <c r="Z912" s="309"/>
      <c r="AA912" s="309"/>
    </row>
    <row r="913" ht="27.0" customHeight="1">
      <c r="A913" s="309"/>
      <c r="B913" s="309"/>
      <c r="C913" s="309"/>
      <c r="D913" s="309"/>
      <c r="E913" s="330"/>
      <c r="F913" s="309"/>
      <c r="G913" s="309"/>
      <c r="H913" s="316"/>
      <c r="I913" s="309"/>
      <c r="J913" s="309"/>
      <c r="K913" s="309"/>
      <c r="L913" s="309"/>
      <c r="M913" s="309"/>
      <c r="N913" s="309"/>
      <c r="O913" s="309"/>
      <c r="P913" s="309"/>
      <c r="Q913" s="309"/>
      <c r="R913" s="309"/>
      <c r="S913" s="309"/>
      <c r="T913" s="309"/>
      <c r="U913" s="309"/>
      <c r="V913" s="309"/>
      <c r="W913" s="309"/>
      <c r="X913" s="309"/>
      <c r="Y913" s="309"/>
      <c r="Z913" s="309"/>
      <c r="AA913" s="309"/>
    </row>
    <row r="914" ht="27.0" customHeight="1">
      <c r="A914" s="309"/>
      <c r="B914" s="309"/>
      <c r="C914" s="309"/>
      <c r="D914" s="309"/>
      <c r="E914" s="330"/>
      <c r="F914" s="309"/>
      <c r="G914" s="309"/>
      <c r="H914" s="316"/>
      <c r="I914" s="309"/>
      <c r="J914" s="309"/>
      <c r="K914" s="309"/>
      <c r="L914" s="309"/>
      <c r="M914" s="309"/>
      <c r="N914" s="309"/>
      <c r="O914" s="309"/>
      <c r="P914" s="309"/>
      <c r="Q914" s="309"/>
      <c r="R914" s="309"/>
      <c r="S914" s="309"/>
      <c r="T914" s="309"/>
      <c r="U914" s="309"/>
      <c r="V914" s="309"/>
      <c r="W914" s="309"/>
      <c r="X914" s="309"/>
      <c r="Y914" s="309"/>
      <c r="Z914" s="309"/>
      <c r="AA914" s="309"/>
    </row>
    <row r="915" ht="27.0" customHeight="1">
      <c r="A915" s="309"/>
      <c r="B915" s="309"/>
      <c r="C915" s="309"/>
      <c r="D915" s="309"/>
      <c r="E915" s="330"/>
      <c r="F915" s="309"/>
      <c r="G915" s="309"/>
      <c r="H915" s="316"/>
      <c r="I915" s="309"/>
      <c r="J915" s="309"/>
      <c r="K915" s="309"/>
      <c r="L915" s="309"/>
      <c r="M915" s="309"/>
      <c r="N915" s="309"/>
      <c r="O915" s="309"/>
      <c r="P915" s="309"/>
      <c r="Q915" s="309"/>
      <c r="R915" s="309"/>
      <c r="S915" s="309"/>
      <c r="T915" s="309"/>
      <c r="U915" s="309"/>
      <c r="V915" s="309"/>
      <c r="W915" s="309"/>
      <c r="X915" s="309"/>
      <c r="Y915" s="309"/>
      <c r="Z915" s="309"/>
      <c r="AA915" s="309"/>
    </row>
    <row r="916" ht="27.0" customHeight="1">
      <c r="A916" s="309"/>
      <c r="B916" s="309"/>
      <c r="C916" s="309"/>
      <c r="D916" s="309"/>
      <c r="E916" s="330"/>
      <c r="F916" s="309"/>
      <c r="G916" s="309"/>
      <c r="H916" s="316"/>
      <c r="I916" s="309"/>
      <c r="J916" s="309"/>
      <c r="K916" s="309"/>
      <c r="L916" s="309"/>
      <c r="M916" s="309"/>
      <c r="N916" s="309"/>
      <c r="O916" s="309"/>
      <c r="P916" s="309"/>
      <c r="Q916" s="309"/>
      <c r="R916" s="309"/>
      <c r="S916" s="309"/>
      <c r="T916" s="309"/>
      <c r="U916" s="309"/>
      <c r="V916" s="309"/>
      <c r="W916" s="309"/>
      <c r="X916" s="309"/>
      <c r="Y916" s="309"/>
      <c r="Z916" s="309"/>
      <c r="AA916" s="309"/>
    </row>
    <row r="917" ht="27.0" customHeight="1">
      <c r="A917" s="309"/>
      <c r="B917" s="309"/>
      <c r="C917" s="309"/>
      <c r="D917" s="309"/>
      <c r="E917" s="330"/>
      <c r="F917" s="309"/>
      <c r="G917" s="309"/>
      <c r="H917" s="316"/>
      <c r="I917" s="309"/>
      <c r="J917" s="309"/>
      <c r="K917" s="309"/>
      <c r="L917" s="309"/>
      <c r="M917" s="309"/>
      <c r="N917" s="309"/>
      <c r="O917" s="309"/>
      <c r="P917" s="309"/>
      <c r="Q917" s="309"/>
      <c r="R917" s="309"/>
      <c r="S917" s="309"/>
      <c r="T917" s="309"/>
      <c r="U917" s="309"/>
      <c r="V917" s="309"/>
      <c r="W917" s="309"/>
      <c r="X917" s="309"/>
      <c r="Y917" s="309"/>
      <c r="Z917" s="309"/>
      <c r="AA917" s="309"/>
    </row>
    <row r="918" ht="27.0" customHeight="1">
      <c r="A918" s="309"/>
      <c r="B918" s="309"/>
      <c r="C918" s="309"/>
      <c r="D918" s="309"/>
      <c r="E918" s="330"/>
      <c r="F918" s="309"/>
      <c r="G918" s="309"/>
      <c r="H918" s="316"/>
      <c r="I918" s="309"/>
      <c r="J918" s="309"/>
      <c r="K918" s="309"/>
      <c r="L918" s="309"/>
      <c r="M918" s="309"/>
      <c r="N918" s="309"/>
      <c r="O918" s="309"/>
      <c r="P918" s="309"/>
      <c r="Q918" s="309"/>
      <c r="R918" s="309"/>
      <c r="S918" s="309"/>
      <c r="T918" s="309"/>
      <c r="U918" s="309"/>
      <c r="V918" s="309"/>
      <c r="W918" s="309"/>
      <c r="X918" s="309"/>
      <c r="Y918" s="309"/>
      <c r="Z918" s="309"/>
      <c r="AA918" s="309"/>
    </row>
    <row r="919" ht="27.0" customHeight="1">
      <c r="A919" s="309"/>
      <c r="B919" s="309"/>
      <c r="C919" s="309"/>
      <c r="D919" s="309"/>
      <c r="E919" s="330"/>
      <c r="F919" s="309"/>
      <c r="G919" s="309"/>
      <c r="H919" s="316"/>
      <c r="I919" s="309"/>
      <c r="J919" s="309"/>
      <c r="K919" s="309"/>
      <c r="L919" s="309"/>
      <c r="M919" s="309"/>
      <c r="N919" s="309"/>
      <c r="O919" s="309"/>
      <c r="P919" s="309"/>
      <c r="Q919" s="309"/>
      <c r="R919" s="309"/>
      <c r="S919" s="309"/>
      <c r="T919" s="309"/>
      <c r="U919" s="309"/>
      <c r="V919" s="309"/>
      <c r="W919" s="309"/>
      <c r="X919" s="309"/>
      <c r="Y919" s="309"/>
      <c r="Z919" s="309"/>
      <c r="AA919" s="309"/>
    </row>
    <row r="920" ht="27.0" customHeight="1">
      <c r="A920" s="309"/>
      <c r="B920" s="309"/>
      <c r="C920" s="309"/>
      <c r="D920" s="309"/>
      <c r="E920" s="330"/>
      <c r="F920" s="309"/>
      <c r="G920" s="309"/>
      <c r="H920" s="316"/>
      <c r="I920" s="309"/>
      <c r="J920" s="309"/>
      <c r="K920" s="309"/>
      <c r="L920" s="309"/>
      <c r="M920" s="309"/>
      <c r="N920" s="309"/>
      <c r="O920" s="309"/>
      <c r="P920" s="309"/>
      <c r="Q920" s="309"/>
      <c r="R920" s="309"/>
      <c r="S920" s="309"/>
      <c r="T920" s="309"/>
      <c r="U920" s="309"/>
      <c r="V920" s="309"/>
      <c r="W920" s="309"/>
      <c r="X920" s="309"/>
      <c r="Y920" s="309"/>
      <c r="Z920" s="309"/>
      <c r="AA920" s="309"/>
    </row>
    <row r="921" ht="27.0" customHeight="1">
      <c r="A921" s="309"/>
      <c r="B921" s="309"/>
      <c r="C921" s="309"/>
      <c r="D921" s="309"/>
      <c r="E921" s="330"/>
      <c r="F921" s="309"/>
      <c r="G921" s="309"/>
      <c r="H921" s="316"/>
      <c r="I921" s="309"/>
      <c r="J921" s="309"/>
      <c r="K921" s="309"/>
      <c r="L921" s="309"/>
      <c r="M921" s="309"/>
      <c r="N921" s="309"/>
      <c r="O921" s="309"/>
      <c r="P921" s="309"/>
      <c r="Q921" s="309"/>
      <c r="R921" s="309"/>
      <c r="S921" s="309"/>
      <c r="T921" s="309"/>
      <c r="U921" s="309"/>
      <c r="V921" s="309"/>
      <c r="W921" s="309"/>
      <c r="X921" s="309"/>
      <c r="Y921" s="309"/>
      <c r="Z921" s="309"/>
      <c r="AA921" s="309"/>
    </row>
    <row r="922" ht="27.0" customHeight="1">
      <c r="A922" s="309"/>
      <c r="B922" s="309"/>
      <c r="C922" s="309"/>
      <c r="D922" s="309"/>
      <c r="E922" s="330"/>
      <c r="F922" s="309"/>
      <c r="G922" s="309"/>
      <c r="H922" s="316"/>
      <c r="I922" s="309"/>
      <c r="J922" s="309"/>
      <c r="K922" s="309"/>
      <c r="L922" s="309"/>
      <c r="M922" s="309"/>
      <c r="N922" s="309"/>
      <c r="O922" s="309"/>
      <c r="P922" s="309"/>
      <c r="Q922" s="309"/>
      <c r="R922" s="309"/>
      <c r="S922" s="309"/>
      <c r="T922" s="309"/>
      <c r="U922" s="309"/>
      <c r="V922" s="309"/>
      <c r="W922" s="309"/>
      <c r="X922" s="309"/>
      <c r="Y922" s="309"/>
      <c r="Z922" s="309"/>
      <c r="AA922" s="309"/>
    </row>
    <row r="923" ht="27.0" customHeight="1">
      <c r="A923" s="309"/>
      <c r="B923" s="309"/>
      <c r="C923" s="309"/>
      <c r="D923" s="309"/>
      <c r="E923" s="330"/>
      <c r="F923" s="309"/>
      <c r="G923" s="309"/>
      <c r="H923" s="316"/>
      <c r="I923" s="309"/>
      <c r="J923" s="309"/>
      <c r="K923" s="309"/>
      <c r="L923" s="309"/>
      <c r="M923" s="309"/>
      <c r="N923" s="309"/>
      <c r="O923" s="309"/>
      <c r="P923" s="309"/>
      <c r="Q923" s="309"/>
      <c r="R923" s="309"/>
      <c r="S923" s="309"/>
      <c r="T923" s="309"/>
      <c r="U923" s="309"/>
      <c r="V923" s="309"/>
      <c r="W923" s="309"/>
      <c r="X923" s="309"/>
      <c r="Y923" s="309"/>
      <c r="Z923" s="309"/>
      <c r="AA923" s="309"/>
    </row>
    <row r="924" ht="27.0" customHeight="1">
      <c r="A924" s="309"/>
      <c r="B924" s="309"/>
      <c r="C924" s="309"/>
      <c r="D924" s="309"/>
      <c r="E924" s="330"/>
      <c r="F924" s="309"/>
      <c r="G924" s="309"/>
      <c r="H924" s="316"/>
      <c r="I924" s="309"/>
      <c r="J924" s="309"/>
      <c r="K924" s="309"/>
      <c r="L924" s="309"/>
      <c r="M924" s="309"/>
      <c r="N924" s="309"/>
      <c r="O924" s="309"/>
      <c r="P924" s="309"/>
      <c r="Q924" s="309"/>
      <c r="R924" s="309"/>
      <c r="S924" s="309"/>
      <c r="T924" s="309"/>
      <c r="U924" s="309"/>
      <c r="V924" s="309"/>
      <c r="W924" s="309"/>
      <c r="X924" s="309"/>
      <c r="Y924" s="309"/>
      <c r="Z924" s="309"/>
      <c r="AA924" s="309"/>
    </row>
    <row r="925" ht="27.0" customHeight="1">
      <c r="A925" s="309"/>
      <c r="B925" s="309"/>
      <c r="C925" s="309"/>
      <c r="D925" s="309"/>
      <c r="E925" s="330"/>
      <c r="F925" s="309"/>
      <c r="G925" s="309"/>
      <c r="H925" s="316"/>
      <c r="I925" s="309"/>
      <c r="J925" s="309"/>
      <c r="K925" s="309"/>
      <c r="L925" s="309"/>
      <c r="M925" s="309"/>
      <c r="N925" s="309"/>
      <c r="O925" s="309"/>
      <c r="P925" s="309"/>
      <c r="Q925" s="309"/>
      <c r="R925" s="309"/>
      <c r="S925" s="309"/>
      <c r="T925" s="309"/>
      <c r="U925" s="309"/>
      <c r="V925" s="309"/>
      <c r="W925" s="309"/>
      <c r="X925" s="309"/>
      <c r="Y925" s="309"/>
      <c r="Z925" s="309"/>
      <c r="AA925" s="309"/>
    </row>
    <row r="926" ht="27.0" customHeight="1">
      <c r="A926" s="309"/>
      <c r="B926" s="309"/>
      <c r="C926" s="309"/>
      <c r="D926" s="309"/>
      <c r="E926" s="330"/>
      <c r="F926" s="309"/>
      <c r="G926" s="309"/>
      <c r="H926" s="316"/>
      <c r="I926" s="309"/>
      <c r="J926" s="309"/>
      <c r="K926" s="309"/>
      <c r="L926" s="309"/>
      <c r="M926" s="309"/>
      <c r="N926" s="309"/>
      <c r="O926" s="309"/>
      <c r="P926" s="309"/>
      <c r="Q926" s="309"/>
      <c r="R926" s="309"/>
      <c r="S926" s="309"/>
      <c r="T926" s="309"/>
      <c r="U926" s="309"/>
      <c r="V926" s="309"/>
      <c r="W926" s="309"/>
      <c r="X926" s="309"/>
      <c r="Y926" s="309"/>
      <c r="Z926" s="309"/>
      <c r="AA926" s="309"/>
    </row>
    <row r="927" ht="27.0" customHeight="1">
      <c r="A927" s="309"/>
      <c r="B927" s="309"/>
      <c r="C927" s="309"/>
      <c r="D927" s="309"/>
      <c r="E927" s="330"/>
      <c r="F927" s="309"/>
      <c r="G927" s="309"/>
      <c r="H927" s="316"/>
      <c r="I927" s="309"/>
      <c r="J927" s="309"/>
      <c r="K927" s="309"/>
      <c r="L927" s="309"/>
      <c r="M927" s="309"/>
      <c r="N927" s="309"/>
      <c r="O927" s="309"/>
      <c r="P927" s="309"/>
      <c r="Q927" s="309"/>
      <c r="R927" s="309"/>
      <c r="S927" s="309"/>
      <c r="T927" s="309"/>
      <c r="U927" s="309"/>
      <c r="V927" s="309"/>
      <c r="W927" s="309"/>
      <c r="X927" s="309"/>
      <c r="Y927" s="309"/>
      <c r="Z927" s="309"/>
      <c r="AA927" s="309"/>
    </row>
    <row r="928" ht="27.0" customHeight="1">
      <c r="A928" s="309"/>
      <c r="B928" s="309"/>
      <c r="C928" s="309"/>
      <c r="D928" s="309"/>
      <c r="E928" s="330"/>
      <c r="F928" s="309"/>
      <c r="G928" s="309"/>
      <c r="H928" s="316"/>
      <c r="I928" s="309"/>
      <c r="J928" s="309"/>
      <c r="K928" s="309"/>
      <c r="L928" s="309"/>
      <c r="M928" s="309"/>
      <c r="N928" s="309"/>
      <c r="O928" s="309"/>
      <c r="P928" s="309"/>
      <c r="Q928" s="309"/>
      <c r="R928" s="309"/>
      <c r="S928" s="309"/>
      <c r="T928" s="309"/>
      <c r="U928" s="309"/>
      <c r="V928" s="309"/>
      <c r="W928" s="309"/>
      <c r="X928" s="309"/>
      <c r="Y928" s="309"/>
      <c r="Z928" s="309"/>
      <c r="AA928" s="309"/>
    </row>
    <row r="929" ht="27.0" customHeight="1">
      <c r="A929" s="309"/>
      <c r="B929" s="309"/>
      <c r="C929" s="309"/>
      <c r="D929" s="309"/>
      <c r="E929" s="330"/>
      <c r="F929" s="309"/>
      <c r="G929" s="309"/>
      <c r="H929" s="316"/>
      <c r="I929" s="309"/>
      <c r="J929" s="309"/>
      <c r="K929" s="309"/>
      <c r="L929" s="309"/>
      <c r="M929" s="309"/>
      <c r="N929" s="309"/>
      <c r="O929" s="309"/>
      <c r="P929" s="309"/>
      <c r="Q929" s="309"/>
      <c r="R929" s="309"/>
      <c r="S929" s="309"/>
      <c r="T929" s="309"/>
      <c r="U929" s="309"/>
      <c r="V929" s="309"/>
      <c r="W929" s="309"/>
      <c r="X929" s="309"/>
      <c r="Y929" s="309"/>
      <c r="Z929" s="309"/>
      <c r="AA929" s="309"/>
    </row>
    <row r="930" ht="27.0" customHeight="1">
      <c r="A930" s="309"/>
      <c r="B930" s="309"/>
      <c r="C930" s="309"/>
      <c r="D930" s="309"/>
      <c r="E930" s="330"/>
      <c r="F930" s="309"/>
      <c r="G930" s="309"/>
      <c r="H930" s="316"/>
      <c r="I930" s="309"/>
      <c r="J930" s="309"/>
      <c r="K930" s="309"/>
      <c r="L930" s="309"/>
      <c r="M930" s="309"/>
      <c r="N930" s="309"/>
      <c r="O930" s="309"/>
      <c r="P930" s="309"/>
      <c r="Q930" s="309"/>
      <c r="R930" s="309"/>
      <c r="S930" s="309"/>
      <c r="T930" s="309"/>
      <c r="U930" s="309"/>
      <c r="V930" s="309"/>
      <c r="W930" s="309"/>
      <c r="X930" s="309"/>
      <c r="Y930" s="309"/>
      <c r="Z930" s="309"/>
      <c r="AA930" s="309"/>
    </row>
    <row r="931" ht="27.0" customHeight="1">
      <c r="A931" s="309"/>
      <c r="B931" s="309"/>
      <c r="C931" s="309"/>
      <c r="D931" s="309"/>
      <c r="E931" s="330"/>
      <c r="F931" s="309"/>
      <c r="G931" s="309"/>
      <c r="H931" s="316"/>
      <c r="I931" s="309"/>
      <c r="J931" s="309"/>
      <c r="K931" s="309"/>
      <c r="L931" s="309"/>
      <c r="M931" s="309"/>
      <c r="N931" s="309"/>
      <c r="O931" s="309"/>
      <c r="P931" s="309"/>
      <c r="Q931" s="309"/>
      <c r="R931" s="309"/>
      <c r="S931" s="309"/>
      <c r="T931" s="309"/>
      <c r="U931" s="309"/>
      <c r="V931" s="309"/>
      <c r="W931" s="309"/>
      <c r="X931" s="309"/>
      <c r="Y931" s="309"/>
      <c r="Z931" s="309"/>
      <c r="AA931" s="309"/>
    </row>
    <row r="932" ht="27.0" customHeight="1">
      <c r="A932" s="309"/>
      <c r="B932" s="309"/>
      <c r="C932" s="309"/>
      <c r="D932" s="309"/>
      <c r="E932" s="330"/>
      <c r="F932" s="309"/>
      <c r="G932" s="309"/>
      <c r="H932" s="316"/>
      <c r="I932" s="309"/>
      <c r="J932" s="309"/>
      <c r="K932" s="309"/>
      <c r="L932" s="309"/>
      <c r="M932" s="309"/>
      <c r="N932" s="309"/>
      <c r="O932" s="309"/>
      <c r="P932" s="309"/>
      <c r="Q932" s="309"/>
      <c r="R932" s="309"/>
      <c r="S932" s="309"/>
      <c r="T932" s="309"/>
      <c r="U932" s="309"/>
      <c r="V932" s="309"/>
      <c r="W932" s="309"/>
      <c r="X932" s="309"/>
      <c r="Y932" s="309"/>
      <c r="Z932" s="309"/>
      <c r="AA932" s="309"/>
    </row>
    <row r="933" ht="27.0" customHeight="1">
      <c r="A933" s="309"/>
      <c r="B933" s="309"/>
      <c r="C933" s="309"/>
      <c r="D933" s="309"/>
      <c r="E933" s="330"/>
      <c r="F933" s="309"/>
      <c r="G933" s="309"/>
      <c r="H933" s="316"/>
      <c r="I933" s="309"/>
      <c r="J933" s="309"/>
      <c r="K933" s="309"/>
      <c r="L933" s="309"/>
      <c r="M933" s="309"/>
      <c r="N933" s="309"/>
      <c r="O933" s="309"/>
      <c r="P933" s="309"/>
      <c r="Q933" s="309"/>
      <c r="R933" s="309"/>
      <c r="S933" s="309"/>
      <c r="T933" s="309"/>
      <c r="U933" s="309"/>
      <c r="V933" s="309"/>
      <c r="W933" s="309"/>
      <c r="X933" s="309"/>
      <c r="Y933" s="309"/>
      <c r="Z933" s="309"/>
      <c r="AA933" s="309"/>
    </row>
    <row r="934" ht="27.0" customHeight="1">
      <c r="A934" s="309"/>
      <c r="B934" s="309"/>
      <c r="C934" s="309"/>
      <c r="D934" s="309"/>
      <c r="E934" s="330"/>
      <c r="F934" s="309"/>
      <c r="G934" s="309"/>
      <c r="H934" s="316"/>
      <c r="I934" s="309"/>
      <c r="J934" s="309"/>
      <c r="K934" s="309"/>
      <c r="L934" s="309"/>
      <c r="M934" s="309"/>
      <c r="N934" s="309"/>
      <c r="O934" s="309"/>
      <c r="P934" s="309"/>
      <c r="Q934" s="309"/>
      <c r="R934" s="309"/>
      <c r="S934" s="309"/>
      <c r="T934" s="309"/>
      <c r="U934" s="309"/>
      <c r="V934" s="309"/>
      <c r="W934" s="309"/>
      <c r="X934" s="309"/>
      <c r="Y934" s="309"/>
      <c r="Z934" s="309"/>
      <c r="AA934" s="309"/>
    </row>
    <row r="935" ht="27.0" customHeight="1">
      <c r="A935" s="309"/>
      <c r="B935" s="309"/>
      <c r="C935" s="309"/>
      <c r="D935" s="309"/>
      <c r="E935" s="330"/>
      <c r="F935" s="309"/>
      <c r="G935" s="309"/>
      <c r="H935" s="316"/>
      <c r="I935" s="309"/>
      <c r="J935" s="309"/>
      <c r="K935" s="309"/>
      <c r="L935" s="309"/>
      <c r="M935" s="309"/>
      <c r="N935" s="309"/>
      <c r="O935" s="309"/>
      <c r="P935" s="309"/>
      <c r="Q935" s="309"/>
      <c r="R935" s="309"/>
      <c r="S935" s="309"/>
      <c r="T935" s="309"/>
      <c r="U935" s="309"/>
      <c r="V935" s="309"/>
      <c r="W935" s="309"/>
      <c r="X935" s="309"/>
      <c r="Y935" s="309"/>
      <c r="Z935" s="309"/>
      <c r="AA935" s="309"/>
    </row>
    <row r="936" ht="27.0" customHeight="1">
      <c r="A936" s="309"/>
      <c r="B936" s="309"/>
      <c r="C936" s="309"/>
      <c r="D936" s="309"/>
      <c r="E936" s="330"/>
      <c r="F936" s="309"/>
      <c r="G936" s="309"/>
      <c r="H936" s="316"/>
      <c r="I936" s="309"/>
      <c r="J936" s="309"/>
      <c r="K936" s="309"/>
      <c r="L936" s="309"/>
      <c r="M936" s="309"/>
      <c r="N936" s="309"/>
      <c r="O936" s="309"/>
      <c r="P936" s="309"/>
      <c r="Q936" s="309"/>
      <c r="R936" s="309"/>
      <c r="S936" s="309"/>
      <c r="T936" s="309"/>
      <c r="U936" s="309"/>
      <c r="V936" s="309"/>
      <c r="W936" s="309"/>
      <c r="X936" s="309"/>
      <c r="Y936" s="309"/>
      <c r="Z936" s="309"/>
      <c r="AA936" s="309"/>
    </row>
    <row r="937" ht="27.0" customHeight="1">
      <c r="A937" s="309"/>
      <c r="B937" s="309"/>
      <c r="C937" s="309"/>
      <c r="D937" s="309"/>
      <c r="E937" s="330"/>
      <c r="F937" s="309"/>
      <c r="G937" s="309"/>
      <c r="H937" s="316"/>
      <c r="I937" s="309"/>
      <c r="J937" s="309"/>
      <c r="K937" s="309"/>
      <c r="L937" s="309"/>
      <c r="M937" s="309"/>
      <c r="N937" s="309"/>
      <c r="O937" s="309"/>
      <c r="P937" s="309"/>
      <c r="Q937" s="309"/>
      <c r="R937" s="309"/>
      <c r="S937" s="309"/>
      <c r="T937" s="309"/>
      <c r="U937" s="309"/>
      <c r="V937" s="309"/>
      <c r="W937" s="309"/>
      <c r="X937" s="309"/>
      <c r="Y937" s="309"/>
      <c r="Z937" s="309"/>
      <c r="AA937" s="309"/>
    </row>
    <row r="938" ht="27.0" customHeight="1">
      <c r="A938" s="309"/>
      <c r="B938" s="309"/>
      <c r="C938" s="309"/>
      <c r="D938" s="309"/>
      <c r="E938" s="330"/>
      <c r="F938" s="309"/>
      <c r="G938" s="309"/>
      <c r="H938" s="316"/>
      <c r="I938" s="309"/>
      <c r="J938" s="309"/>
      <c r="K938" s="309"/>
      <c r="L938" s="309"/>
      <c r="M938" s="309"/>
      <c r="N938" s="309"/>
      <c r="O938" s="309"/>
      <c r="P938" s="309"/>
      <c r="Q938" s="309"/>
      <c r="R938" s="309"/>
      <c r="S938" s="309"/>
      <c r="T938" s="309"/>
      <c r="U938" s="309"/>
      <c r="V938" s="309"/>
      <c r="W938" s="309"/>
      <c r="X938" s="309"/>
      <c r="Y938" s="309"/>
      <c r="Z938" s="309"/>
      <c r="AA938" s="309"/>
    </row>
    <row r="939" ht="27.0" customHeight="1">
      <c r="A939" s="309"/>
      <c r="B939" s="309"/>
      <c r="C939" s="309"/>
      <c r="D939" s="309"/>
      <c r="E939" s="330"/>
      <c r="F939" s="309"/>
      <c r="G939" s="309"/>
      <c r="H939" s="316"/>
      <c r="I939" s="309"/>
      <c r="J939" s="309"/>
      <c r="K939" s="309"/>
      <c r="L939" s="309"/>
      <c r="M939" s="309"/>
      <c r="N939" s="309"/>
      <c r="O939" s="309"/>
      <c r="P939" s="309"/>
      <c r="Q939" s="309"/>
      <c r="R939" s="309"/>
      <c r="S939" s="309"/>
      <c r="T939" s="309"/>
      <c r="U939" s="309"/>
      <c r="V939" s="309"/>
      <c r="W939" s="309"/>
      <c r="X939" s="309"/>
      <c r="Y939" s="309"/>
      <c r="Z939" s="309"/>
      <c r="AA939" s="309"/>
    </row>
    <row r="940" ht="27.0" customHeight="1">
      <c r="A940" s="309"/>
      <c r="B940" s="309"/>
      <c r="C940" s="309"/>
      <c r="D940" s="309"/>
      <c r="E940" s="330"/>
      <c r="F940" s="309"/>
      <c r="G940" s="309"/>
      <c r="H940" s="316"/>
      <c r="I940" s="309"/>
      <c r="J940" s="309"/>
      <c r="K940" s="309"/>
      <c r="L940" s="309"/>
      <c r="M940" s="309"/>
      <c r="N940" s="309"/>
      <c r="O940" s="309"/>
      <c r="P940" s="309"/>
      <c r="Q940" s="309"/>
      <c r="R940" s="309"/>
      <c r="S940" s="309"/>
      <c r="T940" s="309"/>
      <c r="U940" s="309"/>
      <c r="V940" s="309"/>
      <c r="W940" s="309"/>
      <c r="X940" s="309"/>
      <c r="Y940" s="309"/>
      <c r="Z940" s="309"/>
      <c r="AA940" s="309"/>
    </row>
    <row r="941" ht="27.0" customHeight="1">
      <c r="A941" s="309"/>
      <c r="B941" s="309"/>
      <c r="C941" s="309"/>
      <c r="D941" s="309"/>
      <c r="E941" s="330"/>
      <c r="F941" s="309"/>
      <c r="G941" s="309"/>
      <c r="H941" s="316"/>
      <c r="I941" s="309"/>
      <c r="J941" s="309"/>
      <c r="K941" s="309"/>
      <c r="L941" s="309"/>
      <c r="M941" s="309"/>
      <c r="N941" s="309"/>
      <c r="O941" s="309"/>
      <c r="P941" s="309"/>
      <c r="Q941" s="309"/>
      <c r="R941" s="309"/>
      <c r="S941" s="309"/>
      <c r="T941" s="309"/>
      <c r="U941" s="309"/>
      <c r="V941" s="309"/>
      <c r="W941" s="309"/>
      <c r="X941" s="309"/>
      <c r="Y941" s="309"/>
      <c r="Z941" s="309"/>
      <c r="AA941" s="309"/>
    </row>
    <row r="942" ht="27.0" customHeight="1">
      <c r="A942" s="309"/>
      <c r="B942" s="309"/>
      <c r="C942" s="309"/>
      <c r="D942" s="309"/>
      <c r="E942" s="330"/>
      <c r="F942" s="309"/>
      <c r="G942" s="309"/>
      <c r="H942" s="316"/>
      <c r="I942" s="309"/>
      <c r="J942" s="309"/>
      <c r="K942" s="309"/>
      <c r="L942" s="309"/>
      <c r="M942" s="309"/>
      <c r="N942" s="309"/>
      <c r="O942" s="309"/>
      <c r="P942" s="309"/>
      <c r="Q942" s="309"/>
      <c r="R942" s="309"/>
      <c r="S942" s="309"/>
      <c r="T942" s="309"/>
      <c r="U942" s="309"/>
      <c r="V942" s="309"/>
      <c r="W942" s="309"/>
      <c r="X942" s="309"/>
      <c r="Y942" s="309"/>
      <c r="Z942" s="309"/>
      <c r="AA942" s="309"/>
    </row>
    <row r="943" ht="27.0" customHeight="1">
      <c r="A943" s="309"/>
      <c r="B943" s="309"/>
      <c r="C943" s="309"/>
      <c r="D943" s="309"/>
      <c r="E943" s="330"/>
      <c r="F943" s="309"/>
      <c r="G943" s="309"/>
      <c r="H943" s="316"/>
      <c r="I943" s="309"/>
      <c r="J943" s="309"/>
      <c r="K943" s="309"/>
      <c r="L943" s="309"/>
      <c r="M943" s="309"/>
      <c r="N943" s="309"/>
      <c r="O943" s="309"/>
      <c r="P943" s="309"/>
      <c r="Q943" s="309"/>
      <c r="R943" s="309"/>
      <c r="S943" s="309"/>
      <c r="T943" s="309"/>
      <c r="U943" s="309"/>
      <c r="V943" s="309"/>
      <c r="W943" s="309"/>
      <c r="X943" s="309"/>
      <c r="Y943" s="309"/>
      <c r="Z943" s="309"/>
      <c r="AA943" s="309"/>
    </row>
    <row r="944" ht="27.0" customHeight="1">
      <c r="A944" s="309"/>
      <c r="B944" s="309"/>
      <c r="C944" s="309"/>
      <c r="D944" s="309"/>
      <c r="E944" s="330"/>
      <c r="F944" s="309"/>
      <c r="G944" s="309"/>
      <c r="H944" s="316"/>
      <c r="I944" s="309"/>
      <c r="J944" s="309"/>
      <c r="K944" s="309"/>
      <c r="L944" s="309"/>
      <c r="M944" s="309"/>
      <c r="N944" s="309"/>
      <c r="O944" s="309"/>
      <c r="P944" s="309"/>
      <c r="Q944" s="309"/>
      <c r="R944" s="309"/>
      <c r="S944" s="309"/>
      <c r="T944" s="309"/>
      <c r="U944" s="309"/>
      <c r="V944" s="309"/>
      <c r="W944" s="309"/>
      <c r="X944" s="309"/>
      <c r="Y944" s="309"/>
      <c r="Z944" s="309"/>
      <c r="AA944" s="309"/>
    </row>
    <row r="945" ht="27.0" customHeight="1">
      <c r="A945" s="309"/>
      <c r="B945" s="309"/>
      <c r="C945" s="309"/>
      <c r="D945" s="309"/>
      <c r="E945" s="330"/>
      <c r="F945" s="309"/>
      <c r="G945" s="309"/>
      <c r="H945" s="316"/>
      <c r="I945" s="309"/>
      <c r="J945" s="309"/>
      <c r="K945" s="309"/>
      <c r="L945" s="309"/>
      <c r="M945" s="309"/>
      <c r="N945" s="309"/>
      <c r="O945" s="309"/>
      <c r="P945" s="309"/>
      <c r="Q945" s="309"/>
      <c r="R945" s="309"/>
      <c r="S945" s="309"/>
      <c r="T945" s="309"/>
      <c r="U945" s="309"/>
      <c r="V945" s="309"/>
      <c r="W945" s="309"/>
      <c r="X945" s="309"/>
      <c r="Y945" s="309"/>
      <c r="Z945" s="309"/>
      <c r="AA945" s="309"/>
    </row>
    <row r="946" ht="27.0" customHeight="1">
      <c r="A946" s="309"/>
      <c r="B946" s="309"/>
      <c r="C946" s="309"/>
      <c r="D946" s="309"/>
      <c r="E946" s="330"/>
      <c r="F946" s="309"/>
      <c r="G946" s="309"/>
      <c r="H946" s="316"/>
      <c r="I946" s="309"/>
      <c r="J946" s="309"/>
      <c r="K946" s="309"/>
      <c r="L946" s="309"/>
      <c r="M946" s="309"/>
      <c r="N946" s="309"/>
      <c r="O946" s="309"/>
      <c r="P946" s="309"/>
      <c r="Q946" s="309"/>
      <c r="R946" s="309"/>
      <c r="S946" s="309"/>
      <c r="T946" s="309"/>
      <c r="U946" s="309"/>
      <c r="V946" s="309"/>
      <c r="W946" s="309"/>
      <c r="X946" s="309"/>
      <c r="Y946" s="309"/>
      <c r="Z946" s="309"/>
      <c r="AA946" s="309"/>
    </row>
    <row r="947" ht="27.0" customHeight="1">
      <c r="A947" s="309"/>
      <c r="B947" s="309"/>
      <c r="C947" s="309"/>
      <c r="D947" s="309"/>
      <c r="E947" s="330"/>
      <c r="F947" s="309"/>
      <c r="G947" s="309"/>
      <c r="H947" s="316"/>
      <c r="I947" s="309"/>
      <c r="J947" s="309"/>
      <c r="K947" s="309"/>
      <c r="L947" s="309"/>
      <c r="M947" s="309"/>
      <c r="N947" s="309"/>
      <c r="O947" s="309"/>
      <c r="P947" s="309"/>
      <c r="Q947" s="309"/>
      <c r="R947" s="309"/>
      <c r="S947" s="309"/>
      <c r="T947" s="309"/>
      <c r="U947" s="309"/>
      <c r="V947" s="309"/>
      <c r="W947" s="309"/>
      <c r="X947" s="309"/>
      <c r="Y947" s="309"/>
      <c r="Z947" s="309"/>
      <c r="AA947" s="309"/>
    </row>
    <row r="948" ht="27.0" customHeight="1">
      <c r="A948" s="309"/>
      <c r="B948" s="309"/>
      <c r="C948" s="309"/>
      <c r="D948" s="309"/>
      <c r="E948" s="330"/>
      <c r="F948" s="309"/>
      <c r="G948" s="309"/>
      <c r="H948" s="316"/>
      <c r="I948" s="309"/>
      <c r="J948" s="309"/>
      <c r="K948" s="309"/>
      <c r="L948" s="309"/>
      <c r="M948" s="309"/>
      <c r="N948" s="309"/>
      <c r="O948" s="309"/>
      <c r="P948" s="309"/>
      <c r="Q948" s="309"/>
      <c r="R948" s="309"/>
      <c r="S948" s="309"/>
      <c r="T948" s="309"/>
      <c r="U948" s="309"/>
      <c r="V948" s="309"/>
      <c r="W948" s="309"/>
      <c r="X948" s="309"/>
      <c r="Y948" s="309"/>
      <c r="Z948" s="309"/>
      <c r="AA948" s="309"/>
    </row>
    <row r="949" ht="27.0" customHeight="1">
      <c r="A949" s="309"/>
      <c r="B949" s="309"/>
      <c r="C949" s="309"/>
      <c r="D949" s="309"/>
      <c r="E949" s="330"/>
      <c r="F949" s="309"/>
      <c r="G949" s="309"/>
      <c r="H949" s="316"/>
      <c r="I949" s="309"/>
      <c r="J949" s="309"/>
      <c r="K949" s="309"/>
      <c r="L949" s="309"/>
      <c r="M949" s="309"/>
      <c r="N949" s="309"/>
      <c r="O949" s="309"/>
      <c r="P949" s="309"/>
      <c r="Q949" s="309"/>
      <c r="R949" s="309"/>
      <c r="S949" s="309"/>
      <c r="T949" s="309"/>
      <c r="U949" s="309"/>
      <c r="V949" s="309"/>
      <c r="W949" s="309"/>
      <c r="X949" s="309"/>
      <c r="Y949" s="309"/>
      <c r="Z949" s="309"/>
      <c r="AA949" s="309"/>
    </row>
    <row r="950" ht="27.0" customHeight="1">
      <c r="A950" s="309"/>
      <c r="B950" s="309"/>
      <c r="C950" s="309"/>
      <c r="D950" s="309"/>
      <c r="E950" s="330"/>
      <c r="F950" s="309"/>
      <c r="G950" s="309"/>
      <c r="H950" s="316"/>
      <c r="I950" s="309"/>
      <c r="J950" s="309"/>
      <c r="K950" s="309"/>
      <c r="L950" s="309"/>
      <c r="M950" s="309"/>
      <c r="N950" s="309"/>
      <c r="O950" s="309"/>
      <c r="P950" s="309"/>
      <c r="Q950" s="309"/>
      <c r="R950" s="309"/>
      <c r="S950" s="309"/>
      <c r="T950" s="309"/>
      <c r="U950" s="309"/>
      <c r="V950" s="309"/>
      <c r="W950" s="309"/>
      <c r="X950" s="309"/>
      <c r="Y950" s="309"/>
      <c r="Z950" s="309"/>
      <c r="AA950" s="309"/>
    </row>
    <row r="951" ht="27.0" customHeight="1">
      <c r="A951" s="309"/>
      <c r="B951" s="309"/>
      <c r="C951" s="309"/>
      <c r="D951" s="309"/>
      <c r="E951" s="330"/>
      <c r="F951" s="309"/>
      <c r="G951" s="309"/>
      <c r="H951" s="316"/>
      <c r="I951" s="309"/>
      <c r="J951" s="309"/>
      <c r="K951" s="309"/>
      <c r="L951" s="309"/>
      <c r="M951" s="309"/>
      <c r="N951" s="309"/>
      <c r="O951" s="309"/>
      <c r="P951" s="309"/>
      <c r="Q951" s="309"/>
      <c r="R951" s="309"/>
      <c r="S951" s="309"/>
      <c r="T951" s="309"/>
      <c r="U951" s="309"/>
      <c r="V951" s="309"/>
      <c r="W951" s="309"/>
      <c r="X951" s="309"/>
      <c r="Y951" s="309"/>
      <c r="Z951" s="309"/>
      <c r="AA951" s="309"/>
    </row>
    <row r="952" ht="27.0" customHeight="1">
      <c r="A952" s="309"/>
      <c r="B952" s="309"/>
      <c r="C952" s="309"/>
      <c r="D952" s="309"/>
      <c r="E952" s="330"/>
      <c r="F952" s="309"/>
      <c r="G952" s="309"/>
      <c r="H952" s="316"/>
      <c r="I952" s="309"/>
      <c r="J952" s="309"/>
      <c r="K952" s="309"/>
      <c r="L952" s="309"/>
      <c r="M952" s="309"/>
      <c r="N952" s="309"/>
      <c r="O952" s="309"/>
      <c r="P952" s="309"/>
      <c r="Q952" s="309"/>
      <c r="R952" s="309"/>
      <c r="S952" s="309"/>
      <c r="T952" s="309"/>
      <c r="U952" s="309"/>
      <c r="V952" s="309"/>
      <c r="W952" s="309"/>
      <c r="X952" s="309"/>
      <c r="Y952" s="309"/>
      <c r="Z952" s="309"/>
      <c r="AA952" s="309"/>
    </row>
    <row r="953" ht="27.0" customHeight="1">
      <c r="A953" s="309"/>
      <c r="B953" s="309"/>
      <c r="C953" s="309"/>
      <c r="D953" s="309"/>
      <c r="E953" s="330"/>
      <c r="F953" s="309"/>
      <c r="G953" s="309"/>
      <c r="H953" s="316"/>
      <c r="I953" s="309"/>
      <c r="J953" s="309"/>
      <c r="K953" s="309"/>
      <c r="L953" s="309"/>
      <c r="M953" s="309"/>
      <c r="N953" s="309"/>
      <c r="O953" s="309"/>
      <c r="P953" s="309"/>
      <c r="Q953" s="309"/>
      <c r="R953" s="309"/>
      <c r="S953" s="309"/>
      <c r="T953" s="309"/>
      <c r="U953" s="309"/>
      <c r="V953" s="309"/>
      <c r="W953" s="309"/>
      <c r="X953" s="309"/>
      <c r="Y953" s="309"/>
      <c r="Z953" s="309"/>
      <c r="AA953" s="309"/>
    </row>
    <row r="954" ht="27.0" customHeight="1">
      <c r="A954" s="309"/>
      <c r="B954" s="309"/>
      <c r="C954" s="309"/>
      <c r="D954" s="309"/>
      <c r="E954" s="330"/>
      <c r="F954" s="309"/>
      <c r="G954" s="309"/>
      <c r="H954" s="316"/>
      <c r="I954" s="309"/>
      <c r="J954" s="309"/>
      <c r="K954" s="309"/>
      <c r="L954" s="309"/>
      <c r="M954" s="309"/>
      <c r="N954" s="309"/>
      <c r="O954" s="309"/>
      <c r="P954" s="309"/>
      <c r="Q954" s="309"/>
      <c r="R954" s="309"/>
      <c r="S954" s="309"/>
      <c r="T954" s="309"/>
      <c r="U954" s="309"/>
      <c r="V954" s="309"/>
      <c r="W954" s="309"/>
      <c r="X954" s="309"/>
      <c r="Y954" s="309"/>
      <c r="Z954" s="309"/>
      <c r="AA954" s="309"/>
    </row>
  </sheetData>
  <mergeCells count="5">
    <mergeCell ref="A1:G2"/>
    <mergeCell ref="A3:A4"/>
    <mergeCell ref="D3:D4"/>
    <mergeCell ref="E3:E4"/>
    <mergeCell ref="F3:G3"/>
  </mergeCells>
  <dataValidations>
    <dataValidation type="list" allowBlank="1" sqref="I5:I49">
      <formula1>"ON TIME(ALL CHECKED),2 MONTHS(ALL CHECKED)"</formula1>
    </dataValidation>
    <dataValidation type="list" allowBlank="1" sqref="I50:I128">
      <formula1>"ON TIME(ALL CHECKED),2 MONTHS(ALL CHECKED),RETRO (ALL CHECKED)"</formula1>
    </dataValidation>
  </dataValidations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5" width="12.5"/>
    <col customWidth="1" min="6" max="6" width="7.38"/>
    <col customWidth="1" min="7" max="7" width="29.88"/>
    <col customWidth="1" min="8" max="8" width="31.75"/>
    <col customWidth="1" min="9" max="9" width="30.13"/>
    <col customWidth="1" min="10" max="10" width="32.25"/>
  </cols>
  <sheetData>
    <row r="1">
      <c r="A1" s="286"/>
    </row>
    <row r="2">
      <c r="E2" t="s">
        <v>2121</v>
      </c>
      <c r="G2">
        <v>43522.45014608796</v>
      </c>
    </row>
    <row r="4">
      <c r="A4" t="s">
        <v>2122</v>
      </c>
      <c r="B4" t="s">
        <v>2123</v>
      </c>
      <c r="C4" t="s">
        <v>2124</v>
      </c>
      <c r="D4" t="s">
        <v>2123</v>
      </c>
      <c r="E4" t="s">
        <v>2125</v>
      </c>
      <c r="F4" t="s">
        <v>2126</v>
      </c>
      <c r="G4" t="s">
        <v>2127</v>
      </c>
    </row>
    <row r="5">
      <c r="A5">
        <v>1.0</v>
      </c>
      <c r="B5">
        <v>1000224.0</v>
      </c>
      <c r="C5" t="s">
        <v>2128</v>
      </c>
      <c r="D5">
        <v>1000224.0</v>
      </c>
      <c r="E5" t="s">
        <v>2129</v>
      </c>
      <c r="F5" t="s">
        <v>2130</v>
      </c>
      <c r="G5" t="s">
        <v>2131</v>
      </c>
      <c r="H5" t="s">
        <v>2132</v>
      </c>
    </row>
    <row r="6">
      <c r="A6">
        <v>1.0</v>
      </c>
      <c r="B6">
        <v>1000226.0</v>
      </c>
      <c r="C6" t="s">
        <v>2133</v>
      </c>
      <c r="D6">
        <v>1000226.0</v>
      </c>
      <c r="E6" t="s">
        <v>2134</v>
      </c>
      <c r="F6" t="s">
        <v>2135</v>
      </c>
      <c r="G6" t="s">
        <v>2136</v>
      </c>
      <c r="H6" t="s">
        <v>2137</v>
      </c>
    </row>
    <row r="7">
      <c r="A7">
        <v>1.0</v>
      </c>
      <c r="B7">
        <v>1000229.0</v>
      </c>
      <c r="C7" t="s">
        <v>2138</v>
      </c>
      <c r="D7">
        <v>1000229.0</v>
      </c>
      <c r="E7" t="s">
        <v>2129</v>
      </c>
      <c r="F7" t="s">
        <v>2139</v>
      </c>
      <c r="G7" t="s">
        <v>2140</v>
      </c>
      <c r="H7" t="s">
        <v>2141</v>
      </c>
    </row>
    <row r="9">
      <c r="A9">
        <v>2.0</v>
      </c>
      <c r="B9">
        <v>1000233.0</v>
      </c>
      <c r="C9" t="s">
        <v>2142</v>
      </c>
      <c r="D9">
        <v>1000233.0</v>
      </c>
      <c r="E9" t="s">
        <v>2129</v>
      </c>
      <c r="F9" t="s">
        <v>2143</v>
      </c>
      <c r="G9" t="s">
        <v>2144</v>
      </c>
      <c r="H9" t="s">
        <v>2145</v>
      </c>
    </row>
    <row r="10">
      <c r="A10">
        <v>2.0</v>
      </c>
      <c r="B10">
        <v>1000240.0</v>
      </c>
      <c r="C10" t="s">
        <v>2146</v>
      </c>
      <c r="D10">
        <v>1000240.0</v>
      </c>
      <c r="E10" t="s">
        <v>2134</v>
      </c>
      <c r="F10" t="s">
        <v>2147</v>
      </c>
      <c r="G10" t="s">
        <v>2148</v>
      </c>
      <c r="H10" t="s">
        <v>2149</v>
      </c>
    </row>
    <row r="12">
      <c r="A12">
        <v>3.0</v>
      </c>
      <c r="B12">
        <v>1000369.0</v>
      </c>
      <c r="C12" t="s">
        <v>2150</v>
      </c>
      <c r="D12">
        <v>1000369.0</v>
      </c>
      <c r="E12" t="s">
        <v>2129</v>
      </c>
      <c r="F12" t="s">
        <v>2151</v>
      </c>
      <c r="G12" t="s">
        <v>2152</v>
      </c>
      <c r="H12" t="s">
        <v>2153</v>
      </c>
    </row>
    <row r="13">
      <c r="A13">
        <v>3.0</v>
      </c>
      <c r="B13">
        <v>1000374.0</v>
      </c>
      <c r="C13" t="s">
        <v>2154</v>
      </c>
      <c r="D13">
        <v>1000374.0</v>
      </c>
      <c r="E13" t="s">
        <v>2129</v>
      </c>
      <c r="F13" t="s">
        <v>2155</v>
      </c>
      <c r="G13" t="s">
        <v>2156</v>
      </c>
      <c r="H13" t="s">
        <v>2157</v>
      </c>
    </row>
    <row r="15">
      <c r="A15">
        <v>4.0</v>
      </c>
      <c r="B15">
        <v>1000429.0</v>
      </c>
      <c r="C15" t="s">
        <v>2158</v>
      </c>
      <c r="D15">
        <v>1000429.0</v>
      </c>
      <c r="E15" t="s">
        <v>2129</v>
      </c>
      <c r="F15" t="s">
        <v>2159</v>
      </c>
      <c r="G15" t="s">
        <v>2160</v>
      </c>
      <c r="H15" t="s">
        <v>2161</v>
      </c>
    </row>
    <row r="17">
      <c r="A17">
        <v>5.0</v>
      </c>
      <c r="B17">
        <v>1000536.0</v>
      </c>
      <c r="C17" t="s">
        <v>2162</v>
      </c>
      <c r="D17">
        <v>1000536.0</v>
      </c>
      <c r="E17" t="s">
        <v>2129</v>
      </c>
      <c r="F17" t="s">
        <v>2163</v>
      </c>
      <c r="G17" t="s">
        <v>2164</v>
      </c>
      <c r="H17" t="s">
        <v>2165</v>
      </c>
    </row>
    <row r="18">
      <c r="A18">
        <v>5.0</v>
      </c>
      <c r="B18">
        <v>1000539.0</v>
      </c>
      <c r="C18" t="s">
        <v>2166</v>
      </c>
      <c r="D18">
        <v>1000539.0</v>
      </c>
      <c r="E18" t="s">
        <v>2129</v>
      </c>
      <c r="F18" t="s">
        <v>2167</v>
      </c>
      <c r="G18" t="s">
        <v>2168</v>
      </c>
      <c r="H18" t="s">
        <v>2169</v>
      </c>
    </row>
    <row r="20">
      <c r="A20">
        <v>6.0</v>
      </c>
      <c r="B20">
        <v>1000636.0</v>
      </c>
      <c r="C20" t="s">
        <v>2170</v>
      </c>
      <c r="D20">
        <v>1000636.0</v>
      </c>
      <c r="E20" t="s">
        <v>2129</v>
      </c>
      <c r="F20" t="s">
        <v>2171</v>
      </c>
      <c r="G20" t="s">
        <v>2172</v>
      </c>
      <c r="H20" t="s">
        <v>2173</v>
      </c>
    </row>
    <row r="22">
      <c r="A22">
        <v>7.0</v>
      </c>
      <c r="B22">
        <v>1000674.0</v>
      </c>
      <c r="C22" t="s">
        <v>2174</v>
      </c>
      <c r="D22">
        <v>1000674.0</v>
      </c>
      <c r="E22" t="s">
        <v>2129</v>
      </c>
      <c r="F22" t="s">
        <v>2175</v>
      </c>
      <c r="G22" t="s">
        <v>2176</v>
      </c>
      <c r="H22" t="s">
        <v>2177</v>
      </c>
    </row>
    <row r="23">
      <c r="A23">
        <v>7.0</v>
      </c>
      <c r="B23">
        <v>1000675.0</v>
      </c>
      <c r="C23" t="s">
        <v>2178</v>
      </c>
      <c r="D23">
        <v>1000675.0</v>
      </c>
      <c r="E23" t="s">
        <v>2129</v>
      </c>
      <c r="F23" t="s">
        <v>2179</v>
      </c>
      <c r="G23" t="s">
        <v>2180</v>
      </c>
      <c r="H23" t="s">
        <v>2181</v>
      </c>
    </row>
    <row r="24">
      <c r="A24">
        <v>7.0</v>
      </c>
      <c r="B24">
        <v>1000678.0</v>
      </c>
      <c r="C24" t="s">
        <v>2182</v>
      </c>
      <c r="D24">
        <v>1000678.0</v>
      </c>
      <c r="E24" t="s">
        <v>2134</v>
      </c>
      <c r="F24" t="s">
        <v>2183</v>
      </c>
      <c r="G24" t="s">
        <v>2135</v>
      </c>
      <c r="H24" t="s">
        <v>2184</v>
      </c>
    </row>
    <row r="26">
      <c r="A26">
        <v>8.0</v>
      </c>
      <c r="B26">
        <v>1000705.0</v>
      </c>
      <c r="C26" t="s">
        <v>2185</v>
      </c>
      <c r="D26">
        <v>1000705.0</v>
      </c>
      <c r="E26" t="s">
        <v>2129</v>
      </c>
      <c r="F26" t="s">
        <v>2186</v>
      </c>
      <c r="G26" t="s">
        <v>2187</v>
      </c>
      <c r="H26" t="s">
        <v>2188</v>
      </c>
    </row>
    <row r="27">
      <c r="A27">
        <v>8.0</v>
      </c>
      <c r="B27">
        <v>1000707.0</v>
      </c>
      <c r="C27" t="s">
        <v>2189</v>
      </c>
      <c r="D27">
        <v>1000707.0</v>
      </c>
      <c r="E27" t="s">
        <v>2129</v>
      </c>
      <c r="F27" t="s">
        <v>2190</v>
      </c>
      <c r="G27" t="s">
        <v>2191</v>
      </c>
      <c r="H27" t="s">
        <v>2192</v>
      </c>
    </row>
    <row r="28">
      <c r="A28">
        <v>8.0</v>
      </c>
      <c r="B28">
        <v>1000708.0</v>
      </c>
      <c r="C28" t="s">
        <v>2193</v>
      </c>
      <c r="D28">
        <v>1000708.0</v>
      </c>
      <c r="E28" t="s">
        <v>2129</v>
      </c>
      <c r="F28" t="s">
        <v>2194</v>
      </c>
      <c r="G28" t="s">
        <v>2195</v>
      </c>
      <c r="H28" t="s">
        <v>2196</v>
      </c>
    </row>
    <row r="29">
      <c r="A29">
        <v>8.0</v>
      </c>
      <c r="B29">
        <v>1000709.0</v>
      </c>
      <c r="C29" t="s">
        <v>2197</v>
      </c>
      <c r="D29">
        <v>1000709.0</v>
      </c>
      <c r="E29" t="s">
        <v>2198</v>
      </c>
      <c r="F29" t="s">
        <v>2199</v>
      </c>
      <c r="G29" t="s">
        <v>2200</v>
      </c>
      <c r="H29" t="s">
        <v>2201</v>
      </c>
    </row>
    <row r="31">
      <c r="A31">
        <v>9.0</v>
      </c>
      <c r="B31">
        <v>1000735.0</v>
      </c>
      <c r="C31" t="s">
        <v>2202</v>
      </c>
      <c r="D31">
        <v>1000735.0</v>
      </c>
      <c r="E31" t="s">
        <v>2129</v>
      </c>
      <c r="F31" t="s">
        <v>2203</v>
      </c>
      <c r="G31" t="s">
        <v>2204</v>
      </c>
      <c r="H31" t="s">
        <v>2205</v>
      </c>
    </row>
    <row r="32">
      <c r="A32">
        <v>9.0</v>
      </c>
      <c r="B32">
        <v>1000737.0</v>
      </c>
      <c r="C32" t="s">
        <v>2206</v>
      </c>
      <c r="D32">
        <v>1000737.0</v>
      </c>
      <c r="E32" t="s">
        <v>2134</v>
      </c>
      <c r="F32" t="s">
        <v>2207</v>
      </c>
      <c r="G32" t="s">
        <v>2208</v>
      </c>
      <c r="H32" t="s">
        <v>2209</v>
      </c>
    </row>
    <row r="33">
      <c r="A33">
        <v>9.0</v>
      </c>
      <c r="B33">
        <v>1000736.0</v>
      </c>
      <c r="C33" t="s">
        <v>2210</v>
      </c>
      <c r="D33">
        <v>1000736.0</v>
      </c>
      <c r="E33" t="s">
        <v>2134</v>
      </c>
      <c r="F33" t="s">
        <v>2211</v>
      </c>
      <c r="G33" t="s">
        <v>2212</v>
      </c>
      <c r="H33" t="s">
        <v>2213</v>
      </c>
    </row>
    <row r="34">
      <c r="A34">
        <v>9.0</v>
      </c>
      <c r="B34">
        <v>1000738.0</v>
      </c>
      <c r="C34" t="s">
        <v>2214</v>
      </c>
      <c r="D34">
        <v>1000738.0</v>
      </c>
      <c r="E34" t="s">
        <v>2134</v>
      </c>
      <c r="F34" t="s">
        <v>2215</v>
      </c>
      <c r="G34" t="s">
        <v>2216</v>
      </c>
      <c r="H34" t="s">
        <v>2217</v>
      </c>
    </row>
    <row r="36">
      <c r="A36">
        <v>10.0</v>
      </c>
      <c r="B36">
        <v>1000934.0</v>
      </c>
      <c r="C36" t="s">
        <v>2218</v>
      </c>
      <c r="D36">
        <v>1000934.0</v>
      </c>
      <c r="E36" t="s">
        <v>2129</v>
      </c>
      <c r="F36" t="s">
        <v>2219</v>
      </c>
      <c r="G36" t="s">
        <v>2220</v>
      </c>
      <c r="H36" t="s">
        <v>2221</v>
      </c>
    </row>
    <row r="38">
      <c r="A38">
        <v>11.0</v>
      </c>
      <c r="B38">
        <v>1001078.0</v>
      </c>
      <c r="C38" t="s">
        <v>2222</v>
      </c>
      <c r="D38">
        <v>1001078.0</v>
      </c>
      <c r="E38" t="s">
        <v>2129</v>
      </c>
      <c r="F38" t="s">
        <v>2223</v>
      </c>
      <c r="G38" t="s">
        <v>2224</v>
      </c>
      <c r="H38" t="s">
        <v>2225</v>
      </c>
    </row>
    <row r="39">
      <c r="A39">
        <v>11.0</v>
      </c>
      <c r="B39">
        <v>1001082.0</v>
      </c>
      <c r="C39" t="s">
        <v>2226</v>
      </c>
      <c r="D39">
        <v>1001082.0</v>
      </c>
      <c r="E39" t="s">
        <v>2134</v>
      </c>
      <c r="F39" t="s">
        <v>2227</v>
      </c>
      <c r="G39" t="s">
        <v>2228</v>
      </c>
      <c r="H39" t="s">
        <v>2229</v>
      </c>
    </row>
    <row r="40">
      <c r="A40">
        <v>11.0</v>
      </c>
      <c r="B40">
        <v>1001079.0</v>
      </c>
      <c r="C40" t="s">
        <v>2230</v>
      </c>
      <c r="D40">
        <v>1001079.0</v>
      </c>
      <c r="E40" t="s">
        <v>2134</v>
      </c>
      <c r="F40" t="s">
        <v>2231</v>
      </c>
      <c r="G40" t="s">
        <v>2232</v>
      </c>
      <c r="H40" t="s">
        <v>2233</v>
      </c>
    </row>
    <row r="41">
      <c r="A41">
        <v>11.0</v>
      </c>
      <c r="B41">
        <v>1001083.0</v>
      </c>
      <c r="C41" t="s">
        <v>2234</v>
      </c>
      <c r="D41">
        <v>1001083.0</v>
      </c>
      <c r="E41" t="s">
        <v>2129</v>
      </c>
      <c r="F41" t="s">
        <v>2235</v>
      </c>
      <c r="G41" t="s">
        <v>2236</v>
      </c>
      <c r="H41" t="s">
        <v>2237</v>
      </c>
    </row>
    <row r="42">
      <c r="A42">
        <v>11.0</v>
      </c>
      <c r="B42">
        <v>1001084.0</v>
      </c>
      <c r="C42" t="s">
        <v>2238</v>
      </c>
      <c r="D42">
        <v>1001084.0</v>
      </c>
      <c r="E42" t="s">
        <v>2129</v>
      </c>
      <c r="F42" t="s">
        <v>2239</v>
      </c>
      <c r="G42" t="s">
        <v>2240</v>
      </c>
      <c r="H42" t="s">
        <v>2241</v>
      </c>
    </row>
    <row r="44">
      <c r="A44">
        <v>12.0</v>
      </c>
      <c r="B44">
        <v>1001124.0</v>
      </c>
      <c r="C44" t="s">
        <v>2242</v>
      </c>
      <c r="D44">
        <v>1001124.0</v>
      </c>
      <c r="E44" t="s">
        <v>2129</v>
      </c>
      <c r="F44" t="s">
        <v>2243</v>
      </c>
      <c r="G44" t="s">
        <v>2244</v>
      </c>
      <c r="H44" t="s">
        <v>2245</v>
      </c>
    </row>
    <row r="45">
      <c r="A45">
        <v>12.0</v>
      </c>
      <c r="B45">
        <v>1001122.0</v>
      </c>
      <c r="C45" t="s">
        <v>2246</v>
      </c>
      <c r="D45">
        <v>1001122.0</v>
      </c>
      <c r="E45" t="s">
        <v>2129</v>
      </c>
      <c r="F45" t="s">
        <v>2247</v>
      </c>
      <c r="G45" t="s">
        <v>2248</v>
      </c>
      <c r="H45" t="s">
        <v>2249</v>
      </c>
    </row>
    <row r="46">
      <c r="A46">
        <v>12.0</v>
      </c>
      <c r="B46">
        <v>1001123.0</v>
      </c>
      <c r="C46" t="s">
        <v>2250</v>
      </c>
      <c r="D46">
        <v>1001123.0</v>
      </c>
      <c r="E46" t="s">
        <v>2129</v>
      </c>
      <c r="F46" t="s">
        <v>2251</v>
      </c>
      <c r="G46" t="s">
        <v>2252</v>
      </c>
      <c r="H46" t="s">
        <v>2253</v>
      </c>
    </row>
    <row r="48">
      <c r="A48">
        <v>13.0</v>
      </c>
      <c r="B48">
        <v>1001238.0</v>
      </c>
      <c r="C48" t="s">
        <v>2254</v>
      </c>
      <c r="D48">
        <v>1001238.0</v>
      </c>
      <c r="E48" t="s">
        <v>2129</v>
      </c>
      <c r="F48" t="s">
        <v>2255</v>
      </c>
      <c r="G48" t="s">
        <v>2256</v>
      </c>
      <c r="H48" t="s">
        <v>2257</v>
      </c>
    </row>
    <row r="49">
      <c r="A49">
        <v>13.0</v>
      </c>
      <c r="B49">
        <v>1001232.0</v>
      </c>
      <c r="C49" t="s">
        <v>2258</v>
      </c>
      <c r="D49">
        <v>1001232.0</v>
      </c>
      <c r="E49" t="s">
        <v>2129</v>
      </c>
      <c r="F49" t="s">
        <v>2259</v>
      </c>
      <c r="G49" t="s">
        <v>2260</v>
      </c>
      <c r="H49" t="s">
        <v>2261</v>
      </c>
    </row>
    <row r="50">
      <c r="A50">
        <v>13.0</v>
      </c>
      <c r="B50">
        <v>1001235.0</v>
      </c>
      <c r="C50" t="s">
        <v>2262</v>
      </c>
      <c r="D50">
        <v>1001235.0</v>
      </c>
      <c r="E50" t="s">
        <v>2129</v>
      </c>
      <c r="F50" t="s">
        <v>2263</v>
      </c>
      <c r="G50" t="s">
        <v>2264</v>
      </c>
      <c r="H50" t="s">
        <v>2265</v>
      </c>
    </row>
    <row r="51">
      <c r="A51">
        <v>13.0</v>
      </c>
      <c r="B51">
        <v>1001230.0</v>
      </c>
      <c r="C51" t="s">
        <v>2266</v>
      </c>
      <c r="D51">
        <v>1001230.0</v>
      </c>
      <c r="E51" t="s">
        <v>2129</v>
      </c>
      <c r="F51" t="s">
        <v>2267</v>
      </c>
      <c r="G51" t="s">
        <v>2268</v>
      </c>
      <c r="H51" t="s">
        <v>2269</v>
      </c>
    </row>
    <row r="52">
      <c r="A52">
        <v>13.0</v>
      </c>
      <c r="B52">
        <v>1001234.0</v>
      </c>
      <c r="C52" t="s">
        <v>2270</v>
      </c>
      <c r="D52">
        <v>1001234.0</v>
      </c>
      <c r="E52" t="s">
        <v>2198</v>
      </c>
      <c r="F52" t="s">
        <v>2271</v>
      </c>
      <c r="G52" t="s">
        <v>2272</v>
      </c>
      <c r="H52" t="s">
        <v>2273</v>
      </c>
    </row>
    <row r="53">
      <c r="A53">
        <v>13.0</v>
      </c>
      <c r="B53">
        <v>1001239.0</v>
      </c>
      <c r="C53" t="s">
        <v>2274</v>
      </c>
      <c r="D53">
        <v>1001239.0</v>
      </c>
      <c r="E53" t="s">
        <v>2129</v>
      </c>
      <c r="F53" t="s">
        <v>2275</v>
      </c>
      <c r="G53" t="s">
        <v>2276</v>
      </c>
      <c r="H53" t="s">
        <v>2277</v>
      </c>
    </row>
    <row r="54">
      <c r="A54">
        <v>13.0</v>
      </c>
      <c r="B54">
        <v>1001227.0</v>
      </c>
      <c r="C54" t="s">
        <v>2278</v>
      </c>
      <c r="D54">
        <v>1001227.0</v>
      </c>
      <c r="E54" t="s">
        <v>2129</v>
      </c>
      <c r="F54" t="s">
        <v>2279</v>
      </c>
      <c r="G54" t="s">
        <v>2280</v>
      </c>
      <c r="H54" t="s">
        <v>2281</v>
      </c>
    </row>
    <row r="55">
      <c r="A55">
        <v>13.0</v>
      </c>
      <c r="B55">
        <v>1001231.0</v>
      </c>
      <c r="C55" t="s">
        <v>2282</v>
      </c>
      <c r="D55">
        <v>1001231.0</v>
      </c>
      <c r="E55" t="s">
        <v>2129</v>
      </c>
      <c r="F55" t="s">
        <v>2283</v>
      </c>
      <c r="G55" t="s">
        <v>2284</v>
      </c>
      <c r="H55" t="s">
        <v>2285</v>
      </c>
    </row>
    <row r="57">
      <c r="A57">
        <v>14.0</v>
      </c>
      <c r="B57">
        <v>1001315.0</v>
      </c>
      <c r="C57" t="s">
        <v>2286</v>
      </c>
      <c r="D57">
        <v>1001315.0</v>
      </c>
      <c r="E57" t="s">
        <v>2134</v>
      </c>
      <c r="F57" t="s">
        <v>2287</v>
      </c>
      <c r="G57" t="s">
        <v>2288</v>
      </c>
      <c r="H57" t="s">
        <v>2289</v>
      </c>
    </row>
    <row r="58">
      <c r="A58">
        <v>14.0</v>
      </c>
      <c r="B58">
        <v>1001303.0</v>
      </c>
      <c r="C58" t="s">
        <v>2290</v>
      </c>
      <c r="D58">
        <v>1001303.0</v>
      </c>
      <c r="E58" t="s">
        <v>2129</v>
      </c>
      <c r="F58" t="s">
        <v>2291</v>
      </c>
      <c r="G58" t="s">
        <v>2292</v>
      </c>
      <c r="H58" t="s">
        <v>2293</v>
      </c>
    </row>
    <row r="59">
      <c r="A59">
        <v>14.0</v>
      </c>
      <c r="B59">
        <v>1001312.0</v>
      </c>
      <c r="C59" t="s">
        <v>2294</v>
      </c>
      <c r="D59">
        <v>1001312.0</v>
      </c>
      <c r="E59" t="s">
        <v>2129</v>
      </c>
      <c r="F59" t="s">
        <v>2295</v>
      </c>
      <c r="G59" t="s">
        <v>2296</v>
      </c>
      <c r="H59" t="s">
        <v>2297</v>
      </c>
    </row>
    <row r="60">
      <c r="A60">
        <v>14.0</v>
      </c>
      <c r="B60">
        <v>1001317.0</v>
      </c>
      <c r="C60" t="s">
        <v>2298</v>
      </c>
      <c r="D60">
        <v>1001317.0</v>
      </c>
      <c r="E60" t="s">
        <v>2129</v>
      </c>
      <c r="F60" t="s">
        <v>2299</v>
      </c>
      <c r="G60" t="s">
        <v>2300</v>
      </c>
      <c r="H60" t="s">
        <v>2301</v>
      </c>
    </row>
    <row r="61">
      <c r="A61">
        <v>14.0</v>
      </c>
      <c r="B61">
        <v>1001306.0</v>
      </c>
      <c r="C61" t="s">
        <v>2302</v>
      </c>
      <c r="D61">
        <v>1001306.0</v>
      </c>
      <c r="E61" t="s">
        <v>2129</v>
      </c>
      <c r="F61" t="s">
        <v>2303</v>
      </c>
      <c r="G61" t="s">
        <v>2304</v>
      </c>
      <c r="H61" t="s">
        <v>2305</v>
      </c>
    </row>
    <row r="62">
      <c r="A62">
        <v>14.0</v>
      </c>
      <c r="B62">
        <v>1001301.0</v>
      </c>
      <c r="C62" t="s">
        <v>2306</v>
      </c>
      <c r="D62">
        <v>1001301.0</v>
      </c>
      <c r="E62" t="s">
        <v>2134</v>
      </c>
      <c r="F62" t="s">
        <v>2307</v>
      </c>
      <c r="G62" t="s">
        <v>2308</v>
      </c>
      <c r="H62" t="s">
        <v>2309</v>
      </c>
    </row>
    <row r="63">
      <c r="A63">
        <v>14.0</v>
      </c>
      <c r="B63">
        <v>1001304.0</v>
      </c>
      <c r="C63" t="s">
        <v>2310</v>
      </c>
      <c r="D63">
        <v>1001304.0</v>
      </c>
      <c r="E63" t="s">
        <v>2134</v>
      </c>
      <c r="F63" t="s">
        <v>2311</v>
      </c>
      <c r="G63" t="s">
        <v>2312</v>
      </c>
      <c r="H63" t="s">
        <v>2313</v>
      </c>
    </row>
    <row r="64">
      <c r="A64">
        <v>14.0</v>
      </c>
      <c r="B64">
        <v>1001319.0</v>
      </c>
      <c r="C64" t="s">
        <v>2314</v>
      </c>
      <c r="D64">
        <v>1001319.0</v>
      </c>
      <c r="E64" t="s">
        <v>2134</v>
      </c>
      <c r="F64" t="s">
        <v>2315</v>
      </c>
      <c r="G64" t="s">
        <v>2316</v>
      </c>
      <c r="H64" t="s">
        <v>2317</v>
      </c>
    </row>
    <row r="65">
      <c r="A65">
        <v>14.0</v>
      </c>
      <c r="B65">
        <v>1001308.0</v>
      </c>
      <c r="C65" t="s">
        <v>2318</v>
      </c>
      <c r="D65">
        <v>1001308.0</v>
      </c>
      <c r="E65" t="s">
        <v>2134</v>
      </c>
      <c r="F65" t="s">
        <v>2319</v>
      </c>
      <c r="G65" t="s">
        <v>2320</v>
      </c>
      <c r="H65" t="s">
        <v>2321</v>
      </c>
    </row>
    <row r="67">
      <c r="A67">
        <v>15.0</v>
      </c>
      <c r="B67">
        <v>1001397.0</v>
      </c>
      <c r="C67" t="s">
        <v>2322</v>
      </c>
      <c r="D67">
        <v>1001397.0</v>
      </c>
      <c r="E67" t="s">
        <v>2129</v>
      </c>
      <c r="F67" t="s">
        <v>2323</v>
      </c>
      <c r="G67" t="s">
        <v>2248</v>
      </c>
      <c r="H67" t="s">
        <v>2324</v>
      </c>
    </row>
    <row r="68">
      <c r="A68">
        <v>15.0</v>
      </c>
      <c r="B68">
        <v>1001391.0</v>
      </c>
      <c r="C68" t="s">
        <v>2325</v>
      </c>
      <c r="D68">
        <v>1001391.0</v>
      </c>
      <c r="E68" t="s">
        <v>2129</v>
      </c>
      <c r="F68" t="s">
        <v>2326</v>
      </c>
      <c r="G68" t="s">
        <v>2327</v>
      </c>
      <c r="H68" t="s">
        <v>2328</v>
      </c>
    </row>
    <row r="69">
      <c r="A69">
        <v>15.0</v>
      </c>
      <c r="B69">
        <v>1001394.0</v>
      </c>
      <c r="C69" t="s">
        <v>2329</v>
      </c>
      <c r="D69">
        <v>1001394.0</v>
      </c>
      <c r="E69" t="s">
        <v>2129</v>
      </c>
      <c r="F69" t="s">
        <v>2330</v>
      </c>
      <c r="G69" t="s">
        <v>2331</v>
      </c>
      <c r="H69" t="s">
        <v>2332</v>
      </c>
    </row>
    <row r="70">
      <c r="A70">
        <v>15.0</v>
      </c>
      <c r="B70">
        <v>1001395.0</v>
      </c>
      <c r="C70" t="s">
        <v>2333</v>
      </c>
      <c r="D70">
        <v>1001395.0</v>
      </c>
      <c r="E70" t="s">
        <v>2129</v>
      </c>
      <c r="F70" t="s">
        <v>2334</v>
      </c>
      <c r="G70" t="s">
        <v>2335</v>
      </c>
      <c r="H70" t="s">
        <v>2336</v>
      </c>
    </row>
    <row r="71">
      <c r="A71">
        <v>15.0</v>
      </c>
      <c r="B71">
        <v>1001392.0</v>
      </c>
      <c r="C71" t="s">
        <v>2337</v>
      </c>
      <c r="D71">
        <v>1001392.0</v>
      </c>
      <c r="E71" t="s">
        <v>2129</v>
      </c>
      <c r="F71" t="s">
        <v>2338</v>
      </c>
      <c r="G71" t="s">
        <v>2135</v>
      </c>
      <c r="H71" t="s">
        <v>2339</v>
      </c>
    </row>
    <row r="72">
      <c r="A72">
        <v>15.0</v>
      </c>
      <c r="B72">
        <v>1001393.0</v>
      </c>
      <c r="C72" t="s">
        <v>2340</v>
      </c>
      <c r="D72">
        <v>1001393.0</v>
      </c>
      <c r="E72" t="s">
        <v>2129</v>
      </c>
      <c r="F72" t="s">
        <v>2341</v>
      </c>
      <c r="G72" t="s">
        <v>2342</v>
      </c>
      <c r="H72" t="s">
        <v>2343</v>
      </c>
    </row>
    <row r="74">
      <c r="A74">
        <v>16.0</v>
      </c>
      <c r="B74">
        <v>1001616.0</v>
      </c>
      <c r="C74" t="s">
        <v>2344</v>
      </c>
      <c r="D74">
        <v>1001616.0</v>
      </c>
      <c r="E74" t="s">
        <v>2129</v>
      </c>
      <c r="F74" t="s">
        <v>2345</v>
      </c>
      <c r="G74" t="s">
        <v>2346</v>
      </c>
      <c r="H74" t="s">
        <v>2347</v>
      </c>
    </row>
    <row r="75">
      <c r="A75">
        <v>16.0</v>
      </c>
      <c r="B75">
        <v>1001622.0</v>
      </c>
      <c r="C75" t="s">
        <v>2348</v>
      </c>
      <c r="D75">
        <v>1001622.0</v>
      </c>
      <c r="E75" t="s">
        <v>2129</v>
      </c>
      <c r="F75" t="s">
        <v>2349</v>
      </c>
      <c r="G75" t="s">
        <v>2350</v>
      </c>
      <c r="H75" t="s">
        <v>2351</v>
      </c>
    </row>
    <row r="76">
      <c r="A76">
        <v>16.0</v>
      </c>
      <c r="B76">
        <v>1001615.0</v>
      </c>
      <c r="C76" t="s">
        <v>2352</v>
      </c>
      <c r="D76">
        <v>1001615.0</v>
      </c>
      <c r="E76" t="s">
        <v>2129</v>
      </c>
      <c r="F76" t="s">
        <v>2353</v>
      </c>
      <c r="G76" t="s">
        <v>2354</v>
      </c>
      <c r="H76" t="s">
        <v>2355</v>
      </c>
    </row>
    <row r="77">
      <c r="A77">
        <v>16.0</v>
      </c>
      <c r="B77">
        <v>1001619.0</v>
      </c>
      <c r="C77" t="s">
        <v>2356</v>
      </c>
      <c r="D77">
        <v>1001619.0</v>
      </c>
      <c r="E77" t="s">
        <v>2129</v>
      </c>
      <c r="F77" t="s">
        <v>2357</v>
      </c>
      <c r="G77" t="s">
        <v>2358</v>
      </c>
      <c r="H77" t="s">
        <v>2359</v>
      </c>
    </row>
    <row r="78">
      <c r="A78">
        <v>16.0</v>
      </c>
      <c r="B78">
        <v>1001614.0</v>
      </c>
      <c r="C78" t="s">
        <v>2360</v>
      </c>
      <c r="D78">
        <v>1001614.0</v>
      </c>
      <c r="E78" t="s">
        <v>2129</v>
      </c>
      <c r="F78" t="s">
        <v>2361</v>
      </c>
      <c r="G78" t="s">
        <v>2362</v>
      </c>
      <c r="H78" t="s">
        <v>2363</v>
      </c>
    </row>
    <row r="79">
      <c r="A79">
        <v>16.0</v>
      </c>
      <c r="B79">
        <v>1001609.0</v>
      </c>
      <c r="C79" t="s">
        <v>2364</v>
      </c>
      <c r="D79">
        <v>1001609.0</v>
      </c>
      <c r="E79" t="s">
        <v>2129</v>
      </c>
      <c r="F79" t="s">
        <v>2365</v>
      </c>
      <c r="G79" t="s">
        <v>2366</v>
      </c>
      <c r="H79" t="s">
        <v>2367</v>
      </c>
    </row>
    <row r="80">
      <c r="A80">
        <v>16.0</v>
      </c>
      <c r="B80">
        <v>1001611.0</v>
      </c>
      <c r="C80" t="s">
        <v>2368</v>
      </c>
      <c r="D80">
        <v>1001611.0</v>
      </c>
      <c r="E80" t="s">
        <v>2134</v>
      </c>
      <c r="F80" t="s">
        <v>2369</v>
      </c>
      <c r="G80" t="s">
        <v>2370</v>
      </c>
      <c r="H80" t="s">
        <v>2371</v>
      </c>
    </row>
    <row r="81">
      <c r="A81">
        <v>16.0</v>
      </c>
      <c r="B81">
        <v>1001621.0</v>
      </c>
      <c r="C81" t="s">
        <v>2372</v>
      </c>
      <c r="D81">
        <v>1001621.0</v>
      </c>
      <c r="E81" t="s">
        <v>2129</v>
      </c>
      <c r="F81" t="s">
        <v>2373</v>
      </c>
      <c r="G81" t="s">
        <v>2374</v>
      </c>
      <c r="H81" t="s">
        <v>2375</v>
      </c>
    </row>
    <row r="82">
      <c r="A82">
        <v>16.0</v>
      </c>
      <c r="B82">
        <v>1001617.0</v>
      </c>
      <c r="C82" t="s">
        <v>2376</v>
      </c>
      <c r="D82">
        <v>1001617.0</v>
      </c>
      <c r="E82" t="s">
        <v>2129</v>
      </c>
      <c r="F82" t="s">
        <v>2377</v>
      </c>
      <c r="G82" t="s">
        <v>2378</v>
      </c>
      <c r="H82" t="s">
        <v>2379</v>
      </c>
    </row>
    <row r="83">
      <c r="A83">
        <v>16.0</v>
      </c>
      <c r="B83">
        <v>1001613.0</v>
      </c>
      <c r="C83" t="s">
        <v>2380</v>
      </c>
      <c r="D83">
        <v>1001613.0</v>
      </c>
      <c r="E83" t="s">
        <v>2198</v>
      </c>
      <c r="F83" t="s">
        <v>2381</v>
      </c>
      <c r="G83" t="s">
        <v>2382</v>
      </c>
      <c r="H83" t="s">
        <v>2383</v>
      </c>
    </row>
    <row r="85">
      <c r="A85">
        <v>17.0</v>
      </c>
      <c r="B85">
        <v>1001685.0</v>
      </c>
      <c r="C85" t="s">
        <v>2384</v>
      </c>
      <c r="D85">
        <v>1001685.0</v>
      </c>
      <c r="E85" t="s">
        <v>2129</v>
      </c>
      <c r="F85" t="s">
        <v>2385</v>
      </c>
      <c r="G85" t="s">
        <v>2386</v>
      </c>
      <c r="H85" t="s">
        <v>2387</v>
      </c>
    </row>
    <row r="86">
      <c r="A86">
        <v>17.0</v>
      </c>
      <c r="B86">
        <v>1001684.0</v>
      </c>
      <c r="C86" t="s">
        <v>2388</v>
      </c>
      <c r="D86">
        <v>1001684.0</v>
      </c>
      <c r="E86" t="s">
        <v>2129</v>
      </c>
      <c r="F86" t="s">
        <v>2389</v>
      </c>
      <c r="G86" t="s">
        <v>2390</v>
      </c>
      <c r="H86" t="s">
        <v>2391</v>
      </c>
    </row>
    <row r="87">
      <c r="A87">
        <v>17.0</v>
      </c>
      <c r="B87">
        <v>1001682.0</v>
      </c>
      <c r="C87" t="s">
        <v>2392</v>
      </c>
      <c r="D87">
        <v>1001682.0</v>
      </c>
      <c r="E87" t="s">
        <v>2129</v>
      </c>
      <c r="F87" t="s">
        <v>2393</v>
      </c>
      <c r="G87" t="s">
        <v>2394</v>
      </c>
      <c r="H87" t="s">
        <v>2395</v>
      </c>
    </row>
    <row r="88">
      <c r="A88">
        <v>17.0</v>
      </c>
      <c r="B88">
        <v>1001680.0</v>
      </c>
      <c r="C88" t="s">
        <v>2396</v>
      </c>
      <c r="D88">
        <v>1001680.0</v>
      </c>
      <c r="E88" t="s">
        <v>2129</v>
      </c>
      <c r="F88" t="s">
        <v>2397</v>
      </c>
      <c r="G88" t="s">
        <v>2398</v>
      </c>
      <c r="H88" t="s">
        <v>2399</v>
      </c>
    </row>
    <row r="90">
      <c r="A90">
        <v>18.0</v>
      </c>
      <c r="B90">
        <v>1001819.0</v>
      </c>
      <c r="C90" t="s">
        <v>2400</v>
      </c>
      <c r="D90">
        <v>1001819.0</v>
      </c>
      <c r="E90" t="s">
        <v>2198</v>
      </c>
      <c r="F90" t="s">
        <v>2401</v>
      </c>
      <c r="G90" t="s">
        <v>2402</v>
      </c>
      <c r="H90" t="s">
        <v>2403</v>
      </c>
    </row>
    <row r="91">
      <c r="A91">
        <v>18.0</v>
      </c>
      <c r="B91">
        <v>1001818.0</v>
      </c>
      <c r="C91" t="s">
        <v>2404</v>
      </c>
      <c r="D91">
        <v>1001818.0</v>
      </c>
      <c r="E91" t="s">
        <v>2129</v>
      </c>
      <c r="F91" t="s">
        <v>2405</v>
      </c>
      <c r="G91" t="s">
        <v>2406</v>
      </c>
      <c r="H91" t="s">
        <v>2407</v>
      </c>
    </row>
    <row r="92">
      <c r="A92">
        <v>18.0</v>
      </c>
      <c r="B92">
        <v>1001822.0</v>
      </c>
      <c r="C92" t="s">
        <v>2408</v>
      </c>
      <c r="D92">
        <v>1001822.0</v>
      </c>
      <c r="E92" t="s">
        <v>2129</v>
      </c>
      <c r="F92" t="s">
        <v>2409</v>
      </c>
      <c r="G92" t="s">
        <v>2410</v>
      </c>
      <c r="H92" t="s">
        <v>2411</v>
      </c>
    </row>
    <row r="94">
      <c r="A94">
        <v>19.0</v>
      </c>
      <c r="B94">
        <v>1001921.0</v>
      </c>
      <c r="C94" t="s">
        <v>2412</v>
      </c>
      <c r="D94">
        <v>1001921.0</v>
      </c>
      <c r="E94" t="s">
        <v>2129</v>
      </c>
      <c r="F94" t="s">
        <v>2413</v>
      </c>
      <c r="G94" t="s">
        <v>2414</v>
      </c>
      <c r="H94" t="s">
        <v>2415</v>
      </c>
    </row>
    <row r="95">
      <c r="A95">
        <v>19.0</v>
      </c>
      <c r="B95">
        <v>1001922.0</v>
      </c>
      <c r="C95" t="s">
        <v>2416</v>
      </c>
      <c r="D95">
        <v>1001922.0</v>
      </c>
      <c r="E95" t="s">
        <v>2129</v>
      </c>
      <c r="F95" t="s">
        <v>2417</v>
      </c>
      <c r="G95" t="s">
        <v>2418</v>
      </c>
      <c r="H95" t="s">
        <v>2419</v>
      </c>
    </row>
    <row r="96">
      <c r="A96">
        <v>19.0</v>
      </c>
      <c r="B96">
        <v>1000992.0</v>
      </c>
      <c r="C96" t="s">
        <v>2420</v>
      </c>
      <c r="D96">
        <v>1000992.0</v>
      </c>
      <c r="E96" t="s">
        <v>2129</v>
      </c>
      <c r="F96" t="s">
        <v>2421</v>
      </c>
      <c r="G96" t="s">
        <v>2422</v>
      </c>
      <c r="H96" t="s">
        <v>2423</v>
      </c>
    </row>
    <row r="97">
      <c r="A97">
        <v>19.0</v>
      </c>
      <c r="B97">
        <v>1001923.0</v>
      </c>
      <c r="C97" t="s">
        <v>2424</v>
      </c>
      <c r="D97">
        <v>1001923.0</v>
      </c>
      <c r="E97" t="s">
        <v>2129</v>
      </c>
      <c r="F97" t="s">
        <v>2425</v>
      </c>
      <c r="G97" t="s">
        <v>2426</v>
      </c>
      <c r="H97" t="s">
        <v>2427</v>
      </c>
    </row>
    <row r="98">
      <c r="A98">
        <v>19.0</v>
      </c>
      <c r="B98">
        <v>1001914.0</v>
      </c>
      <c r="C98" t="s">
        <v>2428</v>
      </c>
      <c r="D98">
        <v>1001914.0</v>
      </c>
      <c r="E98" t="s">
        <v>2129</v>
      </c>
      <c r="F98" t="s">
        <v>2429</v>
      </c>
      <c r="G98" t="s">
        <v>2430</v>
      </c>
      <c r="H98" t="s">
        <v>2431</v>
      </c>
    </row>
    <row r="99">
      <c r="A99">
        <v>19.0</v>
      </c>
      <c r="B99">
        <v>1001925.0</v>
      </c>
      <c r="C99" t="s">
        <v>2432</v>
      </c>
      <c r="D99">
        <v>1001925.0</v>
      </c>
      <c r="E99" t="s">
        <v>2129</v>
      </c>
      <c r="F99" t="s">
        <v>2433</v>
      </c>
      <c r="G99" t="s">
        <v>2434</v>
      </c>
      <c r="H99" t="s">
        <v>2435</v>
      </c>
    </row>
    <row r="100">
      <c r="A100">
        <v>19.0</v>
      </c>
      <c r="B100">
        <v>1001917.0</v>
      </c>
      <c r="C100" t="s">
        <v>2436</v>
      </c>
      <c r="D100">
        <v>1001917.0</v>
      </c>
      <c r="E100" t="s">
        <v>2129</v>
      </c>
      <c r="F100" t="s">
        <v>2437</v>
      </c>
      <c r="G100" t="s">
        <v>2438</v>
      </c>
      <c r="H100" t="s">
        <v>2439</v>
      </c>
    </row>
    <row r="101">
      <c r="A101">
        <v>19.0</v>
      </c>
      <c r="B101">
        <v>1001918.0</v>
      </c>
      <c r="C101" t="s">
        <v>2440</v>
      </c>
      <c r="D101">
        <v>1001918.0</v>
      </c>
      <c r="E101" t="s">
        <v>2129</v>
      </c>
      <c r="F101" t="s">
        <v>2441</v>
      </c>
      <c r="G101" t="s">
        <v>2442</v>
      </c>
      <c r="H101" t="s">
        <v>2443</v>
      </c>
    </row>
    <row r="103">
      <c r="A103">
        <v>20.0</v>
      </c>
      <c r="B103">
        <v>1001215.0</v>
      </c>
      <c r="C103" t="s">
        <v>2444</v>
      </c>
      <c r="D103">
        <v>1001215.0</v>
      </c>
      <c r="E103" t="s">
        <v>2129</v>
      </c>
      <c r="F103" t="s">
        <v>2445</v>
      </c>
      <c r="G103" t="s">
        <v>2446</v>
      </c>
      <c r="H103" t="s">
        <v>2447</v>
      </c>
    </row>
    <row r="104">
      <c r="A104">
        <v>20.0</v>
      </c>
      <c r="B104">
        <v>1001692.0</v>
      </c>
      <c r="C104" t="s">
        <v>2448</v>
      </c>
      <c r="D104">
        <v>1001692.0</v>
      </c>
      <c r="E104" t="s">
        <v>2129</v>
      </c>
      <c r="F104" t="s">
        <v>2330</v>
      </c>
      <c r="G104" t="s">
        <v>2449</v>
      </c>
      <c r="H104" t="s">
        <v>2450</v>
      </c>
    </row>
    <row r="105">
      <c r="A105">
        <v>20.0</v>
      </c>
      <c r="B105">
        <v>1002065.0</v>
      </c>
      <c r="C105" t="s">
        <v>2451</v>
      </c>
      <c r="D105">
        <v>1002065.0</v>
      </c>
      <c r="E105" t="s">
        <v>2129</v>
      </c>
      <c r="F105" t="s">
        <v>2452</v>
      </c>
      <c r="G105" t="s">
        <v>2453</v>
      </c>
      <c r="H105" t="s">
        <v>2454</v>
      </c>
    </row>
    <row r="107">
      <c r="A107">
        <v>21.0</v>
      </c>
      <c r="B107">
        <v>1002145.0</v>
      </c>
      <c r="C107" t="s">
        <v>2455</v>
      </c>
      <c r="D107">
        <v>1002145.0</v>
      </c>
      <c r="E107" t="s">
        <v>2129</v>
      </c>
      <c r="F107" t="s">
        <v>2456</v>
      </c>
      <c r="G107" t="s">
        <v>2457</v>
      </c>
      <c r="H107" t="s">
        <v>2458</v>
      </c>
    </row>
    <row r="108">
      <c r="A108">
        <v>21.0</v>
      </c>
      <c r="B108">
        <v>1002146.0</v>
      </c>
      <c r="C108" t="s">
        <v>2459</v>
      </c>
      <c r="D108">
        <v>1002146.0</v>
      </c>
      <c r="E108" t="s">
        <v>2129</v>
      </c>
      <c r="F108" t="s">
        <v>2460</v>
      </c>
      <c r="G108" t="s">
        <v>2461</v>
      </c>
      <c r="H108" t="s">
        <v>2462</v>
      </c>
    </row>
    <row r="109">
      <c r="A109">
        <v>21.0</v>
      </c>
      <c r="B109">
        <v>1002149.0</v>
      </c>
      <c r="C109" t="s">
        <v>2463</v>
      </c>
      <c r="D109">
        <v>1002149.0</v>
      </c>
      <c r="E109" t="s">
        <v>2129</v>
      </c>
      <c r="F109" t="s">
        <v>2464</v>
      </c>
      <c r="G109" t="s">
        <v>2465</v>
      </c>
      <c r="H109" t="s">
        <v>2466</v>
      </c>
    </row>
    <row r="111">
      <c r="A111">
        <v>22.0</v>
      </c>
      <c r="B111">
        <v>1002265.0</v>
      </c>
      <c r="C111" t="s">
        <v>2467</v>
      </c>
      <c r="D111">
        <v>1002265.0</v>
      </c>
      <c r="E111" t="s">
        <v>2129</v>
      </c>
      <c r="F111" t="s">
        <v>2468</v>
      </c>
      <c r="G111" t="s">
        <v>2469</v>
      </c>
      <c r="H111" t="s">
        <v>2470</v>
      </c>
    </row>
    <row r="112">
      <c r="A112">
        <v>22.0</v>
      </c>
      <c r="B112">
        <v>1002274.0</v>
      </c>
      <c r="C112" t="s">
        <v>2471</v>
      </c>
      <c r="D112">
        <v>1002274.0</v>
      </c>
      <c r="E112" t="s">
        <v>2129</v>
      </c>
      <c r="F112" t="s">
        <v>2472</v>
      </c>
      <c r="G112" t="s">
        <v>2473</v>
      </c>
      <c r="H112" t="s">
        <v>2474</v>
      </c>
    </row>
    <row r="113">
      <c r="A113">
        <v>22.0</v>
      </c>
      <c r="B113">
        <v>1002264.0</v>
      </c>
      <c r="C113" t="s">
        <v>2475</v>
      </c>
      <c r="D113">
        <v>1002264.0</v>
      </c>
      <c r="E113" t="s">
        <v>2129</v>
      </c>
      <c r="F113" t="s">
        <v>2476</v>
      </c>
      <c r="G113" t="s">
        <v>2477</v>
      </c>
      <c r="H113" t="s">
        <v>2478</v>
      </c>
    </row>
    <row r="114">
      <c r="A114">
        <v>22.0</v>
      </c>
      <c r="B114">
        <v>1002271.0</v>
      </c>
      <c r="C114" t="s">
        <v>2479</v>
      </c>
      <c r="D114">
        <v>1002271.0</v>
      </c>
      <c r="E114" t="s">
        <v>2129</v>
      </c>
      <c r="F114" t="s">
        <v>2480</v>
      </c>
      <c r="G114" t="s">
        <v>2481</v>
      </c>
      <c r="H114" t="s">
        <v>2482</v>
      </c>
    </row>
    <row r="115">
      <c r="A115">
        <v>22.0</v>
      </c>
      <c r="B115">
        <v>1002273.0</v>
      </c>
      <c r="C115" t="s">
        <v>2483</v>
      </c>
      <c r="D115">
        <v>1002273.0</v>
      </c>
      <c r="E115" t="s">
        <v>2129</v>
      </c>
      <c r="F115" t="s">
        <v>2484</v>
      </c>
      <c r="G115" t="s">
        <v>2485</v>
      </c>
      <c r="H115" t="s">
        <v>2486</v>
      </c>
    </row>
    <row r="116">
      <c r="A116">
        <v>22.0</v>
      </c>
      <c r="B116">
        <v>1002267.0</v>
      </c>
      <c r="C116" t="s">
        <v>2487</v>
      </c>
      <c r="D116">
        <v>1002267.0</v>
      </c>
      <c r="E116" t="s">
        <v>2129</v>
      </c>
      <c r="F116" t="s">
        <v>2488</v>
      </c>
      <c r="G116" t="s">
        <v>2489</v>
      </c>
      <c r="H116" t="s">
        <v>2490</v>
      </c>
    </row>
    <row r="117">
      <c r="A117">
        <v>22.0</v>
      </c>
      <c r="B117">
        <v>1002269.0</v>
      </c>
      <c r="C117" t="s">
        <v>2491</v>
      </c>
      <c r="D117">
        <v>1002269.0</v>
      </c>
      <c r="E117" t="s">
        <v>2129</v>
      </c>
      <c r="F117" t="s">
        <v>2492</v>
      </c>
      <c r="G117" t="s">
        <v>2493</v>
      </c>
      <c r="H117" t="s">
        <v>2494</v>
      </c>
    </row>
    <row r="118">
      <c r="F118" t="s">
        <v>2495</v>
      </c>
    </row>
    <row r="119">
      <c r="A119">
        <v>23.0</v>
      </c>
      <c r="B119">
        <v>1001209.0</v>
      </c>
      <c r="C119" t="s">
        <v>2496</v>
      </c>
      <c r="D119">
        <v>1001209.0</v>
      </c>
      <c r="E119" t="s">
        <v>2129</v>
      </c>
      <c r="F119" t="s">
        <v>2497</v>
      </c>
      <c r="G119" t="s">
        <v>2498</v>
      </c>
      <c r="H119" t="s">
        <v>2499</v>
      </c>
    </row>
    <row r="120">
      <c r="A120">
        <v>23.0</v>
      </c>
      <c r="B120">
        <v>1002368.0</v>
      </c>
      <c r="C120" t="s">
        <v>2500</v>
      </c>
      <c r="D120">
        <v>1002368.0</v>
      </c>
      <c r="E120" t="s">
        <v>2198</v>
      </c>
      <c r="F120" t="s">
        <v>2501</v>
      </c>
      <c r="G120" t="s">
        <v>2502</v>
      </c>
      <c r="H120" t="s">
        <v>2503</v>
      </c>
    </row>
    <row r="121">
      <c r="A121">
        <v>23.0</v>
      </c>
      <c r="B121">
        <v>1002363.0</v>
      </c>
      <c r="C121" t="s">
        <v>2504</v>
      </c>
      <c r="D121">
        <v>1002363.0</v>
      </c>
      <c r="E121" t="s">
        <v>2129</v>
      </c>
      <c r="F121" t="s">
        <v>2505</v>
      </c>
      <c r="G121" t="s">
        <v>2506</v>
      </c>
      <c r="H121" t="s">
        <v>2507</v>
      </c>
    </row>
    <row r="122">
      <c r="A122">
        <v>23.0</v>
      </c>
      <c r="B122">
        <v>1002370.0</v>
      </c>
      <c r="C122" t="s">
        <v>2508</v>
      </c>
      <c r="D122">
        <v>1002370.0</v>
      </c>
      <c r="E122" t="s">
        <v>2129</v>
      </c>
      <c r="F122" t="s">
        <v>2509</v>
      </c>
      <c r="G122" t="s">
        <v>2510</v>
      </c>
      <c r="H122" t="s">
        <v>2511</v>
      </c>
    </row>
    <row r="123">
      <c r="A123">
        <v>23.0</v>
      </c>
      <c r="B123">
        <v>1002374.0</v>
      </c>
      <c r="C123" t="s">
        <v>2512</v>
      </c>
      <c r="D123">
        <v>1002374.0</v>
      </c>
      <c r="E123" t="s">
        <v>2129</v>
      </c>
      <c r="F123" t="s">
        <v>2513</v>
      </c>
      <c r="G123" t="s">
        <v>2514</v>
      </c>
      <c r="H123" t="s">
        <v>2515</v>
      </c>
    </row>
    <row r="124">
      <c r="A124">
        <v>23.0</v>
      </c>
      <c r="B124">
        <v>1002371.0</v>
      </c>
      <c r="C124" t="s">
        <v>2516</v>
      </c>
      <c r="D124">
        <v>1002371.0</v>
      </c>
      <c r="E124" t="s">
        <v>2129</v>
      </c>
      <c r="F124" t="s">
        <v>2517</v>
      </c>
      <c r="G124" t="s">
        <v>2518</v>
      </c>
      <c r="H124" t="s">
        <v>2519</v>
      </c>
    </row>
    <row r="126">
      <c r="A126">
        <v>24.0</v>
      </c>
      <c r="B126">
        <v>1001036.0</v>
      </c>
      <c r="C126" t="s">
        <v>2520</v>
      </c>
      <c r="D126">
        <v>1001036.0</v>
      </c>
      <c r="E126" t="s">
        <v>2129</v>
      </c>
      <c r="F126" t="s">
        <v>2521</v>
      </c>
      <c r="G126" t="s">
        <v>2522</v>
      </c>
      <c r="H126" t="s">
        <v>2523</v>
      </c>
    </row>
    <row r="127">
      <c r="A127">
        <v>24.0</v>
      </c>
      <c r="B127">
        <v>1001498.0</v>
      </c>
      <c r="C127" t="s">
        <v>2524</v>
      </c>
      <c r="D127">
        <v>1001498.0</v>
      </c>
      <c r="E127" t="s">
        <v>2134</v>
      </c>
      <c r="F127" t="s">
        <v>2525</v>
      </c>
      <c r="G127" t="s">
        <v>2526</v>
      </c>
      <c r="H127" t="s">
        <v>2527</v>
      </c>
    </row>
    <row r="128">
      <c r="A128">
        <v>24.0</v>
      </c>
      <c r="B128">
        <v>1002911.0</v>
      </c>
      <c r="C128" t="s">
        <v>2528</v>
      </c>
      <c r="D128">
        <v>1002911.0</v>
      </c>
      <c r="E128" t="s">
        <v>2129</v>
      </c>
      <c r="F128" t="s">
        <v>2529</v>
      </c>
      <c r="G128" t="s">
        <v>2530</v>
      </c>
      <c r="H128" t="s">
        <v>2531</v>
      </c>
    </row>
    <row r="129">
      <c r="A129">
        <v>24.0</v>
      </c>
      <c r="B129">
        <v>1002910.0</v>
      </c>
      <c r="C129" t="s">
        <v>2532</v>
      </c>
      <c r="D129">
        <v>1002910.0</v>
      </c>
      <c r="E129" t="s">
        <v>2129</v>
      </c>
      <c r="F129" t="s">
        <v>2533</v>
      </c>
      <c r="G129" t="s">
        <v>2534</v>
      </c>
      <c r="H129" t="s">
        <v>2535</v>
      </c>
    </row>
    <row r="130">
      <c r="A130">
        <v>24.0</v>
      </c>
      <c r="B130">
        <v>1002907.0</v>
      </c>
      <c r="C130" t="s">
        <v>2536</v>
      </c>
      <c r="D130">
        <v>1002907.0</v>
      </c>
      <c r="E130" t="s">
        <v>2129</v>
      </c>
      <c r="F130" t="s">
        <v>2537</v>
      </c>
      <c r="G130" t="s">
        <v>2538</v>
      </c>
      <c r="H130" t="s">
        <v>2539</v>
      </c>
    </row>
    <row r="131">
      <c r="A131">
        <v>24.0</v>
      </c>
      <c r="B131">
        <v>1002909.0</v>
      </c>
      <c r="C131" t="s">
        <v>2540</v>
      </c>
      <c r="D131">
        <v>1002909.0</v>
      </c>
      <c r="E131" t="s">
        <v>2134</v>
      </c>
      <c r="F131" t="s">
        <v>2541</v>
      </c>
      <c r="G131" t="s">
        <v>2542</v>
      </c>
      <c r="H131" t="s">
        <v>2543</v>
      </c>
    </row>
    <row r="132">
      <c r="A132">
        <v>24.0</v>
      </c>
      <c r="B132">
        <v>1002908.0</v>
      </c>
      <c r="C132" t="s">
        <v>2544</v>
      </c>
      <c r="D132">
        <v>1002908.0</v>
      </c>
      <c r="E132" t="s">
        <v>2129</v>
      </c>
      <c r="F132" t="s">
        <v>2545</v>
      </c>
      <c r="G132" t="s">
        <v>2546</v>
      </c>
      <c r="H132" t="s">
        <v>2547</v>
      </c>
    </row>
    <row r="134">
      <c r="A134">
        <v>25.0</v>
      </c>
      <c r="B134">
        <v>1000862.0</v>
      </c>
      <c r="C134" t="s">
        <v>2548</v>
      </c>
      <c r="D134">
        <v>1000862.0</v>
      </c>
      <c r="E134" t="s">
        <v>2129</v>
      </c>
      <c r="F134" t="s">
        <v>2513</v>
      </c>
      <c r="G134" t="s">
        <v>2549</v>
      </c>
      <c r="H134" t="s">
        <v>2550</v>
      </c>
    </row>
    <row r="135">
      <c r="A135">
        <v>25.0</v>
      </c>
      <c r="B135">
        <v>1001236.0</v>
      </c>
      <c r="C135" t="s">
        <v>2551</v>
      </c>
      <c r="D135">
        <v>1001236.0</v>
      </c>
      <c r="E135" t="s">
        <v>2129</v>
      </c>
      <c r="F135" t="s">
        <v>2552</v>
      </c>
      <c r="G135" t="s">
        <v>2553</v>
      </c>
      <c r="H135" t="s">
        <v>2554</v>
      </c>
    </row>
    <row r="136">
      <c r="A136">
        <v>25.0</v>
      </c>
      <c r="B136">
        <v>1001237.0</v>
      </c>
      <c r="C136" t="s">
        <v>2555</v>
      </c>
      <c r="D136">
        <v>1001237.0</v>
      </c>
      <c r="E136" t="s">
        <v>2134</v>
      </c>
      <c r="F136" t="s">
        <v>2556</v>
      </c>
      <c r="G136" t="s">
        <v>2557</v>
      </c>
      <c r="H136" t="s">
        <v>2558</v>
      </c>
    </row>
    <row r="137">
      <c r="A137">
        <v>25.0</v>
      </c>
      <c r="B137">
        <v>1002982.0</v>
      </c>
      <c r="C137" t="s">
        <v>2559</v>
      </c>
      <c r="D137">
        <v>1002982.0</v>
      </c>
      <c r="E137" t="s">
        <v>2129</v>
      </c>
      <c r="F137" t="s">
        <v>2560</v>
      </c>
      <c r="G137" t="s">
        <v>2561</v>
      </c>
      <c r="H137" t="s">
        <v>2562</v>
      </c>
    </row>
    <row r="138">
      <c r="A138">
        <v>25.0</v>
      </c>
      <c r="B138">
        <v>1002984.0</v>
      </c>
      <c r="C138" t="s">
        <v>2563</v>
      </c>
      <c r="D138">
        <v>1002984.0</v>
      </c>
      <c r="E138" t="s">
        <v>2129</v>
      </c>
      <c r="F138" t="s">
        <v>2564</v>
      </c>
      <c r="G138" t="s">
        <v>2565</v>
      </c>
      <c r="H138" t="s">
        <v>2566</v>
      </c>
    </row>
    <row r="139">
      <c r="A139">
        <v>25.0</v>
      </c>
      <c r="B139">
        <v>1002980.0</v>
      </c>
      <c r="C139" t="s">
        <v>2567</v>
      </c>
      <c r="D139">
        <v>1002980.0</v>
      </c>
      <c r="E139" t="s">
        <v>2129</v>
      </c>
      <c r="F139" t="s">
        <v>2568</v>
      </c>
      <c r="G139" t="s">
        <v>2569</v>
      </c>
      <c r="H139" t="s">
        <v>2570</v>
      </c>
    </row>
    <row r="140">
      <c r="A140">
        <v>25.0</v>
      </c>
      <c r="B140">
        <v>1002986.0</v>
      </c>
      <c r="C140" t="s">
        <v>2571</v>
      </c>
      <c r="D140">
        <v>1002986.0</v>
      </c>
      <c r="E140" t="s">
        <v>2129</v>
      </c>
      <c r="F140" t="s">
        <v>2572</v>
      </c>
      <c r="G140" t="s">
        <v>2573</v>
      </c>
      <c r="H140" t="s">
        <v>2574</v>
      </c>
    </row>
    <row r="141">
      <c r="A141">
        <v>25.0</v>
      </c>
      <c r="B141">
        <v>1002987.0</v>
      </c>
      <c r="C141" t="s">
        <v>2575</v>
      </c>
      <c r="D141">
        <v>1002987.0</v>
      </c>
      <c r="E141" t="s">
        <v>2134</v>
      </c>
      <c r="F141" t="s">
        <v>2576</v>
      </c>
      <c r="G141" t="s">
        <v>2577</v>
      </c>
      <c r="H141" t="s">
        <v>2578</v>
      </c>
    </row>
    <row r="143">
      <c r="A143">
        <v>26.0</v>
      </c>
      <c r="B143">
        <v>1003056.0</v>
      </c>
      <c r="C143" t="s">
        <v>2579</v>
      </c>
      <c r="D143">
        <v>1003056.0</v>
      </c>
      <c r="E143" t="s">
        <v>2129</v>
      </c>
      <c r="F143" t="s">
        <v>2580</v>
      </c>
      <c r="G143" t="s">
        <v>2581</v>
      </c>
      <c r="H143" t="s">
        <v>2582</v>
      </c>
    </row>
    <row r="144">
      <c r="A144">
        <v>26.0</v>
      </c>
      <c r="B144">
        <v>1003054.0</v>
      </c>
      <c r="C144" t="s">
        <v>2583</v>
      </c>
      <c r="D144">
        <v>1003054.0</v>
      </c>
      <c r="E144" t="s">
        <v>2129</v>
      </c>
      <c r="F144" t="s">
        <v>2584</v>
      </c>
      <c r="G144" t="s">
        <v>2585</v>
      </c>
      <c r="H144" t="s">
        <v>2586</v>
      </c>
    </row>
    <row r="145">
      <c r="A145">
        <v>26.0</v>
      </c>
      <c r="B145">
        <v>1003047.0</v>
      </c>
      <c r="C145" t="s">
        <v>2587</v>
      </c>
      <c r="D145">
        <v>1003047.0</v>
      </c>
      <c r="E145" t="s">
        <v>2129</v>
      </c>
      <c r="F145" t="s">
        <v>2588</v>
      </c>
      <c r="G145" t="s">
        <v>2589</v>
      </c>
      <c r="H145" t="s">
        <v>2590</v>
      </c>
    </row>
    <row r="146">
      <c r="A146">
        <v>26.0</v>
      </c>
      <c r="B146">
        <v>1003052.0</v>
      </c>
      <c r="C146" t="s">
        <v>2591</v>
      </c>
      <c r="D146">
        <v>1003052.0</v>
      </c>
      <c r="E146" t="s">
        <v>2129</v>
      </c>
      <c r="F146" t="s">
        <v>2592</v>
      </c>
      <c r="G146" t="s">
        <v>2593</v>
      </c>
      <c r="H146" t="s">
        <v>2594</v>
      </c>
    </row>
    <row r="147">
      <c r="A147">
        <v>26.0</v>
      </c>
      <c r="B147">
        <v>1003055.0</v>
      </c>
      <c r="C147" t="s">
        <v>2595</v>
      </c>
      <c r="D147">
        <v>1003055.0</v>
      </c>
      <c r="E147" t="s">
        <v>2134</v>
      </c>
      <c r="F147" t="s">
        <v>2596</v>
      </c>
      <c r="G147" t="s">
        <v>2553</v>
      </c>
      <c r="H147" t="s">
        <v>2597</v>
      </c>
    </row>
    <row r="149">
      <c r="A149">
        <v>27.0</v>
      </c>
      <c r="B149">
        <v>1003222.0</v>
      </c>
      <c r="C149" t="s">
        <v>2598</v>
      </c>
      <c r="D149">
        <v>1003222.0</v>
      </c>
      <c r="E149" t="s">
        <v>2129</v>
      </c>
      <c r="F149" t="s">
        <v>2599</v>
      </c>
      <c r="G149" t="s">
        <v>2600</v>
      </c>
      <c r="H149" t="s">
        <v>2601</v>
      </c>
    </row>
    <row r="150">
      <c r="A150">
        <v>27.0</v>
      </c>
      <c r="B150">
        <v>1003223.0</v>
      </c>
      <c r="C150" t="s">
        <v>2602</v>
      </c>
      <c r="D150">
        <v>1003223.0</v>
      </c>
      <c r="E150" t="s">
        <v>2134</v>
      </c>
      <c r="F150" t="s">
        <v>2603</v>
      </c>
      <c r="G150" t="s">
        <v>2604</v>
      </c>
      <c r="H150" t="s">
        <v>2605</v>
      </c>
    </row>
    <row r="151">
      <c r="A151">
        <v>27.0</v>
      </c>
      <c r="B151">
        <v>1003217.0</v>
      </c>
      <c r="C151" t="s">
        <v>2606</v>
      </c>
      <c r="D151">
        <v>1003217.0</v>
      </c>
      <c r="E151" t="s">
        <v>2134</v>
      </c>
      <c r="F151" t="s">
        <v>2607</v>
      </c>
      <c r="G151" t="s">
        <v>2608</v>
      </c>
      <c r="H151" t="s">
        <v>2609</v>
      </c>
    </row>
    <row r="152">
      <c r="A152">
        <v>27.0</v>
      </c>
      <c r="B152">
        <v>1003220.0</v>
      </c>
      <c r="C152" t="s">
        <v>2610</v>
      </c>
      <c r="D152">
        <v>1003220.0</v>
      </c>
      <c r="E152" t="s">
        <v>2129</v>
      </c>
      <c r="F152" t="s">
        <v>2611</v>
      </c>
      <c r="G152" t="s">
        <v>2612</v>
      </c>
      <c r="H152" t="s">
        <v>2613</v>
      </c>
    </row>
    <row r="153">
      <c r="A153">
        <v>27.0</v>
      </c>
      <c r="B153">
        <v>1003219.0</v>
      </c>
      <c r="C153" t="s">
        <v>2614</v>
      </c>
      <c r="D153">
        <v>1003219.0</v>
      </c>
      <c r="E153" t="s">
        <v>2129</v>
      </c>
      <c r="F153" t="s">
        <v>2615</v>
      </c>
      <c r="G153" t="s">
        <v>2616</v>
      </c>
      <c r="H153" t="s">
        <v>2617</v>
      </c>
    </row>
    <row r="154">
      <c r="A154">
        <v>27.0</v>
      </c>
      <c r="B154">
        <v>1003224.0</v>
      </c>
      <c r="C154" t="s">
        <v>2618</v>
      </c>
      <c r="D154">
        <v>1003224.0</v>
      </c>
      <c r="E154" t="s">
        <v>2129</v>
      </c>
      <c r="F154" t="s">
        <v>2619</v>
      </c>
      <c r="G154" t="s">
        <v>2620</v>
      </c>
      <c r="H154" t="s">
        <v>2621</v>
      </c>
    </row>
    <row r="156">
      <c r="A156">
        <v>28.0</v>
      </c>
      <c r="B156">
        <v>1000341.0</v>
      </c>
      <c r="C156" t="s">
        <v>2622</v>
      </c>
      <c r="D156">
        <v>1000341.0</v>
      </c>
      <c r="E156" t="s">
        <v>2129</v>
      </c>
      <c r="F156" t="s">
        <v>2623</v>
      </c>
      <c r="G156" t="s">
        <v>2624</v>
      </c>
      <c r="H156" t="s">
        <v>2625</v>
      </c>
    </row>
    <row r="157">
      <c r="A157">
        <v>28.0</v>
      </c>
      <c r="B157">
        <v>1001934.0</v>
      </c>
      <c r="C157" t="s">
        <v>2626</v>
      </c>
      <c r="D157">
        <v>1001934.0</v>
      </c>
      <c r="E157" t="s">
        <v>2134</v>
      </c>
      <c r="F157" t="s">
        <v>2627</v>
      </c>
      <c r="G157" t="s">
        <v>2628</v>
      </c>
      <c r="H157" t="s">
        <v>2629</v>
      </c>
    </row>
    <row r="158">
      <c r="A158">
        <v>28.0</v>
      </c>
      <c r="B158">
        <v>1001054.0</v>
      </c>
      <c r="C158" t="s">
        <v>2630</v>
      </c>
      <c r="D158">
        <v>1001054.0</v>
      </c>
      <c r="E158" t="s">
        <v>2129</v>
      </c>
      <c r="F158" t="s">
        <v>2631</v>
      </c>
      <c r="G158" t="s">
        <v>2632</v>
      </c>
      <c r="H158" t="s">
        <v>2633</v>
      </c>
    </row>
    <row r="159">
      <c r="A159">
        <v>28.0</v>
      </c>
      <c r="B159">
        <v>1002118.0</v>
      </c>
      <c r="C159" t="s">
        <v>2634</v>
      </c>
      <c r="D159">
        <v>1002118.0</v>
      </c>
      <c r="E159" t="s">
        <v>2129</v>
      </c>
      <c r="F159" t="s">
        <v>2635</v>
      </c>
      <c r="G159" t="s">
        <v>2636</v>
      </c>
      <c r="H159" t="s">
        <v>2637</v>
      </c>
    </row>
    <row r="160">
      <c r="A160">
        <v>28.0</v>
      </c>
      <c r="B160">
        <v>1002119.0</v>
      </c>
      <c r="C160" t="s">
        <v>2638</v>
      </c>
      <c r="D160">
        <v>1002119.0</v>
      </c>
      <c r="E160" t="s">
        <v>2129</v>
      </c>
      <c r="F160" t="s">
        <v>2639</v>
      </c>
      <c r="G160" t="s">
        <v>2640</v>
      </c>
      <c r="H160" t="s">
        <v>2641</v>
      </c>
    </row>
    <row r="161">
      <c r="A161">
        <v>28.0</v>
      </c>
      <c r="B161">
        <v>1002202.0</v>
      </c>
      <c r="C161" t="s">
        <v>2642</v>
      </c>
      <c r="D161">
        <v>1002202.0</v>
      </c>
      <c r="E161" t="s">
        <v>2129</v>
      </c>
      <c r="F161" t="s">
        <v>2643</v>
      </c>
      <c r="G161" t="s">
        <v>2644</v>
      </c>
      <c r="H161" t="s">
        <v>2645</v>
      </c>
    </row>
    <row r="162">
      <c r="A162">
        <v>28.0</v>
      </c>
      <c r="B162">
        <v>1003369.0</v>
      </c>
      <c r="C162" t="s">
        <v>2646</v>
      </c>
      <c r="D162">
        <v>1003369.0</v>
      </c>
      <c r="E162" t="s">
        <v>2134</v>
      </c>
      <c r="F162" t="s">
        <v>2647</v>
      </c>
      <c r="G162" t="s">
        <v>2648</v>
      </c>
      <c r="H162" t="s">
        <v>2649</v>
      </c>
    </row>
    <row r="163">
      <c r="A163">
        <v>28.0</v>
      </c>
      <c r="B163">
        <v>1003365.0</v>
      </c>
      <c r="C163" t="s">
        <v>2650</v>
      </c>
      <c r="D163">
        <v>1003365.0</v>
      </c>
      <c r="E163" t="s">
        <v>2129</v>
      </c>
      <c r="F163" t="s">
        <v>2651</v>
      </c>
      <c r="G163" t="s">
        <v>2652</v>
      </c>
      <c r="H163" t="s">
        <v>2653</v>
      </c>
    </row>
    <row r="164">
      <c r="A164">
        <v>28.0</v>
      </c>
      <c r="B164">
        <v>1003368.0</v>
      </c>
      <c r="C164" t="s">
        <v>2654</v>
      </c>
      <c r="D164">
        <v>1003368.0</v>
      </c>
      <c r="E164" t="s">
        <v>2129</v>
      </c>
      <c r="F164" t="s">
        <v>2655</v>
      </c>
      <c r="G164" t="s">
        <v>2656</v>
      </c>
      <c r="H164" t="s">
        <v>2657</v>
      </c>
    </row>
    <row r="166">
      <c r="A166">
        <v>29.0</v>
      </c>
      <c r="B166">
        <v>1003398.0</v>
      </c>
      <c r="C166" t="s">
        <v>2658</v>
      </c>
      <c r="D166">
        <v>1003398.0</v>
      </c>
      <c r="E166" t="s">
        <v>2129</v>
      </c>
      <c r="F166" t="s">
        <v>2659</v>
      </c>
      <c r="G166" t="s">
        <v>2660</v>
      </c>
      <c r="H166" t="s">
        <v>2661</v>
      </c>
    </row>
    <row r="167">
      <c r="A167">
        <v>29.0</v>
      </c>
      <c r="B167">
        <v>1003393.0</v>
      </c>
      <c r="C167" t="s">
        <v>2662</v>
      </c>
      <c r="D167">
        <v>1003393.0</v>
      </c>
      <c r="E167" t="s">
        <v>2129</v>
      </c>
      <c r="F167" t="s">
        <v>2663</v>
      </c>
      <c r="G167" t="s">
        <v>2664</v>
      </c>
      <c r="H167" t="s">
        <v>2665</v>
      </c>
    </row>
    <row r="168">
      <c r="A168">
        <v>29.0</v>
      </c>
      <c r="B168">
        <v>1003383.0</v>
      </c>
      <c r="C168" t="s">
        <v>2666</v>
      </c>
      <c r="D168">
        <v>1003383.0</v>
      </c>
      <c r="E168" t="s">
        <v>2129</v>
      </c>
      <c r="F168" t="s">
        <v>2667</v>
      </c>
      <c r="G168" t="s">
        <v>2668</v>
      </c>
      <c r="H168" t="s">
        <v>2669</v>
      </c>
    </row>
    <row r="169">
      <c r="A169">
        <v>29.0</v>
      </c>
      <c r="B169">
        <v>1003390.0</v>
      </c>
      <c r="C169" t="s">
        <v>2670</v>
      </c>
      <c r="D169">
        <v>1003390.0</v>
      </c>
      <c r="E169" t="s">
        <v>2129</v>
      </c>
      <c r="F169" t="s">
        <v>2671</v>
      </c>
      <c r="G169" t="s">
        <v>2672</v>
      </c>
      <c r="H169" t="s">
        <v>2673</v>
      </c>
    </row>
    <row r="170">
      <c r="A170">
        <v>29.0</v>
      </c>
      <c r="B170">
        <v>1003386.0</v>
      </c>
      <c r="C170" t="s">
        <v>2674</v>
      </c>
      <c r="D170">
        <v>1003386.0</v>
      </c>
      <c r="E170" t="s">
        <v>2129</v>
      </c>
      <c r="F170" t="s">
        <v>2675</v>
      </c>
      <c r="G170" t="s">
        <v>2676</v>
      </c>
      <c r="H170" t="s">
        <v>2677</v>
      </c>
    </row>
    <row r="171">
      <c r="A171">
        <v>29.0</v>
      </c>
      <c r="B171">
        <v>1003397.0</v>
      </c>
      <c r="C171" t="s">
        <v>2678</v>
      </c>
      <c r="D171">
        <v>1003397.0</v>
      </c>
      <c r="E171" t="s">
        <v>2129</v>
      </c>
      <c r="F171" t="s">
        <v>2679</v>
      </c>
      <c r="G171" t="s">
        <v>2680</v>
      </c>
      <c r="H171" t="s">
        <v>2681</v>
      </c>
    </row>
    <row r="172">
      <c r="A172">
        <v>29.0</v>
      </c>
      <c r="B172">
        <v>1003385.0</v>
      </c>
      <c r="C172" t="s">
        <v>2682</v>
      </c>
      <c r="D172">
        <v>1003385.0</v>
      </c>
      <c r="E172" t="s">
        <v>2129</v>
      </c>
      <c r="F172" t="s">
        <v>2683</v>
      </c>
      <c r="G172" t="s">
        <v>2684</v>
      </c>
      <c r="H172" t="s">
        <v>2685</v>
      </c>
    </row>
    <row r="173">
      <c r="A173">
        <v>29.0</v>
      </c>
      <c r="B173">
        <v>1003392.0</v>
      </c>
      <c r="C173" t="s">
        <v>2686</v>
      </c>
      <c r="D173">
        <v>1003392.0</v>
      </c>
      <c r="E173" t="s">
        <v>2129</v>
      </c>
      <c r="F173" t="s">
        <v>2687</v>
      </c>
      <c r="G173" t="s">
        <v>2688</v>
      </c>
      <c r="H173" t="s">
        <v>2689</v>
      </c>
    </row>
    <row r="174">
      <c r="A174">
        <v>29.0</v>
      </c>
      <c r="B174">
        <v>1003384.0</v>
      </c>
      <c r="C174" t="s">
        <v>2690</v>
      </c>
      <c r="D174">
        <v>1003384.0</v>
      </c>
      <c r="E174" t="s">
        <v>2129</v>
      </c>
      <c r="F174" t="s">
        <v>2691</v>
      </c>
      <c r="G174" t="s">
        <v>2692</v>
      </c>
      <c r="H174" t="s">
        <v>2693</v>
      </c>
    </row>
    <row r="176">
      <c r="A176">
        <v>30.0</v>
      </c>
      <c r="B176">
        <v>1000451.0</v>
      </c>
      <c r="C176" t="s">
        <v>2694</v>
      </c>
      <c r="D176">
        <v>1000451.0</v>
      </c>
      <c r="E176" t="s">
        <v>2129</v>
      </c>
      <c r="F176" t="s">
        <v>2695</v>
      </c>
      <c r="G176" t="s">
        <v>2696</v>
      </c>
      <c r="H176" t="s">
        <v>2697</v>
      </c>
    </row>
    <row r="177">
      <c r="A177">
        <v>30.0</v>
      </c>
      <c r="B177">
        <v>1000704.0</v>
      </c>
      <c r="C177" t="s">
        <v>2698</v>
      </c>
      <c r="D177">
        <v>1000704.0</v>
      </c>
      <c r="E177" t="s">
        <v>2129</v>
      </c>
      <c r="F177" t="s">
        <v>2699</v>
      </c>
      <c r="G177" t="s">
        <v>2700</v>
      </c>
      <c r="H177" t="s">
        <v>2701</v>
      </c>
    </row>
    <row r="178">
      <c r="A178">
        <v>30.0</v>
      </c>
      <c r="B178">
        <v>1002492.0</v>
      </c>
      <c r="C178" t="s">
        <v>2702</v>
      </c>
      <c r="D178">
        <v>1002492.0</v>
      </c>
      <c r="E178" t="s">
        <v>2134</v>
      </c>
      <c r="F178" t="s">
        <v>2703</v>
      </c>
      <c r="G178" t="s">
        <v>2704</v>
      </c>
      <c r="H178" t="s">
        <v>2705</v>
      </c>
    </row>
    <row r="180">
      <c r="A180">
        <v>31.0</v>
      </c>
      <c r="B180">
        <v>1001755.0</v>
      </c>
      <c r="C180" t="s">
        <v>2706</v>
      </c>
      <c r="D180">
        <v>1001755.0</v>
      </c>
      <c r="E180" t="s">
        <v>2129</v>
      </c>
      <c r="F180" t="s">
        <v>2271</v>
      </c>
      <c r="G180" t="s">
        <v>2707</v>
      </c>
      <c r="H180" t="s">
        <v>2708</v>
      </c>
    </row>
    <row r="181">
      <c r="A181">
        <v>31.0</v>
      </c>
      <c r="B181">
        <v>1001594.0</v>
      </c>
      <c r="C181" t="s">
        <v>2709</v>
      </c>
      <c r="D181">
        <v>1001594.0</v>
      </c>
      <c r="E181" t="s">
        <v>2129</v>
      </c>
      <c r="F181" t="s">
        <v>2710</v>
      </c>
      <c r="G181" t="s">
        <v>2711</v>
      </c>
      <c r="H181" t="s">
        <v>2712</v>
      </c>
    </row>
    <row r="182">
      <c r="A182">
        <v>31.0</v>
      </c>
      <c r="B182">
        <v>1002001.0</v>
      </c>
      <c r="C182" t="s">
        <v>2713</v>
      </c>
      <c r="D182">
        <v>1002001.0</v>
      </c>
      <c r="E182" t="s">
        <v>2134</v>
      </c>
      <c r="F182" t="s">
        <v>2714</v>
      </c>
      <c r="G182" t="s">
        <v>2715</v>
      </c>
      <c r="H182" t="s">
        <v>2716</v>
      </c>
    </row>
    <row r="183">
      <c r="A183">
        <v>31.0</v>
      </c>
      <c r="B183">
        <v>1004037.0</v>
      </c>
      <c r="C183" t="s">
        <v>2717</v>
      </c>
      <c r="D183">
        <v>1004037.0</v>
      </c>
      <c r="E183" t="s">
        <v>2129</v>
      </c>
      <c r="F183" t="s">
        <v>2718</v>
      </c>
      <c r="G183" t="s">
        <v>2719</v>
      </c>
      <c r="H183" t="s">
        <v>2720</v>
      </c>
    </row>
    <row r="184">
      <c r="A184">
        <v>31.0</v>
      </c>
      <c r="B184">
        <v>1004044.0</v>
      </c>
      <c r="C184" t="s">
        <v>2721</v>
      </c>
      <c r="D184">
        <v>1004044.0</v>
      </c>
      <c r="E184" t="s">
        <v>2129</v>
      </c>
      <c r="F184" t="s">
        <v>2722</v>
      </c>
      <c r="G184" t="s">
        <v>2723</v>
      </c>
      <c r="H184" t="s">
        <v>2724</v>
      </c>
    </row>
    <row r="185">
      <c r="A185">
        <v>31.0</v>
      </c>
      <c r="B185">
        <v>1004034.0</v>
      </c>
      <c r="C185" t="s">
        <v>2725</v>
      </c>
      <c r="D185">
        <v>1004034.0</v>
      </c>
      <c r="E185" t="s">
        <v>2134</v>
      </c>
      <c r="F185" t="s">
        <v>2726</v>
      </c>
      <c r="G185" t="s">
        <v>2727</v>
      </c>
      <c r="H185" t="s">
        <v>2728</v>
      </c>
    </row>
    <row r="186">
      <c r="A186">
        <v>31.0</v>
      </c>
      <c r="B186">
        <v>1004038.0</v>
      </c>
      <c r="C186" t="s">
        <v>2729</v>
      </c>
      <c r="D186">
        <v>1004038.0</v>
      </c>
      <c r="E186" t="s">
        <v>2129</v>
      </c>
      <c r="F186" t="s">
        <v>2730</v>
      </c>
      <c r="G186" t="s">
        <v>2731</v>
      </c>
      <c r="H186" t="s">
        <v>2732</v>
      </c>
    </row>
    <row r="187">
      <c r="A187">
        <v>31.0</v>
      </c>
      <c r="B187">
        <v>1004030.0</v>
      </c>
      <c r="C187" t="s">
        <v>2733</v>
      </c>
      <c r="D187">
        <v>1004030.0</v>
      </c>
      <c r="E187" t="s">
        <v>2129</v>
      </c>
      <c r="F187" t="s">
        <v>2734</v>
      </c>
      <c r="G187" t="s">
        <v>2735</v>
      </c>
      <c r="H187" t="s">
        <v>2736</v>
      </c>
    </row>
    <row r="188">
      <c r="A188">
        <v>31.0</v>
      </c>
      <c r="B188">
        <v>1004045.0</v>
      </c>
      <c r="C188" t="s">
        <v>2737</v>
      </c>
      <c r="D188">
        <v>1004045.0</v>
      </c>
      <c r="E188" t="s">
        <v>2129</v>
      </c>
      <c r="F188" t="s">
        <v>2738</v>
      </c>
      <c r="G188" t="s">
        <v>2739</v>
      </c>
      <c r="H188" t="s">
        <v>2740</v>
      </c>
    </row>
    <row r="189">
      <c r="A189">
        <v>31.0</v>
      </c>
      <c r="B189">
        <v>1004029.0</v>
      </c>
      <c r="C189" t="s">
        <v>2741</v>
      </c>
      <c r="D189">
        <v>1004029.0</v>
      </c>
      <c r="E189" t="s">
        <v>2129</v>
      </c>
      <c r="F189" t="s">
        <v>2742</v>
      </c>
      <c r="G189" t="s">
        <v>2743</v>
      </c>
      <c r="H189" t="s">
        <v>2744</v>
      </c>
    </row>
    <row r="190">
      <c r="A190">
        <v>31.0</v>
      </c>
      <c r="B190">
        <v>1004028.0</v>
      </c>
      <c r="C190" t="s">
        <v>2745</v>
      </c>
      <c r="D190">
        <v>1004028.0</v>
      </c>
      <c r="E190" t="s">
        <v>2129</v>
      </c>
      <c r="F190" t="s">
        <v>2746</v>
      </c>
      <c r="G190" t="s">
        <v>2747</v>
      </c>
      <c r="H190" t="s">
        <v>2748</v>
      </c>
    </row>
    <row r="191">
      <c r="A191">
        <v>31.0</v>
      </c>
      <c r="B191">
        <v>1004041.0</v>
      </c>
      <c r="C191" t="s">
        <v>2749</v>
      </c>
      <c r="D191">
        <v>1004041.0</v>
      </c>
      <c r="E191" t="s">
        <v>2129</v>
      </c>
      <c r="F191" t="s">
        <v>2750</v>
      </c>
      <c r="G191" t="s">
        <v>2751</v>
      </c>
      <c r="H191" t="s">
        <v>2752</v>
      </c>
    </row>
    <row r="192">
      <c r="A192">
        <v>31.0</v>
      </c>
      <c r="B192">
        <v>1004039.0</v>
      </c>
      <c r="C192" t="s">
        <v>2753</v>
      </c>
      <c r="D192">
        <v>1004039.0</v>
      </c>
      <c r="E192" t="s">
        <v>2129</v>
      </c>
      <c r="F192" t="s">
        <v>2754</v>
      </c>
      <c r="G192" t="s">
        <v>2755</v>
      </c>
      <c r="H192" t="s">
        <v>2756</v>
      </c>
    </row>
    <row r="193">
      <c r="A193">
        <v>31.0</v>
      </c>
      <c r="B193">
        <v>1004040.0</v>
      </c>
      <c r="C193" t="s">
        <v>2757</v>
      </c>
      <c r="D193">
        <v>1004040.0</v>
      </c>
      <c r="E193" t="s">
        <v>2129</v>
      </c>
      <c r="F193" t="s">
        <v>2758</v>
      </c>
      <c r="G193" t="s">
        <v>2759</v>
      </c>
      <c r="H193" t="s">
        <v>2760</v>
      </c>
    </row>
    <row r="195">
      <c r="A195">
        <v>32.0</v>
      </c>
      <c r="B195">
        <v>1000387.0</v>
      </c>
      <c r="C195" t="s">
        <v>2761</v>
      </c>
      <c r="D195">
        <v>1000387.0</v>
      </c>
      <c r="E195" t="s">
        <v>2134</v>
      </c>
      <c r="F195" t="s">
        <v>2762</v>
      </c>
      <c r="G195" t="s">
        <v>2763</v>
      </c>
      <c r="H195" t="s">
        <v>2764</v>
      </c>
    </row>
    <row r="196">
      <c r="A196">
        <v>32.0</v>
      </c>
      <c r="B196">
        <v>1000397.0</v>
      </c>
      <c r="C196" t="s">
        <v>2765</v>
      </c>
      <c r="D196">
        <v>1000397.0</v>
      </c>
      <c r="E196" t="s">
        <v>2129</v>
      </c>
      <c r="F196" t="s">
        <v>2766</v>
      </c>
      <c r="G196" t="s">
        <v>2767</v>
      </c>
      <c r="H196" t="s">
        <v>2768</v>
      </c>
    </row>
    <row r="197">
      <c r="A197">
        <v>32.0</v>
      </c>
      <c r="B197">
        <v>1001286.0</v>
      </c>
      <c r="C197" t="s">
        <v>2769</v>
      </c>
      <c r="D197">
        <v>1001286.0</v>
      </c>
      <c r="E197" t="s">
        <v>2129</v>
      </c>
      <c r="F197" t="s">
        <v>2770</v>
      </c>
      <c r="G197" t="s">
        <v>2771</v>
      </c>
      <c r="H197" t="s">
        <v>2772</v>
      </c>
    </row>
    <row r="198">
      <c r="A198">
        <v>32.0</v>
      </c>
      <c r="B198">
        <v>1001233.0</v>
      </c>
      <c r="C198" t="s">
        <v>2773</v>
      </c>
      <c r="D198">
        <v>1001233.0</v>
      </c>
      <c r="E198" t="s">
        <v>2129</v>
      </c>
      <c r="F198" t="s">
        <v>2774</v>
      </c>
      <c r="G198" t="s">
        <v>2775</v>
      </c>
      <c r="H198" t="s">
        <v>2776</v>
      </c>
    </row>
    <row r="199">
      <c r="A199">
        <v>32.0</v>
      </c>
      <c r="B199">
        <v>1001738.0</v>
      </c>
      <c r="C199" t="s">
        <v>2777</v>
      </c>
      <c r="D199">
        <v>1001738.0</v>
      </c>
      <c r="E199" t="s">
        <v>2129</v>
      </c>
      <c r="F199" t="s">
        <v>2778</v>
      </c>
      <c r="G199" t="s">
        <v>2779</v>
      </c>
      <c r="H199" t="s">
        <v>2780</v>
      </c>
    </row>
    <row r="200">
      <c r="A200">
        <v>32.0</v>
      </c>
      <c r="B200">
        <v>1004122.0</v>
      </c>
      <c r="C200" t="s">
        <v>2781</v>
      </c>
      <c r="D200">
        <v>1004122.0</v>
      </c>
      <c r="E200" t="s">
        <v>2134</v>
      </c>
      <c r="F200" t="s">
        <v>2782</v>
      </c>
      <c r="G200" t="s">
        <v>2783</v>
      </c>
      <c r="H200" t="s">
        <v>2784</v>
      </c>
    </row>
    <row r="201">
      <c r="A201">
        <v>32.0</v>
      </c>
      <c r="B201">
        <v>1004127.0</v>
      </c>
      <c r="C201" t="s">
        <v>2785</v>
      </c>
      <c r="D201">
        <v>1004127.0</v>
      </c>
      <c r="E201" t="s">
        <v>2129</v>
      </c>
      <c r="F201" t="s">
        <v>2786</v>
      </c>
      <c r="G201" t="s">
        <v>2787</v>
      </c>
      <c r="H201" t="s">
        <v>2788</v>
      </c>
    </row>
    <row r="203">
      <c r="A203">
        <v>33.0</v>
      </c>
      <c r="B203">
        <v>1003117.0</v>
      </c>
      <c r="C203" t="s">
        <v>2789</v>
      </c>
      <c r="D203">
        <v>1003117.0</v>
      </c>
      <c r="E203" t="s">
        <v>2134</v>
      </c>
      <c r="F203" t="s">
        <v>2790</v>
      </c>
      <c r="G203" t="s">
        <v>2791</v>
      </c>
      <c r="H203" t="s">
        <v>2792</v>
      </c>
    </row>
    <row r="204">
      <c r="A204">
        <v>33.0</v>
      </c>
      <c r="B204">
        <v>1004211.0</v>
      </c>
      <c r="C204" t="s">
        <v>2793</v>
      </c>
      <c r="D204">
        <v>1004211.0</v>
      </c>
      <c r="E204" t="s">
        <v>2134</v>
      </c>
      <c r="F204" t="s">
        <v>2794</v>
      </c>
      <c r="G204" t="s">
        <v>2795</v>
      </c>
      <c r="H204" t="s">
        <v>2796</v>
      </c>
    </row>
    <row r="205">
      <c r="A205">
        <v>33.0</v>
      </c>
      <c r="B205">
        <v>1004213.0</v>
      </c>
      <c r="C205" t="s">
        <v>2797</v>
      </c>
      <c r="D205">
        <v>1004213.0</v>
      </c>
      <c r="E205" t="s">
        <v>2129</v>
      </c>
      <c r="F205" t="s">
        <v>2798</v>
      </c>
      <c r="G205" t="s">
        <v>2799</v>
      </c>
      <c r="H205" t="s">
        <v>2800</v>
      </c>
    </row>
    <row r="206">
      <c r="A206">
        <v>33.0</v>
      </c>
      <c r="B206">
        <v>1004203.0</v>
      </c>
      <c r="C206" t="s">
        <v>2801</v>
      </c>
      <c r="D206">
        <v>1004203.0</v>
      </c>
      <c r="E206" t="s">
        <v>2129</v>
      </c>
      <c r="F206" t="s">
        <v>2802</v>
      </c>
      <c r="G206" t="s">
        <v>2803</v>
      </c>
      <c r="H206" t="s">
        <v>2804</v>
      </c>
    </row>
    <row r="207">
      <c r="A207">
        <v>33.0</v>
      </c>
      <c r="B207">
        <v>1004205.0</v>
      </c>
      <c r="C207" t="s">
        <v>2805</v>
      </c>
      <c r="D207">
        <v>1004205.0</v>
      </c>
      <c r="E207" t="s">
        <v>2198</v>
      </c>
      <c r="F207" t="s">
        <v>2806</v>
      </c>
      <c r="G207" t="s">
        <v>2807</v>
      </c>
      <c r="H207" t="s">
        <v>2808</v>
      </c>
    </row>
    <row r="208">
      <c r="A208">
        <v>33.0</v>
      </c>
      <c r="B208">
        <v>1004212.0</v>
      </c>
      <c r="C208" t="s">
        <v>2809</v>
      </c>
      <c r="D208">
        <v>1004212.0</v>
      </c>
      <c r="E208" t="s">
        <v>2129</v>
      </c>
      <c r="F208" t="s">
        <v>2810</v>
      </c>
      <c r="G208" t="s">
        <v>2434</v>
      </c>
      <c r="H208" t="s">
        <v>2811</v>
      </c>
    </row>
    <row r="209">
      <c r="A209">
        <v>33.0</v>
      </c>
      <c r="B209">
        <v>1004196.0</v>
      </c>
      <c r="C209" t="s">
        <v>2812</v>
      </c>
      <c r="D209">
        <v>1004196.0</v>
      </c>
      <c r="E209" t="s">
        <v>2129</v>
      </c>
      <c r="F209" t="s">
        <v>2813</v>
      </c>
      <c r="G209" t="s">
        <v>2814</v>
      </c>
      <c r="H209" t="s">
        <v>2815</v>
      </c>
    </row>
    <row r="210">
      <c r="A210">
        <v>33.0</v>
      </c>
      <c r="B210">
        <v>1004198.0</v>
      </c>
      <c r="C210" t="s">
        <v>2816</v>
      </c>
      <c r="D210">
        <v>1004198.0</v>
      </c>
      <c r="E210" t="s">
        <v>2129</v>
      </c>
      <c r="F210" t="s">
        <v>2817</v>
      </c>
      <c r="G210" t="s">
        <v>2818</v>
      </c>
      <c r="H210" t="s">
        <v>2819</v>
      </c>
    </row>
    <row r="211">
      <c r="A211">
        <v>33.0</v>
      </c>
      <c r="B211">
        <v>1004200.0</v>
      </c>
      <c r="C211" t="s">
        <v>2820</v>
      </c>
      <c r="D211">
        <v>1004200.0</v>
      </c>
      <c r="E211" t="s">
        <v>2129</v>
      </c>
      <c r="F211" t="s">
        <v>2821</v>
      </c>
      <c r="G211" t="s">
        <v>2822</v>
      </c>
      <c r="H211" t="s">
        <v>2823</v>
      </c>
    </row>
    <row r="212">
      <c r="A212">
        <v>33.0</v>
      </c>
      <c r="B212">
        <v>1004195.0</v>
      </c>
      <c r="C212" t="s">
        <v>2824</v>
      </c>
      <c r="D212">
        <v>1004195.0</v>
      </c>
      <c r="E212" t="s">
        <v>2129</v>
      </c>
      <c r="F212" t="s">
        <v>2825</v>
      </c>
      <c r="G212" t="s">
        <v>2826</v>
      </c>
      <c r="H212" t="s">
        <v>2827</v>
      </c>
    </row>
    <row r="213">
      <c r="A213">
        <v>33.0</v>
      </c>
      <c r="B213">
        <v>1004204.0</v>
      </c>
      <c r="C213" t="s">
        <v>2828</v>
      </c>
      <c r="D213">
        <v>1004204.0</v>
      </c>
      <c r="E213" t="s">
        <v>2129</v>
      </c>
      <c r="F213" t="s">
        <v>2829</v>
      </c>
      <c r="G213" t="s">
        <v>2830</v>
      </c>
      <c r="H213" t="s">
        <v>2831</v>
      </c>
    </row>
    <row r="214">
      <c r="A214">
        <v>33.0</v>
      </c>
      <c r="B214">
        <v>1004202.0</v>
      </c>
      <c r="C214" t="s">
        <v>2832</v>
      </c>
      <c r="D214">
        <v>1004202.0</v>
      </c>
      <c r="E214" t="s">
        <v>2129</v>
      </c>
      <c r="F214" t="s">
        <v>2833</v>
      </c>
      <c r="G214" t="s">
        <v>2834</v>
      </c>
      <c r="H214" t="s">
        <v>2835</v>
      </c>
    </row>
    <row r="215">
      <c r="A215">
        <v>33.0</v>
      </c>
      <c r="B215">
        <v>1004197.0</v>
      </c>
      <c r="C215" t="s">
        <v>2836</v>
      </c>
      <c r="D215">
        <v>1004197.0</v>
      </c>
      <c r="E215" t="s">
        <v>2129</v>
      </c>
      <c r="F215" t="s">
        <v>2837</v>
      </c>
      <c r="G215" t="s">
        <v>2838</v>
      </c>
      <c r="H215" t="s">
        <v>2839</v>
      </c>
    </row>
    <row r="216">
      <c r="A216">
        <v>33.0</v>
      </c>
      <c r="B216">
        <v>1004207.0</v>
      </c>
      <c r="C216" t="s">
        <v>2840</v>
      </c>
      <c r="D216">
        <v>1004207.0</v>
      </c>
      <c r="E216" t="s">
        <v>2129</v>
      </c>
      <c r="F216" t="s">
        <v>2841</v>
      </c>
      <c r="G216" t="s">
        <v>2842</v>
      </c>
      <c r="H216" t="s">
        <v>2843</v>
      </c>
    </row>
    <row r="217">
      <c r="A217">
        <v>33.0</v>
      </c>
      <c r="B217">
        <v>1004199.0</v>
      </c>
      <c r="C217" t="s">
        <v>2844</v>
      </c>
      <c r="D217">
        <v>1004199.0</v>
      </c>
      <c r="E217" t="s">
        <v>2129</v>
      </c>
      <c r="F217" t="s">
        <v>2845</v>
      </c>
      <c r="G217" t="s">
        <v>2846</v>
      </c>
      <c r="H217" t="s">
        <v>2847</v>
      </c>
    </row>
    <row r="218">
      <c r="A218">
        <v>33.0</v>
      </c>
      <c r="B218">
        <v>1004208.0</v>
      </c>
      <c r="C218" t="s">
        <v>2848</v>
      </c>
      <c r="D218">
        <v>1004208.0</v>
      </c>
      <c r="E218" t="s">
        <v>2129</v>
      </c>
      <c r="F218" t="s">
        <v>2849</v>
      </c>
      <c r="G218" t="s">
        <v>2850</v>
      </c>
      <c r="H218" t="s">
        <v>2851</v>
      </c>
    </row>
    <row r="219">
      <c r="A219">
        <v>33.0</v>
      </c>
      <c r="B219">
        <v>1004201.0</v>
      </c>
      <c r="C219" t="s">
        <v>2852</v>
      </c>
      <c r="D219">
        <v>1004201.0</v>
      </c>
      <c r="E219" t="s">
        <v>2129</v>
      </c>
      <c r="F219" t="s">
        <v>2853</v>
      </c>
      <c r="G219" t="s">
        <v>2854</v>
      </c>
      <c r="H219" t="s">
        <v>2855</v>
      </c>
    </row>
    <row r="220">
      <c r="A220">
        <v>33.0</v>
      </c>
      <c r="B220">
        <v>1004206.0</v>
      </c>
      <c r="C220" t="s">
        <v>2856</v>
      </c>
      <c r="D220">
        <v>1004206.0</v>
      </c>
      <c r="E220" t="s">
        <v>2129</v>
      </c>
      <c r="F220" t="s">
        <v>2857</v>
      </c>
      <c r="G220" t="s">
        <v>2858</v>
      </c>
      <c r="H220" t="s">
        <v>2859</v>
      </c>
    </row>
    <row r="222">
      <c r="A222">
        <v>34.0</v>
      </c>
      <c r="B222">
        <v>1000498.0</v>
      </c>
      <c r="C222" t="s">
        <v>2860</v>
      </c>
      <c r="D222">
        <v>1000498.0</v>
      </c>
      <c r="E222" t="s">
        <v>2134</v>
      </c>
      <c r="F222" t="s">
        <v>2861</v>
      </c>
      <c r="G222" t="s">
        <v>2862</v>
      </c>
      <c r="H222" t="s">
        <v>2863</v>
      </c>
    </row>
    <row r="223">
      <c r="A223">
        <v>34.0</v>
      </c>
      <c r="B223">
        <v>1000716.0</v>
      </c>
      <c r="C223" t="s">
        <v>2864</v>
      </c>
      <c r="D223">
        <v>1000716.0</v>
      </c>
      <c r="E223" t="s">
        <v>2129</v>
      </c>
      <c r="F223" t="s">
        <v>2865</v>
      </c>
      <c r="G223" t="s">
        <v>2866</v>
      </c>
      <c r="H223" t="s">
        <v>2867</v>
      </c>
    </row>
    <row r="224">
      <c r="A224">
        <v>34.0</v>
      </c>
      <c r="B224">
        <v>1001582.0</v>
      </c>
      <c r="C224" t="s">
        <v>2868</v>
      </c>
      <c r="D224">
        <v>1001582.0</v>
      </c>
      <c r="E224" t="s">
        <v>2129</v>
      </c>
      <c r="F224" t="s">
        <v>2869</v>
      </c>
      <c r="G224" t="s">
        <v>2870</v>
      </c>
      <c r="H224" t="s">
        <v>2871</v>
      </c>
    </row>
    <row r="225">
      <c r="A225">
        <v>34.0</v>
      </c>
      <c r="B225">
        <v>1002251.0</v>
      </c>
      <c r="C225" t="s">
        <v>2872</v>
      </c>
      <c r="D225">
        <v>1002251.0</v>
      </c>
      <c r="E225" t="s">
        <v>2129</v>
      </c>
      <c r="F225" t="s">
        <v>2873</v>
      </c>
      <c r="G225" t="s">
        <v>2874</v>
      </c>
      <c r="H225" t="s">
        <v>2875</v>
      </c>
    </row>
    <row r="226">
      <c r="A226">
        <v>34.0</v>
      </c>
      <c r="B226">
        <v>1003302.0</v>
      </c>
      <c r="C226" t="s">
        <v>2876</v>
      </c>
      <c r="D226">
        <v>1003302.0</v>
      </c>
      <c r="E226" t="s">
        <v>2129</v>
      </c>
      <c r="F226" t="s">
        <v>2877</v>
      </c>
      <c r="G226" t="s">
        <v>2878</v>
      </c>
      <c r="H226" t="s">
        <v>2879</v>
      </c>
    </row>
    <row r="227">
      <c r="A227">
        <v>34.0</v>
      </c>
      <c r="B227">
        <v>1004450.0</v>
      </c>
      <c r="C227" t="s">
        <v>2880</v>
      </c>
      <c r="D227">
        <v>1004450.0</v>
      </c>
      <c r="E227" t="s">
        <v>2129</v>
      </c>
      <c r="F227" t="s">
        <v>2881</v>
      </c>
      <c r="G227" t="s">
        <v>2882</v>
      </c>
      <c r="H227" t="s">
        <v>2883</v>
      </c>
    </row>
    <row r="228">
      <c r="A228">
        <v>34.0</v>
      </c>
      <c r="B228">
        <v>1004447.0</v>
      </c>
      <c r="C228" t="s">
        <v>2884</v>
      </c>
      <c r="D228">
        <v>1004447.0</v>
      </c>
      <c r="E228" t="s">
        <v>2129</v>
      </c>
      <c r="F228" t="s">
        <v>2885</v>
      </c>
      <c r="G228" t="s">
        <v>2886</v>
      </c>
      <c r="H228" t="s">
        <v>2887</v>
      </c>
    </row>
    <row r="229">
      <c r="A229">
        <v>34.0</v>
      </c>
      <c r="B229">
        <v>1004452.0</v>
      </c>
      <c r="C229" t="s">
        <v>2888</v>
      </c>
      <c r="D229">
        <v>1004452.0</v>
      </c>
      <c r="E229" t="s">
        <v>2129</v>
      </c>
      <c r="F229" t="s">
        <v>2889</v>
      </c>
      <c r="G229" t="s">
        <v>2890</v>
      </c>
      <c r="H229" t="s">
        <v>2891</v>
      </c>
    </row>
    <row r="230">
      <c r="A230">
        <v>34.0</v>
      </c>
      <c r="B230">
        <v>1004444.0</v>
      </c>
      <c r="C230" t="s">
        <v>2892</v>
      </c>
      <c r="D230">
        <v>1004444.0</v>
      </c>
      <c r="E230" t="s">
        <v>2129</v>
      </c>
      <c r="F230" t="s">
        <v>2893</v>
      </c>
      <c r="G230" t="s">
        <v>2894</v>
      </c>
      <c r="H230" t="s">
        <v>2895</v>
      </c>
    </row>
    <row r="232">
      <c r="A232">
        <v>35.0</v>
      </c>
      <c r="B232">
        <v>1002207.0</v>
      </c>
      <c r="C232" t="s">
        <v>2896</v>
      </c>
      <c r="D232">
        <v>1002207.0</v>
      </c>
      <c r="E232" t="s">
        <v>2129</v>
      </c>
      <c r="F232" t="s">
        <v>2897</v>
      </c>
      <c r="G232" t="s">
        <v>2898</v>
      </c>
      <c r="H232" t="s">
        <v>2899</v>
      </c>
    </row>
    <row r="233">
      <c r="A233">
        <v>35.0</v>
      </c>
      <c r="B233">
        <v>1003137.0</v>
      </c>
      <c r="C233" t="s">
        <v>2900</v>
      </c>
      <c r="D233">
        <v>1003137.0</v>
      </c>
      <c r="E233" t="s">
        <v>2129</v>
      </c>
      <c r="F233" t="s">
        <v>2901</v>
      </c>
      <c r="G233" t="s">
        <v>2902</v>
      </c>
      <c r="H233" t="s">
        <v>2903</v>
      </c>
    </row>
    <row r="234">
      <c r="A234">
        <v>35.0</v>
      </c>
      <c r="B234">
        <v>1003145.0</v>
      </c>
      <c r="C234" t="s">
        <v>2904</v>
      </c>
      <c r="D234">
        <v>1003145.0</v>
      </c>
      <c r="E234" t="s">
        <v>2129</v>
      </c>
      <c r="F234" t="s">
        <v>2905</v>
      </c>
      <c r="G234" t="s">
        <v>2906</v>
      </c>
      <c r="H234" t="s">
        <v>2907</v>
      </c>
    </row>
    <row r="235">
      <c r="A235">
        <v>35.0</v>
      </c>
      <c r="B235">
        <v>1003204.0</v>
      </c>
      <c r="C235" t="s">
        <v>2908</v>
      </c>
      <c r="D235">
        <v>1003204.0</v>
      </c>
      <c r="E235" t="s">
        <v>2129</v>
      </c>
      <c r="F235" t="s">
        <v>2909</v>
      </c>
      <c r="G235" t="s">
        <v>2910</v>
      </c>
      <c r="H235" t="s">
        <v>2911</v>
      </c>
    </row>
    <row r="236">
      <c r="A236">
        <v>35.0</v>
      </c>
      <c r="B236">
        <v>1004535.0</v>
      </c>
      <c r="C236" t="s">
        <v>2912</v>
      </c>
      <c r="D236">
        <v>1004535.0</v>
      </c>
      <c r="E236" t="s">
        <v>2129</v>
      </c>
      <c r="F236" t="s">
        <v>2913</v>
      </c>
      <c r="G236" t="s">
        <v>2914</v>
      </c>
      <c r="H236" t="s">
        <v>2915</v>
      </c>
    </row>
    <row r="237">
      <c r="A237">
        <v>35.0</v>
      </c>
      <c r="B237">
        <v>1004532.0</v>
      </c>
      <c r="C237" t="s">
        <v>2916</v>
      </c>
      <c r="D237">
        <v>1004532.0</v>
      </c>
      <c r="E237" t="s">
        <v>2129</v>
      </c>
      <c r="F237" t="s">
        <v>2917</v>
      </c>
      <c r="G237" t="s">
        <v>2918</v>
      </c>
      <c r="H237" t="s">
        <v>2919</v>
      </c>
    </row>
    <row r="238">
      <c r="A238">
        <v>35.0</v>
      </c>
      <c r="B238">
        <v>1004531.0</v>
      </c>
      <c r="C238" t="s">
        <v>2920</v>
      </c>
      <c r="D238">
        <v>1004531.0</v>
      </c>
      <c r="E238" t="s">
        <v>2129</v>
      </c>
      <c r="F238" t="s">
        <v>2921</v>
      </c>
      <c r="G238" t="s">
        <v>2922</v>
      </c>
      <c r="H238" t="s">
        <v>2923</v>
      </c>
    </row>
    <row r="239">
      <c r="A239">
        <v>35.0</v>
      </c>
      <c r="B239">
        <v>1004530.0</v>
      </c>
      <c r="C239" t="s">
        <v>2924</v>
      </c>
      <c r="D239">
        <v>1004530.0</v>
      </c>
      <c r="E239" t="s">
        <v>2129</v>
      </c>
      <c r="F239" t="s">
        <v>2925</v>
      </c>
      <c r="G239" t="s">
        <v>2926</v>
      </c>
      <c r="H239" t="s">
        <v>2927</v>
      </c>
    </row>
    <row r="240">
      <c r="A240">
        <v>35.0</v>
      </c>
      <c r="B240">
        <v>1004537.0</v>
      </c>
      <c r="C240" t="s">
        <v>2928</v>
      </c>
      <c r="D240">
        <v>1004537.0</v>
      </c>
      <c r="E240" t="s">
        <v>2129</v>
      </c>
      <c r="F240" t="s">
        <v>2929</v>
      </c>
      <c r="G240" t="s">
        <v>2930</v>
      </c>
      <c r="H240" t="s">
        <v>2931</v>
      </c>
    </row>
    <row r="241">
      <c r="A241">
        <v>35.0</v>
      </c>
      <c r="B241">
        <v>1004541.0</v>
      </c>
      <c r="C241" t="s">
        <v>2932</v>
      </c>
      <c r="D241">
        <v>1004541.0</v>
      </c>
      <c r="E241" t="s">
        <v>2129</v>
      </c>
      <c r="F241" t="s">
        <v>2933</v>
      </c>
      <c r="G241" t="s">
        <v>2934</v>
      </c>
      <c r="H241" t="s">
        <v>2935</v>
      </c>
    </row>
    <row r="242">
      <c r="A242">
        <v>35.0</v>
      </c>
      <c r="B242">
        <v>1004534.0</v>
      </c>
      <c r="C242" t="s">
        <v>2936</v>
      </c>
      <c r="D242">
        <v>1004534.0</v>
      </c>
      <c r="E242" t="s">
        <v>2129</v>
      </c>
      <c r="F242" t="s">
        <v>2937</v>
      </c>
      <c r="G242" t="s">
        <v>2938</v>
      </c>
      <c r="H242" t="s">
        <v>2939</v>
      </c>
    </row>
    <row r="243">
      <c r="A243">
        <v>35.0</v>
      </c>
      <c r="B243">
        <v>1004539.0</v>
      </c>
      <c r="C243" t="s">
        <v>2940</v>
      </c>
      <c r="D243">
        <v>1004539.0</v>
      </c>
      <c r="E243" t="s">
        <v>2134</v>
      </c>
      <c r="F243" t="s">
        <v>2941</v>
      </c>
      <c r="G243" t="s">
        <v>2942</v>
      </c>
      <c r="H243" t="s">
        <v>2943</v>
      </c>
    </row>
    <row r="244">
      <c r="A244">
        <v>35.0</v>
      </c>
      <c r="B244">
        <v>1004533.0</v>
      </c>
      <c r="C244" t="s">
        <v>2944</v>
      </c>
      <c r="D244">
        <v>1004533.0</v>
      </c>
      <c r="E244" t="s">
        <v>2129</v>
      </c>
      <c r="F244" t="s">
        <v>2945</v>
      </c>
      <c r="G244" t="s">
        <v>2946</v>
      </c>
      <c r="H244" t="s">
        <v>2947</v>
      </c>
    </row>
    <row r="245">
      <c r="A245">
        <v>35.0</v>
      </c>
      <c r="B245">
        <v>1004540.0</v>
      </c>
      <c r="C245" t="s">
        <v>2948</v>
      </c>
      <c r="D245">
        <v>1004540.0</v>
      </c>
      <c r="E245" t="s">
        <v>2129</v>
      </c>
      <c r="F245" t="s">
        <v>2949</v>
      </c>
      <c r="G245" t="s">
        <v>2950</v>
      </c>
      <c r="H245" t="s">
        <v>2951</v>
      </c>
    </row>
    <row r="246">
      <c r="A246">
        <v>35.0</v>
      </c>
      <c r="B246">
        <v>1004536.0</v>
      </c>
      <c r="C246" t="s">
        <v>2952</v>
      </c>
      <c r="D246">
        <v>1004536.0</v>
      </c>
      <c r="E246" t="s">
        <v>2134</v>
      </c>
      <c r="F246" t="s">
        <v>2953</v>
      </c>
      <c r="G246" t="s">
        <v>2954</v>
      </c>
      <c r="H246" t="s">
        <v>2955</v>
      </c>
    </row>
    <row r="247">
      <c r="A247">
        <v>35.0</v>
      </c>
      <c r="B247">
        <v>1004538.0</v>
      </c>
      <c r="C247" t="s">
        <v>2956</v>
      </c>
      <c r="D247">
        <v>1004538.0</v>
      </c>
      <c r="E247" t="s">
        <v>2129</v>
      </c>
      <c r="F247" t="s">
        <v>2957</v>
      </c>
      <c r="G247" t="s">
        <v>2958</v>
      </c>
      <c r="H247" t="s">
        <v>2959</v>
      </c>
    </row>
    <row r="249">
      <c r="A249">
        <v>36.0</v>
      </c>
      <c r="B249">
        <v>1001747.0</v>
      </c>
      <c r="C249" t="s">
        <v>2960</v>
      </c>
      <c r="D249">
        <v>1001747.0</v>
      </c>
      <c r="E249" t="s">
        <v>2129</v>
      </c>
      <c r="F249" t="s">
        <v>2961</v>
      </c>
      <c r="G249" t="s">
        <v>2962</v>
      </c>
      <c r="H249" t="s">
        <v>2963</v>
      </c>
    </row>
    <row r="250">
      <c r="A250">
        <v>36.0</v>
      </c>
      <c r="B250">
        <v>1003134.0</v>
      </c>
      <c r="C250" t="s">
        <v>2964</v>
      </c>
      <c r="D250">
        <v>1003134.0</v>
      </c>
      <c r="E250" t="s">
        <v>2129</v>
      </c>
      <c r="F250" t="s">
        <v>2965</v>
      </c>
      <c r="G250" t="s">
        <v>2966</v>
      </c>
      <c r="H250" t="s">
        <v>2967</v>
      </c>
    </row>
    <row r="251">
      <c r="A251">
        <v>36.0</v>
      </c>
      <c r="B251">
        <v>1003172.0</v>
      </c>
      <c r="C251" t="s">
        <v>2968</v>
      </c>
      <c r="D251">
        <v>1003172.0</v>
      </c>
      <c r="E251" t="s">
        <v>2129</v>
      </c>
      <c r="F251" t="s">
        <v>2969</v>
      </c>
      <c r="G251" t="s">
        <v>2970</v>
      </c>
      <c r="H251" t="s">
        <v>2971</v>
      </c>
    </row>
    <row r="252">
      <c r="A252">
        <v>36.0</v>
      </c>
      <c r="B252">
        <v>1003191.0</v>
      </c>
      <c r="C252" t="s">
        <v>2972</v>
      </c>
      <c r="D252">
        <v>1003191.0</v>
      </c>
      <c r="E252" t="s">
        <v>2129</v>
      </c>
      <c r="F252" t="s">
        <v>2973</v>
      </c>
      <c r="G252" t="s">
        <v>2974</v>
      </c>
      <c r="H252" t="s">
        <v>2975</v>
      </c>
    </row>
    <row r="253">
      <c r="A253">
        <v>36.0</v>
      </c>
      <c r="B253">
        <v>1004583.0</v>
      </c>
      <c r="C253" t="s">
        <v>2976</v>
      </c>
      <c r="D253">
        <v>1004583.0</v>
      </c>
      <c r="E253" t="s">
        <v>2129</v>
      </c>
      <c r="F253" t="s">
        <v>2977</v>
      </c>
      <c r="G253" t="s">
        <v>2978</v>
      </c>
      <c r="H253" t="s">
        <v>2979</v>
      </c>
    </row>
    <row r="254">
      <c r="A254">
        <v>36.0</v>
      </c>
      <c r="B254">
        <v>1004585.0</v>
      </c>
      <c r="C254" t="s">
        <v>2980</v>
      </c>
      <c r="D254">
        <v>1004585.0</v>
      </c>
      <c r="E254" t="s">
        <v>2129</v>
      </c>
      <c r="F254" t="s">
        <v>2981</v>
      </c>
      <c r="G254" t="s">
        <v>2982</v>
      </c>
      <c r="H254" t="s">
        <v>2983</v>
      </c>
    </row>
    <row r="255">
      <c r="A255">
        <v>36.0</v>
      </c>
      <c r="B255">
        <v>1004572.0</v>
      </c>
      <c r="C255" t="s">
        <v>2984</v>
      </c>
      <c r="D255">
        <v>1004572.0</v>
      </c>
      <c r="E255" t="s">
        <v>2129</v>
      </c>
      <c r="F255" t="s">
        <v>2537</v>
      </c>
      <c r="G255" t="s">
        <v>2985</v>
      </c>
      <c r="H255" t="s">
        <v>2986</v>
      </c>
    </row>
    <row r="256">
      <c r="A256">
        <v>36.0</v>
      </c>
      <c r="B256">
        <v>1004579.0</v>
      </c>
      <c r="C256" t="s">
        <v>2987</v>
      </c>
      <c r="D256">
        <v>1004579.0</v>
      </c>
      <c r="E256" t="s">
        <v>2129</v>
      </c>
      <c r="F256" t="s">
        <v>2988</v>
      </c>
      <c r="G256" t="s">
        <v>2989</v>
      </c>
      <c r="H256" t="s">
        <v>2990</v>
      </c>
    </row>
    <row r="257">
      <c r="A257">
        <v>36.0</v>
      </c>
      <c r="B257">
        <v>1004569.0</v>
      </c>
      <c r="C257" t="s">
        <v>2991</v>
      </c>
      <c r="D257">
        <v>1004569.0</v>
      </c>
      <c r="E257" t="s">
        <v>2129</v>
      </c>
      <c r="F257" t="s">
        <v>2992</v>
      </c>
      <c r="G257" t="s">
        <v>2993</v>
      </c>
      <c r="H257" t="s">
        <v>2994</v>
      </c>
    </row>
    <row r="259">
      <c r="A259">
        <v>37.0</v>
      </c>
      <c r="B259">
        <v>1004755.0</v>
      </c>
      <c r="C259" t="s">
        <v>2995</v>
      </c>
      <c r="D259">
        <v>1004755.0</v>
      </c>
      <c r="E259" t="s">
        <v>2129</v>
      </c>
      <c r="F259" t="s">
        <v>2996</v>
      </c>
      <c r="G259" t="s">
        <v>2997</v>
      </c>
      <c r="H259" t="s">
        <v>2998</v>
      </c>
    </row>
    <row r="260">
      <c r="A260">
        <v>37.0</v>
      </c>
      <c r="B260">
        <v>1004751.0</v>
      </c>
      <c r="C260" t="s">
        <v>2999</v>
      </c>
      <c r="D260">
        <v>1004751.0</v>
      </c>
      <c r="E260" t="s">
        <v>2129</v>
      </c>
      <c r="F260" t="s">
        <v>3000</v>
      </c>
      <c r="G260" t="s">
        <v>3001</v>
      </c>
      <c r="H260" t="s">
        <v>3002</v>
      </c>
    </row>
    <row r="261">
      <c r="A261">
        <v>37.0</v>
      </c>
      <c r="B261">
        <v>1004764.0</v>
      </c>
      <c r="C261" t="s">
        <v>3003</v>
      </c>
      <c r="D261">
        <v>1004764.0</v>
      </c>
      <c r="E261" t="s">
        <v>2129</v>
      </c>
      <c r="F261" t="s">
        <v>3004</v>
      </c>
      <c r="G261" t="s">
        <v>3005</v>
      </c>
      <c r="H261" t="s">
        <v>3006</v>
      </c>
    </row>
    <row r="262">
      <c r="A262">
        <v>37.0</v>
      </c>
      <c r="B262">
        <v>1004766.0</v>
      </c>
      <c r="C262" t="s">
        <v>3007</v>
      </c>
      <c r="D262">
        <v>1004766.0</v>
      </c>
      <c r="E262" t="s">
        <v>2129</v>
      </c>
      <c r="F262" t="s">
        <v>3008</v>
      </c>
      <c r="G262" t="s">
        <v>3009</v>
      </c>
      <c r="H262" t="s">
        <v>3010</v>
      </c>
    </row>
    <row r="263">
      <c r="A263">
        <v>37.0</v>
      </c>
      <c r="B263">
        <v>1004757.0</v>
      </c>
      <c r="C263" t="s">
        <v>3011</v>
      </c>
      <c r="D263">
        <v>1004757.0</v>
      </c>
      <c r="E263" t="s">
        <v>2129</v>
      </c>
      <c r="F263" t="s">
        <v>3012</v>
      </c>
      <c r="G263" t="s">
        <v>3013</v>
      </c>
      <c r="H263" t="s">
        <v>3014</v>
      </c>
    </row>
    <row r="264">
      <c r="A264">
        <v>37.0</v>
      </c>
      <c r="B264">
        <v>1004765.0</v>
      </c>
      <c r="C264" t="s">
        <v>3015</v>
      </c>
      <c r="D264">
        <v>1004765.0</v>
      </c>
      <c r="E264" t="s">
        <v>2129</v>
      </c>
      <c r="F264" t="s">
        <v>3016</v>
      </c>
      <c r="G264" t="s">
        <v>3017</v>
      </c>
      <c r="H264" t="s">
        <v>3018</v>
      </c>
    </row>
    <row r="265">
      <c r="A265">
        <v>37.0</v>
      </c>
      <c r="B265">
        <v>1004767.0</v>
      </c>
      <c r="C265" t="s">
        <v>3019</v>
      </c>
      <c r="D265">
        <v>1004767.0</v>
      </c>
      <c r="E265" t="s">
        <v>2129</v>
      </c>
      <c r="F265" t="s">
        <v>3020</v>
      </c>
      <c r="G265" t="s">
        <v>3021</v>
      </c>
      <c r="H265" t="s">
        <v>3022</v>
      </c>
    </row>
    <row r="266">
      <c r="A266">
        <v>37.0</v>
      </c>
      <c r="B266">
        <v>1004745.0</v>
      </c>
      <c r="C266" t="s">
        <v>3023</v>
      </c>
      <c r="D266">
        <v>1004745.0</v>
      </c>
      <c r="E266" t="s">
        <v>2129</v>
      </c>
      <c r="F266" t="s">
        <v>3024</v>
      </c>
      <c r="G266" t="s">
        <v>3025</v>
      </c>
      <c r="H266" t="s">
        <v>3026</v>
      </c>
    </row>
    <row r="267">
      <c r="A267">
        <v>37.0</v>
      </c>
      <c r="B267">
        <v>1004762.0</v>
      </c>
      <c r="C267" t="s">
        <v>3027</v>
      </c>
      <c r="D267">
        <v>1004762.0</v>
      </c>
      <c r="E267" t="s">
        <v>2129</v>
      </c>
      <c r="F267" t="s">
        <v>3028</v>
      </c>
      <c r="G267" t="s">
        <v>3029</v>
      </c>
      <c r="H267" t="s">
        <v>3030</v>
      </c>
    </row>
    <row r="268">
      <c r="A268">
        <v>37.0</v>
      </c>
      <c r="B268">
        <v>1004744.0</v>
      </c>
      <c r="C268" t="s">
        <v>3031</v>
      </c>
      <c r="D268">
        <v>1004744.0</v>
      </c>
      <c r="E268" t="s">
        <v>2129</v>
      </c>
      <c r="F268" t="s">
        <v>3032</v>
      </c>
      <c r="G268" t="s">
        <v>3033</v>
      </c>
      <c r="H268" t="s">
        <v>3034</v>
      </c>
    </row>
    <row r="269">
      <c r="A269">
        <v>37.0</v>
      </c>
      <c r="B269">
        <v>1004750.0</v>
      </c>
      <c r="C269" t="s">
        <v>3035</v>
      </c>
      <c r="D269">
        <v>1004750.0</v>
      </c>
      <c r="E269" t="s">
        <v>2129</v>
      </c>
      <c r="F269" t="s">
        <v>3036</v>
      </c>
      <c r="G269" t="s">
        <v>3037</v>
      </c>
      <c r="H269" t="s">
        <v>3038</v>
      </c>
    </row>
    <row r="270">
      <c r="A270">
        <v>37.0</v>
      </c>
      <c r="B270">
        <v>1004748.0</v>
      </c>
      <c r="C270" t="s">
        <v>3039</v>
      </c>
      <c r="D270">
        <v>1004748.0</v>
      </c>
      <c r="E270" t="s">
        <v>2129</v>
      </c>
      <c r="F270" t="s">
        <v>3040</v>
      </c>
      <c r="G270" t="s">
        <v>3041</v>
      </c>
      <c r="H270" t="s">
        <v>3042</v>
      </c>
    </row>
    <row r="271">
      <c r="A271">
        <v>37.0</v>
      </c>
      <c r="B271">
        <v>1004754.0</v>
      </c>
      <c r="C271" t="s">
        <v>3043</v>
      </c>
      <c r="D271">
        <v>1004754.0</v>
      </c>
      <c r="E271" t="s">
        <v>2129</v>
      </c>
      <c r="F271" t="s">
        <v>3044</v>
      </c>
      <c r="G271" t="s">
        <v>3045</v>
      </c>
      <c r="H271" t="s">
        <v>3046</v>
      </c>
    </row>
    <row r="273">
      <c r="A273">
        <v>38.0</v>
      </c>
      <c r="B273">
        <v>1004861.0</v>
      </c>
      <c r="C273" t="s">
        <v>3047</v>
      </c>
      <c r="D273">
        <v>1004861.0</v>
      </c>
      <c r="E273" t="s">
        <v>2129</v>
      </c>
      <c r="F273" t="s">
        <v>3048</v>
      </c>
      <c r="G273" t="s">
        <v>3049</v>
      </c>
      <c r="H273" t="s">
        <v>3050</v>
      </c>
    </row>
    <row r="274">
      <c r="A274">
        <v>38.0</v>
      </c>
      <c r="B274">
        <v>1004850.0</v>
      </c>
      <c r="C274" t="s">
        <v>3051</v>
      </c>
      <c r="D274">
        <v>1004850.0</v>
      </c>
      <c r="E274" t="s">
        <v>2129</v>
      </c>
      <c r="F274" t="s">
        <v>3052</v>
      </c>
      <c r="G274" t="s">
        <v>3053</v>
      </c>
      <c r="H274" t="s">
        <v>3054</v>
      </c>
    </row>
    <row r="275">
      <c r="A275">
        <v>38.0</v>
      </c>
      <c r="B275">
        <v>1004851.0</v>
      </c>
      <c r="C275" t="s">
        <v>3055</v>
      </c>
      <c r="D275">
        <v>1004851.0</v>
      </c>
      <c r="E275" t="s">
        <v>2134</v>
      </c>
      <c r="F275" t="s">
        <v>3056</v>
      </c>
      <c r="G275" t="s">
        <v>3057</v>
      </c>
      <c r="H275" t="s">
        <v>3058</v>
      </c>
    </row>
    <row r="276">
      <c r="A276">
        <v>38.0</v>
      </c>
      <c r="B276">
        <v>1004855.0</v>
      </c>
      <c r="C276" t="s">
        <v>3059</v>
      </c>
      <c r="D276">
        <v>1004855.0</v>
      </c>
      <c r="E276" t="s">
        <v>2134</v>
      </c>
      <c r="F276" t="s">
        <v>3060</v>
      </c>
      <c r="G276" t="s">
        <v>3061</v>
      </c>
      <c r="H276" t="s">
        <v>3062</v>
      </c>
    </row>
    <row r="277">
      <c r="A277">
        <v>38.0</v>
      </c>
      <c r="B277">
        <v>1004839.0</v>
      </c>
      <c r="C277" t="s">
        <v>3063</v>
      </c>
      <c r="D277">
        <v>1004839.0</v>
      </c>
      <c r="E277" t="s">
        <v>2129</v>
      </c>
      <c r="F277" t="s">
        <v>3064</v>
      </c>
      <c r="G277" t="s">
        <v>3065</v>
      </c>
      <c r="H277" t="s">
        <v>3066</v>
      </c>
    </row>
    <row r="278">
      <c r="A278">
        <v>38.0</v>
      </c>
      <c r="B278">
        <v>1004863.0</v>
      </c>
      <c r="C278" t="s">
        <v>3067</v>
      </c>
      <c r="D278">
        <v>1004863.0</v>
      </c>
      <c r="E278" t="s">
        <v>2129</v>
      </c>
      <c r="F278" t="s">
        <v>2271</v>
      </c>
      <c r="G278" t="s">
        <v>3068</v>
      </c>
      <c r="H278" t="s">
        <v>3069</v>
      </c>
    </row>
    <row r="279">
      <c r="A279">
        <v>38.0</v>
      </c>
      <c r="B279">
        <v>1004857.0</v>
      </c>
      <c r="C279" t="s">
        <v>3070</v>
      </c>
      <c r="D279">
        <v>1004857.0</v>
      </c>
      <c r="E279" t="s">
        <v>2129</v>
      </c>
      <c r="F279" t="s">
        <v>3071</v>
      </c>
      <c r="G279" t="s">
        <v>3072</v>
      </c>
      <c r="H279" t="s">
        <v>3073</v>
      </c>
    </row>
    <row r="280">
      <c r="A280">
        <v>38.0</v>
      </c>
      <c r="B280">
        <v>1004860.0</v>
      </c>
      <c r="C280" t="s">
        <v>3074</v>
      </c>
      <c r="D280">
        <v>1004860.0</v>
      </c>
      <c r="E280" t="s">
        <v>2129</v>
      </c>
      <c r="F280" t="s">
        <v>3075</v>
      </c>
      <c r="G280" t="s">
        <v>3076</v>
      </c>
      <c r="H280" t="s">
        <v>3077</v>
      </c>
    </row>
    <row r="281">
      <c r="A281">
        <v>38.0</v>
      </c>
      <c r="B281">
        <v>1004858.0</v>
      </c>
      <c r="C281" t="s">
        <v>3078</v>
      </c>
      <c r="D281">
        <v>1004858.0</v>
      </c>
      <c r="E281" t="s">
        <v>2129</v>
      </c>
      <c r="F281" t="s">
        <v>3079</v>
      </c>
      <c r="G281" t="s">
        <v>3080</v>
      </c>
      <c r="H281" t="s">
        <v>3081</v>
      </c>
    </row>
    <row r="283">
      <c r="A283">
        <v>39.0</v>
      </c>
      <c r="B283">
        <v>1000486.0</v>
      </c>
      <c r="C283" t="s">
        <v>3082</v>
      </c>
      <c r="D283">
        <v>1000486.0</v>
      </c>
      <c r="E283" t="s">
        <v>2129</v>
      </c>
      <c r="F283" t="s">
        <v>3083</v>
      </c>
      <c r="G283" t="s">
        <v>3084</v>
      </c>
      <c r="H283" t="s">
        <v>3085</v>
      </c>
    </row>
    <row r="284">
      <c r="A284">
        <v>39.0</v>
      </c>
      <c r="B284">
        <v>1003340.0</v>
      </c>
      <c r="C284" t="s">
        <v>3086</v>
      </c>
      <c r="D284">
        <v>1003340.0</v>
      </c>
      <c r="E284" t="s">
        <v>2129</v>
      </c>
      <c r="F284" t="s">
        <v>3087</v>
      </c>
      <c r="G284" t="s">
        <v>3088</v>
      </c>
      <c r="H284" t="s">
        <v>3089</v>
      </c>
    </row>
    <row r="285">
      <c r="A285">
        <v>39.0</v>
      </c>
      <c r="B285">
        <v>1004047.0</v>
      </c>
      <c r="C285" t="s">
        <v>3090</v>
      </c>
      <c r="D285">
        <v>1004047.0</v>
      </c>
      <c r="E285" t="s">
        <v>2129</v>
      </c>
      <c r="F285" t="s">
        <v>3091</v>
      </c>
      <c r="G285" t="s">
        <v>3092</v>
      </c>
      <c r="H285" t="s">
        <v>3093</v>
      </c>
    </row>
    <row r="286">
      <c r="A286">
        <v>39.0</v>
      </c>
      <c r="B286">
        <v>1005283.0</v>
      </c>
      <c r="C286" t="s">
        <v>3094</v>
      </c>
      <c r="D286">
        <v>1005283.0</v>
      </c>
      <c r="E286" t="s">
        <v>2129</v>
      </c>
      <c r="F286" t="s">
        <v>3095</v>
      </c>
      <c r="G286" t="s">
        <v>3096</v>
      </c>
      <c r="H286" t="s">
        <v>3097</v>
      </c>
    </row>
    <row r="287">
      <c r="A287">
        <v>39.0</v>
      </c>
      <c r="B287">
        <v>1005289.0</v>
      </c>
      <c r="C287" t="s">
        <v>3098</v>
      </c>
      <c r="D287">
        <v>1005289.0</v>
      </c>
      <c r="E287" t="s">
        <v>2129</v>
      </c>
      <c r="F287" t="s">
        <v>3099</v>
      </c>
      <c r="G287" t="s">
        <v>3100</v>
      </c>
      <c r="H287" t="s">
        <v>3101</v>
      </c>
    </row>
    <row r="288">
      <c r="A288">
        <v>39.0</v>
      </c>
      <c r="B288">
        <v>1005280.0</v>
      </c>
      <c r="C288" t="s">
        <v>3102</v>
      </c>
      <c r="D288">
        <v>1005280.0</v>
      </c>
      <c r="E288" t="s">
        <v>2129</v>
      </c>
      <c r="F288" t="s">
        <v>3103</v>
      </c>
      <c r="G288" t="s">
        <v>3104</v>
      </c>
      <c r="H288" t="s">
        <v>3105</v>
      </c>
    </row>
    <row r="289">
      <c r="A289">
        <v>39.0</v>
      </c>
      <c r="B289">
        <v>1005281.0</v>
      </c>
      <c r="C289" t="s">
        <v>3106</v>
      </c>
      <c r="D289">
        <v>1005281.0</v>
      </c>
      <c r="E289" t="s">
        <v>2129</v>
      </c>
      <c r="F289" t="s">
        <v>3107</v>
      </c>
      <c r="G289" t="s">
        <v>3108</v>
      </c>
      <c r="H289" t="s">
        <v>3109</v>
      </c>
    </row>
    <row r="290">
      <c r="A290">
        <v>39.0</v>
      </c>
      <c r="B290">
        <v>1005285.0</v>
      </c>
      <c r="C290" t="s">
        <v>3110</v>
      </c>
      <c r="D290">
        <v>1005285.0</v>
      </c>
      <c r="E290" t="s">
        <v>2129</v>
      </c>
      <c r="F290" t="s">
        <v>3111</v>
      </c>
      <c r="G290" t="s">
        <v>3112</v>
      </c>
      <c r="H290" t="s">
        <v>3113</v>
      </c>
    </row>
    <row r="291">
      <c r="A291">
        <v>39.0</v>
      </c>
      <c r="B291">
        <v>1005287.0</v>
      </c>
      <c r="C291" t="s">
        <v>3114</v>
      </c>
      <c r="D291">
        <v>1005287.0</v>
      </c>
      <c r="E291" t="s">
        <v>2129</v>
      </c>
      <c r="F291" t="s">
        <v>3115</v>
      </c>
      <c r="G291" t="s">
        <v>3116</v>
      </c>
      <c r="H291" t="s">
        <v>3117</v>
      </c>
    </row>
    <row r="292">
      <c r="A292">
        <v>39.0</v>
      </c>
      <c r="B292">
        <v>1005286.0</v>
      </c>
      <c r="C292" t="s">
        <v>3118</v>
      </c>
      <c r="D292">
        <v>1005286.0</v>
      </c>
      <c r="E292" t="s">
        <v>2129</v>
      </c>
      <c r="F292" t="s">
        <v>3119</v>
      </c>
      <c r="G292" t="s">
        <v>3120</v>
      </c>
      <c r="H292" t="s">
        <v>3121</v>
      </c>
    </row>
    <row r="293">
      <c r="A293">
        <v>39.0</v>
      </c>
      <c r="B293">
        <v>1005284.0</v>
      </c>
      <c r="C293" t="s">
        <v>3122</v>
      </c>
      <c r="D293">
        <v>1005284.0</v>
      </c>
      <c r="E293" t="s">
        <v>2129</v>
      </c>
      <c r="F293" t="s">
        <v>3123</v>
      </c>
      <c r="G293" t="s">
        <v>3124</v>
      </c>
      <c r="H293" t="s">
        <v>3125</v>
      </c>
    </row>
    <row r="294">
      <c r="A294">
        <v>39.0</v>
      </c>
      <c r="B294">
        <v>1005278.0</v>
      </c>
      <c r="C294" t="s">
        <v>3126</v>
      </c>
      <c r="D294">
        <v>1005278.0</v>
      </c>
      <c r="E294" t="s">
        <v>2129</v>
      </c>
      <c r="F294" t="s">
        <v>3127</v>
      </c>
      <c r="G294" t="s">
        <v>3128</v>
      </c>
      <c r="H294" t="s">
        <v>3129</v>
      </c>
    </row>
    <row r="295">
      <c r="A295">
        <v>39.0</v>
      </c>
      <c r="B295">
        <v>1005288.0</v>
      </c>
      <c r="C295" t="s">
        <v>3130</v>
      </c>
      <c r="D295">
        <v>1005288.0</v>
      </c>
      <c r="E295" t="s">
        <v>2129</v>
      </c>
      <c r="F295" t="s">
        <v>3131</v>
      </c>
      <c r="G295" t="s">
        <v>3132</v>
      </c>
      <c r="H295" t="s">
        <v>3133</v>
      </c>
    </row>
    <row r="297">
      <c r="A297">
        <v>40.0</v>
      </c>
      <c r="B297">
        <v>1001162.0</v>
      </c>
      <c r="C297" t="s">
        <v>3134</v>
      </c>
      <c r="D297">
        <v>1001162.0</v>
      </c>
      <c r="E297" t="s">
        <v>2129</v>
      </c>
      <c r="F297" t="s">
        <v>3135</v>
      </c>
      <c r="G297" t="s">
        <v>3136</v>
      </c>
      <c r="H297" t="s">
        <v>3137</v>
      </c>
    </row>
    <row r="298">
      <c r="A298">
        <v>40.0</v>
      </c>
      <c r="B298">
        <v>1001787.0</v>
      </c>
      <c r="C298" t="s">
        <v>3138</v>
      </c>
      <c r="D298">
        <v>1001787.0</v>
      </c>
      <c r="E298" t="s">
        <v>2129</v>
      </c>
      <c r="F298" t="s">
        <v>3139</v>
      </c>
      <c r="G298" t="s">
        <v>3140</v>
      </c>
      <c r="H298" t="s">
        <v>3141</v>
      </c>
    </row>
    <row r="299">
      <c r="A299">
        <v>40.0</v>
      </c>
      <c r="B299">
        <v>1002729.0</v>
      </c>
      <c r="C299" t="s">
        <v>3142</v>
      </c>
      <c r="D299">
        <v>1002729.0</v>
      </c>
      <c r="E299" t="s">
        <v>2134</v>
      </c>
      <c r="F299" t="s">
        <v>3143</v>
      </c>
      <c r="G299" t="s">
        <v>3144</v>
      </c>
      <c r="H299" t="s">
        <v>3145</v>
      </c>
    </row>
    <row r="300">
      <c r="A300">
        <v>40.0</v>
      </c>
      <c r="B300">
        <v>1005307.0</v>
      </c>
      <c r="C300" t="s">
        <v>3146</v>
      </c>
      <c r="D300">
        <v>1005307.0</v>
      </c>
      <c r="E300" t="s">
        <v>2129</v>
      </c>
      <c r="F300" t="s">
        <v>3147</v>
      </c>
      <c r="G300" t="s">
        <v>3148</v>
      </c>
      <c r="H300" t="s">
        <v>3149</v>
      </c>
    </row>
    <row r="301">
      <c r="A301">
        <v>40.0</v>
      </c>
      <c r="B301">
        <v>1005304.0</v>
      </c>
      <c r="C301" t="s">
        <v>3150</v>
      </c>
      <c r="D301">
        <v>1005304.0</v>
      </c>
      <c r="E301" t="s">
        <v>2134</v>
      </c>
      <c r="F301" t="s">
        <v>3151</v>
      </c>
      <c r="G301" t="s">
        <v>3152</v>
      </c>
      <c r="H301" t="s">
        <v>3153</v>
      </c>
    </row>
    <row r="302">
      <c r="A302">
        <v>40.0</v>
      </c>
      <c r="B302">
        <v>1005302.0</v>
      </c>
      <c r="C302" t="s">
        <v>3154</v>
      </c>
      <c r="D302">
        <v>1005302.0</v>
      </c>
      <c r="E302" t="s">
        <v>2129</v>
      </c>
      <c r="F302" t="s">
        <v>3155</v>
      </c>
      <c r="G302" t="s">
        <v>3156</v>
      </c>
      <c r="H302" t="s">
        <v>3157</v>
      </c>
    </row>
    <row r="303">
      <c r="A303">
        <v>40.0</v>
      </c>
      <c r="B303">
        <v>1005296.0</v>
      </c>
      <c r="C303" t="s">
        <v>3158</v>
      </c>
      <c r="D303">
        <v>1005296.0</v>
      </c>
      <c r="E303" t="s">
        <v>2134</v>
      </c>
      <c r="F303" t="s">
        <v>3159</v>
      </c>
      <c r="G303" t="s">
        <v>3160</v>
      </c>
      <c r="H303" t="s">
        <v>3161</v>
      </c>
    </row>
    <row r="304">
      <c r="A304">
        <v>40.0</v>
      </c>
      <c r="B304">
        <v>1005291.0</v>
      </c>
      <c r="C304" t="s">
        <v>3162</v>
      </c>
      <c r="D304">
        <v>1005291.0</v>
      </c>
      <c r="E304" t="s">
        <v>2129</v>
      </c>
      <c r="F304" t="s">
        <v>3163</v>
      </c>
      <c r="G304" t="s">
        <v>3164</v>
      </c>
      <c r="H304" t="s">
        <v>3165</v>
      </c>
    </row>
    <row r="305">
      <c r="A305">
        <v>40.0</v>
      </c>
      <c r="B305">
        <v>1005303.0</v>
      </c>
      <c r="C305" t="s">
        <v>3166</v>
      </c>
      <c r="D305">
        <v>1005303.0</v>
      </c>
      <c r="E305" t="s">
        <v>2129</v>
      </c>
      <c r="F305" t="s">
        <v>3167</v>
      </c>
      <c r="G305" t="s">
        <v>3168</v>
      </c>
      <c r="H305" t="s">
        <v>3169</v>
      </c>
    </row>
    <row r="306">
      <c r="A306">
        <v>40.0</v>
      </c>
      <c r="B306">
        <v>1005290.0</v>
      </c>
      <c r="C306" t="s">
        <v>3170</v>
      </c>
      <c r="D306">
        <v>1005290.0</v>
      </c>
      <c r="E306" t="s">
        <v>2134</v>
      </c>
      <c r="F306" t="s">
        <v>3171</v>
      </c>
      <c r="G306" t="s">
        <v>3172</v>
      </c>
      <c r="H306" t="s">
        <v>3173</v>
      </c>
    </row>
    <row r="307">
      <c r="A307">
        <v>40.0</v>
      </c>
      <c r="B307">
        <v>1005297.0</v>
      </c>
      <c r="C307" t="s">
        <v>3174</v>
      </c>
      <c r="D307">
        <v>1005297.0</v>
      </c>
      <c r="E307" t="s">
        <v>2129</v>
      </c>
      <c r="F307" t="s">
        <v>3175</v>
      </c>
      <c r="G307" t="s">
        <v>3176</v>
      </c>
      <c r="H307" t="s">
        <v>3177</v>
      </c>
    </row>
    <row r="308">
      <c r="A308">
        <v>40.0</v>
      </c>
      <c r="B308">
        <v>1005301.0</v>
      </c>
      <c r="C308" t="s">
        <v>3178</v>
      </c>
      <c r="D308">
        <v>1005301.0</v>
      </c>
      <c r="E308" t="s">
        <v>2129</v>
      </c>
      <c r="F308" t="s">
        <v>3179</v>
      </c>
      <c r="G308" t="s">
        <v>3180</v>
      </c>
      <c r="H308" t="s">
        <v>3181</v>
      </c>
    </row>
    <row r="309">
      <c r="A309">
        <v>40.0</v>
      </c>
      <c r="B309">
        <v>1005299.0</v>
      </c>
      <c r="C309" t="s">
        <v>3182</v>
      </c>
      <c r="D309">
        <v>1005299.0</v>
      </c>
      <c r="E309" t="s">
        <v>2129</v>
      </c>
      <c r="F309" t="s">
        <v>3183</v>
      </c>
      <c r="G309" t="s">
        <v>3184</v>
      </c>
      <c r="H309" t="s">
        <v>3185</v>
      </c>
    </row>
    <row r="310">
      <c r="A310">
        <v>40.0</v>
      </c>
      <c r="B310">
        <v>1005308.0</v>
      </c>
      <c r="C310" t="s">
        <v>3186</v>
      </c>
      <c r="D310">
        <v>1005308.0</v>
      </c>
      <c r="E310" t="s">
        <v>2198</v>
      </c>
      <c r="F310" t="s">
        <v>3187</v>
      </c>
      <c r="G310" t="s">
        <v>3188</v>
      </c>
      <c r="H310" t="s">
        <v>3189</v>
      </c>
    </row>
    <row r="311">
      <c r="A311">
        <v>40.0</v>
      </c>
      <c r="B311">
        <v>1005306.0</v>
      </c>
      <c r="C311" t="s">
        <v>3190</v>
      </c>
      <c r="D311">
        <v>1005306.0</v>
      </c>
      <c r="E311" t="s">
        <v>2129</v>
      </c>
      <c r="F311" t="s">
        <v>2271</v>
      </c>
      <c r="G311" t="s">
        <v>3191</v>
      </c>
      <c r="H311" t="s">
        <v>3192</v>
      </c>
    </row>
    <row r="313">
      <c r="A313">
        <v>41.0</v>
      </c>
      <c r="B313">
        <v>1000732.0</v>
      </c>
      <c r="C313" t="s">
        <v>3193</v>
      </c>
      <c r="D313">
        <v>1000732.0</v>
      </c>
      <c r="E313" t="s">
        <v>2134</v>
      </c>
      <c r="F313" t="s">
        <v>3194</v>
      </c>
      <c r="G313" t="s">
        <v>3195</v>
      </c>
      <c r="H313" t="s">
        <v>3196</v>
      </c>
    </row>
    <row r="314">
      <c r="A314">
        <v>41.0</v>
      </c>
      <c r="B314">
        <v>1001216.0</v>
      </c>
      <c r="C314" t="s">
        <v>3197</v>
      </c>
      <c r="D314">
        <v>1001216.0</v>
      </c>
      <c r="E314" t="s">
        <v>2129</v>
      </c>
      <c r="F314" t="s">
        <v>3198</v>
      </c>
      <c r="G314" t="s">
        <v>3199</v>
      </c>
      <c r="H314" t="s">
        <v>3200</v>
      </c>
    </row>
    <row r="315">
      <c r="A315">
        <v>41.0</v>
      </c>
      <c r="B315">
        <v>1001139.0</v>
      </c>
      <c r="C315" t="s">
        <v>3201</v>
      </c>
      <c r="D315">
        <v>1001139.0</v>
      </c>
      <c r="E315" t="s">
        <v>2129</v>
      </c>
      <c r="F315" t="s">
        <v>3202</v>
      </c>
      <c r="G315" t="s">
        <v>3203</v>
      </c>
      <c r="H315" t="s">
        <v>3204</v>
      </c>
    </row>
    <row r="316">
      <c r="A316">
        <v>41.0</v>
      </c>
      <c r="B316">
        <v>1001837.0</v>
      </c>
      <c r="C316" t="s">
        <v>3205</v>
      </c>
      <c r="D316">
        <v>1001837.0</v>
      </c>
      <c r="E316" t="s">
        <v>2129</v>
      </c>
      <c r="F316" t="s">
        <v>3206</v>
      </c>
      <c r="G316" t="s">
        <v>3207</v>
      </c>
      <c r="H316" t="s">
        <v>3208</v>
      </c>
    </row>
    <row r="317">
      <c r="A317">
        <v>41.0</v>
      </c>
      <c r="B317">
        <v>1001992.0</v>
      </c>
      <c r="C317" t="s">
        <v>3209</v>
      </c>
      <c r="D317">
        <v>1001992.0</v>
      </c>
      <c r="E317" t="s">
        <v>2129</v>
      </c>
      <c r="F317" t="s">
        <v>3210</v>
      </c>
      <c r="G317" t="s">
        <v>3211</v>
      </c>
      <c r="H317" t="s">
        <v>3212</v>
      </c>
    </row>
    <row r="318">
      <c r="A318">
        <v>41.0</v>
      </c>
      <c r="B318">
        <v>1002478.0</v>
      </c>
      <c r="C318" t="s">
        <v>3213</v>
      </c>
      <c r="D318">
        <v>1002478.0</v>
      </c>
      <c r="E318" t="s">
        <v>2129</v>
      </c>
      <c r="F318" t="s">
        <v>3214</v>
      </c>
      <c r="G318" t="s">
        <v>3215</v>
      </c>
      <c r="H318" t="s">
        <v>3216</v>
      </c>
    </row>
    <row r="319">
      <c r="A319">
        <v>41.0</v>
      </c>
      <c r="B319">
        <v>1003909.0</v>
      </c>
      <c r="C319" t="s">
        <v>3217</v>
      </c>
      <c r="D319">
        <v>1003909.0</v>
      </c>
      <c r="E319" t="s">
        <v>2129</v>
      </c>
      <c r="F319" t="s">
        <v>3218</v>
      </c>
      <c r="G319" t="s">
        <v>3219</v>
      </c>
      <c r="H319" t="s">
        <v>3220</v>
      </c>
    </row>
    <row r="320">
      <c r="A320">
        <v>41.0</v>
      </c>
      <c r="B320">
        <v>1005431.0</v>
      </c>
      <c r="C320" t="s">
        <v>3221</v>
      </c>
      <c r="D320">
        <v>1005431.0</v>
      </c>
      <c r="E320" t="s">
        <v>2129</v>
      </c>
      <c r="F320" t="s">
        <v>3222</v>
      </c>
      <c r="G320" t="s">
        <v>3223</v>
      </c>
      <c r="H320" t="s">
        <v>3224</v>
      </c>
    </row>
    <row r="321">
      <c r="A321">
        <v>41.0</v>
      </c>
      <c r="B321">
        <v>1005444.0</v>
      </c>
      <c r="C321" t="s">
        <v>3225</v>
      </c>
      <c r="D321">
        <v>1005444.0</v>
      </c>
      <c r="E321" t="s">
        <v>2129</v>
      </c>
      <c r="F321" t="s">
        <v>3226</v>
      </c>
      <c r="G321" t="s">
        <v>3227</v>
      </c>
      <c r="H321" t="s">
        <v>3228</v>
      </c>
    </row>
    <row r="322">
      <c r="A322">
        <v>41.0</v>
      </c>
      <c r="B322">
        <v>1005440.0</v>
      </c>
      <c r="C322" t="s">
        <v>3229</v>
      </c>
      <c r="D322">
        <v>1005440.0</v>
      </c>
      <c r="E322" t="s">
        <v>2129</v>
      </c>
      <c r="F322" t="s">
        <v>3230</v>
      </c>
      <c r="G322" t="s">
        <v>3231</v>
      </c>
      <c r="H322" t="s">
        <v>3232</v>
      </c>
    </row>
    <row r="323">
      <c r="A323">
        <v>41.0</v>
      </c>
      <c r="B323">
        <v>1005435.0</v>
      </c>
      <c r="C323" t="s">
        <v>3233</v>
      </c>
      <c r="D323">
        <v>1005435.0</v>
      </c>
      <c r="E323" t="s">
        <v>2129</v>
      </c>
      <c r="F323" t="s">
        <v>3234</v>
      </c>
      <c r="G323" t="s">
        <v>3235</v>
      </c>
      <c r="H323" t="s">
        <v>3236</v>
      </c>
    </row>
    <row r="324">
      <c r="A324">
        <v>41.0</v>
      </c>
      <c r="B324">
        <v>1005449.0</v>
      </c>
      <c r="C324" t="s">
        <v>3237</v>
      </c>
      <c r="D324">
        <v>1005449.0</v>
      </c>
      <c r="E324" t="s">
        <v>2134</v>
      </c>
      <c r="F324" t="s">
        <v>3238</v>
      </c>
      <c r="G324" t="s">
        <v>3239</v>
      </c>
      <c r="H324" t="s">
        <v>3240</v>
      </c>
    </row>
    <row r="325">
      <c r="A325">
        <v>41.0</v>
      </c>
      <c r="B325">
        <v>1005428.0</v>
      </c>
      <c r="C325" t="s">
        <v>3241</v>
      </c>
      <c r="D325">
        <v>1005428.0</v>
      </c>
      <c r="E325" t="s">
        <v>2134</v>
      </c>
      <c r="F325" t="s">
        <v>3242</v>
      </c>
      <c r="G325" t="s">
        <v>3243</v>
      </c>
      <c r="H325" t="s">
        <v>3244</v>
      </c>
    </row>
    <row r="326">
      <c r="A326">
        <v>41.0</v>
      </c>
      <c r="B326">
        <v>1005451.0</v>
      </c>
      <c r="C326" t="s">
        <v>3245</v>
      </c>
      <c r="D326">
        <v>1005451.0</v>
      </c>
      <c r="E326" t="s">
        <v>2129</v>
      </c>
      <c r="F326" t="s">
        <v>3246</v>
      </c>
      <c r="G326" t="s">
        <v>3247</v>
      </c>
      <c r="H326" t="s">
        <v>3248</v>
      </c>
    </row>
    <row r="327">
      <c r="A327">
        <v>41.0</v>
      </c>
      <c r="B327">
        <v>1005424.0</v>
      </c>
      <c r="C327" t="s">
        <v>3249</v>
      </c>
      <c r="D327">
        <v>1005424.0</v>
      </c>
      <c r="E327" t="s">
        <v>2134</v>
      </c>
      <c r="F327" t="s">
        <v>3250</v>
      </c>
      <c r="G327" t="s">
        <v>3251</v>
      </c>
      <c r="H327" t="s">
        <v>3252</v>
      </c>
    </row>
    <row r="328">
      <c r="A328">
        <v>41.0</v>
      </c>
      <c r="B328">
        <v>1005423.0</v>
      </c>
      <c r="C328" t="s">
        <v>3253</v>
      </c>
      <c r="D328">
        <v>1005423.0</v>
      </c>
      <c r="E328" t="s">
        <v>2129</v>
      </c>
      <c r="F328" t="s">
        <v>3254</v>
      </c>
      <c r="G328" t="s">
        <v>3255</v>
      </c>
      <c r="H328" t="s">
        <v>3256</v>
      </c>
    </row>
    <row r="329">
      <c r="A329">
        <v>41.0</v>
      </c>
      <c r="B329">
        <v>1005443.0</v>
      </c>
      <c r="C329" t="s">
        <v>3257</v>
      </c>
      <c r="D329">
        <v>1005443.0</v>
      </c>
      <c r="E329" t="s">
        <v>2129</v>
      </c>
      <c r="F329" t="s">
        <v>3258</v>
      </c>
      <c r="G329" t="s">
        <v>3259</v>
      </c>
      <c r="H329" t="s">
        <v>3260</v>
      </c>
    </row>
    <row r="331">
      <c r="A331">
        <v>43.0</v>
      </c>
      <c r="B331">
        <v>1005762.0</v>
      </c>
      <c r="C331" t="s">
        <v>3261</v>
      </c>
      <c r="D331">
        <v>1005762.0</v>
      </c>
      <c r="E331" t="s">
        <v>2134</v>
      </c>
      <c r="F331" t="s">
        <v>3262</v>
      </c>
      <c r="G331" t="s">
        <v>3263</v>
      </c>
      <c r="H331" t="s">
        <v>3264</v>
      </c>
    </row>
    <row r="332">
      <c r="A332">
        <v>43.0</v>
      </c>
      <c r="B332">
        <v>1005773.0</v>
      </c>
      <c r="C332" t="s">
        <v>3265</v>
      </c>
      <c r="D332">
        <v>1005773.0</v>
      </c>
      <c r="E332" t="s">
        <v>2134</v>
      </c>
      <c r="F332" t="s">
        <v>3266</v>
      </c>
      <c r="G332" t="s">
        <v>3267</v>
      </c>
      <c r="H332" t="s">
        <v>3268</v>
      </c>
    </row>
    <row r="333">
      <c r="A333">
        <v>43.0</v>
      </c>
      <c r="B333">
        <v>1005765.0</v>
      </c>
      <c r="C333" t="s">
        <v>3269</v>
      </c>
      <c r="D333">
        <v>1005765.0</v>
      </c>
      <c r="E333" t="s">
        <v>2129</v>
      </c>
      <c r="F333" t="s">
        <v>3270</v>
      </c>
      <c r="G333" t="s">
        <v>3271</v>
      </c>
      <c r="H333" t="s">
        <v>3272</v>
      </c>
    </row>
    <row r="334">
      <c r="A334">
        <v>43.0</v>
      </c>
      <c r="B334">
        <v>1005767.0</v>
      </c>
      <c r="C334" t="s">
        <v>3273</v>
      </c>
      <c r="D334">
        <v>1005767.0</v>
      </c>
      <c r="E334" t="s">
        <v>2129</v>
      </c>
      <c r="F334" t="s">
        <v>3274</v>
      </c>
      <c r="G334" t="s">
        <v>3275</v>
      </c>
      <c r="H334" t="s">
        <v>3276</v>
      </c>
    </row>
    <row r="335">
      <c r="A335">
        <v>43.0</v>
      </c>
      <c r="B335">
        <v>1005761.0</v>
      </c>
      <c r="C335" t="s">
        <v>3277</v>
      </c>
      <c r="D335">
        <v>1005761.0</v>
      </c>
      <c r="E335" t="s">
        <v>2129</v>
      </c>
      <c r="F335" t="s">
        <v>3278</v>
      </c>
      <c r="G335" t="s">
        <v>3279</v>
      </c>
      <c r="H335" t="s">
        <v>3280</v>
      </c>
    </row>
    <row r="336">
      <c r="A336">
        <v>43.0</v>
      </c>
      <c r="B336">
        <v>1005763.0</v>
      </c>
      <c r="C336" t="s">
        <v>3281</v>
      </c>
      <c r="D336">
        <v>1005763.0</v>
      </c>
      <c r="E336" t="s">
        <v>2129</v>
      </c>
      <c r="F336" t="s">
        <v>3282</v>
      </c>
      <c r="G336" t="s">
        <v>3283</v>
      </c>
      <c r="H336" t="s">
        <v>3284</v>
      </c>
    </row>
    <row r="337">
      <c r="A337">
        <v>43.0</v>
      </c>
      <c r="B337">
        <v>1005766.0</v>
      </c>
      <c r="C337" t="s">
        <v>3285</v>
      </c>
      <c r="D337">
        <v>1005766.0</v>
      </c>
      <c r="E337" t="s">
        <v>2129</v>
      </c>
      <c r="F337" t="s">
        <v>3286</v>
      </c>
      <c r="G337" t="s">
        <v>3287</v>
      </c>
      <c r="H337" t="s">
        <v>3288</v>
      </c>
    </row>
    <row r="338">
      <c r="A338">
        <v>43.0</v>
      </c>
      <c r="B338">
        <v>1005748.0</v>
      </c>
      <c r="C338" t="s">
        <v>3289</v>
      </c>
      <c r="D338">
        <v>1005748.0</v>
      </c>
      <c r="E338" t="s">
        <v>2129</v>
      </c>
      <c r="F338" t="s">
        <v>3290</v>
      </c>
      <c r="G338" t="s">
        <v>3291</v>
      </c>
      <c r="H338" t="s">
        <v>3292</v>
      </c>
    </row>
    <row r="339">
      <c r="A339">
        <v>43.0</v>
      </c>
      <c r="B339">
        <v>1005741.0</v>
      </c>
      <c r="C339" t="s">
        <v>3293</v>
      </c>
      <c r="D339">
        <v>1005741.0</v>
      </c>
      <c r="E339" t="s">
        <v>2129</v>
      </c>
      <c r="F339" t="s">
        <v>3294</v>
      </c>
      <c r="G339" t="s">
        <v>3295</v>
      </c>
      <c r="H339" t="s">
        <v>3296</v>
      </c>
    </row>
    <row r="340">
      <c r="A340">
        <v>43.0</v>
      </c>
      <c r="B340">
        <v>1005757.0</v>
      </c>
      <c r="C340" t="s">
        <v>3297</v>
      </c>
      <c r="D340">
        <v>1005757.0</v>
      </c>
      <c r="E340" t="s">
        <v>2129</v>
      </c>
      <c r="F340" t="s">
        <v>3298</v>
      </c>
      <c r="G340" t="s">
        <v>3299</v>
      </c>
      <c r="H340" t="s">
        <v>3300</v>
      </c>
    </row>
    <row r="341">
      <c r="A341">
        <v>43.0</v>
      </c>
      <c r="B341">
        <v>1005769.0</v>
      </c>
      <c r="C341" t="s">
        <v>3301</v>
      </c>
      <c r="D341">
        <v>1005769.0</v>
      </c>
      <c r="E341" t="s">
        <v>2129</v>
      </c>
      <c r="F341" t="s">
        <v>3302</v>
      </c>
      <c r="G341" t="s">
        <v>3303</v>
      </c>
      <c r="H341" t="s">
        <v>3304</v>
      </c>
    </row>
    <row r="342">
      <c r="A342">
        <v>43.0</v>
      </c>
      <c r="B342">
        <v>1005759.0</v>
      </c>
      <c r="C342" t="s">
        <v>3305</v>
      </c>
      <c r="D342">
        <v>1005759.0</v>
      </c>
      <c r="E342" t="s">
        <v>2129</v>
      </c>
      <c r="F342" t="s">
        <v>3306</v>
      </c>
      <c r="G342" t="s">
        <v>3307</v>
      </c>
      <c r="H342" t="s">
        <v>3308</v>
      </c>
    </row>
    <row r="343">
      <c r="A343">
        <v>43.0</v>
      </c>
      <c r="B343">
        <v>1005753.0</v>
      </c>
      <c r="C343" t="s">
        <v>3309</v>
      </c>
      <c r="D343">
        <v>1005753.0</v>
      </c>
      <c r="E343" t="s">
        <v>2129</v>
      </c>
      <c r="F343" t="s">
        <v>3310</v>
      </c>
      <c r="G343" t="s">
        <v>2985</v>
      </c>
      <c r="H343" t="s">
        <v>3311</v>
      </c>
    </row>
    <row r="345">
      <c r="A345">
        <v>44.0</v>
      </c>
      <c r="B345">
        <v>1005848.0</v>
      </c>
      <c r="C345" t="s">
        <v>3312</v>
      </c>
      <c r="D345">
        <v>1005848.0</v>
      </c>
      <c r="E345" t="s">
        <v>2134</v>
      </c>
      <c r="F345" t="s">
        <v>3313</v>
      </c>
      <c r="G345" t="s">
        <v>3314</v>
      </c>
      <c r="H345" t="s">
        <v>3315</v>
      </c>
    </row>
    <row r="346">
      <c r="A346">
        <v>44.0</v>
      </c>
      <c r="B346">
        <v>1005826.0</v>
      </c>
      <c r="C346" t="s">
        <v>3316</v>
      </c>
      <c r="D346">
        <v>1005826.0</v>
      </c>
      <c r="E346" t="s">
        <v>2134</v>
      </c>
      <c r="F346" t="s">
        <v>3317</v>
      </c>
      <c r="G346" t="s">
        <v>3318</v>
      </c>
      <c r="H346" t="s">
        <v>3319</v>
      </c>
    </row>
    <row r="347">
      <c r="A347">
        <v>44.0</v>
      </c>
      <c r="B347">
        <v>1005805.0</v>
      </c>
      <c r="C347" t="s">
        <v>3320</v>
      </c>
      <c r="D347">
        <v>1005805.0</v>
      </c>
      <c r="E347" t="s">
        <v>2129</v>
      </c>
      <c r="F347" t="s">
        <v>3321</v>
      </c>
      <c r="G347" t="s">
        <v>3322</v>
      </c>
      <c r="H347" t="s">
        <v>3323</v>
      </c>
    </row>
    <row r="348">
      <c r="A348">
        <v>44.0</v>
      </c>
      <c r="B348">
        <v>1005834.0</v>
      </c>
      <c r="C348" t="s">
        <v>3324</v>
      </c>
      <c r="D348">
        <v>1005834.0</v>
      </c>
      <c r="E348" t="s">
        <v>2129</v>
      </c>
      <c r="F348" t="s">
        <v>3325</v>
      </c>
      <c r="G348" t="s">
        <v>3326</v>
      </c>
      <c r="H348" t="s">
        <v>3327</v>
      </c>
    </row>
    <row r="349">
      <c r="A349">
        <v>44.0</v>
      </c>
      <c r="B349">
        <v>1005819.0</v>
      </c>
      <c r="C349" t="s">
        <v>3328</v>
      </c>
      <c r="D349">
        <v>1005819.0</v>
      </c>
      <c r="E349" t="s">
        <v>2129</v>
      </c>
      <c r="F349" t="s">
        <v>3329</v>
      </c>
      <c r="G349" t="s">
        <v>3330</v>
      </c>
      <c r="H349" t="s">
        <v>3331</v>
      </c>
    </row>
    <row r="350">
      <c r="A350">
        <v>44.0</v>
      </c>
      <c r="B350">
        <v>1005831.0</v>
      </c>
      <c r="C350" t="s">
        <v>3332</v>
      </c>
      <c r="D350">
        <v>1005831.0</v>
      </c>
      <c r="E350" t="s">
        <v>2129</v>
      </c>
      <c r="F350" t="s">
        <v>3333</v>
      </c>
      <c r="G350" t="s">
        <v>3334</v>
      </c>
      <c r="H350" t="s">
        <v>3335</v>
      </c>
    </row>
    <row r="351">
      <c r="A351">
        <v>44.0</v>
      </c>
      <c r="B351">
        <v>1005832.0</v>
      </c>
      <c r="C351" t="s">
        <v>3336</v>
      </c>
      <c r="D351">
        <v>1005832.0</v>
      </c>
      <c r="E351" t="s">
        <v>2129</v>
      </c>
      <c r="F351" t="s">
        <v>3337</v>
      </c>
      <c r="G351" t="s">
        <v>3338</v>
      </c>
      <c r="H351" t="s">
        <v>3339</v>
      </c>
    </row>
    <row r="352">
      <c r="A352">
        <v>44.0</v>
      </c>
      <c r="B352">
        <v>1005816.0</v>
      </c>
      <c r="C352" t="s">
        <v>3340</v>
      </c>
      <c r="D352">
        <v>1005816.0</v>
      </c>
      <c r="E352" t="s">
        <v>2129</v>
      </c>
      <c r="F352" t="s">
        <v>3341</v>
      </c>
      <c r="G352" t="s">
        <v>3342</v>
      </c>
      <c r="H352" t="s">
        <v>3343</v>
      </c>
    </row>
    <row r="353">
      <c r="A353">
        <v>44.0</v>
      </c>
      <c r="B353">
        <v>1005803.0</v>
      </c>
      <c r="C353" t="s">
        <v>3344</v>
      </c>
      <c r="D353">
        <v>1005803.0</v>
      </c>
      <c r="E353" t="s">
        <v>2129</v>
      </c>
      <c r="F353" t="s">
        <v>3345</v>
      </c>
      <c r="G353" t="s">
        <v>3346</v>
      </c>
      <c r="H353" t="s">
        <v>3347</v>
      </c>
    </row>
    <row r="354">
      <c r="A354">
        <v>44.0</v>
      </c>
      <c r="B354">
        <v>1005802.0</v>
      </c>
      <c r="C354" t="s">
        <v>3348</v>
      </c>
      <c r="D354">
        <v>1005802.0</v>
      </c>
      <c r="E354" t="s">
        <v>2129</v>
      </c>
      <c r="F354" t="s">
        <v>3349</v>
      </c>
      <c r="G354" t="s">
        <v>3350</v>
      </c>
      <c r="H354" t="s">
        <v>3351</v>
      </c>
    </row>
    <row r="355">
      <c r="A355">
        <v>44.0</v>
      </c>
      <c r="B355">
        <v>1005818.0</v>
      </c>
      <c r="C355" t="s">
        <v>3352</v>
      </c>
      <c r="D355">
        <v>1005818.0</v>
      </c>
      <c r="E355" t="s">
        <v>2129</v>
      </c>
      <c r="F355" t="s">
        <v>3353</v>
      </c>
      <c r="G355" t="s">
        <v>3354</v>
      </c>
      <c r="H355" t="s">
        <v>3355</v>
      </c>
    </row>
    <row r="356">
      <c r="A356">
        <v>44.0</v>
      </c>
      <c r="B356">
        <v>1005844.0</v>
      </c>
      <c r="C356" t="s">
        <v>3356</v>
      </c>
      <c r="D356">
        <v>1005844.0</v>
      </c>
      <c r="E356" t="s">
        <v>2129</v>
      </c>
      <c r="F356" t="s">
        <v>3357</v>
      </c>
      <c r="G356" t="s">
        <v>3358</v>
      </c>
      <c r="H356" t="s">
        <v>3359</v>
      </c>
    </row>
    <row r="357">
      <c r="A357">
        <v>44.0</v>
      </c>
      <c r="B357">
        <v>1005828.0</v>
      </c>
      <c r="C357" t="s">
        <v>3360</v>
      </c>
      <c r="D357">
        <v>1005828.0</v>
      </c>
      <c r="E357" t="s">
        <v>2129</v>
      </c>
      <c r="F357" t="s">
        <v>2841</v>
      </c>
      <c r="G357" t="s">
        <v>3361</v>
      </c>
      <c r="H357" t="s">
        <v>3362</v>
      </c>
    </row>
    <row r="359">
      <c r="A359">
        <v>45.0</v>
      </c>
      <c r="B359">
        <v>1005944.0</v>
      </c>
      <c r="C359" t="s">
        <v>3363</v>
      </c>
      <c r="D359">
        <v>1005944.0</v>
      </c>
      <c r="E359" t="s">
        <v>2129</v>
      </c>
      <c r="F359" t="s">
        <v>3364</v>
      </c>
      <c r="G359" t="s">
        <v>3365</v>
      </c>
      <c r="H359" t="s">
        <v>3366</v>
      </c>
    </row>
    <row r="360">
      <c r="A360">
        <v>45.0</v>
      </c>
      <c r="B360">
        <v>1005964.0</v>
      </c>
      <c r="C360" t="s">
        <v>3367</v>
      </c>
      <c r="D360">
        <v>1005964.0</v>
      </c>
      <c r="E360" t="s">
        <v>2129</v>
      </c>
      <c r="F360" t="s">
        <v>3368</v>
      </c>
      <c r="G360" t="s">
        <v>3369</v>
      </c>
      <c r="H360" t="s">
        <v>3370</v>
      </c>
    </row>
    <row r="361">
      <c r="A361">
        <v>45.0</v>
      </c>
      <c r="B361">
        <v>1005972.0</v>
      </c>
      <c r="C361" t="s">
        <v>3371</v>
      </c>
      <c r="D361">
        <v>1005972.0</v>
      </c>
      <c r="E361" t="s">
        <v>2134</v>
      </c>
      <c r="F361" t="s">
        <v>3372</v>
      </c>
      <c r="G361" t="s">
        <v>3373</v>
      </c>
      <c r="H361" t="s">
        <v>3374</v>
      </c>
    </row>
    <row r="362">
      <c r="A362">
        <v>45.0</v>
      </c>
      <c r="B362">
        <v>1005956.0</v>
      </c>
      <c r="C362" t="s">
        <v>3375</v>
      </c>
      <c r="D362">
        <v>1005956.0</v>
      </c>
      <c r="E362" t="s">
        <v>2134</v>
      </c>
      <c r="F362" t="s">
        <v>3376</v>
      </c>
      <c r="G362" t="s">
        <v>3377</v>
      </c>
      <c r="H362" t="s">
        <v>3378</v>
      </c>
    </row>
    <row r="363">
      <c r="A363">
        <v>45.0</v>
      </c>
      <c r="B363">
        <v>1005954.0</v>
      </c>
      <c r="C363" t="s">
        <v>3379</v>
      </c>
      <c r="D363">
        <v>1005954.0</v>
      </c>
      <c r="E363" t="s">
        <v>2129</v>
      </c>
      <c r="F363" t="s">
        <v>3380</v>
      </c>
      <c r="G363" t="s">
        <v>3381</v>
      </c>
      <c r="H363" t="s">
        <v>3382</v>
      </c>
    </row>
    <row r="364">
      <c r="A364">
        <v>45.0</v>
      </c>
      <c r="B364">
        <v>1005968.0</v>
      </c>
      <c r="C364" t="s">
        <v>3383</v>
      </c>
      <c r="D364">
        <v>1005968.0</v>
      </c>
      <c r="E364" t="s">
        <v>2129</v>
      </c>
      <c r="F364" t="s">
        <v>3384</v>
      </c>
      <c r="G364" t="s">
        <v>3385</v>
      </c>
      <c r="H364" t="s">
        <v>3386</v>
      </c>
    </row>
    <row r="365">
      <c r="A365">
        <v>45.0</v>
      </c>
      <c r="B365">
        <v>1005957.0</v>
      </c>
      <c r="C365" t="s">
        <v>3387</v>
      </c>
      <c r="D365">
        <v>1005957.0</v>
      </c>
      <c r="E365" t="s">
        <v>2129</v>
      </c>
      <c r="F365" t="s">
        <v>3388</v>
      </c>
      <c r="G365" t="s">
        <v>3389</v>
      </c>
      <c r="H365" t="s">
        <v>3390</v>
      </c>
    </row>
    <row r="366">
      <c r="A366">
        <v>45.0</v>
      </c>
      <c r="B366">
        <v>1005945.0</v>
      </c>
      <c r="C366" t="s">
        <v>3391</v>
      </c>
      <c r="D366">
        <v>1005945.0</v>
      </c>
      <c r="E366" t="s">
        <v>2129</v>
      </c>
      <c r="F366" t="s">
        <v>3392</v>
      </c>
      <c r="G366" t="s">
        <v>3393</v>
      </c>
      <c r="H366" t="s">
        <v>3394</v>
      </c>
    </row>
    <row r="367">
      <c r="A367">
        <v>45.0</v>
      </c>
      <c r="B367">
        <v>1005953.0</v>
      </c>
      <c r="C367" t="s">
        <v>3395</v>
      </c>
      <c r="D367">
        <v>1005953.0</v>
      </c>
      <c r="E367" t="s">
        <v>2129</v>
      </c>
      <c r="F367" t="s">
        <v>3396</v>
      </c>
      <c r="G367" t="s">
        <v>3397</v>
      </c>
      <c r="H367" t="s">
        <v>3398</v>
      </c>
    </row>
    <row r="368">
      <c r="A368">
        <v>45.0</v>
      </c>
      <c r="B368">
        <v>1005967.0</v>
      </c>
      <c r="C368" t="s">
        <v>3399</v>
      </c>
      <c r="D368">
        <v>1005967.0</v>
      </c>
      <c r="E368" t="s">
        <v>2134</v>
      </c>
      <c r="F368" t="s">
        <v>3400</v>
      </c>
      <c r="G368" t="s">
        <v>3401</v>
      </c>
      <c r="H368" t="s">
        <v>3402</v>
      </c>
    </row>
    <row r="369">
      <c r="A369">
        <v>45.0</v>
      </c>
      <c r="B369">
        <v>1005958.0</v>
      </c>
      <c r="C369" t="s">
        <v>3403</v>
      </c>
      <c r="D369">
        <v>1005958.0</v>
      </c>
      <c r="E369" t="s">
        <v>2134</v>
      </c>
      <c r="F369" t="s">
        <v>3404</v>
      </c>
      <c r="G369" t="s">
        <v>3405</v>
      </c>
      <c r="H369" t="s">
        <v>3406</v>
      </c>
    </row>
    <row r="371">
      <c r="A371">
        <v>46.0</v>
      </c>
      <c r="B371">
        <v>1006076.0</v>
      </c>
      <c r="C371" t="s">
        <v>3407</v>
      </c>
      <c r="D371">
        <v>1006076.0</v>
      </c>
      <c r="E371" t="s">
        <v>2129</v>
      </c>
      <c r="F371" t="s">
        <v>3408</v>
      </c>
      <c r="G371" t="s">
        <v>3409</v>
      </c>
      <c r="H371" t="s">
        <v>3410</v>
      </c>
    </row>
    <row r="372">
      <c r="A372">
        <v>46.0</v>
      </c>
      <c r="B372">
        <v>1006081.0</v>
      </c>
      <c r="C372" t="s">
        <v>3411</v>
      </c>
      <c r="D372">
        <v>1006081.0</v>
      </c>
      <c r="E372" t="s">
        <v>2129</v>
      </c>
      <c r="F372" t="s">
        <v>3412</v>
      </c>
      <c r="G372" t="s">
        <v>3413</v>
      </c>
      <c r="H372" t="s">
        <v>3414</v>
      </c>
    </row>
    <row r="373">
      <c r="A373">
        <v>46.0</v>
      </c>
      <c r="B373">
        <v>1006085.0</v>
      </c>
      <c r="C373" t="s">
        <v>3415</v>
      </c>
      <c r="D373">
        <v>1006085.0</v>
      </c>
      <c r="E373" t="s">
        <v>2129</v>
      </c>
      <c r="F373" t="s">
        <v>3416</v>
      </c>
      <c r="G373" t="s">
        <v>3417</v>
      </c>
      <c r="H373" t="s">
        <v>3418</v>
      </c>
    </row>
    <row r="374">
      <c r="A374">
        <v>46.0</v>
      </c>
      <c r="B374">
        <v>1006089.0</v>
      </c>
      <c r="C374" t="s">
        <v>3419</v>
      </c>
      <c r="D374">
        <v>1006089.0</v>
      </c>
      <c r="E374" t="s">
        <v>2129</v>
      </c>
      <c r="F374" t="s">
        <v>3420</v>
      </c>
      <c r="G374" t="s">
        <v>3421</v>
      </c>
      <c r="H374" t="s">
        <v>3422</v>
      </c>
    </row>
    <row r="375">
      <c r="A375">
        <v>46.0</v>
      </c>
      <c r="B375">
        <v>1006091.0</v>
      </c>
      <c r="C375" t="s">
        <v>3423</v>
      </c>
      <c r="D375">
        <v>1006091.0</v>
      </c>
      <c r="E375" t="s">
        <v>2129</v>
      </c>
      <c r="F375" t="s">
        <v>3424</v>
      </c>
      <c r="G375" t="s">
        <v>3425</v>
      </c>
      <c r="H375" t="s">
        <v>3426</v>
      </c>
    </row>
    <row r="376">
      <c r="A376">
        <v>46.0</v>
      </c>
      <c r="B376">
        <v>1006082.0</v>
      </c>
      <c r="C376" t="s">
        <v>3427</v>
      </c>
      <c r="D376">
        <v>1006082.0</v>
      </c>
      <c r="E376" t="s">
        <v>2134</v>
      </c>
      <c r="F376" t="s">
        <v>3428</v>
      </c>
      <c r="G376" t="s">
        <v>3429</v>
      </c>
      <c r="H376" t="s">
        <v>3430</v>
      </c>
    </row>
    <row r="377">
      <c r="A377">
        <v>46.0</v>
      </c>
      <c r="B377">
        <v>1006052.0</v>
      </c>
      <c r="C377" t="s">
        <v>3431</v>
      </c>
      <c r="D377">
        <v>1006052.0</v>
      </c>
      <c r="E377" t="s">
        <v>2129</v>
      </c>
      <c r="F377" t="s">
        <v>3432</v>
      </c>
      <c r="G377" t="s">
        <v>3433</v>
      </c>
      <c r="H377" t="s">
        <v>3434</v>
      </c>
    </row>
    <row r="378">
      <c r="A378">
        <v>46.0</v>
      </c>
      <c r="B378">
        <v>1006086.0</v>
      </c>
      <c r="C378" t="s">
        <v>3435</v>
      </c>
      <c r="D378">
        <v>1006086.0</v>
      </c>
      <c r="E378" t="s">
        <v>2129</v>
      </c>
      <c r="F378" t="s">
        <v>3436</v>
      </c>
      <c r="G378" t="s">
        <v>3437</v>
      </c>
      <c r="H378" t="s">
        <v>3438</v>
      </c>
    </row>
    <row r="379">
      <c r="A379">
        <v>46.0</v>
      </c>
      <c r="B379">
        <v>1006077.0</v>
      </c>
      <c r="C379" t="s">
        <v>3439</v>
      </c>
      <c r="D379">
        <v>1006077.0</v>
      </c>
      <c r="E379" t="s">
        <v>2129</v>
      </c>
      <c r="F379" t="s">
        <v>3353</v>
      </c>
      <c r="G379" t="s">
        <v>3440</v>
      </c>
      <c r="H379" t="s">
        <v>3441</v>
      </c>
    </row>
    <row r="381">
      <c r="A381">
        <v>47.0</v>
      </c>
      <c r="B381">
        <v>1006360.0</v>
      </c>
      <c r="C381" t="s">
        <v>3442</v>
      </c>
      <c r="D381">
        <v>1006360.0</v>
      </c>
      <c r="E381" t="s">
        <v>2129</v>
      </c>
      <c r="F381" t="s">
        <v>2147</v>
      </c>
      <c r="G381" t="s">
        <v>3443</v>
      </c>
      <c r="H381" t="s">
        <v>3444</v>
      </c>
    </row>
    <row r="382">
      <c r="A382">
        <v>47.0</v>
      </c>
      <c r="B382">
        <v>1006331.0</v>
      </c>
      <c r="C382" t="s">
        <v>3445</v>
      </c>
      <c r="D382">
        <v>1006331.0</v>
      </c>
      <c r="E382" t="s">
        <v>2129</v>
      </c>
      <c r="F382" t="s">
        <v>3446</v>
      </c>
      <c r="G382" t="s">
        <v>3447</v>
      </c>
      <c r="H382" t="s">
        <v>3448</v>
      </c>
    </row>
    <row r="383">
      <c r="A383">
        <v>47.0</v>
      </c>
      <c r="B383">
        <v>1006312.0</v>
      </c>
      <c r="C383" t="s">
        <v>3449</v>
      </c>
      <c r="D383">
        <v>1006312.0</v>
      </c>
      <c r="E383" t="s">
        <v>2129</v>
      </c>
      <c r="F383" t="s">
        <v>3450</v>
      </c>
      <c r="G383" t="s">
        <v>3451</v>
      </c>
      <c r="H383" t="s">
        <v>3452</v>
      </c>
    </row>
    <row r="384">
      <c r="A384">
        <v>47.0</v>
      </c>
      <c r="B384">
        <v>1006348.0</v>
      </c>
      <c r="C384" t="s">
        <v>3453</v>
      </c>
      <c r="D384">
        <v>1006348.0</v>
      </c>
      <c r="E384" t="s">
        <v>2129</v>
      </c>
      <c r="F384" t="s">
        <v>3454</v>
      </c>
      <c r="G384" t="s">
        <v>3455</v>
      </c>
      <c r="H384" t="s">
        <v>3456</v>
      </c>
    </row>
    <row r="385">
      <c r="A385">
        <v>47.0</v>
      </c>
      <c r="B385">
        <v>1006342.0</v>
      </c>
      <c r="C385" t="s">
        <v>3457</v>
      </c>
      <c r="D385">
        <v>1006342.0</v>
      </c>
      <c r="E385" t="s">
        <v>2129</v>
      </c>
      <c r="F385" t="s">
        <v>3458</v>
      </c>
      <c r="G385" t="s">
        <v>3459</v>
      </c>
      <c r="H385" t="s">
        <v>3460</v>
      </c>
    </row>
    <row r="386">
      <c r="A386">
        <v>47.0</v>
      </c>
      <c r="B386">
        <v>1006352.0</v>
      </c>
      <c r="C386" t="s">
        <v>3461</v>
      </c>
      <c r="D386">
        <v>1006352.0</v>
      </c>
      <c r="E386" t="s">
        <v>2129</v>
      </c>
      <c r="F386" t="s">
        <v>3462</v>
      </c>
      <c r="G386" t="s">
        <v>3463</v>
      </c>
      <c r="H386" t="s">
        <v>3464</v>
      </c>
    </row>
    <row r="387">
      <c r="A387">
        <v>47.0</v>
      </c>
      <c r="B387">
        <v>1006313.0</v>
      </c>
      <c r="C387" t="s">
        <v>3465</v>
      </c>
      <c r="D387">
        <v>1006313.0</v>
      </c>
      <c r="E387" t="s">
        <v>2129</v>
      </c>
      <c r="F387" t="s">
        <v>2813</v>
      </c>
      <c r="G387" t="s">
        <v>3466</v>
      </c>
      <c r="H387" t="s">
        <v>3467</v>
      </c>
    </row>
    <row r="388">
      <c r="A388">
        <v>47.0</v>
      </c>
      <c r="B388">
        <v>1006344.0</v>
      </c>
      <c r="C388" t="s">
        <v>3468</v>
      </c>
      <c r="D388">
        <v>1006344.0</v>
      </c>
      <c r="E388" t="s">
        <v>2129</v>
      </c>
      <c r="F388" t="s">
        <v>3469</v>
      </c>
      <c r="G388" t="s">
        <v>3470</v>
      </c>
      <c r="H388" t="s">
        <v>3471</v>
      </c>
    </row>
    <row r="389">
      <c r="A389">
        <v>47.0</v>
      </c>
      <c r="B389">
        <v>1006311.0</v>
      </c>
      <c r="C389" t="s">
        <v>3472</v>
      </c>
      <c r="D389">
        <v>1006311.0</v>
      </c>
      <c r="E389" t="s">
        <v>2129</v>
      </c>
      <c r="F389" t="s">
        <v>3473</v>
      </c>
      <c r="G389" t="s">
        <v>3474</v>
      </c>
      <c r="H389" t="s">
        <v>3475</v>
      </c>
    </row>
    <row r="390">
      <c r="A390">
        <v>47.0</v>
      </c>
      <c r="B390">
        <v>1006293.0</v>
      </c>
      <c r="C390" t="s">
        <v>3476</v>
      </c>
      <c r="D390">
        <v>1006293.0</v>
      </c>
      <c r="E390" t="s">
        <v>2129</v>
      </c>
      <c r="F390" t="s">
        <v>3477</v>
      </c>
      <c r="G390" t="s">
        <v>3478</v>
      </c>
      <c r="H390" t="s">
        <v>3479</v>
      </c>
    </row>
    <row r="391">
      <c r="A391">
        <v>47.0</v>
      </c>
      <c r="B391">
        <v>1006363.0</v>
      </c>
      <c r="C391" t="s">
        <v>3480</v>
      </c>
      <c r="D391">
        <v>1006363.0</v>
      </c>
      <c r="E391" t="s">
        <v>2129</v>
      </c>
      <c r="F391" t="s">
        <v>3481</v>
      </c>
      <c r="G391" t="s">
        <v>3482</v>
      </c>
      <c r="H391" t="s">
        <v>3483</v>
      </c>
    </row>
    <row r="392">
      <c r="A392">
        <v>47.0</v>
      </c>
      <c r="B392">
        <v>1006324.0</v>
      </c>
      <c r="C392" t="s">
        <v>3484</v>
      </c>
      <c r="D392">
        <v>1006324.0</v>
      </c>
      <c r="E392" t="s">
        <v>2129</v>
      </c>
      <c r="F392" t="s">
        <v>3485</v>
      </c>
      <c r="G392" t="s">
        <v>3486</v>
      </c>
      <c r="H392" t="s">
        <v>3487</v>
      </c>
    </row>
    <row r="393">
      <c r="A393">
        <v>47.0</v>
      </c>
      <c r="B393">
        <v>1006323.0</v>
      </c>
      <c r="C393" t="s">
        <v>3488</v>
      </c>
      <c r="D393">
        <v>1006323.0</v>
      </c>
      <c r="E393" t="s">
        <v>2129</v>
      </c>
      <c r="F393" t="s">
        <v>3489</v>
      </c>
      <c r="G393" t="s">
        <v>3490</v>
      </c>
      <c r="H393" t="s">
        <v>3491</v>
      </c>
    </row>
    <row r="394">
      <c r="A394">
        <v>47.0</v>
      </c>
      <c r="B394">
        <v>1006333.0</v>
      </c>
      <c r="C394" t="s">
        <v>3492</v>
      </c>
      <c r="D394">
        <v>1006333.0</v>
      </c>
      <c r="E394" t="s">
        <v>2129</v>
      </c>
      <c r="F394" t="s">
        <v>3493</v>
      </c>
      <c r="G394" t="s">
        <v>3494</v>
      </c>
      <c r="H394" t="s">
        <v>3495</v>
      </c>
    </row>
    <row r="396">
      <c r="A396">
        <v>48.0</v>
      </c>
      <c r="B396">
        <v>1006750.0</v>
      </c>
      <c r="C396" t="s">
        <v>3496</v>
      </c>
      <c r="D396">
        <v>1006750.0</v>
      </c>
      <c r="E396" t="s">
        <v>2129</v>
      </c>
      <c r="F396" t="s">
        <v>3497</v>
      </c>
      <c r="G396" t="s">
        <v>3498</v>
      </c>
      <c r="H396" t="s">
        <v>3499</v>
      </c>
    </row>
    <row r="397">
      <c r="A397">
        <v>48.0</v>
      </c>
      <c r="B397">
        <v>1006748.0</v>
      </c>
      <c r="C397" t="s">
        <v>3500</v>
      </c>
      <c r="D397">
        <v>1006748.0</v>
      </c>
      <c r="E397" t="s">
        <v>2129</v>
      </c>
      <c r="F397" t="s">
        <v>3501</v>
      </c>
      <c r="G397" t="s">
        <v>3502</v>
      </c>
      <c r="H397" t="s">
        <v>3503</v>
      </c>
    </row>
    <row r="398">
      <c r="A398">
        <v>48.0</v>
      </c>
      <c r="B398">
        <v>1006747.0</v>
      </c>
      <c r="C398" t="s">
        <v>3504</v>
      </c>
      <c r="D398">
        <v>1006747.0</v>
      </c>
      <c r="E398" t="s">
        <v>2129</v>
      </c>
      <c r="F398" t="s">
        <v>3505</v>
      </c>
      <c r="G398" t="s">
        <v>3506</v>
      </c>
      <c r="H398" t="s">
        <v>3507</v>
      </c>
    </row>
    <row r="399">
      <c r="A399">
        <v>48.0</v>
      </c>
      <c r="B399">
        <v>1006746.0</v>
      </c>
      <c r="C399" t="s">
        <v>3508</v>
      </c>
      <c r="D399">
        <v>1006746.0</v>
      </c>
      <c r="E399" t="s">
        <v>2129</v>
      </c>
      <c r="F399" t="s">
        <v>3509</v>
      </c>
      <c r="G399" t="s">
        <v>3510</v>
      </c>
      <c r="H399" t="s">
        <v>3511</v>
      </c>
    </row>
    <row r="400">
      <c r="A400">
        <v>48.0</v>
      </c>
      <c r="B400">
        <v>1006745.0</v>
      </c>
      <c r="C400" t="s">
        <v>3512</v>
      </c>
      <c r="D400">
        <v>1006745.0</v>
      </c>
      <c r="E400" t="s">
        <v>2134</v>
      </c>
      <c r="F400" t="s">
        <v>3513</v>
      </c>
      <c r="G400" t="s">
        <v>3514</v>
      </c>
      <c r="H400" t="s">
        <v>3515</v>
      </c>
    </row>
    <row r="401">
      <c r="A401">
        <v>48.0</v>
      </c>
      <c r="B401">
        <v>1006742.0</v>
      </c>
      <c r="C401" t="s">
        <v>3516</v>
      </c>
      <c r="D401">
        <v>1006742.0</v>
      </c>
      <c r="E401" t="s">
        <v>2129</v>
      </c>
      <c r="F401" t="s">
        <v>3517</v>
      </c>
      <c r="G401" t="s">
        <v>3518</v>
      </c>
      <c r="H401" t="s">
        <v>3519</v>
      </c>
    </row>
    <row r="402">
      <c r="A402">
        <v>48.0</v>
      </c>
      <c r="B402">
        <v>1006743.0</v>
      </c>
      <c r="C402" t="s">
        <v>3520</v>
      </c>
      <c r="D402">
        <v>1006743.0</v>
      </c>
      <c r="E402" t="s">
        <v>2129</v>
      </c>
      <c r="F402" t="s">
        <v>3521</v>
      </c>
      <c r="G402" t="s">
        <v>3522</v>
      </c>
      <c r="H402" t="s">
        <v>3523</v>
      </c>
    </row>
    <row r="403">
      <c r="A403">
        <v>48.0</v>
      </c>
      <c r="B403">
        <v>1006740.0</v>
      </c>
      <c r="C403" t="s">
        <v>3524</v>
      </c>
      <c r="D403">
        <v>1006740.0</v>
      </c>
      <c r="E403" t="s">
        <v>2129</v>
      </c>
      <c r="F403" t="s">
        <v>3525</v>
      </c>
      <c r="G403" t="s">
        <v>3526</v>
      </c>
      <c r="H403" t="s">
        <v>3527</v>
      </c>
    </row>
    <row r="404">
      <c r="A404">
        <v>48.0</v>
      </c>
      <c r="B404">
        <v>1006751.0</v>
      </c>
      <c r="C404" t="s">
        <v>3528</v>
      </c>
      <c r="D404">
        <v>1006751.0</v>
      </c>
      <c r="E404" t="s">
        <v>2129</v>
      </c>
      <c r="F404" t="s">
        <v>3529</v>
      </c>
      <c r="G404" t="s">
        <v>3530</v>
      </c>
      <c r="H404" t="s">
        <v>3531</v>
      </c>
    </row>
    <row r="405">
      <c r="A405">
        <v>48.0</v>
      </c>
      <c r="B405">
        <v>1006741.0</v>
      </c>
      <c r="C405" t="s">
        <v>3532</v>
      </c>
      <c r="D405">
        <v>1006741.0</v>
      </c>
      <c r="E405" t="s">
        <v>2129</v>
      </c>
      <c r="F405" t="s">
        <v>3533</v>
      </c>
      <c r="G405" t="s">
        <v>3534</v>
      </c>
      <c r="H405" t="s">
        <v>3535</v>
      </c>
    </row>
    <row r="406">
      <c r="A406">
        <v>48.0</v>
      </c>
      <c r="B406">
        <v>1006754.0</v>
      </c>
      <c r="C406" t="s">
        <v>3536</v>
      </c>
      <c r="D406">
        <v>1006754.0</v>
      </c>
      <c r="E406" t="s">
        <v>2129</v>
      </c>
      <c r="F406" t="s">
        <v>3537</v>
      </c>
      <c r="G406" t="s">
        <v>3538</v>
      </c>
      <c r="H406" t="s">
        <v>3539</v>
      </c>
    </row>
    <row r="407">
      <c r="A407">
        <v>48.0</v>
      </c>
      <c r="B407">
        <v>1006749.0</v>
      </c>
      <c r="C407" t="s">
        <v>3540</v>
      </c>
      <c r="D407">
        <v>1006749.0</v>
      </c>
      <c r="E407" t="s">
        <v>2129</v>
      </c>
      <c r="F407" t="s">
        <v>3541</v>
      </c>
      <c r="G407" t="s">
        <v>3542</v>
      </c>
      <c r="H407" t="s">
        <v>3543</v>
      </c>
    </row>
    <row r="408">
      <c r="A408">
        <v>48.0</v>
      </c>
      <c r="B408">
        <v>1006752.0</v>
      </c>
      <c r="C408" t="s">
        <v>3544</v>
      </c>
      <c r="D408">
        <v>1006752.0</v>
      </c>
      <c r="E408" t="s">
        <v>2129</v>
      </c>
      <c r="F408" t="s">
        <v>3545</v>
      </c>
      <c r="G408" t="s">
        <v>3546</v>
      </c>
      <c r="H408" t="s">
        <v>3547</v>
      </c>
    </row>
    <row r="409">
      <c r="A409">
        <v>48.0</v>
      </c>
      <c r="B409">
        <v>1006753.0</v>
      </c>
      <c r="C409" t="s">
        <v>3548</v>
      </c>
      <c r="D409">
        <v>1006753.0</v>
      </c>
      <c r="E409" t="s">
        <v>2129</v>
      </c>
      <c r="F409" t="s">
        <v>3549</v>
      </c>
      <c r="G409" t="s">
        <v>3550</v>
      </c>
      <c r="H409" t="s">
        <v>3551</v>
      </c>
    </row>
    <row r="410">
      <c r="A410">
        <v>48.0</v>
      </c>
      <c r="B410">
        <v>1006744.0</v>
      </c>
      <c r="C410" t="s">
        <v>3552</v>
      </c>
      <c r="D410">
        <v>1006744.0</v>
      </c>
      <c r="E410" t="s">
        <v>2129</v>
      </c>
      <c r="F410" t="s">
        <v>3553</v>
      </c>
      <c r="G410" t="s">
        <v>3554</v>
      </c>
      <c r="H410" t="s">
        <v>3555</v>
      </c>
    </row>
    <row r="411">
      <c r="A411">
        <v>48.0</v>
      </c>
      <c r="B411">
        <v>1006739.0</v>
      </c>
      <c r="C411" t="s">
        <v>3556</v>
      </c>
      <c r="D411">
        <v>1006739.0</v>
      </c>
      <c r="E411" t="s">
        <v>2129</v>
      </c>
      <c r="F411" t="s">
        <v>3036</v>
      </c>
      <c r="G411" t="s">
        <v>3557</v>
      </c>
      <c r="H411" t="s">
        <v>3558</v>
      </c>
    </row>
    <row r="413">
      <c r="A413">
        <v>49.0</v>
      </c>
      <c r="B413">
        <v>1006847.0</v>
      </c>
      <c r="C413" t="s">
        <v>3559</v>
      </c>
      <c r="D413">
        <v>1006847.0</v>
      </c>
      <c r="E413" t="s">
        <v>2129</v>
      </c>
      <c r="F413" t="s">
        <v>3560</v>
      </c>
      <c r="G413" t="s">
        <v>3561</v>
      </c>
      <c r="H413" t="s">
        <v>3562</v>
      </c>
    </row>
    <row r="414">
      <c r="A414">
        <v>49.0</v>
      </c>
      <c r="B414">
        <v>1006852.0</v>
      </c>
      <c r="C414" t="s">
        <v>3563</v>
      </c>
      <c r="D414">
        <v>1006852.0</v>
      </c>
      <c r="E414" t="s">
        <v>2134</v>
      </c>
      <c r="F414" t="s">
        <v>3564</v>
      </c>
      <c r="G414" t="s">
        <v>3565</v>
      </c>
      <c r="H414" t="s">
        <v>3566</v>
      </c>
    </row>
    <row r="415">
      <c r="A415">
        <v>49.0</v>
      </c>
      <c r="B415">
        <v>1006840.0</v>
      </c>
      <c r="C415" t="s">
        <v>3567</v>
      </c>
      <c r="D415">
        <v>1006840.0</v>
      </c>
      <c r="E415" t="s">
        <v>2134</v>
      </c>
      <c r="F415" t="s">
        <v>3568</v>
      </c>
      <c r="G415" t="s">
        <v>3569</v>
      </c>
      <c r="H415" t="s">
        <v>3570</v>
      </c>
    </row>
    <row r="416">
      <c r="A416">
        <v>49.0</v>
      </c>
      <c r="B416">
        <v>1006858.0</v>
      </c>
      <c r="C416" t="s">
        <v>3571</v>
      </c>
      <c r="D416">
        <v>1006858.0</v>
      </c>
      <c r="E416" t="s">
        <v>2134</v>
      </c>
      <c r="F416" t="s">
        <v>3572</v>
      </c>
      <c r="G416" t="s">
        <v>3573</v>
      </c>
      <c r="H416" t="s">
        <v>3574</v>
      </c>
    </row>
    <row r="417">
      <c r="A417">
        <v>49.0</v>
      </c>
      <c r="B417">
        <v>1006844.0</v>
      </c>
      <c r="C417" t="s">
        <v>3575</v>
      </c>
      <c r="D417">
        <v>1006844.0</v>
      </c>
      <c r="E417" t="s">
        <v>2129</v>
      </c>
      <c r="F417" t="s">
        <v>3576</v>
      </c>
      <c r="G417" t="s">
        <v>3577</v>
      </c>
      <c r="H417" t="s">
        <v>3578</v>
      </c>
    </row>
    <row r="418">
      <c r="A418">
        <v>49.0</v>
      </c>
      <c r="B418">
        <v>1006845.0</v>
      </c>
      <c r="C418" t="s">
        <v>3579</v>
      </c>
      <c r="D418">
        <v>1006845.0</v>
      </c>
      <c r="E418" t="s">
        <v>2129</v>
      </c>
      <c r="F418" t="s">
        <v>3580</v>
      </c>
      <c r="G418" t="s">
        <v>3581</v>
      </c>
      <c r="H418" t="s">
        <v>3582</v>
      </c>
    </row>
    <row r="419">
      <c r="A419">
        <v>49.0</v>
      </c>
      <c r="B419">
        <v>1006835.0</v>
      </c>
      <c r="C419" t="s">
        <v>3583</v>
      </c>
      <c r="D419">
        <v>1006835.0</v>
      </c>
      <c r="E419" t="s">
        <v>2129</v>
      </c>
      <c r="F419" t="s">
        <v>3584</v>
      </c>
      <c r="G419" t="s">
        <v>3585</v>
      </c>
      <c r="H419" t="s">
        <v>3586</v>
      </c>
    </row>
    <row r="420">
      <c r="A420">
        <v>49.0</v>
      </c>
      <c r="B420">
        <v>1006843.0</v>
      </c>
      <c r="C420" t="s">
        <v>3587</v>
      </c>
      <c r="D420">
        <v>1006843.0</v>
      </c>
      <c r="E420" t="s">
        <v>2129</v>
      </c>
      <c r="F420" t="s">
        <v>3588</v>
      </c>
      <c r="G420" t="s">
        <v>3589</v>
      </c>
      <c r="H420" t="s">
        <v>3590</v>
      </c>
    </row>
    <row r="421">
      <c r="A421">
        <v>49.0</v>
      </c>
      <c r="B421">
        <v>1006842.0</v>
      </c>
      <c r="C421" t="s">
        <v>3591</v>
      </c>
      <c r="D421">
        <v>1006842.0</v>
      </c>
      <c r="E421" t="s">
        <v>2129</v>
      </c>
      <c r="F421" t="s">
        <v>3592</v>
      </c>
      <c r="G421" t="s">
        <v>3593</v>
      </c>
      <c r="H421" t="s">
        <v>3594</v>
      </c>
    </row>
    <row r="422">
      <c r="A422">
        <v>49.0</v>
      </c>
      <c r="B422">
        <v>1006834.0</v>
      </c>
      <c r="C422" t="s">
        <v>3595</v>
      </c>
      <c r="D422">
        <v>1006834.0</v>
      </c>
      <c r="E422" t="s">
        <v>2129</v>
      </c>
      <c r="F422" t="s">
        <v>3596</v>
      </c>
      <c r="G422" t="s">
        <v>3597</v>
      </c>
      <c r="H422" t="s">
        <v>3598</v>
      </c>
    </row>
    <row r="423">
      <c r="A423">
        <v>49.0</v>
      </c>
      <c r="B423">
        <v>1006836.0</v>
      </c>
      <c r="C423" t="s">
        <v>3599</v>
      </c>
      <c r="D423">
        <v>1006836.0</v>
      </c>
      <c r="E423" t="s">
        <v>2198</v>
      </c>
      <c r="F423" t="s">
        <v>3600</v>
      </c>
      <c r="G423" t="s">
        <v>3601</v>
      </c>
      <c r="H423" t="s">
        <v>3602</v>
      </c>
    </row>
    <row r="424">
      <c r="A424">
        <v>49.0</v>
      </c>
      <c r="B424">
        <v>1006860.0</v>
      </c>
      <c r="C424" t="s">
        <v>3603</v>
      </c>
      <c r="D424">
        <v>1006860.0</v>
      </c>
      <c r="E424" t="s">
        <v>2134</v>
      </c>
      <c r="F424" t="s">
        <v>3604</v>
      </c>
      <c r="G424" t="s">
        <v>3605</v>
      </c>
      <c r="H424" t="s">
        <v>3606</v>
      </c>
    </row>
    <row r="425">
      <c r="A425">
        <v>49.0</v>
      </c>
      <c r="B425">
        <v>1006856.0</v>
      </c>
      <c r="C425" t="s">
        <v>3607</v>
      </c>
      <c r="D425">
        <v>1006856.0</v>
      </c>
      <c r="E425" t="s">
        <v>2134</v>
      </c>
      <c r="F425" t="s">
        <v>3608</v>
      </c>
      <c r="G425" t="s">
        <v>3609</v>
      </c>
      <c r="H425" t="s">
        <v>3610</v>
      </c>
    </row>
    <row r="426">
      <c r="A426">
        <v>49.0</v>
      </c>
      <c r="B426">
        <v>1006854.0</v>
      </c>
      <c r="C426" t="s">
        <v>3611</v>
      </c>
      <c r="D426">
        <v>1006854.0</v>
      </c>
      <c r="E426" t="s">
        <v>2134</v>
      </c>
      <c r="F426" t="s">
        <v>3612</v>
      </c>
      <c r="G426" t="s">
        <v>3613</v>
      </c>
      <c r="H426" t="s">
        <v>3614</v>
      </c>
    </row>
    <row r="427">
      <c r="A427">
        <v>49.0</v>
      </c>
      <c r="B427">
        <v>1006855.0</v>
      </c>
      <c r="C427" t="s">
        <v>3615</v>
      </c>
      <c r="D427">
        <v>1006855.0</v>
      </c>
      <c r="E427" t="s">
        <v>2134</v>
      </c>
      <c r="F427" t="s">
        <v>3616</v>
      </c>
      <c r="G427" t="s">
        <v>3617</v>
      </c>
      <c r="H427" t="s">
        <v>3618</v>
      </c>
    </row>
    <row r="429">
      <c r="A429">
        <v>50.0</v>
      </c>
      <c r="B429">
        <v>1006911.0</v>
      </c>
      <c r="C429" t="s">
        <v>3619</v>
      </c>
      <c r="D429">
        <v>1006911.0</v>
      </c>
      <c r="E429" t="s">
        <v>2134</v>
      </c>
      <c r="F429" t="s">
        <v>3620</v>
      </c>
      <c r="G429" t="s">
        <v>3621</v>
      </c>
      <c r="H429" t="s">
        <v>3622</v>
      </c>
    </row>
    <row r="430">
      <c r="A430">
        <v>50.0</v>
      </c>
      <c r="B430">
        <v>1006900.0</v>
      </c>
      <c r="C430" t="s">
        <v>3623</v>
      </c>
      <c r="D430">
        <v>1006900.0</v>
      </c>
      <c r="E430" t="s">
        <v>2129</v>
      </c>
      <c r="F430" t="s">
        <v>3624</v>
      </c>
      <c r="G430" t="s">
        <v>3625</v>
      </c>
      <c r="H430" t="s">
        <v>3626</v>
      </c>
    </row>
    <row r="431">
      <c r="A431">
        <v>50.0</v>
      </c>
      <c r="B431">
        <v>1006870.0</v>
      </c>
      <c r="C431" t="s">
        <v>3627</v>
      </c>
      <c r="D431">
        <v>1006870.0</v>
      </c>
      <c r="E431" t="s">
        <v>2129</v>
      </c>
      <c r="F431" t="s">
        <v>3628</v>
      </c>
      <c r="G431" t="s">
        <v>3629</v>
      </c>
      <c r="H431" t="s">
        <v>3630</v>
      </c>
    </row>
    <row r="432">
      <c r="A432">
        <v>50.0</v>
      </c>
      <c r="B432">
        <v>1006897.0</v>
      </c>
      <c r="C432" t="s">
        <v>3631</v>
      </c>
      <c r="D432">
        <v>1006897.0</v>
      </c>
      <c r="E432" t="s">
        <v>2134</v>
      </c>
      <c r="F432" t="s">
        <v>3632</v>
      </c>
      <c r="G432" t="s">
        <v>3633</v>
      </c>
      <c r="H432" t="s">
        <v>3634</v>
      </c>
    </row>
    <row r="433">
      <c r="A433">
        <v>50.0</v>
      </c>
      <c r="B433">
        <v>1006905.0</v>
      </c>
      <c r="C433" t="s">
        <v>3635</v>
      </c>
      <c r="D433">
        <v>1006905.0</v>
      </c>
      <c r="E433" t="s">
        <v>2129</v>
      </c>
      <c r="F433" t="s">
        <v>3636</v>
      </c>
      <c r="G433" t="s">
        <v>3637</v>
      </c>
      <c r="H433" t="s">
        <v>3638</v>
      </c>
    </row>
    <row r="434">
      <c r="A434">
        <v>50.0</v>
      </c>
      <c r="B434">
        <v>1006891.0</v>
      </c>
      <c r="C434" t="s">
        <v>3639</v>
      </c>
      <c r="D434">
        <v>1006891.0</v>
      </c>
      <c r="E434" t="s">
        <v>2129</v>
      </c>
      <c r="F434" t="s">
        <v>3640</v>
      </c>
      <c r="G434" t="s">
        <v>3641</v>
      </c>
      <c r="H434" t="s">
        <v>3642</v>
      </c>
    </row>
    <row r="435">
      <c r="A435">
        <v>50.0</v>
      </c>
      <c r="B435">
        <v>1006899.0</v>
      </c>
      <c r="C435" t="s">
        <v>3643</v>
      </c>
      <c r="D435">
        <v>1006899.0</v>
      </c>
      <c r="E435" t="s">
        <v>2129</v>
      </c>
      <c r="F435" t="s">
        <v>3644</v>
      </c>
      <c r="G435" t="s">
        <v>3645</v>
      </c>
      <c r="H435" t="s">
        <v>3646</v>
      </c>
    </row>
    <row r="436">
      <c r="A436">
        <v>50.0</v>
      </c>
      <c r="B436">
        <v>1006881.0</v>
      </c>
      <c r="C436" t="s">
        <v>3647</v>
      </c>
      <c r="D436">
        <v>1006881.0</v>
      </c>
      <c r="E436" t="s">
        <v>2134</v>
      </c>
      <c r="F436" t="s">
        <v>3648</v>
      </c>
      <c r="G436" t="s">
        <v>3649</v>
      </c>
      <c r="H436" t="s">
        <v>3650</v>
      </c>
    </row>
    <row r="438">
      <c r="A438">
        <v>51.0</v>
      </c>
      <c r="B438">
        <v>1007006.0</v>
      </c>
      <c r="C438" t="s">
        <v>3651</v>
      </c>
      <c r="D438">
        <v>1007006.0</v>
      </c>
      <c r="E438" t="s">
        <v>2129</v>
      </c>
      <c r="F438" t="s">
        <v>3652</v>
      </c>
      <c r="G438" t="s">
        <v>3653</v>
      </c>
      <c r="H438" t="s">
        <v>3654</v>
      </c>
    </row>
    <row r="439">
      <c r="A439">
        <v>51.0</v>
      </c>
      <c r="B439">
        <v>1006988.0</v>
      </c>
      <c r="C439" t="s">
        <v>3655</v>
      </c>
      <c r="D439">
        <v>1006988.0</v>
      </c>
      <c r="E439" t="s">
        <v>2129</v>
      </c>
      <c r="F439" t="s">
        <v>3656</v>
      </c>
      <c r="G439" t="s">
        <v>3657</v>
      </c>
      <c r="H439" t="s">
        <v>3658</v>
      </c>
    </row>
    <row r="440">
      <c r="A440">
        <v>51.0</v>
      </c>
      <c r="B440">
        <v>1007003.0</v>
      </c>
      <c r="C440" t="s">
        <v>3659</v>
      </c>
      <c r="D440">
        <v>1007003.0</v>
      </c>
      <c r="E440" t="s">
        <v>2129</v>
      </c>
      <c r="F440" t="s">
        <v>3660</v>
      </c>
      <c r="G440" t="s">
        <v>3661</v>
      </c>
      <c r="H440" t="s">
        <v>3662</v>
      </c>
    </row>
    <row r="441">
      <c r="A441">
        <v>51.0</v>
      </c>
      <c r="B441">
        <v>1006987.0</v>
      </c>
      <c r="C441" t="s">
        <v>3663</v>
      </c>
      <c r="D441">
        <v>1006987.0</v>
      </c>
      <c r="E441" t="s">
        <v>2129</v>
      </c>
      <c r="F441" t="s">
        <v>3664</v>
      </c>
      <c r="G441" t="s">
        <v>3665</v>
      </c>
      <c r="H441" t="s">
        <v>3666</v>
      </c>
    </row>
    <row r="442">
      <c r="A442">
        <v>51.0</v>
      </c>
      <c r="B442">
        <v>1006998.0</v>
      </c>
      <c r="C442" t="s">
        <v>3667</v>
      </c>
      <c r="D442">
        <v>1006998.0</v>
      </c>
      <c r="E442" t="s">
        <v>2129</v>
      </c>
      <c r="F442" t="s">
        <v>3668</v>
      </c>
      <c r="G442" t="s">
        <v>3669</v>
      </c>
      <c r="H442" t="s">
        <v>3670</v>
      </c>
    </row>
    <row r="443">
      <c r="A443">
        <v>51.0</v>
      </c>
      <c r="B443">
        <v>1007005.0</v>
      </c>
      <c r="C443" t="s">
        <v>3671</v>
      </c>
      <c r="D443">
        <v>1007005.0</v>
      </c>
      <c r="E443" t="s">
        <v>2129</v>
      </c>
      <c r="F443" t="s">
        <v>3672</v>
      </c>
      <c r="G443" t="s">
        <v>3673</v>
      </c>
      <c r="H443" t="s">
        <v>3674</v>
      </c>
    </row>
    <row r="444">
      <c r="A444">
        <v>51.0</v>
      </c>
      <c r="B444">
        <v>1006989.0</v>
      </c>
      <c r="C444" t="s">
        <v>3675</v>
      </c>
      <c r="D444">
        <v>1006989.0</v>
      </c>
      <c r="E444" t="s">
        <v>2129</v>
      </c>
      <c r="F444" t="s">
        <v>3676</v>
      </c>
      <c r="G444" t="s">
        <v>3677</v>
      </c>
      <c r="H444" t="s">
        <v>3678</v>
      </c>
    </row>
    <row r="445">
      <c r="A445">
        <v>51.0</v>
      </c>
      <c r="B445">
        <v>1006995.0</v>
      </c>
      <c r="C445" t="s">
        <v>3679</v>
      </c>
      <c r="D445">
        <v>1006995.0</v>
      </c>
      <c r="E445" t="s">
        <v>2129</v>
      </c>
      <c r="F445" t="s">
        <v>3680</v>
      </c>
      <c r="G445" t="s">
        <v>3681</v>
      </c>
      <c r="H445" t="s">
        <v>3682</v>
      </c>
    </row>
    <row r="446">
      <c r="A446">
        <v>51.0</v>
      </c>
      <c r="B446">
        <v>1007001.0</v>
      </c>
      <c r="C446" t="s">
        <v>3683</v>
      </c>
      <c r="D446">
        <v>1007001.0</v>
      </c>
      <c r="E446" t="s">
        <v>2129</v>
      </c>
      <c r="F446" t="s">
        <v>3684</v>
      </c>
      <c r="G446" t="s">
        <v>3685</v>
      </c>
      <c r="H446" t="s">
        <v>3686</v>
      </c>
    </row>
    <row r="447">
      <c r="A447">
        <v>51.0</v>
      </c>
      <c r="B447">
        <v>1006997.0</v>
      </c>
      <c r="C447" t="s">
        <v>3687</v>
      </c>
      <c r="D447">
        <v>1006997.0</v>
      </c>
      <c r="E447" t="s">
        <v>2129</v>
      </c>
      <c r="F447" t="s">
        <v>3688</v>
      </c>
      <c r="G447" t="s">
        <v>3689</v>
      </c>
      <c r="H447" t="s">
        <v>3690</v>
      </c>
    </row>
    <row r="448">
      <c r="A448">
        <v>51.0</v>
      </c>
      <c r="B448">
        <v>1006991.0</v>
      </c>
      <c r="C448" t="s">
        <v>3691</v>
      </c>
      <c r="D448">
        <v>1006991.0</v>
      </c>
      <c r="E448" t="s">
        <v>2129</v>
      </c>
      <c r="F448" t="s">
        <v>3692</v>
      </c>
      <c r="G448" t="s">
        <v>3693</v>
      </c>
      <c r="H448" t="s">
        <v>3694</v>
      </c>
    </row>
    <row r="449">
      <c r="A449">
        <v>51.0</v>
      </c>
      <c r="B449">
        <v>1006993.0</v>
      </c>
      <c r="C449" t="s">
        <v>3695</v>
      </c>
      <c r="D449">
        <v>1006993.0</v>
      </c>
      <c r="E449" t="s">
        <v>2129</v>
      </c>
      <c r="F449" t="s">
        <v>3696</v>
      </c>
      <c r="G449" t="s">
        <v>3697</v>
      </c>
      <c r="H449" t="s">
        <v>3698</v>
      </c>
    </row>
    <row r="450">
      <c r="A450">
        <v>51.0</v>
      </c>
      <c r="B450">
        <v>1007004.0</v>
      </c>
      <c r="C450" t="s">
        <v>3699</v>
      </c>
      <c r="D450">
        <v>1007004.0</v>
      </c>
      <c r="E450" t="s">
        <v>2134</v>
      </c>
      <c r="F450" t="s">
        <v>2556</v>
      </c>
      <c r="G450" t="s">
        <v>3700</v>
      </c>
      <c r="H450" t="s">
        <v>3701</v>
      </c>
    </row>
    <row r="451">
      <c r="A451">
        <v>51.0</v>
      </c>
      <c r="B451">
        <v>1007002.0</v>
      </c>
      <c r="C451" t="s">
        <v>3702</v>
      </c>
      <c r="D451">
        <v>1007002.0</v>
      </c>
      <c r="E451" t="s">
        <v>2134</v>
      </c>
      <c r="F451" t="s">
        <v>3703</v>
      </c>
      <c r="G451" t="s">
        <v>3704</v>
      </c>
      <c r="H451" t="s">
        <v>3705</v>
      </c>
    </row>
    <row r="452">
      <c r="A452">
        <v>51.0</v>
      </c>
      <c r="B452">
        <v>1006992.0</v>
      </c>
      <c r="C452" t="s">
        <v>3706</v>
      </c>
      <c r="D452">
        <v>1006992.0</v>
      </c>
      <c r="E452" t="s">
        <v>2134</v>
      </c>
      <c r="F452" t="s">
        <v>3707</v>
      </c>
      <c r="G452" t="s">
        <v>3708</v>
      </c>
      <c r="H452" t="s">
        <v>3709</v>
      </c>
    </row>
    <row r="453">
      <c r="A453">
        <v>51.0</v>
      </c>
      <c r="B453">
        <v>1007000.0</v>
      </c>
      <c r="C453" t="s">
        <v>3710</v>
      </c>
      <c r="D453">
        <v>1007000.0</v>
      </c>
      <c r="E453" t="s">
        <v>2129</v>
      </c>
      <c r="F453" t="s">
        <v>3711</v>
      </c>
      <c r="G453" t="s">
        <v>3712</v>
      </c>
      <c r="H453" t="s">
        <v>3713</v>
      </c>
    </row>
    <row r="455">
      <c r="A455">
        <v>52.0</v>
      </c>
      <c r="B455">
        <v>1007010.0</v>
      </c>
      <c r="C455" t="s">
        <v>3714</v>
      </c>
      <c r="D455">
        <v>1007010.0</v>
      </c>
      <c r="E455" t="s">
        <v>2129</v>
      </c>
      <c r="F455" t="s">
        <v>3715</v>
      </c>
      <c r="G455" t="s">
        <v>3716</v>
      </c>
      <c r="H455" t="s">
        <v>3717</v>
      </c>
    </row>
    <row r="456">
      <c r="A456">
        <v>52.0</v>
      </c>
      <c r="B456">
        <v>1007017.0</v>
      </c>
      <c r="C456" t="s">
        <v>3718</v>
      </c>
      <c r="D456">
        <v>1007017.0</v>
      </c>
      <c r="E456" t="s">
        <v>2134</v>
      </c>
      <c r="F456" t="s">
        <v>3719</v>
      </c>
      <c r="G456" t="s">
        <v>3720</v>
      </c>
      <c r="H456" t="s">
        <v>3721</v>
      </c>
    </row>
    <row r="457">
      <c r="A457">
        <v>52.0</v>
      </c>
      <c r="B457">
        <v>1007016.0</v>
      </c>
      <c r="C457" t="s">
        <v>3722</v>
      </c>
      <c r="D457">
        <v>1007016.0</v>
      </c>
      <c r="E457" t="s">
        <v>2129</v>
      </c>
      <c r="F457" t="s">
        <v>3723</v>
      </c>
      <c r="G457" t="s">
        <v>3724</v>
      </c>
      <c r="H457" t="s">
        <v>3725</v>
      </c>
    </row>
    <row r="458">
      <c r="A458">
        <v>52.0</v>
      </c>
      <c r="B458">
        <v>1007012.0</v>
      </c>
      <c r="C458" t="s">
        <v>3726</v>
      </c>
      <c r="D458">
        <v>1007012.0</v>
      </c>
      <c r="E458" t="s">
        <v>2129</v>
      </c>
      <c r="F458" t="s">
        <v>3727</v>
      </c>
      <c r="G458" t="s">
        <v>3728</v>
      </c>
      <c r="H458" t="s">
        <v>3729</v>
      </c>
    </row>
    <row r="459">
      <c r="A459">
        <v>52.0</v>
      </c>
      <c r="B459">
        <v>1007021.0</v>
      </c>
      <c r="C459" t="s">
        <v>3730</v>
      </c>
      <c r="D459">
        <v>1007021.0</v>
      </c>
      <c r="E459" t="s">
        <v>2129</v>
      </c>
      <c r="F459" t="s">
        <v>3731</v>
      </c>
      <c r="G459" t="s">
        <v>3732</v>
      </c>
      <c r="H459" t="s">
        <v>3733</v>
      </c>
    </row>
    <row r="460">
      <c r="A460">
        <v>52.0</v>
      </c>
      <c r="B460">
        <v>1007022.0</v>
      </c>
      <c r="C460" t="s">
        <v>3734</v>
      </c>
      <c r="D460">
        <v>1007022.0</v>
      </c>
      <c r="E460" t="s">
        <v>2134</v>
      </c>
      <c r="F460" t="s">
        <v>3735</v>
      </c>
      <c r="G460" t="s">
        <v>3736</v>
      </c>
      <c r="H460" t="s">
        <v>3737</v>
      </c>
    </row>
    <row r="461">
      <c r="A461">
        <v>52.0</v>
      </c>
      <c r="B461">
        <v>1007011.0</v>
      </c>
      <c r="C461" t="s">
        <v>3738</v>
      </c>
      <c r="D461">
        <v>1007011.0</v>
      </c>
      <c r="E461" t="s">
        <v>2129</v>
      </c>
      <c r="F461" t="s">
        <v>3739</v>
      </c>
      <c r="G461" t="s">
        <v>3740</v>
      </c>
      <c r="H461" t="s">
        <v>3741</v>
      </c>
    </row>
    <row r="462">
      <c r="A462">
        <v>52.0</v>
      </c>
      <c r="B462">
        <v>1007014.0</v>
      </c>
      <c r="C462" t="s">
        <v>3742</v>
      </c>
      <c r="D462">
        <v>1007014.0</v>
      </c>
      <c r="E462" t="s">
        <v>2134</v>
      </c>
      <c r="F462" t="s">
        <v>3743</v>
      </c>
      <c r="G462" t="s">
        <v>3744</v>
      </c>
      <c r="H462" t="s">
        <v>3745</v>
      </c>
    </row>
    <row r="463">
      <c r="A463">
        <v>52.0</v>
      </c>
      <c r="B463">
        <v>1007020.0</v>
      </c>
      <c r="C463" t="s">
        <v>3746</v>
      </c>
      <c r="D463">
        <v>1007020.0</v>
      </c>
      <c r="E463" t="s">
        <v>2129</v>
      </c>
      <c r="F463" t="s">
        <v>3747</v>
      </c>
      <c r="G463" t="s">
        <v>3748</v>
      </c>
      <c r="H463" t="s">
        <v>3749</v>
      </c>
    </row>
    <row r="464">
      <c r="A464">
        <v>52.0</v>
      </c>
      <c r="B464">
        <v>1007007.0</v>
      </c>
      <c r="C464" t="s">
        <v>3750</v>
      </c>
      <c r="D464">
        <v>1007007.0</v>
      </c>
      <c r="E464" t="s">
        <v>2134</v>
      </c>
      <c r="F464" t="s">
        <v>3751</v>
      </c>
      <c r="G464" t="s">
        <v>3752</v>
      </c>
      <c r="H464" t="s">
        <v>3753</v>
      </c>
    </row>
    <row r="465">
      <c r="A465">
        <v>52.0</v>
      </c>
      <c r="B465">
        <v>1007018.0</v>
      </c>
      <c r="C465" t="s">
        <v>3754</v>
      </c>
      <c r="D465">
        <v>1007018.0</v>
      </c>
      <c r="E465" t="s">
        <v>2129</v>
      </c>
      <c r="F465" t="s">
        <v>3755</v>
      </c>
      <c r="G465" t="s">
        <v>3756</v>
      </c>
      <c r="H465" t="s">
        <v>3757</v>
      </c>
    </row>
    <row r="466">
      <c r="A466">
        <v>52.0</v>
      </c>
      <c r="B466">
        <v>1007009.0</v>
      </c>
      <c r="C466" t="s">
        <v>3758</v>
      </c>
      <c r="D466">
        <v>1007009.0</v>
      </c>
      <c r="E466" t="s">
        <v>2129</v>
      </c>
      <c r="F466" t="s">
        <v>3759</v>
      </c>
      <c r="G466" t="s">
        <v>3760</v>
      </c>
      <c r="H466" t="s">
        <v>3761</v>
      </c>
    </row>
    <row r="467">
      <c r="A467">
        <v>52.0</v>
      </c>
      <c r="B467">
        <v>1007013.0</v>
      </c>
      <c r="C467" t="s">
        <v>3762</v>
      </c>
      <c r="D467">
        <v>1007013.0</v>
      </c>
      <c r="E467" t="s">
        <v>2129</v>
      </c>
      <c r="F467" t="s">
        <v>3763</v>
      </c>
      <c r="G467" t="s">
        <v>3764</v>
      </c>
      <c r="H467" t="s">
        <v>3765</v>
      </c>
    </row>
    <row r="468">
      <c r="A468">
        <v>52.0</v>
      </c>
      <c r="B468">
        <v>1007015.0</v>
      </c>
      <c r="C468" t="s">
        <v>3766</v>
      </c>
      <c r="D468">
        <v>1007015.0</v>
      </c>
      <c r="E468" t="s">
        <v>2129</v>
      </c>
      <c r="F468" t="s">
        <v>3767</v>
      </c>
      <c r="G468" t="s">
        <v>3768</v>
      </c>
      <c r="H468" t="s">
        <v>3769</v>
      </c>
    </row>
    <row r="469">
      <c r="A469">
        <v>52.0</v>
      </c>
      <c r="B469">
        <v>1007008.0</v>
      </c>
      <c r="C469" t="s">
        <v>3770</v>
      </c>
      <c r="D469">
        <v>1007008.0</v>
      </c>
      <c r="E469" t="s">
        <v>2129</v>
      </c>
      <c r="F469" t="s">
        <v>3771</v>
      </c>
      <c r="G469" t="s">
        <v>3772</v>
      </c>
      <c r="H469" t="s">
        <v>3773</v>
      </c>
    </row>
    <row r="471">
      <c r="A471">
        <v>53.0</v>
      </c>
      <c r="B471">
        <v>1007034.0</v>
      </c>
      <c r="C471" t="s">
        <v>3774</v>
      </c>
      <c r="D471">
        <v>1007034.0</v>
      </c>
      <c r="E471" t="s">
        <v>2129</v>
      </c>
      <c r="F471" t="s">
        <v>3775</v>
      </c>
      <c r="G471" t="s">
        <v>3776</v>
      </c>
      <c r="H471" t="s">
        <v>3777</v>
      </c>
    </row>
    <row r="472">
      <c r="A472">
        <v>53.0</v>
      </c>
      <c r="B472">
        <v>1007029.0</v>
      </c>
      <c r="C472" t="s">
        <v>3778</v>
      </c>
      <c r="D472">
        <v>1007029.0</v>
      </c>
      <c r="E472" t="s">
        <v>2129</v>
      </c>
      <c r="F472" t="s">
        <v>3779</v>
      </c>
      <c r="G472" t="s">
        <v>3780</v>
      </c>
      <c r="H472" t="s">
        <v>3781</v>
      </c>
    </row>
    <row r="473">
      <c r="A473">
        <v>53.0</v>
      </c>
      <c r="B473">
        <v>1007035.0</v>
      </c>
      <c r="C473" t="s">
        <v>3782</v>
      </c>
      <c r="D473">
        <v>1007035.0</v>
      </c>
      <c r="E473" t="s">
        <v>2134</v>
      </c>
      <c r="F473" t="s">
        <v>3783</v>
      </c>
      <c r="G473" t="s">
        <v>3784</v>
      </c>
      <c r="H473" t="s">
        <v>3785</v>
      </c>
    </row>
    <row r="474">
      <c r="A474">
        <v>53.0</v>
      </c>
      <c r="B474">
        <v>1007025.0</v>
      </c>
      <c r="C474" t="s">
        <v>3786</v>
      </c>
      <c r="D474">
        <v>1007025.0</v>
      </c>
      <c r="E474" t="s">
        <v>2134</v>
      </c>
      <c r="F474" t="s">
        <v>3787</v>
      </c>
      <c r="G474" t="s">
        <v>3788</v>
      </c>
      <c r="H474" t="s">
        <v>3789</v>
      </c>
    </row>
    <row r="475">
      <c r="A475">
        <v>53.0</v>
      </c>
      <c r="B475">
        <v>1007027.0</v>
      </c>
      <c r="C475" t="s">
        <v>3790</v>
      </c>
      <c r="D475">
        <v>1007027.0</v>
      </c>
      <c r="E475" t="s">
        <v>2129</v>
      </c>
      <c r="F475" t="s">
        <v>3791</v>
      </c>
      <c r="G475" t="s">
        <v>3792</v>
      </c>
      <c r="H475" t="s">
        <v>3793</v>
      </c>
    </row>
    <row r="476">
      <c r="A476">
        <v>53.0</v>
      </c>
      <c r="B476">
        <v>1007026.0</v>
      </c>
      <c r="C476" t="s">
        <v>3794</v>
      </c>
      <c r="D476">
        <v>1007026.0</v>
      </c>
      <c r="E476" t="s">
        <v>2129</v>
      </c>
      <c r="F476" t="s">
        <v>3795</v>
      </c>
      <c r="G476" t="s">
        <v>3796</v>
      </c>
      <c r="H476" t="s">
        <v>3797</v>
      </c>
    </row>
    <row r="477">
      <c r="A477">
        <v>53.0</v>
      </c>
      <c r="B477">
        <v>1007030.0</v>
      </c>
      <c r="C477" t="s">
        <v>3798</v>
      </c>
      <c r="D477">
        <v>1007030.0</v>
      </c>
      <c r="E477" t="s">
        <v>2134</v>
      </c>
      <c r="F477" t="s">
        <v>3799</v>
      </c>
      <c r="G477" t="s">
        <v>3800</v>
      </c>
      <c r="H477" t="s">
        <v>3801</v>
      </c>
    </row>
    <row r="478">
      <c r="A478">
        <v>53.0</v>
      </c>
      <c r="B478">
        <v>1007024.0</v>
      </c>
      <c r="C478" t="s">
        <v>3802</v>
      </c>
      <c r="D478">
        <v>1007024.0</v>
      </c>
      <c r="E478" t="s">
        <v>2129</v>
      </c>
      <c r="F478" t="s">
        <v>3803</v>
      </c>
      <c r="G478" t="s">
        <v>3804</v>
      </c>
      <c r="H478" t="s">
        <v>3805</v>
      </c>
    </row>
    <row r="479">
      <c r="A479">
        <v>53.0</v>
      </c>
      <c r="B479">
        <v>1007028.0</v>
      </c>
      <c r="C479" t="s">
        <v>3806</v>
      </c>
      <c r="D479">
        <v>1007028.0</v>
      </c>
      <c r="E479" t="s">
        <v>2129</v>
      </c>
      <c r="F479" t="s">
        <v>3807</v>
      </c>
      <c r="G479" t="s">
        <v>3808</v>
      </c>
      <c r="H479" t="s">
        <v>3809</v>
      </c>
    </row>
    <row r="480">
      <c r="A480">
        <v>53.0</v>
      </c>
      <c r="B480">
        <v>1007031.0</v>
      </c>
      <c r="C480" t="s">
        <v>3810</v>
      </c>
      <c r="D480">
        <v>1007031.0</v>
      </c>
      <c r="E480" t="s">
        <v>2129</v>
      </c>
      <c r="F480" t="s">
        <v>3811</v>
      </c>
      <c r="G480" t="s">
        <v>3812</v>
      </c>
      <c r="H480" t="s">
        <v>3813</v>
      </c>
    </row>
    <row r="481">
      <c r="A481">
        <v>53.0</v>
      </c>
      <c r="B481">
        <v>1007036.0</v>
      </c>
      <c r="C481" t="s">
        <v>3814</v>
      </c>
      <c r="D481">
        <v>1007036.0</v>
      </c>
      <c r="E481" t="s">
        <v>2134</v>
      </c>
      <c r="F481" t="s">
        <v>3815</v>
      </c>
      <c r="G481" t="s">
        <v>3816</v>
      </c>
      <c r="H481" t="s">
        <v>3817</v>
      </c>
    </row>
    <row r="482">
      <c r="A482">
        <v>53.0</v>
      </c>
      <c r="B482">
        <v>1007032.0</v>
      </c>
      <c r="C482" t="s">
        <v>3818</v>
      </c>
      <c r="D482">
        <v>1007032.0</v>
      </c>
      <c r="E482" t="s">
        <v>2129</v>
      </c>
      <c r="F482" t="s">
        <v>3819</v>
      </c>
      <c r="G482" t="s">
        <v>3820</v>
      </c>
      <c r="H482" t="s">
        <v>3821</v>
      </c>
    </row>
    <row r="483">
      <c r="A483">
        <v>53.0</v>
      </c>
      <c r="B483">
        <v>1007023.0</v>
      </c>
      <c r="C483" t="s">
        <v>3822</v>
      </c>
      <c r="D483">
        <v>1007023.0</v>
      </c>
      <c r="E483" t="s">
        <v>2134</v>
      </c>
      <c r="F483" t="s">
        <v>3823</v>
      </c>
      <c r="G483" t="s">
        <v>3824</v>
      </c>
      <c r="H483" t="s">
        <v>3825</v>
      </c>
    </row>
    <row r="485">
      <c r="A485">
        <v>54.0</v>
      </c>
      <c r="B485">
        <v>1007146.0</v>
      </c>
      <c r="C485" t="s">
        <v>3826</v>
      </c>
      <c r="D485">
        <v>1007146.0</v>
      </c>
      <c r="E485" t="s">
        <v>2134</v>
      </c>
      <c r="F485" t="s">
        <v>3827</v>
      </c>
      <c r="G485" t="s">
        <v>3828</v>
      </c>
      <c r="H485" t="s">
        <v>3829</v>
      </c>
    </row>
    <row r="486">
      <c r="A486">
        <v>54.0</v>
      </c>
      <c r="B486">
        <v>1007157.0</v>
      </c>
      <c r="C486" t="s">
        <v>3830</v>
      </c>
      <c r="D486">
        <v>1007157.0</v>
      </c>
      <c r="E486" t="s">
        <v>2129</v>
      </c>
      <c r="F486" t="s">
        <v>3831</v>
      </c>
      <c r="G486" t="s">
        <v>3832</v>
      </c>
      <c r="H486" t="s">
        <v>3833</v>
      </c>
    </row>
    <row r="487">
      <c r="A487">
        <v>54.0</v>
      </c>
      <c r="B487">
        <v>1007120.0</v>
      </c>
      <c r="C487" t="s">
        <v>3834</v>
      </c>
      <c r="D487">
        <v>1007120.0</v>
      </c>
      <c r="E487" t="s">
        <v>2129</v>
      </c>
      <c r="F487" t="s">
        <v>3835</v>
      </c>
      <c r="G487" t="s">
        <v>3836</v>
      </c>
      <c r="H487" t="s">
        <v>3837</v>
      </c>
    </row>
    <row r="488">
      <c r="A488">
        <v>54.0</v>
      </c>
      <c r="B488">
        <v>1007182.0</v>
      </c>
      <c r="C488" t="s">
        <v>3838</v>
      </c>
      <c r="D488">
        <v>1007182.0</v>
      </c>
      <c r="E488" t="s">
        <v>2134</v>
      </c>
      <c r="F488" t="s">
        <v>3839</v>
      </c>
      <c r="G488" t="s">
        <v>3840</v>
      </c>
      <c r="H488" t="s">
        <v>3841</v>
      </c>
    </row>
    <row r="489">
      <c r="A489">
        <v>54.0</v>
      </c>
      <c r="B489">
        <v>1007152.0</v>
      </c>
      <c r="C489" t="s">
        <v>3842</v>
      </c>
      <c r="D489">
        <v>1007152.0</v>
      </c>
      <c r="E489" t="s">
        <v>2129</v>
      </c>
      <c r="F489" t="s">
        <v>3843</v>
      </c>
      <c r="G489" t="s">
        <v>3844</v>
      </c>
      <c r="H489" t="s">
        <v>3845</v>
      </c>
    </row>
    <row r="490">
      <c r="A490">
        <v>54.0</v>
      </c>
      <c r="B490">
        <v>1007153.0</v>
      </c>
      <c r="C490" t="s">
        <v>3846</v>
      </c>
      <c r="D490">
        <v>1007153.0</v>
      </c>
      <c r="E490" t="s">
        <v>2134</v>
      </c>
      <c r="F490" t="s">
        <v>3847</v>
      </c>
      <c r="G490" t="s">
        <v>3848</v>
      </c>
      <c r="H490" t="s">
        <v>3849</v>
      </c>
    </row>
    <row r="491">
      <c r="A491">
        <v>54.0</v>
      </c>
      <c r="B491">
        <v>1007144.0</v>
      </c>
      <c r="C491" t="s">
        <v>3850</v>
      </c>
      <c r="D491">
        <v>1007144.0</v>
      </c>
      <c r="E491" t="s">
        <v>2129</v>
      </c>
      <c r="F491" t="s">
        <v>3851</v>
      </c>
      <c r="G491" t="s">
        <v>3852</v>
      </c>
      <c r="H491" t="s">
        <v>3853</v>
      </c>
    </row>
    <row r="492">
      <c r="A492">
        <v>54.0</v>
      </c>
      <c r="B492">
        <v>1007164.0</v>
      </c>
      <c r="C492" t="s">
        <v>3854</v>
      </c>
      <c r="D492">
        <v>1007164.0</v>
      </c>
      <c r="E492" t="s">
        <v>2129</v>
      </c>
      <c r="F492" t="s">
        <v>3206</v>
      </c>
      <c r="G492" t="s">
        <v>3855</v>
      </c>
      <c r="H492" t="s">
        <v>3856</v>
      </c>
    </row>
    <row r="493">
      <c r="A493">
        <v>54.0</v>
      </c>
      <c r="B493">
        <v>1007156.0</v>
      </c>
      <c r="C493" t="s">
        <v>3857</v>
      </c>
      <c r="D493">
        <v>1007156.0</v>
      </c>
      <c r="E493" t="s">
        <v>2129</v>
      </c>
      <c r="F493" t="s">
        <v>3858</v>
      </c>
      <c r="G493" t="s">
        <v>3859</v>
      </c>
      <c r="H493" t="s">
        <v>3860</v>
      </c>
    </row>
    <row r="494">
      <c r="A494">
        <v>54.0</v>
      </c>
      <c r="B494">
        <v>1007138.0</v>
      </c>
      <c r="C494" t="s">
        <v>3861</v>
      </c>
      <c r="D494">
        <v>1007138.0</v>
      </c>
      <c r="E494" t="s">
        <v>2129</v>
      </c>
      <c r="F494" t="s">
        <v>3862</v>
      </c>
      <c r="G494" t="s">
        <v>3863</v>
      </c>
      <c r="H494" t="s">
        <v>3864</v>
      </c>
    </row>
    <row r="495">
      <c r="A495">
        <v>54.0</v>
      </c>
      <c r="B495">
        <v>1007160.0</v>
      </c>
      <c r="C495" t="s">
        <v>3865</v>
      </c>
      <c r="D495">
        <v>1007160.0</v>
      </c>
      <c r="E495" t="s">
        <v>2129</v>
      </c>
      <c r="F495" t="s">
        <v>3866</v>
      </c>
      <c r="G495" t="s">
        <v>3867</v>
      </c>
      <c r="H495" t="s">
        <v>3868</v>
      </c>
    </row>
    <row r="496">
      <c r="A496">
        <v>54.0</v>
      </c>
      <c r="B496">
        <v>1007177.0</v>
      </c>
      <c r="C496" t="s">
        <v>3869</v>
      </c>
      <c r="D496">
        <v>1007177.0</v>
      </c>
      <c r="E496" t="s">
        <v>2129</v>
      </c>
      <c r="F496" t="s">
        <v>3870</v>
      </c>
      <c r="G496" t="s">
        <v>3871</v>
      </c>
      <c r="H496" t="s">
        <v>3872</v>
      </c>
    </row>
    <row r="497">
      <c r="A497">
        <v>54.0</v>
      </c>
      <c r="B497">
        <v>1007143.0</v>
      </c>
      <c r="C497" t="s">
        <v>3873</v>
      </c>
      <c r="D497">
        <v>1007143.0</v>
      </c>
      <c r="E497" t="s">
        <v>2129</v>
      </c>
      <c r="F497" t="s">
        <v>3874</v>
      </c>
      <c r="G497" t="s">
        <v>3875</v>
      </c>
      <c r="H497" t="s">
        <v>3876</v>
      </c>
    </row>
    <row r="498">
      <c r="A498">
        <v>54.0</v>
      </c>
      <c r="B498">
        <v>1007170.0</v>
      </c>
      <c r="C498" t="s">
        <v>3877</v>
      </c>
      <c r="D498">
        <v>1007170.0</v>
      </c>
      <c r="E498" t="s">
        <v>2129</v>
      </c>
      <c r="F498" t="s">
        <v>2345</v>
      </c>
      <c r="G498" t="s">
        <v>3878</v>
      </c>
      <c r="H498" t="s">
        <v>3879</v>
      </c>
    </row>
    <row r="499">
      <c r="A499">
        <v>54.0</v>
      </c>
      <c r="B499">
        <v>1007124.0</v>
      </c>
      <c r="C499" t="s">
        <v>3880</v>
      </c>
      <c r="D499">
        <v>1007124.0</v>
      </c>
      <c r="E499" t="s">
        <v>2129</v>
      </c>
      <c r="F499" t="s">
        <v>3881</v>
      </c>
      <c r="G499" t="s">
        <v>3882</v>
      </c>
      <c r="H499" t="s">
        <v>3883</v>
      </c>
    </row>
    <row r="500">
      <c r="A500">
        <v>54.0</v>
      </c>
      <c r="B500">
        <v>1007176.0</v>
      </c>
      <c r="C500" t="s">
        <v>3884</v>
      </c>
      <c r="D500">
        <v>1007176.0</v>
      </c>
      <c r="E500" t="s">
        <v>2129</v>
      </c>
      <c r="F500" t="s">
        <v>3885</v>
      </c>
      <c r="G500" t="s">
        <v>3886</v>
      </c>
      <c r="H500" t="s">
        <v>3887</v>
      </c>
    </row>
    <row r="501">
      <c r="A501">
        <v>54.0</v>
      </c>
      <c r="B501">
        <v>1007161.0</v>
      </c>
      <c r="C501" t="s">
        <v>3888</v>
      </c>
      <c r="D501">
        <v>1007161.0</v>
      </c>
      <c r="E501" t="s">
        <v>2129</v>
      </c>
      <c r="F501" t="s">
        <v>3889</v>
      </c>
      <c r="G501" t="s">
        <v>3890</v>
      </c>
      <c r="H501" t="s">
        <v>3891</v>
      </c>
    </row>
    <row r="502">
      <c r="A502">
        <v>54.0</v>
      </c>
      <c r="B502">
        <v>1007154.0</v>
      </c>
      <c r="C502" t="s">
        <v>3892</v>
      </c>
      <c r="D502">
        <v>1007154.0</v>
      </c>
      <c r="E502" t="s">
        <v>2129</v>
      </c>
      <c r="F502" t="s">
        <v>3893</v>
      </c>
      <c r="G502" t="s">
        <v>3894</v>
      </c>
      <c r="H502" t="s">
        <v>3895</v>
      </c>
    </row>
    <row r="503">
      <c r="A503">
        <v>54.0</v>
      </c>
      <c r="B503">
        <v>1007159.0</v>
      </c>
      <c r="C503" t="s">
        <v>3896</v>
      </c>
      <c r="D503">
        <v>1007159.0</v>
      </c>
      <c r="E503" t="s">
        <v>2129</v>
      </c>
      <c r="F503" t="s">
        <v>3897</v>
      </c>
      <c r="G503" t="s">
        <v>3898</v>
      </c>
      <c r="H503" t="s">
        <v>3899</v>
      </c>
    </row>
    <row r="505">
      <c r="A505">
        <v>55.0</v>
      </c>
      <c r="B505">
        <v>1007198.0</v>
      </c>
      <c r="C505" t="s">
        <v>3900</v>
      </c>
      <c r="D505">
        <v>1007198.0</v>
      </c>
      <c r="E505" t="s">
        <v>2134</v>
      </c>
      <c r="F505" t="s">
        <v>3901</v>
      </c>
      <c r="G505" t="s">
        <v>3902</v>
      </c>
      <c r="H505" t="s">
        <v>3903</v>
      </c>
    </row>
    <row r="506">
      <c r="A506">
        <v>55.0</v>
      </c>
      <c r="B506">
        <v>1007204.0</v>
      </c>
      <c r="C506" t="s">
        <v>3904</v>
      </c>
      <c r="D506">
        <v>1007204.0</v>
      </c>
      <c r="E506" t="s">
        <v>2129</v>
      </c>
      <c r="F506" t="s">
        <v>3905</v>
      </c>
      <c r="G506" t="s">
        <v>3906</v>
      </c>
      <c r="H506" t="s">
        <v>3907</v>
      </c>
    </row>
    <row r="507">
      <c r="A507">
        <v>55.0</v>
      </c>
      <c r="B507">
        <v>1007210.0</v>
      </c>
      <c r="C507" t="s">
        <v>3908</v>
      </c>
      <c r="D507">
        <v>1007210.0</v>
      </c>
      <c r="E507" t="s">
        <v>2134</v>
      </c>
      <c r="F507" t="s">
        <v>3909</v>
      </c>
      <c r="G507" t="s">
        <v>3910</v>
      </c>
      <c r="H507" t="s">
        <v>3911</v>
      </c>
    </row>
    <row r="508">
      <c r="A508">
        <v>55.0</v>
      </c>
      <c r="B508">
        <v>1007196.0</v>
      </c>
      <c r="C508" t="s">
        <v>3912</v>
      </c>
      <c r="D508">
        <v>1007196.0</v>
      </c>
      <c r="E508" t="s">
        <v>2129</v>
      </c>
      <c r="F508" t="s">
        <v>3913</v>
      </c>
      <c r="G508" t="s">
        <v>3914</v>
      </c>
      <c r="H508" t="s">
        <v>3915</v>
      </c>
    </row>
    <row r="509">
      <c r="A509">
        <v>55.0</v>
      </c>
      <c r="B509">
        <v>1007209.0</v>
      </c>
      <c r="C509" t="s">
        <v>3916</v>
      </c>
      <c r="D509">
        <v>1007209.0</v>
      </c>
      <c r="E509" t="s">
        <v>2129</v>
      </c>
      <c r="F509" t="s">
        <v>3917</v>
      </c>
      <c r="G509" t="s">
        <v>3918</v>
      </c>
      <c r="H509" t="s">
        <v>3919</v>
      </c>
    </row>
    <row r="510">
      <c r="A510">
        <v>55.0</v>
      </c>
      <c r="B510">
        <v>1007202.0</v>
      </c>
      <c r="C510" t="s">
        <v>3920</v>
      </c>
      <c r="D510">
        <v>1007202.0</v>
      </c>
      <c r="E510" t="s">
        <v>2134</v>
      </c>
      <c r="F510" t="s">
        <v>3921</v>
      </c>
      <c r="G510" t="s">
        <v>3922</v>
      </c>
      <c r="H510" t="s">
        <v>3923</v>
      </c>
    </row>
    <row r="511">
      <c r="A511">
        <v>55.0</v>
      </c>
      <c r="B511">
        <v>1007203.0</v>
      </c>
      <c r="C511" t="s">
        <v>3924</v>
      </c>
      <c r="D511">
        <v>1007203.0</v>
      </c>
      <c r="E511" t="s">
        <v>2134</v>
      </c>
      <c r="F511" t="s">
        <v>3925</v>
      </c>
      <c r="G511" t="s">
        <v>3926</v>
      </c>
      <c r="H511" t="s">
        <v>3927</v>
      </c>
    </row>
    <row r="512">
      <c r="A512">
        <v>55.0</v>
      </c>
      <c r="B512">
        <v>1007206.0</v>
      </c>
      <c r="C512" t="s">
        <v>3928</v>
      </c>
      <c r="D512">
        <v>1007206.0</v>
      </c>
      <c r="E512" t="s">
        <v>2129</v>
      </c>
      <c r="F512" t="s">
        <v>3929</v>
      </c>
      <c r="G512" t="s">
        <v>3930</v>
      </c>
      <c r="H512" t="s">
        <v>3931</v>
      </c>
    </row>
    <row r="513">
      <c r="A513">
        <v>55.0</v>
      </c>
      <c r="B513">
        <v>1007201.0</v>
      </c>
      <c r="C513" t="s">
        <v>3932</v>
      </c>
      <c r="D513">
        <v>1007201.0</v>
      </c>
      <c r="E513" t="s">
        <v>2129</v>
      </c>
      <c r="F513" t="s">
        <v>3933</v>
      </c>
      <c r="G513" t="s">
        <v>3934</v>
      </c>
      <c r="H513" t="s">
        <v>3935</v>
      </c>
    </row>
    <row r="514">
      <c r="A514">
        <v>55.0</v>
      </c>
      <c r="B514">
        <v>1007208.0</v>
      </c>
      <c r="C514" t="s">
        <v>3936</v>
      </c>
      <c r="D514">
        <v>1007208.0</v>
      </c>
      <c r="E514" t="s">
        <v>2129</v>
      </c>
      <c r="F514" t="s">
        <v>3937</v>
      </c>
      <c r="G514" t="s">
        <v>3938</v>
      </c>
      <c r="H514" t="s">
        <v>3939</v>
      </c>
    </row>
    <row r="515">
      <c r="A515">
        <v>55.0</v>
      </c>
      <c r="B515">
        <v>1007194.0</v>
      </c>
      <c r="C515" t="s">
        <v>3940</v>
      </c>
      <c r="D515">
        <v>1007194.0</v>
      </c>
      <c r="E515" t="s">
        <v>2129</v>
      </c>
      <c r="F515" t="s">
        <v>3941</v>
      </c>
      <c r="G515" t="s">
        <v>3942</v>
      </c>
      <c r="H515" t="s">
        <v>3943</v>
      </c>
    </row>
    <row r="516">
      <c r="A516">
        <v>55.0</v>
      </c>
      <c r="B516">
        <v>1007207.0</v>
      </c>
      <c r="C516" t="s">
        <v>3944</v>
      </c>
      <c r="D516">
        <v>1007207.0</v>
      </c>
      <c r="E516" t="s">
        <v>2129</v>
      </c>
      <c r="F516" t="s">
        <v>3945</v>
      </c>
      <c r="G516" t="s">
        <v>3946</v>
      </c>
      <c r="H516" t="s">
        <v>3947</v>
      </c>
    </row>
    <row r="518">
      <c r="A518">
        <v>56.0</v>
      </c>
      <c r="B518">
        <v>1001273.0</v>
      </c>
      <c r="C518" t="s">
        <v>3948</v>
      </c>
      <c r="D518">
        <v>1001273.0</v>
      </c>
      <c r="E518" t="s">
        <v>2129</v>
      </c>
      <c r="F518" t="s">
        <v>3949</v>
      </c>
      <c r="G518" t="s">
        <v>3950</v>
      </c>
      <c r="H518" t="s">
        <v>3951</v>
      </c>
    </row>
    <row r="519">
      <c r="A519">
        <v>56.0</v>
      </c>
      <c r="B519">
        <v>1003382.0</v>
      </c>
      <c r="C519" t="s">
        <v>3952</v>
      </c>
      <c r="D519">
        <v>1003382.0</v>
      </c>
      <c r="E519" t="s">
        <v>2134</v>
      </c>
      <c r="F519" t="s">
        <v>3953</v>
      </c>
      <c r="G519" t="s">
        <v>3954</v>
      </c>
      <c r="H519" t="s">
        <v>3955</v>
      </c>
    </row>
    <row r="520">
      <c r="A520">
        <v>56.0</v>
      </c>
      <c r="B520">
        <v>1003418.0</v>
      </c>
      <c r="C520" t="s">
        <v>3956</v>
      </c>
      <c r="D520">
        <v>1003418.0</v>
      </c>
      <c r="E520" t="s">
        <v>2134</v>
      </c>
      <c r="F520" t="s">
        <v>3957</v>
      </c>
      <c r="G520" t="s">
        <v>3958</v>
      </c>
      <c r="H520" t="s">
        <v>3959</v>
      </c>
    </row>
    <row r="521">
      <c r="A521">
        <v>56.0</v>
      </c>
      <c r="B521">
        <v>1003420.0</v>
      </c>
      <c r="C521" t="s">
        <v>3960</v>
      </c>
      <c r="D521">
        <v>1003420.0</v>
      </c>
      <c r="E521" t="s">
        <v>2129</v>
      </c>
      <c r="F521" t="s">
        <v>3961</v>
      </c>
      <c r="G521" t="s">
        <v>3962</v>
      </c>
      <c r="H521" t="s">
        <v>3963</v>
      </c>
    </row>
    <row r="522">
      <c r="A522">
        <v>56.0</v>
      </c>
      <c r="B522">
        <v>1003135.0</v>
      </c>
      <c r="C522" t="s">
        <v>3964</v>
      </c>
      <c r="D522">
        <v>1003135.0</v>
      </c>
      <c r="E522" t="s">
        <v>2198</v>
      </c>
      <c r="F522" t="s">
        <v>3965</v>
      </c>
      <c r="G522" t="s">
        <v>3966</v>
      </c>
      <c r="H522" t="s">
        <v>3967</v>
      </c>
    </row>
    <row r="523">
      <c r="A523">
        <v>56.0</v>
      </c>
      <c r="B523">
        <v>1004375.0</v>
      </c>
      <c r="C523" t="s">
        <v>3968</v>
      </c>
      <c r="D523">
        <v>1004375.0</v>
      </c>
      <c r="E523" t="s">
        <v>2129</v>
      </c>
      <c r="F523" t="s">
        <v>3969</v>
      </c>
      <c r="G523" t="s">
        <v>3970</v>
      </c>
      <c r="H523" t="s">
        <v>3971</v>
      </c>
    </row>
    <row r="524">
      <c r="A524">
        <v>56.0</v>
      </c>
      <c r="B524">
        <v>1004562.0</v>
      </c>
      <c r="C524" t="s">
        <v>3972</v>
      </c>
      <c r="D524">
        <v>1004562.0</v>
      </c>
      <c r="E524" t="s">
        <v>2129</v>
      </c>
      <c r="F524" t="s">
        <v>3973</v>
      </c>
      <c r="G524" t="s">
        <v>3974</v>
      </c>
      <c r="H524" t="s">
        <v>3975</v>
      </c>
    </row>
    <row r="525">
      <c r="A525">
        <v>56.0</v>
      </c>
      <c r="B525">
        <v>1004292.0</v>
      </c>
      <c r="C525" t="s">
        <v>3976</v>
      </c>
      <c r="D525">
        <v>1004292.0</v>
      </c>
      <c r="E525" t="s">
        <v>2129</v>
      </c>
      <c r="F525" t="s">
        <v>2203</v>
      </c>
      <c r="G525" t="s">
        <v>3977</v>
      </c>
      <c r="H525" t="s">
        <v>3978</v>
      </c>
    </row>
    <row r="526">
      <c r="A526">
        <v>56.0</v>
      </c>
      <c r="B526">
        <v>1007338.0</v>
      </c>
      <c r="C526" t="s">
        <v>3979</v>
      </c>
      <c r="D526">
        <v>1007338.0</v>
      </c>
      <c r="E526" t="s">
        <v>2134</v>
      </c>
      <c r="F526" t="s">
        <v>3980</v>
      </c>
      <c r="G526" t="s">
        <v>3981</v>
      </c>
      <c r="H526" t="s">
        <v>3982</v>
      </c>
    </row>
    <row r="527">
      <c r="A527">
        <v>56.0</v>
      </c>
      <c r="B527">
        <v>1007343.0</v>
      </c>
      <c r="C527" t="s">
        <v>3983</v>
      </c>
      <c r="D527">
        <v>1007343.0</v>
      </c>
      <c r="E527" t="s">
        <v>2134</v>
      </c>
      <c r="F527" t="s">
        <v>3984</v>
      </c>
      <c r="G527" t="s">
        <v>3985</v>
      </c>
      <c r="H527" t="s">
        <v>3986</v>
      </c>
    </row>
    <row r="528">
      <c r="A528">
        <v>56.0</v>
      </c>
      <c r="B528">
        <v>1007345.0</v>
      </c>
      <c r="C528" t="s">
        <v>3987</v>
      </c>
      <c r="D528">
        <v>1007345.0</v>
      </c>
      <c r="E528" t="s">
        <v>2134</v>
      </c>
      <c r="F528" t="s">
        <v>3988</v>
      </c>
      <c r="G528" t="s">
        <v>3989</v>
      </c>
      <c r="H528" t="s">
        <v>3990</v>
      </c>
    </row>
    <row r="529">
      <c r="A529">
        <v>56.0</v>
      </c>
      <c r="B529">
        <v>1007342.0</v>
      </c>
      <c r="C529" t="s">
        <v>3991</v>
      </c>
      <c r="D529">
        <v>1007342.0</v>
      </c>
      <c r="E529" t="s">
        <v>2129</v>
      </c>
      <c r="F529" t="s">
        <v>3992</v>
      </c>
      <c r="G529" t="s">
        <v>3993</v>
      </c>
      <c r="H529" t="s">
        <v>3994</v>
      </c>
    </row>
    <row r="530">
      <c r="A530">
        <v>56.0</v>
      </c>
      <c r="B530">
        <v>1007336.0</v>
      </c>
      <c r="C530" t="s">
        <v>3995</v>
      </c>
      <c r="D530">
        <v>1007336.0</v>
      </c>
      <c r="E530" t="s">
        <v>2129</v>
      </c>
      <c r="F530" t="s">
        <v>3996</v>
      </c>
      <c r="G530" t="s">
        <v>3997</v>
      </c>
      <c r="H530" t="s">
        <v>3998</v>
      </c>
    </row>
    <row r="531">
      <c r="A531">
        <v>56.0</v>
      </c>
      <c r="B531">
        <v>1007340.0</v>
      </c>
      <c r="C531" t="s">
        <v>3999</v>
      </c>
      <c r="D531">
        <v>1007340.0</v>
      </c>
      <c r="E531" t="s">
        <v>2129</v>
      </c>
      <c r="F531" t="s">
        <v>4000</v>
      </c>
      <c r="G531" t="s">
        <v>4001</v>
      </c>
      <c r="H531" t="s">
        <v>4002</v>
      </c>
    </row>
    <row r="532">
      <c r="A532">
        <v>56.0</v>
      </c>
      <c r="B532">
        <v>1007339.0</v>
      </c>
      <c r="C532" t="s">
        <v>4003</v>
      </c>
      <c r="D532">
        <v>1007339.0</v>
      </c>
      <c r="E532" t="s">
        <v>2129</v>
      </c>
      <c r="F532" t="s">
        <v>4004</v>
      </c>
      <c r="G532" t="s">
        <v>4005</v>
      </c>
      <c r="H532" t="s">
        <v>4006</v>
      </c>
    </row>
    <row r="533">
      <c r="A533">
        <v>56.0</v>
      </c>
      <c r="B533">
        <v>1007341.0</v>
      </c>
      <c r="C533" t="s">
        <v>4007</v>
      </c>
      <c r="D533">
        <v>1007341.0</v>
      </c>
      <c r="E533" t="s">
        <v>2129</v>
      </c>
      <c r="F533" t="s">
        <v>4008</v>
      </c>
      <c r="G533" t="s">
        <v>4009</v>
      </c>
      <c r="H533" t="s">
        <v>4010</v>
      </c>
    </row>
    <row r="535">
      <c r="A535">
        <v>57.0</v>
      </c>
      <c r="B535">
        <v>1007410.0</v>
      </c>
      <c r="C535" t="s">
        <v>4011</v>
      </c>
      <c r="D535">
        <v>1007410.0</v>
      </c>
      <c r="E535" t="s">
        <v>2129</v>
      </c>
      <c r="F535" t="s">
        <v>4012</v>
      </c>
      <c r="G535" t="s">
        <v>4013</v>
      </c>
      <c r="H535" t="s">
        <v>4014</v>
      </c>
    </row>
    <row r="536">
      <c r="A536">
        <v>57.0</v>
      </c>
      <c r="B536">
        <v>1007416.0</v>
      </c>
      <c r="C536" t="s">
        <v>4015</v>
      </c>
      <c r="D536">
        <v>1007416.0</v>
      </c>
      <c r="E536" t="s">
        <v>2134</v>
      </c>
      <c r="F536" t="s">
        <v>4016</v>
      </c>
      <c r="G536" t="s">
        <v>4017</v>
      </c>
      <c r="H536" t="s">
        <v>4018</v>
      </c>
    </row>
    <row r="537">
      <c r="A537">
        <v>57.0</v>
      </c>
      <c r="B537">
        <v>1007406.0</v>
      </c>
      <c r="C537" t="s">
        <v>4019</v>
      </c>
      <c r="D537">
        <v>1007406.0</v>
      </c>
      <c r="E537" t="s">
        <v>2134</v>
      </c>
      <c r="F537" t="s">
        <v>4020</v>
      </c>
      <c r="G537" t="s">
        <v>4021</v>
      </c>
      <c r="H537" t="s">
        <v>4022</v>
      </c>
    </row>
    <row r="538">
      <c r="A538">
        <v>57.0</v>
      </c>
      <c r="B538">
        <v>1007428.0</v>
      </c>
      <c r="C538" t="s">
        <v>4023</v>
      </c>
      <c r="D538">
        <v>1007428.0</v>
      </c>
      <c r="E538" t="s">
        <v>2129</v>
      </c>
      <c r="F538" t="s">
        <v>4024</v>
      </c>
      <c r="G538" t="s">
        <v>4025</v>
      </c>
      <c r="H538" t="s">
        <v>4026</v>
      </c>
    </row>
    <row r="539">
      <c r="A539">
        <v>57.0</v>
      </c>
      <c r="B539">
        <v>1007418.0</v>
      </c>
      <c r="C539" t="s">
        <v>4027</v>
      </c>
      <c r="D539">
        <v>1007418.0</v>
      </c>
      <c r="E539" t="s">
        <v>2129</v>
      </c>
      <c r="F539" t="s">
        <v>4028</v>
      </c>
      <c r="G539" t="s">
        <v>4029</v>
      </c>
      <c r="H539" t="s">
        <v>4030</v>
      </c>
    </row>
    <row r="540">
      <c r="A540">
        <v>57.0</v>
      </c>
      <c r="B540">
        <v>1007427.0</v>
      </c>
      <c r="C540" t="s">
        <v>4031</v>
      </c>
      <c r="D540">
        <v>1007427.0</v>
      </c>
      <c r="E540" t="s">
        <v>2134</v>
      </c>
      <c r="F540" t="s">
        <v>4032</v>
      </c>
      <c r="G540" t="s">
        <v>4033</v>
      </c>
      <c r="H540" t="s">
        <v>4034</v>
      </c>
    </row>
    <row r="541">
      <c r="A541">
        <v>57.0</v>
      </c>
      <c r="B541">
        <v>1007408.0</v>
      </c>
      <c r="C541" t="s">
        <v>4035</v>
      </c>
      <c r="D541">
        <v>1007408.0</v>
      </c>
      <c r="E541" t="s">
        <v>2134</v>
      </c>
      <c r="F541" t="s">
        <v>4036</v>
      </c>
      <c r="G541" t="s">
        <v>4037</v>
      </c>
      <c r="H541" t="s">
        <v>4038</v>
      </c>
    </row>
    <row r="542">
      <c r="A542">
        <v>57.0</v>
      </c>
      <c r="B542">
        <v>1007424.0</v>
      </c>
      <c r="C542" t="s">
        <v>4039</v>
      </c>
      <c r="D542">
        <v>1007424.0</v>
      </c>
      <c r="E542" t="s">
        <v>2134</v>
      </c>
      <c r="F542" t="s">
        <v>4040</v>
      </c>
      <c r="G542" t="s">
        <v>4041</v>
      </c>
      <c r="H542" t="s">
        <v>4042</v>
      </c>
    </row>
    <row r="543">
      <c r="A543">
        <v>57.0</v>
      </c>
      <c r="B543">
        <v>1007425.0</v>
      </c>
      <c r="C543" t="s">
        <v>4043</v>
      </c>
      <c r="D543">
        <v>1007425.0</v>
      </c>
      <c r="E543" t="s">
        <v>2134</v>
      </c>
      <c r="F543" t="s">
        <v>4044</v>
      </c>
      <c r="G543" t="s">
        <v>4045</v>
      </c>
      <c r="H543" t="s">
        <v>4046</v>
      </c>
    </row>
    <row r="544">
      <c r="A544">
        <v>57.0</v>
      </c>
      <c r="B544">
        <v>1007421.0</v>
      </c>
      <c r="C544" t="s">
        <v>4047</v>
      </c>
      <c r="D544">
        <v>1007421.0</v>
      </c>
      <c r="E544" t="s">
        <v>2134</v>
      </c>
      <c r="F544" t="s">
        <v>4048</v>
      </c>
      <c r="G544" t="s">
        <v>4049</v>
      </c>
      <c r="H544" t="s">
        <v>4050</v>
      </c>
    </row>
    <row r="545">
      <c r="A545">
        <v>57.0</v>
      </c>
      <c r="B545">
        <v>1007419.0</v>
      </c>
      <c r="C545" t="s">
        <v>4051</v>
      </c>
      <c r="D545">
        <v>1007419.0</v>
      </c>
      <c r="E545" t="s">
        <v>2129</v>
      </c>
      <c r="F545" t="s">
        <v>4052</v>
      </c>
      <c r="G545" t="s">
        <v>4053</v>
      </c>
      <c r="H545" t="s">
        <v>4054</v>
      </c>
    </row>
    <row r="546">
      <c r="A546">
        <v>57.0</v>
      </c>
      <c r="B546">
        <v>1007420.0</v>
      </c>
      <c r="C546" t="s">
        <v>4055</v>
      </c>
      <c r="D546">
        <v>1007420.0</v>
      </c>
      <c r="E546" t="s">
        <v>2129</v>
      </c>
      <c r="F546" t="s">
        <v>4056</v>
      </c>
      <c r="G546" t="s">
        <v>4057</v>
      </c>
      <c r="H546" t="s">
        <v>4058</v>
      </c>
    </row>
    <row r="547">
      <c r="A547">
        <v>57.0</v>
      </c>
      <c r="B547">
        <v>1007412.0</v>
      </c>
      <c r="C547" t="s">
        <v>4059</v>
      </c>
      <c r="D547">
        <v>1007412.0</v>
      </c>
      <c r="E547" t="s">
        <v>2129</v>
      </c>
      <c r="F547" t="s">
        <v>3696</v>
      </c>
      <c r="G547" t="s">
        <v>4060</v>
      </c>
      <c r="H547" t="s">
        <v>4061</v>
      </c>
    </row>
    <row r="548">
      <c r="A548">
        <v>57.0</v>
      </c>
      <c r="B548">
        <v>1007422.0</v>
      </c>
      <c r="C548" t="s">
        <v>4062</v>
      </c>
      <c r="D548">
        <v>1007422.0</v>
      </c>
      <c r="E548" t="s">
        <v>2129</v>
      </c>
      <c r="F548" t="s">
        <v>4063</v>
      </c>
      <c r="G548" t="s">
        <v>4064</v>
      </c>
      <c r="H548" t="s">
        <v>4065</v>
      </c>
    </row>
    <row r="549">
      <c r="A549">
        <v>57.0</v>
      </c>
      <c r="B549">
        <v>1007405.0</v>
      </c>
      <c r="C549" t="s">
        <v>4066</v>
      </c>
      <c r="D549">
        <v>1007405.0</v>
      </c>
      <c r="E549" t="s">
        <v>2129</v>
      </c>
      <c r="F549" t="s">
        <v>4067</v>
      </c>
      <c r="G549" t="s">
        <v>4068</v>
      </c>
      <c r="H549" t="s">
        <v>4069</v>
      </c>
    </row>
    <row r="550">
      <c r="A550">
        <v>57.0</v>
      </c>
      <c r="B550">
        <v>1007423.0</v>
      </c>
      <c r="C550" t="s">
        <v>4070</v>
      </c>
      <c r="D550">
        <v>1007423.0</v>
      </c>
      <c r="E550" t="s">
        <v>2134</v>
      </c>
      <c r="F550" t="s">
        <v>4071</v>
      </c>
      <c r="G550" t="s">
        <v>2604</v>
      </c>
      <c r="H550" t="s">
        <v>4072</v>
      </c>
    </row>
    <row r="551">
      <c r="A551">
        <v>57.0</v>
      </c>
      <c r="B551">
        <v>1007426.0</v>
      </c>
      <c r="C551" t="s">
        <v>4073</v>
      </c>
      <c r="D551">
        <v>1007426.0</v>
      </c>
      <c r="E551" t="s">
        <v>2129</v>
      </c>
      <c r="F551" t="s">
        <v>4074</v>
      </c>
      <c r="G551" t="s">
        <v>4075</v>
      </c>
      <c r="H551" t="s">
        <v>4076</v>
      </c>
    </row>
    <row r="552">
      <c r="A552">
        <v>57.0</v>
      </c>
      <c r="B552">
        <v>1007411.0</v>
      </c>
      <c r="C552" t="s">
        <v>4077</v>
      </c>
      <c r="D552">
        <v>1007411.0</v>
      </c>
      <c r="E552" t="s">
        <v>2129</v>
      </c>
      <c r="F552" t="s">
        <v>4078</v>
      </c>
      <c r="G552" t="s">
        <v>4079</v>
      </c>
      <c r="H552" t="s">
        <v>4080</v>
      </c>
    </row>
    <row r="554">
      <c r="A554">
        <v>58.0</v>
      </c>
      <c r="B554">
        <v>1007273.0</v>
      </c>
      <c r="C554" t="s">
        <v>4081</v>
      </c>
      <c r="D554">
        <v>1007273.0</v>
      </c>
      <c r="E554" t="s">
        <v>2129</v>
      </c>
      <c r="F554" t="s">
        <v>4082</v>
      </c>
      <c r="G554" t="s">
        <v>4083</v>
      </c>
      <c r="H554" t="s">
        <v>4084</v>
      </c>
    </row>
    <row r="555">
      <c r="A555">
        <v>58.0</v>
      </c>
      <c r="B555">
        <v>1007258.0</v>
      </c>
      <c r="C555" t="s">
        <v>4085</v>
      </c>
      <c r="D555">
        <v>1007258.0</v>
      </c>
      <c r="E555" t="s">
        <v>2129</v>
      </c>
      <c r="F555" t="s">
        <v>4086</v>
      </c>
      <c r="G555" t="s">
        <v>4087</v>
      </c>
      <c r="H555" t="s">
        <v>4088</v>
      </c>
    </row>
    <row r="556">
      <c r="A556">
        <v>58.0</v>
      </c>
      <c r="B556">
        <v>1007274.0</v>
      </c>
      <c r="C556" t="s">
        <v>4089</v>
      </c>
      <c r="D556">
        <v>1007274.0</v>
      </c>
      <c r="E556" t="s">
        <v>2129</v>
      </c>
      <c r="F556" t="s">
        <v>4090</v>
      </c>
      <c r="G556" t="s">
        <v>4091</v>
      </c>
      <c r="H556" t="s">
        <v>4092</v>
      </c>
    </row>
    <row r="557">
      <c r="A557">
        <v>58.0</v>
      </c>
      <c r="B557">
        <v>1007269.0</v>
      </c>
      <c r="C557" t="s">
        <v>4093</v>
      </c>
      <c r="D557">
        <v>1007269.0</v>
      </c>
      <c r="E557" t="s">
        <v>2134</v>
      </c>
      <c r="F557" t="s">
        <v>4094</v>
      </c>
      <c r="G557" t="s">
        <v>4095</v>
      </c>
      <c r="H557" t="s">
        <v>4096</v>
      </c>
    </row>
    <row r="558">
      <c r="A558">
        <v>58.0</v>
      </c>
      <c r="B558">
        <v>1007263.0</v>
      </c>
      <c r="C558" t="s">
        <v>4097</v>
      </c>
      <c r="D558">
        <v>1007263.0</v>
      </c>
      <c r="E558" t="s">
        <v>2129</v>
      </c>
      <c r="F558" t="s">
        <v>4098</v>
      </c>
      <c r="G558" t="s">
        <v>4099</v>
      </c>
      <c r="H558" t="s">
        <v>4100</v>
      </c>
    </row>
    <row r="559">
      <c r="A559">
        <v>58.0</v>
      </c>
      <c r="B559">
        <v>1007277.0</v>
      </c>
      <c r="C559" t="s">
        <v>4101</v>
      </c>
      <c r="D559">
        <v>1007277.0</v>
      </c>
      <c r="E559" t="s">
        <v>2134</v>
      </c>
      <c r="F559" t="s">
        <v>4102</v>
      </c>
      <c r="G559" t="s">
        <v>4103</v>
      </c>
      <c r="H559" t="s">
        <v>4104</v>
      </c>
    </row>
    <row r="560">
      <c r="A560">
        <v>58.0</v>
      </c>
      <c r="B560">
        <v>1007267.0</v>
      </c>
      <c r="C560" t="s">
        <v>4105</v>
      </c>
      <c r="D560">
        <v>1007267.0</v>
      </c>
      <c r="E560" t="s">
        <v>2129</v>
      </c>
      <c r="F560" t="s">
        <v>4106</v>
      </c>
      <c r="G560" t="s">
        <v>4107</v>
      </c>
      <c r="H560" t="s">
        <v>4108</v>
      </c>
    </row>
    <row r="561">
      <c r="A561">
        <v>58.0</v>
      </c>
      <c r="B561">
        <v>1007266.0</v>
      </c>
      <c r="C561" t="s">
        <v>4109</v>
      </c>
      <c r="D561">
        <v>1007266.0</v>
      </c>
      <c r="E561" t="s">
        <v>2129</v>
      </c>
      <c r="F561" t="s">
        <v>4110</v>
      </c>
      <c r="G561" t="s">
        <v>4111</v>
      </c>
      <c r="H561" t="s">
        <v>4112</v>
      </c>
    </row>
    <row r="562">
      <c r="A562">
        <v>58.0</v>
      </c>
      <c r="B562">
        <v>1007276.0</v>
      </c>
      <c r="C562" t="s">
        <v>4113</v>
      </c>
      <c r="D562">
        <v>1007276.0</v>
      </c>
      <c r="E562" t="s">
        <v>2134</v>
      </c>
      <c r="F562" t="s">
        <v>4114</v>
      </c>
      <c r="G562" t="s">
        <v>4115</v>
      </c>
      <c r="H562" t="s">
        <v>4116</v>
      </c>
    </row>
    <row r="563">
      <c r="A563">
        <v>58.0</v>
      </c>
      <c r="B563">
        <v>1007279.0</v>
      </c>
      <c r="C563" t="s">
        <v>4117</v>
      </c>
      <c r="D563">
        <v>1007279.0</v>
      </c>
      <c r="E563" t="s">
        <v>2129</v>
      </c>
      <c r="F563" t="s">
        <v>4118</v>
      </c>
      <c r="G563" t="s">
        <v>4119</v>
      </c>
      <c r="H563" t="s">
        <v>4120</v>
      </c>
    </row>
    <row r="564">
      <c r="A564">
        <v>58.0</v>
      </c>
      <c r="B564">
        <v>1007275.0</v>
      </c>
      <c r="C564" t="s">
        <v>4121</v>
      </c>
      <c r="D564">
        <v>1007275.0</v>
      </c>
      <c r="E564" t="s">
        <v>2129</v>
      </c>
      <c r="F564" t="s">
        <v>4122</v>
      </c>
      <c r="G564" t="s">
        <v>4123</v>
      </c>
      <c r="H564" t="s">
        <v>4124</v>
      </c>
    </row>
    <row r="565">
      <c r="A565">
        <v>58.0</v>
      </c>
      <c r="B565">
        <v>1007270.0</v>
      </c>
      <c r="C565" t="s">
        <v>4125</v>
      </c>
      <c r="D565">
        <v>1007270.0</v>
      </c>
      <c r="E565" t="s">
        <v>2129</v>
      </c>
      <c r="F565" t="s">
        <v>4126</v>
      </c>
      <c r="G565" t="s">
        <v>4127</v>
      </c>
      <c r="H565" t="s">
        <v>4128</v>
      </c>
    </row>
    <row r="566">
      <c r="A566">
        <v>58.0</v>
      </c>
      <c r="B566">
        <v>1007271.0</v>
      </c>
      <c r="C566" t="s">
        <v>4129</v>
      </c>
      <c r="D566">
        <v>1007271.0</v>
      </c>
      <c r="E566" t="s">
        <v>2129</v>
      </c>
      <c r="F566" t="s">
        <v>4130</v>
      </c>
      <c r="G566" t="s">
        <v>4131</v>
      </c>
      <c r="H566" t="s">
        <v>4132</v>
      </c>
    </row>
    <row r="567">
      <c r="A567">
        <v>58.0</v>
      </c>
      <c r="B567">
        <v>1007280.0</v>
      </c>
      <c r="C567" t="s">
        <v>4133</v>
      </c>
      <c r="D567">
        <v>1007280.0</v>
      </c>
      <c r="E567" t="s">
        <v>2129</v>
      </c>
      <c r="F567" t="s">
        <v>4134</v>
      </c>
      <c r="G567" t="s">
        <v>4135</v>
      </c>
      <c r="H567" t="s">
        <v>4136</v>
      </c>
    </row>
    <row r="568">
      <c r="A568">
        <v>58.0</v>
      </c>
      <c r="B568">
        <v>1007268.0</v>
      </c>
      <c r="C568" t="s">
        <v>4137</v>
      </c>
      <c r="D568">
        <v>1007268.0</v>
      </c>
      <c r="E568" t="s">
        <v>2129</v>
      </c>
      <c r="F568" t="s">
        <v>4138</v>
      </c>
      <c r="G568" t="s">
        <v>4139</v>
      </c>
      <c r="H568" t="s">
        <v>4140</v>
      </c>
    </row>
    <row r="569">
      <c r="A569">
        <v>58.0</v>
      </c>
      <c r="B569">
        <v>1007262.0</v>
      </c>
      <c r="C569" t="s">
        <v>4141</v>
      </c>
      <c r="D569">
        <v>1007262.0</v>
      </c>
      <c r="E569" t="s">
        <v>2129</v>
      </c>
      <c r="F569" t="s">
        <v>4142</v>
      </c>
      <c r="G569" t="s">
        <v>4143</v>
      </c>
      <c r="H569" t="s">
        <v>4144</v>
      </c>
    </row>
    <row r="570">
      <c r="A570">
        <v>58.0</v>
      </c>
      <c r="B570">
        <v>1007265.0</v>
      </c>
      <c r="C570" t="s">
        <v>4145</v>
      </c>
      <c r="D570">
        <v>1007265.0</v>
      </c>
      <c r="E570" t="s">
        <v>2129</v>
      </c>
      <c r="F570" t="s">
        <v>3353</v>
      </c>
      <c r="G570" t="s">
        <v>4146</v>
      </c>
      <c r="H570" t="s">
        <v>4147</v>
      </c>
    </row>
    <row r="571">
      <c r="A571">
        <v>58.0</v>
      </c>
      <c r="B571">
        <v>1007281.0</v>
      </c>
      <c r="C571" t="s">
        <v>4148</v>
      </c>
      <c r="D571">
        <v>1007281.0</v>
      </c>
      <c r="E571" t="s">
        <v>2129</v>
      </c>
      <c r="F571" t="s">
        <v>4149</v>
      </c>
      <c r="G571" t="s">
        <v>4150</v>
      </c>
      <c r="H571" t="s">
        <v>4151</v>
      </c>
    </row>
    <row r="572">
      <c r="A572">
        <v>58.0</v>
      </c>
      <c r="B572">
        <v>1007272.0</v>
      </c>
      <c r="C572" t="s">
        <v>4152</v>
      </c>
      <c r="D572">
        <v>1007272.0</v>
      </c>
      <c r="E572" t="s">
        <v>2129</v>
      </c>
      <c r="F572" t="s">
        <v>4153</v>
      </c>
      <c r="G572" t="s">
        <v>4154</v>
      </c>
      <c r="H572" t="s">
        <v>4155</v>
      </c>
    </row>
    <row r="573">
      <c r="A573">
        <v>58.0</v>
      </c>
      <c r="B573">
        <v>1007264.0</v>
      </c>
      <c r="C573" t="s">
        <v>4156</v>
      </c>
      <c r="D573">
        <v>1007264.0</v>
      </c>
      <c r="E573" t="s">
        <v>2129</v>
      </c>
      <c r="F573" t="s">
        <v>3353</v>
      </c>
      <c r="G573" t="s">
        <v>4157</v>
      </c>
      <c r="H573" t="s">
        <v>4158</v>
      </c>
    </row>
    <row r="574">
      <c r="A574">
        <v>58.0</v>
      </c>
      <c r="B574">
        <v>1007260.0</v>
      </c>
      <c r="C574" t="s">
        <v>4159</v>
      </c>
      <c r="D574">
        <v>1007260.0</v>
      </c>
      <c r="E574" t="s">
        <v>2134</v>
      </c>
      <c r="F574" t="s">
        <v>4160</v>
      </c>
      <c r="G574" t="s">
        <v>4161</v>
      </c>
      <c r="H574" t="s">
        <v>4162</v>
      </c>
    </row>
    <row r="576">
      <c r="A576">
        <v>59.0</v>
      </c>
      <c r="B576">
        <v>1002348.0</v>
      </c>
      <c r="C576" t="s">
        <v>4163</v>
      </c>
      <c r="D576">
        <v>1002348.0</v>
      </c>
      <c r="E576" t="s">
        <v>2129</v>
      </c>
      <c r="F576" t="s">
        <v>4164</v>
      </c>
      <c r="G576" t="s">
        <v>4165</v>
      </c>
      <c r="H576" t="s">
        <v>4166</v>
      </c>
    </row>
    <row r="577">
      <c r="A577">
        <v>59.0</v>
      </c>
      <c r="B577">
        <v>1002491.0</v>
      </c>
      <c r="C577" t="s">
        <v>4167</v>
      </c>
      <c r="D577">
        <v>1002491.0</v>
      </c>
      <c r="E577" t="s">
        <v>2134</v>
      </c>
      <c r="F577" t="s">
        <v>4168</v>
      </c>
      <c r="G577" t="s">
        <v>4169</v>
      </c>
      <c r="H577" t="s">
        <v>4170</v>
      </c>
    </row>
    <row r="578">
      <c r="A578">
        <v>59.0</v>
      </c>
      <c r="B578">
        <v>1003373.0</v>
      </c>
      <c r="C578" t="s">
        <v>4171</v>
      </c>
      <c r="D578">
        <v>1003373.0</v>
      </c>
      <c r="E578" t="s">
        <v>2134</v>
      </c>
      <c r="F578" t="s">
        <v>4172</v>
      </c>
      <c r="G578" t="s">
        <v>4173</v>
      </c>
      <c r="H578" t="s">
        <v>4174</v>
      </c>
    </row>
    <row r="579">
      <c r="A579">
        <v>59.0</v>
      </c>
      <c r="B579">
        <v>1003391.0</v>
      </c>
      <c r="C579" t="s">
        <v>4175</v>
      </c>
      <c r="D579">
        <v>1003391.0</v>
      </c>
      <c r="E579" t="s">
        <v>2129</v>
      </c>
      <c r="F579" t="s">
        <v>4176</v>
      </c>
      <c r="G579" t="s">
        <v>4177</v>
      </c>
      <c r="H579" t="s">
        <v>4178</v>
      </c>
    </row>
    <row r="580">
      <c r="A580">
        <v>59.0</v>
      </c>
      <c r="B580">
        <v>1004016.0</v>
      </c>
      <c r="C580" t="s">
        <v>4179</v>
      </c>
      <c r="D580">
        <v>1004016.0</v>
      </c>
      <c r="E580" t="s">
        <v>2134</v>
      </c>
      <c r="F580" t="s">
        <v>4180</v>
      </c>
      <c r="G580" t="s">
        <v>4181</v>
      </c>
      <c r="H580" t="s">
        <v>4182</v>
      </c>
    </row>
    <row r="581">
      <c r="A581">
        <v>59.0</v>
      </c>
      <c r="B581">
        <v>1003425.0</v>
      </c>
      <c r="C581" t="s">
        <v>4183</v>
      </c>
      <c r="D581">
        <v>1003425.0</v>
      </c>
      <c r="E581" t="s">
        <v>2134</v>
      </c>
      <c r="F581" t="s">
        <v>4184</v>
      </c>
      <c r="G581" t="s">
        <v>4185</v>
      </c>
      <c r="H581" t="s">
        <v>4186</v>
      </c>
    </row>
    <row r="582">
      <c r="A582">
        <v>59.0</v>
      </c>
      <c r="B582">
        <v>1003942.0</v>
      </c>
      <c r="C582" t="s">
        <v>4187</v>
      </c>
      <c r="D582">
        <v>1003942.0</v>
      </c>
      <c r="E582" t="s">
        <v>2129</v>
      </c>
      <c r="F582" t="s">
        <v>4188</v>
      </c>
      <c r="G582" t="s">
        <v>4189</v>
      </c>
      <c r="H582" t="s">
        <v>4190</v>
      </c>
    </row>
    <row r="583">
      <c r="A583">
        <v>59.0</v>
      </c>
      <c r="B583">
        <v>1003960.0</v>
      </c>
      <c r="C583" t="s">
        <v>4191</v>
      </c>
      <c r="D583">
        <v>1003960.0</v>
      </c>
      <c r="E583" t="s">
        <v>2129</v>
      </c>
      <c r="F583" t="s">
        <v>4192</v>
      </c>
      <c r="G583" t="s">
        <v>4193</v>
      </c>
      <c r="H583" t="s">
        <v>4194</v>
      </c>
    </row>
    <row r="584">
      <c r="A584">
        <v>59.0</v>
      </c>
      <c r="B584">
        <v>1004069.0</v>
      </c>
      <c r="C584" t="s">
        <v>4195</v>
      </c>
      <c r="D584">
        <v>1004069.0</v>
      </c>
      <c r="E584" t="s">
        <v>2129</v>
      </c>
      <c r="F584" t="s">
        <v>4196</v>
      </c>
      <c r="G584" t="s">
        <v>4197</v>
      </c>
      <c r="H584" t="s">
        <v>4198</v>
      </c>
    </row>
    <row r="585">
      <c r="A585">
        <v>59.0</v>
      </c>
      <c r="B585">
        <v>1004294.0</v>
      </c>
      <c r="C585" t="s">
        <v>4199</v>
      </c>
      <c r="D585">
        <v>1004294.0</v>
      </c>
      <c r="E585" t="s">
        <v>2134</v>
      </c>
      <c r="F585" t="s">
        <v>4200</v>
      </c>
      <c r="G585" t="s">
        <v>4201</v>
      </c>
      <c r="H585" t="s">
        <v>4202</v>
      </c>
    </row>
    <row r="586">
      <c r="A586">
        <v>59.0</v>
      </c>
      <c r="B586">
        <v>1004297.0</v>
      </c>
      <c r="C586" t="s">
        <v>4203</v>
      </c>
      <c r="D586">
        <v>1004297.0</v>
      </c>
      <c r="E586" t="s">
        <v>2129</v>
      </c>
      <c r="F586" t="s">
        <v>4204</v>
      </c>
      <c r="G586" t="s">
        <v>4205</v>
      </c>
      <c r="H586" t="s">
        <v>4206</v>
      </c>
    </row>
    <row r="587">
      <c r="A587">
        <v>59.0</v>
      </c>
      <c r="B587">
        <v>1004298.0</v>
      </c>
      <c r="C587" t="s">
        <v>4207</v>
      </c>
      <c r="D587">
        <v>1004298.0</v>
      </c>
      <c r="E587" t="s">
        <v>2134</v>
      </c>
      <c r="F587" t="s">
        <v>4208</v>
      </c>
      <c r="G587" t="s">
        <v>4209</v>
      </c>
      <c r="H587" t="s">
        <v>4210</v>
      </c>
    </row>
    <row r="588">
      <c r="A588">
        <v>59.0</v>
      </c>
      <c r="B588">
        <v>1004329.0</v>
      </c>
      <c r="C588" t="s">
        <v>4211</v>
      </c>
      <c r="D588">
        <v>1004329.0</v>
      </c>
      <c r="E588" t="s">
        <v>2129</v>
      </c>
      <c r="F588" t="s">
        <v>4212</v>
      </c>
      <c r="G588" t="s">
        <v>4213</v>
      </c>
      <c r="H588" t="s">
        <v>4214</v>
      </c>
    </row>
    <row r="589">
      <c r="A589">
        <v>59.0</v>
      </c>
      <c r="B589">
        <v>1004317.0</v>
      </c>
      <c r="C589" t="s">
        <v>4215</v>
      </c>
      <c r="D589">
        <v>1004317.0</v>
      </c>
      <c r="E589" t="s">
        <v>2134</v>
      </c>
      <c r="F589" t="s">
        <v>4216</v>
      </c>
      <c r="G589" t="s">
        <v>4217</v>
      </c>
      <c r="H589" t="s">
        <v>4218</v>
      </c>
    </row>
    <row r="590">
      <c r="A590">
        <v>59.0</v>
      </c>
      <c r="B590">
        <v>1004318.0</v>
      </c>
      <c r="C590" t="s">
        <v>4219</v>
      </c>
      <c r="D590">
        <v>1004318.0</v>
      </c>
      <c r="E590" t="s">
        <v>2134</v>
      </c>
      <c r="F590" t="s">
        <v>4220</v>
      </c>
      <c r="G590" t="s">
        <v>4221</v>
      </c>
      <c r="H590" t="s">
        <v>4222</v>
      </c>
    </row>
    <row r="591">
      <c r="A591">
        <v>59.0</v>
      </c>
      <c r="B591">
        <v>1004381.0</v>
      </c>
      <c r="C591" t="s">
        <v>4223</v>
      </c>
      <c r="D591">
        <v>1004381.0</v>
      </c>
      <c r="E591" t="s">
        <v>2129</v>
      </c>
      <c r="F591" t="s">
        <v>4224</v>
      </c>
      <c r="G591" t="s">
        <v>4225</v>
      </c>
      <c r="H591" t="s">
        <v>4226</v>
      </c>
    </row>
    <row r="592">
      <c r="A592">
        <v>59.0</v>
      </c>
      <c r="B592">
        <v>1004308.0</v>
      </c>
      <c r="C592" t="s">
        <v>4227</v>
      </c>
      <c r="D592">
        <v>1004308.0</v>
      </c>
      <c r="E592" t="s">
        <v>2129</v>
      </c>
      <c r="F592" t="s">
        <v>4228</v>
      </c>
      <c r="G592" t="s">
        <v>4229</v>
      </c>
      <c r="H592" t="s">
        <v>4230</v>
      </c>
    </row>
    <row r="593">
      <c r="A593">
        <v>59.0</v>
      </c>
      <c r="B593">
        <v>1004502.0</v>
      </c>
      <c r="C593" t="s">
        <v>4231</v>
      </c>
      <c r="D593">
        <v>1004502.0</v>
      </c>
      <c r="E593" t="s">
        <v>2129</v>
      </c>
      <c r="F593" t="s">
        <v>3588</v>
      </c>
      <c r="G593" t="s">
        <v>4232</v>
      </c>
      <c r="H593" t="s">
        <v>4233</v>
      </c>
    </row>
    <row r="594">
      <c r="A594">
        <v>59.0</v>
      </c>
      <c r="B594">
        <v>1004489.0</v>
      </c>
      <c r="C594" t="s">
        <v>4234</v>
      </c>
      <c r="D594">
        <v>1004489.0</v>
      </c>
      <c r="E594" t="s">
        <v>2129</v>
      </c>
      <c r="F594" t="s">
        <v>3091</v>
      </c>
      <c r="G594" t="s">
        <v>4235</v>
      </c>
      <c r="H594" t="s">
        <v>4236</v>
      </c>
    </row>
    <row r="596">
      <c r="A596">
        <v>60.0</v>
      </c>
      <c r="B596">
        <v>1008607.0</v>
      </c>
      <c r="C596" t="s">
        <v>4237</v>
      </c>
      <c r="D596">
        <v>1008607.0</v>
      </c>
      <c r="E596" t="s">
        <v>2134</v>
      </c>
      <c r="F596" t="s">
        <v>4238</v>
      </c>
      <c r="G596" t="s">
        <v>4239</v>
      </c>
      <c r="H596" t="s">
        <v>4240</v>
      </c>
    </row>
    <row r="597">
      <c r="A597">
        <v>60.0</v>
      </c>
      <c r="B597">
        <v>1009156.0</v>
      </c>
      <c r="C597" t="s">
        <v>4241</v>
      </c>
      <c r="D597">
        <v>1009156.0</v>
      </c>
      <c r="E597" t="s">
        <v>2134</v>
      </c>
      <c r="F597" t="s">
        <v>4242</v>
      </c>
      <c r="G597" t="s">
        <v>4243</v>
      </c>
      <c r="H597" t="s">
        <v>4244</v>
      </c>
    </row>
    <row r="598">
      <c r="A598">
        <v>60.0</v>
      </c>
      <c r="B598">
        <v>1008754.0</v>
      </c>
      <c r="C598" t="s">
        <v>4245</v>
      </c>
      <c r="D598">
        <v>1008754.0</v>
      </c>
      <c r="E598" t="s">
        <v>2129</v>
      </c>
      <c r="F598" t="s">
        <v>4246</v>
      </c>
      <c r="G598" t="s">
        <v>4247</v>
      </c>
      <c r="H598" t="s">
        <v>4248</v>
      </c>
    </row>
    <row r="600">
      <c r="A600">
        <v>61.0</v>
      </c>
      <c r="B600">
        <v>1005119.0</v>
      </c>
      <c r="C600" t="s">
        <v>4249</v>
      </c>
      <c r="D600">
        <v>1005119.0</v>
      </c>
      <c r="E600" t="s">
        <v>2129</v>
      </c>
      <c r="F600" t="s">
        <v>4250</v>
      </c>
      <c r="G600" t="s">
        <v>4251</v>
      </c>
      <c r="H600" t="s">
        <v>4252</v>
      </c>
    </row>
    <row r="601">
      <c r="A601">
        <v>61.0</v>
      </c>
      <c r="B601">
        <v>1009011.0</v>
      </c>
      <c r="C601" t="s">
        <v>4253</v>
      </c>
      <c r="D601">
        <v>1009011.0</v>
      </c>
      <c r="E601" t="s">
        <v>2134</v>
      </c>
      <c r="F601" t="s">
        <v>4254</v>
      </c>
      <c r="G601" t="s">
        <v>4255</v>
      </c>
      <c r="H601" t="s">
        <v>4256</v>
      </c>
    </row>
    <row r="602">
      <c r="A602">
        <v>61.0</v>
      </c>
      <c r="B602">
        <v>1008956.0</v>
      </c>
      <c r="C602" t="s">
        <v>4257</v>
      </c>
      <c r="D602">
        <v>1008956.0</v>
      </c>
      <c r="E602" t="s">
        <v>2129</v>
      </c>
      <c r="F602" t="s">
        <v>4258</v>
      </c>
      <c r="G602" t="s">
        <v>4259</v>
      </c>
      <c r="H602" t="s">
        <v>4260</v>
      </c>
    </row>
    <row r="603">
      <c r="A603">
        <v>61.0</v>
      </c>
      <c r="B603">
        <v>1008981.0</v>
      </c>
      <c r="C603" t="s">
        <v>4261</v>
      </c>
      <c r="D603">
        <v>1008981.0</v>
      </c>
      <c r="E603" t="s">
        <v>2129</v>
      </c>
      <c r="F603" t="s">
        <v>4262</v>
      </c>
      <c r="G603" t="s">
        <v>4263</v>
      </c>
      <c r="H603" t="s">
        <v>4264</v>
      </c>
    </row>
    <row r="604">
      <c r="A604">
        <v>61.0</v>
      </c>
      <c r="B604">
        <v>1008993.0</v>
      </c>
      <c r="C604" t="s">
        <v>4265</v>
      </c>
      <c r="D604">
        <v>1008993.0</v>
      </c>
      <c r="E604" t="s">
        <v>2129</v>
      </c>
      <c r="F604" t="s">
        <v>4266</v>
      </c>
      <c r="G604" t="s">
        <v>4267</v>
      </c>
      <c r="H604" t="s">
        <v>4268</v>
      </c>
    </row>
    <row r="605">
      <c r="A605">
        <v>61.0</v>
      </c>
      <c r="B605">
        <v>1008991.0</v>
      </c>
      <c r="C605" t="s">
        <v>4269</v>
      </c>
      <c r="D605">
        <v>1008991.0</v>
      </c>
      <c r="E605" t="s">
        <v>2129</v>
      </c>
      <c r="F605" t="s">
        <v>4270</v>
      </c>
      <c r="G605" t="s">
        <v>4271</v>
      </c>
      <c r="H605" t="s">
        <v>4272</v>
      </c>
    </row>
    <row r="606">
      <c r="A606">
        <v>61.0</v>
      </c>
      <c r="B606">
        <v>1009001.0</v>
      </c>
      <c r="C606" t="s">
        <v>4273</v>
      </c>
      <c r="D606">
        <v>1009001.0</v>
      </c>
      <c r="E606" t="s">
        <v>2134</v>
      </c>
      <c r="F606" t="s">
        <v>4274</v>
      </c>
      <c r="G606" t="s">
        <v>4275</v>
      </c>
      <c r="H606" t="s">
        <v>4276</v>
      </c>
    </row>
    <row r="607">
      <c r="A607">
        <v>61.0</v>
      </c>
      <c r="B607">
        <v>1008998.0</v>
      </c>
      <c r="C607" t="s">
        <v>4277</v>
      </c>
      <c r="D607">
        <v>1008998.0</v>
      </c>
      <c r="E607" t="s">
        <v>2134</v>
      </c>
      <c r="F607" t="s">
        <v>4278</v>
      </c>
      <c r="G607" t="s">
        <v>4279</v>
      </c>
      <c r="H607" t="s">
        <v>4280</v>
      </c>
    </row>
    <row r="608">
      <c r="A608">
        <v>61.0</v>
      </c>
      <c r="B608">
        <v>1008963.0</v>
      </c>
      <c r="C608" t="s">
        <v>4281</v>
      </c>
      <c r="D608">
        <v>1008963.0</v>
      </c>
      <c r="E608" t="s">
        <v>2129</v>
      </c>
      <c r="F608" t="s">
        <v>2965</v>
      </c>
      <c r="G608" t="s">
        <v>4282</v>
      </c>
      <c r="H608" t="s">
        <v>4283</v>
      </c>
    </row>
    <row r="609">
      <c r="A609">
        <v>61.0</v>
      </c>
      <c r="B609">
        <v>1008992.0</v>
      </c>
      <c r="C609" t="s">
        <v>4284</v>
      </c>
      <c r="D609">
        <v>1008992.0</v>
      </c>
      <c r="E609" t="s">
        <v>2129</v>
      </c>
      <c r="F609" t="s">
        <v>4285</v>
      </c>
      <c r="G609" t="s">
        <v>4286</v>
      </c>
      <c r="H609" t="s">
        <v>4287</v>
      </c>
    </row>
    <row r="610">
      <c r="A610">
        <v>61.0</v>
      </c>
      <c r="B610">
        <v>1008952.0</v>
      </c>
      <c r="C610" t="s">
        <v>4288</v>
      </c>
      <c r="D610">
        <v>1008952.0</v>
      </c>
      <c r="E610" t="s">
        <v>2134</v>
      </c>
      <c r="F610" t="s">
        <v>4289</v>
      </c>
      <c r="G610" t="s">
        <v>4290</v>
      </c>
      <c r="H610" t="s">
        <v>4291</v>
      </c>
    </row>
    <row r="611">
      <c r="A611">
        <v>61.0</v>
      </c>
      <c r="B611">
        <v>1008984.0</v>
      </c>
      <c r="C611" t="s">
        <v>4292</v>
      </c>
      <c r="D611">
        <v>1008984.0</v>
      </c>
      <c r="E611" t="s">
        <v>2129</v>
      </c>
      <c r="F611" t="s">
        <v>4293</v>
      </c>
      <c r="G611" t="s">
        <v>4294</v>
      </c>
      <c r="H611" t="s">
        <v>4295</v>
      </c>
    </row>
    <row r="612">
      <c r="A612">
        <v>61.0</v>
      </c>
      <c r="B612">
        <v>1008968.0</v>
      </c>
      <c r="C612" t="s">
        <v>4296</v>
      </c>
      <c r="D612">
        <v>1008968.0</v>
      </c>
      <c r="E612" t="s">
        <v>2129</v>
      </c>
      <c r="F612" t="s">
        <v>4297</v>
      </c>
      <c r="G612" t="s">
        <v>4298</v>
      </c>
      <c r="H612" t="s">
        <v>4299</v>
      </c>
    </row>
    <row r="613">
      <c r="A613">
        <v>61.0</v>
      </c>
      <c r="B613">
        <v>1008987.0</v>
      </c>
      <c r="C613" t="s">
        <v>4300</v>
      </c>
      <c r="D613">
        <v>1008987.0</v>
      </c>
      <c r="E613" t="s">
        <v>2134</v>
      </c>
      <c r="F613" t="s">
        <v>4301</v>
      </c>
      <c r="G613" t="s">
        <v>4302</v>
      </c>
      <c r="H613" t="s">
        <v>4303</v>
      </c>
    </row>
    <row r="614">
      <c r="A614">
        <v>61.0</v>
      </c>
      <c r="B614">
        <v>1008989.0</v>
      </c>
      <c r="C614" t="s">
        <v>4304</v>
      </c>
      <c r="D614">
        <v>1008989.0</v>
      </c>
      <c r="E614" t="s">
        <v>2129</v>
      </c>
      <c r="F614" t="s">
        <v>4305</v>
      </c>
      <c r="G614" t="s">
        <v>4306</v>
      </c>
      <c r="H614" t="s">
        <v>4307</v>
      </c>
    </row>
    <row r="615">
      <c r="A615">
        <v>61.0</v>
      </c>
      <c r="B615">
        <v>1008997.0</v>
      </c>
      <c r="C615" t="s">
        <v>4308</v>
      </c>
      <c r="D615">
        <v>1008997.0</v>
      </c>
      <c r="E615" t="s">
        <v>2129</v>
      </c>
      <c r="F615" t="s">
        <v>4309</v>
      </c>
      <c r="G615" t="s">
        <v>4310</v>
      </c>
      <c r="H615" t="s">
        <v>4311</v>
      </c>
    </row>
    <row r="617">
      <c r="A617">
        <v>62.0</v>
      </c>
      <c r="B617">
        <v>1008966.0</v>
      </c>
      <c r="C617" t="s">
        <v>4312</v>
      </c>
      <c r="D617">
        <v>1008966.0</v>
      </c>
      <c r="E617" t="s">
        <v>2129</v>
      </c>
      <c r="F617" t="s">
        <v>4313</v>
      </c>
      <c r="G617" t="s">
        <v>4314</v>
      </c>
      <c r="H617" t="s">
        <v>4315</v>
      </c>
    </row>
    <row r="618">
      <c r="A618">
        <v>62.0</v>
      </c>
      <c r="B618">
        <v>1008972.0</v>
      </c>
      <c r="C618" t="s">
        <v>4316</v>
      </c>
      <c r="D618">
        <v>1008972.0</v>
      </c>
      <c r="E618" t="s">
        <v>2129</v>
      </c>
      <c r="F618" t="s">
        <v>4317</v>
      </c>
      <c r="G618" t="s">
        <v>4318</v>
      </c>
      <c r="H618" t="s">
        <v>4319</v>
      </c>
    </row>
    <row r="619">
      <c r="A619">
        <v>62.0</v>
      </c>
      <c r="B619">
        <v>1008977.0</v>
      </c>
      <c r="C619" t="s">
        <v>4320</v>
      </c>
      <c r="D619">
        <v>1008977.0</v>
      </c>
      <c r="E619" t="s">
        <v>2198</v>
      </c>
      <c r="F619" t="s">
        <v>4321</v>
      </c>
      <c r="G619" t="s">
        <v>4322</v>
      </c>
      <c r="H619" t="s">
        <v>4323</v>
      </c>
    </row>
    <row r="620">
      <c r="A620">
        <v>62.0</v>
      </c>
      <c r="B620">
        <v>1009000.0</v>
      </c>
      <c r="C620" t="s">
        <v>4324</v>
      </c>
      <c r="D620">
        <v>1009000.0</v>
      </c>
      <c r="E620" t="s">
        <v>2129</v>
      </c>
      <c r="F620" t="s">
        <v>4325</v>
      </c>
      <c r="G620" t="s">
        <v>4326</v>
      </c>
      <c r="H620" t="s">
        <v>4327</v>
      </c>
    </row>
    <row r="621">
      <c r="A621">
        <v>62.0</v>
      </c>
      <c r="B621">
        <v>1008988.0</v>
      </c>
      <c r="C621" t="s">
        <v>4328</v>
      </c>
      <c r="D621">
        <v>1008988.0</v>
      </c>
      <c r="E621" t="s">
        <v>2129</v>
      </c>
      <c r="F621" t="s">
        <v>4329</v>
      </c>
      <c r="G621" t="s">
        <v>4330</v>
      </c>
      <c r="H621" t="s">
        <v>4331</v>
      </c>
    </row>
    <row r="622">
      <c r="A622">
        <v>62.0</v>
      </c>
      <c r="B622">
        <v>1008985.0</v>
      </c>
      <c r="C622" t="s">
        <v>4332</v>
      </c>
      <c r="D622">
        <v>1008985.0</v>
      </c>
      <c r="E622" t="s">
        <v>2129</v>
      </c>
      <c r="F622" t="s">
        <v>4333</v>
      </c>
      <c r="G622" t="s">
        <v>4334</v>
      </c>
      <c r="H622" t="s">
        <v>4335</v>
      </c>
    </row>
    <row r="624">
      <c r="A624">
        <v>63.0</v>
      </c>
      <c r="B624">
        <v>1009670.0</v>
      </c>
      <c r="C624" t="s">
        <v>4336</v>
      </c>
      <c r="D624">
        <v>1009670.0</v>
      </c>
      <c r="E624" t="s">
        <v>2129</v>
      </c>
      <c r="F624" t="s">
        <v>2929</v>
      </c>
      <c r="G624" t="s">
        <v>4337</v>
      </c>
      <c r="H624" t="s">
        <v>4338</v>
      </c>
    </row>
    <row r="625">
      <c r="A625">
        <v>63.0</v>
      </c>
      <c r="B625">
        <v>1009759.0</v>
      </c>
      <c r="C625" t="s">
        <v>4339</v>
      </c>
      <c r="D625">
        <v>1009759.0</v>
      </c>
      <c r="E625" t="s">
        <v>2129</v>
      </c>
      <c r="F625" t="s">
        <v>3136</v>
      </c>
      <c r="G625" t="s">
        <v>4340</v>
      </c>
      <c r="H625" t="s">
        <v>4341</v>
      </c>
    </row>
    <row r="626">
      <c r="A626">
        <v>63.0</v>
      </c>
      <c r="B626">
        <v>1009765.0</v>
      </c>
      <c r="C626" t="s">
        <v>4342</v>
      </c>
      <c r="D626">
        <v>1009765.0</v>
      </c>
      <c r="E626" t="s">
        <v>2129</v>
      </c>
      <c r="F626" t="s">
        <v>4343</v>
      </c>
      <c r="G626" t="s">
        <v>4344</v>
      </c>
      <c r="H626" t="s">
        <v>4345</v>
      </c>
    </row>
    <row r="627">
      <c r="A627">
        <v>63.0</v>
      </c>
      <c r="B627">
        <v>1009741.0</v>
      </c>
      <c r="C627" t="s">
        <v>4346</v>
      </c>
      <c r="D627">
        <v>1009741.0</v>
      </c>
      <c r="E627" t="s">
        <v>2129</v>
      </c>
      <c r="F627" t="s">
        <v>4347</v>
      </c>
      <c r="G627" t="s">
        <v>4348</v>
      </c>
      <c r="H627" t="s">
        <v>4349</v>
      </c>
    </row>
    <row r="628">
      <c r="A628">
        <v>63.0</v>
      </c>
      <c r="B628">
        <v>1009757.0</v>
      </c>
      <c r="C628" t="s">
        <v>4350</v>
      </c>
      <c r="D628">
        <v>1009757.0</v>
      </c>
      <c r="E628" t="s">
        <v>2129</v>
      </c>
      <c r="F628" t="s">
        <v>4351</v>
      </c>
      <c r="G628" t="s">
        <v>4352</v>
      </c>
      <c r="H628" t="s">
        <v>4353</v>
      </c>
    </row>
    <row r="629">
      <c r="A629">
        <v>63.0</v>
      </c>
      <c r="B629">
        <v>1009756.0</v>
      </c>
      <c r="C629" t="s">
        <v>4354</v>
      </c>
      <c r="D629">
        <v>1009756.0</v>
      </c>
      <c r="E629" t="s">
        <v>2129</v>
      </c>
      <c r="F629" t="s">
        <v>4355</v>
      </c>
      <c r="G629" t="s">
        <v>4356</v>
      </c>
      <c r="H629" t="s">
        <v>4357</v>
      </c>
    </row>
    <row r="630">
      <c r="A630">
        <v>63.0</v>
      </c>
      <c r="B630">
        <v>1009755.0</v>
      </c>
      <c r="C630" t="s">
        <v>4358</v>
      </c>
      <c r="D630">
        <v>1009755.0</v>
      </c>
      <c r="E630" t="s">
        <v>2129</v>
      </c>
      <c r="F630" t="s">
        <v>4359</v>
      </c>
      <c r="G630" t="s">
        <v>4360</v>
      </c>
      <c r="H630" t="s">
        <v>4361</v>
      </c>
    </row>
    <row r="631">
      <c r="A631">
        <v>63.0</v>
      </c>
      <c r="B631">
        <v>1009770.0</v>
      </c>
      <c r="C631" t="s">
        <v>4362</v>
      </c>
      <c r="D631">
        <v>1009770.0</v>
      </c>
      <c r="E631" t="s">
        <v>2134</v>
      </c>
      <c r="F631" t="s">
        <v>4363</v>
      </c>
      <c r="G631" t="s">
        <v>4364</v>
      </c>
      <c r="H631" t="s">
        <v>4365</v>
      </c>
    </row>
    <row r="632">
      <c r="A632">
        <v>63.0</v>
      </c>
      <c r="B632">
        <v>1009768.0</v>
      </c>
      <c r="C632" t="s">
        <v>4366</v>
      </c>
      <c r="D632">
        <v>1009768.0</v>
      </c>
      <c r="E632" t="s">
        <v>2134</v>
      </c>
      <c r="F632" t="s">
        <v>4367</v>
      </c>
      <c r="G632" t="s">
        <v>4368</v>
      </c>
      <c r="H632" t="s">
        <v>4369</v>
      </c>
    </row>
    <row r="633">
      <c r="A633">
        <v>63.0</v>
      </c>
      <c r="B633">
        <v>1009764.0</v>
      </c>
      <c r="C633" t="s">
        <v>4370</v>
      </c>
      <c r="D633">
        <v>1009764.0</v>
      </c>
      <c r="E633" t="s">
        <v>2134</v>
      </c>
      <c r="F633" t="s">
        <v>4371</v>
      </c>
      <c r="G633" t="s">
        <v>4372</v>
      </c>
      <c r="H633" t="s">
        <v>4373</v>
      </c>
    </row>
    <row r="635">
      <c r="A635">
        <v>64.0</v>
      </c>
      <c r="B635">
        <v>1009799.0</v>
      </c>
      <c r="C635" t="s">
        <v>4374</v>
      </c>
      <c r="D635">
        <v>1009799.0</v>
      </c>
      <c r="E635" t="s">
        <v>2134</v>
      </c>
      <c r="F635" t="s">
        <v>4375</v>
      </c>
      <c r="G635" t="s">
        <v>4376</v>
      </c>
      <c r="H635" t="s">
        <v>4377</v>
      </c>
    </row>
    <row r="636">
      <c r="A636">
        <v>64.0</v>
      </c>
      <c r="B636">
        <v>1009817.0</v>
      </c>
      <c r="C636" t="s">
        <v>4378</v>
      </c>
      <c r="D636">
        <v>1009817.0</v>
      </c>
      <c r="E636" t="s">
        <v>2129</v>
      </c>
      <c r="F636" t="s">
        <v>4379</v>
      </c>
      <c r="G636" t="s">
        <v>4380</v>
      </c>
      <c r="H636" t="s">
        <v>4381</v>
      </c>
    </row>
    <row r="637">
      <c r="A637">
        <v>64.0</v>
      </c>
      <c r="B637">
        <v>1009802.0</v>
      </c>
      <c r="C637" t="s">
        <v>4382</v>
      </c>
      <c r="D637">
        <v>1009802.0</v>
      </c>
      <c r="E637" t="s">
        <v>2129</v>
      </c>
      <c r="F637" t="s">
        <v>4383</v>
      </c>
      <c r="G637" t="s">
        <v>4384</v>
      </c>
      <c r="H637" t="s">
        <v>4385</v>
      </c>
    </row>
    <row r="638">
      <c r="A638">
        <v>64.0</v>
      </c>
      <c r="B638">
        <v>1009843.0</v>
      </c>
      <c r="C638" t="s">
        <v>4386</v>
      </c>
      <c r="D638">
        <v>1009843.0</v>
      </c>
      <c r="E638" t="s">
        <v>2129</v>
      </c>
      <c r="F638" t="s">
        <v>4387</v>
      </c>
      <c r="G638" t="s">
        <v>4388</v>
      </c>
      <c r="H638" t="s">
        <v>4389</v>
      </c>
    </row>
    <row r="639">
      <c r="A639">
        <v>64.0</v>
      </c>
      <c r="B639">
        <v>1009811.0</v>
      </c>
      <c r="C639" t="s">
        <v>4390</v>
      </c>
      <c r="D639">
        <v>1009811.0</v>
      </c>
      <c r="E639" t="s">
        <v>2129</v>
      </c>
      <c r="F639" t="s">
        <v>4391</v>
      </c>
      <c r="G639" t="s">
        <v>4392</v>
      </c>
      <c r="H639" t="s">
        <v>4393</v>
      </c>
    </row>
    <row r="640">
      <c r="A640">
        <v>64.0</v>
      </c>
      <c r="B640">
        <v>1009836.0</v>
      </c>
      <c r="C640" t="s">
        <v>4394</v>
      </c>
      <c r="D640">
        <v>1009836.0</v>
      </c>
      <c r="E640" t="s">
        <v>2129</v>
      </c>
      <c r="F640" t="s">
        <v>4395</v>
      </c>
      <c r="G640" t="s">
        <v>4396</v>
      </c>
      <c r="H640" t="s">
        <v>4397</v>
      </c>
    </row>
    <row r="641">
      <c r="A641">
        <v>64.0</v>
      </c>
      <c r="B641">
        <v>1009837.0</v>
      </c>
      <c r="C641" t="s">
        <v>4398</v>
      </c>
      <c r="D641">
        <v>1009837.0</v>
      </c>
      <c r="E641" t="s">
        <v>2129</v>
      </c>
      <c r="F641" t="s">
        <v>4399</v>
      </c>
      <c r="G641" t="s">
        <v>4400</v>
      </c>
      <c r="H641" t="s">
        <v>4401</v>
      </c>
    </row>
    <row r="642">
      <c r="A642">
        <v>64.0</v>
      </c>
      <c r="B642">
        <v>1009816.0</v>
      </c>
      <c r="C642" t="s">
        <v>4402</v>
      </c>
      <c r="D642">
        <v>1009816.0</v>
      </c>
      <c r="E642" t="s">
        <v>2129</v>
      </c>
      <c r="F642" t="s">
        <v>4403</v>
      </c>
      <c r="G642" t="s">
        <v>4404</v>
      </c>
      <c r="H642" t="s">
        <v>4405</v>
      </c>
    </row>
    <row r="643">
      <c r="A643">
        <v>64.0</v>
      </c>
      <c r="B643">
        <v>1009818.0</v>
      </c>
      <c r="C643" t="s">
        <v>4406</v>
      </c>
      <c r="D643">
        <v>1009818.0</v>
      </c>
      <c r="E643" t="s">
        <v>2129</v>
      </c>
      <c r="F643" t="s">
        <v>4407</v>
      </c>
      <c r="G643" t="s">
        <v>4408</v>
      </c>
      <c r="H643" t="s">
        <v>4409</v>
      </c>
    </row>
    <row r="644">
      <c r="A644">
        <v>64.0</v>
      </c>
      <c r="B644">
        <v>1009819.0</v>
      </c>
      <c r="C644" t="s">
        <v>4410</v>
      </c>
      <c r="D644">
        <v>1009819.0</v>
      </c>
      <c r="E644" t="s">
        <v>2129</v>
      </c>
      <c r="F644" t="s">
        <v>4411</v>
      </c>
      <c r="G644" t="s">
        <v>4412</v>
      </c>
      <c r="H644" t="s">
        <v>4413</v>
      </c>
    </row>
    <row r="645">
      <c r="A645">
        <v>64.0</v>
      </c>
      <c r="B645">
        <v>1009797.0</v>
      </c>
      <c r="C645" t="s">
        <v>4414</v>
      </c>
      <c r="D645">
        <v>1009797.0</v>
      </c>
      <c r="E645" t="s">
        <v>2129</v>
      </c>
      <c r="F645" t="s">
        <v>4415</v>
      </c>
      <c r="G645" t="s">
        <v>4416</v>
      </c>
      <c r="H645" t="s">
        <v>4417</v>
      </c>
    </row>
    <row r="646">
      <c r="A646">
        <v>64.0</v>
      </c>
      <c r="B646">
        <v>1009834.0</v>
      </c>
      <c r="C646" t="s">
        <v>4418</v>
      </c>
      <c r="D646">
        <v>1009834.0</v>
      </c>
      <c r="E646" t="s">
        <v>2134</v>
      </c>
      <c r="F646" t="s">
        <v>4419</v>
      </c>
      <c r="G646" t="s">
        <v>4420</v>
      </c>
      <c r="H646" t="s">
        <v>4421</v>
      </c>
    </row>
    <row r="647">
      <c r="A647">
        <v>64.0</v>
      </c>
      <c r="B647">
        <v>1009809.0</v>
      </c>
      <c r="C647" t="s">
        <v>4422</v>
      </c>
      <c r="D647">
        <v>1009809.0</v>
      </c>
      <c r="E647" t="s">
        <v>2134</v>
      </c>
      <c r="F647" t="s">
        <v>3056</v>
      </c>
      <c r="G647" t="s">
        <v>4423</v>
      </c>
      <c r="H647" t="s">
        <v>4424</v>
      </c>
    </row>
    <row r="648">
      <c r="A648">
        <v>64.0</v>
      </c>
      <c r="B648">
        <v>1010430.0</v>
      </c>
      <c r="C648" t="s">
        <v>4425</v>
      </c>
      <c r="D648">
        <v>1010430.0</v>
      </c>
      <c r="E648" t="s">
        <v>2129</v>
      </c>
      <c r="F648" t="s">
        <v>4426</v>
      </c>
      <c r="G648" t="s">
        <v>4427</v>
      </c>
      <c r="H648" t="s">
        <v>4428</v>
      </c>
    </row>
    <row r="649">
      <c r="A649">
        <v>64.0</v>
      </c>
      <c r="B649">
        <v>1010731.0</v>
      </c>
      <c r="C649" t="s">
        <v>4429</v>
      </c>
      <c r="D649">
        <v>1010731.0</v>
      </c>
      <c r="E649" t="s">
        <v>2129</v>
      </c>
      <c r="F649" t="s">
        <v>4430</v>
      </c>
      <c r="G649" t="s">
        <v>4431</v>
      </c>
      <c r="H649" t="s">
        <v>4432</v>
      </c>
    </row>
    <row r="650">
      <c r="A650">
        <v>64.0</v>
      </c>
      <c r="B650">
        <v>1010710.0</v>
      </c>
      <c r="C650" t="s">
        <v>4433</v>
      </c>
      <c r="D650">
        <v>1010710.0</v>
      </c>
      <c r="E650" t="s">
        <v>2134</v>
      </c>
      <c r="F650" t="s">
        <v>4434</v>
      </c>
      <c r="G650" t="s">
        <v>4435</v>
      </c>
      <c r="H650" t="s">
        <v>4436</v>
      </c>
    </row>
    <row r="651">
      <c r="A651">
        <v>64.0</v>
      </c>
      <c r="B651">
        <v>1010700.0</v>
      </c>
      <c r="C651" t="s">
        <v>4437</v>
      </c>
      <c r="D651">
        <v>1010700.0</v>
      </c>
      <c r="E651" t="s">
        <v>2129</v>
      </c>
      <c r="F651" t="s">
        <v>4438</v>
      </c>
      <c r="G651" t="s">
        <v>4439</v>
      </c>
      <c r="H651" t="s">
        <v>4440</v>
      </c>
    </row>
    <row r="653">
      <c r="A653">
        <v>65.0</v>
      </c>
      <c r="B653">
        <v>1010892.0</v>
      </c>
      <c r="C653" t="s">
        <v>4441</v>
      </c>
      <c r="D653">
        <v>1010892.0</v>
      </c>
      <c r="E653" t="s">
        <v>2134</v>
      </c>
      <c r="F653" t="s">
        <v>4442</v>
      </c>
      <c r="G653" t="s">
        <v>4443</v>
      </c>
      <c r="H653" t="s">
        <v>4444</v>
      </c>
    </row>
    <row r="654">
      <c r="A654">
        <v>65.0</v>
      </c>
      <c r="B654">
        <v>1010928.0</v>
      </c>
      <c r="C654" t="s">
        <v>4445</v>
      </c>
      <c r="D654">
        <v>1010928.0</v>
      </c>
      <c r="E654" t="s">
        <v>2134</v>
      </c>
      <c r="F654" t="s">
        <v>4446</v>
      </c>
      <c r="G654" t="s">
        <v>4447</v>
      </c>
      <c r="H654" t="s">
        <v>4448</v>
      </c>
    </row>
    <row r="655">
      <c r="A655">
        <v>65.0</v>
      </c>
      <c r="B655">
        <v>1010884.0</v>
      </c>
      <c r="C655" t="s">
        <v>4449</v>
      </c>
      <c r="D655">
        <v>1010884.0</v>
      </c>
      <c r="E655" t="s">
        <v>2134</v>
      </c>
      <c r="F655" t="s">
        <v>4450</v>
      </c>
      <c r="G655" t="s">
        <v>4451</v>
      </c>
      <c r="H655" t="s">
        <v>4452</v>
      </c>
    </row>
    <row r="656">
      <c r="A656">
        <v>65.0</v>
      </c>
      <c r="B656">
        <v>1010913.0</v>
      </c>
      <c r="C656" t="s">
        <v>4453</v>
      </c>
      <c r="D656">
        <v>1010913.0</v>
      </c>
      <c r="E656" t="s">
        <v>2129</v>
      </c>
      <c r="F656" t="s">
        <v>4454</v>
      </c>
      <c r="G656" t="s">
        <v>4455</v>
      </c>
      <c r="H656" t="s">
        <v>4456</v>
      </c>
    </row>
    <row r="657">
      <c r="A657">
        <v>65.0</v>
      </c>
      <c r="B657">
        <v>1010939.0</v>
      </c>
      <c r="C657" t="s">
        <v>4457</v>
      </c>
      <c r="D657">
        <v>1010939.0</v>
      </c>
      <c r="E657" t="s">
        <v>2134</v>
      </c>
      <c r="F657" t="s">
        <v>4458</v>
      </c>
      <c r="G657" t="s">
        <v>4459</v>
      </c>
      <c r="H657" t="s">
        <v>4460</v>
      </c>
    </row>
    <row r="658">
      <c r="A658">
        <v>65.0</v>
      </c>
      <c r="B658">
        <v>1010904.0</v>
      </c>
      <c r="C658" t="s">
        <v>4461</v>
      </c>
      <c r="D658">
        <v>1010904.0</v>
      </c>
      <c r="E658" t="s">
        <v>2134</v>
      </c>
      <c r="F658" t="s">
        <v>4462</v>
      </c>
      <c r="G658" t="s">
        <v>4463</v>
      </c>
      <c r="H658" t="s">
        <v>4464</v>
      </c>
    </row>
    <row r="659">
      <c r="A659">
        <v>65.0</v>
      </c>
      <c r="B659">
        <v>1010916.0</v>
      </c>
      <c r="C659" t="s">
        <v>4465</v>
      </c>
      <c r="D659">
        <v>1010916.0</v>
      </c>
      <c r="E659" t="s">
        <v>2134</v>
      </c>
      <c r="F659" t="s">
        <v>4466</v>
      </c>
      <c r="G659" t="s">
        <v>4467</v>
      </c>
      <c r="H659" t="s">
        <v>4468</v>
      </c>
    </row>
    <row r="660">
      <c r="A660">
        <v>65.0</v>
      </c>
      <c r="B660">
        <v>1010934.0</v>
      </c>
      <c r="C660" t="s">
        <v>4469</v>
      </c>
      <c r="D660">
        <v>1010934.0</v>
      </c>
      <c r="E660" t="s">
        <v>2134</v>
      </c>
      <c r="F660" t="s">
        <v>4470</v>
      </c>
      <c r="G660" t="s">
        <v>4471</v>
      </c>
      <c r="H660" t="s">
        <v>4472</v>
      </c>
    </row>
    <row r="662">
      <c r="A662">
        <v>66.0</v>
      </c>
      <c r="B662">
        <v>1010932.0</v>
      </c>
      <c r="C662" t="s">
        <v>4473</v>
      </c>
      <c r="D662">
        <v>1010932.0</v>
      </c>
      <c r="E662" t="s">
        <v>2129</v>
      </c>
      <c r="F662" t="s">
        <v>4474</v>
      </c>
      <c r="G662" t="s">
        <v>4475</v>
      </c>
      <c r="H662" t="s">
        <v>4476</v>
      </c>
    </row>
    <row r="663">
      <c r="A663">
        <v>66.0</v>
      </c>
      <c r="B663">
        <v>1010890.0</v>
      </c>
      <c r="C663" t="s">
        <v>4477</v>
      </c>
      <c r="D663">
        <v>1010890.0</v>
      </c>
      <c r="E663" t="s">
        <v>2129</v>
      </c>
      <c r="F663" t="s">
        <v>4478</v>
      </c>
      <c r="G663" t="s">
        <v>4479</v>
      </c>
      <c r="H663" t="s">
        <v>4480</v>
      </c>
    </row>
    <row r="664">
      <c r="A664">
        <v>66.0</v>
      </c>
      <c r="B664">
        <v>1010924.0</v>
      </c>
      <c r="C664" t="s">
        <v>4481</v>
      </c>
      <c r="D664">
        <v>1010924.0</v>
      </c>
      <c r="E664" t="s">
        <v>2129</v>
      </c>
      <c r="F664" t="s">
        <v>4482</v>
      </c>
      <c r="G664" t="s">
        <v>4483</v>
      </c>
      <c r="H664" t="s">
        <v>4484</v>
      </c>
    </row>
    <row r="665">
      <c r="A665">
        <v>66.0</v>
      </c>
      <c r="B665">
        <v>1010927.0</v>
      </c>
      <c r="C665" t="s">
        <v>4485</v>
      </c>
      <c r="D665">
        <v>1010927.0</v>
      </c>
      <c r="E665" t="s">
        <v>2198</v>
      </c>
      <c r="F665" t="s">
        <v>4486</v>
      </c>
      <c r="G665" t="s">
        <v>4487</v>
      </c>
      <c r="H665" t="s">
        <v>4488</v>
      </c>
    </row>
    <row r="666">
      <c r="A666">
        <v>66.0</v>
      </c>
      <c r="B666">
        <v>1010878.0</v>
      </c>
      <c r="C666" t="s">
        <v>4489</v>
      </c>
      <c r="D666">
        <v>1010878.0</v>
      </c>
      <c r="E666" t="s">
        <v>2129</v>
      </c>
      <c r="F666" t="s">
        <v>4490</v>
      </c>
      <c r="G666" t="s">
        <v>4491</v>
      </c>
      <c r="H666" t="s">
        <v>4492</v>
      </c>
    </row>
    <row r="667">
      <c r="A667">
        <v>66.0</v>
      </c>
      <c r="B667">
        <v>1010915.0</v>
      </c>
      <c r="C667" t="s">
        <v>4493</v>
      </c>
      <c r="D667">
        <v>1010915.0</v>
      </c>
      <c r="E667" t="s">
        <v>2129</v>
      </c>
      <c r="F667" t="s">
        <v>4494</v>
      </c>
      <c r="G667" t="s">
        <v>4495</v>
      </c>
      <c r="H667" t="s">
        <v>4496</v>
      </c>
    </row>
    <row r="668">
      <c r="A668">
        <v>66.0</v>
      </c>
      <c r="B668">
        <v>1010921.0</v>
      </c>
      <c r="C668" t="s">
        <v>4497</v>
      </c>
      <c r="D668">
        <v>1010921.0</v>
      </c>
      <c r="E668" t="s">
        <v>2134</v>
      </c>
      <c r="F668" t="s">
        <v>4498</v>
      </c>
      <c r="G668" t="s">
        <v>4499</v>
      </c>
      <c r="H668" t="s">
        <v>4500</v>
      </c>
    </row>
    <row r="669">
      <c r="A669">
        <v>66.0</v>
      </c>
      <c r="B669">
        <v>1010909.0</v>
      </c>
      <c r="C669" t="s">
        <v>4501</v>
      </c>
      <c r="D669">
        <v>1010909.0</v>
      </c>
      <c r="E669" t="s">
        <v>2129</v>
      </c>
      <c r="F669" t="s">
        <v>4502</v>
      </c>
      <c r="G669" t="s">
        <v>4503</v>
      </c>
      <c r="H669" t="s">
        <v>4504</v>
      </c>
    </row>
    <row r="670">
      <c r="A670">
        <v>66.0</v>
      </c>
      <c r="B670">
        <v>1010930.0</v>
      </c>
      <c r="C670" t="s">
        <v>4505</v>
      </c>
      <c r="D670">
        <v>1010930.0</v>
      </c>
      <c r="E670" t="s">
        <v>2129</v>
      </c>
      <c r="F670" t="s">
        <v>4506</v>
      </c>
      <c r="G670" t="s">
        <v>3561</v>
      </c>
      <c r="H670" t="s">
        <v>4507</v>
      </c>
    </row>
    <row r="671">
      <c r="A671">
        <v>66.0</v>
      </c>
      <c r="B671">
        <v>1010880.0</v>
      </c>
      <c r="C671" t="s">
        <v>4508</v>
      </c>
      <c r="D671">
        <v>1010880.0</v>
      </c>
      <c r="E671" t="s">
        <v>2129</v>
      </c>
      <c r="F671" t="s">
        <v>2695</v>
      </c>
      <c r="G671" t="s">
        <v>4509</v>
      </c>
      <c r="H671" t="s">
        <v>4510</v>
      </c>
    </row>
    <row r="672">
      <c r="A672">
        <v>66.0</v>
      </c>
      <c r="B672">
        <v>1010919.0</v>
      </c>
      <c r="C672" t="s">
        <v>4511</v>
      </c>
      <c r="D672">
        <v>1010919.0</v>
      </c>
      <c r="E672" t="s">
        <v>2134</v>
      </c>
      <c r="F672" t="s">
        <v>4512</v>
      </c>
      <c r="G672" t="s">
        <v>4513</v>
      </c>
      <c r="H672" t="s">
        <v>4514</v>
      </c>
    </row>
    <row r="673">
      <c r="A673">
        <v>66.0</v>
      </c>
      <c r="B673">
        <v>1010925.0</v>
      </c>
      <c r="C673" t="s">
        <v>4515</v>
      </c>
      <c r="D673">
        <v>1010925.0</v>
      </c>
      <c r="E673" t="s">
        <v>2134</v>
      </c>
      <c r="F673" t="s">
        <v>4516</v>
      </c>
      <c r="G673" t="s">
        <v>4517</v>
      </c>
      <c r="H673" t="s">
        <v>4518</v>
      </c>
    </row>
    <row r="674">
      <c r="A674">
        <v>66.0</v>
      </c>
      <c r="B674">
        <v>1010897.0</v>
      </c>
      <c r="C674" t="s">
        <v>4519</v>
      </c>
      <c r="D674">
        <v>1010897.0</v>
      </c>
      <c r="E674" t="s">
        <v>2129</v>
      </c>
      <c r="F674" t="s">
        <v>3851</v>
      </c>
      <c r="G674" t="s">
        <v>4520</v>
      </c>
      <c r="H674" t="s">
        <v>4521</v>
      </c>
    </row>
    <row r="675">
      <c r="A675">
        <v>66.0</v>
      </c>
      <c r="B675">
        <v>1010905.0</v>
      </c>
      <c r="C675" t="s">
        <v>4522</v>
      </c>
      <c r="D675">
        <v>1010905.0</v>
      </c>
      <c r="E675" t="s">
        <v>2129</v>
      </c>
      <c r="F675" t="s">
        <v>4523</v>
      </c>
      <c r="G675" t="s">
        <v>4524</v>
      </c>
      <c r="H675" t="s">
        <v>4525</v>
      </c>
    </row>
    <row r="676">
      <c r="A676">
        <v>66.0</v>
      </c>
      <c r="B676">
        <v>1010891.0</v>
      </c>
      <c r="C676" t="s">
        <v>4526</v>
      </c>
      <c r="D676">
        <v>1010891.0</v>
      </c>
      <c r="E676" t="s">
        <v>2134</v>
      </c>
      <c r="F676" t="s">
        <v>2319</v>
      </c>
      <c r="G676" t="s">
        <v>4527</v>
      </c>
      <c r="H676" t="s">
        <v>4528</v>
      </c>
    </row>
    <row r="677">
      <c r="A677">
        <v>66.0</v>
      </c>
      <c r="B677">
        <v>1010879.0</v>
      </c>
      <c r="C677" t="s">
        <v>4529</v>
      </c>
      <c r="D677">
        <v>1010879.0</v>
      </c>
      <c r="E677" t="s">
        <v>2129</v>
      </c>
      <c r="F677" t="s">
        <v>4530</v>
      </c>
      <c r="G677" t="s">
        <v>4531</v>
      </c>
      <c r="H677" t="s">
        <v>4532</v>
      </c>
    </row>
    <row r="678">
      <c r="A678">
        <v>66.0</v>
      </c>
      <c r="B678">
        <v>1010926.0</v>
      </c>
      <c r="C678" t="s">
        <v>4533</v>
      </c>
      <c r="D678">
        <v>1010926.0</v>
      </c>
      <c r="E678" t="s">
        <v>2134</v>
      </c>
      <c r="F678" t="s">
        <v>4534</v>
      </c>
      <c r="G678" t="s">
        <v>4535</v>
      </c>
      <c r="H678" t="s">
        <v>4536</v>
      </c>
    </row>
    <row r="679">
      <c r="A679">
        <v>66.0</v>
      </c>
      <c r="B679">
        <v>1010922.0</v>
      </c>
      <c r="C679" t="s">
        <v>4537</v>
      </c>
      <c r="D679">
        <v>1010922.0</v>
      </c>
      <c r="E679" t="s">
        <v>2134</v>
      </c>
      <c r="F679" t="s">
        <v>4538</v>
      </c>
      <c r="G679" t="s">
        <v>4539</v>
      </c>
      <c r="H679" t="s">
        <v>4540</v>
      </c>
    </row>
    <row r="680">
      <c r="A680">
        <v>66.0</v>
      </c>
      <c r="B680">
        <v>1010874.0</v>
      </c>
      <c r="C680" t="s">
        <v>4541</v>
      </c>
      <c r="D680">
        <v>1010874.0</v>
      </c>
      <c r="E680" t="s">
        <v>2129</v>
      </c>
      <c r="F680" t="s">
        <v>4542</v>
      </c>
      <c r="G680" t="s">
        <v>4543</v>
      </c>
      <c r="H680" t="s">
        <v>4544</v>
      </c>
    </row>
    <row r="681">
      <c r="A681">
        <v>66.0</v>
      </c>
      <c r="B681">
        <v>1010893.0</v>
      </c>
      <c r="C681" t="s">
        <v>4545</v>
      </c>
      <c r="D681">
        <v>1010893.0</v>
      </c>
      <c r="E681" t="s">
        <v>2129</v>
      </c>
      <c r="F681" t="s">
        <v>4546</v>
      </c>
      <c r="G681" t="s">
        <v>4547</v>
      </c>
      <c r="H681" t="s">
        <v>4548</v>
      </c>
    </row>
    <row r="682">
      <c r="A682">
        <v>66.0</v>
      </c>
      <c r="B682">
        <v>1010906.0</v>
      </c>
      <c r="C682" t="s">
        <v>4549</v>
      </c>
      <c r="D682">
        <v>1010906.0</v>
      </c>
      <c r="E682" t="s">
        <v>2134</v>
      </c>
      <c r="F682" t="s">
        <v>4550</v>
      </c>
      <c r="G682" t="s">
        <v>4551</v>
      </c>
      <c r="H682" t="s">
        <v>4552</v>
      </c>
    </row>
    <row r="683">
      <c r="A683">
        <v>66.0</v>
      </c>
      <c r="B683">
        <v>1010899.0</v>
      </c>
      <c r="C683" t="s">
        <v>4553</v>
      </c>
      <c r="D683">
        <v>1010899.0</v>
      </c>
      <c r="E683" t="s">
        <v>2134</v>
      </c>
      <c r="F683" t="s">
        <v>4554</v>
      </c>
      <c r="G683" t="s">
        <v>4555</v>
      </c>
      <c r="H683" t="s">
        <v>4556</v>
      </c>
    </row>
    <row r="684">
      <c r="A684">
        <v>66.0</v>
      </c>
      <c r="B684">
        <v>1004210.0</v>
      </c>
      <c r="C684" t="s">
        <v>4557</v>
      </c>
      <c r="D684">
        <v>1004210.0</v>
      </c>
      <c r="E684" t="s">
        <v>2134</v>
      </c>
      <c r="F684" t="s">
        <v>4558</v>
      </c>
      <c r="G684" t="s">
        <v>4559</v>
      </c>
      <c r="H684" t="s">
        <v>4560</v>
      </c>
    </row>
    <row r="686">
      <c r="A686">
        <v>67.0</v>
      </c>
      <c r="B686">
        <v>1011321.0</v>
      </c>
      <c r="C686" t="s">
        <v>4561</v>
      </c>
      <c r="D686">
        <v>1011321.0</v>
      </c>
      <c r="E686" t="s">
        <v>2129</v>
      </c>
      <c r="F686" t="s">
        <v>4562</v>
      </c>
      <c r="G686" t="s">
        <v>4563</v>
      </c>
      <c r="H686" t="s">
        <v>4564</v>
      </c>
    </row>
    <row r="687">
      <c r="A687">
        <v>67.0</v>
      </c>
      <c r="B687">
        <v>1011318.0</v>
      </c>
      <c r="C687" t="s">
        <v>4565</v>
      </c>
      <c r="D687">
        <v>1011318.0</v>
      </c>
      <c r="E687" t="s">
        <v>2129</v>
      </c>
      <c r="F687" t="s">
        <v>4566</v>
      </c>
      <c r="G687" t="s">
        <v>4567</v>
      </c>
      <c r="H687" t="s">
        <v>4568</v>
      </c>
    </row>
    <row r="688">
      <c r="A688">
        <v>67.0</v>
      </c>
      <c r="B688">
        <v>1011323.0</v>
      </c>
      <c r="C688" t="s">
        <v>4569</v>
      </c>
      <c r="D688">
        <v>1011323.0</v>
      </c>
      <c r="E688" t="s">
        <v>2134</v>
      </c>
      <c r="F688" t="s">
        <v>4570</v>
      </c>
      <c r="G688" t="s">
        <v>4571</v>
      </c>
      <c r="H688" t="s">
        <v>4572</v>
      </c>
    </row>
    <row r="689">
      <c r="A689">
        <v>67.0</v>
      </c>
      <c r="B689">
        <v>1011316.0</v>
      </c>
      <c r="C689" t="s">
        <v>4573</v>
      </c>
      <c r="D689">
        <v>1011316.0</v>
      </c>
      <c r="E689" t="s">
        <v>2134</v>
      </c>
      <c r="F689" t="s">
        <v>4574</v>
      </c>
      <c r="G689" t="s">
        <v>4575</v>
      </c>
      <c r="H689" t="s">
        <v>4576</v>
      </c>
    </row>
    <row r="690">
      <c r="A690">
        <v>67.0</v>
      </c>
      <c r="B690">
        <v>1011308.0</v>
      </c>
      <c r="C690" t="s">
        <v>4577</v>
      </c>
      <c r="D690">
        <v>1011308.0</v>
      </c>
      <c r="E690" t="s">
        <v>2129</v>
      </c>
      <c r="F690" t="s">
        <v>4578</v>
      </c>
      <c r="G690" t="s">
        <v>4579</v>
      </c>
      <c r="H690" t="s">
        <v>4580</v>
      </c>
    </row>
    <row r="691">
      <c r="A691">
        <v>67.0</v>
      </c>
      <c r="B691">
        <v>1011319.0</v>
      </c>
      <c r="C691" t="s">
        <v>4581</v>
      </c>
      <c r="D691">
        <v>1011319.0</v>
      </c>
      <c r="E691" t="s">
        <v>2129</v>
      </c>
      <c r="F691" t="s">
        <v>4582</v>
      </c>
      <c r="G691" t="s">
        <v>4583</v>
      </c>
      <c r="H691" t="s">
        <v>4584</v>
      </c>
    </row>
    <row r="692">
      <c r="A692">
        <v>67.0</v>
      </c>
      <c r="B692">
        <v>1011320.0</v>
      </c>
      <c r="C692" t="s">
        <v>4585</v>
      </c>
      <c r="D692">
        <v>1011320.0</v>
      </c>
      <c r="E692" t="s">
        <v>2134</v>
      </c>
      <c r="F692" t="s">
        <v>4586</v>
      </c>
      <c r="G692" t="s">
        <v>4075</v>
      </c>
      <c r="H692" t="s">
        <v>4587</v>
      </c>
    </row>
    <row r="693">
      <c r="A693">
        <v>67.0</v>
      </c>
      <c r="B693">
        <v>1011311.0</v>
      </c>
      <c r="C693" t="s">
        <v>4588</v>
      </c>
      <c r="D693">
        <v>1011311.0</v>
      </c>
      <c r="E693" t="s">
        <v>2129</v>
      </c>
      <c r="F693" t="s">
        <v>4589</v>
      </c>
      <c r="G693" t="s">
        <v>4590</v>
      </c>
      <c r="H693" t="s">
        <v>4591</v>
      </c>
    </row>
    <row r="694">
      <c r="A694">
        <v>67.0</v>
      </c>
      <c r="B694">
        <v>1011307.0</v>
      </c>
      <c r="C694" t="s">
        <v>4592</v>
      </c>
      <c r="D694">
        <v>1011307.0</v>
      </c>
      <c r="E694" t="s">
        <v>2129</v>
      </c>
      <c r="F694" t="s">
        <v>4593</v>
      </c>
      <c r="G694" t="s">
        <v>4594</v>
      </c>
      <c r="H694" t="s">
        <v>4595</v>
      </c>
    </row>
    <row r="695">
      <c r="A695">
        <v>67.0</v>
      </c>
      <c r="B695">
        <v>1011309.0</v>
      </c>
      <c r="C695" t="s">
        <v>4596</v>
      </c>
      <c r="D695">
        <v>1011309.0</v>
      </c>
      <c r="E695" t="s">
        <v>2134</v>
      </c>
      <c r="F695" t="s">
        <v>4597</v>
      </c>
      <c r="G695" t="s">
        <v>4598</v>
      </c>
      <c r="H695" t="s">
        <v>4599</v>
      </c>
    </row>
    <row r="696">
      <c r="A696">
        <v>67.0</v>
      </c>
      <c r="B696">
        <v>1011315.0</v>
      </c>
      <c r="C696" t="s">
        <v>4600</v>
      </c>
      <c r="D696">
        <v>1011315.0</v>
      </c>
      <c r="E696" t="s">
        <v>2129</v>
      </c>
      <c r="F696" t="s">
        <v>4601</v>
      </c>
      <c r="G696" t="s">
        <v>4602</v>
      </c>
      <c r="H696" t="s">
        <v>4603</v>
      </c>
    </row>
    <row r="697">
      <c r="A697">
        <v>67.0</v>
      </c>
      <c r="B697">
        <v>1011304.0</v>
      </c>
      <c r="C697" t="s">
        <v>4604</v>
      </c>
      <c r="D697">
        <v>1011304.0</v>
      </c>
      <c r="E697" t="s">
        <v>2129</v>
      </c>
      <c r="F697" t="s">
        <v>4605</v>
      </c>
      <c r="G697" t="s">
        <v>4606</v>
      </c>
      <c r="H697" t="s">
        <v>4607</v>
      </c>
    </row>
    <row r="698">
      <c r="A698">
        <v>67.0</v>
      </c>
      <c r="B698">
        <v>1011314.0</v>
      </c>
      <c r="C698" t="s">
        <v>4608</v>
      </c>
      <c r="D698">
        <v>1011314.0</v>
      </c>
      <c r="E698" t="s">
        <v>2134</v>
      </c>
      <c r="F698" t="s">
        <v>4609</v>
      </c>
      <c r="G698" t="s">
        <v>4610</v>
      </c>
      <c r="H698" t="s">
        <v>4611</v>
      </c>
    </row>
    <row r="699">
      <c r="A699">
        <v>67.0</v>
      </c>
      <c r="B699">
        <v>1011303.0</v>
      </c>
      <c r="C699" t="s">
        <v>4612</v>
      </c>
      <c r="D699">
        <v>1011303.0</v>
      </c>
      <c r="E699" t="s">
        <v>2129</v>
      </c>
      <c r="F699" t="s">
        <v>4613</v>
      </c>
      <c r="G699" t="s">
        <v>4614</v>
      </c>
      <c r="H699" t="s">
        <v>4615</v>
      </c>
    </row>
    <row r="700">
      <c r="A700">
        <v>67.0</v>
      </c>
      <c r="B700">
        <v>1011306.0</v>
      </c>
      <c r="C700" t="s">
        <v>4616</v>
      </c>
      <c r="D700">
        <v>1011306.0</v>
      </c>
      <c r="E700" t="s">
        <v>2129</v>
      </c>
      <c r="F700" t="s">
        <v>4617</v>
      </c>
      <c r="G700" t="s">
        <v>4618</v>
      </c>
      <c r="H700" t="s">
        <v>4619</v>
      </c>
    </row>
    <row r="701">
      <c r="A701">
        <v>67.0</v>
      </c>
      <c r="B701">
        <v>1011310.0</v>
      </c>
      <c r="C701" t="s">
        <v>4620</v>
      </c>
      <c r="D701">
        <v>1011310.0</v>
      </c>
      <c r="E701" t="s">
        <v>2129</v>
      </c>
      <c r="F701" t="s">
        <v>4621</v>
      </c>
      <c r="G701" t="s">
        <v>4622</v>
      </c>
      <c r="H701" t="s">
        <v>4623</v>
      </c>
    </row>
    <row r="702">
      <c r="A702">
        <v>67.0</v>
      </c>
      <c r="B702">
        <v>1011322.0</v>
      </c>
      <c r="C702" t="s">
        <v>4624</v>
      </c>
      <c r="D702">
        <v>1011322.0</v>
      </c>
      <c r="E702" t="s">
        <v>2129</v>
      </c>
      <c r="F702" t="s">
        <v>4625</v>
      </c>
      <c r="G702" t="s">
        <v>4626</v>
      </c>
      <c r="H702" t="s">
        <v>4627</v>
      </c>
    </row>
    <row r="703">
      <c r="A703">
        <v>67.0</v>
      </c>
      <c r="B703">
        <v>1011305.0</v>
      </c>
      <c r="C703" t="s">
        <v>4628</v>
      </c>
      <c r="D703">
        <v>1011305.0</v>
      </c>
      <c r="E703" t="s">
        <v>2129</v>
      </c>
      <c r="F703" t="s">
        <v>4629</v>
      </c>
      <c r="G703" t="s">
        <v>4630</v>
      </c>
      <c r="H703" t="s">
        <v>4631</v>
      </c>
    </row>
    <row r="704">
      <c r="A704">
        <v>67.0</v>
      </c>
      <c r="B704">
        <v>1011312.0</v>
      </c>
      <c r="C704" t="s">
        <v>4632</v>
      </c>
      <c r="D704">
        <v>1011312.0</v>
      </c>
      <c r="E704" t="s">
        <v>2129</v>
      </c>
      <c r="F704" t="s">
        <v>4633</v>
      </c>
      <c r="G704" t="s">
        <v>4634</v>
      </c>
      <c r="H704" t="s">
        <v>4635</v>
      </c>
    </row>
    <row r="705">
      <c r="A705">
        <v>67.0</v>
      </c>
      <c r="B705">
        <v>1011313.0</v>
      </c>
      <c r="C705" t="s">
        <v>4636</v>
      </c>
      <c r="D705">
        <v>1011313.0</v>
      </c>
      <c r="E705" t="s">
        <v>2129</v>
      </c>
      <c r="F705" t="s">
        <v>4637</v>
      </c>
      <c r="G705" t="s">
        <v>4638</v>
      </c>
      <c r="H705" t="s">
        <v>4639</v>
      </c>
    </row>
    <row r="707">
      <c r="A707">
        <v>68.0</v>
      </c>
      <c r="B707">
        <v>1011509.0</v>
      </c>
      <c r="C707" t="s">
        <v>4640</v>
      </c>
      <c r="D707">
        <v>1011509.0</v>
      </c>
      <c r="E707" t="s">
        <v>2129</v>
      </c>
      <c r="F707" t="s">
        <v>4641</v>
      </c>
      <c r="G707" t="s">
        <v>4642</v>
      </c>
      <c r="H707" t="s">
        <v>4643</v>
      </c>
    </row>
    <row r="708">
      <c r="A708">
        <v>68.0</v>
      </c>
      <c r="B708">
        <v>1011507.0</v>
      </c>
      <c r="C708" t="s">
        <v>4644</v>
      </c>
      <c r="D708">
        <v>1011507.0</v>
      </c>
      <c r="E708" t="s">
        <v>2129</v>
      </c>
      <c r="F708" t="s">
        <v>4645</v>
      </c>
      <c r="G708" t="s">
        <v>4646</v>
      </c>
      <c r="H708" t="s">
        <v>4647</v>
      </c>
    </row>
    <row r="709">
      <c r="A709">
        <v>68.0</v>
      </c>
      <c r="B709">
        <v>1011513.0</v>
      </c>
      <c r="C709" t="s">
        <v>4648</v>
      </c>
      <c r="D709">
        <v>1011513.0</v>
      </c>
      <c r="E709" t="s">
        <v>2134</v>
      </c>
      <c r="F709" t="s">
        <v>4649</v>
      </c>
      <c r="G709" t="s">
        <v>4650</v>
      </c>
      <c r="H709" t="s">
        <v>4651</v>
      </c>
    </row>
    <row r="710">
      <c r="A710">
        <v>68.0</v>
      </c>
      <c r="B710">
        <v>1011518.0</v>
      </c>
      <c r="C710" t="s">
        <v>4652</v>
      </c>
      <c r="D710">
        <v>1011518.0</v>
      </c>
      <c r="E710" t="s">
        <v>2134</v>
      </c>
      <c r="F710" t="s">
        <v>3909</v>
      </c>
      <c r="G710" t="s">
        <v>4653</v>
      </c>
      <c r="H710" t="s">
        <v>4654</v>
      </c>
    </row>
    <row r="711">
      <c r="A711">
        <v>68.0</v>
      </c>
      <c r="B711">
        <v>1011515.0</v>
      </c>
      <c r="C711" t="s">
        <v>4655</v>
      </c>
      <c r="D711">
        <v>1011515.0</v>
      </c>
      <c r="E711" t="s">
        <v>2134</v>
      </c>
      <c r="F711" t="s">
        <v>4656</v>
      </c>
      <c r="G711" t="s">
        <v>4657</v>
      </c>
      <c r="H711" t="s">
        <v>4658</v>
      </c>
    </row>
    <row r="712">
      <c r="A712">
        <v>68.0</v>
      </c>
      <c r="B712">
        <v>1011517.0</v>
      </c>
      <c r="C712" t="s">
        <v>4659</v>
      </c>
      <c r="D712">
        <v>1011517.0</v>
      </c>
      <c r="E712" t="s">
        <v>2129</v>
      </c>
      <c r="F712" t="s">
        <v>4660</v>
      </c>
      <c r="G712" t="s">
        <v>4661</v>
      </c>
      <c r="H712" t="s">
        <v>1056</v>
      </c>
    </row>
    <row r="713">
      <c r="A713">
        <v>68.0</v>
      </c>
      <c r="B713">
        <v>1011512.0</v>
      </c>
      <c r="C713" t="s">
        <v>4662</v>
      </c>
      <c r="D713">
        <v>1011512.0</v>
      </c>
      <c r="E713" t="s">
        <v>2129</v>
      </c>
      <c r="F713" t="s">
        <v>4663</v>
      </c>
      <c r="G713" t="s">
        <v>4664</v>
      </c>
      <c r="H713" t="s">
        <v>4665</v>
      </c>
    </row>
    <row r="714">
      <c r="A714">
        <v>68.0</v>
      </c>
      <c r="B714">
        <v>1011516.0</v>
      </c>
      <c r="C714" t="s">
        <v>4666</v>
      </c>
      <c r="D714">
        <v>1011516.0</v>
      </c>
      <c r="E714" t="s">
        <v>2134</v>
      </c>
      <c r="F714" t="s">
        <v>4667</v>
      </c>
      <c r="G714" t="s">
        <v>4668</v>
      </c>
      <c r="H714" t="s">
        <v>4669</v>
      </c>
    </row>
    <row r="715">
      <c r="A715">
        <v>68.0</v>
      </c>
      <c r="B715">
        <v>1011511.0</v>
      </c>
      <c r="C715" t="s">
        <v>4670</v>
      </c>
      <c r="D715">
        <v>1011511.0</v>
      </c>
      <c r="E715" t="s">
        <v>2134</v>
      </c>
      <c r="F715" t="s">
        <v>4671</v>
      </c>
      <c r="G715" t="s">
        <v>4672</v>
      </c>
      <c r="H715" t="s">
        <v>2051</v>
      </c>
    </row>
    <row r="716">
      <c r="A716">
        <v>68.0</v>
      </c>
      <c r="B716">
        <v>1011510.0</v>
      </c>
      <c r="C716" t="s">
        <v>4673</v>
      </c>
      <c r="D716">
        <v>1011510.0</v>
      </c>
      <c r="E716" t="s">
        <v>2134</v>
      </c>
      <c r="F716" t="s">
        <v>4554</v>
      </c>
      <c r="G716" t="s">
        <v>4674</v>
      </c>
      <c r="H716" t="s">
        <v>4675</v>
      </c>
    </row>
    <row r="717">
      <c r="A717">
        <v>68.0</v>
      </c>
      <c r="B717">
        <v>1011514.0</v>
      </c>
      <c r="C717" t="s">
        <v>4676</v>
      </c>
      <c r="D717">
        <v>1011514.0</v>
      </c>
      <c r="E717" t="s">
        <v>2129</v>
      </c>
      <c r="F717" t="s">
        <v>4677</v>
      </c>
      <c r="G717" t="s">
        <v>4678</v>
      </c>
      <c r="H717" t="s">
        <v>4679</v>
      </c>
    </row>
    <row r="718">
      <c r="A718">
        <v>68.0</v>
      </c>
      <c r="B718">
        <v>1004526.0</v>
      </c>
      <c r="C718" t="s">
        <v>4680</v>
      </c>
      <c r="D718">
        <v>1004526.0</v>
      </c>
      <c r="E718" t="s">
        <v>2129</v>
      </c>
      <c r="F718" t="s">
        <v>4681</v>
      </c>
      <c r="G718" t="s">
        <v>4682</v>
      </c>
      <c r="H718" t="s">
        <v>4683</v>
      </c>
    </row>
    <row r="719">
      <c r="A719">
        <v>68.0</v>
      </c>
      <c r="B719">
        <v>1004683.0</v>
      </c>
      <c r="C719" t="s">
        <v>4684</v>
      </c>
      <c r="D719">
        <v>1004683.0</v>
      </c>
      <c r="E719" t="s">
        <v>2134</v>
      </c>
      <c r="F719" t="s">
        <v>4685</v>
      </c>
      <c r="G719" t="s">
        <v>4686</v>
      </c>
      <c r="H719" t="s">
        <v>4687</v>
      </c>
    </row>
    <row r="720">
      <c r="A720">
        <v>68.0</v>
      </c>
      <c r="B720">
        <v>1004702.0</v>
      </c>
      <c r="C720" t="s">
        <v>4688</v>
      </c>
      <c r="D720">
        <v>1004702.0</v>
      </c>
      <c r="E720" t="s">
        <v>2134</v>
      </c>
      <c r="F720" t="s">
        <v>4689</v>
      </c>
      <c r="G720" t="s">
        <v>4690</v>
      </c>
      <c r="H720" t="s">
        <v>4691</v>
      </c>
    </row>
    <row r="722">
      <c r="A722">
        <v>69.0</v>
      </c>
      <c r="B722">
        <v>1011743.0</v>
      </c>
      <c r="C722" t="s">
        <v>4692</v>
      </c>
      <c r="D722">
        <v>1011743.0</v>
      </c>
      <c r="E722" t="s">
        <v>2129</v>
      </c>
      <c r="F722" t="s">
        <v>4693</v>
      </c>
      <c r="G722" t="s">
        <v>4694</v>
      </c>
      <c r="H722" t="s">
        <v>4695</v>
      </c>
    </row>
    <row r="723">
      <c r="A723">
        <v>69.0</v>
      </c>
      <c r="B723">
        <v>1004950.0</v>
      </c>
      <c r="C723" t="s">
        <v>4696</v>
      </c>
      <c r="D723">
        <v>1004950.0</v>
      </c>
      <c r="E723" t="s">
        <v>2129</v>
      </c>
      <c r="F723" t="s">
        <v>2271</v>
      </c>
      <c r="G723" t="s">
        <v>4697</v>
      </c>
      <c r="H723" t="s">
        <v>4698</v>
      </c>
    </row>
    <row r="724">
      <c r="A724">
        <v>69.0</v>
      </c>
      <c r="B724">
        <v>1005326.0</v>
      </c>
      <c r="C724" t="s">
        <v>4699</v>
      </c>
      <c r="D724">
        <v>1005326.0</v>
      </c>
      <c r="E724" t="s">
        <v>2134</v>
      </c>
      <c r="F724" t="s">
        <v>4700</v>
      </c>
      <c r="G724" t="s">
        <v>4701</v>
      </c>
      <c r="H724" t="s">
        <v>4702</v>
      </c>
    </row>
    <row r="725">
      <c r="A725">
        <v>69.0</v>
      </c>
      <c r="B725">
        <v>1011756.0</v>
      </c>
      <c r="C725" t="s">
        <v>4703</v>
      </c>
      <c r="D725">
        <v>1011756.0</v>
      </c>
      <c r="E725" t="s">
        <v>2129</v>
      </c>
      <c r="F725" t="s">
        <v>4704</v>
      </c>
      <c r="G725" t="s">
        <v>4705</v>
      </c>
      <c r="H725" t="s">
        <v>4706</v>
      </c>
    </row>
    <row r="726">
      <c r="A726">
        <v>69.0</v>
      </c>
      <c r="B726">
        <v>1011719.0</v>
      </c>
      <c r="C726" t="s">
        <v>4707</v>
      </c>
      <c r="D726">
        <v>1011719.0</v>
      </c>
      <c r="E726" t="s">
        <v>2129</v>
      </c>
      <c r="F726" t="s">
        <v>4708</v>
      </c>
      <c r="G726" t="s">
        <v>4709</v>
      </c>
      <c r="H726" t="s">
        <v>4710</v>
      </c>
    </row>
    <row r="727">
      <c r="A727">
        <v>69.0</v>
      </c>
      <c r="B727">
        <v>1011766.0</v>
      </c>
      <c r="C727" t="s">
        <v>4711</v>
      </c>
      <c r="D727">
        <v>1011766.0</v>
      </c>
      <c r="E727" t="s">
        <v>2129</v>
      </c>
      <c r="F727" t="s">
        <v>4712</v>
      </c>
      <c r="G727" t="s">
        <v>4713</v>
      </c>
      <c r="H727" t="s">
        <v>4714</v>
      </c>
    </row>
    <row r="728">
      <c r="A728">
        <v>69.0</v>
      </c>
      <c r="B728">
        <v>1011720.0</v>
      </c>
      <c r="C728" t="s">
        <v>4715</v>
      </c>
      <c r="D728">
        <v>1011720.0</v>
      </c>
      <c r="E728" t="s">
        <v>2129</v>
      </c>
      <c r="F728" t="s">
        <v>4716</v>
      </c>
      <c r="G728" t="s">
        <v>4717</v>
      </c>
      <c r="H728" t="s">
        <v>4718</v>
      </c>
    </row>
    <row r="729">
      <c r="A729">
        <v>69.0</v>
      </c>
      <c r="B729">
        <v>1011730.0</v>
      </c>
      <c r="C729" t="s">
        <v>4719</v>
      </c>
      <c r="D729">
        <v>1011730.0</v>
      </c>
      <c r="E729" t="s">
        <v>2134</v>
      </c>
      <c r="F729" t="s">
        <v>4720</v>
      </c>
      <c r="G729" t="s">
        <v>4721</v>
      </c>
      <c r="H729" t="s">
        <v>4722</v>
      </c>
    </row>
    <row r="730">
      <c r="A730">
        <v>69.0</v>
      </c>
      <c r="B730">
        <v>1011759.0</v>
      </c>
      <c r="C730" t="s">
        <v>4723</v>
      </c>
      <c r="D730">
        <v>1011759.0</v>
      </c>
      <c r="E730" t="s">
        <v>2134</v>
      </c>
      <c r="F730" t="s">
        <v>2556</v>
      </c>
      <c r="G730" t="s">
        <v>4724</v>
      </c>
      <c r="H730" t="s">
        <v>4725</v>
      </c>
    </row>
    <row r="731">
      <c r="A731">
        <v>69.0</v>
      </c>
      <c r="B731">
        <v>1011741.0</v>
      </c>
      <c r="C731" t="s">
        <v>4726</v>
      </c>
      <c r="D731">
        <v>1011741.0</v>
      </c>
      <c r="E731" t="s">
        <v>2129</v>
      </c>
      <c r="F731" t="s">
        <v>4727</v>
      </c>
      <c r="G731" t="s">
        <v>4728</v>
      </c>
      <c r="H731" t="s">
        <v>4729</v>
      </c>
    </row>
    <row r="732">
      <c r="A732">
        <v>69.0</v>
      </c>
      <c r="B732">
        <v>1011716.0</v>
      </c>
      <c r="C732" t="s">
        <v>4730</v>
      </c>
      <c r="D732">
        <v>1011716.0</v>
      </c>
      <c r="E732" t="s">
        <v>2129</v>
      </c>
      <c r="F732" t="s">
        <v>4731</v>
      </c>
      <c r="G732" t="s">
        <v>4732</v>
      </c>
      <c r="H732" t="s">
        <v>4733</v>
      </c>
    </row>
    <row r="733">
      <c r="A733">
        <v>69.0</v>
      </c>
      <c r="B733">
        <v>1011762.0</v>
      </c>
      <c r="C733" t="s">
        <v>4734</v>
      </c>
      <c r="D733">
        <v>1011762.0</v>
      </c>
      <c r="E733" t="s">
        <v>2134</v>
      </c>
      <c r="F733" t="s">
        <v>4735</v>
      </c>
      <c r="G733" t="s">
        <v>4736</v>
      </c>
      <c r="H733" t="s">
        <v>4737</v>
      </c>
    </row>
    <row r="734">
      <c r="A734">
        <v>69.0</v>
      </c>
      <c r="B734">
        <v>1011758.0</v>
      </c>
      <c r="C734" t="s">
        <v>4738</v>
      </c>
      <c r="D734">
        <v>1011758.0</v>
      </c>
      <c r="E734" t="s">
        <v>2129</v>
      </c>
      <c r="F734" t="s">
        <v>4739</v>
      </c>
      <c r="G734" t="s">
        <v>4740</v>
      </c>
      <c r="H734" t="s">
        <v>4741</v>
      </c>
    </row>
    <row r="736">
      <c r="A736">
        <v>70.0</v>
      </c>
      <c r="B736">
        <v>1012166.0</v>
      </c>
      <c r="C736" t="s">
        <v>4742</v>
      </c>
      <c r="D736">
        <v>1012166.0</v>
      </c>
      <c r="E736" t="s">
        <v>2129</v>
      </c>
      <c r="F736" t="s">
        <v>4743</v>
      </c>
      <c r="G736" t="s">
        <v>4744</v>
      </c>
      <c r="H736" t="s">
        <v>4745</v>
      </c>
    </row>
    <row r="737">
      <c r="A737">
        <v>70.0</v>
      </c>
      <c r="B737">
        <v>1012187.0</v>
      </c>
      <c r="C737" t="s">
        <v>4746</v>
      </c>
      <c r="D737">
        <v>1012187.0</v>
      </c>
      <c r="E737" t="s">
        <v>2129</v>
      </c>
      <c r="F737" t="s">
        <v>4747</v>
      </c>
      <c r="G737" t="s">
        <v>4748</v>
      </c>
      <c r="H737" t="s">
        <v>4749</v>
      </c>
    </row>
    <row r="738">
      <c r="A738">
        <v>70.0</v>
      </c>
      <c r="B738">
        <v>1012186.0</v>
      </c>
      <c r="C738" t="s">
        <v>4750</v>
      </c>
      <c r="D738">
        <v>1012186.0</v>
      </c>
      <c r="E738" t="s">
        <v>2129</v>
      </c>
      <c r="F738" t="s">
        <v>4751</v>
      </c>
      <c r="G738" t="s">
        <v>4752</v>
      </c>
      <c r="H738" t="s">
        <v>4753</v>
      </c>
    </row>
    <row r="739">
      <c r="A739">
        <v>70.0</v>
      </c>
      <c r="B739">
        <v>1012170.0</v>
      </c>
      <c r="C739" t="s">
        <v>4754</v>
      </c>
      <c r="D739">
        <v>1012170.0</v>
      </c>
      <c r="E739" t="s">
        <v>2129</v>
      </c>
      <c r="F739" t="s">
        <v>4755</v>
      </c>
      <c r="G739" t="s">
        <v>4756</v>
      </c>
      <c r="H739" t="s">
        <v>4757</v>
      </c>
    </row>
    <row r="740">
      <c r="A740">
        <v>70.0</v>
      </c>
      <c r="B740">
        <v>1012183.0</v>
      </c>
      <c r="C740" t="s">
        <v>4758</v>
      </c>
      <c r="D740">
        <v>1012183.0</v>
      </c>
      <c r="E740" t="s">
        <v>2134</v>
      </c>
      <c r="F740" t="s">
        <v>4759</v>
      </c>
      <c r="G740" t="s">
        <v>4760</v>
      </c>
      <c r="H740" t="s">
        <v>4761</v>
      </c>
    </row>
    <row r="741">
      <c r="A741">
        <v>70.0</v>
      </c>
      <c r="B741">
        <v>1012182.0</v>
      </c>
      <c r="C741" t="s">
        <v>4762</v>
      </c>
      <c r="D741">
        <v>1012182.0</v>
      </c>
      <c r="E741" t="s">
        <v>2129</v>
      </c>
      <c r="F741" t="s">
        <v>4763</v>
      </c>
      <c r="G741" t="s">
        <v>4764</v>
      </c>
      <c r="H741" t="s">
        <v>4765</v>
      </c>
    </row>
    <row r="742">
      <c r="A742">
        <v>70.0</v>
      </c>
      <c r="B742">
        <v>1005824.0</v>
      </c>
      <c r="C742" t="s">
        <v>4766</v>
      </c>
      <c r="D742">
        <v>1005824.0</v>
      </c>
      <c r="E742" t="s">
        <v>2129</v>
      </c>
      <c r="F742" t="s">
        <v>4767</v>
      </c>
      <c r="G742" t="s">
        <v>4768</v>
      </c>
      <c r="H742" t="s">
        <v>4769</v>
      </c>
    </row>
    <row r="743">
      <c r="A743">
        <v>70.0</v>
      </c>
      <c r="B743">
        <v>1005906.0</v>
      </c>
      <c r="C743" t="s">
        <v>4770</v>
      </c>
      <c r="D743">
        <v>1005906.0</v>
      </c>
      <c r="E743" t="s">
        <v>2129</v>
      </c>
      <c r="F743" t="s">
        <v>4771</v>
      </c>
      <c r="G743" t="s">
        <v>4772</v>
      </c>
      <c r="H743" t="s">
        <v>4773</v>
      </c>
    </row>
    <row r="744">
      <c r="A744">
        <v>70.0</v>
      </c>
      <c r="B744">
        <v>1005829.0</v>
      </c>
      <c r="C744" t="s">
        <v>4774</v>
      </c>
      <c r="D744">
        <v>1005829.0</v>
      </c>
      <c r="E744" t="s">
        <v>2134</v>
      </c>
      <c r="F744" t="s">
        <v>4775</v>
      </c>
      <c r="G744" t="s">
        <v>4776</v>
      </c>
      <c r="H744" t="s">
        <v>4777</v>
      </c>
    </row>
    <row r="745">
      <c r="A745">
        <v>70.0</v>
      </c>
      <c r="B745">
        <v>1012174.0</v>
      </c>
      <c r="C745" t="s">
        <v>4778</v>
      </c>
      <c r="D745">
        <v>1012174.0</v>
      </c>
      <c r="E745" t="s">
        <v>2134</v>
      </c>
      <c r="F745" t="s">
        <v>4779</v>
      </c>
      <c r="G745" t="s">
        <v>4780</v>
      </c>
      <c r="H745" t="s">
        <v>4781</v>
      </c>
    </row>
    <row r="746">
      <c r="A746">
        <v>70.0</v>
      </c>
      <c r="B746">
        <v>1012158.0</v>
      </c>
      <c r="C746" t="s">
        <v>4782</v>
      </c>
      <c r="D746">
        <v>1012158.0</v>
      </c>
      <c r="E746" t="s">
        <v>2134</v>
      </c>
      <c r="F746" t="s">
        <v>4783</v>
      </c>
      <c r="G746" t="s">
        <v>4784</v>
      </c>
      <c r="H746" t="s">
        <v>4785</v>
      </c>
    </row>
    <row r="747">
      <c r="A747">
        <v>70.0</v>
      </c>
      <c r="B747">
        <v>1012155.0</v>
      </c>
      <c r="C747" t="s">
        <v>4786</v>
      </c>
      <c r="D747">
        <v>1012155.0</v>
      </c>
      <c r="E747" t="s">
        <v>2129</v>
      </c>
      <c r="F747" t="s">
        <v>4787</v>
      </c>
      <c r="G747" t="s">
        <v>4788</v>
      </c>
      <c r="H747" t="s">
        <v>4789</v>
      </c>
    </row>
    <row r="748">
      <c r="A748">
        <v>70.0</v>
      </c>
      <c r="B748">
        <v>1005354.0</v>
      </c>
      <c r="C748" t="s">
        <v>4790</v>
      </c>
      <c r="D748">
        <v>1005354.0</v>
      </c>
      <c r="E748" t="s">
        <v>2134</v>
      </c>
      <c r="F748" t="s">
        <v>3925</v>
      </c>
      <c r="G748" t="s">
        <v>4791</v>
      </c>
      <c r="H748" t="s">
        <v>4792</v>
      </c>
    </row>
    <row r="749">
      <c r="A749">
        <v>70.0</v>
      </c>
      <c r="B749">
        <v>1009068.0</v>
      </c>
      <c r="C749" t="s">
        <v>4793</v>
      </c>
      <c r="D749">
        <v>1009068.0</v>
      </c>
      <c r="E749" t="s">
        <v>2129</v>
      </c>
      <c r="F749" t="s">
        <v>4794</v>
      </c>
      <c r="G749" t="s">
        <v>4795</v>
      </c>
      <c r="H749" t="s">
        <v>4796</v>
      </c>
    </row>
    <row r="750">
      <c r="A750">
        <v>70.0</v>
      </c>
      <c r="B750">
        <v>1012173.0</v>
      </c>
      <c r="C750" t="s">
        <v>4797</v>
      </c>
      <c r="D750">
        <v>1012173.0</v>
      </c>
      <c r="E750" t="s">
        <v>2129</v>
      </c>
      <c r="F750" t="s">
        <v>4798</v>
      </c>
      <c r="G750" t="s">
        <v>4799</v>
      </c>
      <c r="H750" t="s">
        <v>4800</v>
      </c>
    </row>
    <row r="751">
      <c r="A751">
        <v>70.0</v>
      </c>
      <c r="B751">
        <v>1012188.0</v>
      </c>
      <c r="C751" t="s">
        <v>4801</v>
      </c>
      <c r="D751">
        <v>1012188.0</v>
      </c>
      <c r="E751" t="s">
        <v>2134</v>
      </c>
      <c r="F751" t="s">
        <v>4802</v>
      </c>
      <c r="G751" t="s">
        <v>4803</v>
      </c>
      <c r="H751" t="s">
        <v>4804</v>
      </c>
    </row>
    <row r="752">
      <c r="A752">
        <v>70.0</v>
      </c>
      <c r="B752">
        <v>1012176.0</v>
      </c>
      <c r="C752" t="s">
        <v>4805</v>
      </c>
      <c r="D752">
        <v>1012176.0</v>
      </c>
      <c r="E752" t="s">
        <v>2134</v>
      </c>
      <c r="F752" t="s">
        <v>4806</v>
      </c>
      <c r="G752" t="s">
        <v>4807</v>
      </c>
      <c r="H752" t="s">
        <v>4808</v>
      </c>
    </row>
    <row r="754">
      <c r="A754">
        <v>71.0</v>
      </c>
      <c r="B754">
        <v>1011058.0</v>
      </c>
      <c r="C754" t="s">
        <v>4809</v>
      </c>
      <c r="D754">
        <v>1011058.0</v>
      </c>
      <c r="E754" t="s">
        <v>2129</v>
      </c>
      <c r="F754" t="s">
        <v>4810</v>
      </c>
      <c r="G754" t="s">
        <v>4811</v>
      </c>
      <c r="H754" t="s">
        <v>4812</v>
      </c>
    </row>
    <row r="755">
      <c r="A755">
        <v>71.0</v>
      </c>
      <c r="B755">
        <v>1011069.0</v>
      </c>
      <c r="C755" t="s">
        <v>4813</v>
      </c>
      <c r="D755">
        <v>1011069.0</v>
      </c>
      <c r="E755" t="s">
        <v>2129</v>
      </c>
      <c r="F755" t="s">
        <v>4814</v>
      </c>
      <c r="G755" t="s">
        <v>4815</v>
      </c>
      <c r="H755" t="s">
        <v>4816</v>
      </c>
    </row>
    <row r="756">
      <c r="A756">
        <v>71.0</v>
      </c>
      <c r="B756">
        <v>1011080.0</v>
      </c>
      <c r="C756" t="s">
        <v>4817</v>
      </c>
      <c r="D756">
        <v>1011080.0</v>
      </c>
      <c r="E756" t="s">
        <v>2129</v>
      </c>
      <c r="F756" t="s">
        <v>4818</v>
      </c>
      <c r="G756" t="s">
        <v>4819</v>
      </c>
      <c r="H756" t="s">
        <v>4820</v>
      </c>
    </row>
    <row r="757">
      <c r="A757">
        <v>71.0</v>
      </c>
      <c r="B757">
        <v>1011061.0</v>
      </c>
      <c r="C757" t="s">
        <v>4821</v>
      </c>
      <c r="D757">
        <v>1011061.0</v>
      </c>
      <c r="E757" t="s">
        <v>2129</v>
      </c>
      <c r="F757" t="s">
        <v>4822</v>
      </c>
      <c r="G757" t="s">
        <v>4823</v>
      </c>
      <c r="H757" t="s">
        <v>4824</v>
      </c>
    </row>
    <row r="758">
      <c r="A758">
        <v>71.0</v>
      </c>
      <c r="B758">
        <v>1011083.0</v>
      </c>
      <c r="C758" t="s">
        <v>4825</v>
      </c>
      <c r="D758">
        <v>1011083.0</v>
      </c>
      <c r="E758" t="s">
        <v>2129</v>
      </c>
      <c r="F758" t="s">
        <v>4826</v>
      </c>
      <c r="G758" t="s">
        <v>4827</v>
      </c>
      <c r="H758" t="s">
        <v>4828</v>
      </c>
    </row>
    <row r="759">
      <c r="A759">
        <v>71.0</v>
      </c>
      <c r="B759">
        <v>1011062.0</v>
      </c>
      <c r="C759" t="s">
        <v>4829</v>
      </c>
      <c r="D759">
        <v>1011062.0</v>
      </c>
      <c r="E759" t="s">
        <v>2134</v>
      </c>
      <c r="F759" t="s">
        <v>4830</v>
      </c>
      <c r="G759" t="s">
        <v>4831</v>
      </c>
      <c r="H759" t="s">
        <v>4832</v>
      </c>
    </row>
    <row r="760">
      <c r="A760">
        <v>71.0</v>
      </c>
      <c r="B760">
        <v>1011060.0</v>
      </c>
      <c r="C760" t="s">
        <v>4833</v>
      </c>
      <c r="D760">
        <v>1011060.0</v>
      </c>
      <c r="E760" t="s">
        <v>2129</v>
      </c>
      <c r="F760" t="s">
        <v>3036</v>
      </c>
      <c r="G760" t="s">
        <v>4834</v>
      </c>
      <c r="H760" t="s">
        <v>4835</v>
      </c>
    </row>
    <row r="761">
      <c r="A761">
        <v>71.0</v>
      </c>
      <c r="B761">
        <v>1011075.0</v>
      </c>
      <c r="C761" t="s">
        <v>4836</v>
      </c>
      <c r="D761">
        <v>1011075.0</v>
      </c>
      <c r="E761" t="s">
        <v>2129</v>
      </c>
      <c r="F761" t="s">
        <v>4837</v>
      </c>
      <c r="G761" t="s">
        <v>4838</v>
      </c>
      <c r="H761" t="s">
        <v>4839</v>
      </c>
    </row>
    <row r="762">
      <c r="A762">
        <v>71.0</v>
      </c>
      <c r="B762">
        <v>1011065.0</v>
      </c>
      <c r="C762" t="s">
        <v>4840</v>
      </c>
      <c r="D762">
        <v>1011065.0</v>
      </c>
      <c r="E762" t="s">
        <v>2134</v>
      </c>
      <c r="F762" t="s">
        <v>4841</v>
      </c>
      <c r="G762" t="s">
        <v>3848</v>
      </c>
      <c r="H762" t="s">
        <v>4842</v>
      </c>
    </row>
    <row r="763">
      <c r="A763">
        <v>71.0</v>
      </c>
      <c r="B763">
        <v>1011070.0</v>
      </c>
      <c r="C763" t="s">
        <v>4843</v>
      </c>
      <c r="D763">
        <v>1011070.0</v>
      </c>
      <c r="E763" t="s">
        <v>2134</v>
      </c>
      <c r="F763" t="s">
        <v>4671</v>
      </c>
      <c r="G763" t="s">
        <v>4844</v>
      </c>
      <c r="H763" t="s">
        <v>4845</v>
      </c>
    </row>
    <row r="764">
      <c r="A764">
        <v>71.0</v>
      </c>
      <c r="B764">
        <v>1011059.0</v>
      </c>
      <c r="C764" t="s">
        <v>4846</v>
      </c>
      <c r="D764">
        <v>1011059.0</v>
      </c>
      <c r="E764" t="s">
        <v>2129</v>
      </c>
      <c r="F764" t="s">
        <v>2560</v>
      </c>
      <c r="G764" t="s">
        <v>4847</v>
      </c>
      <c r="H764" t="s">
        <v>4848</v>
      </c>
    </row>
    <row r="765">
      <c r="A765">
        <v>71.0</v>
      </c>
      <c r="B765">
        <v>1011082.0</v>
      </c>
      <c r="C765" t="s">
        <v>4849</v>
      </c>
      <c r="D765">
        <v>1011082.0</v>
      </c>
      <c r="E765" t="s">
        <v>2129</v>
      </c>
      <c r="F765" t="s">
        <v>4850</v>
      </c>
      <c r="G765" t="s">
        <v>4851</v>
      </c>
      <c r="H765" t="s">
        <v>4852</v>
      </c>
    </row>
    <row r="766">
      <c r="A766">
        <v>71.0</v>
      </c>
      <c r="B766">
        <v>1011067.0</v>
      </c>
      <c r="C766" t="s">
        <v>4853</v>
      </c>
      <c r="D766">
        <v>1011067.0</v>
      </c>
      <c r="E766" t="s">
        <v>2129</v>
      </c>
      <c r="F766" t="s">
        <v>4854</v>
      </c>
      <c r="G766" t="s">
        <v>2385</v>
      </c>
      <c r="H766" t="s">
        <v>4855</v>
      </c>
    </row>
    <row r="767">
      <c r="A767">
        <v>71.0</v>
      </c>
      <c r="B767">
        <v>1011053.0</v>
      </c>
      <c r="C767" t="s">
        <v>4856</v>
      </c>
      <c r="D767">
        <v>1011053.0</v>
      </c>
      <c r="E767" t="s">
        <v>2134</v>
      </c>
      <c r="F767" t="s">
        <v>4857</v>
      </c>
      <c r="G767" t="s">
        <v>4858</v>
      </c>
      <c r="H767" t="s">
        <v>4859</v>
      </c>
    </row>
    <row r="768">
      <c r="A768">
        <v>71.0</v>
      </c>
      <c r="B768">
        <v>1011084.0</v>
      </c>
      <c r="C768" t="s">
        <v>4860</v>
      </c>
      <c r="D768">
        <v>1011084.0</v>
      </c>
      <c r="E768" t="s">
        <v>2134</v>
      </c>
      <c r="F768" t="s">
        <v>4861</v>
      </c>
      <c r="G768" t="s">
        <v>4862</v>
      </c>
      <c r="H768" t="s">
        <v>4863</v>
      </c>
    </row>
    <row r="769">
      <c r="A769">
        <v>71.0</v>
      </c>
      <c r="B769">
        <v>1011078.0</v>
      </c>
      <c r="C769" t="s">
        <v>4864</v>
      </c>
      <c r="D769">
        <v>1011078.0</v>
      </c>
      <c r="E769" t="s">
        <v>2134</v>
      </c>
      <c r="F769" t="s">
        <v>4865</v>
      </c>
      <c r="G769" t="s">
        <v>4866</v>
      </c>
      <c r="H769" t="s">
        <v>4867</v>
      </c>
    </row>
    <row r="770">
      <c r="A770">
        <v>71.0</v>
      </c>
      <c r="B770">
        <v>1011071.0</v>
      </c>
      <c r="C770" t="s">
        <v>4868</v>
      </c>
      <c r="D770">
        <v>1011071.0</v>
      </c>
      <c r="E770" t="s">
        <v>2129</v>
      </c>
      <c r="F770" t="s">
        <v>4869</v>
      </c>
      <c r="G770" t="s">
        <v>4870</v>
      </c>
      <c r="H770" t="s">
        <v>4871</v>
      </c>
    </row>
    <row r="772">
      <c r="A772">
        <v>72.0</v>
      </c>
      <c r="B772">
        <v>1011505.0</v>
      </c>
      <c r="C772" t="s">
        <v>4872</v>
      </c>
      <c r="D772">
        <v>1011505.0</v>
      </c>
      <c r="E772" t="s">
        <v>2129</v>
      </c>
      <c r="F772" t="s">
        <v>4873</v>
      </c>
      <c r="G772" t="s">
        <v>4874</v>
      </c>
      <c r="H772" t="s">
        <v>4875</v>
      </c>
    </row>
    <row r="773">
      <c r="A773">
        <v>72.0</v>
      </c>
      <c r="B773">
        <v>1011500.0</v>
      </c>
      <c r="C773" t="s">
        <v>4876</v>
      </c>
      <c r="D773">
        <v>1011500.0</v>
      </c>
      <c r="E773" t="s">
        <v>2129</v>
      </c>
      <c r="F773" t="s">
        <v>4877</v>
      </c>
      <c r="G773" t="s">
        <v>4878</v>
      </c>
      <c r="H773" t="s">
        <v>4879</v>
      </c>
    </row>
    <row r="774">
      <c r="A774">
        <v>72.0</v>
      </c>
      <c r="B774">
        <v>1011504.0</v>
      </c>
      <c r="C774" t="s">
        <v>4880</v>
      </c>
      <c r="D774">
        <v>1011504.0</v>
      </c>
      <c r="E774" t="s">
        <v>2129</v>
      </c>
      <c r="F774" t="s">
        <v>4881</v>
      </c>
      <c r="G774" t="s">
        <v>4882</v>
      </c>
      <c r="H774" t="s">
        <v>4883</v>
      </c>
    </row>
    <row r="775">
      <c r="A775">
        <v>72.0</v>
      </c>
      <c r="B775">
        <v>1011501.0</v>
      </c>
      <c r="C775" t="s">
        <v>4884</v>
      </c>
      <c r="D775">
        <v>1011501.0</v>
      </c>
      <c r="E775" t="s">
        <v>2129</v>
      </c>
      <c r="F775" t="s">
        <v>4885</v>
      </c>
      <c r="G775" t="s">
        <v>4886</v>
      </c>
      <c r="H775" t="s">
        <v>4887</v>
      </c>
    </row>
    <row r="776">
      <c r="A776">
        <v>72.0</v>
      </c>
      <c r="B776">
        <v>1011499.0</v>
      </c>
      <c r="C776" t="s">
        <v>4888</v>
      </c>
      <c r="D776">
        <v>1011499.0</v>
      </c>
      <c r="E776" t="s">
        <v>2129</v>
      </c>
      <c r="F776" t="s">
        <v>4889</v>
      </c>
      <c r="G776" t="s">
        <v>4890</v>
      </c>
      <c r="H776" t="s">
        <v>4891</v>
      </c>
    </row>
    <row r="777">
      <c r="A777">
        <v>72.0</v>
      </c>
      <c r="B777">
        <v>1011502.0</v>
      </c>
      <c r="C777" t="s">
        <v>4892</v>
      </c>
      <c r="D777">
        <v>1011502.0</v>
      </c>
      <c r="E777" t="s">
        <v>2134</v>
      </c>
      <c r="F777" t="s">
        <v>4893</v>
      </c>
      <c r="G777" t="s">
        <v>4894</v>
      </c>
      <c r="H777" t="s">
        <v>4895</v>
      </c>
    </row>
    <row r="778">
      <c r="A778">
        <v>72.0</v>
      </c>
      <c r="B778">
        <v>1011503.0</v>
      </c>
      <c r="C778" t="s">
        <v>4896</v>
      </c>
      <c r="D778">
        <v>1011503.0</v>
      </c>
      <c r="E778" t="s">
        <v>2129</v>
      </c>
      <c r="F778" t="s">
        <v>4897</v>
      </c>
      <c r="G778" t="s">
        <v>4898</v>
      </c>
      <c r="H778" t="s">
        <v>4899</v>
      </c>
    </row>
    <row r="780">
      <c r="A780">
        <v>73.0</v>
      </c>
      <c r="B780">
        <v>1011837.0</v>
      </c>
      <c r="C780" t="s">
        <v>4900</v>
      </c>
      <c r="D780">
        <v>1011837.0</v>
      </c>
      <c r="E780" t="s">
        <v>2134</v>
      </c>
      <c r="F780" t="s">
        <v>4901</v>
      </c>
      <c r="G780" t="s">
        <v>4902</v>
      </c>
      <c r="H780" t="s">
        <v>4903</v>
      </c>
    </row>
    <row r="781">
      <c r="A781">
        <v>73.0</v>
      </c>
      <c r="B781">
        <v>1011802.0</v>
      </c>
      <c r="C781" t="s">
        <v>4904</v>
      </c>
      <c r="D781">
        <v>1011802.0</v>
      </c>
      <c r="E781" t="s">
        <v>2129</v>
      </c>
      <c r="F781" t="s">
        <v>4905</v>
      </c>
      <c r="G781" t="s">
        <v>4906</v>
      </c>
      <c r="H781" t="s">
        <v>4907</v>
      </c>
    </row>
    <row r="782">
      <c r="A782">
        <v>73.0</v>
      </c>
      <c r="B782">
        <v>1011836.0</v>
      </c>
      <c r="C782" t="s">
        <v>4908</v>
      </c>
      <c r="D782">
        <v>1011836.0</v>
      </c>
      <c r="E782" t="s">
        <v>2134</v>
      </c>
      <c r="F782" t="s">
        <v>4909</v>
      </c>
      <c r="G782" t="s">
        <v>4910</v>
      </c>
      <c r="H782" t="s">
        <v>4911</v>
      </c>
    </row>
    <row r="783">
      <c r="A783">
        <v>73.0</v>
      </c>
      <c r="B783">
        <v>1011829.0</v>
      </c>
      <c r="C783" t="s">
        <v>4912</v>
      </c>
      <c r="D783">
        <v>1011829.0</v>
      </c>
      <c r="E783" t="s">
        <v>2129</v>
      </c>
      <c r="F783" t="s">
        <v>4913</v>
      </c>
      <c r="G783" t="s">
        <v>4914</v>
      </c>
      <c r="H783" t="s">
        <v>4915</v>
      </c>
    </row>
    <row r="784">
      <c r="A784">
        <v>73.0</v>
      </c>
      <c r="B784">
        <v>1011844.0</v>
      </c>
      <c r="C784" t="s">
        <v>4916</v>
      </c>
      <c r="D784">
        <v>1011844.0</v>
      </c>
      <c r="E784" t="s">
        <v>2129</v>
      </c>
      <c r="F784" t="s">
        <v>2255</v>
      </c>
      <c r="G784" t="s">
        <v>4917</v>
      </c>
      <c r="H784" t="s">
        <v>4918</v>
      </c>
    </row>
    <row r="785">
      <c r="A785">
        <v>73.0</v>
      </c>
      <c r="B785">
        <v>1011816.0</v>
      </c>
      <c r="C785" t="s">
        <v>4919</v>
      </c>
      <c r="D785">
        <v>1011816.0</v>
      </c>
      <c r="E785" t="s">
        <v>2129</v>
      </c>
      <c r="F785" t="s">
        <v>4920</v>
      </c>
      <c r="G785" t="s">
        <v>4921</v>
      </c>
      <c r="H785" t="s">
        <v>4922</v>
      </c>
    </row>
    <row r="786">
      <c r="A786">
        <v>73.0</v>
      </c>
      <c r="B786">
        <v>1011820.0</v>
      </c>
      <c r="C786" t="s">
        <v>4923</v>
      </c>
      <c r="D786">
        <v>1011820.0</v>
      </c>
      <c r="E786" t="s">
        <v>2134</v>
      </c>
      <c r="F786" t="s">
        <v>4924</v>
      </c>
      <c r="G786" t="s">
        <v>4925</v>
      </c>
      <c r="H786" t="s">
        <v>4926</v>
      </c>
    </row>
    <row r="787">
      <c r="A787">
        <v>73.0</v>
      </c>
      <c r="B787">
        <v>1011846.0</v>
      </c>
      <c r="C787" t="s">
        <v>4927</v>
      </c>
      <c r="D787">
        <v>1011846.0</v>
      </c>
      <c r="E787" t="s">
        <v>2129</v>
      </c>
      <c r="F787" t="s">
        <v>4928</v>
      </c>
      <c r="G787" t="s">
        <v>4929</v>
      </c>
      <c r="H787" t="s">
        <v>4930</v>
      </c>
    </row>
    <row r="788">
      <c r="A788">
        <v>73.0</v>
      </c>
      <c r="B788">
        <v>1011807.0</v>
      </c>
      <c r="C788" t="s">
        <v>4931</v>
      </c>
      <c r="D788">
        <v>1011807.0</v>
      </c>
      <c r="E788" t="s">
        <v>2129</v>
      </c>
      <c r="F788" t="s">
        <v>4932</v>
      </c>
      <c r="G788" t="s">
        <v>4933</v>
      </c>
      <c r="H788" t="s">
        <v>4934</v>
      </c>
    </row>
    <row r="789">
      <c r="A789">
        <v>73.0</v>
      </c>
      <c r="B789">
        <v>1011800.0</v>
      </c>
      <c r="C789" t="s">
        <v>4935</v>
      </c>
      <c r="D789">
        <v>1011800.0</v>
      </c>
      <c r="E789" t="s">
        <v>2129</v>
      </c>
      <c r="F789" t="s">
        <v>4936</v>
      </c>
      <c r="G789" t="s">
        <v>4937</v>
      </c>
      <c r="H789" t="s">
        <v>4938</v>
      </c>
    </row>
    <row r="790">
      <c r="A790">
        <v>73.0</v>
      </c>
      <c r="B790">
        <v>1011838.0</v>
      </c>
      <c r="C790" t="s">
        <v>4939</v>
      </c>
      <c r="D790">
        <v>1011838.0</v>
      </c>
      <c r="E790" t="s">
        <v>2129</v>
      </c>
      <c r="F790" t="s">
        <v>4940</v>
      </c>
      <c r="G790" t="s">
        <v>4941</v>
      </c>
      <c r="H790" t="s">
        <v>4942</v>
      </c>
    </row>
    <row r="791">
      <c r="A791">
        <v>73.0</v>
      </c>
      <c r="B791">
        <v>1011808.0</v>
      </c>
      <c r="C791" t="s">
        <v>4943</v>
      </c>
      <c r="D791">
        <v>1011808.0</v>
      </c>
      <c r="E791" t="s">
        <v>2129</v>
      </c>
      <c r="F791" t="s">
        <v>4944</v>
      </c>
      <c r="G791" t="s">
        <v>4945</v>
      </c>
      <c r="H791" t="s">
        <v>4946</v>
      </c>
    </row>
    <row r="792">
      <c r="A792">
        <v>73.0</v>
      </c>
      <c r="B792">
        <v>1011824.0</v>
      </c>
      <c r="C792" t="s">
        <v>4947</v>
      </c>
      <c r="D792">
        <v>1011824.0</v>
      </c>
      <c r="E792" t="s">
        <v>2129</v>
      </c>
      <c r="F792" t="s">
        <v>4948</v>
      </c>
      <c r="G792" t="s">
        <v>4949</v>
      </c>
      <c r="H792" t="s">
        <v>4950</v>
      </c>
    </row>
    <row r="793">
      <c r="A793">
        <v>73.0</v>
      </c>
      <c r="B793">
        <v>1011815.0</v>
      </c>
      <c r="C793" t="s">
        <v>4951</v>
      </c>
      <c r="D793">
        <v>1011815.0</v>
      </c>
      <c r="E793" t="s">
        <v>2129</v>
      </c>
      <c r="F793" t="s">
        <v>4952</v>
      </c>
      <c r="G793" t="s">
        <v>4953</v>
      </c>
      <c r="H793" t="s">
        <v>4954</v>
      </c>
    </row>
    <row r="794">
      <c r="A794">
        <v>73.0</v>
      </c>
      <c r="B794">
        <v>1011830.0</v>
      </c>
      <c r="C794" t="s">
        <v>4955</v>
      </c>
      <c r="D794">
        <v>1011830.0</v>
      </c>
      <c r="E794" t="s">
        <v>2134</v>
      </c>
      <c r="F794" t="s">
        <v>4956</v>
      </c>
      <c r="G794" t="s">
        <v>4957</v>
      </c>
      <c r="H794" t="s">
        <v>4958</v>
      </c>
    </row>
    <row r="795">
      <c r="A795">
        <v>73.0</v>
      </c>
      <c r="B795">
        <v>1011827.0</v>
      </c>
      <c r="C795" t="s">
        <v>4959</v>
      </c>
      <c r="D795">
        <v>1011827.0</v>
      </c>
      <c r="E795" t="s">
        <v>2129</v>
      </c>
      <c r="F795" t="s">
        <v>4960</v>
      </c>
      <c r="G795" t="s">
        <v>4961</v>
      </c>
      <c r="H795" t="s">
        <v>4962</v>
      </c>
    </row>
    <row r="796">
      <c r="A796">
        <v>73.0</v>
      </c>
      <c r="B796">
        <v>1011843.0</v>
      </c>
      <c r="C796" t="s">
        <v>4963</v>
      </c>
      <c r="D796">
        <v>1011843.0</v>
      </c>
      <c r="E796" t="s">
        <v>2134</v>
      </c>
      <c r="F796" t="s">
        <v>4964</v>
      </c>
      <c r="G796" t="s">
        <v>4965</v>
      </c>
      <c r="H796" t="s">
        <v>4966</v>
      </c>
    </row>
    <row r="797">
      <c r="A797">
        <v>73.0</v>
      </c>
      <c r="B797">
        <v>1011811.0</v>
      </c>
      <c r="C797" t="s">
        <v>4967</v>
      </c>
      <c r="D797">
        <v>1011811.0</v>
      </c>
      <c r="E797" t="s">
        <v>2129</v>
      </c>
      <c r="F797" t="s">
        <v>4968</v>
      </c>
      <c r="G797" t="s">
        <v>4969</v>
      </c>
      <c r="H797" t="s">
        <v>4970</v>
      </c>
    </row>
    <row r="798">
      <c r="A798">
        <v>73.0</v>
      </c>
      <c r="B798">
        <v>1011848.0</v>
      </c>
      <c r="C798" t="s">
        <v>4971</v>
      </c>
      <c r="D798">
        <v>1011848.0</v>
      </c>
      <c r="E798" t="s">
        <v>2134</v>
      </c>
      <c r="F798" t="s">
        <v>4972</v>
      </c>
      <c r="G798" t="s">
        <v>4973</v>
      </c>
      <c r="H798" t="s">
        <v>4974</v>
      </c>
    </row>
    <row r="799">
      <c r="A799">
        <v>73.0</v>
      </c>
      <c r="B799">
        <v>1011845.0</v>
      </c>
      <c r="C799" t="s">
        <v>4975</v>
      </c>
      <c r="D799">
        <v>1011845.0</v>
      </c>
      <c r="E799" t="s">
        <v>2129</v>
      </c>
      <c r="F799" t="s">
        <v>4976</v>
      </c>
      <c r="G799" t="s">
        <v>4977</v>
      </c>
      <c r="H799" t="s">
        <v>4978</v>
      </c>
    </row>
    <row r="800">
      <c r="A800">
        <v>73.0</v>
      </c>
      <c r="B800">
        <v>1011823.0</v>
      </c>
      <c r="C800" t="s">
        <v>4979</v>
      </c>
      <c r="D800">
        <v>1011823.0</v>
      </c>
      <c r="E800" t="s">
        <v>2129</v>
      </c>
      <c r="F800" t="s">
        <v>4980</v>
      </c>
      <c r="G800" t="s">
        <v>4981</v>
      </c>
      <c r="H800" t="s">
        <v>4982</v>
      </c>
    </row>
    <row r="801">
      <c r="A801">
        <v>73.0</v>
      </c>
      <c r="B801">
        <v>1011825.0</v>
      </c>
      <c r="C801" t="s">
        <v>4983</v>
      </c>
      <c r="D801">
        <v>1011825.0</v>
      </c>
      <c r="E801" t="s">
        <v>2134</v>
      </c>
      <c r="F801" t="s">
        <v>4984</v>
      </c>
      <c r="G801" t="s">
        <v>4985</v>
      </c>
      <c r="H801" t="s">
        <v>4986</v>
      </c>
    </row>
    <row r="802">
      <c r="A802">
        <v>73.0</v>
      </c>
      <c r="B802">
        <v>1011812.0</v>
      </c>
      <c r="C802" t="s">
        <v>4987</v>
      </c>
      <c r="D802">
        <v>1011812.0</v>
      </c>
      <c r="E802" t="s">
        <v>2129</v>
      </c>
      <c r="F802" t="s">
        <v>4988</v>
      </c>
      <c r="G802" t="s">
        <v>4989</v>
      </c>
      <c r="H802" t="s">
        <v>4990</v>
      </c>
    </row>
    <row r="803">
      <c r="A803">
        <v>73.0</v>
      </c>
      <c r="B803">
        <v>1011813.0</v>
      </c>
      <c r="C803" t="s">
        <v>4991</v>
      </c>
      <c r="D803">
        <v>1011813.0</v>
      </c>
      <c r="E803" t="s">
        <v>2129</v>
      </c>
      <c r="F803" t="s">
        <v>4992</v>
      </c>
      <c r="G803" t="s">
        <v>4993</v>
      </c>
      <c r="H803" t="s">
        <v>4994</v>
      </c>
    </row>
    <row r="804">
      <c r="A804">
        <v>73.0</v>
      </c>
      <c r="B804">
        <v>1011806.0</v>
      </c>
      <c r="C804" t="s">
        <v>4995</v>
      </c>
      <c r="D804">
        <v>1011806.0</v>
      </c>
      <c r="E804" t="s">
        <v>2129</v>
      </c>
      <c r="F804" t="s">
        <v>4996</v>
      </c>
      <c r="G804" t="s">
        <v>4997</v>
      </c>
      <c r="H804" t="s">
        <v>4998</v>
      </c>
    </row>
    <row r="806">
      <c r="A806">
        <v>74.0</v>
      </c>
      <c r="B806">
        <v>1012369.0</v>
      </c>
      <c r="C806" t="s">
        <v>4999</v>
      </c>
      <c r="D806">
        <v>1012369.0</v>
      </c>
      <c r="E806" t="s">
        <v>2129</v>
      </c>
      <c r="F806" t="s">
        <v>5000</v>
      </c>
      <c r="G806" t="s">
        <v>5001</v>
      </c>
      <c r="H806" t="s">
        <v>5002</v>
      </c>
    </row>
    <row r="807">
      <c r="A807">
        <v>74.0</v>
      </c>
      <c r="B807">
        <v>1012356.0</v>
      </c>
      <c r="C807" t="s">
        <v>5003</v>
      </c>
      <c r="D807">
        <v>1012356.0</v>
      </c>
      <c r="E807" t="s">
        <v>2129</v>
      </c>
      <c r="F807" t="s">
        <v>5004</v>
      </c>
      <c r="G807" t="s">
        <v>5005</v>
      </c>
      <c r="H807" t="s">
        <v>5006</v>
      </c>
    </row>
    <row r="808">
      <c r="A808">
        <v>74.0</v>
      </c>
      <c r="B808">
        <v>1012359.0</v>
      </c>
      <c r="C808" t="s">
        <v>5007</v>
      </c>
      <c r="D808">
        <v>1012359.0</v>
      </c>
      <c r="E808" t="s">
        <v>2129</v>
      </c>
      <c r="F808" t="s">
        <v>5008</v>
      </c>
      <c r="G808" t="s">
        <v>5009</v>
      </c>
      <c r="H808" t="s">
        <v>5010</v>
      </c>
    </row>
    <row r="809">
      <c r="A809">
        <v>74.0</v>
      </c>
      <c r="B809">
        <v>1012370.0</v>
      </c>
      <c r="C809" t="s">
        <v>5011</v>
      </c>
      <c r="D809">
        <v>1012370.0</v>
      </c>
      <c r="E809" t="s">
        <v>2134</v>
      </c>
      <c r="F809" t="s">
        <v>5012</v>
      </c>
      <c r="G809" t="s">
        <v>5013</v>
      </c>
      <c r="H809" t="s">
        <v>5014</v>
      </c>
    </row>
    <row r="810">
      <c r="A810">
        <v>74.0</v>
      </c>
      <c r="B810">
        <v>1012360.0</v>
      </c>
      <c r="C810" t="s">
        <v>5015</v>
      </c>
      <c r="D810">
        <v>1012360.0</v>
      </c>
      <c r="E810" t="s">
        <v>2129</v>
      </c>
      <c r="F810" t="s">
        <v>3298</v>
      </c>
      <c r="G810" t="s">
        <v>5016</v>
      </c>
      <c r="H810" t="s">
        <v>5017</v>
      </c>
    </row>
    <row r="811">
      <c r="A811">
        <v>74.0</v>
      </c>
      <c r="B811">
        <v>1012355.0</v>
      </c>
      <c r="C811" t="s">
        <v>5018</v>
      </c>
      <c r="D811">
        <v>1012355.0</v>
      </c>
      <c r="E811" t="s">
        <v>2134</v>
      </c>
      <c r="F811" t="s">
        <v>5019</v>
      </c>
      <c r="G811" t="s">
        <v>5020</v>
      </c>
      <c r="H811" t="s">
        <v>5021</v>
      </c>
    </row>
    <row r="812">
      <c r="A812">
        <v>74.0</v>
      </c>
      <c r="B812">
        <v>1012366.0</v>
      </c>
      <c r="C812" t="s">
        <v>5022</v>
      </c>
      <c r="D812">
        <v>1012366.0</v>
      </c>
      <c r="E812" t="s">
        <v>2134</v>
      </c>
      <c r="F812" t="s">
        <v>5023</v>
      </c>
      <c r="G812" t="s">
        <v>5024</v>
      </c>
      <c r="H812" t="s">
        <v>5025</v>
      </c>
    </row>
    <row r="813">
      <c r="A813">
        <v>74.0</v>
      </c>
      <c r="B813">
        <v>1012367.0</v>
      </c>
      <c r="C813" t="s">
        <v>5026</v>
      </c>
      <c r="D813">
        <v>1012367.0</v>
      </c>
      <c r="E813" t="s">
        <v>2129</v>
      </c>
      <c r="F813" t="s">
        <v>5027</v>
      </c>
      <c r="G813" t="s">
        <v>5028</v>
      </c>
      <c r="H813" t="s">
        <v>5029</v>
      </c>
    </row>
    <row r="814">
      <c r="A814">
        <v>74.0</v>
      </c>
      <c r="B814">
        <v>1012363.0</v>
      </c>
      <c r="C814" t="s">
        <v>5030</v>
      </c>
      <c r="D814">
        <v>1012363.0</v>
      </c>
      <c r="E814" t="s">
        <v>2129</v>
      </c>
      <c r="F814" t="s">
        <v>5031</v>
      </c>
      <c r="G814" t="s">
        <v>5032</v>
      </c>
      <c r="H814" t="s">
        <v>5033</v>
      </c>
    </row>
    <row r="815">
      <c r="A815">
        <v>74.0</v>
      </c>
      <c r="B815">
        <v>1012368.0</v>
      </c>
      <c r="C815" t="s">
        <v>5034</v>
      </c>
      <c r="D815">
        <v>1012368.0</v>
      </c>
      <c r="E815" t="s">
        <v>2134</v>
      </c>
      <c r="F815" t="s">
        <v>5035</v>
      </c>
      <c r="G815" t="s">
        <v>5036</v>
      </c>
      <c r="H815" t="s">
        <v>5037</v>
      </c>
    </row>
    <row r="816">
      <c r="A816">
        <v>74.0</v>
      </c>
      <c r="B816">
        <v>1012362.0</v>
      </c>
      <c r="C816" t="s">
        <v>5038</v>
      </c>
      <c r="D816">
        <v>1012362.0</v>
      </c>
      <c r="E816" t="s">
        <v>2129</v>
      </c>
      <c r="F816" t="s">
        <v>5039</v>
      </c>
      <c r="G816" t="s">
        <v>5040</v>
      </c>
      <c r="H816" t="s">
        <v>5041</v>
      </c>
    </row>
    <row r="817">
      <c r="A817">
        <v>74.0</v>
      </c>
      <c r="B817">
        <v>1012364.0</v>
      </c>
      <c r="C817" t="s">
        <v>5042</v>
      </c>
      <c r="D817">
        <v>1012364.0</v>
      </c>
      <c r="E817" t="s">
        <v>2129</v>
      </c>
      <c r="F817" t="s">
        <v>5043</v>
      </c>
      <c r="G817" t="s">
        <v>5044</v>
      </c>
      <c r="H817" t="s">
        <v>5045</v>
      </c>
    </row>
    <row r="818">
      <c r="A818">
        <v>74.0</v>
      </c>
      <c r="B818">
        <v>1012371.0</v>
      </c>
      <c r="C818" t="s">
        <v>5046</v>
      </c>
      <c r="D818">
        <v>1012371.0</v>
      </c>
      <c r="E818" t="s">
        <v>2129</v>
      </c>
      <c r="F818" t="s">
        <v>5047</v>
      </c>
      <c r="G818" t="s">
        <v>5048</v>
      </c>
      <c r="H818" t="s">
        <v>5049</v>
      </c>
    </row>
    <row r="819">
      <c r="A819">
        <v>74.0</v>
      </c>
      <c r="B819">
        <v>1012357.0</v>
      </c>
      <c r="C819" t="s">
        <v>5050</v>
      </c>
      <c r="D819">
        <v>1012357.0</v>
      </c>
      <c r="E819" t="s">
        <v>2134</v>
      </c>
      <c r="F819" t="s">
        <v>5051</v>
      </c>
      <c r="G819" t="s">
        <v>5052</v>
      </c>
      <c r="H819" t="s">
        <v>5053</v>
      </c>
    </row>
    <row r="820">
      <c r="A820">
        <v>74.0</v>
      </c>
      <c r="B820">
        <v>1012361.0</v>
      </c>
      <c r="C820" t="s">
        <v>5054</v>
      </c>
      <c r="D820">
        <v>1012361.0</v>
      </c>
      <c r="E820" t="s">
        <v>2129</v>
      </c>
      <c r="F820" t="s">
        <v>4641</v>
      </c>
      <c r="G820" t="s">
        <v>5055</v>
      </c>
      <c r="H820" t="s">
        <v>5056</v>
      </c>
    </row>
    <row r="821">
      <c r="A821">
        <v>74.0</v>
      </c>
      <c r="B821">
        <v>1012365.0</v>
      </c>
      <c r="C821" t="s">
        <v>5057</v>
      </c>
      <c r="D821">
        <v>1012365.0</v>
      </c>
      <c r="E821" t="s">
        <v>2129</v>
      </c>
      <c r="F821" t="s">
        <v>5058</v>
      </c>
      <c r="G821" t="s">
        <v>5059</v>
      </c>
      <c r="H821" t="s">
        <v>5060</v>
      </c>
    </row>
    <row r="822">
      <c r="A822">
        <v>74.0</v>
      </c>
      <c r="B822">
        <v>1012372.0</v>
      </c>
      <c r="C822" t="s">
        <v>5061</v>
      </c>
      <c r="D822">
        <v>1012372.0</v>
      </c>
      <c r="E822" t="s">
        <v>2129</v>
      </c>
      <c r="F822" t="s">
        <v>5062</v>
      </c>
      <c r="G822" t="s">
        <v>5063</v>
      </c>
      <c r="H822" t="s">
        <v>5064</v>
      </c>
    </row>
    <row r="823">
      <c r="A823">
        <v>74.0</v>
      </c>
      <c r="B823">
        <v>1012358.0</v>
      </c>
      <c r="C823" t="s">
        <v>5065</v>
      </c>
      <c r="D823">
        <v>1012358.0</v>
      </c>
      <c r="E823" t="s">
        <v>2129</v>
      </c>
      <c r="F823" t="s">
        <v>5066</v>
      </c>
      <c r="G823" t="s">
        <v>5067</v>
      </c>
      <c r="H823" t="s">
        <v>5068</v>
      </c>
    </row>
    <row r="825">
      <c r="A825">
        <v>75.0</v>
      </c>
      <c r="B825">
        <v>1013033.0</v>
      </c>
      <c r="C825" t="s">
        <v>5069</v>
      </c>
      <c r="D825">
        <v>1013033.0</v>
      </c>
      <c r="E825" t="s">
        <v>2129</v>
      </c>
      <c r="F825" t="s">
        <v>2271</v>
      </c>
      <c r="G825" t="s">
        <v>5070</v>
      </c>
      <c r="H825" t="s">
        <v>5071</v>
      </c>
    </row>
    <row r="826">
      <c r="A826">
        <v>75.0</v>
      </c>
      <c r="B826">
        <v>1012981.0</v>
      </c>
      <c r="C826" t="s">
        <v>5072</v>
      </c>
      <c r="D826">
        <v>1012981.0</v>
      </c>
      <c r="E826" t="s">
        <v>2134</v>
      </c>
      <c r="F826" t="s">
        <v>5073</v>
      </c>
      <c r="G826" t="s">
        <v>5074</v>
      </c>
      <c r="H826" t="s">
        <v>5075</v>
      </c>
    </row>
    <row r="827">
      <c r="A827">
        <v>75.0</v>
      </c>
      <c r="B827">
        <v>1012970.0</v>
      </c>
      <c r="C827" t="s">
        <v>5076</v>
      </c>
      <c r="D827">
        <v>1012970.0</v>
      </c>
      <c r="E827" t="s">
        <v>2134</v>
      </c>
      <c r="F827" t="s">
        <v>5077</v>
      </c>
      <c r="G827" t="s">
        <v>5078</v>
      </c>
      <c r="H827" t="s">
        <v>5079</v>
      </c>
    </row>
    <row r="828">
      <c r="A828">
        <v>75.0</v>
      </c>
      <c r="B828">
        <v>1012975.0</v>
      </c>
      <c r="C828" t="s">
        <v>5080</v>
      </c>
      <c r="D828">
        <v>1012975.0</v>
      </c>
      <c r="E828" t="s">
        <v>2129</v>
      </c>
      <c r="F828" t="s">
        <v>5081</v>
      </c>
      <c r="G828" t="s">
        <v>5082</v>
      </c>
      <c r="H828" t="s">
        <v>5083</v>
      </c>
    </row>
    <row r="829">
      <c r="A829">
        <v>75.0</v>
      </c>
      <c r="B829">
        <v>1012984.0</v>
      </c>
      <c r="C829" t="s">
        <v>5084</v>
      </c>
      <c r="D829">
        <v>1012984.0</v>
      </c>
      <c r="E829" t="s">
        <v>2129</v>
      </c>
      <c r="F829" t="s">
        <v>5085</v>
      </c>
      <c r="G829" t="s">
        <v>5086</v>
      </c>
      <c r="H829" t="s">
        <v>5087</v>
      </c>
    </row>
    <row r="830">
      <c r="A830">
        <v>75.0</v>
      </c>
      <c r="B830">
        <v>1013023.0</v>
      </c>
      <c r="C830" t="s">
        <v>5088</v>
      </c>
      <c r="D830">
        <v>1013023.0</v>
      </c>
      <c r="E830" t="s">
        <v>2129</v>
      </c>
      <c r="F830" t="s">
        <v>5089</v>
      </c>
      <c r="G830" t="s">
        <v>5090</v>
      </c>
      <c r="H830" t="s">
        <v>5091</v>
      </c>
    </row>
    <row r="831">
      <c r="A831">
        <v>75.0</v>
      </c>
      <c r="B831">
        <v>1013031.0</v>
      </c>
      <c r="C831" t="s">
        <v>5092</v>
      </c>
      <c r="D831">
        <v>1013031.0</v>
      </c>
      <c r="E831" t="s">
        <v>2129</v>
      </c>
      <c r="F831" t="s">
        <v>2929</v>
      </c>
      <c r="G831" t="s">
        <v>5093</v>
      </c>
      <c r="H831" t="s">
        <v>5094</v>
      </c>
    </row>
    <row r="832">
      <c r="A832">
        <v>75.0</v>
      </c>
      <c r="B832">
        <v>1013000.0</v>
      </c>
      <c r="C832" t="s">
        <v>5095</v>
      </c>
      <c r="D832">
        <v>1013000.0</v>
      </c>
      <c r="E832" t="s">
        <v>2129</v>
      </c>
      <c r="F832" t="s">
        <v>5096</v>
      </c>
      <c r="G832" t="s">
        <v>5097</v>
      </c>
      <c r="H832" t="s">
        <v>5098</v>
      </c>
    </row>
    <row r="833">
      <c r="A833">
        <v>75.0</v>
      </c>
      <c r="B833">
        <v>1012989.0</v>
      </c>
      <c r="C833" t="s">
        <v>5099</v>
      </c>
      <c r="D833">
        <v>1012989.0</v>
      </c>
      <c r="E833" t="s">
        <v>2134</v>
      </c>
      <c r="F833" t="s">
        <v>5100</v>
      </c>
      <c r="G833" t="s">
        <v>5101</v>
      </c>
      <c r="H833" t="s">
        <v>5102</v>
      </c>
    </row>
    <row r="834">
      <c r="A834">
        <v>75.0</v>
      </c>
      <c r="B834">
        <v>1013006.0</v>
      </c>
      <c r="C834" t="s">
        <v>5103</v>
      </c>
      <c r="D834">
        <v>1013006.0</v>
      </c>
      <c r="E834" t="s">
        <v>2129</v>
      </c>
      <c r="F834" t="s">
        <v>5104</v>
      </c>
      <c r="G834" t="s">
        <v>5105</v>
      </c>
      <c r="H834" t="s">
        <v>5106</v>
      </c>
    </row>
    <row r="835">
      <c r="A835">
        <v>75.0</v>
      </c>
      <c r="B835">
        <v>1012986.0</v>
      </c>
      <c r="C835" t="s">
        <v>5107</v>
      </c>
      <c r="D835">
        <v>1012986.0</v>
      </c>
      <c r="E835" t="s">
        <v>2134</v>
      </c>
      <c r="F835" t="s">
        <v>5108</v>
      </c>
      <c r="G835" t="s">
        <v>5109</v>
      </c>
      <c r="H835" t="s">
        <v>5110</v>
      </c>
    </row>
    <row r="836">
      <c r="A836">
        <v>75.0</v>
      </c>
      <c r="B836">
        <v>1013048.0</v>
      </c>
      <c r="C836" t="s">
        <v>5111</v>
      </c>
      <c r="D836">
        <v>1013048.0</v>
      </c>
      <c r="E836" t="s">
        <v>2129</v>
      </c>
      <c r="F836" t="s">
        <v>5112</v>
      </c>
      <c r="G836" t="s">
        <v>5113</v>
      </c>
      <c r="H836" t="s">
        <v>5114</v>
      </c>
    </row>
    <row r="837">
      <c r="A837">
        <v>75.0</v>
      </c>
      <c r="B837">
        <v>1013057.0</v>
      </c>
      <c r="C837" t="s">
        <v>5115</v>
      </c>
      <c r="D837">
        <v>1013057.0</v>
      </c>
      <c r="E837" t="s">
        <v>2129</v>
      </c>
      <c r="F837" t="s">
        <v>5116</v>
      </c>
      <c r="G837" t="s">
        <v>4380</v>
      </c>
      <c r="H837" t="s">
        <v>5117</v>
      </c>
    </row>
    <row r="838">
      <c r="A838">
        <v>75.0</v>
      </c>
      <c r="B838">
        <v>1013025.0</v>
      </c>
      <c r="C838" t="s">
        <v>5118</v>
      </c>
      <c r="D838">
        <v>1013025.0</v>
      </c>
      <c r="E838" t="s">
        <v>2129</v>
      </c>
      <c r="F838" t="s">
        <v>5119</v>
      </c>
      <c r="G838" t="s">
        <v>5120</v>
      </c>
      <c r="H838" t="s">
        <v>5121</v>
      </c>
    </row>
    <row r="839">
      <c r="A839">
        <v>75.0</v>
      </c>
      <c r="B839">
        <v>1013034.0</v>
      </c>
      <c r="C839" t="s">
        <v>5122</v>
      </c>
      <c r="D839">
        <v>1013034.0</v>
      </c>
      <c r="E839" t="s">
        <v>2134</v>
      </c>
      <c r="F839" t="s">
        <v>5123</v>
      </c>
      <c r="G839" t="s">
        <v>5124</v>
      </c>
      <c r="H839" t="s">
        <v>5125</v>
      </c>
    </row>
    <row r="840">
      <c r="A840">
        <v>75.0</v>
      </c>
      <c r="B840">
        <v>1013028.0</v>
      </c>
      <c r="C840" t="s">
        <v>5126</v>
      </c>
      <c r="D840">
        <v>1013028.0</v>
      </c>
      <c r="E840" t="s">
        <v>2129</v>
      </c>
      <c r="F840" t="s">
        <v>5127</v>
      </c>
      <c r="G840" t="s">
        <v>5128</v>
      </c>
      <c r="H840" t="s">
        <v>5129</v>
      </c>
    </row>
    <row r="841">
      <c r="A841">
        <v>75.0</v>
      </c>
      <c r="B841">
        <v>1013019.0</v>
      </c>
      <c r="C841" t="s">
        <v>5130</v>
      </c>
      <c r="D841">
        <v>1013019.0</v>
      </c>
      <c r="E841" t="s">
        <v>2129</v>
      </c>
      <c r="F841" t="s">
        <v>5131</v>
      </c>
      <c r="G841" t="s">
        <v>5132</v>
      </c>
      <c r="H841" t="s">
        <v>5133</v>
      </c>
    </row>
    <row r="842">
      <c r="A842">
        <v>75.0</v>
      </c>
      <c r="B842">
        <v>1012999.0</v>
      </c>
      <c r="C842" t="s">
        <v>5134</v>
      </c>
      <c r="D842">
        <v>1012999.0</v>
      </c>
      <c r="E842" t="s">
        <v>2134</v>
      </c>
      <c r="F842" t="s">
        <v>5135</v>
      </c>
      <c r="G842" t="s">
        <v>5136</v>
      </c>
      <c r="H842" t="s">
        <v>5137</v>
      </c>
    </row>
    <row r="843">
      <c r="A843">
        <v>75.0</v>
      </c>
      <c r="B843">
        <v>1013018.0</v>
      </c>
      <c r="C843" t="s">
        <v>5138</v>
      </c>
      <c r="D843">
        <v>1013018.0</v>
      </c>
      <c r="E843" t="s">
        <v>2134</v>
      </c>
      <c r="F843" t="s">
        <v>5139</v>
      </c>
      <c r="G843" t="s">
        <v>5140</v>
      </c>
      <c r="H843" t="s">
        <v>5141</v>
      </c>
    </row>
    <row r="845">
      <c r="A845">
        <v>76.0</v>
      </c>
      <c r="B845">
        <v>1012893.0</v>
      </c>
      <c r="C845" t="s">
        <v>5142</v>
      </c>
      <c r="D845">
        <v>1012893.0</v>
      </c>
      <c r="E845" t="s">
        <v>2129</v>
      </c>
      <c r="F845" t="s">
        <v>5143</v>
      </c>
      <c r="G845" t="s">
        <v>5144</v>
      </c>
      <c r="H845" t="s">
        <v>5145</v>
      </c>
    </row>
    <row r="846">
      <c r="A846">
        <v>76.0</v>
      </c>
      <c r="B846">
        <v>1012903.0</v>
      </c>
      <c r="C846" t="s">
        <v>5146</v>
      </c>
      <c r="D846">
        <v>1012903.0</v>
      </c>
      <c r="E846" t="s">
        <v>2129</v>
      </c>
      <c r="F846" t="s">
        <v>4212</v>
      </c>
      <c r="G846" t="s">
        <v>5147</v>
      </c>
      <c r="H846" t="s">
        <v>5148</v>
      </c>
    </row>
    <row r="847">
      <c r="A847">
        <v>76.0</v>
      </c>
      <c r="B847">
        <v>1012902.0</v>
      </c>
      <c r="C847" t="s">
        <v>5149</v>
      </c>
      <c r="D847">
        <v>1012902.0</v>
      </c>
      <c r="E847" t="s">
        <v>2129</v>
      </c>
      <c r="F847" t="s">
        <v>5150</v>
      </c>
      <c r="G847" t="s">
        <v>5151</v>
      </c>
      <c r="H847" t="s">
        <v>5152</v>
      </c>
    </row>
    <row r="848">
      <c r="A848">
        <v>76.0</v>
      </c>
      <c r="B848">
        <v>1012894.0</v>
      </c>
      <c r="C848" t="s">
        <v>5153</v>
      </c>
      <c r="D848">
        <v>1012894.0</v>
      </c>
      <c r="E848" t="s">
        <v>2129</v>
      </c>
      <c r="F848" t="s">
        <v>5154</v>
      </c>
      <c r="G848" t="s">
        <v>5155</v>
      </c>
      <c r="H848" t="s">
        <v>5156</v>
      </c>
    </row>
    <row r="849">
      <c r="A849">
        <v>76.0</v>
      </c>
      <c r="B849">
        <v>1012895.0</v>
      </c>
      <c r="C849" t="s">
        <v>5157</v>
      </c>
      <c r="D849">
        <v>1012895.0</v>
      </c>
      <c r="E849" t="s">
        <v>2134</v>
      </c>
      <c r="F849" t="s">
        <v>5158</v>
      </c>
      <c r="G849" t="s">
        <v>5159</v>
      </c>
      <c r="H849" t="s">
        <v>5160</v>
      </c>
    </row>
    <row r="850">
      <c r="A850">
        <v>76.0</v>
      </c>
      <c r="B850">
        <v>1012898.0</v>
      </c>
      <c r="C850" t="s">
        <v>5161</v>
      </c>
      <c r="D850">
        <v>1012898.0</v>
      </c>
      <c r="E850" t="s">
        <v>2134</v>
      </c>
      <c r="F850" t="s">
        <v>5162</v>
      </c>
      <c r="G850" t="s">
        <v>5163</v>
      </c>
      <c r="H850" t="s">
        <v>5164</v>
      </c>
    </row>
    <row r="851">
      <c r="A851">
        <v>76.0</v>
      </c>
      <c r="B851">
        <v>1012891.0</v>
      </c>
      <c r="C851" t="s">
        <v>5165</v>
      </c>
      <c r="D851">
        <v>1012891.0</v>
      </c>
      <c r="E851" t="s">
        <v>2134</v>
      </c>
      <c r="F851" t="s">
        <v>5166</v>
      </c>
      <c r="G851" t="s">
        <v>5167</v>
      </c>
      <c r="H851" t="s">
        <v>5168</v>
      </c>
    </row>
    <row r="852">
      <c r="A852">
        <v>76.0</v>
      </c>
      <c r="B852">
        <v>1012896.0</v>
      </c>
      <c r="C852" t="s">
        <v>5169</v>
      </c>
      <c r="D852">
        <v>1012896.0</v>
      </c>
      <c r="E852" t="s">
        <v>2134</v>
      </c>
      <c r="F852" t="s">
        <v>5170</v>
      </c>
      <c r="G852" t="s">
        <v>5171</v>
      </c>
      <c r="H852" t="s">
        <v>5172</v>
      </c>
    </row>
    <row r="853">
      <c r="A853">
        <v>76.0</v>
      </c>
      <c r="B853">
        <v>1012901.0</v>
      </c>
      <c r="C853" t="s">
        <v>5173</v>
      </c>
      <c r="D853">
        <v>1012901.0</v>
      </c>
      <c r="E853" t="s">
        <v>2129</v>
      </c>
      <c r="F853" t="s">
        <v>5174</v>
      </c>
      <c r="G853" t="s">
        <v>5175</v>
      </c>
      <c r="H853" t="s">
        <v>5176</v>
      </c>
    </row>
    <row r="854">
      <c r="A854">
        <v>76.0</v>
      </c>
      <c r="B854">
        <v>1012908.0</v>
      </c>
      <c r="C854" t="s">
        <v>5177</v>
      </c>
      <c r="D854">
        <v>1012908.0</v>
      </c>
      <c r="E854" t="s">
        <v>2129</v>
      </c>
      <c r="F854" t="s">
        <v>5178</v>
      </c>
      <c r="G854" t="s">
        <v>5179</v>
      </c>
      <c r="H854" t="s">
        <v>5180</v>
      </c>
    </row>
    <row r="855">
      <c r="A855">
        <v>76.0</v>
      </c>
      <c r="B855">
        <v>1012899.0</v>
      </c>
      <c r="C855" t="s">
        <v>5181</v>
      </c>
      <c r="D855">
        <v>1012899.0</v>
      </c>
      <c r="E855" t="s">
        <v>2134</v>
      </c>
      <c r="F855" t="s">
        <v>3588</v>
      </c>
      <c r="G855" t="s">
        <v>5182</v>
      </c>
      <c r="H855" t="s">
        <v>5183</v>
      </c>
    </row>
    <row r="856">
      <c r="A856">
        <v>76.0</v>
      </c>
      <c r="B856">
        <v>1012892.0</v>
      </c>
      <c r="C856" t="s">
        <v>5184</v>
      </c>
      <c r="D856">
        <v>1012892.0</v>
      </c>
      <c r="E856" t="s">
        <v>2129</v>
      </c>
      <c r="F856" t="s">
        <v>5185</v>
      </c>
      <c r="G856" t="s">
        <v>5186</v>
      </c>
      <c r="H856" t="s">
        <v>5187</v>
      </c>
    </row>
    <row r="857">
      <c r="A857">
        <v>76.0</v>
      </c>
      <c r="B857">
        <v>1012907.0</v>
      </c>
      <c r="C857" t="s">
        <v>5188</v>
      </c>
      <c r="D857">
        <v>1012907.0</v>
      </c>
      <c r="E857" t="s">
        <v>2129</v>
      </c>
      <c r="F857" t="s">
        <v>5189</v>
      </c>
      <c r="G857" t="s">
        <v>5190</v>
      </c>
      <c r="H857" t="s">
        <v>5191</v>
      </c>
    </row>
    <row r="858">
      <c r="A858">
        <v>76.0</v>
      </c>
      <c r="B858">
        <v>1012906.0</v>
      </c>
      <c r="C858" t="s">
        <v>5192</v>
      </c>
      <c r="D858">
        <v>1012906.0</v>
      </c>
      <c r="E858" t="s">
        <v>2134</v>
      </c>
      <c r="F858" t="s">
        <v>5193</v>
      </c>
      <c r="G858" t="s">
        <v>5194</v>
      </c>
      <c r="H858" t="s">
        <v>5195</v>
      </c>
    </row>
    <row r="859">
      <c r="A859">
        <v>76.0</v>
      </c>
      <c r="B859">
        <v>1012905.0</v>
      </c>
      <c r="C859" t="s">
        <v>5196</v>
      </c>
      <c r="D859">
        <v>1012905.0</v>
      </c>
      <c r="E859" t="s">
        <v>2129</v>
      </c>
      <c r="F859" t="s">
        <v>5197</v>
      </c>
      <c r="G859" t="s">
        <v>5198</v>
      </c>
      <c r="H859" t="s">
        <v>5199</v>
      </c>
    </row>
    <row r="860">
      <c r="A860">
        <v>76.0</v>
      </c>
      <c r="B860">
        <v>1012904.0</v>
      </c>
      <c r="C860" t="s">
        <v>5200</v>
      </c>
      <c r="D860">
        <v>1012904.0</v>
      </c>
      <c r="E860" t="s">
        <v>2134</v>
      </c>
      <c r="F860" t="s">
        <v>5201</v>
      </c>
      <c r="G860" t="s">
        <v>5202</v>
      </c>
      <c r="H860" t="s">
        <v>5203</v>
      </c>
    </row>
    <row r="861">
      <c r="A861">
        <v>76.0</v>
      </c>
      <c r="B861">
        <v>1012900.0</v>
      </c>
      <c r="C861" t="s">
        <v>5204</v>
      </c>
      <c r="D861">
        <v>1012900.0</v>
      </c>
      <c r="E861" t="s">
        <v>2129</v>
      </c>
      <c r="F861" t="s">
        <v>5205</v>
      </c>
      <c r="G861" t="s">
        <v>5206</v>
      </c>
      <c r="H861" t="s">
        <v>5207</v>
      </c>
    </row>
    <row r="863">
      <c r="A863">
        <v>77.0</v>
      </c>
      <c r="B863">
        <v>1013189.0</v>
      </c>
      <c r="C863" t="s">
        <v>5208</v>
      </c>
      <c r="D863">
        <v>1013189.0</v>
      </c>
      <c r="E863" t="s">
        <v>2134</v>
      </c>
      <c r="F863" t="s">
        <v>5209</v>
      </c>
      <c r="G863" t="s">
        <v>5210</v>
      </c>
      <c r="H863" t="s">
        <v>5211</v>
      </c>
    </row>
    <row r="864">
      <c r="A864">
        <v>77.0</v>
      </c>
      <c r="B864">
        <v>1013190.0</v>
      </c>
      <c r="C864" t="s">
        <v>5212</v>
      </c>
      <c r="D864">
        <v>1013190.0</v>
      </c>
      <c r="E864" t="s">
        <v>2129</v>
      </c>
      <c r="F864" t="s">
        <v>3747</v>
      </c>
      <c r="G864" t="s">
        <v>5213</v>
      </c>
      <c r="H864" t="s">
        <v>5214</v>
      </c>
    </row>
    <row r="865">
      <c r="A865">
        <v>77.0</v>
      </c>
      <c r="B865">
        <v>1013192.0</v>
      </c>
      <c r="C865" t="s">
        <v>5215</v>
      </c>
      <c r="D865">
        <v>1013192.0</v>
      </c>
      <c r="E865" t="s">
        <v>2129</v>
      </c>
      <c r="F865" t="s">
        <v>5216</v>
      </c>
      <c r="G865" t="s">
        <v>5217</v>
      </c>
      <c r="H865" t="s">
        <v>5218</v>
      </c>
    </row>
    <row r="866">
      <c r="A866">
        <v>77.0</v>
      </c>
      <c r="B866">
        <v>1013191.0</v>
      </c>
      <c r="C866" t="s">
        <v>5219</v>
      </c>
      <c r="D866">
        <v>1013191.0</v>
      </c>
      <c r="E866" t="s">
        <v>2134</v>
      </c>
      <c r="F866" t="s">
        <v>5220</v>
      </c>
      <c r="G866" t="s">
        <v>5221</v>
      </c>
      <c r="H866" t="s">
        <v>5222</v>
      </c>
    </row>
    <row r="867">
      <c r="A867">
        <v>77.0</v>
      </c>
      <c r="B867">
        <v>1013184.0</v>
      </c>
      <c r="C867" t="s">
        <v>5223</v>
      </c>
      <c r="D867">
        <v>1013184.0</v>
      </c>
      <c r="E867" t="s">
        <v>2129</v>
      </c>
      <c r="F867" t="s">
        <v>5224</v>
      </c>
      <c r="G867" t="s">
        <v>5225</v>
      </c>
      <c r="H867" t="s">
        <v>5226</v>
      </c>
    </row>
    <row r="868">
      <c r="A868">
        <v>77.0</v>
      </c>
      <c r="B868">
        <v>1013188.0</v>
      </c>
      <c r="C868" t="s">
        <v>5227</v>
      </c>
      <c r="D868">
        <v>1013188.0</v>
      </c>
      <c r="E868" t="s">
        <v>2129</v>
      </c>
      <c r="F868" t="s">
        <v>3091</v>
      </c>
      <c r="G868" t="s">
        <v>5228</v>
      </c>
      <c r="H868" t="s">
        <v>5229</v>
      </c>
    </row>
    <row r="869">
      <c r="A869">
        <v>77.0</v>
      </c>
      <c r="B869">
        <v>1013177.0</v>
      </c>
      <c r="C869" t="s">
        <v>5230</v>
      </c>
      <c r="D869">
        <v>1013177.0</v>
      </c>
      <c r="E869" t="s">
        <v>2129</v>
      </c>
      <c r="F869" t="s">
        <v>5231</v>
      </c>
      <c r="G869" t="s">
        <v>5232</v>
      </c>
      <c r="H869" t="s">
        <v>5233</v>
      </c>
    </row>
    <row r="870">
      <c r="A870">
        <v>77.0</v>
      </c>
      <c r="B870">
        <v>1005329.0</v>
      </c>
      <c r="C870" t="s">
        <v>5234</v>
      </c>
      <c r="D870">
        <v>1005329.0</v>
      </c>
      <c r="E870" t="s">
        <v>2129</v>
      </c>
      <c r="F870" t="s">
        <v>5235</v>
      </c>
      <c r="G870" t="s">
        <v>5236</v>
      </c>
      <c r="H870" t="s">
        <v>5237</v>
      </c>
    </row>
    <row r="871">
      <c r="A871">
        <v>77.0</v>
      </c>
      <c r="B871">
        <v>1013187.0</v>
      </c>
      <c r="C871" t="s">
        <v>5238</v>
      </c>
      <c r="D871">
        <v>1013187.0</v>
      </c>
      <c r="E871" t="s">
        <v>2129</v>
      </c>
      <c r="F871" t="s">
        <v>2513</v>
      </c>
      <c r="G871" t="s">
        <v>5239</v>
      </c>
      <c r="H871" t="s">
        <v>5240</v>
      </c>
    </row>
    <row r="872">
      <c r="A872">
        <v>77.0</v>
      </c>
      <c r="B872">
        <v>1013173.0</v>
      </c>
      <c r="C872" t="s">
        <v>5241</v>
      </c>
      <c r="D872">
        <v>1013173.0</v>
      </c>
      <c r="E872" t="s">
        <v>2129</v>
      </c>
      <c r="F872" t="s">
        <v>5242</v>
      </c>
      <c r="G872" t="s">
        <v>5243</v>
      </c>
      <c r="H872" t="s">
        <v>5244</v>
      </c>
    </row>
    <row r="873">
      <c r="A873">
        <v>77.0</v>
      </c>
      <c r="B873">
        <v>1013194.0</v>
      </c>
      <c r="C873" t="s">
        <v>5245</v>
      </c>
      <c r="D873">
        <v>1013194.0</v>
      </c>
      <c r="E873" t="s">
        <v>2134</v>
      </c>
      <c r="F873" t="s">
        <v>5246</v>
      </c>
      <c r="G873" t="s">
        <v>5247</v>
      </c>
      <c r="H873" t="s">
        <v>5248</v>
      </c>
    </row>
    <row r="874">
      <c r="A874">
        <v>77.0</v>
      </c>
      <c r="B874">
        <v>1013180.0</v>
      </c>
      <c r="C874" t="s">
        <v>5249</v>
      </c>
      <c r="D874">
        <v>1013180.0</v>
      </c>
      <c r="E874" t="s">
        <v>2129</v>
      </c>
      <c r="F874" t="s">
        <v>5250</v>
      </c>
      <c r="G874" t="s">
        <v>5251</v>
      </c>
      <c r="H874" t="s">
        <v>5252</v>
      </c>
    </row>
    <row r="875">
      <c r="A875">
        <v>77.0</v>
      </c>
      <c r="B875">
        <v>1013181.0</v>
      </c>
      <c r="C875" t="s">
        <v>5253</v>
      </c>
      <c r="D875">
        <v>1013181.0</v>
      </c>
      <c r="E875" t="s">
        <v>2129</v>
      </c>
      <c r="F875" t="s">
        <v>5254</v>
      </c>
      <c r="G875" t="s">
        <v>5255</v>
      </c>
      <c r="H875" t="s">
        <v>5256</v>
      </c>
    </row>
    <row r="876">
      <c r="A876">
        <v>77.0</v>
      </c>
      <c r="B876">
        <v>1013186.0</v>
      </c>
      <c r="C876" t="s">
        <v>5257</v>
      </c>
      <c r="D876">
        <v>1013186.0</v>
      </c>
      <c r="E876" t="s">
        <v>2129</v>
      </c>
      <c r="F876" t="s">
        <v>5258</v>
      </c>
      <c r="G876" t="s">
        <v>5259</v>
      </c>
      <c r="H876" t="s">
        <v>5260</v>
      </c>
    </row>
    <row r="877">
      <c r="A877">
        <v>77.0</v>
      </c>
      <c r="B877">
        <v>1013178.0</v>
      </c>
      <c r="C877" t="s">
        <v>5261</v>
      </c>
      <c r="D877">
        <v>1013178.0</v>
      </c>
      <c r="E877" t="s">
        <v>2134</v>
      </c>
      <c r="F877" t="s">
        <v>5262</v>
      </c>
      <c r="G877" t="s">
        <v>5263</v>
      </c>
      <c r="H877" t="s">
        <v>5264</v>
      </c>
    </row>
    <row r="878">
      <c r="A878">
        <v>77.0</v>
      </c>
      <c r="B878">
        <v>1013166.0</v>
      </c>
      <c r="C878" t="s">
        <v>5265</v>
      </c>
      <c r="D878">
        <v>1013166.0</v>
      </c>
      <c r="E878" t="s">
        <v>2134</v>
      </c>
      <c r="F878" t="s">
        <v>5266</v>
      </c>
      <c r="G878" t="s">
        <v>5267</v>
      </c>
      <c r="H878" t="s">
        <v>5268</v>
      </c>
    </row>
    <row r="879">
      <c r="A879">
        <v>77.0</v>
      </c>
      <c r="B879">
        <v>1013168.0</v>
      </c>
      <c r="C879" t="s">
        <v>5269</v>
      </c>
      <c r="D879">
        <v>1013168.0</v>
      </c>
      <c r="E879" t="s">
        <v>2134</v>
      </c>
      <c r="F879" t="s">
        <v>5270</v>
      </c>
      <c r="G879" t="s">
        <v>5271</v>
      </c>
      <c r="H879" t="s">
        <v>5272</v>
      </c>
    </row>
    <row r="880">
      <c r="A880">
        <v>77.0</v>
      </c>
      <c r="B880">
        <v>1013182.0</v>
      </c>
      <c r="C880" t="s">
        <v>5273</v>
      </c>
      <c r="D880">
        <v>1013182.0</v>
      </c>
      <c r="E880" t="s">
        <v>2129</v>
      </c>
      <c r="F880" t="s">
        <v>5274</v>
      </c>
      <c r="G880" t="s">
        <v>5275</v>
      </c>
      <c r="H880" t="s">
        <v>5276</v>
      </c>
    </row>
    <row r="881">
      <c r="A881">
        <v>77.0</v>
      </c>
      <c r="B881">
        <v>1013185.0</v>
      </c>
      <c r="C881" t="s">
        <v>5277</v>
      </c>
      <c r="D881">
        <v>1013185.0</v>
      </c>
      <c r="E881" t="s">
        <v>2134</v>
      </c>
      <c r="F881" t="s">
        <v>5278</v>
      </c>
      <c r="G881" t="s">
        <v>5279</v>
      </c>
      <c r="H881" t="s">
        <v>5280</v>
      </c>
    </row>
    <row r="882">
      <c r="A882">
        <v>77.0</v>
      </c>
      <c r="B882">
        <v>1013179.0</v>
      </c>
      <c r="C882" t="s">
        <v>5281</v>
      </c>
      <c r="D882">
        <v>1013179.0</v>
      </c>
      <c r="E882" t="s">
        <v>2129</v>
      </c>
      <c r="F882" t="s">
        <v>5282</v>
      </c>
      <c r="G882" t="s">
        <v>5283</v>
      </c>
      <c r="H882" t="s">
        <v>5284</v>
      </c>
    </row>
    <row r="883">
      <c r="A883">
        <v>77.0</v>
      </c>
      <c r="B883">
        <v>1013196.0</v>
      </c>
      <c r="C883" t="s">
        <v>5285</v>
      </c>
      <c r="D883">
        <v>1013196.0</v>
      </c>
      <c r="E883" t="s">
        <v>2129</v>
      </c>
      <c r="F883" t="s">
        <v>5286</v>
      </c>
      <c r="G883" t="s">
        <v>5287</v>
      </c>
      <c r="H883" t="s">
        <v>5288</v>
      </c>
    </row>
    <row r="884">
      <c r="A884">
        <v>77.0</v>
      </c>
      <c r="B884">
        <v>1013174.0</v>
      </c>
      <c r="C884" t="s">
        <v>5289</v>
      </c>
      <c r="D884">
        <v>1013174.0</v>
      </c>
      <c r="E884" t="s">
        <v>2129</v>
      </c>
      <c r="F884" t="s">
        <v>5290</v>
      </c>
      <c r="G884" t="s">
        <v>5291</v>
      </c>
      <c r="H884" t="s">
        <v>5292</v>
      </c>
    </row>
    <row r="886">
      <c r="A886">
        <v>78.0</v>
      </c>
      <c r="B886">
        <v>1014087.0</v>
      </c>
      <c r="C886" t="s">
        <v>5293</v>
      </c>
      <c r="D886">
        <v>1014087.0</v>
      </c>
      <c r="E886" t="s">
        <v>2134</v>
      </c>
      <c r="F886" t="s">
        <v>5294</v>
      </c>
      <c r="G886" t="s">
        <v>5295</v>
      </c>
      <c r="H886" t="s">
        <v>5296</v>
      </c>
    </row>
    <row r="887">
      <c r="A887">
        <v>78.0</v>
      </c>
      <c r="B887">
        <v>1014090.0</v>
      </c>
      <c r="C887" t="s">
        <v>5297</v>
      </c>
      <c r="D887">
        <v>1014090.0</v>
      </c>
      <c r="E887" t="s">
        <v>2134</v>
      </c>
      <c r="F887" t="s">
        <v>5298</v>
      </c>
      <c r="G887" t="s">
        <v>5299</v>
      </c>
      <c r="H887" t="s">
        <v>5300</v>
      </c>
    </row>
    <row r="888">
      <c r="A888">
        <v>78.0</v>
      </c>
      <c r="B888">
        <v>1014078.0</v>
      </c>
      <c r="C888" t="s">
        <v>5301</v>
      </c>
      <c r="D888">
        <v>1014078.0</v>
      </c>
      <c r="E888" t="s">
        <v>2129</v>
      </c>
      <c r="F888" t="s">
        <v>5302</v>
      </c>
      <c r="G888" t="s">
        <v>5303</v>
      </c>
      <c r="H888" t="s">
        <v>5304</v>
      </c>
    </row>
    <row r="889">
      <c r="A889">
        <v>78.0</v>
      </c>
      <c r="B889">
        <v>1014083.0</v>
      </c>
      <c r="C889" t="s">
        <v>5305</v>
      </c>
      <c r="D889">
        <v>1014083.0</v>
      </c>
      <c r="E889" t="s">
        <v>2129</v>
      </c>
      <c r="F889" t="s">
        <v>5306</v>
      </c>
      <c r="G889" t="s">
        <v>5307</v>
      </c>
      <c r="H889" t="s">
        <v>5308</v>
      </c>
    </row>
    <row r="890">
      <c r="A890">
        <v>78.0</v>
      </c>
      <c r="B890">
        <v>1014067.0</v>
      </c>
      <c r="C890" t="s">
        <v>5309</v>
      </c>
      <c r="D890">
        <v>1014067.0</v>
      </c>
      <c r="E890" t="s">
        <v>2129</v>
      </c>
      <c r="F890" t="s">
        <v>5310</v>
      </c>
      <c r="G890" t="s">
        <v>5311</v>
      </c>
      <c r="H890" t="s">
        <v>5312</v>
      </c>
    </row>
    <row r="891">
      <c r="A891">
        <v>78.0</v>
      </c>
      <c r="B891">
        <v>1014066.0</v>
      </c>
      <c r="C891" t="s">
        <v>5313</v>
      </c>
      <c r="D891">
        <v>1014066.0</v>
      </c>
      <c r="E891" t="s">
        <v>2134</v>
      </c>
      <c r="F891" t="s">
        <v>5314</v>
      </c>
      <c r="G891" t="s">
        <v>5315</v>
      </c>
      <c r="H891" t="s">
        <v>5316</v>
      </c>
    </row>
    <row r="892">
      <c r="A892">
        <v>78.0</v>
      </c>
      <c r="B892">
        <v>1014054.0</v>
      </c>
      <c r="C892" t="s">
        <v>5317</v>
      </c>
      <c r="D892">
        <v>1014054.0</v>
      </c>
      <c r="E892" t="s">
        <v>2134</v>
      </c>
      <c r="F892" t="s">
        <v>5318</v>
      </c>
      <c r="G892" t="s">
        <v>5319</v>
      </c>
      <c r="H892" t="s">
        <v>5320</v>
      </c>
    </row>
    <row r="893">
      <c r="A893">
        <v>78.0</v>
      </c>
      <c r="B893">
        <v>1014058.0</v>
      </c>
      <c r="C893" t="s">
        <v>5321</v>
      </c>
      <c r="D893">
        <v>1014058.0</v>
      </c>
      <c r="E893" t="s">
        <v>2129</v>
      </c>
      <c r="F893" t="s">
        <v>5322</v>
      </c>
      <c r="G893" t="s">
        <v>5323</v>
      </c>
      <c r="H893" t="s">
        <v>5324</v>
      </c>
    </row>
    <row r="894">
      <c r="A894">
        <v>78.0</v>
      </c>
      <c r="B894">
        <v>1014068.0</v>
      </c>
      <c r="C894" t="s">
        <v>5325</v>
      </c>
      <c r="D894">
        <v>1014068.0</v>
      </c>
      <c r="E894" t="s">
        <v>2129</v>
      </c>
      <c r="F894" t="s">
        <v>5326</v>
      </c>
      <c r="G894" t="s">
        <v>5327</v>
      </c>
      <c r="H894" t="s">
        <v>5328</v>
      </c>
    </row>
    <row r="895">
      <c r="A895">
        <v>78.0</v>
      </c>
      <c r="B895">
        <v>1014088.0</v>
      </c>
      <c r="C895" t="s">
        <v>5329</v>
      </c>
      <c r="D895">
        <v>1014088.0</v>
      </c>
      <c r="E895" t="s">
        <v>2129</v>
      </c>
      <c r="F895" t="s">
        <v>5330</v>
      </c>
      <c r="G895" t="s">
        <v>5331</v>
      </c>
      <c r="H895" t="s">
        <v>5332</v>
      </c>
    </row>
    <row r="896">
      <c r="A896">
        <v>78.0</v>
      </c>
      <c r="B896">
        <v>1014064.0</v>
      </c>
      <c r="C896" t="s">
        <v>5333</v>
      </c>
      <c r="D896">
        <v>1014064.0</v>
      </c>
      <c r="E896" t="s">
        <v>2129</v>
      </c>
      <c r="F896" t="s">
        <v>5334</v>
      </c>
      <c r="G896" t="s">
        <v>5335</v>
      </c>
      <c r="H896" t="s">
        <v>5336</v>
      </c>
    </row>
    <row r="897">
      <c r="A897">
        <v>78.0</v>
      </c>
      <c r="B897">
        <v>1014081.0</v>
      </c>
      <c r="C897" t="s">
        <v>5337</v>
      </c>
      <c r="D897">
        <v>1014081.0</v>
      </c>
      <c r="E897" t="s">
        <v>2129</v>
      </c>
      <c r="F897" t="s">
        <v>5338</v>
      </c>
      <c r="G897" t="s">
        <v>5339</v>
      </c>
      <c r="H897" t="s">
        <v>5340</v>
      </c>
    </row>
    <row r="898">
      <c r="A898">
        <v>78.0</v>
      </c>
      <c r="B898">
        <v>1014092.0</v>
      </c>
      <c r="C898" t="s">
        <v>5341</v>
      </c>
      <c r="D898">
        <v>1014092.0</v>
      </c>
      <c r="E898" t="s">
        <v>2129</v>
      </c>
      <c r="F898" t="s">
        <v>5342</v>
      </c>
      <c r="G898" t="s">
        <v>5343</v>
      </c>
      <c r="H898" t="s">
        <v>5344</v>
      </c>
    </row>
    <row r="899">
      <c r="A899">
        <v>78.0</v>
      </c>
      <c r="B899">
        <v>1014079.0</v>
      </c>
      <c r="C899" t="s">
        <v>5345</v>
      </c>
      <c r="D899">
        <v>1014079.0</v>
      </c>
      <c r="E899" t="s">
        <v>2129</v>
      </c>
      <c r="F899" t="s">
        <v>5346</v>
      </c>
      <c r="G899" t="s">
        <v>5347</v>
      </c>
      <c r="H899" t="s">
        <v>5348</v>
      </c>
    </row>
    <row r="900">
      <c r="A900">
        <v>78.0</v>
      </c>
      <c r="B900">
        <v>1014080.0</v>
      </c>
      <c r="C900" t="s">
        <v>5349</v>
      </c>
      <c r="D900">
        <v>1014080.0</v>
      </c>
      <c r="E900" t="s">
        <v>2129</v>
      </c>
      <c r="F900" t="s">
        <v>5350</v>
      </c>
      <c r="G900" t="s">
        <v>5351</v>
      </c>
      <c r="H900" t="s">
        <v>5352</v>
      </c>
    </row>
    <row r="901">
      <c r="A901">
        <v>78.0</v>
      </c>
      <c r="B901">
        <v>1014086.0</v>
      </c>
      <c r="C901" t="s">
        <v>5353</v>
      </c>
      <c r="D901">
        <v>1014086.0</v>
      </c>
      <c r="E901" t="s">
        <v>2129</v>
      </c>
      <c r="F901" t="s">
        <v>5354</v>
      </c>
      <c r="G901" t="s">
        <v>5355</v>
      </c>
      <c r="H901" t="s">
        <v>5356</v>
      </c>
    </row>
    <row r="902">
      <c r="A902">
        <v>78.0</v>
      </c>
      <c r="B902">
        <v>1014059.0</v>
      </c>
      <c r="C902" t="s">
        <v>5357</v>
      </c>
      <c r="D902">
        <v>1014059.0</v>
      </c>
      <c r="E902" t="s">
        <v>2129</v>
      </c>
      <c r="F902" t="s">
        <v>5358</v>
      </c>
      <c r="G902" t="s">
        <v>5359</v>
      </c>
      <c r="H902" t="s">
        <v>5360</v>
      </c>
    </row>
    <row r="904">
      <c r="A904">
        <v>79.0</v>
      </c>
      <c r="B904">
        <v>1014316.0</v>
      </c>
      <c r="C904" t="s">
        <v>5361</v>
      </c>
      <c r="D904">
        <v>1014316.0</v>
      </c>
      <c r="E904" t="s">
        <v>2134</v>
      </c>
      <c r="F904" t="s">
        <v>5362</v>
      </c>
      <c r="G904" t="s">
        <v>5363</v>
      </c>
      <c r="H904" t="s">
        <v>5364</v>
      </c>
    </row>
    <row r="905">
      <c r="A905">
        <v>79.0</v>
      </c>
      <c r="B905">
        <v>1014369.0</v>
      </c>
      <c r="C905" t="s">
        <v>5365</v>
      </c>
      <c r="D905">
        <v>1014369.0</v>
      </c>
      <c r="E905" t="s">
        <v>2129</v>
      </c>
      <c r="F905" t="s">
        <v>5366</v>
      </c>
      <c r="G905" t="s">
        <v>5367</v>
      </c>
      <c r="H905" t="s">
        <v>5368</v>
      </c>
    </row>
    <row r="906">
      <c r="A906">
        <v>79.0</v>
      </c>
      <c r="B906">
        <v>1014346.0</v>
      </c>
      <c r="C906" t="s">
        <v>5369</v>
      </c>
      <c r="D906">
        <v>1014346.0</v>
      </c>
      <c r="E906" t="s">
        <v>2134</v>
      </c>
      <c r="F906" t="s">
        <v>5370</v>
      </c>
      <c r="G906" t="s">
        <v>5371</v>
      </c>
      <c r="H906" t="s">
        <v>5372</v>
      </c>
    </row>
    <row r="907">
      <c r="A907">
        <v>79.0</v>
      </c>
      <c r="B907">
        <v>1014345.0</v>
      </c>
      <c r="C907" t="s">
        <v>5373</v>
      </c>
      <c r="D907">
        <v>1014345.0</v>
      </c>
      <c r="E907" t="s">
        <v>2129</v>
      </c>
      <c r="F907" t="s">
        <v>5374</v>
      </c>
      <c r="G907" t="s">
        <v>5375</v>
      </c>
      <c r="H907" t="s">
        <v>5376</v>
      </c>
    </row>
    <row r="908">
      <c r="A908">
        <v>79.0</v>
      </c>
      <c r="B908">
        <v>1014353.0</v>
      </c>
      <c r="C908" t="s">
        <v>5377</v>
      </c>
      <c r="D908">
        <v>1014353.0</v>
      </c>
      <c r="E908" t="s">
        <v>2129</v>
      </c>
      <c r="F908" t="s">
        <v>5378</v>
      </c>
      <c r="G908" t="s">
        <v>5379</v>
      </c>
      <c r="H908" t="s">
        <v>5380</v>
      </c>
    </row>
    <row r="909">
      <c r="A909">
        <v>79.0</v>
      </c>
      <c r="B909">
        <v>1014359.0</v>
      </c>
      <c r="C909" t="s">
        <v>5381</v>
      </c>
      <c r="D909">
        <v>1014359.0</v>
      </c>
      <c r="E909" t="s">
        <v>2129</v>
      </c>
      <c r="F909" t="s">
        <v>5382</v>
      </c>
      <c r="G909" t="s">
        <v>5383</v>
      </c>
      <c r="H909" t="s">
        <v>5384</v>
      </c>
    </row>
    <row r="910">
      <c r="A910">
        <v>79.0</v>
      </c>
      <c r="B910">
        <v>1014313.0</v>
      </c>
      <c r="C910" t="s">
        <v>5385</v>
      </c>
      <c r="D910">
        <v>1014313.0</v>
      </c>
      <c r="E910" t="s">
        <v>2134</v>
      </c>
      <c r="F910" t="s">
        <v>5386</v>
      </c>
      <c r="G910" t="s">
        <v>5387</v>
      </c>
      <c r="H910" t="s">
        <v>5388</v>
      </c>
    </row>
    <row r="911">
      <c r="A911">
        <v>79.0</v>
      </c>
      <c r="B911">
        <v>1014358.0</v>
      </c>
      <c r="C911" t="s">
        <v>5389</v>
      </c>
      <c r="D911">
        <v>1014358.0</v>
      </c>
      <c r="E911" t="s">
        <v>2134</v>
      </c>
      <c r="F911" t="s">
        <v>5390</v>
      </c>
      <c r="G911" t="s">
        <v>5391</v>
      </c>
      <c r="H911" t="s">
        <v>5392</v>
      </c>
    </row>
    <row r="912">
      <c r="A912">
        <v>79.0</v>
      </c>
      <c r="B912">
        <v>1014327.0</v>
      </c>
      <c r="C912" t="s">
        <v>5393</v>
      </c>
      <c r="D912">
        <v>1014327.0</v>
      </c>
      <c r="E912" t="s">
        <v>2134</v>
      </c>
      <c r="F912" t="s">
        <v>5394</v>
      </c>
      <c r="G912" t="s">
        <v>5395</v>
      </c>
      <c r="H912" t="s">
        <v>5396</v>
      </c>
    </row>
    <row r="913">
      <c r="A913">
        <v>79.0</v>
      </c>
      <c r="B913">
        <v>1014312.0</v>
      </c>
      <c r="C913" t="s">
        <v>5397</v>
      </c>
      <c r="D913">
        <v>1014312.0</v>
      </c>
      <c r="E913" t="s">
        <v>2129</v>
      </c>
      <c r="F913" t="s">
        <v>5398</v>
      </c>
      <c r="G913" t="s">
        <v>5399</v>
      </c>
      <c r="H913" t="s">
        <v>5400</v>
      </c>
    </row>
    <row r="914">
      <c r="A914">
        <v>79.0</v>
      </c>
      <c r="B914">
        <v>1014372.0</v>
      </c>
      <c r="C914" t="s">
        <v>5401</v>
      </c>
      <c r="D914">
        <v>1014372.0</v>
      </c>
      <c r="E914" t="s">
        <v>2129</v>
      </c>
      <c r="F914" t="s">
        <v>4976</v>
      </c>
      <c r="G914" t="s">
        <v>5402</v>
      </c>
      <c r="H914" t="s">
        <v>5403</v>
      </c>
    </row>
    <row r="915">
      <c r="A915">
        <v>79.0</v>
      </c>
      <c r="B915">
        <v>1014329.0</v>
      </c>
      <c r="C915" t="s">
        <v>5404</v>
      </c>
      <c r="D915">
        <v>1014329.0</v>
      </c>
      <c r="E915" t="s">
        <v>2129</v>
      </c>
      <c r="F915" t="s">
        <v>5405</v>
      </c>
      <c r="G915" t="s">
        <v>5406</v>
      </c>
      <c r="H915" t="s">
        <v>5407</v>
      </c>
    </row>
    <row r="916">
      <c r="A916">
        <v>79.0</v>
      </c>
      <c r="B916">
        <v>1014308.0</v>
      </c>
      <c r="C916" t="s">
        <v>5408</v>
      </c>
      <c r="D916">
        <v>1014308.0</v>
      </c>
      <c r="E916" t="s">
        <v>2129</v>
      </c>
      <c r="F916" t="s">
        <v>5409</v>
      </c>
      <c r="G916" t="s">
        <v>5410</v>
      </c>
      <c r="H916" t="s">
        <v>5411</v>
      </c>
    </row>
    <row r="917">
      <c r="A917">
        <v>79.0</v>
      </c>
      <c r="B917">
        <v>1004501.0</v>
      </c>
      <c r="C917" t="s">
        <v>5412</v>
      </c>
      <c r="D917">
        <v>1004501.0</v>
      </c>
      <c r="E917" t="s">
        <v>2129</v>
      </c>
      <c r="F917" t="s">
        <v>5413</v>
      </c>
      <c r="G917" t="s">
        <v>5414</v>
      </c>
      <c r="H917" t="s">
        <v>5415</v>
      </c>
    </row>
    <row r="918">
      <c r="A918">
        <v>79.0</v>
      </c>
      <c r="B918">
        <v>1005434.0</v>
      </c>
      <c r="C918" t="s">
        <v>5416</v>
      </c>
      <c r="D918">
        <v>1005434.0</v>
      </c>
      <c r="E918" t="s">
        <v>2129</v>
      </c>
      <c r="F918" t="s">
        <v>5417</v>
      </c>
      <c r="G918" t="s">
        <v>5418</v>
      </c>
      <c r="H918" t="s">
        <v>5419</v>
      </c>
    </row>
    <row r="919">
      <c r="A919">
        <v>79.0</v>
      </c>
      <c r="B919">
        <v>1006960.0</v>
      </c>
      <c r="C919" t="s">
        <v>5420</v>
      </c>
      <c r="D919">
        <v>1006960.0</v>
      </c>
      <c r="E919" t="s">
        <v>2129</v>
      </c>
      <c r="F919" t="s">
        <v>5421</v>
      </c>
      <c r="G919" t="s">
        <v>5422</v>
      </c>
      <c r="H919" t="s">
        <v>5423</v>
      </c>
    </row>
    <row r="920">
      <c r="A920">
        <v>79.0</v>
      </c>
      <c r="B920">
        <v>1007181.0</v>
      </c>
      <c r="C920" t="s">
        <v>5424</v>
      </c>
      <c r="D920">
        <v>1007181.0</v>
      </c>
      <c r="E920" t="s">
        <v>2129</v>
      </c>
      <c r="F920" t="s">
        <v>5425</v>
      </c>
      <c r="G920" t="s">
        <v>5426</v>
      </c>
      <c r="H920" t="s">
        <v>5427</v>
      </c>
    </row>
    <row r="922">
      <c r="A922">
        <v>80.0</v>
      </c>
      <c r="B922">
        <v>1015093.0</v>
      </c>
      <c r="C922" t="s">
        <v>5428</v>
      </c>
      <c r="D922">
        <v>1015093.0</v>
      </c>
      <c r="E922" t="s">
        <v>2134</v>
      </c>
      <c r="F922" t="s">
        <v>5429</v>
      </c>
      <c r="G922" t="s">
        <v>5430</v>
      </c>
      <c r="H922" t="s">
        <v>5431</v>
      </c>
    </row>
    <row r="923">
      <c r="A923">
        <v>80.0</v>
      </c>
      <c r="B923">
        <v>1015095.0</v>
      </c>
      <c r="C923" t="s">
        <v>5432</v>
      </c>
      <c r="D923">
        <v>1015095.0</v>
      </c>
      <c r="E923" t="s">
        <v>2134</v>
      </c>
      <c r="F923" t="s">
        <v>5220</v>
      </c>
      <c r="G923" t="s">
        <v>5433</v>
      </c>
      <c r="H923" t="s">
        <v>5434</v>
      </c>
    </row>
    <row r="924">
      <c r="A924">
        <v>80.0</v>
      </c>
      <c r="B924">
        <v>1015083.0</v>
      </c>
      <c r="C924" t="s">
        <v>5435</v>
      </c>
      <c r="D924">
        <v>1015083.0</v>
      </c>
      <c r="E924" t="s">
        <v>2129</v>
      </c>
      <c r="F924" t="s">
        <v>5436</v>
      </c>
      <c r="G924" t="s">
        <v>5437</v>
      </c>
      <c r="H924" t="s">
        <v>5438</v>
      </c>
    </row>
    <row r="925">
      <c r="A925">
        <v>80.0</v>
      </c>
      <c r="B925">
        <v>1015081.0</v>
      </c>
      <c r="C925" t="s">
        <v>5439</v>
      </c>
      <c r="D925">
        <v>1015081.0</v>
      </c>
      <c r="E925" t="s">
        <v>2129</v>
      </c>
      <c r="F925" t="s">
        <v>5440</v>
      </c>
      <c r="G925" t="s">
        <v>5441</v>
      </c>
      <c r="H925" t="s">
        <v>5442</v>
      </c>
    </row>
    <row r="926">
      <c r="A926">
        <v>80.0</v>
      </c>
      <c r="B926">
        <v>1015090.0</v>
      </c>
      <c r="C926" t="s">
        <v>5443</v>
      </c>
      <c r="D926">
        <v>1015090.0</v>
      </c>
      <c r="E926" t="s">
        <v>2129</v>
      </c>
      <c r="F926" t="s">
        <v>5444</v>
      </c>
      <c r="G926" t="s">
        <v>5445</v>
      </c>
      <c r="H926" t="s">
        <v>5446</v>
      </c>
    </row>
    <row r="927">
      <c r="A927">
        <v>80.0</v>
      </c>
      <c r="B927">
        <v>1015094.0</v>
      </c>
      <c r="C927" t="s">
        <v>5447</v>
      </c>
      <c r="D927">
        <v>1015094.0</v>
      </c>
      <c r="E927" t="s">
        <v>2134</v>
      </c>
      <c r="F927" t="s">
        <v>3612</v>
      </c>
      <c r="G927" t="s">
        <v>5448</v>
      </c>
      <c r="H927" t="s">
        <v>5449</v>
      </c>
    </row>
    <row r="928">
      <c r="A928">
        <v>80.0</v>
      </c>
      <c r="B928">
        <v>1015089.0</v>
      </c>
      <c r="C928" t="s">
        <v>5450</v>
      </c>
      <c r="D928">
        <v>1015089.0</v>
      </c>
      <c r="E928" t="s">
        <v>2134</v>
      </c>
      <c r="F928" t="s">
        <v>5451</v>
      </c>
      <c r="G928" t="s">
        <v>5452</v>
      </c>
      <c r="H928" t="s">
        <v>5453</v>
      </c>
    </row>
    <row r="929">
      <c r="A929">
        <v>80.0</v>
      </c>
      <c r="B929">
        <v>1015092.0</v>
      </c>
      <c r="C929" t="s">
        <v>5454</v>
      </c>
      <c r="D929">
        <v>1015092.0</v>
      </c>
      <c r="E929" t="s">
        <v>2129</v>
      </c>
      <c r="F929" t="s">
        <v>5455</v>
      </c>
      <c r="G929" t="s">
        <v>5456</v>
      </c>
      <c r="H929" t="s">
        <v>5457</v>
      </c>
    </row>
    <row r="930">
      <c r="A930">
        <v>80.0</v>
      </c>
      <c r="B930">
        <v>1015077.0</v>
      </c>
      <c r="C930" t="s">
        <v>5458</v>
      </c>
      <c r="D930">
        <v>1015077.0</v>
      </c>
      <c r="E930" t="s">
        <v>2129</v>
      </c>
      <c r="F930" t="s">
        <v>5459</v>
      </c>
      <c r="G930" t="s">
        <v>5460</v>
      </c>
      <c r="H930" t="s">
        <v>5461</v>
      </c>
    </row>
    <row r="931">
      <c r="A931">
        <v>80.0</v>
      </c>
      <c r="B931">
        <v>1015097.0</v>
      </c>
      <c r="C931" t="s">
        <v>5462</v>
      </c>
      <c r="D931">
        <v>1015097.0</v>
      </c>
      <c r="E931" t="s">
        <v>2129</v>
      </c>
      <c r="F931" t="s">
        <v>5463</v>
      </c>
      <c r="G931" t="s">
        <v>5464</v>
      </c>
      <c r="H931" t="s">
        <v>5465</v>
      </c>
    </row>
    <row r="932">
      <c r="A932">
        <v>80.0</v>
      </c>
      <c r="B932">
        <v>1015098.0</v>
      </c>
      <c r="C932" t="s">
        <v>5466</v>
      </c>
      <c r="D932">
        <v>1015098.0</v>
      </c>
      <c r="E932" t="s">
        <v>2129</v>
      </c>
      <c r="F932" t="s">
        <v>5467</v>
      </c>
      <c r="G932" t="s">
        <v>5468</v>
      </c>
      <c r="H932" t="s">
        <v>5469</v>
      </c>
    </row>
    <row r="933">
      <c r="A933">
        <v>80.0</v>
      </c>
      <c r="B933">
        <v>1015088.0</v>
      </c>
      <c r="C933" t="s">
        <v>5470</v>
      </c>
      <c r="D933">
        <v>1015088.0</v>
      </c>
      <c r="E933" t="s">
        <v>2129</v>
      </c>
      <c r="F933" t="s">
        <v>5231</v>
      </c>
      <c r="G933" t="s">
        <v>5471</v>
      </c>
      <c r="H933" t="s">
        <v>5472</v>
      </c>
    </row>
    <row r="934">
      <c r="A934">
        <v>80.0</v>
      </c>
      <c r="B934">
        <v>1015091.0</v>
      </c>
      <c r="C934" t="s">
        <v>5473</v>
      </c>
      <c r="D934">
        <v>1015091.0</v>
      </c>
      <c r="E934" t="s">
        <v>2129</v>
      </c>
      <c r="F934" t="s">
        <v>5474</v>
      </c>
      <c r="G934" t="s">
        <v>5475</v>
      </c>
      <c r="H934" t="s">
        <v>5476</v>
      </c>
    </row>
    <row r="935">
      <c r="A935">
        <v>80.0</v>
      </c>
      <c r="B935">
        <v>1015087.0</v>
      </c>
      <c r="C935" t="s">
        <v>5477</v>
      </c>
      <c r="D935">
        <v>1015087.0</v>
      </c>
      <c r="E935" t="s">
        <v>2129</v>
      </c>
      <c r="F935" t="s">
        <v>5478</v>
      </c>
      <c r="G935" t="s">
        <v>5479</v>
      </c>
      <c r="H935" t="s">
        <v>5480</v>
      </c>
    </row>
    <row r="936">
      <c r="A936">
        <v>80.0</v>
      </c>
      <c r="B936">
        <v>1015096.0</v>
      </c>
      <c r="C936" t="s">
        <v>5481</v>
      </c>
      <c r="D936">
        <v>1015096.0</v>
      </c>
      <c r="E936" t="s">
        <v>2129</v>
      </c>
      <c r="F936" t="s">
        <v>5482</v>
      </c>
      <c r="G936" t="s">
        <v>5483</v>
      </c>
      <c r="H936" t="s">
        <v>5484</v>
      </c>
    </row>
    <row r="937">
      <c r="A937">
        <v>80.0</v>
      </c>
      <c r="B937">
        <v>1006318.0</v>
      </c>
      <c r="C937" t="s">
        <v>5485</v>
      </c>
      <c r="D937">
        <v>1006318.0</v>
      </c>
      <c r="E937" t="s">
        <v>2134</v>
      </c>
      <c r="F937" t="s">
        <v>3921</v>
      </c>
      <c r="G937" t="s">
        <v>5486</v>
      </c>
      <c r="H937" t="s">
        <v>5487</v>
      </c>
    </row>
    <row r="939">
      <c r="A939">
        <v>81.0</v>
      </c>
      <c r="B939">
        <v>1015411.0</v>
      </c>
      <c r="C939" t="s">
        <v>5488</v>
      </c>
      <c r="D939">
        <v>1015411.0</v>
      </c>
      <c r="E939" t="s">
        <v>2129</v>
      </c>
      <c r="F939" t="s">
        <v>5489</v>
      </c>
      <c r="G939" t="s">
        <v>5490</v>
      </c>
      <c r="H939" t="s">
        <v>5491</v>
      </c>
    </row>
    <row r="940">
      <c r="A940">
        <v>81.0</v>
      </c>
      <c r="B940">
        <v>1015402.0</v>
      </c>
      <c r="C940" t="s">
        <v>5492</v>
      </c>
      <c r="D940">
        <v>1015402.0</v>
      </c>
      <c r="E940" t="s">
        <v>2129</v>
      </c>
      <c r="F940" t="s">
        <v>5493</v>
      </c>
      <c r="G940" t="s">
        <v>5494</v>
      </c>
      <c r="H940" t="s">
        <v>5495</v>
      </c>
    </row>
    <row r="941">
      <c r="A941">
        <v>81.0</v>
      </c>
      <c r="B941">
        <v>1015401.0</v>
      </c>
      <c r="C941" t="s">
        <v>5496</v>
      </c>
      <c r="D941">
        <v>1015401.0</v>
      </c>
      <c r="E941" t="s">
        <v>2134</v>
      </c>
      <c r="F941" t="s">
        <v>4220</v>
      </c>
      <c r="G941" t="s">
        <v>5497</v>
      </c>
      <c r="H941" t="s">
        <v>5498</v>
      </c>
    </row>
    <row r="942">
      <c r="A942">
        <v>81.0</v>
      </c>
      <c r="B942">
        <v>1015394.0</v>
      </c>
      <c r="C942" t="s">
        <v>5499</v>
      </c>
      <c r="D942">
        <v>1015394.0</v>
      </c>
      <c r="E942" t="s">
        <v>2134</v>
      </c>
      <c r="F942" t="s">
        <v>5500</v>
      </c>
      <c r="G942" t="s">
        <v>5501</v>
      </c>
      <c r="H942" t="s">
        <v>5502</v>
      </c>
    </row>
    <row r="943">
      <c r="A943">
        <v>81.0</v>
      </c>
      <c r="B943">
        <v>1015412.0</v>
      </c>
      <c r="C943" t="s">
        <v>5503</v>
      </c>
      <c r="D943">
        <v>1015412.0</v>
      </c>
      <c r="E943" t="s">
        <v>2134</v>
      </c>
      <c r="F943" t="s">
        <v>5504</v>
      </c>
      <c r="G943" t="s">
        <v>5505</v>
      </c>
      <c r="H943" t="s">
        <v>5506</v>
      </c>
    </row>
    <row r="944">
      <c r="A944">
        <v>81.0</v>
      </c>
      <c r="B944">
        <v>1015408.0</v>
      </c>
      <c r="C944" t="s">
        <v>5507</v>
      </c>
      <c r="D944">
        <v>1015408.0</v>
      </c>
      <c r="E944" t="s">
        <v>2129</v>
      </c>
      <c r="F944" t="s">
        <v>5508</v>
      </c>
      <c r="G944" t="s">
        <v>5509</v>
      </c>
      <c r="H944" t="s">
        <v>5510</v>
      </c>
    </row>
    <row r="945">
      <c r="A945">
        <v>81.0</v>
      </c>
      <c r="B945">
        <v>1015404.0</v>
      </c>
      <c r="C945" t="s">
        <v>5511</v>
      </c>
      <c r="D945">
        <v>1015404.0</v>
      </c>
      <c r="E945" t="s">
        <v>2129</v>
      </c>
      <c r="F945" t="s">
        <v>5512</v>
      </c>
      <c r="G945" t="s">
        <v>5513</v>
      </c>
      <c r="H945" t="s">
        <v>5514</v>
      </c>
    </row>
    <row r="946">
      <c r="A946">
        <v>81.0</v>
      </c>
      <c r="B946">
        <v>1015395.0</v>
      </c>
      <c r="C946" t="s">
        <v>5515</v>
      </c>
      <c r="D946">
        <v>1015395.0</v>
      </c>
      <c r="E946" t="s">
        <v>2134</v>
      </c>
      <c r="F946" t="s">
        <v>5516</v>
      </c>
      <c r="G946" t="s">
        <v>5517</v>
      </c>
      <c r="H946" t="s">
        <v>5518</v>
      </c>
    </row>
    <row r="947">
      <c r="A947">
        <v>81.0</v>
      </c>
      <c r="B947">
        <v>1015410.0</v>
      </c>
      <c r="C947" t="s">
        <v>5519</v>
      </c>
      <c r="D947">
        <v>1015410.0</v>
      </c>
      <c r="E947" t="s">
        <v>2129</v>
      </c>
      <c r="F947" t="s">
        <v>5520</v>
      </c>
      <c r="G947" t="s">
        <v>5521</v>
      </c>
      <c r="H947" t="s">
        <v>5522</v>
      </c>
    </row>
    <row r="948">
      <c r="A948">
        <v>81.0</v>
      </c>
      <c r="B948">
        <v>1015409.0</v>
      </c>
      <c r="C948" t="s">
        <v>5523</v>
      </c>
      <c r="D948">
        <v>1015409.0</v>
      </c>
      <c r="E948" t="s">
        <v>2129</v>
      </c>
      <c r="F948" t="s">
        <v>5524</v>
      </c>
      <c r="G948" t="s">
        <v>5525</v>
      </c>
      <c r="H948" t="s">
        <v>5526</v>
      </c>
    </row>
    <row r="949">
      <c r="A949">
        <v>81.0</v>
      </c>
      <c r="B949">
        <v>1015406.0</v>
      </c>
      <c r="C949" t="s">
        <v>5527</v>
      </c>
      <c r="D949">
        <v>1015406.0</v>
      </c>
      <c r="E949" t="s">
        <v>2134</v>
      </c>
      <c r="F949" t="s">
        <v>5528</v>
      </c>
      <c r="G949" t="s">
        <v>5529</v>
      </c>
      <c r="H949" t="s">
        <v>5530</v>
      </c>
    </row>
    <row r="950">
      <c r="A950">
        <v>81.0</v>
      </c>
      <c r="B950">
        <v>1015391.0</v>
      </c>
      <c r="C950" t="s">
        <v>5531</v>
      </c>
      <c r="D950">
        <v>1015391.0</v>
      </c>
      <c r="E950" t="s">
        <v>2129</v>
      </c>
      <c r="F950" t="s">
        <v>5532</v>
      </c>
      <c r="G950" t="s">
        <v>5533</v>
      </c>
      <c r="H950" t="s">
        <v>5534</v>
      </c>
    </row>
    <row r="951">
      <c r="A951">
        <v>81.0</v>
      </c>
      <c r="B951">
        <v>1015390.0</v>
      </c>
      <c r="C951" t="s">
        <v>5535</v>
      </c>
      <c r="D951">
        <v>1015390.0</v>
      </c>
      <c r="E951" t="s">
        <v>2129</v>
      </c>
      <c r="F951" t="s">
        <v>5536</v>
      </c>
      <c r="G951" t="s">
        <v>5537</v>
      </c>
      <c r="H951" t="s">
        <v>5538</v>
      </c>
    </row>
    <row r="952">
      <c r="A952">
        <v>81.0</v>
      </c>
      <c r="B952">
        <v>1015413.0</v>
      </c>
      <c r="C952" t="s">
        <v>5539</v>
      </c>
      <c r="D952">
        <v>1015413.0</v>
      </c>
      <c r="E952" t="s">
        <v>2129</v>
      </c>
      <c r="F952" t="s">
        <v>5540</v>
      </c>
      <c r="G952" t="s">
        <v>5541</v>
      </c>
      <c r="H952" t="s">
        <v>5542</v>
      </c>
    </row>
    <row r="953">
      <c r="A953">
        <v>81.0</v>
      </c>
      <c r="B953">
        <v>1015415.0</v>
      </c>
      <c r="C953" t="s">
        <v>5543</v>
      </c>
      <c r="D953">
        <v>1015415.0</v>
      </c>
      <c r="E953" t="s">
        <v>2134</v>
      </c>
      <c r="F953" t="s">
        <v>5544</v>
      </c>
      <c r="G953" t="s">
        <v>5545</v>
      </c>
      <c r="H953" t="s">
        <v>5546</v>
      </c>
    </row>
    <row r="954">
      <c r="A954">
        <v>81.0</v>
      </c>
      <c r="B954">
        <v>1015405.0</v>
      </c>
      <c r="C954" t="s">
        <v>5547</v>
      </c>
      <c r="D954">
        <v>1015405.0</v>
      </c>
      <c r="E954" t="s">
        <v>2134</v>
      </c>
      <c r="F954" t="s">
        <v>5548</v>
      </c>
      <c r="G954" t="s">
        <v>5549</v>
      </c>
      <c r="H954" t="s">
        <v>5550</v>
      </c>
    </row>
    <row r="955">
      <c r="A955">
        <v>81.0</v>
      </c>
      <c r="B955">
        <v>1015414.0</v>
      </c>
      <c r="C955" t="s">
        <v>5551</v>
      </c>
      <c r="D955">
        <v>1015414.0</v>
      </c>
      <c r="E955" t="s">
        <v>2134</v>
      </c>
      <c r="F955" t="s">
        <v>5552</v>
      </c>
      <c r="G955" t="s">
        <v>5553</v>
      </c>
      <c r="H955" t="s">
        <v>5554</v>
      </c>
    </row>
    <row r="956">
      <c r="A956">
        <v>81.0</v>
      </c>
      <c r="B956">
        <v>1015407.0</v>
      </c>
      <c r="C956" t="s">
        <v>5555</v>
      </c>
      <c r="D956">
        <v>1015407.0</v>
      </c>
      <c r="E956" t="s">
        <v>2129</v>
      </c>
      <c r="F956" t="s">
        <v>5556</v>
      </c>
      <c r="G956" t="s">
        <v>5557</v>
      </c>
      <c r="H956" t="s">
        <v>5558</v>
      </c>
    </row>
    <row r="958">
      <c r="A958">
        <v>82.0</v>
      </c>
      <c r="B958">
        <v>1014685.0</v>
      </c>
      <c r="C958" t="s">
        <v>5559</v>
      </c>
      <c r="D958">
        <v>1014685.0</v>
      </c>
      <c r="E958" t="s">
        <v>2129</v>
      </c>
      <c r="F958" t="s">
        <v>5560</v>
      </c>
      <c r="G958" t="s">
        <v>5561</v>
      </c>
      <c r="H958" t="s">
        <v>5562</v>
      </c>
    </row>
    <row r="959">
      <c r="A959">
        <v>82.0</v>
      </c>
      <c r="B959">
        <v>1014660.0</v>
      </c>
      <c r="C959" t="s">
        <v>5563</v>
      </c>
      <c r="D959">
        <v>1014660.0</v>
      </c>
      <c r="E959" t="s">
        <v>2129</v>
      </c>
      <c r="F959" t="s">
        <v>5564</v>
      </c>
      <c r="G959" t="s">
        <v>5565</v>
      </c>
      <c r="H959" t="s">
        <v>5566</v>
      </c>
    </row>
    <row r="960">
      <c r="A960">
        <v>82.0</v>
      </c>
      <c r="B960">
        <v>1014667.0</v>
      </c>
      <c r="C960" t="s">
        <v>5567</v>
      </c>
      <c r="D960">
        <v>1014667.0</v>
      </c>
      <c r="E960" t="s">
        <v>2134</v>
      </c>
      <c r="F960" t="s">
        <v>5568</v>
      </c>
      <c r="G960" t="s">
        <v>5569</v>
      </c>
      <c r="H960" t="s">
        <v>5570</v>
      </c>
    </row>
    <row r="961">
      <c r="A961">
        <v>82.0</v>
      </c>
      <c r="B961">
        <v>1014684.0</v>
      </c>
      <c r="C961" t="s">
        <v>5571</v>
      </c>
      <c r="D961">
        <v>1014684.0</v>
      </c>
      <c r="E961" t="s">
        <v>2129</v>
      </c>
      <c r="F961" t="s">
        <v>5572</v>
      </c>
      <c r="G961" t="s">
        <v>5573</v>
      </c>
      <c r="H961" t="s">
        <v>5574</v>
      </c>
    </row>
    <row r="962">
      <c r="A962">
        <v>82.0</v>
      </c>
      <c r="B962">
        <v>1014675.0</v>
      </c>
      <c r="C962" t="s">
        <v>5575</v>
      </c>
      <c r="D962">
        <v>1014675.0</v>
      </c>
      <c r="E962" t="s">
        <v>2129</v>
      </c>
      <c r="F962" t="s">
        <v>5576</v>
      </c>
      <c r="G962" t="s">
        <v>5577</v>
      </c>
      <c r="H962" t="s">
        <v>5578</v>
      </c>
    </row>
    <row r="963">
      <c r="A963">
        <v>82.0</v>
      </c>
      <c r="B963">
        <v>1014666.0</v>
      </c>
      <c r="C963" t="s">
        <v>5579</v>
      </c>
      <c r="D963">
        <v>1014666.0</v>
      </c>
      <c r="E963" t="s">
        <v>2134</v>
      </c>
      <c r="F963" t="s">
        <v>5580</v>
      </c>
      <c r="G963" t="s">
        <v>5581</v>
      </c>
      <c r="H963" t="s">
        <v>5582</v>
      </c>
    </row>
    <row r="964">
      <c r="A964">
        <v>82.0</v>
      </c>
      <c r="B964">
        <v>1014678.0</v>
      </c>
      <c r="C964" t="s">
        <v>5583</v>
      </c>
      <c r="D964">
        <v>1014678.0</v>
      </c>
      <c r="E964" t="s">
        <v>2134</v>
      </c>
      <c r="F964" t="s">
        <v>5584</v>
      </c>
      <c r="G964" t="s">
        <v>5585</v>
      </c>
      <c r="H964" t="s">
        <v>5586</v>
      </c>
    </row>
    <row r="965">
      <c r="A965">
        <v>82.0</v>
      </c>
      <c r="B965">
        <v>1014683.0</v>
      </c>
      <c r="C965" t="s">
        <v>5587</v>
      </c>
      <c r="D965">
        <v>1014683.0</v>
      </c>
      <c r="E965" t="s">
        <v>2134</v>
      </c>
      <c r="F965" t="s">
        <v>5588</v>
      </c>
      <c r="G965" t="s">
        <v>5589</v>
      </c>
      <c r="H965" t="s">
        <v>5590</v>
      </c>
    </row>
    <row r="966">
      <c r="A966">
        <v>82.0</v>
      </c>
      <c r="B966">
        <v>1014673.0</v>
      </c>
      <c r="C966" t="s">
        <v>5591</v>
      </c>
      <c r="D966">
        <v>1014673.0</v>
      </c>
      <c r="E966" t="s">
        <v>2129</v>
      </c>
      <c r="F966" t="s">
        <v>5592</v>
      </c>
      <c r="G966" t="s">
        <v>5593</v>
      </c>
      <c r="H966" t="s">
        <v>5594</v>
      </c>
    </row>
    <row r="967">
      <c r="A967">
        <v>82.0</v>
      </c>
      <c r="B967">
        <v>1014659.0</v>
      </c>
      <c r="C967" t="s">
        <v>5595</v>
      </c>
      <c r="D967">
        <v>1014659.0</v>
      </c>
      <c r="E967" t="s">
        <v>2129</v>
      </c>
      <c r="F967" t="s">
        <v>5596</v>
      </c>
      <c r="G967" t="s">
        <v>5597</v>
      </c>
      <c r="H967" t="s">
        <v>5598</v>
      </c>
    </row>
    <row r="968">
      <c r="A968">
        <v>82.0</v>
      </c>
      <c r="B968">
        <v>1014672.0</v>
      </c>
      <c r="C968" t="s">
        <v>5599</v>
      </c>
      <c r="D968">
        <v>1014672.0</v>
      </c>
      <c r="E968" t="s">
        <v>2134</v>
      </c>
      <c r="F968" t="s">
        <v>5600</v>
      </c>
      <c r="G968" t="s">
        <v>5601</v>
      </c>
      <c r="H968" t="s">
        <v>5602</v>
      </c>
    </row>
    <row r="969">
      <c r="A969">
        <v>82.0</v>
      </c>
      <c r="B969">
        <v>1014662.0</v>
      </c>
      <c r="C969" t="s">
        <v>5603</v>
      </c>
      <c r="D969">
        <v>1014662.0</v>
      </c>
      <c r="E969" t="s">
        <v>2129</v>
      </c>
      <c r="F969" t="s">
        <v>4258</v>
      </c>
      <c r="G969" t="s">
        <v>5604</v>
      </c>
      <c r="H969" t="s">
        <v>5605</v>
      </c>
    </row>
    <row r="970">
      <c r="A970">
        <v>82.0</v>
      </c>
      <c r="B970">
        <v>1014670.0</v>
      </c>
      <c r="C970" t="s">
        <v>5606</v>
      </c>
      <c r="D970">
        <v>1014670.0</v>
      </c>
      <c r="E970" t="s">
        <v>2129</v>
      </c>
      <c r="F970" t="s">
        <v>5607</v>
      </c>
      <c r="G970" t="s">
        <v>5608</v>
      </c>
      <c r="H970" t="s">
        <v>5609</v>
      </c>
    </row>
    <row r="971">
      <c r="A971">
        <v>82.0</v>
      </c>
      <c r="B971">
        <v>1014671.0</v>
      </c>
      <c r="C971" t="s">
        <v>5610</v>
      </c>
      <c r="D971">
        <v>1014671.0</v>
      </c>
      <c r="E971" t="s">
        <v>2129</v>
      </c>
      <c r="F971" t="s">
        <v>5611</v>
      </c>
      <c r="G971" t="s">
        <v>5612</v>
      </c>
      <c r="H971" t="s">
        <v>5613</v>
      </c>
    </row>
    <row r="972">
      <c r="A972">
        <v>82.0</v>
      </c>
      <c r="B972">
        <v>1014687.0</v>
      </c>
      <c r="C972" t="s">
        <v>5614</v>
      </c>
      <c r="D972">
        <v>1014687.0</v>
      </c>
      <c r="E972" t="s">
        <v>2134</v>
      </c>
      <c r="F972" t="s">
        <v>5615</v>
      </c>
      <c r="G972" t="s">
        <v>5616</v>
      </c>
      <c r="H972" t="s">
        <v>5617</v>
      </c>
    </row>
    <row r="973">
      <c r="A973">
        <v>82.0</v>
      </c>
      <c r="B973">
        <v>1014656.0</v>
      </c>
      <c r="C973" t="s">
        <v>5618</v>
      </c>
      <c r="D973">
        <v>1014656.0</v>
      </c>
      <c r="E973" t="s">
        <v>2129</v>
      </c>
      <c r="F973" t="s">
        <v>5619</v>
      </c>
      <c r="G973" t="s">
        <v>5620</v>
      </c>
      <c r="H973" t="s">
        <v>5621</v>
      </c>
    </row>
    <row r="974">
      <c r="A974">
        <v>82.0</v>
      </c>
      <c r="B974">
        <v>1014682.0</v>
      </c>
      <c r="C974" t="s">
        <v>5622</v>
      </c>
      <c r="D974">
        <v>1014682.0</v>
      </c>
      <c r="E974" t="s">
        <v>2134</v>
      </c>
      <c r="F974" t="s">
        <v>5623</v>
      </c>
      <c r="G974" t="s">
        <v>5624</v>
      </c>
      <c r="H974" t="s">
        <v>5625</v>
      </c>
    </row>
    <row r="975">
      <c r="A975">
        <v>82.0</v>
      </c>
      <c r="B975">
        <v>1014676.0</v>
      </c>
      <c r="C975" t="s">
        <v>5626</v>
      </c>
      <c r="D975">
        <v>1014676.0</v>
      </c>
      <c r="E975" t="s">
        <v>2129</v>
      </c>
      <c r="F975" t="s">
        <v>5627</v>
      </c>
      <c r="G975" t="s">
        <v>5628</v>
      </c>
      <c r="H975" t="s">
        <v>5629</v>
      </c>
    </row>
    <row r="976">
      <c r="A976">
        <v>82.0</v>
      </c>
      <c r="B976">
        <v>1014664.0</v>
      </c>
      <c r="C976" t="s">
        <v>5630</v>
      </c>
      <c r="D976">
        <v>1014664.0</v>
      </c>
      <c r="E976" t="s">
        <v>2129</v>
      </c>
      <c r="F976" t="s">
        <v>5631</v>
      </c>
      <c r="G976" t="s">
        <v>5632</v>
      </c>
      <c r="H976" t="s">
        <v>5633</v>
      </c>
    </row>
    <row r="977">
      <c r="A977">
        <v>82.0</v>
      </c>
      <c r="B977">
        <v>1014686.0</v>
      </c>
      <c r="C977" t="s">
        <v>5634</v>
      </c>
      <c r="D977">
        <v>1014686.0</v>
      </c>
      <c r="E977" t="s">
        <v>2129</v>
      </c>
      <c r="F977" t="s">
        <v>5635</v>
      </c>
      <c r="G977" t="s">
        <v>5636</v>
      </c>
      <c r="H977" t="s">
        <v>5637</v>
      </c>
    </row>
    <row r="978">
      <c r="A978">
        <v>82.0</v>
      </c>
      <c r="B978">
        <v>1014669.0</v>
      </c>
      <c r="C978" t="s">
        <v>5638</v>
      </c>
      <c r="D978">
        <v>1014669.0</v>
      </c>
      <c r="E978" t="s">
        <v>2129</v>
      </c>
      <c r="F978" t="s">
        <v>5639</v>
      </c>
      <c r="G978" t="s">
        <v>5640</v>
      </c>
      <c r="H978" t="s">
        <v>5641</v>
      </c>
    </row>
    <row r="979">
      <c r="A979">
        <v>82.0</v>
      </c>
      <c r="B979">
        <v>1014680.0</v>
      </c>
      <c r="C979" t="s">
        <v>5642</v>
      </c>
      <c r="D979">
        <v>1014680.0</v>
      </c>
      <c r="E979" t="s">
        <v>2129</v>
      </c>
      <c r="F979" t="s">
        <v>5643</v>
      </c>
      <c r="G979" t="s">
        <v>5644</v>
      </c>
      <c r="H979" t="s">
        <v>5645</v>
      </c>
    </row>
    <row r="980">
      <c r="A980">
        <v>82.0</v>
      </c>
      <c r="B980">
        <v>1014665.0</v>
      </c>
      <c r="C980" t="s">
        <v>5646</v>
      </c>
      <c r="D980">
        <v>1014665.0</v>
      </c>
      <c r="E980" t="s">
        <v>2129</v>
      </c>
      <c r="F980" t="s">
        <v>3349</v>
      </c>
      <c r="G980" t="s">
        <v>5647</v>
      </c>
      <c r="H980" t="s">
        <v>5648</v>
      </c>
    </row>
    <row r="981">
      <c r="A981">
        <v>82.0</v>
      </c>
      <c r="B981">
        <v>1014681.0</v>
      </c>
      <c r="C981" t="s">
        <v>5649</v>
      </c>
      <c r="D981">
        <v>1014681.0</v>
      </c>
      <c r="E981" t="s">
        <v>2134</v>
      </c>
      <c r="F981" t="s">
        <v>5650</v>
      </c>
      <c r="G981" t="s">
        <v>5651</v>
      </c>
      <c r="H981" t="s">
        <v>5652</v>
      </c>
    </row>
    <row r="982">
      <c r="A982">
        <v>82.0</v>
      </c>
      <c r="B982">
        <v>1014679.0</v>
      </c>
      <c r="C982" t="s">
        <v>5653</v>
      </c>
      <c r="D982">
        <v>1014679.0</v>
      </c>
      <c r="E982" t="s">
        <v>2129</v>
      </c>
      <c r="F982" t="s">
        <v>5654</v>
      </c>
      <c r="G982" t="s">
        <v>5655</v>
      </c>
      <c r="H982" t="s">
        <v>5656</v>
      </c>
    </row>
    <row r="983">
      <c r="A983">
        <v>82.0</v>
      </c>
      <c r="B983">
        <v>1014655.0</v>
      </c>
      <c r="C983" t="s">
        <v>5657</v>
      </c>
      <c r="D983">
        <v>1014655.0</v>
      </c>
      <c r="E983" t="s">
        <v>2129</v>
      </c>
      <c r="F983" t="s">
        <v>5658</v>
      </c>
      <c r="G983" t="s">
        <v>5659</v>
      </c>
      <c r="H983" t="s">
        <v>5660</v>
      </c>
    </row>
    <row r="985">
      <c r="A985">
        <v>83.0</v>
      </c>
      <c r="B985">
        <v>1004729.0</v>
      </c>
      <c r="C985" t="s">
        <v>5661</v>
      </c>
      <c r="D985">
        <v>1004729.0</v>
      </c>
      <c r="E985" t="s">
        <v>2129</v>
      </c>
      <c r="F985" t="s">
        <v>2635</v>
      </c>
      <c r="G985" t="s">
        <v>5662</v>
      </c>
      <c r="H985" t="s">
        <v>5663</v>
      </c>
    </row>
    <row r="986">
      <c r="A986">
        <v>83.0</v>
      </c>
      <c r="B986">
        <v>1005618.0</v>
      </c>
      <c r="C986" t="s">
        <v>5664</v>
      </c>
      <c r="D986">
        <v>1005618.0</v>
      </c>
      <c r="E986" t="s">
        <v>2134</v>
      </c>
      <c r="F986" t="s">
        <v>5665</v>
      </c>
      <c r="G986" t="s">
        <v>5666</v>
      </c>
      <c r="H986" t="s">
        <v>5667</v>
      </c>
    </row>
    <row r="987">
      <c r="A987">
        <v>83.0</v>
      </c>
      <c r="B987">
        <v>1005776.0</v>
      </c>
      <c r="C987" t="s">
        <v>5668</v>
      </c>
      <c r="D987">
        <v>1005776.0</v>
      </c>
      <c r="E987" t="s">
        <v>2129</v>
      </c>
      <c r="F987" t="s">
        <v>5669</v>
      </c>
      <c r="G987" t="s">
        <v>5670</v>
      </c>
      <c r="H987" t="s">
        <v>5671</v>
      </c>
    </row>
    <row r="988">
      <c r="A988">
        <v>83.0</v>
      </c>
      <c r="B988">
        <v>1006846.0</v>
      </c>
      <c r="C988" t="s">
        <v>5672</v>
      </c>
      <c r="D988">
        <v>1006846.0</v>
      </c>
      <c r="E988" t="s">
        <v>2129</v>
      </c>
      <c r="F988" t="s">
        <v>5673</v>
      </c>
      <c r="G988" t="s">
        <v>5674</v>
      </c>
      <c r="H988" t="s">
        <v>5675</v>
      </c>
    </row>
    <row r="989">
      <c r="A989">
        <v>83.0</v>
      </c>
      <c r="B989">
        <v>1007308.0</v>
      </c>
      <c r="C989" t="s">
        <v>5676</v>
      </c>
      <c r="D989">
        <v>1007308.0</v>
      </c>
      <c r="E989" t="s">
        <v>2134</v>
      </c>
      <c r="F989" t="s">
        <v>5677</v>
      </c>
      <c r="G989" t="s">
        <v>5678</v>
      </c>
      <c r="H989" t="s">
        <v>5679</v>
      </c>
    </row>
    <row r="990">
      <c r="A990">
        <v>83.0</v>
      </c>
      <c r="B990">
        <v>1007646.0</v>
      </c>
      <c r="C990" t="s">
        <v>5680</v>
      </c>
      <c r="D990">
        <v>1007646.0</v>
      </c>
      <c r="E990" t="s">
        <v>2129</v>
      </c>
      <c r="F990" t="s">
        <v>4297</v>
      </c>
      <c r="G990" t="s">
        <v>5681</v>
      </c>
      <c r="H990" t="s">
        <v>5682</v>
      </c>
    </row>
    <row r="991">
      <c r="A991">
        <v>83.0</v>
      </c>
      <c r="B991">
        <v>1007641.0</v>
      </c>
      <c r="C991" t="s">
        <v>5683</v>
      </c>
      <c r="D991">
        <v>1007641.0</v>
      </c>
      <c r="E991" t="s">
        <v>2129</v>
      </c>
      <c r="F991" t="s">
        <v>5684</v>
      </c>
      <c r="G991" t="s">
        <v>5685</v>
      </c>
      <c r="H991" t="s">
        <v>5686</v>
      </c>
    </row>
    <row r="992">
      <c r="A992">
        <v>83.0</v>
      </c>
      <c r="B992">
        <v>1007961.0</v>
      </c>
      <c r="C992" t="s">
        <v>5687</v>
      </c>
      <c r="D992">
        <v>1007961.0</v>
      </c>
      <c r="E992" t="s">
        <v>2134</v>
      </c>
      <c r="F992" t="s">
        <v>5688</v>
      </c>
      <c r="G992" t="s">
        <v>5689</v>
      </c>
      <c r="H992" t="s">
        <v>5690</v>
      </c>
    </row>
    <row r="993">
      <c r="A993">
        <v>83.0</v>
      </c>
      <c r="B993">
        <v>1016206.0</v>
      </c>
      <c r="C993" t="s">
        <v>5691</v>
      </c>
      <c r="D993">
        <v>1016206.0</v>
      </c>
      <c r="E993" t="s">
        <v>2129</v>
      </c>
      <c r="F993" t="s">
        <v>3446</v>
      </c>
      <c r="G993" t="s">
        <v>5692</v>
      </c>
      <c r="H993" t="s">
        <v>5693</v>
      </c>
    </row>
    <row r="994">
      <c r="A994">
        <v>83.0</v>
      </c>
      <c r="B994">
        <v>1016232.0</v>
      </c>
      <c r="C994" t="s">
        <v>5694</v>
      </c>
      <c r="D994">
        <v>1016232.0</v>
      </c>
      <c r="E994" t="s">
        <v>2129</v>
      </c>
      <c r="F994" t="s">
        <v>5695</v>
      </c>
      <c r="G994" t="s">
        <v>5696</v>
      </c>
      <c r="H994" t="s">
        <v>5697</v>
      </c>
    </row>
    <row r="995">
      <c r="A995">
        <v>83.0</v>
      </c>
      <c r="B995">
        <v>1016197.0</v>
      </c>
      <c r="C995" t="s">
        <v>5698</v>
      </c>
      <c r="D995">
        <v>1016197.0</v>
      </c>
      <c r="E995" t="s">
        <v>2129</v>
      </c>
      <c r="F995" t="s">
        <v>5699</v>
      </c>
      <c r="G995" t="s">
        <v>5700</v>
      </c>
      <c r="H995" t="s">
        <v>5701</v>
      </c>
    </row>
    <row r="996">
      <c r="A996">
        <v>83.0</v>
      </c>
      <c r="B996">
        <v>1016195.0</v>
      </c>
      <c r="C996" t="s">
        <v>5702</v>
      </c>
      <c r="D996">
        <v>1016195.0</v>
      </c>
      <c r="E996" t="s">
        <v>2129</v>
      </c>
      <c r="F996" t="s">
        <v>5703</v>
      </c>
      <c r="G996" t="s">
        <v>5704</v>
      </c>
      <c r="H996" t="s">
        <v>5705</v>
      </c>
    </row>
    <row r="997">
      <c r="A997">
        <v>83.0</v>
      </c>
      <c r="B997">
        <v>1016214.0</v>
      </c>
      <c r="C997" t="s">
        <v>5706</v>
      </c>
      <c r="D997">
        <v>1016214.0</v>
      </c>
      <c r="E997" t="s">
        <v>2134</v>
      </c>
      <c r="F997" t="s">
        <v>5707</v>
      </c>
      <c r="G997" t="s">
        <v>5708</v>
      </c>
      <c r="H997" t="s">
        <v>5709</v>
      </c>
    </row>
    <row r="998">
      <c r="A998">
        <v>83.0</v>
      </c>
      <c r="B998">
        <v>1016229.0</v>
      </c>
      <c r="C998" t="s">
        <v>5710</v>
      </c>
      <c r="D998">
        <v>1016229.0</v>
      </c>
      <c r="E998" t="s">
        <v>2129</v>
      </c>
      <c r="F998" t="s">
        <v>5711</v>
      </c>
      <c r="G998" t="s">
        <v>5712</v>
      </c>
      <c r="H998" t="s">
        <v>5713</v>
      </c>
    </row>
    <row r="999">
      <c r="A999">
        <v>83.0</v>
      </c>
      <c r="B999">
        <v>1016230.0</v>
      </c>
      <c r="C999" t="s">
        <v>5714</v>
      </c>
      <c r="D999">
        <v>1016230.0</v>
      </c>
      <c r="E999" t="s">
        <v>2129</v>
      </c>
      <c r="F999" t="s">
        <v>5715</v>
      </c>
      <c r="G999" t="s">
        <v>5716</v>
      </c>
      <c r="H999" t="s">
        <v>5717</v>
      </c>
    </row>
    <row r="1000">
      <c r="A1000">
        <v>83.0</v>
      </c>
      <c r="B1000">
        <v>1016176.0</v>
      </c>
      <c r="C1000" t="s">
        <v>5718</v>
      </c>
      <c r="D1000">
        <v>1016176.0</v>
      </c>
      <c r="E1000" t="s">
        <v>2129</v>
      </c>
      <c r="F1000" t="s">
        <v>5719</v>
      </c>
      <c r="G1000" t="s">
        <v>3546</v>
      </c>
      <c r="H1000" t="s">
        <v>5720</v>
      </c>
    </row>
    <row r="1002">
      <c r="A1002">
        <v>84.0</v>
      </c>
      <c r="B1002">
        <v>1002299.0</v>
      </c>
      <c r="C1002" t="s">
        <v>5721</v>
      </c>
      <c r="D1002">
        <v>1002299.0</v>
      </c>
      <c r="E1002" t="s">
        <v>2129</v>
      </c>
      <c r="F1002" t="s">
        <v>2893</v>
      </c>
      <c r="G1002" t="s">
        <v>5722</v>
      </c>
      <c r="H1002" t="s">
        <v>5723</v>
      </c>
    </row>
    <row r="1003">
      <c r="A1003">
        <v>84.0</v>
      </c>
      <c r="B1003">
        <v>1002800.0</v>
      </c>
      <c r="C1003" t="s">
        <v>5724</v>
      </c>
      <c r="D1003">
        <v>1002800.0</v>
      </c>
      <c r="E1003" t="s">
        <v>2134</v>
      </c>
      <c r="F1003" t="s">
        <v>5725</v>
      </c>
      <c r="G1003" t="s">
        <v>5726</v>
      </c>
      <c r="H1003" t="s">
        <v>5727</v>
      </c>
    </row>
    <row r="1004">
      <c r="A1004">
        <v>84.0</v>
      </c>
      <c r="B1004">
        <v>1003957.0</v>
      </c>
      <c r="C1004" t="s">
        <v>5728</v>
      </c>
      <c r="D1004">
        <v>1003957.0</v>
      </c>
      <c r="E1004" t="s">
        <v>2129</v>
      </c>
      <c r="F1004" t="s">
        <v>5729</v>
      </c>
      <c r="G1004" t="s">
        <v>5730</v>
      </c>
      <c r="H1004" t="s">
        <v>5731</v>
      </c>
    </row>
    <row r="1005">
      <c r="A1005">
        <v>84.0</v>
      </c>
      <c r="B1005">
        <v>1005415.0</v>
      </c>
      <c r="C1005" t="s">
        <v>5732</v>
      </c>
      <c r="D1005">
        <v>1005415.0</v>
      </c>
      <c r="E1005" t="s">
        <v>2134</v>
      </c>
      <c r="F1005" t="s">
        <v>5733</v>
      </c>
      <c r="G1005" t="s">
        <v>5734</v>
      </c>
      <c r="H1005" t="s">
        <v>5735</v>
      </c>
    </row>
    <row r="1006">
      <c r="A1006">
        <v>84.0</v>
      </c>
      <c r="B1006">
        <v>1005051.0</v>
      </c>
      <c r="C1006" t="s">
        <v>5736</v>
      </c>
      <c r="D1006">
        <v>1005051.0</v>
      </c>
      <c r="E1006" t="s">
        <v>2134</v>
      </c>
      <c r="F1006" t="s">
        <v>5737</v>
      </c>
      <c r="G1006" t="s">
        <v>5738</v>
      </c>
      <c r="H1006" t="s">
        <v>5739</v>
      </c>
    </row>
    <row r="1007">
      <c r="A1007">
        <v>84.0</v>
      </c>
      <c r="B1007">
        <v>1005365.0</v>
      </c>
      <c r="C1007" t="s">
        <v>5740</v>
      </c>
      <c r="D1007">
        <v>1005365.0</v>
      </c>
      <c r="E1007" t="s">
        <v>2129</v>
      </c>
      <c r="F1007" t="s">
        <v>5741</v>
      </c>
      <c r="G1007" t="s">
        <v>5742</v>
      </c>
      <c r="H1007" t="s">
        <v>5743</v>
      </c>
    </row>
    <row r="1008">
      <c r="A1008">
        <v>84.0</v>
      </c>
      <c r="B1008">
        <v>1005447.0</v>
      </c>
      <c r="C1008" t="s">
        <v>5744</v>
      </c>
      <c r="D1008">
        <v>1005447.0</v>
      </c>
      <c r="E1008" t="s">
        <v>2129</v>
      </c>
      <c r="F1008" t="s">
        <v>5745</v>
      </c>
      <c r="G1008" t="s">
        <v>5746</v>
      </c>
      <c r="H1008" t="s">
        <v>5747</v>
      </c>
    </row>
    <row r="1009">
      <c r="A1009">
        <v>84.0</v>
      </c>
      <c r="B1009">
        <v>1006593.0</v>
      </c>
      <c r="C1009" t="s">
        <v>5748</v>
      </c>
      <c r="D1009">
        <v>1006593.0</v>
      </c>
      <c r="E1009" t="s">
        <v>2129</v>
      </c>
      <c r="F1009" t="s">
        <v>5749</v>
      </c>
      <c r="G1009" t="s">
        <v>5750</v>
      </c>
      <c r="H1009" t="s">
        <v>5751</v>
      </c>
    </row>
    <row r="1010">
      <c r="A1010">
        <v>84.0</v>
      </c>
      <c r="B1010">
        <v>1006850.0</v>
      </c>
      <c r="C1010" t="s">
        <v>5752</v>
      </c>
      <c r="D1010">
        <v>1006850.0</v>
      </c>
      <c r="E1010" t="s">
        <v>2129</v>
      </c>
      <c r="F1010" t="s">
        <v>5753</v>
      </c>
      <c r="G1010" t="s">
        <v>2906</v>
      </c>
      <c r="H1010" t="s">
        <v>5754</v>
      </c>
    </row>
    <row r="1011">
      <c r="A1011">
        <v>84.0</v>
      </c>
      <c r="B1011">
        <v>1007319.0</v>
      </c>
      <c r="C1011" t="s">
        <v>5755</v>
      </c>
      <c r="D1011">
        <v>1007319.0</v>
      </c>
      <c r="E1011" t="s">
        <v>2134</v>
      </c>
      <c r="F1011" t="s">
        <v>5756</v>
      </c>
      <c r="G1011" t="s">
        <v>5757</v>
      </c>
      <c r="H1011" t="s">
        <v>5758</v>
      </c>
    </row>
    <row r="1012">
      <c r="A1012">
        <v>84.0</v>
      </c>
      <c r="B1012">
        <v>1007286.0</v>
      </c>
      <c r="C1012" t="s">
        <v>5759</v>
      </c>
      <c r="D1012">
        <v>1007286.0</v>
      </c>
      <c r="E1012" t="s">
        <v>2129</v>
      </c>
      <c r="F1012" t="s">
        <v>5760</v>
      </c>
      <c r="G1012" t="s">
        <v>5761</v>
      </c>
      <c r="H1012" t="s">
        <v>5762</v>
      </c>
    </row>
    <row r="1013">
      <c r="A1013">
        <v>84.0</v>
      </c>
      <c r="B1013">
        <v>1007550.0</v>
      </c>
      <c r="C1013" t="s">
        <v>5763</v>
      </c>
      <c r="D1013">
        <v>1007550.0</v>
      </c>
      <c r="E1013" t="s">
        <v>2134</v>
      </c>
      <c r="F1013" t="s">
        <v>5764</v>
      </c>
      <c r="G1013" t="s">
        <v>5765</v>
      </c>
      <c r="H1013" t="s">
        <v>5766</v>
      </c>
    </row>
    <row r="1014">
      <c r="A1014">
        <v>84.0</v>
      </c>
      <c r="B1014">
        <v>1007556.0</v>
      </c>
      <c r="C1014" t="s">
        <v>5767</v>
      </c>
      <c r="D1014">
        <v>1007556.0</v>
      </c>
      <c r="E1014" t="s">
        <v>2134</v>
      </c>
      <c r="F1014" t="s">
        <v>4371</v>
      </c>
      <c r="G1014" t="s">
        <v>5768</v>
      </c>
      <c r="H1014" t="s">
        <v>5769</v>
      </c>
    </row>
    <row r="1015">
      <c r="A1015">
        <v>84.0</v>
      </c>
      <c r="B1015">
        <v>1007728.0</v>
      </c>
      <c r="C1015" t="s">
        <v>5770</v>
      </c>
      <c r="D1015">
        <v>1007728.0</v>
      </c>
      <c r="E1015" t="s">
        <v>2129</v>
      </c>
      <c r="F1015" t="s">
        <v>5771</v>
      </c>
      <c r="G1015" t="s">
        <v>5772</v>
      </c>
      <c r="H1015" t="s">
        <v>5773</v>
      </c>
    </row>
    <row r="1016">
      <c r="A1016">
        <v>84.0</v>
      </c>
      <c r="B1016">
        <v>1008227.0</v>
      </c>
      <c r="C1016" t="s">
        <v>5774</v>
      </c>
      <c r="D1016">
        <v>1008227.0</v>
      </c>
      <c r="E1016" t="s">
        <v>2129</v>
      </c>
      <c r="F1016" t="s">
        <v>5775</v>
      </c>
      <c r="G1016" t="s">
        <v>5776</v>
      </c>
      <c r="H1016" t="s">
        <v>5777</v>
      </c>
    </row>
    <row r="1017">
      <c r="A1017">
        <v>84.0</v>
      </c>
      <c r="B1017">
        <v>1008372.0</v>
      </c>
      <c r="C1017" t="s">
        <v>5778</v>
      </c>
      <c r="D1017">
        <v>1008372.0</v>
      </c>
      <c r="E1017" t="s">
        <v>2129</v>
      </c>
      <c r="F1017" t="s">
        <v>2421</v>
      </c>
      <c r="G1017" t="s">
        <v>5779</v>
      </c>
      <c r="H1017" t="s">
        <v>5780</v>
      </c>
    </row>
    <row r="1018">
      <c r="A1018">
        <v>84.0</v>
      </c>
      <c r="B1018">
        <v>1008359.0</v>
      </c>
      <c r="C1018" t="s">
        <v>5781</v>
      </c>
      <c r="D1018">
        <v>1008359.0</v>
      </c>
      <c r="E1018" t="s">
        <v>2134</v>
      </c>
      <c r="F1018" t="s">
        <v>5782</v>
      </c>
      <c r="G1018" t="s">
        <v>5783</v>
      </c>
      <c r="H1018" t="s">
        <v>5784</v>
      </c>
    </row>
    <row r="1019">
      <c r="A1019">
        <v>84.0</v>
      </c>
      <c r="B1019">
        <v>1009306.0</v>
      </c>
      <c r="C1019" t="s">
        <v>5785</v>
      </c>
      <c r="D1019">
        <v>1009306.0</v>
      </c>
      <c r="E1019" t="s">
        <v>2129</v>
      </c>
      <c r="F1019" t="s">
        <v>2330</v>
      </c>
      <c r="G1019" t="s">
        <v>5786</v>
      </c>
      <c r="H1019" t="s">
        <v>5787</v>
      </c>
    </row>
    <row r="1020">
      <c r="A1020">
        <v>84.0</v>
      </c>
      <c r="B1020">
        <v>1009062.0</v>
      </c>
      <c r="C1020" t="s">
        <v>5788</v>
      </c>
      <c r="D1020">
        <v>1009062.0</v>
      </c>
      <c r="E1020" t="s">
        <v>2134</v>
      </c>
      <c r="F1020" t="s">
        <v>5789</v>
      </c>
      <c r="G1020" t="s">
        <v>5790</v>
      </c>
      <c r="H1020" t="s">
        <v>5791</v>
      </c>
    </row>
    <row r="1021">
      <c r="A1021">
        <v>84.0</v>
      </c>
      <c r="B1021">
        <v>1009608.0</v>
      </c>
      <c r="C1021" t="s">
        <v>5792</v>
      </c>
      <c r="D1021">
        <v>1009608.0</v>
      </c>
      <c r="E1021" t="s">
        <v>2129</v>
      </c>
      <c r="F1021" t="s">
        <v>5793</v>
      </c>
      <c r="G1021" t="s">
        <v>5794</v>
      </c>
      <c r="H1021" t="s">
        <v>5795</v>
      </c>
    </row>
    <row r="1022">
      <c r="A1022">
        <v>84.0</v>
      </c>
      <c r="B1022">
        <v>1009081.0</v>
      </c>
      <c r="C1022" t="s">
        <v>5796</v>
      </c>
      <c r="D1022">
        <v>1009081.0</v>
      </c>
      <c r="E1022" t="s">
        <v>2129</v>
      </c>
      <c r="F1022" t="s">
        <v>5797</v>
      </c>
      <c r="G1022" t="s">
        <v>5798</v>
      </c>
      <c r="H1022" t="s">
        <v>5799</v>
      </c>
    </row>
    <row r="1024">
      <c r="A1024">
        <v>85.0</v>
      </c>
      <c r="B1024">
        <v>1017650.0</v>
      </c>
      <c r="C1024" t="s">
        <v>5800</v>
      </c>
      <c r="D1024">
        <v>1017650.0</v>
      </c>
      <c r="E1024" t="s">
        <v>2129</v>
      </c>
      <c r="F1024" t="s">
        <v>5801</v>
      </c>
      <c r="G1024" t="s">
        <v>5802</v>
      </c>
      <c r="H1024" t="s">
        <v>5803</v>
      </c>
    </row>
    <row r="1025">
      <c r="A1025">
        <v>85.0</v>
      </c>
      <c r="B1025">
        <v>1017646.0</v>
      </c>
      <c r="C1025" t="s">
        <v>5804</v>
      </c>
      <c r="D1025">
        <v>1017646.0</v>
      </c>
      <c r="E1025" t="s">
        <v>2129</v>
      </c>
      <c r="F1025" t="s">
        <v>4355</v>
      </c>
      <c r="G1025" t="s">
        <v>5805</v>
      </c>
      <c r="H1025" t="s">
        <v>5806</v>
      </c>
    </row>
    <row r="1026">
      <c r="A1026">
        <v>85.0</v>
      </c>
      <c r="B1026">
        <v>1017651.0</v>
      </c>
      <c r="C1026" t="s">
        <v>5807</v>
      </c>
      <c r="D1026">
        <v>1017651.0</v>
      </c>
      <c r="E1026" t="s">
        <v>2129</v>
      </c>
      <c r="F1026" t="s">
        <v>5808</v>
      </c>
      <c r="G1026" t="s">
        <v>5809</v>
      </c>
      <c r="H1026" t="s">
        <v>5810</v>
      </c>
    </row>
    <row r="1027">
      <c r="A1027">
        <v>85.0</v>
      </c>
      <c r="B1027">
        <v>1017654.0</v>
      </c>
      <c r="C1027" t="s">
        <v>5811</v>
      </c>
      <c r="D1027">
        <v>1017654.0</v>
      </c>
      <c r="E1027" t="s">
        <v>2129</v>
      </c>
      <c r="F1027" t="s">
        <v>5812</v>
      </c>
      <c r="G1027" t="s">
        <v>5813</v>
      </c>
      <c r="H1027" t="s">
        <v>5814</v>
      </c>
    </row>
    <row r="1028">
      <c r="A1028">
        <v>85.0</v>
      </c>
      <c r="B1028">
        <v>1017649.0</v>
      </c>
      <c r="C1028" t="s">
        <v>5815</v>
      </c>
      <c r="D1028">
        <v>1017649.0</v>
      </c>
      <c r="E1028" t="s">
        <v>2129</v>
      </c>
      <c r="F1028" t="s">
        <v>5816</v>
      </c>
      <c r="G1028" t="s">
        <v>5817</v>
      </c>
      <c r="H1028" t="s">
        <v>5818</v>
      </c>
    </row>
    <row r="1029">
      <c r="A1029">
        <v>85.0</v>
      </c>
      <c r="B1029">
        <v>1017652.0</v>
      </c>
      <c r="C1029" t="s">
        <v>5819</v>
      </c>
      <c r="D1029">
        <v>1017652.0</v>
      </c>
      <c r="E1029" t="s">
        <v>2129</v>
      </c>
      <c r="F1029" t="s">
        <v>5820</v>
      </c>
      <c r="G1029" t="s">
        <v>5821</v>
      </c>
      <c r="H1029" t="s">
        <v>5822</v>
      </c>
    </row>
    <row r="1030">
      <c r="A1030">
        <v>85.0</v>
      </c>
      <c r="B1030">
        <v>1017642.0</v>
      </c>
      <c r="C1030" t="s">
        <v>5823</v>
      </c>
      <c r="D1030">
        <v>1017642.0</v>
      </c>
      <c r="E1030" t="s">
        <v>2134</v>
      </c>
      <c r="F1030" t="s">
        <v>5824</v>
      </c>
      <c r="G1030" t="s">
        <v>5825</v>
      </c>
      <c r="H1030" t="s">
        <v>5826</v>
      </c>
    </row>
    <row r="1031">
      <c r="A1031">
        <v>85.0</v>
      </c>
      <c r="B1031">
        <v>1017639.0</v>
      </c>
      <c r="C1031" t="s">
        <v>5827</v>
      </c>
      <c r="D1031">
        <v>1017639.0</v>
      </c>
      <c r="E1031" t="s">
        <v>2134</v>
      </c>
      <c r="F1031" t="s">
        <v>5828</v>
      </c>
      <c r="G1031" t="s">
        <v>5829</v>
      </c>
      <c r="H1031" t="s">
        <v>5830</v>
      </c>
    </row>
    <row r="1032">
      <c r="A1032">
        <v>85.0</v>
      </c>
      <c r="B1032">
        <v>1017644.0</v>
      </c>
      <c r="C1032" t="s">
        <v>5831</v>
      </c>
      <c r="D1032">
        <v>1017644.0</v>
      </c>
      <c r="E1032" t="s">
        <v>2134</v>
      </c>
      <c r="F1032" t="s">
        <v>5832</v>
      </c>
      <c r="G1032" t="s">
        <v>5833</v>
      </c>
      <c r="H1032" t="s">
        <v>5834</v>
      </c>
    </row>
    <row r="1033">
      <c r="A1033">
        <v>85.0</v>
      </c>
      <c r="B1033">
        <v>1017645.0</v>
      </c>
      <c r="C1033" t="s">
        <v>5835</v>
      </c>
      <c r="D1033">
        <v>1017645.0</v>
      </c>
      <c r="E1033" t="s">
        <v>2129</v>
      </c>
      <c r="F1033" t="s">
        <v>5741</v>
      </c>
      <c r="G1033" t="s">
        <v>3466</v>
      </c>
      <c r="H1033" t="s">
        <v>5836</v>
      </c>
    </row>
    <row r="1034">
      <c r="A1034">
        <v>85.0</v>
      </c>
      <c r="B1034">
        <v>1017648.0</v>
      </c>
      <c r="C1034" t="s">
        <v>5837</v>
      </c>
      <c r="D1034">
        <v>1017648.0</v>
      </c>
      <c r="E1034" t="s">
        <v>2134</v>
      </c>
      <c r="F1034" t="s">
        <v>5838</v>
      </c>
      <c r="G1034" t="s">
        <v>5839</v>
      </c>
      <c r="H1034" t="s">
        <v>5840</v>
      </c>
    </row>
    <row r="1035">
      <c r="A1035">
        <v>85.0</v>
      </c>
      <c r="B1035">
        <v>1017657.0</v>
      </c>
      <c r="C1035" t="s">
        <v>5841</v>
      </c>
      <c r="D1035">
        <v>1017657.0</v>
      </c>
      <c r="E1035" t="s">
        <v>2134</v>
      </c>
      <c r="F1035" t="s">
        <v>5842</v>
      </c>
      <c r="G1035" t="s">
        <v>5843</v>
      </c>
      <c r="H1035" t="s">
        <v>5844</v>
      </c>
    </row>
    <row r="1036">
      <c r="A1036">
        <v>85.0</v>
      </c>
      <c r="B1036">
        <v>1017641.0</v>
      </c>
      <c r="C1036" t="s">
        <v>5845</v>
      </c>
      <c r="D1036">
        <v>1017641.0</v>
      </c>
      <c r="E1036" t="s">
        <v>2129</v>
      </c>
      <c r="F1036" t="s">
        <v>5846</v>
      </c>
      <c r="G1036" t="s">
        <v>5847</v>
      </c>
      <c r="H1036" t="s">
        <v>5848</v>
      </c>
    </row>
    <row r="1037">
      <c r="A1037">
        <v>85.0</v>
      </c>
      <c r="B1037">
        <v>1017638.0</v>
      </c>
      <c r="C1037" t="s">
        <v>5849</v>
      </c>
      <c r="D1037">
        <v>1017638.0</v>
      </c>
      <c r="E1037" t="s">
        <v>2129</v>
      </c>
      <c r="F1037" t="s">
        <v>5850</v>
      </c>
      <c r="G1037" t="s">
        <v>5851</v>
      </c>
      <c r="H1037" t="s">
        <v>5852</v>
      </c>
    </row>
    <row r="1038">
      <c r="A1038">
        <v>85.0</v>
      </c>
      <c r="B1038">
        <v>1017653.0</v>
      </c>
      <c r="C1038" t="s">
        <v>5853</v>
      </c>
      <c r="D1038">
        <v>1017653.0</v>
      </c>
      <c r="E1038" t="s">
        <v>2134</v>
      </c>
      <c r="F1038" t="s">
        <v>5854</v>
      </c>
      <c r="G1038" t="s">
        <v>5855</v>
      </c>
      <c r="H1038" t="s">
        <v>5856</v>
      </c>
    </row>
    <row r="1039">
      <c r="A1039">
        <v>85.0</v>
      </c>
      <c r="B1039">
        <v>1017655.0</v>
      </c>
      <c r="C1039" t="s">
        <v>5857</v>
      </c>
      <c r="D1039">
        <v>1017655.0</v>
      </c>
      <c r="E1039" t="s">
        <v>2134</v>
      </c>
      <c r="F1039" t="s">
        <v>5858</v>
      </c>
      <c r="G1039" t="s">
        <v>5859</v>
      </c>
      <c r="H1039" t="s">
        <v>5860</v>
      </c>
    </row>
    <row r="1040">
      <c r="A1040">
        <v>85.0</v>
      </c>
      <c r="B1040">
        <v>1017640.0</v>
      </c>
      <c r="C1040" t="s">
        <v>5861</v>
      </c>
      <c r="D1040">
        <v>1017640.0</v>
      </c>
      <c r="E1040" t="s">
        <v>2129</v>
      </c>
      <c r="F1040" t="s">
        <v>2560</v>
      </c>
      <c r="G1040" t="s">
        <v>5862</v>
      </c>
      <c r="H1040" t="s">
        <v>5863</v>
      </c>
    </row>
    <row r="1041">
      <c r="A1041">
        <v>85.0</v>
      </c>
      <c r="B1041">
        <v>1017647.0</v>
      </c>
      <c r="C1041" t="s">
        <v>5864</v>
      </c>
      <c r="D1041">
        <v>1017647.0</v>
      </c>
      <c r="E1041" t="s">
        <v>2134</v>
      </c>
      <c r="F1041" t="s">
        <v>5865</v>
      </c>
      <c r="G1041" t="s">
        <v>5866</v>
      </c>
      <c r="H1041" t="s">
        <v>5867</v>
      </c>
    </row>
    <row r="1042">
      <c r="A1042">
        <v>85.0</v>
      </c>
      <c r="B1042">
        <v>1017656.0</v>
      </c>
      <c r="C1042" t="s">
        <v>5868</v>
      </c>
      <c r="D1042">
        <v>1017656.0</v>
      </c>
      <c r="E1042" t="s">
        <v>2134</v>
      </c>
      <c r="F1042" t="s">
        <v>5869</v>
      </c>
      <c r="G1042" t="s">
        <v>5870</v>
      </c>
      <c r="H1042" t="s">
        <v>5871</v>
      </c>
    </row>
    <row r="1043">
      <c r="A1043">
        <v>85.0</v>
      </c>
      <c r="B1043">
        <v>1017643.0</v>
      </c>
      <c r="C1043" t="s">
        <v>5872</v>
      </c>
      <c r="D1043">
        <v>1017643.0</v>
      </c>
      <c r="E1043" t="s">
        <v>2134</v>
      </c>
      <c r="F1043" t="s">
        <v>4220</v>
      </c>
      <c r="G1043" t="s">
        <v>5873</v>
      </c>
      <c r="H1043" t="s">
        <v>5874</v>
      </c>
    </row>
    <row r="1045">
      <c r="A1045">
        <v>86.0</v>
      </c>
      <c r="B1045">
        <v>1017934.0</v>
      </c>
      <c r="C1045" t="s">
        <v>5875</v>
      </c>
      <c r="D1045">
        <v>1017934.0</v>
      </c>
      <c r="E1045" t="s">
        <v>2129</v>
      </c>
      <c r="F1045" t="s">
        <v>5876</v>
      </c>
      <c r="G1045" t="s">
        <v>5877</v>
      </c>
      <c r="H1045" t="s">
        <v>5878</v>
      </c>
    </row>
    <row r="1046">
      <c r="A1046">
        <v>86.0</v>
      </c>
      <c r="B1046">
        <v>1017935.0</v>
      </c>
      <c r="C1046" t="s">
        <v>5879</v>
      </c>
      <c r="D1046">
        <v>1017935.0</v>
      </c>
      <c r="E1046" t="s">
        <v>2129</v>
      </c>
      <c r="F1046" t="s">
        <v>5880</v>
      </c>
      <c r="G1046" t="s">
        <v>5881</v>
      </c>
      <c r="H1046" t="s">
        <v>5882</v>
      </c>
    </row>
    <row r="1047">
      <c r="A1047">
        <v>86.0</v>
      </c>
      <c r="B1047">
        <v>1017919.0</v>
      </c>
      <c r="C1047" t="s">
        <v>5883</v>
      </c>
      <c r="D1047">
        <v>1017919.0</v>
      </c>
      <c r="E1047" t="s">
        <v>2129</v>
      </c>
      <c r="F1047" t="s">
        <v>5884</v>
      </c>
      <c r="G1047" t="s">
        <v>5885</v>
      </c>
      <c r="H1047" t="s">
        <v>5886</v>
      </c>
    </row>
    <row r="1048">
      <c r="A1048">
        <v>86.0</v>
      </c>
      <c r="B1048">
        <v>1017924.0</v>
      </c>
      <c r="C1048" t="s">
        <v>5887</v>
      </c>
      <c r="D1048">
        <v>1017924.0</v>
      </c>
      <c r="E1048" t="s">
        <v>2129</v>
      </c>
      <c r="F1048" t="s">
        <v>5888</v>
      </c>
      <c r="G1048" t="s">
        <v>5889</v>
      </c>
      <c r="H1048" t="s">
        <v>5890</v>
      </c>
    </row>
    <row r="1049">
      <c r="A1049">
        <v>86.0</v>
      </c>
      <c r="B1049">
        <v>1017933.0</v>
      </c>
      <c r="C1049" t="s">
        <v>5891</v>
      </c>
      <c r="D1049">
        <v>1017933.0</v>
      </c>
      <c r="E1049" t="s">
        <v>2134</v>
      </c>
      <c r="F1049" t="s">
        <v>5892</v>
      </c>
      <c r="G1049" t="s">
        <v>5893</v>
      </c>
      <c r="H1049" t="s">
        <v>5894</v>
      </c>
    </row>
    <row r="1050">
      <c r="A1050">
        <v>86.0</v>
      </c>
      <c r="B1050">
        <v>1017930.0</v>
      </c>
      <c r="C1050" t="s">
        <v>5895</v>
      </c>
      <c r="D1050">
        <v>1017930.0</v>
      </c>
      <c r="E1050" t="s">
        <v>2134</v>
      </c>
      <c r="F1050" t="s">
        <v>5896</v>
      </c>
      <c r="G1050" t="s">
        <v>5897</v>
      </c>
      <c r="H1050" t="s">
        <v>5898</v>
      </c>
    </row>
    <row r="1051">
      <c r="A1051">
        <v>86.0</v>
      </c>
      <c r="B1051">
        <v>1017926.0</v>
      </c>
      <c r="C1051" t="s">
        <v>5899</v>
      </c>
      <c r="D1051">
        <v>1017926.0</v>
      </c>
      <c r="E1051" t="s">
        <v>2129</v>
      </c>
      <c r="F1051" t="s">
        <v>5900</v>
      </c>
      <c r="G1051" t="s">
        <v>5901</v>
      </c>
      <c r="H1051" t="s">
        <v>5902</v>
      </c>
    </row>
    <row r="1052">
      <c r="A1052">
        <v>86.0</v>
      </c>
      <c r="B1052">
        <v>1017921.0</v>
      </c>
      <c r="C1052" t="s">
        <v>5903</v>
      </c>
      <c r="D1052">
        <v>1017921.0</v>
      </c>
      <c r="E1052" t="s">
        <v>2129</v>
      </c>
      <c r="F1052" t="s">
        <v>5904</v>
      </c>
      <c r="G1052" t="s">
        <v>5905</v>
      </c>
      <c r="H1052" t="s">
        <v>5906</v>
      </c>
    </row>
    <row r="1053">
      <c r="A1053">
        <v>86.0</v>
      </c>
      <c r="B1053">
        <v>1017920.0</v>
      </c>
      <c r="C1053" t="s">
        <v>5907</v>
      </c>
      <c r="D1053">
        <v>1017920.0</v>
      </c>
      <c r="E1053" t="s">
        <v>2129</v>
      </c>
      <c r="F1053" t="s">
        <v>5908</v>
      </c>
      <c r="G1053" t="s">
        <v>5909</v>
      </c>
      <c r="H1053" t="s">
        <v>5910</v>
      </c>
    </row>
    <row r="1054">
      <c r="A1054">
        <v>86.0</v>
      </c>
      <c r="B1054">
        <v>1017928.0</v>
      </c>
      <c r="C1054" t="s">
        <v>5911</v>
      </c>
      <c r="D1054">
        <v>1017928.0</v>
      </c>
      <c r="E1054" t="s">
        <v>2129</v>
      </c>
      <c r="F1054" t="s">
        <v>5912</v>
      </c>
      <c r="G1054" t="s">
        <v>5913</v>
      </c>
      <c r="H1054" t="s">
        <v>5914</v>
      </c>
    </row>
    <row r="1055">
      <c r="A1055">
        <v>86.0</v>
      </c>
      <c r="B1055">
        <v>1017927.0</v>
      </c>
      <c r="C1055" t="s">
        <v>5915</v>
      </c>
      <c r="D1055">
        <v>1017927.0</v>
      </c>
      <c r="E1055" t="s">
        <v>2129</v>
      </c>
      <c r="F1055" t="s">
        <v>5916</v>
      </c>
      <c r="G1055" t="s">
        <v>5917</v>
      </c>
      <c r="H1055" t="s">
        <v>5918</v>
      </c>
    </row>
    <row r="1056">
      <c r="A1056">
        <v>86.0</v>
      </c>
      <c r="B1056">
        <v>1017932.0</v>
      </c>
      <c r="C1056" t="s">
        <v>5919</v>
      </c>
      <c r="D1056">
        <v>1017932.0</v>
      </c>
      <c r="E1056" t="s">
        <v>2129</v>
      </c>
      <c r="F1056" t="s">
        <v>4090</v>
      </c>
      <c r="G1056" t="s">
        <v>5920</v>
      </c>
      <c r="H1056" t="s">
        <v>5921</v>
      </c>
    </row>
    <row r="1057">
      <c r="A1057">
        <v>86.0</v>
      </c>
      <c r="B1057">
        <v>1017929.0</v>
      </c>
      <c r="C1057" t="s">
        <v>5922</v>
      </c>
      <c r="D1057">
        <v>1017929.0</v>
      </c>
      <c r="E1057" t="s">
        <v>2134</v>
      </c>
      <c r="F1057" t="s">
        <v>5923</v>
      </c>
      <c r="G1057" t="s">
        <v>5924</v>
      </c>
      <c r="H1057" t="s">
        <v>5925</v>
      </c>
    </row>
    <row r="1058">
      <c r="A1058">
        <v>86.0</v>
      </c>
      <c r="B1058">
        <v>1017931.0</v>
      </c>
      <c r="C1058" t="s">
        <v>5926</v>
      </c>
      <c r="D1058">
        <v>1017931.0</v>
      </c>
      <c r="E1058" t="s">
        <v>2129</v>
      </c>
      <c r="F1058" t="s">
        <v>5927</v>
      </c>
      <c r="G1058" t="s">
        <v>5928</v>
      </c>
      <c r="H1058" t="s">
        <v>5929</v>
      </c>
    </row>
    <row r="1059">
      <c r="A1059">
        <v>86.0</v>
      </c>
      <c r="B1059">
        <v>1017922.0</v>
      </c>
      <c r="C1059" t="s">
        <v>5930</v>
      </c>
      <c r="D1059">
        <v>1017922.0</v>
      </c>
      <c r="E1059" t="s">
        <v>2129</v>
      </c>
      <c r="F1059" t="s">
        <v>4012</v>
      </c>
      <c r="G1059" t="s">
        <v>5931</v>
      </c>
      <c r="H1059" t="s">
        <v>5932</v>
      </c>
    </row>
    <row r="1060">
      <c r="A1060">
        <v>86.0</v>
      </c>
      <c r="B1060">
        <v>1017925.0</v>
      </c>
      <c r="C1060" t="s">
        <v>5933</v>
      </c>
      <c r="D1060">
        <v>1017925.0</v>
      </c>
      <c r="E1060" t="s">
        <v>2134</v>
      </c>
      <c r="F1060" t="s">
        <v>5934</v>
      </c>
      <c r="G1060" t="s">
        <v>5935</v>
      </c>
      <c r="H1060" t="s">
        <v>5936</v>
      </c>
    </row>
    <row r="1061">
      <c r="A1061">
        <v>86.0</v>
      </c>
      <c r="B1061">
        <v>1007532.0</v>
      </c>
      <c r="C1061" t="s">
        <v>5937</v>
      </c>
      <c r="D1061">
        <v>1007532.0</v>
      </c>
      <c r="E1061" t="s">
        <v>2129</v>
      </c>
      <c r="F1061" t="s">
        <v>5938</v>
      </c>
      <c r="G1061" t="s">
        <v>5939</v>
      </c>
      <c r="H1061" t="s">
        <v>5940</v>
      </c>
    </row>
    <row r="1063">
      <c r="A1063">
        <v>87.0</v>
      </c>
      <c r="B1063">
        <v>1018541.0</v>
      </c>
      <c r="C1063" t="s">
        <v>5941</v>
      </c>
      <c r="D1063">
        <v>1018541.0</v>
      </c>
      <c r="E1063" t="s">
        <v>2129</v>
      </c>
      <c r="F1063" t="s">
        <v>5942</v>
      </c>
      <c r="G1063" t="s">
        <v>5943</v>
      </c>
      <c r="H1063" t="s">
        <v>5944</v>
      </c>
    </row>
    <row r="1064">
      <c r="A1064">
        <v>87.0</v>
      </c>
      <c r="B1064">
        <v>1018544.0</v>
      </c>
      <c r="C1064" t="s">
        <v>5945</v>
      </c>
      <c r="D1064">
        <v>1018544.0</v>
      </c>
      <c r="E1064" t="s">
        <v>2129</v>
      </c>
      <c r="F1064" t="s">
        <v>5946</v>
      </c>
      <c r="G1064" t="s">
        <v>5947</v>
      </c>
      <c r="H1064" t="s">
        <v>5948</v>
      </c>
    </row>
    <row r="1065">
      <c r="A1065">
        <v>87.0</v>
      </c>
      <c r="B1065">
        <v>1018543.0</v>
      </c>
      <c r="C1065" t="s">
        <v>5949</v>
      </c>
      <c r="D1065">
        <v>1018543.0</v>
      </c>
      <c r="E1065" t="s">
        <v>2134</v>
      </c>
      <c r="F1065" t="s">
        <v>4419</v>
      </c>
      <c r="G1065" t="s">
        <v>5950</v>
      </c>
      <c r="H1065" t="s">
        <v>5951</v>
      </c>
    </row>
    <row r="1066">
      <c r="A1066">
        <v>87.0</v>
      </c>
      <c r="B1066">
        <v>1009510.0</v>
      </c>
      <c r="C1066" t="s">
        <v>5952</v>
      </c>
      <c r="D1066">
        <v>1009510.0</v>
      </c>
      <c r="E1066" t="s">
        <v>2134</v>
      </c>
      <c r="F1066" t="s">
        <v>5953</v>
      </c>
      <c r="G1066" t="s">
        <v>5954</v>
      </c>
      <c r="H1066" t="s">
        <v>5955</v>
      </c>
    </row>
    <row r="1067">
      <c r="A1067">
        <v>87.0</v>
      </c>
      <c r="B1067">
        <v>1008690.0</v>
      </c>
      <c r="C1067" t="s">
        <v>5956</v>
      </c>
      <c r="D1067">
        <v>1008690.0</v>
      </c>
      <c r="E1067" t="s">
        <v>2134</v>
      </c>
      <c r="F1067" t="s">
        <v>5957</v>
      </c>
      <c r="G1067" t="s">
        <v>5958</v>
      </c>
      <c r="H1067" t="s">
        <v>5959</v>
      </c>
    </row>
    <row r="1068">
      <c r="A1068">
        <v>87.0</v>
      </c>
      <c r="B1068">
        <v>1018540.0</v>
      </c>
      <c r="C1068" t="s">
        <v>5960</v>
      </c>
      <c r="D1068">
        <v>1018540.0</v>
      </c>
      <c r="E1068" t="s">
        <v>2134</v>
      </c>
      <c r="F1068" t="s">
        <v>5961</v>
      </c>
      <c r="G1068" t="s">
        <v>5962</v>
      </c>
      <c r="H1068" t="s">
        <v>5963</v>
      </c>
    </row>
    <row r="1069">
      <c r="A1069">
        <v>87.0</v>
      </c>
      <c r="B1069">
        <v>1018530.0</v>
      </c>
      <c r="C1069" t="s">
        <v>5964</v>
      </c>
      <c r="D1069">
        <v>1018530.0</v>
      </c>
      <c r="E1069" t="s">
        <v>2129</v>
      </c>
      <c r="F1069" t="s">
        <v>5965</v>
      </c>
      <c r="G1069" t="s">
        <v>5966</v>
      </c>
      <c r="H1069" t="s">
        <v>5967</v>
      </c>
    </row>
    <row r="1070">
      <c r="A1070">
        <v>87.0</v>
      </c>
      <c r="B1070">
        <v>1018537.0</v>
      </c>
      <c r="C1070" t="s">
        <v>5968</v>
      </c>
      <c r="D1070">
        <v>1018537.0</v>
      </c>
      <c r="E1070" t="s">
        <v>2129</v>
      </c>
      <c r="F1070" t="s">
        <v>5969</v>
      </c>
      <c r="G1070" t="s">
        <v>5970</v>
      </c>
      <c r="H1070" t="s">
        <v>5971</v>
      </c>
    </row>
    <row r="1071">
      <c r="A1071">
        <v>87.0</v>
      </c>
      <c r="B1071">
        <v>1018531.0</v>
      </c>
      <c r="C1071" t="s">
        <v>5972</v>
      </c>
      <c r="D1071">
        <v>1018531.0</v>
      </c>
      <c r="E1071" t="s">
        <v>2134</v>
      </c>
      <c r="F1071" t="s">
        <v>5973</v>
      </c>
      <c r="G1071" t="s">
        <v>5974</v>
      </c>
      <c r="H1071" t="s">
        <v>5975</v>
      </c>
    </row>
    <row r="1072">
      <c r="A1072">
        <v>87.0</v>
      </c>
      <c r="B1072">
        <v>1018532.0</v>
      </c>
      <c r="C1072" t="s">
        <v>5976</v>
      </c>
      <c r="D1072">
        <v>1018532.0</v>
      </c>
      <c r="E1072" t="s">
        <v>2134</v>
      </c>
      <c r="F1072" t="s">
        <v>5977</v>
      </c>
      <c r="G1072" t="s">
        <v>5978</v>
      </c>
      <c r="H1072" t="s">
        <v>5979</v>
      </c>
    </row>
    <row r="1073">
      <c r="A1073">
        <v>87.0</v>
      </c>
      <c r="B1073">
        <v>1018538.0</v>
      </c>
      <c r="C1073" t="s">
        <v>5980</v>
      </c>
      <c r="D1073">
        <v>1018538.0</v>
      </c>
      <c r="E1073" t="s">
        <v>2134</v>
      </c>
      <c r="F1073" t="s">
        <v>5981</v>
      </c>
      <c r="G1073" t="s">
        <v>5982</v>
      </c>
      <c r="H1073" t="s">
        <v>5983</v>
      </c>
    </row>
    <row r="1074">
      <c r="A1074">
        <v>87.0</v>
      </c>
      <c r="B1074">
        <v>1018542.0</v>
      </c>
      <c r="C1074" t="s">
        <v>5984</v>
      </c>
      <c r="D1074">
        <v>1018542.0</v>
      </c>
      <c r="E1074" t="s">
        <v>2129</v>
      </c>
      <c r="F1074" t="s">
        <v>5985</v>
      </c>
      <c r="G1074" t="s">
        <v>5986</v>
      </c>
      <c r="H1074" t="s">
        <v>5987</v>
      </c>
    </row>
    <row r="1075">
      <c r="A1075">
        <v>87.0</v>
      </c>
      <c r="B1075">
        <v>1018539.0</v>
      </c>
      <c r="C1075" t="s">
        <v>5988</v>
      </c>
      <c r="D1075">
        <v>1018539.0</v>
      </c>
      <c r="E1075" t="s">
        <v>2129</v>
      </c>
      <c r="F1075" t="s">
        <v>5989</v>
      </c>
      <c r="G1075" t="s">
        <v>5990</v>
      </c>
      <c r="H1075" t="s">
        <v>5991</v>
      </c>
    </row>
    <row r="1076">
      <c r="A1076">
        <v>87.0</v>
      </c>
      <c r="B1076">
        <v>1018535.0</v>
      </c>
      <c r="C1076" t="s">
        <v>5992</v>
      </c>
      <c r="D1076">
        <v>1018535.0</v>
      </c>
      <c r="E1076" t="s">
        <v>2134</v>
      </c>
      <c r="F1076" t="s">
        <v>5993</v>
      </c>
      <c r="G1076" t="s">
        <v>5994</v>
      </c>
      <c r="H1076" t="s">
        <v>5995</v>
      </c>
    </row>
    <row r="1077">
      <c r="A1077">
        <v>87.0</v>
      </c>
      <c r="B1077">
        <v>1018536.0</v>
      </c>
      <c r="C1077" t="s">
        <v>5996</v>
      </c>
      <c r="D1077">
        <v>1018536.0</v>
      </c>
      <c r="E1077" t="s">
        <v>2134</v>
      </c>
      <c r="F1077" t="s">
        <v>5997</v>
      </c>
      <c r="G1077" t="s">
        <v>5998</v>
      </c>
      <c r="H1077" t="s">
        <v>5999</v>
      </c>
    </row>
    <row r="1078">
      <c r="A1078">
        <v>87.0</v>
      </c>
      <c r="B1078">
        <v>1018529.0</v>
      </c>
      <c r="C1078" t="s">
        <v>6000</v>
      </c>
      <c r="D1078">
        <v>1018529.0</v>
      </c>
      <c r="E1078" t="s">
        <v>2129</v>
      </c>
      <c r="F1078" t="s">
        <v>5459</v>
      </c>
      <c r="G1078" t="s">
        <v>6001</v>
      </c>
      <c r="H1078" t="s">
        <v>6002</v>
      </c>
    </row>
    <row r="1079">
      <c r="A1079">
        <v>87.0</v>
      </c>
      <c r="B1079">
        <v>1018534.0</v>
      </c>
      <c r="C1079" t="s">
        <v>6003</v>
      </c>
      <c r="D1079">
        <v>1018534.0</v>
      </c>
      <c r="E1079" t="s">
        <v>2134</v>
      </c>
      <c r="F1079" t="s">
        <v>6004</v>
      </c>
      <c r="G1079" t="s">
        <v>6005</v>
      </c>
      <c r="H1079" t="s">
        <v>6006</v>
      </c>
    </row>
    <row r="1080">
      <c r="A1080">
        <v>87.0</v>
      </c>
      <c r="B1080">
        <v>1018533.0</v>
      </c>
      <c r="C1080" t="s">
        <v>6007</v>
      </c>
      <c r="D1080">
        <v>1018533.0</v>
      </c>
      <c r="E1080" t="s">
        <v>2129</v>
      </c>
      <c r="F1080" t="s">
        <v>6008</v>
      </c>
      <c r="G1080" t="s">
        <v>6009</v>
      </c>
      <c r="H1080" t="s">
        <v>6010</v>
      </c>
    </row>
    <row r="1082">
      <c r="A1082">
        <v>88.0</v>
      </c>
      <c r="B1082">
        <v>1018813.0</v>
      </c>
      <c r="C1082" t="s">
        <v>6011</v>
      </c>
      <c r="D1082">
        <v>1018813.0</v>
      </c>
      <c r="E1082" t="s">
        <v>2134</v>
      </c>
      <c r="F1082" t="s">
        <v>6012</v>
      </c>
      <c r="G1082" t="s">
        <v>6013</v>
      </c>
      <c r="H1082" t="s">
        <v>6014</v>
      </c>
    </row>
    <row r="1083">
      <c r="A1083">
        <v>88.0</v>
      </c>
      <c r="B1083">
        <v>1018789.0</v>
      </c>
      <c r="C1083" t="s">
        <v>6015</v>
      </c>
      <c r="D1083">
        <v>1018789.0</v>
      </c>
      <c r="E1083" t="s">
        <v>2129</v>
      </c>
      <c r="F1083" t="s">
        <v>3349</v>
      </c>
      <c r="G1083" t="s">
        <v>6016</v>
      </c>
      <c r="H1083" t="s">
        <v>6017</v>
      </c>
    </row>
    <row r="1084">
      <c r="A1084">
        <v>88.0</v>
      </c>
      <c r="B1084">
        <v>1018802.0</v>
      </c>
      <c r="C1084" t="s">
        <v>6018</v>
      </c>
      <c r="D1084">
        <v>1018802.0</v>
      </c>
      <c r="E1084" t="s">
        <v>2129</v>
      </c>
      <c r="F1084" t="s">
        <v>6019</v>
      </c>
      <c r="G1084" t="s">
        <v>6020</v>
      </c>
      <c r="H1084" t="s">
        <v>6021</v>
      </c>
    </row>
    <row r="1085">
      <c r="A1085">
        <v>88.0</v>
      </c>
      <c r="B1085">
        <v>1018794.0</v>
      </c>
      <c r="C1085" t="s">
        <v>6022</v>
      </c>
      <c r="D1085">
        <v>1018794.0</v>
      </c>
      <c r="E1085" t="s">
        <v>2129</v>
      </c>
      <c r="F1085" t="s">
        <v>6023</v>
      </c>
      <c r="G1085" t="s">
        <v>6024</v>
      </c>
      <c r="H1085" t="s">
        <v>6025</v>
      </c>
    </row>
    <row r="1086">
      <c r="A1086">
        <v>88.0</v>
      </c>
      <c r="B1086">
        <v>1018801.0</v>
      </c>
      <c r="C1086" t="s">
        <v>6026</v>
      </c>
      <c r="D1086">
        <v>1018801.0</v>
      </c>
      <c r="E1086" t="s">
        <v>2134</v>
      </c>
      <c r="F1086" t="s">
        <v>4220</v>
      </c>
      <c r="G1086" t="s">
        <v>6027</v>
      </c>
      <c r="H1086" t="s">
        <v>6028</v>
      </c>
    </row>
    <row r="1087">
      <c r="A1087">
        <v>88.0</v>
      </c>
      <c r="B1087">
        <v>1018805.0</v>
      </c>
      <c r="C1087" t="s">
        <v>6029</v>
      </c>
      <c r="D1087">
        <v>1018805.0</v>
      </c>
      <c r="E1087" t="s">
        <v>2134</v>
      </c>
      <c r="F1087" t="s">
        <v>6030</v>
      </c>
      <c r="G1087" t="s">
        <v>6031</v>
      </c>
      <c r="H1087" t="s">
        <v>6032</v>
      </c>
    </row>
    <row r="1088">
      <c r="A1088">
        <v>88.0</v>
      </c>
      <c r="B1088">
        <v>1018793.0</v>
      </c>
      <c r="C1088" t="s">
        <v>6033</v>
      </c>
      <c r="D1088">
        <v>1018793.0</v>
      </c>
      <c r="E1088" t="s">
        <v>2129</v>
      </c>
      <c r="F1088" t="s">
        <v>6034</v>
      </c>
      <c r="G1088" t="s">
        <v>6035</v>
      </c>
      <c r="H1088" t="s">
        <v>6036</v>
      </c>
    </row>
    <row r="1089">
      <c r="A1089">
        <v>88.0</v>
      </c>
      <c r="B1089">
        <v>1018790.0</v>
      </c>
      <c r="C1089" t="s">
        <v>6037</v>
      </c>
      <c r="D1089">
        <v>1018790.0</v>
      </c>
      <c r="E1089" t="s">
        <v>2129</v>
      </c>
      <c r="F1089" t="s">
        <v>6038</v>
      </c>
      <c r="G1089" t="s">
        <v>6039</v>
      </c>
      <c r="H1089" t="s">
        <v>6040</v>
      </c>
    </row>
    <row r="1090">
      <c r="A1090">
        <v>88.0</v>
      </c>
      <c r="B1090">
        <v>1018784.0</v>
      </c>
      <c r="C1090" t="s">
        <v>6041</v>
      </c>
      <c r="D1090">
        <v>1018784.0</v>
      </c>
      <c r="E1090" t="s">
        <v>2134</v>
      </c>
      <c r="F1090" t="s">
        <v>6042</v>
      </c>
      <c r="G1090" t="s">
        <v>6043</v>
      </c>
      <c r="H1090" t="s">
        <v>6044</v>
      </c>
    </row>
    <row r="1091">
      <c r="A1091">
        <v>88.0</v>
      </c>
      <c r="B1091">
        <v>1018807.0</v>
      </c>
      <c r="C1091" t="s">
        <v>6045</v>
      </c>
      <c r="D1091">
        <v>1018807.0</v>
      </c>
      <c r="E1091" t="s">
        <v>2129</v>
      </c>
      <c r="F1091" t="s">
        <v>6046</v>
      </c>
      <c r="G1091" t="s">
        <v>6047</v>
      </c>
      <c r="H1091" t="s">
        <v>6048</v>
      </c>
    </row>
    <row r="1092">
      <c r="A1092">
        <v>88.0</v>
      </c>
      <c r="B1092">
        <v>1018806.0</v>
      </c>
      <c r="C1092" t="s">
        <v>6049</v>
      </c>
      <c r="D1092">
        <v>1018806.0</v>
      </c>
      <c r="E1092" t="s">
        <v>2129</v>
      </c>
      <c r="F1092" t="s">
        <v>6050</v>
      </c>
      <c r="G1092" t="s">
        <v>6051</v>
      </c>
      <c r="H1092" t="s">
        <v>6052</v>
      </c>
    </row>
    <row r="1093">
      <c r="A1093">
        <v>88.0</v>
      </c>
      <c r="B1093">
        <v>1018791.0</v>
      </c>
      <c r="C1093" t="s">
        <v>6053</v>
      </c>
      <c r="D1093">
        <v>1018791.0</v>
      </c>
      <c r="E1093" t="s">
        <v>2134</v>
      </c>
      <c r="F1093" t="s">
        <v>6054</v>
      </c>
      <c r="G1093" t="s">
        <v>6055</v>
      </c>
      <c r="H1093" t="s">
        <v>6056</v>
      </c>
    </row>
    <row r="1094">
      <c r="A1094">
        <v>88.0</v>
      </c>
      <c r="B1094">
        <v>1018817.0</v>
      </c>
      <c r="C1094" t="s">
        <v>6057</v>
      </c>
      <c r="D1094">
        <v>1018817.0</v>
      </c>
      <c r="E1094" t="s">
        <v>2134</v>
      </c>
      <c r="F1094" t="s">
        <v>6058</v>
      </c>
      <c r="G1094" t="s">
        <v>6059</v>
      </c>
      <c r="H1094" t="s">
        <v>6060</v>
      </c>
    </row>
    <row r="1095">
      <c r="A1095">
        <v>88.0</v>
      </c>
      <c r="B1095">
        <v>1018804.0</v>
      </c>
      <c r="C1095" t="s">
        <v>6061</v>
      </c>
      <c r="D1095">
        <v>1018804.0</v>
      </c>
      <c r="E1095" t="s">
        <v>2134</v>
      </c>
      <c r="F1095" t="s">
        <v>6062</v>
      </c>
      <c r="G1095" t="s">
        <v>6063</v>
      </c>
      <c r="H1095" t="s">
        <v>6064</v>
      </c>
    </row>
    <row r="1096">
      <c r="A1096">
        <v>88.0</v>
      </c>
      <c r="B1096">
        <v>1018803.0</v>
      </c>
      <c r="C1096" t="s">
        <v>6065</v>
      </c>
      <c r="D1096">
        <v>1018803.0</v>
      </c>
      <c r="E1096" t="s">
        <v>2129</v>
      </c>
      <c r="F1096" t="s">
        <v>5832</v>
      </c>
      <c r="G1096" t="s">
        <v>6066</v>
      </c>
      <c r="H1096" t="s">
        <v>6067</v>
      </c>
    </row>
    <row r="1098">
      <c r="A1098">
        <v>89.0</v>
      </c>
      <c r="B1098">
        <v>1018977.0</v>
      </c>
      <c r="C1098" t="s">
        <v>6068</v>
      </c>
      <c r="D1098">
        <v>1018977.0</v>
      </c>
      <c r="E1098" t="s">
        <v>2129</v>
      </c>
      <c r="F1098" t="s">
        <v>6069</v>
      </c>
      <c r="G1098" t="s">
        <v>6070</v>
      </c>
      <c r="H1098" t="s">
        <v>6071</v>
      </c>
    </row>
    <row r="1099">
      <c r="A1099">
        <v>89.0</v>
      </c>
      <c r="B1099">
        <v>1018975.0</v>
      </c>
      <c r="C1099" t="s">
        <v>6072</v>
      </c>
      <c r="D1099">
        <v>1018975.0</v>
      </c>
      <c r="E1099" t="s">
        <v>2129</v>
      </c>
      <c r="F1099" t="s">
        <v>6073</v>
      </c>
      <c r="G1099" t="s">
        <v>6074</v>
      </c>
      <c r="H1099" t="s">
        <v>6075</v>
      </c>
    </row>
    <row r="1100">
      <c r="A1100">
        <v>89.0</v>
      </c>
      <c r="B1100">
        <v>1018968.0</v>
      </c>
      <c r="C1100" t="s">
        <v>6076</v>
      </c>
      <c r="D1100">
        <v>1018968.0</v>
      </c>
      <c r="E1100" t="s">
        <v>2134</v>
      </c>
      <c r="F1100" t="s">
        <v>6077</v>
      </c>
      <c r="G1100" t="s">
        <v>6078</v>
      </c>
      <c r="H1100" t="s">
        <v>6079</v>
      </c>
    </row>
    <row r="1101">
      <c r="A1101">
        <v>89.0</v>
      </c>
      <c r="B1101">
        <v>1018980.0</v>
      </c>
      <c r="C1101" t="s">
        <v>6080</v>
      </c>
      <c r="D1101">
        <v>1018980.0</v>
      </c>
      <c r="E1101" t="s">
        <v>2134</v>
      </c>
      <c r="F1101" t="s">
        <v>6081</v>
      </c>
      <c r="G1101" t="s">
        <v>6082</v>
      </c>
      <c r="H1101" t="s">
        <v>6083</v>
      </c>
    </row>
    <row r="1102">
      <c r="A1102">
        <v>89.0</v>
      </c>
      <c r="B1102">
        <v>1018982.0</v>
      </c>
      <c r="C1102" t="s">
        <v>6084</v>
      </c>
      <c r="D1102">
        <v>1018982.0</v>
      </c>
      <c r="E1102" t="s">
        <v>2129</v>
      </c>
      <c r="F1102" t="s">
        <v>4873</v>
      </c>
      <c r="G1102" t="s">
        <v>6085</v>
      </c>
      <c r="H1102" t="s">
        <v>6086</v>
      </c>
    </row>
    <row r="1103">
      <c r="A1103">
        <v>89.0</v>
      </c>
      <c r="B1103">
        <v>1018970.0</v>
      </c>
      <c r="C1103" t="s">
        <v>6087</v>
      </c>
      <c r="D1103">
        <v>1018970.0</v>
      </c>
      <c r="E1103" t="s">
        <v>2134</v>
      </c>
      <c r="F1103" t="s">
        <v>6088</v>
      </c>
      <c r="G1103" t="s">
        <v>6089</v>
      </c>
      <c r="H1103" t="s">
        <v>6090</v>
      </c>
    </row>
    <row r="1104">
      <c r="A1104">
        <v>89.0</v>
      </c>
      <c r="B1104">
        <v>1018971.0</v>
      </c>
      <c r="C1104" t="s">
        <v>6091</v>
      </c>
      <c r="D1104">
        <v>1018971.0</v>
      </c>
      <c r="E1104" t="s">
        <v>2134</v>
      </c>
      <c r="F1104" t="s">
        <v>6092</v>
      </c>
      <c r="G1104" t="s">
        <v>6093</v>
      </c>
      <c r="H1104" t="s">
        <v>6094</v>
      </c>
    </row>
    <row r="1105">
      <c r="A1105">
        <v>89.0</v>
      </c>
      <c r="B1105">
        <v>1018981.0</v>
      </c>
      <c r="C1105" t="s">
        <v>6095</v>
      </c>
      <c r="D1105">
        <v>1018981.0</v>
      </c>
      <c r="E1105" t="s">
        <v>2134</v>
      </c>
      <c r="F1105" t="s">
        <v>6096</v>
      </c>
      <c r="G1105" t="s">
        <v>6097</v>
      </c>
      <c r="H1105" t="s">
        <v>6098</v>
      </c>
    </row>
    <row r="1106">
      <c r="A1106">
        <v>89.0</v>
      </c>
      <c r="B1106">
        <v>1018978.0</v>
      </c>
      <c r="C1106" t="s">
        <v>6099</v>
      </c>
      <c r="D1106">
        <v>1018978.0</v>
      </c>
      <c r="E1106" t="s">
        <v>2134</v>
      </c>
      <c r="F1106" t="s">
        <v>6100</v>
      </c>
      <c r="G1106" t="s">
        <v>6101</v>
      </c>
      <c r="H1106" t="s">
        <v>6102</v>
      </c>
    </row>
    <row r="1107">
      <c r="A1107">
        <v>89.0</v>
      </c>
      <c r="B1107">
        <v>1018973.0</v>
      </c>
      <c r="C1107" t="s">
        <v>6103</v>
      </c>
      <c r="D1107">
        <v>1018973.0</v>
      </c>
      <c r="E1107" t="s">
        <v>2129</v>
      </c>
      <c r="F1107" t="s">
        <v>6104</v>
      </c>
      <c r="G1107" t="s">
        <v>6105</v>
      </c>
      <c r="H1107" t="s">
        <v>6106</v>
      </c>
    </row>
    <row r="1108">
      <c r="A1108">
        <v>89.0</v>
      </c>
      <c r="B1108">
        <v>1018974.0</v>
      </c>
      <c r="C1108" t="s">
        <v>6107</v>
      </c>
      <c r="D1108">
        <v>1018974.0</v>
      </c>
      <c r="E1108" t="s">
        <v>2129</v>
      </c>
      <c r="F1108" t="s">
        <v>6108</v>
      </c>
      <c r="G1108" t="s">
        <v>6109</v>
      </c>
      <c r="H1108" t="s">
        <v>6110</v>
      </c>
    </row>
    <row r="1109">
      <c r="A1109">
        <v>89.0</v>
      </c>
      <c r="B1109">
        <v>1018969.0</v>
      </c>
      <c r="C1109" t="s">
        <v>6111</v>
      </c>
      <c r="D1109">
        <v>1018969.0</v>
      </c>
      <c r="E1109" t="s">
        <v>2129</v>
      </c>
      <c r="F1109" t="s">
        <v>6112</v>
      </c>
      <c r="G1109" t="s">
        <v>6113</v>
      </c>
      <c r="H1109" t="s">
        <v>6114</v>
      </c>
    </row>
    <row r="1110">
      <c r="A1110">
        <v>89.0</v>
      </c>
      <c r="B1110">
        <v>1018972.0</v>
      </c>
      <c r="C1110" t="s">
        <v>6115</v>
      </c>
      <c r="D1110">
        <v>1018972.0</v>
      </c>
      <c r="E1110" t="s">
        <v>2134</v>
      </c>
      <c r="F1110" t="s">
        <v>5135</v>
      </c>
      <c r="G1110" t="s">
        <v>6116</v>
      </c>
      <c r="H1110" t="s">
        <v>6117</v>
      </c>
    </row>
    <row r="1111">
      <c r="A1111">
        <v>89.0</v>
      </c>
      <c r="B1111">
        <v>1018976.0</v>
      </c>
      <c r="C1111" t="s">
        <v>6118</v>
      </c>
      <c r="D1111">
        <v>1018976.0</v>
      </c>
      <c r="E1111" t="s">
        <v>2134</v>
      </c>
      <c r="F1111" t="s">
        <v>6119</v>
      </c>
      <c r="G1111" t="s">
        <v>6120</v>
      </c>
      <c r="H1111" t="s">
        <v>6121</v>
      </c>
    </row>
    <row r="1113">
      <c r="A1113">
        <v>90.0</v>
      </c>
      <c r="B1113">
        <v>1019214.0</v>
      </c>
      <c r="C1113" t="s">
        <v>6122</v>
      </c>
      <c r="D1113">
        <v>1019214.0</v>
      </c>
      <c r="E1113" t="s">
        <v>2129</v>
      </c>
      <c r="F1113" t="s">
        <v>6123</v>
      </c>
      <c r="G1113" t="s">
        <v>6124</v>
      </c>
      <c r="H1113" t="s">
        <v>6125</v>
      </c>
    </row>
    <row r="1114">
      <c r="A1114">
        <v>90.0</v>
      </c>
      <c r="B1114">
        <v>1019193.0</v>
      </c>
      <c r="C1114" t="s">
        <v>6126</v>
      </c>
      <c r="D1114">
        <v>1019193.0</v>
      </c>
      <c r="E1114" t="s">
        <v>2129</v>
      </c>
      <c r="F1114" t="s">
        <v>3353</v>
      </c>
      <c r="G1114" t="s">
        <v>6127</v>
      </c>
      <c r="H1114" t="s">
        <v>6128</v>
      </c>
    </row>
    <row r="1115">
      <c r="A1115">
        <v>90.0</v>
      </c>
      <c r="B1115">
        <v>1019204.0</v>
      </c>
      <c r="C1115" t="s">
        <v>6129</v>
      </c>
      <c r="D1115">
        <v>1019204.0</v>
      </c>
      <c r="E1115" t="s">
        <v>2129</v>
      </c>
      <c r="F1115" t="s">
        <v>6130</v>
      </c>
      <c r="G1115" t="s">
        <v>6131</v>
      </c>
      <c r="H1115" t="s">
        <v>6132</v>
      </c>
    </row>
    <row r="1116">
      <c r="A1116">
        <v>90.0</v>
      </c>
      <c r="B1116">
        <v>1019230.0</v>
      </c>
      <c r="C1116" t="s">
        <v>6133</v>
      </c>
      <c r="D1116">
        <v>1019230.0</v>
      </c>
      <c r="E1116" t="s">
        <v>2129</v>
      </c>
      <c r="F1116" t="s">
        <v>6134</v>
      </c>
      <c r="G1116" t="s">
        <v>6135</v>
      </c>
      <c r="H1116" t="s">
        <v>6136</v>
      </c>
    </row>
    <row r="1117">
      <c r="A1117">
        <v>90.0</v>
      </c>
      <c r="B1117">
        <v>1019151.0</v>
      </c>
      <c r="C1117" t="s">
        <v>6137</v>
      </c>
      <c r="D1117">
        <v>1019151.0</v>
      </c>
      <c r="E1117" t="s">
        <v>2129</v>
      </c>
      <c r="F1117" t="s">
        <v>6138</v>
      </c>
      <c r="G1117" t="s">
        <v>6139</v>
      </c>
      <c r="H1117" t="s">
        <v>6140</v>
      </c>
    </row>
    <row r="1118">
      <c r="A1118">
        <v>90.0</v>
      </c>
      <c r="B1118">
        <v>1019202.0</v>
      </c>
      <c r="C1118" t="s">
        <v>6141</v>
      </c>
      <c r="D1118">
        <v>1019202.0</v>
      </c>
      <c r="E1118" t="s">
        <v>2129</v>
      </c>
      <c r="F1118" t="s">
        <v>6142</v>
      </c>
      <c r="G1118" t="s">
        <v>6143</v>
      </c>
      <c r="H1118" t="s">
        <v>6144</v>
      </c>
    </row>
    <row r="1119">
      <c r="A1119">
        <v>90.0</v>
      </c>
      <c r="B1119">
        <v>1019191.0</v>
      </c>
      <c r="C1119" t="s">
        <v>6145</v>
      </c>
      <c r="D1119">
        <v>1019191.0</v>
      </c>
      <c r="E1119" t="s">
        <v>2129</v>
      </c>
      <c r="F1119" t="s">
        <v>6146</v>
      </c>
      <c r="G1119" t="s">
        <v>6147</v>
      </c>
      <c r="H1119" t="s">
        <v>6148</v>
      </c>
    </row>
    <row r="1120">
      <c r="A1120">
        <v>90.0</v>
      </c>
      <c r="B1120">
        <v>1019208.0</v>
      </c>
      <c r="C1120" t="s">
        <v>6149</v>
      </c>
      <c r="D1120">
        <v>1019208.0</v>
      </c>
      <c r="E1120" t="s">
        <v>2134</v>
      </c>
      <c r="F1120" t="s">
        <v>6150</v>
      </c>
      <c r="G1120" t="s">
        <v>6151</v>
      </c>
      <c r="H1120" t="s">
        <v>6152</v>
      </c>
    </row>
    <row r="1121">
      <c r="A1121">
        <v>90.0</v>
      </c>
      <c r="B1121">
        <v>1019237.0</v>
      </c>
      <c r="C1121" t="s">
        <v>6153</v>
      </c>
      <c r="D1121">
        <v>1019237.0</v>
      </c>
      <c r="E1121" t="s">
        <v>2134</v>
      </c>
      <c r="F1121" t="s">
        <v>6154</v>
      </c>
      <c r="G1121" t="s">
        <v>6155</v>
      </c>
      <c r="H1121" t="s">
        <v>6156</v>
      </c>
    </row>
    <row r="1122">
      <c r="A1122">
        <v>90.0</v>
      </c>
      <c r="B1122">
        <v>1019197.0</v>
      </c>
      <c r="C1122" t="s">
        <v>6157</v>
      </c>
      <c r="D1122">
        <v>1019197.0</v>
      </c>
      <c r="E1122" t="s">
        <v>2134</v>
      </c>
      <c r="F1122" t="s">
        <v>6158</v>
      </c>
      <c r="G1122" t="s">
        <v>6159</v>
      </c>
      <c r="H1122" t="s">
        <v>6160</v>
      </c>
    </row>
    <row r="1123">
      <c r="A1123">
        <v>90.0</v>
      </c>
      <c r="B1123">
        <v>1019222.0</v>
      </c>
      <c r="C1123" t="s">
        <v>6161</v>
      </c>
      <c r="D1123">
        <v>1019222.0</v>
      </c>
      <c r="E1123" t="s">
        <v>2129</v>
      </c>
      <c r="F1123" t="s">
        <v>5880</v>
      </c>
      <c r="G1123" t="s">
        <v>6162</v>
      </c>
      <c r="H1123" t="s">
        <v>6163</v>
      </c>
    </row>
    <row r="1124">
      <c r="A1124">
        <v>90.0</v>
      </c>
      <c r="B1124">
        <v>1019207.0</v>
      </c>
      <c r="C1124" t="s">
        <v>6164</v>
      </c>
      <c r="D1124">
        <v>1019207.0</v>
      </c>
      <c r="E1124" t="s">
        <v>2129</v>
      </c>
      <c r="F1124" t="s">
        <v>6165</v>
      </c>
      <c r="G1124" t="s">
        <v>6166</v>
      </c>
      <c r="H1124" t="s">
        <v>6167</v>
      </c>
    </row>
    <row r="1125">
      <c r="A1125">
        <v>90.0</v>
      </c>
      <c r="B1125">
        <v>1019224.0</v>
      </c>
      <c r="C1125" t="s">
        <v>6168</v>
      </c>
      <c r="D1125">
        <v>1019224.0</v>
      </c>
      <c r="E1125" t="s">
        <v>2129</v>
      </c>
      <c r="F1125" t="s">
        <v>6169</v>
      </c>
      <c r="G1125" t="s">
        <v>6170</v>
      </c>
      <c r="H1125" t="s">
        <v>6171</v>
      </c>
    </row>
    <row r="1126">
      <c r="A1126">
        <v>90.0</v>
      </c>
      <c r="B1126">
        <v>1019199.0</v>
      </c>
      <c r="C1126" t="s">
        <v>6172</v>
      </c>
      <c r="D1126">
        <v>1019199.0</v>
      </c>
      <c r="E1126" t="s">
        <v>2129</v>
      </c>
      <c r="F1126" t="s">
        <v>6173</v>
      </c>
      <c r="G1126" t="s">
        <v>6174</v>
      </c>
      <c r="H1126" t="s">
        <v>6175</v>
      </c>
    </row>
    <row r="1127">
      <c r="A1127">
        <v>90.0</v>
      </c>
      <c r="B1127">
        <v>1019195.0</v>
      </c>
      <c r="C1127" t="s">
        <v>6176</v>
      </c>
      <c r="D1127">
        <v>1019195.0</v>
      </c>
      <c r="E1127" t="s">
        <v>2129</v>
      </c>
      <c r="F1127" t="s">
        <v>6177</v>
      </c>
      <c r="G1127" t="s">
        <v>6178</v>
      </c>
      <c r="H1127" t="s">
        <v>6179</v>
      </c>
    </row>
    <row r="1128">
      <c r="A1128">
        <v>90.0</v>
      </c>
      <c r="B1128">
        <v>1019215.0</v>
      </c>
      <c r="C1128" t="s">
        <v>6180</v>
      </c>
      <c r="D1128">
        <v>1019215.0</v>
      </c>
      <c r="E1128" t="s">
        <v>2129</v>
      </c>
      <c r="F1128" t="s">
        <v>6181</v>
      </c>
      <c r="G1128" t="s">
        <v>6182</v>
      </c>
      <c r="H1128" t="s">
        <v>6183</v>
      </c>
    </row>
    <row r="1129">
      <c r="A1129">
        <v>90.0</v>
      </c>
      <c r="B1129">
        <v>1019209.0</v>
      </c>
      <c r="C1129" t="s">
        <v>6184</v>
      </c>
      <c r="D1129">
        <v>1019209.0</v>
      </c>
      <c r="E1129" t="s">
        <v>2129</v>
      </c>
      <c r="F1129" t="s">
        <v>6185</v>
      </c>
      <c r="G1129" t="s">
        <v>6186</v>
      </c>
      <c r="H1129" t="s">
        <v>6187</v>
      </c>
    </row>
    <row r="1130">
      <c r="A1130">
        <v>90.0</v>
      </c>
      <c r="B1130">
        <v>1019235.0</v>
      </c>
      <c r="C1130" t="s">
        <v>6188</v>
      </c>
      <c r="D1130">
        <v>1019235.0</v>
      </c>
      <c r="E1130" t="s">
        <v>2129</v>
      </c>
      <c r="F1130" t="s">
        <v>6189</v>
      </c>
      <c r="G1130" t="s">
        <v>6190</v>
      </c>
      <c r="H1130" t="s">
        <v>6191</v>
      </c>
    </row>
    <row r="1131">
      <c r="A1131">
        <v>90.0</v>
      </c>
      <c r="B1131">
        <v>1019223.0</v>
      </c>
      <c r="C1131" t="s">
        <v>6192</v>
      </c>
      <c r="D1131">
        <v>1019223.0</v>
      </c>
      <c r="E1131" t="s">
        <v>2129</v>
      </c>
      <c r="F1131" t="s">
        <v>6193</v>
      </c>
      <c r="G1131" t="s">
        <v>6194</v>
      </c>
      <c r="H1131" t="s">
        <v>6195</v>
      </c>
    </row>
    <row r="1133">
      <c r="A1133">
        <v>91.0</v>
      </c>
      <c r="B1133">
        <v>1019302.0</v>
      </c>
      <c r="C1133" t="s">
        <v>6196</v>
      </c>
      <c r="D1133">
        <v>1019302.0</v>
      </c>
      <c r="E1133" t="s">
        <v>2134</v>
      </c>
      <c r="F1133" t="s">
        <v>6197</v>
      </c>
      <c r="G1133" t="s">
        <v>6198</v>
      </c>
      <c r="H1133" t="s">
        <v>6199</v>
      </c>
    </row>
    <row r="1134">
      <c r="A1134">
        <v>91.0</v>
      </c>
      <c r="B1134">
        <v>1019306.0</v>
      </c>
      <c r="C1134" t="s">
        <v>6200</v>
      </c>
      <c r="D1134">
        <v>1019306.0</v>
      </c>
      <c r="E1134" t="s">
        <v>2129</v>
      </c>
      <c r="F1134" t="s">
        <v>6201</v>
      </c>
      <c r="G1134" t="s">
        <v>6202</v>
      </c>
      <c r="H1134" t="s">
        <v>6203</v>
      </c>
    </row>
    <row r="1135">
      <c r="A1135">
        <v>91.0</v>
      </c>
      <c r="B1135">
        <v>1019295.0</v>
      </c>
      <c r="C1135" t="s">
        <v>6204</v>
      </c>
      <c r="D1135">
        <v>1019295.0</v>
      </c>
      <c r="E1135" t="s">
        <v>2129</v>
      </c>
      <c r="F1135" t="s">
        <v>6205</v>
      </c>
      <c r="G1135" t="s">
        <v>6206</v>
      </c>
      <c r="H1135" t="s">
        <v>6207</v>
      </c>
    </row>
    <row r="1136">
      <c r="A1136">
        <v>91.0</v>
      </c>
      <c r="B1136">
        <v>1019299.0</v>
      </c>
      <c r="C1136" t="s">
        <v>6208</v>
      </c>
      <c r="D1136">
        <v>1019299.0</v>
      </c>
      <c r="E1136" t="s">
        <v>2129</v>
      </c>
      <c r="F1136" t="s">
        <v>6209</v>
      </c>
      <c r="G1136" t="s">
        <v>6210</v>
      </c>
      <c r="H1136" t="s">
        <v>6211</v>
      </c>
    </row>
    <row r="1137">
      <c r="A1137">
        <v>91.0</v>
      </c>
      <c r="B1137">
        <v>1019298.0</v>
      </c>
      <c r="C1137" t="s">
        <v>6212</v>
      </c>
      <c r="D1137">
        <v>1019298.0</v>
      </c>
      <c r="E1137" t="s">
        <v>2129</v>
      </c>
      <c r="F1137" t="s">
        <v>6213</v>
      </c>
      <c r="G1137" t="s">
        <v>6214</v>
      </c>
      <c r="H1137" t="s">
        <v>6215</v>
      </c>
    </row>
    <row r="1138">
      <c r="A1138">
        <v>91.0</v>
      </c>
      <c r="B1138">
        <v>1019297.0</v>
      </c>
      <c r="C1138" t="s">
        <v>6216</v>
      </c>
      <c r="D1138">
        <v>1019297.0</v>
      </c>
      <c r="E1138" t="s">
        <v>2129</v>
      </c>
      <c r="F1138" t="s">
        <v>6217</v>
      </c>
      <c r="G1138" t="s">
        <v>6218</v>
      </c>
      <c r="H1138" t="s">
        <v>6219</v>
      </c>
    </row>
    <row r="1139">
      <c r="A1139">
        <v>91.0</v>
      </c>
      <c r="B1139">
        <v>1019308.0</v>
      </c>
      <c r="C1139" t="s">
        <v>6220</v>
      </c>
      <c r="D1139">
        <v>1019308.0</v>
      </c>
      <c r="E1139" t="s">
        <v>2129</v>
      </c>
      <c r="F1139" t="s">
        <v>6221</v>
      </c>
      <c r="G1139" t="s">
        <v>6222</v>
      </c>
      <c r="H1139" t="s">
        <v>6223</v>
      </c>
    </row>
    <row r="1140">
      <c r="A1140">
        <v>91.0</v>
      </c>
      <c r="B1140">
        <v>1019312.0</v>
      </c>
      <c r="C1140" t="s">
        <v>6224</v>
      </c>
      <c r="D1140">
        <v>1019312.0</v>
      </c>
      <c r="E1140" t="s">
        <v>2129</v>
      </c>
      <c r="F1140" t="s">
        <v>6225</v>
      </c>
      <c r="G1140" t="s">
        <v>6226</v>
      </c>
      <c r="H1140" t="s">
        <v>6227</v>
      </c>
    </row>
    <row r="1141">
      <c r="A1141">
        <v>91.0</v>
      </c>
      <c r="B1141">
        <v>1019303.0</v>
      </c>
      <c r="C1141" t="s">
        <v>6228</v>
      </c>
      <c r="D1141">
        <v>1019303.0</v>
      </c>
      <c r="E1141" t="s">
        <v>2129</v>
      </c>
      <c r="F1141" t="s">
        <v>6229</v>
      </c>
      <c r="G1141" t="s">
        <v>6230</v>
      </c>
      <c r="H1141" t="s">
        <v>6231</v>
      </c>
    </row>
    <row r="1142">
      <c r="A1142">
        <v>91.0</v>
      </c>
      <c r="B1142">
        <v>1019307.0</v>
      </c>
      <c r="C1142" t="s">
        <v>6232</v>
      </c>
      <c r="D1142">
        <v>1019307.0</v>
      </c>
      <c r="E1142" t="s">
        <v>2129</v>
      </c>
      <c r="F1142" t="s">
        <v>6221</v>
      </c>
      <c r="G1142" t="s">
        <v>6233</v>
      </c>
      <c r="H1142" t="s">
        <v>6234</v>
      </c>
    </row>
    <row r="1143">
      <c r="A1143">
        <v>91.0</v>
      </c>
      <c r="B1143">
        <v>1019300.0</v>
      </c>
      <c r="C1143" t="s">
        <v>6235</v>
      </c>
      <c r="D1143">
        <v>1019300.0</v>
      </c>
      <c r="E1143" t="s">
        <v>2129</v>
      </c>
      <c r="F1143" t="s">
        <v>6236</v>
      </c>
      <c r="G1143" t="s">
        <v>6237</v>
      </c>
      <c r="H1143" t="s">
        <v>6238</v>
      </c>
    </row>
    <row r="1144">
      <c r="A1144">
        <v>91.0</v>
      </c>
      <c r="B1144">
        <v>1019296.0</v>
      </c>
      <c r="C1144" t="s">
        <v>6239</v>
      </c>
      <c r="D1144">
        <v>1019296.0</v>
      </c>
      <c r="E1144" t="s">
        <v>2129</v>
      </c>
      <c r="F1144" t="s">
        <v>6240</v>
      </c>
      <c r="G1144" t="s">
        <v>6241</v>
      </c>
      <c r="H1144" t="s">
        <v>6242</v>
      </c>
    </row>
    <row r="1145">
      <c r="A1145">
        <v>91.0</v>
      </c>
      <c r="B1145">
        <v>1019293.0</v>
      </c>
      <c r="C1145" t="s">
        <v>6243</v>
      </c>
      <c r="D1145">
        <v>1019293.0</v>
      </c>
      <c r="E1145" t="s">
        <v>2134</v>
      </c>
      <c r="F1145" t="s">
        <v>6244</v>
      </c>
      <c r="G1145" t="s">
        <v>6245</v>
      </c>
      <c r="H1145" t="s">
        <v>6246</v>
      </c>
    </row>
    <row r="1146">
      <c r="A1146">
        <v>91.0</v>
      </c>
      <c r="B1146">
        <v>1019294.0</v>
      </c>
      <c r="C1146" t="s">
        <v>6247</v>
      </c>
      <c r="D1146">
        <v>1019294.0</v>
      </c>
      <c r="E1146" t="s">
        <v>2134</v>
      </c>
      <c r="F1146" t="s">
        <v>3921</v>
      </c>
      <c r="G1146" t="s">
        <v>6248</v>
      </c>
      <c r="H1146" t="s">
        <v>6249</v>
      </c>
    </row>
    <row r="1147">
      <c r="A1147">
        <v>91.0</v>
      </c>
      <c r="B1147">
        <v>1019304.0</v>
      </c>
      <c r="C1147" t="s">
        <v>6250</v>
      </c>
      <c r="D1147">
        <v>1019304.0</v>
      </c>
      <c r="E1147" t="s">
        <v>2134</v>
      </c>
      <c r="F1147" t="s">
        <v>6251</v>
      </c>
      <c r="G1147" t="s">
        <v>6252</v>
      </c>
      <c r="H1147" t="s">
        <v>6253</v>
      </c>
    </row>
    <row r="1148">
      <c r="A1148">
        <v>91.0</v>
      </c>
      <c r="B1148">
        <v>1019305.0</v>
      </c>
      <c r="C1148" t="s">
        <v>6254</v>
      </c>
      <c r="D1148">
        <v>1019305.0</v>
      </c>
      <c r="E1148" t="s">
        <v>2134</v>
      </c>
      <c r="F1148" t="s">
        <v>6255</v>
      </c>
      <c r="G1148" t="s">
        <v>6256</v>
      </c>
      <c r="H1148" t="s">
        <v>6257</v>
      </c>
    </row>
    <row r="1149">
      <c r="A1149">
        <v>91.0</v>
      </c>
      <c r="B1149">
        <v>1019301.0</v>
      </c>
      <c r="C1149" t="s">
        <v>6258</v>
      </c>
      <c r="D1149">
        <v>1019301.0</v>
      </c>
      <c r="E1149" t="s">
        <v>2134</v>
      </c>
      <c r="F1149" t="s">
        <v>6259</v>
      </c>
      <c r="G1149" t="s">
        <v>6260</v>
      </c>
      <c r="H1149" t="s">
        <v>6261</v>
      </c>
    </row>
    <row r="1150">
      <c r="A1150">
        <v>91.0</v>
      </c>
      <c r="B1150">
        <v>1019310.0</v>
      </c>
      <c r="C1150" t="s">
        <v>6262</v>
      </c>
      <c r="D1150">
        <v>1019310.0</v>
      </c>
      <c r="E1150" t="s">
        <v>2134</v>
      </c>
      <c r="F1150" t="s">
        <v>6263</v>
      </c>
      <c r="G1150" t="s">
        <v>6264</v>
      </c>
      <c r="H1150" t="s">
        <v>6265</v>
      </c>
    </row>
    <row r="1151">
      <c r="A1151">
        <v>91.0</v>
      </c>
      <c r="B1151">
        <v>1019309.0</v>
      </c>
      <c r="C1151" t="s">
        <v>6266</v>
      </c>
      <c r="D1151">
        <v>1019309.0</v>
      </c>
      <c r="E1151" t="s">
        <v>2134</v>
      </c>
      <c r="F1151" t="s">
        <v>6267</v>
      </c>
      <c r="G1151" t="s">
        <v>6268</v>
      </c>
      <c r="H1151" t="s">
        <v>6269</v>
      </c>
    </row>
    <row r="1153">
      <c r="A1153">
        <v>92.0</v>
      </c>
      <c r="B1153">
        <v>1019397.0</v>
      </c>
      <c r="C1153" t="s">
        <v>6270</v>
      </c>
      <c r="D1153">
        <v>1019397.0</v>
      </c>
      <c r="E1153" t="s">
        <v>2129</v>
      </c>
      <c r="F1153" t="s">
        <v>3696</v>
      </c>
      <c r="G1153" t="s">
        <v>6271</v>
      </c>
      <c r="H1153" t="s">
        <v>6272</v>
      </c>
    </row>
    <row r="1154">
      <c r="A1154">
        <v>92.0</v>
      </c>
      <c r="B1154">
        <v>1019398.0</v>
      </c>
      <c r="C1154" t="s">
        <v>6273</v>
      </c>
      <c r="D1154">
        <v>1019398.0</v>
      </c>
      <c r="E1154" t="s">
        <v>2129</v>
      </c>
      <c r="F1154" t="s">
        <v>6274</v>
      </c>
      <c r="G1154" t="s">
        <v>6275</v>
      </c>
      <c r="H1154" t="s">
        <v>6276</v>
      </c>
    </row>
    <row r="1155">
      <c r="A1155">
        <v>92.0</v>
      </c>
      <c r="B1155">
        <v>1019412.0</v>
      </c>
      <c r="C1155" t="s">
        <v>6277</v>
      </c>
      <c r="D1155">
        <v>1019412.0</v>
      </c>
      <c r="E1155" t="s">
        <v>2134</v>
      </c>
      <c r="F1155" t="s">
        <v>6278</v>
      </c>
      <c r="G1155" t="s">
        <v>6279</v>
      </c>
      <c r="H1155" t="s">
        <v>6280</v>
      </c>
    </row>
    <row r="1156">
      <c r="A1156">
        <v>92.0</v>
      </c>
      <c r="B1156">
        <v>1019401.0</v>
      </c>
      <c r="C1156" t="s">
        <v>6281</v>
      </c>
      <c r="D1156">
        <v>1019401.0</v>
      </c>
      <c r="E1156" t="s">
        <v>2134</v>
      </c>
      <c r="F1156" t="s">
        <v>6282</v>
      </c>
      <c r="G1156" t="s">
        <v>6283</v>
      </c>
      <c r="H1156" t="s">
        <v>6284</v>
      </c>
    </row>
    <row r="1157">
      <c r="A1157">
        <v>92.0</v>
      </c>
      <c r="B1157">
        <v>1019409.0</v>
      </c>
      <c r="C1157" t="s">
        <v>6285</v>
      </c>
      <c r="D1157">
        <v>1019409.0</v>
      </c>
      <c r="E1157" t="s">
        <v>2134</v>
      </c>
      <c r="F1157" t="s">
        <v>6286</v>
      </c>
      <c r="G1157" t="s">
        <v>6287</v>
      </c>
      <c r="H1157" t="s">
        <v>6288</v>
      </c>
    </row>
    <row r="1158">
      <c r="A1158">
        <v>92.0</v>
      </c>
      <c r="B1158">
        <v>1019403.0</v>
      </c>
      <c r="C1158" t="s">
        <v>6289</v>
      </c>
      <c r="D1158">
        <v>1019403.0</v>
      </c>
      <c r="E1158" t="s">
        <v>2134</v>
      </c>
      <c r="F1158" t="s">
        <v>6290</v>
      </c>
      <c r="G1158" t="s">
        <v>6291</v>
      </c>
      <c r="H1158" t="s">
        <v>6292</v>
      </c>
    </row>
    <row r="1159">
      <c r="A1159">
        <v>92.0</v>
      </c>
      <c r="B1159">
        <v>1019402.0</v>
      </c>
      <c r="C1159" t="s">
        <v>6293</v>
      </c>
      <c r="D1159">
        <v>1019402.0</v>
      </c>
      <c r="E1159" t="s">
        <v>2134</v>
      </c>
      <c r="F1159" t="s">
        <v>6294</v>
      </c>
      <c r="G1159" t="s">
        <v>6295</v>
      </c>
      <c r="H1159" t="s">
        <v>6296</v>
      </c>
    </row>
    <row r="1160">
      <c r="A1160">
        <v>92.0</v>
      </c>
      <c r="B1160">
        <v>1019394.0</v>
      </c>
      <c r="C1160" t="s">
        <v>6297</v>
      </c>
      <c r="D1160">
        <v>1019394.0</v>
      </c>
      <c r="E1160" t="s">
        <v>2134</v>
      </c>
      <c r="F1160" t="s">
        <v>6298</v>
      </c>
      <c r="G1160" t="s">
        <v>6299</v>
      </c>
      <c r="H1160" t="s">
        <v>6300</v>
      </c>
    </row>
    <row r="1161">
      <c r="A1161">
        <v>92.0</v>
      </c>
      <c r="B1161">
        <v>1019405.0</v>
      </c>
      <c r="C1161" t="s">
        <v>6301</v>
      </c>
      <c r="D1161">
        <v>1019405.0</v>
      </c>
      <c r="E1161" t="s">
        <v>2134</v>
      </c>
      <c r="F1161" t="s">
        <v>6302</v>
      </c>
      <c r="G1161" t="s">
        <v>4674</v>
      </c>
      <c r="H1161" t="s">
        <v>6303</v>
      </c>
    </row>
    <row r="1162">
      <c r="A1162">
        <v>92.0</v>
      </c>
      <c r="B1162">
        <v>1019400.0</v>
      </c>
      <c r="C1162" t="s">
        <v>6304</v>
      </c>
      <c r="D1162">
        <v>1019400.0</v>
      </c>
      <c r="E1162" t="s">
        <v>2129</v>
      </c>
      <c r="F1162" t="s">
        <v>6305</v>
      </c>
      <c r="G1162" t="s">
        <v>6306</v>
      </c>
      <c r="H1162" t="s">
        <v>6307</v>
      </c>
    </row>
    <row r="1163">
      <c r="A1163">
        <v>92.0</v>
      </c>
      <c r="B1163">
        <v>1019407.0</v>
      </c>
      <c r="C1163" t="s">
        <v>6308</v>
      </c>
      <c r="D1163">
        <v>1019407.0</v>
      </c>
      <c r="E1163" t="s">
        <v>2129</v>
      </c>
      <c r="F1163" t="s">
        <v>6309</v>
      </c>
      <c r="G1163" t="s">
        <v>6310</v>
      </c>
      <c r="H1163" t="s">
        <v>6311</v>
      </c>
    </row>
    <row r="1164">
      <c r="A1164">
        <v>92.0</v>
      </c>
      <c r="B1164">
        <v>1019395.0</v>
      </c>
      <c r="C1164" t="s">
        <v>6312</v>
      </c>
      <c r="D1164">
        <v>1019395.0</v>
      </c>
      <c r="E1164" t="s">
        <v>2129</v>
      </c>
      <c r="F1164" t="s">
        <v>6313</v>
      </c>
      <c r="G1164" t="s">
        <v>6314</v>
      </c>
      <c r="H1164" t="s">
        <v>6315</v>
      </c>
    </row>
    <row r="1165">
      <c r="A1165">
        <v>92.0</v>
      </c>
      <c r="B1165">
        <v>1019406.0</v>
      </c>
      <c r="C1165" t="s">
        <v>6316</v>
      </c>
      <c r="D1165">
        <v>1019406.0</v>
      </c>
      <c r="E1165" t="s">
        <v>2129</v>
      </c>
      <c r="F1165" t="s">
        <v>6317</v>
      </c>
      <c r="G1165" t="s">
        <v>6318</v>
      </c>
      <c r="H1165" t="s">
        <v>6319</v>
      </c>
    </row>
    <row r="1166">
      <c r="A1166">
        <v>92.0</v>
      </c>
      <c r="B1166">
        <v>1019399.0</v>
      </c>
      <c r="C1166" t="s">
        <v>6320</v>
      </c>
      <c r="D1166">
        <v>1019399.0</v>
      </c>
      <c r="E1166" t="s">
        <v>2129</v>
      </c>
      <c r="F1166" t="s">
        <v>6321</v>
      </c>
      <c r="G1166" t="s">
        <v>6322</v>
      </c>
      <c r="H1166" t="s">
        <v>6323</v>
      </c>
    </row>
    <row r="1167">
      <c r="A1167">
        <v>92.0</v>
      </c>
      <c r="B1167">
        <v>1019410.0</v>
      </c>
      <c r="C1167" t="s">
        <v>6324</v>
      </c>
      <c r="D1167">
        <v>1019410.0</v>
      </c>
      <c r="E1167" t="s">
        <v>2129</v>
      </c>
      <c r="F1167" t="s">
        <v>6325</v>
      </c>
      <c r="G1167" t="s">
        <v>6326</v>
      </c>
      <c r="H1167" t="s">
        <v>6327</v>
      </c>
    </row>
    <row r="1168">
      <c r="A1168">
        <v>92.0</v>
      </c>
      <c r="B1168">
        <v>1019404.0</v>
      </c>
      <c r="C1168" t="s">
        <v>6328</v>
      </c>
      <c r="D1168">
        <v>1019404.0</v>
      </c>
      <c r="E1168" t="s">
        <v>2129</v>
      </c>
      <c r="F1168" t="s">
        <v>6329</v>
      </c>
      <c r="G1168" t="s">
        <v>6330</v>
      </c>
      <c r="H1168" t="s">
        <v>6331</v>
      </c>
    </row>
    <row r="1169">
      <c r="A1169">
        <v>92.0</v>
      </c>
      <c r="B1169">
        <v>1019408.0</v>
      </c>
      <c r="C1169" t="s">
        <v>6332</v>
      </c>
      <c r="D1169">
        <v>1019408.0</v>
      </c>
      <c r="E1169" t="s">
        <v>2129</v>
      </c>
      <c r="F1169" t="s">
        <v>6333</v>
      </c>
      <c r="G1169" t="s">
        <v>6334</v>
      </c>
      <c r="H1169" t="s">
        <v>6335</v>
      </c>
    </row>
    <row r="1170">
      <c r="A1170">
        <v>92.0</v>
      </c>
      <c r="B1170">
        <v>1019411.0</v>
      </c>
      <c r="C1170" t="s">
        <v>6336</v>
      </c>
      <c r="D1170">
        <v>1019411.0</v>
      </c>
      <c r="E1170" t="s">
        <v>2129</v>
      </c>
      <c r="F1170" t="s">
        <v>6337</v>
      </c>
      <c r="G1170" t="s">
        <v>6338</v>
      </c>
      <c r="H1170" t="s">
        <v>6339</v>
      </c>
    </row>
    <row r="1172">
      <c r="A1172">
        <v>93.0</v>
      </c>
      <c r="B1172">
        <v>1019544.0</v>
      </c>
      <c r="C1172" t="s">
        <v>6340</v>
      </c>
      <c r="D1172">
        <v>1019544.0</v>
      </c>
      <c r="E1172" t="s">
        <v>2134</v>
      </c>
      <c r="F1172" t="s">
        <v>6341</v>
      </c>
      <c r="G1172" t="s">
        <v>6342</v>
      </c>
      <c r="H1172" t="s">
        <v>6343</v>
      </c>
    </row>
    <row r="1173">
      <c r="A1173">
        <v>93.0</v>
      </c>
      <c r="B1173">
        <v>1019535.0</v>
      </c>
      <c r="C1173" t="s">
        <v>6344</v>
      </c>
      <c r="D1173">
        <v>1019535.0</v>
      </c>
      <c r="E1173" t="s">
        <v>2129</v>
      </c>
      <c r="F1173" t="s">
        <v>6345</v>
      </c>
      <c r="G1173" t="s">
        <v>6346</v>
      </c>
      <c r="H1173" t="s">
        <v>6347</v>
      </c>
    </row>
    <row r="1174">
      <c r="A1174">
        <v>93.0</v>
      </c>
      <c r="B1174">
        <v>1019550.0</v>
      </c>
      <c r="C1174" t="s">
        <v>6348</v>
      </c>
      <c r="D1174">
        <v>1019550.0</v>
      </c>
      <c r="E1174" t="s">
        <v>2129</v>
      </c>
      <c r="F1174" t="s">
        <v>6349</v>
      </c>
      <c r="G1174" t="s">
        <v>6350</v>
      </c>
      <c r="H1174" t="s">
        <v>6351</v>
      </c>
    </row>
    <row r="1175">
      <c r="A1175">
        <v>93.0</v>
      </c>
      <c r="B1175">
        <v>1019555.0</v>
      </c>
      <c r="C1175" t="s">
        <v>6352</v>
      </c>
      <c r="D1175">
        <v>1019555.0</v>
      </c>
      <c r="E1175" t="s">
        <v>2129</v>
      </c>
      <c r="F1175" t="s">
        <v>6353</v>
      </c>
      <c r="G1175" t="s">
        <v>6354</v>
      </c>
      <c r="H1175" t="s">
        <v>6355</v>
      </c>
    </row>
    <row r="1176">
      <c r="A1176">
        <v>93.0</v>
      </c>
      <c r="B1176">
        <v>1019528.0</v>
      </c>
      <c r="C1176" t="s">
        <v>6356</v>
      </c>
      <c r="D1176">
        <v>1019528.0</v>
      </c>
      <c r="E1176" t="s">
        <v>2129</v>
      </c>
      <c r="F1176" t="s">
        <v>6357</v>
      </c>
      <c r="G1176" t="s">
        <v>6358</v>
      </c>
      <c r="H1176" t="s">
        <v>6359</v>
      </c>
    </row>
    <row r="1177">
      <c r="A1177">
        <v>93.0</v>
      </c>
      <c r="B1177">
        <v>1019515.0</v>
      </c>
      <c r="C1177" t="s">
        <v>6360</v>
      </c>
      <c r="D1177">
        <v>1019515.0</v>
      </c>
      <c r="E1177" t="s">
        <v>2129</v>
      </c>
      <c r="F1177" t="s">
        <v>6361</v>
      </c>
      <c r="G1177" t="s">
        <v>6362</v>
      </c>
      <c r="H1177" t="s">
        <v>6363</v>
      </c>
    </row>
    <row r="1178">
      <c r="A1178">
        <v>93.0</v>
      </c>
      <c r="B1178">
        <v>1019536.0</v>
      </c>
      <c r="C1178" t="s">
        <v>6364</v>
      </c>
      <c r="D1178">
        <v>1019536.0</v>
      </c>
      <c r="E1178" t="s">
        <v>2129</v>
      </c>
      <c r="F1178" t="s">
        <v>6365</v>
      </c>
      <c r="G1178" t="s">
        <v>6366</v>
      </c>
      <c r="H1178" t="s">
        <v>6367</v>
      </c>
    </row>
    <row r="1179">
      <c r="A1179">
        <v>93.0</v>
      </c>
      <c r="B1179">
        <v>1019545.0</v>
      </c>
      <c r="C1179" t="s">
        <v>6368</v>
      </c>
      <c r="D1179">
        <v>1019545.0</v>
      </c>
      <c r="E1179" t="s">
        <v>2134</v>
      </c>
      <c r="F1179" t="s">
        <v>6369</v>
      </c>
      <c r="G1179" t="s">
        <v>6370</v>
      </c>
      <c r="H1179" t="s">
        <v>6371</v>
      </c>
    </row>
    <row r="1180">
      <c r="A1180">
        <v>93.0</v>
      </c>
      <c r="B1180">
        <v>1019526.0</v>
      </c>
      <c r="C1180" t="s">
        <v>6372</v>
      </c>
      <c r="D1180">
        <v>1019526.0</v>
      </c>
      <c r="E1180" t="s">
        <v>2134</v>
      </c>
      <c r="F1180" t="s">
        <v>6373</v>
      </c>
      <c r="G1180" t="s">
        <v>6374</v>
      </c>
      <c r="H1180" t="s">
        <v>6375</v>
      </c>
    </row>
    <row r="1181">
      <c r="A1181">
        <v>93.0</v>
      </c>
      <c r="B1181">
        <v>1019549.0</v>
      </c>
      <c r="C1181" t="s">
        <v>6376</v>
      </c>
      <c r="D1181">
        <v>1019549.0</v>
      </c>
      <c r="E1181" t="s">
        <v>2134</v>
      </c>
      <c r="F1181" t="s">
        <v>3719</v>
      </c>
      <c r="G1181" t="s">
        <v>6377</v>
      </c>
      <c r="H1181" t="s">
        <v>6378</v>
      </c>
    </row>
    <row r="1182">
      <c r="A1182">
        <v>93.0</v>
      </c>
      <c r="B1182">
        <v>1019557.0</v>
      </c>
      <c r="C1182" t="s">
        <v>6379</v>
      </c>
      <c r="D1182">
        <v>1019557.0</v>
      </c>
      <c r="E1182" t="s">
        <v>2134</v>
      </c>
      <c r="F1182" t="s">
        <v>6380</v>
      </c>
      <c r="G1182" t="s">
        <v>6381</v>
      </c>
      <c r="H1182" t="s">
        <v>6382</v>
      </c>
    </row>
    <row r="1183">
      <c r="A1183">
        <v>93.0</v>
      </c>
      <c r="B1183">
        <v>1019551.0</v>
      </c>
      <c r="C1183" t="s">
        <v>6383</v>
      </c>
      <c r="D1183">
        <v>1019551.0</v>
      </c>
      <c r="E1183" t="s">
        <v>2134</v>
      </c>
      <c r="F1183" t="s">
        <v>6384</v>
      </c>
      <c r="G1183" t="s">
        <v>6385</v>
      </c>
      <c r="H1183" t="s">
        <v>6386</v>
      </c>
    </row>
    <row r="1184">
      <c r="A1184">
        <v>93.0</v>
      </c>
      <c r="B1184">
        <v>1019556.0</v>
      </c>
      <c r="C1184" t="s">
        <v>6387</v>
      </c>
      <c r="D1184">
        <v>1019556.0</v>
      </c>
      <c r="E1184" t="s">
        <v>2134</v>
      </c>
      <c r="F1184" t="s">
        <v>6388</v>
      </c>
      <c r="G1184" t="s">
        <v>6389</v>
      </c>
      <c r="H1184" t="s">
        <v>6390</v>
      </c>
    </row>
    <row r="1185">
      <c r="A1185">
        <v>93.0</v>
      </c>
      <c r="B1185">
        <v>1019518.0</v>
      </c>
      <c r="C1185" t="s">
        <v>6391</v>
      </c>
      <c r="D1185">
        <v>1019518.0</v>
      </c>
      <c r="E1185" t="s">
        <v>2134</v>
      </c>
      <c r="F1185" t="s">
        <v>6392</v>
      </c>
      <c r="G1185" t="s">
        <v>6393</v>
      </c>
      <c r="H1185" t="s">
        <v>6394</v>
      </c>
    </row>
    <row r="1186">
      <c r="A1186">
        <v>93.0</v>
      </c>
      <c r="B1186">
        <v>1019525.0</v>
      </c>
      <c r="C1186" t="s">
        <v>6395</v>
      </c>
      <c r="D1186">
        <v>1019525.0</v>
      </c>
      <c r="E1186" t="s">
        <v>2134</v>
      </c>
      <c r="F1186" t="s">
        <v>6396</v>
      </c>
      <c r="G1186" t="s">
        <v>6397</v>
      </c>
      <c r="H1186" t="s">
        <v>6398</v>
      </c>
    </row>
    <row r="1187">
      <c r="A1187">
        <v>93.0</v>
      </c>
      <c r="B1187">
        <v>1019542.0</v>
      </c>
      <c r="C1187" t="s">
        <v>6399</v>
      </c>
      <c r="D1187">
        <v>1019542.0</v>
      </c>
      <c r="E1187" t="s">
        <v>2134</v>
      </c>
      <c r="F1187" t="s">
        <v>6400</v>
      </c>
      <c r="G1187" t="s">
        <v>6401</v>
      </c>
      <c r="H1187" t="s">
        <v>6402</v>
      </c>
    </row>
    <row r="1188">
      <c r="A1188">
        <v>93.0</v>
      </c>
      <c r="B1188">
        <v>1019520.0</v>
      </c>
      <c r="C1188" t="s">
        <v>6403</v>
      </c>
      <c r="D1188">
        <v>1019520.0</v>
      </c>
      <c r="E1188" t="s">
        <v>2129</v>
      </c>
      <c r="F1188" t="s">
        <v>6404</v>
      </c>
      <c r="G1188" t="s">
        <v>6405</v>
      </c>
      <c r="H1188" t="s">
        <v>6406</v>
      </c>
    </row>
    <row r="1189">
      <c r="A1189">
        <v>93.0</v>
      </c>
      <c r="B1189">
        <v>1010851.0</v>
      </c>
      <c r="C1189" t="s">
        <v>6407</v>
      </c>
      <c r="D1189">
        <v>1010851.0</v>
      </c>
      <c r="E1189" t="s">
        <v>2129</v>
      </c>
      <c r="F1189" t="s">
        <v>6408</v>
      </c>
      <c r="G1189" t="s">
        <v>6409</v>
      </c>
      <c r="H1189" t="s">
        <v>6410</v>
      </c>
    </row>
    <row r="1190">
      <c r="A1190">
        <v>93.0</v>
      </c>
      <c r="B1190">
        <v>1006796.0</v>
      </c>
      <c r="C1190" t="s">
        <v>6411</v>
      </c>
      <c r="D1190">
        <v>1006796.0</v>
      </c>
      <c r="E1190" t="s">
        <v>2129</v>
      </c>
      <c r="F1190" t="s">
        <v>6412</v>
      </c>
      <c r="G1190" t="s">
        <v>6413</v>
      </c>
      <c r="H1190" t="s">
        <v>6414</v>
      </c>
    </row>
    <row r="1191">
      <c r="A1191">
        <v>93.0</v>
      </c>
      <c r="B1191">
        <v>1008111.0</v>
      </c>
      <c r="C1191" t="s">
        <v>6415</v>
      </c>
      <c r="D1191">
        <v>1008111.0</v>
      </c>
      <c r="E1191" t="s">
        <v>2129</v>
      </c>
      <c r="F1191" t="s">
        <v>6416</v>
      </c>
      <c r="G1191" t="s">
        <v>4498</v>
      </c>
      <c r="H1191" t="s">
        <v>6417</v>
      </c>
    </row>
    <row r="1193">
      <c r="A1193">
        <v>94.0</v>
      </c>
      <c r="B1193">
        <v>1022212.0</v>
      </c>
      <c r="D1193">
        <v>1022212.0</v>
      </c>
      <c r="E1193" t="s">
        <v>2129</v>
      </c>
      <c r="F1193" t="s">
        <v>6418</v>
      </c>
      <c r="G1193" t="s">
        <v>6419</v>
      </c>
      <c r="H1193" t="s">
        <v>6420</v>
      </c>
    </row>
    <row r="1194">
      <c r="A1194">
        <v>94.0</v>
      </c>
      <c r="B1194">
        <v>1022214.0</v>
      </c>
      <c r="D1194">
        <v>1022214.0</v>
      </c>
      <c r="E1194" t="s">
        <v>2129</v>
      </c>
      <c r="F1194" t="s">
        <v>6421</v>
      </c>
      <c r="G1194" t="s">
        <v>6422</v>
      </c>
      <c r="H1194" t="s">
        <v>6423</v>
      </c>
    </row>
    <row r="1195">
      <c r="A1195">
        <v>94.0</v>
      </c>
      <c r="B1195">
        <v>1022215.0</v>
      </c>
      <c r="D1195">
        <v>1022215.0</v>
      </c>
      <c r="E1195" t="s">
        <v>2129</v>
      </c>
      <c r="F1195" t="s">
        <v>3501</v>
      </c>
      <c r="G1195" t="s">
        <v>6424</v>
      </c>
      <c r="H1195" t="s">
        <v>6425</v>
      </c>
    </row>
    <row r="1196">
      <c r="A1196">
        <v>94.0</v>
      </c>
      <c r="B1196">
        <v>1022218.0</v>
      </c>
      <c r="D1196">
        <v>1022218.0</v>
      </c>
      <c r="E1196" t="s">
        <v>2129</v>
      </c>
      <c r="F1196" t="s">
        <v>6426</v>
      </c>
      <c r="G1196" t="s">
        <v>6427</v>
      </c>
      <c r="H1196" t="s">
        <v>6428</v>
      </c>
    </row>
    <row r="1197">
      <c r="A1197">
        <v>94.0</v>
      </c>
      <c r="B1197">
        <v>1022217.0</v>
      </c>
      <c r="D1197">
        <v>1022217.0</v>
      </c>
      <c r="E1197" t="s">
        <v>2129</v>
      </c>
      <c r="F1197" t="s">
        <v>6429</v>
      </c>
      <c r="G1197" t="s">
        <v>6430</v>
      </c>
      <c r="H1197" t="s">
        <v>6431</v>
      </c>
    </row>
    <row r="1198">
      <c r="A1198">
        <v>94.0</v>
      </c>
      <c r="B1198">
        <v>1022220.0</v>
      </c>
      <c r="D1198">
        <v>1022220.0</v>
      </c>
      <c r="E1198" t="s">
        <v>2129</v>
      </c>
      <c r="F1198" t="s">
        <v>5596</v>
      </c>
      <c r="G1198" t="s">
        <v>6432</v>
      </c>
      <c r="H1198" t="s">
        <v>6433</v>
      </c>
    </row>
    <row r="1199">
      <c r="A1199">
        <v>94.0</v>
      </c>
      <c r="B1199">
        <v>1022219.0</v>
      </c>
      <c r="D1199">
        <v>1022219.0</v>
      </c>
      <c r="E1199" t="s">
        <v>2134</v>
      </c>
      <c r="F1199" t="s">
        <v>6434</v>
      </c>
      <c r="G1199" t="s">
        <v>6435</v>
      </c>
      <c r="H1199" t="s">
        <v>6436</v>
      </c>
    </row>
    <row r="1200">
      <c r="A1200">
        <v>94.0</v>
      </c>
      <c r="B1200">
        <v>1022221.0</v>
      </c>
      <c r="D1200">
        <v>1022221.0</v>
      </c>
      <c r="E1200" t="s">
        <v>2134</v>
      </c>
      <c r="F1200" t="s">
        <v>6437</v>
      </c>
      <c r="G1200" t="s">
        <v>6438</v>
      </c>
      <c r="H1200" t="s">
        <v>6439</v>
      </c>
    </row>
    <row r="1201">
      <c r="A1201">
        <v>94.0</v>
      </c>
      <c r="B1201">
        <v>1022224.0</v>
      </c>
      <c r="D1201">
        <v>1022224.0</v>
      </c>
      <c r="E1201" t="s">
        <v>2134</v>
      </c>
      <c r="F1201" t="s">
        <v>6440</v>
      </c>
      <c r="G1201" t="s">
        <v>6441</v>
      </c>
      <c r="H1201" t="s">
        <v>6442</v>
      </c>
    </row>
    <row r="1202">
      <c r="A1202">
        <v>94.0</v>
      </c>
      <c r="B1202">
        <v>1022222.0</v>
      </c>
      <c r="D1202">
        <v>1022222.0</v>
      </c>
      <c r="E1202" t="s">
        <v>2134</v>
      </c>
      <c r="F1202" t="s">
        <v>6443</v>
      </c>
      <c r="G1202" t="s">
        <v>6444</v>
      </c>
      <c r="H1202" t="s">
        <v>6445</v>
      </c>
    </row>
    <row r="1203">
      <c r="A1203">
        <v>94.0</v>
      </c>
      <c r="B1203">
        <v>1022223.0</v>
      </c>
      <c r="D1203">
        <v>1022223.0</v>
      </c>
      <c r="E1203" t="s">
        <v>2129</v>
      </c>
      <c r="F1203" t="s">
        <v>6446</v>
      </c>
      <c r="G1203" t="s">
        <v>6447</v>
      </c>
      <c r="H1203" t="s">
        <v>6448</v>
      </c>
    </row>
    <row r="1204">
      <c r="A1204">
        <v>94.0</v>
      </c>
      <c r="B1204">
        <v>1022225.0</v>
      </c>
      <c r="D1204">
        <v>1022225.0</v>
      </c>
      <c r="E1204" t="s">
        <v>2129</v>
      </c>
      <c r="F1204" t="s">
        <v>2445</v>
      </c>
      <c r="G1204" t="s">
        <v>6449</v>
      </c>
      <c r="H1204" t="s">
        <v>6450</v>
      </c>
    </row>
    <row r="1205">
      <c r="A1205">
        <v>94.0</v>
      </c>
      <c r="B1205">
        <v>1022226.0</v>
      </c>
      <c r="D1205">
        <v>1022226.0</v>
      </c>
      <c r="E1205" t="s">
        <v>2129</v>
      </c>
      <c r="F1205" t="s">
        <v>6451</v>
      </c>
      <c r="G1205" t="s">
        <v>6452</v>
      </c>
      <c r="H1205" t="s">
        <v>6453</v>
      </c>
    </row>
    <row r="1206">
      <c r="A1206">
        <v>94.0</v>
      </c>
      <c r="B1206">
        <v>1008230.0</v>
      </c>
      <c r="C1206" t="s">
        <v>6454</v>
      </c>
      <c r="D1206">
        <v>1008230.0</v>
      </c>
      <c r="E1206" t="s">
        <v>2129</v>
      </c>
      <c r="F1206" t="s">
        <v>6455</v>
      </c>
      <c r="G1206" t="s">
        <v>6456</v>
      </c>
      <c r="H1206" t="s">
        <v>6457</v>
      </c>
    </row>
    <row r="1207">
      <c r="A1207">
        <v>94.0</v>
      </c>
      <c r="B1207">
        <v>1005817.0</v>
      </c>
      <c r="C1207" t="s">
        <v>6458</v>
      </c>
      <c r="D1207">
        <v>1005817.0</v>
      </c>
      <c r="E1207" t="s">
        <v>2134</v>
      </c>
      <c r="F1207" t="s">
        <v>6459</v>
      </c>
      <c r="G1207" t="s">
        <v>6460</v>
      </c>
      <c r="H1207" t="s">
        <v>6461</v>
      </c>
    </row>
    <row r="1208">
      <c r="A1208">
        <v>94.0</v>
      </c>
      <c r="B1208">
        <v>1010721.0</v>
      </c>
      <c r="C1208" t="s">
        <v>6462</v>
      </c>
      <c r="D1208">
        <v>1010721.0</v>
      </c>
      <c r="E1208" t="s">
        <v>2129</v>
      </c>
      <c r="F1208" t="s">
        <v>6463</v>
      </c>
      <c r="G1208" t="s">
        <v>6464</v>
      </c>
      <c r="H1208" t="s">
        <v>6465</v>
      </c>
    </row>
    <row r="1209">
      <c r="A1209">
        <v>94.0</v>
      </c>
      <c r="B1209">
        <v>1011710.0</v>
      </c>
      <c r="C1209" t="s">
        <v>6466</v>
      </c>
      <c r="D1209">
        <v>1011710.0</v>
      </c>
      <c r="E1209" t="s">
        <v>2129</v>
      </c>
      <c r="F1209" t="s">
        <v>6467</v>
      </c>
      <c r="G1209" t="s">
        <v>6468</v>
      </c>
      <c r="H1209" t="s">
        <v>6469</v>
      </c>
    </row>
    <row r="1210">
      <c r="A1210">
        <v>94.0</v>
      </c>
      <c r="B1210">
        <v>1022228.0</v>
      </c>
      <c r="D1210">
        <v>1022228.0</v>
      </c>
      <c r="E1210" t="s">
        <v>2129</v>
      </c>
      <c r="F1210" t="s">
        <v>4224</v>
      </c>
      <c r="G1210" t="s">
        <v>6470</v>
      </c>
      <c r="H1210" t="s">
        <v>6471</v>
      </c>
    </row>
    <row r="1212">
      <c r="A1212">
        <v>95.0</v>
      </c>
      <c r="B1212">
        <v>1022213.0</v>
      </c>
      <c r="D1212">
        <v>1022213.0</v>
      </c>
      <c r="E1212" t="s">
        <v>2134</v>
      </c>
      <c r="F1212" t="s">
        <v>6472</v>
      </c>
      <c r="G1212" t="s">
        <v>6473</v>
      </c>
      <c r="H1212" t="s">
        <v>6474</v>
      </c>
    </row>
    <row r="1213">
      <c r="A1213">
        <v>95.0</v>
      </c>
      <c r="B1213">
        <v>1022697.0</v>
      </c>
      <c r="D1213">
        <v>1022697.0</v>
      </c>
      <c r="E1213" t="s">
        <v>2134</v>
      </c>
      <c r="F1213" t="s">
        <v>6475</v>
      </c>
      <c r="G1213" t="s">
        <v>6476</v>
      </c>
      <c r="H1213" t="s">
        <v>6477</v>
      </c>
    </row>
    <row r="1214">
      <c r="A1214">
        <v>95.0</v>
      </c>
      <c r="B1214">
        <v>1022660.0</v>
      </c>
      <c r="D1214">
        <v>1022660.0</v>
      </c>
      <c r="E1214" t="s">
        <v>2129</v>
      </c>
      <c r="F1214" t="s">
        <v>6478</v>
      </c>
      <c r="G1214" t="s">
        <v>6479</v>
      </c>
      <c r="H1214" t="s">
        <v>6480</v>
      </c>
    </row>
    <row r="1215">
      <c r="A1215">
        <v>95.0</v>
      </c>
      <c r="B1215">
        <v>1022841.0</v>
      </c>
      <c r="D1215">
        <v>1022841.0</v>
      </c>
      <c r="E1215" t="s">
        <v>2129</v>
      </c>
      <c r="F1215" t="s">
        <v>5185</v>
      </c>
      <c r="G1215" t="s">
        <v>6481</v>
      </c>
      <c r="H1215" t="s">
        <v>6482</v>
      </c>
    </row>
    <row r="1216">
      <c r="A1216">
        <v>95.0</v>
      </c>
      <c r="B1216">
        <v>1022661.0</v>
      </c>
      <c r="D1216">
        <v>1022661.0</v>
      </c>
      <c r="E1216" t="s">
        <v>2129</v>
      </c>
      <c r="F1216" t="s">
        <v>6483</v>
      </c>
      <c r="G1216" t="s">
        <v>6484</v>
      </c>
      <c r="H1216" t="s">
        <v>6485</v>
      </c>
    </row>
    <row r="1217">
      <c r="A1217">
        <v>95.0</v>
      </c>
      <c r="B1217">
        <v>1022842.0</v>
      </c>
      <c r="D1217">
        <v>1022842.0</v>
      </c>
      <c r="E1217" t="s">
        <v>2129</v>
      </c>
      <c r="F1217" t="s">
        <v>6486</v>
      </c>
      <c r="G1217" t="s">
        <v>6487</v>
      </c>
      <c r="H1217" t="s">
        <v>6488</v>
      </c>
    </row>
    <row r="1218">
      <c r="A1218">
        <v>95.0</v>
      </c>
      <c r="B1218">
        <v>1022663.0</v>
      </c>
      <c r="D1218">
        <v>1022663.0</v>
      </c>
      <c r="E1218" t="s">
        <v>2129</v>
      </c>
      <c r="F1218" t="s">
        <v>6489</v>
      </c>
      <c r="G1218" t="s">
        <v>6490</v>
      </c>
      <c r="H1218" t="s">
        <v>6491</v>
      </c>
    </row>
    <row r="1219">
      <c r="A1219">
        <v>95.0</v>
      </c>
      <c r="B1219">
        <v>1022669.0</v>
      </c>
      <c r="D1219">
        <v>1022669.0</v>
      </c>
      <c r="E1219" t="s">
        <v>2134</v>
      </c>
      <c r="F1219" t="s">
        <v>6492</v>
      </c>
      <c r="G1219" t="s">
        <v>6493</v>
      </c>
      <c r="H1219" t="s">
        <v>6494</v>
      </c>
    </row>
    <row r="1220">
      <c r="A1220">
        <v>95.0</v>
      </c>
      <c r="B1220">
        <v>1022658.0</v>
      </c>
      <c r="D1220">
        <v>1022658.0</v>
      </c>
      <c r="E1220" t="s">
        <v>2129</v>
      </c>
      <c r="F1220" t="s">
        <v>6495</v>
      </c>
      <c r="G1220" t="s">
        <v>6496</v>
      </c>
      <c r="H1220" t="s">
        <v>6497</v>
      </c>
    </row>
    <row r="1221">
      <c r="A1221">
        <v>95.0</v>
      </c>
      <c r="B1221">
        <v>1022666.0</v>
      </c>
      <c r="D1221">
        <v>1022666.0</v>
      </c>
      <c r="E1221" t="s">
        <v>2129</v>
      </c>
      <c r="F1221" t="s">
        <v>6498</v>
      </c>
      <c r="G1221" t="s">
        <v>6499</v>
      </c>
      <c r="H1221" t="s">
        <v>6500</v>
      </c>
    </row>
    <row r="1222">
      <c r="A1222">
        <v>95.0</v>
      </c>
      <c r="B1222">
        <v>1022662.0</v>
      </c>
      <c r="D1222">
        <v>1022662.0</v>
      </c>
      <c r="E1222" t="s">
        <v>2129</v>
      </c>
      <c r="F1222" t="s">
        <v>6501</v>
      </c>
      <c r="G1222" t="s">
        <v>6502</v>
      </c>
      <c r="H1222" t="s">
        <v>6503</v>
      </c>
    </row>
    <row r="1223">
      <c r="A1223">
        <v>95.0</v>
      </c>
      <c r="B1223">
        <v>1022667.0</v>
      </c>
      <c r="D1223">
        <v>1022667.0</v>
      </c>
      <c r="E1223" t="s">
        <v>2129</v>
      </c>
      <c r="F1223" t="s">
        <v>6504</v>
      </c>
      <c r="G1223" t="s">
        <v>6505</v>
      </c>
      <c r="H1223" t="s">
        <v>6506</v>
      </c>
    </row>
    <row r="1224">
      <c r="A1224">
        <v>95.0</v>
      </c>
      <c r="B1224">
        <v>1022779.0</v>
      </c>
      <c r="D1224">
        <v>1022779.0</v>
      </c>
      <c r="E1224" t="s">
        <v>2129</v>
      </c>
      <c r="F1224" t="s">
        <v>6507</v>
      </c>
      <c r="G1224" t="s">
        <v>6508</v>
      </c>
      <c r="H1224" t="s">
        <v>6509</v>
      </c>
    </row>
    <row r="1225">
      <c r="A1225">
        <v>95.0</v>
      </c>
      <c r="B1225">
        <v>1022610.0</v>
      </c>
      <c r="D1225">
        <v>1022610.0</v>
      </c>
      <c r="E1225" t="s">
        <v>2134</v>
      </c>
      <c r="F1225" t="s">
        <v>6510</v>
      </c>
      <c r="G1225" t="s">
        <v>6511</v>
      </c>
      <c r="H1225" t="s">
        <v>6512</v>
      </c>
    </row>
    <row r="1226">
      <c r="A1226">
        <v>95.0</v>
      </c>
      <c r="B1226">
        <v>1009131.0</v>
      </c>
      <c r="C1226" t="s">
        <v>6513</v>
      </c>
      <c r="D1226">
        <v>1009131.0</v>
      </c>
      <c r="E1226" t="s">
        <v>2134</v>
      </c>
      <c r="F1226" t="s">
        <v>2307</v>
      </c>
      <c r="G1226" t="s">
        <v>6514</v>
      </c>
      <c r="H1226" t="s">
        <v>6515</v>
      </c>
    </row>
    <row r="1227">
      <c r="A1227">
        <v>95.0</v>
      </c>
      <c r="B1227">
        <v>1007711.0</v>
      </c>
      <c r="C1227" t="s">
        <v>6516</v>
      </c>
      <c r="D1227">
        <v>1007711.0</v>
      </c>
      <c r="E1227" t="s">
        <v>2198</v>
      </c>
      <c r="F1227" t="s">
        <v>6517</v>
      </c>
      <c r="G1227" t="s">
        <v>6518</v>
      </c>
      <c r="H1227" t="s">
        <v>6519</v>
      </c>
    </row>
    <row r="1228">
      <c r="A1228">
        <v>95.0</v>
      </c>
      <c r="B1228">
        <v>1007525.0</v>
      </c>
      <c r="C1228" t="s">
        <v>6520</v>
      </c>
      <c r="D1228">
        <v>1007525.0</v>
      </c>
      <c r="E1228" t="s">
        <v>2129</v>
      </c>
      <c r="F1228" t="s">
        <v>6521</v>
      </c>
      <c r="G1228" t="s">
        <v>6522</v>
      </c>
      <c r="H1228" t="s">
        <v>6523</v>
      </c>
    </row>
    <row r="1229">
      <c r="A1229">
        <v>95.0</v>
      </c>
      <c r="B1229">
        <v>1008689.0</v>
      </c>
      <c r="C1229" t="s">
        <v>6524</v>
      </c>
      <c r="D1229">
        <v>1008689.0</v>
      </c>
      <c r="E1229" t="s">
        <v>2129</v>
      </c>
      <c r="F1229" t="s">
        <v>3095</v>
      </c>
      <c r="G1229" t="s">
        <v>6525</v>
      </c>
      <c r="H1229" t="s">
        <v>6526</v>
      </c>
    </row>
    <row r="1230">
      <c r="A1230">
        <v>95.0</v>
      </c>
      <c r="B1230">
        <v>1008311.0</v>
      </c>
      <c r="C1230" t="s">
        <v>6527</v>
      </c>
      <c r="D1230">
        <v>1008311.0</v>
      </c>
      <c r="E1230" t="s">
        <v>2129</v>
      </c>
      <c r="F1230" t="s">
        <v>6528</v>
      </c>
      <c r="G1230" t="s">
        <v>6529</v>
      </c>
      <c r="H1230" t="s">
        <v>6530</v>
      </c>
    </row>
    <row r="1231">
      <c r="A1231">
        <v>95.0</v>
      </c>
      <c r="B1231">
        <v>1022668.0</v>
      </c>
      <c r="D1231">
        <v>1022668.0</v>
      </c>
      <c r="E1231" t="s">
        <v>2129</v>
      </c>
      <c r="F1231" t="s">
        <v>6531</v>
      </c>
      <c r="G1231" t="s">
        <v>6532</v>
      </c>
      <c r="H1231" t="s">
        <v>6533</v>
      </c>
    </row>
    <row r="1233">
      <c r="A1233">
        <v>96.0</v>
      </c>
      <c r="B1233">
        <v>1022990.0</v>
      </c>
      <c r="D1233">
        <v>1022990.0</v>
      </c>
      <c r="E1233" t="s">
        <v>2129</v>
      </c>
      <c r="F1233" t="s">
        <v>6534</v>
      </c>
      <c r="G1233" t="s">
        <v>6535</v>
      </c>
      <c r="H1233" t="s">
        <v>6536</v>
      </c>
    </row>
    <row r="1234">
      <c r="A1234">
        <v>96.0</v>
      </c>
      <c r="B1234">
        <v>1022985.0</v>
      </c>
      <c r="D1234">
        <v>1022985.0</v>
      </c>
      <c r="E1234" t="s">
        <v>2129</v>
      </c>
      <c r="F1234" t="s">
        <v>6537</v>
      </c>
      <c r="G1234" t="s">
        <v>6538</v>
      </c>
      <c r="H1234" t="s">
        <v>6539</v>
      </c>
    </row>
    <row r="1235">
      <c r="A1235">
        <v>96.0</v>
      </c>
      <c r="B1235">
        <v>1022848.0</v>
      </c>
      <c r="D1235">
        <v>1022848.0</v>
      </c>
      <c r="E1235" t="s">
        <v>2129</v>
      </c>
      <c r="F1235" t="s">
        <v>6540</v>
      </c>
      <c r="G1235" t="s">
        <v>6541</v>
      </c>
      <c r="H1235" t="s">
        <v>6542</v>
      </c>
    </row>
    <row r="1236">
      <c r="A1236">
        <v>96.0</v>
      </c>
      <c r="B1236">
        <v>1022754.0</v>
      </c>
      <c r="D1236">
        <v>1022754.0</v>
      </c>
      <c r="E1236" t="s">
        <v>2129</v>
      </c>
      <c r="F1236" t="s">
        <v>6543</v>
      </c>
      <c r="G1236" t="s">
        <v>6544</v>
      </c>
      <c r="H1236" t="s">
        <v>6545</v>
      </c>
    </row>
    <row r="1237">
      <c r="A1237">
        <v>96.0</v>
      </c>
      <c r="B1237">
        <v>1022839.0</v>
      </c>
      <c r="D1237">
        <v>1022839.0</v>
      </c>
      <c r="E1237" t="s">
        <v>2129</v>
      </c>
      <c r="F1237" t="s">
        <v>5459</v>
      </c>
      <c r="G1237" t="s">
        <v>6546</v>
      </c>
      <c r="H1237" t="s">
        <v>6547</v>
      </c>
    </row>
    <row r="1238">
      <c r="A1238">
        <v>96.0</v>
      </c>
      <c r="B1238">
        <v>1022984.0</v>
      </c>
      <c r="D1238">
        <v>1022984.0</v>
      </c>
      <c r="E1238" t="s">
        <v>2129</v>
      </c>
      <c r="F1238" t="s">
        <v>6548</v>
      </c>
      <c r="G1238" t="s">
        <v>6549</v>
      </c>
      <c r="H1238" t="s">
        <v>6550</v>
      </c>
    </row>
    <row r="1239">
      <c r="A1239">
        <v>96.0</v>
      </c>
      <c r="B1239">
        <v>1022847.0</v>
      </c>
      <c r="D1239">
        <v>1022847.0</v>
      </c>
      <c r="E1239" t="s">
        <v>2129</v>
      </c>
      <c r="F1239" t="s">
        <v>6551</v>
      </c>
      <c r="G1239" t="s">
        <v>6552</v>
      </c>
      <c r="H1239" t="s">
        <v>6553</v>
      </c>
    </row>
    <row r="1240">
      <c r="A1240">
        <v>96.0</v>
      </c>
      <c r="B1240">
        <v>1022670.0</v>
      </c>
      <c r="D1240">
        <v>1022670.0</v>
      </c>
      <c r="E1240" t="s">
        <v>2129</v>
      </c>
      <c r="F1240" t="s">
        <v>6554</v>
      </c>
      <c r="G1240" t="s">
        <v>6555</v>
      </c>
      <c r="H1240" t="s">
        <v>6556</v>
      </c>
    </row>
    <row r="1241">
      <c r="A1241">
        <v>96.0</v>
      </c>
      <c r="B1241">
        <v>1022858.0</v>
      </c>
      <c r="D1241">
        <v>1022858.0</v>
      </c>
      <c r="E1241" t="s">
        <v>2129</v>
      </c>
      <c r="F1241" t="s">
        <v>6557</v>
      </c>
      <c r="G1241" t="s">
        <v>6558</v>
      </c>
      <c r="H1241" t="s">
        <v>6559</v>
      </c>
    </row>
    <row r="1242">
      <c r="A1242">
        <v>96.0</v>
      </c>
      <c r="B1242">
        <v>1022986.0</v>
      </c>
      <c r="D1242">
        <v>1022986.0</v>
      </c>
      <c r="E1242" t="s">
        <v>2129</v>
      </c>
      <c r="F1242" t="s">
        <v>6560</v>
      </c>
      <c r="G1242" t="s">
        <v>6561</v>
      </c>
      <c r="H1242" t="s">
        <v>6562</v>
      </c>
    </row>
    <row r="1243">
      <c r="A1243">
        <v>96.0</v>
      </c>
      <c r="B1243">
        <v>1022845.0</v>
      </c>
      <c r="D1243">
        <v>1022845.0</v>
      </c>
      <c r="E1243" t="s">
        <v>2129</v>
      </c>
      <c r="F1243" t="s">
        <v>6563</v>
      </c>
      <c r="G1243" t="s">
        <v>6564</v>
      </c>
      <c r="H1243" t="s">
        <v>6565</v>
      </c>
    </row>
    <row r="1244">
      <c r="A1244">
        <v>96.0</v>
      </c>
      <c r="B1244">
        <v>1022846.0</v>
      </c>
      <c r="D1244">
        <v>1022846.0</v>
      </c>
      <c r="E1244" t="s">
        <v>2129</v>
      </c>
      <c r="F1244" t="s">
        <v>6566</v>
      </c>
      <c r="G1244" t="s">
        <v>6567</v>
      </c>
      <c r="H1244" t="s">
        <v>6568</v>
      </c>
    </row>
    <row r="1245">
      <c r="A1245">
        <v>96.0</v>
      </c>
      <c r="B1245">
        <v>1022989.0</v>
      </c>
      <c r="D1245">
        <v>1022989.0</v>
      </c>
      <c r="E1245" t="s">
        <v>2134</v>
      </c>
      <c r="F1245" t="s">
        <v>6569</v>
      </c>
      <c r="G1245" t="s">
        <v>6570</v>
      </c>
      <c r="H1245" t="s">
        <v>6571</v>
      </c>
    </row>
    <row r="1246">
      <c r="A1246">
        <v>96.0</v>
      </c>
      <c r="B1246">
        <v>1022983.0</v>
      </c>
      <c r="D1246">
        <v>1022983.0</v>
      </c>
      <c r="E1246" t="s">
        <v>2134</v>
      </c>
      <c r="F1246" t="s">
        <v>6572</v>
      </c>
      <c r="G1246" t="s">
        <v>6573</v>
      </c>
      <c r="H1246" t="s">
        <v>6574</v>
      </c>
    </row>
    <row r="1247">
      <c r="A1247">
        <v>96.0</v>
      </c>
      <c r="B1247">
        <v>1022982.0</v>
      </c>
      <c r="D1247">
        <v>1022982.0</v>
      </c>
      <c r="E1247" t="s">
        <v>2134</v>
      </c>
      <c r="F1247" t="s">
        <v>6575</v>
      </c>
      <c r="G1247" t="s">
        <v>6576</v>
      </c>
      <c r="H1247" t="s">
        <v>6577</v>
      </c>
    </row>
    <row r="1248">
      <c r="A1248">
        <v>96.0</v>
      </c>
      <c r="B1248">
        <v>1008233.0</v>
      </c>
      <c r="C1248" t="s">
        <v>6578</v>
      </c>
      <c r="D1248">
        <v>1008233.0</v>
      </c>
      <c r="E1248" t="s">
        <v>2129</v>
      </c>
      <c r="F1248" t="s">
        <v>2933</v>
      </c>
      <c r="G1248" t="s">
        <v>6579</v>
      </c>
      <c r="H1248" t="s">
        <v>6580</v>
      </c>
    </row>
    <row r="1249">
      <c r="A1249">
        <v>96.0</v>
      </c>
      <c r="B1249">
        <v>1008211.0</v>
      </c>
      <c r="C1249" t="s">
        <v>6581</v>
      </c>
      <c r="D1249">
        <v>1008211.0</v>
      </c>
      <c r="E1249" t="s">
        <v>2129</v>
      </c>
      <c r="F1249" t="s">
        <v>6582</v>
      </c>
      <c r="G1249" t="s">
        <v>6583</v>
      </c>
      <c r="H1249" t="s">
        <v>6584</v>
      </c>
    </row>
    <row r="1250">
      <c r="A1250">
        <v>96.0</v>
      </c>
      <c r="B1250">
        <v>1008894.0</v>
      </c>
      <c r="C1250" t="s">
        <v>6585</v>
      </c>
      <c r="D1250">
        <v>1008894.0</v>
      </c>
      <c r="E1250" t="s">
        <v>2134</v>
      </c>
      <c r="F1250" t="s">
        <v>6586</v>
      </c>
      <c r="G1250" t="s">
        <v>6587</v>
      </c>
      <c r="H1250" t="s">
        <v>6588</v>
      </c>
    </row>
    <row r="1252">
      <c r="A1252">
        <v>97.0</v>
      </c>
      <c r="B1252">
        <v>1022701.0</v>
      </c>
      <c r="D1252">
        <v>1022701.0</v>
      </c>
      <c r="E1252" t="s">
        <v>2129</v>
      </c>
      <c r="F1252" t="s">
        <v>6589</v>
      </c>
      <c r="G1252" t="s">
        <v>6590</v>
      </c>
      <c r="H1252" t="s">
        <v>6591</v>
      </c>
    </row>
    <row r="1253">
      <c r="A1253">
        <v>97.0</v>
      </c>
      <c r="B1253">
        <v>1022987.0</v>
      </c>
      <c r="D1253">
        <v>1022987.0</v>
      </c>
      <c r="E1253" t="s">
        <v>2129</v>
      </c>
      <c r="F1253" t="s">
        <v>6592</v>
      </c>
      <c r="G1253" t="s">
        <v>6593</v>
      </c>
      <c r="H1253" t="s">
        <v>6594</v>
      </c>
    </row>
    <row r="1254">
      <c r="A1254">
        <v>97.0</v>
      </c>
      <c r="B1254">
        <v>1022719.0</v>
      </c>
      <c r="D1254">
        <v>1022719.0</v>
      </c>
      <c r="E1254" t="s">
        <v>2129</v>
      </c>
      <c r="F1254" t="s">
        <v>4411</v>
      </c>
      <c r="G1254" t="s">
        <v>6595</v>
      </c>
      <c r="H1254" t="s">
        <v>6596</v>
      </c>
    </row>
    <row r="1255">
      <c r="A1255">
        <v>97.0</v>
      </c>
      <c r="B1255">
        <v>1022700.0</v>
      </c>
      <c r="D1255">
        <v>1022700.0</v>
      </c>
      <c r="E1255" t="s">
        <v>2134</v>
      </c>
      <c r="F1255" t="s">
        <v>6597</v>
      </c>
      <c r="G1255" t="s">
        <v>6598</v>
      </c>
      <c r="H1255" t="s">
        <v>6599</v>
      </c>
    </row>
    <row r="1256">
      <c r="A1256">
        <v>97.0</v>
      </c>
      <c r="B1256">
        <v>1022699.0</v>
      </c>
      <c r="D1256">
        <v>1022699.0</v>
      </c>
      <c r="E1256" t="s">
        <v>2134</v>
      </c>
      <c r="F1256" t="s">
        <v>6600</v>
      </c>
      <c r="G1256" t="s">
        <v>6601</v>
      </c>
      <c r="H1256" t="s">
        <v>6602</v>
      </c>
    </row>
    <row r="1257">
      <c r="A1257">
        <v>97.0</v>
      </c>
      <c r="B1257">
        <v>1022708.0</v>
      </c>
      <c r="D1257">
        <v>1022708.0</v>
      </c>
      <c r="E1257" t="s">
        <v>2129</v>
      </c>
      <c r="F1257" t="s">
        <v>2513</v>
      </c>
      <c r="G1257" t="s">
        <v>6603</v>
      </c>
      <c r="H1257" t="s">
        <v>6604</v>
      </c>
    </row>
    <row r="1258">
      <c r="A1258">
        <v>97.0</v>
      </c>
      <c r="B1258">
        <v>1022721.0</v>
      </c>
      <c r="D1258">
        <v>1022721.0</v>
      </c>
      <c r="E1258" t="s">
        <v>2129</v>
      </c>
      <c r="F1258" t="s">
        <v>6605</v>
      </c>
      <c r="G1258" t="s">
        <v>6606</v>
      </c>
      <c r="H1258" t="s">
        <v>6607</v>
      </c>
    </row>
    <row r="1259">
      <c r="A1259">
        <v>97.0</v>
      </c>
      <c r="B1259">
        <v>1022693.0</v>
      </c>
      <c r="D1259">
        <v>1022693.0</v>
      </c>
      <c r="E1259" t="s">
        <v>2129</v>
      </c>
      <c r="F1259" t="s">
        <v>6608</v>
      </c>
      <c r="G1259" t="s">
        <v>6609</v>
      </c>
      <c r="H1259" t="s">
        <v>6610</v>
      </c>
    </row>
    <row r="1260">
      <c r="A1260">
        <v>97.0</v>
      </c>
      <c r="B1260">
        <v>1022702.0</v>
      </c>
      <c r="D1260">
        <v>1022702.0</v>
      </c>
      <c r="E1260" t="s">
        <v>2129</v>
      </c>
      <c r="F1260" t="s">
        <v>6611</v>
      </c>
      <c r="G1260" t="s">
        <v>6612</v>
      </c>
      <c r="H1260" t="s">
        <v>6613</v>
      </c>
    </row>
    <row r="1261">
      <c r="A1261">
        <v>97.0</v>
      </c>
      <c r="B1261">
        <v>1022705.0</v>
      </c>
      <c r="D1261">
        <v>1022705.0</v>
      </c>
      <c r="E1261" t="s">
        <v>2129</v>
      </c>
      <c r="F1261" t="s">
        <v>6614</v>
      </c>
      <c r="G1261" t="s">
        <v>6615</v>
      </c>
      <c r="H1261" t="s">
        <v>6616</v>
      </c>
    </row>
    <row r="1262">
      <c r="A1262">
        <v>97.0</v>
      </c>
      <c r="B1262">
        <v>1022720.0</v>
      </c>
      <c r="D1262">
        <v>1022720.0</v>
      </c>
      <c r="E1262" t="s">
        <v>2129</v>
      </c>
      <c r="F1262" t="s">
        <v>6617</v>
      </c>
      <c r="G1262" t="s">
        <v>6618</v>
      </c>
      <c r="H1262" t="s">
        <v>6619</v>
      </c>
    </row>
    <row r="1263">
      <c r="A1263">
        <v>97.0</v>
      </c>
      <c r="B1263">
        <v>1022706.0</v>
      </c>
      <c r="D1263">
        <v>1022706.0</v>
      </c>
      <c r="E1263" t="s">
        <v>2129</v>
      </c>
      <c r="F1263" t="s">
        <v>6620</v>
      </c>
      <c r="G1263" t="s">
        <v>6621</v>
      </c>
      <c r="H1263" t="s">
        <v>6622</v>
      </c>
    </row>
    <row r="1264">
      <c r="A1264">
        <v>97.0</v>
      </c>
      <c r="B1264">
        <v>1006830.0</v>
      </c>
      <c r="C1264" t="s">
        <v>6623</v>
      </c>
      <c r="D1264">
        <v>1006830.0</v>
      </c>
      <c r="E1264" t="s">
        <v>2129</v>
      </c>
      <c r="F1264" t="s">
        <v>6624</v>
      </c>
      <c r="G1264" t="s">
        <v>6625</v>
      </c>
      <c r="H1264" t="s">
        <v>6626</v>
      </c>
    </row>
    <row r="1265">
      <c r="A1265">
        <v>97.0</v>
      </c>
      <c r="B1265">
        <v>1011705.0</v>
      </c>
      <c r="C1265" t="s">
        <v>6627</v>
      </c>
      <c r="D1265">
        <v>1011705.0</v>
      </c>
      <c r="E1265" t="s">
        <v>2129</v>
      </c>
      <c r="F1265" t="s">
        <v>6628</v>
      </c>
      <c r="G1265" t="s">
        <v>6629</v>
      </c>
      <c r="H1265" t="s">
        <v>6630</v>
      </c>
    </row>
    <row r="1266">
      <c r="A1266">
        <v>97.0</v>
      </c>
      <c r="B1266">
        <v>1004951.0</v>
      </c>
      <c r="C1266" t="s">
        <v>6631</v>
      </c>
      <c r="D1266">
        <v>1004951.0</v>
      </c>
      <c r="E1266" t="s">
        <v>2129</v>
      </c>
      <c r="F1266" t="s">
        <v>6632</v>
      </c>
      <c r="G1266" t="s">
        <v>6633</v>
      </c>
      <c r="H1266" t="s">
        <v>6634</v>
      </c>
    </row>
    <row r="1267">
      <c r="A1267">
        <v>97.0</v>
      </c>
      <c r="B1267">
        <v>1005344.0</v>
      </c>
      <c r="C1267" t="s">
        <v>6635</v>
      </c>
      <c r="D1267">
        <v>1005344.0</v>
      </c>
      <c r="E1267" t="s">
        <v>2129</v>
      </c>
      <c r="F1267" t="s">
        <v>6636</v>
      </c>
      <c r="G1267" t="s">
        <v>6637</v>
      </c>
      <c r="H1267" t="s">
        <v>6638</v>
      </c>
    </row>
    <row r="1269">
      <c r="A1269">
        <v>98.0</v>
      </c>
      <c r="B1269">
        <v>1023589.0</v>
      </c>
      <c r="D1269">
        <v>1023589.0</v>
      </c>
      <c r="E1269" t="s">
        <v>2129</v>
      </c>
      <c r="F1269" t="s">
        <v>6639</v>
      </c>
      <c r="G1269" t="s">
        <v>2644</v>
      </c>
      <c r="H1269" t="s">
        <v>6640</v>
      </c>
    </row>
    <row r="1270">
      <c r="A1270">
        <v>98.0</v>
      </c>
      <c r="B1270">
        <v>1023563.0</v>
      </c>
      <c r="C1270" t="s">
        <v>6641</v>
      </c>
      <c r="D1270">
        <v>1023563.0</v>
      </c>
      <c r="E1270" t="s">
        <v>2129</v>
      </c>
      <c r="F1270" t="s">
        <v>6642</v>
      </c>
      <c r="G1270" t="s">
        <v>6643</v>
      </c>
      <c r="H1270" t="s">
        <v>6644</v>
      </c>
    </row>
    <row r="1271">
      <c r="A1271">
        <v>98.0</v>
      </c>
      <c r="B1271">
        <v>1023590.0</v>
      </c>
      <c r="C1271" t="s">
        <v>6641</v>
      </c>
      <c r="D1271">
        <v>1023590.0</v>
      </c>
      <c r="E1271" t="s">
        <v>2129</v>
      </c>
      <c r="F1271" t="s">
        <v>6645</v>
      </c>
      <c r="G1271" t="s">
        <v>6646</v>
      </c>
      <c r="H1271" t="s">
        <v>6647</v>
      </c>
    </row>
    <row r="1272">
      <c r="A1272">
        <v>98.0</v>
      </c>
      <c r="B1272">
        <v>1023581.0</v>
      </c>
      <c r="D1272">
        <v>1023581.0</v>
      </c>
      <c r="E1272" t="s">
        <v>2129</v>
      </c>
      <c r="F1272" t="s">
        <v>6648</v>
      </c>
      <c r="G1272" t="s">
        <v>6649</v>
      </c>
      <c r="H1272" t="s">
        <v>6650</v>
      </c>
    </row>
    <row r="1273">
      <c r="A1273">
        <v>98.0</v>
      </c>
      <c r="B1273">
        <v>1023594.0</v>
      </c>
      <c r="D1273">
        <v>1023594.0</v>
      </c>
      <c r="E1273" t="s">
        <v>2129</v>
      </c>
      <c r="F1273" t="s">
        <v>6651</v>
      </c>
      <c r="G1273" t="s">
        <v>6652</v>
      </c>
      <c r="H1273" t="s">
        <v>6653</v>
      </c>
    </row>
    <row r="1274">
      <c r="A1274">
        <v>98.0</v>
      </c>
      <c r="B1274">
        <v>1023582.0</v>
      </c>
      <c r="D1274">
        <v>1023582.0</v>
      </c>
      <c r="E1274" t="s">
        <v>2129</v>
      </c>
      <c r="F1274" t="s">
        <v>6654</v>
      </c>
      <c r="G1274" t="s">
        <v>6655</v>
      </c>
      <c r="H1274" t="s">
        <v>6656</v>
      </c>
    </row>
    <row r="1275">
      <c r="A1275">
        <v>98.0</v>
      </c>
      <c r="B1275">
        <v>1023775.0</v>
      </c>
      <c r="D1275">
        <v>1023775.0</v>
      </c>
      <c r="E1275" t="s">
        <v>2129</v>
      </c>
      <c r="F1275" t="s">
        <v>5459</v>
      </c>
      <c r="G1275" t="s">
        <v>6657</v>
      </c>
      <c r="H1275" t="s">
        <v>6658</v>
      </c>
    </row>
    <row r="1276">
      <c r="A1276">
        <v>98.0</v>
      </c>
      <c r="B1276">
        <v>1023560.0</v>
      </c>
      <c r="D1276">
        <v>1023560.0</v>
      </c>
      <c r="E1276" t="s">
        <v>2129</v>
      </c>
      <c r="F1276" t="s">
        <v>6659</v>
      </c>
      <c r="G1276" t="s">
        <v>6660</v>
      </c>
      <c r="H1276" t="s">
        <v>6661</v>
      </c>
    </row>
    <row r="1277">
      <c r="A1277">
        <v>98.0</v>
      </c>
      <c r="B1277">
        <v>1023592.0</v>
      </c>
      <c r="D1277">
        <v>1023592.0</v>
      </c>
      <c r="E1277" t="s">
        <v>2129</v>
      </c>
      <c r="F1277" t="s">
        <v>6662</v>
      </c>
      <c r="G1277" t="s">
        <v>6663</v>
      </c>
      <c r="H1277" t="s">
        <v>6664</v>
      </c>
    </row>
    <row r="1278">
      <c r="A1278">
        <v>98.0</v>
      </c>
      <c r="B1278">
        <v>1023584.0</v>
      </c>
      <c r="D1278">
        <v>1023584.0</v>
      </c>
      <c r="E1278" t="s">
        <v>2129</v>
      </c>
      <c r="F1278" t="s">
        <v>6665</v>
      </c>
      <c r="G1278" t="s">
        <v>6666</v>
      </c>
      <c r="H1278" t="s">
        <v>6667</v>
      </c>
    </row>
    <row r="1279">
      <c r="A1279">
        <v>98.0</v>
      </c>
      <c r="B1279">
        <v>1023561.0</v>
      </c>
      <c r="D1279">
        <v>1023561.0</v>
      </c>
      <c r="E1279" t="s">
        <v>2129</v>
      </c>
      <c r="F1279" t="s">
        <v>6668</v>
      </c>
      <c r="G1279" t="s">
        <v>6669</v>
      </c>
      <c r="H1279" t="s">
        <v>6670</v>
      </c>
    </row>
    <row r="1280">
      <c r="A1280">
        <v>98.0</v>
      </c>
      <c r="B1280">
        <v>1023591.0</v>
      </c>
      <c r="D1280">
        <v>1023591.0</v>
      </c>
      <c r="E1280" t="s">
        <v>2129</v>
      </c>
      <c r="F1280" t="s">
        <v>6671</v>
      </c>
      <c r="G1280" t="s">
        <v>6672</v>
      </c>
      <c r="H1280" t="s">
        <v>6673</v>
      </c>
    </row>
    <row r="1281">
      <c r="A1281">
        <v>98.0</v>
      </c>
      <c r="B1281">
        <v>1023595.0</v>
      </c>
      <c r="D1281">
        <v>1023595.0</v>
      </c>
      <c r="E1281" t="s">
        <v>2129</v>
      </c>
      <c r="F1281" t="s">
        <v>6674</v>
      </c>
      <c r="G1281" t="s">
        <v>6675</v>
      </c>
      <c r="H1281" t="s">
        <v>6676</v>
      </c>
    </row>
    <row r="1282">
      <c r="A1282">
        <v>98.0</v>
      </c>
      <c r="B1282">
        <v>1023607.0</v>
      </c>
      <c r="D1282">
        <v>1023607.0</v>
      </c>
      <c r="E1282" t="s">
        <v>2134</v>
      </c>
      <c r="F1282" t="s">
        <v>6677</v>
      </c>
      <c r="G1282" t="s">
        <v>6678</v>
      </c>
      <c r="H1282" t="s">
        <v>6679</v>
      </c>
    </row>
    <row r="1283">
      <c r="A1283">
        <v>98.0</v>
      </c>
      <c r="B1283">
        <v>1023565.0</v>
      </c>
      <c r="D1283">
        <v>1023565.0</v>
      </c>
      <c r="E1283" t="s">
        <v>2134</v>
      </c>
      <c r="F1283" t="s">
        <v>6680</v>
      </c>
      <c r="G1283" t="s">
        <v>6681</v>
      </c>
      <c r="H1283" t="s">
        <v>6682</v>
      </c>
    </row>
    <row r="1284">
      <c r="A1284">
        <v>98.0</v>
      </c>
      <c r="B1284">
        <v>1023562.0</v>
      </c>
      <c r="D1284">
        <v>1023562.0</v>
      </c>
      <c r="E1284" t="s">
        <v>2134</v>
      </c>
      <c r="F1284" t="s">
        <v>6683</v>
      </c>
      <c r="G1284" t="s">
        <v>6684</v>
      </c>
      <c r="H1284" t="s">
        <v>6685</v>
      </c>
    </row>
    <row r="1285">
      <c r="A1285">
        <v>98.0</v>
      </c>
      <c r="B1285">
        <v>1023593.0</v>
      </c>
      <c r="D1285">
        <v>1023593.0</v>
      </c>
      <c r="E1285" t="s">
        <v>2134</v>
      </c>
      <c r="F1285" t="s">
        <v>6686</v>
      </c>
      <c r="G1285" t="s">
        <v>6687</v>
      </c>
      <c r="H1285" t="s">
        <v>6688</v>
      </c>
    </row>
    <row r="1286">
      <c r="A1286">
        <v>98.0</v>
      </c>
      <c r="B1286">
        <v>1023583.0</v>
      </c>
      <c r="D1286">
        <v>1023583.0</v>
      </c>
      <c r="E1286" t="s">
        <v>2129</v>
      </c>
      <c r="F1286" t="s">
        <v>6689</v>
      </c>
      <c r="G1286" t="s">
        <v>6690</v>
      </c>
      <c r="H1286" t="s">
        <v>6691</v>
      </c>
    </row>
    <row r="1287">
      <c r="A1287">
        <v>98.0</v>
      </c>
      <c r="B1287">
        <v>1023564.0</v>
      </c>
      <c r="D1287">
        <v>1023564.0</v>
      </c>
      <c r="E1287" t="s">
        <v>2129</v>
      </c>
      <c r="F1287" t="s">
        <v>6692</v>
      </c>
      <c r="G1287" t="s">
        <v>6693</v>
      </c>
      <c r="H1287" t="s">
        <v>6694</v>
      </c>
    </row>
    <row r="1288">
      <c r="A1288">
        <v>98.0</v>
      </c>
      <c r="B1288">
        <v>1023585.0</v>
      </c>
      <c r="D1288">
        <v>1023585.0</v>
      </c>
      <c r="E1288" t="s">
        <v>2129</v>
      </c>
      <c r="F1288" t="s">
        <v>6695</v>
      </c>
      <c r="G1288" t="s">
        <v>6696</v>
      </c>
      <c r="H1288" t="s">
        <v>6697</v>
      </c>
    </row>
    <row r="1290">
      <c r="A1290">
        <v>99.0</v>
      </c>
      <c r="E1290" t="s">
        <v>2129</v>
      </c>
      <c r="F1290" t="s">
        <v>6698</v>
      </c>
      <c r="G1290" t="s">
        <v>6699</v>
      </c>
      <c r="H1290" t="s">
        <v>6700</v>
      </c>
    </row>
    <row r="1291">
      <c r="A1291">
        <v>99.0</v>
      </c>
      <c r="E1291" t="s">
        <v>2134</v>
      </c>
      <c r="F1291" t="s">
        <v>6701</v>
      </c>
      <c r="G1291" t="s">
        <v>6702</v>
      </c>
      <c r="H1291" t="s">
        <v>6703</v>
      </c>
    </row>
    <row r="1292">
      <c r="A1292">
        <v>99.0</v>
      </c>
      <c r="E1292" t="s">
        <v>2129</v>
      </c>
      <c r="F1292" t="s">
        <v>6704</v>
      </c>
      <c r="G1292" t="s">
        <v>6705</v>
      </c>
      <c r="H1292" t="s">
        <v>6706</v>
      </c>
    </row>
    <row r="1293">
      <c r="A1293">
        <v>99.0</v>
      </c>
      <c r="E1293" t="s">
        <v>2129</v>
      </c>
      <c r="F1293" t="s">
        <v>6707</v>
      </c>
      <c r="G1293" t="s">
        <v>6708</v>
      </c>
      <c r="H1293" t="s">
        <v>6709</v>
      </c>
    </row>
    <row r="1294">
      <c r="A1294">
        <v>99.0</v>
      </c>
      <c r="E1294" t="s">
        <v>2134</v>
      </c>
      <c r="F1294" t="s">
        <v>6710</v>
      </c>
      <c r="G1294" t="s">
        <v>6711</v>
      </c>
      <c r="H1294" t="s">
        <v>6712</v>
      </c>
    </row>
    <row r="1295">
      <c r="A1295">
        <v>99.0</v>
      </c>
      <c r="E1295" t="s">
        <v>2134</v>
      </c>
      <c r="F1295" t="s">
        <v>6713</v>
      </c>
      <c r="G1295" t="s">
        <v>6714</v>
      </c>
      <c r="H1295" t="s">
        <v>6715</v>
      </c>
    </row>
    <row r="1296">
      <c r="A1296">
        <v>99.0</v>
      </c>
      <c r="E1296" t="s">
        <v>2134</v>
      </c>
      <c r="F1296" t="s">
        <v>6716</v>
      </c>
      <c r="G1296" t="s">
        <v>6717</v>
      </c>
      <c r="H1296" t="s">
        <v>6718</v>
      </c>
    </row>
    <row r="1297">
      <c r="A1297">
        <v>99.0</v>
      </c>
      <c r="E1297" t="s">
        <v>2129</v>
      </c>
      <c r="F1297" t="s">
        <v>6719</v>
      </c>
      <c r="G1297" t="s">
        <v>6720</v>
      </c>
      <c r="H1297" t="s">
        <v>6721</v>
      </c>
    </row>
    <row r="1298">
      <c r="A1298">
        <v>99.0</v>
      </c>
      <c r="E1298" t="s">
        <v>2129</v>
      </c>
      <c r="F1298" t="s">
        <v>6722</v>
      </c>
      <c r="G1298" t="s">
        <v>6723</v>
      </c>
      <c r="H1298" t="s">
        <v>6724</v>
      </c>
    </row>
    <row r="1299">
      <c r="A1299">
        <v>99.0</v>
      </c>
      <c r="E1299" t="s">
        <v>2129</v>
      </c>
      <c r="F1299" t="s">
        <v>6725</v>
      </c>
      <c r="G1299" t="s">
        <v>6726</v>
      </c>
      <c r="H1299" t="s">
        <v>6727</v>
      </c>
    </row>
    <row r="1300">
      <c r="A1300">
        <v>99.0</v>
      </c>
      <c r="E1300" t="s">
        <v>2134</v>
      </c>
      <c r="F1300" t="s">
        <v>6728</v>
      </c>
      <c r="G1300" t="s">
        <v>6729</v>
      </c>
      <c r="H1300" t="s">
        <v>6730</v>
      </c>
    </row>
    <row r="1301">
      <c r="A1301">
        <v>99.0</v>
      </c>
      <c r="E1301" t="s">
        <v>2129</v>
      </c>
      <c r="F1301" t="s">
        <v>6731</v>
      </c>
      <c r="G1301" t="s">
        <v>6732</v>
      </c>
      <c r="H1301" t="s">
        <v>6733</v>
      </c>
    </row>
    <row r="1302">
      <c r="A1302">
        <v>99.0</v>
      </c>
      <c r="E1302" t="s">
        <v>2134</v>
      </c>
      <c r="F1302" t="s">
        <v>4434</v>
      </c>
      <c r="G1302" t="s">
        <v>6734</v>
      </c>
      <c r="H1302" t="s">
        <v>6735</v>
      </c>
    </row>
    <row r="1303">
      <c r="A1303">
        <v>99.0</v>
      </c>
      <c r="E1303" t="s">
        <v>2134</v>
      </c>
      <c r="F1303" t="s">
        <v>6736</v>
      </c>
      <c r="G1303" t="s">
        <v>6737</v>
      </c>
      <c r="H1303" t="s">
        <v>6738</v>
      </c>
    </row>
    <row r="1304">
      <c r="A1304">
        <v>99.0</v>
      </c>
      <c r="E1304" t="s">
        <v>2129</v>
      </c>
      <c r="F1304" t="s">
        <v>6739</v>
      </c>
      <c r="G1304" t="s">
        <v>6740</v>
      </c>
      <c r="H1304" t="s">
        <v>6741</v>
      </c>
    </row>
    <row r="1305">
      <c r="A1305">
        <v>99.0</v>
      </c>
      <c r="E1305" t="s">
        <v>2134</v>
      </c>
      <c r="F1305" t="s">
        <v>6742</v>
      </c>
      <c r="G1305" t="s">
        <v>6743</v>
      </c>
      <c r="H1305" t="s">
        <v>6744</v>
      </c>
    </row>
    <row r="1306">
      <c r="A1306">
        <v>99.0</v>
      </c>
      <c r="E1306" t="s">
        <v>2129</v>
      </c>
      <c r="F1306" t="s">
        <v>6745</v>
      </c>
      <c r="G1306" t="s">
        <v>6746</v>
      </c>
      <c r="H1306" t="s">
        <v>6747</v>
      </c>
    </row>
    <row r="1307">
      <c r="A1307">
        <v>99.0</v>
      </c>
      <c r="E1307" t="s">
        <v>2129</v>
      </c>
      <c r="F1307" t="s">
        <v>6748</v>
      </c>
      <c r="G1307" t="s">
        <v>6749</v>
      </c>
      <c r="H1307" t="s">
        <v>6750</v>
      </c>
    </row>
    <row r="1308">
      <c r="A1308">
        <v>99.0</v>
      </c>
      <c r="E1308" t="s">
        <v>2129</v>
      </c>
      <c r="F1308" t="s">
        <v>3424</v>
      </c>
      <c r="G1308" t="s">
        <v>6751</v>
      </c>
      <c r="H1308" t="s">
        <v>6752</v>
      </c>
    </row>
    <row r="1309">
      <c r="A1309">
        <v>99.0</v>
      </c>
      <c r="E1309" t="s">
        <v>2129</v>
      </c>
      <c r="F1309" t="s">
        <v>3036</v>
      </c>
      <c r="G1309" t="s">
        <v>6753</v>
      </c>
      <c r="H1309" t="s">
        <v>6754</v>
      </c>
    </row>
    <row r="1311">
      <c r="A1311">
        <v>100.0</v>
      </c>
      <c r="E1311" t="s">
        <v>2129</v>
      </c>
      <c r="F1311" t="s">
        <v>6755</v>
      </c>
      <c r="G1311" t="s">
        <v>6756</v>
      </c>
      <c r="H1311" t="s">
        <v>6757</v>
      </c>
    </row>
    <row r="1312">
      <c r="A1312">
        <v>100.0</v>
      </c>
      <c r="E1312" t="s">
        <v>2129</v>
      </c>
      <c r="F1312" t="s">
        <v>6758</v>
      </c>
      <c r="G1312" t="s">
        <v>6759</v>
      </c>
      <c r="H1312" t="s">
        <v>6760</v>
      </c>
    </row>
    <row r="1313">
      <c r="A1313">
        <v>100.0</v>
      </c>
      <c r="E1313" t="s">
        <v>2129</v>
      </c>
      <c r="F1313" t="s">
        <v>6761</v>
      </c>
      <c r="G1313" t="s">
        <v>6762</v>
      </c>
      <c r="H1313" t="s">
        <v>6763</v>
      </c>
    </row>
    <row r="1314">
      <c r="A1314">
        <v>100.0</v>
      </c>
      <c r="E1314" t="s">
        <v>2129</v>
      </c>
      <c r="F1314" t="s">
        <v>6764</v>
      </c>
      <c r="G1314" t="s">
        <v>6765</v>
      </c>
      <c r="H1314" t="s">
        <v>6766</v>
      </c>
    </row>
    <row r="1315">
      <c r="A1315">
        <v>100.0</v>
      </c>
      <c r="E1315" t="s">
        <v>2129</v>
      </c>
      <c r="F1315" t="s">
        <v>6767</v>
      </c>
      <c r="G1315" t="s">
        <v>6768</v>
      </c>
      <c r="H1315" t="s">
        <v>6769</v>
      </c>
    </row>
    <row r="1316">
      <c r="A1316">
        <v>100.0</v>
      </c>
      <c r="E1316" t="s">
        <v>2129</v>
      </c>
      <c r="F1316" t="s">
        <v>6770</v>
      </c>
      <c r="G1316" t="s">
        <v>6771</v>
      </c>
      <c r="H1316" t="s">
        <v>6772</v>
      </c>
    </row>
    <row r="1317">
      <c r="A1317">
        <v>100.0</v>
      </c>
      <c r="E1317" t="s">
        <v>2129</v>
      </c>
      <c r="F1317" t="s">
        <v>2194</v>
      </c>
      <c r="G1317" t="s">
        <v>6773</v>
      </c>
      <c r="H1317" t="s">
        <v>6774</v>
      </c>
    </row>
    <row r="1318">
      <c r="A1318">
        <v>100.0</v>
      </c>
      <c r="E1318" t="s">
        <v>2129</v>
      </c>
      <c r="F1318" t="s">
        <v>6775</v>
      </c>
      <c r="G1318" t="s">
        <v>6776</v>
      </c>
      <c r="H1318" t="s">
        <v>6777</v>
      </c>
    </row>
    <row r="1319">
      <c r="A1319">
        <v>100.0</v>
      </c>
      <c r="E1319" t="s">
        <v>2129</v>
      </c>
      <c r="F1319" t="s">
        <v>2965</v>
      </c>
      <c r="G1319" t="s">
        <v>6778</v>
      </c>
      <c r="H1319" t="s">
        <v>6779</v>
      </c>
    </row>
    <row r="1320">
      <c r="A1320">
        <v>100.0</v>
      </c>
      <c r="E1320" t="s">
        <v>2129</v>
      </c>
      <c r="F1320" t="s">
        <v>6780</v>
      </c>
      <c r="G1320" t="s">
        <v>6781</v>
      </c>
      <c r="H1320" t="s">
        <v>6782</v>
      </c>
    </row>
    <row r="1321">
      <c r="A1321">
        <v>100.0</v>
      </c>
      <c r="E1321" t="s">
        <v>2129</v>
      </c>
      <c r="F1321" t="s">
        <v>6783</v>
      </c>
      <c r="G1321" t="s">
        <v>6784</v>
      </c>
      <c r="H1321" t="s">
        <v>6785</v>
      </c>
    </row>
    <row r="1322">
      <c r="A1322">
        <v>100.0</v>
      </c>
      <c r="E1322" t="s">
        <v>2129</v>
      </c>
      <c r="F1322" t="s">
        <v>6786</v>
      </c>
      <c r="G1322" t="s">
        <v>6787</v>
      </c>
      <c r="H1322" t="s">
        <v>6788</v>
      </c>
    </row>
    <row r="1323">
      <c r="A1323">
        <v>100.0</v>
      </c>
      <c r="E1323" t="s">
        <v>2129</v>
      </c>
      <c r="F1323" t="s">
        <v>6789</v>
      </c>
      <c r="G1323" t="s">
        <v>6790</v>
      </c>
      <c r="H1323" t="s">
        <v>6791</v>
      </c>
    </row>
    <row r="1324">
      <c r="A1324">
        <v>100.0</v>
      </c>
      <c r="E1324" t="s">
        <v>2129</v>
      </c>
      <c r="F1324" t="s">
        <v>6792</v>
      </c>
      <c r="G1324" t="s">
        <v>6793</v>
      </c>
      <c r="H1324" t="s">
        <v>6794</v>
      </c>
    </row>
    <row r="1325">
      <c r="A1325">
        <v>100.0</v>
      </c>
      <c r="E1325" t="s">
        <v>2134</v>
      </c>
      <c r="F1325" t="s">
        <v>6795</v>
      </c>
      <c r="G1325" t="s">
        <v>6796</v>
      </c>
      <c r="H1325" t="s">
        <v>6797</v>
      </c>
    </row>
    <row r="1326">
      <c r="A1326">
        <v>100.0</v>
      </c>
      <c r="E1326" t="s">
        <v>2134</v>
      </c>
      <c r="F1326" t="s">
        <v>6798</v>
      </c>
      <c r="G1326" t="s">
        <v>6799</v>
      </c>
      <c r="H1326" t="s">
        <v>6800</v>
      </c>
    </row>
    <row r="1327">
      <c r="A1327">
        <v>100.0</v>
      </c>
      <c r="E1327" t="s">
        <v>2134</v>
      </c>
      <c r="F1327" t="s">
        <v>6801</v>
      </c>
      <c r="G1327" t="s">
        <v>6802</v>
      </c>
      <c r="H1327" t="s">
        <v>6803</v>
      </c>
    </row>
    <row r="1328">
      <c r="A1328">
        <v>100.0</v>
      </c>
      <c r="E1328" t="s">
        <v>2129</v>
      </c>
      <c r="F1328" t="s">
        <v>6804</v>
      </c>
      <c r="G1328" t="s">
        <v>6805</v>
      </c>
      <c r="H1328" t="s">
        <v>6806</v>
      </c>
    </row>
    <row r="1329">
      <c r="A1329">
        <v>100.0</v>
      </c>
      <c r="E1329" t="s">
        <v>2129</v>
      </c>
      <c r="F1329" t="s">
        <v>6807</v>
      </c>
      <c r="G1329" t="s">
        <v>6808</v>
      </c>
      <c r="H1329" t="s">
        <v>6809</v>
      </c>
    </row>
    <row r="1330">
      <c r="A1330">
        <v>100.0</v>
      </c>
      <c r="E1330" t="s">
        <v>2129</v>
      </c>
      <c r="F1330" t="s">
        <v>6810</v>
      </c>
      <c r="G1330" t="s">
        <v>6811</v>
      </c>
      <c r="H1330" t="s">
        <v>6812</v>
      </c>
    </row>
    <row r="1332">
      <c r="A1332">
        <v>101.0</v>
      </c>
      <c r="E1332" t="s">
        <v>2129</v>
      </c>
      <c r="F1332" t="s">
        <v>6813</v>
      </c>
      <c r="G1332" t="s">
        <v>6814</v>
      </c>
      <c r="H1332" t="s">
        <v>6815</v>
      </c>
    </row>
    <row r="1333">
      <c r="A1333">
        <v>101.0</v>
      </c>
      <c r="E1333" t="s">
        <v>2129</v>
      </c>
      <c r="F1333" t="s">
        <v>6816</v>
      </c>
      <c r="G1333" t="s">
        <v>6817</v>
      </c>
      <c r="H1333" t="s">
        <v>6818</v>
      </c>
    </row>
    <row r="1334">
      <c r="A1334">
        <v>101.0</v>
      </c>
      <c r="E1334" t="s">
        <v>2129</v>
      </c>
      <c r="F1334" t="s">
        <v>6819</v>
      </c>
      <c r="G1334" t="s">
        <v>6820</v>
      </c>
      <c r="H1334" t="s">
        <v>6821</v>
      </c>
    </row>
    <row r="1335">
      <c r="A1335">
        <v>101.0</v>
      </c>
      <c r="E1335" t="s">
        <v>2134</v>
      </c>
      <c r="F1335" t="s">
        <v>5318</v>
      </c>
      <c r="G1335" t="s">
        <v>6822</v>
      </c>
      <c r="H1335" t="s">
        <v>6823</v>
      </c>
    </row>
    <row r="1336">
      <c r="A1336">
        <v>101.0</v>
      </c>
      <c r="E1336" t="s">
        <v>2129</v>
      </c>
      <c r="F1336" t="s">
        <v>6824</v>
      </c>
      <c r="G1336" t="s">
        <v>6825</v>
      </c>
      <c r="H1336" t="s">
        <v>6826</v>
      </c>
    </row>
    <row r="1337">
      <c r="A1337">
        <v>101.0</v>
      </c>
      <c r="E1337" t="s">
        <v>2129</v>
      </c>
      <c r="F1337" t="s">
        <v>2425</v>
      </c>
      <c r="G1337" t="s">
        <v>6827</v>
      </c>
      <c r="H1337" t="s">
        <v>6828</v>
      </c>
    </row>
    <row r="1338">
      <c r="A1338">
        <v>101.0</v>
      </c>
      <c r="E1338" t="s">
        <v>2129</v>
      </c>
      <c r="F1338" t="s">
        <v>6829</v>
      </c>
      <c r="G1338" t="s">
        <v>6830</v>
      </c>
      <c r="H1338" t="s">
        <v>6831</v>
      </c>
    </row>
    <row r="1339">
      <c r="A1339">
        <v>101.0</v>
      </c>
      <c r="E1339" t="s">
        <v>2129</v>
      </c>
      <c r="F1339" t="s">
        <v>5035</v>
      </c>
      <c r="G1339" t="s">
        <v>6832</v>
      </c>
      <c r="H1339" t="s">
        <v>6833</v>
      </c>
    </row>
    <row r="1340">
      <c r="A1340">
        <v>101.0</v>
      </c>
      <c r="E1340" t="s">
        <v>2129</v>
      </c>
      <c r="F1340" t="s">
        <v>5123</v>
      </c>
      <c r="G1340" t="s">
        <v>6834</v>
      </c>
      <c r="H1340" t="s">
        <v>6835</v>
      </c>
    </row>
    <row r="1341">
      <c r="A1341">
        <v>101.0</v>
      </c>
      <c r="E1341" t="s">
        <v>2129</v>
      </c>
      <c r="F1341" t="s">
        <v>6836</v>
      </c>
      <c r="G1341" t="s">
        <v>6837</v>
      </c>
      <c r="H1341" t="s">
        <v>6838</v>
      </c>
    </row>
    <row r="1342">
      <c r="A1342">
        <v>101.0</v>
      </c>
      <c r="E1342" t="s">
        <v>2134</v>
      </c>
      <c r="F1342" t="s">
        <v>5600</v>
      </c>
      <c r="G1342" t="s">
        <v>6839</v>
      </c>
      <c r="H1342" t="s">
        <v>6840</v>
      </c>
    </row>
    <row r="1343">
      <c r="A1343">
        <v>101.0</v>
      </c>
      <c r="E1343" t="s">
        <v>2129</v>
      </c>
      <c r="F1343" t="s">
        <v>6543</v>
      </c>
      <c r="G1343" t="s">
        <v>6841</v>
      </c>
      <c r="H1343" t="s">
        <v>6842</v>
      </c>
    </row>
    <row r="1344">
      <c r="A1344">
        <v>101.0</v>
      </c>
      <c r="E1344" t="s">
        <v>2129</v>
      </c>
      <c r="F1344" t="s">
        <v>3688</v>
      </c>
      <c r="G1344" t="s">
        <v>6843</v>
      </c>
      <c r="H1344" t="s">
        <v>6844</v>
      </c>
    </row>
    <row r="1345">
      <c r="A1345">
        <v>101.0</v>
      </c>
      <c r="E1345" t="s">
        <v>2129</v>
      </c>
      <c r="F1345" t="s">
        <v>6845</v>
      </c>
      <c r="G1345" t="s">
        <v>6846</v>
      </c>
      <c r="H1345" t="s">
        <v>6847</v>
      </c>
    </row>
    <row r="1346">
      <c r="A1346">
        <v>101.0</v>
      </c>
      <c r="E1346" t="s">
        <v>2129</v>
      </c>
      <c r="F1346" t="s">
        <v>4212</v>
      </c>
      <c r="G1346" t="s">
        <v>6848</v>
      </c>
      <c r="H1346" t="s">
        <v>6849</v>
      </c>
    </row>
    <row r="1347">
      <c r="A1347">
        <v>101.0</v>
      </c>
      <c r="E1347" t="s">
        <v>2129</v>
      </c>
      <c r="F1347" t="s">
        <v>6850</v>
      </c>
      <c r="G1347" t="s">
        <v>6851</v>
      </c>
      <c r="H1347" t="s">
        <v>6852</v>
      </c>
    </row>
    <row r="1348">
      <c r="A1348">
        <v>101.0</v>
      </c>
      <c r="E1348" t="s">
        <v>2134</v>
      </c>
      <c r="F1348" t="s">
        <v>6853</v>
      </c>
      <c r="G1348" t="s">
        <v>6854</v>
      </c>
      <c r="H1348" t="s">
        <v>6855</v>
      </c>
    </row>
    <row r="1349">
      <c r="A1349">
        <v>101.0</v>
      </c>
      <c r="E1349" t="s">
        <v>2134</v>
      </c>
      <c r="F1349" t="s">
        <v>6856</v>
      </c>
      <c r="G1349" t="s">
        <v>6857</v>
      </c>
      <c r="H1349" t="s">
        <v>6858</v>
      </c>
    </row>
    <row r="1350">
      <c r="A1350">
        <v>101.0</v>
      </c>
      <c r="E1350" t="s">
        <v>2129</v>
      </c>
      <c r="F1350" t="s">
        <v>6859</v>
      </c>
      <c r="G1350" t="s">
        <v>6860</v>
      </c>
      <c r="H1350" t="s">
        <v>6861</v>
      </c>
    </row>
    <row r="1351">
      <c r="A1351">
        <v>101.0</v>
      </c>
      <c r="E1351" t="s">
        <v>2129</v>
      </c>
      <c r="F1351" t="s">
        <v>6862</v>
      </c>
      <c r="G1351" t="s">
        <v>6863</v>
      </c>
      <c r="H1351" t="s">
        <v>6864</v>
      </c>
    </row>
    <row r="1353">
      <c r="A1353">
        <v>102.0</v>
      </c>
      <c r="E1353" t="s">
        <v>2129</v>
      </c>
      <c r="F1353" t="s">
        <v>6865</v>
      </c>
      <c r="G1353" t="s">
        <v>6866</v>
      </c>
      <c r="H1353" t="s">
        <v>6867</v>
      </c>
    </row>
    <row r="1354">
      <c r="A1354">
        <v>102.0</v>
      </c>
      <c r="E1354" t="s">
        <v>2129</v>
      </c>
      <c r="F1354" t="s">
        <v>6868</v>
      </c>
      <c r="G1354" t="s">
        <v>6869</v>
      </c>
      <c r="H1354" t="s">
        <v>6870</v>
      </c>
    </row>
    <row r="1355">
      <c r="A1355">
        <v>102.0</v>
      </c>
      <c r="E1355" t="s">
        <v>2129</v>
      </c>
      <c r="F1355" t="s">
        <v>6871</v>
      </c>
      <c r="G1355" t="s">
        <v>6872</v>
      </c>
      <c r="H1355" t="s">
        <v>6873</v>
      </c>
    </row>
    <row r="1356">
      <c r="A1356">
        <v>102.0</v>
      </c>
      <c r="E1356" t="s">
        <v>2134</v>
      </c>
      <c r="F1356" t="s">
        <v>6874</v>
      </c>
      <c r="G1356" t="s">
        <v>6875</v>
      </c>
      <c r="H1356" t="s">
        <v>6876</v>
      </c>
    </row>
    <row r="1357">
      <c r="A1357">
        <v>102.0</v>
      </c>
      <c r="E1357" t="s">
        <v>2134</v>
      </c>
      <c r="F1357" t="s">
        <v>6877</v>
      </c>
      <c r="G1357" t="s">
        <v>6878</v>
      </c>
      <c r="H1357" t="s">
        <v>6879</v>
      </c>
    </row>
    <row r="1358">
      <c r="A1358">
        <v>102.0</v>
      </c>
      <c r="E1358" t="s">
        <v>2129</v>
      </c>
      <c r="F1358" t="s">
        <v>6880</v>
      </c>
      <c r="G1358" t="s">
        <v>6881</v>
      </c>
      <c r="H1358" t="s">
        <v>6882</v>
      </c>
    </row>
    <row r="1359">
      <c r="A1359">
        <v>102.0</v>
      </c>
      <c r="E1359" t="s">
        <v>2129</v>
      </c>
      <c r="F1359" t="s">
        <v>6883</v>
      </c>
      <c r="G1359" t="s">
        <v>6884</v>
      </c>
      <c r="H1359" t="s">
        <v>6885</v>
      </c>
    </row>
    <row r="1360">
      <c r="A1360">
        <v>102.0</v>
      </c>
      <c r="E1360" t="s">
        <v>2129</v>
      </c>
      <c r="F1360" t="s">
        <v>6886</v>
      </c>
      <c r="G1360" t="s">
        <v>6887</v>
      </c>
      <c r="H1360" t="s">
        <v>6888</v>
      </c>
    </row>
    <row r="1361">
      <c r="A1361">
        <v>102.0</v>
      </c>
      <c r="E1361" t="s">
        <v>2129</v>
      </c>
      <c r="F1361" t="s">
        <v>6889</v>
      </c>
      <c r="G1361" t="s">
        <v>6890</v>
      </c>
      <c r="H1361" t="s">
        <v>6891</v>
      </c>
    </row>
    <row r="1362">
      <c r="A1362">
        <v>102.0</v>
      </c>
      <c r="E1362" t="s">
        <v>2129</v>
      </c>
      <c r="F1362" t="s">
        <v>6892</v>
      </c>
      <c r="G1362" t="s">
        <v>6893</v>
      </c>
      <c r="H1362" t="s">
        <v>6894</v>
      </c>
    </row>
    <row r="1363">
      <c r="A1363">
        <v>102.0</v>
      </c>
      <c r="E1363" t="s">
        <v>2129</v>
      </c>
      <c r="F1363" t="s">
        <v>6895</v>
      </c>
      <c r="G1363" t="s">
        <v>6896</v>
      </c>
      <c r="H1363" t="s">
        <v>6897</v>
      </c>
    </row>
    <row r="1364">
      <c r="A1364">
        <v>102.0</v>
      </c>
      <c r="E1364" t="s">
        <v>2129</v>
      </c>
      <c r="F1364" t="s">
        <v>6898</v>
      </c>
      <c r="G1364" t="s">
        <v>6899</v>
      </c>
      <c r="H1364" t="s">
        <v>6900</v>
      </c>
    </row>
    <row r="1365">
      <c r="A1365">
        <v>102.0</v>
      </c>
      <c r="E1365" t="s">
        <v>2129</v>
      </c>
      <c r="F1365" t="s">
        <v>6901</v>
      </c>
      <c r="G1365" t="s">
        <v>3068</v>
      </c>
      <c r="H1365" t="s">
        <v>6902</v>
      </c>
    </row>
    <row r="1366">
      <c r="A1366">
        <v>102.0</v>
      </c>
      <c r="E1366" t="s">
        <v>2129</v>
      </c>
      <c r="F1366" t="s">
        <v>3115</v>
      </c>
      <c r="G1366" t="s">
        <v>6903</v>
      </c>
      <c r="H1366" t="s">
        <v>6904</v>
      </c>
    </row>
    <row r="1367">
      <c r="A1367">
        <v>102.0</v>
      </c>
      <c r="E1367" t="s">
        <v>2129</v>
      </c>
      <c r="F1367" t="s">
        <v>6905</v>
      </c>
      <c r="G1367" t="s">
        <v>6906</v>
      </c>
      <c r="H1367" t="s">
        <v>6907</v>
      </c>
    </row>
    <row r="1368">
      <c r="A1368">
        <v>102.0</v>
      </c>
      <c r="E1368" t="s">
        <v>2129</v>
      </c>
      <c r="F1368" t="s">
        <v>6908</v>
      </c>
      <c r="G1368" t="s">
        <v>6909</v>
      </c>
      <c r="H1368" t="s">
        <v>6910</v>
      </c>
    </row>
    <row r="1369">
      <c r="A1369">
        <v>102.0</v>
      </c>
      <c r="E1369" t="s">
        <v>2129</v>
      </c>
      <c r="F1369" t="s">
        <v>6911</v>
      </c>
      <c r="G1369" t="s">
        <v>6912</v>
      </c>
      <c r="H1369" t="s">
        <v>6913</v>
      </c>
    </row>
    <row r="1370">
      <c r="A1370">
        <v>102.0</v>
      </c>
      <c r="E1370" t="s">
        <v>2129</v>
      </c>
      <c r="F1370" t="s">
        <v>6914</v>
      </c>
      <c r="G1370" t="s">
        <v>6915</v>
      </c>
      <c r="H1370" t="s">
        <v>6916</v>
      </c>
    </row>
    <row r="1372">
      <c r="A1372">
        <v>103.0</v>
      </c>
      <c r="E1372" t="s">
        <v>2134</v>
      </c>
      <c r="F1372" t="s">
        <v>6917</v>
      </c>
      <c r="G1372" t="s">
        <v>6918</v>
      </c>
      <c r="H1372" t="s">
        <v>6919</v>
      </c>
    </row>
    <row r="1373">
      <c r="A1373">
        <v>103.0</v>
      </c>
      <c r="E1373" t="s">
        <v>2134</v>
      </c>
      <c r="F1373" t="s">
        <v>6920</v>
      </c>
      <c r="G1373" t="s">
        <v>6921</v>
      </c>
      <c r="H1373" t="s">
        <v>6922</v>
      </c>
    </row>
    <row r="1374">
      <c r="A1374">
        <v>103.0</v>
      </c>
      <c r="E1374" t="s">
        <v>2129</v>
      </c>
      <c r="F1374" t="s">
        <v>6923</v>
      </c>
      <c r="G1374" t="s">
        <v>6924</v>
      </c>
      <c r="H1374" t="s">
        <v>6925</v>
      </c>
    </row>
    <row r="1375">
      <c r="A1375">
        <v>103.0</v>
      </c>
      <c r="E1375" t="s">
        <v>2134</v>
      </c>
      <c r="F1375" t="s">
        <v>6926</v>
      </c>
      <c r="G1375" t="s">
        <v>6927</v>
      </c>
      <c r="H1375" t="s">
        <v>6928</v>
      </c>
    </row>
    <row r="1376">
      <c r="A1376">
        <v>103.0</v>
      </c>
      <c r="E1376" t="s">
        <v>2134</v>
      </c>
      <c r="F1376" t="s">
        <v>6929</v>
      </c>
      <c r="G1376" t="s">
        <v>6930</v>
      </c>
      <c r="H1376" t="s">
        <v>6931</v>
      </c>
    </row>
    <row r="1377">
      <c r="A1377">
        <v>103.0</v>
      </c>
      <c r="E1377" t="s">
        <v>2134</v>
      </c>
      <c r="F1377" t="s">
        <v>3909</v>
      </c>
      <c r="G1377" t="s">
        <v>6932</v>
      </c>
      <c r="H1377" t="s">
        <v>6933</v>
      </c>
    </row>
    <row r="1378">
      <c r="A1378">
        <v>103.0</v>
      </c>
      <c r="E1378" t="s">
        <v>2134</v>
      </c>
      <c r="F1378" t="s">
        <v>4482</v>
      </c>
      <c r="G1378" t="s">
        <v>6934</v>
      </c>
      <c r="H1378" t="s">
        <v>6935</v>
      </c>
    </row>
    <row r="1379">
      <c r="A1379">
        <v>103.0</v>
      </c>
      <c r="E1379" t="s">
        <v>2129</v>
      </c>
      <c r="F1379" t="s">
        <v>6936</v>
      </c>
      <c r="G1379" t="s">
        <v>6937</v>
      </c>
      <c r="H1379" t="s">
        <v>6938</v>
      </c>
    </row>
    <row r="1380">
      <c r="A1380">
        <v>103.0</v>
      </c>
      <c r="E1380" t="s">
        <v>2129</v>
      </c>
      <c r="F1380" t="s">
        <v>6939</v>
      </c>
      <c r="G1380" t="s">
        <v>6940</v>
      </c>
      <c r="H1380" t="s">
        <v>6941</v>
      </c>
    </row>
    <row r="1381">
      <c r="A1381">
        <v>103.0</v>
      </c>
      <c r="E1381" t="s">
        <v>2129</v>
      </c>
      <c r="F1381" t="s">
        <v>2263</v>
      </c>
      <c r="G1381" t="s">
        <v>6942</v>
      </c>
      <c r="H1381" t="s">
        <v>6943</v>
      </c>
    </row>
    <row r="1382">
      <c r="A1382">
        <v>103.0</v>
      </c>
      <c r="E1382" t="s">
        <v>2129</v>
      </c>
      <c r="F1382" t="s">
        <v>6944</v>
      </c>
      <c r="G1382" t="s">
        <v>6945</v>
      </c>
      <c r="H1382" t="s">
        <v>6946</v>
      </c>
    </row>
    <row r="1383">
      <c r="A1383">
        <v>103.0</v>
      </c>
      <c r="E1383" t="s">
        <v>2134</v>
      </c>
      <c r="F1383" t="s">
        <v>6947</v>
      </c>
      <c r="G1383" t="s">
        <v>6948</v>
      </c>
      <c r="H1383" t="s">
        <v>6949</v>
      </c>
    </row>
    <row r="1384">
      <c r="A1384">
        <v>103.0</v>
      </c>
      <c r="E1384" t="s">
        <v>2134</v>
      </c>
      <c r="F1384" t="s">
        <v>6950</v>
      </c>
      <c r="G1384" t="s">
        <v>6951</v>
      </c>
      <c r="H1384" t="s">
        <v>6952</v>
      </c>
    </row>
    <row r="1385">
      <c r="A1385">
        <v>103.0</v>
      </c>
      <c r="E1385" t="s">
        <v>2134</v>
      </c>
      <c r="F1385" t="s">
        <v>6953</v>
      </c>
      <c r="G1385" t="s">
        <v>6954</v>
      </c>
      <c r="H1385" t="s">
        <v>6955</v>
      </c>
    </row>
    <row r="1386">
      <c r="A1386">
        <v>103.0</v>
      </c>
      <c r="E1386" t="s">
        <v>2134</v>
      </c>
      <c r="F1386" t="s">
        <v>6956</v>
      </c>
      <c r="G1386" t="s">
        <v>6957</v>
      </c>
      <c r="H1386" t="s">
        <v>6958</v>
      </c>
    </row>
    <row r="1387">
      <c r="A1387">
        <v>103.0</v>
      </c>
      <c r="E1387" t="s">
        <v>2134</v>
      </c>
      <c r="F1387" t="s">
        <v>6959</v>
      </c>
      <c r="G1387" t="s">
        <v>6960</v>
      </c>
      <c r="H1387" t="s">
        <v>6961</v>
      </c>
    </row>
    <row r="1388">
      <c r="A1388">
        <v>103.0</v>
      </c>
      <c r="E1388" t="s">
        <v>2134</v>
      </c>
      <c r="F1388" t="s">
        <v>6962</v>
      </c>
      <c r="G1388" t="s">
        <v>6963</v>
      </c>
      <c r="H1388" t="s">
        <v>6964</v>
      </c>
    </row>
    <row r="1389">
      <c r="A1389">
        <v>103.0</v>
      </c>
      <c r="E1389" t="s">
        <v>2134</v>
      </c>
      <c r="F1389" t="s">
        <v>6965</v>
      </c>
      <c r="G1389" t="s">
        <v>6966</v>
      </c>
      <c r="H1389" t="s">
        <v>6967</v>
      </c>
    </row>
    <row r="1390">
      <c r="A1390">
        <v>103.0</v>
      </c>
      <c r="E1390" t="s">
        <v>2129</v>
      </c>
      <c r="F1390" t="s">
        <v>4621</v>
      </c>
      <c r="G1390" t="s">
        <v>6968</v>
      </c>
      <c r="H1390" t="s">
        <v>6969</v>
      </c>
    </row>
    <row r="1391">
      <c r="A1391">
        <v>103.0</v>
      </c>
      <c r="E1391" t="s">
        <v>2129</v>
      </c>
      <c r="F1391" t="s">
        <v>6970</v>
      </c>
      <c r="G1391" t="s">
        <v>6971</v>
      </c>
      <c r="H1391" t="s">
        <v>6972</v>
      </c>
    </row>
    <row r="1393">
      <c r="A1393">
        <v>104.0</v>
      </c>
      <c r="E1393" t="s">
        <v>2129</v>
      </c>
      <c r="F1393" t="s">
        <v>6973</v>
      </c>
      <c r="G1393" t="s">
        <v>6974</v>
      </c>
      <c r="H1393" t="s">
        <v>6975</v>
      </c>
    </row>
    <row r="1394">
      <c r="A1394">
        <v>104.0</v>
      </c>
      <c r="E1394" t="s">
        <v>2129</v>
      </c>
      <c r="F1394" t="s">
        <v>6976</v>
      </c>
      <c r="G1394" t="s">
        <v>6977</v>
      </c>
      <c r="H1394" t="s">
        <v>6978</v>
      </c>
    </row>
    <row r="1395">
      <c r="A1395">
        <v>104.0</v>
      </c>
      <c r="E1395" t="s">
        <v>2129</v>
      </c>
      <c r="F1395" t="s">
        <v>6979</v>
      </c>
      <c r="G1395" t="s">
        <v>6980</v>
      </c>
      <c r="H1395" t="s">
        <v>6981</v>
      </c>
    </row>
    <row r="1396">
      <c r="A1396">
        <v>104.0</v>
      </c>
      <c r="E1396" t="s">
        <v>2129</v>
      </c>
      <c r="F1396" t="s">
        <v>6982</v>
      </c>
      <c r="G1396" t="s">
        <v>6983</v>
      </c>
      <c r="H1396" t="s">
        <v>6984</v>
      </c>
    </row>
    <row r="1397">
      <c r="A1397">
        <v>104.0</v>
      </c>
      <c r="E1397" t="s">
        <v>2129</v>
      </c>
      <c r="F1397" t="s">
        <v>6985</v>
      </c>
      <c r="G1397" t="s">
        <v>6986</v>
      </c>
      <c r="H1397" t="s">
        <v>6987</v>
      </c>
    </row>
    <row r="1398">
      <c r="A1398">
        <v>104.0</v>
      </c>
      <c r="E1398" t="s">
        <v>2129</v>
      </c>
      <c r="F1398" t="s">
        <v>6988</v>
      </c>
      <c r="G1398" t="s">
        <v>6989</v>
      </c>
      <c r="H1398" t="s">
        <v>6990</v>
      </c>
    </row>
    <row r="1399">
      <c r="A1399">
        <v>104.0</v>
      </c>
      <c r="E1399" t="s">
        <v>2129</v>
      </c>
      <c r="F1399" t="s">
        <v>6991</v>
      </c>
      <c r="G1399" t="s">
        <v>6992</v>
      </c>
      <c r="H1399" t="s">
        <v>6993</v>
      </c>
    </row>
    <row r="1400">
      <c r="A1400">
        <v>104.0</v>
      </c>
      <c r="E1400" t="s">
        <v>2129</v>
      </c>
      <c r="F1400" t="s">
        <v>2750</v>
      </c>
      <c r="G1400" t="s">
        <v>6994</v>
      </c>
      <c r="H1400" t="s">
        <v>6995</v>
      </c>
    </row>
    <row r="1401">
      <c r="A1401">
        <v>104.0</v>
      </c>
      <c r="E1401" t="s">
        <v>2129</v>
      </c>
      <c r="F1401" t="s">
        <v>6996</v>
      </c>
      <c r="G1401" t="s">
        <v>6997</v>
      </c>
      <c r="H1401" t="s">
        <v>6998</v>
      </c>
    </row>
    <row r="1402">
      <c r="A1402">
        <v>104.0</v>
      </c>
      <c r="E1402" t="s">
        <v>2129</v>
      </c>
      <c r="F1402" t="s">
        <v>6999</v>
      </c>
      <c r="G1402" t="s">
        <v>7000</v>
      </c>
      <c r="H1402" t="s">
        <v>7001</v>
      </c>
    </row>
    <row r="1403">
      <c r="A1403">
        <v>104.0</v>
      </c>
      <c r="E1403" t="s">
        <v>2129</v>
      </c>
      <c r="F1403" t="s">
        <v>7002</v>
      </c>
      <c r="G1403" t="s">
        <v>7003</v>
      </c>
      <c r="H1403" t="s">
        <v>7004</v>
      </c>
    </row>
    <row r="1404">
      <c r="A1404">
        <v>104.0</v>
      </c>
      <c r="E1404" t="s">
        <v>2129</v>
      </c>
      <c r="F1404" t="s">
        <v>7005</v>
      </c>
      <c r="G1404" t="s">
        <v>7006</v>
      </c>
      <c r="H1404" t="s">
        <v>7007</v>
      </c>
    </row>
    <row r="1405">
      <c r="A1405">
        <v>104.0</v>
      </c>
      <c r="E1405" t="s">
        <v>2129</v>
      </c>
      <c r="F1405" t="s">
        <v>7008</v>
      </c>
      <c r="G1405" t="s">
        <v>7009</v>
      </c>
      <c r="H1405" t="s">
        <v>7010</v>
      </c>
    </row>
    <row r="1406">
      <c r="A1406">
        <v>104.0</v>
      </c>
      <c r="E1406" t="s">
        <v>2129</v>
      </c>
      <c r="F1406" t="s">
        <v>7011</v>
      </c>
      <c r="G1406" t="s">
        <v>7012</v>
      </c>
      <c r="H1406" t="s">
        <v>7013</v>
      </c>
    </row>
    <row r="1407">
      <c r="A1407">
        <v>104.0</v>
      </c>
      <c r="E1407" t="s">
        <v>2129</v>
      </c>
      <c r="F1407" t="s">
        <v>7014</v>
      </c>
      <c r="G1407" t="s">
        <v>7015</v>
      </c>
      <c r="H1407" t="s">
        <v>7016</v>
      </c>
    </row>
    <row r="1408">
      <c r="A1408">
        <v>104.0</v>
      </c>
      <c r="E1408" t="s">
        <v>2129</v>
      </c>
      <c r="F1408" t="s">
        <v>7017</v>
      </c>
      <c r="G1408" t="s">
        <v>7018</v>
      </c>
      <c r="H1408" t="s">
        <v>7019</v>
      </c>
    </row>
    <row r="1409">
      <c r="A1409">
        <v>104.0</v>
      </c>
      <c r="E1409" t="s">
        <v>2129</v>
      </c>
      <c r="F1409" t="s">
        <v>5771</v>
      </c>
      <c r="G1409" t="s">
        <v>7020</v>
      </c>
      <c r="H1409" t="s">
        <v>7021</v>
      </c>
    </row>
    <row r="1410">
      <c r="A1410">
        <v>104.0</v>
      </c>
      <c r="E1410" t="s">
        <v>2129</v>
      </c>
      <c r="F1410" t="s">
        <v>6138</v>
      </c>
      <c r="G1410" t="s">
        <v>7022</v>
      </c>
      <c r="H1410" t="s">
        <v>7023</v>
      </c>
    </row>
    <row r="1411">
      <c r="A1411">
        <v>104.0</v>
      </c>
      <c r="E1411" t="s">
        <v>2134</v>
      </c>
      <c r="F1411" t="s">
        <v>7024</v>
      </c>
      <c r="G1411" t="s">
        <v>7025</v>
      </c>
      <c r="H1411" t="s">
        <v>7026</v>
      </c>
    </row>
    <row r="1412">
      <c r="A1412">
        <v>104.0</v>
      </c>
      <c r="E1412" t="s">
        <v>2129</v>
      </c>
      <c r="F1412" t="s">
        <v>7027</v>
      </c>
      <c r="G1412" t="s">
        <v>7028</v>
      </c>
      <c r="H1412" t="s">
        <v>7029</v>
      </c>
    </row>
    <row r="1413">
      <c r="G1413">
        <v>80.0</v>
      </c>
    </row>
  </sheetData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